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PKF 2025\35º Campeonato Brasileiro 2025\"/>
    </mc:Choice>
  </mc:AlternateContent>
  <xr:revisionPtr revIDLastSave="0" documentId="13_ncr:1_{ADC5638D-DEA3-4F80-A30E-7E1A77FF3D81}" xr6:coauthVersionLast="47" xr6:coauthVersionMax="47" xr10:uidLastSave="{00000000-0000-0000-0000-000000000000}"/>
  <bookViews>
    <workbookView xWindow="-120" yWindow="-120" windowWidth="29040" windowHeight="15720" xr2:uid="{2FF3D64B-B66A-A74B-B5B9-C79817466D2B}"/>
  </bookViews>
  <sheets>
    <sheet name="Atletas" sheetId="2" r:id="rId1"/>
    <sheet name="Conferência" sheetId="3" r:id="rId2"/>
    <sheet name="Federação" sheetId="1" r:id="rId3"/>
  </sheets>
  <definedNames>
    <definedName name="ADAPTADO">Atletas!$FF$4:$FF$13</definedName>
    <definedName name="QSA">Atletas!$BO$4:$BO$5</definedName>
    <definedName name="QSB">Atletas!$BP$4:$BP$5</definedName>
    <definedName name="SDAF" localSheetId="0">Atletas!$BG$4:$BG$11</definedName>
    <definedName name="SDAM" localSheetId="0">Atletas!$BH$4:$BH$15</definedName>
    <definedName name="SDIF" localSheetId="0">Atletas!$BC$4:$BC$8</definedName>
    <definedName name="SDIM" localSheetId="0">Atletas!$BD$4:$BD$11</definedName>
    <definedName name="SDJF" localSheetId="0">Atletas!$BE$4:$BE$8</definedName>
    <definedName name="SDJM" localSheetId="0">Atletas!$BF$4:$BF$12</definedName>
    <definedName name="SDKF">Atletas!$BA$4:$BA$9</definedName>
    <definedName name="SDKM">Atletas!$BB$4:$BB$11</definedName>
    <definedName name="SJAF" localSheetId="0">Atletas!$BK$4:$BK$12</definedName>
    <definedName name="SJAM" localSheetId="0">Atletas!$BL$4:$BL$13</definedName>
    <definedName name="SJJF" localSheetId="0">Atletas!$BI$4:$BI$12</definedName>
    <definedName name="SJJM" localSheetId="0">Atletas!$BJ$4:$BJ$13</definedName>
    <definedName name="TEACA" localSheetId="0">Atletas!$CA$4:$CA$12</definedName>
    <definedName name="TEACB" localSheetId="0">Atletas!$BZ$4:$BZ$8</definedName>
    <definedName name="TEACC" localSheetId="0">Atletas!$BY$4:$BY$8</definedName>
    <definedName name="TEACM" localSheetId="0">Atletas!$BW$4:$BW$8</definedName>
    <definedName name="TEACMC" localSheetId="0">Atletas!$BX$4:$BX$12</definedName>
    <definedName name="TEACOA" localSheetId="0">Atletas!$CB$4:$CB$12</definedName>
    <definedName name="TEALA">Atletas!$CG$4:$CG$11</definedName>
    <definedName name="TEALB">Atletas!$CF$4:$CF$8</definedName>
    <definedName name="TEALC" localSheetId="0">Atletas!$CE$4:$CE$7</definedName>
    <definedName name="TEALM" localSheetId="0">Atletas!$CC$4:$CC$7</definedName>
    <definedName name="TEALMC" localSheetId="0">Atletas!$CD$4:$CD$10</definedName>
    <definedName name="TEALOA" localSheetId="0">Atletas!$CH$4:$CH$10</definedName>
    <definedName name="TEDLA" localSheetId="0">Atletas!$CJ$4:$CJ$6</definedName>
    <definedName name="TEDLB" localSheetId="0">Atletas!$CI$4:$CI$6</definedName>
    <definedName name="TEDLOA" localSheetId="0">Atletas!$CK$4:$CK$6</definedName>
    <definedName name="TEMA" localSheetId="0">Atletas!$BU$4:$BU$10</definedName>
    <definedName name="TEMB" localSheetId="0">Atletas!$BT$4:$BT$7</definedName>
    <definedName name="TEMC" localSheetId="0">Atletas!$BS$4:$BS$7</definedName>
    <definedName name="TEMM" localSheetId="0">Atletas!$BQ$4:$BQ$7</definedName>
    <definedName name="TEMMC" localSheetId="0">Atletas!$BR$4:$BR$10</definedName>
    <definedName name="TEMOA" localSheetId="0">Atletas!$BV$4:$BV$10</definedName>
    <definedName name="TSAF">Atletas!$BM$4:$BM$9</definedName>
    <definedName name="TSAM">Atletas!$BN$4:$BN$10</definedName>
    <definedName name="TTACA">Atletas!$DV$4:$DV$9</definedName>
    <definedName name="TTACB">Atletas!$DW$4:$DW$9</definedName>
    <definedName name="TTACC">Atletas!$DX$4:$DX$9</definedName>
    <definedName name="TTACD">Atletas!$DY$4:$DY$9</definedName>
    <definedName name="TTACE">Atletas!$DZ$4:$DZ$9</definedName>
    <definedName name="TTACF">Atletas!$EA$4:$EA$9</definedName>
    <definedName name="TTADMA" localSheetId="0">Atletas!$EH$4:$EH$7</definedName>
    <definedName name="TTADMB" localSheetId="0">Atletas!$EI$4:$EI$7</definedName>
    <definedName name="TTADMC" localSheetId="0">Atletas!$EJ$4:$EJ$7</definedName>
    <definedName name="TTADMD" localSheetId="0">Atletas!$EK$4:$EK$7</definedName>
    <definedName name="TTADME" localSheetId="0">Atletas!$EL$4:$EL$7</definedName>
    <definedName name="TTADMF" localSheetId="0">Atletas!$EM$4:$EM$7</definedName>
    <definedName name="TTALA">Atletas!$EB$4:$EB$8</definedName>
    <definedName name="TTALB">Atletas!$EC$4:$EC$8</definedName>
    <definedName name="TTALC">Atletas!$ED$4:$ED$8</definedName>
    <definedName name="TTALD">Atletas!$EE$4:$EE$8</definedName>
    <definedName name="TTALE">Atletas!$EF$4:$EF$8</definedName>
    <definedName name="TTALF">Atletas!$EG$4:$EG$8</definedName>
    <definedName name="TTDGA">Atletas!$EZ$4:$EZ$10</definedName>
    <definedName name="TTDGB">Atletas!$FA$4:$FA$13</definedName>
    <definedName name="TTDGC">Atletas!$FB$4:$FB$13</definedName>
    <definedName name="TTDGD">Atletas!$FC$4:$FC$13</definedName>
    <definedName name="TTDGE">Atletas!$FD$4:$FD$13</definedName>
    <definedName name="TTDGF">Atletas!$FE$4:$FE$10</definedName>
    <definedName name="TTEEA" localSheetId="0">Atletas!$CX$4:$CX$7</definedName>
    <definedName name="TTEEB" localSheetId="0">Atletas!$CY$4:$CY$7</definedName>
    <definedName name="TTEEC" localSheetId="0">Atletas!$CZ$4:$CZ$7</definedName>
    <definedName name="TTEED" localSheetId="0">Atletas!$DA$4:$DA$7</definedName>
    <definedName name="TTEEE" localSheetId="0">Atletas!$DB$4:$DB$7</definedName>
    <definedName name="TTEEF" localSheetId="0">Atletas!$DC$4:$DC$7</definedName>
    <definedName name="TTMSA" localSheetId="0">Atletas!$CL$4:$CL$10</definedName>
    <definedName name="TTMSB" localSheetId="0">Atletas!$CM$4:$CM$10</definedName>
    <definedName name="TTMSC" localSheetId="0">Atletas!$CN$4:$CN$10</definedName>
    <definedName name="TTMSD" localSheetId="0">Atletas!$CO$4:$CO$10</definedName>
    <definedName name="TTMSE" localSheetId="0">Atletas!$CP$4:$CP$10</definedName>
    <definedName name="TTMSF" localSheetId="0">Atletas!$CQ$4:$CQ$10</definedName>
    <definedName name="TTOMA" localSheetId="0">Atletas!$CR$4:$CR$15</definedName>
    <definedName name="TTOMB" localSheetId="0">Atletas!$CS$4:$CS$15</definedName>
    <definedName name="TTOMC" localSheetId="0">Atletas!$CT$4:$CT$15</definedName>
    <definedName name="TTOMD" localSheetId="0">Atletas!$CU$4:$CU$15</definedName>
    <definedName name="TTOME" localSheetId="0">Atletas!$CV$4:$CV$15</definedName>
    <definedName name="TTOMF" localSheetId="0">Atletas!$CW$4:$CW$15</definedName>
    <definedName name="TTOMIA" localSheetId="0">Atletas!$DP$4:$DP$7</definedName>
    <definedName name="TTOMIB" localSheetId="0">Atletas!$DQ$4:$DQ$7</definedName>
    <definedName name="TTOMIC" localSheetId="0">Atletas!$DR$4:$DR$7</definedName>
    <definedName name="TTOMID" localSheetId="0">Atletas!$DS$4:$DS$7</definedName>
    <definedName name="TTOMIE" localSheetId="0">Atletas!$DT$4:$DT$7</definedName>
    <definedName name="TTOMIF" localSheetId="0">Atletas!$DU$4:$DU$7</definedName>
    <definedName name="TTTA">Atletas!$EN$4:$EN$12</definedName>
    <definedName name="TTTB">Atletas!$EO$4:$EO$12</definedName>
    <definedName name="TTTC">Atletas!$EP$4:$EP$12</definedName>
    <definedName name="TTTD">Atletas!$EQ$4:$EQ$12</definedName>
    <definedName name="TTTE">Atletas!$ER$4:$ER$12</definedName>
    <definedName name="TTTF">Atletas!$ES$4:$ES$12</definedName>
    <definedName name="TTTOAA">Atletas!$ET$4:$ET$9</definedName>
    <definedName name="TTTOAB">Atletas!$EU$4:$EU$9</definedName>
    <definedName name="TTTOAC">Atletas!$EV$4:$EV$9</definedName>
    <definedName name="TTTOAD">Atletas!$EW$4:$EW$9</definedName>
    <definedName name="TTTOAE">Atletas!$EX$4:$EX$9</definedName>
    <definedName name="TTTOAF">Atletas!$EY$4:$EY$9</definedName>
    <definedName name="TTTPA">Atletas!$DJ$4:$DJ$15</definedName>
    <definedName name="TTTPB">Atletas!$DK$4:$DK$15</definedName>
    <definedName name="TTTPC">Atletas!$DL$4:$DL$15</definedName>
    <definedName name="TTTPD">Atletas!$DM$4:$DM$15</definedName>
    <definedName name="TTTPE">Atletas!$DN$4:$DN$15</definedName>
    <definedName name="TTTPF">Atletas!$DO$4:$DO$15</definedName>
    <definedName name="TTTTA" localSheetId="0">Atletas!$DD$4:$DD$10</definedName>
    <definedName name="TTTTB" localSheetId="0">Atletas!$DE$4:$DE$10</definedName>
    <definedName name="TTTTC" localSheetId="0">Atletas!$DF$4:$DF$10</definedName>
    <definedName name="TTTTD" localSheetId="0">Atletas!$DG$4:$DG$10</definedName>
    <definedName name="TTTTE" localSheetId="0">Atletas!$DH$4:$DH$10</definedName>
    <definedName name="TTTTF" localSheetId="0">Atletas!$DI$4:$DI$10</definedName>
    <definedName name="UF">Federação!$G$3:$G$24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25" i="2" l="1"/>
  <c r="Z26" i="2"/>
  <c r="Z27" i="2"/>
  <c r="Z21" i="2"/>
  <c r="Z20" i="2"/>
  <c r="Z19" i="2"/>
  <c r="Z18" i="2"/>
  <c r="Z17" i="2"/>
  <c r="Z16" i="2"/>
  <c r="Z15" i="2"/>
  <c r="Z14" i="2"/>
  <c r="Z13" i="2"/>
  <c r="AA13" i="2" l="1"/>
  <c r="AA14" i="2"/>
  <c r="AA15" i="2"/>
  <c r="AA16" i="2"/>
  <c r="AA17" i="2"/>
  <c r="AA18" i="2"/>
  <c r="AA19" i="2"/>
  <c r="AA20" i="2"/>
  <c r="AA21" i="2"/>
  <c r="AN8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N173" i="3"/>
  <c r="AN174" i="3"/>
  <c r="AN175" i="3"/>
  <c r="AN176" i="3"/>
  <c r="AN177" i="3"/>
  <c r="AN178" i="3"/>
  <c r="AN179" i="3"/>
  <c r="AN180" i="3"/>
  <c r="AN181" i="3"/>
  <c r="AN182" i="3"/>
  <c r="AN183" i="3"/>
  <c r="AN184" i="3"/>
  <c r="AN185" i="3"/>
  <c r="AN186" i="3"/>
  <c r="AN187" i="3"/>
  <c r="AN188" i="3"/>
  <c r="AN189" i="3"/>
  <c r="AN190" i="3"/>
  <c r="AN191" i="3"/>
  <c r="AN192" i="3"/>
  <c r="AN193" i="3"/>
  <c r="AN194" i="3"/>
  <c r="AN195" i="3"/>
  <c r="AN196" i="3"/>
  <c r="AN197" i="3"/>
  <c r="AN198" i="3"/>
  <c r="AN199" i="3"/>
  <c r="AN200" i="3"/>
  <c r="AN201" i="3"/>
  <c r="AN202" i="3"/>
  <c r="AN203" i="3"/>
  <c r="AN204" i="3"/>
  <c r="AN205" i="3"/>
  <c r="AN206" i="3"/>
  <c r="AN207" i="3"/>
  <c r="AN208" i="3"/>
  <c r="AN209" i="3"/>
  <c r="AN210" i="3"/>
  <c r="AN211" i="3"/>
  <c r="AN212" i="3"/>
  <c r="AN213" i="3"/>
  <c r="AN214" i="3"/>
  <c r="AN215" i="3"/>
  <c r="AN216" i="3"/>
  <c r="AN217" i="3"/>
  <c r="AN218" i="3"/>
  <c r="AN219" i="3"/>
  <c r="AN220" i="3"/>
  <c r="AN221" i="3"/>
  <c r="AN222" i="3"/>
  <c r="AN223" i="3"/>
  <c r="AN224" i="3"/>
  <c r="AN225" i="3"/>
  <c r="AN226" i="3"/>
  <c r="AN227" i="3"/>
  <c r="AN228" i="3"/>
  <c r="AN229" i="3"/>
  <c r="AN230" i="3"/>
  <c r="AN231" i="3"/>
  <c r="AN232" i="3"/>
  <c r="AN233" i="3"/>
  <c r="AN234" i="3"/>
  <c r="AN235" i="3"/>
  <c r="AN236" i="3"/>
  <c r="AN237" i="3"/>
  <c r="AN238" i="3"/>
  <c r="AN239" i="3"/>
  <c r="AN240" i="3"/>
  <c r="AN241" i="3"/>
  <c r="AN242" i="3"/>
  <c r="AN243" i="3"/>
  <c r="AN244" i="3"/>
  <c r="AN245" i="3"/>
  <c r="AN246" i="3"/>
  <c r="AN247" i="3"/>
  <c r="AN248" i="3"/>
  <c r="AN249" i="3"/>
  <c r="AN250" i="3"/>
  <c r="AN251" i="3"/>
  <c r="AN252" i="3"/>
  <c r="AN253" i="3"/>
  <c r="AN254" i="3"/>
  <c r="AN255" i="3"/>
  <c r="AN256" i="3"/>
  <c r="AN257" i="3"/>
  <c r="AN258" i="3"/>
  <c r="AN259" i="3"/>
  <c r="AN260" i="3"/>
  <c r="AN261" i="3"/>
  <c r="AN262" i="3"/>
  <c r="AN263" i="3"/>
  <c r="AN264" i="3"/>
  <c r="AN265" i="3"/>
  <c r="AN266" i="3"/>
  <c r="AN267" i="3"/>
  <c r="AN268" i="3"/>
  <c r="AN269" i="3"/>
  <c r="AN270" i="3"/>
  <c r="AN271" i="3"/>
  <c r="AN272" i="3"/>
  <c r="AN273" i="3"/>
  <c r="AN274" i="3"/>
  <c r="AN275" i="3"/>
  <c r="AN276" i="3"/>
  <c r="AN277" i="3"/>
  <c r="AN278" i="3"/>
  <c r="AN279" i="3"/>
  <c r="AN280" i="3"/>
  <c r="AN281" i="3"/>
  <c r="AN282" i="3"/>
  <c r="AN283" i="3"/>
  <c r="AN284" i="3"/>
  <c r="AN285" i="3"/>
  <c r="AN286" i="3"/>
  <c r="AN287" i="3"/>
  <c r="AN288" i="3"/>
  <c r="AN289" i="3"/>
  <c r="AN290" i="3"/>
  <c r="AN291" i="3"/>
  <c r="AN292" i="3"/>
  <c r="AN293" i="3"/>
  <c r="AN294" i="3"/>
  <c r="AN295" i="3"/>
  <c r="AN296" i="3"/>
  <c r="AN297" i="3"/>
  <c r="AN298" i="3"/>
  <c r="AN299" i="3"/>
  <c r="AN300" i="3"/>
  <c r="AN301" i="3"/>
  <c r="AN302" i="3"/>
  <c r="AN303" i="3"/>
  <c r="AN304" i="3"/>
  <c r="AN305" i="3"/>
  <c r="AN306" i="3"/>
  <c r="AN307" i="3"/>
  <c r="AN308" i="3"/>
  <c r="AN309" i="3"/>
  <c r="AN310" i="3"/>
  <c r="AN311" i="3"/>
  <c r="AN312" i="3"/>
  <c r="AN313" i="3"/>
  <c r="AN314" i="3"/>
  <c r="AN315" i="3"/>
  <c r="AN316" i="3"/>
  <c r="AN317" i="3"/>
  <c r="AN318" i="3"/>
  <c r="AN319" i="3"/>
  <c r="AN320" i="3"/>
  <c r="AN321" i="3"/>
  <c r="AN322" i="3"/>
  <c r="AN323" i="3"/>
  <c r="AN324" i="3"/>
  <c r="AN325" i="3"/>
  <c r="AN326" i="3"/>
  <c r="AN327" i="3"/>
  <c r="AN328" i="3"/>
  <c r="AN329" i="3"/>
  <c r="AN330" i="3"/>
  <c r="AN331" i="3"/>
  <c r="AN332" i="3"/>
  <c r="AN333" i="3"/>
  <c r="AN334" i="3"/>
  <c r="AN335" i="3"/>
  <c r="AN336" i="3"/>
  <c r="AN337" i="3"/>
  <c r="AN338" i="3"/>
  <c r="AN339" i="3"/>
  <c r="AN340" i="3"/>
  <c r="AN341" i="3"/>
  <c r="AN342" i="3"/>
  <c r="AN343" i="3"/>
  <c r="AN344" i="3"/>
  <c r="AN345" i="3"/>
  <c r="AN346" i="3"/>
  <c r="AN347" i="3"/>
  <c r="AN348" i="3"/>
  <c r="AN349" i="3"/>
  <c r="AN350" i="3"/>
  <c r="AN351" i="3"/>
  <c r="AN352" i="3"/>
  <c r="AN353" i="3"/>
  <c r="AN354" i="3"/>
  <c r="AN355" i="3"/>
  <c r="AN356" i="3"/>
  <c r="AN357" i="3"/>
  <c r="AN358" i="3"/>
  <c r="AN359" i="3"/>
  <c r="AN360" i="3"/>
  <c r="AN361" i="3"/>
  <c r="AN362" i="3"/>
  <c r="AN363" i="3"/>
  <c r="AN364" i="3"/>
  <c r="AN365" i="3"/>
  <c r="AN366" i="3"/>
  <c r="AN367" i="3"/>
  <c r="AN368" i="3"/>
  <c r="AN369" i="3"/>
  <c r="AN370" i="3"/>
  <c r="AN371" i="3"/>
  <c r="AN372" i="3"/>
  <c r="AN373" i="3"/>
  <c r="AN374" i="3"/>
  <c r="AN375" i="3"/>
  <c r="AN376" i="3"/>
  <c r="AN377" i="3"/>
  <c r="AN378" i="3"/>
  <c r="AN379" i="3"/>
  <c r="AN380" i="3"/>
  <c r="AN381" i="3"/>
  <c r="AN382" i="3"/>
  <c r="AN383" i="3"/>
  <c r="AN384" i="3"/>
  <c r="AN385" i="3"/>
  <c r="AN386" i="3"/>
  <c r="AN387" i="3"/>
  <c r="AN388" i="3"/>
  <c r="AN389" i="3"/>
  <c r="AN390" i="3"/>
  <c r="AN391" i="3"/>
  <c r="AN392" i="3"/>
  <c r="AN393" i="3"/>
  <c r="AN394" i="3"/>
  <c r="AN395" i="3"/>
  <c r="AN396" i="3"/>
  <c r="AN397" i="3"/>
  <c r="AN398" i="3"/>
  <c r="AN399" i="3"/>
  <c r="AN400" i="3"/>
  <c r="AN401" i="3"/>
  <c r="AN402" i="3"/>
  <c r="AN403" i="3"/>
  <c r="AN404" i="3"/>
  <c r="AN405" i="3"/>
  <c r="AN406" i="3"/>
  <c r="AN407" i="3"/>
  <c r="AN408" i="3"/>
  <c r="AN409" i="3"/>
  <c r="AN410" i="3"/>
  <c r="AN411" i="3"/>
  <c r="AN412" i="3"/>
  <c r="AN413" i="3"/>
  <c r="AN414" i="3"/>
  <c r="AN415" i="3"/>
  <c r="AN416" i="3"/>
  <c r="AN417" i="3"/>
  <c r="AN418" i="3"/>
  <c r="AN419" i="3"/>
  <c r="AN420" i="3"/>
  <c r="AN421" i="3"/>
  <c r="AN422" i="3"/>
  <c r="AN423" i="3"/>
  <c r="AN424" i="3"/>
  <c r="AN425" i="3"/>
  <c r="AN426" i="3"/>
  <c r="AN427" i="3"/>
  <c r="AN428" i="3"/>
  <c r="AN429" i="3"/>
  <c r="AN430" i="3"/>
  <c r="AN431" i="3"/>
  <c r="AN432" i="3"/>
  <c r="AN433" i="3"/>
  <c r="AN434" i="3"/>
  <c r="AN435" i="3"/>
  <c r="AN436" i="3"/>
  <c r="AN437" i="3"/>
  <c r="AN438" i="3"/>
  <c r="AN439" i="3"/>
  <c r="AN440" i="3"/>
  <c r="AN441" i="3"/>
  <c r="AN442" i="3"/>
  <c r="AN443" i="3"/>
  <c r="AN444" i="3"/>
  <c r="AN445" i="3"/>
  <c r="AN446" i="3"/>
  <c r="AN447" i="3"/>
  <c r="AN448" i="3"/>
  <c r="AN449" i="3"/>
  <c r="AN450" i="3"/>
  <c r="AN451" i="3"/>
  <c r="AN452" i="3"/>
  <c r="AN453" i="3"/>
  <c r="AN454" i="3"/>
  <c r="AN455" i="3"/>
  <c r="AN456" i="3"/>
  <c r="AN457" i="3"/>
  <c r="AN458" i="3"/>
  <c r="AN459" i="3"/>
  <c r="AN460" i="3"/>
  <c r="AN461" i="3"/>
  <c r="AN462" i="3"/>
  <c r="AN463" i="3"/>
  <c r="AN464" i="3"/>
  <c r="AN465" i="3"/>
  <c r="AN466" i="3"/>
  <c r="AN467" i="3"/>
  <c r="AN468" i="3"/>
  <c r="AN469" i="3"/>
  <c r="AN470" i="3"/>
  <c r="AN471" i="3"/>
  <c r="AN472" i="3"/>
  <c r="AN473" i="3"/>
  <c r="AN474" i="3"/>
  <c r="AN475" i="3"/>
  <c r="AN476" i="3"/>
  <c r="AN477" i="3"/>
  <c r="AN478" i="3"/>
  <c r="AN479" i="3"/>
  <c r="AN480" i="3"/>
  <c r="AN481" i="3"/>
  <c r="AN482" i="3"/>
  <c r="AN483" i="3"/>
  <c r="AN484" i="3"/>
  <c r="AN485" i="3"/>
  <c r="AN486" i="3"/>
  <c r="AN487" i="3"/>
  <c r="AN488" i="3"/>
  <c r="AN489" i="3"/>
  <c r="AN490" i="3"/>
  <c r="AN491" i="3"/>
  <c r="AN492" i="3"/>
  <c r="AN493" i="3"/>
  <c r="AN494" i="3"/>
  <c r="AN495" i="3"/>
  <c r="AN496" i="3"/>
  <c r="AN497" i="3"/>
  <c r="AN498" i="3"/>
  <c r="AN499" i="3"/>
  <c r="AN500" i="3"/>
  <c r="AN501" i="3"/>
  <c r="AN502" i="3"/>
  <c r="AN503" i="3"/>
  <c r="AN504" i="3"/>
  <c r="AN505" i="3"/>
  <c r="AN506" i="3"/>
  <c r="AN507" i="3"/>
  <c r="AN508" i="3"/>
  <c r="AN509" i="3"/>
  <c r="AN510" i="3"/>
  <c r="AN511" i="3"/>
  <c r="AN512" i="3"/>
  <c r="AN513" i="3"/>
  <c r="AN514" i="3"/>
  <c r="AN515" i="3"/>
  <c r="AN516" i="3"/>
  <c r="AN517" i="3"/>
  <c r="AN518" i="3"/>
  <c r="AN519" i="3"/>
  <c r="AN520" i="3"/>
  <c r="AN521" i="3"/>
  <c r="AN522" i="3"/>
  <c r="AN523" i="3"/>
  <c r="AN524" i="3"/>
  <c r="AN525" i="3"/>
  <c r="AN526" i="3"/>
  <c r="AN527" i="3"/>
  <c r="AN528" i="3"/>
  <c r="AN529" i="3"/>
  <c r="AN530" i="3"/>
  <c r="AN531" i="3"/>
  <c r="AN532" i="3"/>
  <c r="AN533" i="3"/>
  <c r="AN534" i="3"/>
  <c r="AN535" i="3"/>
  <c r="AN536" i="3"/>
  <c r="AN537" i="3"/>
  <c r="AN538" i="3"/>
  <c r="AN539" i="3"/>
  <c r="AN540" i="3"/>
  <c r="AN541" i="3"/>
  <c r="AN542" i="3"/>
  <c r="AN543" i="3"/>
  <c r="AN544" i="3"/>
  <c r="AN545" i="3"/>
  <c r="AN546" i="3"/>
  <c r="AN547" i="3"/>
  <c r="AN548" i="3"/>
  <c r="AN549" i="3"/>
  <c r="AN550" i="3"/>
  <c r="AN551" i="3"/>
  <c r="AN552" i="3"/>
  <c r="AN553" i="3"/>
  <c r="AN554" i="3"/>
  <c r="AN555" i="3"/>
  <c r="AN556" i="3"/>
  <c r="AN557" i="3"/>
  <c r="AN558" i="3"/>
  <c r="AN559" i="3"/>
  <c r="AN560" i="3"/>
  <c r="AN561" i="3"/>
  <c r="AN562" i="3"/>
  <c r="AN563" i="3"/>
  <c r="AN564" i="3"/>
  <c r="AN565" i="3"/>
  <c r="AN566" i="3"/>
  <c r="AN567" i="3"/>
  <c r="AN568" i="3"/>
  <c r="AN569" i="3"/>
  <c r="AN570" i="3"/>
  <c r="AN571" i="3"/>
  <c r="AN572" i="3"/>
  <c r="AN573" i="3"/>
  <c r="AN574" i="3"/>
  <c r="AN575" i="3"/>
  <c r="AN576" i="3"/>
  <c r="AN577" i="3"/>
  <c r="AN578" i="3"/>
  <c r="AN579" i="3"/>
  <c r="AN580" i="3"/>
  <c r="AN581" i="3"/>
  <c r="AN582" i="3"/>
  <c r="AN583" i="3"/>
  <c r="AN584" i="3"/>
  <c r="AN585" i="3"/>
  <c r="AN586" i="3"/>
  <c r="AN587" i="3"/>
  <c r="AN588" i="3"/>
  <c r="AN589" i="3"/>
  <c r="AN590" i="3"/>
  <c r="AN591" i="3"/>
  <c r="AN592" i="3"/>
  <c r="AN593" i="3"/>
  <c r="AN594" i="3"/>
  <c r="AN595" i="3"/>
  <c r="AN596" i="3"/>
  <c r="AN597" i="3"/>
  <c r="AN598" i="3"/>
  <c r="AN599" i="3"/>
  <c r="AN600" i="3"/>
  <c r="AN601" i="3"/>
  <c r="AN602" i="3"/>
  <c r="AN603" i="3"/>
  <c r="AN604" i="3"/>
  <c r="AN605" i="3"/>
  <c r="AN606" i="3"/>
  <c r="AN7" i="3"/>
  <c r="AR41" i="3" l="1"/>
  <c r="AQ41" i="3" s="1"/>
  <c r="AR8" i="3"/>
  <c r="AQ8" i="3" s="1"/>
  <c r="AR10" i="3"/>
  <c r="AQ10" i="3" s="1"/>
  <c r="AR12" i="3"/>
  <c r="AQ12" i="3" s="1"/>
  <c r="AR14" i="3"/>
  <c r="AQ14" i="3" s="1"/>
  <c r="AR16" i="3"/>
  <c r="AQ16" i="3" s="1"/>
  <c r="AR18" i="3"/>
  <c r="AQ18" i="3" s="1"/>
  <c r="AR20" i="3"/>
  <c r="AQ20" i="3" s="1"/>
  <c r="AR22" i="3"/>
  <c r="AQ22" i="3" s="1"/>
  <c r="AR24" i="3"/>
  <c r="AQ24" i="3" s="1"/>
  <c r="AR26" i="3"/>
  <c r="AQ26" i="3" s="1"/>
  <c r="AR30" i="3"/>
  <c r="AQ30" i="3" s="1"/>
  <c r="AR34" i="3"/>
  <c r="AQ34" i="3" s="1"/>
  <c r="AR38" i="3"/>
  <c r="AQ38" i="3" s="1"/>
  <c r="AP7" i="3"/>
  <c r="AO7" i="3" s="1"/>
  <c r="AP9" i="3"/>
  <c r="AO9" i="3" s="1"/>
  <c r="AP11" i="3"/>
  <c r="AO11" i="3" s="1"/>
  <c r="AP13" i="3"/>
  <c r="AO13" i="3" s="1"/>
  <c r="AP15" i="3"/>
  <c r="AO15" i="3" s="1"/>
  <c r="AP17" i="3"/>
  <c r="AO17" i="3" s="1"/>
  <c r="AP19" i="3"/>
  <c r="AO19" i="3" s="1"/>
  <c r="AP21" i="3"/>
  <c r="AO21" i="3" s="1"/>
  <c r="AP23" i="3"/>
  <c r="AO23" i="3" s="1"/>
  <c r="AP25" i="3"/>
  <c r="AO25" i="3" s="1"/>
  <c r="AR27" i="3"/>
  <c r="AQ27" i="3" s="1"/>
  <c r="AR31" i="3"/>
  <c r="AQ31" i="3" s="1"/>
  <c r="AR35" i="3"/>
  <c r="AQ35" i="3" s="1"/>
  <c r="AR39" i="3"/>
  <c r="AQ39" i="3" s="1"/>
  <c r="AR7" i="3"/>
  <c r="AQ7" i="3" s="1"/>
  <c r="AR9" i="3"/>
  <c r="AQ9" i="3" s="1"/>
  <c r="AR11" i="3"/>
  <c r="AQ11" i="3" s="1"/>
  <c r="AR13" i="3"/>
  <c r="AQ13" i="3" s="1"/>
  <c r="AR15" i="3"/>
  <c r="AQ15" i="3" s="1"/>
  <c r="AR17" i="3"/>
  <c r="AQ17" i="3" s="1"/>
  <c r="AR19" i="3"/>
  <c r="AQ19" i="3" s="1"/>
  <c r="AR21" i="3"/>
  <c r="AQ21" i="3" s="1"/>
  <c r="AR23" i="3"/>
  <c r="AQ23" i="3" s="1"/>
  <c r="AR25" i="3"/>
  <c r="AQ25" i="3" s="1"/>
  <c r="AR28" i="3"/>
  <c r="AQ28" i="3" s="1"/>
  <c r="AR32" i="3"/>
  <c r="AQ32" i="3" s="1"/>
  <c r="AR36" i="3"/>
  <c r="AQ36" i="3" s="1"/>
  <c r="AR40" i="3"/>
  <c r="AQ40" i="3" s="1"/>
  <c r="AP8" i="3"/>
  <c r="AO8" i="3" s="1"/>
  <c r="AP10" i="3"/>
  <c r="AO10" i="3" s="1"/>
  <c r="AP12" i="3"/>
  <c r="AO12" i="3" s="1"/>
  <c r="AP14" i="3"/>
  <c r="AO14" i="3" s="1"/>
  <c r="AP16" i="3"/>
  <c r="AO16" i="3" s="1"/>
  <c r="AP18" i="3"/>
  <c r="AO18" i="3" s="1"/>
  <c r="AP20" i="3"/>
  <c r="AO20" i="3" s="1"/>
  <c r="AP22" i="3"/>
  <c r="AO22" i="3" s="1"/>
  <c r="AP24" i="3"/>
  <c r="AO24" i="3" s="1"/>
  <c r="AP26" i="3"/>
  <c r="AO26" i="3" s="1"/>
  <c r="AR29" i="3"/>
  <c r="AQ29" i="3" s="1"/>
  <c r="AR33" i="3"/>
  <c r="AQ33" i="3" s="1"/>
  <c r="AR37" i="3"/>
  <c r="AQ37" i="3" s="1"/>
  <c r="AI3" i="2"/>
  <c r="AF3" i="2"/>
  <c r="CB8" i="3"/>
  <c r="CB9" i="3"/>
  <c r="CB10" i="3"/>
  <c r="CB11" i="3"/>
  <c r="CB12" i="3"/>
  <c r="CB13" i="3"/>
  <c r="CB14" i="3"/>
  <c r="CB15" i="3"/>
  <c r="CB16" i="3"/>
  <c r="CB17" i="3"/>
  <c r="CB18" i="3"/>
  <c r="CB19" i="3"/>
  <c r="CB20" i="3"/>
  <c r="CB21" i="3"/>
  <c r="CB22" i="3"/>
  <c r="CB23" i="3"/>
  <c r="CB24" i="3"/>
  <c r="CB25" i="3"/>
  <c r="CB26" i="3"/>
  <c r="CB27" i="3"/>
  <c r="CB28" i="3"/>
  <c r="CB29" i="3"/>
  <c r="CB30" i="3"/>
  <c r="CB31" i="3"/>
  <c r="CB32" i="3"/>
  <c r="CB33" i="3"/>
  <c r="CB34" i="3"/>
  <c r="CB35" i="3"/>
  <c r="CB36" i="3"/>
  <c r="CB37" i="3"/>
  <c r="CB38" i="3"/>
  <c r="CB39" i="3"/>
  <c r="CB40" i="3"/>
  <c r="CB41" i="3"/>
  <c r="CB42" i="3"/>
  <c r="CB43" i="3"/>
  <c r="CB44" i="3"/>
  <c r="CB45" i="3"/>
  <c r="CB46" i="3"/>
  <c r="CB47" i="3"/>
  <c r="CB48" i="3"/>
  <c r="CB49" i="3"/>
  <c r="CB50" i="3"/>
  <c r="CB51" i="3"/>
  <c r="CB52" i="3"/>
  <c r="CB53" i="3"/>
  <c r="CB54" i="3"/>
  <c r="CB55" i="3"/>
  <c r="CB56" i="3"/>
  <c r="CB57" i="3"/>
  <c r="CB58" i="3"/>
  <c r="CB59" i="3"/>
  <c r="CB60" i="3"/>
  <c r="CB61" i="3"/>
  <c r="CB62" i="3"/>
  <c r="CB63" i="3"/>
  <c r="CB64" i="3"/>
  <c r="CB65" i="3"/>
  <c r="CB66" i="3"/>
  <c r="CB67" i="3"/>
  <c r="CB68" i="3"/>
  <c r="CB69" i="3"/>
  <c r="CB70" i="3"/>
  <c r="CB71" i="3"/>
  <c r="CB72" i="3"/>
  <c r="CB73" i="3"/>
  <c r="CB74" i="3"/>
  <c r="CB75" i="3"/>
  <c r="CB76" i="3"/>
  <c r="CB77" i="3"/>
  <c r="CB78" i="3"/>
  <c r="CB79" i="3"/>
  <c r="CB80" i="3"/>
  <c r="CB81" i="3"/>
  <c r="CB82" i="3"/>
  <c r="CB83" i="3"/>
  <c r="CB84" i="3"/>
  <c r="CB85" i="3"/>
  <c r="CB86" i="3"/>
  <c r="CB87" i="3"/>
  <c r="CB88" i="3"/>
  <c r="CB89" i="3"/>
  <c r="CB90" i="3"/>
  <c r="CB91" i="3"/>
  <c r="CB92" i="3"/>
  <c r="CB93" i="3"/>
  <c r="CB94" i="3"/>
  <c r="CB95" i="3"/>
  <c r="CB96" i="3"/>
  <c r="CB97" i="3"/>
  <c r="CB98" i="3"/>
  <c r="CB99" i="3"/>
  <c r="CB100" i="3"/>
  <c r="CB101" i="3"/>
  <c r="CB102" i="3"/>
  <c r="CB103" i="3"/>
  <c r="CB104" i="3"/>
  <c r="CB105" i="3"/>
  <c r="CB106" i="3"/>
  <c r="CB107" i="3"/>
  <c r="CB108" i="3"/>
  <c r="CB109" i="3"/>
  <c r="CB110" i="3"/>
  <c r="CB111" i="3"/>
  <c r="CB112" i="3"/>
  <c r="CB113" i="3"/>
  <c r="CB114" i="3"/>
  <c r="CB115" i="3"/>
  <c r="CB116" i="3"/>
  <c r="CB117" i="3"/>
  <c r="CB118" i="3"/>
  <c r="CB119" i="3"/>
  <c r="CB120" i="3"/>
  <c r="CB121" i="3"/>
  <c r="CB122" i="3"/>
  <c r="CB123" i="3"/>
  <c r="CB124" i="3"/>
  <c r="CB125" i="3"/>
  <c r="CB126" i="3"/>
  <c r="CB127" i="3"/>
  <c r="CB128" i="3"/>
  <c r="CB129" i="3"/>
  <c r="CB130" i="3"/>
  <c r="CB131" i="3"/>
  <c r="CB132" i="3"/>
  <c r="CB133" i="3"/>
  <c r="CB134" i="3"/>
  <c r="CB135" i="3"/>
  <c r="CB136" i="3"/>
  <c r="CB137" i="3"/>
  <c r="CB138" i="3"/>
  <c r="CB139" i="3"/>
  <c r="CB140" i="3"/>
  <c r="CB141" i="3"/>
  <c r="CB142" i="3"/>
  <c r="CB143" i="3"/>
  <c r="CB144" i="3"/>
  <c r="CB145" i="3"/>
  <c r="CB146" i="3"/>
  <c r="CB147" i="3"/>
  <c r="CB148" i="3"/>
  <c r="CB149" i="3"/>
  <c r="CB150" i="3"/>
  <c r="CB151" i="3"/>
  <c r="CB152" i="3"/>
  <c r="CB153" i="3"/>
  <c r="CB154" i="3"/>
  <c r="CB155" i="3"/>
  <c r="CB156" i="3"/>
  <c r="CB157" i="3"/>
  <c r="CB158" i="3"/>
  <c r="CB159" i="3"/>
  <c r="CB160" i="3"/>
  <c r="CB161" i="3"/>
  <c r="CB162" i="3"/>
  <c r="CB163" i="3"/>
  <c r="CB164" i="3"/>
  <c r="CB165" i="3"/>
  <c r="CB166" i="3"/>
  <c r="CB167" i="3"/>
  <c r="CB168" i="3"/>
  <c r="CB169" i="3"/>
  <c r="CB170" i="3"/>
  <c r="CB171" i="3"/>
  <c r="CB172" i="3"/>
  <c r="CB173" i="3"/>
  <c r="CB174" i="3"/>
  <c r="CB175" i="3"/>
  <c r="CB176" i="3"/>
  <c r="CB177" i="3"/>
  <c r="CB178" i="3"/>
  <c r="CB179" i="3"/>
  <c r="CB180" i="3"/>
  <c r="CB181" i="3"/>
  <c r="CB182" i="3"/>
  <c r="CB183" i="3"/>
  <c r="CB184" i="3"/>
  <c r="CB185" i="3"/>
  <c r="CB186" i="3"/>
  <c r="CB187" i="3"/>
  <c r="CB188" i="3"/>
  <c r="CB189" i="3"/>
  <c r="CB190" i="3"/>
  <c r="CB191" i="3"/>
  <c r="CB192" i="3"/>
  <c r="CB193" i="3"/>
  <c r="CB194" i="3"/>
  <c r="CB195" i="3"/>
  <c r="CB196" i="3"/>
  <c r="CB197" i="3"/>
  <c r="CB198" i="3"/>
  <c r="CB199" i="3"/>
  <c r="CB200" i="3"/>
  <c r="CB201" i="3"/>
  <c r="CB202" i="3"/>
  <c r="CB203" i="3"/>
  <c r="CB204" i="3"/>
  <c r="CB205" i="3"/>
  <c r="CB206" i="3"/>
  <c r="CB207" i="3"/>
  <c r="CB208" i="3"/>
  <c r="CB209" i="3"/>
  <c r="CB210" i="3"/>
  <c r="CB211" i="3"/>
  <c r="CB212" i="3"/>
  <c r="CB213" i="3"/>
  <c r="CB214" i="3"/>
  <c r="CB215" i="3"/>
  <c r="CB216" i="3"/>
  <c r="CB217" i="3"/>
  <c r="CB218" i="3"/>
  <c r="CB219" i="3"/>
  <c r="CB220" i="3"/>
  <c r="CB221" i="3"/>
  <c r="CB222" i="3"/>
  <c r="CB223" i="3"/>
  <c r="CB224" i="3"/>
  <c r="CB225" i="3"/>
  <c r="CB226" i="3"/>
  <c r="CB227" i="3"/>
  <c r="CB228" i="3"/>
  <c r="CB229" i="3"/>
  <c r="CB230" i="3"/>
  <c r="CB231" i="3"/>
  <c r="CB232" i="3"/>
  <c r="CB233" i="3"/>
  <c r="CB234" i="3"/>
  <c r="CB235" i="3"/>
  <c r="CB236" i="3"/>
  <c r="CB237" i="3"/>
  <c r="CB238" i="3"/>
  <c r="CB239" i="3"/>
  <c r="CB240" i="3"/>
  <c r="CB241" i="3"/>
  <c r="CB242" i="3"/>
  <c r="CB243" i="3"/>
  <c r="CB244" i="3"/>
  <c r="CB245" i="3"/>
  <c r="CB246" i="3"/>
  <c r="CB247" i="3"/>
  <c r="CB248" i="3"/>
  <c r="CB249" i="3"/>
  <c r="CB250" i="3"/>
  <c r="CB251" i="3"/>
  <c r="CB252" i="3"/>
  <c r="CB253" i="3"/>
  <c r="CB254" i="3"/>
  <c r="CB255" i="3"/>
  <c r="CB256" i="3"/>
  <c r="CB257" i="3"/>
  <c r="CB258" i="3"/>
  <c r="CB259" i="3"/>
  <c r="CB260" i="3"/>
  <c r="CB261" i="3"/>
  <c r="CB262" i="3"/>
  <c r="CB263" i="3"/>
  <c r="CB264" i="3"/>
  <c r="CB265" i="3"/>
  <c r="CB266" i="3"/>
  <c r="CB267" i="3"/>
  <c r="CB268" i="3"/>
  <c r="CB269" i="3"/>
  <c r="CB270" i="3"/>
  <c r="CB271" i="3"/>
  <c r="CB272" i="3"/>
  <c r="CB273" i="3"/>
  <c r="CB274" i="3"/>
  <c r="CB275" i="3"/>
  <c r="CB276" i="3"/>
  <c r="CB277" i="3"/>
  <c r="CB278" i="3"/>
  <c r="CB279" i="3"/>
  <c r="CB280" i="3"/>
  <c r="CB281" i="3"/>
  <c r="CB282" i="3"/>
  <c r="CB283" i="3"/>
  <c r="CB284" i="3"/>
  <c r="CB285" i="3"/>
  <c r="CB286" i="3"/>
  <c r="CB287" i="3"/>
  <c r="CB288" i="3"/>
  <c r="CB289" i="3"/>
  <c r="CB290" i="3"/>
  <c r="CB291" i="3"/>
  <c r="CB292" i="3"/>
  <c r="CB293" i="3"/>
  <c r="CB294" i="3"/>
  <c r="CB295" i="3"/>
  <c r="CB296" i="3"/>
  <c r="CB297" i="3"/>
  <c r="CB298" i="3"/>
  <c r="CB299" i="3"/>
  <c r="CB300" i="3"/>
  <c r="CB301" i="3"/>
  <c r="CB302" i="3"/>
  <c r="CB303" i="3"/>
  <c r="CB304" i="3"/>
  <c r="CB305" i="3"/>
  <c r="CB306" i="3"/>
  <c r="CB307" i="3"/>
  <c r="CB308" i="3"/>
  <c r="CB309" i="3"/>
  <c r="CB310" i="3"/>
  <c r="CB311" i="3"/>
  <c r="CB312" i="3"/>
  <c r="CB313" i="3"/>
  <c r="CB314" i="3"/>
  <c r="CB315" i="3"/>
  <c r="CB316" i="3"/>
  <c r="CB317" i="3"/>
  <c r="CB318" i="3"/>
  <c r="CB319" i="3"/>
  <c r="CB320" i="3"/>
  <c r="CB321" i="3"/>
  <c r="CB322" i="3"/>
  <c r="CB323" i="3"/>
  <c r="CB324" i="3"/>
  <c r="CB325" i="3"/>
  <c r="CB326" i="3"/>
  <c r="CB327" i="3"/>
  <c r="CB328" i="3"/>
  <c r="CB329" i="3"/>
  <c r="CB330" i="3"/>
  <c r="CB331" i="3"/>
  <c r="CB332" i="3"/>
  <c r="CB333" i="3"/>
  <c r="CB334" i="3"/>
  <c r="CB335" i="3"/>
  <c r="CB336" i="3"/>
  <c r="CB337" i="3"/>
  <c r="CB338" i="3"/>
  <c r="CB339" i="3"/>
  <c r="CB340" i="3"/>
  <c r="CB341" i="3"/>
  <c r="CB342" i="3"/>
  <c r="CB343" i="3"/>
  <c r="CB344" i="3"/>
  <c r="CB345" i="3"/>
  <c r="CB346" i="3"/>
  <c r="CB347" i="3"/>
  <c r="CB348" i="3"/>
  <c r="CB349" i="3"/>
  <c r="CB350" i="3"/>
  <c r="CB351" i="3"/>
  <c r="CB352" i="3"/>
  <c r="CB353" i="3"/>
  <c r="CB354" i="3"/>
  <c r="CB355" i="3"/>
  <c r="CB356" i="3"/>
  <c r="CB357" i="3"/>
  <c r="CB358" i="3"/>
  <c r="CB359" i="3"/>
  <c r="CB360" i="3"/>
  <c r="CB361" i="3"/>
  <c r="CB362" i="3"/>
  <c r="CB363" i="3"/>
  <c r="CB364" i="3"/>
  <c r="CB365" i="3"/>
  <c r="CB366" i="3"/>
  <c r="CB367" i="3"/>
  <c r="CB368" i="3"/>
  <c r="CB369" i="3"/>
  <c r="CB370" i="3"/>
  <c r="CB371" i="3"/>
  <c r="CB372" i="3"/>
  <c r="CB373" i="3"/>
  <c r="CB374" i="3"/>
  <c r="CB375" i="3"/>
  <c r="CB376" i="3"/>
  <c r="CB377" i="3"/>
  <c r="CB378" i="3"/>
  <c r="CB379" i="3"/>
  <c r="CB380" i="3"/>
  <c r="CB381" i="3"/>
  <c r="CB382" i="3"/>
  <c r="CB383" i="3"/>
  <c r="CB384" i="3"/>
  <c r="CB385" i="3"/>
  <c r="CB386" i="3"/>
  <c r="CB387" i="3"/>
  <c r="CB388" i="3"/>
  <c r="CB389" i="3"/>
  <c r="CB390" i="3"/>
  <c r="CB391" i="3"/>
  <c r="CB392" i="3"/>
  <c r="CB393" i="3"/>
  <c r="CB394" i="3"/>
  <c r="CB395" i="3"/>
  <c r="CB396" i="3"/>
  <c r="CB397" i="3"/>
  <c r="CB398" i="3"/>
  <c r="CB399" i="3"/>
  <c r="CB400" i="3"/>
  <c r="CB401" i="3"/>
  <c r="CB402" i="3"/>
  <c r="CB403" i="3"/>
  <c r="CB404" i="3"/>
  <c r="CB405" i="3"/>
  <c r="CB406" i="3"/>
  <c r="CB407" i="3"/>
  <c r="CB408" i="3"/>
  <c r="CB409" i="3"/>
  <c r="CB410" i="3"/>
  <c r="CB411" i="3"/>
  <c r="CB412" i="3"/>
  <c r="CB413" i="3"/>
  <c r="CB414" i="3"/>
  <c r="CB415" i="3"/>
  <c r="CB416" i="3"/>
  <c r="CB417" i="3"/>
  <c r="CB418" i="3"/>
  <c r="CB419" i="3"/>
  <c r="CB420" i="3"/>
  <c r="CB421" i="3"/>
  <c r="CB422" i="3"/>
  <c r="CB423" i="3"/>
  <c r="CB424" i="3"/>
  <c r="CB425" i="3"/>
  <c r="CB426" i="3"/>
  <c r="CB427" i="3"/>
  <c r="CB428" i="3"/>
  <c r="CB429" i="3"/>
  <c r="CB430" i="3"/>
  <c r="CB431" i="3"/>
  <c r="CB432" i="3"/>
  <c r="CB433" i="3"/>
  <c r="CB434" i="3"/>
  <c r="CB435" i="3"/>
  <c r="CB436" i="3"/>
  <c r="CB437" i="3"/>
  <c r="CB438" i="3"/>
  <c r="CB439" i="3"/>
  <c r="CB440" i="3"/>
  <c r="CB441" i="3"/>
  <c r="CB442" i="3"/>
  <c r="CB443" i="3"/>
  <c r="CB444" i="3"/>
  <c r="CB445" i="3"/>
  <c r="CB446" i="3"/>
  <c r="CB447" i="3"/>
  <c r="CB448" i="3"/>
  <c r="CB449" i="3"/>
  <c r="CB450" i="3"/>
  <c r="CB451" i="3"/>
  <c r="CB452" i="3"/>
  <c r="CB453" i="3"/>
  <c r="CB454" i="3"/>
  <c r="CB455" i="3"/>
  <c r="CB456" i="3"/>
  <c r="CB457" i="3"/>
  <c r="CB458" i="3"/>
  <c r="CB459" i="3"/>
  <c r="CB460" i="3"/>
  <c r="CB461" i="3"/>
  <c r="CB462" i="3"/>
  <c r="CB463" i="3"/>
  <c r="CB464" i="3"/>
  <c r="CB465" i="3"/>
  <c r="CB466" i="3"/>
  <c r="CB467" i="3"/>
  <c r="CB468" i="3"/>
  <c r="CB469" i="3"/>
  <c r="CB470" i="3"/>
  <c r="CB471" i="3"/>
  <c r="CB472" i="3"/>
  <c r="CB473" i="3"/>
  <c r="CB474" i="3"/>
  <c r="CB475" i="3"/>
  <c r="CB476" i="3"/>
  <c r="CB477" i="3"/>
  <c r="CB478" i="3"/>
  <c r="CB479" i="3"/>
  <c r="CB480" i="3"/>
  <c r="CB481" i="3"/>
  <c r="CB482" i="3"/>
  <c r="CB483" i="3"/>
  <c r="CB484" i="3"/>
  <c r="CB485" i="3"/>
  <c r="CB486" i="3"/>
  <c r="CB487" i="3"/>
  <c r="CB488" i="3"/>
  <c r="CB489" i="3"/>
  <c r="CB490" i="3"/>
  <c r="CB491" i="3"/>
  <c r="CB492" i="3"/>
  <c r="CB493" i="3"/>
  <c r="CB494" i="3"/>
  <c r="CB495" i="3"/>
  <c r="CB496" i="3"/>
  <c r="CB497" i="3"/>
  <c r="CB498" i="3"/>
  <c r="CB499" i="3"/>
  <c r="CB500" i="3"/>
  <c r="CB501" i="3"/>
  <c r="CB502" i="3"/>
  <c r="CB503" i="3"/>
  <c r="CB504" i="3"/>
  <c r="CB505" i="3"/>
  <c r="CB506" i="3"/>
  <c r="CB507" i="3"/>
  <c r="CB508" i="3"/>
  <c r="CB509" i="3"/>
  <c r="CB510" i="3"/>
  <c r="CB511" i="3"/>
  <c r="CB512" i="3"/>
  <c r="CB513" i="3"/>
  <c r="CB514" i="3"/>
  <c r="CB515" i="3"/>
  <c r="CB516" i="3"/>
  <c r="CB517" i="3"/>
  <c r="CB518" i="3"/>
  <c r="CB519" i="3"/>
  <c r="CB520" i="3"/>
  <c r="CB521" i="3"/>
  <c r="CB522" i="3"/>
  <c r="CB523" i="3"/>
  <c r="CB524" i="3"/>
  <c r="CB525" i="3"/>
  <c r="CB526" i="3"/>
  <c r="CB527" i="3"/>
  <c r="CB528" i="3"/>
  <c r="CB529" i="3"/>
  <c r="CB530" i="3"/>
  <c r="CB531" i="3"/>
  <c r="CB532" i="3"/>
  <c r="CB533" i="3"/>
  <c r="CB534" i="3"/>
  <c r="CB535" i="3"/>
  <c r="CB536" i="3"/>
  <c r="CB537" i="3"/>
  <c r="CB538" i="3"/>
  <c r="CB539" i="3"/>
  <c r="CB540" i="3"/>
  <c r="CB541" i="3"/>
  <c r="CB542" i="3"/>
  <c r="CB543" i="3"/>
  <c r="CB544" i="3"/>
  <c r="CB545" i="3"/>
  <c r="CB546" i="3"/>
  <c r="CB547" i="3"/>
  <c r="CB548" i="3"/>
  <c r="CB549" i="3"/>
  <c r="CB550" i="3"/>
  <c r="CB551" i="3"/>
  <c r="CB552" i="3"/>
  <c r="CB553" i="3"/>
  <c r="CB554" i="3"/>
  <c r="CB555" i="3"/>
  <c r="CB556" i="3"/>
  <c r="CB557" i="3"/>
  <c r="CB558" i="3"/>
  <c r="CB559" i="3"/>
  <c r="CB560" i="3"/>
  <c r="CB561" i="3"/>
  <c r="CB562" i="3"/>
  <c r="CB563" i="3"/>
  <c r="CB564" i="3"/>
  <c r="CB565" i="3"/>
  <c r="CB566" i="3"/>
  <c r="CB567" i="3"/>
  <c r="CB568" i="3"/>
  <c r="CB569" i="3"/>
  <c r="CB570" i="3"/>
  <c r="CB571" i="3"/>
  <c r="CB572" i="3"/>
  <c r="CB573" i="3"/>
  <c r="CB574" i="3"/>
  <c r="CB575" i="3"/>
  <c r="CB576" i="3"/>
  <c r="CB577" i="3"/>
  <c r="CB578" i="3"/>
  <c r="CB579" i="3"/>
  <c r="CB580" i="3"/>
  <c r="CB581" i="3"/>
  <c r="CB582" i="3"/>
  <c r="CB583" i="3"/>
  <c r="CB584" i="3"/>
  <c r="CB585" i="3"/>
  <c r="CB586" i="3"/>
  <c r="CB587" i="3"/>
  <c r="CB588" i="3"/>
  <c r="CB589" i="3"/>
  <c r="CB590" i="3"/>
  <c r="CB591" i="3"/>
  <c r="CB592" i="3"/>
  <c r="CB593" i="3"/>
  <c r="CB594" i="3"/>
  <c r="CB595" i="3"/>
  <c r="CB596" i="3"/>
  <c r="CB597" i="3"/>
  <c r="CB598" i="3"/>
  <c r="CB599" i="3"/>
  <c r="CB600" i="3"/>
  <c r="CB601" i="3"/>
  <c r="CB602" i="3"/>
  <c r="CB603" i="3"/>
  <c r="CB604" i="3"/>
  <c r="CB605" i="3"/>
  <c r="CB606" i="3"/>
  <c r="CB7" i="3"/>
  <c r="BC8" i="3"/>
  <c r="BC9" i="3"/>
  <c r="BC10" i="3"/>
  <c r="BC11" i="3"/>
  <c r="BC12" i="3"/>
  <c r="BC13" i="3"/>
  <c r="BC14" i="3"/>
  <c r="BC15" i="3"/>
  <c r="BC16" i="3"/>
  <c r="BC17" i="3"/>
  <c r="BC18" i="3"/>
  <c r="BC19" i="3"/>
  <c r="BC20" i="3"/>
  <c r="BC21" i="3"/>
  <c r="BC22" i="3"/>
  <c r="BC23" i="3"/>
  <c r="BC24" i="3"/>
  <c r="BC25" i="3"/>
  <c r="BC26" i="3"/>
  <c r="BC27" i="3"/>
  <c r="BC28" i="3"/>
  <c r="BC29" i="3"/>
  <c r="BC30" i="3"/>
  <c r="BC31" i="3"/>
  <c r="BC32" i="3"/>
  <c r="BC33" i="3"/>
  <c r="BC34" i="3"/>
  <c r="BC35" i="3"/>
  <c r="BC36" i="3"/>
  <c r="BC37" i="3"/>
  <c r="BC38" i="3"/>
  <c r="BC39" i="3"/>
  <c r="BC40" i="3"/>
  <c r="BC41" i="3"/>
  <c r="BC42" i="3"/>
  <c r="BC43" i="3"/>
  <c r="BC44" i="3"/>
  <c r="BC45" i="3"/>
  <c r="BC46" i="3"/>
  <c r="BC47" i="3"/>
  <c r="BC48" i="3"/>
  <c r="BC49" i="3"/>
  <c r="BC50" i="3"/>
  <c r="BC51" i="3"/>
  <c r="BC52" i="3"/>
  <c r="BC53" i="3"/>
  <c r="BC54" i="3"/>
  <c r="BC55" i="3"/>
  <c r="BC56" i="3"/>
  <c r="BC57" i="3"/>
  <c r="BC58" i="3"/>
  <c r="BC59" i="3"/>
  <c r="BC60" i="3"/>
  <c r="BC61" i="3"/>
  <c r="BC62" i="3"/>
  <c r="BC63" i="3"/>
  <c r="BC64" i="3"/>
  <c r="BC65" i="3"/>
  <c r="BC66" i="3"/>
  <c r="BC67" i="3"/>
  <c r="BC68" i="3"/>
  <c r="BC69" i="3"/>
  <c r="BC70" i="3"/>
  <c r="BC71" i="3"/>
  <c r="BC72" i="3"/>
  <c r="BC73" i="3"/>
  <c r="BC74" i="3"/>
  <c r="BC75" i="3"/>
  <c r="BC76" i="3"/>
  <c r="BC77" i="3"/>
  <c r="BC78" i="3"/>
  <c r="BC79" i="3"/>
  <c r="BC80" i="3"/>
  <c r="BC81" i="3"/>
  <c r="BC82" i="3"/>
  <c r="BC83" i="3"/>
  <c r="BC84" i="3"/>
  <c r="BC85" i="3"/>
  <c r="BC86" i="3"/>
  <c r="BC87" i="3"/>
  <c r="BC88" i="3"/>
  <c r="BC89" i="3"/>
  <c r="BC90" i="3"/>
  <c r="BC91" i="3"/>
  <c r="BC92" i="3"/>
  <c r="BC93" i="3"/>
  <c r="BC94" i="3"/>
  <c r="BC95" i="3"/>
  <c r="BC96" i="3"/>
  <c r="BC97" i="3"/>
  <c r="BC98" i="3"/>
  <c r="BC99" i="3"/>
  <c r="BC100" i="3"/>
  <c r="BC101" i="3"/>
  <c r="BC102" i="3"/>
  <c r="BC103" i="3"/>
  <c r="BC104" i="3"/>
  <c r="BC105" i="3"/>
  <c r="BC106" i="3"/>
  <c r="BC107" i="3"/>
  <c r="BC108" i="3"/>
  <c r="BC109" i="3"/>
  <c r="BC110" i="3"/>
  <c r="BC111" i="3"/>
  <c r="BC112" i="3"/>
  <c r="BC113" i="3"/>
  <c r="BC114" i="3"/>
  <c r="BC115" i="3"/>
  <c r="BC116" i="3"/>
  <c r="BC117" i="3"/>
  <c r="BC118" i="3"/>
  <c r="BC119" i="3"/>
  <c r="BC120" i="3"/>
  <c r="BC121" i="3"/>
  <c r="BC122" i="3"/>
  <c r="BC123" i="3"/>
  <c r="BC124" i="3"/>
  <c r="BC125" i="3"/>
  <c r="BC126" i="3"/>
  <c r="BC127" i="3"/>
  <c r="BC128" i="3"/>
  <c r="BC129" i="3"/>
  <c r="BC130" i="3"/>
  <c r="BC131" i="3"/>
  <c r="BC132" i="3"/>
  <c r="BC133" i="3"/>
  <c r="BC134" i="3"/>
  <c r="BC135" i="3"/>
  <c r="BC136" i="3"/>
  <c r="BC137" i="3"/>
  <c r="BC138" i="3"/>
  <c r="BC139" i="3"/>
  <c r="BC140" i="3"/>
  <c r="BC141" i="3"/>
  <c r="BC142" i="3"/>
  <c r="BC143" i="3"/>
  <c r="BC144" i="3"/>
  <c r="BC145" i="3"/>
  <c r="BC146" i="3"/>
  <c r="BC147" i="3"/>
  <c r="BC148" i="3"/>
  <c r="BC149" i="3"/>
  <c r="BC150" i="3"/>
  <c r="BC151" i="3"/>
  <c r="BC152" i="3"/>
  <c r="BC153" i="3"/>
  <c r="BC154" i="3"/>
  <c r="BC155" i="3"/>
  <c r="BC156" i="3"/>
  <c r="BC157" i="3"/>
  <c r="BC158" i="3"/>
  <c r="BC159" i="3"/>
  <c r="BC160" i="3"/>
  <c r="BC161" i="3"/>
  <c r="BC162" i="3"/>
  <c r="BC163" i="3"/>
  <c r="BC164" i="3"/>
  <c r="BC165" i="3"/>
  <c r="BC166" i="3"/>
  <c r="BC167" i="3"/>
  <c r="BC168" i="3"/>
  <c r="BC169" i="3"/>
  <c r="BC170" i="3"/>
  <c r="BC171" i="3"/>
  <c r="BC172" i="3"/>
  <c r="BC173" i="3"/>
  <c r="BC174" i="3"/>
  <c r="BC175" i="3"/>
  <c r="BC176" i="3"/>
  <c r="BC177" i="3"/>
  <c r="BC178" i="3"/>
  <c r="BC179" i="3"/>
  <c r="BC180" i="3"/>
  <c r="BC181" i="3"/>
  <c r="BC182" i="3"/>
  <c r="BC183" i="3"/>
  <c r="BC184" i="3"/>
  <c r="BC185" i="3"/>
  <c r="BC186" i="3"/>
  <c r="BC187" i="3"/>
  <c r="BC188" i="3"/>
  <c r="BC189" i="3"/>
  <c r="BC190" i="3"/>
  <c r="BC191" i="3"/>
  <c r="BC192" i="3"/>
  <c r="BC193" i="3"/>
  <c r="BC194" i="3"/>
  <c r="BC195" i="3"/>
  <c r="BC196" i="3"/>
  <c r="BC197" i="3"/>
  <c r="BC198" i="3"/>
  <c r="BC199" i="3"/>
  <c r="BC200" i="3"/>
  <c r="BC201" i="3"/>
  <c r="BC202" i="3"/>
  <c r="BC203" i="3"/>
  <c r="BC204" i="3"/>
  <c r="BC205" i="3"/>
  <c r="BC206" i="3"/>
  <c r="BC207" i="3"/>
  <c r="BC208" i="3"/>
  <c r="BC209" i="3"/>
  <c r="BC210" i="3"/>
  <c r="BC211" i="3"/>
  <c r="BC212" i="3"/>
  <c r="BC213" i="3"/>
  <c r="BC214" i="3"/>
  <c r="BC215" i="3"/>
  <c r="BC216" i="3"/>
  <c r="BC217" i="3"/>
  <c r="BC218" i="3"/>
  <c r="BC219" i="3"/>
  <c r="BC220" i="3"/>
  <c r="BC221" i="3"/>
  <c r="BC222" i="3"/>
  <c r="BC223" i="3"/>
  <c r="BC224" i="3"/>
  <c r="BC225" i="3"/>
  <c r="BC226" i="3"/>
  <c r="BC227" i="3"/>
  <c r="BC228" i="3"/>
  <c r="BC229" i="3"/>
  <c r="BC230" i="3"/>
  <c r="BC231" i="3"/>
  <c r="BC232" i="3"/>
  <c r="BC233" i="3"/>
  <c r="BC234" i="3"/>
  <c r="BC235" i="3"/>
  <c r="BC236" i="3"/>
  <c r="BC237" i="3"/>
  <c r="BC238" i="3"/>
  <c r="BC239" i="3"/>
  <c r="BC240" i="3"/>
  <c r="BC241" i="3"/>
  <c r="BC242" i="3"/>
  <c r="BC243" i="3"/>
  <c r="BC244" i="3"/>
  <c r="BC245" i="3"/>
  <c r="BC246" i="3"/>
  <c r="BC247" i="3"/>
  <c r="BC248" i="3"/>
  <c r="BC249" i="3"/>
  <c r="BC250" i="3"/>
  <c r="BC251" i="3"/>
  <c r="BC252" i="3"/>
  <c r="BC253" i="3"/>
  <c r="BC254" i="3"/>
  <c r="BC255" i="3"/>
  <c r="BC256" i="3"/>
  <c r="BC257" i="3"/>
  <c r="BC258" i="3"/>
  <c r="BC259" i="3"/>
  <c r="BC260" i="3"/>
  <c r="BC261" i="3"/>
  <c r="BC262" i="3"/>
  <c r="BC263" i="3"/>
  <c r="BC264" i="3"/>
  <c r="BC265" i="3"/>
  <c r="BC266" i="3"/>
  <c r="BC267" i="3"/>
  <c r="BC268" i="3"/>
  <c r="BC269" i="3"/>
  <c r="BC270" i="3"/>
  <c r="BC271" i="3"/>
  <c r="BC272" i="3"/>
  <c r="BC273" i="3"/>
  <c r="BC274" i="3"/>
  <c r="BC275" i="3"/>
  <c r="BC276" i="3"/>
  <c r="BC277" i="3"/>
  <c r="BC278" i="3"/>
  <c r="BC279" i="3"/>
  <c r="BC280" i="3"/>
  <c r="BC281" i="3"/>
  <c r="BC282" i="3"/>
  <c r="BC283" i="3"/>
  <c r="BC284" i="3"/>
  <c r="BC285" i="3"/>
  <c r="BC286" i="3"/>
  <c r="BC287" i="3"/>
  <c r="BC288" i="3"/>
  <c r="BC289" i="3"/>
  <c r="BC290" i="3"/>
  <c r="BC291" i="3"/>
  <c r="BC292" i="3"/>
  <c r="BC293" i="3"/>
  <c r="BC294" i="3"/>
  <c r="BC295" i="3"/>
  <c r="BC296" i="3"/>
  <c r="BC297" i="3"/>
  <c r="BC298" i="3"/>
  <c r="BC299" i="3"/>
  <c r="BC300" i="3"/>
  <c r="BC301" i="3"/>
  <c r="BC302" i="3"/>
  <c r="BC303" i="3"/>
  <c r="BC304" i="3"/>
  <c r="BC305" i="3"/>
  <c r="BC306" i="3"/>
  <c r="BC307" i="3"/>
  <c r="BC308" i="3"/>
  <c r="BC309" i="3"/>
  <c r="BC310" i="3"/>
  <c r="BC311" i="3"/>
  <c r="BC312" i="3"/>
  <c r="BC313" i="3"/>
  <c r="BC314" i="3"/>
  <c r="BC315" i="3"/>
  <c r="BC316" i="3"/>
  <c r="BC317" i="3"/>
  <c r="BC318" i="3"/>
  <c r="BC319" i="3"/>
  <c r="BC320" i="3"/>
  <c r="BC321" i="3"/>
  <c r="BC322" i="3"/>
  <c r="BC323" i="3"/>
  <c r="BC324" i="3"/>
  <c r="BC325" i="3"/>
  <c r="BC326" i="3"/>
  <c r="BC327" i="3"/>
  <c r="BC328" i="3"/>
  <c r="BC329" i="3"/>
  <c r="BC330" i="3"/>
  <c r="BC331" i="3"/>
  <c r="BC332" i="3"/>
  <c r="BC333" i="3"/>
  <c r="BC334" i="3"/>
  <c r="BC335" i="3"/>
  <c r="BC336" i="3"/>
  <c r="BC337" i="3"/>
  <c r="BC338" i="3"/>
  <c r="BC339" i="3"/>
  <c r="BC340" i="3"/>
  <c r="BC341" i="3"/>
  <c r="BC342" i="3"/>
  <c r="BC343" i="3"/>
  <c r="BC344" i="3"/>
  <c r="BC345" i="3"/>
  <c r="BC346" i="3"/>
  <c r="BC347" i="3"/>
  <c r="BC348" i="3"/>
  <c r="BC349" i="3"/>
  <c r="BC350" i="3"/>
  <c r="BC351" i="3"/>
  <c r="BC352" i="3"/>
  <c r="BC353" i="3"/>
  <c r="BC354" i="3"/>
  <c r="BC355" i="3"/>
  <c r="BC356" i="3"/>
  <c r="BC357" i="3"/>
  <c r="BC358" i="3"/>
  <c r="BC359" i="3"/>
  <c r="BC360" i="3"/>
  <c r="BC361" i="3"/>
  <c r="BC362" i="3"/>
  <c r="BC363" i="3"/>
  <c r="BC364" i="3"/>
  <c r="BC365" i="3"/>
  <c r="BC366" i="3"/>
  <c r="BC367" i="3"/>
  <c r="BC368" i="3"/>
  <c r="BC369" i="3"/>
  <c r="BC370" i="3"/>
  <c r="BC371" i="3"/>
  <c r="BC372" i="3"/>
  <c r="BC373" i="3"/>
  <c r="BC374" i="3"/>
  <c r="BC375" i="3"/>
  <c r="BC376" i="3"/>
  <c r="BC377" i="3"/>
  <c r="BC378" i="3"/>
  <c r="BC379" i="3"/>
  <c r="BC380" i="3"/>
  <c r="BC381" i="3"/>
  <c r="BC382" i="3"/>
  <c r="BC383" i="3"/>
  <c r="BC384" i="3"/>
  <c r="BC385" i="3"/>
  <c r="BC386" i="3"/>
  <c r="BC387" i="3"/>
  <c r="BC388" i="3"/>
  <c r="BC389" i="3"/>
  <c r="BC390" i="3"/>
  <c r="BC391" i="3"/>
  <c r="BC392" i="3"/>
  <c r="BC393" i="3"/>
  <c r="BC394" i="3"/>
  <c r="BC395" i="3"/>
  <c r="BC396" i="3"/>
  <c r="BC397" i="3"/>
  <c r="BC398" i="3"/>
  <c r="BC399" i="3"/>
  <c r="BC400" i="3"/>
  <c r="BC401" i="3"/>
  <c r="BC402" i="3"/>
  <c r="BC403" i="3"/>
  <c r="BC404" i="3"/>
  <c r="BC405" i="3"/>
  <c r="BC406" i="3"/>
  <c r="BC407" i="3"/>
  <c r="BC408" i="3"/>
  <c r="BC409" i="3"/>
  <c r="BC410" i="3"/>
  <c r="BC411" i="3"/>
  <c r="BC412" i="3"/>
  <c r="BC413" i="3"/>
  <c r="BC414" i="3"/>
  <c r="BC415" i="3"/>
  <c r="BC416" i="3"/>
  <c r="BC417" i="3"/>
  <c r="BC418" i="3"/>
  <c r="BC419" i="3"/>
  <c r="BC420" i="3"/>
  <c r="BC421" i="3"/>
  <c r="BC422" i="3"/>
  <c r="BC423" i="3"/>
  <c r="BC424" i="3"/>
  <c r="BC425" i="3"/>
  <c r="BC426" i="3"/>
  <c r="BC427" i="3"/>
  <c r="BC428" i="3"/>
  <c r="BC429" i="3"/>
  <c r="BC430" i="3"/>
  <c r="BC431" i="3"/>
  <c r="BC432" i="3"/>
  <c r="BC433" i="3"/>
  <c r="BC434" i="3"/>
  <c r="BC435" i="3"/>
  <c r="BC436" i="3"/>
  <c r="BC437" i="3"/>
  <c r="BC438" i="3"/>
  <c r="BC439" i="3"/>
  <c r="BC440" i="3"/>
  <c r="BC441" i="3"/>
  <c r="BC442" i="3"/>
  <c r="BC443" i="3"/>
  <c r="BC444" i="3"/>
  <c r="BC445" i="3"/>
  <c r="BC446" i="3"/>
  <c r="BC447" i="3"/>
  <c r="BC448" i="3"/>
  <c r="BC449" i="3"/>
  <c r="BC450" i="3"/>
  <c r="BC451" i="3"/>
  <c r="BC452" i="3"/>
  <c r="BC453" i="3"/>
  <c r="BC454" i="3"/>
  <c r="BC455" i="3"/>
  <c r="BC456" i="3"/>
  <c r="BC457" i="3"/>
  <c r="BC458" i="3"/>
  <c r="BC459" i="3"/>
  <c r="BC460" i="3"/>
  <c r="BC461" i="3"/>
  <c r="BC462" i="3"/>
  <c r="BC463" i="3"/>
  <c r="BC464" i="3"/>
  <c r="BC465" i="3"/>
  <c r="BC466" i="3"/>
  <c r="BC467" i="3"/>
  <c r="BC468" i="3"/>
  <c r="BC469" i="3"/>
  <c r="BC470" i="3"/>
  <c r="BC471" i="3"/>
  <c r="BC472" i="3"/>
  <c r="BC473" i="3"/>
  <c r="BC474" i="3"/>
  <c r="BC475" i="3"/>
  <c r="BC476" i="3"/>
  <c r="BC477" i="3"/>
  <c r="BC478" i="3"/>
  <c r="BC479" i="3"/>
  <c r="BC480" i="3"/>
  <c r="BC481" i="3"/>
  <c r="BC482" i="3"/>
  <c r="BC483" i="3"/>
  <c r="BC484" i="3"/>
  <c r="BC485" i="3"/>
  <c r="BC486" i="3"/>
  <c r="BC487" i="3"/>
  <c r="BC488" i="3"/>
  <c r="BC489" i="3"/>
  <c r="BC490" i="3"/>
  <c r="BC491" i="3"/>
  <c r="BC492" i="3"/>
  <c r="BC493" i="3"/>
  <c r="BC494" i="3"/>
  <c r="BC495" i="3"/>
  <c r="BC496" i="3"/>
  <c r="BC497" i="3"/>
  <c r="BC498" i="3"/>
  <c r="BC499" i="3"/>
  <c r="BC500" i="3"/>
  <c r="BC501" i="3"/>
  <c r="BC502" i="3"/>
  <c r="BC503" i="3"/>
  <c r="BC504" i="3"/>
  <c r="BC505" i="3"/>
  <c r="BC506" i="3"/>
  <c r="BC507" i="3"/>
  <c r="BC508" i="3"/>
  <c r="BC509" i="3"/>
  <c r="BC510" i="3"/>
  <c r="BC511" i="3"/>
  <c r="BC512" i="3"/>
  <c r="BC513" i="3"/>
  <c r="BC514" i="3"/>
  <c r="BC515" i="3"/>
  <c r="BC516" i="3"/>
  <c r="BC517" i="3"/>
  <c r="BC518" i="3"/>
  <c r="BC519" i="3"/>
  <c r="BC520" i="3"/>
  <c r="BC521" i="3"/>
  <c r="BC522" i="3"/>
  <c r="BC523" i="3"/>
  <c r="BC524" i="3"/>
  <c r="BC525" i="3"/>
  <c r="BC526" i="3"/>
  <c r="BC527" i="3"/>
  <c r="BC528" i="3"/>
  <c r="BC529" i="3"/>
  <c r="BC530" i="3"/>
  <c r="BC531" i="3"/>
  <c r="BC532" i="3"/>
  <c r="BC533" i="3"/>
  <c r="BC534" i="3"/>
  <c r="BC535" i="3"/>
  <c r="BC536" i="3"/>
  <c r="BC537" i="3"/>
  <c r="BC538" i="3"/>
  <c r="BC539" i="3"/>
  <c r="BC540" i="3"/>
  <c r="BC541" i="3"/>
  <c r="BC542" i="3"/>
  <c r="BC543" i="3"/>
  <c r="BC544" i="3"/>
  <c r="BC545" i="3"/>
  <c r="BC546" i="3"/>
  <c r="BC547" i="3"/>
  <c r="BC548" i="3"/>
  <c r="BC549" i="3"/>
  <c r="BC550" i="3"/>
  <c r="BC551" i="3"/>
  <c r="BC552" i="3"/>
  <c r="BC553" i="3"/>
  <c r="BC554" i="3"/>
  <c r="BC555" i="3"/>
  <c r="BC556" i="3"/>
  <c r="BC557" i="3"/>
  <c r="BC558" i="3"/>
  <c r="BC559" i="3"/>
  <c r="BC560" i="3"/>
  <c r="BC561" i="3"/>
  <c r="BC562" i="3"/>
  <c r="BC563" i="3"/>
  <c r="BC564" i="3"/>
  <c r="BC565" i="3"/>
  <c r="BC566" i="3"/>
  <c r="BC567" i="3"/>
  <c r="BC568" i="3"/>
  <c r="BC569" i="3"/>
  <c r="BC570" i="3"/>
  <c r="BC571" i="3"/>
  <c r="BC572" i="3"/>
  <c r="BC573" i="3"/>
  <c r="BC574" i="3"/>
  <c r="BC575" i="3"/>
  <c r="BC576" i="3"/>
  <c r="BC577" i="3"/>
  <c r="BC578" i="3"/>
  <c r="BC579" i="3"/>
  <c r="BC580" i="3"/>
  <c r="BC581" i="3"/>
  <c r="BC582" i="3"/>
  <c r="BC583" i="3"/>
  <c r="BC584" i="3"/>
  <c r="BC585" i="3"/>
  <c r="BC586" i="3"/>
  <c r="BC587" i="3"/>
  <c r="BC588" i="3"/>
  <c r="BC589" i="3"/>
  <c r="BC590" i="3"/>
  <c r="BC591" i="3"/>
  <c r="BC592" i="3"/>
  <c r="BC593" i="3"/>
  <c r="BC594" i="3"/>
  <c r="BC595" i="3"/>
  <c r="BC596" i="3"/>
  <c r="BC597" i="3"/>
  <c r="BC598" i="3"/>
  <c r="BC599" i="3"/>
  <c r="BC600" i="3"/>
  <c r="BC601" i="3"/>
  <c r="BC602" i="3"/>
  <c r="BC603" i="3"/>
  <c r="BC604" i="3"/>
  <c r="BC605" i="3"/>
  <c r="BC606" i="3"/>
  <c r="BC7" i="3"/>
  <c r="AH3" i="2"/>
  <c r="AG4" i="2"/>
  <c r="AG5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2" i="2"/>
  <c r="AG33" i="2"/>
  <c r="AG31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298" i="2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AG331" i="2"/>
  <c r="AG332" i="2"/>
  <c r="AG333" i="2"/>
  <c r="AG334" i="2"/>
  <c r="AG335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G351" i="2"/>
  <c r="AG352" i="2"/>
  <c r="AG353" i="2"/>
  <c r="AG354" i="2"/>
  <c r="AG355" i="2"/>
  <c r="AG356" i="2"/>
  <c r="AG357" i="2"/>
  <c r="AG358" i="2"/>
  <c r="AG359" i="2"/>
  <c r="AG360" i="2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373" i="2"/>
  <c r="AG374" i="2"/>
  <c r="AG375" i="2"/>
  <c r="AG376" i="2"/>
  <c r="AG377" i="2"/>
  <c r="AG378" i="2"/>
  <c r="AG379" i="2"/>
  <c r="AG380" i="2"/>
  <c r="AG381" i="2"/>
  <c r="AG382" i="2"/>
  <c r="AG383" i="2"/>
  <c r="AG384" i="2"/>
  <c r="AG385" i="2"/>
  <c r="AG386" i="2"/>
  <c r="AG387" i="2"/>
  <c r="AG388" i="2"/>
  <c r="AG389" i="2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6" i="2"/>
  <c r="AG407" i="2"/>
  <c r="AG408" i="2"/>
  <c r="AG409" i="2"/>
  <c r="AG410" i="2"/>
  <c r="AG411" i="2"/>
  <c r="AG412" i="2"/>
  <c r="AG413" i="2"/>
  <c r="AG414" i="2"/>
  <c r="AG415" i="2"/>
  <c r="AG416" i="2"/>
  <c r="AG417" i="2"/>
  <c r="AG418" i="2"/>
  <c r="AG419" i="2"/>
  <c r="AG420" i="2"/>
  <c r="AG421" i="2"/>
  <c r="AG422" i="2"/>
  <c r="AG423" i="2"/>
  <c r="AG424" i="2"/>
  <c r="AG425" i="2"/>
  <c r="AG426" i="2"/>
  <c r="AG427" i="2"/>
  <c r="AG428" i="2"/>
  <c r="AG429" i="2"/>
  <c r="AG430" i="2"/>
  <c r="AG431" i="2"/>
  <c r="AG432" i="2"/>
  <c r="AG433" i="2"/>
  <c r="AG434" i="2"/>
  <c r="AG435" i="2"/>
  <c r="AG436" i="2"/>
  <c r="AG437" i="2"/>
  <c r="AG438" i="2"/>
  <c r="AG439" i="2"/>
  <c r="AG440" i="2"/>
  <c r="AG441" i="2"/>
  <c r="AG442" i="2"/>
  <c r="AG443" i="2"/>
  <c r="AG444" i="2"/>
  <c r="AG445" i="2"/>
  <c r="AG446" i="2"/>
  <c r="AG447" i="2"/>
  <c r="AG448" i="2"/>
  <c r="AG449" i="2"/>
  <c r="AG450" i="2"/>
  <c r="AG451" i="2"/>
  <c r="AG452" i="2"/>
  <c r="AG453" i="2"/>
  <c r="AG454" i="2"/>
  <c r="AG455" i="2"/>
  <c r="AG456" i="2"/>
  <c r="AG457" i="2"/>
  <c r="AG458" i="2"/>
  <c r="AG459" i="2"/>
  <c r="AG460" i="2"/>
  <c r="AG461" i="2"/>
  <c r="AG462" i="2"/>
  <c r="AG463" i="2"/>
  <c r="AG464" i="2"/>
  <c r="AG465" i="2"/>
  <c r="AG466" i="2"/>
  <c r="AG467" i="2"/>
  <c r="AG468" i="2"/>
  <c r="AG469" i="2"/>
  <c r="AG470" i="2"/>
  <c r="AG471" i="2"/>
  <c r="AG472" i="2"/>
  <c r="AG473" i="2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G487" i="2"/>
  <c r="AG488" i="2"/>
  <c r="AG489" i="2"/>
  <c r="AG490" i="2"/>
  <c r="AG491" i="2"/>
  <c r="AG492" i="2"/>
  <c r="AG493" i="2"/>
  <c r="AG494" i="2"/>
  <c r="AG495" i="2"/>
  <c r="AG496" i="2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5" i="2"/>
  <c r="AG516" i="2"/>
  <c r="AG517" i="2"/>
  <c r="AG518" i="2"/>
  <c r="AG519" i="2"/>
  <c r="AG520" i="2"/>
  <c r="AG521" i="2"/>
  <c r="AG522" i="2"/>
  <c r="AG523" i="2"/>
  <c r="AG524" i="2"/>
  <c r="AG525" i="2"/>
  <c r="AG526" i="2"/>
  <c r="AG527" i="2"/>
  <c r="AG528" i="2"/>
  <c r="AG529" i="2"/>
  <c r="AG530" i="2"/>
  <c r="AG531" i="2"/>
  <c r="AG532" i="2"/>
  <c r="AG533" i="2"/>
  <c r="AG534" i="2"/>
  <c r="AG535" i="2"/>
  <c r="AG536" i="2"/>
  <c r="AG537" i="2"/>
  <c r="AG538" i="2"/>
  <c r="AG539" i="2"/>
  <c r="AG540" i="2"/>
  <c r="AG541" i="2"/>
  <c r="AG542" i="2"/>
  <c r="AG543" i="2"/>
  <c r="AG544" i="2"/>
  <c r="AG545" i="2"/>
  <c r="AG546" i="2"/>
  <c r="AG547" i="2"/>
  <c r="AG548" i="2"/>
  <c r="AG549" i="2"/>
  <c r="AG550" i="2"/>
  <c r="AG551" i="2"/>
  <c r="AG552" i="2"/>
  <c r="AG553" i="2"/>
  <c r="AG554" i="2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G570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3" i="2"/>
  <c r="AH4" i="2"/>
  <c r="AH5" i="2"/>
  <c r="AH6" i="2"/>
  <c r="AH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2" i="2"/>
  <c r="AH33" i="2"/>
  <c r="AH31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89" i="2"/>
  <c r="AH90" i="2"/>
  <c r="AH91" i="2"/>
  <c r="AH92" i="2"/>
  <c r="AH93" i="2"/>
  <c r="AH94" i="2"/>
  <c r="AH95" i="2"/>
  <c r="AH96" i="2"/>
  <c r="AH97" i="2"/>
  <c r="AH98" i="2"/>
  <c r="AH99" i="2"/>
  <c r="AH100" i="2"/>
  <c r="AH101" i="2"/>
  <c r="AH102" i="2"/>
  <c r="AH103" i="2"/>
  <c r="AH104" i="2"/>
  <c r="AH105" i="2"/>
  <c r="AH106" i="2"/>
  <c r="AH107" i="2"/>
  <c r="AH108" i="2"/>
  <c r="AH109" i="2"/>
  <c r="AH110" i="2"/>
  <c r="AH111" i="2"/>
  <c r="AH112" i="2"/>
  <c r="AH113" i="2"/>
  <c r="AH114" i="2"/>
  <c r="AH115" i="2"/>
  <c r="AH116" i="2"/>
  <c r="AH117" i="2"/>
  <c r="AH118" i="2"/>
  <c r="AH119" i="2"/>
  <c r="AH120" i="2"/>
  <c r="AH121" i="2"/>
  <c r="AH122" i="2"/>
  <c r="AH123" i="2"/>
  <c r="AH124" i="2"/>
  <c r="AH125" i="2"/>
  <c r="AH126" i="2"/>
  <c r="AH127" i="2"/>
  <c r="AH128" i="2"/>
  <c r="AH129" i="2"/>
  <c r="AH130" i="2"/>
  <c r="AH131" i="2"/>
  <c r="AH132" i="2"/>
  <c r="AH133" i="2"/>
  <c r="AH134" i="2"/>
  <c r="AH135" i="2"/>
  <c r="AH136" i="2"/>
  <c r="AH137" i="2"/>
  <c r="AH138" i="2"/>
  <c r="AH139" i="2"/>
  <c r="AH140" i="2"/>
  <c r="AH141" i="2"/>
  <c r="AH142" i="2"/>
  <c r="AH143" i="2"/>
  <c r="AH144" i="2"/>
  <c r="AH145" i="2"/>
  <c r="AH146" i="2"/>
  <c r="AH147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65" i="2"/>
  <c r="AH166" i="2"/>
  <c r="AH167" i="2"/>
  <c r="AH168" i="2"/>
  <c r="AH169" i="2"/>
  <c r="AH170" i="2"/>
  <c r="AH171" i="2"/>
  <c r="AH172" i="2"/>
  <c r="AH173" i="2"/>
  <c r="AH174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87" i="2"/>
  <c r="AH188" i="2"/>
  <c r="AH189" i="2"/>
  <c r="AH190" i="2"/>
  <c r="AH191" i="2"/>
  <c r="AH192" i="2"/>
  <c r="AH193" i="2"/>
  <c r="AH194" i="2"/>
  <c r="AH195" i="2"/>
  <c r="AH196" i="2"/>
  <c r="AH197" i="2"/>
  <c r="AH198" i="2"/>
  <c r="AH199" i="2"/>
  <c r="AH200" i="2"/>
  <c r="AH201" i="2"/>
  <c r="AH202" i="2"/>
  <c r="AH203" i="2"/>
  <c r="AH204" i="2"/>
  <c r="AH205" i="2"/>
  <c r="AH206" i="2"/>
  <c r="AH207" i="2"/>
  <c r="AH208" i="2"/>
  <c r="AH209" i="2"/>
  <c r="AH210" i="2"/>
  <c r="AH211" i="2"/>
  <c r="AH212" i="2"/>
  <c r="AH213" i="2"/>
  <c r="AH214" i="2"/>
  <c r="AH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H232" i="2"/>
  <c r="AH233" i="2"/>
  <c r="AH234" i="2"/>
  <c r="AH235" i="2"/>
  <c r="AH236" i="2"/>
  <c r="AH237" i="2"/>
  <c r="AH238" i="2"/>
  <c r="AH239" i="2"/>
  <c r="AH240" i="2"/>
  <c r="AH241" i="2"/>
  <c r="AH242" i="2"/>
  <c r="AH243" i="2"/>
  <c r="AH244" i="2"/>
  <c r="AH245" i="2"/>
  <c r="AH246" i="2"/>
  <c r="AH247" i="2"/>
  <c r="AH248" i="2"/>
  <c r="AH249" i="2"/>
  <c r="AH250" i="2"/>
  <c r="AH251" i="2"/>
  <c r="AH252" i="2"/>
  <c r="AH253" i="2"/>
  <c r="AH254" i="2"/>
  <c r="AH255" i="2"/>
  <c r="AH256" i="2"/>
  <c r="AH257" i="2"/>
  <c r="AH258" i="2"/>
  <c r="AH259" i="2"/>
  <c r="AH260" i="2"/>
  <c r="AH261" i="2"/>
  <c r="AH262" i="2"/>
  <c r="AH263" i="2"/>
  <c r="AH264" i="2"/>
  <c r="AH265" i="2"/>
  <c r="AH266" i="2"/>
  <c r="AH267" i="2"/>
  <c r="AH268" i="2"/>
  <c r="AH269" i="2"/>
  <c r="AH270" i="2"/>
  <c r="AH271" i="2"/>
  <c r="AH272" i="2"/>
  <c r="AH273" i="2"/>
  <c r="AH274" i="2"/>
  <c r="AH275" i="2"/>
  <c r="AH276" i="2"/>
  <c r="AH277" i="2"/>
  <c r="AH278" i="2"/>
  <c r="AH279" i="2"/>
  <c r="AH280" i="2"/>
  <c r="AH281" i="2"/>
  <c r="AH282" i="2"/>
  <c r="AH283" i="2"/>
  <c r="AH284" i="2"/>
  <c r="AH285" i="2"/>
  <c r="AH286" i="2"/>
  <c r="AH287" i="2"/>
  <c r="AH288" i="2"/>
  <c r="AH289" i="2"/>
  <c r="AH290" i="2"/>
  <c r="AH291" i="2"/>
  <c r="AH292" i="2"/>
  <c r="AH293" i="2"/>
  <c r="AH294" i="2"/>
  <c r="AH295" i="2"/>
  <c r="AH296" i="2"/>
  <c r="AH297" i="2"/>
  <c r="AH298" i="2"/>
  <c r="AH299" i="2"/>
  <c r="AH300" i="2"/>
  <c r="AH301" i="2"/>
  <c r="AH302" i="2"/>
  <c r="AH303" i="2"/>
  <c r="AH304" i="2"/>
  <c r="AH305" i="2"/>
  <c r="AH306" i="2"/>
  <c r="AH307" i="2"/>
  <c r="AH308" i="2"/>
  <c r="AH309" i="2"/>
  <c r="AH310" i="2"/>
  <c r="AH311" i="2"/>
  <c r="AH312" i="2"/>
  <c r="AH313" i="2"/>
  <c r="AH314" i="2"/>
  <c r="AH315" i="2"/>
  <c r="AH316" i="2"/>
  <c r="AH317" i="2"/>
  <c r="AH318" i="2"/>
  <c r="AH319" i="2"/>
  <c r="AH320" i="2"/>
  <c r="AH321" i="2"/>
  <c r="AH322" i="2"/>
  <c r="AH323" i="2"/>
  <c r="AH324" i="2"/>
  <c r="AH325" i="2"/>
  <c r="AH326" i="2"/>
  <c r="AH327" i="2"/>
  <c r="AH328" i="2"/>
  <c r="AH329" i="2"/>
  <c r="AH330" i="2"/>
  <c r="AH331" i="2"/>
  <c r="AH332" i="2"/>
  <c r="AH333" i="2"/>
  <c r="AH334" i="2"/>
  <c r="AH335" i="2"/>
  <c r="AH336" i="2"/>
  <c r="AH337" i="2"/>
  <c r="AH338" i="2"/>
  <c r="AH339" i="2"/>
  <c r="AH340" i="2"/>
  <c r="AH341" i="2"/>
  <c r="AH342" i="2"/>
  <c r="AH343" i="2"/>
  <c r="AH344" i="2"/>
  <c r="AH345" i="2"/>
  <c r="AH346" i="2"/>
  <c r="AH347" i="2"/>
  <c r="AH348" i="2"/>
  <c r="AH349" i="2"/>
  <c r="AH350" i="2"/>
  <c r="AH351" i="2"/>
  <c r="AH352" i="2"/>
  <c r="AH353" i="2"/>
  <c r="AH354" i="2"/>
  <c r="AH355" i="2"/>
  <c r="AH356" i="2"/>
  <c r="AH357" i="2"/>
  <c r="AH358" i="2"/>
  <c r="AH359" i="2"/>
  <c r="AH360" i="2"/>
  <c r="AH361" i="2"/>
  <c r="AH362" i="2"/>
  <c r="AH363" i="2"/>
  <c r="AH364" i="2"/>
  <c r="AH365" i="2"/>
  <c r="AH366" i="2"/>
  <c r="AH367" i="2"/>
  <c r="AH368" i="2"/>
  <c r="AH369" i="2"/>
  <c r="AH370" i="2"/>
  <c r="AH371" i="2"/>
  <c r="AH372" i="2"/>
  <c r="AH373" i="2"/>
  <c r="AH374" i="2"/>
  <c r="AH375" i="2"/>
  <c r="AH376" i="2"/>
  <c r="AH377" i="2"/>
  <c r="AH378" i="2"/>
  <c r="AH379" i="2"/>
  <c r="AH380" i="2"/>
  <c r="AH381" i="2"/>
  <c r="AH382" i="2"/>
  <c r="AH383" i="2"/>
  <c r="AH384" i="2"/>
  <c r="AH385" i="2"/>
  <c r="AH386" i="2"/>
  <c r="AH387" i="2"/>
  <c r="AH388" i="2"/>
  <c r="AH389" i="2"/>
  <c r="AH390" i="2"/>
  <c r="AH391" i="2"/>
  <c r="AH392" i="2"/>
  <c r="AH393" i="2"/>
  <c r="AH394" i="2"/>
  <c r="AH395" i="2"/>
  <c r="AH396" i="2"/>
  <c r="AH397" i="2"/>
  <c r="AH398" i="2"/>
  <c r="AH399" i="2"/>
  <c r="AH400" i="2"/>
  <c r="AH401" i="2"/>
  <c r="AH402" i="2"/>
  <c r="AH403" i="2"/>
  <c r="AH404" i="2"/>
  <c r="AH405" i="2"/>
  <c r="AH406" i="2"/>
  <c r="AH407" i="2"/>
  <c r="AH408" i="2"/>
  <c r="AH409" i="2"/>
  <c r="AH410" i="2"/>
  <c r="AH411" i="2"/>
  <c r="AH412" i="2"/>
  <c r="AH413" i="2"/>
  <c r="AH414" i="2"/>
  <c r="AH415" i="2"/>
  <c r="AH416" i="2"/>
  <c r="AH417" i="2"/>
  <c r="AH418" i="2"/>
  <c r="AH419" i="2"/>
  <c r="AH420" i="2"/>
  <c r="AH421" i="2"/>
  <c r="AH422" i="2"/>
  <c r="AH423" i="2"/>
  <c r="AH424" i="2"/>
  <c r="AH425" i="2"/>
  <c r="AH426" i="2"/>
  <c r="AH427" i="2"/>
  <c r="AH428" i="2"/>
  <c r="AH429" i="2"/>
  <c r="AH430" i="2"/>
  <c r="AH431" i="2"/>
  <c r="AH432" i="2"/>
  <c r="AH433" i="2"/>
  <c r="AH434" i="2"/>
  <c r="AH435" i="2"/>
  <c r="AH436" i="2"/>
  <c r="AH437" i="2"/>
  <c r="AH438" i="2"/>
  <c r="AH439" i="2"/>
  <c r="AH440" i="2"/>
  <c r="AH441" i="2"/>
  <c r="AH442" i="2"/>
  <c r="AH443" i="2"/>
  <c r="AH444" i="2"/>
  <c r="AH445" i="2"/>
  <c r="AH446" i="2"/>
  <c r="AH447" i="2"/>
  <c r="AH448" i="2"/>
  <c r="AH449" i="2"/>
  <c r="AH450" i="2"/>
  <c r="AH451" i="2"/>
  <c r="AH452" i="2"/>
  <c r="AH453" i="2"/>
  <c r="AH454" i="2"/>
  <c r="AH455" i="2"/>
  <c r="AH456" i="2"/>
  <c r="AH457" i="2"/>
  <c r="AH458" i="2"/>
  <c r="AH459" i="2"/>
  <c r="AH460" i="2"/>
  <c r="AH461" i="2"/>
  <c r="AH462" i="2"/>
  <c r="AH463" i="2"/>
  <c r="AH464" i="2"/>
  <c r="AH465" i="2"/>
  <c r="AH466" i="2"/>
  <c r="AH467" i="2"/>
  <c r="AH468" i="2"/>
  <c r="AH469" i="2"/>
  <c r="AH470" i="2"/>
  <c r="AH471" i="2"/>
  <c r="AH472" i="2"/>
  <c r="AH473" i="2"/>
  <c r="AH474" i="2"/>
  <c r="AH475" i="2"/>
  <c r="AH476" i="2"/>
  <c r="AH477" i="2"/>
  <c r="AH478" i="2"/>
  <c r="AH479" i="2"/>
  <c r="AH480" i="2"/>
  <c r="AH481" i="2"/>
  <c r="AH482" i="2"/>
  <c r="AH483" i="2"/>
  <c r="AH484" i="2"/>
  <c r="AH485" i="2"/>
  <c r="AH486" i="2"/>
  <c r="AH487" i="2"/>
  <c r="AH488" i="2"/>
  <c r="AH489" i="2"/>
  <c r="AH490" i="2"/>
  <c r="AH491" i="2"/>
  <c r="AH492" i="2"/>
  <c r="AH493" i="2"/>
  <c r="AH494" i="2"/>
  <c r="AH495" i="2"/>
  <c r="AH496" i="2"/>
  <c r="AH497" i="2"/>
  <c r="AH498" i="2"/>
  <c r="AH499" i="2"/>
  <c r="AH500" i="2"/>
  <c r="AH501" i="2"/>
  <c r="AH502" i="2"/>
  <c r="AH503" i="2"/>
  <c r="AH504" i="2"/>
  <c r="AH505" i="2"/>
  <c r="AH506" i="2"/>
  <c r="AH507" i="2"/>
  <c r="AH508" i="2"/>
  <c r="AH509" i="2"/>
  <c r="AH510" i="2"/>
  <c r="AH511" i="2"/>
  <c r="AH512" i="2"/>
  <c r="AH513" i="2"/>
  <c r="AH514" i="2"/>
  <c r="AH515" i="2"/>
  <c r="AH516" i="2"/>
  <c r="AH517" i="2"/>
  <c r="AH518" i="2"/>
  <c r="AH519" i="2"/>
  <c r="AH520" i="2"/>
  <c r="AH521" i="2"/>
  <c r="AH522" i="2"/>
  <c r="AH523" i="2"/>
  <c r="AH524" i="2"/>
  <c r="AH525" i="2"/>
  <c r="AH526" i="2"/>
  <c r="AH527" i="2"/>
  <c r="AH528" i="2"/>
  <c r="AH529" i="2"/>
  <c r="AH530" i="2"/>
  <c r="AH531" i="2"/>
  <c r="AH532" i="2"/>
  <c r="AH533" i="2"/>
  <c r="AH534" i="2"/>
  <c r="AH535" i="2"/>
  <c r="AH536" i="2"/>
  <c r="AH537" i="2"/>
  <c r="AH538" i="2"/>
  <c r="AH539" i="2"/>
  <c r="AH540" i="2"/>
  <c r="AH541" i="2"/>
  <c r="AH542" i="2"/>
  <c r="AH543" i="2"/>
  <c r="AH544" i="2"/>
  <c r="AH545" i="2"/>
  <c r="AH546" i="2"/>
  <c r="AH547" i="2"/>
  <c r="AH548" i="2"/>
  <c r="AH549" i="2"/>
  <c r="AH550" i="2"/>
  <c r="AH551" i="2"/>
  <c r="AH552" i="2"/>
  <c r="AH553" i="2"/>
  <c r="AH554" i="2"/>
  <c r="AH555" i="2"/>
  <c r="AH556" i="2"/>
  <c r="AH557" i="2"/>
  <c r="AH558" i="2"/>
  <c r="AH559" i="2"/>
  <c r="AH560" i="2"/>
  <c r="AH561" i="2"/>
  <c r="AH562" i="2"/>
  <c r="AH563" i="2"/>
  <c r="AH564" i="2"/>
  <c r="AH565" i="2"/>
  <c r="AH566" i="2"/>
  <c r="AH567" i="2"/>
  <c r="AH568" i="2"/>
  <c r="AH569" i="2"/>
  <c r="AH570" i="2"/>
  <c r="AH571" i="2"/>
  <c r="AH572" i="2"/>
  <c r="AH573" i="2"/>
  <c r="AH574" i="2"/>
  <c r="AH575" i="2"/>
  <c r="AH576" i="2"/>
  <c r="AH577" i="2"/>
  <c r="AH578" i="2"/>
  <c r="AH579" i="2"/>
  <c r="AH580" i="2"/>
  <c r="AH581" i="2"/>
  <c r="AH582" i="2"/>
  <c r="AH583" i="2"/>
  <c r="AH584" i="2"/>
  <c r="AH585" i="2"/>
  <c r="AH586" i="2"/>
  <c r="AH587" i="2"/>
  <c r="AH588" i="2"/>
  <c r="AH589" i="2"/>
  <c r="AH590" i="2"/>
  <c r="AH591" i="2"/>
  <c r="AH592" i="2"/>
  <c r="AH593" i="2"/>
  <c r="AH594" i="2"/>
  <c r="AH595" i="2"/>
  <c r="AH596" i="2"/>
  <c r="AH597" i="2"/>
  <c r="AJ3" i="2"/>
  <c r="CA8" i="3"/>
  <c r="CA9" i="3"/>
  <c r="CA10" i="3"/>
  <c r="CA11" i="3"/>
  <c r="CA12" i="3"/>
  <c r="CA13" i="3"/>
  <c r="CA14" i="3"/>
  <c r="CA15" i="3"/>
  <c r="CA16" i="3"/>
  <c r="CA17" i="3"/>
  <c r="CA18" i="3"/>
  <c r="CA19" i="3"/>
  <c r="CA20" i="3"/>
  <c r="CA21" i="3"/>
  <c r="CA22" i="3"/>
  <c r="CA23" i="3"/>
  <c r="CA24" i="3"/>
  <c r="CA25" i="3"/>
  <c r="CA26" i="3"/>
  <c r="CA27" i="3"/>
  <c r="CA28" i="3"/>
  <c r="CA29" i="3"/>
  <c r="CA30" i="3"/>
  <c r="CA31" i="3"/>
  <c r="CA32" i="3"/>
  <c r="CA33" i="3"/>
  <c r="CA34" i="3"/>
  <c r="CA35" i="3"/>
  <c r="CA36" i="3"/>
  <c r="CA37" i="3"/>
  <c r="CA38" i="3"/>
  <c r="CA39" i="3"/>
  <c r="CA40" i="3"/>
  <c r="CA41" i="3"/>
  <c r="CA42" i="3"/>
  <c r="CA43" i="3"/>
  <c r="CA44" i="3"/>
  <c r="CA45" i="3"/>
  <c r="CA46" i="3"/>
  <c r="CA47" i="3"/>
  <c r="CA48" i="3"/>
  <c r="CA49" i="3"/>
  <c r="CA50" i="3"/>
  <c r="CA51" i="3"/>
  <c r="CA52" i="3"/>
  <c r="CA53" i="3"/>
  <c r="CA54" i="3"/>
  <c r="CA55" i="3"/>
  <c r="CA56" i="3"/>
  <c r="CA57" i="3"/>
  <c r="CA58" i="3"/>
  <c r="CA59" i="3"/>
  <c r="CA60" i="3"/>
  <c r="CA61" i="3"/>
  <c r="CA62" i="3"/>
  <c r="CA63" i="3"/>
  <c r="CA64" i="3"/>
  <c r="CA65" i="3"/>
  <c r="CA66" i="3"/>
  <c r="CA67" i="3"/>
  <c r="CA68" i="3"/>
  <c r="CA69" i="3"/>
  <c r="CA70" i="3"/>
  <c r="CA71" i="3"/>
  <c r="CA72" i="3"/>
  <c r="CA73" i="3"/>
  <c r="CA74" i="3"/>
  <c r="CA75" i="3"/>
  <c r="CA76" i="3"/>
  <c r="CA77" i="3"/>
  <c r="CA78" i="3"/>
  <c r="CA79" i="3"/>
  <c r="CA80" i="3"/>
  <c r="CA81" i="3"/>
  <c r="CA82" i="3"/>
  <c r="CA83" i="3"/>
  <c r="CA84" i="3"/>
  <c r="CA85" i="3"/>
  <c r="CA86" i="3"/>
  <c r="CA87" i="3"/>
  <c r="CA88" i="3"/>
  <c r="CA89" i="3"/>
  <c r="CA90" i="3"/>
  <c r="CA91" i="3"/>
  <c r="CA92" i="3"/>
  <c r="CA93" i="3"/>
  <c r="CA94" i="3"/>
  <c r="CA95" i="3"/>
  <c r="CA96" i="3"/>
  <c r="CA97" i="3"/>
  <c r="CA98" i="3"/>
  <c r="CA99" i="3"/>
  <c r="CA100" i="3"/>
  <c r="CA101" i="3"/>
  <c r="CA102" i="3"/>
  <c r="CA103" i="3"/>
  <c r="CA104" i="3"/>
  <c r="CA105" i="3"/>
  <c r="CA106" i="3"/>
  <c r="CA107" i="3"/>
  <c r="CA108" i="3"/>
  <c r="CA109" i="3"/>
  <c r="CA110" i="3"/>
  <c r="CA111" i="3"/>
  <c r="CA112" i="3"/>
  <c r="CA113" i="3"/>
  <c r="CA114" i="3"/>
  <c r="CA115" i="3"/>
  <c r="CA116" i="3"/>
  <c r="CA117" i="3"/>
  <c r="CA118" i="3"/>
  <c r="CA119" i="3"/>
  <c r="CA120" i="3"/>
  <c r="CA121" i="3"/>
  <c r="CA122" i="3"/>
  <c r="CA123" i="3"/>
  <c r="CA124" i="3"/>
  <c r="CA125" i="3"/>
  <c r="CA126" i="3"/>
  <c r="CA127" i="3"/>
  <c r="CA128" i="3"/>
  <c r="CA129" i="3"/>
  <c r="CA130" i="3"/>
  <c r="CA131" i="3"/>
  <c r="CA132" i="3"/>
  <c r="CA133" i="3"/>
  <c r="CA134" i="3"/>
  <c r="CA135" i="3"/>
  <c r="CA136" i="3"/>
  <c r="CA137" i="3"/>
  <c r="CA138" i="3"/>
  <c r="CA139" i="3"/>
  <c r="CA140" i="3"/>
  <c r="CA141" i="3"/>
  <c r="CA142" i="3"/>
  <c r="CA143" i="3"/>
  <c r="CA144" i="3"/>
  <c r="CA145" i="3"/>
  <c r="CA146" i="3"/>
  <c r="CA147" i="3"/>
  <c r="CA148" i="3"/>
  <c r="CA149" i="3"/>
  <c r="CA150" i="3"/>
  <c r="CA151" i="3"/>
  <c r="CA152" i="3"/>
  <c r="CA153" i="3"/>
  <c r="CA154" i="3"/>
  <c r="CA155" i="3"/>
  <c r="CA156" i="3"/>
  <c r="CA157" i="3"/>
  <c r="CA158" i="3"/>
  <c r="CA159" i="3"/>
  <c r="CA160" i="3"/>
  <c r="CA161" i="3"/>
  <c r="CA162" i="3"/>
  <c r="CA163" i="3"/>
  <c r="CA164" i="3"/>
  <c r="CA165" i="3"/>
  <c r="CA166" i="3"/>
  <c r="CA167" i="3"/>
  <c r="CA168" i="3"/>
  <c r="CA169" i="3"/>
  <c r="CA170" i="3"/>
  <c r="CA171" i="3"/>
  <c r="CA172" i="3"/>
  <c r="CA173" i="3"/>
  <c r="CA174" i="3"/>
  <c r="CA175" i="3"/>
  <c r="CA176" i="3"/>
  <c r="CA177" i="3"/>
  <c r="CA178" i="3"/>
  <c r="CA179" i="3"/>
  <c r="CA180" i="3"/>
  <c r="CA181" i="3"/>
  <c r="CA182" i="3"/>
  <c r="CA183" i="3"/>
  <c r="CA184" i="3"/>
  <c r="CA185" i="3"/>
  <c r="CA186" i="3"/>
  <c r="CA187" i="3"/>
  <c r="CA188" i="3"/>
  <c r="CA189" i="3"/>
  <c r="CA190" i="3"/>
  <c r="CA191" i="3"/>
  <c r="CA192" i="3"/>
  <c r="CA193" i="3"/>
  <c r="CA194" i="3"/>
  <c r="CA195" i="3"/>
  <c r="CA196" i="3"/>
  <c r="CA197" i="3"/>
  <c r="CA198" i="3"/>
  <c r="CA199" i="3"/>
  <c r="CA200" i="3"/>
  <c r="CA201" i="3"/>
  <c r="CA202" i="3"/>
  <c r="CA203" i="3"/>
  <c r="CA204" i="3"/>
  <c r="CA205" i="3"/>
  <c r="CA206" i="3"/>
  <c r="CA207" i="3"/>
  <c r="CA208" i="3"/>
  <c r="CA209" i="3"/>
  <c r="CA210" i="3"/>
  <c r="CA211" i="3"/>
  <c r="CA212" i="3"/>
  <c r="CA213" i="3"/>
  <c r="CA214" i="3"/>
  <c r="CA215" i="3"/>
  <c r="CA216" i="3"/>
  <c r="CA217" i="3"/>
  <c r="CA218" i="3"/>
  <c r="CA219" i="3"/>
  <c r="CA220" i="3"/>
  <c r="CA221" i="3"/>
  <c r="CA222" i="3"/>
  <c r="CA223" i="3"/>
  <c r="CA224" i="3"/>
  <c r="CA225" i="3"/>
  <c r="CA226" i="3"/>
  <c r="CA227" i="3"/>
  <c r="CA228" i="3"/>
  <c r="CA229" i="3"/>
  <c r="CA230" i="3"/>
  <c r="CA231" i="3"/>
  <c r="CA232" i="3"/>
  <c r="CA233" i="3"/>
  <c r="CA234" i="3"/>
  <c r="CA235" i="3"/>
  <c r="CA236" i="3"/>
  <c r="CA237" i="3"/>
  <c r="CA238" i="3"/>
  <c r="CA239" i="3"/>
  <c r="CA240" i="3"/>
  <c r="CA241" i="3"/>
  <c r="CA242" i="3"/>
  <c r="CA243" i="3"/>
  <c r="CA244" i="3"/>
  <c r="CA245" i="3"/>
  <c r="CA246" i="3"/>
  <c r="CA247" i="3"/>
  <c r="CA248" i="3"/>
  <c r="CA249" i="3"/>
  <c r="CA250" i="3"/>
  <c r="CA251" i="3"/>
  <c r="CA252" i="3"/>
  <c r="CA253" i="3"/>
  <c r="CA254" i="3"/>
  <c r="CA255" i="3"/>
  <c r="CA256" i="3"/>
  <c r="CA257" i="3"/>
  <c r="CA258" i="3"/>
  <c r="CA259" i="3"/>
  <c r="CA260" i="3"/>
  <c r="CA261" i="3"/>
  <c r="CA262" i="3"/>
  <c r="CA263" i="3"/>
  <c r="CA264" i="3"/>
  <c r="CA265" i="3"/>
  <c r="CA266" i="3"/>
  <c r="CA267" i="3"/>
  <c r="CA268" i="3"/>
  <c r="CA269" i="3"/>
  <c r="CA270" i="3"/>
  <c r="CA271" i="3"/>
  <c r="CA272" i="3"/>
  <c r="CA273" i="3"/>
  <c r="CA274" i="3"/>
  <c r="CA275" i="3"/>
  <c r="CA276" i="3"/>
  <c r="CA277" i="3"/>
  <c r="CA278" i="3"/>
  <c r="CA279" i="3"/>
  <c r="CA280" i="3"/>
  <c r="CA281" i="3"/>
  <c r="CA282" i="3"/>
  <c r="CA283" i="3"/>
  <c r="CA284" i="3"/>
  <c r="CA285" i="3"/>
  <c r="CA286" i="3"/>
  <c r="CA287" i="3"/>
  <c r="CA288" i="3"/>
  <c r="CA289" i="3"/>
  <c r="CA290" i="3"/>
  <c r="CA291" i="3"/>
  <c r="CA292" i="3"/>
  <c r="CA293" i="3"/>
  <c r="CA294" i="3"/>
  <c r="CA295" i="3"/>
  <c r="CA296" i="3"/>
  <c r="CA297" i="3"/>
  <c r="CA298" i="3"/>
  <c r="CA299" i="3"/>
  <c r="CA300" i="3"/>
  <c r="CA301" i="3"/>
  <c r="CA302" i="3"/>
  <c r="CA303" i="3"/>
  <c r="CA304" i="3"/>
  <c r="CA305" i="3"/>
  <c r="CA306" i="3"/>
  <c r="CA307" i="3"/>
  <c r="CA308" i="3"/>
  <c r="CA309" i="3"/>
  <c r="CA310" i="3"/>
  <c r="CA311" i="3"/>
  <c r="CA312" i="3"/>
  <c r="CA313" i="3"/>
  <c r="CA314" i="3"/>
  <c r="CA315" i="3"/>
  <c r="CA316" i="3"/>
  <c r="CA317" i="3"/>
  <c r="CA318" i="3"/>
  <c r="CA319" i="3"/>
  <c r="CA320" i="3"/>
  <c r="CA321" i="3"/>
  <c r="CA322" i="3"/>
  <c r="CA323" i="3"/>
  <c r="CA324" i="3"/>
  <c r="CA325" i="3"/>
  <c r="CA326" i="3"/>
  <c r="CA327" i="3"/>
  <c r="CA328" i="3"/>
  <c r="CA329" i="3"/>
  <c r="CA330" i="3"/>
  <c r="CA331" i="3"/>
  <c r="CA332" i="3"/>
  <c r="CA333" i="3"/>
  <c r="CA334" i="3"/>
  <c r="CA335" i="3"/>
  <c r="CA336" i="3"/>
  <c r="CA337" i="3"/>
  <c r="CA338" i="3"/>
  <c r="CA339" i="3"/>
  <c r="CA340" i="3"/>
  <c r="CA341" i="3"/>
  <c r="CA342" i="3"/>
  <c r="CA343" i="3"/>
  <c r="CA344" i="3"/>
  <c r="CA345" i="3"/>
  <c r="CA346" i="3"/>
  <c r="CA347" i="3"/>
  <c r="CA348" i="3"/>
  <c r="CA349" i="3"/>
  <c r="CA350" i="3"/>
  <c r="CA351" i="3"/>
  <c r="CA352" i="3"/>
  <c r="CA353" i="3"/>
  <c r="CA354" i="3"/>
  <c r="CA355" i="3"/>
  <c r="CA356" i="3"/>
  <c r="CA357" i="3"/>
  <c r="CA358" i="3"/>
  <c r="CA359" i="3"/>
  <c r="CA360" i="3"/>
  <c r="CA361" i="3"/>
  <c r="CA362" i="3"/>
  <c r="CA363" i="3"/>
  <c r="CA364" i="3"/>
  <c r="CA365" i="3"/>
  <c r="CA366" i="3"/>
  <c r="CA367" i="3"/>
  <c r="CA368" i="3"/>
  <c r="CA369" i="3"/>
  <c r="CA370" i="3"/>
  <c r="CA371" i="3"/>
  <c r="CA372" i="3"/>
  <c r="CA373" i="3"/>
  <c r="CA374" i="3"/>
  <c r="CA375" i="3"/>
  <c r="CA376" i="3"/>
  <c r="CA377" i="3"/>
  <c r="CA378" i="3"/>
  <c r="CA379" i="3"/>
  <c r="CA380" i="3"/>
  <c r="CA381" i="3"/>
  <c r="CA382" i="3"/>
  <c r="CA383" i="3"/>
  <c r="CA384" i="3"/>
  <c r="CA385" i="3"/>
  <c r="CA386" i="3"/>
  <c r="CA387" i="3"/>
  <c r="CA388" i="3"/>
  <c r="CA389" i="3"/>
  <c r="CA390" i="3"/>
  <c r="CA391" i="3"/>
  <c r="CA392" i="3"/>
  <c r="CA393" i="3"/>
  <c r="CA394" i="3"/>
  <c r="CA395" i="3"/>
  <c r="CA396" i="3"/>
  <c r="CA397" i="3"/>
  <c r="CA398" i="3"/>
  <c r="CA399" i="3"/>
  <c r="CA400" i="3"/>
  <c r="CA401" i="3"/>
  <c r="CA402" i="3"/>
  <c r="CA403" i="3"/>
  <c r="CA404" i="3"/>
  <c r="CA405" i="3"/>
  <c r="CA406" i="3"/>
  <c r="CA407" i="3"/>
  <c r="CA408" i="3"/>
  <c r="CA409" i="3"/>
  <c r="CA410" i="3"/>
  <c r="CA411" i="3"/>
  <c r="CA412" i="3"/>
  <c r="CA413" i="3"/>
  <c r="CA414" i="3"/>
  <c r="CA415" i="3"/>
  <c r="CA416" i="3"/>
  <c r="CA417" i="3"/>
  <c r="CA418" i="3"/>
  <c r="CA419" i="3"/>
  <c r="CA420" i="3"/>
  <c r="CA421" i="3"/>
  <c r="CA422" i="3"/>
  <c r="CA423" i="3"/>
  <c r="CA424" i="3"/>
  <c r="CA425" i="3"/>
  <c r="CA426" i="3"/>
  <c r="CA427" i="3"/>
  <c r="CA428" i="3"/>
  <c r="CA429" i="3"/>
  <c r="CA430" i="3"/>
  <c r="CA431" i="3"/>
  <c r="CA432" i="3"/>
  <c r="CA433" i="3"/>
  <c r="CA434" i="3"/>
  <c r="CA435" i="3"/>
  <c r="CA436" i="3"/>
  <c r="CA437" i="3"/>
  <c r="CA438" i="3"/>
  <c r="CA439" i="3"/>
  <c r="CA440" i="3"/>
  <c r="CA441" i="3"/>
  <c r="CA442" i="3"/>
  <c r="CA443" i="3"/>
  <c r="CA444" i="3"/>
  <c r="CA445" i="3"/>
  <c r="CA446" i="3"/>
  <c r="CA447" i="3"/>
  <c r="CA448" i="3"/>
  <c r="CA449" i="3"/>
  <c r="CA450" i="3"/>
  <c r="CA451" i="3"/>
  <c r="CA452" i="3"/>
  <c r="CA453" i="3"/>
  <c r="CA454" i="3"/>
  <c r="CA455" i="3"/>
  <c r="CA456" i="3"/>
  <c r="CA457" i="3"/>
  <c r="CA458" i="3"/>
  <c r="CA459" i="3"/>
  <c r="CA460" i="3"/>
  <c r="CA461" i="3"/>
  <c r="CA462" i="3"/>
  <c r="CA463" i="3"/>
  <c r="CA464" i="3"/>
  <c r="CA465" i="3"/>
  <c r="CA466" i="3"/>
  <c r="CA467" i="3"/>
  <c r="CA468" i="3"/>
  <c r="CA469" i="3"/>
  <c r="CA470" i="3"/>
  <c r="CA471" i="3"/>
  <c r="CA472" i="3"/>
  <c r="CA473" i="3"/>
  <c r="CA474" i="3"/>
  <c r="CA475" i="3"/>
  <c r="CA476" i="3"/>
  <c r="CA477" i="3"/>
  <c r="CA478" i="3"/>
  <c r="CA479" i="3"/>
  <c r="CA480" i="3"/>
  <c r="CA481" i="3"/>
  <c r="CA482" i="3"/>
  <c r="CA483" i="3"/>
  <c r="CA484" i="3"/>
  <c r="CA485" i="3"/>
  <c r="CA486" i="3"/>
  <c r="CA487" i="3"/>
  <c r="CA488" i="3"/>
  <c r="CA489" i="3"/>
  <c r="CA490" i="3"/>
  <c r="CA491" i="3"/>
  <c r="CA492" i="3"/>
  <c r="CA493" i="3"/>
  <c r="CA494" i="3"/>
  <c r="CA495" i="3"/>
  <c r="CA496" i="3"/>
  <c r="CA497" i="3"/>
  <c r="CA498" i="3"/>
  <c r="CA499" i="3"/>
  <c r="CA500" i="3"/>
  <c r="CA501" i="3"/>
  <c r="CA502" i="3"/>
  <c r="CA503" i="3"/>
  <c r="CA504" i="3"/>
  <c r="CA505" i="3"/>
  <c r="CA506" i="3"/>
  <c r="CA507" i="3"/>
  <c r="CA508" i="3"/>
  <c r="CA509" i="3"/>
  <c r="CA510" i="3"/>
  <c r="CA511" i="3"/>
  <c r="CA512" i="3"/>
  <c r="CA513" i="3"/>
  <c r="CA514" i="3"/>
  <c r="CA515" i="3"/>
  <c r="CA516" i="3"/>
  <c r="CA517" i="3"/>
  <c r="CA518" i="3"/>
  <c r="CA519" i="3"/>
  <c r="CA520" i="3"/>
  <c r="CA521" i="3"/>
  <c r="CA522" i="3"/>
  <c r="CA523" i="3"/>
  <c r="CA524" i="3"/>
  <c r="CA525" i="3"/>
  <c r="CA526" i="3"/>
  <c r="CA527" i="3"/>
  <c r="CA528" i="3"/>
  <c r="CA529" i="3"/>
  <c r="CA530" i="3"/>
  <c r="CA531" i="3"/>
  <c r="CA532" i="3"/>
  <c r="CA533" i="3"/>
  <c r="CA534" i="3"/>
  <c r="CA535" i="3"/>
  <c r="CA536" i="3"/>
  <c r="CA537" i="3"/>
  <c r="CA538" i="3"/>
  <c r="CA539" i="3"/>
  <c r="CA540" i="3"/>
  <c r="CA541" i="3"/>
  <c r="CA542" i="3"/>
  <c r="CA543" i="3"/>
  <c r="CA544" i="3"/>
  <c r="CA545" i="3"/>
  <c r="CA546" i="3"/>
  <c r="CA547" i="3"/>
  <c r="CA548" i="3"/>
  <c r="CA549" i="3"/>
  <c r="CA550" i="3"/>
  <c r="CA551" i="3"/>
  <c r="CA552" i="3"/>
  <c r="CA553" i="3"/>
  <c r="CA554" i="3"/>
  <c r="CA555" i="3"/>
  <c r="CA556" i="3"/>
  <c r="CA557" i="3"/>
  <c r="CA558" i="3"/>
  <c r="CA559" i="3"/>
  <c r="CA560" i="3"/>
  <c r="CA561" i="3"/>
  <c r="CA562" i="3"/>
  <c r="CA563" i="3"/>
  <c r="CA564" i="3"/>
  <c r="CA565" i="3"/>
  <c r="CA566" i="3"/>
  <c r="CA567" i="3"/>
  <c r="CA568" i="3"/>
  <c r="CA569" i="3"/>
  <c r="CA570" i="3"/>
  <c r="CA571" i="3"/>
  <c r="CA572" i="3"/>
  <c r="CA573" i="3"/>
  <c r="CA574" i="3"/>
  <c r="CA575" i="3"/>
  <c r="CA576" i="3"/>
  <c r="CA577" i="3"/>
  <c r="CA578" i="3"/>
  <c r="CA579" i="3"/>
  <c r="CA580" i="3"/>
  <c r="CA581" i="3"/>
  <c r="CA582" i="3"/>
  <c r="CA583" i="3"/>
  <c r="CA584" i="3"/>
  <c r="CA585" i="3"/>
  <c r="CA586" i="3"/>
  <c r="CA587" i="3"/>
  <c r="CA588" i="3"/>
  <c r="CA589" i="3"/>
  <c r="CA590" i="3"/>
  <c r="CA591" i="3"/>
  <c r="CA592" i="3"/>
  <c r="CA593" i="3"/>
  <c r="CA594" i="3"/>
  <c r="CA595" i="3"/>
  <c r="CA596" i="3"/>
  <c r="CA597" i="3"/>
  <c r="CA598" i="3"/>
  <c r="CA599" i="3"/>
  <c r="CA600" i="3"/>
  <c r="CA601" i="3"/>
  <c r="CA602" i="3"/>
  <c r="CA603" i="3"/>
  <c r="CA604" i="3"/>
  <c r="CA605" i="3"/>
  <c r="CA606" i="3"/>
  <c r="CA7" i="3"/>
  <c r="AY4" i="2"/>
  <c r="AY5" i="2"/>
  <c r="AY6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2" i="2"/>
  <c r="AY33" i="2"/>
  <c r="AY31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117" i="2"/>
  <c r="AY118" i="2"/>
  <c r="AY119" i="2"/>
  <c r="AY120" i="2"/>
  <c r="AY121" i="2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AY137" i="2"/>
  <c r="AY138" i="2"/>
  <c r="AY139" i="2"/>
  <c r="AY140" i="2"/>
  <c r="AY141" i="2"/>
  <c r="AY142" i="2"/>
  <c r="AY143" i="2"/>
  <c r="AY144" i="2"/>
  <c r="AY145" i="2"/>
  <c r="AY146" i="2"/>
  <c r="AY147" i="2"/>
  <c r="AY148" i="2"/>
  <c r="AY149" i="2"/>
  <c r="AY150" i="2"/>
  <c r="AY151" i="2"/>
  <c r="AY152" i="2"/>
  <c r="AY153" i="2"/>
  <c r="AY154" i="2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70" i="2"/>
  <c r="AY171" i="2"/>
  <c r="AY172" i="2"/>
  <c r="AY173" i="2"/>
  <c r="AY174" i="2"/>
  <c r="AY175" i="2"/>
  <c r="AY176" i="2"/>
  <c r="AY177" i="2"/>
  <c r="AY178" i="2"/>
  <c r="AY179" i="2"/>
  <c r="AY180" i="2"/>
  <c r="AY181" i="2"/>
  <c r="AY182" i="2"/>
  <c r="AY183" i="2"/>
  <c r="AY184" i="2"/>
  <c r="AY185" i="2"/>
  <c r="AY186" i="2"/>
  <c r="AY187" i="2"/>
  <c r="AY188" i="2"/>
  <c r="AY189" i="2"/>
  <c r="AY190" i="2"/>
  <c r="AY191" i="2"/>
  <c r="AY192" i="2"/>
  <c r="AY193" i="2"/>
  <c r="AY194" i="2"/>
  <c r="AY195" i="2"/>
  <c r="AY196" i="2"/>
  <c r="AY197" i="2"/>
  <c r="AY198" i="2"/>
  <c r="AY199" i="2"/>
  <c r="AY200" i="2"/>
  <c r="AY201" i="2"/>
  <c r="AY202" i="2"/>
  <c r="AY203" i="2"/>
  <c r="AY204" i="2"/>
  <c r="AY205" i="2"/>
  <c r="AY206" i="2"/>
  <c r="AY207" i="2"/>
  <c r="AY208" i="2"/>
  <c r="AY209" i="2"/>
  <c r="AY210" i="2"/>
  <c r="AY211" i="2"/>
  <c r="AY212" i="2"/>
  <c r="AY213" i="2"/>
  <c r="AY214" i="2"/>
  <c r="AY215" i="2"/>
  <c r="AY216" i="2"/>
  <c r="AY217" i="2"/>
  <c r="AY218" i="2"/>
  <c r="AY219" i="2"/>
  <c r="AY220" i="2"/>
  <c r="AY221" i="2"/>
  <c r="AY222" i="2"/>
  <c r="AY223" i="2"/>
  <c r="AY224" i="2"/>
  <c r="AY225" i="2"/>
  <c r="AY226" i="2"/>
  <c r="AY227" i="2"/>
  <c r="AY228" i="2"/>
  <c r="AY229" i="2"/>
  <c r="AY230" i="2"/>
  <c r="AY231" i="2"/>
  <c r="AY232" i="2"/>
  <c r="AY233" i="2"/>
  <c r="AY234" i="2"/>
  <c r="AY235" i="2"/>
  <c r="AY236" i="2"/>
  <c r="AY237" i="2"/>
  <c r="AY238" i="2"/>
  <c r="AY239" i="2"/>
  <c r="AY240" i="2"/>
  <c r="AY241" i="2"/>
  <c r="AY242" i="2"/>
  <c r="AY243" i="2"/>
  <c r="AY244" i="2"/>
  <c r="AY245" i="2"/>
  <c r="AY246" i="2"/>
  <c r="AY247" i="2"/>
  <c r="AY248" i="2"/>
  <c r="AY249" i="2"/>
  <c r="AY250" i="2"/>
  <c r="AY251" i="2"/>
  <c r="AY252" i="2"/>
  <c r="AY253" i="2"/>
  <c r="AY254" i="2"/>
  <c r="AY255" i="2"/>
  <c r="AY256" i="2"/>
  <c r="AY257" i="2"/>
  <c r="AY258" i="2"/>
  <c r="AY259" i="2"/>
  <c r="AY260" i="2"/>
  <c r="AY261" i="2"/>
  <c r="AY262" i="2"/>
  <c r="AY263" i="2"/>
  <c r="AY264" i="2"/>
  <c r="AY265" i="2"/>
  <c r="AY266" i="2"/>
  <c r="AY267" i="2"/>
  <c r="AY268" i="2"/>
  <c r="AY269" i="2"/>
  <c r="AY270" i="2"/>
  <c r="AY271" i="2"/>
  <c r="AY272" i="2"/>
  <c r="AY273" i="2"/>
  <c r="AY274" i="2"/>
  <c r="AY275" i="2"/>
  <c r="AY276" i="2"/>
  <c r="AY277" i="2"/>
  <c r="AY278" i="2"/>
  <c r="AY279" i="2"/>
  <c r="AY280" i="2"/>
  <c r="AY281" i="2"/>
  <c r="AY282" i="2"/>
  <c r="AY283" i="2"/>
  <c r="AY284" i="2"/>
  <c r="AY285" i="2"/>
  <c r="AY286" i="2"/>
  <c r="AY287" i="2"/>
  <c r="AY288" i="2"/>
  <c r="AY289" i="2"/>
  <c r="AY290" i="2"/>
  <c r="AY291" i="2"/>
  <c r="AY292" i="2"/>
  <c r="AY293" i="2"/>
  <c r="AY294" i="2"/>
  <c r="AY295" i="2"/>
  <c r="AY296" i="2"/>
  <c r="AY297" i="2"/>
  <c r="AY298" i="2"/>
  <c r="AY299" i="2"/>
  <c r="AY300" i="2"/>
  <c r="AY301" i="2"/>
  <c r="AY302" i="2"/>
  <c r="AY303" i="2"/>
  <c r="AY304" i="2"/>
  <c r="AY305" i="2"/>
  <c r="AY306" i="2"/>
  <c r="AY307" i="2"/>
  <c r="AY308" i="2"/>
  <c r="AY309" i="2"/>
  <c r="AY310" i="2"/>
  <c r="AY311" i="2"/>
  <c r="AY312" i="2"/>
  <c r="AY313" i="2"/>
  <c r="AY314" i="2"/>
  <c r="AY315" i="2"/>
  <c r="AY316" i="2"/>
  <c r="AY317" i="2"/>
  <c r="AY318" i="2"/>
  <c r="AY319" i="2"/>
  <c r="AY320" i="2"/>
  <c r="AY321" i="2"/>
  <c r="AY322" i="2"/>
  <c r="AY323" i="2"/>
  <c r="AY324" i="2"/>
  <c r="AY325" i="2"/>
  <c r="AY326" i="2"/>
  <c r="AY327" i="2"/>
  <c r="AY328" i="2"/>
  <c r="AY329" i="2"/>
  <c r="AY330" i="2"/>
  <c r="AY331" i="2"/>
  <c r="AY332" i="2"/>
  <c r="AY333" i="2"/>
  <c r="AY334" i="2"/>
  <c r="AY335" i="2"/>
  <c r="AY336" i="2"/>
  <c r="AY337" i="2"/>
  <c r="AY338" i="2"/>
  <c r="AY339" i="2"/>
  <c r="AY340" i="2"/>
  <c r="AY341" i="2"/>
  <c r="AY342" i="2"/>
  <c r="AY343" i="2"/>
  <c r="AY344" i="2"/>
  <c r="AY345" i="2"/>
  <c r="AY346" i="2"/>
  <c r="AY347" i="2"/>
  <c r="AY348" i="2"/>
  <c r="AY349" i="2"/>
  <c r="AY350" i="2"/>
  <c r="AY351" i="2"/>
  <c r="AY352" i="2"/>
  <c r="AY353" i="2"/>
  <c r="AY354" i="2"/>
  <c r="AY355" i="2"/>
  <c r="AY356" i="2"/>
  <c r="AY357" i="2"/>
  <c r="AY358" i="2"/>
  <c r="AY359" i="2"/>
  <c r="AY360" i="2"/>
  <c r="AY361" i="2"/>
  <c r="AY362" i="2"/>
  <c r="AY363" i="2"/>
  <c r="AY364" i="2"/>
  <c r="AY365" i="2"/>
  <c r="AY366" i="2"/>
  <c r="AY367" i="2"/>
  <c r="AY368" i="2"/>
  <c r="AY369" i="2"/>
  <c r="AY370" i="2"/>
  <c r="AY371" i="2"/>
  <c r="AY372" i="2"/>
  <c r="AY373" i="2"/>
  <c r="AY374" i="2"/>
  <c r="AY375" i="2"/>
  <c r="AY376" i="2"/>
  <c r="AY377" i="2"/>
  <c r="AY378" i="2"/>
  <c r="AY379" i="2"/>
  <c r="AY380" i="2"/>
  <c r="AY381" i="2"/>
  <c r="AY382" i="2"/>
  <c r="AY383" i="2"/>
  <c r="AY384" i="2"/>
  <c r="AY385" i="2"/>
  <c r="AY386" i="2"/>
  <c r="AY387" i="2"/>
  <c r="AY388" i="2"/>
  <c r="AY389" i="2"/>
  <c r="AY390" i="2"/>
  <c r="AY391" i="2"/>
  <c r="AY392" i="2"/>
  <c r="AY393" i="2"/>
  <c r="AY394" i="2"/>
  <c r="AY395" i="2"/>
  <c r="AY396" i="2"/>
  <c r="AY397" i="2"/>
  <c r="AY398" i="2"/>
  <c r="AY399" i="2"/>
  <c r="AY400" i="2"/>
  <c r="AY401" i="2"/>
  <c r="AY402" i="2"/>
  <c r="AY403" i="2"/>
  <c r="AY404" i="2"/>
  <c r="AY405" i="2"/>
  <c r="AY406" i="2"/>
  <c r="AY407" i="2"/>
  <c r="AY408" i="2"/>
  <c r="AY409" i="2"/>
  <c r="AY410" i="2"/>
  <c r="AY411" i="2"/>
  <c r="AY412" i="2"/>
  <c r="AY413" i="2"/>
  <c r="AY414" i="2"/>
  <c r="AY415" i="2"/>
  <c r="AY416" i="2"/>
  <c r="AY417" i="2"/>
  <c r="AY418" i="2"/>
  <c r="AY419" i="2"/>
  <c r="AY420" i="2"/>
  <c r="AY421" i="2"/>
  <c r="AY422" i="2"/>
  <c r="AY423" i="2"/>
  <c r="AY424" i="2"/>
  <c r="AY425" i="2"/>
  <c r="AY426" i="2"/>
  <c r="AY427" i="2"/>
  <c r="AY428" i="2"/>
  <c r="AY429" i="2"/>
  <c r="AY430" i="2"/>
  <c r="AY431" i="2"/>
  <c r="AY432" i="2"/>
  <c r="AY433" i="2"/>
  <c r="AY434" i="2"/>
  <c r="AY435" i="2"/>
  <c r="AY436" i="2"/>
  <c r="AY437" i="2"/>
  <c r="AY438" i="2"/>
  <c r="AY439" i="2"/>
  <c r="AY440" i="2"/>
  <c r="AY441" i="2"/>
  <c r="AY442" i="2"/>
  <c r="AY443" i="2"/>
  <c r="AY444" i="2"/>
  <c r="AY445" i="2"/>
  <c r="AY446" i="2"/>
  <c r="AY447" i="2"/>
  <c r="AY448" i="2"/>
  <c r="AY449" i="2"/>
  <c r="AY450" i="2"/>
  <c r="AY451" i="2"/>
  <c r="AY452" i="2"/>
  <c r="AY453" i="2"/>
  <c r="AY454" i="2"/>
  <c r="AY455" i="2"/>
  <c r="AY456" i="2"/>
  <c r="AY457" i="2"/>
  <c r="AY458" i="2"/>
  <c r="AY459" i="2"/>
  <c r="AY460" i="2"/>
  <c r="AY461" i="2"/>
  <c r="AY462" i="2"/>
  <c r="AY463" i="2"/>
  <c r="AY464" i="2"/>
  <c r="AY465" i="2"/>
  <c r="AY466" i="2"/>
  <c r="AY467" i="2"/>
  <c r="AY468" i="2"/>
  <c r="AY469" i="2"/>
  <c r="AY470" i="2"/>
  <c r="AY471" i="2"/>
  <c r="AY472" i="2"/>
  <c r="AY473" i="2"/>
  <c r="AY474" i="2"/>
  <c r="AY475" i="2"/>
  <c r="AY476" i="2"/>
  <c r="AY477" i="2"/>
  <c r="AY478" i="2"/>
  <c r="AY479" i="2"/>
  <c r="AY480" i="2"/>
  <c r="AY481" i="2"/>
  <c r="AY482" i="2"/>
  <c r="AY483" i="2"/>
  <c r="AY484" i="2"/>
  <c r="AY485" i="2"/>
  <c r="AY486" i="2"/>
  <c r="AY487" i="2"/>
  <c r="AY488" i="2"/>
  <c r="AY489" i="2"/>
  <c r="AY490" i="2"/>
  <c r="AY491" i="2"/>
  <c r="AY492" i="2"/>
  <c r="AY493" i="2"/>
  <c r="AY494" i="2"/>
  <c r="AY495" i="2"/>
  <c r="AY496" i="2"/>
  <c r="AY497" i="2"/>
  <c r="AY498" i="2"/>
  <c r="AY499" i="2"/>
  <c r="AY500" i="2"/>
  <c r="AY501" i="2"/>
  <c r="AY502" i="2"/>
  <c r="AY503" i="2"/>
  <c r="AY504" i="2"/>
  <c r="AY505" i="2"/>
  <c r="AY506" i="2"/>
  <c r="AY507" i="2"/>
  <c r="AY508" i="2"/>
  <c r="AY509" i="2"/>
  <c r="AY510" i="2"/>
  <c r="AY511" i="2"/>
  <c r="AY512" i="2"/>
  <c r="AY513" i="2"/>
  <c r="AY514" i="2"/>
  <c r="AY515" i="2"/>
  <c r="AY516" i="2"/>
  <c r="AY517" i="2"/>
  <c r="AY518" i="2"/>
  <c r="AY519" i="2"/>
  <c r="AY520" i="2"/>
  <c r="AY521" i="2"/>
  <c r="AY522" i="2"/>
  <c r="AY523" i="2"/>
  <c r="AY524" i="2"/>
  <c r="AY525" i="2"/>
  <c r="AY526" i="2"/>
  <c r="AY527" i="2"/>
  <c r="AY528" i="2"/>
  <c r="AY529" i="2"/>
  <c r="AY530" i="2"/>
  <c r="AY531" i="2"/>
  <c r="AY532" i="2"/>
  <c r="AY533" i="2"/>
  <c r="AY534" i="2"/>
  <c r="AY535" i="2"/>
  <c r="AY536" i="2"/>
  <c r="AY537" i="2"/>
  <c r="AY538" i="2"/>
  <c r="AY539" i="2"/>
  <c r="AY540" i="2"/>
  <c r="AY541" i="2"/>
  <c r="AY542" i="2"/>
  <c r="AY543" i="2"/>
  <c r="AY544" i="2"/>
  <c r="AY545" i="2"/>
  <c r="AY546" i="2"/>
  <c r="AY547" i="2"/>
  <c r="AY548" i="2"/>
  <c r="AY549" i="2"/>
  <c r="AY550" i="2"/>
  <c r="AY551" i="2"/>
  <c r="AY552" i="2"/>
  <c r="AY553" i="2"/>
  <c r="AY554" i="2"/>
  <c r="AY555" i="2"/>
  <c r="AY556" i="2"/>
  <c r="AY557" i="2"/>
  <c r="AY558" i="2"/>
  <c r="AY559" i="2"/>
  <c r="AY560" i="2"/>
  <c r="AY561" i="2"/>
  <c r="AY562" i="2"/>
  <c r="AY563" i="2"/>
  <c r="AY564" i="2"/>
  <c r="AY565" i="2"/>
  <c r="AY566" i="2"/>
  <c r="AY567" i="2"/>
  <c r="AY568" i="2"/>
  <c r="AY569" i="2"/>
  <c r="AY570" i="2"/>
  <c r="AY571" i="2"/>
  <c r="AY572" i="2"/>
  <c r="AY573" i="2"/>
  <c r="AY574" i="2"/>
  <c r="AY575" i="2"/>
  <c r="AY576" i="2"/>
  <c r="AY577" i="2"/>
  <c r="AY578" i="2"/>
  <c r="AY579" i="2"/>
  <c r="AY580" i="2"/>
  <c r="AY581" i="2"/>
  <c r="AY582" i="2"/>
  <c r="AY583" i="2"/>
  <c r="AY584" i="2"/>
  <c r="AY585" i="2"/>
  <c r="AY586" i="2"/>
  <c r="AY587" i="2"/>
  <c r="AY588" i="2"/>
  <c r="AY589" i="2"/>
  <c r="AY590" i="2"/>
  <c r="AY591" i="2"/>
  <c r="AY592" i="2"/>
  <c r="AY593" i="2"/>
  <c r="AY594" i="2"/>
  <c r="AY595" i="2"/>
  <c r="AY596" i="2"/>
  <c r="AY597" i="2"/>
  <c r="AY3" i="2"/>
  <c r="BR8" i="3"/>
  <c r="BR9" i="3"/>
  <c r="BR10" i="3"/>
  <c r="BR11" i="3"/>
  <c r="BR12" i="3"/>
  <c r="BR13" i="3"/>
  <c r="BR14" i="3"/>
  <c r="BR15" i="3"/>
  <c r="BR16" i="3"/>
  <c r="BR17" i="3"/>
  <c r="BR18" i="3"/>
  <c r="BR19" i="3"/>
  <c r="BR20" i="3"/>
  <c r="BR21" i="3"/>
  <c r="BR22" i="3"/>
  <c r="BR23" i="3"/>
  <c r="BR24" i="3"/>
  <c r="BR25" i="3"/>
  <c r="BR26" i="3"/>
  <c r="BR27" i="3"/>
  <c r="BR28" i="3"/>
  <c r="BR29" i="3"/>
  <c r="BR30" i="3"/>
  <c r="BR31" i="3"/>
  <c r="BR32" i="3"/>
  <c r="BR33" i="3"/>
  <c r="BR34" i="3"/>
  <c r="BR35" i="3"/>
  <c r="BR36" i="3"/>
  <c r="BR37" i="3"/>
  <c r="BR38" i="3"/>
  <c r="BR39" i="3"/>
  <c r="BR40" i="3"/>
  <c r="BR41" i="3"/>
  <c r="BR42" i="3"/>
  <c r="BR43" i="3"/>
  <c r="BR44" i="3"/>
  <c r="BR45" i="3"/>
  <c r="BR46" i="3"/>
  <c r="BR47" i="3"/>
  <c r="BR48" i="3"/>
  <c r="BR49" i="3"/>
  <c r="BR50" i="3"/>
  <c r="BR51" i="3"/>
  <c r="BR52" i="3"/>
  <c r="BR53" i="3"/>
  <c r="BR54" i="3"/>
  <c r="BR55" i="3"/>
  <c r="BR56" i="3"/>
  <c r="BR57" i="3"/>
  <c r="BR58" i="3"/>
  <c r="BR59" i="3"/>
  <c r="BR60" i="3"/>
  <c r="BR61" i="3"/>
  <c r="BR62" i="3"/>
  <c r="BR63" i="3"/>
  <c r="BR64" i="3"/>
  <c r="BR65" i="3"/>
  <c r="BR66" i="3"/>
  <c r="BR67" i="3"/>
  <c r="BR68" i="3"/>
  <c r="BR69" i="3"/>
  <c r="BR70" i="3"/>
  <c r="BR71" i="3"/>
  <c r="BR72" i="3"/>
  <c r="BR73" i="3"/>
  <c r="BR74" i="3"/>
  <c r="BR75" i="3"/>
  <c r="BR76" i="3"/>
  <c r="BR77" i="3"/>
  <c r="BR78" i="3"/>
  <c r="BR79" i="3"/>
  <c r="BR80" i="3"/>
  <c r="BR81" i="3"/>
  <c r="BR82" i="3"/>
  <c r="BR83" i="3"/>
  <c r="BR84" i="3"/>
  <c r="BR85" i="3"/>
  <c r="BR86" i="3"/>
  <c r="BR87" i="3"/>
  <c r="BR88" i="3"/>
  <c r="BR89" i="3"/>
  <c r="BR90" i="3"/>
  <c r="BR91" i="3"/>
  <c r="BR92" i="3"/>
  <c r="BR93" i="3"/>
  <c r="BR94" i="3"/>
  <c r="BR95" i="3"/>
  <c r="BR96" i="3"/>
  <c r="BR97" i="3"/>
  <c r="BR98" i="3"/>
  <c r="BR99" i="3"/>
  <c r="BR100" i="3"/>
  <c r="BR101" i="3"/>
  <c r="BR102" i="3"/>
  <c r="BR103" i="3"/>
  <c r="BR104" i="3"/>
  <c r="BR105" i="3"/>
  <c r="BR106" i="3"/>
  <c r="BR107" i="3"/>
  <c r="BR108" i="3"/>
  <c r="BR109" i="3"/>
  <c r="BR110" i="3"/>
  <c r="BR111" i="3"/>
  <c r="BR112" i="3"/>
  <c r="BR113" i="3"/>
  <c r="BR114" i="3"/>
  <c r="BR115" i="3"/>
  <c r="BR116" i="3"/>
  <c r="BR117" i="3"/>
  <c r="BR118" i="3"/>
  <c r="BR119" i="3"/>
  <c r="BR120" i="3"/>
  <c r="BR121" i="3"/>
  <c r="BR122" i="3"/>
  <c r="BR123" i="3"/>
  <c r="BR124" i="3"/>
  <c r="BR125" i="3"/>
  <c r="BR126" i="3"/>
  <c r="BR127" i="3"/>
  <c r="BR128" i="3"/>
  <c r="BR129" i="3"/>
  <c r="BR130" i="3"/>
  <c r="BR131" i="3"/>
  <c r="BR132" i="3"/>
  <c r="BR133" i="3"/>
  <c r="BR134" i="3"/>
  <c r="BR135" i="3"/>
  <c r="BR136" i="3"/>
  <c r="BR137" i="3"/>
  <c r="BR138" i="3"/>
  <c r="BR139" i="3"/>
  <c r="BR140" i="3"/>
  <c r="BR141" i="3"/>
  <c r="BR142" i="3"/>
  <c r="BR143" i="3"/>
  <c r="BR144" i="3"/>
  <c r="BR145" i="3"/>
  <c r="BR146" i="3"/>
  <c r="BR147" i="3"/>
  <c r="BR148" i="3"/>
  <c r="BR149" i="3"/>
  <c r="BR150" i="3"/>
  <c r="BR151" i="3"/>
  <c r="BR152" i="3"/>
  <c r="BR153" i="3"/>
  <c r="BR154" i="3"/>
  <c r="BR155" i="3"/>
  <c r="BR156" i="3"/>
  <c r="BR157" i="3"/>
  <c r="BR158" i="3"/>
  <c r="BR159" i="3"/>
  <c r="BR160" i="3"/>
  <c r="BR161" i="3"/>
  <c r="BR162" i="3"/>
  <c r="BR163" i="3"/>
  <c r="BR164" i="3"/>
  <c r="BR165" i="3"/>
  <c r="BR166" i="3"/>
  <c r="BR167" i="3"/>
  <c r="BR168" i="3"/>
  <c r="BR169" i="3"/>
  <c r="BR170" i="3"/>
  <c r="BR171" i="3"/>
  <c r="BR172" i="3"/>
  <c r="BR173" i="3"/>
  <c r="BR174" i="3"/>
  <c r="BR175" i="3"/>
  <c r="BR176" i="3"/>
  <c r="BR177" i="3"/>
  <c r="BR178" i="3"/>
  <c r="BR179" i="3"/>
  <c r="BR180" i="3"/>
  <c r="BR181" i="3"/>
  <c r="BR182" i="3"/>
  <c r="BR183" i="3"/>
  <c r="BR184" i="3"/>
  <c r="BR185" i="3"/>
  <c r="BR186" i="3"/>
  <c r="BR187" i="3"/>
  <c r="BR188" i="3"/>
  <c r="BR189" i="3"/>
  <c r="BR190" i="3"/>
  <c r="BR191" i="3"/>
  <c r="BR192" i="3"/>
  <c r="BR193" i="3"/>
  <c r="BR194" i="3"/>
  <c r="BR195" i="3"/>
  <c r="BR196" i="3"/>
  <c r="BR197" i="3"/>
  <c r="BR198" i="3"/>
  <c r="BR199" i="3"/>
  <c r="BR200" i="3"/>
  <c r="BR201" i="3"/>
  <c r="BR202" i="3"/>
  <c r="BR203" i="3"/>
  <c r="BR204" i="3"/>
  <c r="BR205" i="3"/>
  <c r="BR206" i="3"/>
  <c r="BR207" i="3"/>
  <c r="BR208" i="3"/>
  <c r="BR209" i="3"/>
  <c r="BR210" i="3"/>
  <c r="BR211" i="3"/>
  <c r="BR212" i="3"/>
  <c r="BR213" i="3"/>
  <c r="BR214" i="3"/>
  <c r="BR215" i="3"/>
  <c r="BR216" i="3"/>
  <c r="BR217" i="3"/>
  <c r="BR218" i="3"/>
  <c r="BR219" i="3"/>
  <c r="BR220" i="3"/>
  <c r="BR221" i="3"/>
  <c r="BR222" i="3"/>
  <c r="BR223" i="3"/>
  <c r="BR224" i="3"/>
  <c r="BR225" i="3"/>
  <c r="BR226" i="3"/>
  <c r="BR227" i="3"/>
  <c r="BR228" i="3"/>
  <c r="BR229" i="3"/>
  <c r="BR230" i="3"/>
  <c r="BR231" i="3"/>
  <c r="BR232" i="3"/>
  <c r="BR233" i="3"/>
  <c r="BR234" i="3"/>
  <c r="BR235" i="3"/>
  <c r="BR236" i="3"/>
  <c r="BR237" i="3"/>
  <c r="BR238" i="3"/>
  <c r="BR239" i="3"/>
  <c r="BR240" i="3"/>
  <c r="BR241" i="3"/>
  <c r="BR242" i="3"/>
  <c r="BR243" i="3"/>
  <c r="BR244" i="3"/>
  <c r="BR245" i="3"/>
  <c r="BR246" i="3"/>
  <c r="BR247" i="3"/>
  <c r="BR248" i="3"/>
  <c r="BR249" i="3"/>
  <c r="BR250" i="3"/>
  <c r="BR251" i="3"/>
  <c r="BR252" i="3"/>
  <c r="BR253" i="3"/>
  <c r="BR254" i="3"/>
  <c r="BR255" i="3"/>
  <c r="BR256" i="3"/>
  <c r="BR257" i="3"/>
  <c r="BR258" i="3"/>
  <c r="BR259" i="3"/>
  <c r="BR260" i="3"/>
  <c r="BR261" i="3"/>
  <c r="BR262" i="3"/>
  <c r="BR263" i="3"/>
  <c r="BR264" i="3"/>
  <c r="BR265" i="3"/>
  <c r="BR266" i="3"/>
  <c r="BR267" i="3"/>
  <c r="BR268" i="3"/>
  <c r="BR269" i="3"/>
  <c r="BR270" i="3"/>
  <c r="BR271" i="3"/>
  <c r="BR272" i="3"/>
  <c r="BR273" i="3"/>
  <c r="BR274" i="3"/>
  <c r="BR275" i="3"/>
  <c r="BR276" i="3"/>
  <c r="BR277" i="3"/>
  <c r="BR278" i="3"/>
  <c r="BR279" i="3"/>
  <c r="BR280" i="3"/>
  <c r="BR281" i="3"/>
  <c r="BR282" i="3"/>
  <c r="BR283" i="3"/>
  <c r="BR284" i="3"/>
  <c r="BR285" i="3"/>
  <c r="BR286" i="3"/>
  <c r="BR287" i="3"/>
  <c r="BR288" i="3"/>
  <c r="BR289" i="3"/>
  <c r="BR290" i="3"/>
  <c r="BR291" i="3"/>
  <c r="BR292" i="3"/>
  <c r="BR293" i="3"/>
  <c r="BR294" i="3"/>
  <c r="BR295" i="3"/>
  <c r="BR296" i="3"/>
  <c r="BR297" i="3"/>
  <c r="BR298" i="3"/>
  <c r="BR299" i="3"/>
  <c r="BR300" i="3"/>
  <c r="BR301" i="3"/>
  <c r="BR302" i="3"/>
  <c r="BR303" i="3"/>
  <c r="BR304" i="3"/>
  <c r="BR305" i="3"/>
  <c r="BR306" i="3"/>
  <c r="BR307" i="3"/>
  <c r="BR308" i="3"/>
  <c r="BR309" i="3"/>
  <c r="BR310" i="3"/>
  <c r="BR311" i="3"/>
  <c r="BR312" i="3"/>
  <c r="BR313" i="3"/>
  <c r="BR314" i="3"/>
  <c r="BR315" i="3"/>
  <c r="BR316" i="3"/>
  <c r="BR317" i="3"/>
  <c r="BR318" i="3"/>
  <c r="BR319" i="3"/>
  <c r="BR320" i="3"/>
  <c r="BR321" i="3"/>
  <c r="BR322" i="3"/>
  <c r="BR323" i="3"/>
  <c r="BR324" i="3"/>
  <c r="BR325" i="3"/>
  <c r="BR326" i="3"/>
  <c r="BR327" i="3"/>
  <c r="BR328" i="3"/>
  <c r="BR329" i="3"/>
  <c r="BR330" i="3"/>
  <c r="BR331" i="3"/>
  <c r="BR332" i="3"/>
  <c r="BR333" i="3"/>
  <c r="BR334" i="3"/>
  <c r="BR335" i="3"/>
  <c r="BR336" i="3"/>
  <c r="BR337" i="3"/>
  <c r="BR338" i="3"/>
  <c r="BR339" i="3"/>
  <c r="BR340" i="3"/>
  <c r="BR341" i="3"/>
  <c r="BR342" i="3"/>
  <c r="BR343" i="3"/>
  <c r="BR344" i="3"/>
  <c r="BR345" i="3"/>
  <c r="BR346" i="3"/>
  <c r="BR347" i="3"/>
  <c r="BR348" i="3"/>
  <c r="BR349" i="3"/>
  <c r="BR350" i="3"/>
  <c r="BR351" i="3"/>
  <c r="BR352" i="3"/>
  <c r="BR353" i="3"/>
  <c r="BR354" i="3"/>
  <c r="BR355" i="3"/>
  <c r="BR356" i="3"/>
  <c r="BR357" i="3"/>
  <c r="BR358" i="3"/>
  <c r="BR359" i="3"/>
  <c r="BR360" i="3"/>
  <c r="BR361" i="3"/>
  <c r="BR362" i="3"/>
  <c r="BR363" i="3"/>
  <c r="BR364" i="3"/>
  <c r="BR365" i="3"/>
  <c r="BR366" i="3"/>
  <c r="BR367" i="3"/>
  <c r="BR368" i="3"/>
  <c r="BR369" i="3"/>
  <c r="BR370" i="3"/>
  <c r="BR371" i="3"/>
  <c r="BR372" i="3"/>
  <c r="BR373" i="3"/>
  <c r="BR374" i="3"/>
  <c r="BR375" i="3"/>
  <c r="BR376" i="3"/>
  <c r="BR377" i="3"/>
  <c r="BR378" i="3"/>
  <c r="BR379" i="3"/>
  <c r="BR380" i="3"/>
  <c r="BR381" i="3"/>
  <c r="BR382" i="3"/>
  <c r="BR383" i="3"/>
  <c r="BR384" i="3"/>
  <c r="BR385" i="3"/>
  <c r="BR386" i="3"/>
  <c r="BR387" i="3"/>
  <c r="BR388" i="3"/>
  <c r="BR389" i="3"/>
  <c r="BR390" i="3"/>
  <c r="BR391" i="3"/>
  <c r="BR392" i="3"/>
  <c r="BR393" i="3"/>
  <c r="BR394" i="3"/>
  <c r="BR395" i="3"/>
  <c r="BR396" i="3"/>
  <c r="BR397" i="3"/>
  <c r="BR398" i="3"/>
  <c r="BR399" i="3"/>
  <c r="BR400" i="3"/>
  <c r="BR401" i="3"/>
  <c r="BR402" i="3"/>
  <c r="BR403" i="3"/>
  <c r="BR404" i="3"/>
  <c r="BR405" i="3"/>
  <c r="BR406" i="3"/>
  <c r="BR407" i="3"/>
  <c r="BR408" i="3"/>
  <c r="BR409" i="3"/>
  <c r="BR410" i="3"/>
  <c r="BR411" i="3"/>
  <c r="BR412" i="3"/>
  <c r="BR413" i="3"/>
  <c r="BR414" i="3"/>
  <c r="BR415" i="3"/>
  <c r="BR416" i="3"/>
  <c r="BR417" i="3"/>
  <c r="BR418" i="3"/>
  <c r="BR419" i="3"/>
  <c r="BR420" i="3"/>
  <c r="BR421" i="3"/>
  <c r="BR422" i="3"/>
  <c r="BR423" i="3"/>
  <c r="BR424" i="3"/>
  <c r="BR425" i="3"/>
  <c r="BR426" i="3"/>
  <c r="BR427" i="3"/>
  <c r="BR428" i="3"/>
  <c r="BR429" i="3"/>
  <c r="BR430" i="3"/>
  <c r="BR431" i="3"/>
  <c r="BR432" i="3"/>
  <c r="BR433" i="3"/>
  <c r="BR434" i="3"/>
  <c r="BR435" i="3"/>
  <c r="BR436" i="3"/>
  <c r="BR437" i="3"/>
  <c r="BR438" i="3"/>
  <c r="BR439" i="3"/>
  <c r="BR440" i="3"/>
  <c r="BR441" i="3"/>
  <c r="BR442" i="3"/>
  <c r="BR443" i="3"/>
  <c r="BR444" i="3"/>
  <c r="BR445" i="3"/>
  <c r="BR446" i="3"/>
  <c r="BR447" i="3"/>
  <c r="BR448" i="3"/>
  <c r="BR449" i="3"/>
  <c r="BR450" i="3"/>
  <c r="BR451" i="3"/>
  <c r="BR452" i="3"/>
  <c r="BR453" i="3"/>
  <c r="BR454" i="3"/>
  <c r="BR455" i="3"/>
  <c r="BR456" i="3"/>
  <c r="BR457" i="3"/>
  <c r="BR458" i="3"/>
  <c r="BR459" i="3"/>
  <c r="BR460" i="3"/>
  <c r="BR461" i="3"/>
  <c r="BR462" i="3"/>
  <c r="BR463" i="3"/>
  <c r="BR464" i="3"/>
  <c r="BR465" i="3"/>
  <c r="BR466" i="3"/>
  <c r="BR467" i="3"/>
  <c r="BR468" i="3"/>
  <c r="BR469" i="3"/>
  <c r="BR470" i="3"/>
  <c r="BR471" i="3"/>
  <c r="BR472" i="3"/>
  <c r="BR473" i="3"/>
  <c r="BR474" i="3"/>
  <c r="BR475" i="3"/>
  <c r="BR476" i="3"/>
  <c r="BR477" i="3"/>
  <c r="BR478" i="3"/>
  <c r="BR479" i="3"/>
  <c r="BR480" i="3"/>
  <c r="BR481" i="3"/>
  <c r="BR482" i="3"/>
  <c r="BR483" i="3"/>
  <c r="BR484" i="3"/>
  <c r="BR485" i="3"/>
  <c r="BR486" i="3"/>
  <c r="BR487" i="3"/>
  <c r="BR488" i="3"/>
  <c r="BR489" i="3"/>
  <c r="BR490" i="3"/>
  <c r="BR491" i="3"/>
  <c r="BR492" i="3"/>
  <c r="BR493" i="3"/>
  <c r="BR494" i="3"/>
  <c r="BR495" i="3"/>
  <c r="BR496" i="3"/>
  <c r="BR497" i="3"/>
  <c r="BR498" i="3"/>
  <c r="BR499" i="3"/>
  <c r="BR500" i="3"/>
  <c r="BR501" i="3"/>
  <c r="BR502" i="3"/>
  <c r="BR503" i="3"/>
  <c r="BR504" i="3"/>
  <c r="BR505" i="3"/>
  <c r="BR506" i="3"/>
  <c r="BR507" i="3"/>
  <c r="BR508" i="3"/>
  <c r="BR509" i="3"/>
  <c r="BR510" i="3"/>
  <c r="BR511" i="3"/>
  <c r="BR512" i="3"/>
  <c r="BR513" i="3"/>
  <c r="BR514" i="3"/>
  <c r="BR515" i="3"/>
  <c r="BR516" i="3"/>
  <c r="BR517" i="3"/>
  <c r="BR518" i="3"/>
  <c r="BR519" i="3"/>
  <c r="BR520" i="3"/>
  <c r="BR521" i="3"/>
  <c r="BR522" i="3"/>
  <c r="BR523" i="3"/>
  <c r="BR524" i="3"/>
  <c r="BR525" i="3"/>
  <c r="BR526" i="3"/>
  <c r="BR527" i="3"/>
  <c r="BR528" i="3"/>
  <c r="BR529" i="3"/>
  <c r="BR530" i="3"/>
  <c r="BR531" i="3"/>
  <c r="BR532" i="3"/>
  <c r="BR533" i="3"/>
  <c r="BR534" i="3"/>
  <c r="BR535" i="3"/>
  <c r="BR536" i="3"/>
  <c r="BR537" i="3"/>
  <c r="BR538" i="3"/>
  <c r="BR539" i="3"/>
  <c r="BR540" i="3"/>
  <c r="BR541" i="3"/>
  <c r="BR542" i="3"/>
  <c r="BR543" i="3"/>
  <c r="BR544" i="3"/>
  <c r="BR545" i="3"/>
  <c r="BR546" i="3"/>
  <c r="BR547" i="3"/>
  <c r="BR548" i="3"/>
  <c r="BR549" i="3"/>
  <c r="BR550" i="3"/>
  <c r="BR551" i="3"/>
  <c r="BR552" i="3"/>
  <c r="BR553" i="3"/>
  <c r="BR554" i="3"/>
  <c r="BR555" i="3"/>
  <c r="BR556" i="3"/>
  <c r="BR557" i="3"/>
  <c r="BR558" i="3"/>
  <c r="BR559" i="3"/>
  <c r="BR560" i="3"/>
  <c r="BR561" i="3"/>
  <c r="BR562" i="3"/>
  <c r="BR563" i="3"/>
  <c r="BR564" i="3"/>
  <c r="BR565" i="3"/>
  <c r="BR566" i="3"/>
  <c r="BR567" i="3"/>
  <c r="BR568" i="3"/>
  <c r="BR569" i="3"/>
  <c r="BR570" i="3"/>
  <c r="BR571" i="3"/>
  <c r="BR572" i="3"/>
  <c r="BR573" i="3"/>
  <c r="BR574" i="3"/>
  <c r="BR575" i="3"/>
  <c r="BR576" i="3"/>
  <c r="BR577" i="3"/>
  <c r="BR578" i="3"/>
  <c r="BR579" i="3"/>
  <c r="BR580" i="3"/>
  <c r="BR581" i="3"/>
  <c r="BR582" i="3"/>
  <c r="BR583" i="3"/>
  <c r="BR584" i="3"/>
  <c r="BR585" i="3"/>
  <c r="BR586" i="3"/>
  <c r="BR587" i="3"/>
  <c r="BR588" i="3"/>
  <c r="BR589" i="3"/>
  <c r="BR590" i="3"/>
  <c r="BR591" i="3"/>
  <c r="BR592" i="3"/>
  <c r="BR593" i="3"/>
  <c r="BR594" i="3"/>
  <c r="BR595" i="3"/>
  <c r="BR596" i="3"/>
  <c r="BR597" i="3"/>
  <c r="BR598" i="3"/>
  <c r="BR599" i="3"/>
  <c r="BR600" i="3"/>
  <c r="BR601" i="3"/>
  <c r="BR602" i="3"/>
  <c r="BR603" i="3"/>
  <c r="BR604" i="3"/>
  <c r="BR605" i="3"/>
  <c r="BR606" i="3"/>
  <c r="BR7" i="3"/>
  <c r="BT606" i="3"/>
  <c r="BS606" i="3"/>
  <c r="BT605" i="3"/>
  <c r="BS605" i="3"/>
  <c r="BT604" i="3"/>
  <c r="BS604" i="3"/>
  <c r="BT603" i="3"/>
  <c r="BS603" i="3"/>
  <c r="BT602" i="3"/>
  <c r="BS602" i="3"/>
  <c r="BT601" i="3"/>
  <c r="BS601" i="3"/>
  <c r="BT600" i="3"/>
  <c r="BS600" i="3"/>
  <c r="BT599" i="3"/>
  <c r="BS599" i="3"/>
  <c r="BT598" i="3"/>
  <c r="BS598" i="3"/>
  <c r="BT597" i="3"/>
  <c r="BS597" i="3"/>
  <c r="BT596" i="3"/>
  <c r="BS596" i="3"/>
  <c r="BT595" i="3"/>
  <c r="BS595" i="3"/>
  <c r="BT594" i="3"/>
  <c r="BS594" i="3"/>
  <c r="BT593" i="3"/>
  <c r="BS593" i="3"/>
  <c r="BT592" i="3"/>
  <c r="BS592" i="3"/>
  <c r="BT591" i="3"/>
  <c r="BS591" i="3"/>
  <c r="BT590" i="3"/>
  <c r="BS590" i="3"/>
  <c r="BT589" i="3"/>
  <c r="BS589" i="3"/>
  <c r="BT588" i="3"/>
  <c r="BS588" i="3"/>
  <c r="BT587" i="3"/>
  <c r="BS587" i="3"/>
  <c r="BT586" i="3"/>
  <c r="BS586" i="3"/>
  <c r="BT585" i="3"/>
  <c r="BS585" i="3"/>
  <c r="BT584" i="3"/>
  <c r="BS584" i="3"/>
  <c r="BT583" i="3"/>
  <c r="BS583" i="3"/>
  <c r="BT582" i="3"/>
  <c r="BS582" i="3"/>
  <c r="BT581" i="3"/>
  <c r="BS581" i="3"/>
  <c r="BT580" i="3"/>
  <c r="BS580" i="3"/>
  <c r="BT579" i="3"/>
  <c r="BS579" i="3"/>
  <c r="BT578" i="3"/>
  <c r="BS578" i="3"/>
  <c r="BT577" i="3"/>
  <c r="BS577" i="3"/>
  <c r="BT576" i="3"/>
  <c r="BS576" i="3"/>
  <c r="BT575" i="3"/>
  <c r="BS575" i="3"/>
  <c r="BT574" i="3"/>
  <c r="BS574" i="3"/>
  <c r="BT573" i="3"/>
  <c r="BS573" i="3"/>
  <c r="BT572" i="3"/>
  <c r="BS572" i="3"/>
  <c r="BT571" i="3"/>
  <c r="BS571" i="3"/>
  <c r="BT570" i="3"/>
  <c r="BS570" i="3"/>
  <c r="BT569" i="3"/>
  <c r="BS569" i="3"/>
  <c r="BT568" i="3"/>
  <c r="BS568" i="3"/>
  <c r="BT567" i="3"/>
  <c r="BS567" i="3"/>
  <c r="BT566" i="3"/>
  <c r="BS566" i="3"/>
  <c r="BT565" i="3"/>
  <c r="BS565" i="3"/>
  <c r="BT564" i="3"/>
  <c r="BS564" i="3"/>
  <c r="BT563" i="3"/>
  <c r="BS563" i="3"/>
  <c r="BT562" i="3"/>
  <c r="BS562" i="3"/>
  <c r="BT561" i="3"/>
  <c r="BS561" i="3"/>
  <c r="BT560" i="3"/>
  <c r="BS560" i="3"/>
  <c r="BT559" i="3"/>
  <c r="BS559" i="3"/>
  <c r="BT558" i="3"/>
  <c r="BS558" i="3"/>
  <c r="BT557" i="3"/>
  <c r="BS557" i="3"/>
  <c r="BT556" i="3"/>
  <c r="BS556" i="3"/>
  <c r="BT555" i="3"/>
  <c r="BS555" i="3"/>
  <c r="BT554" i="3"/>
  <c r="BS554" i="3"/>
  <c r="BT553" i="3"/>
  <c r="BS553" i="3"/>
  <c r="BT552" i="3"/>
  <c r="BS552" i="3"/>
  <c r="BT551" i="3"/>
  <c r="BS551" i="3"/>
  <c r="BT550" i="3"/>
  <c r="BS550" i="3"/>
  <c r="BT549" i="3"/>
  <c r="BS549" i="3"/>
  <c r="BT548" i="3"/>
  <c r="BS548" i="3"/>
  <c r="BT547" i="3"/>
  <c r="BS547" i="3"/>
  <c r="BT546" i="3"/>
  <c r="BS546" i="3"/>
  <c r="BT545" i="3"/>
  <c r="BS545" i="3"/>
  <c r="BT544" i="3"/>
  <c r="BS544" i="3"/>
  <c r="BT543" i="3"/>
  <c r="BS543" i="3"/>
  <c r="BT542" i="3"/>
  <c r="BS542" i="3"/>
  <c r="BT541" i="3"/>
  <c r="BS541" i="3"/>
  <c r="BT540" i="3"/>
  <c r="BS540" i="3"/>
  <c r="BT539" i="3"/>
  <c r="BS539" i="3"/>
  <c r="BT538" i="3"/>
  <c r="BS538" i="3"/>
  <c r="BT537" i="3"/>
  <c r="BS537" i="3"/>
  <c r="BT536" i="3"/>
  <c r="BS536" i="3"/>
  <c r="BT535" i="3"/>
  <c r="BS535" i="3"/>
  <c r="BT534" i="3"/>
  <c r="BS534" i="3"/>
  <c r="BT533" i="3"/>
  <c r="BS533" i="3"/>
  <c r="BT532" i="3"/>
  <c r="BS532" i="3"/>
  <c r="BT531" i="3"/>
  <c r="BS531" i="3"/>
  <c r="BT530" i="3"/>
  <c r="BS530" i="3"/>
  <c r="BT529" i="3"/>
  <c r="BS529" i="3"/>
  <c r="BT528" i="3"/>
  <c r="BS528" i="3"/>
  <c r="BT527" i="3"/>
  <c r="BS527" i="3"/>
  <c r="BT526" i="3"/>
  <c r="BS526" i="3"/>
  <c r="BT525" i="3"/>
  <c r="BS525" i="3"/>
  <c r="BT524" i="3"/>
  <c r="BS524" i="3"/>
  <c r="BT523" i="3"/>
  <c r="BS523" i="3"/>
  <c r="BT522" i="3"/>
  <c r="BS522" i="3"/>
  <c r="BT521" i="3"/>
  <c r="BS521" i="3"/>
  <c r="BT520" i="3"/>
  <c r="BS520" i="3"/>
  <c r="BT519" i="3"/>
  <c r="BS519" i="3"/>
  <c r="BT518" i="3"/>
  <c r="BS518" i="3"/>
  <c r="BT517" i="3"/>
  <c r="BS517" i="3"/>
  <c r="BT516" i="3"/>
  <c r="BS516" i="3"/>
  <c r="BT515" i="3"/>
  <c r="BS515" i="3"/>
  <c r="BT514" i="3"/>
  <c r="BS514" i="3"/>
  <c r="BT513" i="3"/>
  <c r="BS513" i="3"/>
  <c r="BT512" i="3"/>
  <c r="BS512" i="3"/>
  <c r="BT511" i="3"/>
  <c r="BS511" i="3"/>
  <c r="BT510" i="3"/>
  <c r="BS510" i="3"/>
  <c r="BT509" i="3"/>
  <c r="BS509" i="3"/>
  <c r="BT508" i="3"/>
  <c r="BS508" i="3"/>
  <c r="BT507" i="3"/>
  <c r="BS507" i="3"/>
  <c r="BT506" i="3"/>
  <c r="BS506" i="3"/>
  <c r="BT505" i="3"/>
  <c r="BS505" i="3"/>
  <c r="BT504" i="3"/>
  <c r="BS504" i="3"/>
  <c r="BT503" i="3"/>
  <c r="BS503" i="3"/>
  <c r="BT502" i="3"/>
  <c r="BS502" i="3"/>
  <c r="BT501" i="3"/>
  <c r="BS501" i="3"/>
  <c r="BT500" i="3"/>
  <c r="BS500" i="3"/>
  <c r="BT499" i="3"/>
  <c r="BS499" i="3"/>
  <c r="BT498" i="3"/>
  <c r="BS498" i="3"/>
  <c r="BT497" i="3"/>
  <c r="BS497" i="3"/>
  <c r="BT496" i="3"/>
  <c r="BS496" i="3"/>
  <c r="BT495" i="3"/>
  <c r="BS495" i="3"/>
  <c r="BT494" i="3"/>
  <c r="BS494" i="3"/>
  <c r="BT493" i="3"/>
  <c r="BS493" i="3"/>
  <c r="BT492" i="3"/>
  <c r="BS492" i="3"/>
  <c r="BT491" i="3"/>
  <c r="BS491" i="3"/>
  <c r="BT490" i="3"/>
  <c r="BS490" i="3"/>
  <c r="BT489" i="3"/>
  <c r="BS489" i="3"/>
  <c r="BT488" i="3"/>
  <c r="BS488" i="3"/>
  <c r="BT487" i="3"/>
  <c r="BS487" i="3"/>
  <c r="BT486" i="3"/>
  <c r="BS486" i="3"/>
  <c r="BT485" i="3"/>
  <c r="BS485" i="3"/>
  <c r="BT484" i="3"/>
  <c r="BS484" i="3"/>
  <c r="BT483" i="3"/>
  <c r="BS483" i="3"/>
  <c r="BT482" i="3"/>
  <c r="BS482" i="3"/>
  <c r="BT481" i="3"/>
  <c r="BS481" i="3"/>
  <c r="BT480" i="3"/>
  <c r="BS480" i="3"/>
  <c r="BT479" i="3"/>
  <c r="BS479" i="3"/>
  <c r="BT478" i="3"/>
  <c r="BS478" i="3"/>
  <c r="BT477" i="3"/>
  <c r="BS477" i="3"/>
  <c r="BT476" i="3"/>
  <c r="BS476" i="3"/>
  <c r="BT475" i="3"/>
  <c r="BS475" i="3"/>
  <c r="BT474" i="3"/>
  <c r="BS474" i="3"/>
  <c r="BT473" i="3"/>
  <c r="BS473" i="3"/>
  <c r="BT472" i="3"/>
  <c r="BS472" i="3"/>
  <c r="BT471" i="3"/>
  <c r="BS471" i="3"/>
  <c r="BT470" i="3"/>
  <c r="BS470" i="3"/>
  <c r="BT469" i="3"/>
  <c r="BS469" i="3"/>
  <c r="BT468" i="3"/>
  <c r="BS468" i="3"/>
  <c r="BT467" i="3"/>
  <c r="BS467" i="3"/>
  <c r="BT466" i="3"/>
  <c r="BS466" i="3"/>
  <c r="BT465" i="3"/>
  <c r="BS465" i="3"/>
  <c r="BT464" i="3"/>
  <c r="BS464" i="3"/>
  <c r="BT463" i="3"/>
  <c r="BS463" i="3"/>
  <c r="BT462" i="3"/>
  <c r="BS462" i="3"/>
  <c r="BT461" i="3"/>
  <c r="BS461" i="3"/>
  <c r="BT460" i="3"/>
  <c r="BS460" i="3"/>
  <c r="BT459" i="3"/>
  <c r="BS459" i="3"/>
  <c r="BT458" i="3"/>
  <c r="BS458" i="3"/>
  <c r="BT457" i="3"/>
  <c r="BS457" i="3"/>
  <c r="BT456" i="3"/>
  <c r="BS456" i="3"/>
  <c r="BT455" i="3"/>
  <c r="BS455" i="3"/>
  <c r="BT454" i="3"/>
  <c r="BS454" i="3"/>
  <c r="BT453" i="3"/>
  <c r="BS453" i="3"/>
  <c r="BT452" i="3"/>
  <c r="BS452" i="3"/>
  <c r="BT451" i="3"/>
  <c r="BS451" i="3"/>
  <c r="BT450" i="3"/>
  <c r="BS450" i="3"/>
  <c r="BT449" i="3"/>
  <c r="BS449" i="3"/>
  <c r="BT448" i="3"/>
  <c r="BS448" i="3"/>
  <c r="BT447" i="3"/>
  <c r="BS447" i="3"/>
  <c r="BT446" i="3"/>
  <c r="BS446" i="3"/>
  <c r="BT445" i="3"/>
  <c r="BS445" i="3"/>
  <c r="BT444" i="3"/>
  <c r="BS444" i="3"/>
  <c r="BT443" i="3"/>
  <c r="BS443" i="3"/>
  <c r="BT442" i="3"/>
  <c r="BS442" i="3"/>
  <c r="BT441" i="3"/>
  <c r="BS441" i="3"/>
  <c r="BT440" i="3"/>
  <c r="BS440" i="3"/>
  <c r="BT439" i="3"/>
  <c r="BS439" i="3"/>
  <c r="BT438" i="3"/>
  <c r="BS438" i="3"/>
  <c r="BT437" i="3"/>
  <c r="BS437" i="3"/>
  <c r="BT436" i="3"/>
  <c r="BS436" i="3"/>
  <c r="BT435" i="3"/>
  <c r="BS435" i="3"/>
  <c r="BT434" i="3"/>
  <c r="BS434" i="3"/>
  <c r="BT433" i="3"/>
  <c r="BS433" i="3"/>
  <c r="BT432" i="3"/>
  <c r="BS432" i="3"/>
  <c r="BT431" i="3"/>
  <c r="BS431" i="3"/>
  <c r="BT430" i="3"/>
  <c r="BS430" i="3"/>
  <c r="BT429" i="3"/>
  <c r="BS429" i="3"/>
  <c r="BT428" i="3"/>
  <c r="BS428" i="3"/>
  <c r="BT427" i="3"/>
  <c r="BS427" i="3"/>
  <c r="BT426" i="3"/>
  <c r="BS426" i="3"/>
  <c r="BT425" i="3"/>
  <c r="BS425" i="3"/>
  <c r="BT424" i="3"/>
  <c r="BS424" i="3"/>
  <c r="BT423" i="3"/>
  <c r="BS423" i="3"/>
  <c r="BT422" i="3"/>
  <c r="BS422" i="3"/>
  <c r="BT421" i="3"/>
  <c r="BS421" i="3"/>
  <c r="BT420" i="3"/>
  <c r="BS420" i="3"/>
  <c r="BT419" i="3"/>
  <c r="BS419" i="3"/>
  <c r="BT418" i="3"/>
  <c r="BS418" i="3"/>
  <c r="BT417" i="3"/>
  <c r="BS417" i="3"/>
  <c r="BT416" i="3"/>
  <c r="BS416" i="3"/>
  <c r="BT415" i="3"/>
  <c r="BS415" i="3"/>
  <c r="BT414" i="3"/>
  <c r="BS414" i="3"/>
  <c r="BT413" i="3"/>
  <c r="BS413" i="3"/>
  <c r="BT412" i="3"/>
  <c r="BS412" i="3"/>
  <c r="BT411" i="3"/>
  <c r="BS411" i="3"/>
  <c r="BT410" i="3"/>
  <c r="BS410" i="3"/>
  <c r="BT409" i="3"/>
  <c r="BS409" i="3"/>
  <c r="BT408" i="3"/>
  <c r="BS408" i="3"/>
  <c r="BT407" i="3"/>
  <c r="BS407" i="3"/>
  <c r="BT406" i="3"/>
  <c r="BS406" i="3"/>
  <c r="BT405" i="3"/>
  <c r="BS405" i="3"/>
  <c r="BT404" i="3"/>
  <c r="BS404" i="3"/>
  <c r="BT403" i="3"/>
  <c r="BS403" i="3"/>
  <c r="BT402" i="3"/>
  <c r="BS402" i="3"/>
  <c r="BT401" i="3"/>
  <c r="BS401" i="3"/>
  <c r="BT400" i="3"/>
  <c r="BS400" i="3"/>
  <c r="BT399" i="3"/>
  <c r="BS399" i="3"/>
  <c r="BT398" i="3"/>
  <c r="BS398" i="3"/>
  <c r="BT397" i="3"/>
  <c r="BS397" i="3"/>
  <c r="BT396" i="3"/>
  <c r="BS396" i="3"/>
  <c r="BT395" i="3"/>
  <c r="BS395" i="3"/>
  <c r="BT394" i="3"/>
  <c r="BS394" i="3"/>
  <c r="BT393" i="3"/>
  <c r="BS393" i="3"/>
  <c r="BT392" i="3"/>
  <c r="BS392" i="3"/>
  <c r="BT391" i="3"/>
  <c r="BS391" i="3"/>
  <c r="BT390" i="3"/>
  <c r="BS390" i="3"/>
  <c r="BT389" i="3"/>
  <c r="BS389" i="3"/>
  <c r="BT388" i="3"/>
  <c r="BS388" i="3"/>
  <c r="BT387" i="3"/>
  <c r="BS387" i="3"/>
  <c r="BT386" i="3"/>
  <c r="BS386" i="3"/>
  <c r="BT385" i="3"/>
  <c r="BS385" i="3"/>
  <c r="BT384" i="3"/>
  <c r="BS384" i="3"/>
  <c r="BT383" i="3"/>
  <c r="BS383" i="3"/>
  <c r="BT382" i="3"/>
  <c r="BS382" i="3"/>
  <c r="BT381" i="3"/>
  <c r="BS381" i="3"/>
  <c r="BT380" i="3"/>
  <c r="BS380" i="3"/>
  <c r="BT379" i="3"/>
  <c r="BS379" i="3"/>
  <c r="BT378" i="3"/>
  <c r="BS378" i="3"/>
  <c r="BT377" i="3"/>
  <c r="BS377" i="3"/>
  <c r="BT376" i="3"/>
  <c r="BS376" i="3"/>
  <c r="BT375" i="3"/>
  <c r="BS375" i="3"/>
  <c r="BT374" i="3"/>
  <c r="BS374" i="3"/>
  <c r="BT373" i="3"/>
  <c r="BS373" i="3"/>
  <c r="BT372" i="3"/>
  <c r="BS372" i="3"/>
  <c r="BT371" i="3"/>
  <c r="BS371" i="3"/>
  <c r="BT370" i="3"/>
  <c r="BS370" i="3"/>
  <c r="BT369" i="3"/>
  <c r="BS369" i="3"/>
  <c r="BT368" i="3"/>
  <c r="BS368" i="3"/>
  <c r="BT367" i="3"/>
  <c r="BS367" i="3"/>
  <c r="BT366" i="3"/>
  <c r="BS366" i="3"/>
  <c r="BT365" i="3"/>
  <c r="BS365" i="3"/>
  <c r="BT364" i="3"/>
  <c r="BS364" i="3"/>
  <c r="BT363" i="3"/>
  <c r="BS363" i="3"/>
  <c r="BT362" i="3"/>
  <c r="BS362" i="3"/>
  <c r="BT361" i="3"/>
  <c r="BS361" i="3"/>
  <c r="BT360" i="3"/>
  <c r="BS360" i="3"/>
  <c r="BT359" i="3"/>
  <c r="BS359" i="3"/>
  <c r="BT358" i="3"/>
  <c r="BS358" i="3"/>
  <c r="BT357" i="3"/>
  <c r="BS357" i="3"/>
  <c r="BT356" i="3"/>
  <c r="BS356" i="3"/>
  <c r="BT355" i="3"/>
  <c r="BS355" i="3"/>
  <c r="BT354" i="3"/>
  <c r="BS354" i="3"/>
  <c r="BT353" i="3"/>
  <c r="BS353" i="3"/>
  <c r="BT352" i="3"/>
  <c r="BS352" i="3"/>
  <c r="BT351" i="3"/>
  <c r="BS351" i="3"/>
  <c r="BT350" i="3"/>
  <c r="BS350" i="3"/>
  <c r="BT349" i="3"/>
  <c r="BS349" i="3"/>
  <c r="BT348" i="3"/>
  <c r="BS348" i="3"/>
  <c r="BT347" i="3"/>
  <c r="BS347" i="3"/>
  <c r="BT346" i="3"/>
  <c r="BS346" i="3"/>
  <c r="BT345" i="3"/>
  <c r="BS345" i="3"/>
  <c r="BT344" i="3"/>
  <c r="BS344" i="3"/>
  <c r="BT343" i="3"/>
  <c r="BS343" i="3"/>
  <c r="BT342" i="3"/>
  <c r="BS342" i="3"/>
  <c r="BT341" i="3"/>
  <c r="BS341" i="3"/>
  <c r="BT340" i="3"/>
  <c r="BS340" i="3"/>
  <c r="BT339" i="3"/>
  <c r="BS339" i="3"/>
  <c r="BT338" i="3"/>
  <c r="BS338" i="3"/>
  <c r="BT337" i="3"/>
  <c r="BS337" i="3"/>
  <c r="BT336" i="3"/>
  <c r="BS336" i="3"/>
  <c r="BT335" i="3"/>
  <c r="BS335" i="3"/>
  <c r="BT334" i="3"/>
  <c r="BS334" i="3"/>
  <c r="BT333" i="3"/>
  <c r="BS333" i="3"/>
  <c r="BT332" i="3"/>
  <c r="BS332" i="3"/>
  <c r="BT331" i="3"/>
  <c r="BS331" i="3"/>
  <c r="BT330" i="3"/>
  <c r="BS330" i="3"/>
  <c r="BT329" i="3"/>
  <c r="BS329" i="3"/>
  <c r="BT328" i="3"/>
  <c r="BS328" i="3"/>
  <c r="BT327" i="3"/>
  <c r="BS327" i="3"/>
  <c r="BT326" i="3"/>
  <c r="BS326" i="3"/>
  <c r="BT325" i="3"/>
  <c r="BS325" i="3"/>
  <c r="BT324" i="3"/>
  <c r="BS324" i="3"/>
  <c r="BT323" i="3"/>
  <c r="BS323" i="3"/>
  <c r="BT322" i="3"/>
  <c r="BS322" i="3"/>
  <c r="BT321" i="3"/>
  <c r="BS321" i="3"/>
  <c r="BT320" i="3"/>
  <c r="BS320" i="3"/>
  <c r="BT319" i="3"/>
  <c r="BS319" i="3"/>
  <c r="BT318" i="3"/>
  <c r="BS318" i="3"/>
  <c r="BT317" i="3"/>
  <c r="BS317" i="3"/>
  <c r="BT316" i="3"/>
  <c r="BS316" i="3"/>
  <c r="BT315" i="3"/>
  <c r="BS315" i="3"/>
  <c r="BT314" i="3"/>
  <c r="BS314" i="3"/>
  <c r="BT313" i="3"/>
  <c r="BS313" i="3"/>
  <c r="BT312" i="3"/>
  <c r="BS312" i="3"/>
  <c r="BT311" i="3"/>
  <c r="BS311" i="3"/>
  <c r="BT310" i="3"/>
  <c r="BS310" i="3"/>
  <c r="BT309" i="3"/>
  <c r="BS309" i="3"/>
  <c r="BT308" i="3"/>
  <c r="BS308" i="3"/>
  <c r="BT307" i="3"/>
  <c r="BS307" i="3"/>
  <c r="BT306" i="3"/>
  <c r="BS306" i="3"/>
  <c r="BT305" i="3"/>
  <c r="BS305" i="3"/>
  <c r="BT304" i="3"/>
  <c r="BS304" i="3"/>
  <c r="BT303" i="3"/>
  <c r="BS303" i="3"/>
  <c r="BT302" i="3"/>
  <c r="BS302" i="3"/>
  <c r="BT301" i="3"/>
  <c r="BS301" i="3"/>
  <c r="BT300" i="3"/>
  <c r="BS300" i="3"/>
  <c r="BT299" i="3"/>
  <c r="BS299" i="3"/>
  <c r="BT298" i="3"/>
  <c r="BS298" i="3"/>
  <c r="BT297" i="3"/>
  <c r="BS297" i="3"/>
  <c r="BT296" i="3"/>
  <c r="BS296" i="3"/>
  <c r="BT295" i="3"/>
  <c r="BS295" i="3"/>
  <c r="BT294" i="3"/>
  <c r="BS294" i="3"/>
  <c r="BT293" i="3"/>
  <c r="BS293" i="3"/>
  <c r="BT292" i="3"/>
  <c r="BS292" i="3"/>
  <c r="BT291" i="3"/>
  <c r="BS291" i="3"/>
  <c r="BT290" i="3"/>
  <c r="BS290" i="3"/>
  <c r="BT289" i="3"/>
  <c r="BS289" i="3"/>
  <c r="BT288" i="3"/>
  <c r="BS288" i="3"/>
  <c r="BT287" i="3"/>
  <c r="BS287" i="3"/>
  <c r="BT286" i="3"/>
  <c r="BS286" i="3"/>
  <c r="BT285" i="3"/>
  <c r="BS285" i="3"/>
  <c r="BT284" i="3"/>
  <c r="BS284" i="3"/>
  <c r="BT283" i="3"/>
  <c r="BS283" i="3"/>
  <c r="BT282" i="3"/>
  <c r="BS282" i="3"/>
  <c r="BT281" i="3"/>
  <c r="BS281" i="3"/>
  <c r="BT280" i="3"/>
  <c r="BS280" i="3"/>
  <c r="BT279" i="3"/>
  <c r="BS279" i="3"/>
  <c r="BT278" i="3"/>
  <c r="BS278" i="3"/>
  <c r="BT277" i="3"/>
  <c r="BS277" i="3"/>
  <c r="BT276" i="3"/>
  <c r="BS276" i="3"/>
  <c r="BT275" i="3"/>
  <c r="BS275" i="3"/>
  <c r="BT274" i="3"/>
  <c r="BS274" i="3"/>
  <c r="BT273" i="3"/>
  <c r="BS273" i="3"/>
  <c r="BT272" i="3"/>
  <c r="BS272" i="3"/>
  <c r="BT271" i="3"/>
  <c r="BS271" i="3"/>
  <c r="BT270" i="3"/>
  <c r="BS270" i="3"/>
  <c r="BT269" i="3"/>
  <c r="BS269" i="3"/>
  <c r="BT268" i="3"/>
  <c r="BS268" i="3"/>
  <c r="BT267" i="3"/>
  <c r="BS267" i="3"/>
  <c r="BT266" i="3"/>
  <c r="BS266" i="3"/>
  <c r="BT265" i="3"/>
  <c r="BS265" i="3"/>
  <c r="BT264" i="3"/>
  <c r="BS264" i="3"/>
  <c r="BT263" i="3"/>
  <c r="BS263" i="3"/>
  <c r="BT262" i="3"/>
  <c r="BS262" i="3"/>
  <c r="BT261" i="3"/>
  <c r="BS261" i="3"/>
  <c r="BT260" i="3"/>
  <c r="BS260" i="3"/>
  <c r="BT259" i="3"/>
  <c r="BS259" i="3"/>
  <c r="BT258" i="3"/>
  <c r="BS258" i="3"/>
  <c r="BT257" i="3"/>
  <c r="BS257" i="3"/>
  <c r="BT256" i="3"/>
  <c r="BS256" i="3"/>
  <c r="BT255" i="3"/>
  <c r="BS255" i="3"/>
  <c r="BT254" i="3"/>
  <c r="BS254" i="3"/>
  <c r="BT253" i="3"/>
  <c r="BS253" i="3"/>
  <c r="BT252" i="3"/>
  <c r="BS252" i="3"/>
  <c r="BT251" i="3"/>
  <c r="BS251" i="3"/>
  <c r="BT250" i="3"/>
  <c r="BS250" i="3"/>
  <c r="BT249" i="3"/>
  <c r="BS249" i="3"/>
  <c r="BT248" i="3"/>
  <c r="BS248" i="3"/>
  <c r="BT247" i="3"/>
  <c r="BS247" i="3"/>
  <c r="BT246" i="3"/>
  <c r="BS246" i="3"/>
  <c r="BT245" i="3"/>
  <c r="BS245" i="3"/>
  <c r="BT244" i="3"/>
  <c r="BS244" i="3"/>
  <c r="BT243" i="3"/>
  <c r="BS243" i="3"/>
  <c r="BT242" i="3"/>
  <c r="BS242" i="3"/>
  <c r="BT241" i="3"/>
  <c r="BS241" i="3"/>
  <c r="BT240" i="3"/>
  <c r="BS240" i="3"/>
  <c r="BT239" i="3"/>
  <c r="BS239" i="3"/>
  <c r="BT238" i="3"/>
  <c r="BS238" i="3"/>
  <c r="BT237" i="3"/>
  <c r="BS237" i="3"/>
  <c r="BT236" i="3"/>
  <c r="BS236" i="3"/>
  <c r="BT235" i="3"/>
  <c r="BS235" i="3"/>
  <c r="BT234" i="3"/>
  <c r="BS234" i="3"/>
  <c r="BT233" i="3"/>
  <c r="BS233" i="3"/>
  <c r="BT232" i="3"/>
  <c r="BS232" i="3"/>
  <c r="BT231" i="3"/>
  <c r="BS231" i="3"/>
  <c r="BT230" i="3"/>
  <c r="BS230" i="3"/>
  <c r="BT229" i="3"/>
  <c r="BS229" i="3"/>
  <c r="BT228" i="3"/>
  <c r="BS228" i="3"/>
  <c r="BT227" i="3"/>
  <c r="BS227" i="3"/>
  <c r="BT226" i="3"/>
  <c r="BS226" i="3"/>
  <c r="BT225" i="3"/>
  <c r="BS225" i="3"/>
  <c r="BT224" i="3"/>
  <c r="BS224" i="3"/>
  <c r="BT223" i="3"/>
  <c r="BS223" i="3"/>
  <c r="BT222" i="3"/>
  <c r="BS222" i="3"/>
  <c r="BT221" i="3"/>
  <c r="BS221" i="3"/>
  <c r="BT220" i="3"/>
  <c r="BS220" i="3"/>
  <c r="BT219" i="3"/>
  <c r="BS219" i="3"/>
  <c r="BT218" i="3"/>
  <c r="BS218" i="3"/>
  <c r="BT217" i="3"/>
  <c r="BS217" i="3"/>
  <c r="BT216" i="3"/>
  <c r="BS216" i="3"/>
  <c r="BT215" i="3"/>
  <c r="BS215" i="3"/>
  <c r="BT214" i="3"/>
  <c r="BS214" i="3"/>
  <c r="BT213" i="3"/>
  <c r="BS213" i="3"/>
  <c r="BT212" i="3"/>
  <c r="BS212" i="3"/>
  <c r="BT211" i="3"/>
  <c r="BS211" i="3"/>
  <c r="BT210" i="3"/>
  <c r="BS210" i="3"/>
  <c r="BT209" i="3"/>
  <c r="BS209" i="3"/>
  <c r="BT208" i="3"/>
  <c r="BS208" i="3"/>
  <c r="BT207" i="3"/>
  <c r="BS207" i="3"/>
  <c r="BT206" i="3"/>
  <c r="BS206" i="3"/>
  <c r="BT205" i="3"/>
  <c r="BS205" i="3"/>
  <c r="BT204" i="3"/>
  <c r="BS204" i="3"/>
  <c r="BT203" i="3"/>
  <c r="BS203" i="3"/>
  <c r="BT202" i="3"/>
  <c r="BS202" i="3"/>
  <c r="BT201" i="3"/>
  <c r="BS201" i="3"/>
  <c r="BT200" i="3"/>
  <c r="BS200" i="3"/>
  <c r="BT199" i="3"/>
  <c r="BS199" i="3"/>
  <c r="BT198" i="3"/>
  <c r="BS198" i="3"/>
  <c r="BT197" i="3"/>
  <c r="BS197" i="3"/>
  <c r="BT196" i="3"/>
  <c r="BS196" i="3"/>
  <c r="BT195" i="3"/>
  <c r="BS195" i="3"/>
  <c r="BT194" i="3"/>
  <c r="BS194" i="3"/>
  <c r="BT193" i="3"/>
  <c r="BS193" i="3"/>
  <c r="BT192" i="3"/>
  <c r="BS192" i="3"/>
  <c r="BT191" i="3"/>
  <c r="BS191" i="3"/>
  <c r="BT190" i="3"/>
  <c r="BS190" i="3"/>
  <c r="BT189" i="3"/>
  <c r="BS189" i="3"/>
  <c r="BT188" i="3"/>
  <c r="BS188" i="3"/>
  <c r="BT187" i="3"/>
  <c r="BS187" i="3"/>
  <c r="BT186" i="3"/>
  <c r="BS186" i="3"/>
  <c r="BT185" i="3"/>
  <c r="BS185" i="3"/>
  <c r="BT184" i="3"/>
  <c r="BS184" i="3"/>
  <c r="BT183" i="3"/>
  <c r="BS183" i="3"/>
  <c r="BT182" i="3"/>
  <c r="BS182" i="3"/>
  <c r="BT181" i="3"/>
  <c r="BS181" i="3"/>
  <c r="BT180" i="3"/>
  <c r="BS180" i="3"/>
  <c r="BT179" i="3"/>
  <c r="BS179" i="3"/>
  <c r="BT178" i="3"/>
  <c r="BS178" i="3"/>
  <c r="BT177" i="3"/>
  <c r="BS177" i="3"/>
  <c r="BT176" i="3"/>
  <c r="BS176" i="3"/>
  <c r="BT175" i="3"/>
  <c r="BS175" i="3"/>
  <c r="BT174" i="3"/>
  <c r="BS174" i="3"/>
  <c r="BT173" i="3"/>
  <c r="BS173" i="3"/>
  <c r="BT172" i="3"/>
  <c r="BS172" i="3"/>
  <c r="BT171" i="3"/>
  <c r="BS171" i="3"/>
  <c r="BT170" i="3"/>
  <c r="BS170" i="3"/>
  <c r="BT169" i="3"/>
  <c r="BS169" i="3"/>
  <c r="BT168" i="3"/>
  <c r="BS168" i="3"/>
  <c r="BT167" i="3"/>
  <c r="BS167" i="3"/>
  <c r="BT166" i="3"/>
  <c r="BS166" i="3"/>
  <c r="BT165" i="3"/>
  <c r="BS165" i="3"/>
  <c r="BT164" i="3"/>
  <c r="BS164" i="3"/>
  <c r="BT163" i="3"/>
  <c r="BS163" i="3"/>
  <c r="BT162" i="3"/>
  <c r="BS162" i="3"/>
  <c r="BT161" i="3"/>
  <c r="BS161" i="3"/>
  <c r="BT160" i="3"/>
  <c r="BS160" i="3"/>
  <c r="BT159" i="3"/>
  <c r="BS159" i="3"/>
  <c r="BT158" i="3"/>
  <c r="BS158" i="3"/>
  <c r="BT157" i="3"/>
  <c r="BS157" i="3"/>
  <c r="BT156" i="3"/>
  <c r="BS156" i="3"/>
  <c r="BT155" i="3"/>
  <c r="BS155" i="3"/>
  <c r="BT154" i="3"/>
  <c r="BS154" i="3"/>
  <c r="BT153" i="3"/>
  <c r="BS153" i="3"/>
  <c r="BT152" i="3"/>
  <c r="BS152" i="3"/>
  <c r="BT151" i="3"/>
  <c r="BS151" i="3"/>
  <c r="BT150" i="3"/>
  <c r="BS150" i="3"/>
  <c r="BT149" i="3"/>
  <c r="BS149" i="3"/>
  <c r="BT148" i="3"/>
  <c r="BS148" i="3"/>
  <c r="BT147" i="3"/>
  <c r="BS147" i="3"/>
  <c r="BT146" i="3"/>
  <c r="BS146" i="3"/>
  <c r="BT145" i="3"/>
  <c r="BS145" i="3"/>
  <c r="BT144" i="3"/>
  <c r="BS144" i="3"/>
  <c r="BT143" i="3"/>
  <c r="BS143" i="3"/>
  <c r="BT142" i="3"/>
  <c r="BS142" i="3"/>
  <c r="BT141" i="3"/>
  <c r="BS141" i="3"/>
  <c r="BT140" i="3"/>
  <c r="BS140" i="3"/>
  <c r="BT139" i="3"/>
  <c r="BS139" i="3"/>
  <c r="BT138" i="3"/>
  <c r="BS138" i="3"/>
  <c r="BT137" i="3"/>
  <c r="BS137" i="3"/>
  <c r="BT136" i="3"/>
  <c r="BS136" i="3"/>
  <c r="BT135" i="3"/>
  <c r="BS135" i="3"/>
  <c r="BT134" i="3"/>
  <c r="BS134" i="3"/>
  <c r="BT133" i="3"/>
  <c r="BS133" i="3"/>
  <c r="BT132" i="3"/>
  <c r="BS132" i="3"/>
  <c r="BT131" i="3"/>
  <c r="BS131" i="3"/>
  <c r="BT130" i="3"/>
  <c r="BS130" i="3"/>
  <c r="BT129" i="3"/>
  <c r="BS129" i="3"/>
  <c r="BT128" i="3"/>
  <c r="BS128" i="3"/>
  <c r="BT127" i="3"/>
  <c r="BS127" i="3"/>
  <c r="BT126" i="3"/>
  <c r="BS126" i="3"/>
  <c r="BT125" i="3"/>
  <c r="BS125" i="3"/>
  <c r="BT124" i="3"/>
  <c r="BS124" i="3"/>
  <c r="BT123" i="3"/>
  <c r="BS123" i="3"/>
  <c r="BT122" i="3"/>
  <c r="BS122" i="3"/>
  <c r="BT121" i="3"/>
  <c r="BS121" i="3"/>
  <c r="BT120" i="3"/>
  <c r="BS120" i="3"/>
  <c r="BT119" i="3"/>
  <c r="BS119" i="3"/>
  <c r="BT118" i="3"/>
  <c r="BS118" i="3"/>
  <c r="BT117" i="3"/>
  <c r="BS117" i="3"/>
  <c r="BT116" i="3"/>
  <c r="BS116" i="3"/>
  <c r="BT115" i="3"/>
  <c r="BS115" i="3"/>
  <c r="BT114" i="3"/>
  <c r="BS114" i="3"/>
  <c r="BT113" i="3"/>
  <c r="BS113" i="3"/>
  <c r="BT112" i="3"/>
  <c r="BS112" i="3"/>
  <c r="BT111" i="3"/>
  <c r="BS111" i="3"/>
  <c r="BT110" i="3"/>
  <c r="BS110" i="3"/>
  <c r="BT109" i="3"/>
  <c r="BS109" i="3"/>
  <c r="BT108" i="3"/>
  <c r="BS108" i="3"/>
  <c r="BT107" i="3"/>
  <c r="BS107" i="3"/>
  <c r="BT106" i="3"/>
  <c r="BS106" i="3"/>
  <c r="BT105" i="3"/>
  <c r="BS105" i="3"/>
  <c r="BT104" i="3"/>
  <c r="BS104" i="3"/>
  <c r="BT103" i="3"/>
  <c r="BS103" i="3"/>
  <c r="BT102" i="3"/>
  <c r="BS102" i="3"/>
  <c r="BT101" i="3"/>
  <c r="BS101" i="3"/>
  <c r="BT100" i="3"/>
  <c r="BS100" i="3"/>
  <c r="BT99" i="3"/>
  <c r="BS99" i="3"/>
  <c r="BT98" i="3"/>
  <c r="BS98" i="3"/>
  <c r="BT97" i="3"/>
  <c r="BS97" i="3"/>
  <c r="BT96" i="3"/>
  <c r="BS96" i="3"/>
  <c r="BT95" i="3"/>
  <c r="BS95" i="3"/>
  <c r="BT94" i="3"/>
  <c r="BS94" i="3"/>
  <c r="BT93" i="3"/>
  <c r="BS93" i="3"/>
  <c r="BT92" i="3"/>
  <c r="BS92" i="3"/>
  <c r="BT91" i="3"/>
  <c r="BS91" i="3"/>
  <c r="BT90" i="3"/>
  <c r="BS90" i="3"/>
  <c r="BT89" i="3"/>
  <c r="BS89" i="3"/>
  <c r="BT88" i="3"/>
  <c r="BS88" i="3"/>
  <c r="BT87" i="3"/>
  <c r="BS87" i="3"/>
  <c r="BT86" i="3"/>
  <c r="BS86" i="3"/>
  <c r="BT85" i="3"/>
  <c r="BS85" i="3"/>
  <c r="BT84" i="3"/>
  <c r="BS84" i="3"/>
  <c r="BT83" i="3"/>
  <c r="BS83" i="3"/>
  <c r="BT82" i="3"/>
  <c r="BS82" i="3"/>
  <c r="BT81" i="3"/>
  <c r="BS81" i="3"/>
  <c r="BT80" i="3"/>
  <c r="BS80" i="3"/>
  <c r="BT79" i="3"/>
  <c r="BS79" i="3"/>
  <c r="BT78" i="3"/>
  <c r="BS78" i="3"/>
  <c r="BT77" i="3"/>
  <c r="BS77" i="3"/>
  <c r="BT76" i="3"/>
  <c r="BS76" i="3"/>
  <c r="BT75" i="3"/>
  <c r="BS75" i="3"/>
  <c r="BT74" i="3"/>
  <c r="BS74" i="3"/>
  <c r="BT73" i="3"/>
  <c r="BS73" i="3"/>
  <c r="BT72" i="3"/>
  <c r="BS72" i="3"/>
  <c r="BT71" i="3"/>
  <c r="BS71" i="3"/>
  <c r="BT70" i="3"/>
  <c r="BS70" i="3"/>
  <c r="BT69" i="3"/>
  <c r="BS69" i="3"/>
  <c r="BT68" i="3"/>
  <c r="BS68" i="3"/>
  <c r="BT67" i="3"/>
  <c r="BS67" i="3"/>
  <c r="BT66" i="3"/>
  <c r="BS66" i="3"/>
  <c r="BT65" i="3"/>
  <c r="BS65" i="3"/>
  <c r="BT64" i="3"/>
  <c r="BS64" i="3"/>
  <c r="BT63" i="3"/>
  <c r="BS63" i="3"/>
  <c r="BT62" i="3"/>
  <c r="BS62" i="3"/>
  <c r="BT61" i="3"/>
  <c r="BS61" i="3"/>
  <c r="BT60" i="3"/>
  <c r="BS60" i="3"/>
  <c r="BT59" i="3"/>
  <c r="BS59" i="3"/>
  <c r="BT58" i="3"/>
  <c r="BS58" i="3"/>
  <c r="BT57" i="3"/>
  <c r="BS57" i="3"/>
  <c r="BT56" i="3"/>
  <c r="BS56" i="3"/>
  <c r="BT55" i="3"/>
  <c r="BS55" i="3"/>
  <c r="BT54" i="3"/>
  <c r="BS54" i="3"/>
  <c r="BT53" i="3"/>
  <c r="BS53" i="3"/>
  <c r="BT52" i="3"/>
  <c r="BS52" i="3"/>
  <c r="BT51" i="3"/>
  <c r="BS51" i="3"/>
  <c r="BT50" i="3"/>
  <c r="BS50" i="3"/>
  <c r="BT49" i="3"/>
  <c r="BS49" i="3"/>
  <c r="BT48" i="3"/>
  <c r="BS48" i="3"/>
  <c r="BT47" i="3"/>
  <c r="BS47" i="3"/>
  <c r="BT46" i="3"/>
  <c r="BS46" i="3"/>
  <c r="BT45" i="3"/>
  <c r="BS45" i="3"/>
  <c r="BT44" i="3"/>
  <c r="BS44" i="3"/>
  <c r="BT43" i="3"/>
  <c r="BS43" i="3"/>
  <c r="BT42" i="3"/>
  <c r="BS42" i="3"/>
  <c r="BT41" i="3"/>
  <c r="BS41" i="3"/>
  <c r="BT40" i="3"/>
  <c r="BS40" i="3"/>
  <c r="BT39" i="3"/>
  <c r="BS39" i="3"/>
  <c r="BT38" i="3"/>
  <c r="BS38" i="3"/>
  <c r="BT37" i="3"/>
  <c r="BS37" i="3"/>
  <c r="BT36" i="3"/>
  <c r="BS36" i="3"/>
  <c r="BT35" i="3"/>
  <c r="BS35" i="3"/>
  <c r="BT34" i="3"/>
  <c r="BS34" i="3"/>
  <c r="BT33" i="3"/>
  <c r="BS33" i="3"/>
  <c r="BT32" i="3"/>
  <c r="BS32" i="3"/>
  <c r="BT31" i="3"/>
  <c r="BS31" i="3"/>
  <c r="BT30" i="3"/>
  <c r="BS30" i="3"/>
  <c r="BT29" i="3"/>
  <c r="BS29" i="3"/>
  <c r="BT28" i="3"/>
  <c r="BS28" i="3"/>
  <c r="BT27" i="3"/>
  <c r="BS27" i="3"/>
  <c r="BT26" i="3"/>
  <c r="BS26" i="3"/>
  <c r="BT25" i="3"/>
  <c r="BS25" i="3"/>
  <c r="BT24" i="3"/>
  <c r="BS24" i="3"/>
  <c r="BT23" i="3"/>
  <c r="BS23" i="3"/>
  <c r="BT22" i="3"/>
  <c r="BS22" i="3"/>
  <c r="BT21" i="3"/>
  <c r="BS21" i="3"/>
  <c r="BT20" i="3"/>
  <c r="BS20" i="3"/>
  <c r="BT19" i="3"/>
  <c r="BS19" i="3"/>
  <c r="BT18" i="3"/>
  <c r="BS18" i="3"/>
  <c r="BT17" i="3"/>
  <c r="BS17" i="3"/>
  <c r="BT16" i="3"/>
  <c r="BS16" i="3"/>
  <c r="BT15" i="3"/>
  <c r="BS15" i="3"/>
  <c r="BT14" i="3"/>
  <c r="BS14" i="3"/>
  <c r="BT13" i="3"/>
  <c r="BS13" i="3"/>
  <c r="BT12" i="3"/>
  <c r="BS12" i="3"/>
  <c r="BT11" i="3"/>
  <c r="BS11" i="3"/>
  <c r="BT10" i="3"/>
  <c r="BS10" i="3"/>
  <c r="BT9" i="3"/>
  <c r="BS9" i="3"/>
  <c r="BT8" i="3"/>
  <c r="BS8" i="3"/>
  <c r="BT7" i="3"/>
  <c r="BS7" i="3"/>
  <c r="CD606" i="3"/>
  <c r="BZ606" i="3"/>
  <c r="CD605" i="3"/>
  <c r="BZ605" i="3"/>
  <c r="CD604" i="3"/>
  <c r="BZ604" i="3"/>
  <c r="CD603" i="3"/>
  <c r="BZ603" i="3"/>
  <c r="CD602" i="3"/>
  <c r="BZ602" i="3"/>
  <c r="CD601" i="3"/>
  <c r="BZ601" i="3"/>
  <c r="CD600" i="3"/>
  <c r="BZ600" i="3"/>
  <c r="CD599" i="3"/>
  <c r="BZ599" i="3"/>
  <c r="CD598" i="3"/>
  <c r="BZ598" i="3"/>
  <c r="CD597" i="3"/>
  <c r="BZ597" i="3"/>
  <c r="CD596" i="3"/>
  <c r="BZ596" i="3"/>
  <c r="CD595" i="3"/>
  <c r="BZ595" i="3"/>
  <c r="CD594" i="3"/>
  <c r="BZ594" i="3"/>
  <c r="CD593" i="3"/>
  <c r="BZ593" i="3"/>
  <c r="CD592" i="3"/>
  <c r="BZ592" i="3"/>
  <c r="CD591" i="3"/>
  <c r="BZ591" i="3"/>
  <c r="CD590" i="3"/>
  <c r="BZ590" i="3"/>
  <c r="CD589" i="3"/>
  <c r="BZ589" i="3"/>
  <c r="CD588" i="3"/>
  <c r="BZ588" i="3"/>
  <c r="CD587" i="3"/>
  <c r="BZ587" i="3"/>
  <c r="CD586" i="3"/>
  <c r="BZ586" i="3"/>
  <c r="CD585" i="3"/>
  <c r="BZ585" i="3"/>
  <c r="CD584" i="3"/>
  <c r="BZ584" i="3"/>
  <c r="CD583" i="3"/>
  <c r="BZ583" i="3"/>
  <c r="CD582" i="3"/>
  <c r="BZ582" i="3"/>
  <c r="CD581" i="3"/>
  <c r="BZ581" i="3"/>
  <c r="CD580" i="3"/>
  <c r="BZ580" i="3"/>
  <c r="CD579" i="3"/>
  <c r="BZ579" i="3"/>
  <c r="CD578" i="3"/>
  <c r="BZ578" i="3"/>
  <c r="CD577" i="3"/>
  <c r="BZ577" i="3"/>
  <c r="CD576" i="3"/>
  <c r="BZ576" i="3"/>
  <c r="CD575" i="3"/>
  <c r="BZ575" i="3"/>
  <c r="CD574" i="3"/>
  <c r="BZ574" i="3"/>
  <c r="CD573" i="3"/>
  <c r="BZ573" i="3"/>
  <c r="CD572" i="3"/>
  <c r="BZ572" i="3"/>
  <c r="CD571" i="3"/>
  <c r="BZ571" i="3"/>
  <c r="CD570" i="3"/>
  <c r="BZ570" i="3"/>
  <c r="CD569" i="3"/>
  <c r="BZ569" i="3"/>
  <c r="CD568" i="3"/>
  <c r="BZ568" i="3"/>
  <c r="CD567" i="3"/>
  <c r="BZ567" i="3"/>
  <c r="CD566" i="3"/>
  <c r="BZ566" i="3"/>
  <c r="CD565" i="3"/>
  <c r="BZ565" i="3"/>
  <c r="CD564" i="3"/>
  <c r="BZ564" i="3"/>
  <c r="CD563" i="3"/>
  <c r="BZ563" i="3"/>
  <c r="CD562" i="3"/>
  <c r="BZ562" i="3"/>
  <c r="CD561" i="3"/>
  <c r="BZ561" i="3"/>
  <c r="CD560" i="3"/>
  <c r="BZ560" i="3"/>
  <c r="CD559" i="3"/>
  <c r="BZ559" i="3"/>
  <c r="CD558" i="3"/>
  <c r="BZ558" i="3"/>
  <c r="CD557" i="3"/>
  <c r="BZ557" i="3"/>
  <c r="CD556" i="3"/>
  <c r="BZ556" i="3"/>
  <c r="CD555" i="3"/>
  <c r="BZ555" i="3"/>
  <c r="CD554" i="3"/>
  <c r="BZ554" i="3"/>
  <c r="CD553" i="3"/>
  <c r="BZ553" i="3"/>
  <c r="CD552" i="3"/>
  <c r="BZ552" i="3"/>
  <c r="CD551" i="3"/>
  <c r="BZ551" i="3"/>
  <c r="CD550" i="3"/>
  <c r="BZ550" i="3"/>
  <c r="CD549" i="3"/>
  <c r="BZ549" i="3"/>
  <c r="CD548" i="3"/>
  <c r="BZ548" i="3"/>
  <c r="CD547" i="3"/>
  <c r="BZ547" i="3"/>
  <c r="CD546" i="3"/>
  <c r="BZ546" i="3"/>
  <c r="CD545" i="3"/>
  <c r="BZ545" i="3"/>
  <c r="CD544" i="3"/>
  <c r="BZ544" i="3"/>
  <c r="CD543" i="3"/>
  <c r="BZ543" i="3"/>
  <c r="CD542" i="3"/>
  <c r="BZ542" i="3"/>
  <c r="CD541" i="3"/>
  <c r="BZ541" i="3"/>
  <c r="CD540" i="3"/>
  <c r="BZ540" i="3"/>
  <c r="CD539" i="3"/>
  <c r="BZ539" i="3"/>
  <c r="CD538" i="3"/>
  <c r="BZ538" i="3"/>
  <c r="CD537" i="3"/>
  <c r="BZ537" i="3"/>
  <c r="CD536" i="3"/>
  <c r="BZ536" i="3"/>
  <c r="CD535" i="3"/>
  <c r="BZ535" i="3"/>
  <c r="CD534" i="3"/>
  <c r="BZ534" i="3"/>
  <c r="CD533" i="3"/>
  <c r="BZ533" i="3"/>
  <c r="CD532" i="3"/>
  <c r="BZ532" i="3"/>
  <c r="CD531" i="3"/>
  <c r="BZ531" i="3"/>
  <c r="CD530" i="3"/>
  <c r="BZ530" i="3"/>
  <c r="CD529" i="3"/>
  <c r="BZ529" i="3"/>
  <c r="CD528" i="3"/>
  <c r="BZ528" i="3"/>
  <c r="CD527" i="3"/>
  <c r="BZ527" i="3"/>
  <c r="CD526" i="3"/>
  <c r="BZ526" i="3"/>
  <c r="CD525" i="3"/>
  <c r="BZ525" i="3"/>
  <c r="CD524" i="3"/>
  <c r="BZ524" i="3"/>
  <c r="CD523" i="3"/>
  <c r="BZ523" i="3"/>
  <c r="CD522" i="3"/>
  <c r="BZ522" i="3"/>
  <c r="CD521" i="3"/>
  <c r="BZ521" i="3"/>
  <c r="CD520" i="3"/>
  <c r="BZ520" i="3"/>
  <c r="CD519" i="3"/>
  <c r="BZ519" i="3"/>
  <c r="CD518" i="3"/>
  <c r="BZ518" i="3"/>
  <c r="CD517" i="3"/>
  <c r="BZ517" i="3"/>
  <c r="CD516" i="3"/>
  <c r="BZ516" i="3"/>
  <c r="CD515" i="3"/>
  <c r="BZ515" i="3"/>
  <c r="CD514" i="3"/>
  <c r="BZ514" i="3"/>
  <c r="CD513" i="3"/>
  <c r="BZ513" i="3"/>
  <c r="CD512" i="3"/>
  <c r="BZ512" i="3"/>
  <c r="CD511" i="3"/>
  <c r="BZ511" i="3"/>
  <c r="CD510" i="3"/>
  <c r="BZ510" i="3"/>
  <c r="CD509" i="3"/>
  <c r="BZ509" i="3"/>
  <c r="CD508" i="3"/>
  <c r="BZ508" i="3"/>
  <c r="CD507" i="3"/>
  <c r="BZ507" i="3"/>
  <c r="CD506" i="3"/>
  <c r="BZ506" i="3"/>
  <c r="CD505" i="3"/>
  <c r="BZ505" i="3"/>
  <c r="CD504" i="3"/>
  <c r="BZ504" i="3"/>
  <c r="CD503" i="3"/>
  <c r="BZ503" i="3"/>
  <c r="CD502" i="3"/>
  <c r="BZ502" i="3"/>
  <c r="CD501" i="3"/>
  <c r="BZ501" i="3"/>
  <c r="CD500" i="3"/>
  <c r="BZ500" i="3"/>
  <c r="CD499" i="3"/>
  <c r="BZ499" i="3"/>
  <c r="CD498" i="3"/>
  <c r="BZ498" i="3"/>
  <c r="CD497" i="3"/>
  <c r="BZ497" i="3"/>
  <c r="CD496" i="3"/>
  <c r="BZ496" i="3"/>
  <c r="CD495" i="3"/>
  <c r="BZ495" i="3"/>
  <c r="CD494" i="3"/>
  <c r="BZ494" i="3"/>
  <c r="CD493" i="3"/>
  <c r="BZ493" i="3"/>
  <c r="CD492" i="3"/>
  <c r="BZ492" i="3"/>
  <c r="CD491" i="3"/>
  <c r="BZ491" i="3"/>
  <c r="CD490" i="3"/>
  <c r="BZ490" i="3"/>
  <c r="CD489" i="3"/>
  <c r="BZ489" i="3"/>
  <c r="CD488" i="3"/>
  <c r="BZ488" i="3"/>
  <c r="CD487" i="3"/>
  <c r="BZ487" i="3"/>
  <c r="CD486" i="3"/>
  <c r="BZ486" i="3"/>
  <c r="CD485" i="3"/>
  <c r="BZ485" i="3"/>
  <c r="CD484" i="3"/>
  <c r="BZ484" i="3"/>
  <c r="CD483" i="3"/>
  <c r="BZ483" i="3"/>
  <c r="CD482" i="3"/>
  <c r="BZ482" i="3"/>
  <c r="CD481" i="3"/>
  <c r="BZ481" i="3"/>
  <c r="CD480" i="3"/>
  <c r="BZ480" i="3"/>
  <c r="CD479" i="3"/>
  <c r="BZ479" i="3"/>
  <c r="CD478" i="3"/>
  <c r="BZ478" i="3"/>
  <c r="CD477" i="3"/>
  <c r="BZ477" i="3"/>
  <c r="CD476" i="3"/>
  <c r="BZ476" i="3"/>
  <c r="CD475" i="3"/>
  <c r="BZ475" i="3"/>
  <c r="CD474" i="3"/>
  <c r="BZ474" i="3"/>
  <c r="CD473" i="3"/>
  <c r="BZ473" i="3"/>
  <c r="CD472" i="3"/>
  <c r="BZ472" i="3"/>
  <c r="CD471" i="3"/>
  <c r="BZ471" i="3"/>
  <c r="CD470" i="3"/>
  <c r="BZ470" i="3"/>
  <c r="CD469" i="3"/>
  <c r="BZ469" i="3"/>
  <c r="CD468" i="3"/>
  <c r="BZ468" i="3"/>
  <c r="CD467" i="3"/>
  <c r="BZ467" i="3"/>
  <c r="CD466" i="3"/>
  <c r="BZ466" i="3"/>
  <c r="CD465" i="3"/>
  <c r="BZ465" i="3"/>
  <c r="CD464" i="3"/>
  <c r="BZ464" i="3"/>
  <c r="CD463" i="3"/>
  <c r="BZ463" i="3"/>
  <c r="CD462" i="3"/>
  <c r="BZ462" i="3"/>
  <c r="CD461" i="3"/>
  <c r="BZ461" i="3"/>
  <c r="CD460" i="3"/>
  <c r="BZ460" i="3"/>
  <c r="CD459" i="3"/>
  <c r="BZ459" i="3"/>
  <c r="CD458" i="3"/>
  <c r="BZ458" i="3"/>
  <c r="CD457" i="3"/>
  <c r="BZ457" i="3"/>
  <c r="CD456" i="3"/>
  <c r="BZ456" i="3"/>
  <c r="CD455" i="3"/>
  <c r="BZ455" i="3"/>
  <c r="CD454" i="3"/>
  <c r="BZ454" i="3"/>
  <c r="CD453" i="3"/>
  <c r="BZ453" i="3"/>
  <c r="CD452" i="3"/>
  <c r="BZ452" i="3"/>
  <c r="CD451" i="3"/>
  <c r="BZ451" i="3"/>
  <c r="CD450" i="3"/>
  <c r="BZ450" i="3"/>
  <c r="CD449" i="3"/>
  <c r="BZ449" i="3"/>
  <c r="CD448" i="3"/>
  <c r="BZ448" i="3"/>
  <c r="CD447" i="3"/>
  <c r="BZ447" i="3"/>
  <c r="CD446" i="3"/>
  <c r="BZ446" i="3"/>
  <c r="CD445" i="3"/>
  <c r="BZ445" i="3"/>
  <c r="CD444" i="3"/>
  <c r="BZ444" i="3"/>
  <c r="CD443" i="3"/>
  <c r="BZ443" i="3"/>
  <c r="CD442" i="3"/>
  <c r="BZ442" i="3"/>
  <c r="CD441" i="3"/>
  <c r="BZ441" i="3"/>
  <c r="CD440" i="3"/>
  <c r="BZ440" i="3"/>
  <c r="CD439" i="3"/>
  <c r="BZ439" i="3"/>
  <c r="CD438" i="3"/>
  <c r="BZ438" i="3"/>
  <c r="CD437" i="3"/>
  <c r="BZ437" i="3"/>
  <c r="CD436" i="3"/>
  <c r="BZ436" i="3"/>
  <c r="CD435" i="3"/>
  <c r="BZ435" i="3"/>
  <c r="CD434" i="3"/>
  <c r="BZ434" i="3"/>
  <c r="CD433" i="3"/>
  <c r="BZ433" i="3"/>
  <c r="CD432" i="3"/>
  <c r="BZ432" i="3"/>
  <c r="CD431" i="3"/>
  <c r="BZ431" i="3"/>
  <c r="CD430" i="3"/>
  <c r="BZ430" i="3"/>
  <c r="CD429" i="3"/>
  <c r="BZ429" i="3"/>
  <c r="CD428" i="3"/>
  <c r="BZ428" i="3"/>
  <c r="CD427" i="3"/>
  <c r="BZ427" i="3"/>
  <c r="CD426" i="3"/>
  <c r="BZ426" i="3"/>
  <c r="CD425" i="3"/>
  <c r="BZ425" i="3"/>
  <c r="CD424" i="3"/>
  <c r="BZ424" i="3"/>
  <c r="CD423" i="3"/>
  <c r="BZ423" i="3"/>
  <c r="CD422" i="3"/>
  <c r="BZ422" i="3"/>
  <c r="CD421" i="3"/>
  <c r="BZ421" i="3"/>
  <c r="CD420" i="3"/>
  <c r="BZ420" i="3"/>
  <c r="CD419" i="3"/>
  <c r="BZ419" i="3"/>
  <c r="CD418" i="3"/>
  <c r="BZ418" i="3"/>
  <c r="CD417" i="3"/>
  <c r="BZ417" i="3"/>
  <c r="CD416" i="3"/>
  <c r="BZ416" i="3"/>
  <c r="CD415" i="3"/>
  <c r="BZ415" i="3"/>
  <c r="CD414" i="3"/>
  <c r="BZ414" i="3"/>
  <c r="CD413" i="3"/>
  <c r="BZ413" i="3"/>
  <c r="CD412" i="3"/>
  <c r="BZ412" i="3"/>
  <c r="CD411" i="3"/>
  <c r="BZ411" i="3"/>
  <c r="CD410" i="3"/>
  <c r="BZ410" i="3"/>
  <c r="CD409" i="3"/>
  <c r="BZ409" i="3"/>
  <c r="CD408" i="3"/>
  <c r="BZ408" i="3"/>
  <c r="CD407" i="3"/>
  <c r="BZ407" i="3"/>
  <c r="CD406" i="3"/>
  <c r="BZ406" i="3"/>
  <c r="CD405" i="3"/>
  <c r="BZ405" i="3"/>
  <c r="CD404" i="3"/>
  <c r="BZ404" i="3"/>
  <c r="CD403" i="3"/>
  <c r="BZ403" i="3"/>
  <c r="CD402" i="3"/>
  <c r="BZ402" i="3"/>
  <c r="CD401" i="3"/>
  <c r="BZ401" i="3"/>
  <c r="CD400" i="3"/>
  <c r="BZ400" i="3"/>
  <c r="CD399" i="3"/>
  <c r="BZ399" i="3"/>
  <c r="CD398" i="3"/>
  <c r="BZ398" i="3"/>
  <c r="CD397" i="3"/>
  <c r="BZ397" i="3"/>
  <c r="CD396" i="3"/>
  <c r="BZ396" i="3"/>
  <c r="CD395" i="3"/>
  <c r="BZ395" i="3"/>
  <c r="CD394" i="3"/>
  <c r="BZ394" i="3"/>
  <c r="CD393" i="3"/>
  <c r="BZ393" i="3"/>
  <c r="CD392" i="3"/>
  <c r="BZ392" i="3"/>
  <c r="CD391" i="3"/>
  <c r="BZ391" i="3"/>
  <c r="CD390" i="3"/>
  <c r="BZ390" i="3"/>
  <c r="CD389" i="3"/>
  <c r="BZ389" i="3"/>
  <c r="CD388" i="3"/>
  <c r="BZ388" i="3"/>
  <c r="CD387" i="3"/>
  <c r="BZ387" i="3"/>
  <c r="CD386" i="3"/>
  <c r="BZ386" i="3"/>
  <c r="CD385" i="3"/>
  <c r="BZ385" i="3"/>
  <c r="CD384" i="3"/>
  <c r="BZ384" i="3"/>
  <c r="CD383" i="3"/>
  <c r="BZ383" i="3"/>
  <c r="CD382" i="3"/>
  <c r="BZ382" i="3"/>
  <c r="CD381" i="3"/>
  <c r="BZ381" i="3"/>
  <c r="CD380" i="3"/>
  <c r="BZ380" i="3"/>
  <c r="CD379" i="3"/>
  <c r="BZ379" i="3"/>
  <c r="CD378" i="3"/>
  <c r="BZ378" i="3"/>
  <c r="CD377" i="3"/>
  <c r="BZ377" i="3"/>
  <c r="CD376" i="3"/>
  <c r="BZ376" i="3"/>
  <c r="CD375" i="3"/>
  <c r="BZ375" i="3"/>
  <c r="CD374" i="3"/>
  <c r="BZ374" i="3"/>
  <c r="CD373" i="3"/>
  <c r="BZ373" i="3"/>
  <c r="CD372" i="3"/>
  <c r="BZ372" i="3"/>
  <c r="CD371" i="3"/>
  <c r="BZ371" i="3"/>
  <c r="CD370" i="3"/>
  <c r="BZ370" i="3"/>
  <c r="CD369" i="3"/>
  <c r="BZ369" i="3"/>
  <c r="CD368" i="3"/>
  <c r="BZ368" i="3"/>
  <c r="CD367" i="3"/>
  <c r="BZ367" i="3"/>
  <c r="CD366" i="3"/>
  <c r="BZ366" i="3"/>
  <c r="CD365" i="3"/>
  <c r="BZ365" i="3"/>
  <c r="CD364" i="3"/>
  <c r="BZ364" i="3"/>
  <c r="CD363" i="3"/>
  <c r="BZ363" i="3"/>
  <c r="CD362" i="3"/>
  <c r="BZ362" i="3"/>
  <c r="CD361" i="3"/>
  <c r="BZ361" i="3"/>
  <c r="CD360" i="3"/>
  <c r="BZ360" i="3"/>
  <c r="CD359" i="3"/>
  <c r="BZ359" i="3"/>
  <c r="CD358" i="3"/>
  <c r="BZ358" i="3"/>
  <c r="CD357" i="3"/>
  <c r="BZ357" i="3"/>
  <c r="CD356" i="3"/>
  <c r="BZ356" i="3"/>
  <c r="CD355" i="3"/>
  <c r="BZ355" i="3"/>
  <c r="CD354" i="3"/>
  <c r="BZ354" i="3"/>
  <c r="CD353" i="3"/>
  <c r="BZ353" i="3"/>
  <c r="CD352" i="3"/>
  <c r="BZ352" i="3"/>
  <c r="CD351" i="3"/>
  <c r="BZ351" i="3"/>
  <c r="CD350" i="3"/>
  <c r="BZ350" i="3"/>
  <c r="CD349" i="3"/>
  <c r="BZ349" i="3"/>
  <c r="CD348" i="3"/>
  <c r="BZ348" i="3"/>
  <c r="CD347" i="3"/>
  <c r="BZ347" i="3"/>
  <c r="CD346" i="3"/>
  <c r="BZ346" i="3"/>
  <c r="CD345" i="3"/>
  <c r="BZ345" i="3"/>
  <c r="CD344" i="3"/>
  <c r="BZ344" i="3"/>
  <c r="CD343" i="3"/>
  <c r="BZ343" i="3"/>
  <c r="CD342" i="3"/>
  <c r="BZ342" i="3"/>
  <c r="CD341" i="3"/>
  <c r="BZ341" i="3"/>
  <c r="CD340" i="3"/>
  <c r="BZ340" i="3"/>
  <c r="CD339" i="3"/>
  <c r="BZ339" i="3"/>
  <c r="CD338" i="3"/>
  <c r="BZ338" i="3"/>
  <c r="CD337" i="3"/>
  <c r="BZ337" i="3"/>
  <c r="CD336" i="3"/>
  <c r="BZ336" i="3"/>
  <c r="CD335" i="3"/>
  <c r="BZ335" i="3"/>
  <c r="CD334" i="3"/>
  <c r="BZ334" i="3"/>
  <c r="CD333" i="3"/>
  <c r="BZ333" i="3"/>
  <c r="CD332" i="3"/>
  <c r="BZ332" i="3"/>
  <c r="CD331" i="3"/>
  <c r="BZ331" i="3"/>
  <c r="CD330" i="3"/>
  <c r="BZ330" i="3"/>
  <c r="CD329" i="3"/>
  <c r="BZ329" i="3"/>
  <c r="CD328" i="3"/>
  <c r="BZ328" i="3"/>
  <c r="CD327" i="3"/>
  <c r="BZ327" i="3"/>
  <c r="CD326" i="3"/>
  <c r="BZ326" i="3"/>
  <c r="CD325" i="3"/>
  <c r="BZ325" i="3"/>
  <c r="CD324" i="3"/>
  <c r="BZ324" i="3"/>
  <c r="CD323" i="3"/>
  <c r="BZ323" i="3"/>
  <c r="CD322" i="3"/>
  <c r="BZ322" i="3"/>
  <c r="CD321" i="3"/>
  <c r="BZ321" i="3"/>
  <c r="CD320" i="3"/>
  <c r="BZ320" i="3"/>
  <c r="CD319" i="3"/>
  <c r="BZ319" i="3"/>
  <c r="CD318" i="3"/>
  <c r="BZ318" i="3"/>
  <c r="CD317" i="3"/>
  <c r="BZ317" i="3"/>
  <c r="CD316" i="3"/>
  <c r="BZ316" i="3"/>
  <c r="CD315" i="3"/>
  <c r="BZ315" i="3"/>
  <c r="CD314" i="3"/>
  <c r="BZ314" i="3"/>
  <c r="CD313" i="3"/>
  <c r="BZ313" i="3"/>
  <c r="CD312" i="3"/>
  <c r="BZ312" i="3"/>
  <c r="CD311" i="3"/>
  <c r="BZ311" i="3"/>
  <c r="CD310" i="3"/>
  <c r="BZ310" i="3"/>
  <c r="CD309" i="3"/>
  <c r="BZ309" i="3"/>
  <c r="CD308" i="3"/>
  <c r="BZ308" i="3"/>
  <c r="CD307" i="3"/>
  <c r="BZ307" i="3"/>
  <c r="CD306" i="3"/>
  <c r="BZ306" i="3"/>
  <c r="CD305" i="3"/>
  <c r="BZ305" i="3"/>
  <c r="CD304" i="3"/>
  <c r="BZ304" i="3"/>
  <c r="CD303" i="3"/>
  <c r="BZ303" i="3"/>
  <c r="CD302" i="3"/>
  <c r="BZ302" i="3"/>
  <c r="CD301" i="3"/>
  <c r="BZ301" i="3"/>
  <c r="CD300" i="3"/>
  <c r="BZ300" i="3"/>
  <c r="CD299" i="3"/>
  <c r="BZ299" i="3"/>
  <c r="CD298" i="3"/>
  <c r="BZ298" i="3"/>
  <c r="CD297" i="3"/>
  <c r="BZ297" i="3"/>
  <c r="CD296" i="3"/>
  <c r="BZ296" i="3"/>
  <c r="CD295" i="3"/>
  <c r="BZ295" i="3"/>
  <c r="CD294" i="3"/>
  <c r="BZ294" i="3"/>
  <c r="CD293" i="3"/>
  <c r="BZ293" i="3"/>
  <c r="CD292" i="3"/>
  <c r="BZ292" i="3"/>
  <c r="CD291" i="3"/>
  <c r="BZ291" i="3"/>
  <c r="CD290" i="3"/>
  <c r="BZ290" i="3"/>
  <c r="CD289" i="3"/>
  <c r="BZ289" i="3"/>
  <c r="CD288" i="3"/>
  <c r="BZ288" i="3"/>
  <c r="CD287" i="3"/>
  <c r="BZ287" i="3"/>
  <c r="CD286" i="3"/>
  <c r="BZ286" i="3"/>
  <c r="CD285" i="3"/>
  <c r="BZ285" i="3"/>
  <c r="CD284" i="3"/>
  <c r="BZ284" i="3"/>
  <c r="CD283" i="3"/>
  <c r="BZ283" i="3"/>
  <c r="CD282" i="3"/>
  <c r="BZ282" i="3"/>
  <c r="CD281" i="3"/>
  <c r="BZ281" i="3"/>
  <c r="CD280" i="3"/>
  <c r="BZ280" i="3"/>
  <c r="CD279" i="3"/>
  <c r="BZ279" i="3"/>
  <c r="CD278" i="3"/>
  <c r="BZ278" i="3"/>
  <c r="CD277" i="3"/>
  <c r="BZ277" i="3"/>
  <c r="CD276" i="3"/>
  <c r="BZ276" i="3"/>
  <c r="CD275" i="3"/>
  <c r="BZ275" i="3"/>
  <c r="CD274" i="3"/>
  <c r="BZ274" i="3"/>
  <c r="CD273" i="3"/>
  <c r="BZ273" i="3"/>
  <c r="CD272" i="3"/>
  <c r="BZ272" i="3"/>
  <c r="CD271" i="3"/>
  <c r="BZ271" i="3"/>
  <c r="CD270" i="3"/>
  <c r="BZ270" i="3"/>
  <c r="CD269" i="3"/>
  <c r="BZ269" i="3"/>
  <c r="CD268" i="3"/>
  <c r="BZ268" i="3"/>
  <c r="CD267" i="3"/>
  <c r="BZ267" i="3"/>
  <c r="CD266" i="3"/>
  <c r="BZ266" i="3"/>
  <c r="CD265" i="3"/>
  <c r="BZ265" i="3"/>
  <c r="CD264" i="3"/>
  <c r="BZ264" i="3"/>
  <c r="CD263" i="3"/>
  <c r="BZ263" i="3"/>
  <c r="CD262" i="3"/>
  <c r="BZ262" i="3"/>
  <c r="CD261" i="3"/>
  <c r="BZ261" i="3"/>
  <c r="CD260" i="3"/>
  <c r="BZ260" i="3"/>
  <c r="CD259" i="3"/>
  <c r="BZ259" i="3"/>
  <c r="CD258" i="3"/>
  <c r="BZ258" i="3"/>
  <c r="CD257" i="3"/>
  <c r="BZ257" i="3"/>
  <c r="CD256" i="3"/>
  <c r="BZ256" i="3"/>
  <c r="CD255" i="3"/>
  <c r="BZ255" i="3"/>
  <c r="CD254" i="3"/>
  <c r="BZ254" i="3"/>
  <c r="CD253" i="3"/>
  <c r="BZ253" i="3"/>
  <c r="CD252" i="3"/>
  <c r="BZ252" i="3"/>
  <c r="CD251" i="3"/>
  <c r="BZ251" i="3"/>
  <c r="CD250" i="3"/>
  <c r="BZ250" i="3"/>
  <c r="CD249" i="3"/>
  <c r="BZ249" i="3"/>
  <c r="CD248" i="3"/>
  <c r="BZ248" i="3"/>
  <c r="CD247" i="3"/>
  <c r="BZ247" i="3"/>
  <c r="CD246" i="3"/>
  <c r="BZ246" i="3"/>
  <c r="CD245" i="3"/>
  <c r="BZ245" i="3"/>
  <c r="CD244" i="3"/>
  <c r="BZ244" i="3"/>
  <c r="CD243" i="3"/>
  <c r="BZ243" i="3"/>
  <c r="CD242" i="3"/>
  <c r="BZ242" i="3"/>
  <c r="CD241" i="3"/>
  <c r="BZ241" i="3"/>
  <c r="CD240" i="3"/>
  <c r="BZ240" i="3"/>
  <c r="CD239" i="3"/>
  <c r="BZ239" i="3"/>
  <c r="CD238" i="3"/>
  <c r="BZ238" i="3"/>
  <c r="CD237" i="3"/>
  <c r="BZ237" i="3"/>
  <c r="CD236" i="3"/>
  <c r="BZ236" i="3"/>
  <c r="CD235" i="3"/>
  <c r="BZ235" i="3"/>
  <c r="CD234" i="3"/>
  <c r="BZ234" i="3"/>
  <c r="CD233" i="3"/>
  <c r="BZ233" i="3"/>
  <c r="CD232" i="3"/>
  <c r="BZ232" i="3"/>
  <c r="CD231" i="3"/>
  <c r="BZ231" i="3"/>
  <c r="CD230" i="3"/>
  <c r="BZ230" i="3"/>
  <c r="CD229" i="3"/>
  <c r="BZ229" i="3"/>
  <c r="CD228" i="3"/>
  <c r="BZ228" i="3"/>
  <c r="CD227" i="3"/>
  <c r="BZ227" i="3"/>
  <c r="CD226" i="3"/>
  <c r="BZ226" i="3"/>
  <c r="CD225" i="3"/>
  <c r="BZ225" i="3"/>
  <c r="CD224" i="3"/>
  <c r="BZ224" i="3"/>
  <c r="CD223" i="3"/>
  <c r="BZ223" i="3"/>
  <c r="CD222" i="3"/>
  <c r="BZ222" i="3"/>
  <c r="CD221" i="3"/>
  <c r="BZ221" i="3"/>
  <c r="CD220" i="3"/>
  <c r="BZ220" i="3"/>
  <c r="CD219" i="3"/>
  <c r="BZ219" i="3"/>
  <c r="CD218" i="3"/>
  <c r="BZ218" i="3"/>
  <c r="CD217" i="3"/>
  <c r="BZ217" i="3"/>
  <c r="CD216" i="3"/>
  <c r="BZ216" i="3"/>
  <c r="CD215" i="3"/>
  <c r="BZ215" i="3"/>
  <c r="CD214" i="3"/>
  <c r="BZ214" i="3"/>
  <c r="CD213" i="3"/>
  <c r="BZ213" i="3"/>
  <c r="CD212" i="3"/>
  <c r="BZ212" i="3"/>
  <c r="CD211" i="3"/>
  <c r="BZ211" i="3"/>
  <c r="CD210" i="3"/>
  <c r="BZ210" i="3"/>
  <c r="CD209" i="3"/>
  <c r="BZ209" i="3"/>
  <c r="CD208" i="3"/>
  <c r="BZ208" i="3"/>
  <c r="CD207" i="3"/>
  <c r="BZ207" i="3"/>
  <c r="CD206" i="3"/>
  <c r="BZ206" i="3"/>
  <c r="CD205" i="3"/>
  <c r="BZ205" i="3"/>
  <c r="CD204" i="3"/>
  <c r="BZ204" i="3"/>
  <c r="CD203" i="3"/>
  <c r="BZ203" i="3"/>
  <c r="CD202" i="3"/>
  <c r="BZ202" i="3"/>
  <c r="CD201" i="3"/>
  <c r="BZ201" i="3"/>
  <c r="CD200" i="3"/>
  <c r="BZ200" i="3"/>
  <c r="CD199" i="3"/>
  <c r="BZ199" i="3"/>
  <c r="CD198" i="3"/>
  <c r="BZ198" i="3"/>
  <c r="CD197" i="3"/>
  <c r="BZ197" i="3"/>
  <c r="CD196" i="3"/>
  <c r="BZ196" i="3"/>
  <c r="CD195" i="3"/>
  <c r="BZ195" i="3"/>
  <c r="CD194" i="3"/>
  <c r="BZ194" i="3"/>
  <c r="CD193" i="3"/>
  <c r="BZ193" i="3"/>
  <c r="CD192" i="3"/>
  <c r="BZ192" i="3"/>
  <c r="CD191" i="3"/>
  <c r="BZ191" i="3"/>
  <c r="CD190" i="3"/>
  <c r="BZ190" i="3"/>
  <c r="CD189" i="3"/>
  <c r="BZ189" i="3"/>
  <c r="CD188" i="3"/>
  <c r="BZ188" i="3"/>
  <c r="CD187" i="3"/>
  <c r="BZ187" i="3"/>
  <c r="CD186" i="3"/>
  <c r="BZ186" i="3"/>
  <c r="CD185" i="3"/>
  <c r="BZ185" i="3"/>
  <c r="CD184" i="3"/>
  <c r="BZ184" i="3"/>
  <c r="CD183" i="3"/>
  <c r="BZ183" i="3"/>
  <c r="CD182" i="3"/>
  <c r="BZ182" i="3"/>
  <c r="CD181" i="3"/>
  <c r="BZ181" i="3"/>
  <c r="CD180" i="3"/>
  <c r="BZ180" i="3"/>
  <c r="CD179" i="3"/>
  <c r="BZ179" i="3"/>
  <c r="CD178" i="3"/>
  <c r="BZ178" i="3"/>
  <c r="CD177" i="3"/>
  <c r="BZ177" i="3"/>
  <c r="CD176" i="3"/>
  <c r="BZ176" i="3"/>
  <c r="CD175" i="3"/>
  <c r="BZ175" i="3"/>
  <c r="CD174" i="3"/>
  <c r="BZ174" i="3"/>
  <c r="CD173" i="3"/>
  <c r="BZ173" i="3"/>
  <c r="CD172" i="3"/>
  <c r="BZ172" i="3"/>
  <c r="CD171" i="3"/>
  <c r="BZ171" i="3"/>
  <c r="CD170" i="3"/>
  <c r="BZ170" i="3"/>
  <c r="CD169" i="3"/>
  <c r="BZ169" i="3"/>
  <c r="CD168" i="3"/>
  <c r="BZ168" i="3"/>
  <c r="CD167" i="3"/>
  <c r="BZ167" i="3"/>
  <c r="CD166" i="3"/>
  <c r="BZ166" i="3"/>
  <c r="CD165" i="3"/>
  <c r="BZ165" i="3"/>
  <c r="CD164" i="3"/>
  <c r="BZ164" i="3"/>
  <c r="CD163" i="3"/>
  <c r="BZ163" i="3"/>
  <c r="CD162" i="3"/>
  <c r="BZ162" i="3"/>
  <c r="CD161" i="3"/>
  <c r="BZ161" i="3"/>
  <c r="CD160" i="3"/>
  <c r="BZ160" i="3"/>
  <c r="CD159" i="3"/>
  <c r="BZ159" i="3"/>
  <c r="CD158" i="3"/>
  <c r="BZ158" i="3"/>
  <c r="CD157" i="3"/>
  <c r="BZ157" i="3"/>
  <c r="CD156" i="3"/>
  <c r="BZ156" i="3"/>
  <c r="CD155" i="3"/>
  <c r="BZ155" i="3"/>
  <c r="CD154" i="3"/>
  <c r="BZ154" i="3"/>
  <c r="CD153" i="3"/>
  <c r="BZ153" i="3"/>
  <c r="CD152" i="3"/>
  <c r="BZ152" i="3"/>
  <c r="CD151" i="3"/>
  <c r="BZ151" i="3"/>
  <c r="CD150" i="3"/>
  <c r="BZ150" i="3"/>
  <c r="CD149" i="3"/>
  <c r="BZ149" i="3"/>
  <c r="CD148" i="3"/>
  <c r="BZ148" i="3"/>
  <c r="CD147" i="3"/>
  <c r="BZ147" i="3"/>
  <c r="CD146" i="3"/>
  <c r="BZ146" i="3"/>
  <c r="CD145" i="3"/>
  <c r="BZ145" i="3"/>
  <c r="CD144" i="3"/>
  <c r="BZ144" i="3"/>
  <c r="CD143" i="3"/>
  <c r="BZ143" i="3"/>
  <c r="CD142" i="3"/>
  <c r="BZ142" i="3"/>
  <c r="CD141" i="3"/>
  <c r="BZ141" i="3"/>
  <c r="CD140" i="3"/>
  <c r="BZ140" i="3"/>
  <c r="CD139" i="3"/>
  <c r="BZ139" i="3"/>
  <c r="CD138" i="3"/>
  <c r="BZ138" i="3"/>
  <c r="CD137" i="3"/>
  <c r="BZ137" i="3"/>
  <c r="CD136" i="3"/>
  <c r="BZ136" i="3"/>
  <c r="CD135" i="3"/>
  <c r="BZ135" i="3"/>
  <c r="CD134" i="3"/>
  <c r="BZ134" i="3"/>
  <c r="CD133" i="3"/>
  <c r="BZ133" i="3"/>
  <c r="CD132" i="3"/>
  <c r="BZ132" i="3"/>
  <c r="CD131" i="3"/>
  <c r="BZ131" i="3"/>
  <c r="CD130" i="3"/>
  <c r="BZ130" i="3"/>
  <c r="CD129" i="3"/>
  <c r="BZ129" i="3"/>
  <c r="CD128" i="3"/>
  <c r="BZ128" i="3"/>
  <c r="CD127" i="3"/>
  <c r="BZ127" i="3"/>
  <c r="CD126" i="3"/>
  <c r="BZ126" i="3"/>
  <c r="CD125" i="3"/>
  <c r="BZ125" i="3"/>
  <c r="CD124" i="3"/>
  <c r="BZ124" i="3"/>
  <c r="CD123" i="3"/>
  <c r="BZ123" i="3"/>
  <c r="CD122" i="3"/>
  <c r="BZ122" i="3"/>
  <c r="CD121" i="3"/>
  <c r="BZ121" i="3"/>
  <c r="CD120" i="3"/>
  <c r="BZ120" i="3"/>
  <c r="CD119" i="3"/>
  <c r="BZ119" i="3"/>
  <c r="CD118" i="3"/>
  <c r="BZ118" i="3"/>
  <c r="CD117" i="3"/>
  <c r="BZ117" i="3"/>
  <c r="CD116" i="3"/>
  <c r="BZ116" i="3"/>
  <c r="CD115" i="3"/>
  <c r="BZ115" i="3"/>
  <c r="CD114" i="3"/>
  <c r="BZ114" i="3"/>
  <c r="CD113" i="3"/>
  <c r="BZ113" i="3"/>
  <c r="CD112" i="3"/>
  <c r="BZ112" i="3"/>
  <c r="CD111" i="3"/>
  <c r="BZ111" i="3"/>
  <c r="CD110" i="3"/>
  <c r="BZ110" i="3"/>
  <c r="CD109" i="3"/>
  <c r="BZ109" i="3"/>
  <c r="CD108" i="3"/>
  <c r="BZ108" i="3"/>
  <c r="CD107" i="3"/>
  <c r="BZ107" i="3"/>
  <c r="CD106" i="3"/>
  <c r="BZ106" i="3"/>
  <c r="CD105" i="3"/>
  <c r="BZ105" i="3"/>
  <c r="CD104" i="3"/>
  <c r="BZ104" i="3"/>
  <c r="CD103" i="3"/>
  <c r="BZ103" i="3"/>
  <c r="CD102" i="3"/>
  <c r="BZ102" i="3"/>
  <c r="CD101" i="3"/>
  <c r="BZ101" i="3"/>
  <c r="CD100" i="3"/>
  <c r="BZ100" i="3"/>
  <c r="CD99" i="3"/>
  <c r="BZ99" i="3"/>
  <c r="CD98" i="3"/>
  <c r="BZ98" i="3"/>
  <c r="CD97" i="3"/>
  <c r="BZ97" i="3"/>
  <c r="CD96" i="3"/>
  <c r="BZ96" i="3"/>
  <c r="CD95" i="3"/>
  <c r="BZ95" i="3"/>
  <c r="CD94" i="3"/>
  <c r="BZ94" i="3"/>
  <c r="CD93" i="3"/>
  <c r="BZ93" i="3"/>
  <c r="CD92" i="3"/>
  <c r="BZ92" i="3"/>
  <c r="CD91" i="3"/>
  <c r="BZ91" i="3"/>
  <c r="CD90" i="3"/>
  <c r="BZ90" i="3"/>
  <c r="CD89" i="3"/>
  <c r="BZ89" i="3"/>
  <c r="CD88" i="3"/>
  <c r="BZ88" i="3"/>
  <c r="CD87" i="3"/>
  <c r="BZ87" i="3"/>
  <c r="CD86" i="3"/>
  <c r="BZ86" i="3"/>
  <c r="CD85" i="3"/>
  <c r="BZ85" i="3"/>
  <c r="CD84" i="3"/>
  <c r="BZ84" i="3"/>
  <c r="CD83" i="3"/>
  <c r="BZ83" i="3"/>
  <c r="CD82" i="3"/>
  <c r="BZ82" i="3"/>
  <c r="CD81" i="3"/>
  <c r="BZ81" i="3"/>
  <c r="CD80" i="3"/>
  <c r="BZ80" i="3"/>
  <c r="CD79" i="3"/>
  <c r="BZ79" i="3"/>
  <c r="CD78" i="3"/>
  <c r="BZ78" i="3"/>
  <c r="CD77" i="3"/>
  <c r="BZ77" i="3"/>
  <c r="CD76" i="3"/>
  <c r="BZ76" i="3"/>
  <c r="CD75" i="3"/>
  <c r="BZ75" i="3"/>
  <c r="CD74" i="3"/>
  <c r="BZ74" i="3"/>
  <c r="CD73" i="3"/>
  <c r="BZ73" i="3"/>
  <c r="CD72" i="3"/>
  <c r="BZ72" i="3"/>
  <c r="CD71" i="3"/>
  <c r="BZ71" i="3"/>
  <c r="CD70" i="3"/>
  <c r="BZ70" i="3"/>
  <c r="CD69" i="3"/>
  <c r="BZ69" i="3"/>
  <c r="CD68" i="3"/>
  <c r="BZ68" i="3"/>
  <c r="CD67" i="3"/>
  <c r="BZ67" i="3"/>
  <c r="CD66" i="3"/>
  <c r="BZ66" i="3"/>
  <c r="CD65" i="3"/>
  <c r="BZ65" i="3"/>
  <c r="CD64" i="3"/>
  <c r="BZ64" i="3"/>
  <c r="CD63" i="3"/>
  <c r="BZ63" i="3"/>
  <c r="CD62" i="3"/>
  <c r="BZ62" i="3"/>
  <c r="CD61" i="3"/>
  <c r="BZ61" i="3"/>
  <c r="CD60" i="3"/>
  <c r="BZ60" i="3"/>
  <c r="CD59" i="3"/>
  <c r="BZ59" i="3"/>
  <c r="CD58" i="3"/>
  <c r="BZ58" i="3"/>
  <c r="CD57" i="3"/>
  <c r="BZ57" i="3"/>
  <c r="CD56" i="3"/>
  <c r="BZ56" i="3"/>
  <c r="CD55" i="3"/>
  <c r="BZ55" i="3"/>
  <c r="CD54" i="3"/>
  <c r="BZ54" i="3"/>
  <c r="CD53" i="3"/>
  <c r="BZ53" i="3"/>
  <c r="CD52" i="3"/>
  <c r="BZ52" i="3"/>
  <c r="CD51" i="3"/>
  <c r="BZ51" i="3"/>
  <c r="CD50" i="3"/>
  <c r="BZ50" i="3"/>
  <c r="CD49" i="3"/>
  <c r="BZ49" i="3"/>
  <c r="CD48" i="3"/>
  <c r="BZ48" i="3"/>
  <c r="CD47" i="3"/>
  <c r="BZ47" i="3"/>
  <c r="CD46" i="3"/>
  <c r="BZ46" i="3"/>
  <c r="CD45" i="3"/>
  <c r="BZ45" i="3"/>
  <c r="CD44" i="3"/>
  <c r="BZ44" i="3"/>
  <c r="CD43" i="3"/>
  <c r="BZ43" i="3"/>
  <c r="CD42" i="3"/>
  <c r="BZ42" i="3"/>
  <c r="CD41" i="3"/>
  <c r="BZ41" i="3"/>
  <c r="CD40" i="3"/>
  <c r="BZ40" i="3"/>
  <c r="CD39" i="3"/>
  <c r="BZ39" i="3"/>
  <c r="CD38" i="3"/>
  <c r="BZ38" i="3"/>
  <c r="CD37" i="3"/>
  <c r="BZ37" i="3"/>
  <c r="CD36" i="3"/>
  <c r="BZ36" i="3"/>
  <c r="CD35" i="3"/>
  <c r="BZ35" i="3"/>
  <c r="CD34" i="3"/>
  <c r="BZ34" i="3"/>
  <c r="CD33" i="3"/>
  <c r="BZ33" i="3"/>
  <c r="CD32" i="3"/>
  <c r="BZ32" i="3"/>
  <c r="CD31" i="3"/>
  <c r="BZ31" i="3"/>
  <c r="CD30" i="3"/>
  <c r="BZ30" i="3"/>
  <c r="CD29" i="3"/>
  <c r="BZ29" i="3"/>
  <c r="CD28" i="3"/>
  <c r="BZ28" i="3"/>
  <c r="CD27" i="3"/>
  <c r="BZ27" i="3"/>
  <c r="CD26" i="3"/>
  <c r="BZ26" i="3"/>
  <c r="CD25" i="3"/>
  <c r="BZ25" i="3"/>
  <c r="CD24" i="3"/>
  <c r="BZ24" i="3"/>
  <c r="CD23" i="3"/>
  <c r="BZ23" i="3"/>
  <c r="CD22" i="3"/>
  <c r="BZ22" i="3"/>
  <c r="CD21" i="3"/>
  <c r="BZ21" i="3"/>
  <c r="CD20" i="3"/>
  <c r="BZ20" i="3"/>
  <c r="CD19" i="3"/>
  <c r="BZ19" i="3"/>
  <c r="CD18" i="3"/>
  <c r="BZ18" i="3"/>
  <c r="CD17" i="3"/>
  <c r="BZ17" i="3"/>
  <c r="CD16" i="3"/>
  <c r="BZ16" i="3"/>
  <c r="CD15" i="3"/>
  <c r="BZ15" i="3"/>
  <c r="CD14" i="3"/>
  <c r="BZ14" i="3"/>
  <c r="CD13" i="3"/>
  <c r="BZ13" i="3"/>
  <c r="CD12" i="3"/>
  <c r="BZ12" i="3"/>
  <c r="CD11" i="3"/>
  <c r="BZ11" i="3"/>
  <c r="CD10" i="3"/>
  <c r="BZ10" i="3"/>
  <c r="CD9" i="3"/>
  <c r="BZ9" i="3"/>
  <c r="CD8" i="3"/>
  <c r="BZ8" i="3"/>
  <c r="CD7" i="3"/>
  <c r="BZ7" i="3"/>
  <c r="BE9" i="3" l="1"/>
  <c r="BE7" i="3"/>
  <c r="BD7" i="3" s="1"/>
  <c r="BE8" i="3"/>
  <c r="BD8" i="3" s="1"/>
  <c r="BE10" i="3"/>
  <c r="BD10" i="3" s="1"/>
  <c r="CM8" i="3"/>
  <c r="CM9" i="3"/>
  <c r="CM10" i="3"/>
  <c r="CM11" i="3"/>
  <c r="CM12" i="3"/>
  <c r="CM13" i="3"/>
  <c r="CM14" i="3"/>
  <c r="CM15" i="3"/>
  <c r="CM16" i="3"/>
  <c r="CM17" i="3"/>
  <c r="CM18" i="3"/>
  <c r="CM19" i="3"/>
  <c r="CM20" i="3"/>
  <c r="CM21" i="3"/>
  <c r="CM22" i="3"/>
  <c r="CM23" i="3"/>
  <c r="CM24" i="3"/>
  <c r="CM25" i="3"/>
  <c r="CM26" i="3"/>
  <c r="CM27" i="3"/>
  <c r="CM28" i="3"/>
  <c r="CM29" i="3"/>
  <c r="CM30" i="3"/>
  <c r="CM31" i="3"/>
  <c r="CM32" i="3"/>
  <c r="CM33" i="3"/>
  <c r="CM34" i="3"/>
  <c r="CM35" i="3"/>
  <c r="CM36" i="3"/>
  <c r="CM37" i="3"/>
  <c r="CM38" i="3"/>
  <c r="CM39" i="3"/>
  <c r="CM40" i="3"/>
  <c r="CM41" i="3"/>
  <c r="CM42" i="3"/>
  <c r="CM43" i="3"/>
  <c r="CM44" i="3"/>
  <c r="CM45" i="3"/>
  <c r="CM46" i="3"/>
  <c r="CM47" i="3"/>
  <c r="CM48" i="3"/>
  <c r="CM49" i="3"/>
  <c r="CM50" i="3"/>
  <c r="CM51" i="3"/>
  <c r="CM52" i="3"/>
  <c r="CM53" i="3"/>
  <c r="CM54" i="3"/>
  <c r="CM55" i="3"/>
  <c r="CM56" i="3"/>
  <c r="CM57" i="3"/>
  <c r="CM58" i="3"/>
  <c r="CM59" i="3"/>
  <c r="CM60" i="3"/>
  <c r="CM61" i="3"/>
  <c r="CM62" i="3"/>
  <c r="CM63" i="3"/>
  <c r="CM64" i="3"/>
  <c r="CM65" i="3"/>
  <c r="CM66" i="3"/>
  <c r="CM67" i="3"/>
  <c r="CM68" i="3"/>
  <c r="CM69" i="3"/>
  <c r="CM70" i="3"/>
  <c r="CM71" i="3"/>
  <c r="CM72" i="3"/>
  <c r="CM73" i="3"/>
  <c r="CM74" i="3"/>
  <c r="CM75" i="3"/>
  <c r="CM76" i="3"/>
  <c r="CM77" i="3"/>
  <c r="CM78" i="3"/>
  <c r="CM79" i="3"/>
  <c r="CM80" i="3"/>
  <c r="CM81" i="3"/>
  <c r="CM82" i="3"/>
  <c r="CM83" i="3"/>
  <c r="CM84" i="3"/>
  <c r="CM85" i="3"/>
  <c r="CM86" i="3"/>
  <c r="CM87" i="3"/>
  <c r="CM88" i="3"/>
  <c r="CM89" i="3"/>
  <c r="CM90" i="3"/>
  <c r="CM91" i="3"/>
  <c r="CM92" i="3"/>
  <c r="CM93" i="3"/>
  <c r="CM94" i="3"/>
  <c r="CM95" i="3"/>
  <c r="CM96" i="3"/>
  <c r="CM97" i="3"/>
  <c r="CM98" i="3"/>
  <c r="CM99" i="3"/>
  <c r="CM100" i="3"/>
  <c r="CM101" i="3"/>
  <c r="CM102" i="3"/>
  <c r="CM103" i="3"/>
  <c r="CM104" i="3"/>
  <c r="CM105" i="3"/>
  <c r="CM106" i="3"/>
  <c r="CM107" i="3"/>
  <c r="CM108" i="3"/>
  <c r="CM109" i="3"/>
  <c r="CM110" i="3"/>
  <c r="CM111" i="3"/>
  <c r="CM112" i="3"/>
  <c r="CM113" i="3"/>
  <c r="CM114" i="3"/>
  <c r="CM115" i="3"/>
  <c r="CM116" i="3"/>
  <c r="CM117" i="3"/>
  <c r="CM118" i="3"/>
  <c r="CM119" i="3"/>
  <c r="CM120" i="3"/>
  <c r="CM121" i="3"/>
  <c r="CM122" i="3"/>
  <c r="CM123" i="3"/>
  <c r="CM124" i="3"/>
  <c r="CM125" i="3"/>
  <c r="CM126" i="3"/>
  <c r="CM127" i="3"/>
  <c r="CM128" i="3"/>
  <c r="CM129" i="3"/>
  <c r="CM130" i="3"/>
  <c r="CM131" i="3"/>
  <c r="CM132" i="3"/>
  <c r="CM133" i="3"/>
  <c r="CM134" i="3"/>
  <c r="CM135" i="3"/>
  <c r="CM136" i="3"/>
  <c r="CM137" i="3"/>
  <c r="CM138" i="3"/>
  <c r="CM139" i="3"/>
  <c r="CM140" i="3"/>
  <c r="CM141" i="3"/>
  <c r="CM142" i="3"/>
  <c r="CM143" i="3"/>
  <c r="CM144" i="3"/>
  <c r="CM145" i="3"/>
  <c r="CM146" i="3"/>
  <c r="CM147" i="3"/>
  <c r="CM148" i="3"/>
  <c r="CM149" i="3"/>
  <c r="CM150" i="3"/>
  <c r="CM151" i="3"/>
  <c r="CM152" i="3"/>
  <c r="CM153" i="3"/>
  <c r="CM154" i="3"/>
  <c r="CM155" i="3"/>
  <c r="CM156" i="3"/>
  <c r="CM157" i="3"/>
  <c r="CM158" i="3"/>
  <c r="CM159" i="3"/>
  <c r="CM160" i="3"/>
  <c r="CM161" i="3"/>
  <c r="CM162" i="3"/>
  <c r="CM163" i="3"/>
  <c r="CM164" i="3"/>
  <c r="CM165" i="3"/>
  <c r="CM166" i="3"/>
  <c r="CM167" i="3"/>
  <c r="CM168" i="3"/>
  <c r="CM169" i="3"/>
  <c r="CM170" i="3"/>
  <c r="CM171" i="3"/>
  <c r="CM172" i="3"/>
  <c r="CM173" i="3"/>
  <c r="CM174" i="3"/>
  <c r="CM175" i="3"/>
  <c r="CM176" i="3"/>
  <c r="CM177" i="3"/>
  <c r="CM178" i="3"/>
  <c r="CM179" i="3"/>
  <c r="CM180" i="3"/>
  <c r="CM181" i="3"/>
  <c r="CM182" i="3"/>
  <c r="CM183" i="3"/>
  <c r="CM184" i="3"/>
  <c r="CM185" i="3"/>
  <c r="CM186" i="3"/>
  <c r="CM187" i="3"/>
  <c r="CM188" i="3"/>
  <c r="CM189" i="3"/>
  <c r="CM190" i="3"/>
  <c r="CM191" i="3"/>
  <c r="CM192" i="3"/>
  <c r="CM193" i="3"/>
  <c r="CM194" i="3"/>
  <c r="CM195" i="3"/>
  <c r="CM196" i="3"/>
  <c r="CM197" i="3"/>
  <c r="CM198" i="3"/>
  <c r="CM199" i="3"/>
  <c r="CM200" i="3"/>
  <c r="CM201" i="3"/>
  <c r="CM202" i="3"/>
  <c r="CM203" i="3"/>
  <c r="CM204" i="3"/>
  <c r="CM205" i="3"/>
  <c r="CM206" i="3"/>
  <c r="CM207" i="3"/>
  <c r="CM208" i="3"/>
  <c r="CM209" i="3"/>
  <c r="CM210" i="3"/>
  <c r="CM211" i="3"/>
  <c r="CM212" i="3"/>
  <c r="CM213" i="3"/>
  <c r="CM214" i="3"/>
  <c r="CM215" i="3"/>
  <c r="CM216" i="3"/>
  <c r="CM217" i="3"/>
  <c r="CM218" i="3"/>
  <c r="CM219" i="3"/>
  <c r="CM220" i="3"/>
  <c r="CM221" i="3"/>
  <c r="CM222" i="3"/>
  <c r="CM223" i="3"/>
  <c r="CM224" i="3"/>
  <c r="CM225" i="3"/>
  <c r="CM226" i="3"/>
  <c r="CM227" i="3"/>
  <c r="CM228" i="3"/>
  <c r="CM229" i="3"/>
  <c r="CM230" i="3"/>
  <c r="CM231" i="3"/>
  <c r="CM232" i="3"/>
  <c r="CM233" i="3"/>
  <c r="CM234" i="3"/>
  <c r="CM235" i="3"/>
  <c r="CM236" i="3"/>
  <c r="CM237" i="3"/>
  <c r="CM238" i="3"/>
  <c r="CM239" i="3"/>
  <c r="CM240" i="3"/>
  <c r="CM241" i="3"/>
  <c r="CM242" i="3"/>
  <c r="CM243" i="3"/>
  <c r="CM244" i="3"/>
  <c r="CM245" i="3"/>
  <c r="CM246" i="3"/>
  <c r="CM247" i="3"/>
  <c r="CM248" i="3"/>
  <c r="CM249" i="3"/>
  <c r="CM250" i="3"/>
  <c r="CM251" i="3"/>
  <c r="CM252" i="3"/>
  <c r="CM253" i="3"/>
  <c r="CM254" i="3"/>
  <c r="CM255" i="3"/>
  <c r="CM256" i="3"/>
  <c r="CM257" i="3"/>
  <c r="CM258" i="3"/>
  <c r="CM259" i="3"/>
  <c r="CM260" i="3"/>
  <c r="CM261" i="3"/>
  <c r="CM262" i="3"/>
  <c r="CM263" i="3"/>
  <c r="CM264" i="3"/>
  <c r="CM265" i="3"/>
  <c r="CM266" i="3"/>
  <c r="CM267" i="3"/>
  <c r="CM268" i="3"/>
  <c r="CM269" i="3"/>
  <c r="CM270" i="3"/>
  <c r="CM271" i="3"/>
  <c r="CM272" i="3"/>
  <c r="CM273" i="3"/>
  <c r="CM274" i="3"/>
  <c r="CM275" i="3"/>
  <c r="CM276" i="3"/>
  <c r="CM277" i="3"/>
  <c r="CM278" i="3"/>
  <c r="CM279" i="3"/>
  <c r="CM280" i="3"/>
  <c r="CM281" i="3"/>
  <c r="CM282" i="3"/>
  <c r="CM283" i="3"/>
  <c r="CM284" i="3"/>
  <c r="CM285" i="3"/>
  <c r="CM286" i="3"/>
  <c r="CM287" i="3"/>
  <c r="CM288" i="3"/>
  <c r="CM289" i="3"/>
  <c r="CM290" i="3"/>
  <c r="CM291" i="3"/>
  <c r="CM292" i="3"/>
  <c r="CM293" i="3"/>
  <c r="CM294" i="3"/>
  <c r="CM295" i="3"/>
  <c r="CM296" i="3"/>
  <c r="CM297" i="3"/>
  <c r="CM298" i="3"/>
  <c r="CM299" i="3"/>
  <c r="CM300" i="3"/>
  <c r="CM301" i="3"/>
  <c r="CM302" i="3"/>
  <c r="CM303" i="3"/>
  <c r="CM304" i="3"/>
  <c r="CM305" i="3"/>
  <c r="CM306" i="3"/>
  <c r="CM307" i="3"/>
  <c r="CM308" i="3"/>
  <c r="CM309" i="3"/>
  <c r="CM310" i="3"/>
  <c r="CM311" i="3"/>
  <c r="CM312" i="3"/>
  <c r="CM313" i="3"/>
  <c r="CM314" i="3"/>
  <c r="CM315" i="3"/>
  <c r="CM316" i="3"/>
  <c r="CM317" i="3"/>
  <c r="CM318" i="3"/>
  <c r="CM319" i="3"/>
  <c r="CM320" i="3"/>
  <c r="CM321" i="3"/>
  <c r="CM322" i="3"/>
  <c r="CM323" i="3"/>
  <c r="CM324" i="3"/>
  <c r="CM325" i="3"/>
  <c r="CM326" i="3"/>
  <c r="CM327" i="3"/>
  <c r="CM328" i="3"/>
  <c r="CM329" i="3"/>
  <c r="CM330" i="3"/>
  <c r="CM331" i="3"/>
  <c r="CM332" i="3"/>
  <c r="CM333" i="3"/>
  <c r="CM334" i="3"/>
  <c r="CM335" i="3"/>
  <c r="CM336" i="3"/>
  <c r="CM337" i="3"/>
  <c r="CM338" i="3"/>
  <c r="CM339" i="3"/>
  <c r="CM340" i="3"/>
  <c r="CM341" i="3"/>
  <c r="CM342" i="3"/>
  <c r="CM343" i="3"/>
  <c r="CM344" i="3"/>
  <c r="CM345" i="3"/>
  <c r="CM346" i="3"/>
  <c r="CM347" i="3"/>
  <c r="CM348" i="3"/>
  <c r="CM349" i="3"/>
  <c r="CM350" i="3"/>
  <c r="CM351" i="3"/>
  <c r="CM352" i="3"/>
  <c r="CM353" i="3"/>
  <c r="CM354" i="3"/>
  <c r="CM355" i="3"/>
  <c r="CM356" i="3"/>
  <c r="CM357" i="3"/>
  <c r="CM358" i="3"/>
  <c r="CM359" i="3"/>
  <c r="CM360" i="3"/>
  <c r="CM361" i="3"/>
  <c r="CM362" i="3"/>
  <c r="CM363" i="3"/>
  <c r="CM364" i="3"/>
  <c r="CM365" i="3"/>
  <c r="CM366" i="3"/>
  <c r="CM367" i="3"/>
  <c r="CM368" i="3"/>
  <c r="CM369" i="3"/>
  <c r="CM370" i="3"/>
  <c r="CM371" i="3"/>
  <c r="CM372" i="3"/>
  <c r="CM373" i="3"/>
  <c r="CM374" i="3"/>
  <c r="CM375" i="3"/>
  <c r="CM376" i="3"/>
  <c r="CM377" i="3"/>
  <c r="CM378" i="3"/>
  <c r="CM379" i="3"/>
  <c r="CM380" i="3"/>
  <c r="CM381" i="3"/>
  <c r="CM382" i="3"/>
  <c r="CM383" i="3"/>
  <c r="CM384" i="3"/>
  <c r="CM385" i="3"/>
  <c r="CM386" i="3"/>
  <c r="CM387" i="3"/>
  <c r="CM388" i="3"/>
  <c r="CM389" i="3"/>
  <c r="CM390" i="3"/>
  <c r="CM391" i="3"/>
  <c r="CM392" i="3"/>
  <c r="CM393" i="3"/>
  <c r="CM394" i="3"/>
  <c r="CM395" i="3"/>
  <c r="CM396" i="3"/>
  <c r="CM397" i="3"/>
  <c r="CM398" i="3"/>
  <c r="CM399" i="3"/>
  <c r="CM400" i="3"/>
  <c r="CM401" i="3"/>
  <c r="CM402" i="3"/>
  <c r="CM403" i="3"/>
  <c r="CM404" i="3"/>
  <c r="CM405" i="3"/>
  <c r="CM406" i="3"/>
  <c r="CM407" i="3"/>
  <c r="CM408" i="3"/>
  <c r="CM409" i="3"/>
  <c r="CM410" i="3"/>
  <c r="CM411" i="3"/>
  <c r="CM412" i="3"/>
  <c r="CM413" i="3"/>
  <c r="CM414" i="3"/>
  <c r="CM415" i="3"/>
  <c r="CM416" i="3"/>
  <c r="CM417" i="3"/>
  <c r="CM418" i="3"/>
  <c r="CM419" i="3"/>
  <c r="CM420" i="3"/>
  <c r="CM421" i="3"/>
  <c r="CM422" i="3"/>
  <c r="CM423" i="3"/>
  <c r="CM424" i="3"/>
  <c r="CM425" i="3"/>
  <c r="CM426" i="3"/>
  <c r="CM427" i="3"/>
  <c r="CM428" i="3"/>
  <c r="CM429" i="3"/>
  <c r="CM430" i="3"/>
  <c r="CM431" i="3"/>
  <c r="CM432" i="3"/>
  <c r="CM433" i="3"/>
  <c r="CM434" i="3"/>
  <c r="CM435" i="3"/>
  <c r="CM436" i="3"/>
  <c r="CM437" i="3"/>
  <c r="CM438" i="3"/>
  <c r="CM439" i="3"/>
  <c r="CM440" i="3"/>
  <c r="CM441" i="3"/>
  <c r="CM442" i="3"/>
  <c r="CM443" i="3"/>
  <c r="CM444" i="3"/>
  <c r="CM445" i="3"/>
  <c r="CM446" i="3"/>
  <c r="CM447" i="3"/>
  <c r="CM448" i="3"/>
  <c r="CM449" i="3"/>
  <c r="CM450" i="3"/>
  <c r="CM451" i="3"/>
  <c r="CM452" i="3"/>
  <c r="CM453" i="3"/>
  <c r="CM454" i="3"/>
  <c r="CM455" i="3"/>
  <c r="CM456" i="3"/>
  <c r="CM457" i="3"/>
  <c r="CM458" i="3"/>
  <c r="CM459" i="3"/>
  <c r="CM460" i="3"/>
  <c r="CM461" i="3"/>
  <c r="CM462" i="3"/>
  <c r="CM463" i="3"/>
  <c r="CM464" i="3"/>
  <c r="CM465" i="3"/>
  <c r="CM466" i="3"/>
  <c r="CM467" i="3"/>
  <c r="CM468" i="3"/>
  <c r="CM469" i="3"/>
  <c r="CM470" i="3"/>
  <c r="CM471" i="3"/>
  <c r="CM472" i="3"/>
  <c r="CM473" i="3"/>
  <c r="CM474" i="3"/>
  <c r="CM475" i="3"/>
  <c r="CM476" i="3"/>
  <c r="CM477" i="3"/>
  <c r="CM478" i="3"/>
  <c r="CM479" i="3"/>
  <c r="CM480" i="3"/>
  <c r="CM481" i="3"/>
  <c r="CM482" i="3"/>
  <c r="CM483" i="3"/>
  <c r="CM484" i="3"/>
  <c r="CM485" i="3"/>
  <c r="CM486" i="3"/>
  <c r="CM487" i="3"/>
  <c r="CM488" i="3"/>
  <c r="CM489" i="3"/>
  <c r="CM490" i="3"/>
  <c r="CM491" i="3"/>
  <c r="CM492" i="3"/>
  <c r="CM493" i="3"/>
  <c r="CM494" i="3"/>
  <c r="CM495" i="3"/>
  <c r="CM496" i="3"/>
  <c r="CM497" i="3"/>
  <c r="CM498" i="3"/>
  <c r="CM499" i="3"/>
  <c r="CM500" i="3"/>
  <c r="CM501" i="3"/>
  <c r="CM502" i="3"/>
  <c r="CM503" i="3"/>
  <c r="CM504" i="3"/>
  <c r="CM505" i="3"/>
  <c r="CM506" i="3"/>
  <c r="CM507" i="3"/>
  <c r="CM508" i="3"/>
  <c r="CM509" i="3"/>
  <c r="CM510" i="3"/>
  <c r="CM511" i="3"/>
  <c r="CM512" i="3"/>
  <c r="CM513" i="3"/>
  <c r="CM514" i="3"/>
  <c r="CM515" i="3"/>
  <c r="CM516" i="3"/>
  <c r="CM517" i="3"/>
  <c r="CM518" i="3"/>
  <c r="CM519" i="3"/>
  <c r="CM520" i="3"/>
  <c r="CM521" i="3"/>
  <c r="CM522" i="3"/>
  <c r="CM523" i="3"/>
  <c r="CM524" i="3"/>
  <c r="CM525" i="3"/>
  <c r="CM526" i="3"/>
  <c r="CM527" i="3"/>
  <c r="CM528" i="3"/>
  <c r="CM529" i="3"/>
  <c r="CM530" i="3"/>
  <c r="CM531" i="3"/>
  <c r="CM532" i="3"/>
  <c r="CM533" i="3"/>
  <c r="CM534" i="3"/>
  <c r="CM535" i="3"/>
  <c r="CM536" i="3"/>
  <c r="CM537" i="3"/>
  <c r="CM538" i="3"/>
  <c r="CM539" i="3"/>
  <c r="CM540" i="3"/>
  <c r="CM541" i="3"/>
  <c r="CM542" i="3"/>
  <c r="CM543" i="3"/>
  <c r="CM544" i="3"/>
  <c r="CM545" i="3"/>
  <c r="CM546" i="3"/>
  <c r="CM547" i="3"/>
  <c r="CM548" i="3"/>
  <c r="CM549" i="3"/>
  <c r="CM550" i="3"/>
  <c r="CM551" i="3"/>
  <c r="CM552" i="3"/>
  <c r="CM553" i="3"/>
  <c r="CM554" i="3"/>
  <c r="CM555" i="3"/>
  <c r="CM556" i="3"/>
  <c r="CM557" i="3"/>
  <c r="CM558" i="3"/>
  <c r="CM559" i="3"/>
  <c r="CM560" i="3"/>
  <c r="CM561" i="3"/>
  <c r="CM562" i="3"/>
  <c r="CM563" i="3"/>
  <c r="CM564" i="3"/>
  <c r="CM565" i="3"/>
  <c r="CM566" i="3"/>
  <c r="CM567" i="3"/>
  <c r="CM568" i="3"/>
  <c r="CM569" i="3"/>
  <c r="CM570" i="3"/>
  <c r="CM571" i="3"/>
  <c r="CM572" i="3"/>
  <c r="CM573" i="3"/>
  <c r="CM574" i="3"/>
  <c r="CM575" i="3"/>
  <c r="CM576" i="3"/>
  <c r="CM577" i="3"/>
  <c r="CM578" i="3"/>
  <c r="CM579" i="3"/>
  <c r="CM580" i="3"/>
  <c r="CM581" i="3"/>
  <c r="CM582" i="3"/>
  <c r="CM583" i="3"/>
  <c r="CM584" i="3"/>
  <c r="CM585" i="3"/>
  <c r="CM586" i="3"/>
  <c r="CM587" i="3"/>
  <c r="CM588" i="3"/>
  <c r="CM589" i="3"/>
  <c r="CM590" i="3"/>
  <c r="CM591" i="3"/>
  <c r="CM592" i="3"/>
  <c r="CM593" i="3"/>
  <c r="CM594" i="3"/>
  <c r="CM595" i="3"/>
  <c r="CM596" i="3"/>
  <c r="CM597" i="3"/>
  <c r="CM598" i="3"/>
  <c r="CM599" i="3"/>
  <c r="CM600" i="3"/>
  <c r="CM601" i="3"/>
  <c r="CM602" i="3"/>
  <c r="CM603" i="3"/>
  <c r="CM604" i="3"/>
  <c r="CM605" i="3"/>
  <c r="CM606" i="3"/>
  <c r="CC8" i="3"/>
  <c r="CC9" i="3"/>
  <c r="CC10" i="3"/>
  <c r="CC11" i="3"/>
  <c r="CC12" i="3"/>
  <c r="CC13" i="3"/>
  <c r="CC14" i="3"/>
  <c r="CC15" i="3"/>
  <c r="CC16" i="3"/>
  <c r="CC17" i="3"/>
  <c r="CC18" i="3"/>
  <c r="CC19" i="3"/>
  <c r="CC20" i="3"/>
  <c r="CC21" i="3"/>
  <c r="CC22" i="3"/>
  <c r="CC23" i="3"/>
  <c r="CC24" i="3"/>
  <c r="CC25" i="3"/>
  <c r="CC26" i="3"/>
  <c r="CC27" i="3"/>
  <c r="CC28" i="3"/>
  <c r="CC29" i="3"/>
  <c r="CC30" i="3"/>
  <c r="CC31" i="3"/>
  <c r="CC32" i="3"/>
  <c r="CC33" i="3"/>
  <c r="CC34" i="3"/>
  <c r="CC35" i="3"/>
  <c r="CC36" i="3"/>
  <c r="CC37" i="3"/>
  <c r="CC38" i="3"/>
  <c r="CC39" i="3"/>
  <c r="CC40" i="3"/>
  <c r="CC41" i="3"/>
  <c r="CC42" i="3"/>
  <c r="CC43" i="3"/>
  <c r="CC44" i="3"/>
  <c r="CC45" i="3"/>
  <c r="CC46" i="3"/>
  <c r="CC47" i="3"/>
  <c r="CC48" i="3"/>
  <c r="CC49" i="3"/>
  <c r="CC50" i="3"/>
  <c r="CC51" i="3"/>
  <c r="CC52" i="3"/>
  <c r="CC53" i="3"/>
  <c r="CC54" i="3"/>
  <c r="CC55" i="3"/>
  <c r="CC56" i="3"/>
  <c r="CC57" i="3"/>
  <c r="CC58" i="3"/>
  <c r="CC59" i="3"/>
  <c r="CC60" i="3"/>
  <c r="CC61" i="3"/>
  <c r="CC62" i="3"/>
  <c r="CC63" i="3"/>
  <c r="CC64" i="3"/>
  <c r="CC65" i="3"/>
  <c r="CC66" i="3"/>
  <c r="CC67" i="3"/>
  <c r="CC68" i="3"/>
  <c r="CC69" i="3"/>
  <c r="CC70" i="3"/>
  <c r="CC71" i="3"/>
  <c r="CC72" i="3"/>
  <c r="CC73" i="3"/>
  <c r="CC74" i="3"/>
  <c r="CC75" i="3"/>
  <c r="CC76" i="3"/>
  <c r="CC77" i="3"/>
  <c r="CC78" i="3"/>
  <c r="CC79" i="3"/>
  <c r="CC80" i="3"/>
  <c r="CC81" i="3"/>
  <c r="CC82" i="3"/>
  <c r="CC83" i="3"/>
  <c r="CC84" i="3"/>
  <c r="CC85" i="3"/>
  <c r="CC86" i="3"/>
  <c r="CC87" i="3"/>
  <c r="CC88" i="3"/>
  <c r="CC89" i="3"/>
  <c r="CC90" i="3"/>
  <c r="CC91" i="3"/>
  <c r="CC92" i="3"/>
  <c r="CC93" i="3"/>
  <c r="CC94" i="3"/>
  <c r="CC95" i="3"/>
  <c r="CC96" i="3"/>
  <c r="CC97" i="3"/>
  <c r="CC98" i="3"/>
  <c r="CC99" i="3"/>
  <c r="CC100" i="3"/>
  <c r="CC101" i="3"/>
  <c r="CC102" i="3"/>
  <c r="CC103" i="3"/>
  <c r="CC104" i="3"/>
  <c r="CC105" i="3"/>
  <c r="CC106" i="3"/>
  <c r="CC107" i="3"/>
  <c r="CC108" i="3"/>
  <c r="CC109" i="3"/>
  <c r="CC110" i="3"/>
  <c r="CC111" i="3"/>
  <c r="CC112" i="3"/>
  <c r="CC113" i="3"/>
  <c r="CC114" i="3"/>
  <c r="CC115" i="3"/>
  <c r="CC116" i="3"/>
  <c r="CC117" i="3"/>
  <c r="CC118" i="3"/>
  <c r="CC119" i="3"/>
  <c r="CC120" i="3"/>
  <c r="CC121" i="3"/>
  <c r="CC122" i="3"/>
  <c r="CC123" i="3"/>
  <c r="CC124" i="3"/>
  <c r="CC125" i="3"/>
  <c r="CC126" i="3"/>
  <c r="CC127" i="3"/>
  <c r="CC128" i="3"/>
  <c r="CC129" i="3"/>
  <c r="CC130" i="3"/>
  <c r="CC131" i="3"/>
  <c r="CC132" i="3"/>
  <c r="CC133" i="3"/>
  <c r="CC134" i="3"/>
  <c r="CC135" i="3"/>
  <c r="CC136" i="3"/>
  <c r="CC137" i="3"/>
  <c r="CC138" i="3"/>
  <c r="CC139" i="3"/>
  <c r="CC140" i="3"/>
  <c r="CC141" i="3"/>
  <c r="CC142" i="3"/>
  <c r="CC143" i="3"/>
  <c r="CC144" i="3"/>
  <c r="CC145" i="3"/>
  <c r="CC146" i="3"/>
  <c r="CC147" i="3"/>
  <c r="CC148" i="3"/>
  <c r="CC149" i="3"/>
  <c r="CC150" i="3"/>
  <c r="CC151" i="3"/>
  <c r="CC152" i="3"/>
  <c r="CC153" i="3"/>
  <c r="CC154" i="3"/>
  <c r="CC155" i="3"/>
  <c r="CC156" i="3"/>
  <c r="CC157" i="3"/>
  <c r="CC158" i="3"/>
  <c r="CC159" i="3"/>
  <c r="CC160" i="3"/>
  <c r="CC161" i="3"/>
  <c r="CC162" i="3"/>
  <c r="CC163" i="3"/>
  <c r="CC164" i="3"/>
  <c r="CC165" i="3"/>
  <c r="CC166" i="3"/>
  <c r="CC167" i="3"/>
  <c r="CC168" i="3"/>
  <c r="CC169" i="3"/>
  <c r="CC170" i="3"/>
  <c r="CC171" i="3"/>
  <c r="CC172" i="3"/>
  <c r="CC173" i="3"/>
  <c r="CC174" i="3"/>
  <c r="CC175" i="3"/>
  <c r="CC176" i="3"/>
  <c r="CC177" i="3"/>
  <c r="CC178" i="3"/>
  <c r="CC179" i="3"/>
  <c r="CC180" i="3"/>
  <c r="CC181" i="3"/>
  <c r="CC182" i="3"/>
  <c r="CC183" i="3"/>
  <c r="CC184" i="3"/>
  <c r="CC185" i="3"/>
  <c r="CC186" i="3"/>
  <c r="CC187" i="3"/>
  <c r="CC188" i="3"/>
  <c r="CC189" i="3"/>
  <c r="CC190" i="3"/>
  <c r="CC191" i="3"/>
  <c r="CC192" i="3"/>
  <c r="CC193" i="3"/>
  <c r="CC194" i="3"/>
  <c r="CC195" i="3"/>
  <c r="CC196" i="3"/>
  <c r="CC197" i="3"/>
  <c r="CC198" i="3"/>
  <c r="CC199" i="3"/>
  <c r="CC200" i="3"/>
  <c r="CC201" i="3"/>
  <c r="CC202" i="3"/>
  <c r="CC203" i="3"/>
  <c r="CC204" i="3"/>
  <c r="CC205" i="3"/>
  <c r="CC206" i="3"/>
  <c r="CC207" i="3"/>
  <c r="CC208" i="3"/>
  <c r="CC209" i="3"/>
  <c r="CC210" i="3"/>
  <c r="CC211" i="3"/>
  <c r="CC212" i="3"/>
  <c r="CC213" i="3"/>
  <c r="CC214" i="3"/>
  <c r="CC215" i="3"/>
  <c r="CC216" i="3"/>
  <c r="CC217" i="3"/>
  <c r="CC218" i="3"/>
  <c r="CC219" i="3"/>
  <c r="CC220" i="3"/>
  <c r="CC221" i="3"/>
  <c r="CC222" i="3"/>
  <c r="CC223" i="3"/>
  <c r="CC224" i="3"/>
  <c r="CC225" i="3"/>
  <c r="CC226" i="3"/>
  <c r="CC227" i="3"/>
  <c r="CC228" i="3"/>
  <c r="CC229" i="3"/>
  <c r="CC230" i="3"/>
  <c r="CC231" i="3"/>
  <c r="CC232" i="3"/>
  <c r="CC233" i="3"/>
  <c r="CC234" i="3"/>
  <c r="CC235" i="3"/>
  <c r="CC236" i="3"/>
  <c r="CC237" i="3"/>
  <c r="CC238" i="3"/>
  <c r="CC239" i="3"/>
  <c r="CC240" i="3"/>
  <c r="CC241" i="3"/>
  <c r="CC242" i="3"/>
  <c r="CC243" i="3"/>
  <c r="CC244" i="3"/>
  <c r="CC245" i="3"/>
  <c r="CC246" i="3"/>
  <c r="CC247" i="3"/>
  <c r="CC248" i="3"/>
  <c r="CC249" i="3"/>
  <c r="CC250" i="3"/>
  <c r="CC251" i="3"/>
  <c r="CC252" i="3"/>
  <c r="CC253" i="3"/>
  <c r="CC254" i="3"/>
  <c r="CC255" i="3"/>
  <c r="CC256" i="3"/>
  <c r="CC257" i="3"/>
  <c r="CC258" i="3"/>
  <c r="CC259" i="3"/>
  <c r="CC260" i="3"/>
  <c r="CC261" i="3"/>
  <c r="CC262" i="3"/>
  <c r="CC263" i="3"/>
  <c r="CC264" i="3"/>
  <c r="CC265" i="3"/>
  <c r="CC266" i="3"/>
  <c r="CC267" i="3"/>
  <c r="CC268" i="3"/>
  <c r="CC269" i="3"/>
  <c r="CC270" i="3"/>
  <c r="CC271" i="3"/>
  <c r="CC272" i="3"/>
  <c r="CC273" i="3"/>
  <c r="CC274" i="3"/>
  <c r="CC275" i="3"/>
  <c r="CC276" i="3"/>
  <c r="CC277" i="3"/>
  <c r="CC278" i="3"/>
  <c r="CC279" i="3"/>
  <c r="CC280" i="3"/>
  <c r="CC281" i="3"/>
  <c r="CC282" i="3"/>
  <c r="CC283" i="3"/>
  <c r="CC284" i="3"/>
  <c r="CC285" i="3"/>
  <c r="CC286" i="3"/>
  <c r="CC287" i="3"/>
  <c r="CC288" i="3"/>
  <c r="CC289" i="3"/>
  <c r="CC290" i="3"/>
  <c r="CC291" i="3"/>
  <c r="CC292" i="3"/>
  <c r="CC293" i="3"/>
  <c r="CC294" i="3"/>
  <c r="CC295" i="3"/>
  <c r="CC296" i="3"/>
  <c r="CC297" i="3"/>
  <c r="CC298" i="3"/>
  <c r="CC299" i="3"/>
  <c r="CC300" i="3"/>
  <c r="CC301" i="3"/>
  <c r="CC302" i="3"/>
  <c r="CC303" i="3"/>
  <c r="CC304" i="3"/>
  <c r="CC305" i="3"/>
  <c r="CC306" i="3"/>
  <c r="CC307" i="3"/>
  <c r="CC308" i="3"/>
  <c r="CC309" i="3"/>
  <c r="CC310" i="3"/>
  <c r="CC311" i="3"/>
  <c r="CC312" i="3"/>
  <c r="CC313" i="3"/>
  <c r="CC314" i="3"/>
  <c r="CC315" i="3"/>
  <c r="CC316" i="3"/>
  <c r="CC317" i="3"/>
  <c r="CC318" i="3"/>
  <c r="CC319" i="3"/>
  <c r="CC320" i="3"/>
  <c r="CC321" i="3"/>
  <c r="CC322" i="3"/>
  <c r="CC323" i="3"/>
  <c r="CC324" i="3"/>
  <c r="CC325" i="3"/>
  <c r="CC326" i="3"/>
  <c r="CC327" i="3"/>
  <c r="CC328" i="3"/>
  <c r="CC329" i="3"/>
  <c r="CC330" i="3"/>
  <c r="CC331" i="3"/>
  <c r="CC332" i="3"/>
  <c r="CC333" i="3"/>
  <c r="CC334" i="3"/>
  <c r="CC335" i="3"/>
  <c r="CC336" i="3"/>
  <c r="CC337" i="3"/>
  <c r="CC338" i="3"/>
  <c r="CC339" i="3"/>
  <c r="CC340" i="3"/>
  <c r="CC341" i="3"/>
  <c r="CC342" i="3"/>
  <c r="CC343" i="3"/>
  <c r="CC344" i="3"/>
  <c r="CC345" i="3"/>
  <c r="CC346" i="3"/>
  <c r="CC347" i="3"/>
  <c r="CC348" i="3"/>
  <c r="CC349" i="3"/>
  <c r="CC350" i="3"/>
  <c r="CC351" i="3"/>
  <c r="CC352" i="3"/>
  <c r="CC353" i="3"/>
  <c r="CC354" i="3"/>
  <c r="CC355" i="3"/>
  <c r="CC356" i="3"/>
  <c r="CC357" i="3"/>
  <c r="CC358" i="3"/>
  <c r="CC359" i="3"/>
  <c r="CC360" i="3"/>
  <c r="CC361" i="3"/>
  <c r="CC362" i="3"/>
  <c r="CC363" i="3"/>
  <c r="CC364" i="3"/>
  <c r="CC365" i="3"/>
  <c r="CC366" i="3"/>
  <c r="CC367" i="3"/>
  <c r="CC368" i="3"/>
  <c r="CC369" i="3"/>
  <c r="CC370" i="3"/>
  <c r="CC371" i="3"/>
  <c r="CC372" i="3"/>
  <c r="CC373" i="3"/>
  <c r="CC374" i="3"/>
  <c r="CC375" i="3"/>
  <c r="CC376" i="3"/>
  <c r="CC377" i="3"/>
  <c r="CC378" i="3"/>
  <c r="CC379" i="3"/>
  <c r="CC380" i="3"/>
  <c r="CC381" i="3"/>
  <c r="CC382" i="3"/>
  <c r="CC383" i="3"/>
  <c r="CC384" i="3"/>
  <c r="CC385" i="3"/>
  <c r="CC386" i="3"/>
  <c r="CC387" i="3"/>
  <c r="CC388" i="3"/>
  <c r="CC389" i="3"/>
  <c r="CC390" i="3"/>
  <c r="CC391" i="3"/>
  <c r="CC392" i="3"/>
  <c r="CC393" i="3"/>
  <c r="CC394" i="3"/>
  <c r="CC395" i="3"/>
  <c r="CC396" i="3"/>
  <c r="CC397" i="3"/>
  <c r="CC398" i="3"/>
  <c r="CC399" i="3"/>
  <c r="CC400" i="3"/>
  <c r="CC401" i="3"/>
  <c r="CC402" i="3"/>
  <c r="CC403" i="3"/>
  <c r="CC404" i="3"/>
  <c r="CC405" i="3"/>
  <c r="CC406" i="3"/>
  <c r="CC407" i="3"/>
  <c r="CC408" i="3"/>
  <c r="CC409" i="3"/>
  <c r="CC410" i="3"/>
  <c r="CC411" i="3"/>
  <c r="CC412" i="3"/>
  <c r="CC413" i="3"/>
  <c r="CC414" i="3"/>
  <c r="CC415" i="3"/>
  <c r="CC416" i="3"/>
  <c r="CC417" i="3"/>
  <c r="CC418" i="3"/>
  <c r="CC419" i="3"/>
  <c r="CC420" i="3"/>
  <c r="CC421" i="3"/>
  <c r="CC422" i="3"/>
  <c r="CC423" i="3"/>
  <c r="CC424" i="3"/>
  <c r="CC425" i="3"/>
  <c r="CC426" i="3"/>
  <c r="CC427" i="3"/>
  <c r="CC428" i="3"/>
  <c r="CC429" i="3"/>
  <c r="CC430" i="3"/>
  <c r="CC431" i="3"/>
  <c r="CC432" i="3"/>
  <c r="CC433" i="3"/>
  <c r="CC434" i="3"/>
  <c r="CC435" i="3"/>
  <c r="CC436" i="3"/>
  <c r="CC437" i="3"/>
  <c r="CC438" i="3"/>
  <c r="CC439" i="3"/>
  <c r="CC440" i="3"/>
  <c r="CC441" i="3"/>
  <c r="CC442" i="3"/>
  <c r="CC443" i="3"/>
  <c r="CC444" i="3"/>
  <c r="CC445" i="3"/>
  <c r="CC446" i="3"/>
  <c r="CC447" i="3"/>
  <c r="CC448" i="3"/>
  <c r="CC449" i="3"/>
  <c r="CC450" i="3"/>
  <c r="CC451" i="3"/>
  <c r="CC452" i="3"/>
  <c r="CC453" i="3"/>
  <c r="CC454" i="3"/>
  <c r="CC455" i="3"/>
  <c r="CC456" i="3"/>
  <c r="CC457" i="3"/>
  <c r="CC458" i="3"/>
  <c r="CC459" i="3"/>
  <c r="CC460" i="3"/>
  <c r="CC461" i="3"/>
  <c r="CC462" i="3"/>
  <c r="CC463" i="3"/>
  <c r="CC464" i="3"/>
  <c r="CC465" i="3"/>
  <c r="CC466" i="3"/>
  <c r="CC467" i="3"/>
  <c r="CC468" i="3"/>
  <c r="CC469" i="3"/>
  <c r="CC470" i="3"/>
  <c r="CC471" i="3"/>
  <c r="CC472" i="3"/>
  <c r="CC473" i="3"/>
  <c r="CC474" i="3"/>
  <c r="CC475" i="3"/>
  <c r="CC476" i="3"/>
  <c r="CC477" i="3"/>
  <c r="CC478" i="3"/>
  <c r="CC479" i="3"/>
  <c r="CC480" i="3"/>
  <c r="CC481" i="3"/>
  <c r="CC482" i="3"/>
  <c r="CC483" i="3"/>
  <c r="CC484" i="3"/>
  <c r="CC485" i="3"/>
  <c r="CC486" i="3"/>
  <c r="CC487" i="3"/>
  <c r="CC488" i="3"/>
  <c r="CC489" i="3"/>
  <c r="CC490" i="3"/>
  <c r="CC491" i="3"/>
  <c r="CC492" i="3"/>
  <c r="CC493" i="3"/>
  <c r="CC494" i="3"/>
  <c r="CC495" i="3"/>
  <c r="CC496" i="3"/>
  <c r="CC497" i="3"/>
  <c r="CC498" i="3"/>
  <c r="CC499" i="3"/>
  <c r="CC500" i="3"/>
  <c r="CC501" i="3"/>
  <c r="CC502" i="3"/>
  <c r="CC503" i="3"/>
  <c r="CC504" i="3"/>
  <c r="CC505" i="3"/>
  <c r="CC506" i="3"/>
  <c r="CC507" i="3"/>
  <c r="CC508" i="3"/>
  <c r="CC509" i="3"/>
  <c r="CC510" i="3"/>
  <c r="CC511" i="3"/>
  <c r="CC512" i="3"/>
  <c r="CC513" i="3"/>
  <c r="CC514" i="3"/>
  <c r="CC515" i="3"/>
  <c r="CC516" i="3"/>
  <c r="CC517" i="3"/>
  <c r="CC518" i="3"/>
  <c r="CC519" i="3"/>
  <c r="CC520" i="3"/>
  <c r="CC521" i="3"/>
  <c r="CC522" i="3"/>
  <c r="CC523" i="3"/>
  <c r="CC524" i="3"/>
  <c r="CC525" i="3"/>
  <c r="CC526" i="3"/>
  <c r="CC527" i="3"/>
  <c r="CC528" i="3"/>
  <c r="CC529" i="3"/>
  <c r="CC530" i="3"/>
  <c r="CC531" i="3"/>
  <c r="CC532" i="3"/>
  <c r="CC533" i="3"/>
  <c r="CC534" i="3"/>
  <c r="CC535" i="3"/>
  <c r="CC536" i="3"/>
  <c r="CC537" i="3"/>
  <c r="CC538" i="3"/>
  <c r="CC539" i="3"/>
  <c r="CC540" i="3"/>
  <c r="CC541" i="3"/>
  <c r="CC542" i="3"/>
  <c r="CC543" i="3"/>
  <c r="CC544" i="3"/>
  <c r="CC545" i="3"/>
  <c r="CC546" i="3"/>
  <c r="CC547" i="3"/>
  <c r="CC548" i="3"/>
  <c r="CC549" i="3"/>
  <c r="CC550" i="3"/>
  <c r="CC551" i="3"/>
  <c r="CC552" i="3"/>
  <c r="CC553" i="3"/>
  <c r="CC554" i="3"/>
  <c r="CC555" i="3"/>
  <c r="CC556" i="3"/>
  <c r="CC557" i="3"/>
  <c r="CC558" i="3"/>
  <c r="CC559" i="3"/>
  <c r="CC560" i="3"/>
  <c r="CC561" i="3"/>
  <c r="CC562" i="3"/>
  <c r="CC563" i="3"/>
  <c r="CC564" i="3"/>
  <c r="CC565" i="3"/>
  <c r="CC566" i="3"/>
  <c r="CC567" i="3"/>
  <c r="CC568" i="3"/>
  <c r="CC569" i="3"/>
  <c r="CC570" i="3"/>
  <c r="CC571" i="3"/>
  <c r="CC572" i="3"/>
  <c r="CC573" i="3"/>
  <c r="CC574" i="3"/>
  <c r="CC575" i="3"/>
  <c r="CC576" i="3"/>
  <c r="CC577" i="3"/>
  <c r="CC578" i="3"/>
  <c r="CC579" i="3"/>
  <c r="CC580" i="3"/>
  <c r="CC581" i="3"/>
  <c r="CC582" i="3"/>
  <c r="CC583" i="3"/>
  <c r="CC584" i="3"/>
  <c r="CC585" i="3"/>
  <c r="CC586" i="3"/>
  <c r="CC587" i="3"/>
  <c r="CC588" i="3"/>
  <c r="CC589" i="3"/>
  <c r="CC590" i="3"/>
  <c r="CC591" i="3"/>
  <c r="CC592" i="3"/>
  <c r="CC593" i="3"/>
  <c r="CC594" i="3"/>
  <c r="CC595" i="3"/>
  <c r="CC596" i="3"/>
  <c r="CC597" i="3"/>
  <c r="CC598" i="3"/>
  <c r="CC599" i="3"/>
  <c r="CC600" i="3"/>
  <c r="CC601" i="3"/>
  <c r="CC602" i="3"/>
  <c r="CC603" i="3"/>
  <c r="CC604" i="3"/>
  <c r="CC605" i="3"/>
  <c r="CC606" i="3"/>
  <c r="CC7" i="3"/>
  <c r="O24" i="3" l="1" a="1"/>
  <c r="O24" i="3" s="1"/>
  <c r="O18" i="3" a="1"/>
  <c r="O18" i="3" s="1"/>
  <c r="O37" i="3" a="1"/>
  <c r="O37" i="3" s="1"/>
  <c r="O21" i="3" a="1"/>
  <c r="O21" i="3" s="1"/>
  <c r="O36" i="3" a="1"/>
  <c r="O36" i="3" s="1"/>
  <c r="O20" i="3" a="1"/>
  <c r="O20" i="3" s="1"/>
  <c r="O35" i="3" a="1"/>
  <c r="O35" i="3" s="1"/>
  <c r="O19" i="3" a="1"/>
  <c r="O19" i="3" s="1"/>
  <c r="O30" i="3" a="1"/>
  <c r="O30" i="3" s="1"/>
  <c r="O14" i="3" a="1"/>
  <c r="O14" i="3" s="1"/>
  <c r="O8" i="3" a="1"/>
  <c r="O8" i="3" s="1"/>
  <c r="O23" i="3" a="1"/>
  <c r="O23" i="3" s="1"/>
  <c r="O33" i="3" a="1"/>
  <c r="O33" i="3" s="1"/>
  <c r="O17" i="3" a="1"/>
  <c r="O17" i="3" s="1"/>
  <c r="O32" i="3" a="1"/>
  <c r="O32" i="3" s="1"/>
  <c r="O16" i="3" a="1"/>
  <c r="O16" i="3" s="1"/>
  <c r="O31" i="3" a="1"/>
  <c r="O31" i="3" s="1"/>
  <c r="O15" i="3" a="1"/>
  <c r="O15" i="3" s="1"/>
  <c r="O26" i="3" a="1"/>
  <c r="O26" i="3" s="1"/>
  <c r="O10" i="3" a="1"/>
  <c r="O10" i="3" s="1"/>
  <c r="O25" i="3" a="1"/>
  <c r="O25" i="3" s="1"/>
  <c r="O9" i="3" a="1"/>
  <c r="O9" i="3" s="1"/>
  <c r="O34" i="3" a="1"/>
  <c r="O34" i="3" s="1"/>
  <c r="BD9" i="3"/>
  <c r="Q8" i="3" a="1"/>
  <c r="Q8" i="3" s="1"/>
  <c r="Q9" i="3" a="1"/>
  <c r="Q9" i="3" s="1"/>
  <c r="O29" i="3" a="1"/>
  <c r="O29" i="3" s="1"/>
  <c r="O13" i="3" a="1"/>
  <c r="O13" i="3" s="1"/>
  <c r="O28" i="3" a="1"/>
  <c r="O28" i="3" s="1"/>
  <c r="O12" i="3" a="1"/>
  <c r="O12" i="3" s="1"/>
  <c r="O27" i="3" a="1"/>
  <c r="O27" i="3" s="1"/>
  <c r="O11" i="3" a="1"/>
  <c r="O11" i="3" s="1"/>
  <c r="O22" i="3" a="1"/>
  <c r="O22" i="3" s="1"/>
  <c r="N9" i="3" a="1"/>
  <c r="N9" i="3" s="1"/>
  <c r="N13" i="3" a="1"/>
  <c r="N13" i="3" s="1"/>
  <c r="N17" i="3" a="1"/>
  <c r="N17" i="3" s="1"/>
  <c r="N21" i="3" a="1"/>
  <c r="N21" i="3" s="1"/>
  <c r="N25" i="3" a="1"/>
  <c r="N25" i="3" s="1"/>
  <c r="N29" i="3" a="1"/>
  <c r="N29" i="3" s="1"/>
  <c r="N33" i="3" a="1"/>
  <c r="N33" i="3" s="1"/>
  <c r="N37" i="3" a="1"/>
  <c r="N37" i="3" s="1"/>
  <c r="N8" i="3" a="1"/>
  <c r="N8" i="3" s="1"/>
  <c r="N10" i="3" a="1"/>
  <c r="N10" i="3" s="1"/>
  <c r="N14" i="3" a="1"/>
  <c r="N14" i="3" s="1"/>
  <c r="N18" i="3" a="1"/>
  <c r="N18" i="3" s="1"/>
  <c r="N22" i="3" a="1"/>
  <c r="N22" i="3" s="1"/>
  <c r="N26" i="3" a="1"/>
  <c r="N26" i="3" s="1"/>
  <c r="N30" i="3" a="1"/>
  <c r="N30" i="3" s="1"/>
  <c r="N34" i="3" a="1"/>
  <c r="N34" i="3" s="1"/>
  <c r="N11" i="3" a="1"/>
  <c r="N11" i="3" s="1"/>
  <c r="N15" i="3" a="1"/>
  <c r="N15" i="3" s="1"/>
  <c r="N19" i="3" a="1"/>
  <c r="N19" i="3" s="1"/>
  <c r="N23" i="3" a="1"/>
  <c r="N23" i="3" s="1"/>
  <c r="N27" i="3" a="1"/>
  <c r="N27" i="3" s="1"/>
  <c r="N31" i="3" a="1"/>
  <c r="N31" i="3" s="1"/>
  <c r="N35" i="3" a="1"/>
  <c r="N35" i="3" s="1"/>
  <c r="N12" i="3" a="1"/>
  <c r="N12" i="3" s="1"/>
  <c r="N16" i="3" a="1"/>
  <c r="N16" i="3" s="1"/>
  <c r="N20" i="3" a="1"/>
  <c r="N20" i="3" s="1"/>
  <c r="N24" i="3" a="1"/>
  <c r="N24" i="3" s="1"/>
  <c r="N28" i="3" a="1"/>
  <c r="N28" i="3" s="1"/>
  <c r="N32" i="3" a="1"/>
  <c r="N32" i="3" s="1"/>
  <c r="N36" i="3" a="1"/>
  <c r="N36" i="3" s="1"/>
  <c r="CM7" i="3"/>
  <c r="O6" i="3" l="1"/>
  <c r="P8" i="3" a="1"/>
  <c r="P8" i="3" s="1"/>
  <c r="P13" i="3" a="1"/>
  <c r="P13" i="3" s="1"/>
  <c r="P17" i="3" a="1"/>
  <c r="P17" i="3" s="1"/>
  <c r="P21" i="3" a="1"/>
  <c r="P21" i="3" s="1"/>
  <c r="P25" i="3" a="1"/>
  <c r="P25" i="3" s="1"/>
  <c r="P29" i="3" a="1"/>
  <c r="P29" i="3" s="1"/>
  <c r="P33" i="3" a="1"/>
  <c r="P33" i="3" s="1"/>
  <c r="P37" i="3" a="1"/>
  <c r="P37" i="3" s="1"/>
  <c r="P10" i="3" a="1"/>
  <c r="P10" i="3" s="1"/>
  <c r="P14" i="3" a="1"/>
  <c r="P14" i="3" s="1"/>
  <c r="P18" i="3" a="1"/>
  <c r="P18" i="3" s="1"/>
  <c r="P22" i="3" a="1"/>
  <c r="P22" i="3" s="1"/>
  <c r="P26" i="3" a="1"/>
  <c r="P26" i="3" s="1"/>
  <c r="P30" i="3" a="1"/>
  <c r="P30" i="3" s="1"/>
  <c r="P34" i="3" a="1"/>
  <c r="P34" i="3" s="1"/>
  <c r="P11" i="3" a="1"/>
  <c r="P11" i="3" s="1"/>
  <c r="P15" i="3" a="1"/>
  <c r="P15" i="3" s="1"/>
  <c r="P19" i="3" a="1"/>
  <c r="P19" i="3" s="1"/>
  <c r="P23" i="3" a="1"/>
  <c r="P23" i="3" s="1"/>
  <c r="P27" i="3" a="1"/>
  <c r="P27" i="3" s="1"/>
  <c r="P31" i="3" a="1"/>
  <c r="P31" i="3" s="1"/>
  <c r="P35" i="3" a="1"/>
  <c r="P35" i="3" s="1"/>
  <c r="P9" i="3" a="1"/>
  <c r="P9" i="3" s="1"/>
  <c r="P12" i="3" a="1"/>
  <c r="P12" i="3" s="1"/>
  <c r="P16" i="3" a="1"/>
  <c r="P16" i="3" s="1"/>
  <c r="P20" i="3" a="1"/>
  <c r="P20" i="3" s="1"/>
  <c r="P24" i="3" a="1"/>
  <c r="P24" i="3" s="1"/>
  <c r="P28" i="3" a="1"/>
  <c r="P28" i="3" s="1"/>
  <c r="P32" i="3" a="1"/>
  <c r="P32" i="3" s="1"/>
  <c r="P36" i="3" a="1"/>
  <c r="P36" i="3" s="1"/>
  <c r="BV8" i="3"/>
  <c r="BV9" i="3"/>
  <c r="BV10" i="3"/>
  <c r="BV11" i="3"/>
  <c r="BV12" i="3"/>
  <c r="BV13" i="3"/>
  <c r="BV14" i="3"/>
  <c r="BV15" i="3"/>
  <c r="BV16" i="3"/>
  <c r="BV17" i="3"/>
  <c r="BV18" i="3"/>
  <c r="BV19" i="3"/>
  <c r="BV20" i="3"/>
  <c r="BV21" i="3"/>
  <c r="BV22" i="3"/>
  <c r="BV23" i="3"/>
  <c r="BV24" i="3"/>
  <c r="BV25" i="3"/>
  <c r="BV26" i="3"/>
  <c r="BV27" i="3"/>
  <c r="BV28" i="3"/>
  <c r="BV29" i="3"/>
  <c r="BV30" i="3"/>
  <c r="BV31" i="3"/>
  <c r="BV32" i="3"/>
  <c r="BV33" i="3"/>
  <c r="BV34" i="3"/>
  <c r="BV35" i="3"/>
  <c r="BV36" i="3"/>
  <c r="BV37" i="3"/>
  <c r="BV38" i="3"/>
  <c r="BV39" i="3"/>
  <c r="BV40" i="3"/>
  <c r="BV41" i="3"/>
  <c r="BV42" i="3"/>
  <c r="BV43" i="3"/>
  <c r="BV44" i="3"/>
  <c r="BV45" i="3"/>
  <c r="BV46" i="3"/>
  <c r="BV47" i="3"/>
  <c r="BV48" i="3"/>
  <c r="BV49" i="3"/>
  <c r="BV50" i="3"/>
  <c r="BV51" i="3"/>
  <c r="BV52" i="3"/>
  <c r="BV53" i="3"/>
  <c r="BV54" i="3"/>
  <c r="BV55" i="3"/>
  <c r="BV56" i="3"/>
  <c r="BV57" i="3"/>
  <c r="BV58" i="3"/>
  <c r="BV59" i="3"/>
  <c r="BV60" i="3"/>
  <c r="BV61" i="3"/>
  <c r="BV62" i="3"/>
  <c r="BV63" i="3"/>
  <c r="BV64" i="3"/>
  <c r="BV65" i="3"/>
  <c r="BV66" i="3"/>
  <c r="BV67" i="3"/>
  <c r="BV68" i="3"/>
  <c r="BV69" i="3"/>
  <c r="BV70" i="3"/>
  <c r="BV71" i="3"/>
  <c r="BV72" i="3"/>
  <c r="BV73" i="3"/>
  <c r="BV74" i="3"/>
  <c r="BV75" i="3"/>
  <c r="BV76" i="3"/>
  <c r="BV77" i="3"/>
  <c r="BV78" i="3"/>
  <c r="BV79" i="3"/>
  <c r="BV80" i="3"/>
  <c r="BV81" i="3"/>
  <c r="BV82" i="3"/>
  <c r="BV83" i="3"/>
  <c r="BV84" i="3"/>
  <c r="BV85" i="3"/>
  <c r="BV86" i="3"/>
  <c r="BV87" i="3"/>
  <c r="BV88" i="3"/>
  <c r="BV89" i="3"/>
  <c r="BV90" i="3"/>
  <c r="BV91" i="3"/>
  <c r="BV92" i="3"/>
  <c r="BV93" i="3"/>
  <c r="BV94" i="3"/>
  <c r="BV95" i="3"/>
  <c r="BV96" i="3"/>
  <c r="BV97" i="3"/>
  <c r="BV98" i="3"/>
  <c r="BV99" i="3"/>
  <c r="BV100" i="3"/>
  <c r="BV101" i="3"/>
  <c r="BV102" i="3"/>
  <c r="BV103" i="3"/>
  <c r="BV104" i="3"/>
  <c r="BV105" i="3"/>
  <c r="BV106" i="3"/>
  <c r="BV107" i="3"/>
  <c r="BV108" i="3"/>
  <c r="BV109" i="3"/>
  <c r="BV110" i="3"/>
  <c r="BV111" i="3"/>
  <c r="BV112" i="3"/>
  <c r="BV113" i="3"/>
  <c r="BV114" i="3"/>
  <c r="BV115" i="3"/>
  <c r="BV116" i="3"/>
  <c r="BV117" i="3"/>
  <c r="BV118" i="3"/>
  <c r="BV119" i="3"/>
  <c r="BV120" i="3"/>
  <c r="BV121" i="3"/>
  <c r="BV122" i="3"/>
  <c r="BV123" i="3"/>
  <c r="BV124" i="3"/>
  <c r="BV125" i="3"/>
  <c r="BV126" i="3"/>
  <c r="BV127" i="3"/>
  <c r="BV128" i="3"/>
  <c r="BV129" i="3"/>
  <c r="BV130" i="3"/>
  <c r="BV131" i="3"/>
  <c r="BV132" i="3"/>
  <c r="BV133" i="3"/>
  <c r="BV134" i="3"/>
  <c r="BV135" i="3"/>
  <c r="BV136" i="3"/>
  <c r="BV137" i="3"/>
  <c r="BV138" i="3"/>
  <c r="BV139" i="3"/>
  <c r="BV140" i="3"/>
  <c r="BV141" i="3"/>
  <c r="BV142" i="3"/>
  <c r="BV143" i="3"/>
  <c r="BV144" i="3"/>
  <c r="BV145" i="3"/>
  <c r="BV146" i="3"/>
  <c r="BV147" i="3"/>
  <c r="BV148" i="3"/>
  <c r="BV149" i="3"/>
  <c r="BV150" i="3"/>
  <c r="BV151" i="3"/>
  <c r="BV152" i="3"/>
  <c r="BV153" i="3"/>
  <c r="BV154" i="3"/>
  <c r="BV155" i="3"/>
  <c r="BV156" i="3"/>
  <c r="BV157" i="3"/>
  <c r="BV158" i="3"/>
  <c r="BV159" i="3"/>
  <c r="BV160" i="3"/>
  <c r="BV161" i="3"/>
  <c r="BV162" i="3"/>
  <c r="BV163" i="3"/>
  <c r="BV164" i="3"/>
  <c r="BV165" i="3"/>
  <c r="BV166" i="3"/>
  <c r="BV167" i="3"/>
  <c r="BV168" i="3"/>
  <c r="BV169" i="3"/>
  <c r="BV170" i="3"/>
  <c r="BV171" i="3"/>
  <c r="BV172" i="3"/>
  <c r="BV173" i="3"/>
  <c r="BV174" i="3"/>
  <c r="BV175" i="3"/>
  <c r="BV176" i="3"/>
  <c r="BV177" i="3"/>
  <c r="BV178" i="3"/>
  <c r="BV179" i="3"/>
  <c r="BV180" i="3"/>
  <c r="BV181" i="3"/>
  <c r="BV182" i="3"/>
  <c r="BV183" i="3"/>
  <c r="BV184" i="3"/>
  <c r="BV185" i="3"/>
  <c r="BV186" i="3"/>
  <c r="BV187" i="3"/>
  <c r="BV188" i="3"/>
  <c r="BV189" i="3"/>
  <c r="BV190" i="3"/>
  <c r="BV191" i="3"/>
  <c r="BV192" i="3"/>
  <c r="BV193" i="3"/>
  <c r="BV194" i="3"/>
  <c r="BV195" i="3"/>
  <c r="BV196" i="3"/>
  <c r="BV197" i="3"/>
  <c r="BV198" i="3"/>
  <c r="BV199" i="3"/>
  <c r="BV200" i="3"/>
  <c r="BV201" i="3"/>
  <c r="BV202" i="3"/>
  <c r="BV203" i="3"/>
  <c r="BV204" i="3"/>
  <c r="BV205" i="3"/>
  <c r="BV206" i="3"/>
  <c r="BV207" i="3"/>
  <c r="BV208" i="3"/>
  <c r="BV209" i="3"/>
  <c r="BV210" i="3"/>
  <c r="BV211" i="3"/>
  <c r="BV212" i="3"/>
  <c r="BV213" i="3"/>
  <c r="BV214" i="3"/>
  <c r="BV215" i="3"/>
  <c r="BV216" i="3"/>
  <c r="BV217" i="3"/>
  <c r="BV218" i="3"/>
  <c r="BV219" i="3"/>
  <c r="BV220" i="3"/>
  <c r="BV221" i="3"/>
  <c r="BV222" i="3"/>
  <c r="BV223" i="3"/>
  <c r="BV224" i="3"/>
  <c r="BV225" i="3"/>
  <c r="BV226" i="3"/>
  <c r="BV227" i="3"/>
  <c r="BV228" i="3"/>
  <c r="BV229" i="3"/>
  <c r="BV230" i="3"/>
  <c r="BV231" i="3"/>
  <c r="BV232" i="3"/>
  <c r="BV233" i="3"/>
  <c r="BV234" i="3"/>
  <c r="BV235" i="3"/>
  <c r="BV236" i="3"/>
  <c r="BV237" i="3"/>
  <c r="BV238" i="3"/>
  <c r="BV239" i="3"/>
  <c r="BV240" i="3"/>
  <c r="BV241" i="3"/>
  <c r="BV242" i="3"/>
  <c r="BV243" i="3"/>
  <c r="BV244" i="3"/>
  <c r="BV245" i="3"/>
  <c r="BV246" i="3"/>
  <c r="BV247" i="3"/>
  <c r="BV248" i="3"/>
  <c r="BV249" i="3"/>
  <c r="BV250" i="3"/>
  <c r="BV251" i="3"/>
  <c r="BV252" i="3"/>
  <c r="BV253" i="3"/>
  <c r="BV254" i="3"/>
  <c r="BV255" i="3"/>
  <c r="BV256" i="3"/>
  <c r="BV257" i="3"/>
  <c r="BV258" i="3"/>
  <c r="BV259" i="3"/>
  <c r="BV260" i="3"/>
  <c r="BV261" i="3"/>
  <c r="BV262" i="3"/>
  <c r="BV263" i="3"/>
  <c r="BV264" i="3"/>
  <c r="BV265" i="3"/>
  <c r="BV266" i="3"/>
  <c r="BV267" i="3"/>
  <c r="BV268" i="3"/>
  <c r="BV269" i="3"/>
  <c r="BV270" i="3"/>
  <c r="BV271" i="3"/>
  <c r="BV272" i="3"/>
  <c r="BV273" i="3"/>
  <c r="BV274" i="3"/>
  <c r="BV275" i="3"/>
  <c r="BV276" i="3"/>
  <c r="BV277" i="3"/>
  <c r="BV278" i="3"/>
  <c r="BV279" i="3"/>
  <c r="BV280" i="3"/>
  <c r="BV281" i="3"/>
  <c r="BV282" i="3"/>
  <c r="BV283" i="3"/>
  <c r="BV284" i="3"/>
  <c r="BV285" i="3"/>
  <c r="BV286" i="3"/>
  <c r="BV287" i="3"/>
  <c r="BV288" i="3"/>
  <c r="BV289" i="3"/>
  <c r="BV290" i="3"/>
  <c r="BV291" i="3"/>
  <c r="BV292" i="3"/>
  <c r="BV293" i="3"/>
  <c r="BV294" i="3"/>
  <c r="BV295" i="3"/>
  <c r="BV296" i="3"/>
  <c r="BV297" i="3"/>
  <c r="BV298" i="3"/>
  <c r="BV299" i="3"/>
  <c r="BV300" i="3"/>
  <c r="BV301" i="3"/>
  <c r="BV302" i="3"/>
  <c r="BV303" i="3"/>
  <c r="BV304" i="3"/>
  <c r="BV305" i="3"/>
  <c r="BV306" i="3"/>
  <c r="BV307" i="3"/>
  <c r="BV308" i="3"/>
  <c r="BV309" i="3"/>
  <c r="BV310" i="3"/>
  <c r="BV311" i="3"/>
  <c r="BV312" i="3"/>
  <c r="BV313" i="3"/>
  <c r="BV314" i="3"/>
  <c r="BV315" i="3"/>
  <c r="BV316" i="3"/>
  <c r="BV317" i="3"/>
  <c r="BV318" i="3"/>
  <c r="BV319" i="3"/>
  <c r="BV320" i="3"/>
  <c r="BV321" i="3"/>
  <c r="BV322" i="3"/>
  <c r="BV323" i="3"/>
  <c r="BV324" i="3"/>
  <c r="BV325" i="3"/>
  <c r="BV326" i="3"/>
  <c r="BV327" i="3"/>
  <c r="BV328" i="3"/>
  <c r="BV329" i="3"/>
  <c r="BV330" i="3"/>
  <c r="BV331" i="3"/>
  <c r="BV332" i="3"/>
  <c r="BV333" i="3"/>
  <c r="BV334" i="3"/>
  <c r="BV335" i="3"/>
  <c r="BV336" i="3"/>
  <c r="BV337" i="3"/>
  <c r="BV338" i="3"/>
  <c r="BV339" i="3"/>
  <c r="BV340" i="3"/>
  <c r="BV341" i="3"/>
  <c r="BV342" i="3"/>
  <c r="BV343" i="3"/>
  <c r="BV344" i="3"/>
  <c r="BV345" i="3"/>
  <c r="BV346" i="3"/>
  <c r="BV347" i="3"/>
  <c r="BV348" i="3"/>
  <c r="BV349" i="3"/>
  <c r="BV350" i="3"/>
  <c r="BV351" i="3"/>
  <c r="BV352" i="3"/>
  <c r="BV353" i="3"/>
  <c r="BV354" i="3"/>
  <c r="BV355" i="3"/>
  <c r="BV356" i="3"/>
  <c r="BV357" i="3"/>
  <c r="BV358" i="3"/>
  <c r="BV359" i="3"/>
  <c r="BV360" i="3"/>
  <c r="BV361" i="3"/>
  <c r="BV362" i="3"/>
  <c r="BV363" i="3"/>
  <c r="BV364" i="3"/>
  <c r="BV365" i="3"/>
  <c r="BV366" i="3"/>
  <c r="BV367" i="3"/>
  <c r="BV368" i="3"/>
  <c r="BV369" i="3"/>
  <c r="BV370" i="3"/>
  <c r="BV371" i="3"/>
  <c r="BV372" i="3"/>
  <c r="BV373" i="3"/>
  <c r="BV374" i="3"/>
  <c r="BV375" i="3"/>
  <c r="BV376" i="3"/>
  <c r="BV377" i="3"/>
  <c r="BV378" i="3"/>
  <c r="BV379" i="3"/>
  <c r="BV380" i="3"/>
  <c r="BV381" i="3"/>
  <c r="BV382" i="3"/>
  <c r="BV383" i="3"/>
  <c r="BV384" i="3"/>
  <c r="BV385" i="3"/>
  <c r="BV386" i="3"/>
  <c r="BV387" i="3"/>
  <c r="BV388" i="3"/>
  <c r="BV389" i="3"/>
  <c r="BV390" i="3"/>
  <c r="BV391" i="3"/>
  <c r="BV392" i="3"/>
  <c r="BV393" i="3"/>
  <c r="BV394" i="3"/>
  <c r="BV395" i="3"/>
  <c r="BV396" i="3"/>
  <c r="BV397" i="3"/>
  <c r="BV398" i="3"/>
  <c r="BV399" i="3"/>
  <c r="BV400" i="3"/>
  <c r="BV401" i="3"/>
  <c r="BV402" i="3"/>
  <c r="BV403" i="3"/>
  <c r="BV404" i="3"/>
  <c r="BV405" i="3"/>
  <c r="BV406" i="3"/>
  <c r="BV407" i="3"/>
  <c r="BV408" i="3"/>
  <c r="BV409" i="3"/>
  <c r="BV410" i="3"/>
  <c r="BV411" i="3"/>
  <c r="BV412" i="3"/>
  <c r="BV413" i="3"/>
  <c r="BV414" i="3"/>
  <c r="BV415" i="3"/>
  <c r="BV416" i="3"/>
  <c r="BV417" i="3"/>
  <c r="BV418" i="3"/>
  <c r="BV419" i="3"/>
  <c r="BV420" i="3"/>
  <c r="BV421" i="3"/>
  <c r="BV422" i="3"/>
  <c r="BV423" i="3"/>
  <c r="BV424" i="3"/>
  <c r="BV425" i="3"/>
  <c r="BV426" i="3"/>
  <c r="BV427" i="3"/>
  <c r="BV428" i="3"/>
  <c r="BV429" i="3"/>
  <c r="BV430" i="3"/>
  <c r="BV431" i="3"/>
  <c r="BV432" i="3"/>
  <c r="BV433" i="3"/>
  <c r="BV434" i="3"/>
  <c r="BV435" i="3"/>
  <c r="BV436" i="3"/>
  <c r="BV437" i="3"/>
  <c r="BV438" i="3"/>
  <c r="BV439" i="3"/>
  <c r="BV440" i="3"/>
  <c r="BV441" i="3"/>
  <c r="BV442" i="3"/>
  <c r="BV443" i="3"/>
  <c r="BV444" i="3"/>
  <c r="BV445" i="3"/>
  <c r="BV446" i="3"/>
  <c r="BV447" i="3"/>
  <c r="BV448" i="3"/>
  <c r="BV449" i="3"/>
  <c r="BV450" i="3"/>
  <c r="BV451" i="3"/>
  <c r="BV452" i="3"/>
  <c r="BV453" i="3"/>
  <c r="BV454" i="3"/>
  <c r="BV455" i="3"/>
  <c r="BV456" i="3"/>
  <c r="BV457" i="3"/>
  <c r="BV458" i="3"/>
  <c r="BV459" i="3"/>
  <c r="BV460" i="3"/>
  <c r="BV461" i="3"/>
  <c r="BV462" i="3"/>
  <c r="BV463" i="3"/>
  <c r="BV464" i="3"/>
  <c r="BV465" i="3"/>
  <c r="BV466" i="3"/>
  <c r="BV467" i="3"/>
  <c r="BV468" i="3"/>
  <c r="BV469" i="3"/>
  <c r="BV470" i="3"/>
  <c r="BV471" i="3"/>
  <c r="BV472" i="3"/>
  <c r="BV473" i="3"/>
  <c r="BV474" i="3"/>
  <c r="BV475" i="3"/>
  <c r="BV476" i="3"/>
  <c r="BV477" i="3"/>
  <c r="BV478" i="3"/>
  <c r="BV479" i="3"/>
  <c r="BV480" i="3"/>
  <c r="BV481" i="3"/>
  <c r="BV482" i="3"/>
  <c r="BV483" i="3"/>
  <c r="BV484" i="3"/>
  <c r="BV485" i="3"/>
  <c r="BV486" i="3"/>
  <c r="BV487" i="3"/>
  <c r="BV488" i="3"/>
  <c r="BV489" i="3"/>
  <c r="BV490" i="3"/>
  <c r="BV491" i="3"/>
  <c r="BV492" i="3"/>
  <c r="BV493" i="3"/>
  <c r="BV494" i="3"/>
  <c r="BV495" i="3"/>
  <c r="BV496" i="3"/>
  <c r="BV497" i="3"/>
  <c r="BV498" i="3"/>
  <c r="BV499" i="3"/>
  <c r="BV500" i="3"/>
  <c r="BV501" i="3"/>
  <c r="BV502" i="3"/>
  <c r="BV503" i="3"/>
  <c r="BV504" i="3"/>
  <c r="BV505" i="3"/>
  <c r="BV506" i="3"/>
  <c r="BV507" i="3"/>
  <c r="BV508" i="3"/>
  <c r="BV509" i="3"/>
  <c r="BV510" i="3"/>
  <c r="BV511" i="3"/>
  <c r="BV512" i="3"/>
  <c r="BV513" i="3"/>
  <c r="BV514" i="3"/>
  <c r="BV515" i="3"/>
  <c r="BV516" i="3"/>
  <c r="BV517" i="3"/>
  <c r="BV518" i="3"/>
  <c r="BV519" i="3"/>
  <c r="BV520" i="3"/>
  <c r="BV521" i="3"/>
  <c r="BV522" i="3"/>
  <c r="BV523" i="3"/>
  <c r="BV524" i="3"/>
  <c r="BV525" i="3"/>
  <c r="BV526" i="3"/>
  <c r="BV527" i="3"/>
  <c r="BV528" i="3"/>
  <c r="BV529" i="3"/>
  <c r="BV530" i="3"/>
  <c r="BV531" i="3"/>
  <c r="BV532" i="3"/>
  <c r="BV533" i="3"/>
  <c r="BV534" i="3"/>
  <c r="BV535" i="3"/>
  <c r="BV536" i="3"/>
  <c r="BV537" i="3"/>
  <c r="BV538" i="3"/>
  <c r="BV539" i="3"/>
  <c r="BV540" i="3"/>
  <c r="BV541" i="3"/>
  <c r="BV542" i="3"/>
  <c r="BV543" i="3"/>
  <c r="BV544" i="3"/>
  <c r="BV545" i="3"/>
  <c r="BV546" i="3"/>
  <c r="BV547" i="3"/>
  <c r="BV548" i="3"/>
  <c r="BV549" i="3"/>
  <c r="BV550" i="3"/>
  <c r="BV551" i="3"/>
  <c r="BV552" i="3"/>
  <c r="BV553" i="3"/>
  <c r="BV554" i="3"/>
  <c r="BV555" i="3"/>
  <c r="BV556" i="3"/>
  <c r="BV557" i="3"/>
  <c r="BV558" i="3"/>
  <c r="BV559" i="3"/>
  <c r="BV560" i="3"/>
  <c r="BV561" i="3"/>
  <c r="BV562" i="3"/>
  <c r="BV563" i="3"/>
  <c r="BV564" i="3"/>
  <c r="BV565" i="3"/>
  <c r="BV566" i="3"/>
  <c r="BV567" i="3"/>
  <c r="BV568" i="3"/>
  <c r="BV569" i="3"/>
  <c r="BV570" i="3"/>
  <c r="BV571" i="3"/>
  <c r="BV572" i="3"/>
  <c r="BV573" i="3"/>
  <c r="BV574" i="3"/>
  <c r="BV575" i="3"/>
  <c r="BV576" i="3"/>
  <c r="BV577" i="3"/>
  <c r="BV578" i="3"/>
  <c r="BV579" i="3"/>
  <c r="BV580" i="3"/>
  <c r="BV581" i="3"/>
  <c r="BV582" i="3"/>
  <c r="BV583" i="3"/>
  <c r="BV584" i="3"/>
  <c r="BV585" i="3"/>
  <c r="BV586" i="3"/>
  <c r="BV587" i="3"/>
  <c r="BV588" i="3"/>
  <c r="BV589" i="3"/>
  <c r="BV590" i="3"/>
  <c r="BV591" i="3"/>
  <c r="BV592" i="3"/>
  <c r="BV593" i="3"/>
  <c r="BV594" i="3"/>
  <c r="BV595" i="3"/>
  <c r="BV596" i="3"/>
  <c r="BV597" i="3"/>
  <c r="BV598" i="3"/>
  <c r="BV599" i="3"/>
  <c r="BV600" i="3"/>
  <c r="BV601" i="3"/>
  <c r="BV602" i="3"/>
  <c r="BV603" i="3"/>
  <c r="BV604" i="3"/>
  <c r="BV605" i="3"/>
  <c r="BV606" i="3"/>
  <c r="BV7" i="3"/>
  <c r="BH8" i="3" l="1"/>
  <c r="BH9" i="3"/>
  <c r="BH10" i="3"/>
  <c r="BH11" i="3"/>
  <c r="BH12" i="3"/>
  <c r="BH13" i="3"/>
  <c r="BH14" i="3"/>
  <c r="BH15" i="3"/>
  <c r="BH16" i="3"/>
  <c r="BH17" i="3"/>
  <c r="BH18" i="3"/>
  <c r="BH19" i="3"/>
  <c r="BH20" i="3"/>
  <c r="BH21" i="3"/>
  <c r="BH22" i="3"/>
  <c r="BH23" i="3"/>
  <c r="BH24" i="3"/>
  <c r="BH25" i="3"/>
  <c r="BH26" i="3"/>
  <c r="BH27" i="3"/>
  <c r="BH28" i="3"/>
  <c r="BH29" i="3"/>
  <c r="BH30" i="3"/>
  <c r="BH31" i="3"/>
  <c r="BH32" i="3"/>
  <c r="BH33" i="3"/>
  <c r="BH34" i="3"/>
  <c r="BH35" i="3"/>
  <c r="BH36" i="3"/>
  <c r="BH37" i="3"/>
  <c r="BH38" i="3"/>
  <c r="BH39" i="3"/>
  <c r="BH40" i="3"/>
  <c r="BH41" i="3"/>
  <c r="BH42" i="3"/>
  <c r="BH43" i="3"/>
  <c r="BH44" i="3"/>
  <c r="BH45" i="3"/>
  <c r="BH46" i="3"/>
  <c r="BH47" i="3"/>
  <c r="BH48" i="3"/>
  <c r="BH49" i="3"/>
  <c r="BH50" i="3"/>
  <c r="BH51" i="3"/>
  <c r="BH52" i="3"/>
  <c r="BH53" i="3"/>
  <c r="BH54" i="3"/>
  <c r="BH55" i="3"/>
  <c r="BH56" i="3"/>
  <c r="BH57" i="3"/>
  <c r="BH58" i="3"/>
  <c r="BH59" i="3"/>
  <c r="BH60" i="3"/>
  <c r="BH61" i="3"/>
  <c r="BH62" i="3"/>
  <c r="BH63" i="3"/>
  <c r="BH64" i="3"/>
  <c r="BH65" i="3"/>
  <c r="BH66" i="3"/>
  <c r="BH67" i="3"/>
  <c r="BH68" i="3"/>
  <c r="BH69" i="3"/>
  <c r="BH70" i="3"/>
  <c r="BH71" i="3"/>
  <c r="BH72" i="3"/>
  <c r="BH73" i="3"/>
  <c r="BH74" i="3"/>
  <c r="BH75" i="3"/>
  <c r="BH76" i="3"/>
  <c r="BH77" i="3"/>
  <c r="BH78" i="3"/>
  <c r="BH79" i="3"/>
  <c r="BH80" i="3"/>
  <c r="BH81" i="3"/>
  <c r="BH82" i="3"/>
  <c r="BH83" i="3"/>
  <c r="BH84" i="3"/>
  <c r="BH85" i="3"/>
  <c r="BH86" i="3"/>
  <c r="BH87" i="3"/>
  <c r="BH88" i="3"/>
  <c r="BH89" i="3"/>
  <c r="BH90" i="3"/>
  <c r="BH91" i="3"/>
  <c r="BH92" i="3"/>
  <c r="BH93" i="3"/>
  <c r="BH94" i="3"/>
  <c r="BH95" i="3"/>
  <c r="BH96" i="3"/>
  <c r="BH97" i="3"/>
  <c r="BH98" i="3"/>
  <c r="BH99" i="3"/>
  <c r="BH100" i="3"/>
  <c r="BH101" i="3"/>
  <c r="BH102" i="3"/>
  <c r="BH103" i="3"/>
  <c r="BH104" i="3"/>
  <c r="BH105" i="3"/>
  <c r="BH106" i="3"/>
  <c r="BH107" i="3"/>
  <c r="BH108" i="3"/>
  <c r="BH109" i="3"/>
  <c r="BH110" i="3"/>
  <c r="BH111" i="3"/>
  <c r="BH112" i="3"/>
  <c r="BH113" i="3"/>
  <c r="BH114" i="3"/>
  <c r="BH115" i="3"/>
  <c r="BH116" i="3"/>
  <c r="BH117" i="3"/>
  <c r="BH118" i="3"/>
  <c r="BH119" i="3"/>
  <c r="BH120" i="3"/>
  <c r="BH121" i="3"/>
  <c r="BH122" i="3"/>
  <c r="BH123" i="3"/>
  <c r="BH124" i="3"/>
  <c r="BH125" i="3"/>
  <c r="BH126" i="3"/>
  <c r="BH127" i="3"/>
  <c r="BH128" i="3"/>
  <c r="BH129" i="3"/>
  <c r="BH130" i="3"/>
  <c r="BH131" i="3"/>
  <c r="BH132" i="3"/>
  <c r="BH133" i="3"/>
  <c r="BH134" i="3"/>
  <c r="BH135" i="3"/>
  <c r="BH136" i="3"/>
  <c r="BH137" i="3"/>
  <c r="BH138" i="3"/>
  <c r="BH139" i="3"/>
  <c r="BH140" i="3"/>
  <c r="BH141" i="3"/>
  <c r="BH142" i="3"/>
  <c r="BH143" i="3"/>
  <c r="BH144" i="3"/>
  <c r="BH145" i="3"/>
  <c r="BH146" i="3"/>
  <c r="BH147" i="3"/>
  <c r="BH148" i="3"/>
  <c r="BH149" i="3"/>
  <c r="BH150" i="3"/>
  <c r="BH151" i="3"/>
  <c r="BH152" i="3"/>
  <c r="BH153" i="3"/>
  <c r="BH154" i="3"/>
  <c r="BH155" i="3"/>
  <c r="BH156" i="3"/>
  <c r="BH157" i="3"/>
  <c r="BH158" i="3"/>
  <c r="BH159" i="3"/>
  <c r="BH160" i="3"/>
  <c r="BH161" i="3"/>
  <c r="BH162" i="3"/>
  <c r="BH163" i="3"/>
  <c r="BH164" i="3"/>
  <c r="BH165" i="3"/>
  <c r="BH166" i="3"/>
  <c r="BH167" i="3"/>
  <c r="BH168" i="3"/>
  <c r="BH169" i="3"/>
  <c r="BH170" i="3"/>
  <c r="BH171" i="3"/>
  <c r="BH172" i="3"/>
  <c r="BH173" i="3"/>
  <c r="BH174" i="3"/>
  <c r="BH175" i="3"/>
  <c r="BH176" i="3"/>
  <c r="BH177" i="3"/>
  <c r="BH178" i="3"/>
  <c r="BH179" i="3"/>
  <c r="BH180" i="3"/>
  <c r="BH181" i="3"/>
  <c r="BH182" i="3"/>
  <c r="BH183" i="3"/>
  <c r="BH184" i="3"/>
  <c r="BH185" i="3"/>
  <c r="BH186" i="3"/>
  <c r="BH187" i="3"/>
  <c r="BH188" i="3"/>
  <c r="BH189" i="3"/>
  <c r="BH190" i="3"/>
  <c r="BH191" i="3"/>
  <c r="BH192" i="3"/>
  <c r="BH193" i="3"/>
  <c r="BH194" i="3"/>
  <c r="BH195" i="3"/>
  <c r="BH196" i="3"/>
  <c r="BH197" i="3"/>
  <c r="BH198" i="3"/>
  <c r="BH199" i="3"/>
  <c r="BH200" i="3"/>
  <c r="BH201" i="3"/>
  <c r="BH202" i="3"/>
  <c r="BH203" i="3"/>
  <c r="BH204" i="3"/>
  <c r="BH205" i="3"/>
  <c r="BH206" i="3"/>
  <c r="BH207" i="3"/>
  <c r="BH208" i="3"/>
  <c r="BH209" i="3"/>
  <c r="BH210" i="3"/>
  <c r="BH211" i="3"/>
  <c r="BH212" i="3"/>
  <c r="BH213" i="3"/>
  <c r="BH214" i="3"/>
  <c r="BH215" i="3"/>
  <c r="BH216" i="3"/>
  <c r="BH217" i="3"/>
  <c r="BH218" i="3"/>
  <c r="BH219" i="3"/>
  <c r="BH220" i="3"/>
  <c r="BH221" i="3"/>
  <c r="BH222" i="3"/>
  <c r="BH223" i="3"/>
  <c r="BH224" i="3"/>
  <c r="BH225" i="3"/>
  <c r="BH226" i="3"/>
  <c r="BH227" i="3"/>
  <c r="BH228" i="3"/>
  <c r="BH229" i="3"/>
  <c r="BH230" i="3"/>
  <c r="BH231" i="3"/>
  <c r="BH232" i="3"/>
  <c r="BH233" i="3"/>
  <c r="BH234" i="3"/>
  <c r="BH235" i="3"/>
  <c r="BH236" i="3"/>
  <c r="BH237" i="3"/>
  <c r="BH238" i="3"/>
  <c r="BH239" i="3"/>
  <c r="BH240" i="3"/>
  <c r="BH241" i="3"/>
  <c r="BH242" i="3"/>
  <c r="BH243" i="3"/>
  <c r="BH244" i="3"/>
  <c r="BH245" i="3"/>
  <c r="BH246" i="3"/>
  <c r="BH247" i="3"/>
  <c r="BH248" i="3"/>
  <c r="BH249" i="3"/>
  <c r="BH250" i="3"/>
  <c r="BH251" i="3"/>
  <c r="BH252" i="3"/>
  <c r="BH253" i="3"/>
  <c r="BH254" i="3"/>
  <c r="BH255" i="3"/>
  <c r="BH256" i="3"/>
  <c r="BH257" i="3"/>
  <c r="BH258" i="3"/>
  <c r="BH259" i="3"/>
  <c r="BH260" i="3"/>
  <c r="BH261" i="3"/>
  <c r="BH262" i="3"/>
  <c r="BH263" i="3"/>
  <c r="BH264" i="3"/>
  <c r="BH265" i="3"/>
  <c r="BH266" i="3"/>
  <c r="BH267" i="3"/>
  <c r="BH268" i="3"/>
  <c r="BH269" i="3"/>
  <c r="BH270" i="3"/>
  <c r="BH271" i="3"/>
  <c r="BH272" i="3"/>
  <c r="BH273" i="3"/>
  <c r="BH274" i="3"/>
  <c r="BH275" i="3"/>
  <c r="BH276" i="3"/>
  <c r="BH277" i="3"/>
  <c r="BH278" i="3"/>
  <c r="BH279" i="3"/>
  <c r="BH280" i="3"/>
  <c r="BH281" i="3"/>
  <c r="BH282" i="3"/>
  <c r="BH283" i="3"/>
  <c r="BH284" i="3"/>
  <c r="BH285" i="3"/>
  <c r="BH286" i="3"/>
  <c r="BH287" i="3"/>
  <c r="BH288" i="3"/>
  <c r="BH289" i="3"/>
  <c r="BH290" i="3"/>
  <c r="BH291" i="3"/>
  <c r="BH292" i="3"/>
  <c r="BH293" i="3"/>
  <c r="BH294" i="3"/>
  <c r="BH295" i="3"/>
  <c r="BH296" i="3"/>
  <c r="BH297" i="3"/>
  <c r="BH298" i="3"/>
  <c r="BH299" i="3"/>
  <c r="BH300" i="3"/>
  <c r="BH301" i="3"/>
  <c r="BH302" i="3"/>
  <c r="BH303" i="3"/>
  <c r="BH304" i="3"/>
  <c r="BH305" i="3"/>
  <c r="BH306" i="3"/>
  <c r="BH307" i="3"/>
  <c r="BH308" i="3"/>
  <c r="BH309" i="3"/>
  <c r="BH310" i="3"/>
  <c r="BH311" i="3"/>
  <c r="BH312" i="3"/>
  <c r="BH313" i="3"/>
  <c r="BH314" i="3"/>
  <c r="BH315" i="3"/>
  <c r="BH316" i="3"/>
  <c r="BH317" i="3"/>
  <c r="BH318" i="3"/>
  <c r="BH319" i="3"/>
  <c r="BH320" i="3"/>
  <c r="BH321" i="3"/>
  <c r="BH322" i="3"/>
  <c r="BH323" i="3"/>
  <c r="BH324" i="3"/>
  <c r="BH325" i="3"/>
  <c r="BH326" i="3"/>
  <c r="BH327" i="3"/>
  <c r="BH328" i="3"/>
  <c r="BH329" i="3"/>
  <c r="BH330" i="3"/>
  <c r="BH331" i="3"/>
  <c r="BH332" i="3"/>
  <c r="BH333" i="3"/>
  <c r="BH334" i="3"/>
  <c r="BH335" i="3"/>
  <c r="BH336" i="3"/>
  <c r="BH337" i="3"/>
  <c r="BH338" i="3"/>
  <c r="BH339" i="3"/>
  <c r="BH340" i="3"/>
  <c r="BH341" i="3"/>
  <c r="BH342" i="3"/>
  <c r="BH343" i="3"/>
  <c r="BH344" i="3"/>
  <c r="BH345" i="3"/>
  <c r="BH346" i="3"/>
  <c r="BH347" i="3"/>
  <c r="BH348" i="3"/>
  <c r="BH349" i="3"/>
  <c r="BH350" i="3"/>
  <c r="BH351" i="3"/>
  <c r="BH352" i="3"/>
  <c r="BH353" i="3"/>
  <c r="BH354" i="3"/>
  <c r="BH355" i="3"/>
  <c r="BH356" i="3"/>
  <c r="BH357" i="3"/>
  <c r="BH358" i="3"/>
  <c r="BH359" i="3"/>
  <c r="BH360" i="3"/>
  <c r="BH361" i="3"/>
  <c r="BH362" i="3"/>
  <c r="BH363" i="3"/>
  <c r="BH364" i="3"/>
  <c r="BH365" i="3"/>
  <c r="BH366" i="3"/>
  <c r="BH367" i="3"/>
  <c r="BH368" i="3"/>
  <c r="BH369" i="3"/>
  <c r="BH370" i="3"/>
  <c r="BH371" i="3"/>
  <c r="BH372" i="3"/>
  <c r="BH373" i="3"/>
  <c r="BH374" i="3"/>
  <c r="BH375" i="3"/>
  <c r="BH376" i="3"/>
  <c r="BH377" i="3"/>
  <c r="BH378" i="3"/>
  <c r="BH379" i="3"/>
  <c r="BH380" i="3"/>
  <c r="BH381" i="3"/>
  <c r="BH382" i="3"/>
  <c r="BH383" i="3"/>
  <c r="BH384" i="3"/>
  <c r="BH385" i="3"/>
  <c r="BH386" i="3"/>
  <c r="BH387" i="3"/>
  <c r="BH388" i="3"/>
  <c r="BH389" i="3"/>
  <c r="BH390" i="3"/>
  <c r="BH391" i="3"/>
  <c r="BH392" i="3"/>
  <c r="BH393" i="3"/>
  <c r="BH394" i="3"/>
  <c r="BH395" i="3"/>
  <c r="BH396" i="3"/>
  <c r="BH397" i="3"/>
  <c r="BH398" i="3"/>
  <c r="BH399" i="3"/>
  <c r="BH400" i="3"/>
  <c r="BH401" i="3"/>
  <c r="BH402" i="3"/>
  <c r="BH403" i="3"/>
  <c r="BH404" i="3"/>
  <c r="BH405" i="3"/>
  <c r="BH406" i="3"/>
  <c r="BH407" i="3"/>
  <c r="BH408" i="3"/>
  <c r="BH409" i="3"/>
  <c r="BH410" i="3"/>
  <c r="BH411" i="3"/>
  <c r="BH412" i="3"/>
  <c r="BH413" i="3"/>
  <c r="BH414" i="3"/>
  <c r="BH415" i="3"/>
  <c r="BH416" i="3"/>
  <c r="BH417" i="3"/>
  <c r="BH418" i="3"/>
  <c r="BH419" i="3"/>
  <c r="BH420" i="3"/>
  <c r="BH421" i="3"/>
  <c r="BH422" i="3"/>
  <c r="BH423" i="3"/>
  <c r="BH424" i="3"/>
  <c r="BH425" i="3"/>
  <c r="BH426" i="3"/>
  <c r="BH427" i="3"/>
  <c r="BH428" i="3"/>
  <c r="BH429" i="3"/>
  <c r="BH430" i="3"/>
  <c r="BH431" i="3"/>
  <c r="BH432" i="3"/>
  <c r="BH433" i="3"/>
  <c r="BH434" i="3"/>
  <c r="BH435" i="3"/>
  <c r="BH436" i="3"/>
  <c r="BH437" i="3"/>
  <c r="BH438" i="3"/>
  <c r="BH439" i="3"/>
  <c r="BH440" i="3"/>
  <c r="BH441" i="3"/>
  <c r="BH442" i="3"/>
  <c r="BH443" i="3"/>
  <c r="BH444" i="3"/>
  <c r="BH445" i="3"/>
  <c r="BH446" i="3"/>
  <c r="BH447" i="3"/>
  <c r="BH448" i="3"/>
  <c r="BH449" i="3"/>
  <c r="BH450" i="3"/>
  <c r="BH451" i="3"/>
  <c r="BH452" i="3"/>
  <c r="BH453" i="3"/>
  <c r="BH454" i="3"/>
  <c r="BH455" i="3"/>
  <c r="BH456" i="3"/>
  <c r="BH457" i="3"/>
  <c r="BH458" i="3"/>
  <c r="BH459" i="3"/>
  <c r="BH460" i="3"/>
  <c r="BH461" i="3"/>
  <c r="BH462" i="3"/>
  <c r="BH463" i="3"/>
  <c r="BH464" i="3"/>
  <c r="BH465" i="3"/>
  <c r="BH466" i="3"/>
  <c r="BH467" i="3"/>
  <c r="BH468" i="3"/>
  <c r="BH469" i="3"/>
  <c r="BH470" i="3"/>
  <c r="BH471" i="3"/>
  <c r="BH472" i="3"/>
  <c r="BH473" i="3"/>
  <c r="BH474" i="3"/>
  <c r="BH475" i="3"/>
  <c r="BH476" i="3"/>
  <c r="BH477" i="3"/>
  <c r="BH478" i="3"/>
  <c r="BH479" i="3"/>
  <c r="BH480" i="3"/>
  <c r="BH481" i="3"/>
  <c r="BH482" i="3"/>
  <c r="BH483" i="3"/>
  <c r="BH484" i="3"/>
  <c r="BH485" i="3"/>
  <c r="BH486" i="3"/>
  <c r="BH487" i="3"/>
  <c r="BH488" i="3"/>
  <c r="BH489" i="3"/>
  <c r="BH490" i="3"/>
  <c r="BH491" i="3"/>
  <c r="BH492" i="3"/>
  <c r="BH493" i="3"/>
  <c r="BH494" i="3"/>
  <c r="BH495" i="3"/>
  <c r="BH496" i="3"/>
  <c r="BH497" i="3"/>
  <c r="BH498" i="3"/>
  <c r="BH499" i="3"/>
  <c r="BH500" i="3"/>
  <c r="BH501" i="3"/>
  <c r="BH502" i="3"/>
  <c r="BH503" i="3"/>
  <c r="BH504" i="3"/>
  <c r="BH505" i="3"/>
  <c r="BH506" i="3"/>
  <c r="BH507" i="3"/>
  <c r="BH508" i="3"/>
  <c r="BH509" i="3"/>
  <c r="BH510" i="3"/>
  <c r="BH511" i="3"/>
  <c r="BH512" i="3"/>
  <c r="BH513" i="3"/>
  <c r="BH514" i="3"/>
  <c r="BH515" i="3"/>
  <c r="BH516" i="3"/>
  <c r="BH517" i="3"/>
  <c r="BH518" i="3"/>
  <c r="BH519" i="3"/>
  <c r="BH520" i="3"/>
  <c r="BH521" i="3"/>
  <c r="BH522" i="3"/>
  <c r="BH523" i="3"/>
  <c r="BH524" i="3"/>
  <c r="BH525" i="3"/>
  <c r="BH526" i="3"/>
  <c r="BH527" i="3"/>
  <c r="BH528" i="3"/>
  <c r="BH529" i="3"/>
  <c r="BH530" i="3"/>
  <c r="BH531" i="3"/>
  <c r="BH532" i="3"/>
  <c r="BH533" i="3"/>
  <c r="BH534" i="3"/>
  <c r="BH535" i="3"/>
  <c r="BH536" i="3"/>
  <c r="BH537" i="3"/>
  <c r="BH538" i="3"/>
  <c r="BH539" i="3"/>
  <c r="BH540" i="3"/>
  <c r="BH541" i="3"/>
  <c r="BH542" i="3"/>
  <c r="BH543" i="3"/>
  <c r="BH544" i="3"/>
  <c r="BH545" i="3"/>
  <c r="BH546" i="3"/>
  <c r="BH547" i="3"/>
  <c r="BH548" i="3"/>
  <c r="BH549" i="3"/>
  <c r="BH550" i="3"/>
  <c r="BH551" i="3"/>
  <c r="BH552" i="3"/>
  <c r="BH553" i="3"/>
  <c r="BH554" i="3"/>
  <c r="BH555" i="3"/>
  <c r="BH556" i="3"/>
  <c r="BH557" i="3"/>
  <c r="BH558" i="3"/>
  <c r="BH559" i="3"/>
  <c r="BH560" i="3"/>
  <c r="BH561" i="3"/>
  <c r="BH562" i="3"/>
  <c r="BH563" i="3"/>
  <c r="BH564" i="3"/>
  <c r="BH565" i="3"/>
  <c r="BH566" i="3"/>
  <c r="BH567" i="3"/>
  <c r="BH568" i="3"/>
  <c r="BH569" i="3"/>
  <c r="BH570" i="3"/>
  <c r="BH571" i="3"/>
  <c r="BH572" i="3"/>
  <c r="BH573" i="3"/>
  <c r="BH574" i="3"/>
  <c r="BH575" i="3"/>
  <c r="BH576" i="3"/>
  <c r="BH577" i="3"/>
  <c r="BH578" i="3"/>
  <c r="BH579" i="3"/>
  <c r="BH580" i="3"/>
  <c r="BH581" i="3"/>
  <c r="BH582" i="3"/>
  <c r="BH583" i="3"/>
  <c r="BH584" i="3"/>
  <c r="BH585" i="3"/>
  <c r="BH586" i="3"/>
  <c r="BH587" i="3"/>
  <c r="BH588" i="3"/>
  <c r="BH589" i="3"/>
  <c r="BH590" i="3"/>
  <c r="BH591" i="3"/>
  <c r="BH592" i="3"/>
  <c r="BH593" i="3"/>
  <c r="BH594" i="3"/>
  <c r="BH595" i="3"/>
  <c r="BH596" i="3"/>
  <c r="BH597" i="3"/>
  <c r="BH598" i="3"/>
  <c r="BH599" i="3"/>
  <c r="BH600" i="3"/>
  <c r="BH601" i="3"/>
  <c r="BH602" i="3"/>
  <c r="BH603" i="3"/>
  <c r="BH604" i="3"/>
  <c r="BH605" i="3"/>
  <c r="BH606" i="3"/>
  <c r="BH7" i="3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2" i="2"/>
  <c r="AF33" i="2"/>
  <c r="AF31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E4" i="2"/>
  <c r="AE5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2" i="2"/>
  <c r="AE33" i="2"/>
  <c r="AE31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502" i="2"/>
  <c r="AE503" i="2"/>
  <c r="AE504" i="2"/>
  <c r="AE505" i="2"/>
  <c r="AE506" i="2"/>
  <c r="AE507" i="2"/>
  <c r="AE508" i="2"/>
  <c r="AE509" i="2"/>
  <c r="AE510" i="2"/>
  <c r="AE511" i="2"/>
  <c r="AE512" i="2"/>
  <c r="AE513" i="2"/>
  <c r="AE514" i="2"/>
  <c r="AE515" i="2"/>
  <c r="AE516" i="2"/>
  <c r="AE517" i="2"/>
  <c r="AE518" i="2"/>
  <c r="AE519" i="2"/>
  <c r="AE520" i="2"/>
  <c r="AE521" i="2"/>
  <c r="AE522" i="2"/>
  <c r="AE523" i="2"/>
  <c r="AE524" i="2"/>
  <c r="AE525" i="2"/>
  <c r="AE526" i="2"/>
  <c r="AE527" i="2"/>
  <c r="AE528" i="2"/>
  <c r="AE529" i="2"/>
  <c r="AE530" i="2"/>
  <c r="AE531" i="2"/>
  <c r="AE532" i="2"/>
  <c r="AE533" i="2"/>
  <c r="AE534" i="2"/>
  <c r="AE535" i="2"/>
  <c r="AE536" i="2"/>
  <c r="AE537" i="2"/>
  <c r="AE538" i="2"/>
  <c r="AE539" i="2"/>
  <c r="AE540" i="2"/>
  <c r="AE541" i="2"/>
  <c r="AE542" i="2"/>
  <c r="AE543" i="2"/>
  <c r="AE544" i="2"/>
  <c r="AE545" i="2"/>
  <c r="AE546" i="2"/>
  <c r="AE547" i="2"/>
  <c r="AE548" i="2"/>
  <c r="AE549" i="2"/>
  <c r="AE550" i="2"/>
  <c r="AE551" i="2"/>
  <c r="AE552" i="2"/>
  <c r="AE553" i="2"/>
  <c r="AE554" i="2"/>
  <c r="AE555" i="2"/>
  <c r="AE556" i="2"/>
  <c r="AE557" i="2"/>
  <c r="AE558" i="2"/>
  <c r="AE559" i="2"/>
  <c r="AE560" i="2"/>
  <c r="AE561" i="2"/>
  <c r="AE562" i="2"/>
  <c r="AE563" i="2"/>
  <c r="AE564" i="2"/>
  <c r="AE565" i="2"/>
  <c r="AE566" i="2"/>
  <c r="AE567" i="2"/>
  <c r="AE568" i="2"/>
  <c r="AE569" i="2"/>
  <c r="AE570" i="2"/>
  <c r="AE571" i="2"/>
  <c r="AE572" i="2"/>
  <c r="AE573" i="2"/>
  <c r="AE574" i="2"/>
  <c r="AE575" i="2"/>
  <c r="AE576" i="2"/>
  <c r="AE577" i="2"/>
  <c r="AE578" i="2"/>
  <c r="AE579" i="2"/>
  <c r="AE580" i="2"/>
  <c r="AE581" i="2"/>
  <c r="AE582" i="2"/>
  <c r="AE583" i="2"/>
  <c r="AE584" i="2"/>
  <c r="AE585" i="2"/>
  <c r="AE586" i="2"/>
  <c r="AE587" i="2"/>
  <c r="AE588" i="2"/>
  <c r="AE589" i="2"/>
  <c r="AE590" i="2"/>
  <c r="AE591" i="2"/>
  <c r="AE592" i="2"/>
  <c r="AE593" i="2"/>
  <c r="AE594" i="2"/>
  <c r="AE595" i="2"/>
  <c r="AE596" i="2"/>
  <c r="AE597" i="2"/>
  <c r="AE3" i="2"/>
  <c r="Q37" i="3" l="1" a="1"/>
  <c r="Q37" i="3" s="1"/>
  <c r="Q36" i="3" a="1"/>
  <c r="Q36" i="3" s="1"/>
  <c r="Q35" i="3" a="1"/>
  <c r="Q35" i="3" s="1"/>
  <c r="Q34" i="3" a="1"/>
  <c r="Q34" i="3" s="1"/>
  <c r="Q33" i="3" a="1"/>
  <c r="Q33" i="3" s="1"/>
  <c r="Q32" i="3" a="1"/>
  <c r="Q32" i="3" s="1"/>
  <c r="Q31" i="3" a="1"/>
  <c r="Q31" i="3" s="1"/>
  <c r="Q30" i="3" a="1"/>
  <c r="Q30" i="3" s="1"/>
  <c r="Q29" i="3" a="1"/>
  <c r="Q29" i="3" s="1"/>
  <c r="Q28" i="3" a="1"/>
  <c r="Q28" i="3" s="1"/>
  <c r="Q27" i="3" a="1"/>
  <c r="Q27" i="3" s="1"/>
  <c r="Q26" i="3" a="1"/>
  <c r="Q26" i="3" s="1"/>
  <c r="Q25" i="3" a="1"/>
  <c r="Q25" i="3" s="1"/>
  <c r="Q24" i="3" a="1"/>
  <c r="Q24" i="3" s="1"/>
  <c r="Q23" i="3" a="1"/>
  <c r="Q23" i="3" s="1"/>
  <c r="Q22" i="3" a="1"/>
  <c r="Q22" i="3" s="1"/>
  <c r="Q21" i="3" a="1"/>
  <c r="Q21" i="3" s="1"/>
  <c r="Q20" i="3" a="1"/>
  <c r="Q20" i="3" s="1"/>
  <c r="Q19" i="3" a="1"/>
  <c r="Q19" i="3" s="1"/>
  <c r="Q18" i="3" a="1"/>
  <c r="Q18" i="3" s="1"/>
  <c r="Q17" i="3" a="1"/>
  <c r="Q17" i="3" s="1"/>
  <c r="Q16" i="3" a="1"/>
  <c r="Q16" i="3" s="1"/>
  <c r="Q15" i="3" a="1"/>
  <c r="Q15" i="3" s="1"/>
  <c r="Q14" i="3" a="1"/>
  <c r="Q14" i="3" s="1"/>
  <c r="Q13" i="3" a="1"/>
  <c r="Q13" i="3" s="1"/>
  <c r="Q12" i="3" a="1"/>
  <c r="Q12" i="3" s="1"/>
  <c r="Q11" i="3" a="1"/>
  <c r="Q11" i="3" s="1"/>
  <c r="Q10" i="3" a="1"/>
  <c r="Q10" i="3" s="1"/>
  <c r="AX217" i="2"/>
  <c r="AX218" i="2"/>
  <c r="AX219" i="2"/>
  <c r="AX220" i="2"/>
  <c r="AX221" i="2"/>
  <c r="AX222" i="2"/>
  <c r="AX223" i="2"/>
  <c r="AX224" i="2"/>
  <c r="AX225" i="2"/>
  <c r="AX226" i="2"/>
  <c r="AX227" i="2"/>
  <c r="AX228" i="2"/>
  <c r="AX229" i="2"/>
  <c r="AX230" i="2"/>
  <c r="AX231" i="2"/>
  <c r="AX232" i="2"/>
  <c r="AX233" i="2"/>
  <c r="AX234" i="2"/>
  <c r="AX235" i="2"/>
  <c r="AX236" i="2"/>
  <c r="AX237" i="2"/>
  <c r="AX238" i="2"/>
  <c r="AX239" i="2"/>
  <c r="AX240" i="2"/>
  <c r="AX241" i="2"/>
  <c r="AX242" i="2"/>
  <c r="AX243" i="2"/>
  <c r="AX244" i="2"/>
  <c r="AX245" i="2"/>
  <c r="AX246" i="2"/>
  <c r="AX247" i="2"/>
  <c r="AX248" i="2"/>
  <c r="AX249" i="2"/>
  <c r="AX250" i="2"/>
  <c r="AX251" i="2"/>
  <c r="AX252" i="2"/>
  <c r="AX253" i="2"/>
  <c r="AX254" i="2"/>
  <c r="AX255" i="2"/>
  <c r="AX256" i="2"/>
  <c r="AX257" i="2"/>
  <c r="AX258" i="2"/>
  <c r="AX259" i="2"/>
  <c r="AX260" i="2"/>
  <c r="AX261" i="2"/>
  <c r="AX262" i="2"/>
  <c r="AX263" i="2"/>
  <c r="AX264" i="2"/>
  <c r="AX265" i="2"/>
  <c r="AX266" i="2"/>
  <c r="AX267" i="2"/>
  <c r="AX268" i="2"/>
  <c r="AX269" i="2"/>
  <c r="AX270" i="2"/>
  <c r="AX271" i="2"/>
  <c r="AX272" i="2"/>
  <c r="AX273" i="2"/>
  <c r="AX274" i="2"/>
  <c r="AX275" i="2"/>
  <c r="AX276" i="2"/>
  <c r="AX277" i="2"/>
  <c r="AX278" i="2"/>
  <c r="AX279" i="2"/>
  <c r="AX280" i="2"/>
  <c r="AX281" i="2"/>
  <c r="AX282" i="2"/>
  <c r="AX283" i="2"/>
  <c r="AX284" i="2"/>
  <c r="AX285" i="2"/>
  <c r="AX286" i="2"/>
  <c r="AX287" i="2"/>
  <c r="AX288" i="2"/>
  <c r="AX289" i="2"/>
  <c r="AX290" i="2"/>
  <c r="AX291" i="2"/>
  <c r="AX292" i="2"/>
  <c r="AX293" i="2"/>
  <c r="AX294" i="2"/>
  <c r="AX295" i="2"/>
  <c r="AX296" i="2"/>
  <c r="AX297" i="2"/>
  <c r="AX298" i="2"/>
  <c r="AX299" i="2"/>
  <c r="AX300" i="2"/>
  <c r="AX301" i="2"/>
  <c r="AX302" i="2"/>
  <c r="AX303" i="2"/>
  <c r="AX304" i="2"/>
  <c r="AX305" i="2"/>
  <c r="AX306" i="2"/>
  <c r="AX307" i="2"/>
  <c r="AX308" i="2"/>
  <c r="AX309" i="2"/>
  <c r="AX310" i="2"/>
  <c r="AX311" i="2"/>
  <c r="AX312" i="2"/>
  <c r="AX313" i="2"/>
  <c r="AX314" i="2"/>
  <c r="AX315" i="2"/>
  <c r="AX316" i="2"/>
  <c r="AX317" i="2"/>
  <c r="AX318" i="2"/>
  <c r="AX319" i="2"/>
  <c r="AX320" i="2"/>
  <c r="AX321" i="2"/>
  <c r="AX322" i="2"/>
  <c r="AX323" i="2"/>
  <c r="AX324" i="2"/>
  <c r="AX325" i="2"/>
  <c r="AX326" i="2"/>
  <c r="AX327" i="2"/>
  <c r="AX328" i="2"/>
  <c r="AX329" i="2"/>
  <c r="AX330" i="2"/>
  <c r="AX331" i="2"/>
  <c r="AX332" i="2"/>
  <c r="AX333" i="2"/>
  <c r="AX334" i="2"/>
  <c r="AX335" i="2"/>
  <c r="AX336" i="2"/>
  <c r="AX337" i="2"/>
  <c r="AX338" i="2"/>
  <c r="AX339" i="2"/>
  <c r="AX340" i="2"/>
  <c r="AX341" i="2"/>
  <c r="AX342" i="2"/>
  <c r="AX343" i="2"/>
  <c r="AX344" i="2"/>
  <c r="AX345" i="2"/>
  <c r="AX346" i="2"/>
  <c r="AX347" i="2"/>
  <c r="AX348" i="2"/>
  <c r="AX349" i="2"/>
  <c r="AX350" i="2"/>
  <c r="AX351" i="2"/>
  <c r="AX352" i="2"/>
  <c r="AX353" i="2"/>
  <c r="AX354" i="2"/>
  <c r="AX355" i="2"/>
  <c r="AX356" i="2"/>
  <c r="AX357" i="2"/>
  <c r="AX358" i="2"/>
  <c r="AX359" i="2"/>
  <c r="AX360" i="2"/>
  <c r="AX361" i="2"/>
  <c r="AX362" i="2"/>
  <c r="AX363" i="2"/>
  <c r="AX364" i="2"/>
  <c r="AX365" i="2"/>
  <c r="AX366" i="2"/>
  <c r="AX367" i="2"/>
  <c r="AX368" i="2"/>
  <c r="AX369" i="2"/>
  <c r="AX370" i="2"/>
  <c r="AX371" i="2"/>
  <c r="AX372" i="2"/>
  <c r="AX373" i="2"/>
  <c r="AX374" i="2"/>
  <c r="AX375" i="2"/>
  <c r="AX376" i="2"/>
  <c r="AX377" i="2"/>
  <c r="AX378" i="2"/>
  <c r="AX379" i="2"/>
  <c r="AX380" i="2"/>
  <c r="AX381" i="2"/>
  <c r="AX382" i="2"/>
  <c r="AX383" i="2"/>
  <c r="AX384" i="2"/>
  <c r="AX385" i="2"/>
  <c r="AX386" i="2"/>
  <c r="AX387" i="2"/>
  <c r="AX388" i="2"/>
  <c r="AX389" i="2"/>
  <c r="AX390" i="2"/>
  <c r="AX391" i="2"/>
  <c r="AX392" i="2"/>
  <c r="AX393" i="2"/>
  <c r="AX394" i="2"/>
  <c r="AX395" i="2"/>
  <c r="AX396" i="2"/>
  <c r="AX397" i="2"/>
  <c r="AX398" i="2"/>
  <c r="AX399" i="2"/>
  <c r="AX400" i="2"/>
  <c r="AX401" i="2"/>
  <c r="AX402" i="2"/>
  <c r="AX403" i="2"/>
  <c r="AX404" i="2"/>
  <c r="AX405" i="2"/>
  <c r="AX406" i="2"/>
  <c r="AX407" i="2"/>
  <c r="AX408" i="2"/>
  <c r="AX409" i="2"/>
  <c r="AX410" i="2"/>
  <c r="AX411" i="2"/>
  <c r="AX412" i="2"/>
  <c r="AX413" i="2"/>
  <c r="AX414" i="2"/>
  <c r="AX415" i="2"/>
  <c r="AX416" i="2"/>
  <c r="AX417" i="2"/>
  <c r="AX418" i="2"/>
  <c r="AX419" i="2"/>
  <c r="AX420" i="2"/>
  <c r="AX421" i="2"/>
  <c r="AX422" i="2"/>
  <c r="AX423" i="2"/>
  <c r="AX424" i="2"/>
  <c r="AX425" i="2"/>
  <c r="AX426" i="2"/>
  <c r="AX427" i="2"/>
  <c r="AX428" i="2"/>
  <c r="AX429" i="2"/>
  <c r="AX430" i="2"/>
  <c r="AX431" i="2"/>
  <c r="AX432" i="2"/>
  <c r="AX433" i="2"/>
  <c r="AX434" i="2"/>
  <c r="AX435" i="2"/>
  <c r="AX436" i="2"/>
  <c r="AX437" i="2"/>
  <c r="AX438" i="2"/>
  <c r="AX439" i="2"/>
  <c r="AX440" i="2"/>
  <c r="AX441" i="2"/>
  <c r="AX442" i="2"/>
  <c r="AX443" i="2"/>
  <c r="AX444" i="2"/>
  <c r="AX445" i="2"/>
  <c r="AX446" i="2"/>
  <c r="AX447" i="2"/>
  <c r="AX448" i="2"/>
  <c r="AX449" i="2"/>
  <c r="AX450" i="2"/>
  <c r="AX451" i="2"/>
  <c r="AX452" i="2"/>
  <c r="AX453" i="2"/>
  <c r="AX454" i="2"/>
  <c r="AX455" i="2"/>
  <c r="AX456" i="2"/>
  <c r="AX457" i="2"/>
  <c r="AX458" i="2"/>
  <c r="AX459" i="2"/>
  <c r="AX460" i="2"/>
  <c r="AX461" i="2"/>
  <c r="AX462" i="2"/>
  <c r="AX463" i="2"/>
  <c r="AX464" i="2"/>
  <c r="AX465" i="2"/>
  <c r="AX466" i="2"/>
  <c r="AX467" i="2"/>
  <c r="AX468" i="2"/>
  <c r="AX469" i="2"/>
  <c r="AX470" i="2"/>
  <c r="AX471" i="2"/>
  <c r="AX472" i="2"/>
  <c r="AX473" i="2"/>
  <c r="AX474" i="2"/>
  <c r="AX475" i="2"/>
  <c r="AX476" i="2"/>
  <c r="AX477" i="2"/>
  <c r="AX478" i="2"/>
  <c r="AX479" i="2"/>
  <c r="AX480" i="2"/>
  <c r="AX481" i="2"/>
  <c r="AX482" i="2"/>
  <c r="AX483" i="2"/>
  <c r="AX484" i="2"/>
  <c r="AX485" i="2"/>
  <c r="AX486" i="2"/>
  <c r="AX487" i="2"/>
  <c r="AX488" i="2"/>
  <c r="AX489" i="2"/>
  <c r="AX490" i="2"/>
  <c r="AX491" i="2"/>
  <c r="AX492" i="2"/>
  <c r="AX493" i="2"/>
  <c r="AX494" i="2"/>
  <c r="AX495" i="2"/>
  <c r="AX496" i="2"/>
  <c r="AX497" i="2"/>
  <c r="AX498" i="2"/>
  <c r="AX499" i="2"/>
  <c r="AX500" i="2"/>
  <c r="AX501" i="2"/>
  <c r="AX502" i="2"/>
  <c r="AX503" i="2"/>
  <c r="AX504" i="2"/>
  <c r="AX505" i="2"/>
  <c r="AX506" i="2"/>
  <c r="AX507" i="2"/>
  <c r="AX508" i="2"/>
  <c r="AX509" i="2"/>
  <c r="AX510" i="2"/>
  <c r="AX511" i="2"/>
  <c r="AX512" i="2"/>
  <c r="AX513" i="2"/>
  <c r="AX514" i="2"/>
  <c r="AX515" i="2"/>
  <c r="AX516" i="2"/>
  <c r="AX517" i="2"/>
  <c r="AX518" i="2"/>
  <c r="AX519" i="2"/>
  <c r="AX520" i="2"/>
  <c r="AX521" i="2"/>
  <c r="AX522" i="2"/>
  <c r="AX523" i="2"/>
  <c r="AX524" i="2"/>
  <c r="AX525" i="2"/>
  <c r="AX526" i="2"/>
  <c r="AX527" i="2"/>
  <c r="AX528" i="2"/>
  <c r="AX529" i="2"/>
  <c r="AX530" i="2"/>
  <c r="AX531" i="2"/>
  <c r="AX532" i="2"/>
  <c r="AX533" i="2"/>
  <c r="AX534" i="2"/>
  <c r="AX535" i="2"/>
  <c r="AX536" i="2"/>
  <c r="AX537" i="2"/>
  <c r="AX538" i="2"/>
  <c r="AX539" i="2"/>
  <c r="AX540" i="2"/>
  <c r="AX541" i="2"/>
  <c r="AX542" i="2"/>
  <c r="AX543" i="2"/>
  <c r="AX544" i="2"/>
  <c r="AX545" i="2"/>
  <c r="AX546" i="2"/>
  <c r="AX547" i="2"/>
  <c r="AX548" i="2"/>
  <c r="AX549" i="2"/>
  <c r="AX550" i="2"/>
  <c r="AX551" i="2"/>
  <c r="AX552" i="2"/>
  <c r="AX553" i="2"/>
  <c r="AX554" i="2"/>
  <c r="AX555" i="2"/>
  <c r="AX556" i="2"/>
  <c r="AX557" i="2"/>
  <c r="AX558" i="2"/>
  <c r="AX559" i="2"/>
  <c r="AX560" i="2"/>
  <c r="AX561" i="2"/>
  <c r="AX562" i="2"/>
  <c r="AX563" i="2"/>
  <c r="AX564" i="2"/>
  <c r="AX565" i="2"/>
  <c r="AX566" i="2"/>
  <c r="AX567" i="2"/>
  <c r="AX568" i="2"/>
  <c r="AX569" i="2"/>
  <c r="AX570" i="2"/>
  <c r="AX571" i="2"/>
  <c r="AX572" i="2"/>
  <c r="AX573" i="2"/>
  <c r="AX574" i="2"/>
  <c r="AX575" i="2"/>
  <c r="AX576" i="2"/>
  <c r="AX577" i="2"/>
  <c r="AX578" i="2"/>
  <c r="AX579" i="2"/>
  <c r="AX580" i="2"/>
  <c r="AX581" i="2"/>
  <c r="AX582" i="2"/>
  <c r="AX583" i="2"/>
  <c r="AX584" i="2"/>
  <c r="AX585" i="2"/>
  <c r="AX586" i="2"/>
  <c r="AX587" i="2"/>
  <c r="AX588" i="2"/>
  <c r="AX589" i="2"/>
  <c r="AX590" i="2"/>
  <c r="AX591" i="2"/>
  <c r="AX592" i="2"/>
  <c r="AX593" i="2"/>
  <c r="AX594" i="2"/>
  <c r="AX595" i="2"/>
  <c r="AX596" i="2"/>
  <c r="AX597" i="2"/>
  <c r="BU308" i="3"/>
  <c r="BW308" i="3"/>
  <c r="BX308" i="3"/>
  <c r="BY308" i="3"/>
  <c r="BU309" i="3"/>
  <c r="BW309" i="3"/>
  <c r="BX309" i="3"/>
  <c r="BY309" i="3"/>
  <c r="BU310" i="3"/>
  <c r="BW310" i="3"/>
  <c r="BX310" i="3"/>
  <c r="BY310" i="3"/>
  <c r="BU311" i="3"/>
  <c r="BW311" i="3"/>
  <c r="BX311" i="3"/>
  <c r="BY311" i="3"/>
  <c r="BU312" i="3"/>
  <c r="BW312" i="3"/>
  <c r="BX312" i="3"/>
  <c r="BY312" i="3"/>
  <c r="BU313" i="3"/>
  <c r="BW313" i="3"/>
  <c r="BX313" i="3"/>
  <c r="BY313" i="3"/>
  <c r="BU314" i="3"/>
  <c r="BW314" i="3"/>
  <c r="BX314" i="3"/>
  <c r="BY314" i="3"/>
  <c r="BU315" i="3"/>
  <c r="BW315" i="3"/>
  <c r="BX315" i="3"/>
  <c r="BY315" i="3"/>
  <c r="BU316" i="3"/>
  <c r="BW316" i="3"/>
  <c r="BX316" i="3"/>
  <c r="BY316" i="3"/>
  <c r="BU317" i="3"/>
  <c r="BW317" i="3"/>
  <c r="BX317" i="3"/>
  <c r="BY317" i="3"/>
  <c r="BU318" i="3"/>
  <c r="BW318" i="3"/>
  <c r="BX318" i="3"/>
  <c r="BY318" i="3"/>
  <c r="BU319" i="3"/>
  <c r="BW319" i="3"/>
  <c r="BX319" i="3"/>
  <c r="BY319" i="3"/>
  <c r="BU320" i="3"/>
  <c r="BW320" i="3"/>
  <c r="BX320" i="3"/>
  <c r="BY320" i="3"/>
  <c r="BU321" i="3"/>
  <c r="BW321" i="3"/>
  <c r="BX321" i="3"/>
  <c r="BY321" i="3"/>
  <c r="BU322" i="3"/>
  <c r="BW322" i="3"/>
  <c r="BX322" i="3"/>
  <c r="BY322" i="3"/>
  <c r="BU323" i="3"/>
  <c r="BW323" i="3"/>
  <c r="BX323" i="3"/>
  <c r="BY323" i="3"/>
  <c r="BU324" i="3"/>
  <c r="BW324" i="3"/>
  <c r="BX324" i="3"/>
  <c r="BY324" i="3"/>
  <c r="BU325" i="3"/>
  <c r="BW325" i="3"/>
  <c r="BX325" i="3"/>
  <c r="BY325" i="3"/>
  <c r="BU326" i="3"/>
  <c r="BW326" i="3"/>
  <c r="BX326" i="3"/>
  <c r="BY326" i="3"/>
  <c r="BU327" i="3"/>
  <c r="BW327" i="3"/>
  <c r="BX327" i="3"/>
  <c r="BY327" i="3"/>
  <c r="BU328" i="3"/>
  <c r="BW328" i="3"/>
  <c r="BX328" i="3"/>
  <c r="BY328" i="3"/>
  <c r="BU329" i="3"/>
  <c r="BW329" i="3"/>
  <c r="BX329" i="3"/>
  <c r="BY329" i="3"/>
  <c r="BU330" i="3"/>
  <c r="BW330" i="3"/>
  <c r="BX330" i="3"/>
  <c r="BY330" i="3"/>
  <c r="BU331" i="3"/>
  <c r="BW331" i="3"/>
  <c r="BX331" i="3"/>
  <c r="BY331" i="3"/>
  <c r="BU332" i="3"/>
  <c r="BW332" i="3"/>
  <c r="BX332" i="3"/>
  <c r="BY332" i="3"/>
  <c r="BU333" i="3"/>
  <c r="BW333" i="3"/>
  <c r="BX333" i="3"/>
  <c r="BY333" i="3"/>
  <c r="BU334" i="3"/>
  <c r="BW334" i="3"/>
  <c r="BX334" i="3"/>
  <c r="BY334" i="3"/>
  <c r="BU335" i="3"/>
  <c r="BW335" i="3"/>
  <c r="BX335" i="3"/>
  <c r="BY335" i="3"/>
  <c r="BU336" i="3"/>
  <c r="BW336" i="3"/>
  <c r="BX336" i="3"/>
  <c r="BY336" i="3"/>
  <c r="BU337" i="3"/>
  <c r="BW337" i="3"/>
  <c r="BX337" i="3"/>
  <c r="BY337" i="3"/>
  <c r="BU338" i="3"/>
  <c r="BW338" i="3"/>
  <c r="BX338" i="3"/>
  <c r="BY338" i="3"/>
  <c r="BU339" i="3"/>
  <c r="BW339" i="3"/>
  <c r="BX339" i="3"/>
  <c r="BY339" i="3"/>
  <c r="BU340" i="3"/>
  <c r="BW340" i="3"/>
  <c r="BX340" i="3"/>
  <c r="BY340" i="3"/>
  <c r="BU341" i="3"/>
  <c r="BW341" i="3"/>
  <c r="BX341" i="3"/>
  <c r="BY341" i="3"/>
  <c r="BU342" i="3"/>
  <c r="BW342" i="3"/>
  <c r="BX342" i="3"/>
  <c r="BY342" i="3"/>
  <c r="BU343" i="3"/>
  <c r="BW343" i="3"/>
  <c r="BX343" i="3"/>
  <c r="BY343" i="3"/>
  <c r="BU344" i="3"/>
  <c r="BW344" i="3"/>
  <c r="BX344" i="3"/>
  <c r="BY344" i="3"/>
  <c r="BU345" i="3"/>
  <c r="BW345" i="3"/>
  <c r="BX345" i="3"/>
  <c r="BY345" i="3"/>
  <c r="BU346" i="3"/>
  <c r="BW346" i="3"/>
  <c r="BX346" i="3"/>
  <c r="BY346" i="3"/>
  <c r="BU347" i="3"/>
  <c r="BW347" i="3"/>
  <c r="BX347" i="3"/>
  <c r="BY347" i="3"/>
  <c r="BU348" i="3"/>
  <c r="BW348" i="3"/>
  <c r="BX348" i="3"/>
  <c r="BY348" i="3"/>
  <c r="BU349" i="3"/>
  <c r="BW349" i="3"/>
  <c r="BX349" i="3"/>
  <c r="BY349" i="3"/>
  <c r="BU350" i="3"/>
  <c r="BW350" i="3"/>
  <c r="BX350" i="3"/>
  <c r="BY350" i="3"/>
  <c r="BU351" i="3"/>
  <c r="BW351" i="3"/>
  <c r="BX351" i="3"/>
  <c r="BY351" i="3"/>
  <c r="BU352" i="3"/>
  <c r="BW352" i="3"/>
  <c r="BX352" i="3"/>
  <c r="BY352" i="3"/>
  <c r="BU353" i="3"/>
  <c r="BW353" i="3"/>
  <c r="BX353" i="3"/>
  <c r="BY353" i="3"/>
  <c r="BU354" i="3"/>
  <c r="BW354" i="3"/>
  <c r="BX354" i="3"/>
  <c r="BY354" i="3"/>
  <c r="BU355" i="3"/>
  <c r="BW355" i="3"/>
  <c r="BX355" i="3"/>
  <c r="BY355" i="3"/>
  <c r="BU356" i="3"/>
  <c r="BW356" i="3"/>
  <c r="BX356" i="3"/>
  <c r="BY356" i="3"/>
  <c r="BU357" i="3"/>
  <c r="BW357" i="3"/>
  <c r="BX357" i="3"/>
  <c r="BY357" i="3"/>
  <c r="BU358" i="3"/>
  <c r="BW358" i="3"/>
  <c r="BX358" i="3"/>
  <c r="BY358" i="3"/>
  <c r="BU359" i="3"/>
  <c r="BW359" i="3"/>
  <c r="BX359" i="3"/>
  <c r="BY359" i="3"/>
  <c r="BU360" i="3"/>
  <c r="BW360" i="3"/>
  <c r="BX360" i="3"/>
  <c r="BY360" i="3"/>
  <c r="BU361" i="3"/>
  <c r="BW361" i="3"/>
  <c r="BX361" i="3"/>
  <c r="BY361" i="3"/>
  <c r="BU362" i="3"/>
  <c r="BW362" i="3"/>
  <c r="BX362" i="3"/>
  <c r="BY362" i="3"/>
  <c r="BU363" i="3"/>
  <c r="BW363" i="3"/>
  <c r="BX363" i="3"/>
  <c r="BY363" i="3"/>
  <c r="BU364" i="3"/>
  <c r="BW364" i="3"/>
  <c r="BX364" i="3"/>
  <c r="BY364" i="3"/>
  <c r="BU365" i="3"/>
  <c r="BW365" i="3"/>
  <c r="BX365" i="3"/>
  <c r="BY365" i="3"/>
  <c r="BU366" i="3"/>
  <c r="BW366" i="3"/>
  <c r="BX366" i="3"/>
  <c r="BY366" i="3"/>
  <c r="BU367" i="3"/>
  <c r="BW367" i="3"/>
  <c r="BX367" i="3"/>
  <c r="BY367" i="3"/>
  <c r="BU368" i="3"/>
  <c r="BW368" i="3"/>
  <c r="BX368" i="3"/>
  <c r="BY368" i="3"/>
  <c r="BU369" i="3"/>
  <c r="BW369" i="3"/>
  <c r="BX369" i="3"/>
  <c r="BY369" i="3"/>
  <c r="BU370" i="3"/>
  <c r="BW370" i="3"/>
  <c r="BX370" i="3"/>
  <c r="BY370" i="3"/>
  <c r="BU371" i="3"/>
  <c r="BW371" i="3"/>
  <c r="BX371" i="3"/>
  <c r="BY371" i="3"/>
  <c r="BU372" i="3"/>
  <c r="BW372" i="3"/>
  <c r="BX372" i="3"/>
  <c r="BY372" i="3"/>
  <c r="BU373" i="3"/>
  <c r="BW373" i="3"/>
  <c r="BX373" i="3"/>
  <c r="BY373" i="3"/>
  <c r="BU374" i="3"/>
  <c r="BW374" i="3"/>
  <c r="BX374" i="3"/>
  <c r="BY374" i="3"/>
  <c r="BU375" i="3"/>
  <c r="BW375" i="3"/>
  <c r="BX375" i="3"/>
  <c r="BY375" i="3"/>
  <c r="BU376" i="3"/>
  <c r="BW376" i="3"/>
  <c r="BX376" i="3"/>
  <c r="BY376" i="3"/>
  <c r="BU377" i="3"/>
  <c r="BW377" i="3"/>
  <c r="BX377" i="3"/>
  <c r="BY377" i="3"/>
  <c r="BU378" i="3"/>
  <c r="BW378" i="3"/>
  <c r="BX378" i="3"/>
  <c r="BY378" i="3"/>
  <c r="BU379" i="3"/>
  <c r="BW379" i="3"/>
  <c r="BX379" i="3"/>
  <c r="BY379" i="3"/>
  <c r="BU380" i="3"/>
  <c r="BW380" i="3"/>
  <c r="BX380" i="3"/>
  <c r="BY380" i="3"/>
  <c r="BU381" i="3"/>
  <c r="BW381" i="3"/>
  <c r="BX381" i="3"/>
  <c r="BY381" i="3"/>
  <c r="BU382" i="3"/>
  <c r="BW382" i="3"/>
  <c r="BX382" i="3"/>
  <c r="BY382" i="3"/>
  <c r="BU383" i="3"/>
  <c r="BW383" i="3"/>
  <c r="BX383" i="3"/>
  <c r="BY383" i="3"/>
  <c r="BU384" i="3"/>
  <c r="BW384" i="3"/>
  <c r="BX384" i="3"/>
  <c r="BY384" i="3"/>
  <c r="BU385" i="3"/>
  <c r="BW385" i="3"/>
  <c r="BX385" i="3"/>
  <c r="BY385" i="3"/>
  <c r="BU386" i="3"/>
  <c r="BW386" i="3"/>
  <c r="BX386" i="3"/>
  <c r="BY386" i="3"/>
  <c r="BU387" i="3"/>
  <c r="BW387" i="3"/>
  <c r="BX387" i="3"/>
  <c r="BY387" i="3"/>
  <c r="BU388" i="3"/>
  <c r="BW388" i="3"/>
  <c r="BX388" i="3"/>
  <c r="BY388" i="3"/>
  <c r="BU389" i="3"/>
  <c r="BW389" i="3"/>
  <c r="BX389" i="3"/>
  <c r="BY389" i="3"/>
  <c r="BU390" i="3"/>
  <c r="BW390" i="3"/>
  <c r="BX390" i="3"/>
  <c r="BY390" i="3"/>
  <c r="BU391" i="3"/>
  <c r="BW391" i="3"/>
  <c r="BX391" i="3"/>
  <c r="BY391" i="3"/>
  <c r="BU392" i="3"/>
  <c r="BW392" i="3"/>
  <c r="BX392" i="3"/>
  <c r="BY392" i="3"/>
  <c r="BU393" i="3"/>
  <c r="BW393" i="3"/>
  <c r="BX393" i="3"/>
  <c r="BY393" i="3"/>
  <c r="BU394" i="3"/>
  <c r="BW394" i="3"/>
  <c r="BX394" i="3"/>
  <c r="BY394" i="3"/>
  <c r="BU395" i="3"/>
  <c r="BW395" i="3"/>
  <c r="BX395" i="3"/>
  <c r="BY395" i="3"/>
  <c r="BU396" i="3"/>
  <c r="BW396" i="3"/>
  <c r="BX396" i="3"/>
  <c r="BY396" i="3"/>
  <c r="BU397" i="3"/>
  <c r="BW397" i="3"/>
  <c r="BX397" i="3"/>
  <c r="BY397" i="3"/>
  <c r="BU398" i="3"/>
  <c r="BW398" i="3"/>
  <c r="BX398" i="3"/>
  <c r="BY398" i="3"/>
  <c r="BU399" i="3"/>
  <c r="BW399" i="3"/>
  <c r="BX399" i="3"/>
  <c r="BY399" i="3"/>
  <c r="BU400" i="3"/>
  <c r="BW400" i="3"/>
  <c r="BX400" i="3"/>
  <c r="BY400" i="3"/>
  <c r="BU401" i="3"/>
  <c r="BW401" i="3"/>
  <c r="BX401" i="3"/>
  <c r="BY401" i="3"/>
  <c r="BU402" i="3"/>
  <c r="BW402" i="3"/>
  <c r="BX402" i="3"/>
  <c r="BY402" i="3"/>
  <c r="BU403" i="3"/>
  <c r="BW403" i="3"/>
  <c r="BX403" i="3"/>
  <c r="BY403" i="3"/>
  <c r="BU404" i="3"/>
  <c r="BW404" i="3"/>
  <c r="BX404" i="3"/>
  <c r="BY404" i="3"/>
  <c r="BU405" i="3"/>
  <c r="BW405" i="3"/>
  <c r="BX405" i="3"/>
  <c r="BY405" i="3"/>
  <c r="BU406" i="3"/>
  <c r="BW406" i="3"/>
  <c r="BX406" i="3"/>
  <c r="BY406" i="3"/>
  <c r="BU407" i="3"/>
  <c r="BW407" i="3"/>
  <c r="BX407" i="3"/>
  <c r="BY407" i="3"/>
  <c r="BU408" i="3"/>
  <c r="BW408" i="3"/>
  <c r="BX408" i="3"/>
  <c r="BY408" i="3"/>
  <c r="BU409" i="3"/>
  <c r="BW409" i="3"/>
  <c r="BX409" i="3"/>
  <c r="BY409" i="3"/>
  <c r="BU410" i="3"/>
  <c r="BW410" i="3"/>
  <c r="BX410" i="3"/>
  <c r="BY410" i="3"/>
  <c r="BU411" i="3"/>
  <c r="BW411" i="3"/>
  <c r="BX411" i="3"/>
  <c r="BY411" i="3"/>
  <c r="BU412" i="3"/>
  <c r="BW412" i="3"/>
  <c r="BX412" i="3"/>
  <c r="BY412" i="3"/>
  <c r="BU413" i="3"/>
  <c r="BW413" i="3"/>
  <c r="BX413" i="3"/>
  <c r="BY413" i="3"/>
  <c r="BU414" i="3"/>
  <c r="BW414" i="3"/>
  <c r="BX414" i="3"/>
  <c r="BY414" i="3"/>
  <c r="BU415" i="3"/>
  <c r="BW415" i="3"/>
  <c r="BX415" i="3"/>
  <c r="BY415" i="3"/>
  <c r="BU416" i="3"/>
  <c r="BW416" i="3"/>
  <c r="BX416" i="3"/>
  <c r="BY416" i="3"/>
  <c r="BU417" i="3"/>
  <c r="BW417" i="3"/>
  <c r="BX417" i="3"/>
  <c r="BY417" i="3"/>
  <c r="BU418" i="3"/>
  <c r="BW418" i="3"/>
  <c r="BX418" i="3"/>
  <c r="BY418" i="3"/>
  <c r="BU419" i="3"/>
  <c r="BW419" i="3"/>
  <c r="BX419" i="3"/>
  <c r="BY419" i="3"/>
  <c r="BU420" i="3"/>
  <c r="BW420" i="3"/>
  <c r="BX420" i="3"/>
  <c r="BY420" i="3"/>
  <c r="BU421" i="3"/>
  <c r="BW421" i="3"/>
  <c r="BX421" i="3"/>
  <c r="BY421" i="3"/>
  <c r="BU422" i="3"/>
  <c r="BW422" i="3"/>
  <c r="BX422" i="3"/>
  <c r="BY422" i="3"/>
  <c r="BU423" i="3"/>
  <c r="BW423" i="3"/>
  <c r="BX423" i="3"/>
  <c r="BY423" i="3"/>
  <c r="BU424" i="3"/>
  <c r="BW424" i="3"/>
  <c r="BX424" i="3"/>
  <c r="BY424" i="3"/>
  <c r="BU425" i="3"/>
  <c r="BW425" i="3"/>
  <c r="BX425" i="3"/>
  <c r="BY425" i="3"/>
  <c r="BU426" i="3"/>
  <c r="BW426" i="3"/>
  <c r="BX426" i="3"/>
  <c r="BY426" i="3"/>
  <c r="BU427" i="3"/>
  <c r="BW427" i="3"/>
  <c r="BX427" i="3"/>
  <c r="BY427" i="3"/>
  <c r="BU428" i="3"/>
  <c r="BW428" i="3"/>
  <c r="BX428" i="3"/>
  <c r="BY428" i="3"/>
  <c r="BU429" i="3"/>
  <c r="BW429" i="3"/>
  <c r="BX429" i="3"/>
  <c r="BY429" i="3"/>
  <c r="BU430" i="3"/>
  <c r="BW430" i="3"/>
  <c r="BX430" i="3"/>
  <c r="BY430" i="3"/>
  <c r="BU431" i="3"/>
  <c r="BW431" i="3"/>
  <c r="BX431" i="3"/>
  <c r="BY431" i="3"/>
  <c r="BU432" i="3"/>
  <c r="BW432" i="3"/>
  <c r="BX432" i="3"/>
  <c r="BY432" i="3"/>
  <c r="BU433" i="3"/>
  <c r="BW433" i="3"/>
  <c r="BX433" i="3"/>
  <c r="BY433" i="3"/>
  <c r="BU434" i="3"/>
  <c r="BW434" i="3"/>
  <c r="BX434" i="3"/>
  <c r="BY434" i="3"/>
  <c r="BU435" i="3"/>
  <c r="BW435" i="3"/>
  <c r="BX435" i="3"/>
  <c r="BY435" i="3"/>
  <c r="BU436" i="3"/>
  <c r="BW436" i="3"/>
  <c r="BX436" i="3"/>
  <c r="BY436" i="3"/>
  <c r="BU437" i="3"/>
  <c r="BW437" i="3"/>
  <c r="BX437" i="3"/>
  <c r="BY437" i="3"/>
  <c r="BU438" i="3"/>
  <c r="BW438" i="3"/>
  <c r="BX438" i="3"/>
  <c r="BY438" i="3"/>
  <c r="BU439" i="3"/>
  <c r="BW439" i="3"/>
  <c r="BX439" i="3"/>
  <c r="BY439" i="3"/>
  <c r="BU440" i="3"/>
  <c r="BW440" i="3"/>
  <c r="BX440" i="3"/>
  <c r="BY440" i="3"/>
  <c r="BU441" i="3"/>
  <c r="BW441" i="3"/>
  <c r="BX441" i="3"/>
  <c r="BY441" i="3"/>
  <c r="BU442" i="3"/>
  <c r="BW442" i="3"/>
  <c r="BX442" i="3"/>
  <c r="BY442" i="3"/>
  <c r="BU443" i="3"/>
  <c r="BW443" i="3"/>
  <c r="BX443" i="3"/>
  <c r="BY443" i="3"/>
  <c r="BU444" i="3"/>
  <c r="BW444" i="3"/>
  <c r="BX444" i="3"/>
  <c r="BY444" i="3"/>
  <c r="BU445" i="3"/>
  <c r="BW445" i="3"/>
  <c r="BX445" i="3"/>
  <c r="BY445" i="3"/>
  <c r="BU446" i="3"/>
  <c r="BW446" i="3"/>
  <c r="BX446" i="3"/>
  <c r="BY446" i="3"/>
  <c r="BU447" i="3"/>
  <c r="BW447" i="3"/>
  <c r="BX447" i="3"/>
  <c r="BY447" i="3"/>
  <c r="BU448" i="3"/>
  <c r="BW448" i="3"/>
  <c r="BX448" i="3"/>
  <c r="BY448" i="3"/>
  <c r="BU449" i="3"/>
  <c r="BW449" i="3"/>
  <c r="BX449" i="3"/>
  <c r="BY449" i="3"/>
  <c r="BU450" i="3"/>
  <c r="BW450" i="3"/>
  <c r="BX450" i="3"/>
  <c r="BY450" i="3"/>
  <c r="BU451" i="3"/>
  <c r="BW451" i="3"/>
  <c r="BX451" i="3"/>
  <c r="BY451" i="3"/>
  <c r="BU452" i="3"/>
  <c r="BW452" i="3"/>
  <c r="BX452" i="3"/>
  <c r="BY452" i="3"/>
  <c r="BU453" i="3"/>
  <c r="BW453" i="3"/>
  <c r="BX453" i="3"/>
  <c r="BY453" i="3"/>
  <c r="BU454" i="3"/>
  <c r="BW454" i="3"/>
  <c r="BX454" i="3"/>
  <c r="BY454" i="3"/>
  <c r="BU455" i="3"/>
  <c r="BW455" i="3"/>
  <c r="BX455" i="3"/>
  <c r="BY455" i="3"/>
  <c r="BU456" i="3"/>
  <c r="BW456" i="3"/>
  <c r="BX456" i="3"/>
  <c r="BY456" i="3"/>
  <c r="BU457" i="3"/>
  <c r="BW457" i="3"/>
  <c r="BX457" i="3"/>
  <c r="BY457" i="3"/>
  <c r="BU458" i="3"/>
  <c r="BW458" i="3"/>
  <c r="BX458" i="3"/>
  <c r="BY458" i="3"/>
  <c r="BU459" i="3"/>
  <c r="BW459" i="3"/>
  <c r="BX459" i="3"/>
  <c r="BY459" i="3"/>
  <c r="BU460" i="3"/>
  <c r="BW460" i="3"/>
  <c r="BX460" i="3"/>
  <c r="BY460" i="3"/>
  <c r="BU461" i="3"/>
  <c r="BW461" i="3"/>
  <c r="BX461" i="3"/>
  <c r="BY461" i="3"/>
  <c r="BU462" i="3"/>
  <c r="BW462" i="3"/>
  <c r="BX462" i="3"/>
  <c r="BY462" i="3"/>
  <c r="BU463" i="3"/>
  <c r="BW463" i="3"/>
  <c r="BX463" i="3"/>
  <c r="BY463" i="3"/>
  <c r="BU464" i="3"/>
  <c r="BW464" i="3"/>
  <c r="BX464" i="3"/>
  <c r="BY464" i="3"/>
  <c r="BU465" i="3"/>
  <c r="BW465" i="3"/>
  <c r="BX465" i="3"/>
  <c r="BY465" i="3"/>
  <c r="BU466" i="3"/>
  <c r="BW466" i="3"/>
  <c r="BX466" i="3"/>
  <c r="BY466" i="3"/>
  <c r="BU467" i="3"/>
  <c r="BW467" i="3"/>
  <c r="BX467" i="3"/>
  <c r="BY467" i="3"/>
  <c r="BU468" i="3"/>
  <c r="BW468" i="3"/>
  <c r="BX468" i="3"/>
  <c r="BY468" i="3"/>
  <c r="BU469" i="3"/>
  <c r="BW469" i="3"/>
  <c r="BX469" i="3"/>
  <c r="BY469" i="3"/>
  <c r="BU470" i="3"/>
  <c r="BW470" i="3"/>
  <c r="BX470" i="3"/>
  <c r="BY470" i="3"/>
  <c r="BU471" i="3"/>
  <c r="BW471" i="3"/>
  <c r="BX471" i="3"/>
  <c r="BY471" i="3"/>
  <c r="BU472" i="3"/>
  <c r="BW472" i="3"/>
  <c r="BX472" i="3"/>
  <c r="BY472" i="3"/>
  <c r="BU473" i="3"/>
  <c r="BW473" i="3"/>
  <c r="BX473" i="3"/>
  <c r="BY473" i="3"/>
  <c r="BU474" i="3"/>
  <c r="BW474" i="3"/>
  <c r="BX474" i="3"/>
  <c r="BY474" i="3"/>
  <c r="BU475" i="3"/>
  <c r="BW475" i="3"/>
  <c r="BX475" i="3"/>
  <c r="BY475" i="3"/>
  <c r="BU476" i="3"/>
  <c r="BW476" i="3"/>
  <c r="BX476" i="3"/>
  <c r="BY476" i="3"/>
  <c r="BU477" i="3"/>
  <c r="BW477" i="3"/>
  <c r="BX477" i="3"/>
  <c r="BY477" i="3"/>
  <c r="BU478" i="3"/>
  <c r="BW478" i="3"/>
  <c r="BX478" i="3"/>
  <c r="BY478" i="3"/>
  <c r="BU479" i="3"/>
  <c r="BW479" i="3"/>
  <c r="BX479" i="3"/>
  <c r="BY479" i="3"/>
  <c r="BU480" i="3"/>
  <c r="BW480" i="3"/>
  <c r="BX480" i="3"/>
  <c r="BY480" i="3"/>
  <c r="BU481" i="3"/>
  <c r="BW481" i="3"/>
  <c r="BX481" i="3"/>
  <c r="BY481" i="3"/>
  <c r="BU482" i="3"/>
  <c r="BW482" i="3"/>
  <c r="BX482" i="3"/>
  <c r="BY482" i="3"/>
  <c r="BU483" i="3"/>
  <c r="BW483" i="3"/>
  <c r="BX483" i="3"/>
  <c r="BY483" i="3"/>
  <c r="BU484" i="3"/>
  <c r="BW484" i="3"/>
  <c r="BX484" i="3"/>
  <c r="BY484" i="3"/>
  <c r="BU485" i="3"/>
  <c r="BW485" i="3"/>
  <c r="BX485" i="3"/>
  <c r="BY485" i="3"/>
  <c r="BU486" i="3"/>
  <c r="BW486" i="3"/>
  <c r="BX486" i="3"/>
  <c r="BY486" i="3"/>
  <c r="BU487" i="3"/>
  <c r="BW487" i="3"/>
  <c r="BX487" i="3"/>
  <c r="BY487" i="3"/>
  <c r="BU488" i="3"/>
  <c r="BW488" i="3"/>
  <c r="BX488" i="3"/>
  <c r="BY488" i="3"/>
  <c r="BU489" i="3"/>
  <c r="BW489" i="3"/>
  <c r="BX489" i="3"/>
  <c r="BY489" i="3"/>
  <c r="BU490" i="3"/>
  <c r="BW490" i="3"/>
  <c r="BX490" i="3"/>
  <c r="BY490" i="3"/>
  <c r="BU491" i="3"/>
  <c r="BW491" i="3"/>
  <c r="BX491" i="3"/>
  <c r="BY491" i="3"/>
  <c r="BU492" i="3"/>
  <c r="BW492" i="3"/>
  <c r="BX492" i="3"/>
  <c r="BY492" i="3"/>
  <c r="BU493" i="3"/>
  <c r="BW493" i="3"/>
  <c r="BX493" i="3"/>
  <c r="BY493" i="3"/>
  <c r="BU494" i="3"/>
  <c r="BW494" i="3"/>
  <c r="BX494" i="3"/>
  <c r="BY494" i="3"/>
  <c r="BU495" i="3"/>
  <c r="BW495" i="3"/>
  <c r="BX495" i="3"/>
  <c r="BY495" i="3"/>
  <c r="BU496" i="3"/>
  <c r="BW496" i="3"/>
  <c r="BX496" i="3"/>
  <c r="BY496" i="3"/>
  <c r="BU497" i="3"/>
  <c r="BW497" i="3"/>
  <c r="BX497" i="3"/>
  <c r="BY497" i="3"/>
  <c r="BU498" i="3"/>
  <c r="BW498" i="3"/>
  <c r="BX498" i="3"/>
  <c r="BY498" i="3"/>
  <c r="BU499" i="3"/>
  <c r="BW499" i="3"/>
  <c r="BX499" i="3"/>
  <c r="BY499" i="3"/>
  <c r="BU500" i="3"/>
  <c r="BW500" i="3"/>
  <c r="BX500" i="3"/>
  <c r="BY500" i="3"/>
  <c r="BU501" i="3"/>
  <c r="BW501" i="3"/>
  <c r="BX501" i="3"/>
  <c r="BY501" i="3"/>
  <c r="BU502" i="3"/>
  <c r="BW502" i="3"/>
  <c r="BX502" i="3"/>
  <c r="BY502" i="3"/>
  <c r="BU503" i="3"/>
  <c r="BW503" i="3"/>
  <c r="BX503" i="3"/>
  <c r="BY503" i="3"/>
  <c r="BU504" i="3"/>
  <c r="BW504" i="3"/>
  <c r="BX504" i="3"/>
  <c r="BY504" i="3"/>
  <c r="BU505" i="3"/>
  <c r="BW505" i="3"/>
  <c r="BX505" i="3"/>
  <c r="BY505" i="3"/>
  <c r="BU506" i="3"/>
  <c r="BW506" i="3"/>
  <c r="BX506" i="3"/>
  <c r="BY506" i="3"/>
  <c r="BU507" i="3"/>
  <c r="BW507" i="3"/>
  <c r="BX507" i="3"/>
  <c r="BY507" i="3"/>
  <c r="BU508" i="3"/>
  <c r="BW508" i="3"/>
  <c r="BX508" i="3"/>
  <c r="BY508" i="3"/>
  <c r="BU509" i="3"/>
  <c r="BW509" i="3"/>
  <c r="BX509" i="3"/>
  <c r="BY509" i="3"/>
  <c r="BU510" i="3"/>
  <c r="BW510" i="3"/>
  <c r="BX510" i="3"/>
  <c r="BY510" i="3"/>
  <c r="BU511" i="3"/>
  <c r="BW511" i="3"/>
  <c r="BX511" i="3"/>
  <c r="BY511" i="3"/>
  <c r="BU512" i="3"/>
  <c r="BW512" i="3"/>
  <c r="BX512" i="3"/>
  <c r="BY512" i="3"/>
  <c r="BU513" i="3"/>
  <c r="BW513" i="3"/>
  <c r="BX513" i="3"/>
  <c r="BY513" i="3"/>
  <c r="BU514" i="3"/>
  <c r="BW514" i="3"/>
  <c r="BX514" i="3"/>
  <c r="BY514" i="3"/>
  <c r="BU515" i="3"/>
  <c r="BW515" i="3"/>
  <c r="BX515" i="3"/>
  <c r="BY515" i="3"/>
  <c r="BU516" i="3"/>
  <c r="BW516" i="3"/>
  <c r="BX516" i="3"/>
  <c r="BY516" i="3"/>
  <c r="BU517" i="3"/>
  <c r="BW517" i="3"/>
  <c r="BX517" i="3"/>
  <c r="BY517" i="3"/>
  <c r="BU518" i="3"/>
  <c r="BW518" i="3"/>
  <c r="BX518" i="3"/>
  <c r="BY518" i="3"/>
  <c r="BU519" i="3"/>
  <c r="BW519" i="3"/>
  <c r="BX519" i="3"/>
  <c r="BY519" i="3"/>
  <c r="BU520" i="3"/>
  <c r="BW520" i="3"/>
  <c r="BX520" i="3"/>
  <c r="BY520" i="3"/>
  <c r="BU521" i="3"/>
  <c r="BW521" i="3"/>
  <c r="BX521" i="3"/>
  <c r="BY521" i="3"/>
  <c r="BU522" i="3"/>
  <c r="BW522" i="3"/>
  <c r="BX522" i="3"/>
  <c r="BY522" i="3"/>
  <c r="BU523" i="3"/>
  <c r="BW523" i="3"/>
  <c r="BX523" i="3"/>
  <c r="BY523" i="3"/>
  <c r="BU524" i="3"/>
  <c r="BW524" i="3"/>
  <c r="BX524" i="3"/>
  <c r="BY524" i="3"/>
  <c r="BU525" i="3"/>
  <c r="BW525" i="3"/>
  <c r="BX525" i="3"/>
  <c r="BY525" i="3"/>
  <c r="BU526" i="3"/>
  <c r="BW526" i="3"/>
  <c r="BX526" i="3"/>
  <c r="BY526" i="3"/>
  <c r="BU527" i="3"/>
  <c r="BW527" i="3"/>
  <c r="BX527" i="3"/>
  <c r="BY527" i="3"/>
  <c r="BU528" i="3"/>
  <c r="BW528" i="3"/>
  <c r="BX528" i="3"/>
  <c r="BY528" i="3"/>
  <c r="BU529" i="3"/>
  <c r="BW529" i="3"/>
  <c r="BX529" i="3"/>
  <c r="BY529" i="3"/>
  <c r="BU530" i="3"/>
  <c r="BW530" i="3"/>
  <c r="BX530" i="3"/>
  <c r="BY530" i="3"/>
  <c r="BU531" i="3"/>
  <c r="BW531" i="3"/>
  <c r="BX531" i="3"/>
  <c r="BY531" i="3"/>
  <c r="BU532" i="3"/>
  <c r="BW532" i="3"/>
  <c r="BX532" i="3"/>
  <c r="BY532" i="3"/>
  <c r="BU533" i="3"/>
  <c r="BW533" i="3"/>
  <c r="BX533" i="3"/>
  <c r="BY533" i="3"/>
  <c r="BU534" i="3"/>
  <c r="BW534" i="3"/>
  <c r="BX534" i="3"/>
  <c r="BY534" i="3"/>
  <c r="BU535" i="3"/>
  <c r="BW535" i="3"/>
  <c r="BX535" i="3"/>
  <c r="BY535" i="3"/>
  <c r="BU536" i="3"/>
  <c r="BW536" i="3"/>
  <c r="BX536" i="3"/>
  <c r="BY536" i="3"/>
  <c r="BU537" i="3"/>
  <c r="BW537" i="3"/>
  <c r="BX537" i="3"/>
  <c r="BY537" i="3"/>
  <c r="BU538" i="3"/>
  <c r="BW538" i="3"/>
  <c r="BX538" i="3"/>
  <c r="BY538" i="3"/>
  <c r="BU539" i="3"/>
  <c r="BW539" i="3"/>
  <c r="BX539" i="3"/>
  <c r="BY539" i="3"/>
  <c r="BU540" i="3"/>
  <c r="BW540" i="3"/>
  <c r="BX540" i="3"/>
  <c r="BY540" i="3"/>
  <c r="BU541" i="3"/>
  <c r="BW541" i="3"/>
  <c r="BX541" i="3"/>
  <c r="BY541" i="3"/>
  <c r="BU542" i="3"/>
  <c r="BW542" i="3"/>
  <c r="BX542" i="3"/>
  <c r="BY542" i="3"/>
  <c r="BU543" i="3"/>
  <c r="BW543" i="3"/>
  <c r="BX543" i="3"/>
  <c r="BY543" i="3"/>
  <c r="BU544" i="3"/>
  <c r="BW544" i="3"/>
  <c r="BX544" i="3"/>
  <c r="BY544" i="3"/>
  <c r="BU545" i="3"/>
  <c r="BW545" i="3"/>
  <c r="BX545" i="3"/>
  <c r="BY545" i="3"/>
  <c r="BU546" i="3"/>
  <c r="BW546" i="3"/>
  <c r="BX546" i="3"/>
  <c r="BY546" i="3"/>
  <c r="BU547" i="3"/>
  <c r="BW547" i="3"/>
  <c r="BX547" i="3"/>
  <c r="BY547" i="3"/>
  <c r="BU548" i="3"/>
  <c r="BW548" i="3"/>
  <c r="BX548" i="3"/>
  <c r="BY548" i="3"/>
  <c r="BU549" i="3"/>
  <c r="BW549" i="3"/>
  <c r="BX549" i="3"/>
  <c r="BY549" i="3"/>
  <c r="BU550" i="3"/>
  <c r="BW550" i="3"/>
  <c r="BX550" i="3"/>
  <c r="BY550" i="3"/>
  <c r="BU551" i="3"/>
  <c r="BW551" i="3"/>
  <c r="BX551" i="3"/>
  <c r="BY551" i="3"/>
  <c r="BU552" i="3"/>
  <c r="BW552" i="3"/>
  <c r="BX552" i="3"/>
  <c r="BY552" i="3"/>
  <c r="BU553" i="3"/>
  <c r="BW553" i="3"/>
  <c r="BX553" i="3"/>
  <c r="BY553" i="3"/>
  <c r="BU554" i="3"/>
  <c r="BW554" i="3"/>
  <c r="BX554" i="3"/>
  <c r="BY554" i="3"/>
  <c r="BU555" i="3"/>
  <c r="BW555" i="3"/>
  <c r="BX555" i="3"/>
  <c r="BY555" i="3"/>
  <c r="BU556" i="3"/>
  <c r="BW556" i="3"/>
  <c r="BX556" i="3"/>
  <c r="BY556" i="3"/>
  <c r="BU557" i="3"/>
  <c r="BW557" i="3"/>
  <c r="BX557" i="3"/>
  <c r="BY557" i="3"/>
  <c r="BU558" i="3"/>
  <c r="BW558" i="3"/>
  <c r="BX558" i="3"/>
  <c r="BY558" i="3"/>
  <c r="BU559" i="3"/>
  <c r="BW559" i="3"/>
  <c r="BX559" i="3"/>
  <c r="BY559" i="3"/>
  <c r="BU560" i="3"/>
  <c r="BW560" i="3"/>
  <c r="BX560" i="3"/>
  <c r="BY560" i="3"/>
  <c r="BU561" i="3"/>
  <c r="BW561" i="3"/>
  <c r="BX561" i="3"/>
  <c r="BY561" i="3"/>
  <c r="BU562" i="3"/>
  <c r="BW562" i="3"/>
  <c r="BX562" i="3"/>
  <c r="BY562" i="3"/>
  <c r="BU563" i="3"/>
  <c r="BW563" i="3"/>
  <c r="BX563" i="3"/>
  <c r="BY563" i="3"/>
  <c r="BU564" i="3"/>
  <c r="BW564" i="3"/>
  <c r="BX564" i="3"/>
  <c r="BY564" i="3"/>
  <c r="BU565" i="3"/>
  <c r="BW565" i="3"/>
  <c r="BX565" i="3"/>
  <c r="BY565" i="3"/>
  <c r="BU566" i="3"/>
  <c r="BW566" i="3"/>
  <c r="BX566" i="3"/>
  <c r="BY566" i="3"/>
  <c r="BU567" i="3"/>
  <c r="BW567" i="3"/>
  <c r="BX567" i="3"/>
  <c r="BY567" i="3"/>
  <c r="BU568" i="3"/>
  <c r="BW568" i="3"/>
  <c r="BX568" i="3"/>
  <c r="BY568" i="3"/>
  <c r="BU569" i="3"/>
  <c r="BW569" i="3"/>
  <c r="BX569" i="3"/>
  <c r="BY569" i="3"/>
  <c r="BU570" i="3"/>
  <c r="BW570" i="3"/>
  <c r="BX570" i="3"/>
  <c r="BY570" i="3"/>
  <c r="BU571" i="3"/>
  <c r="BW571" i="3"/>
  <c r="BX571" i="3"/>
  <c r="BY571" i="3"/>
  <c r="BU572" i="3"/>
  <c r="BW572" i="3"/>
  <c r="BX572" i="3"/>
  <c r="BY572" i="3"/>
  <c r="BU573" i="3"/>
  <c r="BW573" i="3"/>
  <c r="BX573" i="3"/>
  <c r="BY573" i="3"/>
  <c r="BU574" i="3"/>
  <c r="BW574" i="3"/>
  <c r="BX574" i="3"/>
  <c r="BY574" i="3"/>
  <c r="BU575" i="3"/>
  <c r="BW575" i="3"/>
  <c r="BX575" i="3"/>
  <c r="BY575" i="3"/>
  <c r="BU576" i="3"/>
  <c r="BW576" i="3"/>
  <c r="BX576" i="3"/>
  <c r="BY576" i="3"/>
  <c r="BU577" i="3"/>
  <c r="BW577" i="3"/>
  <c r="BX577" i="3"/>
  <c r="BY577" i="3"/>
  <c r="BU578" i="3"/>
  <c r="BW578" i="3"/>
  <c r="BX578" i="3"/>
  <c r="BY578" i="3"/>
  <c r="BU579" i="3"/>
  <c r="BW579" i="3"/>
  <c r="BX579" i="3"/>
  <c r="BY579" i="3"/>
  <c r="BU580" i="3"/>
  <c r="BW580" i="3"/>
  <c r="BX580" i="3"/>
  <c r="BY580" i="3"/>
  <c r="BU581" i="3"/>
  <c r="BW581" i="3"/>
  <c r="BX581" i="3"/>
  <c r="BY581" i="3"/>
  <c r="BU582" i="3"/>
  <c r="BW582" i="3"/>
  <c r="BX582" i="3"/>
  <c r="BY582" i="3"/>
  <c r="BU583" i="3"/>
  <c r="BW583" i="3"/>
  <c r="BX583" i="3"/>
  <c r="BY583" i="3"/>
  <c r="BU584" i="3"/>
  <c r="BW584" i="3"/>
  <c r="BX584" i="3"/>
  <c r="BY584" i="3"/>
  <c r="BU585" i="3"/>
  <c r="BW585" i="3"/>
  <c r="BX585" i="3"/>
  <c r="BY585" i="3"/>
  <c r="BU586" i="3"/>
  <c r="BW586" i="3"/>
  <c r="BX586" i="3"/>
  <c r="BY586" i="3"/>
  <c r="BU587" i="3"/>
  <c r="BW587" i="3"/>
  <c r="BX587" i="3"/>
  <c r="BY587" i="3"/>
  <c r="BU588" i="3"/>
  <c r="BW588" i="3"/>
  <c r="BX588" i="3"/>
  <c r="BY588" i="3"/>
  <c r="BU589" i="3"/>
  <c r="BW589" i="3"/>
  <c r="BX589" i="3"/>
  <c r="BY589" i="3"/>
  <c r="BU590" i="3"/>
  <c r="BW590" i="3"/>
  <c r="BX590" i="3"/>
  <c r="BY590" i="3"/>
  <c r="BU591" i="3"/>
  <c r="BW591" i="3"/>
  <c r="BX591" i="3"/>
  <c r="BY591" i="3"/>
  <c r="BU592" i="3"/>
  <c r="BW592" i="3"/>
  <c r="BX592" i="3"/>
  <c r="BY592" i="3"/>
  <c r="BU593" i="3"/>
  <c r="BW593" i="3"/>
  <c r="BX593" i="3"/>
  <c r="BY593" i="3"/>
  <c r="BU594" i="3"/>
  <c r="BW594" i="3"/>
  <c r="BX594" i="3"/>
  <c r="BY594" i="3"/>
  <c r="BU595" i="3"/>
  <c r="BW595" i="3"/>
  <c r="BX595" i="3"/>
  <c r="BY595" i="3"/>
  <c r="BU596" i="3"/>
  <c r="BW596" i="3"/>
  <c r="BX596" i="3"/>
  <c r="BY596" i="3"/>
  <c r="BU597" i="3"/>
  <c r="BW597" i="3"/>
  <c r="BX597" i="3"/>
  <c r="BY597" i="3"/>
  <c r="BU598" i="3"/>
  <c r="BW598" i="3"/>
  <c r="BX598" i="3"/>
  <c r="BY598" i="3"/>
  <c r="BU599" i="3"/>
  <c r="BW599" i="3"/>
  <c r="BX599" i="3"/>
  <c r="BY599" i="3"/>
  <c r="BU600" i="3"/>
  <c r="BW600" i="3"/>
  <c r="BX600" i="3"/>
  <c r="BY600" i="3"/>
  <c r="BU601" i="3"/>
  <c r="BW601" i="3"/>
  <c r="BX601" i="3"/>
  <c r="BY601" i="3"/>
  <c r="BU602" i="3"/>
  <c r="BW602" i="3"/>
  <c r="BX602" i="3"/>
  <c r="BY602" i="3"/>
  <c r="BU603" i="3"/>
  <c r="BW603" i="3"/>
  <c r="BX603" i="3"/>
  <c r="BY603" i="3"/>
  <c r="BU604" i="3"/>
  <c r="BW604" i="3"/>
  <c r="BX604" i="3"/>
  <c r="BY604" i="3"/>
  <c r="BU605" i="3"/>
  <c r="BW605" i="3"/>
  <c r="BX605" i="3"/>
  <c r="BY605" i="3"/>
  <c r="BU606" i="3"/>
  <c r="BW606" i="3"/>
  <c r="BX606" i="3"/>
  <c r="BY606" i="3"/>
  <c r="BU8" i="3"/>
  <c r="BW8" i="3"/>
  <c r="BX8" i="3"/>
  <c r="BY8" i="3"/>
  <c r="BU9" i="3"/>
  <c r="BW9" i="3"/>
  <c r="BX9" i="3"/>
  <c r="BY9" i="3"/>
  <c r="BU10" i="3"/>
  <c r="BW10" i="3"/>
  <c r="BX10" i="3"/>
  <c r="BY10" i="3"/>
  <c r="BU11" i="3"/>
  <c r="BW11" i="3"/>
  <c r="BX11" i="3"/>
  <c r="BY11" i="3"/>
  <c r="BU12" i="3"/>
  <c r="BW12" i="3"/>
  <c r="BX12" i="3"/>
  <c r="BY12" i="3"/>
  <c r="BU13" i="3"/>
  <c r="BW13" i="3"/>
  <c r="BX13" i="3"/>
  <c r="BY13" i="3"/>
  <c r="BU14" i="3"/>
  <c r="BW14" i="3"/>
  <c r="BX14" i="3"/>
  <c r="BY14" i="3"/>
  <c r="BU15" i="3"/>
  <c r="BW15" i="3"/>
  <c r="BX15" i="3"/>
  <c r="BY15" i="3"/>
  <c r="BU16" i="3"/>
  <c r="BW16" i="3"/>
  <c r="BX16" i="3"/>
  <c r="BY16" i="3"/>
  <c r="BU17" i="3"/>
  <c r="BW17" i="3"/>
  <c r="BX17" i="3"/>
  <c r="BY17" i="3"/>
  <c r="BU18" i="3"/>
  <c r="BW18" i="3"/>
  <c r="BX18" i="3"/>
  <c r="BY18" i="3"/>
  <c r="BU19" i="3"/>
  <c r="BW19" i="3"/>
  <c r="BX19" i="3"/>
  <c r="BY19" i="3"/>
  <c r="BU20" i="3"/>
  <c r="BW20" i="3"/>
  <c r="BX20" i="3"/>
  <c r="BY20" i="3"/>
  <c r="BU21" i="3"/>
  <c r="BW21" i="3"/>
  <c r="BX21" i="3"/>
  <c r="BY21" i="3"/>
  <c r="BU22" i="3"/>
  <c r="BW22" i="3"/>
  <c r="BX22" i="3"/>
  <c r="BY22" i="3"/>
  <c r="BU23" i="3"/>
  <c r="BW23" i="3"/>
  <c r="BX23" i="3"/>
  <c r="BY23" i="3"/>
  <c r="BU24" i="3"/>
  <c r="BW24" i="3"/>
  <c r="BX24" i="3"/>
  <c r="BY24" i="3"/>
  <c r="BU25" i="3"/>
  <c r="BW25" i="3"/>
  <c r="BX25" i="3"/>
  <c r="BY25" i="3"/>
  <c r="BU26" i="3"/>
  <c r="BW26" i="3"/>
  <c r="BX26" i="3"/>
  <c r="BY26" i="3"/>
  <c r="BU27" i="3"/>
  <c r="BW27" i="3"/>
  <c r="BX27" i="3"/>
  <c r="BY27" i="3"/>
  <c r="BU28" i="3"/>
  <c r="BW28" i="3"/>
  <c r="BX28" i="3"/>
  <c r="BY28" i="3"/>
  <c r="BU29" i="3"/>
  <c r="BW29" i="3"/>
  <c r="BX29" i="3"/>
  <c r="BY29" i="3"/>
  <c r="BU30" i="3"/>
  <c r="BW30" i="3"/>
  <c r="BX30" i="3"/>
  <c r="BY30" i="3"/>
  <c r="BU31" i="3"/>
  <c r="BW31" i="3"/>
  <c r="BX31" i="3"/>
  <c r="BY31" i="3"/>
  <c r="BU32" i="3"/>
  <c r="BW32" i="3"/>
  <c r="BX32" i="3"/>
  <c r="BY32" i="3"/>
  <c r="BU33" i="3"/>
  <c r="BW33" i="3"/>
  <c r="BX33" i="3"/>
  <c r="BY33" i="3"/>
  <c r="BU34" i="3"/>
  <c r="BW34" i="3"/>
  <c r="BX34" i="3"/>
  <c r="BY34" i="3"/>
  <c r="BU35" i="3"/>
  <c r="BW35" i="3"/>
  <c r="BX35" i="3"/>
  <c r="BY35" i="3"/>
  <c r="BU36" i="3"/>
  <c r="BW36" i="3"/>
  <c r="BX36" i="3"/>
  <c r="BY36" i="3"/>
  <c r="BU37" i="3"/>
  <c r="BW37" i="3"/>
  <c r="BX37" i="3"/>
  <c r="BY37" i="3"/>
  <c r="BU38" i="3"/>
  <c r="BW38" i="3"/>
  <c r="BX38" i="3"/>
  <c r="BY38" i="3"/>
  <c r="BU39" i="3"/>
  <c r="BW39" i="3"/>
  <c r="BX39" i="3"/>
  <c r="BY39" i="3"/>
  <c r="BU40" i="3"/>
  <c r="BW40" i="3"/>
  <c r="BX40" i="3"/>
  <c r="BY40" i="3"/>
  <c r="BU41" i="3"/>
  <c r="BW41" i="3"/>
  <c r="BX41" i="3"/>
  <c r="BY41" i="3"/>
  <c r="BU42" i="3"/>
  <c r="BW42" i="3"/>
  <c r="BX42" i="3"/>
  <c r="BY42" i="3"/>
  <c r="BU43" i="3"/>
  <c r="BW43" i="3"/>
  <c r="BX43" i="3"/>
  <c r="BY43" i="3"/>
  <c r="BU44" i="3"/>
  <c r="BW44" i="3"/>
  <c r="BX44" i="3"/>
  <c r="BY44" i="3"/>
  <c r="BU45" i="3"/>
  <c r="BW45" i="3"/>
  <c r="BX45" i="3"/>
  <c r="BY45" i="3"/>
  <c r="BU46" i="3"/>
  <c r="BW46" i="3"/>
  <c r="BX46" i="3"/>
  <c r="BY46" i="3"/>
  <c r="BU47" i="3"/>
  <c r="BW47" i="3"/>
  <c r="BX47" i="3"/>
  <c r="BY47" i="3"/>
  <c r="BU48" i="3"/>
  <c r="BW48" i="3"/>
  <c r="BX48" i="3"/>
  <c r="BY48" i="3"/>
  <c r="BU49" i="3"/>
  <c r="BW49" i="3"/>
  <c r="BX49" i="3"/>
  <c r="BY49" i="3"/>
  <c r="BU50" i="3"/>
  <c r="BW50" i="3"/>
  <c r="BX50" i="3"/>
  <c r="BY50" i="3"/>
  <c r="BU51" i="3"/>
  <c r="BW51" i="3"/>
  <c r="BX51" i="3"/>
  <c r="BY51" i="3"/>
  <c r="BU52" i="3"/>
  <c r="BW52" i="3"/>
  <c r="BX52" i="3"/>
  <c r="BY52" i="3"/>
  <c r="BU53" i="3"/>
  <c r="BW53" i="3"/>
  <c r="BX53" i="3"/>
  <c r="BY53" i="3"/>
  <c r="BU54" i="3"/>
  <c r="BW54" i="3"/>
  <c r="BX54" i="3"/>
  <c r="BY54" i="3"/>
  <c r="BU55" i="3"/>
  <c r="BW55" i="3"/>
  <c r="BX55" i="3"/>
  <c r="BY55" i="3"/>
  <c r="BU56" i="3"/>
  <c r="BW56" i="3"/>
  <c r="BX56" i="3"/>
  <c r="BY56" i="3"/>
  <c r="BU57" i="3"/>
  <c r="BW57" i="3"/>
  <c r="BX57" i="3"/>
  <c r="BY57" i="3"/>
  <c r="BU58" i="3"/>
  <c r="BW58" i="3"/>
  <c r="BX58" i="3"/>
  <c r="BY58" i="3"/>
  <c r="BU59" i="3"/>
  <c r="BW59" i="3"/>
  <c r="BX59" i="3"/>
  <c r="BY59" i="3"/>
  <c r="BU60" i="3"/>
  <c r="BW60" i="3"/>
  <c r="BX60" i="3"/>
  <c r="BY60" i="3"/>
  <c r="BU61" i="3"/>
  <c r="BW61" i="3"/>
  <c r="BX61" i="3"/>
  <c r="BY61" i="3"/>
  <c r="BU62" i="3"/>
  <c r="BW62" i="3"/>
  <c r="BX62" i="3"/>
  <c r="BY62" i="3"/>
  <c r="BU63" i="3"/>
  <c r="BW63" i="3"/>
  <c r="BX63" i="3"/>
  <c r="BY63" i="3"/>
  <c r="BU64" i="3"/>
  <c r="BW64" i="3"/>
  <c r="BX64" i="3"/>
  <c r="BY64" i="3"/>
  <c r="BU65" i="3"/>
  <c r="BW65" i="3"/>
  <c r="BX65" i="3"/>
  <c r="BY65" i="3"/>
  <c r="BU66" i="3"/>
  <c r="BW66" i="3"/>
  <c r="BX66" i="3"/>
  <c r="BY66" i="3"/>
  <c r="BU67" i="3"/>
  <c r="BW67" i="3"/>
  <c r="BX67" i="3"/>
  <c r="BY67" i="3"/>
  <c r="BU68" i="3"/>
  <c r="BW68" i="3"/>
  <c r="BX68" i="3"/>
  <c r="BY68" i="3"/>
  <c r="BU69" i="3"/>
  <c r="BW69" i="3"/>
  <c r="BX69" i="3"/>
  <c r="BY69" i="3"/>
  <c r="BU70" i="3"/>
  <c r="BW70" i="3"/>
  <c r="BX70" i="3"/>
  <c r="BY70" i="3"/>
  <c r="BU71" i="3"/>
  <c r="BW71" i="3"/>
  <c r="BX71" i="3"/>
  <c r="BY71" i="3"/>
  <c r="BU72" i="3"/>
  <c r="BW72" i="3"/>
  <c r="BX72" i="3"/>
  <c r="BY72" i="3"/>
  <c r="BU73" i="3"/>
  <c r="BW73" i="3"/>
  <c r="BX73" i="3"/>
  <c r="BY73" i="3"/>
  <c r="BU74" i="3"/>
  <c r="BW74" i="3"/>
  <c r="BX74" i="3"/>
  <c r="BY74" i="3"/>
  <c r="BU75" i="3"/>
  <c r="BW75" i="3"/>
  <c r="BX75" i="3"/>
  <c r="BY75" i="3"/>
  <c r="BU76" i="3"/>
  <c r="BW76" i="3"/>
  <c r="BX76" i="3"/>
  <c r="BY76" i="3"/>
  <c r="BU77" i="3"/>
  <c r="BW77" i="3"/>
  <c r="BX77" i="3"/>
  <c r="BY77" i="3"/>
  <c r="BU78" i="3"/>
  <c r="BW78" i="3"/>
  <c r="BX78" i="3"/>
  <c r="BY78" i="3"/>
  <c r="BU79" i="3"/>
  <c r="BW79" i="3"/>
  <c r="BX79" i="3"/>
  <c r="BY79" i="3"/>
  <c r="BU80" i="3"/>
  <c r="BW80" i="3"/>
  <c r="BX80" i="3"/>
  <c r="BY80" i="3"/>
  <c r="BU81" i="3"/>
  <c r="BW81" i="3"/>
  <c r="BX81" i="3"/>
  <c r="BY81" i="3"/>
  <c r="BU82" i="3"/>
  <c r="BW82" i="3"/>
  <c r="BX82" i="3"/>
  <c r="BY82" i="3"/>
  <c r="BU83" i="3"/>
  <c r="BW83" i="3"/>
  <c r="BX83" i="3"/>
  <c r="BY83" i="3"/>
  <c r="BU84" i="3"/>
  <c r="BW84" i="3"/>
  <c r="BX84" i="3"/>
  <c r="BY84" i="3"/>
  <c r="BU85" i="3"/>
  <c r="BW85" i="3"/>
  <c r="BX85" i="3"/>
  <c r="BY85" i="3"/>
  <c r="BU86" i="3"/>
  <c r="BW86" i="3"/>
  <c r="BX86" i="3"/>
  <c r="BY86" i="3"/>
  <c r="BU87" i="3"/>
  <c r="BW87" i="3"/>
  <c r="BX87" i="3"/>
  <c r="BY87" i="3"/>
  <c r="BU88" i="3"/>
  <c r="BW88" i="3"/>
  <c r="BX88" i="3"/>
  <c r="BY88" i="3"/>
  <c r="BU89" i="3"/>
  <c r="BW89" i="3"/>
  <c r="BX89" i="3"/>
  <c r="BY89" i="3"/>
  <c r="BU90" i="3"/>
  <c r="BW90" i="3"/>
  <c r="BX90" i="3"/>
  <c r="BY90" i="3"/>
  <c r="BU91" i="3"/>
  <c r="BW91" i="3"/>
  <c r="BX91" i="3"/>
  <c r="BY91" i="3"/>
  <c r="BU92" i="3"/>
  <c r="BW92" i="3"/>
  <c r="BX92" i="3"/>
  <c r="BY92" i="3"/>
  <c r="BU93" i="3"/>
  <c r="BW93" i="3"/>
  <c r="BX93" i="3"/>
  <c r="BY93" i="3"/>
  <c r="BU94" i="3"/>
  <c r="BW94" i="3"/>
  <c r="BX94" i="3"/>
  <c r="BY94" i="3"/>
  <c r="BU95" i="3"/>
  <c r="BW95" i="3"/>
  <c r="BX95" i="3"/>
  <c r="BY95" i="3"/>
  <c r="BU96" i="3"/>
  <c r="BW96" i="3"/>
  <c r="BX96" i="3"/>
  <c r="BY96" i="3"/>
  <c r="BU97" i="3"/>
  <c r="BW97" i="3"/>
  <c r="BX97" i="3"/>
  <c r="BY97" i="3"/>
  <c r="BU98" i="3"/>
  <c r="BW98" i="3"/>
  <c r="BX98" i="3"/>
  <c r="BY98" i="3"/>
  <c r="BU99" i="3"/>
  <c r="BW99" i="3"/>
  <c r="BX99" i="3"/>
  <c r="BY99" i="3"/>
  <c r="BU100" i="3"/>
  <c r="BW100" i="3"/>
  <c r="BX100" i="3"/>
  <c r="BY100" i="3"/>
  <c r="BU101" i="3"/>
  <c r="BW101" i="3"/>
  <c r="BX101" i="3"/>
  <c r="BY101" i="3"/>
  <c r="BU102" i="3"/>
  <c r="BW102" i="3"/>
  <c r="BX102" i="3"/>
  <c r="BY102" i="3"/>
  <c r="BU103" i="3"/>
  <c r="BW103" i="3"/>
  <c r="BX103" i="3"/>
  <c r="BY103" i="3"/>
  <c r="BU104" i="3"/>
  <c r="BW104" i="3"/>
  <c r="BX104" i="3"/>
  <c r="BY104" i="3"/>
  <c r="BU105" i="3"/>
  <c r="BW105" i="3"/>
  <c r="BX105" i="3"/>
  <c r="BY105" i="3"/>
  <c r="BU106" i="3"/>
  <c r="BW106" i="3"/>
  <c r="BX106" i="3"/>
  <c r="BY106" i="3"/>
  <c r="BU107" i="3"/>
  <c r="BW107" i="3"/>
  <c r="BX107" i="3"/>
  <c r="BY107" i="3"/>
  <c r="BU108" i="3"/>
  <c r="BW108" i="3"/>
  <c r="BX108" i="3"/>
  <c r="BY108" i="3"/>
  <c r="BU109" i="3"/>
  <c r="BW109" i="3"/>
  <c r="BX109" i="3"/>
  <c r="BY109" i="3"/>
  <c r="BU110" i="3"/>
  <c r="BW110" i="3"/>
  <c r="BX110" i="3"/>
  <c r="BY110" i="3"/>
  <c r="BU111" i="3"/>
  <c r="BW111" i="3"/>
  <c r="BX111" i="3"/>
  <c r="BY111" i="3"/>
  <c r="BU112" i="3"/>
  <c r="BW112" i="3"/>
  <c r="BX112" i="3"/>
  <c r="BY112" i="3"/>
  <c r="BU113" i="3"/>
  <c r="BW113" i="3"/>
  <c r="BX113" i="3"/>
  <c r="BY113" i="3"/>
  <c r="BU114" i="3"/>
  <c r="BW114" i="3"/>
  <c r="BX114" i="3"/>
  <c r="BY114" i="3"/>
  <c r="BU115" i="3"/>
  <c r="BW115" i="3"/>
  <c r="BX115" i="3"/>
  <c r="BY115" i="3"/>
  <c r="BU116" i="3"/>
  <c r="BW116" i="3"/>
  <c r="BX116" i="3"/>
  <c r="BY116" i="3"/>
  <c r="BU117" i="3"/>
  <c r="BW117" i="3"/>
  <c r="BX117" i="3"/>
  <c r="BY117" i="3"/>
  <c r="BU118" i="3"/>
  <c r="BW118" i="3"/>
  <c r="BX118" i="3"/>
  <c r="BY118" i="3"/>
  <c r="BU119" i="3"/>
  <c r="BW119" i="3"/>
  <c r="BX119" i="3"/>
  <c r="BY119" i="3"/>
  <c r="BU120" i="3"/>
  <c r="BW120" i="3"/>
  <c r="BX120" i="3"/>
  <c r="BY120" i="3"/>
  <c r="BU121" i="3"/>
  <c r="BW121" i="3"/>
  <c r="BX121" i="3"/>
  <c r="BY121" i="3"/>
  <c r="BU122" i="3"/>
  <c r="BW122" i="3"/>
  <c r="BX122" i="3"/>
  <c r="BY122" i="3"/>
  <c r="BU123" i="3"/>
  <c r="BW123" i="3"/>
  <c r="BX123" i="3"/>
  <c r="BY123" i="3"/>
  <c r="BU124" i="3"/>
  <c r="BW124" i="3"/>
  <c r="BX124" i="3"/>
  <c r="BY124" i="3"/>
  <c r="BU125" i="3"/>
  <c r="BW125" i="3"/>
  <c r="BX125" i="3"/>
  <c r="BY125" i="3"/>
  <c r="BU126" i="3"/>
  <c r="BW126" i="3"/>
  <c r="BX126" i="3"/>
  <c r="BY126" i="3"/>
  <c r="BU127" i="3"/>
  <c r="BW127" i="3"/>
  <c r="BX127" i="3"/>
  <c r="BY127" i="3"/>
  <c r="BU128" i="3"/>
  <c r="BW128" i="3"/>
  <c r="BX128" i="3"/>
  <c r="BY128" i="3"/>
  <c r="BU129" i="3"/>
  <c r="BW129" i="3"/>
  <c r="BX129" i="3"/>
  <c r="BY129" i="3"/>
  <c r="BU130" i="3"/>
  <c r="BW130" i="3"/>
  <c r="BX130" i="3"/>
  <c r="BY130" i="3"/>
  <c r="BU131" i="3"/>
  <c r="BW131" i="3"/>
  <c r="BX131" i="3"/>
  <c r="BY131" i="3"/>
  <c r="BU132" i="3"/>
  <c r="BW132" i="3"/>
  <c r="BX132" i="3"/>
  <c r="BY132" i="3"/>
  <c r="BU133" i="3"/>
  <c r="BW133" i="3"/>
  <c r="BX133" i="3"/>
  <c r="BY133" i="3"/>
  <c r="BU134" i="3"/>
  <c r="BW134" i="3"/>
  <c r="BX134" i="3"/>
  <c r="BY134" i="3"/>
  <c r="BU135" i="3"/>
  <c r="BW135" i="3"/>
  <c r="BX135" i="3"/>
  <c r="BY135" i="3"/>
  <c r="BU136" i="3"/>
  <c r="BW136" i="3"/>
  <c r="BX136" i="3"/>
  <c r="BY136" i="3"/>
  <c r="BU137" i="3"/>
  <c r="BW137" i="3"/>
  <c r="BX137" i="3"/>
  <c r="BY137" i="3"/>
  <c r="BU138" i="3"/>
  <c r="BW138" i="3"/>
  <c r="BX138" i="3"/>
  <c r="BY138" i="3"/>
  <c r="BU139" i="3"/>
  <c r="BW139" i="3"/>
  <c r="BX139" i="3"/>
  <c r="BY139" i="3"/>
  <c r="BU140" i="3"/>
  <c r="BW140" i="3"/>
  <c r="BX140" i="3"/>
  <c r="BY140" i="3"/>
  <c r="BU141" i="3"/>
  <c r="BW141" i="3"/>
  <c r="BX141" i="3"/>
  <c r="BY141" i="3"/>
  <c r="BU142" i="3"/>
  <c r="BW142" i="3"/>
  <c r="BX142" i="3"/>
  <c r="BY142" i="3"/>
  <c r="BU143" i="3"/>
  <c r="BW143" i="3"/>
  <c r="BX143" i="3"/>
  <c r="BY143" i="3"/>
  <c r="BU144" i="3"/>
  <c r="BW144" i="3"/>
  <c r="BX144" i="3"/>
  <c r="BY144" i="3"/>
  <c r="BU145" i="3"/>
  <c r="BW145" i="3"/>
  <c r="BX145" i="3"/>
  <c r="BY145" i="3"/>
  <c r="BU146" i="3"/>
  <c r="BW146" i="3"/>
  <c r="BX146" i="3"/>
  <c r="BY146" i="3"/>
  <c r="BU147" i="3"/>
  <c r="BW147" i="3"/>
  <c r="BX147" i="3"/>
  <c r="BY147" i="3"/>
  <c r="BU148" i="3"/>
  <c r="BW148" i="3"/>
  <c r="BX148" i="3"/>
  <c r="BY148" i="3"/>
  <c r="BU149" i="3"/>
  <c r="BW149" i="3"/>
  <c r="BX149" i="3"/>
  <c r="BY149" i="3"/>
  <c r="BU150" i="3"/>
  <c r="BW150" i="3"/>
  <c r="BX150" i="3"/>
  <c r="BY150" i="3"/>
  <c r="BU151" i="3"/>
  <c r="BW151" i="3"/>
  <c r="BX151" i="3"/>
  <c r="BY151" i="3"/>
  <c r="BU152" i="3"/>
  <c r="BW152" i="3"/>
  <c r="BX152" i="3"/>
  <c r="BY152" i="3"/>
  <c r="BU153" i="3"/>
  <c r="BW153" i="3"/>
  <c r="BX153" i="3"/>
  <c r="BY153" i="3"/>
  <c r="BU154" i="3"/>
  <c r="BW154" i="3"/>
  <c r="BX154" i="3"/>
  <c r="BY154" i="3"/>
  <c r="BU155" i="3"/>
  <c r="BW155" i="3"/>
  <c r="BX155" i="3"/>
  <c r="BY155" i="3"/>
  <c r="BU156" i="3"/>
  <c r="BW156" i="3"/>
  <c r="BX156" i="3"/>
  <c r="BY156" i="3"/>
  <c r="BU157" i="3"/>
  <c r="BW157" i="3"/>
  <c r="BX157" i="3"/>
  <c r="BY157" i="3"/>
  <c r="BU158" i="3"/>
  <c r="BW158" i="3"/>
  <c r="BX158" i="3"/>
  <c r="BY158" i="3"/>
  <c r="BU159" i="3"/>
  <c r="BW159" i="3"/>
  <c r="BX159" i="3"/>
  <c r="BY159" i="3"/>
  <c r="BU160" i="3"/>
  <c r="BW160" i="3"/>
  <c r="BX160" i="3"/>
  <c r="BY160" i="3"/>
  <c r="BU161" i="3"/>
  <c r="BW161" i="3"/>
  <c r="BX161" i="3"/>
  <c r="BY161" i="3"/>
  <c r="BU162" i="3"/>
  <c r="BW162" i="3"/>
  <c r="BX162" i="3"/>
  <c r="BY162" i="3"/>
  <c r="BU163" i="3"/>
  <c r="BW163" i="3"/>
  <c r="BX163" i="3"/>
  <c r="BY163" i="3"/>
  <c r="BU164" i="3"/>
  <c r="BW164" i="3"/>
  <c r="BX164" i="3"/>
  <c r="BY164" i="3"/>
  <c r="BU165" i="3"/>
  <c r="BW165" i="3"/>
  <c r="BX165" i="3"/>
  <c r="BY165" i="3"/>
  <c r="BU166" i="3"/>
  <c r="BW166" i="3"/>
  <c r="BX166" i="3"/>
  <c r="BY166" i="3"/>
  <c r="BU167" i="3"/>
  <c r="BW167" i="3"/>
  <c r="BX167" i="3"/>
  <c r="BY167" i="3"/>
  <c r="BU168" i="3"/>
  <c r="BW168" i="3"/>
  <c r="BX168" i="3"/>
  <c r="BY168" i="3"/>
  <c r="BU169" i="3"/>
  <c r="BW169" i="3"/>
  <c r="BX169" i="3"/>
  <c r="BY169" i="3"/>
  <c r="BU170" i="3"/>
  <c r="BW170" i="3"/>
  <c r="BX170" i="3"/>
  <c r="BY170" i="3"/>
  <c r="BU171" i="3"/>
  <c r="BW171" i="3"/>
  <c r="BX171" i="3"/>
  <c r="BY171" i="3"/>
  <c r="BU172" i="3"/>
  <c r="BW172" i="3"/>
  <c r="BX172" i="3"/>
  <c r="BY172" i="3"/>
  <c r="BU173" i="3"/>
  <c r="BW173" i="3"/>
  <c r="BX173" i="3"/>
  <c r="BY173" i="3"/>
  <c r="BU174" i="3"/>
  <c r="BW174" i="3"/>
  <c r="BX174" i="3"/>
  <c r="BY174" i="3"/>
  <c r="BU175" i="3"/>
  <c r="BW175" i="3"/>
  <c r="BX175" i="3"/>
  <c r="BY175" i="3"/>
  <c r="BU176" i="3"/>
  <c r="BW176" i="3"/>
  <c r="BX176" i="3"/>
  <c r="BY176" i="3"/>
  <c r="BU177" i="3"/>
  <c r="BW177" i="3"/>
  <c r="BX177" i="3"/>
  <c r="BY177" i="3"/>
  <c r="BU178" i="3"/>
  <c r="BW178" i="3"/>
  <c r="BX178" i="3"/>
  <c r="BY178" i="3"/>
  <c r="BU179" i="3"/>
  <c r="BW179" i="3"/>
  <c r="BX179" i="3"/>
  <c r="BY179" i="3"/>
  <c r="BU180" i="3"/>
  <c r="BW180" i="3"/>
  <c r="BX180" i="3"/>
  <c r="BY180" i="3"/>
  <c r="BU181" i="3"/>
  <c r="BW181" i="3"/>
  <c r="BX181" i="3"/>
  <c r="BY181" i="3"/>
  <c r="BU182" i="3"/>
  <c r="BW182" i="3"/>
  <c r="BX182" i="3"/>
  <c r="BY182" i="3"/>
  <c r="BU183" i="3"/>
  <c r="BW183" i="3"/>
  <c r="BX183" i="3"/>
  <c r="BY183" i="3"/>
  <c r="BU184" i="3"/>
  <c r="BW184" i="3"/>
  <c r="BX184" i="3"/>
  <c r="BY184" i="3"/>
  <c r="BU185" i="3"/>
  <c r="BW185" i="3"/>
  <c r="BX185" i="3"/>
  <c r="BY185" i="3"/>
  <c r="BU186" i="3"/>
  <c r="BW186" i="3"/>
  <c r="BX186" i="3"/>
  <c r="BY186" i="3"/>
  <c r="BU187" i="3"/>
  <c r="BW187" i="3"/>
  <c r="BX187" i="3"/>
  <c r="BY187" i="3"/>
  <c r="BU188" i="3"/>
  <c r="BW188" i="3"/>
  <c r="BX188" i="3"/>
  <c r="BY188" i="3"/>
  <c r="BU189" i="3"/>
  <c r="BW189" i="3"/>
  <c r="BX189" i="3"/>
  <c r="BY189" i="3"/>
  <c r="BU190" i="3"/>
  <c r="BW190" i="3"/>
  <c r="BX190" i="3"/>
  <c r="BY190" i="3"/>
  <c r="BU191" i="3"/>
  <c r="BW191" i="3"/>
  <c r="BX191" i="3"/>
  <c r="BY191" i="3"/>
  <c r="BU192" i="3"/>
  <c r="BW192" i="3"/>
  <c r="BX192" i="3"/>
  <c r="BY192" i="3"/>
  <c r="BU193" i="3"/>
  <c r="BW193" i="3"/>
  <c r="BX193" i="3"/>
  <c r="BY193" i="3"/>
  <c r="BU194" i="3"/>
  <c r="BW194" i="3"/>
  <c r="BX194" i="3"/>
  <c r="BY194" i="3"/>
  <c r="BU195" i="3"/>
  <c r="BW195" i="3"/>
  <c r="BX195" i="3"/>
  <c r="BY195" i="3"/>
  <c r="BU196" i="3"/>
  <c r="BW196" i="3"/>
  <c r="BX196" i="3"/>
  <c r="BY196" i="3"/>
  <c r="BU197" i="3"/>
  <c r="BW197" i="3"/>
  <c r="BX197" i="3"/>
  <c r="BY197" i="3"/>
  <c r="BU198" i="3"/>
  <c r="BW198" i="3"/>
  <c r="BX198" i="3"/>
  <c r="BY198" i="3"/>
  <c r="BU199" i="3"/>
  <c r="BW199" i="3"/>
  <c r="BX199" i="3"/>
  <c r="BY199" i="3"/>
  <c r="BU200" i="3"/>
  <c r="BW200" i="3"/>
  <c r="BX200" i="3"/>
  <c r="BY200" i="3"/>
  <c r="BU201" i="3"/>
  <c r="BW201" i="3"/>
  <c r="BX201" i="3"/>
  <c r="BY201" i="3"/>
  <c r="BU202" i="3"/>
  <c r="BW202" i="3"/>
  <c r="BX202" i="3"/>
  <c r="BY202" i="3"/>
  <c r="BU203" i="3"/>
  <c r="BW203" i="3"/>
  <c r="BX203" i="3"/>
  <c r="BY203" i="3"/>
  <c r="BU204" i="3"/>
  <c r="BW204" i="3"/>
  <c r="BX204" i="3"/>
  <c r="BY204" i="3"/>
  <c r="BU205" i="3"/>
  <c r="BW205" i="3"/>
  <c r="BX205" i="3"/>
  <c r="BY205" i="3"/>
  <c r="BU206" i="3"/>
  <c r="BW206" i="3"/>
  <c r="BX206" i="3"/>
  <c r="BY206" i="3"/>
  <c r="BU207" i="3"/>
  <c r="BW207" i="3"/>
  <c r="BX207" i="3"/>
  <c r="BY207" i="3"/>
  <c r="BU208" i="3"/>
  <c r="BW208" i="3"/>
  <c r="BX208" i="3"/>
  <c r="BY208" i="3"/>
  <c r="BU209" i="3"/>
  <c r="BW209" i="3"/>
  <c r="BX209" i="3"/>
  <c r="BY209" i="3"/>
  <c r="BU210" i="3"/>
  <c r="BW210" i="3"/>
  <c r="BX210" i="3"/>
  <c r="BY210" i="3"/>
  <c r="BU211" i="3"/>
  <c r="BW211" i="3"/>
  <c r="BX211" i="3"/>
  <c r="BY211" i="3"/>
  <c r="BU212" i="3"/>
  <c r="BW212" i="3"/>
  <c r="BX212" i="3"/>
  <c r="BY212" i="3"/>
  <c r="BU213" i="3"/>
  <c r="BW213" i="3"/>
  <c r="BX213" i="3"/>
  <c r="BY213" i="3"/>
  <c r="BU214" i="3"/>
  <c r="BW214" i="3"/>
  <c r="BX214" i="3"/>
  <c r="BY214" i="3"/>
  <c r="BU215" i="3"/>
  <c r="BW215" i="3"/>
  <c r="BX215" i="3"/>
  <c r="BY215" i="3"/>
  <c r="BU216" i="3"/>
  <c r="BW216" i="3"/>
  <c r="BX216" i="3"/>
  <c r="BY216" i="3"/>
  <c r="BU217" i="3"/>
  <c r="BW217" i="3"/>
  <c r="BX217" i="3"/>
  <c r="BY217" i="3"/>
  <c r="BU218" i="3"/>
  <c r="BW218" i="3"/>
  <c r="BX218" i="3"/>
  <c r="BY218" i="3"/>
  <c r="BU219" i="3"/>
  <c r="BW219" i="3"/>
  <c r="BX219" i="3"/>
  <c r="BY219" i="3"/>
  <c r="BU220" i="3"/>
  <c r="BW220" i="3"/>
  <c r="BX220" i="3"/>
  <c r="BY220" i="3"/>
  <c r="BU221" i="3"/>
  <c r="BW221" i="3"/>
  <c r="BX221" i="3"/>
  <c r="BY221" i="3"/>
  <c r="BU222" i="3"/>
  <c r="BW222" i="3"/>
  <c r="BX222" i="3"/>
  <c r="BY222" i="3"/>
  <c r="BU223" i="3"/>
  <c r="BW223" i="3"/>
  <c r="BX223" i="3"/>
  <c r="BY223" i="3"/>
  <c r="BU224" i="3"/>
  <c r="BW224" i="3"/>
  <c r="BX224" i="3"/>
  <c r="BY224" i="3"/>
  <c r="BU225" i="3"/>
  <c r="BW225" i="3"/>
  <c r="BX225" i="3"/>
  <c r="BY225" i="3"/>
  <c r="BU226" i="3"/>
  <c r="BW226" i="3"/>
  <c r="BX226" i="3"/>
  <c r="BY226" i="3"/>
  <c r="BU227" i="3"/>
  <c r="BW227" i="3"/>
  <c r="BX227" i="3"/>
  <c r="BY227" i="3"/>
  <c r="BU228" i="3"/>
  <c r="BW228" i="3"/>
  <c r="BX228" i="3"/>
  <c r="BY228" i="3"/>
  <c r="BU229" i="3"/>
  <c r="BW229" i="3"/>
  <c r="BX229" i="3"/>
  <c r="BY229" i="3"/>
  <c r="BU230" i="3"/>
  <c r="BW230" i="3"/>
  <c r="BX230" i="3"/>
  <c r="BY230" i="3"/>
  <c r="BU231" i="3"/>
  <c r="BW231" i="3"/>
  <c r="BX231" i="3"/>
  <c r="BY231" i="3"/>
  <c r="BU232" i="3"/>
  <c r="BW232" i="3"/>
  <c r="BX232" i="3"/>
  <c r="BY232" i="3"/>
  <c r="BU233" i="3"/>
  <c r="BW233" i="3"/>
  <c r="BX233" i="3"/>
  <c r="BY233" i="3"/>
  <c r="BU234" i="3"/>
  <c r="BW234" i="3"/>
  <c r="BX234" i="3"/>
  <c r="BY234" i="3"/>
  <c r="BU235" i="3"/>
  <c r="BW235" i="3"/>
  <c r="BX235" i="3"/>
  <c r="BY235" i="3"/>
  <c r="BU236" i="3"/>
  <c r="BW236" i="3"/>
  <c r="BX236" i="3"/>
  <c r="BY236" i="3"/>
  <c r="BU237" i="3"/>
  <c r="BW237" i="3"/>
  <c r="BX237" i="3"/>
  <c r="BY237" i="3"/>
  <c r="BU238" i="3"/>
  <c r="BW238" i="3"/>
  <c r="BX238" i="3"/>
  <c r="BY238" i="3"/>
  <c r="BU239" i="3"/>
  <c r="BW239" i="3"/>
  <c r="BX239" i="3"/>
  <c r="BY239" i="3"/>
  <c r="BU240" i="3"/>
  <c r="BW240" i="3"/>
  <c r="BX240" i="3"/>
  <c r="BY240" i="3"/>
  <c r="BU241" i="3"/>
  <c r="BW241" i="3"/>
  <c r="BX241" i="3"/>
  <c r="BY241" i="3"/>
  <c r="BU242" i="3"/>
  <c r="BW242" i="3"/>
  <c r="BX242" i="3"/>
  <c r="BY242" i="3"/>
  <c r="BU243" i="3"/>
  <c r="BW243" i="3"/>
  <c r="BX243" i="3"/>
  <c r="BY243" i="3"/>
  <c r="BU244" i="3"/>
  <c r="BW244" i="3"/>
  <c r="BX244" i="3"/>
  <c r="BY244" i="3"/>
  <c r="BU245" i="3"/>
  <c r="BW245" i="3"/>
  <c r="BX245" i="3"/>
  <c r="BY245" i="3"/>
  <c r="BU246" i="3"/>
  <c r="BW246" i="3"/>
  <c r="BX246" i="3"/>
  <c r="BY246" i="3"/>
  <c r="BU247" i="3"/>
  <c r="BW247" i="3"/>
  <c r="BX247" i="3"/>
  <c r="BY247" i="3"/>
  <c r="BU248" i="3"/>
  <c r="BW248" i="3"/>
  <c r="BX248" i="3"/>
  <c r="BY248" i="3"/>
  <c r="BU249" i="3"/>
  <c r="BW249" i="3"/>
  <c r="BX249" i="3"/>
  <c r="BY249" i="3"/>
  <c r="BU250" i="3"/>
  <c r="BW250" i="3"/>
  <c r="BX250" i="3"/>
  <c r="BY250" i="3"/>
  <c r="BU251" i="3"/>
  <c r="BW251" i="3"/>
  <c r="BX251" i="3"/>
  <c r="BY251" i="3"/>
  <c r="BU252" i="3"/>
  <c r="BW252" i="3"/>
  <c r="BX252" i="3"/>
  <c r="BY252" i="3"/>
  <c r="BU253" i="3"/>
  <c r="BW253" i="3"/>
  <c r="BX253" i="3"/>
  <c r="BY253" i="3"/>
  <c r="BU254" i="3"/>
  <c r="BW254" i="3"/>
  <c r="BX254" i="3"/>
  <c r="BY254" i="3"/>
  <c r="BU255" i="3"/>
  <c r="BW255" i="3"/>
  <c r="BX255" i="3"/>
  <c r="BY255" i="3"/>
  <c r="BU256" i="3"/>
  <c r="BW256" i="3"/>
  <c r="BX256" i="3"/>
  <c r="BY256" i="3"/>
  <c r="BU257" i="3"/>
  <c r="BW257" i="3"/>
  <c r="BX257" i="3"/>
  <c r="BY257" i="3"/>
  <c r="BU258" i="3"/>
  <c r="BW258" i="3"/>
  <c r="BX258" i="3"/>
  <c r="BY258" i="3"/>
  <c r="BU259" i="3"/>
  <c r="BW259" i="3"/>
  <c r="BX259" i="3"/>
  <c r="BY259" i="3"/>
  <c r="BU260" i="3"/>
  <c r="BW260" i="3"/>
  <c r="BX260" i="3"/>
  <c r="BY260" i="3"/>
  <c r="BU261" i="3"/>
  <c r="BW261" i="3"/>
  <c r="BX261" i="3"/>
  <c r="BY261" i="3"/>
  <c r="BU262" i="3"/>
  <c r="BW262" i="3"/>
  <c r="BX262" i="3"/>
  <c r="BY262" i="3"/>
  <c r="BU263" i="3"/>
  <c r="BW263" i="3"/>
  <c r="BX263" i="3"/>
  <c r="BY263" i="3"/>
  <c r="BU264" i="3"/>
  <c r="BW264" i="3"/>
  <c r="BX264" i="3"/>
  <c r="BY264" i="3"/>
  <c r="BU265" i="3"/>
  <c r="BW265" i="3"/>
  <c r="BX265" i="3"/>
  <c r="BY265" i="3"/>
  <c r="BU266" i="3"/>
  <c r="BW266" i="3"/>
  <c r="BX266" i="3"/>
  <c r="BY266" i="3"/>
  <c r="BU267" i="3"/>
  <c r="BW267" i="3"/>
  <c r="BX267" i="3"/>
  <c r="BY267" i="3"/>
  <c r="BU268" i="3"/>
  <c r="BW268" i="3"/>
  <c r="BX268" i="3"/>
  <c r="BY268" i="3"/>
  <c r="BU269" i="3"/>
  <c r="BW269" i="3"/>
  <c r="BX269" i="3"/>
  <c r="BY269" i="3"/>
  <c r="BU270" i="3"/>
  <c r="BW270" i="3"/>
  <c r="BX270" i="3"/>
  <c r="BY270" i="3"/>
  <c r="BU271" i="3"/>
  <c r="BW271" i="3"/>
  <c r="BX271" i="3"/>
  <c r="BY271" i="3"/>
  <c r="BU272" i="3"/>
  <c r="BW272" i="3"/>
  <c r="BX272" i="3"/>
  <c r="BY272" i="3"/>
  <c r="BU273" i="3"/>
  <c r="BW273" i="3"/>
  <c r="BX273" i="3"/>
  <c r="BY273" i="3"/>
  <c r="BU274" i="3"/>
  <c r="BW274" i="3"/>
  <c r="BX274" i="3"/>
  <c r="BY274" i="3"/>
  <c r="BU275" i="3"/>
  <c r="BW275" i="3"/>
  <c r="BX275" i="3"/>
  <c r="BY275" i="3"/>
  <c r="BU276" i="3"/>
  <c r="BW276" i="3"/>
  <c r="BX276" i="3"/>
  <c r="BY276" i="3"/>
  <c r="BU277" i="3"/>
  <c r="BW277" i="3"/>
  <c r="BX277" i="3"/>
  <c r="BY277" i="3"/>
  <c r="BU278" i="3"/>
  <c r="BW278" i="3"/>
  <c r="BX278" i="3"/>
  <c r="BY278" i="3"/>
  <c r="BU279" i="3"/>
  <c r="BW279" i="3"/>
  <c r="BX279" i="3"/>
  <c r="BY279" i="3"/>
  <c r="BU280" i="3"/>
  <c r="BW280" i="3"/>
  <c r="BX280" i="3"/>
  <c r="BY280" i="3"/>
  <c r="BU281" i="3"/>
  <c r="BW281" i="3"/>
  <c r="BX281" i="3"/>
  <c r="BY281" i="3"/>
  <c r="BU282" i="3"/>
  <c r="BW282" i="3"/>
  <c r="BX282" i="3"/>
  <c r="BY282" i="3"/>
  <c r="BU283" i="3"/>
  <c r="BW283" i="3"/>
  <c r="BX283" i="3"/>
  <c r="BY283" i="3"/>
  <c r="BU284" i="3"/>
  <c r="BW284" i="3"/>
  <c r="BX284" i="3"/>
  <c r="BY284" i="3"/>
  <c r="BU285" i="3"/>
  <c r="BW285" i="3"/>
  <c r="BX285" i="3"/>
  <c r="BY285" i="3"/>
  <c r="BU286" i="3"/>
  <c r="BW286" i="3"/>
  <c r="BX286" i="3"/>
  <c r="BY286" i="3"/>
  <c r="BU287" i="3"/>
  <c r="BW287" i="3"/>
  <c r="BX287" i="3"/>
  <c r="BY287" i="3"/>
  <c r="BU288" i="3"/>
  <c r="BW288" i="3"/>
  <c r="BX288" i="3"/>
  <c r="BY288" i="3"/>
  <c r="BU289" i="3"/>
  <c r="BW289" i="3"/>
  <c r="BX289" i="3"/>
  <c r="BY289" i="3"/>
  <c r="BU290" i="3"/>
  <c r="BW290" i="3"/>
  <c r="BX290" i="3"/>
  <c r="BY290" i="3"/>
  <c r="BU291" i="3"/>
  <c r="BW291" i="3"/>
  <c r="BX291" i="3"/>
  <c r="BY291" i="3"/>
  <c r="BU292" i="3"/>
  <c r="BW292" i="3"/>
  <c r="BX292" i="3"/>
  <c r="BY292" i="3"/>
  <c r="BU293" i="3"/>
  <c r="BW293" i="3"/>
  <c r="BX293" i="3"/>
  <c r="BY293" i="3"/>
  <c r="BU294" i="3"/>
  <c r="BW294" i="3"/>
  <c r="BX294" i="3"/>
  <c r="BY294" i="3"/>
  <c r="BU295" i="3"/>
  <c r="BW295" i="3"/>
  <c r="BX295" i="3"/>
  <c r="BY295" i="3"/>
  <c r="BU296" i="3"/>
  <c r="BW296" i="3"/>
  <c r="BX296" i="3"/>
  <c r="BY296" i="3"/>
  <c r="BU297" i="3"/>
  <c r="BW297" i="3"/>
  <c r="BX297" i="3"/>
  <c r="BY297" i="3"/>
  <c r="BU298" i="3"/>
  <c r="BW298" i="3"/>
  <c r="BX298" i="3"/>
  <c r="BY298" i="3"/>
  <c r="BU299" i="3"/>
  <c r="BW299" i="3"/>
  <c r="BX299" i="3"/>
  <c r="BY299" i="3"/>
  <c r="BU300" i="3"/>
  <c r="BW300" i="3"/>
  <c r="BX300" i="3"/>
  <c r="BY300" i="3"/>
  <c r="BU301" i="3"/>
  <c r="BW301" i="3"/>
  <c r="BX301" i="3"/>
  <c r="BY301" i="3"/>
  <c r="BU302" i="3"/>
  <c r="BW302" i="3"/>
  <c r="BX302" i="3"/>
  <c r="BY302" i="3"/>
  <c r="BU303" i="3"/>
  <c r="BW303" i="3"/>
  <c r="BX303" i="3"/>
  <c r="BY303" i="3"/>
  <c r="BU304" i="3"/>
  <c r="BW304" i="3"/>
  <c r="BX304" i="3"/>
  <c r="BY304" i="3"/>
  <c r="BU305" i="3"/>
  <c r="BW305" i="3"/>
  <c r="BX305" i="3"/>
  <c r="BY305" i="3"/>
  <c r="BU306" i="3"/>
  <c r="BW306" i="3"/>
  <c r="BX306" i="3"/>
  <c r="BY306" i="3"/>
  <c r="BU307" i="3"/>
  <c r="BW307" i="3"/>
  <c r="BX307" i="3"/>
  <c r="BY307" i="3"/>
  <c r="BM307" i="3"/>
  <c r="BM308" i="3"/>
  <c r="BM309" i="3"/>
  <c r="BM310" i="3"/>
  <c r="BM311" i="3"/>
  <c r="BM312" i="3"/>
  <c r="BM313" i="3"/>
  <c r="BM314" i="3"/>
  <c r="BM315" i="3"/>
  <c r="BM316" i="3"/>
  <c r="BM317" i="3"/>
  <c r="BM318" i="3"/>
  <c r="BM319" i="3"/>
  <c r="BM320" i="3"/>
  <c r="BM321" i="3"/>
  <c r="BM322" i="3"/>
  <c r="BM323" i="3"/>
  <c r="BM324" i="3"/>
  <c r="BM325" i="3"/>
  <c r="BM326" i="3"/>
  <c r="BM327" i="3"/>
  <c r="BM328" i="3"/>
  <c r="BM329" i="3"/>
  <c r="BM330" i="3"/>
  <c r="BM331" i="3"/>
  <c r="BM332" i="3"/>
  <c r="BM333" i="3"/>
  <c r="BM334" i="3"/>
  <c r="BM335" i="3"/>
  <c r="BM336" i="3"/>
  <c r="BM337" i="3"/>
  <c r="BM338" i="3"/>
  <c r="BM339" i="3"/>
  <c r="BM340" i="3"/>
  <c r="BM341" i="3"/>
  <c r="BM342" i="3"/>
  <c r="BM343" i="3"/>
  <c r="BM344" i="3"/>
  <c r="BM345" i="3"/>
  <c r="BM346" i="3"/>
  <c r="BM347" i="3"/>
  <c r="BM348" i="3"/>
  <c r="BM349" i="3"/>
  <c r="BM350" i="3"/>
  <c r="BM351" i="3"/>
  <c r="BM352" i="3"/>
  <c r="BM353" i="3"/>
  <c r="BM354" i="3"/>
  <c r="BM355" i="3"/>
  <c r="BM356" i="3"/>
  <c r="BM357" i="3"/>
  <c r="BM358" i="3"/>
  <c r="BM359" i="3"/>
  <c r="BM360" i="3"/>
  <c r="BM361" i="3"/>
  <c r="BM362" i="3"/>
  <c r="BM363" i="3"/>
  <c r="BM364" i="3"/>
  <c r="BM365" i="3"/>
  <c r="BM366" i="3"/>
  <c r="BM367" i="3"/>
  <c r="BM368" i="3"/>
  <c r="BM369" i="3"/>
  <c r="BM370" i="3"/>
  <c r="BM371" i="3"/>
  <c r="BM372" i="3"/>
  <c r="BM373" i="3"/>
  <c r="BM374" i="3"/>
  <c r="BM375" i="3"/>
  <c r="BM376" i="3"/>
  <c r="BM377" i="3"/>
  <c r="BM378" i="3"/>
  <c r="BM379" i="3"/>
  <c r="BM380" i="3"/>
  <c r="BM381" i="3"/>
  <c r="BM382" i="3"/>
  <c r="BM383" i="3"/>
  <c r="BM384" i="3"/>
  <c r="BM385" i="3"/>
  <c r="BM386" i="3"/>
  <c r="BM387" i="3"/>
  <c r="BM388" i="3"/>
  <c r="BM389" i="3"/>
  <c r="BM390" i="3"/>
  <c r="BM391" i="3"/>
  <c r="BM392" i="3"/>
  <c r="BM393" i="3"/>
  <c r="BM394" i="3"/>
  <c r="BM395" i="3"/>
  <c r="BM396" i="3"/>
  <c r="BM397" i="3"/>
  <c r="BM398" i="3"/>
  <c r="BM399" i="3"/>
  <c r="BM400" i="3"/>
  <c r="BM401" i="3"/>
  <c r="BM402" i="3"/>
  <c r="BM403" i="3"/>
  <c r="BM404" i="3"/>
  <c r="BM405" i="3"/>
  <c r="BM406" i="3"/>
  <c r="BM407" i="3"/>
  <c r="BM408" i="3"/>
  <c r="BM409" i="3"/>
  <c r="BM410" i="3"/>
  <c r="BM411" i="3"/>
  <c r="BM412" i="3"/>
  <c r="BM413" i="3"/>
  <c r="BM414" i="3"/>
  <c r="BM415" i="3"/>
  <c r="BM416" i="3"/>
  <c r="BM417" i="3"/>
  <c r="BM418" i="3"/>
  <c r="BM419" i="3"/>
  <c r="BM420" i="3"/>
  <c r="BM421" i="3"/>
  <c r="BM422" i="3"/>
  <c r="BM423" i="3"/>
  <c r="BM424" i="3"/>
  <c r="BM425" i="3"/>
  <c r="BM426" i="3"/>
  <c r="BM427" i="3"/>
  <c r="BM428" i="3"/>
  <c r="BM429" i="3"/>
  <c r="BM430" i="3"/>
  <c r="BM431" i="3"/>
  <c r="BM432" i="3"/>
  <c r="BM433" i="3"/>
  <c r="BM434" i="3"/>
  <c r="BM435" i="3"/>
  <c r="BM436" i="3"/>
  <c r="BM437" i="3"/>
  <c r="BM438" i="3"/>
  <c r="BM439" i="3"/>
  <c r="BM440" i="3"/>
  <c r="BM441" i="3"/>
  <c r="BM442" i="3"/>
  <c r="BM443" i="3"/>
  <c r="BM444" i="3"/>
  <c r="BM445" i="3"/>
  <c r="BM446" i="3"/>
  <c r="BM447" i="3"/>
  <c r="BM448" i="3"/>
  <c r="BM449" i="3"/>
  <c r="BM450" i="3"/>
  <c r="BM451" i="3"/>
  <c r="BM452" i="3"/>
  <c r="BM453" i="3"/>
  <c r="BM454" i="3"/>
  <c r="BM455" i="3"/>
  <c r="BM456" i="3"/>
  <c r="BM457" i="3"/>
  <c r="BM458" i="3"/>
  <c r="BM459" i="3"/>
  <c r="BM460" i="3"/>
  <c r="BM461" i="3"/>
  <c r="BM462" i="3"/>
  <c r="BM463" i="3"/>
  <c r="BM464" i="3"/>
  <c r="BM465" i="3"/>
  <c r="BM466" i="3"/>
  <c r="BM467" i="3"/>
  <c r="BM468" i="3"/>
  <c r="BM469" i="3"/>
  <c r="BM470" i="3"/>
  <c r="BM471" i="3"/>
  <c r="BM472" i="3"/>
  <c r="BM473" i="3"/>
  <c r="BM474" i="3"/>
  <c r="BM475" i="3"/>
  <c r="BM476" i="3"/>
  <c r="BM477" i="3"/>
  <c r="BM478" i="3"/>
  <c r="BM479" i="3"/>
  <c r="BM480" i="3"/>
  <c r="BM481" i="3"/>
  <c r="BM482" i="3"/>
  <c r="BM483" i="3"/>
  <c r="BM484" i="3"/>
  <c r="BM485" i="3"/>
  <c r="BM486" i="3"/>
  <c r="BM487" i="3"/>
  <c r="BM488" i="3"/>
  <c r="BM489" i="3"/>
  <c r="BM490" i="3"/>
  <c r="BM491" i="3"/>
  <c r="BM492" i="3"/>
  <c r="BM493" i="3"/>
  <c r="BM494" i="3"/>
  <c r="BM495" i="3"/>
  <c r="BM496" i="3"/>
  <c r="BM497" i="3"/>
  <c r="BM498" i="3"/>
  <c r="BM499" i="3"/>
  <c r="BM500" i="3"/>
  <c r="BM501" i="3"/>
  <c r="BM502" i="3"/>
  <c r="BM503" i="3"/>
  <c r="BM504" i="3"/>
  <c r="BM505" i="3"/>
  <c r="BM506" i="3"/>
  <c r="BM507" i="3"/>
  <c r="BM508" i="3"/>
  <c r="BM509" i="3"/>
  <c r="BM510" i="3"/>
  <c r="BM511" i="3"/>
  <c r="BM512" i="3"/>
  <c r="BM513" i="3"/>
  <c r="BM514" i="3"/>
  <c r="BM515" i="3"/>
  <c r="BM516" i="3"/>
  <c r="BM517" i="3"/>
  <c r="BM518" i="3"/>
  <c r="BM519" i="3"/>
  <c r="BM520" i="3"/>
  <c r="BM521" i="3"/>
  <c r="BM522" i="3"/>
  <c r="BM523" i="3"/>
  <c r="BM524" i="3"/>
  <c r="BM525" i="3"/>
  <c r="BM526" i="3"/>
  <c r="BM527" i="3"/>
  <c r="BM528" i="3"/>
  <c r="BM529" i="3"/>
  <c r="BM530" i="3"/>
  <c r="BM531" i="3"/>
  <c r="BM532" i="3"/>
  <c r="BM533" i="3"/>
  <c r="BM534" i="3"/>
  <c r="BM535" i="3"/>
  <c r="BM536" i="3"/>
  <c r="BM537" i="3"/>
  <c r="BM538" i="3"/>
  <c r="BM539" i="3"/>
  <c r="BM540" i="3"/>
  <c r="BM541" i="3"/>
  <c r="BM542" i="3"/>
  <c r="BM543" i="3"/>
  <c r="BM544" i="3"/>
  <c r="BM545" i="3"/>
  <c r="BM546" i="3"/>
  <c r="BM547" i="3"/>
  <c r="BM548" i="3"/>
  <c r="BM549" i="3"/>
  <c r="BM550" i="3"/>
  <c r="BM551" i="3"/>
  <c r="BM552" i="3"/>
  <c r="BM553" i="3"/>
  <c r="BM554" i="3"/>
  <c r="BM555" i="3"/>
  <c r="BM556" i="3"/>
  <c r="BM557" i="3"/>
  <c r="BM558" i="3"/>
  <c r="BM559" i="3"/>
  <c r="BM560" i="3"/>
  <c r="BM561" i="3"/>
  <c r="BM562" i="3"/>
  <c r="BM563" i="3"/>
  <c r="BM564" i="3"/>
  <c r="BM565" i="3"/>
  <c r="BM566" i="3"/>
  <c r="BM567" i="3"/>
  <c r="BM568" i="3"/>
  <c r="BM569" i="3"/>
  <c r="BM570" i="3"/>
  <c r="BM571" i="3"/>
  <c r="BM572" i="3"/>
  <c r="BM573" i="3"/>
  <c r="BM574" i="3"/>
  <c r="BM575" i="3"/>
  <c r="BM576" i="3"/>
  <c r="BM577" i="3"/>
  <c r="BM578" i="3"/>
  <c r="BM579" i="3"/>
  <c r="BM580" i="3"/>
  <c r="BM581" i="3"/>
  <c r="BM582" i="3"/>
  <c r="BM583" i="3"/>
  <c r="BM584" i="3"/>
  <c r="BM585" i="3"/>
  <c r="BM586" i="3"/>
  <c r="BM587" i="3"/>
  <c r="BM588" i="3"/>
  <c r="BM589" i="3"/>
  <c r="BM590" i="3"/>
  <c r="BM591" i="3"/>
  <c r="BM592" i="3"/>
  <c r="BM593" i="3"/>
  <c r="BM594" i="3"/>
  <c r="BM595" i="3"/>
  <c r="BM596" i="3"/>
  <c r="BM597" i="3"/>
  <c r="BM598" i="3"/>
  <c r="BM599" i="3"/>
  <c r="BM600" i="3"/>
  <c r="BM601" i="3"/>
  <c r="BM602" i="3"/>
  <c r="BM603" i="3"/>
  <c r="BM604" i="3"/>
  <c r="BM605" i="3"/>
  <c r="BM606" i="3"/>
  <c r="BM8" i="3"/>
  <c r="BM9" i="3"/>
  <c r="BM10" i="3"/>
  <c r="BM11" i="3"/>
  <c r="BM12" i="3"/>
  <c r="BM13" i="3"/>
  <c r="BM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BM54" i="3"/>
  <c r="BM55" i="3"/>
  <c r="BM56" i="3"/>
  <c r="BM57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M76" i="3"/>
  <c r="BM77" i="3"/>
  <c r="BM78" i="3"/>
  <c r="BM79" i="3"/>
  <c r="BM80" i="3"/>
  <c r="BM81" i="3"/>
  <c r="BM82" i="3"/>
  <c r="BM83" i="3"/>
  <c r="BM84" i="3"/>
  <c r="BM85" i="3"/>
  <c r="BM86" i="3"/>
  <c r="BM87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1" i="3"/>
  <c r="BM122" i="3"/>
  <c r="BM123" i="3"/>
  <c r="BM124" i="3"/>
  <c r="BM125" i="3"/>
  <c r="BM126" i="3"/>
  <c r="BM127" i="3"/>
  <c r="BM128" i="3"/>
  <c r="BM129" i="3"/>
  <c r="BM130" i="3"/>
  <c r="BM131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44" i="3"/>
  <c r="BM145" i="3"/>
  <c r="BM146" i="3"/>
  <c r="BM147" i="3"/>
  <c r="BM148" i="3"/>
  <c r="BM149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M171" i="3"/>
  <c r="BM172" i="3"/>
  <c r="BM173" i="3"/>
  <c r="BM174" i="3"/>
  <c r="BM175" i="3"/>
  <c r="BM176" i="3"/>
  <c r="BM177" i="3"/>
  <c r="BM178" i="3"/>
  <c r="BM179" i="3"/>
  <c r="BM180" i="3"/>
  <c r="BM181" i="3"/>
  <c r="BM182" i="3"/>
  <c r="BM183" i="3"/>
  <c r="BM184" i="3"/>
  <c r="BM185" i="3"/>
  <c r="BM186" i="3"/>
  <c r="BM187" i="3"/>
  <c r="BM188" i="3"/>
  <c r="BM189" i="3"/>
  <c r="BM190" i="3"/>
  <c r="BM191" i="3"/>
  <c r="BM192" i="3"/>
  <c r="BM193" i="3"/>
  <c r="BM194" i="3"/>
  <c r="BM195" i="3"/>
  <c r="BM196" i="3"/>
  <c r="BM197" i="3"/>
  <c r="BM198" i="3"/>
  <c r="BM199" i="3"/>
  <c r="BM200" i="3"/>
  <c r="BM201" i="3"/>
  <c r="BM202" i="3"/>
  <c r="BM203" i="3"/>
  <c r="BM204" i="3"/>
  <c r="BM205" i="3"/>
  <c r="BM206" i="3"/>
  <c r="BM207" i="3"/>
  <c r="BM208" i="3"/>
  <c r="BM209" i="3"/>
  <c r="BM210" i="3"/>
  <c r="BM211" i="3"/>
  <c r="BM212" i="3"/>
  <c r="BM213" i="3"/>
  <c r="BM214" i="3"/>
  <c r="BM215" i="3"/>
  <c r="BM216" i="3"/>
  <c r="BM217" i="3"/>
  <c r="BM218" i="3"/>
  <c r="BM219" i="3"/>
  <c r="BM220" i="3"/>
  <c r="BM221" i="3"/>
  <c r="BM222" i="3"/>
  <c r="BM223" i="3"/>
  <c r="BM224" i="3"/>
  <c r="BM225" i="3"/>
  <c r="BM226" i="3"/>
  <c r="BM227" i="3"/>
  <c r="BM228" i="3"/>
  <c r="BM229" i="3"/>
  <c r="BM230" i="3"/>
  <c r="BM231" i="3"/>
  <c r="BM232" i="3"/>
  <c r="BM233" i="3"/>
  <c r="BM234" i="3"/>
  <c r="BM235" i="3"/>
  <c r="BM236" i="3"/>
  <c r="BM237" i="3"/>
  <c r="BM238" i="3"/>
  <c r="BM239" i="3"/>
  <c r="BM240" i="3"/>
  <c r="BM241" i="3"/>
  <c r="BM242" i="3"/>
  <c r="BM243" i="3"/>
  <c r="BM244" i="3"/>
  <c r="BM245" i="3"/>
  <c r="BM246" i="3"/>
  <c r="BM247" i="3"/>
  <c r="BM248" i="3"/>
  <c r="BM249" i="3"/>
  <c r="BM250" i="3"/>
  <c r="BM251" i="3"/>
  <c r="BM252" i="3"/>
  <c r="BM253" i="3"/>
  <c r="BM254" i="3"/>
  <c r="BM255" i="3"/>
  <c r="BM256" i="3"/>
  <c r="BM257" i="3"/>
  <c r="BM258" i="3"/>
  <c r="BM259" i="3"/>
  <c r="BM260" i="3"/>
  <c r="BM261" i="3"/>
  <c r="BM262" i="3"/>
  <c r="BM263" i="3"/>
  <c r="BM264" i="3"/>
  <c r="BM265" i="3"/>
  <c r="BM266" i="3"/>
  <c r="BM267" i="3"/>
  <c r="BM268" i="3"/>
  <c r="BM269" i="3"/>
  <c r="BM270" i="3"/>
  <c r="BM271" i="3"/>
  <c r="BM272" i="3"/>
  <c r="BM273" i="3"/>
  <c r="BM274" i="3"/>
  <c r="BM275" i="3"/>
  <c r="BM276" i="3"/>
  <c r="BM277" i="3"/>
  <c r="BM278" i="3"/>
  <c r="BM279" i="3"/>
  <c r="BM280" i="3"/>
  <c r="BM281" i="3"/>
  <c r="BM282" i="3"/>
  <c r="BM283" i="3"/>
  <c r="BM284" i="3"/>
  <c r="BM285" i="3"/>
  <c r="BM286" i="3"/>
  <c r="BM287" i="3"/>
  <c r="BM288" i="3"/>
  <c r="BM289" i="3"/>
  <c r="BM290" i="3"/>
  <c r="BM291" i="3"/>
  <c r="BM292" i="3"/>
  <c r="BM293" i="3"/>
  <c r="BM294" i="3"/>
  <c r="BM295" i="3"/>
  <c r="BM296" i="3"/>
  <c r="BM297" i="3"/>
  <c r="BM298" i="3"/>
  <c r="BM299" i="3"/>
  <c r="BM300" i="3"/>
  <c r="BM301" i="3"/>
  <c r="BM302" i="3"/>
  <c r="BM303" i="3"/>
  <c r="BM304" i="3"/>
  <c r="BM305" i="3"/>
  <c r="BM306" i="3"/>
  <c r="BF606" i="3"/>
  <c r="BG606" i="3"/>
  <c r="BF604" i="3"/>
  <c r="BG604" i="3"/>
  <c r="BF605" i="3"/>
  <c r="BG605" i="3"/>
  <c r="BF308" i="3"/>
  <c r="BG308" i="3"/>
  <c r="BF309" i="3"/>
  <c r="BG309" i="3"/>
  <c r="BF310" i="3"/>
  <c r="BG310" i="3"/>
  <c r="BF311" i="3"/>
  <c r="BG311" i="3"/>
  <c r="BF312" i="3"/>
  <c r="BG312" i="3"/>
  <c r="BF313" i="3"/>
  <c r="BG313" i="3"/>
  <c r="BF314" i="3"/>
  <c r="BG314" i="3"/>
  <c r="BF315" i="3"/>
  <c r="BG315" i="3"/>
  <c r="BF316" i="3"/>
  <c r="BG316" i="3"/>
  <c r="BF317" i="3"/>
  <c r="BG317" i="3"/>
  <c r="BF318" i="3"/>
  <c r="BG318" i="3"/>
  <c r="BF319" i="3"/>
  <c r="BG319" i="3"/>
  <c r="BF320" i="3"/>
  <c r="BG320" i="3"/>
  <c r="BF321" i="3"/>
  <c r="BG321" i="3"/>
  <c r="BF322" i="3"/>
  <c r="BG322" i="3"/>
  <c r="BF323" i="3"/>
  <c r="BG323" i="3"/>
  <c r="BF324" i="3"/>
  <c r="BG324" i="3"/>
  <c r="BF325" i="3"/>
  <c r="BG325" i="3"/>
  <c r="BF326" i="3"/>
  <c r="BG326" i="3"/>
  <c r="BF327" i="3"/>
  <c r="BG327" i="3"/>
  <c r="BF328" i="3"/>
  <c r="BG328" i="3"/>
  <c r="BF329" i="3"/>
  <c r="BG329" i="3"/>
  <c r="BF330" i="3"/>
  <c r="BG330" i="3"/>
  <c r="BF331" i="3"/>
  <c r="BG331" i="3"/>
  <c r="BF332" i="3"/>
  <c r="BG332" i="3"/>
  <c r="BF333" i="3"/>
  <c r="BG333" i="3"/>
  <c r="BF334" i="3"/>
  <c r="BG334" i="3"/>
  <c r="BF335" i="3"/>
  <c r="BG335" i="3"/>
  <c r="BF336" i="3"/>
  <c r="BG336" i="3"/>
  <c r="BF337" i="3"/>
  <c r="BG337" i="3"/>
  <c r="BF338" i="3"/>
  <c r="BG338" i="3"/>
  <c r="BF339" i="3"/>
  <c r="BG339" i="3"/>
  <c r="BF340" i="3"/>
  <c r="BG340" i="3"/>
  <c r="BF341" i="3"/>
  <c r="BG341" i="3"/>
  <c r="BF342" i="3"/>
  <c r="BG342" i="3"/>
  <c r="BF343" i="3"/>
  <c r="BG343" i="3"/>
  <c r="BF344" i="3"/>
  <c r="BG344" i="3"/>
  <c r="BF345" i="3"/>
  <c r="BG345" i="3"/>
  <c r="BF346" i="3"/>
  <c r="BG346" i="3"/>
  <c r="BF347" i="3"/>
  <c r="BG347" i="3"/>
  <c r="BF348" i="3"/>
  <c r="BG348" i="3"/>
  <c r="BF349" i="3"/>
  <c r="BG349" i="3"/>
  <c r="BF350" i="3"/>
  <c r="BG350" i="3"/>
  <c r="BF351" i="3"/>
  <c r="BG351" i="3"/>
  <c r="BF352" i="3"/>
  <c r="BG352" i="3"/>
  <c r="BF353" i="3"/>
  <c r="BG353" i="3"/>
  <c r="BF354" i="3"/>
  <c r="BG354" i="3"/>
  <c r="BF355" i="3"/>
  <c r="BG355" i="3"/>
  <c r="BF356" i="3"/>
  <c r="BG356" i="3"/>
  <c r="BF357" i="3"/>
  <c r="BG357" i="3"/>
  <c r="BF358" i="3"/>
  <c r="BG358" i="3"/>
  <c r="BF359" i="3"/>
  <c r="BG359" i="3"/>
  <c r="BF360" i="3"/>
  <c r="BG360" i="3"/>
  <c r="BF361" i="3"/>
  <c r="BG361" i="3"/>
  <c r="BF362" i="3"/>
  <c r="BG362" i="3"/>
  <c r="BF363" i="3"/>
  <c r="BG363" i="3"/>
  <c r="BF364" i="3"/>
  <c r="BG364" i="3"/>
  <c r="BF365" i="3"/>
  <c r="BG365" i="3"/>
  <c r="BF366" i="3"/>
  <c r="BG366" i="3"/>
  <c r="BF367" i="3"/>
  <c r="BG367" i="3"/>
  <c r="BF368" i="3"/>
  <c r="BG368" i="3"/>
  <c r="BF369" i="3"/>
  <c r="BG369" i="3"/>
  <c r="BF370" i="3"/>
  <c r="BG370" i="3"/>
  <c r="BF371" i="3"/>
  <c r="BG371" i="3"/>
  <c r="BF372" i="3"/>
  <c r="BG372" i="3"/>
  <c r="BF373" i="3"/>
  <c r="BG373" i="3"/>
  <c r="BF374" i="3"/>
  <c r="BG374" i="3"/>
  <c r="BF375" i="3"/>
  <c r="BG375" i="3"/>
  <c r="BF376" i="3"/>
  <c r="BG376" i="3"/>
  <c r="BF377" i="3"/>
  <c r="BG377" i="3"/>
  <c r="BF378" i="3"/>
  <c r="BG378" i="3"/>
  <c r="BF379" i="3"/>
  <c r="BG379" i="3"/>
  <c r="BF380" i="3"/>
  <c r="BG380" i="3"/>
  <c r="BF381" i="3"/>
  <c r="BG381" i="3"/>
  <c r="BF382" i="3"/>
  <c r="BG382" i="3"/>
  <c r="BF383" i="3"/>
  <c r="BG383" i="3"/>
  <c r="BF384" i="3"/>
  <c r="BG384" i="3"/>
  <c r="BF385" i="3"/>
  <c r="BG385" i="3"/>
  <c r="BF386" i="3"/>
  <c r="BG386" i="3"/>
  <c r="BF387" i="3"/>
  <c r="BG387" i="3"/>
  <c r="BF388" i="3"/>
  <c r="BG388" i="3"/>
  <c r="BF389" i="3"/>
  <c r="BG389" i="3"/>
  <c r="BF390" i="3"/>
  <c r="BG390" i="3"/>
  <c r="BF391" i="3"/>
  <c r="BG391" i="3"/>
  <c r="BF392" i="3"/>
  <c r="BG392" i="3"/>
  <c r="BF393" i="3"/>
  <c r="BG393" i="3"/>
  <c r="BF394" i="3"/>
  <c r="BG394" i="3"/>
  <c r="BF395" i="3"/>
  <c r="BG395" i="3"/>
  <c r="BF396" i="3"/>
  <c r="BG396" i="3"/>
  <c r="BF397" i="3"/>
  <c r="BG397" i="3"/>
  <c r="BF398" i="3"/>
  <c r="BG398" i="3"/>
  <c r="BF399" i="3"/>
  <c r="BG399" i="3"/>
  <c r="BF400" i="3"/>
  <c r="BG400" i="3"/>
  <c r="BF401" i="3"/>
  <c r="BG401" i="3"/>
  <c r="BF402" i="3"/>
  <c r="BG402" i="3"/>
  <c r="BF403" i="3"/>
  <c r="BG403" i="3"/>
  <c r="BF404" i="3"/>
  <c r="BG404" i="3"/>
  <c r="BF405" i="3"/>
  <c r="BG405" i="3"/>
  <c r="BF406" i="3"/>
  <c r="BG406" i="3"/>
  <c r="BF407" i="3"/>
  <c r="BG407" i="3"/>
  <c r="BF408" i="3"/>
  <c r="BG408" i="3"/>
  <c r="BF409" i="3"/>
  <c r="BG409" i="3"/>
  <c r="BF410" i="3"/>
  <c r="BG410" i="3"/>
  <c r="BF411" i="3"/>
  <c r="BG411" i="3"/>
  <c r="BF412" i="3"/>
  <c r="BG412" i="3"/>
  <c r="BF413" i="3"/>
  <c r="BG413" i="3"/>
  <c r="BF414" i="3"/>
  <c r="BG414" i="3"/>
  <c r="BF415" i="3"/>
  <c r="BG415" i="3"/>
  <c r="BF416" i="3"/>
  <c r="BG416" i="3"/>
  <c r="BF417" i="3"/>
  <c r="BG417" i="3"/>
  <c r="BF418" i="3"/>
  <c r="BG418" i="3"/>
  <c r="BF419" i="3"/>
  <c r="BG419" i="3"/>
  <c r="BF420" i="3"/>
  <c r="BG420" i="3"/>
  <c r="BF421" i="3"/>
  <c r="BG421" i="3"/>
  <c r="BF422" i="3"/>
  <c r="BG422" i="3"/>
  <c r="BF423" i="3"/>
  <c r="BG423" i="3"/>
  <c r="BF424" i="3"/>
  <c r="BG424" i="3"/>
  <c r="BF425" i="3"/>
  <c r="BG425" i="3"/>
  <c r="BF426" i="3"/>
  <c r="BG426" i="3"/>
  <c r="BF427" i="3"/>
  <c r="BG427" i="3"/>
  <c r="BF428" i="3"/>
  <c r="BG428" i="3"/>
  <c r="BF429" i="3"/>
  <c r="BG429" i="3"/>
  <c r="BF430" i="3"/>
  <c r="BG430" i="3"/>
  <c r="BF431" i="3"/>
  <c r="BG431" i="3"/>
  <c r="BF432" i="3"/>
  <c r="BG432" i="3"/>
  <c r="BF433" i="3"/>
  <c r="BG433" i="3"/>
  <c r="BF434" i="3"/>
  <c r="BG434" i="3"/>
  <c r="BF435" i="3"/>
  <c r="BG435" i="3"/>
  <c r="BF436" i="3"/>
  <c r="BG436" i="3"/>
  <c r="BF437" i="3"/>
  <c r="BG437" i="3"/>
  <c r="BF438" i="3"/>
  <c r="BG438" i="3"/>
  <c r="BF439" i="3"/>
  <c r="BG439" i="3"/>
  <c r="BF440" i="3"/>
  <c r="BG440" i="3"/>
  <c r="BF441" i="3"/>
  <c r="BG441" i="3"/>
  <c r="BF442" i="3"/>
  <c r="BG442" i="3"/>
  <c r="BF443" i="3"/>
  <c r="BG443" i="3"/>
  <c r="BF444" i="3"/>
  <c r="BG444" i="3"/>
  <c r="BF445" i="3"/>
  <c r="BG445" i="3"/>
  <c r="BF446" i="3"/>
  <c r="BG446" i="3"/>
  <c r="BF447" i="3"/>
  <c r="BG447" i="3"/>
  <c r="BF448" i="3"/>
  <c r="BG448" i="3"/>
  <c r="BF449" i="3"/>
  <c r="BG449" i="3"/>
  <c r="BF450" i="3"/>
  <c r="BG450" i="3"/>
  <c r="BF451" i="3"/>
  <c r="BG451" i="3"/>
  <c r="BF452" i="3"/>
  <c r="BG452" i="3"/>
  <c r="BF453" i="3"/>
  <c r="BG453" i="3"/>
  <c r="BF454" i="3"/>
  <c r="BG454" i="3"/>
  <c r="BF455" i="3"/>
  <c r="BG455" i="3"/>
  <c r="BF456" i="3"/>
  <c r="BG456" i="3"/>
  <c r="BF457" i="3"/>
  <c r="BG457" i="3"/>
  <c r="BF458" i="3"/>
  <c r="BG458" i="3"/>
  <c r="BF459" i="3"/>
  <c r="BG459" i="3"/>
  <c r="BF460" i="3"/>
  <c r="BG460" i="3"/>
  <c r="BF461" i="3"/>
  <c r="BG461" i="3"/>
  <c r="BF462" i="3"/>
  <c r="BG462" i="3"/>
  <c r="BF463" i="3"/>
  <c r="BG463" i="3"/>
  <c r="BF464" i="3"/>
  <c r="BG464" i="3"/>
  <c r="BF465" i="3"/>
  <c r="BG465" i="3"/>
  <c r="BF466" i="3"/>
  <c r="BG466" i="3"/>
  <c r="BF467" i="3"/>
  <c r="BG467" i="3"/>
  <c r="BF468" i="3"/>
  <c r="BG468" i="3"/>
  <c r="BF469" i="3"/>
  <c r="BG469" i="3"/>
  <c r="BF470" i="3"/>
  <c r="BG470" i="3"/>
  <c r="BF471" i="3"/>
  <c r="BG471" i="3"/>
  <c r="BF472" i="3"/>
  <c r="BG472" i="3"/>
  <c r="BF473" i="3"/>
  <c r="BG473" i="3"/>
  <c r="BF474" i="3"/>
  <c r="BG474" i="3"/>
  <c r="BF475" i="3"/>
  <c r="BG475" i="3"/>
  <c r="BF476" i="3"/>
  <c r="BG476" i="3"/>
  <c r="BF477" i="3"/>
  <c r="BG477" i="3"/>
  <c r="BF478" i="3"/>
  <c r="BG478" i="3"/>
  <c r="BF479" i="3"/>
  <c r="BG479" i="3"/>
  <c r="BF480" i="3"/>
  <c r="BG480" i="3"/>
  <c r="BF481" i="3"/>
  <c r="BG481" i="3"/>
  <c r="BF482" i="3"/>
  <c r="BG482" i="3"/>
  <c r="BF483" i="3"/>
  <c r="BG483" i="3"/>
  <c r="BF484" i="3"/>
  <c r="BG484" i="3"/>
  <c r="BF485" i="3"/>
  <c r="BG485" i="3"/>
  <c r="BF486" i="3"/>
  <c r="BG486" i="3"/>
  <c r="BF487" i="3"/>
  <c r="BG487" i="3"/>
  <c r="BF488" i="3"/>
  <c r="BG488" i="3"/>
  <c r="BF489" i="3"/>
  <c r="BG489" i="3"/>
  <c r="BF490" i="3"/>
  <c r="BG490" i="3"/>
  <c r="BF491" i="3"/>
  <c r="BG491" i="3"/>
  <c r="BF492" i="3"/>
  <c r="BG492" i="3"/>
  <c r="BF493" i="3"/>
  <c r="BG493" i="3"/>
  <c r="BF494" i="3"/>
  <c r="BG494" i="3"/>
  <c r="BF495" i="3"/>
  <c r="BG495" i="3"/>
  <c r="BF496" i="3"/>
  <c r="BG496" i="3"/>
  <c r="BF497" i="3"/>
  <c r="BG497" i="3"/>
  <c r="BF498" i="3"/>
  <c r="BG498" i="3"/>
  <c r="BF499" i="3"/>
  <c r="BG499" i="3"/>
  <c r="BF500" i="3"/>
  <c r="BG500" i="3"/>
  <c r="BF501" i="3"/>
  <c r="BG501" i="3"/>
  <c r="BF502" i="3"/>
  <c r="BG502" i="3"/>
  <c r="BF503" i="3"/>
  <c r="BG503" i="3"/>
  <c r="BF504" i="3"/>
  <c r="BG504" i="3"/>
  <c r="BF505" i="3"/>
  <c r="BG505" i="3"/>
  <c r="BF506" i="3"/>
  <c r="BG506" i="3"/>
  <c r="BF507" i="3"/>
  <c r="BG507" i="3"/>
  <c r="BF508" i="3"/>
  <c r="BG508" i="3"/>
  <c r="BF509" i="3"/>
  <c r="BG509" i="3"/>
  <c r="BF510" i="3"/>
  <c r="BG510" i="3"/>
  <c r="BF511" i="3"/>
  <c r="BG511" i="3"/>
  <c r="BF512" i="3"/>
  <c r="BG512" i="3"/>
  <c r="BF513" i="3"/>
  <c r="BG513" i="3"/>
  <c r="BF514" i="3"/>
  <c r="BG514" i="3"/>
  <c r="BF515" i="3"/>
  <c r="BG515" i="3"/>
  <c r="BF516" i="3"/>
  <c r="BG516" i="3"/>
  <c r="BF517" i="3"/>
  <c r="BG517" i="3"/>
  <c r="BF518" i="3"/>
  <c r="BG518" i="3"/>
  <c r="BF519" i="3"/>
  <c r="BG519" i="3"/>
  <c r="BF520" i="3"/>
  <c r="BG520" i="3"/>
  <c r="BF521" i="3"/>
  <c r="BG521" i="3"/>
  <c r="BF522" i="3"/>
  <c r="BG522" i="3"/>
  <c r="BF523" i="3"/>
  <c r="BG523" i="3"/>
  <c r="BF524" i="3"/>
  <c r="BG524" i="3"/>
  <c r="BF525" i="3"/>
  <c r="BG525" i="3"/>
  <c r="BF526" i="3"/>
  <c r="BG526" i="3"/>
  <c r="BF527" i="3"/>
  <c r="BG527" i="3"/>
  <c r="BF528" i="3"/>
  <c r="BG528" i="3"/>
  <c r="BF529" i="3"/>
  <c r="BG529" i="3"/>
  <c r="BF530" i="3"/>
  <c r="BG530" i="3"/>
  <c r="BF531" i="3"/>
  <c r="BG531" i="3"/>
  <c r="BF532" i="3"/>
  <c r="BG532" i="3"/>
  <c r="BF533" i="3"/>
  <c r="BG533" i="3"/>
  <c r="BF534" i="3"/>
  <c r="BG534" i="3"/>
  <c r="BF535" i="3"/>
  <c r="BG535" i="3"/>
  <c r="BF536" i="3"/>
  <c r="BG536" i="3"/>
  <c r="BF537" i="3"/>
  <c r="BG537" i="3"/>
  <c r="BF538" i="3"/>
  <c r="BG538" i="3"/>
  <c r="BF539" i="3"/>
  <c r="BG539" i="3"/>
  <c r="BF540" i="3"/>
  <c r="BG540" i="3"/>
  <c r="BF541" i="3"/>
  <c r="BG541" i="3"/>
  <c r="BF542" i="3"/>
  <c r="BG542" i="3"/>
  <c r="BF543" i="3"/>
  <c r="BG543" i="3"/>
  <c r="BF544" i="3"/>
  <c r="BG544" i="3"/>
  <c r="BF545" i="3"/>
  <c r="BG545" i="3"/>
  <c r="BF546" i="3"/>
  <c r="BG546" i="3"/>
  <c r="BF547" i="3"/>
  <c r="BG547" i="3"/>
  <c r="BF548" i="3"/>
  <c r="BG548" i="3"/>
  <c r="BF549" i="3"/>
  <c r="BG549" i="3"/>
  <c r="BF550" i="3"/>
  <c r="BG550" i="3"/>
  <c r="BF551" i="3"/>
  <c r="BG551" i="3"/>
  <c r="BF552" i="3"/>
  <c r="BG552" i="3"/>
  <c r="BF553" i="3"/>
  <c r="BG553" i="3"/>
  <c r="BF554" i="3"/>
  <c r="BG554" i="3"/>
  <c r="BF555" i="3"/>
  <c r="BG555" i="3"/>
  <c r="BF556" i="3"/>
  <c r="BG556" i="3"/>
  <c r="BF557" i="3"/>
  <c r="BG557" i="3"/>
  <c r="BF558" i="3"/>
  <c r="BG558" i="3"/>
  <c r="BF559" i="3"/>
  <c r="BG559" i="3"/>
  <c r="BF560" i="3"/>
  <c r="BG560" i="3"/>
  <c r="BF561" i="3"/>
  <c r="BG561" i="3"/>
  <c r="BF562" i="3"/>
  <c r="BG562" i="3"/>
  <c r="BF563" i="3"/>
  <c r="BG563" i="3"/>
  <c r="BF564" i="3"/>
  <c r="BG564" i="3"/>
  <c r="BF565" i="3"/>
  <c r="BG565" i="3"/>
  <c r="BF566" i="3"/>
  <c r="BG566" i="3"/>
  <c r="BF567" i="3"/>
  <c r="BG567" i="3"/>
  <c r="BF568" i="3"/>
  <c r="BG568" i="3"/>
  <c r="BF569" i="3"/>
  <c r="BG569" i="3"/>
  <c r="BF570" i="3"/>
  <c r="BG570" i="3"/>
  <c r="BF571" i="3"/>
  <c r="BG571" i="3"/>
  <c r="BF572" i="3"/>
  <c r="BG572" i="3"/>
  <c r="BF573" i="3"/>
  <c r="BG573" i="3"/>
  <c r="BF574" i="3"/>
  <c r="BG574" i="3"/>
  <c r="BF575" i="3"/>
  <c r="BG575" i="3"/>
  <c r="BF576" i="3"/>
  <c r="BG576" i="3"/>
  <c r="BF577" i="3"/>
  <c r="BG577" i="3"/>
  <c r="BF578" i="3"/>
  <c r="BG578" i="3"/>
  <c r="BF579" i="3"/>
  <c r="BG579" i="3"/>
  <c r="BF580" i="3"/>
  <c r="BG580" i="3"/>
  <c r="BF581" i="3"/>
  <c r="BG581" i="3"/>
  <c r="BF582" i="3"/>
  <c r="BG582" i="3"/>
  <c r="BF583" i="3"/>
  <c r="BG583" i="3"/>
  <c r="BF584" i="3"/>
  <c r="BG584" i="3"/>
  <c r="BF585" i="3"/>
  <c r="BG585" i="3"/>
  <c r="BF586" i="3"/>
  <c r="BG586" i="3"/>
  <c r="BF587" i="3"/>
  <c r="BG587" i="3"/>
  <c r="BF588" i="3"/>
  <c r="BG588" i="3"/>
  <c r="BF589" i="3"/>
  <c r="BG589" i="3"/>
  <c r="BF590" i="3"/>
  <c r="BG590" i="3"/>
  <c r="BF591" i="3"/>
  <c r="BG591" i="3"/>
  <c r="BF592" i="3"/>
  <c r="BG592" i="3"/>
  <c r="BF593" i="3"/>
  <c r="BG593" i="3"/>
  <c r="BF594" i="3"/>
  <c r="BG594" i="3"/>
  <c r="BF595" i="3"/>
  <c r="BG595" i="3"/>
  <c r="BF596" i="3"/>
  <c r="BG596" i="3"/>
  <c r="BF597" i="3"/>
  <c r="BG597" i="3"/>
  <c r="BF598" i="3"/>
  <c r="BG598" i="3"/>
  <c r="BF599" i="3"/>
  <c r="BG599" i="3"/>
  <c r="BF600" i="3"/>
  <c r="BG600" i="3"/>
  <c r="BF601" i="3"/>
  <c r="BG601" i="3"/>
  <c r="BF602" i="3"/>
  <c r="BG602" i="3"/>
  <c r="BF603" i="3"/>
  <c r="BG603" i="3"/>
  <c r="BF8" i="3"/>
  <c r="BG8" i="3"/>
  <c r="BF9" i="3"/>
  <c r="BG9" i="3"/>
  <c r="BF10" i="3"/>
  <c r="BG10" i="3"/>
  <c r="BF11" i="3"/>
  <c r="BG11" i="3"/>
  <c r="BF12" i="3"/>
  <c r="BG12" i="3"/>
  <c r="BF13" i="3"/>
  <c r="BG13" i="3"/>
  <c r="BF14" i="3"/>
  <c r="BG14" i="3"/>
  <c r="BF15" i="3"/>
  <c r="BG15" i="3"/>
  <c r="BF16" i="3"/>
  <c r="BG16" i="3"/>
  <c r="BF17" i="3"/>
  <c r="BG17" i="3"/>
  <c r="BF18" i="3"/>
  <c r="BG18" i="3"/>
  <c r="BF19" i="3"/>
  <c r="BG19" i="3"/>
  <c r="BF20" i="3"/>
  <c r="BG20" i="3"/>
  <c r="BF21" i="3"/>
  <c r="BG21" i="3"/>
  <c r="BF22" i="3"/>
  <c r="BG22" i="3"/>
  <c r="BF23" i="3"/>
  <c r="BG23" i="3"/>
  <c r="BF24" i="3"/>
  <c r="BG24" i="3"/>
  <c r="BF25" i="3"/>
  <c r="BG25" i="3"/>
  <c r="BF26" i="3"/>
  <c r="BG26" i="3"/>
  <c r="BF27" i="3"/>
  <c r="BG27" i="3"/>
  <c r="BF28" i="3"/>
  <c r="BG28" i="3"/>
  <c r="BF29" i="3"/>
  <c r="BG29" i="3"/>
  <c r="BF30" i="3"/>
  <c r="BG30" i="3"/>
  <c r="BF31" i="3"/>
  <c r="BG31" i="3"/>
  <c r="BF32" i="3"/>
  <c r="BG32" i="3"/>
  <c r="BF33" i="3"/>
  <c r="BG33" i="3"/>
  <c r="BF34" i="3"/>
  <c r="BG34" i="3"/>
  <c r="BF35" i="3"/>
  <c r="BG35" i="3"/>
  <c r="BF36" i="3"/>
  <c r="BG36" i="3"/>
  <c r="BF37" i="3"/>
  <c r="BG37" i="3"/>
  <c r="BF38" i="3"/>
  <c r="BG38" i="3"/>
  <c r="BF39" i="3"/>
  <c r="BG39" i="3"/>
  <c r="BF40" i="3"/>
  <c r="BG40" i="3"/>
  <c r="BF41" i="3"/>
  <c r="BG41" i="3"/>
  <c r="BF42" i="3"/>
  <c r="BG42" i="3"/>
  <c r="BF43" i="3"/>
  <c r="BG43" i="3"/>
  <c r="BF44" i="3"/>
  <c r="BG44" i="3"/>
  <c r="BF45" i="3"/>
  <c r="BG45" i="3"/>
  <c r="BF46" i="3"/>
  <c r="BG46" i="3"/>
  <c r="BF47" i="3"/>
  <c r="BG47" i="3"/>
  <c r="BF48" i="3"/>
  <c r="BG48" i="3"/>
  <c r="BF49" i="3"/>
  <c r="BG49" i="3"/>
  <c r="BF50" i="3"/>
  <c r="BG50" i="3"/>
  <c r="BF51" i="3"/>
  <c r="BG51" i="3"/>
  <c r="BF52" i="3"/>
  <c r="BG52" i="3"/>
  <c r="BF53" i="3"/>
  <c r="BG53" i="3"/>
  <c r="BF54" i="3"/>
  <c r="BG54" i="3"/>
  <c r="BF55" i="3"/>
  <c r="BG55" i="3"/>
  <c r="BF56" i="3"/>
  <c r="BG56" i="3"/>
  <c r="BF57" i="3"/>
  <c r="BG57" i="3"/>
  <c r="BF58" i="3"/>
  <c r="BG58" i="3"/>
  <c r="BF59" i="3"/>
  <c r="BG59" i="3"/>
  <c r="BF60" i="3"/>
  <c r="BG60" i="3"/>
  <c r="BF61" i="3"/>
  <c r="BG61" i="3"/>
  <c r="BF62" i="3"/>
  <c r="BG62" i="3"/>
  <c r="BF63" i="3"/>
  <c r="BG63" i="3"/>
  <c r="BF64" i="3"/>
  <c r="BG64" i="3"/>
  <c r="BF65" i="3"/>
  <c r="BG65" i="3"/>
  <c r="BF66" i="3"/>
  <c r="BG66" i="3"/>
  <c r="BF67" i="3"/>
  <c r="BG67" i="3"/>
  <c r="BF68" i="3"/>
  <c r="BG68" i="3"/>
  <c r="BF69" i="3"/>
  <c r="BG69" i="3"/>
  <c r="BF70" i="3"/>
  <c r="BG70" i="3"/>
  <c r="BF71" i="3"/>
  <c r="BG71" i="3"/>
  <c r="BF72" i="3"/>
  <c r="BG72" i="3"/>
  <c r="BF73" i="3"/>
  <c r="BG73" i="3"/>
  <c r="BF74" i="3"/>
  <c r="BG74" i="3"/>
  <c r="BF75" i="3"/>
  <c r="BG75" i="3"/>
  <c r="BF76" i="3"/>
  <c r="BG76" i="3"/>
  <c r="BF77" i="3"/>
  <c r="BG77" i="3"/>
  <c r="BF78" i="3"/>
  <c r="BG78" i="3"/>
  <c r="BF79" i="3"/>
  <c r="BG79" i="3"/>
  <c r="BF80" i="3"/>
  <c r="BG80" i="3"/>
  <c r="BF81" i="3"/>
  <c r="BG81" i="3"/>
  <c r="BF82" i="3"/>
  <c r="BG82" i="3"/>
  <c r="BF83" i="3"/>
  <c r="BG83" i="3"/>
  <c r="BF84" i="3"/>
  <c r="BG84" i="3"/>
  <c r="BF85" i="3"/>
  <c r="BG85" i="3"/>
  <c r="BF86" i="3"/>
  <c r="BG86" i="3"/>
  <c r="BF87" i="3"/>
  <c r="BG87" i="3"/>
  <c r="BF88" i="3"/>
  <c r="BG88" i="3"/>
  <c r="BF89" i="3"/>
  <c r="BG89" i="3"/>
  <c r="BF90" i="3"/>
  <c r="BG90" i="3"/>
  <c r="BF91" i="3"/>
  <c r="BG91" i="3"/>
  <c r="BF92" i="3"/>
  <c r="BG92" i="3"/>
  <c r="BF93" i="3"/>
  <c r="BG93" i="3"/>
  <c r="BF94" i="3"/>
  <c r="BG94" i="3"/>
  <c r="BF95" i="3"/>
  <c r="BG95" i="3"/>
  <c r="BF96" i="3"/>
  <c r="BG96" i="3"/>
  <c r="BF97" i="3"/>
  <c r="BG97" i="3"/>
  <c r="BF98" i="3"/>
  <c r="BG98" i="3"/>
  <c r="BF99" i="3"/>
  <c r="BG99" i="3"/>
  <c r="BF100" i="3"/>
  <c r="BG100" i="3"/>
  <c r="BF101" i="3"/>
  <c r="BG101" i="3"/>
  <c r="BF102" i="3"/>
  <c r="BG102" i="3"/>
  <c r="BF103" i="3"/>
  <c r="BG103" i="3"/>
  <c r="BF104" i="3"/>
  <c r="BG104" i="3"/>
  <c r="BF105" i="3"/>
  <c r="BG105" i="3"/>
  <c r="BF106" i="3"/>
  <c r="BG106" i="3"/>
  <c r="BF107" i="3"/>
  <c r="BG107" i="3"/>
  <c r="BF108" i="3"/>
  <c r="BG108" i="3"/>
  <c r="BF109" i="3"/>
  <c r="BG109" i="3"/>
  <c r="BF110" i="3"/>
  <c r="BG110" i="3"/>
  <c r="BF111" i="3"/>
  <c r="BG111" i="3"/>
  <c r="BF112" i="3"/>
  <c r="BG112" i="3"/>
  <c r="BF113" i="3"/>
  <c r="BG113" i="3"/>
  <c r="BF114" i="3"/>
  <c r="BG114" i="3"/>
  <c r="BF115" i="3"/>
  <c r="BG115" i="3"/>
  <c r="BF116" i="3"/>
  <c r="BG116" i="3"/>
  <c r="BF117" i="3"/>
  <c r="BG117" i="3"/>
  <c r="BF118" i="3"/>
  <c r="BG118" i="3"/>
  <c r="BF119" i="3"/>
  <c r="BG119" i="3"/>
  <c r="BF120" i="3"/>
  <c r="BG120" i="3"/>
  <c r="BF121" i="3"/>
  <c r="BG121" i="3"/>
  <c r="BF122" i="3"/>
  <c r="BG122" i="3"/>
  <c r="BF123" i="3"/>
  <c r="BG123" i="3"/>
  <c r="BF124" i="3"/>
  <c r="BG124" i="3"/>
  <c r="BF125" i="3"/>
  <c r="BG125" i="3"/>
  <c r="BF126" i="3"/>
  <c r="BG126" i="3"/>
  <c r="BF127" i="3"/>
  <c r="BG127" i="3"/>
  <c r="BF128" i="3"/>
  <c r="BG128" i="3"/>
  <c r="BF129" i="3"/>
  <c r="BG129" i="3"/>
  <c r="BF130" i="3"/>
  <c r="BG130" i="3"/>
  <c r="BF131" i="3"/>
  <c r="BG131" i="3"/>
  <c r="BF132" i="3"/>
  <c r="BG132" i="3"/>
  <c r="BF133" i="3"/>
  <c r="BG133" i="3"/>
  <c r="BF134" i="3"/>
  <c r="BG134" i="3"/>
  <c r="BF135" i="3"/>
  <c r="BG135" i="3"/>
  <c r="BF136" i="3"/>
  <c r="BG136" i="3"/>
  <c r="BF137" i="3"/>
  <c r="BG137" i="3"/>
  <c r="BF138" i="3"/>
  <c r="BG138" i="3"/>
  <c r="BF139" i="3"/>
  <c r="BG139" i="3"/>
  <c r="BF140" i="3"/>
  <c r="BG140" i="3"/>
  <c r="BF141" i="3"/>
  <c r="BG141" i="3"/>
  <c r="BF142" i="3"/>
  <c r="BG142" i="3"/>
  <c r="BF143" i="3"/>
  <c r="BG143" i="3"/>
  <c r="BF144" i="3"/>
  <c r="BG144" i="3"/>
  <c r="BF145" i="3"/>
  <c r="BG145" i="3"/>
  <c r="BF146" i="3"/>
  <c r="BG146" i="3"/>
  <c r="BF147" i="3"/>
  <c r="BG147" i="3"/>
  <c r="BF148" i="3"/>
  <c r="BG148" i="3"/>
  <c r="BF149" i="3"/>
  <c r="BG149" i="3"/>
  <c r="BF150" i="3"/>
  <c r="BG150" i="3"/>
  <c r="BF151" i="3"/>
  <c r="BG151" i="3"/>
  <c r="BF152" i="3"/>
  <c r="BG152" i="3"/>
  <c r="BF153" i="3"/>
  <c r="BG153" i="3"/>
  <c r="BF154" i="3"/>
  <c r="BG154" i="3"/>
  <c r="BF155" i="3"/>
  <c r="BG155" i="3"/>
  <c r="BF156" i="3"/>
  <c r="BG156" i="3"/>
  <c r="BF157" i="3"/>
  <c r="BG157" i="3"/>
  <c r="BF158" i="3"/>
  <c r="BG158" i="3"/>
  <c r="BF159" i="3"/>
  <c r="BG159" i="3"/>
  <c r="BF160" i="3"/>
  <c r="BG160" i="3"/>
  <c r="BF161" i="3"/>
  <c r="BG161" i="3"/>
  <c r="BF162" i="3"/>
  <c r="BG162" i="3"/>
  <c r="BF163" i="3"/>
  <c r="BG163" i="3"/>
  <c r="BF164" i="3"/>
  <c r="BG164" i="3"/>
  <c r="BF165" i="3"/>
  <c r="BG165" i="3"/>
  <c r="BF166" i="3"/>
  <c r="BG166" i="3"/>
  <c r="BF167" i="3"/>
  <c r="BG167" i="3"/>
  <c r="BF168" i="3"/>
  <c r="BG168" i="3"/>
  <c r="BF169" i="3"/>
  <c r="BG169" i="3"/>
  <c r="BF170" i="3"/>
  <c r="BG170" i="3"/>
  <c r="BF171" i="3"/>
  <c r="BG171" i="3"/>
  <c r="BF172" i="3"/>
  <c r="BG172" i="3"/>
  <c r="BF173" i="3"/>
  <c r="BG173" i="3"/>
  <c r="BF174" i="3"/>
  <c r="BG174" i="3"/>
  <c r="BF175" i="3"/>
  <c r="BG175" i="3"/>
  <c r="BF176" i="3"/>
  <c r="BG176" i="3"/>
  <c r="BF177" i="3"/>
  <c r="BG177" i="3"/>
  <c r="BF178" i="3"/>
  <c r="BG178" i="3"/>
  <c r="BF179" i="3"/>
  <c r="BG179" i="3"/>
  <c r="BF180" i="3"/>
  <c r="BG180" i="3"/>
  <c r="BF181" i="3"/>
  <c r="BG181" i="3"/>
  <c r="BF182" i="3"/>
  <c r="BG182" i="3"/>
  <c r="BF183" i="3"/>
  <c r="BG183" i="3"/>
  <c r="BF184" i="3"/>
  <c r="BG184" i="3"/>
  <c r="BF185" i="3"/>
  <c r="BG185" i="3"/>
  <c r="BF186" i="3"/>
  <c r="BG186" i="3"/>
  <c r="BF187" i="3"/>
  <c r="BG187" i="3"/>
  <c r="BF188" i="3"/>
  <c r="BG188" i="3"/>
  <c r="BF189" i="3"/>
  <c r="BG189" i="3"/>
  <c r="BF190" i="3"/>
  <c r="BG190" i="3"/>
  <c r="BF191" i="3"/>
  <c r="BG191" i="3"/>
  <c r="BF192" i="3"/>
  <c r="BG192" i="3"/>
  <c r="BF193" i="3"/>
  <c r="BG193" i="3"/>
  <c r="BF194" i="3"/>
  <c r="BG194" i="3"/>
  <c r="BF195" i="3"/>
  <c r="BG195" i="3"/>
  <c r="BF196" i="3"/>
  <c r="BG196" i="3"/>
  <c r="BF197" i="3"/>
  <c r="BG197" i="3"/>
  <c r="BF198" i="3"/>
  <c r="BG198" i="3"/>
  <c r="BF199" i="3"/>
  <c r="BG199" i="3"/>
  <c r="BF200" i="3"/>
  <c r="BG200" i="3"/>
  <c r="BF201" i="3"/>
  <c r="BG201" i="3"/>
  <c r="BF202" i="3"/>
  <c r="BG202" i="3"/>
  <c r="BF203" i="3"/>
  <c r="BG203" i="3"/>
  <c r="BF204" i="3"/>
  <c r="BG204" i="3"/>
  <c r="BF205" i="3"/>
  <c r="BG205" i="3"/>
  <c r="BF206" i="3"/>
  <c r="BG206" i="3"/>
  <c r="BF207" i="3"/>
  <c r="BG207" i="3"/>
  <c r="BF208" i="3"/>
  <c r="BG208" i="3"/>
  <c r="BF209" i="3"/>
  <c r="BG209" i="3"/>
  <c r="BF210" i="3"/>
  <c r="BG210" i="3"/>
  <c r="BF211" i="3"/>
  <c r="BG211" i="3"/>
  <c r="BF212" i="3"/>
  <c r="BG212" i="3"/>
  <c r="BF213" i="3"/>
  <c r="BG213" i="3"/>
  <c r="BF214" i="3"/>
  <c r="BG214" i="3"/>
  <c r="BF215" i="3"/>
  <c r="BG215" i="3"/>
  <c r="BF216" i="3"/>
  <c r="BG216" i="3"/>
  <c r="BF217" i="3"/>
  <c r="BG217" i="3"/>
  <c r="BF218" i="3"/>
  <c r="BG218" i="3"/>
  <c r="BF219" i="3"/>
  <c r="BG219" i="3"/>
  <c r="BF220" i="3"/>
  <c r="BG220" i="3"/>
  <c r="BF221" i="3"/>
  <c r="BG221" i="3"/>
  <c r="BF222" i="3"/>
  <c r="BG222" i="3"/>
  <c r="BF223" i="3"/>
  <c r="BG223" i="3"/>
  <c r="BF224" i="3"/>
  <c r="BG224" i="3"/>
  <c r="BF225" i="3"/>
  <c r="BG225" i="3"/>
  <c r="BF226" i="3"/>
  <c r="BG226" i="3"/>
  <c r="BF227" i="3"/>
  <c r="BG227" i="3"/>
  <c r="BF228" i="3"/>
  <c r="BG228" i="3"/>
  <c r="BF229" i="3"/>
  <c r="BG229" i="3"/>
  <c r="BF230" i="3"/>
  <c r="BG230" i="3"/>
  <c r="BF231" i="3"/>
  <c r="BG231" i="3"/>
  <c r="BF232" i="3"/>
  <c r="BG232" i="3"/>
  <c r="BF233" i="3"/>
  <c r="BG233" i="3"/>
  <c r="BF234" i="3"/>
  <c r="BG234" i="3"/>
  <c r="BF235" i="3"/>
  <c r="BG235" i="3"/>
  <c r="BF236" i="3"/>
  <c r="BG236" i="3"/>
  <c r="BF237" i="3"/>
  <c r="BG237" i="3"/>
  <c r="BF238" i="3"/>
  <c r="BG238" i="3"/>
  <c r="BF239" i="3"/>
  <c r="BG239" i="3"/>
  <c r="BF240" i="3"/>
  <c r="BG240" i="3"/>
  <c r="BF241" i="3"/>
  <c r="BG241" i="3"/>
  <c r="BF242" i="3"/>
  <c r="BG242" i="3"/>
  <c r="BF243" i="3"/>
  <c r="BG243" i="3"/>
  <c r="BF244" i="3"/>
  <c r="BG244" i="3"/>
  <c r="BF245" i="3"/>
  <c r="BG245" i="3"/>
  <c r="BF246" i="3"/>
  <c r="BG246" i="3"/>
  <c r="BF247" i="3"/>
  <c r="BG247" i="3"/>
  <c r="BF248" i="3"/>
  <c r="BG248" i="3"/>
  <c r="BF249" i="3"/>
  <c r="BG249" i="3"/>
  <c r="BF250" i="3"/>
  <c r="BG250" i="3"/>
  <c r="BF251" i="3"/>
  <c r="BG251" i="3"/>
  <c r="BF252" i="3"/>
  <c r="BG252" i="3"/>
  <c r="BF253" i="3"/>
  <c r="BG253" i="3"/>
  <c r="BF254" i="3"/>
  <c r="BG254" i="3"/>
  <c r="BF255" i="3"/>
  <c r="BG255" i="3"/>
  <c r="BF256" i="3"/>
  <c r="BG256" i="3"/>
  <c r="BF257" i="3"/>
  <c r="BG257" i="3"/>
  <c r="BF258" i="3"/>
  <c r="BG258" i="3"/>
  <c r="BF259" i="3"/>
  <c r="BG259" i="3"/>
  <c r="BF260" i="3"/>
  <c r="BG260" i="3"/>
  <c r="BF261" i="3"/>
  <c r="BG261" i="3"/>
  <c r="BF262" i="3"/>
  <c r="BG262" i="3"/>
  <c r="BF263" i="3"/>
  <c r="BG263" i="3"/>
  <c r="BF264" i="3"/>
  <c r="BG264" i="3"/>
  <c r="BF265" i="3"/>
  <c r="BG265" i="3"/>
  <c r="BF266" i="3"/>
  <c r="BG266" i="3"/>
  <c r="BF267" i="3"/>
  <c r="BG267" i="3"/>
  <c r="BF268" i="3"/>
  <c r="BG268" i="3"/>
  <c r="BF269" i="3"/>
  <c r="BG269" i="3"/>
  <c r="BF270" i="3"/>
  <c r="BG270" i="3"/>
  <c r="BF271" i="3"/>
  <c r="BG271" i="3"/>
  <c r="BF272" i="3"/>
  <c r="BG272" i="3"/>
  <c r="BF273" i="3"/>
  <c r="BG273" i="3"/>
  <c r="BF274" i="3"/>
  <c r="BG274" i="3"/>
  <c r="BF275" i="3"/>
  <c r="BG275" i="3"/>
  <c r="BF276" i="3"/>
  <c r="BG276" i="3"/>
  <c r="BF277" i="3"/>
  <c r="BG277" i="3"/>
  <c r="BF278" i="3"/>
  <c r="BG278" i="3"/>
  <c r="BF279" i="3"/>
  <c r="BG279" i="3"/>
  <c r="BF280" i="3"/>
  <c r="BG280" i="3"/>
  <c r="BF281" i="3"/>
  <c r="BG281" i="3"/>
  <c r="BF282" i="3"/>
  <c r="BG282" i="3"/>
  <c r="BF283" i="3"/>
  <c r="BG283" i="3"/>
  <c r="BF284" i="3"/>
  <c r="BG284" i="3"/>
  <c r="BF285" i="3"/>
  <c r="BG285" i="3"/>
  <c r="BF286" i="3"/>
  <c r="BG286" i="3"/>
  <c r="BF287" i="3"/>
  <c r="BG287" i="3"/>
  <c r="BF288" i="3"/>
  <c r="BG288" i="3"/>
  <c r="BF289" i="3"/>
  <c r="BG289" i="3"/>
  <c r="BF290" i="3"/>
  <c r="BG290" i="3"/>
  <c r="BF291" i="3"/>
  <c r="BG291" i="3"/>
  <c r="BF292" i="3"/>
  <c r="BG292" i="3"/>
  <c r="BF293" i="3"/>
  <c r="BG293" i="3"/>
  <c r="BF294" i="3"/>
  <c r="BG294" i="3"/>
  <c r="BF295" i="3"/>
  <c r="BG295" i="3"/>
  <c r="BF296" i="3"/>
  <c r="BG296" i="3"/>
  <c r="BF297" i="3"/>
  <c r="BG297" i="3"/>
  <c r="BF298" i="3"/>
  <c r="BG298" i="3"/>
  <c r="BF299" i="3"/>
  <c r="BG299" i="3"/>
  <c r="BF300" i="3"/>
  <c r="BG300" i="3"/>
  <c r="BF301" i="3"/>
  <c r="BG301" i="3"/>
  <c r="BF302" i="3"/>
  <c r="BG302" i="3"/>
  <c r="BF303" i="3"/>
  <c r="BG303" i="3"/>
  <c r="BF304" i="3"/>
  <c r="BG304" i="3"/>
  <c r="BF305" i="3"/>
  <c r="BG305" i="3"/>
  <c r="BF306" i="3"/>
  <c r="BG306" i="3"/>
  <c r="BF307" i="3"/>
  <c r="BG307" i="3"/>
  <c r="AX605" i="3"/>
  <c r="AX606" i="3"/>
  <c r="AX308" i="3"/>
  <c r="AX309" i="3"/>
  <c r="AX310" i="3"/>
  <c r="AX311" i="3"/>
  <c r="AX312" i="3"/>
  <c r="AX313" i="3"/>
  <c r="AX314" i="3"/>
  <c r="AX315" i="3"/>
  <c r="AX316" i="3"/>
  <c r="AX317" i="3"/>
  <c r="AX318" i="3"/>
  <c r="AX319" i="3"/>
  <c r="AX320" i="3"/>
  <c r="AX321" i="3"/>
  <c r="AX322" i="3"/>
  <c r="AX323" i="3"/>
  <c r="AX324" i="3"/>
  <c r="AX325" i="3"/>
  <c r="AX326" i="3"/>
  <c r="AX327" i="3"/>
  <c r="AX328" i="3"/>
  <c r="AX329" i="3"/>
  <c r="AX330" i="3"/>
  <c r="AX331" i="3"/>
  <c r="AX332" i="3"/>
  <c r="AX333" i="3"/>
  <c r="AX334" i="3"/>
  <c r="AX335" i="3"/>
  <c r="AX336" i="3"/>
  <c r="AX337" i="3"/>
  <c r="AX338" i="3"/>
  <c r="AX339" i="3"/>
  <c r="AX340" i="3"/>
  <c r="AX341" i="3"/>
  <c r="AX342" i="3"/>
  <c r="AX343" i="3"/>
  <c r="AX344" i="3"/>
  <c r="AX345" i="3"/>
  <c r="AX346" i="3"/>
  <c r="AX347" i="3"/>
  <c r="AX348" i="3"/>
  <c r="AX349" i="3"/>
  <c r="AX350" i="3"/>
  <c r="AX351" i="3"/>
  <c r="AX352" i="3"/>
  <c r="AX353" i="3"/>
  <c r="AX354" i="3"/>
  <c r="AX355" i="3"/>
  <c r="AX356" i="3"/>
  <c r="AX357" i="3"/>
  <c r="AX358" i="3"/>
  <c r="AX359" i="3"/>
  <c r="AX360" i="3"/>
  <c r="AX361" i="3"/>
  <c r="AX362" i="3"/>
  <c r="AX363" i="3"/>
  <c r="AX364" i="3"/>
  <c r="AX365" i="3"/>
  <c r="AX366" i="3"/>
  <c r="AX367" i="3"/>
  <c r="AX368" i="3"/>
  <c r="AX369" i="3"/>
  <c r="AX370" i="3"/>
  <c r="AX371" i="3"/>
  <c r="AX372" i="3"/>
  <c r="AX373" i="3"/>
  <c r="AX374" i="3"/>
  <c r="AX375" i="3"/>
  <c r="AX376" i="3"/>
  <c r="AX377" i="3"/>
  <c r="AX378" i="3"/>
  <c r="AX379" i="3"/>
  <c r="AX380" i="3"/>
  <c r="AX381" i="3"/>
  <c r="AX382" i="3"/>
  <c r="AX383" i="3"/>
  <c r="AX384" i="3"/>
  <c r="AX385" i="3"/>
  <c r="AX386" i="3"/>
  <c r="AX387" i="3"/>
  <c r="AX388" i="3"/>
  <c r="AX389" i="3"/>
  <c r="AX390" i="3"/>
  <c r="AX391" i="3"/>
  <c r="AX392" i="3"/>
  <c r="AX393" i="3"/>
  <c r="AX394" i="3"/>
  <c r="AX395" i="3"/>
  <c r="AX396" i="3"/>
  <c r="AX397" i="3"/>
  <c r="AX398" i="3"/>
  <c r="AX399" i="3"/>
  <c r="AX400" i="3"/>
  <c r="AX401" i="3"/>
  <c r="AX402" i="3"/>
  <c r="AX403" i="3"/>
  <c r="AX404" i="3"/>
  <c r="AX405" i="3"/>
  <c r="AX406" i="3"/>
  <c r="AX407" i="3"/>
  <c r="AX408" i="3"/>
  <c r="AX409" i="3"/>
  <c r="AX410" i="3"/>
  <c r="AX411" i="3"/>
  <c r="AX412" i="3"/>
  <c r="AX413" i="3"/>
  <c r="AX414" i="3"/>
  <c r="AX415" i="3"/>
  <c r="AX416" i="3"/>
  <c r="AX417" i="3"/>
  <c r="AX418" i="3"/>
  <c r="AX419" i="3"/>
  <c r="AX420" i="3"/>
  <c r="AX421" i="3"/>
  <c r="AX422" i="3"/>
  <c r="AX423" i="3"/>
  <c r="AX424" i="3"/>
  <c r="AX425" i="3"/>
  <c r="AX426" i="3"/>
  <c r="AX427" i="3"/>
  <c r="AX428" i="3"/>
  <c r="AX429" i="3"/>
  <c r="AX430" i="3"/>
  <c r="AX431" i="3"/>
  <c r="AX432" i="3"/>
  <c r="AX433" i="3"/>
  <c r="AX434" i="3"/>
  <c r="AX435" i="3"/>
  <c r="AX436" i="3"/>
  <c r="AX437" i="3"/>
  <c r="AX438" i="3"/>
  <c r="AX439" i="3"/>
  <c r="AX440" i="3"/>
  <c r="AX441" i="3"/>
  <c r="AX442" i="3"/>
  <c r="AX443" i="3"/>
  <c r="AX444" i="3"/>
  <c r="AX445" i="3"/>
  <c r="AX446" i="3"/>
  <c r="AX447" i="3"/>
  <c r="AX448" i="3"/>
  <c r="AX449" i="3"/>
  <c r="AX450" i="3"/>
  <c r="AX451" i="3"/>
  <c r="AX452" i="3"/>
  <c r="AX453" i="3"/>
  <c r="AX454" i="3"/>
  <c r="AX455" i="3"/>
  <c r="AX456" i="3"/>
  <c r="AX457" i="3"/>
  <c r="AX458" i="3"/>
  <c r="AX459" i="3"/>
  <c r="AX460" i="3"/>
  <c r="AX461" i="3"/>
  <c r="AX462" i="3"/>
  <c r="AX463" i="3"/>
  <c r="AX464" i="3"/>
  <c r="AX465" i="3"/>
  <c r="AX466" i="3"/>
  <c r="AX467" i="3"/>
  <c r="AX468" i="3"/>
  <c r="AX469" i="3"/>
  <c r="AX470" i="3"/>
  <c r="AX471" i="3"/>
  <c r="AX472" i="3"/>
  <c r="AX473" i="3"/>
  <c r="AX474" i="3"/>
  <c r="AX475" i="3"/>
  <c r="AX476" i="3"/>
  <c r="AX477" i="3"/>
  <c r="AX478" i="3"/>
  <c r="AX479" i="3"/>
  <c r="AX480" i="3"/>
  <c r="AX481" i="3"/>
  <c r="AX482" i="3"/>
  <c r="AX483" i="3"/>
  <c r="AX484" i="3"/>
  <c r="AX485" i="3"/>
  <c r="AX486" i="3"/>
  <c r="AX487" i="3"/>
  <c r="AX488" i="3"/>
  <c r="AX489" i="3"/>
  <c r="AX490" i="3"/>
  <c r="AX491" i="3"/>
  <c r="AX492" i="3"/>
  <c r="AX493" i="3"/>
  <c r="AX494" i="3"/>
  <c r="AX495" i="3"/>
  <c r="AX496" i="3"/>
  <c r="AX497" i="3"/>
  <c r="AX498" i="3"/>
  <c r="AX499" i="3"/>
  <c r="AX500" i="3"/>
  <c r="AX501" i="3"/>
  <c r="AX502" i="3"/>
  <c r="AX503" i="3"/>
  <c r="AX504" i="3"/>
  <c r="AX505" i="3"/>
  <c r="AX506" i="3"/>
  <c r="AX507" i="3"/>
  <c r="AX508" i="3"/>
  <c r="AX509" i="3"/>
  <c r="AX510" i="3"/>
  <c r="AX511" i="3"/>
  <c r="AX512" i="3"/>
  <c r="AX513" i="3"/>
  <c r="AX514" i="3"/>
  <c r="AX515" i="3"/>
  <c r="AX516" i="3"/>
  <c r="AX517" i="3"/>
  <c r="AX518" i="3"/>
  <c r="AX519" i="3"/>
  <c r="AX520" i="3"/>
  <c r="AX521" i="3"/>
  <c r="AX522" i="3"/>
  <c r="AX523" i="3"/>
  <c r="AX524" i="3"/>
  <c r="AX525" i="3"/>
  <c r="AX526" i="3"/>
  <c r="AX527" i="3"/>
  <c r="AX528" i="3"/>
  <c r="AX529" i="3"/>
  <c r="AX530" i="3"/>
  <c r="AX531" i="3"/>
  <c r="AX532" i="3"/>
  <c r="AX533" i="3"/>
  <c r="AX534" i="3"/>
  <c r="AX535" i="3"/>
  <c r="AX536" i="3"/>
  <c r="AX537" i="3"/>
  <c r="AX538" i="3"/>
  <c r="AX539" i="3"/>
  <c r="AX540" i="3"/>
  <c r="AX541" i="3"/>
  <c r="AX542" i="3"/>
  <c r="AX543" i="3"/>
  <c r="AX544" i="3"/>
  <c r="AX545" i="3"/>
  <c r="AX546" i="3"/>
  <c r="AX547" i="3"/>
  <c r="AX548" i="3"/>
  <c r="AX549" i="3"/>
  <c r="AX550" i="3"/>
  <c r="AX551" i="3"/>
  <c r="AX552" i="3"/>
  <c r="AX553" i="3"/>
  <c r="AX554" i="3"/>
  <c r="AX555" i="3"/>
  <c r="AX556" i="3"/>
  <c r="AX557" i="3"/>
  <c r="AX558" i="3"/>
  <c r="AX559" i="3"/>
  <c r="AX560" i="3"/>
  <c r="AX561" i="3"/>
  <c r="AX562" i="3"/>
  <c r="AX563" i="3"/>
  <c r="AX564" i="3"/>
  <c r="AX565" i="3"/>
  <c r="AX566" i="3"/>
  <c r="AX567" i="3"/>
  <c r="AX568" i="3"/>
  <c r="AX569" i="3"/>
  <c r="AX570" i="3"/>
  <c r="AX571" i="3"/>
  <c r="AX572" i="3"/>
  <c r="AX573" i="3"/>
  <c r="AX574" i="3"/>
  <c r="AX575" i="3"/>
  <c r="AX576" i="3"/>
  <c r="AX577" i="3"/>
  <c r="AX578" i="3"/>
  <c r="AX579" i="3"/>
  <c r="AX580" i="3"/>
  <c r="AX581" i="3"/>
  <c r="AX582" i="3"/>
  <c r="AX583" i="3"/>
  <c r="AX584" i="3"/>
  <c r="AX585" i="3"/>
  <c r="AX586" i="3"/>
  <c r="AX587" i="3"/>
  <c r="AX588" i="3"/>
  <c r="AX589" i="3"/>
  <c r="AX590" i="3"/>
  <c r="AX591" i="3"/>
  <c r="AX592" i="3"/>
  <c r="AX593" i="3"/>
  <c r="AX594" i="3"/>
  <c r="AX595" i="3"/>
  <c r="AX596" i="3"/>
  <c r="AX597" i="3"/>
  <c r="AX598" i="3"/>
  <c r="AX599" i="3"/>
  <c r="AX600" i="3"/>
  <c r="AX601" i="3"/>
  <c r="AX602" i="3"/>
  <c r="AX603" i="3"/>
  <c r="AX604" i="3"/>
  <c r="AX8" i="3"/>
  <c r="AX9" i="3"/>
  <c r="AX10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8" i="3"/>
  <c r="AX89" i="3"/>
  <c r="AX90" i="3"/>
  <c r="AX91" i="3"/>
  <c r="AX92" i="3"/>
  <c r="AX93" i="3"/>
  <c r="AX94" i="3"/>
  <c r="AX95" i="3"/>
  <c r="AX96" i="3"/>
  <c r="AX97" i="3"/>
  <c r="AX98" i="3"/>
  <c r="AX99" i="3"/>
  <c r="AX100" i="3"/>
  <c r="AX101" i="3"/>
  <c r="AX102" i="3"/>
  <c r="AX103" i="3"/>
  <c r="AX104" i="3"/>
  <c r="AX105" i="3"/>
  <c r="AX106" i="3"/>
  <c r="AX107" i="3"/>
  <c r="AX108" i="3"/>
  <c r="AX109" i="3"/>
  <c r="AX110" i="3"/>
  <c r="AX111" i="3"/>
  <c r="AX112" i="3"/>
  <c r="AX113" i="3"/>
  <c r="AX114" i="3"/>
  <c r="AX115" i="3"/>
  <c r="AX116" i="3"/>
  <c r="AX117" i="3"/>
  <c r="AX118" i="3"/>
  <c r="AX119" i="3"/>
  <c r="AX120" i="3"/>
  <c r="AX121" i="3"/>
  <c r="AX122" i="3"/>
  <c r="AX123" i="3"/>
  <c r="AX124" i="3"/>
  <c r="AX125" i="3"/>
  <c r="AX126" i="3"/>
  <c r="AX127" i="3"/>
  <c r="AX128" i="3"/>
  <c r="AX129" i="3"/>
  <c r="AX130" i="3"/>
  <c r="AX131" i="3"/>
  <c r="AX132" i="3"/>
  <c r="AX133" i="3"/>
  <c r="AX134" i="3"/>
  <c r="AX135" i="3"/>
  <c r="AX136" i="3"/>
  <c r="AX137" i="3"/>
  <c r="AX138" i="3"/>
  <c r="AX139" i="3"/>
  <c r="AX140" i="3"/>
  <c r="AX141" i="3"/>
  <c r="AX142" i="3"/>
  <c r="AX143" i="3"/>
  <c r="AX144" i="3"/>
  <c r="AX145" i="3"/>
  <c r="AX146" i="3"/>
  <c r="AX147" i="3"/>
  <c r="AX148" i="3"/>
  <c r="AX149" i="3"/>
  <c r="AX150" i="3"/>
  <c r="AX151" i="3"/>
  <c r="AX152" i="3"/>
  <c r="AX153" i="3"/>
  <c r="AX154" i="3"/>
  <c r="AX155" i="3"/>
  <c r="AX156" i="3"/>
  <c r="AX157" i="3"/>
  <c r="AX158" i="3"/>
  <c r="AX159" i="3"/>
  <c r="AX160" i="3"/>
  <c r="AX161" i="3"/>
  <c r="AX162" i="3"/>
  <c r="AX163" i="3"/>
  <c r="AX164" i="3"/>
  <c r="AX165" i="3"/>
  <c r="AX166" i="3"/>
  <c r="AX167" i="3"/>
  <c r="AX168" i="3"/>
  <c r="AX169" i="3"/>
  <c r="AX170" i="3"/>
  <c r="AX171" i="3"/>
  <c r="AX172" i="3"/>
  <c r="AX173" i="3"/>
  <c r="AX174" i="3"/>
  <c r="AX175" i="3"/>
  <c r="AX176" i="3"/>
  <c r="AX177" i="3"/>
  <c r="AX178" i="3"/>
  <c r="AX179" i="3"/>
  <c r="AX180" i="3"/>
  <c r="AX181" i="3"/>
  <c r="AX182" i="3"/>
  <c r="AX183" i="3"/>
  <c r="AX184" i="3"/>
  <c r="AX185" i="3"/>
  <c r="AX186" i="3"/>
  <c r="AX187" i="3"/>
  <c r="AX188" i="3"/>
  <c r="AX189" i="3"/>
  <c r="AX190" i="3"/>
  <c r="AX191" i="3"/>
  <c r="AX192" i="3"/>
  <c r="AX193" i="3"/>
  <c r="AX194" i="3"/>
  <c r="AX195" i="3"/>
  <c r="AX196" i="3"/>
  <c r="AX197" i="3"/>
  <c r="AX198" i="3"/>
  <c r="AX199" i="3"/>
  <c r="AX200" i="3"/>
  <c r="AX201" i="3"/>
  <c r="AX202" i="3"/>
  <c r="AX203" i="3"/>
  <c r="AX204" i="3"/>
  <c r="AX205" i="3"/>
  <c r="AX206" i="3"/>
  <c r="AX207" i="3"/>
  <c r="AX208" i="3"/>
  <c r="AX209" i="3"/>
  <c r="AX210" i="3"/>
  <c r="AX211" i="3"/>
  <c r="AX212" i="3"/>
  <c r="AX213" i="3"/>
  <c r="AX214" i="3"/>
  <c r="AX215" i="3"/>
  <c r="AX216" i="3"/>
  <c r="AX217" i="3"/>
  <c r="AX218" i="3"/>
  <c r="AX219" i="3"/>
  <c r="AX220" i="3"/>
  <c r="AX221" i="3"/>
  <c r="AX222" i="3"/>
  <c r="AX223" i="3"/>
  <c r="AX224" i="3"/>
  <c r="AX225" i="3"/>
  <c r="AX226" i="3"/>
  <c r="AX227" i="3"/>
  <c r="AX228" i="3"/>
  <c r="AX229" i="3"/>
  <c r="AX230" i="3"/>
  <c r="AX231" i="3"/>
  <c r="AX232" i="3"/>
  <c r="AX233" i="3"/>
  <c r="AX234" i="3"/>
  <c r="AX235" i="3"/>
  <c r="AX236" i="3"/>
  <c r="AX237" i="3"/>
  <c r="AX238" i="3"/>
  <c r="AX239" i="3"/>
  <c r="AX240" i="3"/>
  <c r="AX241" i="3"/>
  <c r="AX242" i="3"/>
  <c r="AX243" i="3"/>
  <c r="AX244" i="3"/>
  <c r="AX245" i="3"/>
  <c r="AX246" i="3"/>
  <c r="AX247" i="3"/>
  <c r="AX248" i="3"/>
  <c r="AX249" i="3"/>
  <c r="AX250" i="3"/>
  <c r="AX251" i="3"/>
  <c r="AX252" i="3"/>
  <c r="AX253" i="3"/>
  <c r="AX254" i="3"/>
  <c r="AX255" i="3"/>
  <c r="AX256" i="3"/>
  <c r="AX257" i="3"/>
  <c r="AX258" i="3"/>
  <c r="AX259" i="3"/>
  <c r="AX260" i="3"/>
  <c r="AX261" i="3"/>
  <c r="AX262" i="3"/>
  <c r="AX263" i="3"/>
  <c r="AX264" i="3"/>
  <c r="AX265" i="3"/>
  <c r="AX266" i="3"/>
  <c r="AX267" i="3"/>
  <c r="AX268" i="3"/>
  <c r="AX269" i="3"/>
  <c r="AX270" i="3"/>
  <c r="AX271" i="3"/>
  <c r="AX272" i="3"/>
  <c r="AX273" i="3"/>
  <c r="AX274" i="3"/>
  <c r="AX275" i="3"/>
  <c r="AX276" i="3"/>
  <c r="AX277" i="3"/>
  <c r="AX278" i="3"/>
  <c r="AX279" i="3"/>
  <c r="AX280" i="3"/>
  <c r="AX281" i="3"/>
  <c r="AX282" i="3"/>
  <c r="AX283" i="3"/>
  <c r="AX284" i="3"/>
  <c r="AX285" i="3"/>
  <c r="AX286" i="3"/>
  <c r="AX287" i="3"/>
  <c r="AX288" i="3"/>
  <c r="AX289" i="3"/>
  <c r="AX290" i="3"/>
  <c r="AX291" i="3"/>
  <c r="AX292" i="3"/>
  <c r="AX293" i="3"/>
  <c r="AX294" i="3"/>
  <c r="AX295" i="3"/>
  <c r="AX296" i="3"/>
  <c r="AX297" i="3"/>
  <c r="AX298" i="3"/>
  <c r="AX299" i="3"/>
  <c r="AX300" i="3"/>
  <c r="AX301" i="3"/>
  <c r="AX302" i="3"/>
  <c r="AX303" i="3"/>
  <c r="AX304" i="3"/>
  <c r="AX305" i="3"/>
  <c r="AX306" i="3"/>
  <c r="AX307" i="3"/>
  <c r="AS604" i="3"/>
  <c r="AS605" i="3"/>
  <c r="AS606" i="3"/>
  <c r="AS308" i="3"/>
  <c r="AS309" i="3"/>
  <c r="AS310" i="3"/>
  <c r="AS311" i="3"/>
  <c r="AS312" i="3"/>
  <c r="AS313" i="3"/>
  <c r="AS314" i="3"/>
  <c r="AS315" i="3"/>
  <c r="AS316" i="3"/>
  <c r="AS317" i="3"/>
  <c r="AS318" i="3"/>
  <c r="AS319" i="3"/>
  <c r="AS320" i="3"/>
  <c r="AS321" i="3"/>
  <c r="AS322" i="3"/>
  <c r="AS323" i="3"/>
  <c r="AS324" i="3"/>
  <c r="AS325" i="3"/>
  <c r="AS326" i="3"/>
  <c r="AS327" i="3"/>
  <c r="AS328" i="3"/>
  <c r="AS329" i="3"/>
  <c r="AS330" i="3"/>
  <c r="AS331" i="3"/>
  <c r="AS332" i="3"/>
  <c r="AS333" i="3"/>
  <c r="AS334" i="3"/>
  <c r="AS335" i="3"/>
  <c r="AS336" i="3"/>
  <c r="AS337" i="3"/>
  <c r="AS338" i="3"/>
  <c r="AS339" i="3"/>
  <c r="AS340" i="3"/>
  <c r="AS341" i="3"/>
  <c r="AS342" i="3"/>
  <c r="AS343" i="3"/>
  <c r="AS344" i="3"/>
  <c r="AS345" i="3"/>
  <c r="AS346" i="3"/>
  <c r="AS347" i="3"/>
  <c r="AS348" i="3"/>
  <c r="AS349" i="3"/>
  <c r="AS350" i="3"/>
  <c r="AS351" i="3"/>
  <c r="AS352" i="3"/>
  <c r="AS353" i="3"/>
  <c r="AS354" i="3"/>
  <c r="AS355" i="3"/>
  <c r="AS356" i="3"/>
  <c r="AS357" i="3"/>
  <c r="AS358" i="3"/>
  <c r="AS359" i="3"/>
  <c r="AS360" i="3"/>
  <c r="AS361" i="3"/>
  <c r="AS362" i="3"/>
  <c r="AS363" i="3"/>
  <c r="AS364" i="3"/>
  <c r="AS365" i="3"/>
  <c r="AS366" i="3"/>
  <c r="AS367" i="3"/>
  <c r="AS368" i="3"/>
  <c r="AS369" i="3"/>
  <c r="AS370" i="3"/>
  <c r="AS371" i="3"/>
  <c r="AS372" i="3"/>
  <c r="AS373" i="3"/>
  <c r="AS374" i="3"/>
  <c r="AS375" i="3"/>
  <c r="AS376" i="3"/>
  <c r="AS377" i="3"/>
  <c r="AS378" i="3"/>
  <c r="AS379" i="3"/>
  <c r="AS380" i="3"/>
  <c r="AS381" i="3"/>
  <c r="AS382" i="3"/>
  <c r="AS383" i="3"/>
  <c r="AS384" i="3"/>
  <c r="AS385" i="3"/>
  <c r="AS386" i="3"/>
  <c r="AS387" i="3"/>
  <c r="AS388" i="3"/>
  <c r="AS389" i="3"/>
  <c r="AS390" i="3"/>
  <c r="AS391" i="3"/>
  <c r="AS392" i="3"/>
  <c r="AS393" i="3"/>
  <c r="AS394" i="3"/>
  <c r="AS395" i="3"/>
  <c r="AS396" i="3"/>
  <c r="AS397" i="3"/>
  <c r="AS398" i="3"/>
  <c r="AS399" i="3"/>
  <c r="AS400" i="3"/>
  <c r="AS401" i="3"/>
  <c r="AS402" i="3"/>
  <c r="AS403" i="3"/>
  <c r="AS404" i="3"/>
  <c r="AS405" i="3"/>
  <c r="AS406" i="3"/>
  <c r="AS407" i="3"/>
  <c r="AS408" i="3"/>
  <c r="AS409" i="3"/>
  <c r="AS410" i="3"/>
  <c r="AS411" i="3"/>
  <c r="AS412" i="3"/>
  <c r="AS413" i="3"/>
  <c r="AS414" i="3"/>
  <c r="AS415" i="3"/>
  <c r="AS416" i="3"/>
  <c r="AS417" i="3"/>
  <c r="AS418" i="3"/>
  <c r="AS419" i="3"/>
  <c r="AS420" i="3"/>
  <c r="AS421" i="3"/>
  <c r="AS422" i="3"/>
  <c r="AS423" i="3"/>
  <c r="AS424" i="3"/>
  <c r="AS425" i="3"/>
  <c r="AS426" i="3"/>
  <c r="AS427" i="3"/>
  <c r="AS428" i="3"/>
  <c r="AS429" i="3"/>
  <c r="AS430" i="3"/>
  <c r="AS431" i="3"/>
  <c r="AS432" i="3"/>
  <c r="AS433" i="3"/>
  <c r="AS434" i="3"/>
  <c r="AS435" i="3"/>
  <c r="AS436" i="3"/>
  <c r="AS437" i="3"/>
  <c r="AS438" i="3"/>
  <c r="AS439" i="3"/>
  <c r="AS440" i="3"/>
  <c r="AS441" i="3"/>
  <c r="AS442" i="3"/>
  <c r="AS443" i="3"/>
  <c r="AS444" i="3"/>
  <c r="AS445" i="3"/>
  <c r="AS446" i="3"/>
  <c r="AS447" i="3"/>
  <c r="AS448" i="3"/>
  <c r="AS449" i="3"/>
  <c r="AS450" i="3"/>
  <c r="AS451" i="3"/>
  <c r="AS452" i="3"/>
  <c r="AS453" i="3"/>
  <c r="AS454" i="3"/>
  <c r="AS455" i="3"/>
  <c r="AS456" i="3"/>
  <c r="AS457" i="3"/>
  <c r="AS458" i="3"/>
  <c r="AS459" i="3"/>
  <c r="AS460" i="3"/>
  <c r="AS461" i="3"/>
  <c r="AS462" i="3"/>
  <c r="AS463" i="3"/>
  <c r="AS464" i="3"/>
  <c r="AS465" i="3"/>
  <c r="AS466" i="3"/>
  <c r="AS467" i="3"/>
  <c r="AS468" i="3"/>
  <c r="AS469" i="3"/>
  <c r="AS470" i="3"/>
  <c r="AS471" i="3"/>
  <c r="AS472" i="3"/>
  <c r="AS473" i="3"/>
  <c r="AS474" i="3"/>
  <c r="AS475" i="3"/>
  <c r="AS476" i="3"/>
  <c r="AS477" i="3"/>
  <c r="AS478" i="3"/>
  <c r="AS479" i="3"/>
  <c r="AS480" i="3"/>
  <c r="AS481" i="3"/>
  <c r="AS482" i="3"/>
  <c r="AS483" i="3"/>
  <c r="AS484" i="3"/>
  <c r="AS485" i="3"/>
  <c r="AS486" i="3"/>
  <c r="AS487" i="3"/>
  <c r="AS488" i="3"/>
  <c r="AS489" i="3"/>
  <c r="AS490" i="3"/>
  <c r="AS491" i="3"/>
  <c r="AS492" i="3"/>
  <c r="AS493" i="3"/>
  <c r="AS494" i="3"/>
  <c r="AS495" i="3"/>
  <c r="AS496" i="3"/>
  <c r="AS497" i="3"/>
  <c r="AS498" i="3"/>
  <c r="AS499" i="3"/>
  <c r="AS500" i="3"/>
  <c r="AS501" i="3"/>
  <c r="AS502" i="3"/>
  <c r="AS503" i="3"/>
  <c r="AS504" i="3"/>
  <c r="AS505" i="3"/>
  <c r="AS506" i="3"/>
  <c r="AS507" i="3"/>
  <c r="AS508" i="3"/>
  <c r="AS509" i="3"/>
  <c r="AS510" i="3"/>
  <c r="AS511" i="3"/>
  <c r="AS512" i="3"/>
  <c r="AS513" i="3"/>
  <c r="AS514" i="3"/>
  <c r="AS515" i="3"/>
  <c r="AS516" i="3"/>
  <c r="AS517" i="3"/>
  <c r="AS518" i="3"/>
  <c r="AS519" i="3"/>
  <c r="AS520" i="3"/>
  <c r="AS521" i="3"/>
  <c r="AS522" i="3"/>
  <c r="AS523" i="3"/>
  <c r="AS524" i="3"/>
  <c r="AS525" i="3"/>
  <c r="AS526" i="3"/>
  <c r="AS527" i="3"/>
  <c r="AS528" i="3"/>
  <c r="AS529" i="3"/>
  <c r="AS530" i="3"/>
  <c r="AS531" i="3"/>
  <c r="AS532" i="3"/>
  <c r="AS533" i="3"/>
  <c r="AS534" i="3"/>
  <c r="AS535" i="3"/>
  <c r="AS536" i="3"/>
  <c r="AS537" i="3"/>
  <c r="AS538" i="3"/>
  <c r="AS539" i="3"/>
  <c r="AS540" i="3"/>
  <c r="AS541" i="3"/>
  <c r="AS542" i="3"/>
  <c r="AS543" i="3"/>
  <c r="AS544" i="3"/>
  <c r="AS545" i="3"/>
  <c r="AS546" i="3"/>
  <c r="AS547" i="3"/>
  <c r="AS548" i="3"/>
  <c r="AS549" i="3"/>
  <c r="AS550" i="3"/>
  <c r="AS551" i="3"/>
  <c r="AS552" i="3"/>
  <c r="AS553" i="3"/>
  <c r="AS554" i="3"/>
  <c r="AS555" i="3"/>
  <c r="AS556" i="3"/>
  <c r="AS557" i="3"/>
  <c r="AS558" i="3"/>
  <c r="AS559" i="3"/>
  <c r="AS560" i="3"/>
  <c r="AS561" i="3"/>
  <c r="AS562" i="3"/>
  <c r="AS563" i="3"/>
  <c r="AS564" i="3"/>
  <c r="AS565" i="3"/>
  <c r="AS566" i="3"/>
  <c r="AS567" i="3"/>
  <c r="AS568" i="3"/>
  <c r="AS569" i="3"/>
  <c r="AS570" i="3"/>
  <c r="AS571" i="3"/>
  <c r="AS572" i="3"/>
  <c r="AS573" i="3"/>
  <c r="AS574" i="3"/>
  <c r="AS575" i="3"/>
  <c r="AS576" i="3"/>
  <c r="AS577" i="3"/>
  <c r="AS578" i="3"/>
  <c r="AS579" i="3"/>
  <c r="AS580" i="3"/>
  <c r="AS581" i="3"/>
  <c r="AS582" i="3"/>
  <c r="AS583" i="3"/>
  <c r="AS584" i="3"/>
  <c r="AS585" i="3"/>
  <c r="AS586" i="3"/>
  <c r="AS587" i="3"/>
  <c r="AS588" i="3"/>
  <c r="AS589" i="3"/>
  <c r="AS590" i="3"/>
  <c r="AS591" i="3"/>
  <c r="AS592" i="3"/>
  <c r="AS593" i="3"/>
  <c r="AS594" i="3"/>
  <c r="AS595" i="3"/>
  <c r="AS596" i="3"/>
  <c r="AS597" i="3"/>
  <c r="AS598" i="3"/>
  <c r="AS599" i="3"/>
  <c r="AS600" i="3"/>
  <c r="AS601" i="3"/>
  <c r="AS602" i="3"/>
  <c r="AS603" i="3"/>
  <c r="AS8" i="3"/>
  <c r="AS9" i="3"/>
  <c r="AS10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S30" i="3"/>
  <c r="AS31" i="3"/>
  <c r="AS32" i="3"/>
  <c r="AS33" i="3"/>
  <c r="AS34" i="3"/>
  <c r="AS35" i="3"/>
  <c r="AS36" i="3"/>
  <c r="AS37" i="3"/>
  <c r="AS38" i="3"/>
  <c r="AS39" i="3"/>
  <c r="AS40" i="3"/>
  <c r="AS41" i="3"/>
  <c r="AS42" i="3"/>
  <c r="AS43" i="3"/>
  <c r="AS44" i="3"/>
  <c r="AS45" i="3"/>
  <c r="AS46" i="3"/>
  <c r="AS47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S76" i="3"/>
  <c r="AS77" i="3"/>
  <c r="AS78" i="3"/>
  <c r="AS79" i="3"/>
  <c r="AS80" i="3"/>
  <c r="AS81" i="3"/>
  <c r="AS82" i="3"/>
  <c r="AS83" i="3"/>
  <c r="AS84" i="3"/>
  <c r="AS85" i="3"/>
  <c r="AS86" i="3"/>
  <c r="AS87" i="3"/>
  <c r="AS88" i="3"/>
  <c r="AS89" i="3"/>
  <c r="AS90" i="3"/>
  <c r="AS91" i="3"/>
  <c r="AS92" i="3"/>
  <c r="AS93" i="3"/>
  <c r="AS94" i="3"/>
  <c r="AS95" i="3"/>
  <c r="AS96" i="3"/>
  <c r="AS97" i="3"/>
  <c r="AS98" i="3"/>
  <c r="AS99" i="3"/>
  <c r="AS100" i="3"/>
  <c r="AS101" i="3"/>
  <c r="AS102" i="3"/>
  <c r="AS103" i="3"/>
  <c r="AS104" i="3"/>
  <c r="AS105" i="3"/>
  <c r="AS106" i="3"/>
  <c r="AS107" i="3"/>
  <c r="AS108" i="3"/>
  <c r="AS109" i="3"/>
  <c r="AS110" i="3"/>
  <c r="AS111" i="3"/>
  <c r="AS112" i="3"/>
  <c r="AS113" i="3"/>
  <c r="AS114" i="3"/>
  <c r="AS115" i="3"/>
  <c r="AS116" i="3"/>
  <c r="AS117" i="3"/>
  <c r="AS118" i="3"/>
  <c r="AS119" i="3"/>
  <c r="AS120" i="3"/>
  <c r="AS121" i="3"/>
  <c r="AS122" i="3"/>
  <c r="AS123" i="3"/>
  <c r="AS124" i="3"/>
  <c r="AS125" i="3"/>
  <c r="AS126" i="3"/>
  <c r="AS127" i="3"/>
  <c r="AS128" i="3"/>
  <c r="AS129" i="3"/>
  <c r="AS130" i="3"/>
  <c r="AS131" i="3"/>
  <c r="AS132" i="3"/>
  <c r="AS133" i="3"/>
  <c r="AS134" i="3"/>
  <c r="AS135" i="3"/>
  <c r="AS136" i="3"/>
  <c r="AS137" i="3"/>
  <c r="AS138" i="3"/>
  <c r="AS139" i="3"/>
  <c r="AS140" i="3"/>
  <c r="AS141" i="3"/>
  <c r="AS142" i="3"/>
  <c r="AS143" i="3"/>
  <c r="AS144" i="3"/>
  <c r="AS145" i="3"/>
  <c r="AS146" i="3"/>
  <c r="AS147" i="3"/>
  <c r="AS148" i="3"/>
  <c r="AS149" i="3"/>
  <c r="AS150" i="3"/>
  <c r="AS151" i="3"/>
  <c r="AS152" i="3"/>
  <c r="AS153" i="3"/>
  <c r="AS154" i="3"/>
  <c r="AS155" i="3"/>
  <c r="AS156" i="3"/>
  <c r="AS157" i="3"/>
  <c r="AS158" i="3"/>
  <c r="AS159" i="3"/>
  <c r="AS160" i="3"/>
  <c r="AS161" i="3"/>
  <c r="AS162" i="3"/>
  <c r="AS163" i="3"/>
  <c r="AS164" i="3"/>
  <c r="AS165" i="3"/>
  <c r="AS166" i="3"/>
  <c r="AS167" i="3"/>
  <c r="AS168" i="3"/>
  <c r="AS169" i="3"/>
  <c r="AS170" i="3"/>
  <c r="AS171" i="3"/>
  <c r="AS172" i="3"/>
  <c r="AS173" i="3"/>
  <c r="AS174" i="3"/>
  <c r="AS175" i="3"/>
  <c r="AS176" i="3"/>
  <c r="AS177" i="3"/>
  <c r="AS178" i="3"/>
  <c r="AS179" i="3"/>
  <c r="AS180" i="3"/>
  <c r="AS181" i="3"/>
  <c r="AS182" i="3"/>
  <c r="AS183" i="3"/>
  <c r="AS184" i="3"/>
  <c r="AS185" i="3"/>
  <c r="AS186" i="3"/>
  <c r="AS187" i="3"/>
  <c r="AS188" i="3"/>
  <c r="AS189" i="3"/>
  <c r="AS190" i="3"/>
  <c r="AS191" i="3"/>
  <c r="AS192" i="3"/>
  <c r="AS193" i="3"/>
  <c r="AS194" i="3"/>
  <c r="AS195" i="3"/>
  <c r="AS196" i="3"/>
  <c r="AS197" i="3"/>
  <c r="AS198" i="3"/>
  <c r="AS199" i="3"/>
  <c r="AS200" i="3"/>
  <c r="AS201" i="3"/>
  <c r="AS202" i="3"/>
  <c r="AS203" i="3"/>
  <c r="AS204" i="3"/>
  <c r="AS205" i="3"/>
  <c r="AS206" i="3"/>
  <c r="AS207" i="3"/>
  <c r="AS208" i="3"/>
  <c r="AS209" i="3"/>
  <c r="AS210" i="3"/>
  <c r="AS211" i="3"/>
  <c r="AS212" i="3"/>
  <c r="AS213" i="3"/>
  <c r="AS214" i="3"/>
  <c r="AS215" i="3"/>
  <c r="AS216" i="3"/>
  <c r="AS217" i="3"/>
  <c r="AS218" i="3"/>
  <c r="AS219" i="3"/>
  <c r="AS220" i="3"/>
  <c r="AS221" i="3"/>
  <c r="AS222" i="3"/>
  <c r="AS223" i="3"/>
  <c r="AS224" i="3"/>
  <c r="AS225" i="3"/>
  <c r="AS226" i="3"/>
  <c r="AS227" i="3"/>
  <c r="AS228" i="3"/>
  <c r="AS229" i="3"/>
  <c r="AS230" i="3"/>
  <c r="AS231" i="3"/>
  <c r="AS232" i="3"/>
  <c r="AS233" i="3"/>
  <c r="AS234" i="3"/>
  <c r="AS235" i="3"/>
  <c r="AS236" i="3"/>
  <c r="AS237" i="3"/>
  <c r="AS238" i="3"/>
  <c r="AS239" i="3"/>
  <c r="AS240" i="3"/>
  <c r="AS241" i="3"/>
  <c r="AS242" i="3"/>
  <c r="AS243" i="3"/>
  <c r="AS244" i="3"/>
  <c r="AS245" i="3"/>
  <c r="AS246" i="3"/>
  <c r="AS247" i="3"/>
  <c r="AS248" i="3"/>
  <c r="AS249" i="3"/>
  <c r="AS250" i="3"/>
  <c r="AS251" i="3"/>
  <c r="AS252" i="3"/>
  <c r="AS253" i="3"/>
  <c r="AS254" i="3"/>
  <c r="AS255" i="3"/>
  <c r="AS256" i="3"/>
  <c r="AS257" i="3"/>
  <c r="AS258" i="3"/>
  <c r="AS259" i="3"/>
  <c r="AS260" i="3"/>
  <c r="AS261" i="3"/>
  <c r="AS262" i="3"/>
  <c r="AS263" i="3"/>
  <c r="AS264" i="3"/>
  <c r="AS265" i="3"/>
  <c r="AS266" i="3"/>
  <c r="AS267" i="3"/>
  <c r="AS268" i="3"/>
  <c r="AS269" i="3"/>
  <c r="AS270" i="3"/>
  <c r="AS271" i="3"/>
  <c r="AS272" i="3"/>
  <c r="AS273" i="3"/>
  <c r="AS274" i="3"/>
  <c r="AS275" i="3"/>
  <c r="AS276" i="3"/>
  <c r="AS277" i="3"/>
  <c r="AS278" i="3"/>
  <c r="AS279" i="3"/>
  <c r="AS280" i="3"/>
  <c r="AS281" i="3"/>
  <c r="AS282" i="3"/>
  <c r="AS283" i="3"/>
  <c r="AS284" i="3"/>
  <c r="AS285" i="3"/>
  <c r="AS286" i="3"/>
  <c r="AS287" i="3"/>
  <c r="AS288" i="3"/>
  <c r="AS289" i="3"/>
  <c r="AS290" i="3"/>
  <c r="AS291" i="3"/>
  <c r="AS292" i="3"/>
  <c r="AS293" i="3"/>
  <c r="AS294" i="3"/>
  <c r="AS295" i="3"/>
  <c r="AS296" i="3"/>
  <c r="AS297" i="3"/>
  <c r="AS298" i="3"/>
  <c r="AS299" i="3"/>
  <c r="AS300" i="3"/>
  <c r="AS301" i="3"/>
  <c r="AS302" i="3"/>
  <c r="AS303" i="3"/>
  <c r="AS304" i="3"/>
  <c r="AS305" i="3"/>
  <c r="AS306" i="3"/>
  <c r="AS307" i="3"/>
  <c r="Z4" i="2"/>
  <c r="AA4" i="2" s="1"/>
  <c r="Z5" i="2"/>
  <c r="AA5" i="2" s="1"/>
  <c r="Z6" i="2"/>
  <c r="AA6" i="2" s="1"/>
  <c r="Z7" i="2"/>
  <c r="AA7" i="2" s="1"/>
  <c r="Z8" i="2"/>
  <c r="AA8" i="2" s="1"/>
  <c r="Z9" i="2"/>
  <c r="AA9" i="2" s="1"/>
  <c r="Z10" i="2"/>
  <c r="AA10" i="2" s="1"/>
  <c r="Z11" i="2"/>
  <c r="AA11" i="2" s="1"/>
  <c r="Z12" i="2"/>
  <c r="AA12" i="2" s="1"/>
  <c r="AA22" i="2"/>
  <c r="Z23" i="2"/>
  <c r="AA23" i="2" s="1"/>
  <c r="Z24" i="2"/>
  <c r="AA24" i="2" s="1"/>
  <c r="AA25" i="2"/>
  <c r="AA26" i="2"/>
  <c r="AA27" i="2"/>
  <c r="Z28" i="2"/>
  <c r="AA28" i="2" s="1"/>
  <c r="Z29" i="2"/>
  <c r="AA29" i="2" s="1"/>
  <c r="Z30" i="2"/>
  <c r="AA30" i="2" s="1"/>
  <c r="Z32" i="2"/>
  <c r="AA32" i="2" s="1"/>
  <c r="Z33" i="2"/>
  <c r="AA33" i="2" s="1"/>
  <c r="Z31" i="2"/>
  <c r="AA31" i="2" s="1"/>
  <c r="Z34" i="2"/>
  <c r="AA34" i="2" s="1"/>
  <c r="Z35" i="2"/>
  <c r="AA35" i="2" s="1"/>
  <c r="Z36" i="2"/>
  <c r="AA36" i="2" s="1"/>
  <c r="Z37" i="2"/>
  <c r="AA37" i="2" s="1"/>
  <c r="Z38" i="2"/>
  <c r="AA38" i="2" s="1"/>
  <c r="Z39" i="2"/>
  <c r="AA39" i="2" s="1"/>
  <c r="Z40" i="2"/>
  <c r="AA40" i="2" s="1"/>
  <c r="Z41" i="2"/>
  <c r="AA41" i="2" s="1"/>
  <c r="Z42" i="2"/>
  <c r="AA42" i="2" s="1"/>
  <c r="Z43" i="2"/>
  <c r="AA43" i="2" s="1"/>
  <c r="Z44" i="2"/>
  <c r="AA44" i="2" s="1"/>
  <c r="Z45" i="2"/>
  <c r="AA45" i="2" s="1"/>
  <c r="Z46" i="2"/>
  <c r="AA46" i="2" s="1"/>
  <c r="Z47" i="2"/>
  <c r="AA47" i="2" s="1"/>
  <c r="Z48" i="2"/>
  <c r="AA48" i="2" s="1"/>
  <c r="Z49" i="2"/>
  <c r="AA49" i="2" s="1"/>
  <c r="Z50" i="2"/>
  <c r="AA50" i="2" s="1"/>
  <c r="Z51" i="2"/>
  <c r="AA51" i="2" s="1"/>
  <c r="Z52" i="2"/>
  <c r="AA52" i="2" s="1"/>
  <c r="Z53" i="2"/>
  <c r="AA53" i="2" s="1"/>
  <c r="Z54" i="2"/>
  <c r="AA54" i="2" s="1"/>
  <c r="Z55" i="2"/>
  <c r="AA55" i="2" s="1"/>
  <c r="Z56" i="2"/>
  <c r="AA56" i="2" s="1"/>
  <c r="Z57" i="2"/>
  <c r="AA57" i="2" s="1"/>
  <c r="Z58" i="2"/>
  <c r="AA58" i="2" s="1"/>
  <c r="Z59" i="2"/>
  <c r="AA59" i="2" s="1"/>
  <c r="Z60" i="2"/>
  <c r="AA60" i="2" s="1"/>
  <c r="Z61" i="2"/>
  <c r="AA61" i="2" s="1"/>
  <c r="Z62" i="2"/>
  <c r="AA62" i="2" s="1"/>
  <c r="Z63" i="2"/>
  <c r="AA63" i="2" s="1"/>
  <c r="Z64" i="2"/>
  <c r="AA64" i="2" s="1"/>
  <c r="Z65" i="2"/>
  <c r="AA65" i="2" s="1"/>
  <c r="Z66" i="2"/>
  <c r="AA66" i="2" s="1"/>
  <c r="Z67" i="2"/>
  <c r="AA67" i="2" s="1"/>
  <c r="Z68" i="2"/>
  <c r="AA68" i="2" s="1"/>
  <c r="Z69" i="2"/>
  <c r="AA69" i="2" s="1"/>
  <c r="Z70" i="2"/>
  <c r="AA70" i="2" s="1"/>
  <c r="Z71" i="2"/>
  <c r="AA71" i="2" s="1"/>
  <c r="Z72" i="2"/>
  <c r="AA72" i="2" s="1"/>
  <c r="Z73" i="2"/>
  <c r="AA73" i="2" s="1"/>
  <c r="Z74" i="2"/>
  <c r="AA74" i="2" s="1"/>
  <c r="Z75" i="2"/>
  <c r="AA75" i="2" s="1"/>
  <c r="Z76" i="2"/>
  <c r="AA76" i="2" s="1"/>
  <c r="Z77" i="2"/>
  <c r="AA77" i="2" s="1"/>
  <c r="Z78" i="2"/>
  <c r="AA78" i="2" s="1"/>
  <c r="Z79" i="2"/>
  <c r="AA79" i="2" s="1"/>
  <c r="Z80" i="2"/>
  <c r="AA80" i="2" s="1"/>
  <c r="Z81" i="2"/>
  <c r="AA81" i="2" s="1"/>
  <c r="Z82" i="2"/>
  <c r="AA82" i="2" s="1"/>
  <c r="Z83" i="2"/>
  <c r="AA83" i="2" s="1"/>
  <c r="Z84" i="2"/>
  <c r="AA84" i="2" s="1"/>
  <c r="Z85" i="2"/>
  <c r="AA85" i="2" s="1"/>
  <c r="Z86" i="2"/>
  <c r="AA86" i="2" s="1"/>
  <c r="Z87" i="2"/>
  <c r="AA87" i="2" s="1"/>
  <c r="Z88" i="2"/>
  <c r="AA88" i="2" s="1"/>
  <c r="Z89" i="2"/>
  <c r="AA89" i="2" s="1"/>
  <c r="Z90" i="2"/>
  <c r="AA90" i="2" s="1"/>
  <c r="Z91" i="2"/>
  <c r="AA91" i="2" s="1"/>
  <c r="Z92" i="2"/>
  <c r="AA92" i="2" s="1"/>
  <c r="Z93" i="2"/>
  <c r="AA93" i="2" s="1"/>
  <c r="Z94" i="2"/>
  <c r="AA94" i="2" s="1"/>
  <c r="Z95" i="2"/>
  <c r="AA95" i="2" s="1"/>
  <c r="Z96" i="2"/>
  <c r="AA96" i="2" s="1"/>
  <c r="Z97" i="2"/>
  <c r="AA97" i="2" s="1"/>
  <c r="Z98" i="2"/>
  <c r="AA98" i="2" s="1"/>
  <c r="Z99" i="2"/>
  <c r="AA99" i="2" s="1"/>
  <c r="Z100" i="2"/>
  <c r="AA100" i="2" s="1"/>
  <c r="Z101" i="2"/>
  <c r="AA101" i="2" s="1"/>
  <c r="Z102" i="2"/>
  <c r="AA102" i="2" s="1"/>
  <c r="Z103" i="2"/>
  <c r="AA103" i="2" s="1"/>
  <c r="Z104" i="2"/>
  <c r="AA104" i="2" s="1"/>
  <c r="Z105" i="2"/>
  <c r="AA105" i="2" s="1"/>
  <c r="Z106" i="2"/>
  <c r="AA106" i="2" s="1"/>
  <c r="Z107" i="2"/>
  <c r="AA107" i="2" s="1"/>
  <c r="Z108" i="2"/>
  <c r="AA108" i="2" s="1"/>
  <c r="Z109" i="2"/>
  <c r="AA109" i="2" s="1"/>
  <c r="Z110" i="2"/>
  <c r="AA110" i="2" s="1"/>
  <c r="Z111" i="2"/>
  <c r="AA111" i="2" s="1"/>
  <c r="Z112" i="2"/>
  <c r="AA112" i="2" s="1"/>
  <c r="Z113" i="2"/>
  <c r="AA113" i="2" s="1"/>
  <c r="Z114" i="2"/>
  <c r="AA114" i="2" s="1"/>
  <c r="Z115" i="2"/>
  <c r="AA115" i="2" s="1"/>
  <c r="Z116" i="2"/>
  <c r="AA116" i="2" s="1"/>
  <c r="Z117" i="2"/>
  <c r="AA117" i="2" s="1"/>
  <c r="Z118" i="2"/>
  <c r="AA118" i="2" s="1"/>
  <c r="Z119" i="2"/>
  <c r="AA119" i="2" s="1"/>
  <c r="Z120" i="2"/>
  <c r="AA120" i="2" s="1"/>
  <c r="Z121" i="2"/>
  <c r="AA121" i="2" s="1"/>
  <c r="Z122" i="2"/>
  <c r="AA122" i="2" s="1"/>
  <c r="Z123" i="2"/>
  <c r="AA123" i="2" s="1"/>
  <c r="Z124" i="2"/>
  <c r="AA124" i="2" s="1"/>
  <c r="Z125" i="2"/>
  <c r="AA125" i="2" s="1"/>
  <c r="Z126" i="2"/>
  <c r="AA126" i="2" s="1"/>
  <c r="Z127" i="2"/>
  <c r="AA127" i="2" s="1"/>
  <c r="Z128" i="2"/>
  <c r="AA128" i="2" s="1"/>
  <c r="Z129" i="2"/>
  <c r="AA129" i="2" s="1"/>
  <c r="Z130" i="2"/>
  <c r="AA130" i="2" s="1"/>
  <c r="Z131" i="2"/>
  <c r="AA131" i="2" s="1"/>
  <c r="Z132" i="2"/>
  <c r="AA132" i="2" s="1"/>
  <c r="Z133" i="2"/>
  <c r="AA133" i="2" s="1"/>
  <c r="Z134" i="2"/>
  <c r="AA134" i="2" s="1"/>
  <c r="Z135" i="2"/>
  <c r="AA135" i="2" s="1"/>
  <c r="Z136" i="2"/>
  <c r="AA136" i="2" s="1"/>
  <c r="Z137" i="2"/>
  <c r="AA137" i="2" s="1"/>
  <c r="Z138" i="2"/>
  <c r="AA138" i="2" s="1"/>
  <c r="Z139" i="2"/>
  <c r="AA139" i="2" s="1"/>
  <c r="Z140" i="2"/>
  <c r="AA140" i="2" s="1"/>
  <c r="Z141" i="2"/>
  <c r="AA141" i="2" s="1"/>
  <c r="Z142" i="2"/>
  <c r="AA142" i="2" s="1"/>
  <c r="Z143" i="2"/>
  <c r="AA143" i="2" s="1"/>
  <c r="Z144" i="2"/>
  <c r="AA144" i="2" s="1"/>
  <c r="Z145" i="2"/>
  <c r="AA145" i="2" s="1"/>
  <c r="Z146" i="2"/>
  <c r="AA146" i="2" s="1"/>
  <c r="Z147" i="2"/>
  <c r="AA147" i="2" s="1"/>
  <c r="Z148" i="2"/>
  <c r="AA148" i="2" s="1"/>
  <c r="Z149" i="2"/>
  <c r="AA149" i="2" s="1"/>
  <c r="Z150" i="2"/>
  <c r="AA150" i="2" s="1"/>
  <c r="Z151" i="2"/>
  <c r="AA151" i="2" s="1"/>
  <c r="Z152" i="2"/>
  <c r="AA152" i="2" s="1"/>
  <c r="Z153" i="2"/>
  <c r="AA153" i="2" s="1"/>
  <c r="Z154" i="2"/>
  <c r="AA154" i="2" s="1"/>
  <c r="Z155" i="2"/>
  <c r="AA155" i="2" s="1"/>
  <c r="Z156" i="2"/>
  <c r="AA156" i="2" s="1"/>
  <c r="Z157" i="2"/>
  <c r="AA157" i="2" s="1"/>
  <c r="Z158" i="2"/>
  <c r="AA158" i="2" s="1"/>
  <c r="Z159" i="2"/>
  <c r="AA159" i="2" s="1"/>
  <c r="Z160" i="2"/>
  <c r="AA160" i="2" s="1"/>
  <c r="Z161" i="2"/>
  <c r="AA161" i="2" s="1"/>
  <c r="Z162" i="2"/>
  <c r="AA162" i="2" s="1"/>
  <c r="Z163" i="2"/>
  <c r="AA163" i="2" s="1"/>
  <c r="Z164" i="2"/>
  <c r="AA164" i="2" s="1"/>
  <c r="Z165" i="2"/>
  <c r="AA165" i="2" s="1"/>
  <c r="Z166" i="2"/>
  <c r="AA166" i="2" s="1"/>
  <c r="Z167" i="2"/>
  <c r="AA167" i="2" s="1"/>
  <c r="Z168" i="2"/>
  <c r="AA168" i="2" s="1"/>
  <c r="Z169" i="2"/>
  <c r="AA169" i="2" s="1"/>
  <c r="Z170" i="2"/>
  <c r="AA170" i="2" s="1"/>
  <c r="Z171" i="2"/>
  <c r="AA171" i="2" s="1"/>
  <c r="Z172" i="2"/>
  <c r="AA172" i="2" s="1"/>
  <c r="Z173" i="2"/>
  <c r="AA173" i="2" s="1"/>
  <c r="Z174" i="2"/>
  <c r="AA174" i="2" s="1"/>
  <c r="Z175" i="2"/>
  <c r="AA175" i="2" s="1"/>
  <c r="Z176" i="2"/>
  <c r="AA176" i="2" s="1"/>
  <c r="Z177" i="2"/>
  <c r="AA177" i="2" s="1"/>
  <c r="Z178" i="2"/>
  <c r="AA178" i="2" s="1"/>
  <c r="Z179" i="2"/>
  <c r="AA179" i="2" s="1"/>
  <c r="Z180" i="2"/>
  <c r="AA180" i="2" s="1"/>
  <c r="Z181" i="2"/>
  <c r="AA181" i="2" s="1"/>
  <c r="Z182" i="2"/>
  <c r="AA182" i="2" s="1"/>
  <c r="Z183" i="2"/>
  <c r="AA183" i="2" s="1"/>
  <c r="Z184" i="2"/>
  <c r="AA184" i="2" s="1"/>
  <c r="Z185" i="2"/>
  <c r="AA185" i="2" s="1"/>
  <c r="Z186" i="2"/>
  <c r="AA186" i="2" s="1"/>
  <c r="Z187" i="2"/>
  <c r="AA187" i="2" s="1"/>
  <c r="Z188" i="2"/>
  <c r="AA188" i="2" s="1"/>
  <c r="Z189" i="2"/>
  <c r="AA189" i="2" s="1"/>
  <c r="Z190" i="2"/>
  <c r="AA190" i="2" s="1"/>
  <c r="Z191" i="2"/>
  <c r="AA191" i="2" s="1"/>
  <c r="Z192" i="2"/>
  <c r="AA192" i="2" s="1"/>
  <c r="Z193" i="2"/>
  <c r="AA193" i="2" s="1"/>
  <c r="Z194" i="2"/>
  <c r="AA194" i="2" s="1"/>
  <c r="Z195" i="2"/>
  <c r="AA195" i="2" s="1"/>
  <c r="Z196" i="2"/>
  <c r="AA196" i="2" s="1"/>
  <c r="Z197" i="2"/>
  <c r="AA197" i="2" s="1"/>
  <c r="Z198" i="2"/>
  <c r="AA198" i="2" s="1"/>
  <c r="Z199" i="2"/>
  <c r="AA199" i="2" s="1"/>
  <c r="Z200" i="2"/>
  <c r="AA200" i="2" s="1"/>
  <c r="Z201" i="2"/>
  <c r="AA201" i="2" s="1"/>
  <c r="Z202" i="2"/>
  <c r="AA202" i="2" s="1"/>
  <c r="Z203" i="2"/>
  <c r="AA203" i="2" s="1"/>
  <c r="Z204" i="2"/>
  <c r="AA204" i="2" s="1"/>
  <c r="Z205" i="2"/>
  <c r="AA205" i="2" s="1"/>
  <c r="Z206" i="2"/>
  <c r="AA206" i="2" s="1"/>
  <c r="Z207" i="2"/>
  <c r="AA207" i="2" s="1"/>
  <c r="Z208" i="2"/>
  <c r="AA208" i="2" s="1"/>
  <c r="Z209" i="2"/>
  <c r="AA209" i="2" s="1"/>
  <c r="Z210" i="2"/>
  <c r="AA210" i="2" s="1"/>
  <c r="Z211" i="2"/>
  <c r="AA211" i="2" s="1"/>
  <c r="Z212" i="2"/>
  <c r="AA212" i="2" s="1"/>
  <c r="Z213" i="2"/>
  <c r="AA213" i="2" s="1"/>
  <c r="Z214" i="2"/>
  <c r="AA214" i="2" s="1"/>
  <c r="Z215" i="2"/>
  <c r="AA215" i="2" s="1"/>
  <c r="Z216" i="2"/>
  <c r="AA216" i="2" s="1"/>
  <c r="Z217" i="2"/>
  <c r="AA217" i="2" s="1"/>
  <c r="Z218" i="2"/>
  <c r="AA218" i="2" s="1"/>
  <c r="Z219" i="2"/>
  <c r="AA219" i="2" s="1"/>
  <c r="Z220" i="2"/>
  <c r="AA220" i="2" s="1"/>
  <c r="Z221" i="2"/>
  <c r="AA221" i="2" s="1"/>
  <c r="Z222" i="2"/>
  <c r="AA222" i="2" s="1"/>
  <c r="Z223" i="2"/>
  <c r="AA223" i="2" s="1"/>
  <c r="Z224" i="2"/>
  <c r="AA224" i="2" s="1"/>
  <c r="Z225" i="2"/>
  <c r="AA225" i="2" s="1"/>
  <c r="Z226" i="2"/>
  <c r="AA226" i="2" s="1"/>
  <c r="Z227" i="2"/>
  <c r="AA227" i="2" s="1"/>
  <c r="Z228" i="2"/>
  <c r="AA228" i="2" s="1"/>
  <c r="Z229" i="2"/>
  <c r="AA229" i="2" s="1"/>
  <c r="Z230" i="2"/>
  <c r="AA230" i="2" s="1"/>
  <c r="Z231" i="2"/>
  <c r="AA231" i="2" s="1"/>
  <c r="Z232" i="2"/>
  <c r="AA232" i="2" s="1"/>
  <c r="Z233" i="2"/>
  <c r="AA233" i="2" s="1"/>
  <c r="Z234" i="2"/>
  <c r="AA234" i="2" s="1"/>
  <c r="Z235" i="2"/>
  <c r="AA235" i="2" s="1"/>
  <c r="Z236" i="2"/>
  <c r="AA236" i="2" s="1"/>
  <c r="Z237" i="2"/>
  <c r="AA237" i="2" s="1"/>
  <c r="Z238" i="2"/>
  <c r="AA238" i="2" s="1"/>
  <c r="Z239" i="2"/>
  <c r="AA239" i="2" s="1"/>
  <c r="Z240" i="2"/>
  <c r="AA240" i="2" s="1"/>
  <c r="Z241" i="2"/>
  <c r="AA241" i="2" s="1"/>
  <c r="Z242" i="2"/>
  <c r="AA242" i="2" s="1"/>
  <c r="Z243" i="2"/>
  <c r="AA243" i="2" s="1"/>
  <c r="Z244" i="2"/>
  <c r="AA244" i="2" s="1"/>
  <c r="Z245" i="2"/>
  <c r="AA245" i="2" s="1"/>
  <c r="Z246" i="2"/>
  <c r="AA246" i="2" s="1"/>
  <c r="Z247" i="2"/>
  <c r="AA247" i="2" s="1"/>
  <c r="Z248" i="2"/>
  <c r="AA248" i="2" s="1"/>
  <c r="Z249" i="2"/>
  <c r="AA249" i="2" s="1"/>
  <c r="Z250" i="2"/>
  <c r="AA250" i="2" s="1"/>
  <c r="Z251" i="2"/>
  <c r="AA251" i="2" s="1"/>
  <c r="Z252" i="2"/>
  <c r="AA252" i="2" s="1"/>
  <c r="Z253" i="2"/>
  <c r="AA253" i="2" s="1"/>
  <c r="Z254" i="2"/>
  <c r="AA254" i="2" s="1"/>
  <c r="Z255" i="2"/>
  <c r="AA255" i="2" s="1"/>
  <c r="Z256" i="2"/>
  <c r="AA256" i="2" s="1"/>
  <c r="Z257" i="2"/>
  <c r="AA257" i="2" s="1"/>
  <c r="Z258" i="2"/>
  <c r="AA258" i="2" s="1"/>
  <c r="Z259" i="2"/>
  <c r="AA259" i="2" s="1"/>
  <c r="Z260" i="2"/>
  <c r="AA260" i="2" s="1"/>
  <c r="Z261" i="2"/>
  <c r="AA261" i="2" s="1"/>
  <c r="Z262" i="2"/>
  <c r="AA262" i="2" s="1"/>
  <c r="Z263" i="2"/>
  <c r="AA263" i="2" s="1"/>
  <c r="Z264" i="2"/>
  <c r="AA264" i="2" s="1"/>
  <c r="Z265" i="2"/>
  <c r="AA265" i="2" s="1"/>
  <c r="Z266" i="2"/>
  <c r="AA266" i="2" s="1"/>
  <c r="Z267" i="2"/>
  <c r="AA267" i="2" s="1"/>
  <c r="Z268" i="2"/>
  <c r="AA268" i="2" s="1"/>
  <c r="Z269" i="2"/>
  <c r="AA269" i="2" s="1"/>
  <c r="Z270" i="2"/>
  <c r="AA270" i="2" s="1"/>
  <c r="Z271" i="2"/>
  <c r="AA271" i="2" s="1"/>
  <c r="Z272" i="2"/>
  <c r="AA272" i="2" s="1"/>
  <c r="Z273" i="2"/>
  <c r="AA273" i="2" s="1"/>
  <c r="Z274" i="2"/>
  <c r="AA274" i="2" s="1"/>
  <c r="Z275" i="2"/>
  <c r="AA275" i="2" s="1"/>
  <c r="Z276" i="2"/>
  <c r="AA276" i="2" s="1"/>
  <c r="Z277" i="2"/>
  <c r="AA277" i="2" s="1"/>
  <c r="Z278" i="2"/>
  <c r="AA278" i="2" s="1"/>
  <c r="Z279" i="2"/>
  <c r="AA279" i="2" s="1"/>
  <c r="Z280" i="2"/>
  <c r="AA280" i="2" s="1"/>
  <c r="Z281" i="2"/>
  <c r="AA281" i="2" s="1"/>
  <c r="Z282" i="2"/>
  <c r="AA282" i="2" s="1"/>
  <c r="Z283" i="2"/>
  <c r="AA283" i="2" s="1"/>
  <c r="Z284" i="2"/>
  <c r="AA284" i="2" s="1"/>
  <c r="Z285" i="2"/>
  <c r="AA285" i="2" s="1"/>
  <c r="Z286" i="2"/>
  <c r="AA286" i="2" s="1"/>
  <c r="Z287" i="2"/>
  <c r="AA287" i="2" s="1"/>
  <c r="Z288" i="2"/>
  <c r="AA288" i="2" s="1"/>
  <c r="Z289" i="2"/>
  <c r="AA289" i="2" s="1"/>
  <c r="Z290" i="2"/>
  <c r="AA290" i="2" s="1"/>
  <c r="Z291" i="2"/>
  <c r="AA291" i="2" s="1"/>
  <c r="Z292" i="2"/>
  <c r="AA292" i="2" s="1"/>
  <c r="Z293" i="2"/>
  <c r="AA293" i="2" s="1"/>
  <c r="Z294" i="2"/>
  <c r="AA294" i="2" s="1"/>
  <c r="Z295" i="2"/>
  <c r="AA295" i="2" s="1"/>
  <c r="Z296" i="2"/>
  <c r="AA296" i="2" s="1"/>
  <c r="Z297" i="2"/>
  <c r="AA297" i="2" s="1"/>
  <c r="Z298" i="2"/>
  <c r="AA298" i="2" s="1"/>
  <c r="Z299" i="2"/>
  <c r="AA299" i="2" s="1"/>
  <c r="Z300" i="2"/>
  <c r="AA300" i="2" s="1"/>
  <c r="Z301" i="2"/>
  <c r="AA301" i="2" s="1"/>
  <c r="Z302" i="2"/>
  <c r="AA302" i="2" s="1"/>
  <c r="Z303" i="2"/>
  <c r="AA303" i="2" s="1"/>
  <c r="Z304" i="2"/>
  <c r="AA304" i="2" s="1"/>
  <c r="Z305" i="2"/>
  <c r="AA305" i="2" s="1"/>
  <c r="Z306" i="2"/>
  <c r="AA306" i="2" s="1"/>
  <c r="Z307" i="2"/>
  <c r="AA307" i="2" s="1"/>
  <c r="Z308" i="2"/>
  <c r="AA308" i="2" s="1"/>
  <c r="Z309" i="2"/>
  <c r="AA309" i="2" s="1"/>
  <c r="Z310" i="2"/>
  <c r="AA310" i="2" s="1"/>
  <c r="Z311" i="2"/>
  <c r="AA311" i="2" s="1"/>
  <c r="Z312" i="2"/>
  <c r="AA312" i="2" s="1"/>
  <c r="Z313" i="2"/>
  <c r="AA313" i="2" s="1"/>
  <c r="Z314" i="2"/>
  <c r="AA314" i="2" s="1"/>
  <c r="Z315" i="2"/>
  <c r="AA315" i="2" s="1"/>
  <c r="Z316" i="2"/>
  <c r="AA316" i="2" s="1"/>
  <c r="Z317" i="2"/>
  <c r="AA317" i="2" s="1"/>
  <c r="Z318" i="2"/>
  <c r="AA318" i="2" s="1"/>
  <c r="Z319" i="2"/>
  <c r="AA319" i="2" s="1"/>
  <c r="Z320" i="2"/>
  <c r="AA320" i="2" s="1"/>
  <c r="Z321" i="2"/>
  <c r="AA321" i="2" s="1"/>
  <c r="Z322" i="2"/>
  <c r="AA322" i="2" s="1"/>
  <c r="Z323" i="2"/>
  <c r="AA323" i="2" s="1"/>
  <c r="Z324" i="2"/>
  <c r="AA324" i="2" s="1"/>
  <c r="Z325" i="2"/>
  <c r="AA325" i="2" s="1"/>
  <c r="Z326" i="2"/>
  <c r="AA326" i="2" s="1"/>
  <c r="Z327" i="2"/>
  <c r="AA327" i="2" s="1"/>
  <c r="Z328" i="2"/>
  <c r="AA328" i="2" s="1"/>
  <c r="Z329" i="2"/>
  <c r="AA329" i="2" s="1"/>
  <c r="Z330" i="2"/>
  <c r="AA330" i="2" s="1"/>
  <c r="Z331" i="2"/>
  <c r="AA331" i="2" s="1"/>
  <c r="Z332" i="2"/>
  <c r="AA332" i="2" s="1"/>
  <c r="Z333" i="2"/>
  <c r="AA333" i="2" s="1"/>
  <c r="Z334" i="2"/>
  <c r="AA334" i="2" s="1"/>
  <c r="Z335" i="2"/>
  <c r="AA335" i="2" s="1"/>
  <c r="Z336" i="2"/>
  <c r="AA336" i="2" s="1"/>
  <c r="Z337" i="2"/>
  <c r="AA337" i="2" s="1"/>
  <c r="Z338" i="2"/>
  <c r="AA338" i="2" s="1"/>
  <c r="Z339" i="2"/>
  <c r="AA339" i="2" s="1"/>
  <c r="Z340" i="2"/>
  <c r="AA340" i="2" s="1"/>
  <c r="Z341" i="2"/>
  <c r="AA341" i="2" s="1"/>
  <c r="Z342" i="2"/>
  <c r="AA342" i="2" s="1"/>
  <c r="Z343" i="2"/>
  <c r="AA343" i="2" s="1"/>
  <c r="Z344" i="2"/>
  <c r="AA344" i="2" s="1"/>
  <c r="Z345" i="2"/>
  <c r="AA345" i="2" s="1"/>
  <c r="Z346" i="2"/>
  <c r="AA346" i="2" s="1"/>
  <c r="Z347" i="2"/>
  <c r="AA347" i="2" s="1"/>
  <c r="Z348" i="2"/>
  <c r="AA348" i="2" s="1"/>
  <c r="Z349" i="2"/>
  <c r="AA349" i="2" s="1"/>
  <c r="Z350" i="2"/>
  <c r="AA350" i="2" s="1"/>
  <c r="Z351" i="2"/>
  <c r="AA351" i="2" s="1"/>
  <c r="Z352" i="2"/>
  <c r="AA352" i="2" s="1"/>
  <c r="Z353" i="2"/>
  <c r="AA353" i="2" s="1"/>
  <c r="Z354" i="2"/>
  <c r="AA354" i="2" s="1"/>
  <c r="Z355" i="2"/>
  <c r="AA355" i="2" s="1"/>
  <c r="Z356" i="2"/>
  <c r="AA356" i="2" s="1"/>
  <c r="Z357" i="2"/>
  <c r="AA357" i="2" s="1"/>
  <c r="Z358" i="2"/>
  <c r="AA358" i="2" s="1"/>
  <c r="Z359" i="2"/>
  <c r="AA359" i="2" s="1"/>
  <c r="Z360" i="2"/>
  <c r="AA360" i="2" s="1"/>
  <c r="Z361" i="2"/>
  <c r="AA361" i="2" s="1"/>
  <c r="Z362" i="2"/>
  <c r="AA362" i="2" s="1"/>
  <c r="Z363" i="2"/>
  <c r="AA363" i="2" s="1"/>
  <c r="Z364" i="2"/>
  <c r="AA364" i="2" s="1"/>
  <c r="Z365" i="2"/>
  <c r="AA365" i="2" s="1"/>
  <c r="Z366" i="2"/>
  <c r="AA366" i="2" s="1"/>
  <c r="Z367" i="2"/>
  <c r="AA367" i="2" s="1"/>
  <c r="Z368" i="2"/>
  <c r="AA368" i="2" s="1"/>
  <c r="Z369" i="2"/>
  <c r="AA369" i="2" s="1"/>
  <c r="Z370" i="2"/>
  <c r="AA370" i="2" s="1"/>
  <c r="Z371" i="2"/>
  <c r="AA371" i="2" s="1"/>
  <c r="Z372" i="2"/>
  <c r="AA372" i="2" s="1"/>
  <c r="Z373" i="2"/>
  <c r="AA373" i="2" s="1"/>
  <c r="Z374" i="2"/>
  <c r="AA374" i="2" s="1"/>
  <c r="Z375" i="2"/>
  <c r="AA375" i="2" s="1"/>
  <c r="Z376" i="2"/>
  <c r="AA376" i="2" s="1"/>
  <c r="Z377" i="2"/>
  <c r="AA377" i="2" s="1"/>
  <c r="Z378" i="2"/>
  <c r="AA378" i="2" s="1"/>
  <c r="Z379" i="2"/>
  <c r="AA379" i="2" s="1"/>
  <c r="Z380" i="2"/>
  <c r="AA380" i="2" s="1"/>
  <c r="Z381" i="2"/>
  <c r="AA381" i="2" s="1"/>
  <c r="Z382" i="2"/>
  <c r="AA382" i="2" s="1"/>
  <c r="Z383" i="2"/>
  <c r="AA383" i="2" s="1"/>
  <c r="Z384" i="2"/>
  <c r="AA384" i="2" s="1"/>
  <c r="Z385" i="2"/>
  <c r="AA385" i="2" s="1"/>
  <c r="Z386" i="2"/>
  <c r="AA386" i="2" s="1"/>
  <c r="Z387" i="2"/>
  <c r="AA387" i="2" s="1"/>
  <c r="Z388" i="2"/>
  <c r="AA388" i="2" s="1"/>
  <c r="Z389" i="2"/>
  <c r="AA389" i="2" s="1"/>
  <c r="Z390" i="2"/>
  <c r="AA390" i="2" s="1"/>
  <c r="Z391" i="2"/>
  <c r="AA391" i="2" s="1"/>
  <c r="Z392" i="2"/>
  <c r="AA392" i="2" s="1"/>
  <c r="Z393" i="2"/>
  <c r="AA393" i="2" s="1"/>
  <c r="Z394" i="2"/>
  <c r="AA394" i="2" s="1"/>
  <c r="Z395" i="2"/>
  <c r="AA395" i="2" s="1"/>
  <c r="Z396" i="2"/>
  <c r="AA396" i="2" s="1"/>
  <c r="Z397" i="2"/>
  <c r="AA397" i="2" s="1"/>
  <c r="Z398" i="2"/>
  <c r="AA398" i="2" s="1"/>
  <c r="Z399" i="2"/>
  <c r="AA399" i="2" s="1"/>
  <c r="Z400" i="2"/>
  <c r="AA400" i="2" s="1"/>
  <c r="Z401" i="2"/>
  <c r="AA401" i="2" s="1"/>
  <c r="Z402" i="2"/>
  <c r="AA402" i="2" s="1"/>
  <c r="Z403" i="2"/>
  <c r="AA403" i="2" s="1"/>
  <c r="Z404" i="2"/>
  <c r="AA404" i="2" s="1"/>
  <c r="Z405" i="2"/>
  <c r="AA405" i="2" s="1"/>
  <c r="Z406" i="2"/>
  <c r="AA406" i="2" s="1"/>
  <c r="Z407" i="2"/>
  <c r="AA407" i="2" s="1"/>
  <c r="Z408" i="2"/>
  <c r="AA408" i="2" s="1"/>
  <c r="Z409" i="2"/>
  <c r="AA409" i="2" s="1"/>
  <c r="Z410" i="2"/>
  <c r="AA410" i="2" s="1"/>
  <c r="Z411" i="2"/>
  <c r="AA411" i="2" s="1"/>
  <c r="Z412" i="2"/>
  <c r="AA412" i="2" s="1"/>
  <c r="Z413" i="2"/>
  <c r="AA413" i="2" s="1"/>
  <c r="Z414" i="2"/>
  <c r="AA414" i="2" s="1"/>
  <c r="Z415" i="2"/>
  <c r="AA415" i="2" s="1"/>
  <c r="Z416" i="2"/>
  <c r="AA416" i="2" s="1"/>
  <c r="Z417" i="2"/>
  <c r="AA417" i="2" s="1"/>
  <c r="Z418" i="2"/>
  <c r="AA418" i="2" s="1"/>
  <c r="Z419" i="2"/>
  <c r="AA419" i="2" s="1"/>
  <c r="Z420" i="2"/>
  <c r="AA420" i="2" s="1"/>
  <c r="Z421" i="2"/>
  <c r="AA421" i="2" s="1"/>
  <c r="Z422" i="2"/>
  <c r="AA422" i="2" s="1"/>
  <c r="Z423" i="2"/>
  <c r="AA423" i="2" s="1"/>
  <c r="Z424" i="2"/>
  <c r="AA424" i="2" s="1"/>
  <c r="Z425" i="2"/>
  <c r="AA425" i="2" s="1"/>
  <c r="Z426" i="2"/>
  <c r="AA426" i="2" s="1"/>
  <c r="Z427" i="2"/>
  <c r="AA427" i="2" s="1"/>
  <c r="Z428" i="2"/>
  <c r="AA428" i="2" s="1"/>
  <c r="Z429" i="2"/>
  <c r="AA429" i="2" s="1"/>
  <c r="Z430" i="2"/>
  <c r="AA430" i="2" s="1"/>
  <c r="Z431" i="2"/>
  <c r="AA431" i="2" s="1"/>
  <c r="Z432" i="2"/>
  <c r="AA432" i="2" s="1"/>
  <c r="Z433" i="2"/>
  <c r="AA433" i="2" s="1"/>
  <c r="Z434" i="2"/>
  <c r="AA434" i="2" s="1"/>
  <c r="Z435" i="2"/>
  <c r="AA435" i="2" s="1"/>
  <c r="Z436" i="2"/>
  <c r="AA436" i="2" s="1"/>
  <c r="Z437" i="2"/>
  <c r="AA437" i="2" s="1"/>
  <c r="Z438" i="2"/>
  <c r="AA438" i="2" s="1"/>
  <c r="Z439" i="2"/>
  <c r="AA439" i="2" s="1"/>
  <c r="Z440" i="2"/>
  <c r="AA440" i="2" s="1"/>
  <c r="Z441" i="2"/>
  <c r="AA441" i="2" s="1"/>
  <c r="Z442" i="2"/>
  <c r="AA442" i="2" s="1"/>
  <c r="Z443" i="2"/>
  <c r="AA443" i="2" s="1"/>
  <c r="Z444" i="2"/>
  <c r="AA444" i="2" s="1"/>
  <c r="Z445" i="2"/>
  <c r="AA445" i="2" s="1"/>
  <c r="Z446" i="2"/>
  <c r="AA446" i="2" s="1"/>
  <c r="Z447" i="2"/>
  <c r="AA447" i="2" s="1"/>
  <c r="Z448" i="2"/>
  <c r="AA448" i="2" s="1"/>
  <c r="Z449" i="2"/>
  <c r="AA449" i="2" s="1"/>
  <c r="Z450" i="2"/>
  <c r="AA450" i="2" s="1"/>
  <c r="Z451" i="2"/>
  <c r="AA451" i="2" s="1"/>
  <c r="Z452" i="2"/>
  <c r="AA452" i="2" s="1"/>
  <c r="Z453" i="2"/>
  <c r="AA453" i="2" s="1"/>
  <c r="Z454" i="2"/>
  <c r="AA454" i="2" s="1"/>
  <c r="Z455" i="2"/>
  <c r="AA455" i="2" s="1"/>
  <c r="Z456" i="2"/>
  <c r="AA456" i="2" s="1"/>
  <c r="Z457" i="2"/>
  <c r="AA457" i="2" s="1"/>
  <c r="Z458" i="2"/>
  <c r="AA458" i="2" s="1"/>
  <c r="Z459" i="2"/>
  <c r="AA459" i="2" s="1"/>
  <c r="Z460" i="2"/>
  <c r="AA460" i="2" s="1"/>
  <c r="Z461" i="2"/>
  <c r="AA461" i="2" s="1"/>
  <c r="Z462" i="2"/>
  <c r="AA462" i="2" s="1"/>
  <c r="Z463" i="2"/>
  <c r="AA463" i="2" s="1"/>
  <c r="Z464" i="2"/>
  <c r="AA464" i="2" s="1"/>
  <c r="Z465" i="2"/>
  <c r="AA465" i="2" s="1"/>
  <c r="Z466" i="2"/>
  <c r="AA466" i="2" s="1"/>
  <c r="Z467" i="2"/>
  <c r="AA467" i="2" s="1"/>
  <c r="Z468" i="2"/>
  <c r="AA468" i="2" s="1"/>
  <c r="Z469" i="2"/>
  <c r="AA469" i="2" s="1"/>
  <c r="Z470" i="2"/>
  <c r="AA470" i="2" s="1"/>
  <c r="Z471" i="2"/>
  <c r="AA471" i="2" s="1"/>
  <c r="Z472" i="2"/>
  <c r="AA472" i="2" s="1"/>
  <c r="Z473" i="2"/>
  <c r="AA473" i="2" s="1"/>
  <c r="Z474" i="2"/>
  <c r="AA474" i="2" s="1"/>
  <c r="Z475" i="2"/>
  <c r="AA475" i="2" s="1"/>
  <c r="Z476" i="2"/>
  <c r="AA476" i="2" s="1"/>
  <c r="Z477" i="2"/>
  <c r="AA477" i="2" s="1"/>
  <c r="Z478" i="2"/>
  <c r="AA478" i="2" s="1"/>
  <c r="Z479" i="2"/>
  <c r="AA479" i="2" s="1"/>
  <c r="Z480" i="2"/>
  <c r="AA480" i="2" s="1"/>
  <c r="Z481" i="2"/>
  <c r="AA481" i="2" s="1"/>
  <c r="Z482" i="2"/>
  <c r="AA482" i="2" s="1"/>
  <c r="Z483" i="2"/>
  <c r="AA483" i="2" s="1"/>
  <c r="Z484" i="2"/>
  <c r="AA484" i="2" s="1"/>
  <c r="Z485" i="2"/>
  <c r="AA485" i="2" s="1"/>
  <c r="Z486" i="2"/>
  <c r="AA486" i="2" s="1"/>
  <c r="Z487" i="2"/>
  <c r="AA487" i="2" s="1"/>
  <c r="Z488" i="2"/>
  <c r="AA488" i="2" s="1"/>
  <c r="Z489" i="2"/>
  <c r="AA489" i="2" s="1"/>
  <c r="Z490" i="2"/>
  <c r="AA490" i="2" s="1"/>
  <c r="Z491" i="2"/>
  <c r="AA491" i="2" s="1"/>
  <c r="Z492" i="2"/>
  <c r="AA492" i="2" s="1"/>
  <c r="Z493" i="2"/>
  <c r="AA493" i="2" s="1"/>
  <c r="Z494" i="2"/>
  <c r="AA494" i="2" s="1"/>
  <c r="Z495" i="2"/>
  <c r="AA495" i="2" s="1"/>
  <c r="Z496" i="2"/>
  <c r="AA496" i="2" s="1"/>
  <c r="Z497" i="2"/>
  <c r="AA497" i="2" s="1"/>
  <c r="Z498" i="2"/>
  <c r="AA498" i="2" s="1"/>
  <c r="Z499" i="2"/>
  <c r="AA499" i="2" s="1"/>
  <c r="Z500" i="2"/>
  <c r="AA500" i="2" s="1"/>
  <c r="Z501" i="2"/>
  <c r="AA501" i="2" s="1"/>
  <c r="Z502" i="2"/>
  <c r="AA502" i="2" s="1"/>
  <c r="Z503" i="2"/>
  <c r="AA503" i="2" s="1"/>
  <c r="Z504" i="2"/>
  <c r="AA504" i="2" s="1"/>
  <c r="Z505" i="2"/>
  <c r="AA505" i="2" s="1"/>
  <c r="Z506" i="2"/>
  <c r="AA506" i="2" s="1"/>
  <c r="Z507" i="2"/>
  <c r="AA507" i="2" s="1"/>
  <c r="Z508" i="2"/>
  <c r="AA508" i="2" s="1"/>
  <c r="Z509" i="2"/>
  <c r="AA509" i="2" s="1"/>
  <c r="Z510" i="2"/>
  <c r="AA510" i="2" s="1"/>
  <c r="Z511" i="2"/>
  <c r="AA511" i="2" s="1"/>
  <c r="Z512" i="2"/>
  <c r="AA512" i="2" s="1"/>
  <c r="Z513" i="2"/>
  <c r="AA513" i="2" s="1"/>
  <c r="Z514" i="2"/>
  <c r="AA514" i="2" s="1"/>
  <c r="Z515" i="2"/>
  <c r="AA515" i="2" s="1"/>
  <c r="Z516" i="2"/>
  <c r="AA516" i="2" s="1"/>
  <c r="Z517" i="2"/>
  <c r="AA517" i="2" s="1"/>
  <c r="Z518" i="2"/>
  <c r="AA518" i="2" s="1"/>
  <c r="Z519" i="2"/>
  <c r="AA519" i="2" s="1"/>
  <c r="Z520" i="2"/>
  <c r="AA520" i="2" s="1"/>
  <c r="Z521" i="2"/>
  <c r="AA521" i="2" s="1"/>
  <c r="Z522" i="2"/>
  <c r="AA522" i="2" s="1"/>
  <c r="Z523" i="2"/>
  <c r="AA523" i="2" s="1"/>
  <c r="Z524" i="2"/>
  <c r="AA524" i="2" s="1"/>
  <c r="Z525" i="2"/>
  <c r="AA525" i="2" s="1"/>
  <c r="Z526" i="2"/>
  <c r="AA526" i="2" s="1"/>
  <c r="Z527" i="2"/>
  <c r="AA527" i="2" s="1"/>
  <c r="Z528" i="2"/>
  <c r="AA528" i="2" s="1"/>
  <c r="Z529" i="2"/>
  <c r="AA529" i="2" s="1"/>
  <c r="Z530" i="2"/>
  <c r="AA530" i="2" s="1"/>
  <c r="Z531" i="2"/>
  <c r="AA531" i="2" s="1"/>
  <c r="Z532" i="2"/>
  <c r="AA532" i="2" s="1"/>
  <c r="Z533" i="2"/>
  <c r="AA533" i="2" s="1"/>
  <c r="Z534" i="2"/>
  <c r="AA534" i="2" s="1"/>
  <c r="Z535" i="2"/>
  <c r="AA535" i="2" s="1"/>
  <c r="Z536" i="2"/>
  <c r="AA536" i="2" s="1"/>
  <c r="Z537" i="2"/>
  <c r="AA537" i="2" s="1"/>
  <c r="Z538" i="2"/>
  <c r="AA538" i="2" s="1"/>
  <c r="Z539" i="2"/>
  <c r="AA539" i="2" s="1"/>
  <c r="Z540" i="2"/>
  <c r="AA540" i="2" s="1"/>
  <c r="Z541" i="2"/>
  <c r="AA541" i="2" s="1"/>
  <c r="Z542" i="2"/>
  <c r="AA542" i="2" s="1"/>
  <c r="Z543" i="2"/>
  <c r="AA543" i="2" s="1"/>
  <c r="Z544" i="2"/>
  <c r="AA544" i="2" s="1"/>
  <c r="Z545" i="2"/>
  <c r="AA545" i="2" s="1"/>
  <c r="Z546" i="2"/>
  <c r="AA546" i="2" s="1"/>
  <c r="Z547" i="2"/>
  <c r="AA547" i="2" s="1"/>
  <c r="Z548" i="2"/>
  <c r="AA548" i="2" s="1"/>
  <c r="Z549" i="2"/>
  <c r="AA549" i="2" s="1"/>
  <c r="Z550" i="2"/>
  <c r="AA550" i="2" s="1"/>
  <c r="Z551" i="2"/>
  <c r="AA551" i="2" s="1"/>
  <c r="Z552" i="2"/>
  <c r="AA552" i="2" s="1"/>
  <c r="Z553" i="2"/>
  <c r="AA553" i="2" s="1"/>
  <c r="Z554" i="2"/>
  <c r="AA554" i="2" s="1"/>
  <c r="Z555" i="2"/>
  <c r="AA555" i="2" s="1"/>
  <c r="Z556" i="2"/>
  <c r="AA556" i="2" s="1"/>
  <c r="Z557" i="2"/>
  <c r="AA557" i="2" s="1"/>
  <c r="Z558" i="2"/>
  <c r="AA558" i="2" s="1"/>
  <c r="Z559" i="2"/>
  <c r="AA559" i="2" s="1"/>
  <c r="Z560" i="2"/>
  <c r="AA560" i="2" s="1"/>
  <c r="Z561" i="2"/>
  <c r="AA561" i="2" s="1"/>
  <c r="Z562" i="2"/>
  <c r="AA562" i="2" s="1"/>
  <c r="Z563" i="2"/>
  <c r="AA563" i="2" s="1"/>
  <c r="Z564" i="2"/>
  <c r="AA564" i="2" s="1"/>
  <c r="Z565" i="2"/>
  <c r="AA565" i="2" s="1"/>
  <c r="Z566" i="2"/>
  <c r="AA566" i="2" s="1"/>
  <c r="Z567" i="2"/>
  <c r="AA567" i="2" s="1"/>
  <c r="Z568" i="2"/>
  <c r="AA568" i="2" s="1"/>
  <c r="Z569" i="2"/>
  <c r="AA569" i="2" s="1"/>
  <c r="Z570" i="2"/>
  <c r="AA570" i="2" s="1"/>
  <c r="Z571" i="2"/>
  <c r="AA571" i="2" s="1"/>
  <c r="Z572" i="2"/>
  <c r="AA572" i="2" s="1"/>
  <c r="Z573" i="2"/>
  <c r="AA573" i="2" s="1"/>
  <c r="Z574" i="2"/>
  <c r="AA574" i="2" s="1"/>
  <c r="Z575" i="2"/>
  <c r="AA575" i="2" s="1"/>
  <c r="Z576" i="2"/>
  <c r="AA576" i="2" s="1"/>
  <c r="Z577" i="2"/>
  <c r="AA577" i="2" s="1"/>
  <c r="Z578" i="2"/>
  <c r="AA578" i="2" s="1"/>
  <c r="Z579" i="2"/>
  <c r="AA579" i="2" s="1"/>
  <c r="Z580" i="2"/>
  <c r="AA580" i="2" s="1"/>
  <c r="Z581" i="2"/>
  <c r="AA581" i="2" s="1"/>
  <c r="Z582" i="2"/>
  <c r="AA582" i="2" s="1"/>
  <c r="Z583" i="2"/>
  <c r="AA583" i="2" s="1"/>
  <c r="Z584" i="2"/>
  <c r="AA584" i="2" s="1"/>
  <c r="Z585" i="2"/>
  <c r="AA585" i="2" s="1"/>
  <c r="Z586" i="2"/>
  <c r="AA586" i="2" s="1"/>
  <c r="Z587" i="2"/>
  <c r="AA587" i="2" s="1"/>
  <c r="Z588" i="2"/>
  <c r="AA588" i="2" s="1"/>
  <c r="Z589" i="2"/>
  <c r="AA589" i="2" s="1"/>
  <c r="Z590" i="2"/>
  <c r="AA590" i="2" s="1"/>
  <c r="Z591" i="2"/>
  <c r="AA591" i="2" s="1"/>
  <c r="Z592" i="2"/>
  <c r="AA592" i="2" s="1"/>
  <c r="Z593" i="2"/>
  <c r="AA593" i="2" s="1"/>
  <c r="Z594" i="2"/>
  <c r="AA594" i="2" s="1"/>
  <c r="Z595" i="2"/>
  <c r="AA595" i="2" s="1"/>
  <c r="Z596" i="2"/>
  <c r="AA596" i="2" s="1"/>
  <c r="Z597" i="2"/>
  <c r="AA597" i="2" s="1"/>
  <c r="AB4" i="2"/>
  <c r="AC4" i="2"/>
  <c r="AD4" i="2"/>
  <c r="AI4" i="2"/>
  <c r="AJ4" i="2"/>
  <c r="AK4" i="2"/>
  <c r="AL4" i="2"/>
  <c r="AB5" i="2"/>
  <c r="AC5" i="2"/>
  <c r="AD5" i="2"/>
  <c r="AI5" i="2"/>
  <c r="AJ5" i="2"/>
  <c r="AK5" i="2"/>
  <c r="AL5" i="2"/>
  <c r="AB6" i="2"/>
  <c r="AC6" i="2"/>
  <c r="AD6" i="2"/>
  <c r="AI6" i="2"/>
  <c r="AJ6" i="2"/>
  <c r="AK6" i="2"/>
  <c r="AL6" i="2"/>
  <c r="AB7" i="2"/>
  <c r="AC7" i="2"/>
  <c r="AD7" i="2"/>
  <c r="AI7" i="2"/>
  <c r="AJ7" i="2"/>
  <c r="AK7" i="2"/>
  <c r="AL7" i="2"/>
  <c r="AB8" i="2"/>
  <c r="AC8" i="2"/>
  <c r="AD8" i="2"/>
  <c r="AI8" i="2"/>
  <c r="AJ8" i="2"/>
  <c r="AK8" i="2"/>
  <c r="AL8" i="2"/>
  <c r="AB9" i="2"/>
  <c r="AC9" i="2"/>
  <c r="AD9" i="2"/>
  <c r="AI9" i="2"/>
  <c r="AJ9" i="2"/>
  <c r="AK9" i="2"/>
  <c r="AL9" i="2"/>
  <c r="AB10" i="2"/>
  <c r="AC10" i="2"/>
  <c r="AD10" i="2"/>
  <c r="AI10" i="2"/>
  <c r="AJ10" i="2"/>
  <c r="AK10" i="2"/>
  <c r="AL10" i="2"/>
  <c r="AB11" i="2"/>
  <c r="AC11" i="2"/>
  <c r="AD11" i="2"/>
  <c r="AI11" i="2"/>
  <c r="AJ11" i="2"/>
  <c r="AK11" i="2"/>
  <c r="AL11" i="2"/>
  <c r="AB12" i="2"/>
  <c r="AC12" i="2"/>
  <c r="AD12" i="2"/>
  <c r="AI12" i="2"/>
  <c r="AJ12" i="2"/>
  <c r="AK12" i="2"/>
  <c r="AL12" i="2"/>
  <c r="AB13" i="2"/>
  <c r="AC13" i="2"/>
  <c r="AD13" i="2"/>
  <c r="AI13" i="2"/>
  <c r="AJ13" i="2"/>
  <c r="AK13" i="2"/>
  <c r="AL13" i="2"/>
  <c r="AB14" i="2"/>
  <c r="AC14" i="2"/>
  <c r="AD14" i="2"/>
  <c r="AI14" i="2"/>
  <c r="AJ14" i="2"/>
  <c r="AK14" i="2"/>
  <c r="AL14" i="2"/>
  <c r="AB15" i="2"/>
  <c r="AC15" i="2"/>
  <c r="AD15" i="2"/>
  <c r="AI15" i="2"/>
  <c r="AJ15" i="2"/>
  <c r="AK15" i="2"/>
  <c r="AL15" i="2"/>
  <c r="AB16" i="2"/>
  <c r="AC16" i="2"/>
  <c r="AD16" i="2"/>
  <c r="AI16" i="2"/>
  <c r="AJ16" i="2"/>
  <c r="AK16" i="2"/>
  <c r="AL16" i="2"/>
  <c r="AB17" i="2"/>
  <c r="AC17" i="2"/>
  <c r="AD17" i="2"/>
  <c r="AI17" i="2"/>
  <c r="AJ17" i="2"/>
  <c r="AK17" i="2"/>
  <c r="AL17" i="2"/>
  <c r="AB18" i="2"/>
  <c r="AC18" i="2"/>
  <c r="AD18" i="2"/>
  <c r="AI18" i="2"/>
  <c r="AJ18" i="2"/>
  <c r="AK18" i="2"/>
  <c r="AL18" i="2"/>
  <c r="AB19" i="2"/>
  <c r="AC19" i="2"/>
  <c r="AD19" i="2"/>
  <c r="AI19" i="2"/>
  <c r="AJ19" i="2"/>
  <c r="AK19" i="2"/>
  <c r="AL19" i="2"/>
  <c r="AB20" i="2"/>
  <c r="AC20" i="2"/>
  <c r="AD20" i="2"/>
  <c r="AI20" i="2"/>
  <c r="AJ20" i="2"/>
  <c r="AK20" i="2"/>
  <c r="AL20" i="2"/>
  <c r="AB21" i="2"/>
  <c r="AC21" i="2"/>
  <c r="AD21" i="2"/>
  <c r="AI21" i="2"/>
  <c r="AJ21" i="2"/>
  <c r="AK21" i="2"/>
  <c r="AL21" i="2"/>
  <c r="AB22" i="2"/>
  <c r="AC22" i="2"/>
  <c r="AD22" i="2"/>
  <c r="AI22" i="2"/>
  <c r="AJ22" i="2"/>
  <c r="AK22" i="2"/>
  <c r="AL22" i="2"/>
  <c r="AB23" i="2"/>
  <c r="AQ23" i="2" s="1"/>
  <c r="AC23" i="2"/>
  <c r="AD23" i="2"/>
  <c r="AI23" i="2"/>
  <c r="AJ23" i="2"/>
  <c r="AK23" i="2"/>
  <c r="AL23" i="2"/>
  <c r="AB24" i="2"/>
  <c r="AC24" i="2"/>
  <c r="AD24" i="2"/>
  <c r="AI24" i="2"/>
  <c r="AJ24" i="2"/>
  <c r="AK24" i="2"/>
  <c r="AL24" i="2"/>
  <c r="AB25" i="2"/>
  <c r="AC25" i="2"/>
  <c r="AD25" i="2"/>
  <c r="AI25" i="2"/>
  <c r="AJ25" i="2"/>
  <c r="AK25" i="2"/>
  <c r="AL25" i="2"/>
  <c r="AB26" i="2"/>
  <c r="AC26" i="2"/>
  <c r="AM26" i="2" s="1"/>
  <c r="AD26" i="2"/>
  <c r="AI26" i="2"/>
  <c r="AJ26" i="2"/>
  <c r="AK26" i="2"/>
  <c r="AL26" i="2"/>
  <c r="AB27" i="2"/>
  <c r="AC27" i="2"/>
  <c r="AD27" i="2"/>
  <c r="AI27" i="2"/>
  <c r="AJ27" i="2"/>
  <c r="AK27" i="2"/>
  <c r="AL27" i="2"/>
  <c r="AB28" i="2"/>
  <c r="AC28" i="2"/>
  <c r="AD28" i="2"/>
  <c r="AI28" i="2"/>
  <c r="AJ28" i="2"/>
  <c r="AK28" i="2"/>
  <c r="AL28" i="2"/>
  <c r="AB29" i="2"/>
  <c r="AC29" i="2"/>
  <c r="AD29" i="2"/>
  <c r="AI29" i="2"/>
  <c r="AJ29" i="2"/>
  <c r="AK29" i="2"/>
  <c r="AL29" i="2"/>
  <c r="AB30" i="2"/>
  <c r="AC30" i="2"/>
  <c r="AD30" i="2"/>
  <c r="AI30" i="2"/>
  <c r="AJ30" i="2"/>
  <c r="AK30" i="2"/>
  <c r="AL30" i="2"/>
  <c r="AB32" i="2"/>
  <c r="AC32" i="2"/>
  <c r="AD32" i="2"/>
  <c r="AI32" i="2"/>
  <c r="AJ32" i="2"/>
  <c r="AK32" i="2"/>
  <c r="AL32" i="2"/>
  <c r="AB33" i="2"/>
  <c r="AC33" i="2"/>
  <c r="AD33" i="2"/>
  <c r="AI33" i="2"/>
  <c r="AJ33" i="2"/>
  <c r="AK33" i="2"/>
  <c r="AL33" i="2"/>
  <c r="AB31" i="2"/>
  <c r="AC31" i="2"/>
  <c r="AD31" i="2"/>
  <c r="AI31" i="2"/>
  <c r="AJ31" i="2"/>
  <c r="AK31" i="2"/>
  <c r="AL31" i="2"/>
  <c r="AB34" i="2"/>
  <c r="AC34" i="2"/>
  <c r="AD34" i="2"/>
  <c r="AI34" i="2"/>
  <c r="AJ34" i="2"/>
  <c r="AK34" i="2"/>
  <c r="AL34" i="2"/>
  <c r="AB35" i="2"/>
  <c r="AC35" i="2"/>
  <c r="AD35" i="2"/>
  <c r="AI35" i="2"/>
  <c r="AJ35" i="2"/>
  <c r="AK35" i="2"/>
  <c r="AL35" i="2"/>
  <c r="AB36" i="2"/>
  <c r="AC36" i="2"/>
  <c r="AD36" i="2"/>
  <c r="AI36" i="2"/>
  <c r="AJ36" i="2"/>
  <c r="AK36" i="2"/>
  <c r="AL36" i="2"/>
  <c r="AB37" i="2"/>
  <c r="AC37" i="2"/>
  <c r="AD37" i="2"/>
  <c r="AI37" i="2"/>
  <c r="AJ37" i="2"/>
  <c r="AK37" i="2"/>
  <c r="AL37" i="2"/>
  <c r="AB38" i="2"/>
  <c r="AC38" i="2"/>
  <c r="AD38" i="2"/>
  <c r="AI38" i="2"/>
  <c r="AJ38" i="2"/>
  <c r="AK38" i="2"/>
  <c r="AL38" i="2"/>
  <c r="AB39" i="2"/>
  <c r="AC39" i="2"/>
  <c r="AD39" i="2"/>
  <c r="AI39" i="2"/>
  <c r="AJ39" i="2"/>
  <c r="AK39" i="2"/>
  <c r="AL39" i="2"/>
  <c r="AB40" i="2"/>
  <c r="AC40" i="2"/>
  <c r="AD40" i="2"/>
  <c r="AI40" i="2"/>
  <c r="AJ40" i="2"/>
  <c r="AK40" i="2"/>
  <c r="AL40" i="2"/>
  <c r="AB41" i="2"/>
  <c r="AC41" i="2"/>
  <c r="AQ41" i="2" s="1"/>
  <c r="AD41" i="2"/>
  <c r="AW41" i="2" s="1"/>
  <c r="AI41" i="2"/>
  <c r="AJ41" i="2"/>
  <c r="AK41" i="2"/>
  <c r="AL41" i="2"/>
  <c r="AB42" i="2"/>
  <c r="AC42" i="2"/>
  <c r="AM42" i="2" s="1"/>
  <c r="AD42" i="2"/>
  <c r="AI42" i="2"/>
  <c r="AJ42" i="2"/>
  <c r="AK42" i="2"/>
  <c r="AL42" i="2"/>
  <c r="AB43" i="2"/>
  <c r="AC43" i="2"/>
  <c r="AD43" i="2"/>
  <c r="AI43" i="2"/>
  <c r="AJ43" i="2"/>
  <c r="AK43" i="2"/>
  <c r="AL43" i="2"/>
  <c r="AB44" i="2"/>
  <c r="AC44" i="2"/>
  <c r="AD44" i="2"/>
  <c r="AI44" i="2"/>
  <c r="AJ44" i="2"/>
  <c r="AK44" i="2"/>
  <c r="AL44" i="2"/>
  <c r="AB45" i="2"/>
  <c r="AC45" i="2"/>
  <c r="AD45" i="2"/>
  <c r="AI45" i="2"/>
  <c r="AJ45" i="2"/>
  <c r="AK45" i="2"/>
  <c r="AL45" i="2"/>
  <c r="AB46" i="2"/>
  <c r="AP46" i="2" s="1"/>
  <c r="AC46" i="2"/>
  <c r="AD46" i="2"/>
  <c r="AI46" i="2"/>
  <c r="AJ46" i="2"/>
  <c r="AK46" i="2"/>
  <c r="AL46" i="2"/>
  <c r="AB47" i="2"/>
  <c r="AC47" i="2"/>
  <c r="AD47" i="2"/>
  <c r="AI47" i="2"/>
  <c r="AJ47" i="2"/>
  <c r="AK47" i="2"/>
  <c r="AL47" i="2"/>
  <c r="AB48" i="2"/>
  <c r="AC48" i="2"/>
  <c r="AD48" i="2"/>
  <c r="AI48" i="2"/>
  <c r="AJ48" i="2"/>
  <c r="AK48" i="2"/>
  <c r="AL48" i="2"/>
  <c r="AB49" i="2"/>
  <c r="AC49" i="2"/>
  <c r="AD49" i="2"/>
  <c r="AI49" i="2"/>
  <c r="AJ49" i="2"/>
  <c r="AK49" i="2"/>
  <c r="AL49" i="2"/>
  <c r="AB50" i="2"/>
  <c r="AC50" i="2"/>
  <c r="AD50" i="2"/>
  <c r="AI50" i="2"/>
  <c r="AJ50" i="2"/>
  <c r="AK50" i="2"/>
  <c r="AL50" i="2"/>
  <c r="AB51" i="2"/>
  <c r="AC51" i="2"/>
  <c r="AD51" i="2"/>
  <c r="AI51" i="2"/>
  <c r="AJ51" i="2"/>
  <c r="AK51" i="2"/>
  <c r="AL51" i="2"/>
  <c r="AB52" i="2"/>
  <c r="AC52" i="2"/>
  <c r="AD52" i="2"/>
  <c r="AI52" i="2"/>
  <c r="AJ52" i="2"/>
  <c r="AK52" i="2"/>
  <c r="AL52" i="2"/>
  <c r="AB53" i="2"/>
  <c r="AC53" i="2"/>
  <c r="AD53" i="2"/>
  <c r="AI53" i="2"/>
  <c r="AJ53" i="2"/>
  <c r="AK53" i="2"/>
  <c r="AL53" i="2"/>
  <c r="AB54" i="2"/>
  <c r="AC54" i="2"/>
  <c r="AD54" i="2"/>
  <c r="AI54" i="2"/>
  <c r="AJ54" i="2"/>
  <c r="AK54" i="2"/>
  <c r="AL54" i="2"/>
  <c r="AB55" i="2"/>
  <c r="AC55" i="2"/>
  <c r="AD55" i="2"/>
  <c r="AI55" i="2"/>
  <c r="AJ55" i="2"/>
  <c r="AK55" i="2"/>
  <c r="AL55" i="2"/>
  <c r="AB56" i="2"/>
  <c r="AC56" i="2"/>
  <c r="AP56" i="2" s="1"/>
  <c r="AD56" i="2"/>
  <c r="AI56" i="2"/>
  <c r="AJ56" i="2"/>
  <c r="AK56" i="2"/>
  <c r="AL56" i="2"/>
  <c r="AB57" i="2"/>
  <c r="AC57" i="2"/>
  <c r="AD57" i="2"/>
  <c r="AI57" i="2"/>
  <c r="AJ57" i="2"/>
  <c r="AK57" i="2"/>
  <c r="AL57" i="2"/>
  <c r="AB58" i="2"/>
  <c r="AC58" i="2"/>
  <c r="AD58" i="2"/>
  <c r="AI58" i="2"/>
  <c r="AJ58" i="2"/>
  <c r="AK58" i="2"/>
  <c r="AL58" i="2"/>
  <c r="AB59" i="2"/>
  <c r="AC59" i="2"/>
  <c r="AD59" i="2"/>
  <c r="AI59" i="2"/>
  <c r="AJ59" i="2"/>
  <c r="AK59" i="2"/>
  <c r="AL59" i="2"/>
  <c r="AB60" i="2"/>
  <c r="AC60" i="2"/>
  <c r="AD60" i="2"/>
  <c r="AI60" i="2"/>
  <c r="AJ60" i="2"/>
  <c r="AK60" i="2"/>
  <c r="AL60" i="2"/>
  <c r="AB61" i="2"/>
  <c r="AC61" i="2"/>
  <c r="AD61" i="2"/>
  <c r="AI61" i="2"/>
  <c r="AJ61" i="2"/>
  <c r="AK61" i="2"/>
  <c r="AL61" i="2"/>
  <c r="AB62" i="2"/>
  <c r="AC62" i="2"/>
  <c r="AM62" i="2" s="1"/>
  <c r="AD62" i="2"/>
  <c r="AI62" i="2"/>
  <c r="AJ62" i="2"/>
  <c r="AK62" i="2"/>
  <c r="AL62" i="2"/>
  <c r="AB63" i="2"/>
  <c r="AC63" i="2"/>
  <c r="AD63" i="2"/>
  <c r="AI63" i="2"/>
  <c r="AJ63" i="2"/>
  <c r="AK63" i="2"/>
  <c r="AL63" i="2"/>
  <c r="AB64" i="2"/>
  <c r="AC64" i="2"/>
  <c r="AD64" i="2"/>
  <c r="AI64" i="2"/>
  <c r="AJ64" i="2"/>
  <c r="AK64" i="2"/>
  <c r="AL64" i="2"/>
  <c r="AB65" i="2"/>
  <c r="AC65" i="2"/>
  <c r="AD65" i="2"/>
  <c r="AI65" i="2"/>
  <c r="AJ65" i="2"/>
  <c r="AK65" i="2"/>
  <c r="AL65" i="2"/>
  <c r="AB66" i="2"/>
  <c r="AC66" i="2"/>
  <c r="AD66" i="2"/>
  <c r="AI66" i="2"/>
  <c r="AJ66" i="2"/>
  <c r="AK66" i="2"/>
  <c r="AL66" i="2"/>
  <c r="AB67" i="2"/>
  <c r="AC67" i="2"/>
  <c r="AD67" i="2"/>
  <c r="AI67" i="2"/>
  <c r="AJ67" i="2"/>
  <c r="AK67" i="2"/>
  <c r="AL67" i="2"/>
  <c r="AB68" i="2"/>
  <c r="AC68" i="2"/>
  <c r="AD68" i="2"/>
  <c r="AI68" i="2"/>
  <c r="AJ68" i="2"/>
  <c r="AK68" i="2"/>
  <c r="AL68" i="2"/>
  <c r="AB69" i="2"/>
  <c r="AC69" i="2"/>
  <c r="AD69" i="2"/>
  <c r="AI69" i="2"/>
  <c r="AJ69" i="2"/>
  <c r="AK69" i="2"/>
  <c r="AL69" i="2"/>
  <c r="AB70" i="2"/>
  <c r="AC70" i="2"/>
  <c r="AM70" i="2" s="1"/>
  <c r="AD70" i="2"/>
  <c r="AI70" i="2"/>
  <c r="AJ70" i="2"/>
  <c r="AK70" i="2"/>
  <c r="AL70" i="2"/>
  <c r="AB71" i="2"/>
  <c r="AW71" i="2" s="1"/>
  <c r="AC71" i="2"/>
  <c r="AD71" i="2"/>
  <c r="AI71" i="2"/>
  <c r="AJ71" i="2"/>
  <c r="AK71" i="2"/>
  <c r="AL71" i="2"/>
  <c r="AB72" i="2"/>
  <c r="AC72" i="2"/>
  <c r="AD72" i="2"/>
  <c r="AI72" i="2"/>
  <c r="AJ72" i="2"/>
  <c r="AK72" i="2"/>
  <c r="AL72" i="2"/>
  <c r="AB73" i="2"/>
  <c r="AC73" i="2"/>
  <c r="AD73" i="2"/>
  <c r="AI73" i="2"/>
  <c r="AJ73" i="2"/>
  <c r="AK73" i="2"/>
  <c r="AL73" i="2"/>
  <c r="AB74" i="2"/>
  <c r="AC74" i="2"/>
  <c r="AD74" i="2"/>
  <c r="AI74" i="2"/>
  <c r="AJ74" i="2"/>
  <c r="AK74" i="2"/>
  <c r="AL74" i="2"/>
  <c r="AR74" i="2"/>
  <c r="AB75" i="2"/>
  <c r="AC75" i="2"/>
  <c r="AD75" i="2"/>
  <c r="AI75" i="2"/>
  <c r="AJ75" i="2"/>
  <c r="AK75" i="2"/>
  <c r="AL75" i="2"/>
  <c r="AB76" i="2"/>
  <c r="AC76" i="2"/>
  <c r="AD76" i="2"/>
  <c r="AI76" i="2"/>
  <c r="AJ76" i="2"/>
  <c r="AK76" i="2"/>
  <c r="AL76" i="2"/>
  <c r="AB77" i="2"/>
  <c r="AC77" i="2"/>
  <c r="AD77" i="2"/>
  <c r="AI77" i="2"/>
  <c r="AJ77" i="2"/>
  <c r="AK77" i="2"/>
  <c r="AL77" i="2"/>
  <c r="AB78" i="2"/>
  <c r="AC78" i="2"/>
  <c r="AD78" i="2"/>
  <c r="AI78" i="2"/>
  <c r="AJ78" i="2"/>
  <c r="AK78" i="2"/>
  <c r="AL78" i="2"/>
  <c r="AB79" i="2"/>
  <c r="AC79" i="2"/>
  <c r="AD79" i="2"/>
  <c r="AI79" i="2"/>
  <c r="AJ79" i="2"/>
  <c r="AK79" i="2"/>
  <c r="AL79" i="2"/>
  <c r="AB80" i="2"/>
  <c r="AC80" i="2"/>
  <c r="AD80" i="2"/>
  <c r="AI80" i="2"/>
  <c r="AJ80" i="2"/>
  <c r="AK80" i="2"/>
  <c r="AL80" i="2"/>
  <c r="AB81" i="2"/>
  <c r="AC81" i="2"/>
  <c r="AD81" i="2"/>
  <c r="AI81" i="2"/>
  <c r="AJ81" i="2"/>
  <c r="AK81" i="2"/>
  <c r="AL81" i="2"/>
  <c r="AB82" i="2"/>
  <c r="AC82" i="2"/>
  <c r="AM82" i="2" s="1"/>
  <c r="AD82" i="2"/>
  <c r="AI82" i="2"/>
  <c r="AJ82" i="2"/>
  <c r="AK82" i="2"/>
  <c r="AL82" i="2"/>
  <c r="AB83" i="2"/>
  <c r="AC83" i="2"/>
  <c r="AD83" i="2"/>
  <c r="AI83" i="2"/>
  <c r="AJ83" i="2"/>
  <c r="AK83" i="2"/>
  <c r="AL83" i="2"/>
  <c r="AB84" i="2"/>
  <c r="AC84" i="2"/>
  <c r="AD84" i="2"/>
  <c r="AI84" i="2"/>
  <c r="AJ84" i="2"/>
  <c r="AK84" i="2"/>
  <c r="AL84" i="2"/>
  <c r="AB85" i="2"/>
  <c r="AC85" i="2"/>
  <c r="AD85" i="2"/>
  <c r="AI85" i="2"/>
  <c r="AJ85" i="2"/>
  <c r="AK85" i="2"/>
  <c r="AL85" i="2"/>
  <c r="AB86" i="2"/>
  <c r="AC86" i="2"/>
  <c r="AD86" i="2"/>
  <c r="AI86" i="2"/>
  <c r="AJ86" i="2"/>
  <c r="AK86" i="2"/>
  <c r="AL86" i="2"/>
  <c r="AB87" i="2"/>
  <c r="AC87" i="2"/>
  <c r="AD87" i="2"/>
  <c r="AI87" i="2"/>
  <c r="AJ87" i="2"/>
  <c r="AK87" i="2"/>
  <c r="AL87" i="2"/>
  <c r="AB88" i="2"/>
  <c r="AC88" i="2"/>
  <c r="AO88" i="2" s="1"/>
  <c r="AD88" i="2"/>
  <c r="AI88" i="2"/>
  <c r="AJ88" i="2"/>
  <c r="AK88" i="2"/>
  <c r="AL88" i="2"/>
  <c r="AB89" i="2"/>
  <c r="AC89" i="2"/>
  <c r="AD89" i="2"/>
  <c r="AI89" i="2"/>
  <c r="AJ89" i="2"/>
  <c r="AK89" i="2"/>
  <c r="AL89" i="2"/>
  <c r="AB90" i="2"/>
  <c r="AC90" i="2"/>
  <c r="AD90" i="2"/>
  <c r="AI90" i="2"/>
  <c r="AJ90" i="2"/>
  <c r="AK90" i="2"/>
  <c r="AL90" i="2"/>
  <c r="AB91" i="2"/>
  <c r="AC91" i="2"/>
  <c r="AD91" i="2"/>
  <c r="AI91" i="2"/>
  <c r="AJ91" i="2"/>
  <c r="AK91" i="2"/>
  <c r="AL91" i="2"/>
  <c r="AB92" i="2"/>
  <c r="AC92" i="2"/>
  <c r="AM92" i="2" s="1"/>
  <c r="AD92" i="2"/>
  <c r="AI92" i="2"/>
  <c r="AJ92" i="2"/>
  <c r="AK92" i="2"/>
  <c r="AL92" i="2"/>
  <c r="AB93" i="2"/>
  <c r="AC93" i="2"/>
  <c r="AD93" i="2"/>
  <c r="AI93" i="2"/>
  <c r="AJ93" i="2"/>
  <c r="AK93" i="2"/>
  <c r="AL93" i="2"/>
  <c r="AB94" i="2"/>
  <c r="AC94" i="2"/>
  <c r="AM94" i="2" s="1"/>
  <c r="AD94" i="2"/>
  <c r="AI94" i="2"/>
  <c r="AJ94" i="2"/>
  <c r="AK94" i="2"/>
  <c r="AL94" i="2"/>
  <c r="AB95" i="2"/>
  <c r="AC95" i="2"/>
  <c r="AD95" i="2"/>
  <c r="AI95" i="2"/>
  <c r="AJ95" i="2"/>
  <c r="AK95" i="2"/>
  <c r="AL95" i="2"/>
  <c r="AB96" i="2"/>
  <c r="AC96" i="2"/>
  <c r="AD96" i="2"/>
  <c r="AI96" i="2"/>
  <c r="AJ96" i="2"/>
  <c r="AK96" i="2"/>
  <c r="AL96" i="2"/>
  <c r="AB97" i="2"/>
  <c r="AC97" i="2"/>
  <c r="AD97" i="2"/>
  <c r="AI97" i="2"/>
  <c r="AJ97" i="2"/>
  <c r="AK97" i="2"/>
  <c r="AL97" i="2"/>
  <c r="AB98" i="2"/>
  <c r="AC98" i="2"/>
  <c r="AD98" i="2"/>
  <c r="AI98" i="2"/>
  <c r="AJ98" i="2"/>
  <c r="AK98" i="2"/>
  <c r="AL98" i="2"/>
  <c r="AB99" i="2"/>
  <c r="AC99" i="2"/>
  <c r="AD99" i="2"/>
  <c r="AI99" i="2"/>
  <c r="AJ99" i="2"/>
  <c r="AK99" i="2"/>
  <c r="AL99" i="2"/>
  <c r="AB100" i="2"/>
  <c r="AR100" i="2" s="1"/>
  <c r="AC100" i="2"/>
  <c r="AD100" i="2"/>
  <c r="AI100" i="2"/>
  <c r="AJ100" i="2"/>
  <c r="AK100" i="2"/>
  <c r="AL100" i="2"/>
  <c r="AB101" i="2"/>
  <c r="AC101" i="2"/>
  <c r="AD101" i="2"/>
  <c r="AI101" i="2"/>
  <c r="AJ101" i="2"/>
  <c r="AK101" i="2"/>
  <c r="AL101" i="2"/>
  <c r="AB102" i="2"/>
  <c r="AC102" i="2"/>
  <c r="AM102" i="2" s="1"/>
  <c r="AD102" i="2"/>
  <c r="AI102" i="2"/>
  <c r="AJ102" i="2"/>
  <c r="AK102" i="2"/>
  <c r="AL102" i="2"/>
  <c r="AB103" i="2"/>
  <c r="AC103" i="2"/>
  <c r="AN103" i="2" s="1"/>
  <c r="AD103" i="2"/>
  <c r="AI103" i="2"/>
  <c r="AJ103" i="2"/>
  <c r="AK103" i="2"/>
  <c r="AL103" i="2"/>
  <c r="AB104" i="2"/>
  <c r="AC104" i="2"/>
  <c r="AD104" i="2"/>
  <c r="AI104" i="2"/>
  <c r="AJ104" i="2"/>
  <c r="AK104" i="2"/>
  <c r="AL104" i="2"/>
  <c r="AB105" i="2"/>
  <c r="AC105" i="2"/>
  <c r="AD105" i="2"/>
  <c r="AI105" i="2"/>
  <c r="AJ105" i="2"/>
  <c r="AK105" i="2"/>
  <c r="AL105" i="2"/>
  <c r="AB106" i="2"/>
  <c r="AC106" i="2"/>
  <c r="AD106" i="2"/>
  <c r="AI106" i="2"/>
  <c r="AJ106" i="2"/>
  <c r="AK106" i="2"/>
  <c r="AL106" i="2"/>
  <c r="AB107" i="2"/>
  <c r="AC107" i="2"/>
  <c r="AQ107" i="2" s="1"/>
  <c r="AD107" i="2"/>
  <c r="AI107" i="2"/>
  <c r="AJ107" i="2"/>
  <c r="AK107" i="2"/>
  <c r="AL107" i="2"/>
  <c r="AB108" i="2"/>
  <c r="AC108" i="2"/>
  <c r="AD108" i="2"/>
  <c r="AI108" i="2"/>
  <c r="AJ108" i="2"/>
  <c r="AK108" i="2"/>
  <c r="AL108" i="2"/>
  <c r="AB109" i="2"/>
  <c r="AC109" i="2"/>
  <c r="AD109" i="2"/>
  <c r="AI109" i="2"/>
  <c r="AJ109" i="2"/>
  <c r="AK109" i="2"/>
  <c r="AL109" i="2"/>
  <c r="AB110" i="2"/>
  <c r="AC110" i="2"/>
  <c r="AD110" i="2"/>
  <c r="AI110" i="2"/>
  <c r="AJ110" i="2"/>
  <c r="AK110" i="2"/>
  <c r="AL110" i="2"/>
  <c r="AB111" i="2"/>
  <c r="AC111" i="2"/>
  <c r="AM111" i="2" s="1"/>
  <c r="AD111" i="2"/>
  <c r="AS111" i="2" s="1"/>
  <c r="AI111" i="2"/>
  <c r="AJ111" i="2"/>
  <c r="AK111" i="2"/>
  <c r="AL111" i="2"/>
  <c r="AB112" i="2"/>
  <c r="AC112" i="2"/>
  <c r="AD112" i="2"/>
  <c r="AI112" i="2"/>
  <c r="AJ112" i="2"/>
  <c r="AK112" i="2"/>
  <c r="AL112" i="2"/>
  <c r="AB113" i="2"/>
  <c r="AX113" i="2" s="1"/>
  <c r="AC113" i="2"/>
  <c r="AD113" i="2"/>
  <c r="AI113" i="2"/>
  <c r="AJ113" i="2"/>
  <c r="AK113" i="2"/>
  <c r="AL113" i="2"/>
  <c r="AB114" i="2"/>
  <c r="AX114" i="2" s="1"/>
  <c r="AC114" i="2"/>
  <c r="AD114" i="2"/>
  <c r="AI114" i="2"/>
  <c r="AJ114" i="2"/>
  <c r="AK114" i="2"/>
  <c r="AL114" i="2"/>
  <c r="AB115" i="2"/>
  <c r="AX115" i="2" s="1"/>
  <c r="AC115" i="2"/>
  <c r="AD115" i="2"/>
  <c r="AI115" i="2"/>
  <c r="AJ115" i="2"/>
  <c r="AK115" i="2"/>
  <c r="AL115" i="2"/>
  <c r="AB116" i="2"/>
  <c r="AO116" i="2" s="1"/>
  <c r="AC116" i="2"/>
  <c r="AD116" i="2"/>
  <c r="AI116" i="2"/>
  <c r="AJ116" i="2"/>
  <c r="AK116" i="2"/>
  <c r="AL116" i="2"/>
  <c r="AB117" i="2"/>
  <c r="AC117" i="2"/>
  <c r="AD117" i="2"/>
  <c r="AI117" i="2"/>
  <c r="AJ117" i="2"/>
  <c r="AK117" i="2"/>
  <c r="AL117" i="2"/>
  <c r="AB118" i="2"/>
  <c r="AP118" i="2" s="1"/>
  <c r="AC118" i="2"/>
  <c r="AD118" i="2"/>
  <c r="AI118" i="2"/>
  <c r="AJ118" i="2"/>
  <c r="AK118" i="2"/>
  <c r="AL118" i="2"/>
  <c r="AB119" i="2"/>
  <c r="AC119" i="2"/>
  <c r="AD119" i="2"/>
  <c r="AI119" i="2"/>
  <c r="AJ119" i="2"/>
  <c r="AK119" i="2"/>
  <c r="AL119" i="2"/>
  <c r="AB120" i="2"/>
  <c r="AC120" i="2"/>
  <c r="AD120" i="2"/>
  <c r="AI120" i="2"/>
  <c r="AJ120" i="2"/>
  <c r="AK120" i="2"/>
  <c r="AL120" i="2"/>
  <c r="AB121" i="2"/>
  <c r="AC121" i="2"/>
  <c r="AR121" i="2" s="1"/>
  <c r="AD121" i="2"/>
  <c r="AI121" i="2"/>
  <c r="AJ121" i="2"/>
  <c r="AK121" i="2"/>
  <c r="AL121" i="2"/>
  <c r="AB122" i="2"/>
  <c r="AC122" i="2"/>
  <c r="AD122" i="2"/>
  <c r="AI122" i="2"/>
  <c r="AJ122" i="2"/>
  <c r="AK122" i="2"/>
  <c r="AL122" i="2"/>
  <c r="AB123" i="2"/>
  <c r="AC123" i="2"/>
  <c r="AD123" i="2"/>
  <c r="AI123" i="2"/>
  <c r="AJ123" i="2"/>
  <c r="AK123" i="2"/>
  <c r="AL123" i="2"/>
  <c r="AB124" i="2"/>
  <c r="AV124" i="2" s="1"/>
  <c r="AC124" i="2"/>
  <c r="AD124" i="2"/>
  <c r="AI124" i="2"/>
  <c r="AJ124" i="2"/>
  <c r="AK124" i="2"/>
  <c r="AL124" i="2"/>
  <c r="AB125" i="2"/>
  <c r="AC125" i="2"/>
  <c r="AD125" i="2"/>
  <c r="AI125" i="2"/>
  <c r="AJ125" i="2"/>
  <c r="AK125" i="2"/>
  <c r="AL125" i="2"/>
  <c r="AB126" i="2"/>
  <c r="AC126" i="2"/>
  <c r="AD126" i="2"/>
  <c r="AI126" i="2"/>
  <c r="AJ126" i="2"/>
  <c r="AK126" i="2"/>
  <c r="AL126" i="2"/>
  <c r="AW126" i="2"/>
  <c r="AB127" i="2"/>
  <c r="AC127" i="2"/>
  <c r="AD127" i="2"/>
  <c r="AI127" i="2"/>
  <c r="AJ127" i="2"/>
  <c r="AK127" i="2"/>
  <c r="AL127" i="2"/>
  <c r="AB128" i="2"/>
  <c r="AX128" i="2" s="1"/>
  <c r="AC128" i="2"/>
  <c r="AD128" i="2"/>
  <c r="AI128" i="2"/>
  <c r="AJ128" i="2"/>
  <c r="AK128" i="2"/>
  <c r="AL128" i="2"/>
  <c r="AB129" i="2"/>
  <c r="AO129" i="2" s="1"/>
  <c r="AC129" i="2"/>
  <c r="AD129" i="2"/>
  <c r="AI129" i="2"/>
  <c r="AJ129" i="2"/>
  <c r="AK129" i="2"/>
  <c r="AL129" i="2"/>
  <c r="AB130" i="2"/>
  <c r="AC130" i="2"/>
  <c r="AD130" i="2"/>
  <c r="AI130" i="2"/>
  <c r="AJ130" i="2"/>
  <c r="AK130" i="2"/>
  <c r="AL130" i="2"/>
  <c r="AB131" i="2"/>
  <c r="AC131" i="2"/>
  <c r="AD131" i="2"/>
  <c r="AI131" i="2"/>
  <c r="AJ131" i="2"/>
  <c r="AK131" i="2"/>
  <c r="AL131" i="2"/>
  <c r="AB132" i="2"/>
  <c r="AC132" i="2"/>
  <c r="AD132" i="2"/>
  <c r="AI132" i="2"/>
  <c r="AJ132" i="2"/>
  <c r="AK132" i="2"/>
  <c r="AL132" i="2"/>
  <c r="AB133" i="2"/>
  <c r="AC133" i="2"/>
  <c r="AD133" i="2"/>
  <c r="AI133" i="2"/>
  <c r="AJ133" i="2"/>
  <c r="AK133" i="2"/>
  <c r="AL133" i="2"/>
  <c r="AB134" i="2"/>
  <c r="AC134" i="2"/>
  <c r="AD134" i="2"/>
  <c r="AI134" i="2"/>
  <c r="AJ134" i="2"/>
  <c r="AK134" i="2"/>
  <c r="AL134" i="2"/>
  <c r="AB135" i="2"/>
  <c r="AC135" i="2"/>
  <c r="AD135" i="2"/>
  <c r="AI135" i="2"/>
  <c r="AJ135" i="2"/>
  <c r="AK135" i="2"/>
  <c r="AL135" i="2"/>
  <c r="AB136" i="2"/>
  <c r="AX136" i="2" s="1"/>
  <c r="AC136" i="2"/>
  <c r="AD136" i="2"/>
  <c r="AI136" i="2"/>
  <c r="AJ136" i="2"/>
  <c r="AK136" i="2"/>
  <c r="AL136" i="2"/>
  <c r="AS136" i="2"/>
  <c r="AB137" i="2"/>
  <c r="AC137" i="2"/>
  <c r="AD137" i="2"/>
  <c r="AI137" i="2"/>
  <c r="AJ137" i="2"/>
  <c r="AK137" i="2"/>
  <c r="AL137" i="2"/>
  <c r="AB138" i="2"/>
  <c r="AC138" i="2"/>
  <c r="AD138" i="2"/>
  <c r="AI138" i="2"/>
  <c r="AJ138" i="2"/>
  <c r="AK138" i="2"/>
  <c r="AL138" i="2"/>
  <c r="AB139" i="2"/>
  <c r="AX139" i="2" s="1"/>
  <c r="AC139" i="2"/>
  <c r="AD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B140" i="2"/>
  <c r="AX140" i="2" s="1"/>
  <c r="AC140" i="2"/>
  <c r="AD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B141" i="2"/>
  <c r="AX141" i="2" s="1"/>
  <c r="AC141" i="2"/>
  <c r="AD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B142" i="2"/>
  <c r="AX142" i="2" s="1"/>
  <c r="AC142" i="2"/>
  <c r="AD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B143" i="2"/>
  <c r="AX143" i="2" s="1"/>
  <c r="AC143" i="2"/>
  <c r="AD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B144" i="2"/>
  <c r="AX144" i="2" s="1"/>
  <c r="AC144" i="2"/>
  <c r="AD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B145" i="2"/>
  <c r="AX145" i="2" s="1"/>
  <c r="AC145" i="2"/>
  <c r="AD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B146" i="2"/>
  <c r="AX146" i="2" s="1"/>
  <c r="AC146" i="2"/>
  <c r="AD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B147" i="2"/>
  <c r="AX147" i="2" s="1"/>
  <c r="AC147" i="2"/>
  <c r="AD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B148" i="2"/>
  <c r="AX148" i="2" s="1"/>
  <c r="AC148" i="2"/>
  <c r="AD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B149" i="2"/>
  <c r="AX149" i="2" s="1"/>
  <c r="AC149" i="2"/>
  <c r="AD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B150" i="2"/>
  <c r="AX150" i="2" s="1"/>
  <c r="AC150" i="2"/>
  <c r="AD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B151" i="2"/>
  <c r="AX151" i="2" s="1"/>
  <c r="AC151" i="2"/>
  <c r="AD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B152" i="2"/>
  <c r="AX152" i="2" s="1"/>
  <c r="AC152" i="2"/>
  <c r="AD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B153" i="2"/>
  <c r="AX153" i="2" s="1"/>
  <c r="AC153" i="2"/>
  <c r="AD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B154" i="2"/>
  <c r="AX154" i="2" s="1"/>
  <c r="AC154" i="2"/>
  <c r="AD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B155" i="2"/>
  <c r="AX155" i="2" s="1"/>
  <c r="AC155" i="2"/>
  <c r="AD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B156" i="2"/>
  <c r="AX156" i="2" s="1"/>
  <c r="AC156" i="2"/>
  <c r="AD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B157" i="2"/>
  <c r="AX157" i="2" s="1"/>
  <c r="AC157" i="2"/>
  <c r="AD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B158" i="2"/>
  <c r="AX158" i="2" s="1"/>
  <c r="AC158" i="2"/>
  <c r="AM158" i="2" s="1"/>
  <c r="AD158" i="2"/>
  <c r="AU158" i="2" s="1"/>
  <c r="AI158" i="2"/>
  <c r="AJ158" i="2"/>
  <c r="AK158" i="2"/>
  <c r="AL158" i="2"/>
  <c r="AN158" i="2"/>
  <c r="AO158" i="2"/>
  <c r="AP158" i="2"/>
  <c r="AR158" i="2"/>
  <c r="AS158" i="2"/>
  <c r="AT158" i="2"/>
  <c r="AV158" i="2"/>
  <c r="AW158" i="2"/>
  <c r="AB159" i="2"/>
  <c r="AX159" i="2" s="1"/>
  <c r="AC159" i="2"/>
  <c r="AM159" i="2" s="1"/>
  <c r="AD159" i="2"/>
  <c r="AU159" i="2" s="1"/>
  <c r="AI159" i="2"/>
  <c r="AJ159" i="2"/>
  <c r="AK159" i="2"/>
  <c r="AL159" i="2"/>
  <c r="AN159" i="2"/>
  <c r="AO159" i="2"/>
  <c r="AP159" i="2"/>
  <c r="AR159" i="2"/>
  <c r="AS159" i="2"/>
  <c r="AT159" i="2"/>
  <c r="AV159" i="2"/>
  <c r="AW159" i="2"/>
  <c r="AB160" i="2"/>
  <c r="AX160" i="2" s="1"/>
  <c r="AC160" i="2"/>
  <c r="AD160" i="2"/>
  <c r="AI160" i="2"/>
  <c r="AJ160" i="2"/>
  <c r="AK160" i="2"/>
  <c r="AL160" i="2"/>
  <c r="AN160" i="2"/>
  <c r="AB161" i="2"/>
  <c r="AX161" i="2" s="1"/>
  <c r="AC161" i="2"/>
  <c r="AM161" i="2" s="1"/>
  <c r="AD161" i="2"/>
  <c r="AU161" i="2" s="1"/>
  <c r="AI161" i="2"/>
  <c r="AJ161" i="2"/>
  <c r="AK161" i="2"/>
  <c r="AL161" i="2"/>
  <c r="AN161" i="2"/>
  <c r="AO161" i="2"/>
  <c r="AP161" i="2"/>
  <c r="AS161" i="2"/>
  <c r="AT161" i="2"/>
  <c r="AV161" i="2"/>
  <c r="AB162" i="2"/>
  <c r="AX162" i="2" s="1"/>
  <c r="AC162" i="2"/>
  <c r="AD162" i="2"/>
  <c r="AU162" i="2" s="1"/>
  <c r="AI162" i="2"/>
  <c r="AJ162" i="2"/>
  <c r="AK162" i="2"/>
  <c r="AL162" i="2"/>
  <c r="AN162" i="2"/>
  <c r="AS162" i="2"/>
  <c r="AB163" i="2"/>
  <c r="AX163" i="2" s="1"/>
  <c r="AC163" i="2"/>
  <c r="AD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B164" i="2"/>
  <c r="AX164" i="2" s="1"/>
  <c r="AC164" i="2"/>
  <c r="AM164" i="2" s="1"/>
  <c r="AD164" i="2"/>
  <c r="AI164" i="2"/>
  <c r="AJ164" i="2"/>
  <c r="AK164" i="2"/>
  <c r="AL164" i="2"/>
  <c r="AN164" i="2"/>
  <c r="AO164" i="2"/>
  <c r="AW164" i="2"/>
  <c r="AB165" i="2"/>
  <c r="AX165" i="2" s="1"/>
  <c r="AC165" i="2"/>
  <c r="AD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B166" i="2"/>
  <c r="AX166" i="2" s="1"/>
  <c r="AC166" i="2"/>
  <c r="AD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B167" i="2"/>
  <c r="AO167" i="2" s="1"/>
  <c r="AC167" i="2"/>
  <c r="AD167" i="2"/>
  <c r="AI167" i="2"/>
  <c r="AJ167" i="2"/>
  <c r="AK167" i="2"/>
  <c r="AL167" i="2"/>
  <c r="AM167" i="2"/>
  <c r="AN167" i="2"/>
  <c r="AP167" i="2"/>
  <c r="AQ167" i="2"/>
  <c r="AR167" i="2"/>
  <c r="AS167" i="2"/>
  <c r="AT167" i="2"/>
  <c r="AU167" i="2"/>
  <c r="AV167" i="2"/>
  <c r="AW167" i="2"/>
  <c r="AB168" i="2"/>
  <c r="AX168" i="2" s="1"/>
  <c r="AC168" i="2"/>
  <c r="AD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B169" i="2"/>
  <c r="AX169" i="2" s="1"/>
  <c r="AC169" i="2"/>
  <c r="AD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B170" i="2"/>
  <c r="AX170" i="2" s="1"/>
  <c r="AC170" i="2"/>
  <c r="AD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B171" i="2"/>
  <c r="AN171" i="2" s="1"/>
  <c r="AC171" i="2"/>
  <c r="AD171" i="2"/>
  <c r="AI171" i="2"/>
  <c r="AJ171" i="2"/>
  <c r="AK171" i="2"/>
  <c r="AL171" i="2"/>
  <c r="AM171" i="2"/>
  <c r="AP171" i="2"/>
  <c r="AQ171" i="2"/>
  <c r="AR171" i="2"/>
  <c r="AS171" i="2"/>
  <c r="AT171" i="2"/>
  <c r="AU171" i="2"/>
  <c r="AV171" i="2"/>
  <c r="AW171" i="2"/>
  <c r="AB172" i="2"/>
  <c r="AX172" i="2" s="1"/>
  <c r="AC172" i="2"/>
  <c r="AD172" i="2"/>
  <c r="AI172" i="2"/>
  <c r="AJ172" i="2"/>
  <c r="AK172" i="2"/>
  <c r="AL172" i="2"/>
  <c r="AM172" i="2"/>
  <c r="AQ172" i="2"/>
  <c r="AU172" i="2"/>
  <c r="AB173" i="2"/>
  <c r="AX173" i="2" s="1"/>
  <c r="AC173" i="2"/>
  <c r="AD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B174" i="2"/>
  <c r="AX174" i="2" s="1"/>
  <c r="AC174" i="2"/>
  <c r="AD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B175" i="2"/>
  <c r="AN175" i="2" s="1"/>
  <c r="AC175" i="2"/>
  <c r="AD175" i="2"/>
  <c r="AI175" i="2"/>
  <c r="AJ175" i="2"/>
  <c r="AK175" i="2"/>
  <c r="AL175" i="2"/>
  <c r="AM175" i="2"/>
  <c r="AP175" i="2"/>
  <c r="AQ175" i="2"/>
  <c r="AT175" i="2"/>
  <c r="AU175" i="2"/>
  <c r="AB176" i="2"/>
  <c r="AX176" i="2" s="1"/>
  <c r="AC176" i="2"/>
  <c r="AD176" i="2"/>
  <c r="AI176" i="2"/>
  <c r="AJ176" i="2"/>
  <c r="AK176" i="2"/>
  <c r="AL176" i="2"/>
  <c r="AM176" i="2"/>
  <c r="AN176" i="2"/>
  <c r="AQ176" i="2"/>
  <c r="AR176" i="2"/>
  <c r="AU176" i="2"/>
  <c r="AV176" i="2"/>
  <c r="AB177" i="2"/>
  <c r="AX177" i="2" s="1"/>
  <c r="AC177" i="2"/>
  <c r="AD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B178" i="2"/>
  <c r="AX178" i="2" s="1"/>
  <c r="AC178" i="2"/>
  <c r="AD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B179" i="2"/>
  <c r="AN179" i="2" s="1"/>
  <c r="AC179" i="2"/>
  <c r="AD179" i="2"/>
  <c r="AI179" i="2"/>
  <c r="AJ179" i="2"/>
  <c r="AK179" i="2"/>
  <c r="AL179" i="2"/>
  <c r="AM179" i="2"/>
  <c r="AP179" i="2"/>
  <c r="AQ179" i="2"/>
  <c r="AT179" i="2"/>
  <c r="AU179" i="2"/>
  <c r="AB180" i="2"/>
  <c r="AX180" i="2" s="1"/>
  <c r="AC180" i="2"/>
  <c r="AD180" i="2"/>
  <c r="AI180" i="2"/>
  <c r="AJ180" i="2"/>
  <c r="AK180" i="2"/>
  <c r="AL180" i="2"/>
  <c r="AM180" i="2"/>
  <c r="AN180" i="2"/>
  <c r="AQ180" i="2"/>
  <c r="AR180" i="2"/>
  <c r="AU180" i="2"/>
  <c r="AV180" i="2"/>
  <c r="AB181" i="2"/>
  <c r="AX181" i="2" s="1"/>
  <c r="AC181" i="2"/>
  <c r="AD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B182" i="2"/>
  <c r="AN182" i="2" s="1"/>
  <c r="AC182" i="2"/>
  <c r="AD182" i="2"/>
  <c r="AI182" i="2"/>
  <c r="AJ182" i="2"/>
  <c r="AK182" i="2"/>
  <c r="AL182" i="2"/>
  <c r="AM182" i="2"/>
  <c r="AO182" i="2"/>
  <c r="AP182" i="2"/>
  <c r="AQ182" i="2"/>
  <c r="AS182" i="2"/>
  <c r="AT182" i="2"/>
  <c r="AU182" i="2"/>
  <c r="AW182" i="2"/>
  <c r="AB183" i="2"/>
  <c r="AN183" i="2" s="1"/>
  <c r="AC183" i="2"/>
  <c r="AD183" i="2"/>
  <c r="AI183" i="2"/>
  <c r="AJ183" i="2"/>
  <c r="AK183" i="2"/>
  <c r="AL183" i="2"/>
  <c r="AM183" i="2"/>
  <c r="AP183" i="2"/>
  <c r="AQ183" i="2"/>
  <c r="AT183" i="2"/>
  <c r="AU183" i="2"/>
  <c r="AB184" i="2"/>
  <c r="AX184" i="2" s="1"/>
  <c r="AC184" i="2"/>
  <c r="AD184" i="2"/>
  <c r="AI184" i="2"/>
  <c r="AJ184" i="2"/>
  <c r="AK184" i="2"/>
  <c r="AL184" i="2"/>
  <c r="AM184" i="2"/>
  <c r="AN184" i="2"/>
  <c r="AQ184" i="2"/>
  <c r="AR184" i="2"/>
  <c r="AU184" i="2"/>
  <c r="AV184" i="2"/>
  <c r="AB185" i="2"/>
  <c r="AX185" i="2" s="1"/>
  <c r="AC185" i="2"/>
  <c r="AP185" i="2" s="1"/>
  <c r="AD185" i="2"/>
  <c r="AT185" i="2" s="1"/>
  <c r="AI185" i="2"/>
  <c r="AJ185" i="2"/>
  <c r="AK185" i="2"/>
  <c r="AL185" i="2"/>
  <c r="AN185" i="2"/>
  <c r="AO185" i="2"/>
  <c r="AR185" i="2"/>
  <c r="AS185" i="2"/>
  <c r="AV185" i="2"/>
  <c r="AW185" i="2"/>
  <c r="AB186" i="2"/>
  <c r="AN186" i="2" s="1"/>
  <c r="AC186" i="2"/>
  <c r="AD186" i="2"/>
  <c r="AU186" i="2" s="1"/>
  <c r="AI186" i="2"/>
  <c r="AJ186" i="2"/>
  <c r="AK186" i="2"/>
  <c r="AL186" i="2"/>
  <c r="AM186" i="2"/>
  <c r="AO186" i="2"/>
  <c r="AP186" i="2"/>
  <c r="AQ186" i="2"/>
  <c r="AS186" i="2"/>
  <c r="AT186" i="2"/>
  <c r="AW186" i="2"/>
  <c r="AB187" i="2"/>
  <c r="AN187" i="2" s="1"/>
  <c r="AC187" i="2"/>
  <c r="AD187" i="2"/>
  <c r="AI187" i="2"/>
  <c r="AJ187" i="2"/>
  <c r="AK187" i="2"/>
  <c r="AL187" i="2"/>
  <c r="AM187" i="2"/>
  <c r="AP187" i="2"/>
  <c r="AQ187" i="2"/>
  <c r="AT187" i="2"/>
  <c r="AU187" i="2"/>
  <c r="AB188" i="2"/>
  <c r="AX188" i="2" s="1"/>
  <c r="AC188" i="2"/>
  <c r="AD188" i="2"/>
  <c r="AI188" i="2"/>
  <c r="AJ188" i="2"/>
  <c r="AK188" i="2"/>
  <c r="AL188" i="2"/>
  <c r="AM188" i="2"/>
  <c r="AQ188" i="2"/>
  <c r="AR188" i="2"/>
  <c r="AU188" i="2"/>
  <c r="AV188" i="2"/>
  <c r="AB189" i="2"/>
  <c r="AX189" i="2" s="1"/>
  <c r="AC189" i="2"/>
  <c r="AD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B190" i="2"/>
  <c r="AN190" i="2" s="1"/>
  <c r="AC190" i="2"/>
  <c r="AD190" i="2"/>
  <c r="AU190" i="2" s="1"/>
  <c r="AI190" i="2"/>
  <c r="AJ190" i="2"/>
  <c r="AK190" i="2"/>
  <c r="AL190" i="2"/>
  <c r="AM190" i="2"/>
  <c r="AO190" i="2"/>
  <c r="AP190" i="2"/>
  <c r="AQ190" i="2"/>
  <c r="AS190" i="2"/>
  <c r="AT190" i="2"/>
  <c r="AW190" i="2"/>
  <c r="AB191" i="2"/>
  <c r="AN191" i="2" s="1"/>
  <c r="AC191" i="2"/>
  <c r="AD191" i="2"/>
  <c r="AI191" i="2"/>
  <c r="AJ191" i="2"/>
  <c r="AK191" i="2"/>
  <c r="AL191" i="2"/>
  <c r="AM191" i="2"/>
  <c r="AQ191" i="2"/>
  <c r="AU191" i="2"/>
  <c r="AB192" i="2"/>
  <c r="AX192" i="2" s="1"/>
  <c r="AC192" i="2"/>
  <c r="AD192" i="2"/>
  <c r="AI192" i="2"/>
  <c r="AJ192" i="2"/>
  <c r="AK192" i="2"/>
  <c r="AL192" i="2"/>
  <c r="AM192" i="2"/>
  <c r="AN192" i="2"/>
  <c r="AQ192" i="2"/>
  <c r="AR192" i="2"/>
  <c r="AU192" i="2"/>
  <c r="AV192" i="2"/>
  <c r="AB193" i="2"/>
  <c r="AX193" i="2" s="1"/>
  <c r="AC193" i="2"/>
  <c r="AD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B194" i="2"/>
  <c r="AN194" i="2" s="1"/>
  <c r="AC194" i="2"/>
  <c r="AD194" i="2"/>
  <c r="AI194" i="2"/>
  <c r="AJ194" i="2"/>
  <c r="AK194" i="2"/>
  <c r="AL194" i="2"/>
  <c r="AM194" i="2"/>
  <c r="AO194" i="2"/>
  <c r="AP194" i="2"/>
  <c r="AQ194" i="2"/>
  <c r="AS194" i="2"/>
  <c r="AT194" i="2"/>
  <c r="AU194" i="2"/>
  <c r="AW194" i="2"/>
  <c r="AB195" i="2"/>
  <c r="AC195" i="2"/>
  <c r="AD195" i="2"/>
  <c r="AI195" i="2"/>
  <c r="AJ195" i="2"/>
  <c r="AK195" i="2"/>
  <c r="AL195" i="2"/>
  <c r="AM195" i="2"/>
  <c r="AQ195" i="2"/>
  <c r="AU195" i="2"/>
  <c r="AB196" i="2"/>
  <c r="AX196" i="2" s="1"/>
  <c r="AC196" i="2"/>
  <c r="AD196" i="2"/>
  <c r="AI196" i="2"/>
  <c r="AJ196" i="2"/>
  <c r="AK196" i="2"/>
  <c r="AL196" i="2"/>
  <c r="AM196" i="2"/>
  <c r="AN196" i="2"/>
  <c r="AQ196" i="2"/>
  <c r="AR196" i="2"/>
  <c r="AU196" i="2"/>
  <c r="AV196" i="2"/>
  <c r="AB197" i="2"/>
  <c r="AX197" i="2" s="1"/>
  <c r="AC197" i="2"/>
  <c r="AD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B198" i="2"/>
  <c r="AN198" i="2" s="1"/>
  <c r="AC198" i="2"/>
  <c r="AD198" i="2"/>
  <c r="AI198" i="2"/>
  <c r="AJ198" i="2"/>
  <c r="AK198" i="2"/>
  <c r="AL198" i="2"/>
  <c r="AM198" i="2"/>
  <c r="AO198" i="2"/>
  <c r="AP198" i="2"/>
  <c r="AQ198" i="2"/>
  <c r="AS198" i="2"/>
  <c r="AT198" i="2"/>
  <c r="AU198" i="2"/>
  <c r="AW198" i="2"/>
  <c r="AB199" i="2"/>
  <c r="AC199" i="2"/>
  <c r="AD199" i="2"/>
  <c r="AI199" i="2"/>
  <c r="AJ199" i="2"/>
  <c r="AK199" i="2"/>
  <c r="AL199" i="2"/>
  <c r="AM199" i="2"/>
  <c r="AQ199" i="2"/>
  <c r="AU199" i="2"/>
  <c r="AB200" i="2"/>
  <c r="AX200" i="2" s="1"/>
  <c r="AC200" i="2"/>
  <c r="AD200" i="2"/>
  <c r="AI200" i="2"/>
  <c r="AJ200" i="2"/>
  <c r="AK200" i="2"/>
  <c r="AL200" i="2"/>
  <c r="AM200" i="2"/>
  <c r="AN200" i="2"/>
  <c r="AQ200" i="2"/>
  <c r="AR200" i="2"/>
  <c r="AU200" i="2"/>
  <c r="AV200" i="2"/>
  <c r="AB201" i="2"/>
  <c r="AX201" i="2" s="1"/>
  <c r="AC201" i="2"/>
  <c r="AD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B202" i="2"/>
  <c r="AN202" i="2" s="1"/>
  <c r="AC202" i="2"/>
  <c r="AD202" i="2"/>
  <c r="AI202" i="2"/>
  <c r="AJ202" i="2"/>
  <c r="AK202" i="2"/>
  <c r="AL202" i="2"/>
  <c r="AM202" i="2"/>
  <c r="AO202" i="2"/>
  <c r="AP202" i="2"/>
  <c r="AQ202" i="2"/>
  <c r="AS202" i="2"/>
  <c r="AT202" i="2"/>
  <c r="AU202" i="2"/>
  <c r="AW202" i="2"/>
  <c r="AB203" i="2"/>
  <c r="AC203" i="2"/>
  <c r="AD203" i="2"/>
  <c r="AI203" i="2"/>
  <c r="AJ203" i="2"/>
  <c r="AK203" i="2"/>
  <c r="AL203" i="2"/>
  <c r="AM203" i="2"/>
  <c r="AN203" i="2"/>
  <c r="AP203" i="2"/>
  <c r="AQ203" i="2"/>
  <c r="AR203" i="2"/>
  <c r="AT203" i="2"/>
  <c r="AU203" i="2"/>
  <c r="AV203" i="2"/>
  <c r="AB204" i="2"/>
  <c r="AC204" i="2"/>
  <c r="AD204" i="2"/>
  <c r="AI204" i="2"/>
  <c r="AJ204" i="2"/>
  <c r="AK204" i="2"/>
  <c r="AL204" i="2"/>
  <c r="AM204" i="2"/>
  <c r="AN204" i="2"/>
  <c r="AO204" i="2"/>
  <c r="AQ204" i="2"/>
  <c r="AR204" i="2"/>
  <c r="AS204" i="2"/>
  <c r="AU204" i="2"/>
  <c r="AV204" i="2"/>
  <c r="AW204" i="2"/>
  <c r="AB205" i="2"/>
  <c r="AX205" i="2" s="1"/>
  <c r="AC205" i="2"/>
  <c r="AD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B206" i="2"/>
  <c r="AC206" i="2"/>
  <c r="AD206" i="2"/>
  <c r="AI206" i="2"/>
  <c r="AJ206" i="2"/>
  <c r="AK206" i="2"/>
  <c r="AL206" i="2"/>
  <c r="AM206" i="2"/>
  <c r="AO206" i="2"/>
  <c r="AP206" i="2"/>
  <c r="AQ206" i="2"/>
  <c r="AS206" i="2"/>
  <c r="AT206" i="2"/>
  <c r="AU206" i="2"/>
  <c r="AW206" i="2"/>
  <c r="AB207" i="2"/>
  <c r="AC207" i="2"/>
  <c r="AD207" i="2"/>
  <c r="AI207" i="2"/>
  <c r="AJ207" i="2"/>
  <c r="AK207" i="2"/>
  <c r="AL207" i="2"/>
  <c r="AM207" i="2"/>
  <c r="AN207" i="2"/>
  <c r="AP207" i="2"/>
  <c r="AQ207" i="2"/>
  <c r="AR207" i="2"/>
  <c r="AT207" i="2"/>
  <c r="AU207" i="2"/>
  <c r="AV207" i="2"/>
  <c r="AB208" i="2"/>
  <c r="AC208" i="2"/>
  <c r="AD208" i="2"/>
  <c r="AI208" i="2"/>
  <c r="AJ208" i="2"/>
  <c r="AK208" i="2"/>
  <c r="AL208" i="2"/>
  <c r="AM208" i="2"/>
  <c r="AN208" i="2"/>
  <c r="AO208" i="2"/>
  <c r="AQ208" i="2"/>
  <c r="AR208" i="2"/>
  <c r="AS208" i="2"/>
  <c r="AT208" i="2"/>
  <c r="AU208" i="2"/>
  <c r="AV208" i="2"/>
  <c r="AW208" i="2"/>
  <c r="AB209" i="2"/>
  <c r="AX209" i="2" s="1"/>
  <c r="AC209" i="2"/>
  <c r="AD209" i="2"/>
  <c r="AI209" i="2"/>
  <c r="AJ209" i="2"/>
  <c r="AK209" i="2"/>
  <c r="AL209" i="2"/>
  <c r="AM209" i="2"/>
  <c r="AN209" i="2"/>
  <c r="AP209" i="2"/>
  <c r="AQ209" i="2"/>
  <c r="AR209" i="2"/>
  <c r="AT209" i="2"/>
  <c r="AU209" i="2"/>
  <c r="AV209" i="2"/>
  <c r="AB210" i="2"/>
  <c r="AN210" i="2" s="1"/>
  <c r="AC210" i="2"/>
  <c r="AD210" i="2"/>
  <c r="AU210" i="2" s="1"/>
  <c r="AI210" i="2"/>
  <c r="AJ210" i="2"/>
  <c r="AK210" i="2"/>
  <c r="AL210" i="2"/>
  <c r="AM210" i="2"/>
  <c r="AO210" i="2"/>
  <c r="AQ210" i="2"/>
  <c r="AS210" i="2"/>
  <c r="AW210" i="2"/>
  <c r="AB211" i="2"/>
  <c r="AC211" i="2"/>
  <c r="AM211" i="2" s="1"/>
  <c r="AD211" i="2"/>
  <c r="AU211" i="2" s="1"/>
  <c r="AI211" i="2"/>
  <c r="AJ211" i="2"/>
  <c r="AK211" i="2"/>
  <c r="AL211" i="2"/>
  <c r="AN211" i="2"/>
  <c r="AP211" i="2"/>
  <c r="AR211" i="2"/>
  <c r="AS211" i="2"/>
  <c r="AT211" i="2"/>
  <c r="AV211" i="2"/>
  <c r="AW211" i="2"/>
  <c r="AB212" i="2"/>
  <c r="AX212" i="2" s="1"/>
  <c r="AC212" i="2"/>
  <c r="AD212" i="2"/>
  <c r="AI212" i="2"/>
  <c r="AJ212" i="2"/>
  <c r="AK212" i="2"/>
  <c r="AL212" i="2"/>
  <c r="AM212" i="2"/>
  <c r="AQ212" i="2"/>
  <c r="AU212" i="2"/>
  <c r="AB213" i="2"/>
  <c r="AX213" i="2" s="1"/>
  <c r="AC213" i="2"/>
  <c r="AD213" i="2"/>
  <c r="AI213" i="2"/>
  <c r="AJ213" i="2"/>
  <c r="AK213" i="2"/>
  <c r="AL213" i="2"/>
  <c r="AM213" i="2"/>
  <c r="AN213" i="2"/>
  <c r="AP213" i="2"/>
  <c r="AQ213" i="2"/>
  <c r="AR213" i="2"/>
  <c r="AT213" i="2"/>
  <c r="AU213" i="2"/>
  <c r="AV213" i="2"/>
  <c r="AB214" i="2"/>
  <c r="AX214" i="2" s="1"/>
  <c r="AC214" i="2"/>
  <c r="AD214" i="2"/>
  <c r="AI214" i="2"/>
  <c r="AJ214" i="2"/>
  <c r="AK214" i="2"/>
  <c r="AL214" i="2"/>
  <c r="AM214" i="2"/>
  <c r="AQ214" i="2"/>
  <c r="AU214" i="2"/>
  <c r="AB215" i="2"/>
  <c r="AX215" i="2" s="1"/>
  <c r="AC215" i="2"/>
  <c r="AD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B216" i="2"/>
  <c r="AX216" i="2" s="1"/>
  <c r="AC216" i="2"/>
  <c r="AD216" i="2"/>
  <c r="AI216" i="2"/>
  <c r="AJ216" i="2"/>
  <c r="AK216" i="2"/>
  <c r="AL216" i="2"/>
  <c r="AM216" i="2"/>
  <c r="AQ216" i="2"/>
  <c r="AU216" i="2"/>
  <c r="AB217" i="2"/>
  <c r="AC217" i="2"/>
  <c r="AD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B218" i="2"/>
  <c r="AC218" i="2"/>
  <c r="AD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B219" i="2"/>
  <c r="AC219" i="2"/>
  <c r="AD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B220" i="2"/>
  <c r="AC220" i="2"/>
  <c r="AD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B221" i="2"/>
  <c r="AC221" i="2"/>
  <c r="AD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B222" i="2"/>
  <c r="AC222" i="2"/>
  <c r="AD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B223" i="2"/>
  <c r="AC223" i="2"/>
  <c r="AD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B224" i="2"/>
  <c r="AC224" i="2"/>
  <c r="AD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B225" i="2"/>
  <c r="AC225" i="2"/>
  <c r="AD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B226" i="2"/>
  <c r="AC226" i="2"/>
  <c r="AD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B227" i="2"/>
  <c r="AC227" i="2"/>
  <c r="AD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B228" i="2"/>
  <c r="AC228" i="2"/>
  <c r="AD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B229" i="2"/>
  <c r="AC229" i="2"/>
  <c r="AD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B230" i="2"/>
  <c r="AC230" i="2"/>
  <c r="AD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B231" i="2"/>
  <c r="AC231" i="2"/>
  <c r="AD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B232" i="2"/>
  <c r="AC232" i="2"/>
  <c r="AD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B233" i="2"/>
  <c r="AC233" i="2"/>
  <c r="AD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B234" i="2"/>
  <c r="AC234" i="2"/>
  <c r="AD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B235" i="2"/>
  <c r="AC235" i="2"/>
  <c r="AD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B236" i="2"/>
  <c r="AC236" i="2"/>
  <c r="AD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B237" i="2"/>
  <c r="AC237" i="2"/>
  <c r="AD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B238" i="2"/>
  <c r="AC238" i="2"/>
  <c r="AD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B239" i="2"/>
  <c r="AC239" i="2"/>
  <c r="AD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B240" i="2"/>
  <c r="AC240" i="2"/>
  <c r="AD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B241" i="2"/>
  <c r="AC241" i="2"/>
  <c r="AD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B242" i="2"/>
  <c r="AC242" i="2"/>
  <c r="AD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B243" i="2"/>
  <c r="AC243" i="2"/>
  <c r="AD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B244" i="2"/>
  <c r="AC244" i="2"/>
  <c r="AD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B245" i="2"/>
  <c r="AC245" i="2"/>
  <c r="AD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B246" i="2"/>
  <c r="AC246" i="2"/>
  <c r="AD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B247" i="2"/>
  <c r="AC247" i="2"/>
  <c r="AD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B248" i="2"/>
  <c r="AC248" i="2"/>
  <c r="AD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B249" i="2"/>
  <c r="AC249" i="2"/>
  <c r="AD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B250" i="2"/>
  <c r="AC250" i="2"/>
  <c r="AD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B251" i="2"/>
  <c r="AC251" i="2"/>
  <c r="AD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B252" i="2"/>
  <c r="AC252" i="2"/>
  <c r="AD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B253" i="2"/>
  <c r="AC253" i="2"/>
  <c r="AD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B254" i="2"/>
  <c r="AC254" i="2"/>
  <c r="AD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B255" i="2"/>
  <c r="AC255" i="2"/>
  <c r="AD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B256" i="2"/>
  <c r="AC256" i="2"/>
  <c r="AD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B257" i="2"/>
  <c r="AC257" i="2"/>
  <c r="AD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B258" i="2"/>
  <c r="AC258" i="2"/>
  <c r="AD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B259" i="2"/>
  <c r="AC259" i="2"/>
  <c r="AD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B260" i="2"/>
  <c r="AC260" i="2"/>
  <c r="AD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B261" i="2"/>
  <c r="AC261" i="2"/>
  <c r="AD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B262" i="2"/>
  <c r="AC262" i="2"/>
  <c r="AD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B263" i="2"/>
  <c r="AC263" i="2"/>
  <c r="AD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B264" i="2"/>
  <c r="AC264" i="2"/>
  <c r="AD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B265" i="2"/>
  <c r="AC265" i="2"/>
  <c r="AD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B266" i="2"/>
  <c r="AC266" i="2"/>
  <c r="AD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B267" i="2"/>
  <c r="AC267" i="2"/>
  <c r="AD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B268" i="2"/>
  <c r="AC268" i="2"/>
  <c r="AD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B269" i="2"/>
  <c r="AC269" i="2"/>
  <c r="AD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B270" i="2"/>
  <c r="AC270" i="2"/>
  <c r="AD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B271" i="2"/>
  <c r="AC271" i="2"/>
  <c r="AD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B272" i="2"/>
  <c r="AC272" i="2"/>
  <c r="AD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B273" i="2"/>
  <c r="AC273" i="2"/>
  <c r="AD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B274" i="2"/>
  <c r="AC274" i="2"/>
  <c r="AD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B275" i="2"/>
  <c r="AC275" i="2"/>
  <c r="AD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B276" i="2"/>
  <c r="AC276" i="2"/>
  <c r="AD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B277" i="2"/>
  <c r="AC277" i="2"/>
  <c r="AD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B278" i="2"/>
  <c r="AC278" i="2"/>
  <c r="AD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B279" i="2"/>
  <c r="AC279" i="2"/>
  <c r="AD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B280" i="2"/>
  <c r="AC280" i="2"/>
  <c r="AD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B281" i="2"/>
  <c r="AC281" i="2"/>
  <c r="AD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B282" i="2"/>
  <c r="AC282" i="2"/>
  <c r="AD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B283" i="2"/>
  <c r="AC283" i="2"/>
  <c r="AD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B284" i="2"/>
  <c r="AC284" i="2"/>
  <c r="AD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B285" i="2"/>
  <c r="AC285" i="2"/>
  <c r="AD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B286" i="2"/>
  <c r="AC286" i="2"/>
  <c r="AD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B287" i="2"/>
  <c r="AC287" i="2"/>
  <c r="AD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B288" i="2"/>
  <c r="AC288" i="2"/>
  <c r="AD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B289" i="2"/>
  <c r="AC289" i="2"/>
  <c r="AD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B290" i="2"/>
  <c r="AC290" i="2"/>
  <c r="AD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B291" i="2"/>
  <c r="AC291" i="2"/>
  <c r="AD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B292" i="2"/>
  <c r="AC292" i="2"/>
  <c r="AD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B293" i="2"/>
  <c r="AC293" i="2"/>
  <c r="AD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B294" i="2"/>
  <c r="AC294" i="2"/>
  <c r="AD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B295" i="2"/>
  <c r="AC295" i="2"/>
  <c r="AD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B296" i="2"/>
  <c r="AC296" i="2"/>
  <c r="AD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B297" i="2"/>
  <c r="AC297" i="2"/>
  <c r="AD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B298" i="2"/>
  <c r="AC298" i="2"/>
  <c r="AD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B299" i="2"/>
  <c r="AC299" i="2"/>
  <c r="AD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B300" i="2"/>
  <c r="AC300" i="2"/>
  <c r="AD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B301" i="2"/>
  <c r="AC301" i="2"/>
  <c r="AD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B302" i="2"/>
  <c r="AC302" i="2"/>
  <c r="AD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B303" i="2"/>
  <c r="AC303" i="2"/>
  <c r="AD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B304" i="2"/>
  <c r="AC304" i="2"/>
  <c r="AD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B305" i="2"/>
  <c r="AC305" i="2"/>
  <c r="AD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B306" i="2"/>
  <c r="AC306" i="2"/>
  <c r="AD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B307" i="2"/>
  <c r="AC307" i="2"/>
  <c r="AD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B308" i="2"/>
  <c r="AC308" i="2"/>
  <c r="AD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B309" i="2"/>
  <c r="AC309" i="2"/>
  <c r="AD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B310" i="2"/>
  <c r="AC310" i="2"/>
  <c r="AD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B311" i="2"/>
  <c r="AC311" i="2"/>
  <c r="AD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B312" i="2"/>
  <c r="AC312" i="2"/>
  <c r="AD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B313" i="2"/>
  <c r="AC313" i="2"/>
  <c r="AD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B314" i="2"/>
  <c r="AC314" i="2"/>
  <c r="AD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B315" i="2"/>
  <c r="AC315" i="2"/>
  <c r="AD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B316" i="2"/>
  <c r="AC316" i="2"/>
  <c r="AD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B317" i="2"/>
  <c r="AC317" i="2"/>
  <c r="AD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B318" i="2"/>
  <c r="AC318" i="2"/>
  <c r="AD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B319" i="2"/>
  <c r="AC319" i="2"/>
  <c r="AD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B320" i="2"/>
  <c r="AC320" i="2"/>
  <c r="AD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B321" i="2"/>
  <c r="AC321" i="2"/>
  <c r="AD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B322" i="2"/>
  <c r="AC322" i="2"/>
  <c r="AD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B323" i="2"/>
  <c r="AC323" i="2"/>
  <c r="AD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B324" i="2"/>
  <c r="AC324" i="2"/>
  <c r="AD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B325" i="2"/>
  <c r="AC325" i="2"/>
  <c r="AD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B326" i="2"/>
  <c r="AC326" i="2"/>
  <c r="AD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B327" i="2"/>
  <c r="AC327" i="2"/>
  <c r="AD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B328" i="2"/>
  <c r="AC328" i="2"/>
  <c r="AD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B329" i="2"/>
  <c r="AC329" i="2"/>
  <c r="AD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B330" i="2"/>
  <c r="AC330" i="2"/>
  <c r="AD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B331" i="2"/>
  <c r="AC331" i="2"/>
  <c r="AD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B332" i="2"/>
  <c r="AC332" i="2"/>
  <c r="AD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B333" i="2"/>
  <c r="AC333" i="2"/>
  <c r="AD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B334" i="2"/>
  <c r="AC334" i="2"/>
  <c r="AD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B335" i="2"/>
  <c r="AC335" i="2"/>
  <c r="AD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B336" i="2"/>
  <c r="AC336" i="2"/>
  <c r="AD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B337" i="2"/>
  <c r="AC337" i="2"/>
  <c r="AD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B338" i="2"/>
  <c r="AC338" i="2"/>
  <c r="AD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B339" i="2"/>
  <c r="AC339" i="2"/>
  <c r="AD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B340" i="2"/>
  <c r="AC340" i="2"/>
  <c r="AD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B341" i="2"/>
  <c r="AC341" i="2"/>
  <c r="AD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B342" i="2"/>
  <c r="AC342" i="2"/>
  <c r="AD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B343" i="2"/>
  <c r="AC343" i="2"/>
  <c r="AD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B344" i="2"/>
  <c r="AC344" i="2"/>
  <c r="AD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B345" i="2"/>
  <c r="AC345" i="2"/>
  <c r="AD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B346" i="2"/>
  <c r="AC346" i="2"/>
  <c r="AD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B347" i="2"/>
  <c r="AC347" i="2"/>
  <c r="AD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B348" i="2"/>
  <c r="AC348" i="2"/>
  <c r="AD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B349" i="2"/>
  <c r="AC349" i="2"/>
  <c r="AD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B350" i="2"/>
  <c r="AC350" i="2"/>
  <c r="AD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B351" i="2"/>
  <c r="AC351" i="2"/>
  <c r="AD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B352" i="2"/>
  <c r="AC352" i="2"/>
  <c r="AD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B353" i="2"/>
  <c r="AC353" i="2"/>
  <c r="AD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B354" i="2"/>
  <c r="AC354" i="2"/>
  <c r="AD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B355" i="2"/>
  <c r="AC355" i="2"/>
  <c r="AD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B356" i="2"/>
  <c r="AC356" i="2"/>
  <c r="AD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B357" i="2"/>
  <c r="AC357" i="2"/>
  <c r="AD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B358" i="2"/>
  <c r="AC358" i="2"/>
  <c r="AD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B359" i="2"/>
  <c r="AC359" i="2"/>
  <c r="AD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B360" i="2"/>
  <c r="AC360" i="2"/>
  <c r="AD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B361" i="2"/>
  <c r="AC361" i="2"/>
  <c r="AD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B362" i="2"/>
  <c r="AC362" i="2"/>
  <c r="AD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B363" i="2"/>
  <c r="AC363" i="2"/>
  <c r="AD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B364" i="2"/>
  <c r="AC364" i="2"/>
  <c r="AD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B365" i="2"/>
  <c r="AC365" i="2"/>
  <c r="AD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B366" i="2"/>
  <c r="AC366" i="2"/>
  <c r="AD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B367" i="2"/>
  <c r="AC367" i="2"/>
  <c r="AD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B368" i="2"/>
  <c r="AC368" i="2"/>
  <c r="AD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B369" i="2"/>
  <c r="AC369" i="2"/>
  <c r="AD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B370" i="2"/>
  <c r="AC370" i="2"/>
  <c r="AD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B371" i="2"/>
  <c r="AC371" i="2"/>
  <c r="AD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B372" i="2"/>
  <c r="AC372" i="2"/>
  <c r="AD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B373" i="2"/>
  <c r="AC373" i="2"/>
  <c r="AD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B374" i="2"/>
  <c r="AC374" i="2"/>
  <c r="AD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B375" i="2"/>
  <c r="AC375" i="2"/>
  <c r="AD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B376" i="2"/>
  <c r="AC376" i="2"/>
  <c r="AD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B377" i="2"/>
  <c r="AC377" i="2"/>
  <c r="AD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B378" i="2"/>
  <c r="AC378" i="2"/>
  <c r="AD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B379" i="2"/>
  <c r="AC379" i="2"/>
  <c r="AD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B380" i="2"/>
  <c r="AC380" i="2"/>
  <c r="AD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B381" i="2"/>
  <c r="AC381" i="2"/>
  <c r="AD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B382" i="2"/>
  <c r="AC382" i="2"/>
  <c r="AD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B383" i="2"/>
  <c r="AC383" i="2"/>
  <c r="AD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B384" i="2"/>
  <c r="AC384" i="2"/>
  <c r="AD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B385" i="2"/>
  <c r="AC385" i="2"/>
  <c r="AD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B386" i="2"/>
  <c r="AC386" i="2"/>
  <c r="AD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B387" i="2"/>
  <c r="AC387" i="2"/>
  <c r="AD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B388" i="2"/>
  <c r="AC388" i="2"/>
  <c r="AD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B389" i="2"/>
  <c r="AC389" i="2"/>
  <c r="AD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B390" i="2"/>
  <c r="AC390" i="2"/>
  <c r="AD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B391" i="2"/>
  <c r="AC391" i="2"/>
  <c r="AD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B392" i="2"/>
  <c r="AC392" i="2"/>
  <c r="AD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B393" i="2"/>
  <c r="AC393" i="2"/>
  <c r="AD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B394" i="2"/>
  <c r="AC394" i="2"/>
  <c r="AD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B395" i="2"/>
  <c r="AC395" i="2"/>
  <c r="AD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B396" i="2"/>
  <c r="AC396" i="2"/>
  <c r="AD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B397" i="2"/>
  <c r="AC397" i="2"/>
  <c r="AD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B398" i="2"/>
  <c r="AC398" i="2"/>
  <c r="AD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B399" i="2"/>
  <c r="AC399" i="2"/>
  <c r="AD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B400" i="2"/>
  <c r="AC400" i="2"/>
  <c r="AD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B401" i="2"/>
  <c r="AC401" i="2"/>
  <c r="AD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B402" i="2"/>
  <c r="AC402" i="2"/>
  <c r="AD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B403" i="2"/>
  <c r="AC403" i="2"/>
  <c r="AD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B404" i="2"/>
  <c r="AC404" i="2"/>
  <c r="AD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B405" i="2"/>
  <c r="AC405" i="2"/>
  <c r="AD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B406" i="2"/>
  <c r="AC406" i="2"/>
  <c r="AD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B407" i="2"/>
  <c r="AC407" i="2"/>
  <c r="AD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B408" i="2"/>
  <c r="AC408" i="2"/>
  <c r="AD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B409" i="2"/>
  <c r="AC409" i="2"/>
  <c r="AD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B410" i="2"/>
  <c r="AC410" i="2"/>
  <c r="AD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B411" i="2"/>
  <c r="AC411" i="2"/>
  <c r="AD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B412" i="2"/>
  <c r="AC412" i="2"/>
  <c r="AD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B413" i="2"/>
  <c r="AC413" i="2"/>
  <c r="AD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B414" i="2"/>
  <c r="AC414" i="2"/>
  <c r="AD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B415" i="2"/>
  <c r="AC415" i="2"/>
  <c r="AD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B416" i="2"/>
  <c r="AC416" i="2"/>
  <c r="AD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B417" i="2"/>
  <c r="AC417" i="2"/>
  <c r="AD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B418" i="2"/>
  <c r="AC418" i="2"/>
  <c r="AD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B419" i="2"/>
  <c r="AC419" i="2"/>
  <c r="AD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B420" i="2"/>
  <c r="AC420" i="2"/>
  <c r="AD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B421" i="2"/>
  <c r="AC421" i="2"/>
  <c r="AD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B422" i="2"/>
  <c r="AC422" i="2"/>
  <c r="AD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B423" i="2"/>
  <c r="AC423" i="2"/>
  <c r="AD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B424" i="2"/>
  <c r="AC424" i="2"/>
  <c r="AD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B425" i="2"/>
  <c r="AC425" i="2"/>
  <c r="AD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B426" i="2"/>
  <c r="AC426" i="2"/>
  <c r="AD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B427" i="2"/>
  <c r="AC427" i="2"/>
  <c r="AD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B428" i="2"/>
  <c r="AC428" i="2"/>
  <c r="AD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B429" i="2"/>
  <c r="AC429" i="2"/>
  <c r="AD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B430" i="2"/>
  <c r="AC430" i="2"/>
  <c r="AD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B431" i="2"/>
  <c r="AC431" i="2"/>
  <c r="AD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B432" i="2"/>
  <c r="AC432" i="2"/>
  <c r="AD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B433" i="2"/>
  <c r="AC433" i="2"/>
  <c r="AD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B434" i="2"/>
  <c r="AC434" i="2"/>
  <c r="AD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B435" i="2"/>
  <c r="AC435" i="2"/>
  <c r="AD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B436" i="2"/>
  <c r="AC436" i="2"/>
  <c r="AD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B437" i="2"/>
  <c r="AC437" i="2"/>
  <c r="AD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B438" i="2"/>
  <c r="AC438" i="2"/>
  <c r="AD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B439" i="2"/>
  <c r="AC439" i="2"/>
  <c r="AD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B440" i="2"/>
  <c r="AC440" i="2"/>
  <c r="AD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B441" i="2"/>
  <c r="AC441" i="2"/>
  <c r="AD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B442" i="2"/>
  <c r="AC442" i="2"/>
  <c r="AD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B443" i="2"/>
  <c r="AC443" i="2"/>
  <c r="AD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B444" i="2"/>
  <c r="AC444" i="2"/>
  <c r="AD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B445" i="2"/>
  <c r="AC445" i="2"/>
  <c r="AD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B446" i="2"/>
  <c r="AC446" i="2"/>
  <c r="AD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B447" i="2"/>
  <c r="AC447" i="2"/>
  <c r="AD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B448" i="2"/>
  <c r="AC448" i="2"/>
  <c r="AD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B449" i="2"/>
  <c r="AC449" i="2"/>
  <c r="AD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B450" i="2"/>
  <c r="AC450" i="2"/>
  <c r="AD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B451" i="2"/>
  <c r="AC451" i="2"/>
  <c r="AD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B452" i="2"/>
  <c r="AC452" i="2"/>
  <c r="AD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B453" i="2"/>
  <c r="AC453" i="2"/>
  <c r="AD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B454" i="2"/>
  <c r="AC454" i="2"/>
  <c r="AD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B455" i="2"/>
  <c r="AC455" i="2"/>
  <c r="AD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B456" i="2"/>
  <c r="AC456" i="2"/>
  <c r="AD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B457" i="2"/>
  <c r="AC457" i="2"/>
  <c r="AD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B458" i="2"/>
  <c r="AC458" i="2"/>
  <c r="AD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B459" i="2"/>
  <c r="AC459" i="2"/>
  <c r="AD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B460" i="2"/>
  <c r="AC460" i="2"/>
  <c r="AD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B461" i="2"/>
  <c r="AC461" i="2"/>
  <c r="AD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B462" i="2"/>
  <c r="AC462" i="2"/>
  <c r="AD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B463" i="2"/>
  <c r="AC463" i="2"/>
  <c r="AD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B464" i="2"/>
  <c r="AC464" i="2"/>
  <c r="AD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B465" i="2"/>
  <c r="AC465" i="2"/>
  <c r="AD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B466" i="2"/>
  <c r="AC466" i="2"/>
  <c r="AD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B467" i="2"/>
  <c r="AC467" i="2"/>
  <c r="AD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B468" i="2"/>
  <c r="AC468" i="2"/>
  <c r="AD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B469" i="2"/>
  <c r="AC469" i="2"/>
  <c r="AD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B470" i="2"/>
  <c r="AC470" i="2"/>
  <c r="AD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B471" i="2"/>
  <c r="AC471" i="2"/>
  <c r="AD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B472" i="2"/>
  <c r="AC472" i="2"/>
  <c r="AD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B473" i="2"/>
  <c r="AC473" i="2"/>
  <c r="AD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B474" i="2"/>
  <c r="AC474" i="2"/>
  <c r="AD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B475" i="2"/>
  <c r="AC475" i="2"/>
  <c r="AD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B476" i="2"/>
  <c r="AC476" i="2"/>
  <c r="AD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B477" i="2"/>
  <c r="AC477" i="2"/>
  <c r="AD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B478" i="2"/>
  <c r="AC478" i="2"/>
  <c r="AD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B479" i="2"/>
  <c r="AC479" i="2"/>
  <c r="AD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B480" i="2"/>
  <c r="AC480" i="2"/>
  <c r="AD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B481" i="2"/>
  <c r="AC481" i="2"/>
  <c r="AD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B482" i="2"/>
  <c r="AC482" i="2"/>
  <c r="AD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B483" i="2"/>
  <c r="AC483" i="2"/>
  <c r="AD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B484" i="2"/>
  <c r="AC484" i="2"/>
  <c r="AD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B485" i="2"/>
  <c r="AC485" i="2"/>
  <c r="AD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B486" i="2"/>
  <c r="AC486" i="2"/>
  <c r="AD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B487" i="2"/>
  <c r="AC487" i="2"/>
  <c r="AD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B488" i="2"/>
  <c r="AC488" i="2"/>
  <c r="AD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B489" i="2"/>
  <c r="AC489" i="2"/>
  <c r="AD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B490" i="2"/>
  <c r="AC490" i="2"/>
  <c r="AD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B491" i="2"/>
  <c r="AC491" i="2"/>
  <c r="AD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B492" i="2"/>
  <c r="AC492" i="2"/>
  <c r="AD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B493" i="2"/>
  <c r="AC493" i="2"/>
  <c r="AD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B494" i="2"/>
  <c r="AC494" i="2"/>
  <c r="AD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B495" i="2"/>
  <c r="AC495" i="2"/>
  <c r="AD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B496" i="2"/>
  <c r="AC496" i="2"/>
  <c r="AD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B497" i="2"/>
  <c r="AC497" i="2"/>
  <c r="AD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B498" i="2"/>
  <c r="AC498" i="2"/>
  <c r="AD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B499" i="2"/>
  <c r="AC499" i="2"/>
  <c r="AD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B500" i="2"/>
  <c r="AC500" i="2"/>
  <c r="AD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B501" i="2"/>
  <c r="AC501" i="2"/>
  <c r="AD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B502" i="2"/>
  <c r="AC502" i="2"/>
  <c r="AD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B503" i="2"/>
  <c r="AC503" i="2"/>
  <c r="AD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B504" i="2"/>
  <c r="AC504" i="2"/>
  <c r="AD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B505" i="2"/>
  <c r="AC505" i="2"/>
  <c r="AD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B506" i="2"/>
  <c r="AC506" i="2"/>
  <c r="AD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B507" i="2"/>
  <c r="AC507" i="2"/>
  <c r="AD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B508" i="2"/>
  <c r="AC508" i="2"/>
  <c r="AD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B509" i="2"/>
  <c r="AC509" i="2"/>
  <c r="AD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B510" i="2"/>
  <c r="AC510" i="2"/>
  <c r="AD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B511" i="2"/>
  <c r="AC511" i="2"/>
  <c r="AD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B512" i="2"/>
  <c r="AC512" i="2"/>
  <c r="AD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B513" i="2"/>
  <c r="AC513" i="2"/>
  <c r="AD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B514" i="2"/>
  <c r="AC514" i="2"/>
  <c r="AD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B515" i="2"/>
  <c r="AC515" i="2"/>
  <c r="AD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B516" i="2"/>
  <c r="AC516" i="2"/>
  <c r="AD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B517" i="2"/>
  <c r="AC517" i="2"/>
  <c r="AD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B518" i="2"/>
  <c r="AC518" i="2"/>
  <c r="AD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B519" i="2"/>
  <c r="AC519" i="2"/>
  <c r="AD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B520" i="2"/>
  <c r="AC520" i="2"/>
  <c r="AD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B521" i="2"/>
  <c r="AC521" i="2"/>
  <c r="AD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B522" i="2"/>
  <c r="AC522" i="2"/>
  <c r="AD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B523" i="2"/>
  <c r="AC523" i="2"/>
  <c r="AD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B524" i="2"/>
  <c r="AC524" i="2"/>
  <c r="AD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B525" i="2"/>
  <c r="AC525" i="2"/>
  <c r="AD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B526" i="2"/>
  <c r="AC526" i="2"/>
  <c r="AD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B527" i="2"/>
  <c r="AC527" i="2"/>
  <c r="AD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B528" i="2"/>
  <c r="AC528" i="2"/>
  <c r="AD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B529" i="2"/>
  <c r="AC529" i="2"/>
  <c r="AD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B530" i="2"/>
  <c r="AC530" i="2"/>
  <c r="AD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B531" i="2"/>
  <c r="AC531" i="2"/>
  <c r="AD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B532" i="2"/>
  <c r="AC532" i="2"/>
  <c r="AD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B533" i="2"/>
  <c r="AC533" i="2"/>
  <c r="AD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B534" i="2"/>
  <c r="AC534" i="2"/>
  <c r="AD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B535" i="2"/>
  <c r="AC535" i="2"/>
  <c r="AD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B536" i="2"/>
  <c r="AC536" i="2"/>
  <c r="AD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B537" i="2"/>
  <c r="AC537" i="2"/>
  <c r="AD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B538" i="2"/>
  <c r="AC538" i="2"/>
  <c r="AD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B539" i="2"/>
  <c r="AC539" i="2"/>
  <c r="AD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B540" i="2"/>
  <c r="AC540" i="2"/>
  <c r="AD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B541" i="2"/>
  <c r="AC541" i="2"/>
  <c r="AD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B542" i="2"/>
  <c r="AC542" i="2"/>
  <c r="AD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B543" i="2"/>
  <c r="AC543" i="2"/>
  <c r="AD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B544" i="2"/>
  <c r="AC544" i="2"/>
  <c r="AD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B545" i="2"/>
  <c r="AC545" i="2"/>
  <c r="AD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B546" i="2"/>
  <c r="AC546" i="2"/>
  <c r="AD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B547" i="2"/>
  <c r="AC547" i="2"/>
  <c r="AD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B548" i="2"/>
  <c r="AC548" i="2"/>
  <c r="AD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B549" i="2"/>
  <c r="AC549" i="2"/>
  <c r="AD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B550" i="2"/>
  <c r="AC550" i="2"/>
  <c r="AD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B551" i="2"/>
  <c r="AC551" i="2"/>
  <c r="AD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B552" i="2"/>
  <c r="AC552" i="2"/>
  <c r="AD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B553" i="2"/>
  <c r="AC553" i="2"/>
  <c r="AD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B554" i="2"/>
  <c r="AC554" i="2"/>
  <c r="AD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B555" i="2"/>
  <c r="AC555" i="2"/>
  <c r="AD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B556" i="2"/>
  <c r="AC556" i="2"/>
  <c r="AD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B557" i="2"/>
  <c r="AC557" i="2"/>
  <c r="AD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B558" i="2"/>
  <c r="AC558" i="2"/>
  <c r="AD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B559" i="2"/>
  <c r="AC559" i="2"/>
  <c r="AD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B560" i="2"/>
  <c r="AC560" i="2"/>
  <c r="AD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B561" i="2"/>
  <c r="AC561" i="2"/>
  <c r="AD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B562" i="2"/>
  <c r="AC562" i="2"/>
  <c r="AD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B563" i="2"/>
  <c r="AC563" i="2"/>
  <c r="AD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B564" i="2"/>
  <c r="AC564" i="2"/>
  <c r="AD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B565" i="2"/>
  <c r="AC565" i="2"/>
  <c r="AD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B566" i="2"/>
  <c r="AC566" i="2"/>
  <c r="AD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B567" i="2"/>
  <c r="AC567" i="2"/>
  <c r="AD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B568" i="2"/>
  <c r="AC568" i="2"/>
  <c r="AD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B569" i="2"/>
  <c r="AC569" i="2"/>
  <c r="AD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B570" i="2"/>
  <c r="AC570" i="2"/>
  <c r="AD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B571" i="2"/>
  <c r="AC571" i="2"/>
  <c r="AD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B572" i="2"/>
  <c r="AC572" i="2"/>
  <c r="AD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B573" i="2"/>
  <c r="AC573" i="2"/>
  <c r="AD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B574" i="2"/>
  <c r="AC574" i="2"/>
  <c r="AD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B575" i="2"/>
  <c r="AC575" i="2"/>
  <c r="AD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B576" i="2"/>
  <c r="AC576" i="2"/>
  <c r="AD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B577" i="2"/>
  <c r="AC577" i="2"/>
  <c r="AD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B578" i="2"/>
  <c r="AC578" i="2"/>
  <c r="AD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B579" i="2"/>
  <c r="AC579" i="2"/>
  <c r="AD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B580" i="2"/>
  <c r="AC580" i="2"/>
  <c r="AD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B581" i="2"/>
  <c r="AC581" i="2"/>
  <c r="AD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B582" i="2"/>
  <c r="AC582" i="2"/>
  <c r="AD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B583" i="2"/>
  <c r="AC583" i="2"/>
  <c r="AD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B584" i="2"/>
  <c r="AC584" i="2"/>
  <c r="AD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B585" i="2"/>
  <c r="AC585" i="2"/>
  <c r="AD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B586" i="2"/>
  <c r="AC586" i="2"/>
  <c r="AD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B587" i="2"/>
  <c r="AC587" i="2"/>
  <c r="AD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B588" i="2"/>
  <c r="AC588" i="2"/>
  <c r="AD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B589" i="2"/>
  <c r="AC589" i="2"/>
  <c r="AD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B590" i="2"/>
  <c r="AC590" i="2"/>
  <c r="AD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B591" i="2"/>
  <c r="AC591" i="2"/>
  <c r="AD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B592" i="2"/>
  <c r="AC592" i="2"/>
  <c r="AD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B593" i="2"/>
  <c r="AC593" i="2"/>
  <c r="AD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B594" i="2"/>
  <c r="AC594" i="2"/>
  <c r="AD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B595" i="2"/>
  <c r="AC595" i="2"/>
  <c r="AD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B596" i="2"/>
  <c r="AC596" i="2"/>
  <c r="AD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B597" i="2"/>
  <c r="AM597" i="2" s="1"/>
  <c r="AC597" i="2"/>
  <c r="AD597" i="2"/>
  <c r="AI597" i="2"/>
  <c r="AJ597" i="2"/>
  <c r="AK597" i="2"/>
  <c r="AL597" i="2"/>
  <c r="AS128" i="2" l="1"/>
  <c r="AN119" i="2"/>
  <c r="AM105" i="2"/>
  <c r="AM96" i="2"/>
  <c r="AN117" i="2"/>
  <c r="AM115" i="2"/>
  <c r="AO114" i="2"/>
  <c r="AT113" i="2"/>
  <c r="AM98" i="2"/>
  <c r="AO99" i="2"/>
  <c r="AM109" i="2"/>
  <c r="AM90" i="2"/>
  <c r="AR84" i="2"/>
  <c r="AM78" i="2"/>
  <c r="AW69" i="2"/>
  <c r="AQ64" i="2"/>
  <c r="AM66" i="2"/>
  <c r="AM60" i="2"/>
  <c r="AM54" i="2"/>
  <c r="AO46" i="2"/>
  <c r="AM50" i="2"/>
  <c r="AO44" i="2"/>
  <c r="AM47" i="2"/>
  <c r="AM9" i="2"/>
  <c r="AQ29" i="2"/>
  <c r="AM13" i="2"/>
  <c r="AO33" i="2"/>
  <c r="AM35" i="2"/>
  <c r="AO38" i="2"/>
  <c r="AM19" i="2"/>
  <c r="AW33" i="2"/>
  <c r="AM24" i="2"/>
  <c r="AM12" i="2"/>
  <c r="AP19" i="2"/>
  <c r="AO36" i="2"/>
  <c r="AM32" i="2"/>
  <c r="AM11" i="2"/>
  <c r="AP31" i="2"/>
  <c r="AM29" i="2"/>
  <c r="AU17" i="2"/>
  <c r="AM14" i="2"/>
  <c r="AM10" i="2"/>
  <c r="Q6" i="3"/>
  <c r="AN188" i="2"/>
  <c r="AW214" i="2"/>
  <c r="AO214" i="2"/>
  <c r="AS214" i="2"/>
  <c r="AT216" i="2"/>
  <c r="AP216" i="2"/>
  <c r="AV214" i="2"/>
  <c r="AR214" i="2"/>
  <c r="AN214" i="2"/>
  <c r="AT212" i="2"/>
  <c r="AP212" i="2"/>
  <c r="AO211" i="2"/>
  <c r="AV210" i="2"/>
  <c r="AR210" i="2"/>
  <c r="AW216" i="2"/>
  <c r="AS216" i="2"/>
  <c r="AO216" i="2"/>
  <c r="AW212" i="2"/>
  <c r="AS212" i="2"/>
  <c r="AO212" i="2"/>
  <c r="AX210" i="2"/>
  <c r="AV216" i="2"/>
  <c r="AR216" i="2"/>
  <c r="AN216" i="2"/>
  <c r="AT214" i="2"/>
  <c r="AP214" i="2"/>
  <c r="AW213" i="2"/>
  <c r="AS213" i="2"/>
  <c r="AO213" i="2"/>
  <c r="AV212" i="2"/>
  <c r="AR212" i="2"/>
  <c r="AN212" i="2"/>
  <c r="AQ211" i="2"/>
  <c r="AX211" i="2"/>
  <c r="AT210" i="2"/>
  <c r="AP210" i="2"/>
  <c r="AW209" i="2"/>
  <c r="AS209" i="2"/>
  <c r="AO209" i="2"/>
  <c r="AX208" i="2"/>
  <c r="AP208" i="2"/>
  <c r="AO207" i="2"/>
  <c r="AS207" i="2"/>
  <c r="AW207" i="2"/>
  <c r="AX207" i="2"/>
  <c r="AN206" i="2"/>
  <c r="AR206" i="2"/>
  <c r="AV206" i="2"/>
  <c r="AX206" i="2"/>
  <c r="AX204" i="2"/>
  <c r="AP204" i="2"/>
  <c r="AT204" i="2"/>
  <c r="AO203" i="2"/>
  <c r="AS203" i="2"/>
  <c r="AW203" i="2"/>
  <c r="AX203" i="2"/>
  <c r="AN199" i="2"/>
  <c r="AR199" i="2"/>
  <c r="AV199" i="2"/>
  <c r="AO199" i="2"/>
  <c r="AS199" i="2"/>
  <c r="AW199" i="2"/>
  <c r="AP199" i="2"/>
  <c r="AT199" i="2"/>
  <c r="AX199" i="2"/>
  <c r="AN195" i="2"/>
  <c r="AR195" i="2"/>
  <c r="AV195" i="2"/>
  <c r="AO195" i="2"/>
  <c r="AS195" i="2"/>
  <c r="AW195" i="2"/>
  <c r="AP195" i="2"/>
  <c r="AT195" i="2"/>
  <c r="AX195" i="2"/>
  <c r="AV172" i="2"/>
  <c r="AR172" i="2"/>
  <c r="AN172" i="2"/>
  <c r="AX191" i="2"/>
  <c r="AX187" i="2"/>
  <c r="AX183" i="2"/>
  <c r="AX179" i="2"/>
  <c r="AX175" i="2"/>
  <c r="AX171" i="2"/>
  <c r="AX167" i="2"/>
  <c r="AT191" i="2"/>
  <c r="AP191" i="2"/>
  <c r="AX202" i="2"/>
  <c r="AX198" i="2"/>
  <c r="AX194" i="2"/>
  <c r="AX190" i="2"/>
  <c r="AX186" i="2"/>
  <c r="AX182" i="2"/>
  <c r="AV202" i="2"/>
  <c r="AR202" i="2"/>
  <c r="AT200" i="2"/>
  <c r="AP200" i="2"/>
  <c r="AV198" i="2"/>
  <c r="AR198" i="2"/>
  <c r="AT196" i="2"/>
  <c r="AP196" i="2"/>
  <c r="AV194" i="2"/>
  <c r="AR194" i="2"/>
  <c r="AT192" i="2"/>
  <c r="AP192" i="2"/>
  <c r="AW191" i="2"/>
  <c r="AS191" i="2"/>
  <c r="AO191" i="2"/>
  <c r="AV190" i="2"/>
  <c r="AR190" i="2"/>
  <c r="AT188" i="2"/>
  <c r="AP188" i="2"/>
  <c r="AW187" i="2"/>
  <c r="AS187" i="2"/>
  <c r="AO187" i="2"/>
  <c r="AV186" i="2"/>
  <c r="AR186" i="2"/>
  <c r="AU185" i="2"/>
  <c r="AQ185" i="2"/>
  <c r="AM185" i="2"/>
  <c r="AT184" i="2"/>
  <c r="AP184" i="2"/>
  <c r="AW183" i="2"/>
  <c r="AS183" i="2"/>
  <c r="AO183" i="2"/>
  <c r="AV182" i="2"/>
  <c r="AR182" i="2"/>
  <c r="AT180" i="2"/>
  <c r="AP180" i="2"/>
  <c r="AW179" i="2"/>
  <c r="AS179" i="2"/>
  <c r="AO179" i="2"/>
  <c r="AT176" i="2"/>
  <c r="AP176" i="2"/>
  <c r="AW175" i="2"/>
  <c r="AS175" i="2"/>
  <c r="AO175" i="2"/>
  <c r="AT172" i="2"/>
  <c r="AP172" i="2"/>
  <c r="AO171" i="2"/>
  <c r="AW200" i="2"/>
  <c r="AS200" i="2"/>
  <c r="AO200" i="2"/>
  <c r="AW196" i="2"/>
  <c r="AS196" i="2"/>
  <c r="AO196" i="2"/>
  <c r="AW192" i="2"/>
  <c r="AS192" i="2"/>
  <c r="AO192" i="2"/>
  <c r="AV191" i="2"/>
  <c r="AR191" i="2"/>
  <c r="AW188" i="2"/>
  <c r="AS188" i="2"/>
  <c r="AO188" i="2"/>
  <c r="AV187" i="2"/>
  <c r="AR187" i="2"/>
  <c r="AW184" i="2"/>
  <c r="AS184" i="2"/>
  <c r="AO184" i="2"/>
  <c r="AV183" i="2"/>
  <c r="AR183" i="2"/>
  <c r="AW180" i="2"/>
  <c r="AS180" i="2"/>
  <c r="AO180" i="2"/>
  <c r="AV179" i="2"/>
  <c r="AR179" i="2"/>
  <c r="AW176" i="2"/>
  <c r="AS176" i="2"/>
  <c r="AO176" i="2"/>
  <c r="AV175" i="2"/>
  <c r="AR175" i="2"/>
  <c r="AW172" i="2"/>
  <c r="AS172" i="2"/>
  <c r="AO172" i="2"/>
  <c r="AT164" i="2"/>
  <c r="AS164" i="2"/>
  <c r="AR164" i="2"/>
  <c r="AV164" i="2"/>
  <c r="AP164" i="2"/>
  <c r="AU164" i="2"/>
  <c r="AP162" i="2"/>
  <c r="AV162" i="2"/>
  <c r="AT162" i="2"/>
  <c r="AO162" i="2"/>
  <c r="AM162" i="2"/>
  <c r="AW162" i="2"/>
  <c r="AR162" i="2"/>
  <c r="AW161" i="2"/>
  <c r="AR161" i="2"/>
  <c r="AV160" i="2"/>
  <c r="AS160" i="2"/>
  <c r="AU160" i="2"/>
  <c r="AP160" i="2"/>
  <c r="AW160" i="2"/>
  <c r="AR160" i="2"/>
  <c r="AT160" i="2"/>
  <c r="AO160" i="2"/>
  <c r="AM160" i="2"/>
  <c r="AQ164" i="2"/>
  <c r="AQ162" i="2"/>
  <c r="AQ161" i="2"/>
  <c r="AQ160" i="2"/>
  <c r="AQ159" i="2"/>
  <c r="AQ158" i="2"/>
  <c r="AN138" i="2"/>
  <c r="AP134" i="2"/>
  <c r="AP48" i="2"/>
  <c r="AT111" i="2"/>
  <c r="AS55" i="2"/>
  <c r="AQ31" i="2"/>
  <c r="AU15" i="2"/>
  <c r="AT109" i="2"/>
  <c r="AW73" i="2"/>
  <c r="AW70" i="2"/>
  <c r="AS62" i="2"/>
  <c r="AM61" i="2"/>
  <c r="AM57" i="2"/>
  <c r="AM53" i="2"/>
  <c r="AO49" i="2"/>
  <c r="AO43" i="2"/>
  <c r="AM40" i="2"/>
  <c r="AN35" i="2"/>
  <c r="AM34" i="2"/>
  <c r="AT23" i="2"/>
  <c r="AS112" i="2"/>
  <c r="AO112" i="2"/>
  <c r="AO110" i="2"/>
  <c r="AO106" i="2"/>
  <c r="AM97" i="2"/>
  <c r="AM93" i="2"/>
  <c r="AM71" i="2"/>
  <c r="AR68" i="2"/>
  <c r="AM65" i="2"/>
  <c r="AT134" i="2"/>
  <c r="AR131" i="2"/>
  <c r="AO108" i="2"/>
  <c r="AO101" i="2"/>
  <c r="AM87" i="2"/>
  <c r="AM83" i="2"/>
  <c r="AM79" i="2"/>
  <c r="AR72" i="2"/>
  <c r="AM59" i="2"/>
  <c r="AQ55" i="2"/>
  <c r="AM51" i="2"/>
  <c r="AW47" i="2"/>
  <c r="AM45" i="2"/>
  <c r="AO39" i="2"/>
  <c r="AO27" i="2"/>
  <c r="AM21" i="2"/>
  <c r="AM18" i="2"/>
  <c r="AU7" i="2"/>
  <c r="AO48" i="2"/>
  <c r="AW72" i="2"/>
  <c r="AW51" i="2"/>
  <c r="AM28" i="2"/>
  <c r="AM22" i="2"/>
  <c r="AU18" i="2"/>
  <c r="AP40" i="2"/>
  <c r="AP38" i="2"/>
  <c r="AM37" i="2"/>
  <c r="AM31" i="2"/>
  <c r="AP32" i="2"/>
  <c r="AW29" i="2"/>
  <c r="AN26" i="2"/>
  <c r="AN8" i="2"/>
  <c r="AP108" i="2"/>
  <c r="AP106" i="2"/>
  <c r="AP57" i="2"/>
  <c r="AP49" i="2"/>
  <c r="AS133" i="2"/>
  <c r="AU130" i="2"/>
  <c r="AW104" i="2"/>
  <c r="AU103" i="2"/>
  <c r="AS95" i="2"/>
  <c r="AR90" i="2"/>
  <c r="AW85" i="2"/>
  <c r="AW81" i="2"/>
  <c r="AW77" i="2"/>
  <c r="AW74" i="2"/>
  <c r="AS63" i="2"/>
  <c r="AP51" i="2"/>
  <c r="AP43" i="2"/>
  <c r="AP41" i="2"/>
  <c r="AP39" i="2"/>
  <c r="AP29" i="2"/>
  <c r="AP27" i="2"/>
  <c r="AM16" i="2"/>
  <c r="AM15" i="2"/>
  <c r="AU136" i="2"/>
  <c r="AX134" i="2"/>
  <c r="AS107" i="2"/>
  <c r="AN105" i="2"/>
  <c r="AR96" i="2"/>
  <c r="AW96" i="2"/>
  <c r="AM95" i="2"/>
  <c r="AM85" i="2"/>
  <c r="AM81" i="2"/>
  <c r="AM69" i="2"/>
  <c r="AU65" i="2"/>
  <c r="AR64" i="2"/>
  <c r="AT61" i="2"/>
  <c r="AQ56" i="2"/>
  <c r="AT53" i="2"/>
  <c r="AM52" i="2"/>
  <c r="AW49" i="2"/>
  <c r="AQ48" i="2"/>
  <c r="AW31" i="2"/>
  <c r="AW25" i="2"/>
  <c r="AU24" i="2"/>
  <c r="AW8" i="2"/>
  <c r="AU4" i="2"/>
  <c r="AX138" i="2"/>
  <c r="AV130" i="2"/>
  <c r="AT107" i="2"/>
  <c r="AW103" i="2"/>
  <c r="AW102" i="2"/>
  <c r="AW101" i="2"/>
  <c r="AW88" i="2"/>
  <c r="AW75" i="2"/>
  <c r="AW64" i="2"/>
  <c r="AW63" i="2"/>
  <c r="AW55" i="2"/>
  <c r="AQ43" i="2"/>
  <c r="AW43" i="2"/>
  <c r="AQ38" i="2"/>
  <c r="AM36" i="2"/>
  <c r="AQ35" i="2"/>
  <c r="AO31" i="2"/>
  <c r="AO29" i="2"/>
  <c r="AQ27" i="2"/>
  <c r="AW27" i="2"/>
  <c r="AQ26" i="2"/>
  <c r="AM23" i="2"/>
  <c r="AU19" i="2"/>
  <c r="AM17" i="2"/>
  <c r="AX15" i="2"/>
  <c r="AP137" i="2"/>
  <c r="AO134" i="2"/>
  <c r="AM126" i="2"/>
  <c r="AM123" i="2"/>
  <c r="AP110" i="2"/>
  <c r="AS108" i="2"/>
  <c r="AM107" i="2"/>
  <c r="AM99" i="2"/>
  <c r="AQ94" i="2"/>
  <c r="AQ92" i="2"/>
  <c r="AM91" i="2"/>
  <c r="AQ90" i="2"/>
  <c r="AM89" i="2"/>
  <c r="AM86" i="2"/>
  <c r="AR82" i="2"/>
  <c r="AM75" i="2"/>
  <c r="AM64" i="2"/>
  <c r="AM56" i="2"/>
  <c r="AM55" i="2"/>
  <c r="AQ51" i="2"/>
  <c r="AM46" i="2"/>
  <c r="AM44" i="2"/>
  <c r="AM43" i="2"/>
  <c r="AQ40" i="2"/>
  <c r="AW39" i="2"/>
  <c r="AM39" i="2"/>
  <c r="AP35" i="2"/>
  <c r="AQ32" i="2"/>
  <c r="AM27" i="2"/>
  <c r="AP26" i="2"/>
  <c r="AM20" i="2"/>
  <c r="AT19" i="2"/>
  <c r="AN6" i="2"/>
  <c r="AV136" i="2"/>
  <c r="AX133" i="2"/>
  <c r="AW121" i="2"/>
  <c r="AP112" i="2"/>
  <c r="AQ111" i="2"/>
  <c r="AS109" i="2"/>
  <c r="AM104" i="2"/>
  <c r="AU96" i="2"/>
  <c r="AO95" i="2"/>
  <c r="AW94" i="2"/>
  <c r="AR93" i="2"/>
  <c r="AW84" i="2"/>
  <c r="AO83" i="2"/>
  <c r="AW82" i="2"/>
  <c r="AM80" i="2"/>
  <c r="AM77" i="2"/>
  <c r="AM74" i="2"/>
  <c r="AU71" i="2"/>
  <c r="AR70" i="2"/>
  <c r="AU68" i="2"/>
  <c r="AM67" i="2"/>
  <c r="AM63" i="2"/>
  <c r="AM58" i="2"/>
  <c r="AO57" i="2"/>
  <c r="AQ57" i="2"/>
  <c r="AS54" i="2"/>
  <c r="AO52" i="2"/>
  <c r="AO51" i="2"/>
  <c r="AM49" i="2"/>
  <c r="AM48" i="2"/>
  <c r="AO47" i="2"/>
  <c r="AO41" i="2"/>
  <c r="AN40" i="2"/>
  <c r="AW37" i="2"/>
  <c r="AW35" i="2"/>
  <c r="AO32" i="2"/>
  <c r="AP22" i="2"/>
  <c r="AP136" i="2"/>
  <c r="AW136" i="2"/>
  <c r="AV134" i="2"/>
  <c r="AU134" i="2"/>
  <c r="AM133" i="2"/>
  <c r="AU132" i="2"/>
  <c r="AR130" i="2"/>
  <c r="AR129" i="2"/>
  <c r="AN129" i="2"/>
  <c r="AV129" i="2"/>
  <c r="AT129" i="2"/>
  <c r="AW128" i="2"/>
  <c r="AU128" i="2"/>
  <c r="AR128" i="2"/>
  <c r="AM125" i="2"/>
  <c r="AV128" i="2"/>
  <c r="AS138" i="2"/>
  <c r="AW138" i="2"/>
  <c r="AN137" i="2"/>
  <c r="AU137" i="2"/>
  <c r="AS137" i="2"/>
  <c r="AN45" i="2"/>
  <c r="AO45" i="2"/>
  <c r="AP45" i="2"/>
  <c r="AQ45" i="2"/>
  <c r="AU138" i="2"/>
  <c r="AP138" i="2"/>
  <c r="AW137" i="2"/>
  <c r="AX137" i="2"/>
  <c r="AX131" i="2"/>
  <c r="AX127" i="2"/>
  <c r="AS110" i="2"/>
  <c r="AS106" i="2"/>
  <c r="AR105" i="2"/>
  <c r="AV105" i="2"/>
  <c r="AU101" i="2"/>
  <c r="AW100" i="2"/>
  <c r="AO98" i="2"/>
  <c r="AW98" i="2"/>
  <c r="AO78" i="2"/>
  <c r="AR78" i="2"/>
  <c r="AP25" i="2"/>
  <c r="AM25" i="2"/>
  <c r="AQ16" i="2"/>
  <c r="AU16" i="2"/>
  <c r="AT138" i="2"/>
  <c r="AO138" i="2"/>
  <c r="AM138" i="2"/>
  <c r="AV137" i="2"/>
  <c r="AR137" i="2"/>
  <c r="AT136" i="2"/>
  <c r="AR134" i="2"/>
  <c r="AW133" i="2"/>
  <c r="AW129" i="2"/>
  <c r="AS129" i="2"/>
  <c r="AT128" i="2"/>
  <c r="AP125" i="2"/>
  <c r="AT124" i="2"/>
  <c r="AN123" i="2"/>
  <c r="AT112" i="2"/>
  <c r="AO111" i="2"/>
  <c r="AP111" i="2"/>
  <c r="AQ110" i="2"/>
  <c r="AM110" i="2"/>
  <c r="AT108" i="2"/>
  <c r="AO107" i="2"/>
  <c r="AP107" i="2"/>
  <c r="AQ106" i="2"/>
  <c r="AM106" i="2"/>
  <c r="AO105" i="2"/>
  <c r="AN104" i="2"/>
  <c r="AM100" i="2"/>
  <c r="AQ99" i="2"/>
  <c r="AO96" i="2"/>
  <c r="AQ96" i="2"/>
  <c r="AN89" i="2"/>
  <c r="AM84" i="2"/>
  <c r="AO84" i="2"/>
  <c r="AU70" i="2"/>
  <c r="AM68" i="2"/>
  <c r="AO68" i="2"/>
  <c r="AR66" i="2"/>
  <c r="AU66" i="2"/>
  <c r="AV66" i="2"/>
  <c r="AP60" i="2"/>
  <c r="AQ60" i="2"/>
  <c r="AS57" i="2"/>
  <c r="AT57" i="2"/>
  <c r="AU57" i="2"/>
  <c r="AW45" i="2"/>
  <c r="AP33" i="2"/>
  <c r="AM33" i="2"/>
  <c r="AO25" i="2"/>
  <c r="AQ25" i="2"/>
  <c r="AQ13" i="2"/>
  <c r="AU13" i="2"/>
  <c r="AQ12" i="2"/>
  <c r="AU12" i="2"/>
  <c r="AQ10" i="2"/>
  <c r="AU10" i="2"/>
  <c r="AN42" i="2"/>
  <c r="AO42" i="2"/>
  <c r="AP42" i="2"/>
  <c r="AQ42" i="2"/>
  <c r="AQ109" i="2"/>
  <c r="AM76" i="2"/>
  <c r="AO76" i="2"/>
  <c r="AO53" i="2"/>
  <c r="AU53" i="2"/>
  <c r="AP53" i="2"/>
  <c r="AQ53" i="2"/>
  <c r="AN50" i="2"/>
  <c r="AO50" i="2"/>
  <c r="AP50" i="2"/>
  <c r="AQ50" i="2"/>
  <c r="AN37" i="2"/>
  <c r="AO37" i="2"/>
  <c r="AP37" i="2"/>
  <c r="AQ37" i="2"/>
  <c r="AP30" i="2"/>
  <c r="AM30" i="2"/>
  <c r="AN28" i="2"/>
  <c r="AO28" i="2"/>
  <c r="AP28" i="2"/>
  <c r="AQ28" i="2"/>
  <c r="AP21" i="2"/>
  <c r="AX21" i="2"/>
  <c r="AQ21" i="2"/>
  <c r="AT21" i="2"/>
  <c r="AU21" i="2"/>
  <c r="AV138" i="2"/>
  <c r="AR138" i="2"/>
  <c r="AT137" i="2"/>
  <c r="AO137" i="2"/>
  <c r="AM137" i="2"/>
  <c r="AO136" i="2"/>
  <c r="AN135" i="2"/>
  <c r="AN134" i="2"/>
  <c r="AV131" i="2"/>
  <c r="AM131" i="2"/>
  <c r="AU129" i="2"/>
  <c r="AM129" i="2"/>
  <c r="AN128" i="2"/>
  <c r="AR126" i="2"/>
  <c r="AN121" i="2"/>
  <c r="AQ112" i="2"/>
  <c r="AM112" i="2"/>
  <c r="AT110" i="2"/>
  <c r="AO109" i="2"/>
  <c r="AP109" i="2"/>
  <c r="AQ108" i="2"/>
  <c r="AM108" i="2"/>
  <c r="AT106" i="2"/>
  <c r="AM103" i="2"/>
  <c r="AQ98" i="2"/>
  <c r="AO92" i="2"/>
  <c r="AR92" i="2"/>
  <c r="AR88" i="2"/>
  <c r="AM88" i="2"/>
  <c r="AO86" i="2"/>
  <c r="AR76" i="2"/>
  <c r="AO61" i="2"/>
  <c r="AU61" i="2"/>
  <c r="AP61" i="2"/>
  <c r="AQ61" i="2"/>
  <c r="AQ59" i="2"/>
  <c r="AN34" i="2"/>
  <c r="AO34" i="2"/>
  <c r="AP34" i="2"/>
  <c r="AQ34" i="2"/>
  <c r="AO30" i="2"/>
  <c r="AQ14" i="2"/>
  <c r="AU14" i="2"/>
  <c r="AQ11" i="2"/>
  <c r="AU11" i="2"/>
  <c r="AQ9" i="2"/>
  <c r="AU9" i="2"/>
  <c r="AR69" i="2"/>
  <c r="AO59" i="2"/>
  <c r="AN52" i="2"/>
  <c r="AN47" i="2"/>
  <c r="AN44" i="2"/>
  <c r="AN36" i="2"/>
  <c r="AN33" i="2"/>
  <c r="AN30" i="2"/>
  <c r="AP23" i="2"/>
  <c r="AQ17" i="2"/>
  <c r="AW78" i="2"/>
  <c r="AO74" i="2"/>
  <c r="AR71" i="2"/>
  <c r="AO70" i="2"/>
  <c r="AS61" i="2"/>
  <c r="AW59" i="2"/>
  <c r="AS53" i="2"/>
  <c r="AQ52" i="2"/>
  <c r="AN49" i="2"/>
  <c r="AQ47" i="2"/>
  <c r="AN46" i="2"/>
  <c r="AQ44" i="2"/>
  <c r="AM41" i="2"/>
  <c r="AN41" i="2"/>
  <c r="AO40" i="2"/>
  <c r="AQ39" i="2"/>
  <c r="AM38" i="2"/>
  <c r="AN38" i="2"/>
  <c r="AQ36" i="2"/>
  <c r="AO35" i="2"/>
  <c r="AN31" i="2"/>
  <c r="AQ33" i="2"/>
  <c r="AN32" i="2"/>
  <c r="AQ30" i="2"/>
  <c r="AN27" i="2"/>
  <c r="AO26" i="2"/>
  <c r="AU23" i="2"/>
  <c r="AQ19" i="2"/>
  <c r="AQ18" i="2"/>
  <c r="AQ101" i="2"/>
  <c r="AW99" i="2"/>
  <c r="AR97" i="2"/>
  <c r="AR95" i="2"/>
  <c r="AO94" i="2"/>
  <c r="AN91" i="2"/>
  <c r="AO90" i="2"/>
  <c r="AW86" i="2"/>
  <c r="AO82" i="2"/>
  <c r="AO80" i="2"/>
  <c r="AW76" i="2"/>
  <c r="AM73" i="2"/>
  <c r="AW68" i="2"/>
  <c r="AR65" i="2"/>
  <c r="AO63" i="2"/>
  <c r="AS59" i="2"/>
  <c r="AS58" i="2"/>
  <c r="AO55" i="2"/>
  <c r="AP52" i="2"/>
  <c r="AN51" i="2"/>
  <c r="AQ49" i="2"/>
  <c r="AN48" i="2"/>
  <c r="AP47" i="2"/>
  <c r="AQ46" i="2"/>
  <c r="AP44" i="2"/>
  <c r="AP36" i="2"/>
  <c r="AP135" i="2"/>
  <c r="AV133" i="2"/>
  <c r="AR133" i="2"/>
  <c r="AM128" i="2"/>
  <c r="AU133" i="2"/>
  <c r="AQ133" i="2"/>
  <c r="AN132" i="2"/>
  <c r="AQ138" i="2"/>
  <c r="AQ137" i="2"/>
  <c r="AN136" i="2"/>
  <c r="AW134" i="2"/>
  <c r="AS134" i="2"/>
  <c r="AT133" i="2"/>
  <c r="AN133" i="2"/>
  <c r="AP129" i="2"/>
  <c r="AQ128" i="2"/>
  <c r="AR136" i="2"/>
  <c r="AQ136" i="2"/>
  <c r="AM136" i="2"/>
  <c r="AS135" i="2"/>
  <c r="AU135" i="2"/>
  <c r="AW135" i="2"/>
  <c r="AR135" i="2"/>
  <c r="AV135" i="2"/>
  <c r="AO135" i="2"/>
  <c r="AM135" i="2"/>
  <c r="AQ135" i="2"/>
  <c r="AX135" i="2"/>
  <c r="AT135" i="2"/>
  <c r="AQ134" i="2"/>
  <c r="AM134" i="2"/>
  <c r="AP133" i="2"/>
  <c r="AO133" i="2"/>
  <c r="AT132" i="2"/>
  <c r="AP132" i="2"/>
  <c r="AQ132" i="2"/>
  <c r="AW132" i="2"/>
  <c r="AS132" i="2"/>
  <c r="AO132" i="2"/>
  <c r="AX132" i="2"/>
  <c r="AM132" i="2"/>
  <c r="AV132" i="2"/>
  <c r="AR132" i="2"/>
  <c r="AU131" i="2"/>
  <c r="AQ131" i="2"/>
  <c r="AT131" i="2"/>
  <c r="AP131" i="2"/>
  <c r="AW131" i="2"/>
  <c r="AS131" i="2"/>
  <c r="AN131" i="2"/>
  <c r="AO131" i="2"/>
  <c r="AO130" i="2"/>
  <c r="AN130" i="2"/>
  <c r="AQ130" i="2"/>
  <c r="AM130" i="2"/>
  <c r="AT130" i="2"/>
  <c r="AP130" i="2"/>
  <c r="AX130" i="2"/>
  <c r="AW130" i="2"/>
  <c r="AS130" i="2"/>
  <c r="AQ129" i="2"/>
  <c r="AX129" i="2"/>
  <c r="AP128" i="2"/>
  <c r="AO128" i="2"/>
  <c r="AW127" i="2"/>
  <c r="AU127" i="2"/>
  <c r="AN127" i="2"/>
  <c r="AS127" i="2"/>
  <c r="AP126" i="2"/>
  <c r="AN126" i="2"/>
  <c r="AV127" i="2"/>
  <c r="AR127" i="2"/>
  <c r="AO127" i="2"/>
  <c r="AT127" i="2"/>
  <c r="AQ127" i="2"/>
  <c r="AM127" i="2"/>
  <c r="AP127" i="2"/>
  <c r="AO126" i="2"/>
  <c r="AM124" i="2"/>
  <c r="AU122" i="2"/>
  <c r="AM120" i="2"/>
  <c r="AM119" i="2"/>
  <c r="AQ103" i="2"/>
  <c r="AU99" i="2"/>
  <c r="AO97" i="2"/>
  <c r="AS97" i="2"/>
  <c r="AO93" i="2"/>
  <c r="AU92" i="2"/>
  <c r="AW92" i="2"/>
  <c r="AW91" i="2"/>
  <c r="AU90" i="2"/>
  <c r="AW90" i="2"/>
  <c r="AW89" i="2"/>
  <c r="AO87" i="2"/>
  <c r="AW87" i="2"/>
  <c r="AW60" i="2"/>
  <c r="AS60" i="2"/>
  <c r="AW56" i="2"/>
  <c r="AS56" i="2"/>
  <c r="AQ126" i="2"/>
  <c r="AT123" i="2"/>
  <c r="AQ105" i="2"/>
  <c r="AO103" i="2"/>
  <c r="AR99" i="2"/>
  <c r="AN97" i="2"/>
  <c r="AW95" i="2"/>
  <c r="AN93" i="2"/>
  <c r="AR80" i="2"/>
  <c r="AU72" i="2"/>
  <c r="AM72" i="2"/>
  <c r="AO72" i="2"/>
  <c r="AT52" i="2"/>
  <c r="AW52" i="2"/>
  <c r="AS52" i="2"/>
  <c r="AU50" i="2"/>
  <c r="AT50" i="2"/>
  <c r="AS50" i="2"/>
  <c r="AU48" i="2"/>
  <c r="AT48" i="2"/>
  <c r="AS48" i="2"/>
  <c r="AU46" i="2"/>
  <c r="AT46" i="2"/>
  <c r="AS46" i="2"/>
  <c r="AU44" i="2"/>
  <c r="AT44" i="2"/>
  <c r="AS44" i="2"/>
  <c r="AU42" i="2"/>
  <c r="AT42" i="2"/>
  <c r="AS42" i="2"/>
  <c r="AU40" i="2"/>
  <c r="AT40" i="2"/>
  <c r="AS40" i="2"/>
  <c r="AU38" i="2"/>
  <c r="AT38" i="2"/>
  <c r="AS38" i="2"/>
  <c r="AU36" i="2"/>
  <c r="AT36" i="2"/>
  <c r="AS36" i="2"/>
  <c r="AU34" i="2"/>
  <c r="AT34" i="2"/>
  <c r="AS34" i="2"/>
  <c r="AU32" i="2"/>
  <c r="AT32" i="2"/>
  <c r="AS32" i="2"/>
  <c r="AU30" i="2"/>
  <c r="AT30" i="2"/>
  <c r="AS30" i="2"/>
  <c r="AU28" i="2"/>
  <c r="AT28" i="2"/>
  <c r="AS28" i="2"/>
  <c r="AU26" i="2"/>
  <c r="AT26" i="2"/>
  <c r="AS26" i="2"/>
  <c r="AM101" i="2"/>
  <c r="AR101" i="2"/>
  <c r="AX58" i="2"/>
  <c r="AN58" i="2"/>
  <c r="AR58" i="2"/>
  <c r="AV58" i="2"/>
  <c r="AQ58" i="2"/>
  <c r="AW58" i="2"/>
  <c r="AO58" i="2"/>
  <c r="AT58" i="2"/>
  <c r="AP58" i="2"/>
  <c r="AU58" i="2"/>
  <c r="AX4" i="2"/>
  <c r="AW4" i="2"/>
  <c r="AN102" i="2"/>
  <c r="AR102" i="2"/>
  <c r="AR91" i="2"/>
  <c r="AO91" i="2"/>
  <c r="AR89" i="2"/>
  <c r="AO89" i="2"/>
  <c r="AX62" i="2"/>
  <c r="AN62" i="2"/>
  <c r="AR62" i="2"/>
  <c r="AV62" i="2"/>
  <c r="AQ62" i="2"/>
  <c r="AW62" i="2"/>
  <c r="AO62" i="2"/>
  <c r="AT62" i="2"/>
  <c r="AP62" i="2"/>
  <c r="AU62" i="2"/>
  <c r="AX54" i="2"/>
  <c r="AN54" i="2"/>
  <c r="AR54" i="2"/>
  <c r="AV54" i="2"/>
  <c r="AQ54" i="2"/>
  <c r="AW54" i="2"/>
  <c r="AO54" i="2"/>
  <c r="AT54" i="2"/>
  <c r="AP54" i="2"/>
  <c r="AU54" i="2"/>
  <c r="AN20" i="2"/>
  <c r="AR20" i="2"/>
  <c r="AV20" i="2"/>
  <c r="AO20" i="2"/>
  <c r="AS20" i="2"/>
  <c r="AW20" i="2"/>
  <c r="AX20" i="2"/>
  <c r="AQ20" i="2"/>
  <c r="AT20" i="2"/>
  <c r="AP20" i="2"/>
  <c r="AU20" i="2"/>
  <c r="AS126" i="2"/>
  <c r="AU126" i="2"/>
  <c r="AS125" i="2"/>
  <c r="AP124" i="2"/>
  <c r="AO121" i="2"/>
  <c r="AU119" i="2"/>
  <c r="AW112" i="2"/>
  <c r="AU112" i="2"/>
  <c r="AW111" i="2"/>
  <c r="AU111" i="2"/>
  <c r="AW110" i="2"/>
  <c r="AU110" i="2"/>
  <c r="AW109" i="2"/>
  <c r="AU109" i="2"/>
  <c r="AW108" i="2"/>
  <c r="AU108" i="2"/>
  <c r="AW107" i="2"/>
  <c r="AU107" i="2"/>
  <c r="AW106" i="2"/>
  <c r="AU106" i="2"/>
  <c r="AT105" i="2"/>
  <c r="AR104" i="2"/>
  <c r="AR103" i="2"/>
  <c r="AN101" i="2"/>
  <c r="AN99" i="2"/>
  <c r="AR98" i="2"/>
  <c r="AU98" i="2"/>
  <c r="AW97" i="2"/>
  <c r="AN95" i="2"/>
  <c r="AR94" i="2"/>
  <c r="AU94" i="2"/>
  <c r="AW93" i="2"/>
  <c r="AO73" i="2"/>
  <c r="AR67" i="2"/>
  <c r="AW67" i="2"/>
  <c r="AO67" i="2"/>
  <c r="AU67" i="2"/>
  <c r="AU60" i="2"/>
  <c r="AU56" i="2"/>
  <c r="AU52" i="2"/>
  <c r="AU51" i="2"/>
  <c r="AT51" i="2"/>
  <c r="AS51" i="2"/>
  <c r="AW50" i="2"/>
  <c r="AU49" i="2"/>
  <c r="AT49" i="2"/>
  <c r="AS49" i="2"/>
  <c r="AW48" i="2"/>
  <c r="AU47" i="2"/>
  <c r="AT47" i="2"/>
  <c r="AS47" i="2"/>
  <c r="AW46" i="2"/>
  <c r="AU45" i="2"/>
  <c r="AT45" i="2"/>
  <c r="AS45" i="2"/>
  <c r="AW44" i="2"/>
  <c r="AU43" i="2"/>
  <c r="AT43" i="2"/>
  <c r="AS43" i="2"/>
  <c r="AW42" i="2"/>
  <c r="AU41" i="2"/>
  <c r="AT41" i="2"/>
  <c r="AS41" i="2"/>
  <c r="AW40" i="2"/>
  <c r="AU39" i="2"/>
  <c r="AT39" i="2"/>
  <c r="AS39" i="2"/>
  <c r="AW38" i="2"/>
  <c r="AU37" i="2"/>
  <c r="AT37" i="2"/>
  <c r="AS37" i="2"/>
  <c r="AW36" i="2"/>
  <c r="AU35" i="2"/>
  <c r="AX35" i="2"/>
  <c r="AT35" i="2"/>
  <c r="AS35" i="2"/>
  <c r="AW34" i="2"/>
  <c r="AU31" i="2"/>
  <c r="AT31" i="2"/>
  <c r="AS31" i="2"/>
  <c r="AU33" i="2"/>
  <c r="AT33" i="2"/>
  <c r="AS33" i="2"/>
  <c r="AW32" i="2"/>
  <c r="AW30" i="2"/>
  <c r="AU29" i="2"/>
  <c r="AT29" i="2"/>
  <c r="AS29" i="2"/>
  <c r="AW28" i="2"/>
  <c r="AU27" i="2"/>
  <c r="AT27" i="2"/>
  <c r="AS27" i="2"/>
  <c r="AW26" i="2"/>
  <c r="AU25" i="2"/>
  <c r="AT25" i="2"/>
  <c r="AS25" i="2"/>
  <c r="AS93" i="2"/>
  <c r="AS91" i="2"/>
  <c r="AS89" i="2"/>
  <c r="AO79" i="2"/>
  <c r="AW79" i="2"/>
  <c r="AO69" i="2"/>
  <c r="AN66" i="2"/>
  <c r="AQ66" i="2"/>
  <c r="AW66" i="2"/>
  <c r="AU64" i="2"/>
  <c r="AW61" i="2"/>
  <c r="AX60" i="2"/>
  <c r="AN60" i="2"/>
  <c r="AR60" i="2"/>
  <c r="AV60" i="2"/>
  <c r="AT59" i="2"/>
  <c r="AW57" i="2"/>
  <c r="AX56" i="2"/>
  <c r="AN56" i="2"/>
  <c r="AR56" i="2"/>
  <c r="AV56" i="2"/>
  <c r="AT55" i="2"/>
  <c r="AW53" i="2"/>
  <c r="AX43" i="2"/>
  <c r="AX39" i="2"/>
  <c r="AX29" i="2"/>
  <c r="AX25" i="2"/>
  <c r="AN24" i="2"/>
  <c r="AR24" i="2"/>
  <c r="AV24" i="2"/>
  <c r="AO24" i="2"/>
  <c r="AS24" i="2"/>
  <c r="AW24" i="2"/>
  <c r="AX24" i="2"/>
  <c r="AQ24" i="2"/>
  <c r="AT24" i="2"/>
  <c r="AN65" i="2"/>
  <c r="AW65" i="2"/>
  <c r="AN63" i="2"/>
  <c r="AU63" i="2"/>
  <c r="AX59" i="2"/>
  <c r="AN59" i="2"/>
  <c r="AR59" i="2"/>
  <c r="AV59" i="2"/>
  <c r="AX55" i="2"/>
  <c r="AN55" i="2"/>
  <c r="AR55" i="2"/>
  <c r="AV55" i="2"/>
  <c r="AX22" i="2"/>
  <c r="AN22" i="2"/>
  <c r="AR22" i="2"/>
  <c r="AV22" i="2"/>
  <c r="AO22" i="2"/>
  <c r="AS22" i="2"/>
  <c r="AW22" i="2"/>
  <c r="AQ22" i="2"/>
  <c r="AT22" i="2"/>
  <c r="AN100" i="2"/>
  <c r="AQ88" i="2"/>
  <c r="AR86" i="2"/>
  <c r="AW83" i="2"/>
  <c r="AO81" i="2"/>
  <c r="AO75" i="2"/>
  <c r="AO71" i="2"/>
  <c r="AU69" i="2"/>
  <c r="AO66" i="2"/>
  <c r="AS65" i="2"/>
  <c r="AN64" i="2"/>
  <c r="AO64" i="2"/>
  <c r="AV64" i="2"/>
  <c r="AR63" i="2"/>
  <c r="AX61" i="2"/>
  <c r="AN61" i="2"/>
  <c r="AR61" i="2"/>
  <c r="AV61" i="2"/>
  <c r="AT60" i="2"/>
  <c r="AO60" i="2"/>
  <c r="AU59" i="2"/>
  <c r="AP59" i="2"/>
  <c r="AX57" i="2"/>
  <c r="AN57" i="2"/>
  <c r="AR57" i="2"/>
  <c r="AV57" i="2"/>
  <c r="AT56" i="2"/>
  <c r="AO56" i="2"/>
  <c r="AU55" i="2"/>
  <c r="AP55" i="2"/>
  <c r="AX53" i="2"/>
  <c r="AN53" i="2"/>
  <c r="AR53" i="2"/>
  <c r="AV53" i="2"/>
  <c r="AP24" i="2"/>
  <c r="AU22" i="2"/>
  <c r="AX51" i="2"/>
  <c r="AX47" i="2"/>
  <c r="AX33" i="2"/>
  <c r="AX17" i="2"/>
  <c r="AU88" i="2"/>
  <c r="AO85" i="2"/>
  <c r="AW80" i="2"/>
  <c r="AO77" i="2"/>
  <c r="AN72" i="2"/>
  <c r="AN70" i="2"/>
  <c r="AN68" i="2"/>
  <c r="AV52" i="2"/>
  <c r="AR52" i="2"/>
  <c r="AV51" i="2"/>
  <c r="AR51" i="2"/>
  <c r="AV50" i="2"/>
  <c r="AR50" i="2"/>
  <c r="AV49" i="2"/>
  <c r="AR49" i="2"/>
  <c r="AV48" i="2"/>
  <c r="AR48" i="2"/>
  <c r="AV47" i="2"/>
  <c r="AR47" i="2"/>
  <c r="AV46" i="2"/>
  <c r="AR46" i="2"/>
  <c r="AV45" i="2"/>
  <c r="AR45" i="2"/>
  <c r="AV44" i="2"/>
  <c r="AR44" i="2"/>
  <c r="AV43" i="2"/>
  <c r="AR43" i="2"/>
  <c r="AN43" i="2"/>
  <c r="AV42" i="2"/>
  <c r="AR42" i="2"/>
  <c r="AV41" i="2"/>
  <c r="AR41" i="2"/>
  <c r="AV40" i="2"/>
  <c r="AR40" i="2"/>
  <c r="AV39" i="2"/>
  <c r="AR39" i="2"/>
  <c r="AN39" i="2"/>
  <c r="AV38" i="2"/>
  <c r="AR38" i="2"/>
  <c r="AV37" i="2"/>
  <c r="AR37" i="2"/>
  <c r="AV36" i="2"/>
  <c r="AR36" i="2"/>
  <c r="AV35" i="2"/>
  <c r="AR35" i="2"/>
  <c r="AV34" i="2"/>
  <c r="AR34" i="2"/>
  <c r="AV31" i="2"/>
  <c r="AR31" i="2"/>
  <c r="AV33" i="2"/>
  <c r="AR33" i="2"/>
  <c r="AV32" i="2"/>
  <c r="AR32" i="2"/>
  <c r="AV30" i="2"/>
  <c r="AR30" i="2"/>
  <c r="AV29" i="2"/>
  <c r="AR29" i="2"/>
  <c r="AN29" i="2"/>
  <c r="AV28" i="2"/>
  <c r="AR28" i="2"/>
  <c r="AV27" i="2"/>
  <c r="AR27" i="2"/>
  <c r="AV26" i="2"/>
  <c r="AR26" i="2"/>
  <c r="AV25" i="2"/>
  <c r="AR25" i="2"/>
  <c r="AN25" i="2"/>
  <c r="AQ15" i="2"/>
  <c r="AX52" i="2"/>
  <c r="AX50" i="2"/>
  <c r="AX49" i="2"/>
  <c r="AX48" i="2"/>
  <c r="AX46" i="2"/>
  <c r="AX45" i="2"/>
  <c r="AX44" i="2"/>
  <c r="AX42" i="2"/>
  <c r="AX41" i="2"/>
  <c r="AX40" i="2"/>
  <c r="AX38" i="2"/>
  <c r="AX37" i="2"/>
  <c r="AX36" i="2"/>
  <c r="AX34" i="2"/>
  <c r="AX31" i="2"/>
  <c r="AX32" i="2"/>
  <c r="AX30" i="2"/>
  <c r="AX28" i="2"/>
  <c r="AX27" i="2"/>
  <c r="AX26" i="2"/>
  <c r="AN23" i="2"/>
  <c r="AR23" i="2"/>
  <c r="AV23" i="2"/>
  <c r="AX23" i="2"/>
  <c r="AO23" i="2"/>
  <c r="AS23" i="2"/>
  <c r="AW23" i="2"/>
  <c r="AN21" i="2"/>
  <c r="AR21" i="2"/>
  <c r="AV21" i="2"/>
  <c r="AO21" i="2"/>
  <c r="AS21" i="2"/>
  <c r="AW21" i="2"/>
  <c r="AN19" i="2"/>
  <c r="AR19" i="2"/>
  <c r="AV19" i="2"/>
  <c r="AX19" i="2"/>
  <c r="AO19" i="2"/>
  <c r="AS19" i="2"/>
  <c r="AW19" i="2"/>
  <c r="AX18" i="2"/>
  <c r="AN18" i="2"/>
  <c r="AR18" i="2"/>
  <c r="AV18" i="2"/>
  <c r="AO18" i="2"/>
  <c r="AS18" i="2"/>
  <c r="AW18" i="2"/>
  <c r="AP18" i="2"/>
  <c r="AT18" i="2"/>
  <c r="AN17" i="2"/>
  <c r="AR17" i="2"/>
  <c r="AV17" i="2"/>
  <c r="AO17" i="2"/>
  <c r="AS17" i="2"/>
  <c r="AW17" i="2"/>
  <c r="AP17" i="2"/>
  <c r="AT17" i="2"/>
  <c r="AN16" i="2"/>
  <c r="AR16" i="2"/>
  <c r="AV16" i="2"/>
  <c r="AO16" i="2"/>
  <c r="AS16" i="2"/>
  <c r="AW16" i="2"/>
  <c r="AX16" i="2"/>
  <c r="AP16" i="2"/>
  <c r="AT16" i="2"/>
  <c r="AN15" i="2"/>
  <c r="AR15" i="2"/>
  <c r="AV15" i="2"/>
  <c r="AO15" i="2"/>
  <c r="AS15" i="2"/>
  <c r="AW15" i="2"/>
  <c r="AP15" i="2"/>
  <c r="AT15" i="2"/>
  <c r="AN14" i="2"/>
  <c r="AR14" i="2"/>
  <c r="AV14" i="2"/>
  <c r="AO14" i="2"/>
  <c r="AS14" i="2"/>
  <c r="AW14" i="2"/>
  <c r="AX14" i="2"/>
  <c r="AP14" i="2"/>
  <c r="AT14" i="2"/>
  <c r="AN13" i="2"/>
  <c r="AR13" i="2"/>
  <c r="AV13" i="2"/>
  <c r="AX13" i="2"/>
  <c r="AO13" i="2"/>
  <c r="AS13" i="2"/>
  <c r="AW13" i="2"/>
  <c r="AP13" i="2"/>
  <c r="AT13" i="2"/>
  <c r="AN12" i="2"/>
  <c r="AR12" i="2"/>
  <c r="AV12" i="2"/>
  <c r="AO12" i="2"/>
  <c r="AS12" i="2"/>
  <c r="AW12" i="2"/>
  <c r="AP12" i="2"/>
  <c r="AT12" i="2"/>
  <c r="AN11" i="2"/>
  <c r="AR11" i="2"/>
  <c r="AV11" i="2"/>
  <c r="AO11" i="2"/>
  <c r="AS11" i="2"/>
  <c r="AW11" i="2"/>
  <c r="AX11" i="2"/>
  <c r="AP11" i="2"/>
  <c r="AT11" i="2"/>
  <c r="AN10" i="2"/>
  <c r="AR10" i="2"/>
  <c r="AV10" i="2"/>
  <c r="AX10" i="2"/>
  <c r="AO10" i="2"/>
  <c r="AS10" i="2"/>
  <c r="AW10" i="2"/>
  <c r="AP10" i="2"/>
  <c r="AT10" i="2"/>
  <c r="AX9" i="2"/>
  <c r="AN9" i="2"/>
  <c r="AR9" i="2"/>
  <c r="AV9" i="2"/>
  <c r="AO9" i="2"/>
  <c r="AS9" i="2"/>
  <c r="AW9" i="2"/>
  <c r="AP9" i="2"/>
  <c r="AT9" i="2"/>
  <c r="AX12" i="2"/>
  <c r="AM5" i="2"/>
  <c r="AX8" i="2"/>
  <c r="AX7" i="2"/>
  <c r="AO4" i="2"/>
  <c r="AT126" i="2"/>
  <c r="AW124" i="2"/>
  <c r="AS121" i="2"/>
  <c r="AX120" i="2"/>
  <c r="AX112" i="2"/>
  <c r="AX111" i="2"/>
  <c r="AX110" i="2"/>
  <c r="AX109" i="2"/>
  <c r="AX108" i="2"/>
  <c r="AX107" i="2"/>
  <c r="AX106" i="2"/>
  <c r="AU105" i="2"/>
  <c r="AS104" i="2"/>
  <c r="AV103" i="2"/>
  <c r="AS102" i="2"/>
  <c r="AV101" i="2"/>
  <c r="AS100" i="2"/>
  <c r="AV99" i="2"/>
  <c r="AU86" i="2"/>
  <c r="AU84" i="2"/>
  <c r="AU82" i="2"/>
  <c r="AU80" i="2"/>
  <c r="AU78" i="2"/>
  <c r="AU76" i="2"/>
  <c r="AU74" i="2"/>
  <c r="AX104" i="2"/>
  <c r="AP104" i="2"/>
  <c r="AT104" i="2"/>
  <c r="AX102" i="2"/>
  <c r="AP102" i="2"/>
  <c r="AT102" i="2"/>
  <c r="AX100" i="2"/>
  <c r="AP100" i="2"/>
  <c r="AT100" i="2"/>
  <c r="AP87" i="2"/>
  <c r="AT87" i="2"/>
  <c r="AX87" i="2"/>
  <c r="AN87" i="2"/>
  <c r="AS87" i="2"/>
  <c r="AQ87" i="2"/>
  <c r="AV87" i="2"/>
  <c r="AX85" i="2"/>
  <c r="AP85" i="2"/>
  <c r="AT85" i="2"/>
  <c r="AN85" i="2"/>
  <c r="AS85" i="2"/>
  <c r="AQ85" i="2"/>
  <c r="AV85" i="2"/>
  <c r="AP83" i="2"/>
  <c r="AT83" i="2"/>
  <c r="AX83" i="2"/>
  <c r="AN83" i="2"/>
  <c r="AS83" i="2"/>
  <c r="AQ83" i="2"/>
  <c r="AV83" i="2"/>
  <c r="AX81" i="2"/>
  <c r="AP81" i="2"/>
  <c r="AT81" i="2"/>
  <c r="AN81" i="2"/>
  <c r="AS81" i="2"/>
  <c r="AQ81" i="2"/>
  <c r="AV81" i="2"/>
  <c r="AP79" i="2"/>
  <c r="AT79" i="2"/>
  <c r="AX79" i="2"/>
  <c r="AN79" i="2"/>
  <c r="AS79" i="2"/>
  <c r="AQ79" i="2"/>
  <c r="AV79" i="2"/>
  <c r="AX77" i="2"/>
  <c r="AP77" i="2"/>
  <c r="AT77" i="2"/>
  <c r="AN77" i="2"/>
  <c r="AS77" i="2"/>
  <c r="AQ77" i="2"/>
  <c r="AV77" i="2"/>
  <c r="AP75" i="2"/>
  <c r="AT75" i="2"/>
  <c r="AX75" i="2"/>
  <c r="AN75" i="2"/>
  <c r="AS75" i="2"/>
  <c r="AQ75" i="2"/>
  <c r="AV75" i="2"/>
  <c r="AX73" i="2"/>
  <c r="AP73" i="2"/>
  <c r="AT73" i="2"/>
  <c r="AN73" i="2"/>
  <c r="AS73" i="2"/>
  <c r="AQ73" i="2"/>
  <c r="AV73" i="2"/>
  <c r="AV126" i="2"/>
  <c r="AW105" i="2"/>
  <c r="AS105" i="2"/>
  <c r="AV104" i="2"/>
  <c r="AQ104" i="2"/>
  <c r="AS103" i="2"/>
  <c r="AV102" i="2"/>
  <c r="AQ102" i="2"/>
  <c r="AS101" i="2"/>
  <c r="AV100" i="2"/>
  <c r="AQ100" i="2"/>
  <c r="AS99" i="2"/>
  <c r="AV98" i="2"/>
  <c r="AU97" i="2"/>
  <c r="AV96" i="2"/>
  <c r="AU95" i="2"/>
  <c r="AV94" i="2"/>
  <c r="AU93" i="2"/>
  <c r="AV92" i="2"/>
  <c r="AU91" i="2"/>
  <c r="AV90" i="2"/>
  <c r="AU89" i="2"/>
  <c r="AV88" i="2"/>
  <c r="AU87" i="2"/>
  <c r="AU85" i="2"/>
  <c r="AU83" i="2"/>
  <c r="AU81" i="2"/>
  <c r="AU79" i="2"/>
  <c r="AU77" i="2"/>
  <c r="AU75" i="2"/>
  <c r="AU73" i="2"/>
  <c r="AX126" i="2"/>
  <c r="AQ122" i="2"/>
  <c r="AV121" i="2"/>
  <c r="AV112" i="2"/>
  <c r="AR112" i="2"/>
  <c r="AN112" i="2"/>
  <c r="AV111" i="2"/>
  <c r="AR111" i="2"/>
  <c r="AN111" i="2"/>
  <c r="AV110" i="2"/>
  <c r="AR110" i="2"/>
  <c r="AN110" i="2"/>
  <c r="AV109" i="2"/>
  <c r="AR109" i="2"/>
  <c r="AN109" i="2"/>
  <c r="AV108" i="2"/>
  <c r="AR108" i="2"/>
  <c r="AN108" i="2"/>
  <c r="AV107" i="2"/>
  <c r="AR107" i="2"/>
  <c r="AN107" i="2"/>
  <c r="AV106" i="2"/>
  <c r="AR106" i="2"/>
  <c r="AN106" i="2"/>
  <c r="AX105" i="2"/>
  <c r="AP105" i="2"/>
  <c r="AU104" i="2"/>
  <c r="AO104" i="2"/>
  <c r="AX103" i="2"/>
  <c r="AP103" i="2"/>
  <c r="AT103" i="2"/>
  <c r="AU102" i="2"/>
  <c r="AO102" i="2"/>
  <c r="AX101" i="2"/>
  <c r="AP101" i="2"/>
  <c r="AT101" i="2"/>
  <c r="AU100" i="2"/>
  <c r="AO100" i="2"/>
  <c r="AX99" i="2"/>
  <c r="AP99" i="2"/>
  <c r="AT99" i="2"/>
  <c r="AP98" i="2"/>
  <c r="AT98" i="2"/>
  <c r="AX98" i="2"/>
  <c r="AN98" i="2"/>
  <c r="AS98" i="2"/>
  <c r="AX97" i="2"/>
  <c r="AP97" i="2"/>
  <c r="AT97" i="2"/>
  <c r="AQ97" i="2"/>
  <c r="AV97" i="2"/>
  <c r="AX96" i="2"/>
  <c r="AP96" i="2"/>
  <c r="AT96" i="2"/>
  <c r="AN96" i="2"/>
  <c r="AS96" i="2"/>
  <c r="AP95" i="2"/>
  <c r="AT95" i="2"/>
  <c r="AX95" i="2"/>
  <c r="AQ95" i="2"/>
  <c r="AV95" i="2"/>
  <c r="AP94" i="2"/>
  <c r="AT94" i="2"/>
  <c r="AX94" i="2"/>
  <c r="AN94" i="2"/>
  <c r="AS94" i="2"/>
  <c r="AX93" i="2"/>
  <c r="AP93" i="2"/>
  <c r="AT93" i="2"/>
  <c r="AQ93" i="2"/>
  <c r="AV93" i="2"/>
  <c r="AX92" i="2"/>
  <c r="AP92" i="2"/>
  <c r="AT92" i="2"/>
  <c r="AN92" i="2"/>
  <c r="AS92" i="2"/>
  <c r="AP91" i="2"/>
  <c r="AT91" i="2"/>
  <c r="AX91" i="2"/>
  <c r="AQ91" i="2"/>
  <c r="AV91" i="2"/>
  <c r="AP90" i="2"/>
  <c r="AT90" i="2"/>
  <c r="AX90" i="2"/>
  <c r="AN90" i="2"/>
  <c r="AS90" i="2"/>
  <c r="AX89" i="2"/>
  <c r="AP89" i="2"/>
  <c r="AT89" i="2"/>
  <c r="AQ89" i="2"/>
  <c r="AV89" i="2"/>
  <c r="AX88" i="2"/>
  <c r="AP88" i="2"/>
  <c r="AT88" i="2"/>
  <c r="AN88" i="2"/>
  <c r="AS88" i="2"/>
  <c r="AR87" i="2"/>
  <c r="AP86" i="2"/>
  <c r="AT86" i="2"/>
  <c r="AX86" i="2"/>
  <c r="AQ86" i="2"/>
  <c r="AV86" i="2"/>
  <c r="AN86" i="2"/>
  <c r="AS86" i="2"/>
  <c r="AR85" i="2"/>
  <c r="AX84" i="2"/>
  <c r="AP84" i="2"/>
  <c r="AT84" i="2"/>
  <c r="AQ84" i="2"/>
  <c r="AV84" i="2"/>
  <c r="AN84" i="2"/>
  <c r="AS84" i="2"/>
  <c r="AR83" i="2"/>
  <c r="AP82" i="2"/>
  <c r="AT82" i="2"/>
  <c r="AX82" i="2"/>
  <c r="AQ82" i="2"/>
  <c r="AV82" i="2"/>
  <c r="AN82" i="2"/>
  <c r="AS82" i="2"/>
  <c r="AR81" i="2"/>
  <c r="AX80" i="2"/>
  <c r="AP80" i="2"/>
  <c r="AT80" i="2"/>
  <c r="AQ80" i="2"/>
  <c r="AV80" i="2"/>
  <c r="AN80" i="2"/>
  <c r="AS80" i="2"/>
  <c r="AR79" i="2"/>
  <c r="AP78" i="2"/>
  <c r="AT78" i="2"/>
  <c r="AX78" i="2"/>
  <c r="AQ78" i="2"/>
  <c r="AV78" i="2"/>
  <c r="AN78" i="2"/>
  <c r="AS78" i="2"/>
  <c r="AR77" i="2"/>
  <c r="AX76" i="2"/>
  <c r="AP76" i="2"/>
  <c r="AT76" i="2"/>
  <c r="AQ76" i="2"/>
  <c r="AV76" i="2"/>
  <c r="AN76" i="2"/>
  <c r="AS76" i="2"/>
  <c r="AR75" i="2"/>
  <c r="AP74" i="2"/>
  <c r="AT74" i="2"/>
  <c r="AX74" i="2"/>
  <c r="AQ74" i="2"/>
  <c r="AV74" i="2"/>
  <c r="AN74" i="2"/>
  <c r="AS74" i="2"/>
  <c r="AR73" i="2"/>
  <c r="AP71" i="2"/>
  <c r="AT71" i="2"/>
  <c r="AX71" i="2"/>
  <c r="AX69" i="2"/>
  <c r="AP69" i="2"/>
  <c r="AT69" i="2"/>
  <c r="AP67" i="2"/>
  <c r="AT67" i="2"/>
  <c r="AX67" i="2"/>
  <c r="AX65" i="2"/>
  <c r="AP65" i="2"/>
  <c r="AT65" i="2"/>
  <c r="AP63" i="2"/>
  <c r="AT63" i="2"/>
  <c r="AX63" i="2"/>
  <c r="AS72" i="2"/>
  <c r="AV71" i="2"/>
  <c r="AQ71" i="2"/>
  <c r="AS70" i="2"/>
  <c r="AV69" i="2"/>
  <c r="AQ69" i="2"/>
  <c r="AS68" i="2"/>
  <c r="AV67" i="2"/>
  <c r="AQ67" i="2"/>
  <c r="AS66" i="2"/>
  <c r="AV65" i="2"/>
  <c r="AQ65" i="2"/>
  <c r="AS64" i="2"/>
  <c r="AV63" i="2"/>
  <c r="AQ63" i="2"/>
  <c r="AX72" i="2"/>
  <c r="AP72" i="2"/>
  <c r="AT72" i="2"/>
  <c r="AP70" i="2"/>
  <c r="AT70" i="2"/>
  <c r="AX70" i="2"/>
  <c r="AX68" i="2"/>
  <c r="AP68" i="2"/>
  <c r="AT68" i="2"/>
  <c r="AP66" i="2"/>
  <c r="AT66" i="2"/>
  <c r="AX66" i="2"/>
  <c r="AO65" i="2"/>
  <c r="AX64" i="2"/>
  <c r="AP64" i="2"/>
  <c r="AT64" i="2"/>
  <c r="AV72" i="2"/>
  <c r="AQ72" i="2"/>
  <c r="AS71" i="2"/>
  <c r="AN71" i="2"/>
  <c r="AV70" i="2"/>
  <c r="AQ70" i="2"/>
  <c r="AS69" i="2"/>
  <c r="AN69" i="2"/>
  <c r="AV68" i="2"/>
  <c r="AQ68" i="2"/>
  <c r="AS67" i="2"/>
  <c r="AN67" i="2"/>
  <c r="CO14" i="3"/>
  <c r="CN14" i="3" s="1"/>
  <c r="AO115" i="2"/>
  <c r="AQ115" i="2"/>
  <c r="AW115" i="2"/>
  <c r="AS115" i="2"/>
  <c r="AU115" i="2"/>
  <c r="AT114" i="2"/>
  <c r="AP114" i="2"/>
  <c r="AR120" i="2"/>
  <c r="AM118" i="2"/>
  <c r="AU118" i="2"/>
  <c r="AW125" i="2"/>
  <c r="AR125" i="2"/>
  <c r="AV125" i="2"/>
  <c r="AQ125" i="2"/>
  <c r="AU125" i="2"/>
  <c r="AO125" i="2"/>
  <c r="AN125" i="2"/>
  <c r="AX125" i="2"/>
  <c r="AT125" i="2"/>
  <c r="AU124" i="2"/>
  <c r="AS124" i="2"/>
  <c r="AQ124" i="2"/>
  <c r="AR124" i="2"/>
  <c r="AO124" i="2"/>
  <c r="AN124" i="2"/>
  <c r="AX124" i="2"/>
  <c r="AU123" i="2"/>
  <c r="AP123" i="2"/>
  <c r="AR123" i="2"/>
  <c r="AV123" i="2"/>
  <c r="AQ123" i="2"/>
  <c r="AW123" i="2"/>
  <c r="AS123" i="2"/>
  <c r="AO123" i="2"/>
  <c r="AX123" i="2"/>
  <c r="AN122" i="2"/>
  <c r="AT122" i="2"/>
  <c r="AP122" i="2"/>
  <c r="AX122" i="2"/>
  <c r="AW122" i="2"/>
  <c r="AS122" i="2"/>
  <c r="AO122" i="2"/>
  <c r="AM122" i="2"/>
  <c r="AV122" i="2"/>
  <c r="AR122" i="2"/>
  <c r="AM121" i="2"/>
  <c r="AU121" i="2"/>
  <c r="AQ121" i="2"/>
  <c r="AX121" i="2"/>
  <c r="AT121" i="2"/>
  <c r="AP121" i="2"/>
  <c r="AV120" i="2"/>
  <c r="AQ120" i="2"/>
  <c r="AU120" i="2"/>
  <c r="AP120" i="2"/>
  <c r="AT120" i="2"/>
  <c r="AN120" i="2"/>
  <c r="AW120" i="2"/>
  <c r="AS120" i="2"/>
  <c r="AO120" i="2"/>
  <c r="AQ119" i="2"/>
  <c r="AX119" i="2"/>
  <c r="AT119" i="2"/>
  <c r="AP119" i="2"/>
  <c r="AW119" i="2"/>
  <c r="AS119" i="2"/>
  <c r="AO119" i="2"/>
  <c r="AV119" i="2"/>
  <c r="AR119" i="2"/>
  <c r="AQ118" i="2"/>
  <c r="AX118" i="2"/>
  <c r="AW118" i="2"/>
  <c r="AO118" i="2"/>
  <c r="AS118" i="2"/>
  <c r="AV118" i="2"/>
  <c r="AR118" i="2"/>
  <c r="AN118" i="2"/>
  <c r="AT118" i="2"/>
  <c r="AN116" i="2"/>
  <c r="AU114" i="2"/>
  <c r="AN114" i="2"/>
  <c r="AW114" i="2"/>
  <c r="AS114" i="2"/>
  <c r="AV114" i="2"/>
  <c r="AR114" i="2"/>
  <c r="AV113" i="2"/>
  <c r="AU113" i="2"/>
  <c r="AR113" i="2"/>
  <c r="AX117" i="2"/>
  <c r="AT117" i="2"/>
  <c r="AP117" i="2"/>
  <c r="AU117" i="2"/>
  <c r="AQ117" i="2"/>
  <c r="AW117" i="2"/>
  <c r="AS117" i="2"/>
  <c r="AO117" i="2"/>
  <c r="AM117" i="2"/>
  <c r="AV117" i="2"/>
  <c r="AR117" i="2"/>
  <c r="AR116" i="2"/>
  <c r="AM116" i="2"/>
  <c r="AX116" i="2"/>
  <c r="AV116" i="2"/>
  <c r="AU116" i="2"/>
  <c r="AQ116" i="2"/>
  <c r="AT116" i="2"/>
  <c r="AP116" i="2"/>
  <c r="AW116" i="2"/>
  <c r="AS116" i="2"/>
  <c r="AV115" i="2"/>
  <c r="AR115" i="2"/>
  <c r="AN115" i="2"/>
  <c r="AT115" i="2"/>
  <c r="AP115" i="2"/>
  <c r="AQ114" i="2"/>
  <c r="AM114" i="2"/>
  <c r="AW113" i="2"/>
  <c r="AN113" i="2"/>
  <c r="AQ113" i="2"/>
  <c r="AM113" i="2"/>
  <c r="AP113" i="2"/>
  <c r="AS113" i="2"/>
  <c r="AO113" i="2"/>
  <c r="AS7" i="2"/>
  <c r="CS9" i="3"/>
  <c r="CR9" i="3" s="1"/>
  <c r="CS13" i="3"/>
  <c r="CR13" i="3" s="1"/>
  <c r="CO11" i="3"/>
  <c r="CN11" i="3" s="1"/>
  <c r="CS10" i="3"/>
  <c r="CR10" i="3" s="1"/>
  <c r="CS14" i="3"/>
  <c r="CR14" i="3" s="1"/>
  <c r="CO12" i="3"/>
  <c r="CN12" i="3" s="1"/>
  <c r="CS7" i="3"/>
  <c r="CR7" i="3" s="1"/>
  <c r="CS11" i="3"/>
  <c r="CR11" i="3" s="1"/>
  <c r="CQ7" i="3"/>
  <c r="CO13" i="3"/>
  <c r="CN13" i="3" s="1"/>
  <c r="CS8" i="3"/>
  <c r="CR8" i="3" s="1"/>
  <c r="CS12" i="3"/>
  <c r="CR12" i="3" s="1"/>
  <c r="CQ8" i="3"/>
  <c r="AV7" i="2"/>
  <c r="AT4" i="2"/>
  <c r="AP4" i="2"/>
  <c r="AS4" i="2"/>
  <c r="AT8" i="2"/>
  <c r="AM7" i="2"/>
  <c r="AT6" i="2"/>
  <c r="AV4" i="2"/>
  <c r="AR4" i="2"/>
  <c r="AN4" i="2"/>
  <c r="AS8" i="2"/>
  <c r="AV8" i="2"/>
  <c r="AW7" i="2"/>
  <c r="AQ4" i="2"/>
  <c r="AM4" i="2"/>
  <c r="AX6" i="2"/>
  <c r="AX5" i="2"/>
  <c r="AV6" i="2"/>
  <c r="AW5" i="2"/>
  <c r="AR8" i="2"/>
  <c r="AQ7" i="2"/>
  <c r="AM6" i="2"/>
  <c r="AQ5" i="2"/>
  <c r="AO8" i="2"/>
  <c r="AN7" i="2"/>
  <c r="AP8" i="2"/>
  <c r="AM8" i="2"/>
  <c r="AO7" i="2"/>
  <c r="AP7" i="2"/>
  <c r="AU6" i="2"/>
  <c r="AS6" i="2"/>
  <c r="AS5" i="2"/>
  <c r="AR7" i="2"/>
  <c r="AR6" i="2"/>
  <c r="AU5" i="2"/>
  <c r="AP5" i="2"/>
  <c r="AP6" i="2"/>
  <c r="AT5" i="2"/>
  <c r="AO5" i="2"/>
  <c r="AU8" i="2"/>
  <c r="AQ8" i="2"/>
  <c r="AT7" i="2"/>
  <c r="AW6" i="2"/>
  <c r="AO6" i="2"/>
  <c r="AV5" i="2"/>
  <c r="AR5" i="2"/>
  <c r="AN5" i="2"/>
  <c r="AQ6" i="2"/>
  <c r="AT597" i="2"/>
  <c r="AS597" i="2"/>
  <c r="AP597" i="2"/>
  <c r="AW597" i="2"/>
  <c r="AO597" i="2"/>
  <c r="AV597" i="2"/>
  <c r="AR597" i="2"/>
  <c r="AN597" i="2"/>
  <c r="AU597" i="2"/>
  <c r="AQ597" i="2"/>
  <c r="Z598" i="2"/>
  <c r="AA598" i="2" s="1"/>
  <c r="BX7" i="3"/>
  <c r="BY7" i="3"/>
  <c r="BW7" i="3"/>
  <c r="BU7" i="3"/>
  <c r="BM7" i="3"/>
  <c r="BG7" i="3"/>
  <c r="BF7" i="3"/>
  <c r="AX7" i="3"/>
  <c r="AS7" i="3"/>
  <c r="CH27" i="3" l="1"/>
  <c r="CH26" i="3"/>
  <c r="CF289" i="3"/>
  <c r="CE289" i="3" s="1"/>
  <c r="CF295" i="3"/>
  <c r="CE295" i="3" s="1"/>
  <c r="CF292" i="3"/>
  <c r="CE292" i="3" s="1"/>
  <c r="CF298" i="3"/>
  <c r="CE298" i="3" s="1"/>
  <c r="CF286" i="3"/>
  <c r="CE286" i="3" s="1"/>
  <c r="CF283" i="3"/>
  <c r="CE283" i="3" s="1"/>
  <c r="CF269" i="3"/>
  <c r="CE269" i="3" s="1"/>
  <c r="CH281" i="3"/>
  <c r="CG281" i="3" s="1"/>
  <c r="CJ325" i="3"/>
  <c r="CI324" i="3" s="1"/>
  <c r="CJ317" i="3"/>
  <c r="CI316" i="3" s="1"/>
  <c r="CJ264" i="3"/>
  <c r="CI263" i="3" s="1"/>
  <c r="CJ301" i="3"/>
  <c r="CI300" i="3" s="1"/>
  <c r="CJ289" i="3"/>
  <c r="CI288" i="3" s="1"/>
  <c r="CJ329" i="3"/>
  <c r="CI328" i="3" s="1"/>
  <c r="CJ273" i="3"/>
  <c r="CI272" i="3" s="1"/>
  <c r="CH9" i="3"/>
  <c r="CG9" i="3" s="1"/>
  <c r="CJ346" i="3"/>
  <c r="CI345" i="3" s="1"/>
  <c r="CJ330" i="3"/>
  <c r="CI329" i="3" s="1"/>
  <c r="CJ314" i="3"/>
  <c r="CI313" i="3" s="1"/>
  <c r="CJ298" i="3"/>
  <c r="CI297" i="3" s="1"/>
  <c r="CJ282" i="3"/>
  <c r="CI281" i="3" s="1"/>
  <c r="CJ266" i="3"/>
  <c r="CI265" i="3" s="1"/>
  <c r="CJ351" i="3"/>
  <c r="CI350" i="3" s="1"/>
  <c r="CJ335" i="3"/>
  <c r="CI334" i="3" s="1"/>
  <c r="CJ319" i="3"/>
  <c r="CI318" i="3" s="1"/>
  <c r="CJ303" i="3"/>
  <c r="CI302" i="3" s="1"/>
  <c r="CJ287" i="3"/>
  <c r="CI286" i="3" s="1"/>
  <c r="CJ271" i="3"/>
  <c r="CI270" i="3" s="1"/>
  <c r="CF33" i="3"/>
  <c r="CE33" i="3" s="1"/>
  <c r="CJ348" i="3"/>
  <c r="CI347" i="3" s="1"/>
  <c r="CJ332" i="3"/>
  <c r="CI331" i="3" s="1"/>
  <c r="CJ316" i="3"/>
  <c r="CI315" i="3" s="1"/>
  <c r="CJ300" i="3"/>
  <c r="CI299" i="3" s="1"/>
  <c r="CJ284" i="3"/>
  <c r="CI283" i="3" s="1"/>
  <c r="CJ268" i="3"/>
  <c r="CI267" i="3" s="1"/>
  <c r="CJ340" i="3"/>
  <c r="CI339" i="3" s="1"/>
  <c r="CJ308" i="3"/>
  <c r="CI307" i="3" s="1"/>
  <c r="CJ292" i="3"/>
  <c r="CI291" i="3" s="1"/>
  <c r="CG27" i="3"/>
  <c r="CJ353" i="3"/>
  <c r="CI352" i="3" s="1"/>
  <c r="CF15" i="3"/>
  <c r="CE15" i="3" s="1"/>
  <c r="CJ309" i="3"/>
  <c r="CI308" i="3" s="1"/>
  <c r="CJ285" i="3"/>
  <c r="CI284" i="3" s="1"/>
  <c r="CJ313" i="3"/>
  <c r="CI312" i="3" s="1"/>
  <c r="CJ269" i="3"/>
  <c r="CI268" i="3" s="1"/>
  <c r="CJ342" i="3"/>
  <c r="CI341" i="3" s="1"/>
  <c r="CJ326" i="3"/>
  <c r="CI325" i="3" s="1"/>
  <c r="CJ310" i="3"/>
  <c r="CI309" i="3" s="1"/>
  <c r="CJ294" i="3"/>
  <c r="CI293" i="3" s="1"/>
  <c r="CJ278" i="3"/>
  <c r="CI277" i="3" s="1"/>
  <c r="CF27" i="3"/>
  <c r="CE27" i="3" s="1"/>
  <c r="CJ347" i="3"/>
  <c r="CI346" i="3" s="1"/>
  <c r="CJ331" i="3"/>
  <c r="CI330" i="3" s="1"/>
  <c r="CJ315" i="3"/>
  <c r="CI314" i="3" s="1"/>
  <c r="CJ299" i="3"/>
  <c r="CI298" i="3" s="1"/>
  <c r="CJ283" i="3"/>
  <c r="CI282" i="3" s="1"/>
  <c r="CJ267" i="3"/>
  <c r="CI266" i="3" s="1"/>
  <c r="CH21" i="3"/>
  <c r="CG21" i="3" s="1"/>
  <c r="CJ344" i="3"/>
  <c r="CI343" i="3" s="1"/>
  <c r="CJ328" i="3"/>
  <c r="CI327" i="3" s="1"/>
  <c r="CJ312" i="3"/>
  <c r="CI311" i="3" s="1"/>
  <c r="CJ296" i="3"/>
  <c r="CI295" i="3" s="1"/>
  <c r="CJ280" i="3"/>
  <c r="CI279" i="3" s="1"/>
  <c r="CH39" i="3"/>
  <c r="CG39" i="3" s="1"/>
  <c r="CJ349" i="3"/>
  <c r="CI348" i="3" s="1"/>
  <c r="CJ337" i="3"/>
  <c r="CI336" i="3" s="1"/>
  <c r="CJ341" i="3"/>
  <c r="CI340" i="3" s="1"/>
  <c r="CJ297" i="3"/>
  <c r="CI296" i="3" s="1"/>
  <c r="CF39" i="3"/>
  <c r="CE39" i="3" s="1"/>
  <c r="CJ281" i="3"/>
  <c r="CI280" i="3" s="1"/>
  <c r="CJ265" i="3"/>
  <c r="CI264" i="3" s="1"/>
  <c r="CJ354" i="3"/>
  <c r="CI353" i="3" s="1"/>
  <c r="CJ338" i="3"/>
  <c r="CI337" i="3" s="1"/>
  <c r="CJ322" i="3"/>
  <c r="CI321" i="3" s="1"/>
  <c r="CJ306" i="3"/>
  <c r="CI305" i="3" s="1"/>
  <c r="CJ290" i="3"/>
  <c r="CI289" i="3" s="1"/>
  <c r="CJ274" i="3"/>
  <c r="CI273" i="3" s="1"/>
  <c r="CH15" i="3"/>
  <c r="CG15" i="3" s="1"/>
  <c r="CJ343" i="3"/>
  <c r="CI342" i="3" s="1"/>
  <c r="CJ327" i="3"/>
  <c r="CI326" i="3" s="1"/>
  <c r="CJ311" i="3"/>
  <c r="CI310" i="3" s="1"/>
  <c r="CJ295" i="3"/>
  <c r="CI294" i="3" s="1"/>
  <c r="CJ279" i="3"/>
  <c r="CI278" i="3" s="1"/>
  <c r="CJ263" i="3"/>
  <c r="CI262" i="3" s="1"/>
  <c r="CJ333" i="3"/>
  <c r="CI332" i="3" s="1"/>
  <c r="CJ321" i="3"/>
  <c r="CI320" i="3" s="1"/>
  <c r="CJ293" i="3"/>
  <c r="CI292" i="3" s="1"/>
  <c r="CJ305" i="3"/>
  <c r="CI304" i="3" s="1"/>
  <c r="CJ345" i="3"/>
  <c r="CI344" i="3" s="1"/>
  <c r="CJ277" i="3"/>
  <c r="CI276" i="3" s="1"/>
  <c r="CF21" i="3"/>
  <c r="CE21" i="3" s="1"/>
  <c r="CJ350" i="3"/>
  <c r="CI349" i="3" s="1"/>
  <c r="CJ334" i="3"/>
  <c r="CI333" i="3" s="1"/>
  <c r="CJ318" i="3"/>
  <c r="CI317" i="3" s="1"/>
  <c r="CJ302" i="3"/>
  <c r="CI301" i="3" s="1"/>
  <c r="CJ286" i="3"/>
  <c r="CI285" i="3" s="1"/>
  <c r="CJ270" i="3"/>
  <c r="CI269" i="3" s="1"/>
  <c r="CH33" i="3"/>
  <c r="CG33" i="3" s="1"/>
  <c r="CJ339" i="3"/>
  <c r="CI338" i="3" s="1"/>
  <c r="CJ323" i="3"/>
  <c r="CI322" i="3" s="1"/>
  <c r="CJ307" i="3"/>
  <c r="CI306" i="3" s="1"/>
  <c r="CJ291" i="3"/>
  <c r="CI290" i="3" s="1"/>
  <c r="CJ275" i="3"/>
  <c r="CI274" i="3" s="1"/>
  <c r="CF9" i="3"/>
  <c r="CE9" i="3" s="1"/>
  <c r="CJ352" i="3"/>
  <c r="CI351" i="3" s="1"/>
  <c r="CJ336" i="3"/>
  <c r="CI335" i="3" s="1"/>
  <c r="CJ320" i="3"/>
  <c r="CI319" i="3" s="1"/>
  <c r="CJ304" i="3"/>
  <c r="CI303" i="3" s="1"/>
  <c r="CJ288" i="3"/>
  <c r="CI287" i="3" s="1"/>
  <c r="CJ272" i="3"/>
  <c r="CI271" i="3" s="1"/>
  <c r="CJ324" i="3"/>
  <c r="CI323" i="3" s="1"/>
  <c r="CJ276" i="3"/>
  <c r="CI275" i="3" s="1"/>
  <c r="CH329" i="3"/>
  <c r="CG329" i="3" s="1"/>
  <c r="CL354" i="3"/>
  <c r="CK354" i="3" s="1"/>
  <c r="CL350" i="3"/>
  <c r="CK350" i="3" s="1"/>
  <c r="CL346" i="3"/>
  <c r="CK346" i="3" s="1"/>
  <c r="CL342" i="3"/>
  <c r="CK342" i="3" s="1"/>
  <c r="CL338" i="3"/>
  <c r="CK338" i="3" s="1"/>
  <c r="CL334" i="3"/>
  <c r="CK334" i="3" s="1"/>
  <c r="CL330" i="3"/>
  <c r="CK330" i="3" s="1"/>
  <c r="CL326" i="3"/>
  <c r="CK326" i="3" s="1"/>
  <c r="CL322" i="3"/>
  <c r="CK322" i="3" s="1"/>
  <c r="CL318" i="3"/>
  <c r="CK318" i="3" s="1"/>
  <c r="CL314" i="3"/>
  <c r="CK314" i="3" s="1"/>
  <c r="CL310" i="3"/>
  <c r="CK310" i="3" s="1"/>
  <c r="CL306" i="3"/>
  <c r="CK306" i="3" s="1"/>
  <c r="CL302" i="3"/>
  <c r="CK302" i="3" s="1"/>
  <c r="CL298" i="3"/>
  <c r="CK298" i="3" s="1"/>
  <c r="CL294" i="3"/>
  <c r="CK294" i="3" s="1"/>
  <c r="CL290" i="3"/>
  <c r="CK290" i="3" s="1"/>
  <c r="CL353" i="3"/>
  <c r="CK353" i="3" s="1"/>
  <c r="CL349" i="3"/>
  <c r="CK349" i="3" s="1"/>
  <c r="CL345" i="3"/>
  <c r="CK345" i="3" s="1"/>
  <c r="CL341" i="3"/>
  <c r="CK341" i="3" s="1"/>
  <c r="CL337" i="3"/>
  <c r="CK337" i="3" s="1"/>
  <c r="CL333" i="3"/>
  <c r="CK333" i="3" s="1"/>
  <c r="CL329" i="3"/>
  <c r="CK329" i="3" s="1"/>
  <c r="CL325" i="3"/>
  <c r="CK325" i="3" s="1"/>
  <c r="CL321" i="3"/>
  <c r="CK321" i="3" s="1"/>
  <c r="CL317" i="3"/>
  <c r="CK317" i="3" s="1"/>
  <c r="CL313" i="3"/>
  <c r="CK313" i="3" s="1"/>
  <c r="CL309" i="3"/>
  <c r="CK309" i="3" s="1"/>
  <c r="CL305" i="3"/>
  <c r="CK305" i="3" s="1"/>
  <c r="CL301" i="3"/>
  <c r="CK301" i="3" s="1"/>
  <c r="CL297" i="3"/>
  <c r="CK297" i="3" s="1"/>
  <c r="CL293" i="3"/>
  <c r="CK293" i="3" s="1"/>
  <c r="CL289" i="3"/>
  <c r="CK289" i="3" s="1"/>
  <c r="CL352" i="3"/>
  <c r="CK352" i="3" s="1"/>
  <c r="CL348" i="3"/>
  <c r="CK348" i="3" s="1"/>
  <c r="CL344" i="3"/>
  <c r="CK344" i="3" s="1"/>
  <c r="CL340" i="3"/>
  <c r="CK340" i="3" s="1"/>
  <c r="CL336" i="3"/>
  <c r="CK336" i="3" s="1"/>
  <c r="CL332" i="3"/>
  <c r="CK332" i="3" s="1"/>
  <c r="CL328" i="3"/>
  <c r="CK328" i="3" s="1"/>
  <c r="CL324" i="3"/>
  <c r="CK324" i="3" s="1"/>
  <c r="CL320" i="3"/>
  <c r="CK320" i="3" s="1"/>
  <c r="CL316" i="3"/>
  <c r="CK316" i="3" s="1"/>
  <c r="CL312" i="3"/>
  <c r="CK312" i="3" s="1"/>
  <c r="CL308" i="3"/>
  <c r="CK308" i="3" s="1"/>
  <c r="CL304" i="3"/>
  <c r="CK304" i="3" s="1"/>
  <c r="CL300" i="3"/>
  <c r="CK300" i="3" s="1"/>
  <c r="CL296" i="3"/>
  <c r="CK296" i="3" s="1"/>
  <c r="CL292" i="3"/>
  <c r="CK292" i="3" s="1"/>
  <c r="CL351" i="3"/>
  <c r="CK351" i="3" s="1"/>
  <c r="CL347" i="3"/>
  <c r="CK347" i="3" s="1"/>
  <c r="CL343" i="3"/>
  <c r="CK343" i="3" s="1"/>
  <c r="CL339" i="3"/>
  <c r="CK339" i="3" s="1"/>
  <c r="CL335" i="3"/>
  <c r="CK335" i="3" s="1"/>
  <c r="CL331" i="3"/>
  <c r="CK331" i="3" s="1"/>
  <c r="CL327" i="3"/>
  <c r="CK327" i="3" s="1"/>
  <c r="CL323" i="3"/>
  <c r="CK323" i="3" s="1"/>
  <c r="CL319" i="3"/>
  <c r="CK319" i="3" s="1"/>
  <c r="CL315" i="3"/>
  <c r="CK315" i="3" s="1"/>
  <c r="CL311" i="3"/>
  <c r="CK311" i="3" s="1"/>
  <c r="CL307" i="3"/>
  <c r="CK307" i="3" s="1"/>
  <c r="CL303" i="3"/>
  <c r="CK303" i="3" s="1"/>
  <c r="CL299" i="3"/>
  <c r="CK299" i="3" s="1"/>
  <c r="CL295" i="3"/>
  <c r="CK295" i="3" s="1"/>
  <c r="CL291" i="3"/>
  <c r="CK291" i="3" s="1"/>
  <c r="CF366" i="3"/>
  <c r="CE366" i="3" s="1"/>
  <c r="CH357" i="3"/>
  <c r="CG357" i="3" s="1"/>
  <c r="CH346" i="3"/>
  <c r="CG346" i="3" s="1"/>
  <c r="CF348" i="3"/>
  <c r="CE348" i="3" s="1"/>
  <c r="CF364" i="3"/>
  <c r="CE364" i="3" s="1"/>
  <c r="CF355" i="3"/>
  <c r="CE355" i="3" s="1"/>
  <c r="CF340" i="3"/>
  <c r="CE340" i="3" s="1"/>
  <c r="CH351" i="3"/>
  <c r="CG351" i="3" s="1"/>
  <c r="CF337" i="3"/>
  <c r="CE337" i="3" s="1"/>
  <c r="CF353" i="3"/>
  <c r="CE353" i="3" s="1"/>
  <c r="CH353" i="3"/>
  <c r="CG353" i="3" s="1"/>
  <c r="CH342" i="3"/>
  <c r="CG342" i="3" s="1"/>
  <c r="CH348" i="3"/>
  <c r="CG348" i="3" s="1"/>
  <c r="CH364" i="3"/>
  <c r="CG364" i="3" s="1"/>
  <c r="CF350" i="3"/>
  <c r="CE350" i="3" s="1"/>
  <c r="CH352" i="3"/>
  <c r="CG352" i="3" s="1"/>
  <c r="CF354" i="3"/>
  <c r="CE354" i="3" s="1"/>
  <c r="CH359" i="3"/>
  <c r="CG359" i="3" s="1"/>
  <c r="CF347" i="3"/>
  <c r="CE347" i="3" s="1"/>
  <c r="CF342" i="3"/>
  <c r="CE342" i="3" s="1"/>
  <c r="CF344" i="3"/>
  <c r="CE344" i="3" s="1"/>
  <c r="CH362" i="3"/>
  <c r="CG362" i="3" s="1"/>
  <c r="CF365" i="3"/>
  <c r="CE365" i="3" s="1"/>
  <c r="CF346" i="3"/>
  <c r="CE346" i="3" s="1"/>
  <c r="CH341" i="3"/>
  <c r="CG341" i="3" s="1"/>
  <c r="CF339" i="3"/>
  <c r="CE339" i="3" s="1"/>
  <c r="CH358" i="3"/>
  <c r="CG358" i="3" s="1"/>
  <c r="CF352" i="3"/>
  <c r="CE352" i="3" s="1"/>
  <c r="CH349" i="3"/>
  <c r="CG349" i="3" s="1"/>
  <c r="CH338" i="3"/>
  <c r="CG338" i="3" s="1"/>
  <c r="CH339" i="3"/>
  <c r="CG339" i="3" s="1"/>
  <c r="CH355" i="3"/>
  <c r="CG355" i="3" s="1"/>
  <c r="CF341" i="3"/>
  <c r="CE341" i="3" s="1"/>
  <c r="CF357" i="3"/>
  <c r="CE357" i="3" s="1"/>
  <c r="CH365" i="3"/>
  <c r="CG365" i="3" s="1"/>
  <c r="CH354" i="3"/>
  <c r="CG354" i="3" s="1"/>
  <c r="CF338" i="3"/>
  <c r="CE338" i="3" s="1"/>
  <c r="CH343" i="3"/>
  <c r="CG343" i="3" s="1"/>
  <c r="CF361" i="3"/>
  <c r="CE361" i="3" s="1"/>
  <c r="CH356" i="3"/>
  <c r="CG356" i="3" s="1"/>
  <c r="CF363" i="3"/>
  <c r="CE363" i="3" s="1"/>
  <c r="CF343" i="3"/>
  <c r="CE343" i="3" s="1"/>
  <c r="CF349" i="3"/>
  <c r="CE349" i="3" s="1"/>
  <c r="CH344" i="3"/>
  <c r="CG344" i="3" s="1"/>
  <c r="CH337" i="3"/>
  <c r="CG337" i="3" s="1"/>
  <c r="CF351" i="3"/>
  <c r="CE351" i="3" s="1"/>
  <c r="CH366" i="3"/>
  <c r="CG366" i="3" s="1"/>
  <c r="CF356" i="3"/>
  <c r="CE356" i="3" s="1"/>
  <c r="CH361" i="3"/>
  <c r="CG361" i="3" s="1"/>
  <c r="CH350" i="3"/>
  <c r="CG350" i="3" s="1"/>
  <c r="CF345" i="3"/>
  <c r="CE345" i="3" s="1"/>
  <c r="CH340" i="3"/>
  <c r="CG340" i="3" s="1"/>
  <c r="CF358" i="3"/>
  <c r="CE358" i="3" s="1"/>
  <c r="CF360" i="3"/>
  <c r="CE360" i="3" s="1"/>
  <c r="CH363" i="3"/>
  <c r="CG363" i="3" s="1"/>
  <c r="CF359" i="3"/>
  <c r="CE359" i="3" s="1"/>
  <c r="CF362" i="3"/>
  <c r="CE362" i="3" s="1"/>
  <c r="CH345" i="3"/>
  <c r="CG345" i="3" s="1"/>
  <c r="CH347" i="3"/>
  <c r="CG347" i="3" s="1"/>
  <c r="CH360" i="3"/>
  <c r="CG360" i="3" s="1"/>
  <c r="CF318" i="3"/>
  <c r="CH326" i="3"/>
  <c r="CG326" i="3" s="1"/>
  <c r="CF322" i="3"/>
  <c r="CF315" i="3"/>
  <c r="CF331" i="3"/>
  <c r="CH315" i="3"/>
  <c r="CG315" i="3" s="1"/>
  <c r="CH331" i="3"/>
  <c r="CG331" i="3" s="1"/>
  <c r="CH310" i="3"/>
  <c r="CG310" i="3" s="1"/>
  <c r="CF332" i="3"/>
  <c r="CH316" i="3"/>
  <c r="CG316" i="3" s="1"/>
  <c r="CH332" i="3"/>
  <c r="CG332" i="3" s="1"/>
  <c r="CH314" i="3"/>
  <c r="CG314" i="3" s="1"/>
  <c r="CF309" i="3"/>
  <c r="CF325" i="3"/>
  <c r="CH313" i="3"/>
  <c r="CG313" i="3" s="1"/>
  <c r="CL288" i="3"/>
  <c r="CK288" i="3" s="1"/>
  <c r="CL284" i="3"/>
  <c r="CK284" i="3" s="1"/>
  <c r="CL280" i="3"/>
  <c r="CK280" i="3" s="1"/>
  <c r="CL276" i="3"/>
  <c r="CK276" i="3" s="1"/>
  <c r="CL272" i="3"/>
  <c r="CK272" i="3" s="1"/>
  <c r="CL268" i="3"/>
  <c r="CK268" i="3" s="1"/>
  <c r="CL264" i="3"/>
  <c r="CK264" i="3" s="1"/>
  <c r="CL260" i="3"/>
  <c r="CL256" i="3"/>
  <c r="CJ258" i="3"/>
  <c r="CI258" i="3" s="1"/>
  <c r="CJ256" i="3"/>
  <c r="CI256" i="3" s="1"/>
  <c r="CJ252" i="3"/>
  <c r="CI252" i="3" s="1"/>
  <c r="CJ248" i="3"/>
  <c r="CI248" i="3" s="1"/>
  <c r="CJ244" i="3"/>
  <c r="CI244" i="3" s="1"/>
  <c r="CJ240" i="3"/>
  <c r="CI240" i="3" s="1"/>
  <c r="CJ236" i="3"/>
  <c r="CI236" i="3" s="1"/>
  <c r="CJ232" i="3"/>
  <c r="CI232" i="3" s="1"/>
  <c r="CJ228" i="3"/>
  <c r="CI228" i="3" s="1"/>
  <c r="CJ224" i="3"/>
  <c r="CI224" i="3" s="1"/>
  <c r="CL250" i="3"/>
  <c r="CK250" i="3" s="1"/>
  <c r="CL247" i="3"/>
  <c r="CK247" i="3" s="1"/>
  <c r="CL242" i="3"/>
  <c r="CK242" i="3" s="1"/>
  <c r="CL238" i="3"/>
  <c r="CK238" i="3" s="1"/>
  <c r="CL234" i="3"/>
  <c r="CK234" i="3" s="1"/>
  <c r="CL230" i="3"/>
  <c r="CK230" i="3" s="1"/>
  <c r="CL226" i="3"/>
  <c r="CK226" i="3" s="1"/>
  <c r="CL287" i="3"/>
  <c r="CK287" i="3" s="1"/>
  <c r="CL283" i="3"/>
  <c r="CK283" i="3" s="1"/>
  <c r="CL279" i="3"/>
  <c r="CK279" i="3" s="1"/>
  <c r="CL275" i="3"/>
  <c r="CK275" i="3" s="1"/>
  <c r="CL271" i="3"/>
  <c r="CK271" i="3" s="1"/>
  <c r="CL267" i="3"/>
  <c r="CK267" i="3" s="1"/>
  <c r="CL263" i="3"/>
  <c r="CK263" i="3" s="1"/>
  <c r="CL259" i="3"/>
  <c r="CL255" i="3"/>
  <c r="CJ261" i="3"/>
  <c r="CI261" i="3" s="1"/>
  <c r="CJ255" i="3"/>
  <c r="CI255" i="3" s="1"/>
  <c r="CJ251" i="3"/>
  <c r="CI251" i="3" s="1"/>
  <c r="CJ247" i="3"/>
  <c r="CI247" i="3" s="1"/>
  <c r="CJ243" i="3"/>
  <c r="CI243" i="3" s="1"/>
  <c r="CJ239" i="3"/>
  <c r="CI239" i="3" s="1"/>
  <c r="CJ235" i="3"/>
  <c r="CI235" i="3" s="1"/>
  <c r="CJ231" i="3"/>
  <c r="CI231" i="3" s="1"/>
  <c r="CJ227" i="3"/>
  <c r="CI227" i="3" s="1"/>
  <c r="CJ223" i="3"/>
  <c r="CI223" i="3" s="1"/>
  <c r="CL249" i="3"/>
  <c r="CK249" i="3" s="1"/>
  <c r="CL246" i="3"/>
  <c r="CK246" i="3" s="1"/>
  <c r="CL241" i="3"/>
  <c r="CK241" i="3" s="1"/>
  <c r="CL237" i="3"/>
  <c r="CK237" i="3" s="1"/>
  <c r="CL233" i="3"/>
  <c r="CK233" i="3" s="1"/>
  <c r="CL229" i="3"/>
  <c r="CK229" i="3" s="1"/>
  <c r="CL225" i="3"/>
  <c r="CK225" i="3" s="1"/>
  <c r="CL286" i="3"/>
  <c r="CK286" i="3" s="1"/>
  <c r="CL282" i="3"/>
  <c r="CK282" i="3" s="1"/>
  <c r="CL278" i="3"/>
  <c r="CK278" i="3" s="1"/>
  <c r="CL274" i="3"/>
  <c r="CK274" i="3" s="1"/>
  <c r="CL270" i="3"/>
  <c r="CK270" i="3" s="1"/>
  <c r="CL266" i="3"/>
  <c r="CK266" i="3" s="1"/>
  <c r="CL262" i="3"/>
  <c r="CL258" i="3"/>
  <c r="CL254" i="3"/>
  <c r="CJ262" i="3"/>
  <c r="CJ260" i="3"/>
  <c r="CI260" i="3" s="1"/>
  <c r="CJ254" i="3"/>
  <c r="CI254" i="3" s="1"/>
  <c r="CJ250" i="3"/>
  <c r="CI250" i="3" s="1"/>
  <c r="CJ246" i="3"/>
  <c r="CI246" i="3" s="1"/>
  <c r="CJ242" i="3"/>
  <c r="CI242" i="3" s="1"/>
  <c r="CJ238" i="3"/>
  <c r="CI238" i="3" s="1"/>
  <c r="CJ234" i="3"/>
  <c r="CI234" i="3" s="1"/>
  <c r="CJ230" i="3"/>
  <c r="CI230" i="3" s="1"/>
  <c r="CJ226" i="3"/>
  <c r="CI226" i="3" s="1"/>
  <c r="CL252" i="3"/>
  <c r="CK252" i="3" s="1"/>
  <c r="CL243" i="3"/>
  <c r="CK243" i="3" s="1"/>
  <c r="CL245" i="3"/>
  <c r="CK245" i="3" s="1"/>
  <c r="CL240" i="3"/>
  <c r="CK240" i="3" s="1"/>
  <c r="CL236" i="3"/>
  <c r="CK236" i="3" s="1"/>
  <c r="CL232" i="3"/>
  <c r="CK232" i="3" s="1"/>
  <c r="CL228" i="3"/>
  <c r="CK228" i="3" s="1"/>
  <c r="CL224" i="3"/>
  <c r="CK224" i="3" s="1"/>
  <c r="CL281" i="3"/>
  <c r="CK281" i="3" s="1"/>
  <c r="CL265" i="3"/>
  <c r="CK265" i="3" s="1"/>
  <c r="CJ257" i="3"/>
  <c r="CI257" i="3" s="1"/>
  <c r="CJ241" i="3"/>
  <c r="CI241" i="3" s="1"/>
  <c r="CJ225" i="3"/>
  <c r="CI225" i="3" s="1"/>
  <c r="CL239" i="3"/>
  <c r="CK239" i="3" s="1"/>
  <c r="CL223" i="3"/>
  <c r="CK223" i="3" s="1"/>
  <c r="CL277" i="3"/>
  <c r="CK277" i="3" s="1"/>
  <c r="CL261" i="3"/>
  <c r="CJ253" i="3"/>
  <c r="CI253" i="3" s="1"/>
  <c r="CJ237" i="3"/>
  <c r="CI237" i="3" s="1"/>
  <c r="CL251" i="3"/>
  <c r="CK251" i="3" s="1"/>
  <c r="CL235" i="3"/>
  <c r="CK235" i="3" s="1"/>
  <c r="CL273" i="3"/>
  <c r="CK273" i="3" s="1"/>
  <c r="CL257" i="3"/>
  <c r="CJ249" i="3"/>
  <c r="CI249" i="3" s="1"/>
  <c r="CJ233" i="3"/>
  <c r="CI233" i="3" s="1"/>
  <c r="CL248" i="3"/>
  <c r="CK248" i="3" s="1"/>
  <c r="CL231" i="3"/>
  <c r="CK231" i="3" s="1"/>
  <c r="CL285" i="3"/>
  <c r="CK285" i="3" s="1"/>
  <c r="CJ245" i="3"/>
  <c r="CI245" i="3" s="1"/>
  <c r="CL269" i="3"/>
  <c r="CK269" i="3" s="1"/>
  <c r="CJ229" i="3"/>
  <c r="CI229" i="3" s="1"/>
  <c r="CL253" i="3"/>
  <c r="CL244" i="3"/>
  <c r="CK244" i="3" s="1"/>
  <c r="CJ259" i="3"/>
  <c r="CI259" i="3" s="1"/>
  <c r="CL227" i="3"/>
  <c r="CK227" i="3" s="1"/>
  <c r="CF334" i="3"/>
  <c r="CH330" i="3"/>
  <c r="CG330" i="3" s="1"/>
  <c r="CH306" i="3"/>
  <c r="CG306" i="3" s="1"/>
  <c r="CF319" i="3"/>
  <c r="CF335" i="3"/>
  <c r="CH319" i="3"/>
  <c r="CG319" i="3" s="1"/>
  <c r="CH335" i="3"/>
  <c r="CG335" i="3" s="1"/>
  <c r="CF312" i="3"/>
  <c r="CF336" i="3"/>
  <c r="CH320" i="3"/>
  <c r="CG320" i="3" s="1"/>
  <c r="CH336" i="3"/>
  <c r="CG336" i="3" s="1"/>
  <c r="CF308" i="3"/>
  <c r="CF313" i="3"/>
  <c r="CF329" i="3"/>
  <c r="CH317" i="3"/>
  <c r="CG317" i="3" s="1"/>
  <c r="CH333" i="3"/>
  <c r="CG333" i="3" s="1"/>
  <c r="CH318" i="3"/>
  <c r="CG318" i="3" s="1"/>
  <c r="CH334" i="3"/>
  <c r="CG334" i="3" s="1"/>
  <c r="CF307" i="3"/>
  <c r="CF323" i="3"/>
  <c r="CH307" i="3"/>
  <c r="CG307" i="3" s="1"/>
  <c r="CH323" i="3"/>
  <c r="CG323" i="3" s="1"/>
  <c r="CF310" i="3"/>
  <c r="CF320" i="3"/>
  <c r="CH308" i="3"/>
  <c r="CG308" i="3" s="1"/>
  <c r="CH324" i="3"/>
  <c r="CG324" i="3" s="1"/>
  <c r="CF314" i="3"/>
  <c r="CF316" i="3"/>
  <c r="CF317" i="3"/>
  <c r="CF333" i="3"/>
  <c r="CH321" i="3"/>
  <c r="CG321" i="3" s="1"/>
  <c r="CJ7" i="3"/>
  <c r="CI7" i="3" s="1"/>
  <c r="CH322" i="3"/>
  <c r="CG322" i="3" s="1"/>
  <c r="CF306" i="3"/>
  <c r="CF311" i="3"/>
  <c r="CF327" i="3"/>
  <c r="CH311" i="3"/>
  <c r="CG311" i="3" s="1"/>
  <c r="CH327" i="3"/>
  <c r="CG327" i="3" s="1"/>
  <c r="CF326" i="3"/>
  <c r="CF328" i="3"/>
  <c r="CH312" i="3"/>
  <c r="CG312" i="3" s="1"/>
  <c r="CH328" i="3"/>
  <c r="CG328" i="3" s="1"/>
  <c r="CF330" i="3"/>
  <c r="CF324" i="3"/>
  <c r="CF321" i="3"/>
  <c r="CH309" i="3"/>
  <c r="CG309" i="3" s="1"/>
  <c r="CH325" i="3"/>
  <c r="CG325" i="3" s="1"/>
  <c r="BL39" i="3"/>
  <c r="BK39" i="3" s="1"/>
  <c r="BL46" i="3"/>
  <c r="BK46" i="3" s="1"/>
  <c r="BL49" i="3"/>
  <c r="BK49" i="3" s="1"/>
  <c r="BJ68" i="3"/>
  <c r="BI68" i="3" s="1"/>
  <c r="BL45" i="3"/>
  <c r="BK45" i="3" s="1"/>
  <c r="BL68" i="3"/>
  <c r="BK68" i="3" s="1"/>
  <c r="BL42" i="3"/>
  <c r="BK42" i="3" s="1"/>
  <c r="BJ38" i="3"/>
  <c r="BI38" i="3" s="1"/>
  <c r="BL43" i="3"/>
  <c r="BK43" i="3" s="1"/>
  <c r="BJ47" i="3"/>
  <c r="BI47" i="3" s="1"/>
  <c r="BL38" i="3"/>
  <c r="BK38" i="3" s="1"/>
  <c r="BJ46" i="3"/>
  <c r="BI46" i="3" s="1"/>
  <c r="BL41" i="3"/>
  <c r="BK41" i="3" s="1"/>
  <c r="BL40" i="3"/>
  <c r="BK40" i="3" s="1"/>
  <c r="BJ50" i="3"/>
  <c r="BI50" i="3" s="1"/>
  <c r="BJ67" i="3"/>
  <c r="BI67" i="3" s="1"/>
  <c r="BJ61" i="3"/>
  <c r="BI61" i="3" s="1"/>
  <c r="BL57" i="3"/>
  <c r="BK57" i="3" s="1"/>
  <c r="BL59" i="3"/>
  <c r="BK59" i="3" s="1"/>
  <c r="BJ42" i="3"/>
  <c r="BI42" i="3" s="1"/>
  <c r="BL37" i="3"/>
  <c r="BK37" i="3" s="1"/>
  <c r="BL52" i="3"/>
  <c r="BK52" i="3" s="1"/>
  <c r="BL54" i="3"/>
  <c r="BK54" i="3" s="1"/>
  <c r="BJ40" i="3"/>
  <c r="BI40" i="3" s="1"/>
  <c r="BL66" i="3"/>
  <c r="BK66" i="3" s="1"/>
  <c r="BL44" i="3"/>
  <c r="BK44" i="3" s="1"/>
  <c r="BJ48" i="3"/>
  <c r="BI48" i="3" s="1"/>
  <c r="BJ37" i="3"/>
  <c r="BI37" i="3" s="1"/>
  <c r="BJ53" i="3"/>
  <c r="BI53" i="3" s="1"/>
  <c r="BL51" i="3"/>
  <c r="BK51" i="3" s="1"/>
  <c r="BJ58" i="3"/>
  <c r="BI58" i="3" s="1"/>
  <c r="BL56" i="3"/>
  <c r="BK56" i="3" s="1"/>
  <c r="BL50" i="3"/>
  <c r="BK50" i="3" s="1"/>
  <c r="BJ63" i="3"/>
  <c r="BI63" i="3" s="1"/>
  <c r="BL67" i="3"/>
  <c r="BK67" i="3" s="1"/>
  <c r="BJ52" i="3"/>
  <c r="BI52" i="3" s="1"/>
  <c r="BL64" i="3"/>
  <c r="BK64" i="3" s="1"/>
  <c r="BL58" i="3"/>
  <c r="BK58" i="3" s="1"/>
  <c r="BL62" i="3"/>
  <c r="BK62" i="3" s="1"/>
  <c r="BJ54" i="3"/>
  <c r="BI54" i="3" s="1"/>
  <c r="BL61" i="3"/>
  <c r="BK61" i="3" s="1"/>
  <c r="BL55" i="3"/>
  <c r="BK55" i="3" s="1"/>
  <c r="BJ57" i="3"/>
  <c r="BI57" i="3" s="1"/>
  <c r="BJ56" i="3"/>
  <c r="BI56" i="3" s="1"/>
  <c r="BJ59" i="3"/>
  <c r="BI59" i="3" s="1"/>
  <c r="BJ41" i="3"/>
  <c r="BI41" i="3" s="1"/>
  <c r="BJ55" i="3"/>
  <c r="BI55" i="3" s="1"/>
  <c r="BJ66" i="3"/>
  <c r="BI66" i="3" s="1"/>
  <c r="BL47" i="3"/>
  <c r="BK47" i="3" s="1"/>
  <c r="BL63" i="3"/>
  <c r="BK63" i="3" s="1"/>
  <c r="BJ39" i="3"/>
  <c r="BI39" i="3" s="1"/>
  <c r="BJ60" i="3"/>
  <c r="BI60" i="3" s="1"/>
  <c r="BL53" i="3"/>
  <c r="BK53" i="3" s="1"/>
  <c r="BJ49" i="3"/>
  <c r="BI49" i="3" s="1"/>
  <c r="BL65" i="3"/>
  <c r="BK65" i="3" s="1"/>
  <c r="BJ62" i="3"/>
  <c r="BI62" i="3" s="1"/>
  <c r="BJ51" i="3"/>
  <c r="BI51" i="3" s="1"/>
  <c r="BJ43" i="3"/>
  <c r="BI43" i="3" s="1"/>
  <c r="BL60" i="3"/>
  <c r="BK60" i="3" s="1"/>
  <c r="BJ64" i="3"/>
  <c r="BI64" i="3" s="1"/>
  <c r="BL48" i="3"/>
  <c r="BK48" i="3" s="1"/>
  <c r="BJ45" i="3"/>
  <c r="BI45" i="3" s="1"/>
  <c r="BJ65" i="3"/>
  <c r="BI65" i="3" s="1"/>
  <c r="BJ44" i="3"/>
  <c r="BI44" i="3" s="1"/>
  <c r="CF299" i="3"/>
  <c r="CE299" i="3" s="1"/>
  <c r="CF287" i="3"/>
  <c r="CE287" i="3" s="1"/>
  <c r="CF277" i="3"/>
  <c r="CE277" i="3" s="1"/>
  <c r="CH262" i="3"/>
  <c r="CG262" i="3" s="1"/>
  <c r="CH254" i="3"/>
  <c r="CG254" i="3" s="1"/>
  <c r="CH246" i="3"/>
  <c r="CG246" i="3" s="1"/>
  <c r="CH238" i="3"/>
  <c r="CG238" i="3" s="1"/>
  <c r="CF305" i="3"/>
  <c r="CE305" i="3" s="1"/>
  <c r="CF296" i="3"/>
  <c r="CE296" i="3" s="1"/>
  <c r="CF284" i="3"/>
  <c r="CE284" i="3" s="1"/>
  <c r="CF275" i="3"/>
  <c r="CE275" i="3" s="1"/>
  <c r="CF267" i="3"/>
  <c r="CE267" i="3" s="1"/>
  <c r="CF260" i="3"/>
  <c r="CE260" i="3" s="1"/>
  <c r="CF252" i="3"/>
  <c r="CE252" i="3" s="1"/>
  <c r="CH276" i="3"/>
  <c r="CG276" i="3" s="1"/>
  <c r="CH268" i="3"/>
  <c r="CG268" i="3" s="1"/>
  <c r="CH259" i="3"/>
  <c r="CG259" i="3" s="1"/>
  <c r="CH251" i="3"/>
  <c r="CG251" i="3" s="1"/>
  <c r="CH243" i="3"/>
  <c r="CG243" i="3" s="1"/>
  <c r="CH235" i="3"/>
  <c r="CG235" i="3" s="1"/>
  <c r="CH304" i="3"/>
  <c r="CG304" i="3" s="1"/>
  <c r="CH282" i="3"/>
  <c r="CG282" i="3" s="1"/>
  <c r="CH274" i="3"/>
  <c r="CG274" i="3" s="1"/>
  <c r="CH266" i="3"/>
  <c r="CG266" i="3" s="1"/>
  <c r="CF257" i="3"/>
  <c r="CE257" i="3" s="1"/>
  <c r="CF249" i="3"/>
  <c r="CE249" i="3" s="1"/>
  <c r="CF241" i="3"/>
  <c r="CE241" i="3" s="1"/>
  <c r="CF240" i="3"/>
  <c r="CE240" i="3" s="1"/>
  <c r="CH232" i="3"/>
  <c r="CG232" i="3" s="1"/>
  <c r="CF242" i="3"/>
  <c r="CE242" i="3" s="1"/>
  <c r="CF229" i="3"/>
  <c r="CE229" i="3" s="1"/>
  <c r="CH305" i="3"/>
  <c r="CG305" i="3" s="1"/>
  <c r="CH275" i="3"/>
  <c r="CG275" i="3" s="1"/>
  <c r="CH267" i="3"/>
  <c r="CG267" i="3" s="1"/>
  <c r="CH260" i="3"/>
  <c r="CG260" i="3" s="1"/>
  <c r="CH252" i="3"/>
  <c r="CG252" i="3" s="1"/>
  <c r="CH244" i="3"/>
  <c r="CG244" i="3" s="1"/>
  <c r="CH236" i="3"/>
  <c r="CG236" i="3" s="1"/>
  <c r="CH303" i="3"/>
  <c r="CG303" i="3" s="1"/>
  <c r="CH273" i="3"/>
  <c r="CG273" i="3" s="1"/>
  <c r="CH265" i="3"/>
  <c r="CG265" i="3" s="1"/>
  <c r="CF258" i="3"/>
  <c r="CE258" i="3" s="1"/>
  <c r="CF250" i="3"/>
  <c r="CE250" i="3" s="1"/>
  <c r="CF303" i="3"/>
  <c r="CE303" i="3" s="1"/>
  <c r="CF293" i="3"/>
  <c r="CE293" i="3" s="1"/>
  <c r="CF281" i="3"/>
  <c r="CE281" i="3" s="1"/>
  <c r="CF273" i="3"/>
  <c r="CE273" i="3" s="1"/>
  <c r="CF265" i="3"/>
  <c r="CE265" i="3" s="1"/>
  <c r="CH257" i="3"/>
  <c r="CG257" i="3" s="1"/>
  <c r="CH249" i="3"/>
  <c r="CG249" i="3" s="1"/>
  <c r="CH241" i="3"/>
  <c r="CG241" i="3" s="1"/>
  <c r="CH233" i="3"/>
  <c r="CG233" i="3" s="1"/>
  <c r="CF301" i="3"/>
  <c r="CE301" i="3" s="1"/>
  <c r="CF290" i="3"/>
  <c r="CE290" i="3" s="1"/>
  <c r="CF279" i="3"/>
  <c r="CE279" i="3" s="1"/>
  <c r="CF271" i="3"/>
  <c r="CE271" i="3" s="1"/>
  <c r="CF263" i="3"/>
  <c r="CE263" i="3" s="1"/>
  <c r="CF255" i="3"/>
  <c r="CE255" i="3" s="1"/>
  <c r="CF247" i="3"/>
  <c r="CE247" i="3" s="1"/>
  <c r="CF239" i="3"/>
  <c r="CE239" i="3" s="1"/>
  <c r="CF233" i="3"/>
  <c r="CE233" i="3" s="1"/>
  <c r="CF244" i="3"/>
  <c r="CE244" i="3" s="1"/>
  <c r="CF234" i="3"/>
  <c r="CE234" i="3" s="1"/>
  <c r="CF248" i="3"/>
  <c r="CE248" i="3" s="1"/>
  <c r="CF304" i="3"/>
  <c r="CE304" i="3" s="1"/>
  <c r="CF294" i="3"/>
  <c r="CE294" i="3" s="1"/>
  <c r="CF282" i="3"/>
  <c r="CE282" i="3" s="1"/>
  <c r="CF274" i="3"/>
  <c r="CE274" i="3" s="1"/>
  <c r="CF266" i="3"/>
  <c r="CE266" i="3" s="1"/>
  <c r="CH258" i="3"/>
  <c r="CG258" i="3" s="1"/>
  <c r="CH250" i="3"/>
  <c r="CG250" i="3" s="1"/>
  <c r="CH242" i="3"/>
  <c r="CG242" i="3" s="1"/>
  <c r="CH234" i="3"/>
  <c r="CG234" i="3" s="1"/>
  <c r="CF302" i="3"/>
  <c r="CE302" i="3" s="1"/>
  <c r="CF291" i="3"/>
  <c r="CE291" i="3" s="1"/>
  <c r="CF280" i="3"/>
  <c r="CE280" i="3" s="1"/>
  <c r="CF272" i="3"/>
  <c r="CE272" i="3" s="1"/>
  <c r="CF264" i="3"/>
  <c r="CE264" i="3" s="1"/>
  <c r="CF256" i="3"/>
  <c r="CE256" i="3" s="1"/>
  <c r="CH301" i="3"/>
  <c r="CG301" i="3" s="1"/>
  <c r="CH279" i="3"/>
  <c r="CG279" i="3" s="1"/>
  <c r="CH271" i="3"/>
  <c r="CG271" i="3" s="1"/>
  <c r="CH263" i="3"/>
  <c r="CG263" i="3" s="1"/>
  <c r="CH255" i="3"/>
  <c r="CG255" i="3" s="1"/>
  <c r="CH247" i="3"/>
  <c r="CG247" i="3" s="1"/>
  <c r="CH239" i="3"/>
  <c r="CG239" i="3" s="1"/>
  <c r="CH231" i="3"/>
  <c r="CG231" i="3" s="1"/>
  <c r="CH299" i="3"/>
  <c r="CG299" i="3" s="1"/>
  <c r="CH277" i="3"/>
  <c r="CG277" i="3" s="1"/>
  <c r="CH269" i="3"/>
  <c r="CG269" i="3" s="1"/>
  <c r="CF261" i="3"/>
  <c r="CE261" i="3" s="1"/>
  <c r="CF253" i="3"/>
  <c r="CE253" i="3" s="1"/>
  <c r="CF245" i="3"/>
  <c r="CE245" i="3" s="1"/>
  <c r="CF237" i="3"/>
  <c r="CE237" i="3" s="1"/>
  <c r="CF246" i="3"/>
  <c r="CE246" i="3" s="1"/>
  <c r="CF236" i="3"/>
  <c r="CE236" i="3" s="1"/>
  <c r="CF231" i="3"/>
  <c r="CE231" i="3" s="1"/>
  <c r="CH230" i="3"/>
  <c r="CG230" i="3" s="1"/>
  <c r="CH302" i="3"/>
  <c r="CG302" i="3" s="1"/>
  <c r="CH280" i="3"/>
  <c r="CG280" i="3" s="1"/>
  <c r="CH272" i="3"/>
  <c r="CG272" i="3" s="1"/>
  <c r="CH264" i="3"/>
  <c r="CG264" i="3" s="1"/>
  <c r="CH256" i="3"/>
  <c r="CG256" i="3" s="1"/>
  <c r="CH248" i="3"/>
  <c r="CG248" i="3" s="1"/>
  <c r="CH240" i="3"/>
  <c r="CG240" i="3" s="1"/>
  <c r="CH300" i="3"/>
  <c r="CG300" i="3" s="1"/>
  <c r="CH278" i="3"/>
  <c r="CG278" i="3" s="1"/>
  <c r="CH270" i="3"/>
  <c r="CG270" i="3" s="1"/>
  <c r="CF262" i="3"/>
  <c r="CE262" i="3" s="1"/>
  <c r="CF254" i="3"/>
  <c r="CE254" i="3" s="1"/>
  <c r="CF300" i="3"/>
  <c r="CE300" i="3" s="1"/>
  <c r="CF288" i="3"/>
  <c r="CE288" i="3" s="1"/>
  <c r="CF278" i="3"/>
  <c r="CE278" i="3" s="1"/>
  <c r="CF270" i="3"/>
  <c r="CE270" i="3" s="1"/>
  <c r="CH261" i="3"/>
  <c r="CG261" i="3" s="1"/>
  <c r="CH253" i="3"/>
  <c r="CG253" i="3" s="1"/>
  <c r="CH245" i="3"/>
  <c r="CG245" i="3" s="1"/>
  <c r="CH237" i="3"/>
  <c r="CG237" i="3" s="1"/>
  <c r="CH229" i="3"/>
  <c r="CG229" i="3" s="1"/>
  <c r="CF297" i="3"/>
  <c r="CE297" i="3" s="1"/>
  <c r="CF285" i="3"/>
  <c r="CE285" i="3" s="1"/>
  <c r="CF276" i="3"/>
  <c r="CE276" i="3" s="1"/>
  <c r="CF268" i="3"/>
  <c r="CE268" i="3" s="1"/>
  <c r="CF259" i="3"/>
  <c r="CE259" i="3" s="1"/>
  <c r="CF251" i="3"/>
  <c r="CE251" i="3" s="1"/>
  <c r="CF243" i="3"/>
  <c r="CE243" i="3" s="1"/>
  <c r="CF235" i="3"/>
  <c r="CE235" i="3" s="1"/>
  <c r="CF238" i="3"/>
  <c r="CE238" i="3" s="1"/>
  <c r="CF232" i="3"/>
  <c r="CE232" i="3" s="1"/>
  <c r="CF230" i="3"/>
  <c r="CE230" i="3" s="1"/>
  <c r="CJ107" i="3"/>
  <c r="CI107" i="3" s="1"/>
  <c r="CL41" i="3"/>
  <c r="CK41" i="3" s="1"/>
  <c r="CL49" i="3"/>
  <c r="CK49" i="3" s="1"/>
  <c r="CL57" i="3"/>
  <c r="CK57" i="3" s="1"/>
  <c r="CL65" i="3"/>
  <c r="CK65" i="3" s="1"/>
  <c r="CJ40" i="3"/>
  <c r="CI40" i="3" s="1"/>
  <c r="CH52" i="3"/>
  <c r="CG52" i="3" s="1"/>
  <c r="CJ48" i="3"/>
  <c r="CI48" i="3" s="1"/>
  <c r="CH60" i="3"/>
  <c r="CG60" i="3" s="1"/>
  <c r="CJ56" i="3"/>
  <c r="CI56" i="3" s="1"/>
  <c r="CH68" i="3"/>
  <c r="CG68" i="3" s="1"/>
  <c r="CJ64" i="3"/>
  <c r="CI64" i="3" s="1"/>
  <c r="CF47" i="3"/>
  <c r="CE47" i="3" s="1"/>
  <c r="CL43" i="3"/>
  <c r="CK43" i="3" s="1"/>
  <c r="CF55" i="3"/>
  <c r="CE55" i="3" s="1"/>
  <c r="CL51" i="3"/>
  <c r="CK51" i="3" s="1"/>
  <c r="CF63" i="3"/>
  <c r="CE63" i="3" s="1"/>
  <c r="CH46" i="3"/>
  <c r="CG46" i="3" s="1"/>
  <c r="CJ42" i="3"/>
  <c r="CI42" i="3" s="1"/>
  <c r="CH54" i="3"/>
  <c r="CG54" i="3" s="1"/>
  <c r="CJ50" i="3"/>
  <c r="CI50" i="3" s="1"/>
  <c r="CH62" i="3"/>
  <c r="CG62" i="3" s="1"/>
  <c r="CJ58" i="3"/>
  <c r="CI58" i="3" s="1"/>
  <c r="CH70" i="3"/>
  <c r="CG70" i="3" s="1"/>
  <c r="CJ66" i="3"/>
  <c r="CI66" i="3" s="1"/>
  <c r="CL71" i="3"/>
  <c r="CK71" i="3" s="1"/>
  <c r="CL75" i="3"/>
  <c r="CK75" i="3" s="1"/>
  <c r="CJ89" i="3"/>
  <c r="CI89" i="3" s="1"/>
  <c r="CJ97" i="3"/>
  <c r="CI97" i="3" s="1"/>
  <c r="CJ105" i="3"/>
  <c r="CI105" i="3" s="1"/>
  <c r="CH47" i="3"/>
  <c r="CG47" i="3" s="1"/>
  <c r="CH55" i="3"/>
  <c r="CG55" i="3" s="1"/>
  <c r="CH63" i="3"/>
  <c r="CG63" i="3" s="1"/>
  <c r="CJ70" i="3"/>
  <c r="CI70" i="3" s="1"/>
  <c r="CJ74" i="3"/>
  <c r="CI74" i="3" s="1"/>
  <c r="CJ78" i="3"/>
  <c r="CI78" i="3" s="1"/>
  <c r="CJ82" i="3"/>
  <c r="CI82" i="3" s="1"/>
  <c r="CJ86" i="3"/>
  <c r="CI86" i="3" s="1"/>
  <c r="CJ90" i="3"/>
  <c r="CI90" i="3" s="1"/>
  <c r="CJ94" i="3"/>
  <c r="CI94" i="3" s="1"/>
  <c r="CJ98" i="3"/>
  <c r="CI98" i="3" s="1"/>
  <c r="CH74" i="3"/>
  <c r="CG74" i="3" s="1"/>
  <c r="CJ71" i="3"/>
  <c r="CI71" i="3" s="1"/>
  <c r="CL77" i="3"/>
  <c r="CK77" i="3" s="1"/>
  <c r="CF89" i="3"/>
  <c r="CE89" i="3" s="1"/>
  <c r="CF93" i="3"/>
  <c r="CE93" i="3" s="1"/>
  <c r="CF97" i="3"/>
  <c r="CE97" i="3" s="1"/>
  <c r="CF101" i="3"/>
  <c r="CE101" i="3" s="1"/>
  <c r="CF105" i="3"/>
  <c r="CE105" i="3" s="1"/>
  <c r="CF109" i="3"/>
  <c r="CE109" i="3" s="1"/>
  <c r="CF113" i="3"/>
  <c r="CE113" i="3" s="1"/>
  <c r="CJ43" i="3"/>
  <c r="CI43" i="3" s="1"/>
  <c r="CJ51" i="3"/>
  <c r="CI51" i="3" s="1"/>
  <c r="CJ59" i="3"/>
  <c r="CI59" i="3" s="1"/>
  <c r="CJ67" i="3"/>
  <c r="CI67" i="3" s="1"/>
  <c r="CF50" i="3"/>
  <c r="CE50" i="3" s="1"/>
  <c r="CL46" i="3"/>
  <c r="CK46" i="3" s="1"/>
  <c r="CF58" i="3"/>
  <c r="CE58" i="3" s="1"/>
  <c r="CL54" i="3"/>
  <c r="CK54" i="3" s="1"/>
  <c r="CF66" i="3"/>
  <c r="CE66" i="3" s="1"/>
  <c r="CL62" i="3"/>
  <c r="CK62" i="3" s="1"/>
  <c r="CH72" i="3"/>
  <c r="CG72" i="3" s="1"/>
  <c r="CJ41" i="3"/>
  <c r="CI41" i="3" s="1"/>
  <c r="CH53" i="3"/>
  <c r="CG53" i="3" s="1"/>
  <c r="CJ49" i="3"/>
  <c r="CI49" i="3" s="1"/>
  <c r="CH61" i="3"/>
  <c r="CG61" i="3" s="1"/>
  <c r="CJ57" i="3"/>
  <c r="CI57" i="3" s="1"/>
  <c r="CF67" i="3"/>
  <c r="CE67" i="3" s="1"/>
  <c r="CF71" i="3"/>
  <c r="CE71" i="3" s="1"/>
  <c r="CL40" i="3"/>
  <c r="CK40" i="3" s="1"/>
  <c r="CF52" i="3"/>
  <c r="CE52" i="3" s="1"/>
  <c r="CL48" i="3"/>
  <c r="CK48" i="3" s="1"/>
  <c r="CF60" i="3"/>
  <c r="CE60" i="3" s="1"/>
  <c r="CL56" i="3"/>
  <c r="CK56" i="3" s="1"/>
  <c r="CF68" i="3"/>
  <c r="CE68" i="3" s="1"/>
  <c r="CL64" i="3"/>
  <c r="CK64" i="3" s="1"/>
  <c r="CF75" i="3"/>
  <c r="CE75" i="3" s="1"/>
  <c r="CF79" i="3"/>
  <c r="CE79" i="3" s="1"/>
  <c r="CF83" i="3"/>
  <c r="CE83" i="3" s="1"/>
  <c r="CL91" i="3"/>
  <c r="CK91" i="3" s="1"/>
  <c r="CL99" i="3"/>
  <c r="CK99" i="3" s="1"/>
  <c r="CL107" i="3"/>
  <c r="CK107" i="3" s="1"/>
  <c r="CH71" i="3"/>
  <c r="CG71" i="3" s="1"/>
  <c r="CH78" i="3"/>
  <c r="CG78" i="3" s="1"/>
  <c r="CH82" i="3"/>
  <c r="CG82" i="3" s="1"/>
  <c r="CH86" i="3"/>
  <c r="CG86" i="3" s="1"/>
  <c r="CH90" i="3"/>
  <c r="CG90" i="3" s="1"/>
  <c r="CH94" i="3"/>
  <c r="CG94" i="3" s="1"/>
  <c r="CH98" i="3"/>
  <c r="CG98" i="3" s="1"/>
  <c r="CH102" i="3"/>
  <c r="CG102" i="3" s="1"/>
  <c r="CH106" i="3"/>
  <c r="CG106" i="3" s="1"/>
  <c r="CH75" i="3"/>
  <c r="CG75" i="3" s="1"/>
  <c r="CH79" i="3"/>
  <c r="CG79" i="3" s="1"/>
  <c r="CF85" i="3"/>
  <c r="CE85" i="3" s="1"/>
  <c r="CJ83" i="3"/>
  <c r="CI83" i="3" s="1"/>
  <c r="CJ87" i="3"/>
  <c r="CI87" i="3" s="1"/>
  <c r="CJ91" i="3"/>
  <c r="CI91" i="3" s="1"/>
  <c r="CJ95" i="3"/>
  <c r="CI95" i="3" s="1"/>
  <c r="CJ99" i="3"/>
  <c r="CI99" i="3" s="1"/>
  <c r="CJ103" i="3"/>
  <c r="CI103" i="3" s="1"/>
  <c r="CF177" i="3"/>
  <c r="CE177" i="3" s="1"/>
  <c r="CL169" i="3"/>
  <c r="CK169" i="3" s="1"/>
  <c r="CJ171" i="3"/>
  <c r="CI171" i="3" s="1"/>
  <c r="CH156" i="3"/>
  <c r="CG156" i="3" s="1"/>
  <c r="CF153" i="3"/>
  <c r="CE153" i="3" s="1"/>
  <c r="CJ167" i="3"/>
  <c r="CI167" i="3" s="1"/>
  <c r="CJ168" i="3"/>
  <c r="CI168" i="3" s="1"/>
  <c r="CJ156" i="3"/>
  <c r="CI156" i="3" s="1"/>
  <c r="CL166" i="3"/>
  <c r="CK166" i="3" s="1"/>
  <c r="CF173" i="3"/>
  <c r="CE173" i="3" s="1"/>
  <c r="CF169" i="3"/>
  <c r="CE169" i="3" s="1"/>
  <c r="CF165" i="3"/>
  <c r="CE165" i="3" s="1"/>
  <c r="CF161" i="3"/>
  <c r="CE161" i="3" s="1"/>
  <c r="CF157" i="3"/>
  <c r="CE157" i="3" s="1"/>
  <c r="CH151" i="3"/>
  <c r="CG151" i="3" s="1"/>
  <c r="CL135" i="3"/>
  <c r="CK135" i="3" s="1"/>
  <c r="CH133" i="3"/>
  <c r="CG133" i="3" s="1"/>
  <c r="CL127" i="3"/>
  <c r="CK127" i="3" s="1"/>
  <c r="CJ124" i="3"/>
  <c r="CI124" i="3" s="1"/>
  <c r="CF172" i="3"/>
  <c r="CE172" i="3" s="1"/>
  <c r="CF168" i="3"/>
  <c r="CE168" i="3" s="1"/>
  <c r="CF164" i="3"/>
  <c r="CE164" i="3" s="1"/>
  <c r="CF160" i="3"/>
  <c r="CE160" i="3" s="1"/>
  <c r="CF156" i="3"/>
  <c r="CE156" i="3" s="1"/>
  <c r="CF151" i="3"/>
  <c r="CE151" i="3" s="1"/>
  <c r="CH141" i="3"/>
  <c r="CG141" i="3" s="1"/>
  <c r="CF146" i="3"/>
  <c r="CE146" i="3" s="1"/>
  <c r="CF138" i="3"/>
  <c r="CE138" i="3" s="1"/>
  <c r="CH177" i="3"/>
  <c r="CG177" i="3" s="1"/>
  <c r="CH173" i="3"/>
  <c r="CG173" i="3" s="1"/>
  <c r="CH169" i="3"/>
  <c r="CG169" i="3" s="1"/>
  <c r="CH165" i="3"/>
  <c r="CG165" i="3" s="1"/>
  <c r="CH161" i="3"/>
  <c r="CG161" i="3" s="1"/>
  <c r="CH157" i="3"/>
  <c r="CG157" i="3" s="1"/>
  <c r="CH149" i="3"/>
  <c r="CG149" i="3" s="1"/>
  <c r="CJ133" i="3"/>
  <c r="CI133" i="3" s="1"/>
  <c r="CL168" i="3"/>
  <c r="CK168" i="3" s="1"/>
  <c r="CH172" i="3"/>
  <c r="CG172" i="3" s="1"/>
  <c r="CH164" i="3"/>
  <c r="CG164" i="3" s="1"/>
  <c r="CF145" i="3"/>
  <c r="CE145" i="3" s="1"/>
  <c r="CJ135" i="3"/>
  <c r="CI135" i="3" s="1"/>
  <c r="CJ131" i="3"/>
  <c r="CI131" i="3" s="1"/>
  <c r="CJ127" i="3"/>
  <c r="CI127" i="3" s="1"/>
  <c r="CJ123" i="3"/>
  <c r="CI123" i="3" s="1"/>
  <c r="CJ119" i="3"/>
  <c r="CI119" i="3" s="1"/>
  <c r="CJ115" i="3"/>
  <c r="CI115" i="3" s="1"/>
  <c r="CJ111" i="3"/>
  <c r="CI111" i="3" s="1"/>
  <c r="CH110" i="3"/>
  <c r="CG110" i="3" s="1"/>
  <c r="CH105" i="3"/>
  <c r="CG105" i="3" s="1"/>
  <c r="CL83" i="3"/>
  <c r="CK83" i="3" s="1"/>
  <c r="CF152" i="3"/>
  <c r="CE152" i="3" s="1"/>
  <c r="CF148" i="3"/>
  <c r="CE148" i="3" s="1"/>
  <c r="CF144" i="3"/>
  <c r="CE144" i="3" s="1"/>
  <c r="CF140" i="3"/>
  <c r="CE140" i="3" s="1"/>
  <c r="CF136" i="3"/>
  <c r="CE136" i="3" s="1"/>
  <c r="CF132" i="3"/>
  <c r="CE132" i="3" s="1"/>
  <c r="CF128" i="3"/>
  <c r="CE128" i="3" s="1"/>
  <c r="CF124" i="3"/>
  <c r="CE124" i="3" s="1"/>
  <c r="CF120" i="3"/>
  <c r="CE120" i="3" s="1"/>
  <c r="CF116" i="3"/>
  <c r="CE116" i="3" s="1"/>
  <c r="CJ102" i="3"/>
  <c r="CI102" i="3" s="1"/>
  <c r="CH129" i="3"/>
  <c r="CG129" i="3" s="1"/>
  <c r="CH125" i="3"/>
  <c r="CG125" i="3" s="1"/>
  <c r="CH121" i="3"/>
  <c r="CG121" i="3" s="1"/>
  <c r="CH117" i="3"/>
  <c r="CG117" i="3" s="1"/>
  <c r="CL104" i="3"/>
  <c r="CK104" i="3" s="1"/>
  <c r="CF111" i="3"/>
  <c r="CE111" i="3" s="1"/>
  <c r="CF103" i="3"/>
  <c r="CE103" i="3" s="1"/>
  <c r="CF95" i="3"/>
  <c r="CE95" i="3" s="1"/>
  <c r="CH89" i="3"/>
  <c r="CG89" i="3" s="1"/>
  <c r="CL70" i="3"/>
  <c r="CK70" i="3" s="1"/>
  <c r="CF74" i="3"/>
  <c r="CE74" i="3" s="1"/>
  <c r="CL138" i="3"/>
  <c r="CK138" i="3" s="1"/>
  <c r="CL130" i="3"/>
  <c r="CK130" i="3" s="1"/>
  <c r="CJ120" i="3"/>
  <c r="CI120" i="3" s="1"/>
  <c r="CJ116" i="3"/>
  <c r="CI116" i="3" s="1"/>
  <c r="CJ112" i="3"/>
  <c r="CI112" i="3" s="1"/>
  <c r="CL109" i="3"/>
  <c r="CK109" i="3" s="1"/>
  <c r="CJ100" i="3"/>
  <c r="CI100" i="3" s="1"/>
  <c r="CF102" i="3"/>
  <c r="CE102" i="3" s="1"/>
  <c r="CH96" i="3"/>
  <c r="CG96" i="3" s="1"/>
  <c r="CJ84" i="3"/>
  <c r="CI84" i="3" s="1"/>
  <c r="CF86" i="3"/>
  <c r="CE86" i="3" s="1"/>
  <c r="CH80" i="3"/>
  <c r="CG80" i="3" s="1"/>
  <c r="CJ68" i="3"/>
  <c r="CI68" i="3" s="1"/>
  <c r="CF61" i="3"/>
  <c r="CE61" i="3" s="1"/>
  <c r="CF53" i="3"/>
  <c r="CE53" i="3" s="1"/>
  <c r="CL147" i="3"/>
  <c r="CK147" i="3" s="1"/>
  <c r="CJ145" i="3"/>
  <c r="CI145" i="3" s="1"/>
  <c r="CL172" i="3"/>
  <c r="CK172" i="3" s="1"/>
  <c r="CJ164" i="3"/>
  <c r="CI164" i="3" s="1"/>
  <c r="CH160" i="3"/>
  <c r="CG160" i="3" s="1"/>
  <c r="CL162" i="3"/>
  <c r="CK162" i="3" s="1"/>
  <c r="CL165" i="3"/>
  <c r="CK165" i="3" s="1"/>
  <c r="CL161" i="3"/>
  <c r="CK161" i="3" s="1"/>
  <c r="CL157" i="3"/>
  <c r="CK157" i="3" s="1"/>
  <c r="CL153" i="3"/>
  <c r="CK153" i="3" s="1"/>
  <c r="CL149" i="3"/>
  <c r="CK149" i="3" s="1"/>
  <c r="CL143" i="3"/>
  <c r="CK143" i="3" s="1"/>
  <c r="CL131" i="3"/>
  <c r="CK131" i="3" s="1"/>
  <c r="CJ146" i="3"/>
  <c r="CI146" i="3" s="1"/>
  <c r="CF134" i="3"/>
  <c r="CE134" i="3" s="1"/>
  <c r="CJ170" i="3"/>
  <c r="CI170" i="3" s="1"/>
  <c r="CL164" i="3"/>
  <c r="CK164" i="3" s="1"/>
  <c r="CL160" i="3"/>
  <c r="CK160" i="3" s="1"/>
  <c r="CL156" i="3"/>
  <c r="CK156" i="3" s="1"/>
  <c r="CL152" i="3"/>
  <c r="CK152" i="3" s="1"/>
  <c r="CL148" i="3"/>
  <c r="CK148" i="3" s="1"/>
  <c r="CJ143" i="3"/>
  <c r="CI143" i="3" s="1"/>
  <c r="CH137" i="3"/>
  <c r="CG137" i="3" s="1"/>
  <c r="CH144" i="3"/>
  <c r="CG144" i="3" s="1"/>
  <c r="CH136" i="3"/>
  <c r="CG136" i="3" s="1"/>
  <c r="CJ169" i="3"/>
  <c r="CI169" i="3" s="1"/>
  <c r="CJ165" i="3"/>
  <c r="CI165" i="3" s="1"/>
  <c r="CJ161" i="3"/>
  <c r="CI161" i="3" s="1"/>
  <c r="CJ157" i="3"/>
  <c r="CI157" i="3" s="1"/>
  <c r="CJ153" i="3"/>
  <c r="CI153" i="3" s="1"/>
  <c r="CJ149" i="3"/>
  <c r="CI149" i="3" s="1"/>
  <c r="CL141" i="3"/>
  <c r="CK141" i="3" s="1"/>
  <c r="CJ129" i="3"/>
  <c r="CI129" i="3" s="1"/>
  <c r="CF178" i="3"/>
  <c r="CE178" i="3" s="1"/>
  <c r="CF170" i="3"/>
  <c r="CE170" i="3" s="1"/>
  <c r="CF162" i="3"/>
  <c r="CE162" i="3" s="1"/>
  <c r="CF143" i="3"/>
  <c r="CE143" i="3" s="1"/>
  <c r="CF141" i="3"/>
  <c r="CE141" i="3" s="1"/>
  <c r="CF137" i="3"/>
  <c r="CE137" i="3" s="1"/>
  <c r="CF133" i="3"/>
  <c r="CE133" i="3" s="1"/>
  <c r="CF129" i="3"/>
  <c r="CE129" i="3" s="1"/>
  <c r="CF125" i="3"/>
  <c r="CE125" i="3" s="1"/>
  <c r="CF121" i="3"/>
  <c r="CE121" i="3" s="1"/>
  <c r="CF117" i="3"/>
  <c r="CE117" i="3" s="1"/>
  <c r="CL102" i="3"/>
  <c r="CK102" i="3" s="1"/>
  <c r="CH101" i="3"/>
  <c r="CG101" i="3" s="1"/>
  <c r="CL79" i="3"/>
  <c r="CK79" i="3" s="1"/>
  <c r="CL144" i="3"/>
  <c r="CK144" i="3" s="1"/>
  <c r="CL140" i="3"/>
  <c r="CK140" i="3" s="1"/>
  <c r="CL136" i="3"/>
  <c r="CK136" i="3" s="1"/>
  <c r="CL132" i="3"/>
  <c r="CK132" i="3" s="1"/>
  <c r="CL128" i="3"/>
  <c r="CK128" i="3" s="1"/>
  <c r="CL124" i="3"/>
  <c r="CK124" i="3" s="1"/>
  <c r="CL120" i="3"/>
  <c r="CK120" i="3" s="1"/>
  <c r="CL116" i="3"/>
  <c r="CK116" i="3" s="1"/>
  <c r="CL112" i="3"/>
  <c r="CK112" i="3" s="1"/>
  <c r="CF114" i="3"/>
  <c r="CE114" i="3" s="1"/>
  <c r="CJ125" i="3"/>
  <c r="CI125" i="3" s="1"/>
  <c r="CJ121" i="3"/>
  <c r="CI121" i="3" s="1"/>
  <c r="CJ117" i="3"/>
  <c r="CI117" i="3" s="1"/>
  <c r="CJ113" i="3"/>
  <c r="CI113" i="3" s="1"/>
  <c r="CH115" i="3"/>
  <c r="CG115" i="3" s="1"/>
  <c r="CH108" i="3"/>
  <c r="CG108" i="3" s="1"/>
  <c r="CL94" i="3"/>
  <c r="CK94" i="3" s="1"/>
  <c r="CL86" i="3"/>
  <c r="CK86" i="3" s="1"/>
  <c r="CL78" i="3"/>
  <c r="CK78" i="3" s="1"/>
  <c r="CH87" i="3"/>
  <c r="CG87" i="3" s="1"/>
  <c r="CH83" i="3"/>
  <c r="CG83" i="3" s="1"/>
  <c r="CJ144" i="3"/>
  <c r="CI144" i="3" s="1"/>
  <c r="CJ136" i="3"/>
  <c r="CI136" i="3" s="1"/>
  <c r="CF130" i="3"/>
  <c r="CE130" i="3" s="1"/>
  <c r="CF126" i="3"/>
  <c r="CE126" i="3" s="1"/>
  <c r="CF122" i="3"/>
  <c r="CE122" i="3" s="1"/>
  <c r="CF118" i="3"/>
  <c r="CE118" i="3" s="1"/>
  <c r="CJ108" i="3"/>
  <c r="CI108" i="3" s="1"/>
  <c r="CF106" i="3"/>
  <c r="CE106" i="3" s="1"/>
  <c r="CH100" i="3"/>
  <c r="CG100" i="3" s="1"/>
  <c r="CJ88" i="3"/>
  <c r="CI88" i="3" s="1"/>
  <c r="CF90" i="3"/>
  <c r="CE90" i="3" s="1"/>
  <c r="CH84" i="3"/>
  <c r="CG84" i="3" s="1"/>
  <c r="CJ72" i="3"/>
  <c r="CI72" i="3" s="1"/>
  <c r="CF73" i="3"/>
  <c r="CE73" i="3" s="1"/>
  <c r="CL59" i="3"/>
  <c r="CK59" i="3" s="1"/>
  <c r="CJ148" i="3"/>
  <c r="CI148" i="3" s="1"/>
  <c r="CF149" i="3"/>
  <c r="CE149" i="3" s="1"/>
  <c r="CF158" i="3"/>
  <c r="CE158" i="3" s="1"/>
  <c r="CJ160" i="3"/>
  <c r="CI160" i="3" s="1"/>
  <c r="CH178" i="3"/>
  <c r="CG178" i="3" s="1"/>
  <c r="CH175" i="3"/>
  <c r="CG175" i="3" s="1"/>
  <c r="CH171" i="3"/>
  <c r="CG171" i="3" s="1"/>
  <c r="CH167" i="3"/>
  <c r="CG167" i="3" s="1"/>
  <c r="CH163" i="3"/>
  <c r="CG163" i="3" s="1"/>
  <c r="CH159" i="3"/>
  <c r="CG159" i="3" s="1"/>
  <c r="CH155" i="3"/>
  <c r="CG155" i="3" s="1"/>
  <c r="CH147" i="3"/>
  <c r="CG147" i="3" s="1"/>
  <c r="CH152" i="3"/>
  <c r="CG152" i="3" s="1"/>
  <c r="CH143" i="3"/>
  <c r="CG143" i="3" s="1"/>
  <c r="CL126" i="3"/>
  <c r="CK126" i="3" s="1"/>
  <c r="CH174" i="3"/>
  <c r="CG174" i="3" s="1"/>
  <c r="CH170" i="3"/>
  <c r="CG170" i="3" s="1"/>
  <c r="CH166" i="3"/>
  <c r="CG166" i="3" s="1"/>
  <c r="CH162" i="3"/>
  <c r="CG162" i="3" s="1"/>
  <c r="CH158" i="3"/>
  <c r="CG158" i="3" s="1"/>
  <c r="CH154" i="3"/>
  <c r="CG154" i="3" s="1"/>
  <c r="CF147" i="3"/>
  <c r="CE147" i="3" s="1"/>
  <c r="CF150" i="3"/>
  <c r="CE150" i="3" s="1"/>
  <c r="CF142" i="3"/>
  <c r="CE142" i="3" s="1"/>
  <c r="CF176" i="3"/>
  <c r="CE176" i="3" s="1"/>
  <c r="CF175" i="3"/>
  <c r="CE175" i="3" s="1"/>
  <c r="CF171" i="3"/>
  <c r="CE171" i="3" s="1"/>
  <c r="CF167" i="3"/>
  <c r="CE167" i="3" s="1"/>
  <c r="CF163" i="3"/>
  <c r="CE163" i="3" s="1"/>
  <c r="CF159" i="3"/>
  <c r="CE159" i="3" s="1"/>
  <c r="CF155" i="3"/>
  <c r="CE155" i="3" s="1"/>
  <c r="CH145" i="3"/>
  <c r="CG145" i="3" s="1"/>
  <c r="CJ128" i="3"/>
  <c r="CI128" i="3" s="1"/>
  <c r="CH176" i="3"/>
  <c r="CG176" i="3" s="1"/>
  <c r="CH168" i="3"/>
  <c r="CG168" i="3" s="1"/>
  <c r="CL154" i="3"/>
  <c r="CK154" i="3" s="1"/>
  <c r="CF139" i="3"/>
  <c r="CE139" i="3" s="1"/>
  <c r="CL133" i="3"/>
  <c r="CK133" i="3" s="1"/>
  <c r="CL129" i="3"/>
  <c r="CK129" i="3" s="1"/>
  <c r="CL125" i="3"/>
  <c r="CK125" i="3" s="1"/>
  <c r="CL121" i="3"/>
  <c r="CK121" i="3" s="1"/>
  <c r="CL117" i="3"/>
  <c r="CK117" i="3" s="1"/>
  <c r="CL113" i="3"/>
  <c r="CK113" i="3" s="1"/>
  <c r="CH114" i="3"/>
  <c r="CG114" i="3" s="1"/>
  <c r="CH113" i="3"/>
  <c r="CG113" i="3" s="1"/>
  <c r="CH97" i="3"/>
  <c r="CG97" i="3" s="1"/>
  <c r="CJ75" i="3"/>
  <c r="CI75" i="3" s="1"/>
  <c r="CH150" i="3"/>
  <c r="CG150" i="3" s="1"/>
  <c r="CH146" i="3"/>
  <c r="CG146" i="3" s="1"/>
  <c r="CH142" i="3"/>
  <c r="CG142" i="3" s="1"/>
  <c r="CH138" i="3"/>
  <c r="CG138" i="3" s="1"/>
  <c r="CH134" i="3"/>
  <c r="CG134" i="3" s="1"/>
  <c r="CH130" i="3"/>
  <c r="CG130" i="3" s="1"/>
  <c r="CH126" i="3"/>
  <c r="CG126" i="3" s="1"/>
  <c r="CH122" i="3"/>
  <c r="CG122" i="3" s="1"/>
  <c r="CH118" i="3"/>
  <c r="CG118" i="3" s="1"/>
  <c r="CJ106" i="3"/>
  <c r="CI106" i="3" s="1"/>
  <c r="CF131" i="3"/>
  <c r="CE131" i="3" s="1"/>
  <c r="CF127" i="3"/>
  <c r="CE127" i="3" s="1"/>
  <c r="CF123" i="3"/>
  <c r="CE123" i="3" s="1"/>
  <c r="CF119" i="3"/>
  <c r="CE119" i="3" s="1"/>
  <c r="CL108" i="3"/>
  <c r="CK108" i="3" s="1"/>
  <c r="CF115" i="3"/>
  <c r="CE115" i="3" s="1"/>
  <c r="CF107" i="3"/>
  <c r="CE107" i="3" s="1"/>
  <c r="CF99" i="3"/>
  <c r="CE99" i="3" s="1"/>
  <c r="CF91" i="3"/>
  <c r="CE91" i="3" s="1"/>
  <c r="CJ81" i="3"/>
  <c r="CI81" i="3" s="1"/>
  <c r="CH85" i="3"/>
  <c r="CG85" i="3" s="1"/>
  <c r="CL142" i="3"/>
  <c r="CK142" i="3" s="1"/>
  <c r="CL134" i="3"/>
  <c r="CK134" i="3" s="1"/>
  <c r="CL122" i="3"/>
  <c r="CK122" i="3" s="1"/>
  <c r="CL118" i="3"/>
  <c r="CK118" i="3" s="1"/>
  <c r="CL114" i="3"/>
  <c r="CK114" i="3" s="1"/>
  <c r="CL110" i="3"/>
  <c r="CK110" i="3" s="1"/>
  <c r="CF112" i="3"/>
  <c r="CE112" i="3" s="1"/>
  <c r="CH104" i="3"/>
  <c r="CG104" i="3" s="1"/>
  <c r="CJ92" i="3"/>
  <c r="CI92" i="3" s="1"/>
  <c r="CF94" i="3"/>
  <c r="CE94" i="3" s="1"/>
  <c r="CH88" i="3"/>
  <c r="CG88" i="3" s="1"/>
  <c r="CJ76" i="3"/>
  <c r="CI76" i="3" s="1"/>
  <c r="CF78" i="3"/>
  <c r="CE78" i="3" s="1"/>
  <c r="CL63" i="3"/>
  <c r="CK63" i="3" s="1"/>
  <c r="CF65" i="3"/>
  <c r="CE65" i="3" s="1"/>
  <c r="CF57" i="3"/>
  <c r="CE57" i="3" s="1"/>
  <c r="CF49" i="3"/>
  <c r="CE49" i="3" s="1"/>
  <c r="CF154" i="3"/>
  <c r="CE154" i="3" s="1"/>
  <c r="CL150" i="3"/>
  <c r="CK150" i="3" s="1"/>
  <c r="CJ172" i="3"/>
  <c r="CI172" i="3" s="1"/>
  <c r="CL158" i="3"/>
  <c r="CK158" i="3" s="1"/>
  <c r="CL170" i="3"/>
  <c r="CK170" i="3" s="1"/>
  <c r="CJ152" i="3"/>
  <c r="CI152" i="3" s="1"/>
  <c r="CJ163" i="3"/>
  <c r="CI163" i="3" s="1"/>
  <c r="CJ159" i="3"/>
  <c r="CI159" i="3" s="1"/>
  <c r="CJ155" i="3"/>
  <c r="CI155" i="3" s="1"/>
  <c r="CJ151" i="3"/>
  <c r="CI151" i="3" s="1"/>
  <c r="CJ147" i="3"/>
  <c r="CI147" i="3" s="1"/>
  <c r="CL139" i="3"/>
  <c r="CK139" i="3" s="1"/>
  <c r="CL146" i="3"/>
  <c r="CK146" i="3" s="1"/>
  <c r="CL137" i="3"/>
  <c r="CK137" i="3" s="1"/>
  <c r="CH132" i="3"/>
  <c r="CG132" i="3" s="1"/>
  <c r="CJ166" i="3"/>
  <c r="CI166" i="3" s="1"/>
  <c r="CJ162" i="3"/>
  <c r="CI162" i="3" s="1"/>
  <c r="CJ158" i="3"/>
  <c r="CI158" i="3" s="1"/>
  <c r="CJ154" i="3"/>
  <c r="CI154" i="3" s="1"/>
  <c r="CJ150" i="3"/>
  <c r="CI150" i="3" s="1"/>
  <c r="CH153" i="3"/>
  <c r="CG153" i="3" s="1"/>
  <c r="CJ139" i="3"/>
  <c r="CI139" i="3" s="1"/>
  <c r="CH148" i="3"/>
  <c r="CG148" i="3" s="1"/>
  <c r="CH140" i="3"/>
  <c r="CG140" i="3" s="1"/>
  <c r="CL171" i="3"/>
  <c r="CK171" i="3" s="1"/>
  <c r="CL167" i="3"/>
  <c r="CK167" i="3" s="1"/>
  <c r="CL163" i="3"/>
  <c r="CK163" i="3" s="1"/>
  <c r="CL159" i="3"/>
  <c r="CK159" i="3" s="1"/>
  <c r="CL155" i="3"/>
  <c r="CK155" i="3" s="1"/>
  <c r="CL151" i="3"/>
  <c r="CK151" i="3" s="1"/>
  <c r="CL145" i="3"/>
  <c r="CK145" i="3" s="1"/>
  <c r="CJ137" i="3"/>
  <c r="CI137" i="3" s="1"/>
  <c r="CF108" i="3"/>
  <c r="CE108" i="3" s="1"/>
  <c r="CF174" i="3"/>
  <c r="CE174" i="3" s="1"/>
  <c r="CF166" i="3"/>
  <c r="CE166" i="3" s="1"/>
  <c r="CJ141" i="3"/>
  <c r="CI141" i="3" s="1"/>
  <c r="CF135" i="3"/>
  <c r="CE135" i="3" s="1"/>
  <c r="CH139" i="3"/>
  <c r="CG139" i="3" s="1"/>
  <c r="CH135" i="3"/>
  <c r="CG135" i="3" s="1"/>
  <c r="CH131" i="3"/>
  <c r="CG131" i="3" s="1"/>
  <c r="CH127" i="3"/>
  <c r="CG127" i="3" s="1"/>
  <c r="CH123" i="3"/>
  <c r="CG123" i="3" s="1"/>
  <c r="CH119" i="3"/>
  <c r="CG119" i="3" s="1"/>
  <c r="CL106" i="3"/>
  <c r="CK106" i="3" s="1"/>
  <c r="CH109" i="3"/>
  <c r="CG109" i="3" s="1"/>
  <c r="CH93" i="3"/>
  <c r="CG93" i="3" s="1"/>
  <c r="CJ77" i="3"/>
  <c r="CI77" i="3" s="1"/>
  <c r="CJ142" i="3"/>
  <c r="CI142" i="3" s="1"/>
  <c r="CJ138" i="3"/>
  <c r="CI138" i="3" s="1"/>
  <c r="CJ134" i="3"/>
  <c r="CI134" i="3" s="1"/>
  <c r="CJ130" i="3"/>
  <c r="CI130" i="3" s="1"/>
  <c r="CJ126" i="3"/>
  <c r="CI126" i="3" s="1"/>
  <c r="CJ122" i="3"/>
  <c r="CI122" i="3" s="1"/>
  <c r="CJ118" i="3"/>
  <c r="CI118" i="3" s="1"/>
  <c r="CJ114" i="3"/>
  <c r="CI114" i="3" s="1"/>
  <c r="CJ110" i="3"/>
  <c r="CI110" i="3" s="1"/>
  <c r="CF110" i="3"/>
  <c r="CE110" i="3" s="1"/>
  <c r="CL123" i="3"/>
  <c r="CK123" i="3" s="1"/>
  <c r="CL119" i="3"/>
  <c r="CK119" i="3" s="1"/>
  <c r="CL115" i="3"/>
  <c r="CK115" i="3" s="1"/>
  <c r="CL111" i="3"/>
  <c r="CK111" i="3" s="1"/>
  <c r="CH112" i="3"/>
  <c r="CG112" i="3" s="1"/>
  <c r="CL98" i="3"/>
  <c r="CK98" i="3" s="1"/>
  <c r="CL90" i="3"/>
  <c r="CK90" i="3" s="1"/>
  <c r="CL82" i="3"/>
  <c r="CK82" i="3" s="1"/>
  <c r="CL74" i="3"/>
  <c r="CK74" i="3" s="1"/>
  <c r="CF87" i="3"/>
  <c r="CE87" i="3" s="1"/>
  <c r="CL68" i="3"/>
  <c r="CK68" i="3" s="1"/>
  <c r="CJ140" i="3"/>
  <c r="CI140" i="3" s="1"/>
  <c r="CJ132" i="3"/>
  <c r="CI132" i="3" s="1"/>
  <c r="CH128" i="3"/>
  <c r="CG128" i="3" s="1"/>
  <c r="CH124" i="3"/>
  <c r="CG124" i="3" s="1"/>
  <c r="CH120" i="3"/>
  <c r="CG120" i="3" s="1"/>
  <c r="CH116" i="3"/>
  <c r="CG116" i="3" s="1"/>
  <c r="CJ104" i="3"/>
  <c r="CI104" i="3" s="1"/>
  <c r="CJ96" i="3"/>
  <c r="CI96" i="3" s="1"/>
  <c r="CF98" i="3"/>
  <c r="CE98" i="3" s="1"/>
  <c r="CH92" i="3"/>
  <c r="CG92" i="3" s="1"/>
  <c r="CJ80" i="3"/>
  <c r="CI80" i="3" s="1"/>
  <c r="CF82" i="3"/>
  <c r="CE82" i="3" s="1"/>
  <c r="CL45" i="3"/>
  <c r="CK45" i="3" s="1"/>
  <c r="CL53" i="3"/>
  <c r="CK53" i="3" s="1"/>
  <c r="CL61" i="3"/>
  <c r="CK61" i="3" s="1"/>
  <c r="CH48" i="3"/>
  <c r="CG48" i="3" s="1"/>
  <c r="CJ44" i="3"/>
  <c r="CI44" i="3" s="1"/>
  <c r="CH56" i="3"/>
  <c r="CG56" i="3" s="1"/>
  <c r="CJ52" i="3"/>
  <c r="CI52" i="3" s="1"/>
  <c r="CH64" i="3"/>
  <c r="CG64" i="3" s="1"/>
  <c r="CJ60" i="3"/>
  <c r="CI60" i="3" s="1"/>
  <c r="CL66" i="3"/>
  <c r="CK66" i="3" s="1"/>
  <c r="CF51" i="3"/>
  <c r="CE51" i="3" s="1"/>
  <c r="CL47" i="3"/>
  <c r="CK47" i="3" s="1"/>
  <c r="CF59" i="3"/>
  <c r="CE59" i="3" s="1"/>
  <c r="CL55" i="3"/>
  <c r="CK55" i="3" s="1"/>
  <c r="CH73" i="3"/>
  <c r="CG73" i="3" s="1"/>
  <c r="CH50" i="3"/>
  <c r="CG50" i="3" s="1"/>
  <c r="CJ46" i="3"/>
  <c r="CI46" i="3" s="1"/>
  <c r="CH58" i="3"/>
  <c r="CG58" i="3" s="1"/>
  <c r="CJ54" i="3"/>
  <c r="CI54" i="3" s="1"/>
  <c r="CH66" i="3"/>
  <c r="CG66" i="3" s="1"/>
  <c r="CJ62" i="3"/>
  <c r="CI62" i="3" s="1"/>
  <c r="CJ69" i="3"/>
  <c r="CI69" i="3" s="1"/>
  <c r="CJ73" i="3"/>
  <c r="CI73" i="3" s="1"/>
  <c r="CJ85" i="3"/>
  <c r="CI85" i="3" s="1"/>
  <c r="CJ93" i="3"/>
  <c r="CI93" i="3" s="1"/>
  <c r="CJ101" i="3"/>
  <c r="CI101" i="3" s="1"/>
  <c r="CJ109" i="3"/>
  <c r="CI109" i="3" s="1"/>
  <c r="CH51" i="3"/>
  <c r="CG51" i="3" s="1"/>
  <c r="CH59" i="3"/>
  <c r="CG59" i="3" s="1"/>
  <c r="CH67" i="3"/>
  <c r="CG67" i="3" s="1"/>
  <c r="CJ65" i="3"/>
  <c r="CI65" i="3" s="1"/>
  <c r="CL72" i="3"/>
  <c r="CK72" i="3" s="1"/>
  <c r="CL76" i="3"/>
  <c r="CK76" i="3" s="1"/>
  <c r="CL80" i="3"/>
  <c r="CK80" i="3" s="1"/>
  <c r="CL84" i="3"/>
  <c r="CK84" i="3" s="1"/>
  <c r="CL88" i="3"/>
  <c r="CK88" i="3" s="1"/>
  <c r="CL92" i="3"/>
  <c r="CK92" i="3" s="1"/>
  <c r="CL96" i="3"/>
  <c r="CK96" i="3" s="1"/>
  <c r="CL100" i="3"/>
  <c r="CK100" i="3" s="1"/>
  <c r="CL69" i="3"/>
  <c r="CK69" i="3" s="1"/>
  <c r="CL73" i="3"/>
  <c r="CK73" i="3" s="1"/>
  <c r="CJ79" i="3"/>
  <c r="CI79" i="3" s="1"/>
  <c r="CH91" i="3"/>
  <c r="CG91" i="3" s="1"/>
  <c r="CH95" i="3"/>
  <c r="CG95" i="3" s="1"/>
  <c r="CH99" i="3"/>
  <c r="CG99" i="3" s="1"/>
  <c r="CH103" i="3"/>
  <c r="CG103" i="3" s="1"/>
  <c r="CH107" i="3"/>
  <c r="CG107" i="3" s="1"/>
  <c r="CH111" i="3"/>
  <c r="CG111" i="3" s="1"/>
  <c r="CF69" i="3"/>
  <c r="CE69" i="3" s="1"/>
  <c r="CJ47" i="3"/>
  <c r="CI47" i="3" s="1"/>
  <c r="CJ55" i="3"/>
  <c r="CI55" i="3" s="1"/>
  <c r="CJ63" i="3"/>
  <c r="CI63" i="3" s="1"/>
  <c r="CF46" i="3"/>
  <c r="CE46" i="3" s="1"/>
  <c r="CL42" i="3"/>
  <c r="CK42" i="3" s="1"/>
  <c r="CF54" i="3"/>
  <c r="CE54" i="3" s="1"/>
  <c r="CL50" i="3"/>
  <c r="CK50" i="3" s="1"/>
  <c r="CF62" i="3"/>
  <c r="CE62" i="3" s="1"/>
  <c r="CL58" i="3"/>
  <c r="CK58" i="3" s="1"/>
  <c r="CF70" i="3"/>
  <c r="CE70" i="3" s="1"/>
  <c r="CH49" i="3"/>
  <c r="CG49" i="3" s="1"/>
  <c r="CJ45" i="3"/>
  <c r="CI45" i="3" s="1"/>
  <c r="CH57" i="3"/>
  <c r="CG57" i="3" s="1"/>
  <c r="CJ53" i="3"/>
  <c r="CI53" i="3" s="1"/>
  <c r="CH65" i="3"/>
  <c r="CG65" i="3" s="1"/>
  <c r="CH69" i="3"/>
  <c r="CG69" i="3" s="1"/>
  <c r="CL67" i="3"/>
  <c r="CK67" i="3" s="1"/>
  <c r="CF48" i="3"/>
  <c r="CE48" i="3" s="1"/>
  <c r="CL44" i="3"/>
  <c r="CK44" i="3" s="1"/>
  <c r="CF56" i="3"/>
  <c r="CE56" i="3" s="1"/>
  <c r="CL52" i="3"/>
  <c r="CK52" i="3" s="1"/>
  <c r="CF64" i="3"/>
  <c r="CE64" i="3" s="1"/>
  <c r="CL60" i="3"/>
  <c r="CK60" i="3" s="1"/>
  <c r="CF72" i="3"/>
  <c r="CE72" i="3" s="1"/>
  <c r="CH77" i="3"/>
  <c r="CG77" i="3" s="1"/>
  <c r="CH81" i="3"/>
  <c r="CG81" i="3" s="1"/>
  <c r="CL87" i="3"/>
  <c r="CK87" i="3" s="1"/>
  <c r="CL95" i="3"/>
  <c r="CK95" i="3" s="1"/>
  <c r="CL103" i="3"/>
  <c r="CK103" i="3" s="1"/>
  <c r="CJ61" i="3"/>
  <c r="CI61" i="3" s="1"/>
  <c r="CF76" i="3"/>
  <c r="CE76" i="3" s="1"/>
  <c r="CF80" i="3"/>
  <c r="CE80" i="3" s="1"/>
  <c r="CF84" i="3"/>
  <c r="CE84" i="3" s="1"/>
  <c r="CF88" i="3"/>
  <c r="CE88" i="3" s="1"/>
  <c r="CF92" i="3"/>
  <c r="CE92" i="3" s="1"/>
  <c r="CF96" i="3"/>
  <c r="CE96" i="3" s="1"/>
  <c r="CF100" i="3"/>
  <c r="CE100" i="3" s="1"/>
  <c r="CF104" i="3"/>
  <c r="CE104" i="3" s="1"/>
  <c r="CF77" i="3"/>
  <c r="CE77" i="3" s="1"/>
  <c r="CF81" i="3"/>
  <c r="CE81" i="3" s="1"/>
  <c r="CL81" i="3"/>
  <c r="CK81" i="3" s="1"/>
  <c r="CL85" i="3"/>
  <c r="CK85" i="3" s="1"/>
  <c r="CL89" i="3"/>
  <c r="CK89" i="3" s="1"/>
  <c r="CL93" i="3"/>
  <c r="CK93" i="3" s="1"/>
  <c r="CL97" i="3"/>
  <c r="CK97" i="3" s="1"/>
  <c r="CL101" i="3"/>
  <c r="CK101" i="3" s="1"/>
  <c r="CL105" i="3"/>
  <c r="CK105" i="3" s="1"/>
  <c r="CH76" i="3"/>
  <c r="CG76" i="3" s="1"/>
  <c r="CL220" i="3"/>
  <c r="CK220" i="3" s="1"/>
  <c r="CL216" i="3"/>
  <c r="CK216" i="3" s="1"/>
  <c r="CL212" i="3"/>
  <c r="CK212" i="3" s="1"/>
  <c r="CL208" i="3"/>
  <c r="CK208" i="3" s="1"/>
  <c r="CL204" i="3"/>
  <c r="CK204" i="3" s="1"/>
  <c r="CL200" i="3"/>
  <c r="CK200" i="3" s="1"/>
  <c r="CL196" i="3"/>
  <c r="CK196" i="3" s="1"/>
  <c r="CL192" i="3"/>
  <c r="CK192" i="3" s="1"/>
  <c r="CL188" i="3"/>
  <c r="CK188" i="3" s="1"/>
  <c r="CL184" i="3"/>
  <c r="CK184" i="3" s="1"/>
  <c r="CL180" i="3"/>
  <c r="CK180" i="3" s="1"/>
  <c r="CL176" i="3"/>
  <c r="CK176" i="3" s="1"/>
  <c r="CL219" i="3"/>
  <c r="CK219" i="3" s="1"/>
  <c r="CL215" i="3"/>
  <c r="CK215" i="3" s="1"/>
  <c r="CL211" i="3"/>
  <c r="CK211" i="3" s="1"/>
  <c r="CL207" i="3"/>
  <c r="CK207" i="3" s="1"/>
  <c r="CL203" i="3"/>
  <c r="CK203" i="3" s="1"/>
  <c r="CL199" i="3"/>
  <c r="CK199" i="3" s="1"/>
  <c r="CL195" i="3"/>
  <c r="CK195" i="3" s="1"/>
  <c r="CL191" i="3"/>
  <c r="CK191" i="3" s="1"/>
  <c r="CL187" i="3"/>
  <c r="CK187" i="3" s="1"/>
  <c r="CL183" i="3"/>
  <c r="CK183" i="3" s="1"/>
  <c r="CL179" i="3"/>
  <c r="CK179" i="3" s="1"/>
  <c r="CL175" i="3"/>
  <c r="CK175" i="3" s="1"/>
  <c r="CL222" i="3"/>
  <c r="CK222" i="3" s="1"/>
  <c r="CL218" i="3"/>
  <c r="CK218" i="3" s="1"/>
  <c r="CL214" i="3"/>
  <c r="CK214" i="3" s="1"/>
  <c r="CL210" i="3"/>
  <c r="CK210" i="3" s="1"/>
  <c r="CL206" i="3"/>
  <c r="CK206" i="3" s="1"/>
  <c r="CL202" i="3"/>
  <c r="CK202" i="3" s="1"/>
  <c r="CL198" i="3"/>
  <c r="CK198" i="3" s="1"/>
  <c r="CL194" i="3"/>
  <c r="CK194" i="3" s="1"/>
  <c r="CL190" i="3"/>
  <c r="CK190" i="3" s="1"/>
  <c r="CL186" i="3"/>
  <c r="CK186" i="3" s="1"/>
  <c r="CL182" i="3"/>
  <c r="CK182" i="3" s="1"/>
  <c r="CL178" i="3"/>
  <c r="CK178" i="3" s="1"/>
  <c r="CL174" i="3"/>
  <c r="CK174" i="3" s="1"/>
  <c r="CL221" i="3"/>
  <c r="CK221" i="3" s="1"/>
  <c r="CL217" i="3"/>
  <c r="CK217" i="3" s="1"/>
  <c r="CL213" i="3"/>
  <c r="CK213" i="3" s="1"/>
  <c r="CL209" i="3"/>
  <c r="CK209" i="3" s="1"/>
  <c r="CL205" i="3"/>
  <c r="CK205" i="3" s="1"/>
  <c r="CL201" i="3"/>
  <c r="CK201" i="3" s="1"/>
  <c r="CL197" i="3"/>
  <c r="CK197" i="3" s="1"/>
  <c r="CL193" i="3"/>
  <c r="CK193" i="3" s="1"/>
  <c r="CL189" i="3"/>
  <c r="CK189" i="3" s="1"/>
  <c r="CL185" i="3"/>
  <c r="CK185" i="3" s="1"/>
  <c r="CL181" i="3"/>
  <c r="CK181" i="3" s="1"/>
  <c r="CL177" i="3"/>
  <c r="CK177" i="3" s="1"/>
  <c r="CL173" i="3"/>
  <c r="CK173" i="3" s="1"/>
  <c r="CL38" i="3"/>
  <c r="CK38" i="3" s="1"/>
  <c r="CL34" i="3"/>
  <c r="CK34" i="3" s="1"/>
  <c r="CL30" i="3"/>
  <c r="CK30" i="3" s="1"/>
  <c r="CL26" i="3"/>
  <c r="CK26" i="3" s="1"/>
  <c r="CL22" i="3"/>
  <c r="CK22" i="3" s="1"/>
  <c r="CL18" i="3"/>
  <c r="CK18" i="3" s="1"/>
  <c r="CL14" i="3"/>
  <c r="CK14" i="3" s="1"/>
  <c r="CL10" i="3"/>
  <c r="CK10" i="3" s="1"/>
  <c r="CJ219" i="3"/>
  <c r="CI219" i="3" s="1"/>
  <c r="CJ215" i="3"/>
  <c r="CI215" i="3" s="1"/>
  <c r="CJ211" i="3"/>
  <c r="CI211" i="3" s="1"/>
  <c r="CJ207" i="3"/>
  <c r="CI207" i="3" s="1"/>
  <c r="CJ203" i="3"/>
  <c r="CI203" i="3" s="1"/>
  <c r="CJ199" i="3"/>
  <c r="CI199" i="3" s="1"/>
  <c r="CJ195" i="3"/>
  <c r="CI195" i="3" s="1"/>
  <c r="CJ191" i="3"/>
  <c r="CI191" i="3" s="1"/>
  <c r="CJ187" i="3"/>
  <c r="CI187" i="3" s="1"/>
  <c r="CJ183" i="3"/>
  <c r="CI183" i="3" s="1"/>
  <c r="CJ179" i="3"/>
  <c r="CI179" i="3" s="1"/>
  <c r="CJ175" i="3"/>
  <c r="CI175" i="3" s="1"/>
  <c r="CL37" i="3"/>
  <c r="CK37" i="3" s="1"/>
  <c r="CL33" i="3"/>
  <c r="CK33" i="3" s="1"/>
  <c r="CL29" i="3"/>
  <c r="CK29" i="3" s="1"/>
  <c r="CL25" i="3"/>
  <c r="CK25" i="3" s="1"/>
  <c r="CL21" i="3"/>
  <c r="CK21" i="3" s="1"/>
  <c r="CL17" i="3"/>
  <c r="CK17" i="3" s="1"/>
  <c r="CL13" i="3"/>
  <c r="CK13" i="3" s="1"/>
  <c r="CL9" i="3"/>
  <c r="CK9" i="3" s="1"/>
  <c r="CJ222" i="3"/>
  <c r="CI222" i="3" s="1"/>
  <c r="CJ218" i="3"/>
  <c r="CI218" i="3" s="1"/>
  <c r="CJ214" i="3"/>
  <c r="CI214" i="3" s="1"/>
  <c r="CJ210" i="3"/>
  <c r="CI210" i="3" s="1"/>
  <c r="CJ206" i="3"/>
  <c r="CI206" i="3" s="1"/>
  <c r="CJ202" i="3"/>
  <c r="CI202" i="3" s="1"/>
  <c r="CJ198" i="3"/>
  <c r="CI198" i="3" s="1"/>
  <c r="CJ194" i="3"/>
  <c r="CI194" i="3" s="1"/>
  <c r="CJ190" i="3"/>
  <c r="CI190" i="3" s="1"/>
  <c r="CJ186" i="3"/>
  <c r="CI186" i="3" s="1"/>
  <c r="CJ182" i="3"/>
  <c r="CI182" i="3" s="1"/>
  <c r="CJ178" i="3"/>
  <c r="CI178" i="3" s="1"/>
  <c r="CJ174" i="3"/>
  <c r="CI174" i="3" s="1"/>
  <c r="CL36" i="3"/>
  <c r="CK36" i="3" s="1"/>
  <c r="CL32" i="3"/>
  <c r="CK32" i="3" s="1"/>
  <c r="CL28" i="3"/>
  <c r="CK28" i="3" s="1"/>
  <c r="CL24" i="3"/>
  <c r="CK24" i="3" s="1"/>
  <c r="CL20" i="3"/>
  <c r="CK20" i="3" s="1"/>
  <c r="CL16" i="3"/>
  <c r="CK16" i="3" s="1"/>
  <c r="CL12" i="3"/>
  <c r="CK12" i="3" s="1"/>
  <c r="CL8" i="3"/>
  <c r="CK8" i="3" s="1"/>
  <c r="CJ221" i="3"/>
  <c r="CI221" i="3" s="1"/>
  <c r="CJ217" i="3"/>
  <c r="CI217" i="3" s="1"/>
  <c r="CJ213" i="3"/>
  <c r="CI213" i="3" s="1"/>
  <c r="CJ209" i="3"/>
  <c r="CI209" i="3" s="1"/>
  <c r="CJ205" i="3"/>
  <c r="CI205" i="3" s="1"/>
  <c r="CJ201" i="3"/>
  <c r="CI201" i="3" s="1"/>
  <c r="CJ197" i="3"/>
  <c r="CI197" i="3" s="1"/>
  <c r="CJ193" i="3"/>
  <c r="CI193" i="3" s="1"/>
  <c r="CJ189" i="3"/>
  <c r="CI189" i="3" s="1"/>
  <c r="CJ185" i="3"/>
  <c r="CI185" i="3" s="1"/>
  <c r="CJ181" i="3"/>
  <c r="CI181" i="3" s="1"/>
  <c r="CJ177" i="3"/>
  <c r="CI177" i="3" s="1"/>
  <c r="CJ173" i="3"/>
  <c r="CI173" i="3" s="1"/>
  <c r="CL39" i="3"/>
  <c r="CK39" i="3" s="1"/>
  <c r="CL35" i="3"/>
  <c r="CK35" i="3" s="1"/>
  <c r="CL31" i="3"/>
  <c r="CK31" i="3" s="1"/>
  <c r="CL27" i="3"/>
  <c r="CK27" i="3" s="1"/>
  <c r="CL23" i="3"/>
  <c r="CK23" i="3" s="1"/>
  <c r="CL19" i="3"/>
  <c r="CK19" i="3" s="1"/>
  <c r="CL15" i="3"/>
  <c r="CK15" i="3" s="1"/>
  <c r="CL11" i="3"/>
  <c r="CK11" i="3" s="1"/>
  <c r="CL7" i="3"/>
  <c r="CK7" i="3" s="1"/>
  <c r="CJ220" i="3"/>
  <c r="CI220" i="3" s="1"/>
  <c r="CJ216" i="3"/>
  <c r="CI216" i="3" s="1"/>
  <c r="CJ212" i="3"/>
  <c r="CI212" i="3" s="1"/>
  <c r="CJ208" i="3"/>
  <c r="CI208" i="3" s="1"/>
  <c r="CJ204" i="3"/>
  <c r="CI204" i="3" s="1"/>
  <c r="CJ200" i="3"/>
  <c r="CI200" i="3" s="1"/>
  <c r="CJ196" i="3"/>
  <c r="CI196" i="3" s="1"/>
  <c r="CJ192" i="3"/>
  <c r="CI192" i="3" s="1"/>
  <c r="CJ188" i="3"/>
  <c r="CI188" i="3" s="1"/>
  <c r="CJ184" i="3"/>
  <c r="CI184" i="3" s="1"/>
  <c r="CJ180" i="3"/>
  <c r="CI180" i="3" s="1"/>
  <c r="CJ176" i="3"/>
  <c r="CI176" i="3" s="1"/>
  <c r="CJ37" i="3"/>
  <c r="CI37" i="3" s="1"/>
  <c r="CJ33" i="3"/>
  <c r="CI33" i="3" s="1"/>
  <c r="CJ29" i="3"/>
  <c r="CI29" i="3" s="1"/>
  <c r="CJ25" i="3"/>
  <c r="CI25" i="3" s="1"/>
  <c r="CJ21" i="3"/>
  <c r="CI21" i="3" s="1"/>
  <c r="CJ17" i="3"/>
  <c r="CI17" i="3" s="1"/>
  <c r="CJ13" i="3"/>
  <c r="CI13" i="3" s="1"/>
  <c r="CJ9" i="3"/>
  <c r="CI9" i="3" s="1"/>
  <c r="CJ36" i="3"/>
  <c r="CI36" i="3" s="1"/>
  <c r="CJ32" i="3"/>
  <c r="CI32" i="3" s="1"/>
  <c r="CJ28" i="3"/>
  <c r="CI28" i="3" s="1"/>
  <c r="CJ24" i="3"/>
  <c r="CI24" i="3" s="1"/>
  <c r="CJ20" i="3"/>
  <c r="CI20" i="3" s="1"/>
  <c r="CJ16" i="3"/>
  <c r="CI16" i="3" s="1"/>
  <c r="CJ12" i="3"/>
  <c r="CI12" i="3" s="1"/>
  <c r="CJ8" i="3"/>
  <c r="CI8" i="3" s="1"/>
  <c r="CJ39" i="3"/>
  <c r="CI39" i="3" s="1"/>
  <c r="CJ35" i="3"/>
  <c r="CI35" i="3" s="1"/>
  <c r="CJ31" i="3"/>
  <c r="CI31" i="3" s="1"/>
  <c r="CJ27" i="3"/>
  <c r="CI27" i="3" s="1"/>
  <c r="CJ23" i="3"/>
  <c r="CI23" i="3" s="1"/>
  <c r="CJ19" i="3"/>
  <c r="CI19" i="3" s="1"/>
  <c r="CJ15" i="3"/>
  <c r="CI15" i="3" s="1"/>
  <c r="CJ11" i="3"/>
  <c r="CI11" i="3" s="1"/>
  <c r="CJ38" i="3"/>
  <c r="CI38" i="3" s="1"/>
  <c r="CJ34" i="3"/>
  <c r="CI34" i="3" s="1"/>
  <c r="CJ30" i="3"/>
  <c r="CI30" i="3" s="1"/>
  <c r="CJ26" i="3"/>
  <c r="CI26" i="3" s="1"/>
  <c r="CJ22" i="3"/>
  <c r="CI22" i="3" s="1"/>
  <c r="CJ18" i="3"/>
  <c r="CI18" i="3" s="1"/>
  <c r="CJ14" i="3"/>
  <c r="CI14" i="3" s="1"/>
  <c r="CJ10" i="3"/>
  <c r="CI10" i="3" s="1"/>
  <c r="CO7" i="3"/>
  <c r="CN7" i="3" s="1"/>
  <c r="CO8" i="3"/>
  <c r="CN8" i="3" s="1"/>
  <c r="CP8" i="3"/>
  <c r="CO9" i="3"/>
  <c r="CN9" i="3" s="1"/>
  <c r="CO10" i="3"/>
  <c r="CN10" i="3" s="1"/>
  <c r="AW24" i="3"/>
  <c r="AV24" i="3" s="1"/>
  <c r="AU7" i="3"/>
  <c r="AU12" i="3"/>
  <c r="AT12" i="3" s="1"/>
  <c r="AU16" i="3"/>
  <c r="AT16" i="3" s="1"/>
  <c r="AU20" i="3"/>
  <c r="AT20" i="3" s="1"/>
  <c r="AW8" i="3"/>
  <c r="AV8" i="3" s="1"/>
  <c r="AW12" i="3"/>
  <c r="AV12" i="3" s="1"/>
  <c r="AW16" i="3"/>
  <c r="AV16" i="3" s="1"/>
  <c r="AW21" i="3"/>
  <c r="AV21" i="3" s="1"/>
  <c r="AW25" i="3"/>
  <c r="AV25" i="3" s="1"/>
  <c r="AU9" i="3"/>
  <c r="AT9" i="3" s="1"/>
  <c r="AU13" i="3"/>
  <c r="AT13" i="3" s="1"/>
  <c r="AU17" i="3"/>
  <c r="AT17" i="3" s="1"/>
  <c r="AU21" i="3"/>
  <c r="AT21" i="3" s="1"/>
  <c r="AW9" i="3"/>
  <c r="AV9" i="3" s="1"/>
  <c r="AW13" i="3"/>
  <c r="AV13" i="3" s="1"/>
  <c r="AW18" i="3"/>
  <c r="AV18" i="3" s="1"/>
  <c r="AW22" i="3"/>
  <c r="AV22" i="3" s="1"/>
  <c r="AW26" i="3"/>
  <c r="AV26" i="3" s="1"/>
  <c r="AU14" i="3"/>
  <c r="AT14" i="3" s="1"/>
  <c r="AU18" i="3"/>
  <c r="AT18" i="3" s="1"/>
  <c r="AU22" i="3"/>
  <c r="AT22" i="3" s="1"/>
  <c r="AW10" i="3"/>
  <c r="AV10" i="3" s="1"/>
  <c r="AW14" i="3"/>
  <c r="AV14" i="3" s="1"/>
  <c r="AW19" i="3"/>
  <c r="AV19" i="3" s="1"/>
  <c r="AW23" i="3"/>
  <c r="AV23" i="3" s="1"/>
  <c r="AU11" i="3"/>
  <c r="AT11" i="3" s="1"/>
  <c r="AU15" i="3"/>
  <c r="AT15" i="3" s="1"/>
  <c r="AU19" i="3"/>
  <c r="AT19" i="3" s="1"/>
  <c r="AW7" i="3"/>
  <c r="AW11" i="3"/>
  <c r="AV11" i="3" s="1"/>
  <c r="AW15" i="3"/>
  <c r="AV15" i="3" s="1"/>
  <c r="AW17" i="3"/>
  <c r="AV17" i="3" s="1"/>
  <c r="AW20" i="3"/>
  <c r="AV20" i="3" s="1"/>
  <c r="BB12" i="3"/>
  <c r="BA12" i="3" s="1"/>
  <c r="AZ8" i="3"/>
  <c r="AY8" i="3" s="1"/>
  <c r="BB9" i="3"/>
  <c r="BA9" i="3" s="1"/>
  <c r="AZ9" i="3"/>
  <c r="AY9" i="3" s="1"/>
  <c r="BB10" i="3"/>
  <c r="BA10" i="3" s="1"/>
  <c r="AZ10" i="3"/>
  <c r="AY10" i="3" s="1"/>
  <c r="BB7" i="3"/>
  <c r="BB11" i="3"/>
  <c r="BA11" i="3" s="1"/>
  <c r="AZ7" i="3"/>
  <c r="AZ11" i="3"/>
  <c r="AY11" i="3" s="1"/>
  <c r="BB8" i="3"/>
  <c r="BA8" i="3" s="1"/>
  <c r="AU8" i="3"/>
  <c r="AT8" i="3" s="1"/>
  <c r="AU10" i="3"/>
  <c r="AT10" i="3" s="1"/>
  <c r="CF226" i="3"/>
  <c r="CE226" i="3" s="1"/>
  <c r="CF222" i="3"/>
  <c r="CE222" i="3" s="1"/>
  <c r="CF218" i="3"/>
  <c r="CE218" i="3" s="1"/>
  <c r="CF214" i="3"/>
  <c r="CE214" i="3" s="1"/>
  <c r="CF225" i="3"/>
  <c r="CE225" i="3" s="1"/>
  <c r="CF221" i="3"/>
  <c r="CE221" i="3" s="1"/>
  <c r="CF217" i="3"/>
  <c r="CE217" i="3" s="1"/>
  <c r="CF213" i="3"/>
  <c r="CE213" i="3" s="1"/>
  <c r="CF228" i="3"/>
  <c r="CE228" i="3" s="1"/>
  <c r="CF224" i="3"/>
  <c r="CE224" i="3" s="1"/>
  <c r="CF220" i="3"/>
  <c r="CE220" i="3" s="1"/>
  <c r="CF216" i="3"/>
  <c r="CE216" i="3" s="1"/>
  <c r="CF212" i="3"/>
  <c r="CE212" i="3" s="1"/>
  <c r="CH226" i="3"/>
  <c r="CG226" i="3" s="1"/>
  <c r="CH222" i="3"/>
  <c r="CG222" i="3" s="1"/>
  <c r="CH218" i="3"/>
  <c r="CG218" i="3" s="1"/>
  <c r="CH214" i="3"/>
  <c r="CG214" i="3" s="1"/>
  <c r="CH208" i="3"/>
  <c r="CG208" i="3" s="1"/>
  <c r="CH204" i="3"/>
  <c r="CG204" i="3" s="1"/>
  <c r="CH200" i="3"/>
  <c r="CG200" i="3" s="1"/>
  <c r="CH196" i="3"/>
  <c r="CG196" i="3" s="1"/>
  <c r="CH192" i="3"/>
  <c r="CG192" i="3" s="1"/>
  <c r="CH188" i="3"/>
  <c r="CG188" i="3" s="1"/>
  <c r="CH184" i="3"/>
  <c r="CG184" i="3" s="1"/>
  <c r="CH180" i="3"/>
  <c r="CG180" i="3" s="1"/>
  <c r="CH225" i="3"/>
  <c r="CG225" i="3" s="1"/>
  <c r="CH221" i="3"/>
  <c r="CG221" i="3" s="1"/>
  <c r="CH217" i="3"/>
  <c r="CG217" i="3" s="1"/>
  <c r="CH213" i="3"/>
  <c r="CG213" i="3" s="1"/>
  <c r="CH207" i="3"/>
  <c r="CG207" i="3" s="1"/>
  <c r="CH203" i="3"/>
  <c r="CG203" i="3" s="1"/>
  <c r="CH199" i="3"/>
  <c r="CG199" i="3" s="1"/>
  <c r="CH195" i="3"/>
  <c r="CG195" i="3" s="1"/>
  <c r="CH191" i="3"/>
  <c r="CG191" i="3" s="1"/>
  <c r="CH187" i="3"/>
  <c r="CG187" i="3" s="1"/>
  <c r="CH183" i="3"/>
  <c r="CG183" i="3" s="1"/>
  <c r="CH179" i="3"/>
  <c r="CG179" i="3" s="1"/>
  <c r="CH228" i="3"/>
  <c r="CG228" i="3" s="1"/>
  <c r="CH224" i="3"/>
  <c r="CG224" i="3" s="1"/>
  <c r="CH220" i="3"/>
  <c r="CG220" i="3" s="1"/>
  <c r="CH216" i="3"/>
  <c r="CG216" i="3" s="1"/>
  <c r="CH212" i="3"/>
  <c r="CG212" i="3" s="1"/>
  <c r="CH210" i="3"/>
  <c r="CG210" i="3" s="1"/>
  <c r="CH206" i="3"/>
  <c r="CG206" i="3" s="1"/>
  <c r="CH202" i="3"/>
  <c r="CG202" i="3" s="1"/>
  <c r="CH198" i="3"/>
  <c r="CG198" i="3" s="1"/>
  <c r="CH194" i="3"/>
  <c r="CG194" i="3" s="1"/>
  <c r="CH190" i="3"/>
  <c r="CG190" i="3" s="1"/>
  <c r="CH186" i="3"/>
  <c r="CG186" i="3" s="1"/>
  <c r="CH182" i="3"/>
  <c r="CG182" i="3" s="1"/>
  <c r="CH227" i="3"/>
  <c r="CG227" i="3" s="1"/>
  <c r="CH211" i="3"/>
  <c r="CG211" i="3" s="1"/>
  <c r="CH205" i="3"/>
  <c r="CG205" i="3" s="1"/>
  <c r="CH189" i="3"/>
  <c r="CG189" i="3" s="1"/>
  <c r="CH42" i="3"/>
  <c r="CG42" i="3" s="1"/>
  <c r="CH37" i="3"/>
  <c r="CG37" i="3" s="1"/>
  <c r="CH32" i="3"/>
  <c r="CG32" i="3" s="1"/>
  <c r="CH28" i="3"/>
  <c r="CG28" i="3" s="1"/>
  <c r="CH23" i="3"/>
  <c r="CG23" i="3" s="1"/>
  <c r="CH18" i="3"/>
  <c r="CG18" i="3" s="1"/>
  <c r="CH13" i="3"/>
  <c r="CG13" i="3" s="1"/>
  <c r="CH8" i="3"/>
  <c r="CG8" i="3" s="1"/>
  <c r="CH223" i="3"/>
  <c r="CG223" i="3" s="1"/>
  <c r="CH201" i="3"/>
  <c r="CG201" i="3" s="1"/>
  <c r="CH185" i="3"/>
  <c r="CG185" i="3" s="1"/>
  <c r="CH45" i="3"/>
  <c r="CG45" i="3" s="1"/>
  <c r="CH41" i="3"/>
  <c r="CG41" i="3" s="1"/>
  <c r="CH36" i="3"/>
  <c r="CG36" i="3" s="1"/>
  <c r="CH31" i="3"/>
  <c r="CG31" i="3" s="1"/>
  <c r="CG26" i="3"/>
  <c r="CH22" i="3"/>
  <c r="CG22" i="3" s="1"/>
  <c r="CH17" i="3"/>
  <c r="CG17" i="3" s="1"/>
  <c r="CH12" i="3"/>
  <c r="CG12" i="3" s="1"/>
  <c r="CH7" i="3"/>
  <c r="CH219" i="3"/>
  <c r="CG219" i="3" s="1"/>
  <c r="CH197" i="3"/>
  <c r="CG197" i="3" s="1"/>
  <c r="CH181" i="3"/>
  <c r="CG181" i="3" s="1"/>
  <c r="CH44" i="3"/>
  <c r="CG44" i="3" s="1"/>
  <c r="CH40" i="3"/>
  <c r="CG40" i="3" s="1"/>
  <c r="CH35" i="3"/>
  <c r="CG35" i="3" s="1"/>
  <c r="CH30" i="3"/>
  <c r="CG30" i="3" s="1"/>
  <c r="CH25" i="3"/>
  <c r="CG25" i="3" s="1"/>
  <c r="CH20" i="3"/>
  <c r="CG20" i="3" s="1"/>
  <c r="CH16" i="3"/>
  <c r="CG16" i="3" s="1"/>
  <c r="CH11" i="3"/>
  <c r="CG11" i="3" s="1"/>
  <c r="CF7" i="3"/>
  <c r="CH215" i="3"/>
  <c r="CG215" i="3" s="1"/>
  <c r="CH209" i="3"/>
  <c r="CG209" i="3" s="1"/>
  <c r="CH193" i="3"/>
  <c r="CG193" i="3" s="1"/>
  <c r="CH43" i="3"/>
  <c r="CG43" i="3" s="1"/>
  <c r="CH38" i="3"/>
  <c r="CG38" i="3" s="1"/>
  <c r="CH34" i="3"/>
  <c r="CG34" i="3" s="1"/>
  <c r="CH29" i="3"/>
  <c r="CG29" i="3" s="1"/>
  <c r="CH24" i="3"/>
  <c r="CG24" i="3" s="1"/>
  <c r="CH19" i="3"/>
  <c r="CG19" i="3" s="1"/>
  <c r="CH14" i="3"/>
  <c r="CG14" i="3" s="1"/>
  <c r="CH10" i="3"/>
  <c r="CG10" i="3" s="1"/>
  <c r="CF12" i="3"/>
  <c r="CE12" i="3" s="1"/>
  <c r="CF17" i="3"/>
  <c r="CE17" i="3" s="1"/>
  <c r="CF22" i="3"/>
  <c r="CE22" i="3" s="1"/>
  <c r="CF26" i="3"/>
  <c r="CE26" i="3" s="1"/>
  <c r="CF31" i="3"/>
  <c r="CE31" i="3" s="1"/>
  <c r="CF36" i="3"/>
  <c r="CE36" i="3" s="1"/>
  <c r="CF41" i="3"/>
  <c r="CE41" i="3" s="1"/>
  <c r="CF45" i="3"/>
  <c r="CE45" i="3" s="1"/>
  <c r="CF181" i="3"/>
  <c r="CE181" i="3" s="1"/>
  <c r="CF185" i="3"/>
  <c r="CE185" i="3" s="1"/>
  <c r="CF189" i="3"/>
  <c r="CE189" i="3" s="1"/>
  <c r="CF193" i="3"/>
  <c r="CE193" i="3" s="1"/>
  <c r="CF197" i="3"/>
  <c r="CE197" i="3" s="1"/>
  <c r="CF201" i="3"/>
  <c r="CE201" i="3" s="1"/>
  <c r="CF205" i="3"/>
  <c r="CE205" i="3" s="1"/>
  <c r="CF209" i="3"/>
  <c r="CE209" i="3" s="1"/>
  <c r="CF8" i="3"/>
  <c r="CE8" i="3" s="1"/>
  <c r="CF13" i="3"/>
  <c r="CE13" i="3" s="1"/>
  <c r="CF18" i="3"/>
  <c r="CE18" i="3" s="1"/>
  <c r="CF23" i="3"/>
  <c r="CE23" i="3" s="1"/>
  <c r="CF28" i="3"/>
  <c r="CE28" i="3" s="1"/>
  <c r="CF32" i="3"/>
  <c r="CE32" i="3" s="1"/>
  <c r="CF37" i="3"/>
  <c r="CE37" i="3" s="1"/>
  <c r="CF42" i="3"/>
  <c r="CE42" i="3" s="1"/>
  <c r="CF182" i="3"/>
  <c r="CE182" i="3" s="1"/>
  <c r="CF186" i="3"/>
  <c r="CE186" i="3" s="1"/>
  <c r="CF190" i="3"/>
  <c r="CE190" i="3" s="1"/>
  <c r="CF194" i="3"/>
  <c r="CE194" i="3" s="1"/>
  <c r="CF198" i="3"/>
  <c r="CE198" i="3" s="1"/>
  <c r="CF202" i="3"/>
  <c r="CE202" i="3" s="1"/>
  <c r="CF206" i="3"/>
  <c r="CE206" i="3" s="1"/>
  <c r="CF210" i="3"/>
  <c r="CE210" i="3" s="1"/>
  <c r="CF10" i="3"/>
  <c r="CE10" i="3" s="1"/>
  <c r="CF14" i="3"/>
  <c r="CE14" i="3" s="1"/>
  <c r="CF19" i="3"/>
  <c r="CE19" i="3" s="1"/>
  <c r="CF24" i="3"/>
  <c r="CE24" i="3" s="1"/>
  <c r="CF29" i="3"/>
  <c r="CE29" i="3" s="1"/>
  <c r="CF34" i="3"/>
  <c r="CE34" i="3" s="1"/>
  <c r="CF38" i="3"/>
  <c r="CE38" i="3" s="1"/>
  <c r="CF43" i="3"/>
  <c r="CE43" i="3" s="1"/>
  <c r="CF179" i="3"/>
  <c r="CE179" i="3" s="1"/>
  <c r="CF183" i="3"/>
  <c r="CE183" i="3" s="1"/>
  <c r="CF187" i="3"/>
  <c r="CE187" i="3" s="1"/>
  <c r="CF191" i="3"/>
  <c r="CE191" i="3" s="1"/>
  <c r="CF195" i="3"/>
  <c r="CE195" i="3" s="1"/>
  <c r="CF199" i="3"/>
  <c r="CE199" i="3" s="1"/>
  <c r="CF203" i="3"/>
  <c r="CE203" i="3" s="1"/>
  <c r="CF207" i="3"/>
  <c r="CE207" i="3" s="1"/>
  <c r="CF11" i="3"/>
  <c r="CE11" i="3" s="1"/>
  <c r="CF16" i="3"/>
  <c r="CE16" i="3" s="1"/>
  <c r="CF20" i="3"/>
  <c r="CE20" i="3" s="1"/>
  <c r="CF25" i="3"/>
  <c r="CE25" i="3" s="1"/>
  <c r="CF30" i="3"/>
  <c r="CE30" i="3" s="1"/>
  <c r="CF35" i="3"/>
  <c r="CE35" i="3" s="1"/>
  <c r="CF40" i="3"/>
  <c r="CE40" i="3" s="1"/>
  <c r="CF44" i="3"/>
  <c r="CE44" i="3" s="1"/>
  <c r="CF180" i="3"/>
  <c r="CE180" i="3" s="1"/>
  <c r="CF184" i="3"/>
  <c r="CE184" i="3" s="1"/>
  <c r="CF188" i="3"/>
  <c r="CE188" i="3" s="1"/>
  <c r="CF192" i="3"/>
  <c r="CE192" i="3" s="1"/>
  <c r="CF196" i="3"/>
  <c r="CE196" i="3" s="1"/>
  <c r="CF200" i="3"/>
  <c r="CE200" i="3" s="1"/>
  <c r="CF204" i="3"/>
  <c r="CE204" i="3" s="1"/>
  <c r="CF208" i="3"/>
  <c r="CE208" i="3" s="1"/>
  <c r="CF227" i="3"/>
  <c r="CE227" i="3" s="1"/>
  <c r="CF223" i="3"/>
  <c r="CE223" i="3" s="1"/>
  <c r="CF219" i="3"/>
  <c r="CE219" i="3" s="1"/>
  <c r="CF215" i="3"/>
  <c r="CE215" i="3" s="1"/>
  <c r="CF211" i="3"/>
  <c r="CE211" i="3" s="1"/>
  <c r="BO10" i="3"/>
  <c r="BN10" i="3" s="1"/>
  <c r="BQ10" i="3"/>
  <c r="BP10" i="3" s="1"/>
  <c r="BQ11" i="3"/>
  <c r="BP11" i="3" s="1"/>
  <c r="BO9" i="3"/>
  <c r="BN9" i="3" s="1"/>
  <c r="BQ7" i="3"/>
  <c r="BQ12" i="3"/>
  <c r="BP12" i="3" s="1"/>
  <c r="BO11" i="3"/>
  <c r="BN11" i="3" s="1"/>
  <c r="BO8" i="3"/>
  <c r="BN8" i="3" s="1"/>
  <c r="BQ8" i="3"/>
  <c r="BP8" i="3" s="1"/>
  <c r="BO7" i="3"/>
  <c r="BN7" i="3" s="1"/>
  <c r="BO12" i="3"/>
  <c r="BN12" i="3" s="1"/>
  <c r="BQ9" i="3"/>
  <c r="BP9" i="3" s="1"/>
  <c r="BJ13" i="3"/>
  <c r="BI13" i="3" s="1"/>
  <c r="BJ8" i="3"/>
  <c r="BI8" i="3" s="1"/>
  <c r="BJ12" i="3"/>
  <c r="BI12" i="3" s="1"/>
  <c r="BJ16" i="3"/>
  <c r="BI16" i="3" s="1"/>
  <c r="BJ20" i="3"/>
  <c r="BI20" i="3" s="1"/>
  <c r="BJ24" i="3"/>
  <c r="BI24" i="3" s="1"/>
  <c r="BJ28" i="3"/>
  <c r="BI28" i="3" s="1"/>
  <c r="BJ32" i="3"/>
  <c r="BI32" i="3" s="1"/>
  <c r="BJ36" i="3"/>
  <c r="BI36" i="3" s="1"/>
  <c r="BL7" i="3"/>
  <c r="BK7" i="3" s="1"/>
  <c r="BL11" i="3"/>
  <c r="BK11" i="3" s="1"/>
  <c r="BL15" i="3"/>
  <c r="BK15" i="3" s="1"/>
  <c r="BL19" i="3"/>
  <c r="BK19" i="3" s="1"/>
  <c r="BL23" i="3"/>
  <c r="BK23" i="3" s="1"/>
  <c r="BL27" i="3"/>
  <c r="BK27" i="3" s="1"/>
  <c r="BL31" i="3"/>
  <c r="BK31" i="3" s="1"/>
  <c r="BL35" i="3"/>
  <c r="BK35" i="3" s="1"/>
  <c r="BJ9" i="3"/>
  <c r="BI9" i="3" s="1"/>
  <c r="BJ17" i="3"/>
  <c r="BI17" i="3" s="1"/>
  <c r="BJ21" i="3"/>
  <c r="BI21" i="3" s="1"/>
  <c r="BJ25" i="3"/>
  <c r="BI25" i="3" s="1"/>
  <c r="BJ29" i="3"/>
  <c r="BI29" i="3" s="1"/>
  <c r="BJ33" i="3"/>
  <c r="BI33" i="3" s="1"/>
  <c r="BL8" i="3"/>
  <c r="BK8" i="3" s="1"/>
  <c r="BL12" i="3"/>
  <c r="BK12" i="3" s="1"/>
  <c r="BL16" i="3"/>
  <c r="BK16" i="3" s="1"/>
  <c r="BL20" i="3"/>
  <c r="BK20" i="3" s="1"/>
  <c r="BL24" i="3"/>
  <c r="BK24" i="3" s="1"/>
  <c r="BL28" i="3"/>
  <c r="BK28" i="3" s="1"/>
  <c r="BL32" i="3"/>
  <c r="BK32" i="3" s="1"/>
  <c r="BL36" i="3"/>
  <c r="BK36" i="3" s="1"/>
  <c r="BJ10" i="3"/>
  <c r="BJ14" i="3"/>
  <c r="BI14" i="3" s="1"/>
  <c r="BJ18" i="3"/>
  <c r="BI18" i="3" s="1"/>
  <c r="BJ22" i="3"/>
  <c r="BI22" i="3" s="1"/>
  <c r="BJ26" i="3"/>
  <c r="BI26" i="3" s="1"/>
  <c r="BJ30" i="3"/>
  <c r="BI30" i="3" s="1"/>
  <c r="BJ34" i="3"/>
  <c r="BI34" i="3" s="1"/>
  <c r="BL9" i="3"/>
  <c r="BK9" i="3" s="1"/>
  <c r="BL13" i="3"/>
  <c r="BK13" i="3" s="1"/>
  <c r="BL17" i="3"/>
  <c r="BK17" i="3" s="1"/>
  <c r="BL21" i="3"/>
  <c r="BK21" i="3" s="1"/>
  <c r="BL25" i="3"/>
  <c r="BK25" i="3" s="1"/>
  <c r="BL29" i="3"/>
  <c r="BK29" i="3" s="1"/>
  <c r="BL33" i="3"/>
  <c r="BK33" i="3" s="1"/>
  <c r="BJ7" i="3"/>
  <c r="BI7" i="3" s="1"/>
  <c r="BJ11" i="3"/>
  <c r="BI11" i="3" s="1"/>
  <c r="BJ15" i="3"/>
  <c r="BI15" i="3" s="1"/>
  <c r="BJ19" i="3"/>
  <c r="BI19" i="3" s="1"/>
  <c r="BJ23" i="3"/>
  <c r="BI23" i="3" s="1"/>
  <c r="BJ27" i="3"/>
  <c r="BI27" i="3" s="1"/>
  <c r="BJ31" i="3"/>
  <c r="BI31" i="3" s="1"/>
  <c r="BJ35" i="3"/>
  <c r="BI35" i="3" s="1"/>
  <c r="BL10" i="3"/>
  <c r="BK10" i="3" s="1"/>
  <c r="BL14" i="3"/>
  <c r="BK14" i="3" s="1"/>
  <c r="BL18" i="3"/>
  <c r="BK18" i="3" s="1"/>
  <c r="BL22" i="3"/>
  <c r="BK22" i="3" s="1"/>
  <c r="BL26" i="3"/>
  <c r="BK26" i="3" s="1"/>
  <c r="BL30" i="3"/>
  <c r="BK30" i="3" s="1"/>
  <c r="BL34" i="3"/>
  <c r="BK34" i="3" s="1"/>
  <c r="CE7" i="3" l="1"/>
  <c r="AA9" i="3" a="1"/>
  <c r="AA9" i="3" s="1"/>
  <c r="AA12" i="3" a="1"/>
  <c r="AA12" i="3" s="1"/>
  <c r="AA16" i="3" a="1"/>
  <c r="AA16" i="3" s="1"/>
  <c r="AA22" i="3" a="1"/>
  <c r="AA22" i="3" s="1"/>
  <c r="AA25" i="3" a="1"/>
  <c r="AA25" i="3" s="1"/>
  <c r="AA28" i="3" a="1"/>
  <c r="AA28" i="3" s="1"/>
  <c r="AA32" i="3" a="1"/>
  <c r="AA32" i="3" s="1"/>
  <c r="AA38" i="3" a="1"/>
  <c r="AA38" i="3" s="1"/>
  <c r="AA41" i="3" a="1"/>
  <c r="AA41" i="3" s="1"/>
  <c r="AA44" i="3" a="1"/>
  <c r="AA44" i="3" s="1"/>
  <c r="AA48" i="3" a="1"/>
  <c r="AA48" i="3" s="1"/>
  <c r="AA54" i="3" a="1"/>
  <c r="AA54" i="3" s="1"/>
  <c r="AA57" i="3" a="1"/>
  <c r="AA57" i="3" s="1"/>
  <c r="AA60" i="3" a="1"/>
  <c r="AA60" i="3" s="1"/>
  <c r="AA64" i="3" a="1"/>
  <c r="AA64" i="3" s="1"/>
  <c r="AA70" i="3" a="1"/>
  <c r="AA70" i="3" s="1"/>
  <c r="AA73" i="3" a="1"/>
  <c r="AA73" i="3" s="1"/>
  <c r="AA76" i="3" a="1"/>
  <c r="AA76" i="3" s="1"/>
  <c r="AA80" i="3" a="1"/>
  <c r="AA80" i="3" s="1"/>
  <c r="AA86" i="3" a="1"/>
  <c r="AA86" i="3" s="1"/>
  <c r="AA89" i="3" a="1"/>
  <c r="AA89" i="3" s="1"/>
  <c r="AA92" i="3" a="1"/>
  <c r="AA92" i="3" s="1"/>
  <c r="AA96" i="3" a="1"/>
  <c r="AA96" i="3" s="1"/>
  <c r="AA102" i="3" a="1"/>
  <c r="AA102" i="3" s="1"/>
  <c r="AA105" i="3" a="1"/>
  <c r="AA105" i="3" s="1"/>
  <c r="AA108" i="3" a="1"/>
  <c r="AA108" i="3" s="1"/>
  <c r="AA112" i="3" a="1"/>
  <c r="AA112" i="3" s="1"/>
  <c r="AA118" i="3" a="1"/>
  <c r="AA118" i="3" s="1"/>
  <c r="AA121" i="3" a="1"/>
  <c r="AA121" i="3" s="1"/>
  <c r="AA124" i="3" a="1"/>
  <c r="AA124" i="3" s="1"/>
  <c r="AA128" i="3" a="1"/>
  <c r="AA128" i="3" s="1"/>
  <c r="AA134" i="3" a="1"/>
  <c r="AA134" i="3" s="1"/>
  <c r="AA137" i="3" a="1"/>
  <c r="AA137" i="3" s="1"/>
  <c r="AA140" i="3" a="1"/>
  <c r="AA140" i="3" s="1"/>
  <c r="AA144" i="3" a="1"/>
  <c r="AA144" i="3" s="1"/>
  <c r="AA150" i="3" a="1"/>
  <c r="AA150" i="3" s="1"/>
  <c r="AA153" i="3" a="1"/>
  <c r="AA153" i="3" s="1"/>
  <c r="AA156" i="3" a="1"/>
  <c r="AA156" i="3" s="1"/>
  <c r="AA160" i="3" a="1"/>
  <c r="AA160" i="3" s="1"/>
  <c r="AA166" i="3" a="1"/>
  <c r="AA166" i="3" s="1"/>
  <c r="AA169" i="3" a="1"/>
  <c r="AA169" i="3" s="1"/>
  <c r="AA172" i="3" a="1"/>
  <c r="AA172" i="3" s="1"/>
  <c r="AA176" i="3" a="1"/>
  <c r="AA176" i="3" s="1"/>
  <c r="AA179" i="3" a="1"/>
  <c r="AA179" i="3" s="1"/>
  <c r="AA183" i="3" a="1"/>
  <c r="AA183" i="3" s="1"/>
  <c r="AA187" i="3" a="1"/>
  <c r="AA187" i="3" s="1"/>
  <c r="AA191" i="3" a="1"/>
  <c r="AA191" i="3" s="1"/>
  <c r="AA195" i="3" a="1"/>
  <c r="AA195" i="3" s="1"/>
  <c r="AA199" i="3" a="1"/>
  <c r="AA199" i="3" s="1"/>
  <c r="AA203" i="3" a="1"/>
  <c r="AA203" i="3" s="1"/>
  <c r="AA207" i="3" a="1"/>
  <c r="AA207" i="3" s="1"/>
  <c r="AA211" i="3" a="1"/>
  <c r="AA211" i="3" s="1"/>
  <c r="AA215" i="3" a="1"/>
  <c r="AA215" i="3" s="1"/>
  <c r="AA219" i="3" a="1"/>
  <c r="AA219" i="3" s="1"/>
  <c r="AA223" i="3" a="1"/>
  <c r="AA223" i="3" s="1"/>
  <c r="AA227" i="3" a="1"/>
  <c r="AA227" i="3" s="1"/>
  <c r="AA231" i="3" a="1"/>
  <c r="AA231" i="3" s="1"/>
  <c r="AA235" i="3" a="1"/>
  <c r="AA235" i="3" s="1"/>
  <c r="AA239" i="3" a="1"/>
  <c r="AA239" i="3" s="1"/>
  <c r="AA243" i="3" a="1"/>
  <c r="AA243" i="3" s="1"/>
  <c r="AA247" i="3" a="1"/>
  <c r="AA247" i="3" s="1"/>
  <c r="AA251" i="3" a="1"/>
  <c r="AA251" i="3" s="1"/>
  <c r="AA255" i="3" a="1"/>
  <c r="AA255" i="3" s="1"/>
  <c r="AA259" i="3" a="1"/>
  <c r="AA259" i="3" s="1"/>
  <c r="AA263" i="3" a="1"/>
  <c r="AA263" i="3" s="1"/>
  <c r="AA267" i="3" a="1"/>
  <c r="AA267" i="3" s="1"/>
  <c r="AA271" i="3" a="1"/>
  <c r="AA271" i="3" s="1"/>
  <c r="AA275" i="3" a="1"/>
  <c r="AA275" i="3" s="1"/>
  <c r="AA279" i="3" a="1"/>
  <c r="AA279" i="3" s="1"/>
  <c r="AA283" i="3" a="1"/>
  <c r="AA283" i="3" s="1"/>
  <c r="AA287" i="3" a="1"/>
  <c r="AA287" i="3" s="1"/>
  <c r="AA291" i="3" a="1"/>
  <c r="AA291" i="3" s="1"/>
  <c r="AA295" i="3" a="1"/>
  <c r="AA295" i="3" s="1"/>
  <c r="AA299" i="3" a="1"/>
  <c r="AA299" i="3" s="1"/>
  <c r="AA10" i="3" a="1"/>
  <c r="AA10" i="3" s="1"/>
  <c r="AA13" i="3" a="1"/>
  <c r="AA13" i="3" s="1"/>
  <c r="AA19" i="3" a="1"/>
  <c r="AA19" i="3" s="1"/>
  <c r="AA23" i="3" a="1"/>
  <c r="AA23" i="3" s="1"/>
  <c r="AA26" i="3" a="1"/>
  <c r="AA26" i="3" s="1"/>
  <c r="AA29" i="3" a="1"/>
  <c r="AA29" i="3" s="1"/>
  <c r="AA35" i="3" a="1"/>
  <c r="AA35" i="3" s="1"/>
  <c r="AA39" i="3" a="1"/>
  <c r="AA39" i="3" s="1"/>
  <c r="AA42" i="3" a="1"/>
  <c r="AA42" i="3" s="1"/>
  <c r="AA45" i="3" a="1"/>
  <c r="AA45" i="3" s="1"/>
  <c r="AA51" i="3" a="1"/>
  <c r="AA51" i="3" s="1"/>
  <c r="AA55" i="3" a="1"/>
  <c r="AA55" i="3" s="1"/>
  <c r="AA58" i="3" a="1"/>
  <c r="AA58" i="3" s="1"/>
  <c r="AA61" i="3" a="1"/>
  <c r="AA61" i="3" s="1"/>
  <c r="AA67" i="3" a="1"/>
  <c r="AA67" i="3" s="1"/>
  <c r="AA71" i="3" a="1"/>
  <c r="AA71" i="3" s="1"/>
  <c r="AA74" i="3" a="1"/>
  <c r="AA74" i="3" s="1"/>
  <c r="AA77" i="3" a="1"/>
  <c r="AA77" i="3" s="1"/>
  <c r="AA83" i="3" a="1"/>
  <c r="AA83" i="3" s="1"/>
  <c r="AA87" i="3" a="1"/>
  <c r="AA87" i="3" s="1"/>
  <c r="AA90" i="3" a="1"/>
  <c r="AA90" i="3" s="1"/>
  <c r="AA93" i="3" a="1"/>
  <c r="AA93" i="3" s="1"/>
  <c r="AA99" i="3" a="1"/>
  <c r="AA99" i="3" s="1"/>
  <c r="AA103" i="3" a="1"/>
  <c r="AA103" i="3" s="1"/>
  <c r="AA106" i="3" a="1"/>
  <c r="AA106" i="3" s="1"/>
  <c r="AA109" i="3" a="1"/>
  <c r="AA109" i="3" s="1"/>
  <c r="AA115" i="3" a="1"/>
  <c r="AA115" i="3" s="1"/>
  <c r="AA119" i="3" a="1"/>
  <c r="AA119" i="3" s="1"/>
  <c r="AA122" i="3" a="1"/>
  <c r="AA122" i="3" s="1"/>
  <c r="AA125" i="3" a="1"/>
  <c r="AA125" i="3" s="1"/>
  <c r="AA131" i="3" a="1"/>
  <c r="AA131" i="3" s="1"/>
  <c r="AA135" i="3" a="1"/>
  <c r="AA135" i="3" s="1"/>
  <c r="AA138" i="3" a="1"/>
  <c r="AA138" i="3" s="1"/>
  <c r="AA141" i="3" a="1"/>
  <c r="AA141" i="3" s="1"/>
  <c r="AA147" i="3" a="1"/>
  <c r="AA147" i="3" s="1"/>
  <c r="AA151" i="3" a="1"/>
  <c r="AA151" i="3" s="1"/>
  <c r="AA154" i="3" a="1"/>
  <c r="AA154" i="3" s="1"/>
  <c r="AA157" i="3" a="1"/>
  <c r="AA157" i="3" s="1"/>
  <c r="AA163" i="3" a="1"/>
  <c r="AA163" i="3" s="1"/>
  <c r="AA167" i="3" a="1"/>
  <c r="AA167" i="3" s="1"/>
  <c r="AA170" i="3" a="1"/>
  <c r="AA170" i="3" s="1"/>
  <c r="AA173" i="3" a="1"/>
  <c r="AA173" i="3" s="1"/>
  <c r="AA180" i="3" a="1"/>
  <c r="AA180" i="3" s="1"/>
  <c r="AA184" i="3" a="1"/>
  <c r="AA184" i="3" s="1"/>
  <c r="AA188" i="3" a="1"/>
  <c r="AA188" i="3" s="1"/>
  <c r="AA192" i="3" a="1"/>
  <c r="AA192" i="3" s="1"/>
  <c r="AA196" i="3" a="1"/>
  <c r="AA196" i="3" s="1"/>
  <c r="AA200" i="3" a="1"/>
  <c r="AA200" i="3" s="1"/>
  <c r="AA204" i="3" a="1"/>
  <c r="AA204" i="3" s="1"/>
  <c r="AA208" i="3" a="1"/>
  <c r="AA208" i="3" s="1"/>
  <c r="AA212" i="3" a="1"/>
  <c r="AA212" i="3" s="1"/>
  <c r="AA216" i="3" a="1"/>
  <c r="AA216" i="3" s="1"/>
  <c r="AA220" i="3" a="1"/>
  <c r="AA220" i="3" s="1"/>
  <c r="AA224" i="3" a="1"/>
  <c r="AA224" i="3" s="1"/>
  <c r="AA228" i="3" a="1"/>
  <c r="AA228" i="3" s="1"/>
  <c r="AA232" i="3" a="1"/>
  <c r="AA232" i="3" s="1"/>
  <c r="AA236" i="3" a="1"/>
  <c r="AA236" i="3" s="1"/>
  <c r="AA240" i="3" a="1"/>
  <c r="AA240" i="3" s="1"/>
  <c r="AA244" i="3" a="1"/>
  <c r="AA244" i="3" s="1"/>
  <c r="AA248" i="3" a="1"/>
  <c r="AA248" i="3" s="1"/>
  <c r="AA252" i="3" a="1"/>
  <c r="AA252" i="3" s="1"/>
  <c r="AA256" i="3" a="1"/>
  <c r="AA256" i="3" s="1"/>
  <c r="AA260" i="3" a="1"/>
  <c r="AA260" i="3" s="1"/>
  <c r="AA264" i="3" a="1"/>
  <c r="AA264" i="3" s="1"/>
  <c r="AA268" i="3" a="1"/>
  <c r="AA268" i="3" s="1"/>
  <c r="AA272" i="3" a="1"/>
  <c r="AA272" i="3" s="1"/>
  <c r="AA276" i="3" a="1"/>
  <c r="AA276" i="3" s="1"/>
  <c r="AA280" i="3" a="1"/>
  <c r="AA280" i="3" s="1"/>
  <c r="AA284" i="3" a="1"/>
  <c r="AA284" i="3" s="1"/>
  <c r="AA288" i="3" a="1"/>
  <c r="AA288" i="3" s="1"/>
  <c r="AA292" i="3" a="1"/>
  <c r="AA292" i="3" s="1"/>
  <c r="AA296" i="3" a="1"/>
  <c r="AA296" i="3" s="1"/>
  <c r="AA300" i="3" a="1"/>
  <c r="AA300" i="3" s="1"/>
  <c r="AA14" i="3" a="1"/>
  <c r="AA14" i="3" s="1"/>
  <c r="AA17" i="3" a="1"/>
  <c r="AA17" i="3" s="1"/>
  <c r="AA20" i="3" a="1"/>
  <c r="AA20" i="3" s="1"/>
  <c r="AA24" i="3" a="1"/>
  <c r="AA24" i="3" s="1"/>
  <c r="AA30" i="3" a="1"/>
  <c r="AA30" i="3" s="1"/>
  <c r="AA33" i="3" a="1"/>
  <c r="AA33" i="3" s="1"/>
  <c r="AA36" i="3" a="1"/>
  <c r="AA36" i="3" s="1"/>
  <c r="AA40" i="3" a="1"/>
  <c r="AA40" i="3" s="1"/>
  <c r="AA46" i="3" a="1"/>
  <c r="AA46" i="3" s="1"/>
  <c r="AA49" i="3" a="1"/>
  <c r="AA49" i="3" s="1"/>
  <c r="AA52" i="3" a="1"/>
  <c r="AA52" i="3" s="1"/>
  <c r="AA56" i="3" a="1"/>
  <c r="AA56" i="3" s="1"/>
  <c r="AA62" i="3" a="1"/>
  <c r="AA62" i="3" s="1"/>
  <c r="AA65" i="3" a="1"/>
  <c r="AA65" i="3" s="1"/>
  <c r="AA68" i="3" a="1"/>
  <c r="AA68" i="3" s="1"/>
  <c r="AA72" i="3" a="1"/>
  <c r="AA72" i="3" s="1"/>
  <c r="AA78" i="3" a="1"/>
  <c r="AA78" i="3" s="1"/>
  <c r="AA81" i="3" a="1"/>
  <c r="AA81" i="3" s="1"/>
  <c r="AA84" i="3" a="1"/>
  <c r="AA84" i="3" s="1"/>
  <c r="AA88" i="3" a="1"/>
  <c r="AA88" i="3" s="1"/>
  <c r="AA94" i="3" a="1"/>
  <c r="AA94" i="3" s="1"/>
  <c r="AA97" i="3" a="1"/>
  <c r="AA97" i="3" s="1"/>
  <c r="AA100" i="3" a="1"/>
  <c r="AA100" i="3" s="1"/>
  <c r="AA104" i="3" a="1"/>
  <c r="AA104" i="3" s="1"/>
  <c r="AA110" i="3" a="1"/>
  <c r="AA110" i="3" s="1"/>
  <c r="AA113" i="3" a="1"/>
  <c r="AA113" i="3" s="1"/>
  <c r="AA116" i="3" a="1"/>
  <c r="AA116" i="3" s="1"/>
  <c r="AA120" i="3" a="1"/>
  <c r="AA120" i="3" s="1"/>
  <c r="AA126" i="3" a="1"/>
  <c r="AA126" i="3" s="1"/>
  <c r="AA129" i="3" a="1"/>
  <c r="AA129" i="3" s="1"/>
  <c r="AA132" i="3" a="1"/>
  <c r="AA132" i="3" s="1"/>
  <c r="AA136" i="3" a="1"/>
  <c r="AA136" i="3" s="1"/>
  <c r="AA142" i="3" a="1"/>
  <c r="AA142" i="3" s="1"/>
  <c r="AA145" i="3" a="1"/>
  <c r="AA145" i="3" s="1"/>
  <c r="AA148" i="3" a="1"/>
  <c r="AA148" i="3" s="1"/>
  <c r="AA152" i="3" a="1"/>
  <c r="AA152" i="3" s="1"/>
  <c r="AA158" i="3" a="1"/>
  <c r="AA158" i="3" s="1"/>
  <c r="AA161" i="3" a="1"/>
  <c r="AA161" i="3" s="1"/>
  <c r="AA164" i="3" a="1"/>
  <c r="AA164" i="3" s="1"/>
  <c r="AA168" i="3" a="1"/>
  <c r="AA168" i="3" s="1"/>
  <c r="AA174" i="3" a="1"/>
  <c r="AA174" i="3" s="1"/>
  <c r="AA177" i="3" a="1"/>
  <c r="AA177" i="3" s="1"/>
  <c r="AA181" i="3" a="1"/>
  <c r="AA181" i="3" s="1"/>
  <c r="AA185" i="3" a="1"/>
  <c r="AA185" i="3" s="1"/>
  <c r="AA189" i="3" a="1"/>
  <c r="AA189" i="3" s="1"/>
  <c r="AA193" i="3" a="1"/>
  <c r="AA193" i="3" s="1"/>
  <c r="AA197" i="3" a="1"/>
  <c r="AA197" i="3" s="1"/>
  <c r="AA201" i="3" a="1"/>
  <c r="AA201" i="3" s="1"/>
  <c r="AA205" i="3" a="1"/>
  <c r="AA205" i="3" s="1"/>
  <c r="AA209" i="3" a="1"/>
  <c r="AA209" i="3" s="1"/>
  <c r="AA213" i="3" a="1"/>
  <c r="AA213" i="3" s="1"/>
  <c r="AA217" i="3" a="1"/>
  <c r="AA217" i="3" s="1"/>
  <c r="AA221" i="3" a="1"/>
  <c r="AA221" i="3" s="1"/>
  <c r="AA225" i="3" a="1"/>
  <c r="AA225" i="3" s="1"/>
  <c r="AA229" i="3" a="1"/>
  <c r="AA229" i="3" s="1"/>
  <c r="AA233" i="3" a="1"/>
  <c r="AA233" i="3" s="1"/>
  <c r="AA237" i="3" a="1"/>
  <c r="AA237" i="3" s="1"/>
  <c r="AA241" i="3" a="1"/>
  <c r="AA241" i="3" s="1"/>
  <c r="AA245" i="3" a="1"/>
  <c r="AA245" i="3" s="1"/>
  <c r="AA249" i="3" a="1"/>
  <c r="AA249" i="3" s="1"/>
  <c r="AA253" i="3" a="1"/>
  <c r="AA253" i="3" s="1"/>
  <c r="AA257" i="3" a="1"/>
  <c r="AA257" i="3" s="1"/>
  <c r="AA261" i="3" a="1"/>
  <c r="AA261" i="3" s="1"/>
  <c r="AA265" i="3" a="1"/>
  <c r="AA265" i="3" s="1"/>
  <c r="AA269" i="3" a="1"/>
  <c r="AA269" i="3" s="1"/>
  <c r="AA273" i="3" a="1"/>
  <c r="AA273" i="3" s="1"/>
  <c r="AA277" i="3" a="1"/>
  <c r="AA277" i="3" s="1"/>
  <c r="AA281" i="3" a="1"/>
  <c r="AA281" i="3" s="1"/>
  <c r="AA285" i="3" a="1"/>
  <c r="AA285" i="3" s="1"/>
  <c r="AA289" i="3" a="1"/>
  <c r="AA289" i="3" s="1"/>
  <c r="AA293" i="3" a="1"/>
  <c r="AA293" i="3" s="1"/>
  <c r="AA297" i="3" a="1"/>
  <c r="AA297" i="3" s="1"/>
  <c r="AA11" i="3" a="1"/>
  <c r="AA11" i="3" s="1"/>
  <c r="AA15" i="3" a="1"/>
  <c r="AA15" i="3" s="1"/>
  <c r="AA18" i="3" a="1"/>
  <c r="AA18" i="3" s="1"/>
  <c r="AA21" i="3" a="1"/>
  <c r="AA21" i="3" s="1"/>
  <c r="AA27" i="3" a="1"/>
  <c r="AA27" i="3" s="1"/>
  <c r="AA31" i="3" a="1"/>
  <c r="AA31" i="3" s="1"/>
  <c r="AA34" i="3" a="1"/>
  <c r="AA34" i="3" s="1"/>
  <c r="AA37" i="3" a="1"/>
  <c r="AA37" i="3" s="1"/>
  <c r="AA43" i="3" a="1"/>
  <c r="AA43" i="3" s="1"/>
  <c r="AA47" i="3" a="1"/>
  <c r="AA47" i="3" s="1"/>
  <c r="AA50" i="3" a="1"/>
  <c r="AA50" i="3" s="1"/>
  <c r="AA53" i="3" a="1"/>
  <c r="AA53" i="3" s="1"/>
  <c r="AA59" i="3" a="1"/>
  <c r="AA59" i="3" s="1"/>
  <c r="AA63" i="3" a="1"/>
  <c r="AA63" i="3" s="1"/>
  <c r="AA66" i="3" a="1"/>
  <c r="AA66" i="3" s="1"/>
  <c r="AA69" i="3" a="1"/>
  <c r="AA69" i="3" s="1"/>
  <c r="AA75" i="3" a="1"/>
  <c r="AA75" i="3" s="1"/>
  <c r="AA79" i="3" a="1"/>
  <c r="AA79" i="3" s="1"/>
  <c r="AA82" i="3" a="1"/>
  <c r="AA82" i="3" s="1"/>
  <c r="AA85" i="3" a="1"/>
  <c r="AA85" i="3" s="1"/>
  <c r="AA91" i="3" a="1"/>
  <c r="AA91" i="3" s="1"/>
  <c r="AA95" i="3" a="1"/>
  <c r="AA95" i="3" s="1"/>
  <c r="AA98" i="3" a="1"/>
  <c r="AA98" i="3" s="1"/>
  <c r="AA101" i="3" a="1"/>
  <c r="AA101" i="3" s="1"/>
  <c r="AA107" i="3" a="1"/>
  <c r="AA107" i="3" s="1"/>
  <c r="AA111" i="3" a="1"/>
  <c r="AA111" i="3" s="1"/>
  <c r="AA114" i="3" a="1"/>
  <c r="AA114" i="3" s="1"/>
  <c r="AA117" i="3" a="1"/>
  <c r="AA117" i="3" s="1"/>
  <c r="AA123" i="3" a="1"/>
  <c r="AA123" i="3" s="1"/>
  <c r="AA127" i="3" a="1"/>
  <c r="AA127" i="3" s="1"/>
  <c r="AA130" i="3" a="1"/>
  <c r="AA130" i="3" s="1"/>
  <c r="AA133" i="3" a="1"/>
  <c r="AA133" i="3" s="1"/>
  <c r="AA139" i="3" a="1"/>
  <c r="AA139" i="3" s="1"/>
  <c r="AA143" i="3" a="1"/>
  <c r="AA143" i="3" s="1"/>
  <c r="AA146" i="3" a="1"/>
  <c r="AA146" i="3" s="1"/>
  <c r="AA149" i="3" a="1"/>
  <c r="AA149" i="3" s="1"/>
  <c r="AA155" i="3" a="1"/>
  <c r="AA155" i="3" s="1"/>
  <c r="AA159" i="3" a="1"/>
  <c r="AA159" i="3" s="1"/>
  <c r="AA162" i="3" a="1"/>
  <c r="AA162" i="3" s="1"/>
  <c r="AA165" i="3" a="1"/>
  <c r="AA165" i="3" s="1"/>
  <c r="AA171" i="3" a="1"/>
  <c r="AA171" i="3" s="1"/>
  <c r="AA175" i="3" a="1"/>
  <c r="AA175" i="3" s="1"/>
  <c r="AA178" i="3" a="1"/>
  <c r="AA178" i="3" s="1"/>
  <c r="AA182" i="3" a="1"/>
  <c r="AA182" i="3" s="1"/>
  <c r="AA186" i="3" a="1"/>
  <c r="AA186" i="3" s="1"/>
  <c r="AA190" i="3" a="1"/>
  <c r="AA190" i="3" s="1"/>
  <c r="AA194" i="3" a="1"/>
  <c r="AA194" i="3" s="1"/>
  <c r="AA198" i="3" a="1"/>
  <c r="AA198" i="3" s="1"/>
  <c r="AA202" i="3" a="1"/>
  <c r="AA202" i="3" s="1"/>
  <c r="AA206" i="3" a="1"/>
  <c r="AA206" i="3" s="1"/>
  <c r="AA210" i="3" a="1"/>
  <c r="AA210" i="3" s="1"/>
  <c r="AA214" i="3" a="1"/>
  <c r="AA214" i="3" s="1"/>
  <c r="AA218" i="3" a="1"/>
  <c r="AA218" i="3" s="1"/>
  <c r="AA222" i="3" a="1"/>
  <c r="AA222" i="3" s="1"/>
  <c r="AA226" i="3" a="1"/>
  <c r="AA226" i="3" s="1"/>
  <c r="AA230" i="3" a="1"/>
  <c r="AA230" i="3" s="1"/>
  <c r="AA234" i="3" a="1"/>
  <c r="AA234" i="3" s="1"/>
  <c r="AA238" i="3" a="1"/>
  <c r="AA238" i="3" s="1"/>
  <c r="AA242" i="3" a="1"/>
  <c r="AA242" i="3" s="1"/>
  <c r="AA246" i="3" a="1"/>
  <c r="AA246" i="3" s="1"/>
  <c r="AA250" i="3" a="1"/>
  <c r="AA250" i="3" s="1"/>
  <c r="AA254" i="3" a="1"/>
  <c r="AA254" i="3" s="1"/>
  <c r="AA258" i="3" a="1"/>
  <c r="AA258" i="3" s="1"/>
  <c r="AA262" i="3" a="1"/>
  <c r="AA262" i="3" s="1"/>
  <c r="AA266" i="3" a="1"/>
  <c r="AA266" i="3" s="1"/>
  <c r="AA270" i="3" a="1"/>
  <c r="AA270" i="3" s="1"/>
  <c r="AA274" i="3" a="1"/>
  <c r="AA274" i="3" s="1"/>
  <c r="AA278" i="3" a="1"/>
  <c r="AA278" i="3" s="1"/>
  <c r="AA282" i="3" a="1"/>
  <c r="AA282" i="3" s="1"/>
  <c r="AA286" i="3" a="1"/>
  <c r="AA286" i="3" s="1"/>
  <c r="AA290" i="3" a="1"/>
  <c r="AA290" i="3" s="1"/>
  <c r="AA294" i="3" a="1"/>
  <c r="AA294" i="3" s="1"/>
  <c r="AA298" i="3" a="1"/>
  <c r="AA298" i="3" s="1"/>
  <c r="CG7" i="3"/>
  <c r="S9" i="3" a="1"/>
  <c r="S9" i="3" s="1"/>
  <c r="S11" i="3" a="1"/>
  <c r="S11" i="3" s="1"/>
  <c r="S13" i="3" a="1"/>
  <c r="S13" i="3" s="1"/>
  <c r="S15" i="3" a="1"/>
  <c r="S15" i="3" s="1"/>
  <c r="S17" i="3" a="1"/>
  <c r="S17" i="3" s="1"/>
  <c r="S19" i="3" a="1"/>
  <c r="S19" i="3" s="1"/>
  <c r="S52" i="3" a="1"/>
  <c r="S52" i="3" s="1"/>
  <c r="S55" i="3" a="1"/>
  <c r="S55" i="3" s="1"/>
  <c r="S60" i="3" a="1"/>
  <c r="S60" i="3" s="1"/>
  <c r="S63" i="3" a="1"/>
  <c r="S63" i="3" s="1"/>
  <c r="S68" i="3" a="1"/>
  <c r="S68" i="3" s="1"/>
  <c r="S8" i="3" a="1"/>
  <c r="S8" i="3" s="1"/>
  <c r="S12" i="3" a="1"/>
  <c r="S12" i="3" s="1"/>
  <c r="S16" i="3" a="1"/>
  <c r="S16" i="3" s="1"/>
  <c r="S20" i="3" a="1"/>
  <c r="S20" i="3" s="1"/>
  <c r="S25" i="3" a="1"/>
  <c r="S25" i="3" s="1"/>
  <c r="S28" i="3" a="1"/>
  <c r="S28" i="3" s="1"/>
  <c r="S33" i="3" a="1"/>
  <c r="S33" i="3" s="1"/>
  <c r="S36" i="3" a="1"/>
  <c r="S36" i="3" s="1"/>
  <c r="S41" i="3" a="1"/>
  <c r="S41" i="3" s="1"/>
  <c r="S44" i="3" a="1"/>
  <c r="S44" i="3" s="1"/>
  <c r="S49" i="3" a="1"/>
  <c r="S49" i="3" s="1"/>
  <c r="S53" i="3" a="1"/>
  <c r="S53" i="3" s="1"/>
  <c r="S56" i="3" a="1"/>
  <c r="S56" i="3" s="1"/>
  <c r="S67" i="3" a="1"/>
  <c r="S67" i="3" s="1"/>
  <c r="S23" i="3" a="1"/>
  <c r="S23" i="3" s="1"/>
  <c r="S26" i="3" a="1"/>
  <c r="S26" i="3" s="1"/>
  <c r="S31" i="3" a="1"/>
  <c r="S31" i="3" s="1"/>
  <c r="S34" i="3" a="1"/>
  <c r="S34" i="3" s="1"/>
  <c r="S39" i="3" a="1"/>
  <c r="S39" i="3" s="1"/>
  <c r="S42" i="3" a="1"/>
  <c r="S42" i="3" s="1"/>
  <c r="S47" i="3" a="1"/>
  <c r="S47" i="3" s="1"/>
  <c r="S50" i="3" a="1"/>
  <c r="S50" i="3" s="1"/>
  <c r="S57" i="3" a="1"/>
  <c r="S57" i="3" s="1"/>
  <c r="S61" i="3" a="1"/>
  <c r="S61" i="3" s="1"/>
  <c r="S64" i="3" a="1"/>
  <c r="S64" i="3" s="1"/>
  <c r="S22" i="3" a="1"/>
  <c r="S22" i="3" s="1"/>
  <c r="S27" i="3" a="1"/>
  <c r="S27" i="3" s="1"/>
  <c r="S38" i="3" a="1"/>
  <c r="S38" i="3" s="1"/>
  <c r="S43" i="3" a="1"/>
  <c r="S43" i="3" s="1"/>
  <c r="S62" i="3" a="1"/>
  <c r="S62" i="3" s="1"/>
  <c r="S30" i="3" a="1"/>
  <c r="S30" i="3" s="1"/>
  <c r="S35" i="3" a="1"/>
  <c r="S35" i="3" s="1"/>
  <c r="S46" i="3" a="1"/>
  <c r="S46" i="3" s="1"/>
  <c r="S66" i="3" a="1"/>
  <c r="S66" i="3" s="1"/>
  <c r="S10" i="3" a="1"/>
  <c r="S10" i="3" s="1"/>
  <c r="S18" i="3" a="1"/>
  <c r="S18" i="3" s="1"/>
  <c r="S24" i="3" a="1"/>
  <c r="S24" i="3" s="1"/>
  <c r="S29" i="3" a="1"/>
  <c r="S29" i="3" s="1"/>
  <c r="S40" i="3" a="1"/>
  <c r="S40" i="3" s="1"/>
  <c r="S45" i="3" a="1"/>
  <c r="S45" i="3" s="1"/>
  <c r="S51" i="3" a="1"/>
  <c r="S51" i="3" s="1"/>
  <c r="S58" i="3" a="1"/>
  <c r="S58" i="3" s="1"/>
  <c r="S65" i="3" a="1"/>
  <c r="S65" i="3" s="1"/>
  <c r="S70" i="3" a="1"/>
  <c r="S70" i="3" s="1"/>
  <c r="S59" i="3" a="1"/>
  <c r="S59" i="3" s="1"/>
  <c r="S14" i="3" a="1"/>
  <c r="S14" i="3" s="1"/>
  <c r="S21" i="3" a="1"/>
  <c r="S21" i="3" s="1"/>
  <c r="S32" i="3" a="1"/>
  <c r="S32" i="3" s="1"/>
  <c r="S37" i="3" a="1"/>
  <c r="S37" i="3" s="1"/>
  <c r="S48" i="3" a="1"/>
  <c r="S48" i="3" s="1"/>
  <c r="S54" i="3" a="1"/>
  <c r="S54" i="3" s="1"/>
  <c r="S69" i="3" a="1"/>
  <c r="S69" i="3" s="1"/>
  <c r="U8" i="3" a="1"/>
  <c r="U8" i="3" s="1"/>
  <c r="U10" i="3" a="1"/>
  <c r="U10" i="3" s="1"/>
  <c r="U12" i="3" a="1"/>
  <c r="U12" i="3" s="1"/>
  <c r="U14" i="3" a="1"/>
  <c r="U14" i="3" s="1"/>
  <c r="U16" i="3" a="1"/>
  <c r="U16" i="3" s="1"/>
  <c r="U18" i="3" a="1"/>
  <c r="U18" i="3" s="1"/>
  <c r="U20" i="3" a="1"/>
  <c r="U20" i="3" s="1"/>
  <c r="U22" i="3" a="1"/>
  <c r="U22" i="3" s="1"/>
  <c r="U24" i="3" a="1"/>
  <c r="U24" i="3" s="1"/>
  <c r="U26" i="3" a="1"/>
  <c r="U26" i="3" s="1"/>
  <c r="U28" i="3" a="1"/>
  <c r="U28" i="3" s="1"/>
  <c r="U30" i="3" a="1"/>
  <c r="U30" i="3" s="1"/>
  <c r="U32" i="3" a="1"/>
  <c r="U32" i="3" s="1"/>
  <c r="U34" i="3" a="1"/>
  <c r="U34" i="3" s="1"/>
  <c r="U36" i="3" a="1"/>
  <c r="U36" i="3" s="1"/>
  <c r="U38" i="3" a="1"/>
  <c r="U38" i="3" s="1"/>
  <c r="U40" i="3" a="1"/>
  <c r="U40" i="3" s="1"/>
  <c r="U42" i="3" a="1"/>
  <c r="U42" i="3" s="1"/>
  <c r="U44" i="3" a="1"/>
  <c r="U44" i="3" s="1"/>
  <c r="U47" i="3" a="1"/>
  <c r="U47" i="3" s="1"/>
  <c r="U52" i="3" a="1"/>
  <c r="U52" i="3" s="1"/>
  <c r="U55" i="3" a="1"/>
  <c r="U55" i="3" s="1"/>
  <c r="U60" i="3" a="1"/>
  <c r="U60" i="3" s="1"/>
  <c r="U63" i="3" a="1"/>
  <c r="U63" i="3" s="1"/>
  <c r="U68" i="3" a="1"/>
  <c r="U68" i="3" s="1"/>
  <c r="U45" i="3" a="1"/>
  <c r="U45" i="3" s="1"/>
  <c r="U50" i="3" a="1"/>
  <c r="U50" i="3" s="1"/>
  <c r="U53" i="3" a="1"/>
  <c r="U53" i="3" s="1"/>
  <c r="U58" i="3" a="1"/>
  <c r="U58" i="3" s="1"/>
  <c r="U61" i="3" a="1"/>
  <c r="U61" i="3" s="1"/>
  <c r="U66" i="3" a="1"/>
  <c r="U66" i="3" s="1"/>
  <c r="U69" i="3" a="1"/>
  <c r="U69" i="3" s="1"/>
  <c r="U9" i="3" a="1"/>
  <c r="U9" i="3" s="1"/>
  <c r="U13" i="3" a="1"/>
  <c r="U13" i="3" s="1"/>
  <c r="U17" i="3" a="1"/>
  <c r="U17" i="3" s="1"/>
  <c r="U21" i="3" a="1"/>
  <c r="U21" i="3" s="1"/>
  <c r="U25" i="3" a="1"/>
  <c r="U25" i="3" s="1"/>
  <c r="U29" i="3" a="1"/>
  <c r="U29" i="3" s="1"/>
  <c r="U33" i="3" a="1"/>
  <c r="U33" i="3" s="1"/>
  <c r="U37" i="3" a="1"/>
  <c r="U37" i="3" s="1"/>
  <c r="U41" i="3" a="1"/>
  <c r="U41" i="3" s="1"/>
  <c r="U51" i="3" a="1"/>
  <c r="U51" i="3" s="1"/>
  <c r="U56" i="3" a="1"/>
  <c r="U56" i="3" s="1"/>
  <c r="U67" i="3" a="1"/>
  <c r="U67" i="3" s="1"/>
  <c r="U46" i="3" a="1"/>
  <c r="U46" i="3" s="1"/>
  <c r="U57" i="3" a="1"/>
  <c r="U57" i="3" s="1"/>
  <c r="U62" i="3" a="1"/>
  <c r="U62" i="3" s="1"/>
  <c r="U11" i="3" a="1"/>
  <c r="U11" i="3" s="1"/>
  <c r="U54" i="3" a="1"/>
  <c r="U54" i="3" s="1"/>
  <c r="U65" i="3" a="1"/>
  <c r="U65" i="3" s="1"/>
  <c r="U15" i="3" a="1"/>
  <c r="U15" i="3" s="1"/>
  <c r="U23" i="3" a="1"/>
  <c r="U23" i="3" s="1"/>
  <c r="U31" i="3" a="1"/>
  <c r="U31" i="3" s="1"/>
  <c r="U39" i="3" a="1"/>
  <c r="U39" i="3" s="1"/>
  <c r="U48" i="3" a="1"/>
  <c r="U48" i="3" s="1"/>
  <c r="U59" i="3" a="1"/>
  <c r="U59" i="3" s="1"/>
  <c r="U49" i="3" a="1"/>
  <c r="U49" i="3" s="1"/>
  <c r="U19" i="3" a="1"/>
  <c r="U19" i="3" s="1"/>
  <c r="U27" i="3" a="1"/>
  <c r="U27" i="3" s="1"/>
  <c r="U35" i="3" a="1"/>
  <c r="U35" i="3" s="1"/>
  <c r="U43" i="3" a="1"/>
  <c r="U43" i="3" s="1"/>
  <c r="U64" i="3" a="1"/>
  <c r="U64" i="3" s="1"/>
  <c r="U70" i="3" a="1"/>
  <c r="U70" i="3" s="1"/>
  <c r="AE14" i="3" a="1"/>
  <c r="AE14" i="3" s="1"/>
  <c r="AE17" i="3" a="1"/>
  <c r="AE17" i="3" s="1"/>
  <c r="AE20" i="3" a="1"/>
  <c r="AE20" i="3" s="1"/>
  <c r="AE24" i="3" a="1"/>
  <c r="AE24" i="3" s="1"/>
  <c r="AE11" i="3" a="1"/>
  <c r="AE11" i="3" s="1"/>
  <c r="AE15" i="3" a="1"/>
  <c r="AE15" i="3" s="1"/>
  <c r="AE18" i="3" a="1"/>
  <c r="AE18" i="3" s="1"/>
  <c r="AE21" i="3" a="1"/>
  <c r="AE21" i="3" s="1"/>
  <c r="AE9" i="3" a="1"/>
  <c r="AE9" i="3" s="1"/>
  <c r="AE12" i="3" a="1"/>
  <c r="AE12" i="3" s="1"/>
  <c r="AE16" i="3" a="1"/>
  <c r="AE16" i="3" s="1"/>
  <c r="AE22" i="3" a="1"/>
  <c r="AE22" i="3" s="1"/>
  <c r="AE25" i="3" a="1"/>
  <c r="AE25" i="3" s="1"/>
  <c r="AE10" i="3" a="1"/>
  <c r="AE10" i="3" s="1"/>
  <c r="AE13" i="3" a="1"/>
  <c r="AE13" i="3" s="1"/>
  <c r="AE19" i="3" a="1"/>
  <c r="AE19" i="3" s="1"/>
  <c r="AE23" i="3" a="1"/>
  <c r="AE23" i="3" s="1"/>
  <c r="AE26" i="3" a="1"/>
  <c r="AE26" i="3" s="1"/>
  <c r="AE29" i="3" a="1"/>
  <c r="AE29" i="3" s="1"/>
  <c r="AE35" i="3" a="1"/>
  <c r="AE35" i="3" s="1"/>
  <c r="AE39" i="3" a="1"/>
  <c r="AE39" i="3" s="1"/>
  <c r="AE42" i="3" a="1"/>
  <c r="AE42" i="3" s="1"/>
  <c r="AE45" i="3" a="1"/>
  <c r="AE45" i="3" s="1"/>
  <c r="AE51" i="3" a="1"/>
  <c r="AE51" i="3" s="1"/>
  <c r="AE55" i="3" a="1"/>
  <c r="AE55" i="3" s="1"/>
  <c r="AE58" i="3" a="1"/>
  <c r="AE58" i="3" s="1"/>
  <c r="AE61" i="3" a="1"/>
  <c r="AE61" i="3" s="1"/>
  <c r="AE67" i="3" a="1"/>
  <c r="AE67" i="3" s="1"/>
  <c r="AE71" i="3" a="1"/>
  <c r="AE71" i="3" s="1"/>
  <c r="AE74" i="3" a="1"/>
  <c r="AE74" i="3" s="1"/>
  <c r="AE77" i="3" a="1"/>
  <c r="AE77" i="3" s="1"/>
  <c r="AE83" i="3" a="1"/>
  <c r="AE83" i="3" s="1"/>
  <c r="AE87" i="3" a="1"/>
  <c r="AE87" i="3" s="1"/>
  <c r="AE90" i="3" a="1"/>
  <c r="AE90" i="3" s="1"/>
  <c r="AE93" i="3" a="1"/>
  <c r="AE93" i="3" s="1"/>
  <c r="AE99" i="3" a="1"/>
  <c r="AE99" i="3" s="1"/>
  <c r="AE103" i="3" a="1"/>
  <c r="AE103" i="3" s="1"/>
  <c r="AE106" i="3" a="1"/>
  <c r="AE106" i="3" s="1"/>
  <c r="AE109" i="3" a="1"/>
  <c r="AE109" i="3" s="1"/>
  <c r="AE115" i="3" a="1"/>
  <c r="AE115" i="3" s="1"/>
  <c r="AE119" i="3" a="1"/>
  <c r="AE119" i="3" s="1"/>
  <c r="AE122" i="3" a="1"/>
  <c r="AE122" i="3" s="1"/>
  <c r="AE125" i="3" a="1"/>
  <c r="AE125" i="3" s="1"/>
  <c r="AE131" i="3" a="1"/>
  <c r="AE131" i="3" s="1"/>
  <c r="AE135" i="3" a="1"/>
  <c r="AE135" i="3" s="1"/>
  <c r="AE138" i="3" a="1"/>
  <c r="AE138" i="3" s="1"/>
  <c r="AE141" i="3" a="1"/>
  <c r="AE141" i="3" s="1"/>
  <c r="AE147" i="3" a="1"/>
  <c r="AE147" i="3" s="1"/>
  <c r="AE151" i="3" a="1"/>
  <c r="AE151" i="3" s="1"/>
  <c r="AE154" i="3" a="1"/>
  <c r="AE154" i="3" s="1"/>
  <c r="AE157" i="3" a="1"/>
  <c r="AE157" i="3" s="1"/>
  <c r="AE163" i="3" a="1"/>
  <c r="AE163" i="3" s="1"/>
  <c r="AE167" i="3" a="1"/>
  <c r="AE167" i="3" s="1"/>
  <c r="AE170" i="3" a="1"/>
  <c r="AE170" i="3" s="1"/>
  <c r="AE173" i="3" a="1"/>
  <c r="AE173" i="3" s="1"/>
  <c r="AE179" i="3" a="1"/>
  <c r="AE179" i="3" s="1"/>
  <c r="AE183" i="3" a="1"/>
  <c r="AE183" i="3" s="1"/>
  <c r="AE187" i="3" a="1"/>
  <c r="AE187" i="3" s="1"/>
  <c r="AE191" i="3" a="1"/>
  <c r="AE191" i="3" s="1"/>
  <c r="AE195" i="3" a="1"/>
  <c r="AE195" i="3" s="1"/>
  <c r="AE199" i="3" a="1"/>
  <c r="AE199" i="3" s="1"/>
  <c r="AE203" i="3" a="1"/>
  <c r="AE203" i="3" s="1"/>
  <c r="AE207" i="3" a="1"/>
  <c r="AE207" i="3" s="1"/>
  <c r="AE211" i="3" a="1"/>
  <c r="AE211" i="3" s="1"/>
  <c r="AE215" i="3" a="1"/>
  <c r="AE215" i="3" s="1"/>
  <c r="AE219" i="3" a="1"/>
  <c r="AE219" i="3" s="1"/>
  <c r="AE223" i="3" a="1"/>
  <c r="AE223" i="3" s="1"/>
  <c r="AE227" i="3" a="1"/>
  <c r="AE227" i="3" s="1"/>
  <c r="AE231" i="3" a="1"/>
  <c r="AE231" i="3" s="1"/>
  <c r="AE235" i="3" a="1"/>
  <c r="AE235" i="3" s="1"/>
  <c r="AE239" i="3" a="1"/>
  <c r="AE239" i="3" s="1"/>
  <c r="AE243" i="3" a="1"/>
  <c r="AE243" i="3" s="1"/>
  <c r="AE247" i="3" a="1"/>
  <c r="AE247" i="3" s="1"/>
  <c r="AE251" i="3" a="1"/>
  <c r="AE251" i="3" s="1"/>
  <c r="AE255" i="3" a="1"/>
  <c r="AE255" i="3" s="1"/>
  <c r="AE259" i="3" a="1"/>
  <c r="AE259" i="3" s="1"/>
  <c r="AE263" i="3" a="1"/>
  <c r="AE263" i="3" s="1"/>
  <c r="AE267" i="3" a="1"/>
  <c r="AE267" i="3" s="1"/>
  <c r="AE271" i="3" a="1"/>
  <c r="AE271" i="3" s="1"/>
  <c r="AE275" i="3" a="1"/>
  <c r="AE275" i="3" s="1"/>
  <c r="AE279" i="3" a="1"/>
  <c r="AE279" i="3" s="1"/>
  <c r="AE283" i="3" a="1"/>
  <c r="AE283" i="3" s="1"/>
  <c r="AE287" i="3" a="1"/>
  <c r="AE287" i="3" s="1"/>
  <c r="AE291" i="3" a="1"/>
  <c r="AE291" i="3" s="1"/>
  <c r="AE295" i="3" a="1"/>
  <c r="AE295" i="3" s="1"/>
  <c r="AE299" i="3" a="1"/>
  <c r="AE299" i="3" s="1"/>
  <c r="AE27" i="3" a="1"/>
  <c r="AE27" i="3" s="1"/>
  <c r="AE30" i="3" a="1"/>
  <c r="AE30" i="3" s="1"/>
  <c r="AE33" i="3" a="1"/>
  <c r="AE33" i="3" s="1"/>
  <c r="AE36" i="3" a="1"/>
  <c r="AE36" i="3" s="1"/>
  <c r="AE40" i="3" a="1"/>
  <c r="AE40" i="3" s="1"/>
  <c r="AE46" i="3" a="1"/>
  <c r="AE46" i="3" s="1"/>
  <c r="AE49" i="3" a="1"/>
  <c r="AE49" i="3" s="1"/>
  <c r="AE52" i="3" a="1"/>
  <c r="AE52" i="3" s="1"/>
  <c r="AE56" i="3" a="1"/>
  <c r="AE56" i="3" s="1"/>
  <c r="AE62" i="3" a="1"/>
  <c r="AE62" i="3" s="1"/>
  <c r="AE65" i="3" a="1"/>
  <c r="AE65" i="3" s="1"/>
  <c r="AE68" i="3" a="1"/>
  <c r="AE68" i="3" s="1"/>
  <c r="AE72" i="3" a="1"/>
  <c r="AE72" i="3" s="1"/>
  <c r="AE78" i="3" a="1"/>
  <c r="AE78" i="3" s="1"/>
  <c r="AE81" i="3" a="1"/>
  <c r="AE81" i="3" s="1"/>
  <c r="AE84" i="3" a="1"/>
  <c r="AE84" i="3" s="1"/>
  <c r="AE88" i="3" a="1"/>
  <c r="AE88" i="3" s="1"/>
  <c r="AE94" i="3" a="1"/>
  <c r="AE94" i="3" s="1"/>
  <c r="AE97" i="3" a="1"/>
  <c r="AE97" i="3" s="1"/>
  <c r="AE100" i="3" a="1"/>
  <c r="AE100" i="3" s="1"/>
  <c r="AE104" i="3" a="1"/>
  <c r="AE104" i="3" s="1"/>
  <c r="AE110" i="3" a="1"/>
  <c r="AE110" i="3" s="1"/>
  <c r="AE113" i="3" a="1"/>
  <c r="AE113" i="3" s="1"/>
  <c r="AE116" i="3" a="1"/>
  <c r="AE116" i="3" s="1"/>
  <c r="AE120" i="3" a="1"/>
  <c r="AE120" i="3" s="1"/>
  <c r="AE126" i="3" a="1"/>
  <c r="AE126" i="3" s="1"/>
  <c r="AE129" i="3" a="1"/>
  <c r="AE129" i="3" s="1"/>
  <c r="AE132" i="3" a="1"/>
  <c r="AE132" i="3" s="1"/>
  <c r="AE136" i="3" a="1"/>
  <c r="AE136" i="3" s="1"/>
  <c r="AE142" i="3" a="1"/>
  <c r="AE142" i="3" s="1"/>
  <c r="AE145" i="3" a="1"/>
  <c r="AE145" i="3" s="1"/>
  <c r="AE148" i="3" a="1"/>
  <c r="AE148" i="3" s="1"/>
  <c r="AE152" i="3" a="1"/>
  <c r="AE152" i="3" s="1"/>
  <c r="AE158" i="3" a="1"/>
  <c r="AE158" i="3" s="1"/>
  <c r="AE161" i="3" a="1"/>
  <c r="AE161" i="3" s="1"/>
  <c r="AE164" i="3" a="1"/>
  <c r="AE164" i="3" s="1"/>
  <c r="AE168" i="3" a="1"/>
  <c r="AE168" i="3" s="1"/>
  <c r="AE174" i="3" a="1"/>
  <c r="AE174" i="3" s="1"/>
  <c r="AE177" i="3" a="1"/>
  <c r="AE177" i="3" s="1"/>
  <c r="AE180" i="3" a="1"/>
  <c r="AE180" i="3" s="1"/>
  <c r="AE184" i="3" a="1"/>
  <c r="AE184" i="3" s="1"/>
  <c r="AE188" i="3" a="1"/>
  <c r="AE188" i="3" s="1"/>
  <c r="AE192" i="3" a="1"/>
  <c r="AE192" i="3" s="1"/>
  <c r="AE196" i="3" a="1"/>
  <c r="AE196" i="3" s="1"/>
  <c r="AE200" i="3" a="1"/>
  <c r="AE200" i="3" s="1"/>
  <c r="AE204" i="3" a="1"/>
  <c r="AE204" i="3" s="1"/>
  <c r="AE208" i="3" a="1"/>
  <c r="AE208" i="3" s="1"/>
  <c r="AE212" i="3" a="1"/>
  <c r="AE212" i="3" s="1"/>
  <c r="AE216" i="3" a="1"/>
  <c r="AE216" i="3" s="1"/>
  <c r="AE220" i="3" a="1"/>
  <c r="AE220" i="3" s="1"/>
  <c r="AE224" i="3" a="1"/>
  <c r="AE224" i="3" s="1"/>
  <c r="AE228" i="3" a="1"/>
  <c r="AE228" i="3" s="1"/>
  <c r="AE232" i="3" a="1"/>
  <c r="AE232" i="3" s="1"/>
  <c r="AE236" i="3" a="1"/>
  <c r="AE236" i="3" s="1"/>
  <c r="AE240" i="3" a="1"/>
  <c r="AE240" i="3" s="1"/>
  <c r="AE244" i="3" a="1"/>
  <c r="AE244" i="3" s="1"/>
  <c r="AE248" i="3" a="1"/>
  <c r="AE248" i="3" s="1"/>
  <c r="AE252" i="3" a="1"/>
  <c r="AE252" i="3" s="1"/>
  <c r="AE256" i="3" a="1"/>
  <c r="AE256" i="3" s="1"/>
  <c r="AE260" i="3" a="1"/>
  <c r="AE260" i="3" s="1"/>
  <c r="AE264" i="3" a="1"/>
  <c r="AE264" i="3" s="1"/>
  <c r="AE268" i="3" a="1"/>
  <c r="AE268" i="3" s="1"/>
  <c r="AE272" i="3" a="1"/>
  <c r="AE272" i="3" s="1"/>
  <c r="AE276" i="3" a="1"/>
  <c r="AE276" i="3" s="1"/>
  <c r="AE280" i="3" a="1"/>
  <c r="AE280" i="3" s="1"/>
  <c r="AE284" i="3" a="1"/>
  <c r="AE284" i="3" s="1"/>
  <c r="AE288" i="3" a="1"/>
  <c r="AE288" i="3" s="1"/>
  <c r="AE292" i="3" a="1"/>
  <c r="AE292" i="3" s="1"/>
  <c r="AE296" i="3" a="1"/>
  <c r="AE296" i="3" s="1"/>
  <c r="AE300" i="3" a="1"/>
  <c r="AE300" i="3" s="1"/>
  <c r="AE28" i="3" a="1"/>
  <c r="AE28" i="3" s="1"/>
  <c r="AE31" i="3" a="1"/>
  <c r="AE31" i="3" s="1"/>
  <c r="AE34" i="3" a="1"/>
  <c r="AE34" i="3" s="1"/>
  <c r="AE37" i="3" a="1"/>
  <c r="AE37" i="3" s="1"/>
  <c r="AE43" i="3" a="1"/>
  <c r="AE43" i="3" s="1"/>
  <c r="AE47" i="3" a="1"/>
  <c r="AE47" i="3" s="1"/>
  <c r="AE50" i="3" a="1"/>
  <c r="AE50" i="3" s="1"/>
  <c r="AE53" i="3" a="1"/>
  <c r="AE53" i="3" s="1"/>
  <c r="AE59" i="3" a="1"/>
  <c r="AE59" i="3" s="1"/>
  <c r="AE63" i="3" a="1"/>
  <c r="AE63" i="3" s="1"/>
  <c r="AE66" i="3" a="1"/>
  <c r="AE66" i="3" s="1"/>
  <c r="AE69" i="3" a="1"/>
  <c r="AE69" i="3" s="1"/>
  <c r="AE75" i="3" a="1"/>
  <c r="AE75" i="3" s="1"/>
  <c r="AE79" i="3" a="1"/>
  <c r="AE79" i="3" s="1"/>
  <c r="AE82" i="3" a="1"/>
  <c r="AE82" i="3" s="1"/>
  <c r="AE85" i="3" a="1"/>
  <c r="AE85" i="3" s="1"/>
  <c r="AE91" i="3" a="1"/>
  <c r="AE91" i="3" s="1"/>
  <c r="AE95" i="3" a="1"/>
  <c r="AE95" i="3" s="1"/>
  <c r="AE98" i="3" a="1"/>
  <c r="AE98" i="3" s="1"/>
  <c r="AE101" i="3" a="1"/>
  <c r="AE101" i="3" s="1"/>
  <c r="AE107" i="3" a="1"/>
  <c r="AE107" i="3" s="1"/>
  <c r="AE111" i="3" a="1"/>
  <c r="AE111" i="3" s="1"/>
  <c r="AE114" i="3" a="1"/>
  <c r="AE114" i="3" s="1"/>
  <c r="AE117" i="3" a="1"/>
  <c r="AE117" i="3" s="1"/>
  <c r="AE123" i="3" a="1"/>
  <c r="AE123" i="3" s="1"/>
  <c r="AE127" i="3" a="1"/>
  <c r="AE127" i="3" s="1"/>
  <c r="AE130" i="3" a="1"/>
  <c r="AE130" i="3" s="1"/>
  <c r="AE133" i="3" a="1"/>
  <c r="AE133" i="3" s="1"/>
  <c r="AE139" i="3" a="1"/>
  <c r="AE139" i="3" s="1"/>
  <c r="AE143" i="3" a="1"/>
  <c r="AE143" i="3" s="1"/>
  <c r="AE146" i="3" a="1"/>
  <c r="AE146" i="3" s="1"/>
  <c r="AE149" i="3" a="1"/>
  <c r="AE149" i="3" s="1"/>
  <c r="AE155" i="3" a="1"/>
  <c r="AE155" i="3" s="1"/>
  <c r="AE159" i="3" a="1"/>
  <c r="AE159" i="3" s="1"/>
  <c r="AE162" i="3" a="1"/>
  <c r="AE162" i="3" s="1"/>
  <c r="AE165" i="3" a="1"/>
  <c r="AE165" i="3" s="1"/>
  <c r="AE171" i="3" a="1"/>
  <c r="AE171" i="3" s="1"/>
  <c r="AE175" i="3" a="1"/>
  <c r="AE175" i="3" s="1"/>
  <c r="AE178" i="3" a="1"/>
  <c r="AE178" i="3" s="1"/>
  <c r="AE181" i="3" a="1"/>
  <c r="AE181" i="3" s="1"/>
  <c r="AE185" i="3" a="1"/>
  <c r="AE185" i="3" s="1"/>
  <c r="AE189" i="3" a="1"/>
  <c r="AE189" i="3" s="1"/>
  <c r="AE193" i="3" a="1"/>
  <c r="AE193" i="3" s="1"/>
  <c r="AE197" i="3" a="1"/>
  <c r="AE197" i="3" s="1"/>
  <c r="AE201" i="3" a="1"/>
  <c r="AE201" i="3" s="1"/>
  <c r="AE205" i="3" a="1"/>
  <c r="AE205" i="3" s="1"/>
  <c r="AE209" i="3" a="1"/>
  <c r="AE209" i="3" s="1"/>
  <c r="AE213" i="3" a="1"/>
  <c r="AE213" i="3" s="1"/>
  <c r="AE217" i="3" a="1"/>
  <c r="AE217" i="3" s="1"/>
  <c r="AE221" i="3" a="1"/>
  <c r="AE221" i="3" s="1"/>
  <c r="AE225" i="3" a="1"/>
  <c r="AE225" i="3" s="1"/>
  <c r="AE229" i="3" a="1"/>
  <c r="AE229" i="3" s="1"/>
  <c r="AE233" i="3" a="1"/>
  <c r="AE233" i="3" s="1"/>
  <c r="AE237" i="3" a="1"/>
  <c r="AE237" i="3" s="1"/>
  <c r="AE241" i="3" a="1"/>
  <c r="AE241" i="3" s="1"/>
  <c r="AE245" i="3" a="1"/>
  <c r="AE245" i="3" s="1"/>
  <c r="AE249" i="3" a="1"/>
  <c r="AE249" i="3" s="1"/>
  <c r="AE253" i="3" a="1"/>
  <c r="AE253" i="3" s="1"/>
  <c r="AE257" i="3" a="1"/>
  <c r="AE257" i="3" s="1"/>
  <c r="AE261" i="3" a="1"/>
  <c r="AE261" i="3" s="1"/>
  <c r="AE265" i="3" a="1"/>
  <c r="AE265" i="3" s="1"/>
  <c r="AE269" i="3" a="1"/>
  <c r="AE269" i="3" s="1"/>
  <c r="AE273" i="3" a="1"/>
  <c r="AE273" i="3" s="1"/>
  <c r="AE277" i="3" a="1"/>
  <c r="AE277" i="3" s="1"/>
  <c r="AE281" i="3" a="1"/>
  <c r="AE281" i="3" s="1"/>
  <c r="AE285" i="3" a="1"/>
  <c r="AE285" i="3" s="1"/>
  <c r="AE289" i="3" a="1"/>
  <c r="AE289" i="3" s="1"/>
  <c r="AE293" i="3" a="1"/>
  <c r="AE293" i="3" s="1"/>
  <c r="AE297" i="3" a="1"/>
  <c r="AE297" i="3" s="1"/>
  <c r="AE32" i="3" a="1"/>
  <c r="AE32" i="3" s="1"/>
  <c r="AE38" i="3" a="1"/>
  <c r="AE38" i="3" s="1"/>
  <c r="AE41" i="3" a="1"/>
  <c r="AE41" i="3" s="1"/>
  <c r="AE44" i="3" a="1"/>
  <c r="AE44" i="3" s="1"/>
  <c r="AE48" i="3" a="1"/>
  <c r="AE48" i="3" s="1"/>
  <c r="AE54" i="3" a="1"/>
  <c r="AE54" i="3" s="1"/>
  <c r="AE57" i="3" a="1"/>
  <c r="AE57" i="3" s="1"/>
  <c r="AE60" i="3" a="1"/>
  <c r="AE60" i="3" s="1"/>
  <c r="AE64" i="3" a="1"/>
  <c r="AE64" i="3" s="1"/>
  <c r="AE70" i="3" a="1"/>
  <c r="AE70" i="3" s="1"/>
  <c r="AE73" i="3" a="1"/>
  <c r="AE73" i="3" s="1"/>
  <c r="AE76" i="3" a="1"/>
  <c r="AE76" i="3" s="1"/>
  <c r="AE80" i="3" a="1"/>
  <c r="AE80" i="3" s="1"/>
  <c r="AE86" i="3" a="1"/>
  <c r="AE86" i="3" s="1"/>
  <c r="AE89" i="3" a="1"/>
  <c r="AE89" i="3" s="1"/>
  <c r="AE92" i="3" a="1"/>
  <c r="AE92" i="3" s="1"/>
  <c r="AE96" i="3" a="1"/>
  <c r="AE96" i="3" s="1"/>
  <c r="AE102" i="3" a="1"/>
  <c r="AE102" i="3" s="1"/>
  <c r="AE105" i="3" a="1"/>
  <c r="AE105" i="3" s="1"/>
  <c r="AE108" i="3" a="1"/>
  <c r="AE108" i="3" s="1"/>
  <c r="AE112" i="3" a="1"/>
  <c r="AE112" i="3" s="1"/>
  <c r="AE118" i="3" a="1"/>
  <c r="AE118" i="3" s="1"/>
  <c r="AE121" i="3" a="1"/>
  <c r="AE121" i="3" s="1"/>
  <c r="AE124" i="3" a="1"/>
  <c r="AE124" i="3" s="1"/>
  <c r="AE128" i="3" a="1"/>
  <c r="AE128" i="3" s="1"/>
  <c r="AE134" i="3" a="1"/>
  <c r="AE134" i="3" s="1"/>
  <c r="AE137" i="3" a="1"/>
  <c r="AE137" i="3" s="1"/>
  <c r="AE140" i="3" a="1"/>
  <c r="AE140" i="3" s="1"/>
  <c r="AE144" i="3" a="1"/>
  <c r="AE144" i="3" s="1"/>
  <c r="AE150" i="3" a="1"/>
  <c r="AE150" i="3" s="1"/>
  <c r="AE153" i="3" a="1"/>
  <c r="AE153" i="3" s="1"/>
  <c r="AE156" i="3" a="1"/>
  <c r="AE156" i="3" s="1"/>
  <c r="AE160" i="3" a="1"/>
  <c r="AE160" i="3" s="1"/>
  <c r="AE166" i="3" a="1"/>
  <c r="AE166" i="3" s="1"/>
  <c r="AE169" i="3" a="1"/>
  <c r="AE169" i="3" s="1"/>
  <c r="AE172" i="3" a="1"/>
  <c r="AE172" i="3" s="1"/>
  <c r="AE176" i="3" a="1"/>
  <c r="AE176" i="3" s="1"/>
  <c r="AE182" i="3" a="1"/>
  <c r="AE182" i="3" s="1"/>
  <c r="AE186" i="3" a="1"/>
  <c r="AE186" i="3" s="1"/>
  <c r="AE190" i="3" a="1"/>
  <c r="AE190" i="3" s="1"/>
  <c r="AE194" i="3" a="1"/>
  <c r="AE194" i="3" s="1"/>
  <c r="AE198" i="3" a="1"/>
  <c r="AE198" i="3" s="1"/>
  <c r="AE202" i="3" a="1"/>
  <c r="AE202" i="3" s="1"/>
  <c r="AE206" i="3" a="1"/>
  <c r="AE206" i="3" s="1"/>
  <c r="AE210" i="3" a="1"/>
  <c r="AE210" i="3" s="1"/>
  <c r="AE214" i="3" a="1"/>
  <c r="AE214" i="3" s="1"/>
  <c r="AE218" i="3" a="1"/>
  <c r="AE218" i="3" s="1"/>
  <c r="AE222" i="3" a="1"/>
  <c r="AE222" i="3" s="1"/>
  <c r="AE226" i="3" a="1"/>
  <c r="AE226" i="3" s="1"/>
  <c r="AE230" i="3" a="1"/>
  <c r="AE230" i="3" s="1"/>
  <c r="AE234" i="3" a="1"/>
  <c r="AE234" i="3" s="1"/>
  <c r="AE238" i="3" a="1"/>
  <c r="AE238" i="3" s="1"/>
  <c r="AE242" i="3" a="1"/>
  <c r="AE242" i="3" s="1"/>
  <c r="AE246" i="3" a="1"/>
  <c r="AE246" i="3" s="1"/>
  <c r="AE250" i="3" a="1"/>
  <c r="AE250" i="3" s="1"/>
  <c r="AE254" i="3" a="1"/>
  <c r="AE254" i="3" s="1"/>
  <c r="AE258" i="3" a="1"/>
  <c r="AE258" i="3" s="1"/>
  <c r="AE262" i="3" a="1"/>
  <c r="AE262" i="3" s="1"/>
  <c r="AE266" i="3" a="1"/>
  <c r="AE266" i="3" s="1"/>
  <c r="AE270" i="3" a="1"/>
  <c r="AE270" i="3" s="1"/>
  <c r="AE274" i="3" a="1"/>
  <c r="AE274" i="3" s="1"/>
  <c r="AE278" i="3" a="1"/>
  <c r="AE278" i="3" s="1"/>
  <c r="AE282" i="3" a="1"/>
  <c r="AE282" i="3" s="1"/>
  <c r="AE286" i="3" a="1"/>
  <c r="AE286" i="3" s="1"/>
  <c r="AE290" i="3" a="1"/>
  <c r="AE290" i="3" s="1"/>
  <c r="AE294" i="3" a="1"/>
  <c r="AE294" i="3" s="1"/>
  <c r="AE298" i="3" a="1"/>
  <c r="AE298" i="3" s="1"/>
  <c r="AE8" i="3" a="1"/>
  <c r="AE8" i="3" s="1"/>
  <c r="AM10" i="3" a="1"/>
  <c r="AM10" i="3" s="1"/>
  <c r="AM14" i="3" a="1"/>
  <c r="AM14" i="3" s="1"/>
  <c r="AM9" i="3" a="1"/>
  <c r="AM9" i="3" s="1"/>
  <c r="AM13" i="3" a="1"/>
  <c r="AM13" i="3" s="1"/>
  <c r="AM8" i="3" a="1"/>
  <c r="AM8" i="3" s="1"/>
  <c r="AM12" i="3" a="1"/>
  <c r="AM12" i="3" s="1"/>
  <c r="AM11" i="3" a="1"/>
  <c r="AM11" i="3" s="1"/>
  <c r="AM15" i="3" a="1"/>
  <c r="AM15" i="3" s="1"/>
  <c r="AK9" i="3" a="1"/>
  <c r="AK9" i="3" s="1"/>
  <c r="AK8" i="3" a="1"/>
  <c r="AK8" i="3" s="1"/>
  <c r="CP7" i="3"/>
  <c r="AI10" i="3" a="1"/>
  <c r="AI10" i="3" s="1"/>
  <c r="AI14" i="3" a="1"/>
  <c r="AI14" i="3" s="1"/>
  <c r="AI18" i="3" a="1"/>
  <c r="AI18" i="3" s="1"/>
  <c r="AI24" i="3" a="1"/>
  <c r="AI24" i="3" s="1"/>
  <c r="AI27" i="3" a="1"/>
  <c r="AI27" i="3" s="1"/>
  <c r="AI32" i="3" a="1"/>
  <c r="AI32" i="3" s="1"/>
  <c r="AI35" i="3" a="1"/>
  <c r="AI35" i="3" s="1"/>
  <c r="AI11" i="3" a="1"/>
  <c r="AI11" i="3" s="1"/>
  <c r="AI15" i="3" a="1"/>
  <c r="AI15" i="3" s="1"/>
  <c r="AI19" i="3" a="1"/>
  <c r="AI19" i="3" s="1"/>
  <c r="AI29" i="3" a="1"/>
  <c r="AI29" i="3" s="1"/>
  <c r="AI9" i="3" a="1"/>
  <c r="AI9" i="3" s="1"/>
  <c r="AI13" i="3" a="1"/>
  <c r="AI13" i="3" s="1"/>
  <c r="AI17" i="3" a="1"/>
  <c r="AI17" i="3" s="1"/>
  <c r="AI8" i="3" a="1"/>
  <c r="AI8" i="3" s="1"/>
  <c r="AI22" i="3" a="1"/>
  <c r="AI22" i="3" s="1"/>
  <c r="AI25" i="3" a="1"/>
  <c r="AI25" i="3" s="1"/>
  <c r="AI30" i="3" a="1"/>
  <c r="AI30" i="3" s="1"/>
  <c r="AI33" i="3" a="1"/>
  <c r="AI33" i="3" s="1"/>
  <c r="AI21" i="3" a="1"/>
  <c r="AI21" i="3" s="1"/>
  <c r="AI34" i="3" a="1"/>
  <c r="AI34" i="3" s="1"/>
  <c r="AI12" i="3" a="1"/>
  <c r="AI12" i="3" s="1"/>
  <c r="AI16" i="3" a="1"/>
  <c r="AI16" i="3" s="1"/>
  <c r="AI20" i="3" a="1"/>
  <c r="AI20" i="3" s="1"/>
  <c r="AI23" i="3" a="1"/>
  <c r="AI23" i="3" s="1"/>
  <c r="AI28" i="3" a="1"/>
  <c r="AI28" i="3" s="1"/>
  <c r="AI31" i="3" a="1"/>
  <c r="AI31" i="3" s="1"/>
  <c r="AI36" i="3" a="1"/>
  <c r="AI36" i="3" s="1"/>
  <c r="AI26" i="3" a="1"/>
  <c r="AI26" i="3" s="1"/>
  <c r="AI37" i="3" a="1"/>
  <c r="AI37" i="3" s="1"/>
  <c r="BP7" i="3"/>
  <c r="X9" i="3" s="1" a="1"/>
  <c r="X9" i="3" s="1"/>
  <c r="Y9" i="3" a="1"/>
  <c r="Y9" i="3" s="1"/>
  <c r="Y12" i="3" a="1"/>
  <c r="Y12" i="3" s="1"/>
  <c r="Y10" i="3" a="1"/>
  <c r="Y10" i="3" s="1"/>
  <c r="Y13" i="3" a="1"/>
  <c r="Y13" i="3" s="1"/>
  <c r="Y11" i="3" a="1"/>
  <c r="Y11" i="3" s="1"/>
  <c r="AV7" i="3"/>
  <c r="I10" i="3" a="1"/>
  <c r="I10" i="3" s="1"/>
  <c r="I15" i="3" a="1"/>
  <c r="I15" i="3" s="1"/>
  <c r="I18" i="3" a="1"/>
  <c r="I18" i="3" s="1"/>
  <c r="I23" i="3" a="1"/>
  <c r="I23" i="3" s="1"/>
  <c r="I27" i="3" a="1"/>
  <c r="I27" i="3" s="1"/>
  <c r="I31" i="3" a="1"/>
  <c r="I31" i="3" s="1"/>
  <c r="I35" i="3" a="1"/>
  <c r="I35" i="3" s="1"/>
  <c r="J28" i="3" a="1"/>
  <c r="J28" i="3" s="1"/>
  <c r="J32" i="3" a="1"/>
  <c r="J32" i="3" s="1"/>
  <c r="J36" i="3" a="1"/>
  <c r="J36" i="3" s="1"/>
  <c r="I13" i="3" a="1"/>
  <c r="I13" i="3" s="1"/>
  <c r="I16" i="3" a="1"/>
  <c r="I16" i="3" s="1"/>
  <c r="I21" i="3" a="1"/>
  <c r="I21" i="3" s="1"/>
  <c r="I24" i="3" a="1"/>
  <c r="I24" i="3" s="1"/>
  <c r="I28" i="3" a="1"/>
  <c r="I28" i="3" s="1"/>
  <c r="I32" i="3" a="1"/>
  <c r="I32" i="3" s="1"/>
  <c r="I36" i="3" a="1"/>
  <c r="I36" i="3" s="1"/>
  <c r="J29" i="3" a="1"/>
  <c r="J29" i="3" s="1"/>
  <c r="J33" i="3" a="1"/>
  <c r="J33" i="3" s="1"/>
  <c r="J37" i="3" a="1"/>
  <c r="J37" i="3" s="1"/>
  <c r="I11" i="3" a="1"/>
  <c r="I11" i="3" s="1"/>
  <c r="I14" i="3" a="1"/>
  <c r="I14" i="3" s="1"/>
  <c r="I19" i="3" a="1"/>
  <c r="I19" i="3" s="1"/>
  <c r="I22" i="3" a="1"/>
  <c r="I22" i="3" s="1"/>
  <c r="I25" i="3" a="1"/>
  <c r="I25" i="3" s="1"/>
  <c r="I29" i="3" a="1"/>
  <c r="I29" i="3" s="1"/>
  <c r="I33" i="3" a="1"/>
  <c r="I33" i="3" s="1"/>
  <c r="I37" i="3" a="1"/>
  <c r="I37" i="3" s="1"/>
  <c r="J30" i="3" a="1"/>
  <c r="J30" i="3" s="1"/>
  <c r="J34" i="3" a="1"/>
  <c r="J34" i="3" s="1"/>
  <c r="I9" i="3" a="1"/>
  <c r="I9" i="3" s="1"/>
  <c r="I12" i="3" a="1"/>
  <c r="I12" i="3" s="1"/>
  <c r="I17" i="3" a="1"/>
  <c r="I17" i="3" s="1"/>
  <c r="I20" i="3" a="1"/>
  <c r="I20" i="3" s="1"/>
  <c r="I26" i="3" a="1"/>
  <c r="I26" i="3" s="1"/>
  <c r="I30" i="3" a="1"/>
  <c r="I30" i="3" s="1"/>
  <c r="I34" i="3" a="1"/>
  <c r="I34" i="3" s="1"/>
  <c r="I8" i="3" a="1"/>
  <c r="I8" i="3" s="1"/>
  <c r="J31" i="3" a="1"/>
  <c r="J31" i="3" s="1"/>
  <c r="J35" i="3" a="1"/>
  <c r="J35" i="3" s="1"/>
  <c r="G13" i="3" a="1"/>
  <c r="G13" i="3" s="1"/>
  <c r="G16" i="3" a="1"/>
  <c r="G16" i="3" s="1"/>
  <c r="G21" i="3" a="1"/>
  <c r="G21" i="3" s="1"/>
  <c r="G24" i="3" a="1"/>
  <c r="G24" i="3" s="1"/>
  <c r="G29" i="3" a="1"/>
  <c r="G29" i="3" s="1"/>
  <c r="G32" i="3" a="1"/>
  <c r="G32" i="3" s="1"/>
  <c r="G36" i="3" a="1"/>
  <c r="G36" i="3" s="1"/>
  <c r="AT7" i="3"/>
  <c r="G11" i="3" a="1"/>
  <c r="G11" i="3" s="1"/>
  <c r="G14" i="3" a="1"/>
  <c r="G14" i="3" s="1"/>
  <c r="G19" i="3" a="1"/>
  <c r="G19" i="3" s="1"/>
  <c r="G22" i="3" a="1"/>
  <c r="G22" i="3" s="1"/>
  <c r="G27" i="3" a="1"/>
  <c r="G27" i="3" s="1"/>
  <c r="G30" i="3" a="1"/>
  <c r="G30" i="3" s="1"/>
  <c r="G33" i="3" a="1"/>
  <c r="G33" i="3" s="1"/>
  <c r="G37" i="3" a="1"/>
  <c r="G37" i="3" s="1"/>
  <c r="G9" i="3" a="1"/>
  <c r="G9" i="3" s="1"/>
  <c r="G12" i="3" a="1"/>
  <c r="G12" i="3" s="1"/>
  <c r="G17" i="3" a="1"/>
  <c r="G17" i="3" s="1"/>
  <c r="G20" i="3" a="1"/>
  <c r="G20" i="3" s="1"/>
  <c r="G25" i="3" a="1"/>
  <c r="G25" i="3" s="1"/>
  <c r="G28" i="3" a="1"/>
  <c r="G28" i="3" s="1"/>
  <c r="G34" i="3" a="1"/>
  <c r="G34" i="3" s="1"/>
  <c r="G8" i="3" a="1"/>
  <c r="G8" i="3" s="1"/>
  <c r="G10" i="3" a="1"/>
  <c r="G10" i="3" s="1"/>
  <c r="G15" i="3" a="1"/>
  <c r="G15" i="3" s="1"/>
  <c r="G18" i="3" a="1"/>
  <c r="G18" i="3" s="1"/>
  <c r="G23" i="3" a="1"/>
  <c r="G23" i="3" s="1"/>
  <c r="G26" i="3" a="1"/>
  <c r="G26" i="3" s="1"/>
  <c r="G31" i="3" a="1"/>
  <c r="G31" i="3" s="1"/>
  <c r="G35" i="3" a="1"/>
  <c r="G35" i="3" s="1"/>
  <c r="K22" i="3" a="1"/>
  <c r="K22" i="3" s="1"/>
  <c r="K14" i="3" a="1"/>
  <c r="K14" i="3" s="1"/>
  <c r="K9" i="3" a="1"/>
  <c r="K9" i="3" s="1"/>
  <c r="K16" i="3" a="1"/>
  <c r="K16" i="3" s="1"/>
  <c r="K23" i="3" a="1"/>
  <c r="K23" i="3" s="1"/>
  <c r="M15" i="3" a="1"/>
  <c r="M15" i="3" s="1"/>
  <c r="BA7" i="3"/>
  <c r="M18" i="3" a="1"/>
  <c r="M18" i="3" s="1"/>
  <c r="M34" i="3" a="1"/>
  <c r="M34" i="3" s="1"/>
  <c r="M16" i="3" a="1"/>
  <c r="M16" i="3" s="1"/>
  <c r="M21" i="3" a="1"/>
  <c r="M21" i="3" s="1"/>
  <c r="K18" i="3" a="1"/>
  <c r="K18" i="3" s="1"/>
  <c r="K19" i="3" a="1"/>
  <c r="K19" i="3" s="1"/>
  <c r="K17" i="3" a="1"/>
  <c r="K17" i="3" s="1"/>
  <c r="M17" i="3" a="1"/>
  <c r="M17" i="3" s="1"/>
  <c r="M11" i="3" a="1"/>
  <c r="M11" i="3" s="1"/>
  <c r="K11" i="3" a="1"/>
  <c r="K11" i="3" s="1"/>
  <c r="K20" i="3" a="1"/>
  <c r="K20" i="3" s="1"/>
  <c r="K24" i="3" a="1"/>
  <c r="K24" i="3" s="1"/>
  <c r="K25" i="3" a="1"/>
  <c r="K25" i="3" s="1"/>
  <c r="M12" i="3" a="1"/>
  <c r="M12" i="3" s="1"/>
  <c r="K15" i="3" a="1"/>
  <c r="K15" i="3" s="1"/>
  <c r="K13" i="3" a="1"/>
  <c r="K13" i="3" s="1"/>
  <c r="M13" i="3" a="1"/>
  <c r="M13" i="3" s="1"/>
  <c r="M14" i="3" a="1"/>
  <c r="M14" i="3" s="1"/>
  <c r="M22" i="3" a="1"/>
  <c r="M22" i="3" s="1"/>
  <c r="M24" i="3" a="1"/>
  <c r="M24" i="3" s="1"/>
  <c r="M28" i="3" a="1"/>
  <c r="M28" i="3" s="1"/>
  <c r="M20" i="3" a="1"/>
  <c r="M20" i="3" s="1"/>
  <c r="M26" i="3" a="1"/>
  <c r="M26" i="3" s="1"/>
  <c r="M10" i="3" a="1"/>
  <c r="M10" i="3" s="1"/>
  <c r="M23" i="3" a="1"/>
  <c r="M23" i="3" s="1"/>
  <c r="M9" i="3" a="1"/>
  <c r="M9" i="3" s="1"/>
  <c r="M29" i="3" a="1"/>
  <c r="M29" i="3" s="1"/>
  <c r="M32" i="3" a="1"/>
  <c r="M32" i="3" s="1"/>
  <c r="M19" i="3" a="1"/>
  <c r="M19" i="3" s="1"/>
  <c r="M25" i="3" a="1"/>
  <c r="M25" i="3" s="1"/>
  <c r="M27" i="3" a="1"/>
  <c r="M27" i="3" s="1"/>
  <c r="M31" i="3" a="1"/>
  <c r="M31" i="3" s="1"/>
  <c r="K10" i="3" a="1"/>
  <c r="K10" i="3" s="1"/>
  <c r="K28" i="3" a="1"/>
  <c r="K28" i="3" s="1"/>
  <c r="K32" i="3" a="1"/>
  <c r="K32" i="3" s="1"/>
  <c r="K36" i="3" a="1"/>
  <c r="K36" i="3" s="1"/>
  <c r="AY7" i="3"/>
  <c r="K12" i="3" a="1"/>
  <c r="K12" i="3" s="1"/>
  <c r="K29" i="3" a="1"/>
  <c r="K29" i="3" s="1"/>
  <c r="K33" i="3" a="1"/>
  <c r="K33" i="3" s="1"/>
  <c r="K37" i="3" a="1"/>
  <c r="K37" i="3" s="1"/>
  <c r="K26" i="3" a="1"/>
  <c r="K26" i="3" s="1"/>
  <c r="K30" i="3" a="1"/>
  <c r="K30" i="3" s="1"/>
  <c r="K34" i="3" a="1"/>
  <c r="K34" i="3" s="1"/>
  <c r="K8" i="3" a="1"/>
  <c r="K8" i="3" s="1"/>
  <c r="K27" i="3" a="1"/>
  <c r="K27" i="3" s="1"/>
  <c r="K31" i="3" a="1"/>
  <c r="K31" i="3" s="1"/>
  <c r="K35" i="3" a="1"/>
  <c r="K35" i="3" s="1"/>
  <c r="M35" i="3" a="1"/>
  <c r="M35" i="3" s="1"/>
  <c r="M37" i="3" a="1"/>
  <c r="M37" i="3" s="1"/>
  <c r="M30" i="3" a="1"/>
  <c r="M30" i="3" s="1"/>
  <c r="M33" i="3" a="1"/>
  <c r="M33" i="3" s="1"/>
  <c r="M36" i="3" a="1"/>
  <c r="M36" i="3" s="1"/>
  <c r="M8" i="3" a="1"/>
  <c r="M8" i="3" s="1"/>
  <c r="K21" i="3" a="1"/>
  <c r="K21" i="3" s="1"/>
  <c r="W11" i="3" a="1"/>
  <c r="W11" i="3" s="1"/>
  <c r="W9" i="3" a="1"/>
  <c r="W9" i="3" s="1"/>
  <c r="W8" i="3" a="1"/>
  <c r="W8" i="3" s="1"/>
  <c r="W10" i="3" a="1"/>
  <c r="W10" i="3" s="1"/>
  <c r="W12" i="3" a="1"/>
  <c r="W12" i="3" s="1"/>
  <c r="W13" i="3" a="1"/>
  <c r="W13" i="3" s="1"/>
  <c r="Y8" i="3" a="1"/>
  <c r="Y8" i="3" s="1"/>
  <c r="V13" i="3" a="1"/>
  <c r="V13" i="3" s="1"/>
  <c r="V11" i="3" a="1"/>
  <c r="V11" i="3" s="1"/>
  <c r="V8" i="3" a="1"/>
  <c r="V8" i="3" s="1"/>
  <c r="V9" i="3" a="1"/>
  <c r="V9" i="3" s="1"/>
  <c r="V12" i="3" a="1"/>
  <c r="V12" i="3" s="1"/>
  <c r="V10" i="3" a="1"/>
  <c r="V10" i="3" s="1"/>
  <c r="BI10" i="3"/>
  <c r="AC3" i="2"/>
  <c r="AB3" i="2"/>
  <c r="AD3" i="2"/>
  <c r="L25" i="3" l="1" a="1"/>
  <c r="L25" i="3" s="1"/>
  <c r="L8" i="3" a="1"/>
  <c r="L8" i="3" s="1"/>
  <c r="X10" i="3" a="1"/>
  <c r="X10" i="3" s="1"/>
  <c r="X13" i="3" a="1"/>
  <c r="X13" i="3" s="1"/>
  <c r="T37" i="3" a="1"/>
  <c r="T37" i="3" s="1"/>
  <c r="T42" i="3" a="1"/>
  <c r="T42" i="3" s="1"/>
  <c r="T45" i="3" a="1"/>
  <c r="T45" i="3" s="1"/>
  <c r="T50" i="3" a="1"/>
  <c r="T50" i="3" s="1"/>
  <c r="T53" i="3" a="1"/>
  <c r="T53" i="3" s="1"/>
  <c r="T58" i="3" a="1"/>
  <c r="T58" i="3" s="1"/>
  <c r="T61" i="3" a="1"/>
  <c r="T61" i="3" s="1"/>
  <c r="T66" i="3" a="1"/>
  <c r="T66" i="3" s="1"/>
  <c r="T69" i="3" a="1"/>
  <c r="T69" i="3" s="1"/>
  <c r="T9" i="3" a="1"/>
  <c r="T9" i="3" s="1"/>
  <c r="T11" i="3" a="1"/>
  <c r="T11" i="3" s="1"/>
  <c r="T13" i="3" a="1"/>
  <c r="T13" i="3" s="1"/>
  <c r="T15" i="3" a="1"/>
  <c r="T15" i="3" s="1"/>
  <c r="T17" i="3" a="1"/>
  <c r="T17" i="3" s="1"/>
  <c r="T19" i="3" a="1"/>
  <c r="T19" i="3" s="1"/>
  <c r="T21" i="3" a="1"/>
  <c r="T21" i="3" s="1"/>
  <c r="T23" i="3" a="1"/>
  <c r="T23" i="3" s="1"/>
  <c r="T25" i="3" a="1"/>
  <c r="T25" i="3" s="1"/>
  <c r="T27" i="3" a="1"/>
  <c r="T27" i="3" s="1"/>
  <c r="T29" i="3" a="1"/>
  <c r="T29" i="3" s="1"/>
  <c r="T31" i="3" a="1"/>
  <c r="T31" i="3" s="1"/>
  <c r="T33" i="3" a="1"/>
  <c r="T33" i="3" s="1"/>
  <c r="T35" i="3" a="1"/>
  <c r="T35" i="3" s="1"/>
  <c r="T40" i="3" a="1"/>
  <c r="T40" i="3" s="1"/>
  <c r="T43" i="3" a="1"/>
  <c r="T43" i="3" s="1"/>
  <c r="T48" i="3" a="1"/>
  <c r="T48" i="3" s="1"/>
  <c r="T51" i="3" a="1"/>
  <c r="T51" i="3" s="1"/>
  <c r="T56" i="3" a="1"/>
  <c r="T56" i="3" s="1"/>
  <c r="T59" i="3" a="1"/>
  <c r="T59" i="3" s="1"/>
  <c r="T64" i="3" a="1"/>
  <c r="T64" i="3" s="1"/>
  <c r="T67" i="3" a="1"/>
  <c r="T67" i="3" s="1"/>
  <c r="T38" i="3" a="1"/>
  <c r="T38" i="3" s="1"/>
  <c r="T49" i="3" a="1"/>
  <c r="T49" i="3" s="1"/>
  <c r="T54" i="3" a="1"/>
  <c r="T54" i="3" s="1"/>
  <c r="T65" i="3" a="1"/>
  <c r="T65" i="3" s="1"/>
  <c r="T10" i="3" a="1"/>
  <c r="T10" i="3" s="1"/>
  <c r="T14" i="3" a="1"/>
  <c r="T14" i="3" s="1"/>
  <c r="T18" i="3" a="1"/>
  <c r="T18" i="3" s="1"/>
  <c r="T22" i="3" a="1"/>
  <c r="T22" i="3" s="1"/>
  <c r="T26" i="3" a="1"/>
  <c r="T26" i="3" s="1"/>
  <c r="T30" i="3" a="1"/>
  <c r="T30" i="3" s="1"/>
  <c r="T34" i="3" a="1"/>
  <c r="T34" i="3" s="1"/>
  <c r="T39" i="3" a="1"/>
  <c r="T39" i="3" s="1"/>
  <c r="T44" i="3" a="1"/>
  <c r="T44" i="3" s="1"/>
  <c r="T55" i="3" a="1"/>
  <c r="T55" i="3" s="1"/>
  <c r="T60" i="3" a="1"/>
  <c r="T60" i="3" s="1"/>
  <c r="T12" i="3" a="1"/>
  <c r="T12" i="3" s="1"/>
  <c r="T20" i="3" a="1"/>
  <c r="T20" i="3" s="1"/>
  <c r="T28" i="3" a="1"/>
  <c r="T28" i="3" s="1"/>
  <c r="T36" i="3" a="1"/>
  <c r="T36" i="3" s="1"/>
  <c r="T47" i="3" a="1"/>
  <c r="T47" i="3" s="1"/>
  <c r="T68" i="3" a="1"/>
  <c r="T68" i="3" s="1"/>
  <c r="T63" i="3" a="1"/>
  <c r="T63" i="3" s="1"/>
  <c r="T70" i="3" a="1"/>
  <c r="T70" i="3" s="1"/>
  <c r="T41" i="3" a="1"/>
  <c r="T41" i="3" s="1"/>
  <c r="T62" i="3" a="1"/>
  <c r="T62" i="3" s="1"/>
  <c r="T52" i="3" a="1"/>
  <c r="T52" i="3" s="1"/>
  <c r="T8" i="3" a="1"/>
  <c r="T8" i="3" s="1"/>
  <c r="T16" i="3" a="1"/>
  <c r="T16" i="3" s="1"/>
  <c r="T24" i="3" a="1"/>
  <c r="T24" i="3" s="1"/>
  <c r="T32" i="3" a="1"/>
  <c r="T32" i="3" s="1"/>
  <c r="T46" i="3" a="1"/>
  <c r="T46" i="3" s="1"/>
  <c r="T57" i="3" a="1"/>
  <c r="T57" i="3" s="1"/>
  <c r="R8" i="3" a="1"/>
  <c r="R8" i="3" s="1"/>
  <c r="R11" i="3" a="1"/>
  <c r="R11" i="3" s="1"/>
  <c r="R13" i="3" a="1"/>
  <c r="R13" i="3" s="1"/>
  <c r="R15" i="3" a="1"/>
  <c r="R15" i="3" s="1"/>
  <c r="R17" i="3" a="1"/>
  <c r="R17" i="3" s="1"/>
  <c r="R19" i="3" a="1"/>
  <c r="R19" i="3" s="1"/>
  <c r="R21" i="3" a="1"/>
  <c r="R21" i="3" s="1"/>
  <c r="R30" i="3" a="1"/>
  <c r="R30" i="3" s="1"/>
  <c r="R33" i="3" a="1"/>
  <c r="R33" i="3" s="1"/>
  <c r="R38" i="3" a="1"/>
  <c r="R38" i="3" s="1"/>
  <c r="R41" i="3" a="1"/>
  <c r="R41" i="3" s="1"/>
  <c r="R46" i="3" a="1"/>
  <c r="R46" i="3" s="1"/>
  <c r="R49" i="3" a="1"/>
  <c r="R49" i="3" s="1"/>
  <c r="R54" i="3" a="1"/>
  <c r="R54" i="3" s="1"/>
  <c r="R57" i="3" a="1"/>
  <c r="R57" i="3" s="1"/>
  <c r="R62" i="3" a="1"/>
  <c r="R62" i="3" s="1"/>
  <c r="R65" i="3" a="1"/>
  <c r="R65" i="3" s="1"/>
  <c r="R68" i="3" a="1"/>
  <c r="R68" i="3" s="1"/>
  <c r="R9" i="3" a="1"/>
  <c r="R9" i="3" s="1"/>
  <c r="R24" i="3" a="1"/>
  <c r="R24" i="3" s="1"/>
  <c r="R26" i="3" a="1"/>
  <c r="R26" i="3" s="1"/>
  <c r="R28" i="3" a="1"/>
  <c r="R28" i="3" s="1"/>
  <c r="R31" i="3" a="1"/>
  <c r="R31" i="3" s="1"/>
  <c r="R36" i="3" a="1"/>
  <c r="R36" i="3" s="1"/>
  <c r="R39" i="3" a="1"/>
  <c r="R39" i="3" s="1"/>
  <c r="R25" i="3" a="1"/>
  <c r="R25" i="3" s="1"/>
  <c r="R35" i="3" a="1"/>
  <c r="R35" i="3" s="1"/>
  <c r="R40" i="3" a="1"/>
  <c r="R40" i="3" s="1"/>
  <c r="R44" i="3" a="1"/>
  <c r="R44" i="3" s="1"/>
  <c r="R51" i="3" a="1"/>
  <c r="R51" i="3" s="1"/>
  <c r="R55" i="3" a="1"/>
  <c r="R55" i="3" s="1"/>
  <c r="R58" i="3" a="1"/>
  <c r="R58" i="3" s="1"/>
  <c r="R70" i="3" a="1"/>
  <c r="R70" i="3" s="1"/>
  <c r="R23" i="3" a="1"/>
  <c r="R23" i="3" s="1"/>
  <c r="R32" i="3" a="1"/>
  <c r="R32" i="3" s="1"/>
  <c r="R53" i="3" a="1"/>
  <c r="R53" i="3" s="1"/>
  <c r="R60" i="3" a="1"/>
  <c r="R60" i="3" s="1"/>
  <c r="R14" i="3" a="1"/>
  <c r="R14" i="3" s="1"/>
  <c r="R18" i="3" a="1"/>
  <c r="R18" i="3" s="1"/>
  <c r="R22" i="3" a="1"/>
  <c r="R22" i="3" s="1"/>
  <c r="R37" i="3" a="1"/>
  <c r="R37" i="3" s="1"/>
  <c r="R45" i="3" a="1"/>
  <c r="R45" i="3" s="1"/>
  <c r="R48" i="3" a="1"/>
  <c r="R48" i="3" s="1"/>
  <c r="R52" i="3" a="1"/>
  <c r="R52" i="3" s="1"/>
  <c r="R59" i="3" a="1"/>
  <c r="R59" i="3" s="1"/>
  <c r="R63" i="3" a="1"/>
  <c r="R63" i="3" s="1"/>
  <c r="R66" i="3" a="1"/>
  <c r="R66" i="3" s="1"/>
  <c r="R10" i="3" a="1"/>
  <c r="R10" i="3" s="1"/>
  <c r="R27" i="3" a="1"/>
  <c r="R27" i="3" s="1"/>
  <c r="R42" i="3" a="1"/>
  <c r="R42" i="3" s="1"/>
  <c r="R56" i="3" a="1"/>
  <c r="R56" i="3" s="1"/>
  <c r="R67" i="3" a="1"/>
  <c r="R67" i="3" s="1"/>
  <c r="R12" i="3" a="1"/>
  <c r="R12" i="3" s="1"/>
  <c r="R16" i="3" a="1"/>
  <c r="R16" i="3" s="1"/>
  <c r="R20" i="3" a="1"/>
  <c r="R20" i="3" s="1"/>
  <c r="R29" i="3" a="1"/>
  <c r="R29" i="3" s="1"/>
  <c r="R34" i="3" a="1"/>
  <c r="R34" i="3" s="1"/>
  <c r="R43" i="3" a="1"/>
  <c r="R43" i="3" s="1"/>
  <c r="R47" i="3" a="1"/>
  <c r="R47" i="3" s="1"/>
  <c r="R50" i="3" a="1"/>
  <c r="R50" i="3" s="1"/>
  <c r="R61" i="3" a="1"/>
  <c r="R61" i="3" s="1"/>
  <c r="R64" i="3" a="1"/>
  <c r="R64" i="3" s="1"/>
  <c r="R69" i="3" a="1"/>
  <c r="R69" i="3" s="1"/>
  <c r="X12" i="3" a="1"/>
  <c r="X12" i="3" s="1"/>
  <c r="X11" i="3" a="1"/>
  <c r="X11" i="3" s="1"/>
  <c r="Y6" i="3"/>
  <c r="X8" i="3" a="1"/>
  <c r="X8" i="3" s="1"/>
  <c r="AX3" i="2"/>
  <c r="E3" i="1"/>
  <c r="AK6" i="3"/>
  <c r="AE6" i="3"/>
  <c r="K6" i="3"/>
  <c r="S6" i="3"/>
  <c r="U6" i="3"/>
  <c r="I6" i="3"/>
  <c r="W6" i="3"/>
  <c r="AI6" i="3"/>
  <c r="M6" i="3"/>
  <c r="G6" i="3"/>
  <c r="AM6" i="3"/>
  <c r="AD14" i="3" a="1"/>
  <c r="AD14" i="3" s="1"/>
  <c r="AD17" i="3" a="1"/>
  <c r="AD17" i="3" s="1"/>
  <c r="AD20" i="3" a="1"/>
  <c r="AD20" i="3" s="1"/>
  <c r="AD24" i="3" a="1"/>
  <c r="AD24" i="3" s="1"/>
  <c r="AD11" i="3" a="1"/>
  <c r="AD11" i="3" s="1"/>
  <c r="AD15" i="3" a="1"/>
  <c r="AD15" i="3" s="1"/>
  <c r="AD18" i="3" a="1"/>
  <c r="AD18" i="3" s="1"/>
  <c r="AD21" i="3" a="1"/>
  <c r="AD21" i="3" s="1"/>
  <c r="AD9" i="3" a="1"/>
  <c r="AD9" i="3" s="1"/>
  <c r="AD12" i="3" a="1"/>
  <c r="AD12" i="3" s="1"/>
  <c r="AD16" i="3" a="1"/>
  <c r="AD16" i="3" s="1"/>
  <c r="AD22" i="3" a="1"/>
  <c r="AD22" i="3" s="1"/>
  <c r="AD25" i="3" a="1"/>
  <c r="AD25" i="3" s="1"/>
  <c r="AD10" i="3" a="1"/>
  <c r="AD10" i="3" s="1"/>
  <c r="AD13" i="3" a="1"/>
  <c r="AD13" i="3" s="1"/>
  <c r="AD19" i="3" a="1"/>
  <c r="AD19" i="3" s="1"/>
  <c r="AD23" i="3" a="1"/>
  <c r="AD23" i="3" s="1"/>
  <c r="AD26" i="3" a="1"/>
  <c r="AD26" i="3" s="1"/>
  <c r="AD30" i="3" a="1"/>
  <c r="AD30" i="3" s="1"/>
  <c r="AD33" i="3" a="1"/>
  <c r="AD33" i="3" s="1"/>
  <c r="AD36" i="3" a="1"/>
  <c r="AD36" i="3" s="1"/>
  <c r="AD40" i="3" a="1"/>
  <c r="AD40" i="3" s="1"/>
  <c r="AD46" i="3" a="1"/>
  <c r="AD46" i="3" s="1"/>
  <c r="AD49" i="3" a="1"/>
  <c r="AD49" i="3" s="1"/>
  <c r="AD52" i="3" a="1"/>
  <c r="AD52" i="3" s="1"/>
  <c r="AD56" i="3" a="1"/>
  <c r="AD56" i="3" s="1"/>
  <c r="AD62" i="3" a="1"/>
  <c r="AD62" i="3" s="1"/>
  <c r="AD65" i="3" a="1"/>
  <c r="AD65" i="3" s="1"/>
  <c r="AD68" i="3" a="1"/>
  <c r="AD68" i="3" s="1"/>
  <c r="AD72" i="3" a="1"/>
  <c r="AD72" i="3" s="1"/>
  <c r="AD78" i="3" a="1"/>
  <c r="AD78" i="3" s="1"/>
  <c r="AD81" i="3" a="1"/>
  <c r="AD81" i="3" s="1"/>
  <c r="AD85" i="3" a="1"/>
  <c r="AD85" i="3" s="1"/>
  <c r="AD92" i="3" a="1"/>
  <c r="AD92" i="3" s="1"/>
  <c r="AD96" i="3" a="1"/>
  <c r="AD96" i="3" s="1"/>
  <c r="AD99" i="3" a="1"/>
  <c r="AD99" i="3" s="1"/>
  <c r="AD103" i="3" a="1"/>
  <c r="AD103" i="3" s="1"/>
  <c r="AD106" i="3" a="1"/>
  <c r="AD106" i="3" s="1"/>
  <c r="AD110" i="3" a="1"/>
  <c r="AD110" i="3" s="1"/>
  <c r="AD113" i="3" a="1"/>
  <c r="AD113" i="3" s="1"/>
  <c r="AD117" i="3" a="1"/>
  <c r="AD117" i="3" s="1"/>
  <c r="AD124" i="3" a="1"/>
  <c r="AD124" i="3" s="1"/>
  <c r="AD128" i="3" a="1"/>
  <c r="AD128" i="3" s="1"/>
  <c r="AD131" i="3" a="1"/>
  <c r="AD131" i="3" s="1"/>
  <c r="AD135" i="3" a="1"/>
  <c r="AD135" i="3" s="1"/>
  <c r="AD138" i="3" a="1"/>
  <c r="AD138" i="3" s="1"/>
  <c r="AD142" i="3" a="1"/>
  <c r="AD142" i="3" s="1"/>
  <c r="AD145" i="3" a="1"/>
  <c r="AD145" i="3" s="1"/>
  <c r="AD149" i="3" a="1"/>
  <c r="AD149" i="3" s="1"/>
  <c r="AD156" i="3" a="1"/>
  <c r="AD156" i="3" s="1"/>
  <c r="AD160" i="3" a="1"/>
  <c r="AD160" i="3" s="1"/>
  <c r="AD163" i="3" a="1"/>
  <c r="AD163" i="3" s="1"/>
  <c r="AD167" i="3" a="1"/>
  <c r="AD167" i="3" s="1"/>
  <c r="AD170" i="3" a="1"/>
  <c r="AD170" i="3" s="1"/>
  <c r="AD174" i="3" a="1"/>
  <c r="AD174" i="3" s="1"/>
  <c r="AD177" i="3" a="1"/>
  <c r="AD177" i="3" s="1"/>
  <c r="AD181" i="3" a="1"/>
  <c r="AD181" i="3" s="1"/>
  <c r="AD185" i="3" a="1"/>
  <c r="AD185" i="3" s="1"/>
  <c r="AD189" i="3" a="1"/>
  <c r="AD189" i="3" s="1"/>
  <c r="AD193" i="3" a="1"/>
  <c r="AD193" i="3" s="1"/>
  <c r="AD197" i="3" a="1"/>
  <c r="AD197" i="3" s="1"/>
  <c r="AD201" i="3" a="1"/>
  <c r="AD201" i="3" s="1"/>
  <c r="AD205" i="3" a="1"/>
  <c r="AD205" i="3" s="1"/>
  <c r="AD209" i="3" a="1"/>
  <c r="AD209" i="3" s="1"/>
  <c r="AD213" i="3" a="1"/>
  <c r="AD213" i="3" s="1"/>
  <c r="AD217" i="3" a="1"/>
  <c r="AD217" i="3" s="1"/>
  <c r="AD221" i="3" a="1"/>
  <c r="AD221" i="3" s="1"/>
  <c r="AD225" i="3" a="1"/>
  <c r="AD225" i="3" s="1"/>
  <c r="AD229" i="3" a="1"/>
  <c r="AD229" i="3" s="1"/>
  <c r="AD233" i="3" a="1"/>
  <c r="AD233" i="3" s="1"/>
  <c r="AD237" i="3" a="1"/>
  <c r="AD237" i="3" s="1"/>
  <c r="AD241" i="3" a="1"/>
  <c r="AD241" i="3" s="1"/>
  <c r="AD245" i="3" a="1"/>
  <c r="AD245" i="3" s="1"/>
  <c r="AD249" i="3" a="1"/>
  <c r="AD249" i="3" s="1"/>
  <c r="AD253" i="3" a="1"/>
  <c r="AD253" i="3" s="1"/>
  <c r="AD257" i="3" a="1"/>
  <c r="AD257" i="3" s="1"/>
  <c r="AD261" i="3" a="1"/>
  <c r="AD261" i="3" s="1"/>
  <c r="AD265" i="3" a="1"/>
  <c r="AD265" i="3" s="1"/>
  <c r="AD269" i="3" a="1"/>
  <c r="AD269" i="3" s="1"/>
  <c r="AD273" i="3" a="1"/>
  <c r="AD273" i="3" s="1"/>
  <c r="AD277" i="3" a="1"/>
  <c r="AD277" i="3" s="1"/>
  <c r="AD281" i="3" a="1"/>
  <c r="AD281" i="3" s="1"/>
  <c r="AD285" i="3" a="1"/>
  <c r="AD285" i="3" s="1"/>
  <c r="AD289" i="3" a="1"/>
  <c r="AD289" i="3" s="1"/>
  <c r="AD293" i="3" a="1"/>
  <c r="AD293" i="3" s="1"/>
  <c r="AD297" i="3" a="1"/>
  <c r="AD297" i="3" s="1"/>
  <c r="AD27" i="3" a="1"/>
  <c r="AD27" i="3" s="1"/>
  <c r="AD31" i="3" a="1"/>
  <c r="AD31" i="3" s="1"/>
  <c r="AD34" i="3" a="1"/>
  <c r="AD34" i="3" s="1"/>
  <c r="AD37" i="3" a="1"/>
  <c r="AD37" i="3" s="1"/>
  <c r="AD43" i="3" a="1"/>
  <c r="AD43" i="3" s="1"/>
  <c r="AD47" i="3" a="1"/>
  <c r="AD47" i="3" s="1"/>
  <c r="AD50" i="3" a="1"/>
  <c r="AD50" i="3" s="1"/>
  <c r="AD53" i="3" a="1"/>
  <c r="AD53" i="3" s="1"/>
  <c r="AD59" i="3" a="1"/>
  <c r="AD59" i="3" s="1"/>
  <c r="AD63" i="3" a="1"/>
  <c r="AD63" i="3" s="1"/>
  <c r="AD66" i="3" a="1"/>
  <c r="AD66" i="3" s="1"/>
  <c r="AD69" i="3" a="1"/>
  <c r="AD69" i="3" s="1"/>
  <c r="AD75" i="3" a="1"/>
  <c r="AD75" i="3" s="1"/>
  <c r="AD79" i="3" a="1"/>
  <c r="AD79" i="3" s="1"/>
  <c r="AD82" i="3" a="1"/>
  <c r="AD82" i="3" s="1"/>
  <c r="AD86" i="3" a="1"/>
  <c r="AD86" i="3" s="1"/>
  <c r="AD89" i="3" a="1"/>
  <c r="AD89" i="3" s="1"/>
  <c r="AD93" i="3" a="1"/>
  <c r="AD93" i="3" s="1"/>
  <c r="AD100" i="3" a="1"/>
  <c r="AD100" i="3" s="1"/>
  <c r="AD104" i="3" a="1"/>
  <c r="AD104" i="3" s="1"/>
  <c r="AD107" i="3" a="1"/>
  <c r="AD107" i="3" s="1"/>
  <c r="AD111" i="3" a="1"/>
  <c r="AD111" i="3" s="1"/>
  <c r="AD114" i="3" a="1"/>
  <c r="AD114" i="3" s="1"/>
  <c r="AD118" i="3" a="1"/>
  <c r="AD118" i="3" s="1"/>
  <c r="AD121" i="3" a="1"/>
  <c r="AD121" i="3" s="1"/>
  <c r="AD125" i="3" a="1"/>
  <c r="AD125" i="3" s="1"/>
  <c r="AD132" i="3" a="1"/>
  <c r="AD132" i="3" s="1"/>
  <c r="AD136" i="3" a="1"/>
  <c r="AD136" i="3" s="1"/>
  <c r="AD139" i="3" a="1"/>
  <c r="AD139" i="3" s="1"/>
  <c r="AD143" i="3" a="1"/>
  <c r="AD143" i="3" s="1"/>
  <c r="AD146" i="3" a="1"/>
  <c r="AD146" i="3" s="1"/>
  <c r="AD150" i="3" a="1"/>
  <c r="AD150" i="3" s="1"/>
  <c r="AD153" i="3" a="1"/>
  <c r="AD153" i="3" s="1"/>
  <c r="AD157" i="3" a="1"/>
  <c r="AD157" i="3" s="1"/>
  <c r="AD164" i="3" a="1"/>
  <c r="AD164" i="3" s="1"/>
  <c r="AD168" i="3" a="1"/>
  <c r="AD168" i="3" s="1"/>
  <c r="AD171" i="3" a="1"/>
  <c r="AD171" i="3" s="1"/>
  <c r="AD175" i="3" a="1"/>
  <c r="AD175" i="3" s="1"/>
  <c r="AD178" i="3" a="1"/>
  <c r="AD178" i="3" s="1"/>
  <c r="AD182" i="3" a="1"/>
  <c r="AD182" i="3" s="1"/>
  <c r="AD186" i="3" a="1"/>
  <c r="AD186" i="3" s="1"/>
  <c r="AD190" i="3" a="1"/>
  <c r="AD190" i="3" s="1"/>
  <c r="AD194" i="3" a="1"/>
  <c r="AD194" i="3" s="1"/>
  <c r="AD198" i="3" a="1"/>
  <c r="AD198" i="3" s="1"/>
  <c r="AD202" i="3" a="1"/>
  <c r="AD202" i="3" s="1"/>
  <c r="AD206" i="3" a="1"/>
  <c r="AD206" i="3" s="1"/>
  <c r="AD210" i="3" a="1"/>
  <c r="AD210" i="3" s="1"/>
  <c r="AD214" i="3" a="1"/>
  <c r="AD214" i="3" s="1"/>
  <c r="AD218" i="3" a="1"/>
  <c r="AD218" i="3" s="1"/>
  <c r="AD222" i="3" a="1"/>
  <c r="AD222" i="3" s="1"/>
  <c r="AD226" i="3" a="1"/>
  <c r="AD226" i="3" s="1"/>
  <c r="AD230" i="3" a="1"/>
  <c r="AD230" i="3" s="1"/>
  <c r="AD234" i="3" a="1"/>
  <c r="AD234" i="3" s="1"/>
  <c r="AD238" i="3" a="1"/>
  <c r="AD238" i="3" s="1"/>
  <c r="AD242" i="3" a="1"/>
  <c r="AD242" i="3" s="1"/>
  <c r="AD246" i="3" a="1"/>
  <c r="AD246" i="3" s="1"/>
  <c r="AD250" i="3" a="1"/>
  <c r="AD250" i="3" s="1"/>
  <c r="AD254" i="3" a="1"/>
  <c r="AD254" i="3" s="1"/>
  <c r="AD258" i="3" a="1"/>
  <c r="AD258" i="3" s="1"/>
  <c r="AD262" i="3" a="1"/>
  <c r="AD262" i="3" s="1"/>
  <c r="AD266" i="3" a="1"/>
  <c r="AD266" i="3" s="1"/>
  <c r="AD270" i="3" a="1"/>
  <c r="AD270" i="3" s="1"/>
  <c r="AD274" i="3" a="1"/>
  <c r="AD274" i="3" s="1"/>
  <c r="AD278" i="3" a="1"/>
  <c r="AD278" i="3" s="1"/>
  <c r="AD282" i="3" a="1"/>
  <c r="AD282" i="3" s="1"/>
  <c r="AD286" i="3" a="1"/>
  <c r="AD286" i="3" s="1"/>
  <c r="AD290" i="3" a="1"/>
  <c r="AD290" i="3" s="1"/>
  <c r="AD294" i="3" a="1"/>
  <c r="AD294" i="3" s="1"/>
  <c r="AD298" i="3" a="1"/>
  <c r="AD298" i="3" s="1"/>
  <c r="AD8" i="3" a="1"/>
  <c r="AD8" i="3" s="1"/>
  <c r="AD28" i="3" a="1"/>
  <c r="AD28" i="3" s="1"/>
  <c r="AD32" i="3" a="1"/>
  <c r="AD32" i="3" s="1"/>
  <c r="AD38" i="3" a="1"/>
  <c r="AD38" i="3" s="1"/>
  <c r="AD41" i="3" a="1"/>
  <c r="AD41" i="3" s="1"/>
  <c r="AD44" i="3" a="1"/>
  <c r="AD44" i="3" s="1"/>
  <c r="AD48" i="3" a="1"/>
  <c r="AD48" i="3" s="1"/>
  <c r="AD54" i="3" a="1"/>
  <c r="AD54" i="3" s="1"/>
  <c r="AD57" i="3" a="1"/>
  <c r="AD57" i="3" s="1"/>
  <c r="AD60" i="3" a="1"/>
  <c r="AD60" i="3" s="1"/>
  <c r="AD64" i="3" a="1"/>
  <c r="AD64" i="3" s="1"/>
  <c r="AD70" i="3" a="1"/>
  <c r="AD70" i="3" s="1"/>
  <c r="AD73" i="3" a="1"/>
  <c r="AD73" i="3" s="1"/>
  <c r="AD76" i="3" a="1"/>
  <c r="AD76" i="3" s="1"/>
  <c r="AD80" i="3" a="1"/>
  <c r="AD80" i="3" s="1"/>
  <c r="AD83" i="3" a="1"/>
  <c r="AD83" i="3" s="1"/>
  <c r="AD87" i="3" a="1"/>
  <c r="AD87" i="3" s="1"/>
  <c r="AD90" i="3" a="1"/>
  <c r="AD90" i="3" s="1"/>
  <c r="AD94" i="3" a="1"/>
  <c r="AD94" i="3" s="1"/>
  <c r="AD97" i="3" a="1"/>
  <c r="AD97" i="3" s="1"/>
  <c r="AD101" i="3" a="1"/>
  <c r="AD101" i="3" s="1"/>
  <c r="AD108" i="3" a="1"/>
  <c r="AD108" i="3" s="1"/>
  <c r="AD112" i="3" a="1"/>
  <c r="AD112" i="3" s="1"/>
  <c r="AD115" i="3" a="1"/>
  <c r="AD115" i="3" s="1"/>
  <c r="AD119" i="3" a="1"/>
  <c r="AD119" i="3" s="1"/>
  <c r="AD122" i="3" a="1"/>
  <c r="AD122" i="3" s="1"/>
  <c r="AD126" i="3" a="1"/>
  <c r="AD126" i="3" s="1"/>
  <c r="AD129" i="3" a="1"/>
  <c r="AD129" i="3" s="1"/>
  <c r="AD133" i="3" a="1"/>
  <c r="AD133" i="3" s="1"/>
  <c r="AD140" i="3" a="1"/>
  <c r="AD140" i="3" s="1"/>
  <c r="AD144" i="3" a="1"/>
  <c r="AD144" i="3" s="1"/>
  <c r="AD147" i="3" a="1"/>
  <c r="AD147" i="3" s="1"/>
  <c r="AD151" i="3" a="1"/>
  <c r="AD151" i="3" s="1"/>
  <c r="AD154" i="3" a="1"/>
  <c r="AD154" i="3" s="1"/>
  <c r="AD158" i="3" a="1"/>
  <c r="AD158" i="3" s="1"/>
  <c r="AD161" i="3" a="1"/>
  <c r="AD161" i="3" s="1"/>
  <c r="AD165" i="3" a="1"/>
  <c r="AD165" i="3" s="1"/>
  <c r="AD172" i="3" a="1"/>
  <c r="AD172" i="3" s="1"/>
  <c r="AD176" i="3" a="1"/>
  <c r="AD176" i="3" s="1"/>
  <c r="AD179" i="3" a="1"/>
  <c r="AD179" i="3" s="1"/>
  <c r="AD183" i="3" a="1"/>
  <c r="AD183" i="3" s="1"/>
  <c r="AD187" i="3" a="1"/>
  <c r="AD187" i="3" s="1"/>
  <c r="AD191" i="3" a="1"/>
  <c r="AD191" i="3" s="1"/>
  <c r="AD195" i="3" a="1"/>
  <c r="AD195" i="3" s="1"/>
  <c r="AD199" i="3" a="1"/>
  <c r="AD199" i="3" s="1"/>
  <c r="AD203" i="3" a="1"/>
  <c r="AD203" i="3" s="1"/>
  <c r="AD207" i="3" a="1"/>
  <c r="AD207" i="3" s="1"/>
  <c r="AD211" i="3" a="1"/>
  <c r="AD211" i="3" s="1"/>
  <c r="AD215" i="3" a="1"/>
  <c r="AD215" i="3" s="1"/>
  <c r="AD219" i="3" a="1"/>
  <c r="AD219" i="3" s="1"/>
  <c r="AD223" i="3" a="1"/>
  <c r="AD223" i="3" s="1"/>
  <c r="AD227" i="3" a="1"/>
  <c r="AD227" i="3" s="1"/>
  <c r="AD231" i="3" a="1"/>
  <c r="AD231" i="3" s="1"/>
  <c r="AD235" i="3" a="1"/>
  <c r="AD235" i="3" s="1"/>
  <c r="AD239" i="3" a="1"/>
  <c r="AD239" i="3" s="1"/>
  <c r="AD243" i="3" a="1"/>
  <c r="AD243" i="3" s="1"/>
  <c r="AD247" i="3" a="1"/>
  <c r="AD247" i="3" s="1"/>
  <c r="AD251" i="3" a="1"/>
  <c r="AD251" i="3" s="1"/>
  <c r="AD255" i="3" a="1"/>
  <c r="AD255" i="3" s="1"/>
  <c r="AD259" i="3" a="1"/>
  <c r="AD259" i="3" s="1"/>
  <c r="AD263" i="3" a="1"/>
  <c r="AD263" i="3" s="1"/>
  <c r="AD267" i="3" a="1"/>
  <c r="AD267" i="3" s="1"/>
  <c r="AD271" i="3" a="1"/>
  <c r="AD271" i="3" s="1"/>
  <c r="AD275" i="3" a="1"/>
  <c r="AD275" i="3" s="1"/>
  <c r="AD279" i="3" a="1"/>
  <c r="AD279" i="3" s="1"/>
  <c r="AD283" i="3" a="1"/>
  <c r="AD283" i="3" s="1"/>
  <c r="AD287" i="3" a="1"/>
  <c r="AD287" i="3" s="1"/>
  <c r="AD291" i="3" a="1"/>
  <c r="AD291" i="3" s="1"/>
  <c r="AD295" i="3" a="1"/>
  <c r="AD295" i="3" s="1"/>
  <c r="AD299" i="3" a="1"/>
  <c r="AD299" i="3" s="1"/>
  <c r="AD29" i="3" a="1"/>
  <c r="AD29" i="3" s="1"/>
  <c r="AD35" i="3" a="1"/>
  <c r="AD35" i="3" s="1"/>
  <c r="AD39" i="3" a="1"/>
  <c r="AD39" i="3" s="1"/>
  <c r="AD42" i="3" a="1"/>
  <c r="AD42" i="3" s="1"/>
  <c r="AD45" i="3" a="1"/>
  <c r="AD45" i="3" s="1"/>
  <c r="AD51" i="3" a="1"/>
  <c r="AD51" i="3" s="1"/>
  <c r="AD55" i="3" a="1"/>
  <c r="AD55" i="3" s="1"/>
  <c r="AD58" i="3" a="1"/>
  <c r="AD58" i="3" s="1"/>
  <c r="AD61" i="3" a="1"/>
  <c r="AD61" i="3" s="1"/>
  <c r="AD67" i="3" a="1"/>
  <c r="AD67" i="3" s="1"/>
  <c r="AD71" i="3" a="1"/>
  <c r="AD71" i="3" s="1"/>
  <c r="AD74" i="3" a="1"/>
  <c r="AD74" i="3" s="1"/>
  <c r="AD77" i="3" a="1"/>
  <c r="AD77" i="3" s="1"/>
  <c r="AD84" i="3" a="1"/>
  <c r="AD84" i="3" s="1"/>
  <c r="AD88" i="3" a="1"/>
  <c r="AD88" i="3" s="1"/>
  <c r="AD91" i="3" a="1"/>
  <c r="AD91" i="3" s="1"/>
  <c r="AD95" i="3" a="1"/>
  <c r="AD95" i="3" s="1"/>
  <c r="AD98" i="3" a="1"/>
  <c r="AD98" i="3" s="1"/>
  <c r="AD102" i="3" a="1"/>
  <c r="AD102" i="3" s="1"/>
  <c r="AD105" i="3" a="1"/>
  <c r="AD105" i="3" s="1"/>
  <c r="AD109" i="3" a="1"/>
  <c r="AD109" i="3" s="1"/>
  <c r="AD116" i="3" a="1"/>
  <c r="AD116" i="3" s="1"/>
  <c r="AD120" i="3" a="1"/>
  <c r="AD120" i="3" s="1"/>
  <c r="AD123" i="3" a="1"/>
  <c r="AD123" i="3" s="1"/>
  <c r="AD127" i="3" a="1"/>
  <c r="AD127" i="3" s="1"/>
  <c r="AD130" i="3" a="1"/>
  <c r="AD130" i="3" s="1"/>
  <c r="AD134" i="3" a="1"/>
  <c r="AD134" i="3" s="1"/>
  <c r="AD137" i="3" a="1"/>
  <c r="AD137" i="3" s="1"/>
  <c r="AD141" i="3" a="1"/>
  <c r="AD141" i="3" s="1"/>
  <c r="AD148" i="3" a="1"/>
  <c r="AD148" i="3" s="1"/>
  <c r="AD152" i="3" a="1"/>
  <c r="AD152" i="3" s="1"/>
  <c r="AD155" i="3" a="1"/>
  <c r="AD155" i="3" s="1"/>
  <c r="AD159" i="3" a="1"/>
  <c r="AD159" i="3" s="1"/>
  <c r="AD162" i="3" a="1"/>
  <c r="AD162" i="3" s="1"/>
  <c r="AD166" i="3" a="1"/>
  <c r="AD166" i="3" s="1"/>
  <c r="AD169" i="3" a="1"/>
  <c r="AD169" i="3" s="1"/>
  <c r="AD173" i="3" a="1"/>
  <c r="AD173" i="3" s="1"/>
  <c r="AD180" i="3" a="1"/>
  <c r="AD180" i="3" s="1"/>
  <c r="AD184" i="3" a="1"/>
  <c r="AD184" i="3" s="1"/>
  <c r="AD188" i="3" a="1"/>
  <c r="AD188" i="3" s="1"/>
  <c r="AD192" i="3" a="1"/>
  <c r="AD192" i="3" s="1"/>
  <c r="AD196" i="3" a="1"/>
  <c r="AD196" i="3" s="1"/>
  <c r="AD200" i="3" a="1"/>
  <c r="AD200" i="3" s="1"/>
  <c r="AD204" i="3" a="1"/>
  <c r="AD204" i="3" s="1"/>
  <c r="AD208" i="3" a="1"/>
  <c r="AD208" i="3" s="1"/>
  <c r="AD212" i="3" a="1"/>
  <c r="AD212" i="3" s="1"/>
  <c r="AD216" i="3" a="1"/>
  <c r="AD216" i="3" s="1"/>
  <c r="AD220" i="3" a="1"/>
  <c r="AD220" i="3" s="1"/>
  <c r="AD224" i="3" a="1"/>
  <c r="AD224" i="3" s="1"/>
  <c r="AD228" i="3" a="1"/>
  <c r="AD228" i="3" s="1"/>
  <c r="AD232" i="3" a="1"/>
  <c r="AD232" i="3" s="1"/>
  <c r="AD236" i="3" a="1"/>
  <c r="AD236" i="3" s="1"/>
  <c r="AD240" i="3" a="1"/>
  <c r="AD240" i="3" s="1"/>
  <c r="AD244" i="3" a="1"/>
  <c r="AD244" i="3" s="1"/>
  <c r="AD248" i="3" a="1"/>
  <c r="AD248" i="3" s="1"/>
  <c r="AD252" i="3" a="1"/>
  <c r="AD252" i="3" s="1"/>
  <c r="AD256" i="3" a="1"/>
  <c r="AD256" i="3" s="1"/>
  <c r="AD260" i="3" a="1"/>
  <c r="AD260" i="3" s="1"/>
  <c r="AD264" i="3" a="1"/>
  <c r="AD264" i="3" s="1"/>
  <c r="AD268" i="3" a="1"/>
  <c r="AD268" i="3" s="1"/>
  <c r="AD272" i="3" a="1"/>
  <c r="AD272" i="3" s="1"/>
  <c r="AD276" i="3" a="1"/>
  <c r="AD276" i="3" s="1"/>
  <c r="AD280" i="3" a="1"/>
  <c r="AD280" i="3" s="1"/>
  <c r="AD284" i="3" a="1"/>
  <c r="AD284" i="3" s="1"/>
  <c r="AD288" i="3" a="1"/>
  <c r="AD288" i="3" s="1"/>
  <c r="AD292" i="3" a="1"/>
  <c r="AD292" i="3" s="1"/>
  <c r="AD296" i="3" a="1"/>
  <c r="AD296" i="3" s="1"/>
  <c r="AD300" i="3" a="1"/>
  <c r="AD300" i="3" s="1"/>
  <c r="L9" i="3" a="1"/>
  <c r="L9" i="3" s="1"/>
  <c r="L23" i="3" a="1"/>
  <c r="L23" i="3" s="1"/>
  <c r="L14" i="3" a="1"/>
  <c r="L14" i="3" s="1"/>
  <c r="L24" i="3" a="1"/>
  <c r="L24" i="3" s="1"/>
  <c r="L17" i="3" a="1"/>
  <c r="L17" i="3" s="1"/>
  <c r="L10" i="3" a="1"/>
  <c r="L10" i="3" s="1"/>
  <c r="L15" i="3" a="1"/>
  <c r="L15" i="3" s="1"/>
  <c r="AL9" i="3" a="1"/>
  <c r="AL9" i="3" s="1"/>
  <c r="AL13" i="3" a="1"/>
  <c r="AL13" i="3" s="1"/>
  <c r="AL17" i="3" a="1"/>
  <c r="AL17" i="3" s="1"/>
  <c r="AL22" i="3" a="1"/>
  <c r="AL22" i="3" s="1"/>
  <c r="AL25" i="3" a="1"/>
  <c r="AL25" i="3" s="1"/>
  <c r="AL30" i="3" a="1"/>
  <c r="AL30" i="3" s="1"/>
  <c r="AL33" i="3" a="1"/>
  <c r="AL33" i="3" s="1"/>
  <c r="AL12" i="3" a="1"/>
  <c r="AL12" i="3" s="1"/>
  <c r="AL20" i="3" a="1"/>
  <c r="AL20" i="3" s="1"/>
  <c r="AL23" i="3" a="1"/>
  <c r="AL23" i="3" s="1"/>
  <c r="AL28" i="3" a="1"/>
  <c r="AL28" i="3" s="1"/>
  <c r="AL31" i="3" a="1"/>
  <c r="AL31" i="3" s="1"/>
  <c r="AL36" i="3" a="1"/>
  <c r="AL36" i="3" s="1"/>
  <c r="AL11" i="3" a="1"/>
  <c r="AL11" i="3" s="1"/>
  <c r="AL15" i="3" a="1"/>
  <c r="AL15" i="3" s="1"/>
  <c r="AL8" i="3" a="1"/>
  <c r="AL8" i="3" s="1"/>
  <c r="AL18" i="3" a="1"/>
  <c r="AL18" i="3" s="1"/>
  <c r="AL21" i="3" a="1"/>
  <c r="AL21" i="3" s="1"/>
  <c r="AL26" i="3" a="1"/>
  <c r="AL26" i="3" s="1"/>
  <c r="AL29" i="3" a="1"/>
  <c r="AL29" i="3" s="1"/>
  <c r="AL34" i="3" a="1"/>
  <c r="AL34" i="3" s="1"/>
  <c r="AL37" i="3" a="1"/>
  <c r="AL37" i="3" s="1"/>
  <c r="AL10" i="3" a="1"/>
  <c r="AL10" i="3" s="1"/>
  <c r="AL14" i="3" a="1"/>
  <c r="AL14" i="3" s="1"/>
  <c r="AL16" i="3" a="1"/>
  <c r="AL16" i="3" s="1"/>
  <c r="AL19" i="3" a="1"/>
  <c r="AL19" i="3" s="1"/>
  <c r="AL24" i="3" a="1"/>
  <c r="AL24" i="3" s="1"/>
  <c r="AL27" i="3" a="1"/>
  <c r="AL27" i="3" s="1"/>
  <c r="AL32" i="3" a="1"/>
  <c r="AL32" i="3" s="1"/>
  <c r="AL35" i="3" a="1"/>
  <c r="AL35" i="3" s="1"/>
  <c r="AJ9" i="3" a="1"/>
  <c r="AJ9" i="3" s="1"/>
  <c r="AJ8" i="3" a="1"/>
  <c r="AJ8" i="3" s="1"/>
  <c r="AJ23" i="3" a="1"/>
  <c r="AJ23" i="3" s="1"/>
  <c r="AJ28" i="3" a="1"/>
  <c r="AJ28" i="3" s="1"/>
  <c r="AJ31" i="3" a="1"/>
  <c r="AJ31" i="3" s="1"/>
  <c r="AJ36" i="3" a="1"/>
  <c r="AJ36" i="3" s="1"/>
  <c r="AJ21" i="3" a="1"/>
  <c r="AJ21" i="3" s="1"/>
  <c r="AJ26" i="3" a="1"/>
  <c r="AJ26" i="3" s="1"/>
  <c r="AJ29" i="3" a="1"/>
  <c r="AJ29" i="3" s="1"/>
  <c r="AJ34" i="3" a="1"/>
  <c r="AJ34" i="3" s="1"/>
  <c r="AJ37" i="3" a="1"/>
  <c r="AJ37" i="3" s="1"/>
  <c r="AJ24" i="3" a="1"/>
  <c r="AJ24" i="3" s="1"/>
  <c r="AJ27" i="3" a="1"/>
  <c r="AJ27" i="3" s="1"/>
  <c r="AJ32" i="3" a="1"/>
  <c r="AJ32" i="3" s="1"/>
  <c r="AJ35" i="3" a="1"/>
  <c r="AJ35" i="3" s="1"/>
  <c r="AJ22" i="3" a="1"/>
  <c r="AJ22" i="3" s="1"/>
  <c r="AJ25" i="3" a="1"/>
  <c r="AJ25" i="3" s="1"/>
  <c r="AJ30" i="3" a="1"/>
  <c r="AJ30" i="3" s="1"/>
  <c r="AJ33" i="3" a="1"/>
  <c r="AJ33" i="3" s="1"/>
  <c r="AH9" i="3" a="1"/>
  <c r="AH9" i="3" s="1"/>
  <c r="AH13" i="3" a="1"/>
  <c r="AH13" i="3" s="1"/>
  <c r="AH17" i="3" a="1"/>
  <c r="AH17" i="3" s="1"/>
  <c r="AH24" i="3" a="1"/>
  <c r="AH24" i="3" s="1"/>
  <c r="AH27" i="3" a="1"/>
  <c r="AH27" i="3" s="1"/>
  <c r="AH32" i="3" a="1"/>
  <c r="AH32" i="3" s="1"/>
  <c r="AH35" i="3" a="1"/>
  <c r="AH35" i="3" s="1"/>
  <c r="AH21" i="3" a="1"/>
  <c r="AH21" i="3" s="1"/>
  <c r="AH29" i="3" a="1"/>
  <c r="AH29" i="3" s="1"/>
  <c r="AH12" i="3" a="1"/>
  <c r="AH12" i="3" s="1"/>
  <c r="AH16" i="3" a="1"/>
  <c r="AH16" i="3" s="1"/>
  <c r="AH8" i="3" a="1"/>
  <c r="AH8" i="3" s="1"/>
  <c r="AH22" i="3" a="1"/>
  <c r="AH22" i="3" s="1"/>
  <c r="AH25" i="3" a="1"/>
  <c r="AH25" i="3" s="1"/>
  <c r="AH30" i="3" a="1"/>
  <c r="AH30" i="3" s="1"/>
  <c r="AH33" i="3" a="1"/>
  <c r="AH33" i="3" s="1"/>
  <c r="AH14" i="3" a="1"/>
  <c r="AH14" i="3" s="1"/>
  <c r="AH34" i="3" a="1"/>
  <c r="AH34" i="3" s="1"/>
  <c r="AH11" i="3" a="1"/>
  <c r="AH11" i="3" s="1"/>
  <c r="AH15" i="3" a="1"/>
  <c r="AH15" i="3" s="1"/>
  <c r="AH19" i="3" a="1"/>
  <c r="AH19" i="3" s="1"/>
  <c r="AH20" i="3" a="1"/>
  <c r="AH20" i="3" s="1"/>
  <c r="AH23" i="3" a="1"/>
  <c r="AH23" i="3" s="1"/>
  <c r="AH28" i="3" a="1"/>
  <c r="AH28" i="3" s="1"/>
  <c r="AH31" i="3" a="1"/>
  <c r="AH31" i="3" s="1"/>
  <c r="AH36" i="3" a="1"/>
  <c r="AH36" i="3" s="1"/>
  <c r="AH10" i="3" a="1"/>
  <c r="AH10" i="3" s="1"/>
  <c r="AH18" i="3" a="1"/>
  <c r="AH18" i="3" s="1"/>
  <c r="AH26" i="3" a="1"/>
  <c r="AH26" i="3" s="1"/>
  <c r="AH37" i="3" a="1"/>
  <c r="AH37" i="3" s="1"/>
  <c r="L19" i="3" a="1"/>
  <c r="L19" i="3" s="1"/>
  <c r="L27" i="3" a="1"/>
  <c r="L27" i="3" s="1"/>
  <c r="L22" i="3" a="1"/>
  <c r="L22" i="3" s="1"/>
  <c r="L13" i="3" a="1"/>
  <c r="L13" i="3" s="1"/>
  <c r="L18" i="3" a="1"/>
  <c r="L18" i="3" s="1"/>
  <c r="L26" i="3" a="1"/>
  <c r="L26" i="3" s="1"/>
  <c r="L30" i="3" a="1"/>
  <c r="L30" i="3" s="1"/>
  <c r="L11" i="3" a="1"/>
  <c r="L11" i="3" s="1"/>
  <c r="L33" i="3" a="1"/>
  <c r="L33" i="3" s="1"/>
  <c r="L29" i="3" a="1"/>
  <c r="L29" i="3" s="1"/>
  <c r="L16" i="3" a="1"/>
  <c r="L16" i="3" s="1"/>
  <c r="L12" i="3" a="1"/>
  <c r="L12" i="3" s="1"/>
  <c r="L21" i="3" a="1"/>
  <c r="L21" i="3" s="1"/>
  <c r="L32" i="3" a="1"/>
  <c r="L32" i="3" s="1"/>
  <c r="L36" i="3" a="1"/>
  <c r="L36" i="3" s="1"/>
  <c r="L35" i="3" a="1"/>
  <c r="L35" i="3" s="1"/>
  <c r="L34" i="3" a="1"/>
  <c r="L34" i="3" s="1"/>
  <c r="L28" i="3" a="1"/>
  <c r="L28" i="3" s="1"/>
  <c r="L20" i="3" a="1"/>
  <c r="L20" i="3" s="1"/>
  <c r="L31" i="3" a="1"/>
  <c r="L31" i="3" s="1"/>
  <c r="L37" i="3" a="1"/>
  <c r="L37" i="3" s="1"/>
  <c r="F13" i="3" a="1"/>
  <c r="F13" i="3" s="1"/>
  <c r="F16" i="3" a="1"/>
  <c r="F16" i="3" s="1"/>
  <c r="F21" i="3" a="1"/>
  <c r="F21" i="3" s="1"/>
  <c r="F24" i="3" a="1"/>
  <c r="F24" i="3" s="1"/>
  <c r="F28" i="3" a="1"/>
  <c r="F28" i="3" s="1"/>
  <c r="F32" i="3" a="1"/>
  <c r="F32" i="3" s="1"/>
  <c r="F36" i="3" a="1"/>
  <c r="F36" i="3" s="1"/>
  <c r="F11" i="3" a="1"/>
  <c r="F11" i="3" s="1"/>
  <c r="F14" i="3" a="1"/>
  <c r="F14" i="3" s="1"/>
  <c r="F19" i="3" a="1"/>
  <c r="F19" i="3" s="1"/>
  <c r="F22" i="3" a="1"/>
  <c r="F22" i="3" s="1"/>
  <c r="F25" i="3" a="1"/>
  <c r="F25" i="3" s="1"/>
  <c r="F29" i="3" a="1"/>
  <c r="F29" i="3" s="1"/>
  <c r="F33" i="3" a="1"/>
  <c r="F33" i="3" s="1"/>
  <c r="F37" i="3" a="1"/>
  <c r="F37" i="3" s="1"/>
  <c r="F9" i="3" a="1"/>
  <c r="F9" i="3" s="1"/>
  <c r="F12" i="3" a="1"/>
  <c r="F12" i="3" s="1"/>
  <c r="F17" i="3" a="1"/>
  <c r="F17" i="3" s="1"/>
  <c r="F20" i="3" a="1"/>
  <c r="F20" i="3" s="1"/>
  <c r="F26" i="3" a="1"/>
  <c r="F26" i="3" s="1"/>
  <c r="F30" i="3" a="1"/>
  <c r="F30" i="3" s="1"/>
  <c r="F34" i="3" a="1"/>
  <c r="F34" i="3" s="1"/>
  <c r="F8" i="3" a="1"/>
  <c r="F8" i="3" s="1"/>
  <c r="F10" i="3" a="1"/>
  <c r="F10" i="3" s="1"/>
  <c r="F15" i="3" a="1"/>
  <c r="F15" i="3" s="1"/>
  <c r="F18" i="3" a="1"/>
  <c r="F18" i="3" s="1"/>
  <c r="F23" i="3" a="1"/>
  <c r="F23" i="3" s="1"/>
  <c r="F27" i="3" a="1"/>
  <c r="F27" i="3" s="1"/>
  <c r="F31" i="3" a="1"/>
  <c r="F31" i="3" s="1"/>
  <c r="F35" i="3" a="1"/>
  <c r="F35" i="3" s="1"/>
  <c r="H13" i="3" a="1"/>
  <c r="H13" i="3" s="1"/>
  <c r="H16" i="3" a="1"/>
  <c r="H16" i="3" s="1"/>
  <c r="H21" i="3" a="1"/>
  <c r="H21" i="3" s="1"/>
  <c r="H24" i="3" a="1"/>
  <c r="H24" i="3" s="1"/>
  <c r="H29" i="3" a="1"/>
  <c r="H29" i="3" s="1"/>
  <c r="H32" i="3" a="1"/>
  <c r="H32" i="3" s="1"/>
  <c r="H36" i="3" a="1"/>
  <c r="H36" i="3" s="1"/>
  <c r="H11" i="3" a="1"/>
  <c r="H11" i="3" s="1"/>
  <c r="H14" i="3" a="1"/>
  <c r="H14" i="3" s="1"/>
  <c r="H19" i="3" a="1"/>
  <c r="H19" i="3" s="1"/>
  <c r="H22" i="3" a="1"/>
  <c r="H22" i="3" s="1"/>
  <c r="H27" i="3" a="1"/>
  <c r="H27" i="3" s="1"/>
  <c r="H30" i="3" a="1"/>
  <c r="H30" i="3" s="1"/>
  <c r="H33" i="3" a="1"/>
  <c r="H33" i="3" s="1"/>
  <c r="H37" i="3" a="1"/>
  <c r="H37" i="3" s="1"/>
  <c r="H9" i="3" a="1"/>
  <c r="H9" i="3" s="1"/>
  <c r="H12" i="3" a="1"/>
  <c r="H12" i="3" s="1"/>
  <c r="H17" i="3" a="1"/>
  <c r="H17" i="3" s="1"/>
  <c r="H20" i="3" a="1"/>
  <c r="H20" i="3" s="1"/>
  <c r="H25" i="3" a="1"/>
  <c r="H25" i="3" s="1"/>
  <c r="H28" i="3" a="1"/>
  <c r="H28" i="3" s="1"/>
  <c r="H34" i="3" a="1"/>
  <c r="H34" i="3" s="1"/>
  <c r="H10" i="3" a="1"/>
  <c r="H10" i="3" s="1"/>
  <c r="H15" i="3" a="1"/>
  <c r="H15" i="3" s="1"/>
  <c r="H18" i="3" a="1"/>
  <c r="H18" i="3" s="1"/>
  <c r="H23" i="3" a="1"/>
  <c r="H23" i="3" s="1"/>
  <c r="H26" i="3" a="1"/>
  <c r="H26" i="3" s="1"/>
  <c r="H31" i="3" a="1"/>
  <c r="H31" i="3" s="1"/>
  <c r="H35" i="3" a="1"/>
  <c r="H35" i="3" s="1"/>
  <c r="H8" i="3" a="1"/>
  <c r="H8" i="3" s="1"/>
  <c r="J10" i="3" a="1"/>
  <c r="J10" i="3" s="1"/>
  <c r="J15" i="3" a="1"/>
  <c r="J15" i="3" s="1"/>
  <c r="J17" i="3" a="1"/>
  <c r="J17" i="3" s="1"/>
  <c r="J22" i="3" a="1"/>
  <c r="J22" i="3" s="1"/>
  <c r="J14" i="3" a="1"/>
  <c r="J14" i="3" s="1"/>
  <c r="J19" i="3" a="1"/>
  <c r="J19" i="3" s="1"/>
  <c r="J20" i="3" a="1"/>
  <c r="J20" i="3" s="1"/>
  <c r="J21" i="3" a="1"/>
  <c r="J21" i="3" s="1"/>
  <c r="J26" i="3" a="1"/>
  <c r="J26" i="3" s="1"/>
  <c r="J11" i="3" a="1"/>
  <c r="J11" i="3" s="1"/>
  <c r="J23" i="3" a="1"/>
  <c r="J23" i="3" s="1"/>
  <c r="J24" i="3" a="1"/>
  <c r="J24" i="3" s="1"/>
  <c r="J25" i="3" a="1"/>
  <c r="J25" i="3" s="1"/>
  <c r="J12" i="3" a="1"/>
  <c r="J12" i="3" s="1"/>
  <c r="J16" i="3" a="1"/>
  <c r="J16" i="3" s="1"/>
  <c r="J13" i="3" a="1"/>
  <c r="J13" i="3" s="1"/>
  <c r="J27" i="3" a="1"/>
  <c r="J27" i="3" s="1"/>
  <c r="J8" i="3" a="1"/>
  <c r="J8" i="3" s="1"/>
  <c r="J18" i="3" a="1"/>
  <c r="J18" i="3" s="1"/>
  <c r="J9" i="3" a="1"/>
  <c r="J9" i="3" s="1"/>
  <c r="AW3" i="2"/>
  <c r="AV3" i="2"/>
  <c r="AO3" i="2"/>
  <c r="AS3" i="2"/>
  <c r="AP3" i="2"/>
  <c r="AT3" i="2"/>
  <c r="AM3" i="2"/>
  <c r="AQ3" i="2"/>
  <c r="AU3" i="2"/>
  <c r="AN3" i="2"/>
  <c r="AR3" i="2"/>
  <c r="E8" i="3" l="1" a="1"/>
  <c r="E8" i="3" s="1"/>
  <c r="E11" i="3" a="1"/>
  <c r="E11" i="3" s="1"/>
  <c r="E16" i="3" a="1"/>
  <c r="E16" i="3" s="1"/>
  <c r="E19" i="3" a="1"/>
  <c r="E19" i="3" s="1"/>
  <c r="E24" i="3" a="1"/>
  <c r="E24" i="3" s="1"/>
  <c r="E27" i="3" a="1"/>
  <c r="E27" i="3" s="1"/>
  <c r="E32" i="3" a="1"/>
  <c r="E32" i="3" s="1"/>
  <c r="E35" i="3" a="1"/>
  <c r="E35" i="3" s="1"/>
  <c r="E9" i="3" a="1"/>
  <c r="E9" i="3" s="1"/>
  <c r="E14" i="3" a="1"/>
  <c r="E14" i="3" s="1"/>
  <c r="E17" i="3" a="1"/>
  <c r="E17" i="3" s="1"/>
  <c r="E22" i="3" a="1"/>
  <c r="E22" i="3" s="1"/>
  <c r="E25" i="3" a="1"/>
  <c r="E25" i="3" s="1"/>
  <c r="E30" i="3" a="1"/>
  <c r="E30" i="3" s="1"/>
  <c r="E33" i="3" a="1"/>
  <c r="E33" i="3" s="1"/>
  <c r="E38" i="3" a="1"/>
  <c r="E38" i="3" s="1"/>
  <c r="E12" i="3" a="1"/>
  <c r="E12" i="3" s="1"/>
  <c r="E15" i="3" a="1"/>
  <c r="E15" i="3" s="1"/>
  <c r="E20" i="3" a="1"/>
  <c r="E20" i="3" s="1"/>
  <c r="E23" i="3" a="1"/>
  <c r="E23" i="3" s="1"/>
  <c r="E28" i="3" a="1"/>
  <c r="E28" i="3" s="1"/>
  <c r="E31" i="3" a="1"/>
  <c r="E31" i="3" s="1"/>
  <c r="E36" i="3" a="1"/>
  <c r="E36" i="3" s="1"/>
  <c r="E39" i="3" a="1"/>
  <c r="E39" i="3" s="1"/>
  <c r="E10" i="3" a="1"/>
  <c r="E10" i="3" s="1"/>
  <c r="E13" i="3" a="1"/>
  <c r="E13" i="3" s="1"/>
  <c r="E18" i="3" a="1"/>
  <c r="E18" i="3" s="1"/>
  <c r="E21" i="3" a="1"/>
  <c r="E21" i="3" s="1"/>
  <c r="E26" i="3" a="1"/>
  <c r="E26" i="3" s="1"/>
  <c r="E29" i="3" a="1"/>
  <c r="E29" i="3" s="1"/>
  <c r="E34" i="3" a="1"/>
  <c r="E34" i="3" s="1"/>
  <c r="E37" i="3" a="1"/>
  <c r="E37" i="3" s="1"/>
  <c r="C8" i="3" a="1"/>
  <c r="C8" i="3" s="1"/>
  <c r="C11" i="3" a="1"/>
  <c r="C11" i="3" s="1"/>
  <c r="C16" i="3" a="1"/>
  <c r="C16" i="3" s="1"/>
  <c r="C19" i="3" a="1"/>
  <c r="C19" i="3" s="1"/>
  <c r="C24" i="3" a="1"/>
  <c r="C24" i="3" s="1"/>
  <c r="C27" i="3" a="1"/>
  <c r="C27" i="3" s="1"/>
  <c r="C32" i="3" a="1"/>
  <c r="C32" i="3" s="1"/>
  <c r="C35" i="3" a="1"/>
  <c r="C35" i="3" s="1"/>
  <c r="C9" i="3" a="1"/>
  <c r="C9" i="3" s="1"/>
  <c r="C14" i="3" a="1"/>
  <c r="C14" i="3" s="1"/>
  <c r="C17" i="3" a="1"/>
  <c r="C17" i="3" s="1"/>
  <c r="C22" i="3" a="1"/>
  <c r="C22" i="3" s="1"/>
  <c r="C25" i="3" a="1"/>
  <c r="C25" i="3" s="1"/>
  <c r="C30" i="3" a="1"/>
  <c r="C30" i="3" s="1"/>
  <c r="C33" i="3" a="1"/>
  <c r="C33" i="3" s="1"/>
  <c r="C38" i="3" a="1"/>
  <c r="C38" i="3" s="1"/>
  <c r="C12" i="3" a="1"/>
  <c r="C12" i="3" s="1"/>
  <c r="C15" i="3" a="1"/>
  <c r="C15" i="3" s="1"/>
  <c r="C20" i="3" a="1"/>
  <c r="C20" i="3" s="1"/>
  <c r="C23" i="3" a="1"/>
  <c r="C23" i="3" s="1"/>
  <c r="C28" i="3" a="1"/>
  <c r="C28" i="3" s="1"/>
  <c r="C31" i="3" a="1"/>
  <c r="C31" i="3" s="1"/>
  <c r="C36" i="3" a="1"/>
  <c r="C36" i="3" s="1"/>
  <c r="C39" i="3" a="1"/>
  <c r="C39" i="3" s="1"/>
  <c r="C10" i="3" a="1"/>
  <c r="C10" i="3" s="1"/>
  <c r="C13" i="3" a="1"/>
  <c r="C13" i="3" s="1"/>
  <c r="C18" i="3" a="1"/>
  <c r="C18" i="3" s="1"/>
  <c r="C21" i="3" a="1"/>
  <c r="C21" i="3" s="1"/>
  <c r="C26" i="3" a="1"/>
  <c r="C26" i="3" s="1"/>
  <c r="C29" i="3" a="1"/>
  <c r="C29" i="3" s="1"/>
  <c r="C34" i="3" a="1"/>
  <c r="C34" i="3" s="1"/>
  <c r="C37" i="3" a="1"/>
  <c r="C37" i="3" s="1"/>
  <c r="AL3" i="2"/>
  <c r="AK3" i="2"/>
  <c r="C3" i="1"/>
  <c r="B8" i="3" l="1" a="1"/>
  <c r="B8" i="3" s="1"/>
  <c r="B12" i="3" a="1"/>
  <c r="B12" i="3" s="1"/>
  <c r="B16" i="3" a="1"/>
  <c r="B16" i="3" s="1"/>
  <c r="B20" i="3" a="1"/>
  <c r="B20" i="3" s="1"/>
  <c r="B24" i="3" a="1"/>
  <c r="B24" i="3" s="1"/>
  <c r="B28" i="3" a="1"/>
  <c r="B28" i="3" s="1"/>
  <c r="B32" i="3" a="1"/>
  <c r="B32" i="3" s="1"/>
  <c r="B36" i="3" a="1"/>
  <c r="B36" i="3" s="1"/>
  <c r="B9" i="3" a="1"/>
  <c r="B9" i="3" s="1"/>
  <c r="B13" i="3" a="1"/>
  <c r="B13" i="3" s="1"/>
  <c r="B17" i="3" a="1"/>
  <c r="B17" i="3" s="1"/>
  <c r="B21" i="3" a="1"/>
  <c r="B21" i="3" s="1"/>
  <c r="B25" i="3" a="1"/>
  <c r="B25" i="3" s="1"/>
  <c r="B29" i="3" a="1"/>
  <c r="B29" i="3" s="1"/>
  <c r="B33" i="3" a="1"/>
  <c r="B33" i="3" s="1"/>
  <c r="B37" i="3" a="1"/>
  <c r="B37" i="3" s="1"/>
  <c r="B10" i="3" a="1"/>
  <c r="B10" i="3" s="1"/>
  <c r="B14" i="3" a="1"/>
  <c r="B14" i="3" s="1"/>
  <c r="B18" i="3" a="1"/>
  <c r="B18" i="3" s="1"/>
  <c r="B22" i="3" a="1"/>
  <c r="B22" i="3" s="1"/>
  <c r="B26" i="3" a="1"/>
  <c r="B26" i="3" s="1"/>
  <c r="B30" i="3" a="1"/>
  <c r="B30" i="3" s="1"/>
  <c r="B34" i="3" a="1"/>
  <c r="B34" i="3" s="1"/>
  <c r="B38" i="3" a="1"/>
  <c r="B38" i="3" s="1"/>
  <c r="B11" i="3" a="1"/>
  <c r="B11" i="3" s="1"/>
  <c r="B15" i="3" a="1"/>
  <c r="B15" i="3" s="1"/>
  <c r="B19" i="3" a="1"/>
  <c r="B19" i="3" s="1"/>
  <c r="B23" i="3" a="1"/>
  <c r="B23" i="3" s="1"/>
  <c r="B27" i="3" a="1"/>
  <c r="B27" i="3" s="1"/>
  <c r="B31" i="3" a="1"/>
  <c r="B31" i="3" s="1"/>
  <c r="B35" i="3" a="1"/>
  <c r="B35" i="3" s="1"/>
  <c r="B39" i="3" a="1"/>
  <c r="B39" i="3" s="1"/>
  <c r="C6" i="3"/>
  <c r="D8" i="3" a="1"/>
  <c r="D8" i="3" s="1"/>
  <c r="D11" i="3" a="1"/>
  <c r="D11" i="3" s="1"/>
  <c r="D16" i="3" a="1"/>
  <c r="D16" i="3" s="1"/>
  <c r="D19" i="3" a="1"/>
  <c r="D19" i="3" s="1"/>
  <c r="D24" i="3" a="1"/>
  <c r="D24" i="3" s="1"/>
  <c r="D27" i="3" a="1"/>
  <c r="D27" i="3" s="1"/>
  <c r="D32" i="3" a="1"/>
  <c r="D32" i="3" s="1"/>
  <c r="D35" i="3" a="1"/>
  <c r="D35" i="3" s="1"/>
  <c r="D9" i="3" a="1"/>
  <c r="D9" i="3" s="1"/>
  <c r="D14" i="3" a="1"/>
  <c r="D14" i="3" s="1"/>
  <c r="D17" i="3" a="1"/>
  <c r="D17" i="3" s="1"/>
  <c r="D22" i="3" a="1"/>
  <c r="D22" i="3" s="1"/>
  <c r="D25" i="3" a="1"/>
  <c r="D25" i="3" s="1"/>
  <c r="D30" i="3" a="1"/>
  <c r="D30" i="3" s="1"/>
  <c r="D33" i="3" a="1"/>
  <c r="D33" i="3" s="1"/>
  <c r="D38" i="3" a="1"/>
  <c r="D38" i="3" s="1"/>
  <c r="D12" i="3" a="1"/>
  <c r="D12" i="3" s="1"/>
  <c r="D15" i="3" a="1"/>
  <c r="D15" i="3" s="1"/>
  <c r="D20" i="3" a="1"/>
  <c r="D20" i="3" s="1"/>
  <c r="D23" i="3" a="1"/>
  <c r="D23" i="3" s="1"/>
  <c r="D28" i="3" a="1"/>
  <c r="D28" i="3" s="1"/>
  <c r="D31" i="3" a="1"/>
  <c r="D31" i="3" s="1"/>
  <c r="D36" i="3" a="1"/>
  <c r="D36" i="3" s="1"/>
  <c r="D39" i="3" a="1"/>
  <c r="D39" i="3" s="1"/>
  <c r="D10" i="3" a="1"/>
  <c r="D10" i="3" s="1"/>
  <c r="D13" i="3" a="1"/>
  <c r="D13" i="3" s="1"/>
  <c r="D18" i="3" a="1"/>
  <c r="D18" i="3" s="1"/>
  <c r="D21" i="3" a="1"/>
  <c r="D21" i="3" s="1"/>
  <c r="D26" i="3" a="1"/>
  <c r="D26" i="3" s="1"/>
  <c r="D29" i="3" a="1"/>
  <c r="D29" i="3" s="1"/>
  <c r="D34" i="3" a="1"/>
  <c r="D34" i="3" s="1"/>
  <c r="D37" i="3" a="1"/>
  <c r="D37" i="3" s="1"/>
  <c r="E6" i="3"/>
  <c r="CE326" i="3"/>
  <c r="CE314" i="3"/>
  <c r="CE321" i="3"/>
  <c r="CE319" i="3"/>
  <c r="CE329" i="3"/>
  <c r="CE332" i="3"/>
  <c r="CE331" i="3"/>
  <c r="CE335" i="3"/>
  <c r="CE309" i="3"/>
  <c r="CE322" i="3"/>
  <c r="CE333" i="3"/>
  <c r="CE323" i="3"/>
  <c r="CE336" i="3"/>
  <c r="CE328" i="3"/>
  <c r="CE318" i="3"/>
  <c r="CE312" i="3"/>
  <c r="CE307" i="3"/>
  <c r="CE315" i="3"/>
  <c r="CE324" i="3"/>
  <c r="CE334" i="3"/>
  <c r="CE320" i="3"/>
  <c r="CE317" i="3"/>
  <c r="CE325" i="3"/>
  <c r="CE330" i="3"/>
  <c r="CE313" i="3"/>
  <c r="CE310" i="3"/>
  <c r="CE306" i="3"/>
  <c r="AA8" i="3" a="1"/>
  <c r="AA8" i="3" s="1"/>
  <c r="CE327" i="3"/>
  <c r="CE308" i="3"/>
  <c r="CE316" i="3"/>
  <c r="CE311" i="3"/>
  <c r="Z11" i="3" l="1" a="1"/>
  <c r="Z11" i="3" s="1"/>
  <c r="Z27" i="3" a="1"/>
  <c r="Z27" i="3" s="1"/>
  <c r="Z43" i="3" a="1"/>
  <c r="Z43" i="3" s="1"/>
  <c r="Z59" i="3" a="1"/>
  <c r="Z59" i="3" s="1"/>
  <c r="Z75" i="3" a="1"/>
  <c r="Z75" i="3" s="1"/>
  <c r="Z16" i="3" a="1"/>
  <c r="Z16" i="3" s="1"/>
  <c r="Z32" i="3" a="1"/>
  <c r="Z32" i="3" s="1"/>
  <c r="Z48" i="3" a="1"/>
  <c r="Z48" i="3" s="1"/>
  <c r="Z64" i="3" a="1"/>
  <c r="Z64" i="3" s="1"/>
  <c r="Z80" i="3" a="1"/>
  <c r="Z80" i="3" s="1"/>
  <c r="Z13" i="3" a="1"/>
  <c r="Z13" i="3" s="1"/>
  <c r="Z29" i="3" a="1"/>
  <c r="Z29" i="3" s="1"/>
  <c r="Z45" i="3" a="1"/>
  <c r="Z45" i="3" s="1"/>
  <c r="Z61" i="3" a="1"/>
  <c r="Z61" i="3" s="1"/>
  <c r="Z77" i="3" a="1"/>
  <c r="Z77" i="3" s="1"/>
  <c r="Z10" i="3" a="1"/>
  <c r="Z10" i="3" s="1"/>
  <c r="Z62" i="3" a="1"/>
  <c r="Z62" i="3" s="1"/>
  <c r="Z98" i="3" a="1"/>
  <c r="Z98" i="3" s="1"/>
  <c r="Z114" i="3" a="1"/>
  <c r="Z114" i="3" s="1"/>
  <c r="Z130" i="3" a="1"/>
  <c r="Z130" i="3" s="1"/>
  <c r="Z146" i="3" a="1"/>
  <c r="Z146" i="3" s="1"/>
  <c r="Z162" i="3" a="1"/>
  <c r="Z162" i="3" s="1"/>
  <c r="Z178" i="3" a="1"/>
  <c r="Z178" i="3" s="1"/>
  <c r="Z193" i="3" a="1"/>
  <c r="Z193" i="3" s="1"/>
  <c r="Z209" i="3" a="1"/>
  <c r="Z209" i="3" s="1"/>
  <c r="Z225" i="3" a="1"/>
  <c r="Z225" i="3" s="1"/>
  <c r="Z241" i="3" a="1"/>
  <c r="Z241" i="3" s="1"/>
  <c r="Z257" i="3" a="1"/>
  <c r="Z257" i="3" s="1"/>
  <c r="Z273" i="3" a="1"/>
  <c r="Z273" i="3" s="1"/>
  <c r="Z289" i="3" a="1"/>
  <c r="Z289" i="3" s="1"/>
  <c r="Z34" i="3" a="1"/>
  <c r="Z34" i="3" s="1"/>
  <c r="Z91" i="3" a="1"/>
  <c r="Z91" i="3" s="1"/>
  <c r="Z107" i="3" a="1"/>
  <c r="Z107" i="3" s="1"/>
  <c r="Z123" i="3" a="1"/>
  <c r="Z123" i="3" s="1"/>
  <c r="Z139" i="3" a="1"/>
  <c r="Z139" i="3" s="1"/>
  <c r="Z155" i="3" a="1"/>
  <c r="Z155" i="3" s="1"/>
  <c r="Z171" i="3" a="1"/>
  <c r="Z171" i="3" s="1"/>
  <c r="Z186" i="3" a="1"/>
  <c r="Z186" i="3" s="1"/>
  <c r="Z202" i="3" a="1"/>
  <c r="Z202" i="3" s="1"/>
  <c r="Z218" i="3" a="1"/>
  <c r="Z218" i="3" s="1"/>
  <c r="Z234" i="3" a="1"/>
  <c r="Z234" i="3" s="1"/>
  <c r="Z250" i="3" a="1"/>
  <c r="Z250" i="3" s="1"/>
  <c r="Z266" i="3" a="1"/>
  <c r="Z266" i="3" s="1"/>
  <c r="Z282" i="3" a="1"/>
  <c r="Z282" i="3" s="1"/>
  <c r="Z298" i="3" a="1"/>
  <c r="Z298" i="3" s="1"/>
  <c r="Z70" i="3" a="1"/>
  <c r="Z70" i="3" s="1"/>
  <c r="Z100" i="3" a="1"/>
  <c r="Z100" i="3" s="1"/>
  <c r="Z116" i="3" a="1"/>
  <c r="Z116" i="3" s="1"/>
  <c r="Z132" i="3" a="1"/>
  <c r="Z132" i="3" s="1"/>
  <c r="Z148" i="3" a="1"/>
  <c r="Z148" i="3" s="1"/>
  <c r="Z164" i="3" a="1"/>
  <c r="Z164" i="3" s="1"/>
  <c r="Z180" i="3" a="1"/>
  <c r="Z180" i="3" s="1"/>
  <c r="Z195" i="3" a="1"/>
  <c r="Z195" i="3" s="1"/>
  <c r="Z211" i="3" a="1"/>
  <c r="Z211" i="3" s="1"/>
  <c r="Z227" i="3" a="1"/>
  <c r="Z227" i="3" s="1"/>
  <c r="Z243" i="3" a="1"/>
  <c r="Z243" i="3" s="1"/>
  <c r="Z259" i="3" a="1"/>
  <c r="Z259" i="3" s="1"/>
  <c r="Z275" i="3" a="1"/>
  <c r="Z275" i="3" s="1"/>
  <c r="Z291" i="3" a="1"/>
  <c r="Z291" i="3" s="1"/>
  <c r="Z42" i="3" a="1"/>
  <c r="Z42" i="3" s="1"/>
  <c r="Z93" i="3" a="1"/>
  <c r="Z93" i="3" s="1"/>
  <c r="Z109" i="3" a="1"/>
  <c r="Z109" i="3" s="1"/>
  <c r="Z125" i="3" a="1"/>
  <c r="Z125" i="3" s="1"/>
  <c r="Z141" i="3" a="1"/>
  <c r="Z141" i="3" s="1"/>
  <c r="Z157" i="3" a="1"/>
  <c r="Z157" i="3" s="1"/>
  <c r="Z173" i="3" a="1"/>
  <c r="Z173" i="3" s="1"/>
  <c r="Z192" i="3" a="1"/>
  <c r="Z192" i="3" s="1"/>
  <c r="Z208" i="3" a="1"/>
  <c r="Z208" i="3" s="1"/>
  <c r="Z224" i="3" a="1"/>
  <c r="Z224" i="3" s="1"/>
  <c r="Z240" i="3" a="1"/>
  <c r="Z240" i="3" s="1"/>
  <c r="Z256" i="3" a="1"/>
  <c r="Z256" i="3" s="1"/>
  <c r="Z272" i="3" a="1"/>
  <c r="Z272" i="3" s="1"/>
  <c r="Z288" i="3" a="1"/>
  <c r="Z288" i="3" s="1"/>
  <c r="Z15" i="3" a="1"/>
  <c r="Z15" i="3" s="1"/>
  <c r="Z31" i="3" a="1"/>
  <c r="Z31" i="3" s="1"/>
  <c r="Z47" i="3" a="1"/>
  <c r="Z47" i="3" s="1"/>
  <c r="Z63" i="3" a="1"/>
  <c r="Z63" i="3" s="1"/>
  <c r="Z79" i="3" a="1"/>
  <c r="Z79" i="3" s="1"/>
  <c r="Z20" i="3" a="1"/>
  <c r="Z20" i="3" s="1"/>
  <c r="Z36" i="3" a="1"/>
  <c r="Z36" i="3" s="1"/>
  <c r="Z52" i="3" a="1"/>
  <c r="Z52" i="3" s="1"/>
  <c r="Z68" i="3" a="1"/>
  <c r="Z68" i="3" s="1"/>
  <c r="Z84" i="3" a="1"/>
  <c r="Z84" i="3" s="1"/>
  <c r="Z17" i="3" a="1"/>
  <c r="Z17" i="3" s="1"/>
  <c r="Z33" i="3" a="1"/>
  <c r="Z33" i="3" s="1"/>
  <c r="Z49" i="3" a="1"/>
  <c r="Z49" i="3" s="1"/>
  <c r="Z65" i="3" a="1"/>
  <c r="Z65" i="3" s="1"/>
  <c r="Z81" i="3" a="1"/>
  <c r="Z81" i="3" s="1"/>
  <c r="Z14" i="3" a="1"/>
  <c r="Z14" i="3" s="1"/>
  <c r="Z78" i="3" a="1"/>
  <c r="Z78" i="3" s="1"/>
  <c r="Z102" i="3" a="1"/>
  <c r="Z102" i="3" s="1"/>
  <c r="Z118" i="3" a="1"/>
  <c r="Z118" i="3" s="1"/>
  <c r="Z134" i="3" a="1"/>
  <c r="Z134" i="3" s="1"/>
  <c r="Z150" i="3" a="1"/>
  <c r="Z150" i="3" s="1"/>
  <c r="Z166" i="3" a="1"/>
  <c r="Z166" i="3" s="1"/>
  <c r="Z181" i="3" a="1"/>
  <c r="Z181" i="3" s="1"/>
  <c r="Z197" i="3" a="1"/>
  <c r="Z197" i="3" s="1"/>
  <c r="Z213" i="3" a="1"/>
  <c r="Z213" i="3" s="1"/>
  <c r="Z229" i="3" a="1"/>
  <c r="Z229" i="3" s="1"/>
  <c r="Z245" i="3" a="1"/>
  <c r="Z245" i="3" s="1"/>
  <c r="Z261" i="3" a="1"/>
  <c r="Z261" i="3" s="1"/>
  <c r="Z277" i="3" a="1"/>
  <c r="Z277" i="3" s="1"/>
  <c r="Z293" i="3" a="1"/>
  <c r="Z293" i="3" s="1"/>
  <c r="Z50" i="3" a="1"/>
  <c r="Z50" i="3" s="1"/>
  <c r="Z95" i="3" a="1"/>
  <c r="Z95" i="3" s="1"/>
  <c r="Z111" i="3" a="1"/>
  <c r="Z111" i="3" s="1"/>
  <c r="Z127" i="3" a="1"/>
  <c r="Z127" i="3" s="1"/>
  <c r="Z143" i="3" a="1"/>
  <c r="Z143" i="3" s="1"/>
  <c r="Z159" i="3" a="1"/>
  <c r="Z159" i="3" s="1"/>
  <c r="Z175" i="3" a="1"/>
  <c r="Z175" i="3" s="1"/>
  <c r="Z190" i="3" a="1"/>
  <c r="Z190" i="3" s="1"/>
  <c r="Z206" i="3" a="1"/>
  <c r="Z206" i="3" s="1"/>
  <c r="Z222" i="3" a="1"/>
  <c r="Z222" i="3" s="1"/>
  <c r="Z238" i="3" a="1"/>
  <c r="Z238" i="3" s="1"/>
  <c r="Z254" i="3" a="1"/>
  <c r="Z254" i="3" s="1"/>
  <c r="Z270" i="3" a="1"/>
  <c r="Z270" i="3" s="1"/>
  <c r="Z286" i="3" a="1"/>
  <c r="Z286" i="3" s="1"/>
  <c r="Z22" i="3" a="1"/>
  <c r="Z22" i="3" s="1"/>
  <c r="Z86" i="3" a="1"/>
  <c r="Z86" i="3" s="1"/>
  <c r="Z104" i="3" a="1"/>
  <c r="Z104" i="3" s="1"/>
  <c r="Z120" i="3" a="1"/>
  <c r="Z120" i="3" s="1"/>
  <c r="Z136" i="3" a="1"/>
  <c r="Z136" i="3" s="1"/>
  <c r="Z152" i="3" a="1"/>
  <c r="Z152" i="3" s="1"/>
  <c r="Z168" i="3" a="1"/>
  <c r="Z168" i="3" s="1"/>
  <c r="Z183" i="3" a="1"/>
  <c r="Z183" i="3" s="1"/>
  <c r="Z199" i="3" a="1"/>
  <c r="Z199" i="3" s="1"/>
  <c r="Z215" i="3" a="1"/>
  <c r="Z215" i="3" s="1"/>
  <c r="Z231" i="3" a="1"/>
  <c r="Z231" i="3" s="1"/>
  <c r="Z247" i="3" a="1"/>
  <c r="Z247" i="3" s="1"/>
  <c r="Z263" i="3" a="1"/>
  <c r="Z263" i="3" s="1"/>
  <c r="Z279" i="3" a="1"/>
  <c r="Z279" i="3" s="1"/>
  <c r="Z295" i="3" a="1"/>
  <c r="Z295" i="3" s="1"/>
  <c r="Z58" i="3" a="1"/>
  <c r="Z58" i="3" s="1"/>
  <c r="Z97" i="3" a="1"/>
  <c r="Z97" i="3" s="1"/>
  <c r="Z113" i="3" a="1"/>
  <c r="Z113" i="3" s="1"/>
  <c r="Z129" i="3" a="1"/>
  <c r="Z129" i="3" s="1"/>
  <c r="Z145" i="3" a="1"/>
  <c r="Z145" i="3" s="1"/>
  <c r="Z161" i="3" a="1"/>
  <c r="Z161" i="3" s="1"/>
  <c r="Z177" i="3" a="1"/>
  <c r="Z177" i="3" s="1"/>
  <c r="Z196" i="3" a="1"/>
  <c r="Z196" i="3" s="1"/>
  <c r="Z212" i="3" a="1"/>
  <c r="Z212" i="3" s="1"/>
  <c r="Z228" i="3" a="1"/>
  <c r="Z228" i="3" s="1"/>
  <c r="Z244" i="3" a="1"/>
  <c r="Z244" i="3" s="1"/>
  <c r="Z260" i="3" a="1"/>
  <c r="Z260" i="3" s="1"/>
  <c r="Z276" i="3" a="1"/>
  <c r="Z276" i="3" s="1"/>
  <c r="Z292" i="3" a="1"/>
  <c r="Z292" i="3" s="1"/>
  <c r="Z19" i="3" a="1"/>
  <c r="Z19" i="3" s="1"/>
  <c r="Z35" i="3" a="1"/>
  <c r="Z35" i="3" s="1"/>
  <c r="Z51" i="3" a="1"/>
  <c r="Z51" i="3" s="1"/>
  <c r="Z67" i="3" a="1"/>
  <c r="Z67" i="3" s="1"/>
  <c r="Z83" i="3" a="1"/>
  <c r="Z83" i="3" s="1"/>
  <c r="Z24" i="3" a="1"/>
  <c r="Z24" i="3" s="1"/>
  <c r="Z40" i="3" a="1"/>
  <c r="Z40" i="3" s="1"/>
  <c r="Z56" i="3" a="1"/>
  <c r="Z56" i="3" s="1"/>
  <c r="Z72" i="3" a="1"/>
  <c r="Z72" i="3" s="1"/>
  <c r="Z88" i="3" a="1"/>
  <c r="Z88" i="3" s="1"/>
  <c r="Z21" i="3" a="1"/>
  <c r="Z21" i="3" s="1"/>
  <c r="Z37" i="3" a="1"/>
  <c r="Z37" i="3" s="1"/>
  <c r="Z53" i="3" a="1"/>
  <c r="Z53" i="3" s="1"/>
  <c r="Z69" i="3" a="1"/>
  <c r="Z69" i="3" s="1"/>
  <c r="Z85" i="3" a="1"/>
  <c r="Z85" i="3" s="1"/>
  <c r="Z30" i="3" a="1"/>
  <c r="Z30" i="3" s="1"/>
  <c r="Z90" i="3" a="1"/>
  <c r="Z90" i="3" s="1"/>
  <c r="Z106" i="3" a="1"/>
  <c r="Z106" i="3" s="1"/>
  <c r="Z122" i="3" a="1"/>
  <c r="Z122" i="3" s="1"/>
  <c r="Z138" i="3" a="1"/>
  <c r="Z138" i="3" s="1"/>
  <c r="Z154" i="3" a="1"/>
  <c r="Z154" i="3" s="1"/>
  <c r="Z170" i="3" a="1"/>
  <c r="Z170" i="3" s="1"/>
  <c r="Z185" i="3" a="1"/>
  <c r="Z185" i="3" s="1"/>
  <c r="Z201" i="3" a="1"/>
  <c r="Z201" i="3" s="1"/>
  <c r="Z217" i="3" a="1"/>
  <c r="Z217" i="3" s="1"/>
  <c r="Z233" i="3" a="1"/>
  <c r="Z233" i="3" s="1"/>
  <c r="Z249" i="3" a="1"/>
  <c r="Z249" i="3" s="1"/>
  <c r="Z265" i="3" a="1"/>
  <c r="Z265" i="3" s="1"/>
  <c r="Z281" i="3" a="1"/>
  <c r="Z281" i="3" s="1"/>
  <c r="Z297" i="3" a="1"/>
  <c r="Z297" i="3" s="1"/>
  <c r="Z66" i="3" a="1"/>
  <c r="Z66" i="3" s="1"/>
  <c r="Z99" i="3" a="1"/>
  <c r="Z99" i="3" s="1"/>
  <c r="Z115" i="3" a="1"/>
  <c r="Z115" i="3" s="1"/>
  <c r="Z131" i="3" a="1"/>
  <c r="Z131" i="3" s="1"/>
  <c r="Z147" i="3" a="1"/>
  <c r="Z147" i="3" s="1"/>
  <c r="Z163" i="3" a="1"/>
  <c r="Z163" i="3" s="1"/>
  <c r="Z179" i="3" a="1"/>
  <c r="Z179" i="3" s="1"/>
  <c r="Z194" i="3" a="1"/>
  <c r="Z194" i="3" s="1"/>
  <c r="Z210" i="3" a="1"/>
  <c r="Z210" i="3" s="1"/>
  <c r="Z226" i="3" a="1"/>
  <c r="Z226" i="3" s="1"/>
  <c r="Z242" i="3" a="1"/>
  <c r="Z242" i="3" s="1"/>
  <c r="Z258" i="3" a="1"/>
  <c r="Z258" i="3" s="1"/>
  <c r="Z274" i="3" a="1"/>
  <c r="Z274" i="3" s="1"/>
  <c r="Z290" i="3" a="1"/>
  <c r="Z290" i="3" s="1"/>
  <c r="Z38" i="3" a="1"/>
  <c r="Z38" i="3" s="1"/>
  <c r="Z92" i="3" a="1"/>
  <c r="Z92" i="3" s="1"/>
  <c r="Z108" i="3" a="1"/>
  <c r="Z108" i="3" s="1"/>
  <c r="Z124" i="3" a="1"/>
  <c r="Z124" i="3" s="1"/>
  <c r="Z140" i="3" a="1"/>
  <c r="Z140" i="3" s="1"/>
  <c r="Z156" i="3" a="1"/>
  <c r="Z156" i="3" s="1"/>
  <c r="Z172" i="3" a="1"/>
  <c r="Z172" i="3" s="1"/>
  <c r="Z187" i="3" a="1"/>
  <c r="Z187" i="3" s="1"/>
  <c r="Z203" i="3" a="1"/>
  <c r="Z203" i="3" s="1"/>
  <c r="Z219" i="3" a="1"/>
  <c r="Z219" i="3" s="1"/>
  <c r="Z235" i="3" a="1"/>
  <c r="Z235" i="3" s="1"/>
  <c r="Z251" i="3" a="1"/>
  <c r="Z251" i="3" s="1"/>
  <c r="Z267" i="3" a="1"/>
  <c r="Z267" i="3" s="1"/>
  <c r="Z283" i="3" a="1"/>
  <c r="Z283" i="3" s="1"/>
  <c r="Z299" i="3" a="1"/>
  <c r="Z299" i="3" s="1"/>
  <c r="Z74" i="3" a="1"/>
  <c r="Z74" i="3" s="1"/>
  <c r="Z101" i="3" a="1"/>
  <c r="Z101" i="3" s="1"/>
  <c r="Z117" i="3" a="1"/>
  <c r="Z117" i="3" s="1"/>
  <c r="Z133" i="3" a="1"/>
  <c r="Z133" i="3" s="1"/>
  <c r="Z149" i="3" a="1"/>
  <c r="Z149" i="3" s="1"/>
  <c r="Z165" i="3" a="1"/>
  <c r="Z165" i="3" s="1"/>
  <c r="Z184" i="3" a="1"/>
  <c r="Z184" i="3" s="1"/>
  <c r="Z200" i="3" a="1"/>
  <c r="Z200" i="3" s="1"/>
  <c r="Z216" i="3" a="1"/>
  <c r="Z216" i="3" s="1"/>
  <c r="Z232" i="3" a="1"/>
  <c r="Z232" i="3" s="1"/>
  <c r="Z248" i="3" a="1"/>
  <c r="Z248" i="3" s="1"/>
  <c r="Z264" i="3" a="1"/>
  <c r="Z264" i="3" s="1"/>
  <c r="Z280" i="3" a="1"/>
  <c r="Z280" i="3" s="1"/>
  <c r="Z296" i="3" a="1"/>
  <c r="Z296" i="3" s="1"/>
  <c r="Z23" i="3" a="1"/>
  <c r="Z23" i="3" s="1"/>
  <c r="Z39" i="3" a="1"/>
  <c r="Z39" i="3" s="1"/>
  <c r="Z55" i="3" a="1"/>
  <c r="Z55" i="3" s="1"/>
  <c r="Z71" i="3" a="1"/>
  <c r="Z71" i="3" s="1"/>
  <c r="Z12" i="3" a="1"/>
  <c r="Z12" i="3" s="1"/>
  <c r="Z28" i="3" a="1"/>
  <c r="Z28" i="3" s="1"/>
  <c r="Z44" i="3" a="1"/>
  <c r="Z44" i="3" s="1"/>
  <c r="Z60" i="3" a="1"/>
  <c r="Z60" i="3" s="1"/>
  <c r="Z76" i="3" a="1"/>
  <c r="Z76" i="3" s="1"/>
  <c r="Z9" i="3" a="1"/>
  <c r="Z9" i="3" s="1"/>
  <c r="Z25" i="3" a="1"/>
  <c r="Z25" i="3" s="1"/>
  <c r="Z41" i="3" a="1"/>
  <c r="Z41" i="3" s="1"/>
  <c r="Z57" i="3" a="1"/>
  <c r="Z57" i="3" s="1"/>
  <c r="Z73" i="3" a="1"/>
  <c r="Z73" i="3" s="1"/>
  <c r="Z89" i="3" a="1"/>
  <c r="Z89" i="3" s="1"/>
  <c r="Z46" i="3" a="1"/>
  <c r="Z46" i="3" s="1"/>
  <c r="Z94" i="3" a="1"/>
  <c r="Z94" i="3" s="1"/>
  <c r="Z110" i="3" a="1"/>
  <c r="Z110" i="3" s="1"/>
  <c r="Z126" i="3" a="1"/>
  <c r="Z126" i="3" s="1"/>
  <c r="Z142" i="3" a="1"/>
  <c r="Z142" i="3" s="1"/>
  <c r="Z158" i="3" a="1"/>
  <c r="Z158" i="3" s="1"/>
  <c r="Z174" i="3" a="1"/>
  <c r="Z174" i="3" s="1"/>
  <c r="Z189" i="3" a="1"/>
  <c r="Z189" i="3" s="1"/>
  <c r="Z205" i="3" a="1"/>
  <c r="Z205" i="3" s="1"/>
  <c r="Z221" i="3" a="1"/>
  <c r="Z221" i="3" s="1"/>
  <c r="Z237" i="3" a="1"/>
  <c r="Z237" i="3" s="1"/>
  <c r="Z253" i="3" a="1"/>
  <c r="Z253" i="3" s="1"/>
  <c r="Z269" i="3" a="1"/>
  <c r="Z269" i="3" s="1"/>
  <c r="Z285" i="3" a="1"/>
  <c r="Z285" i="3" s="1"/>
  <c r="Z18" i="3" a="1"/>
  <c r="Z18" i="3" s="1"/>
  <c r="Z82" i="3" a="1"/>
  <c r="Z82" i="3" s="1"/>
  <c r="Z103" i="3" a="1"/>
  <c r="Z103" i="3" s="1"/>
  <c r="Z119" i="3" a="1"/>
  <c r="Z119" i="3" s="1"/>
  <c r="Z135" i="3" a="1"/>
  <c r="Z135" i="3" s="1"/>
  <c r="Z151" i="3" a="1"/>
  <c r="Z151" i="3" s="1"/>
  <c r="Z167" i="3" a="1"/>
  <c r="Z167" i="3" s="1"/>
  <c r="Z182" i="3" a="1"/>
  <c r="Z182" i="3" s="1"/>
  <c r="Z198" i="3" a="1"/>
  <c r="Z198" i="3" s="1"/>
  <c r="Z214" i="3" a="1"/>
  <c r="Z214" i="3" s="1"/>
  <c r="Z230" i="3" a="1"/>
  <c r="Z230" i="3" s="1"/>
  <c r="Z246" i="3" a="1"/>
  <c r="Z246" i="3" s="1"/>
  <c r="Z262" i="3" a="1"/>
  <c r="Z262" i="3" s="1"/>
  <c r="Z278" i="3" a="1"/>
  <c r="Z278" i="3" s="1"/>
  <c r="Z294" i="3" a="1"/>
  <c r="Z294" i="3" s="1"/>
  <c r="Z54" i="3" a="1"/>
  <c r="Z54" i="3" s="1"/>
  <c r="Z96" i="3" a="1"/>
  <c r="Z96" i="3" s="1"/>
  <c r="Z112" i="3" a="1"/>
  <c r="Z112" i="3" s="1"/>
  <c r="Z128" i="3" a="1"/>
  <c r="Z128" i="3" s="1"/>
  <c r="Z144" i="3" a="1"/>
  <c r="Z144" i="3" s="1"/>
  <c r="Z160" i="3" a="1"/>
  <c r="Z160" i="3" s="1"/>
  <c r="Z176" i="3" a="1"/>
  <c r="Z176" i="3" s="1"/>
  <c r="Z191" i="3" a="1"/>
  <c r="Z191" i="3" s="1"/>
  <c r="Z207" i="3" a="1"/>
  <c r="Z207" i="3" s="1"/>
  <c r="Z223" i="3" a="1"/>
  <c r="Z223" i="3" s="1"/>
  <c r="Z239" i="3" a="1"/>
  <c r="Z239" i="3" s="1"/>
  <c r="Z255" i="3" a="1"/>
  <c r="Z255" i="3" s="1"/>
  <c r="Z271" i="3" a="1"/>
  <c r="Z271" i="3" s="1"/>
  <c r="Z287" i="3" a="1"/>
  <c r="Z287" i="3" s="1"/>
  <c r="Z26" i="3" a="1"/>
  <c r="Z26" i="3" s="1"/>
  <c r="Z87" i="3" a="1"/>
  <c r="Z87" i="3" s="1"/>
  <c r="Z105" i="3" a="1"/>
  <c r="Z105" i="3" s="1"/>
  <c r="Z121" i="3" a="1"/>
  <c r="Z121" i="3" s="1"/>
  <c r="Z137" i="3" a="1"/>
  <c r="Z137" i="3" s="1"/>
  <c r="Z153" i="3" a="1"/>
  <c r="Z153" i="3" s="1"/>
  <c r="Z169" i="3" a="1"/>
  <c r="Z169" i="3" s="1"/>
  <c r="Z188" i="3" a="1"/>
  <c r="Z188" i="3" s="1"/>
  <c r="Z204" i="3" a="1"/>
  <c r="Z204" i="3" s="1"/>
  <c r="Z220" i="3" a="1"/>
  <c r="Z220" i="3" s="1"/>
  <c r="Z236" i="3" a="1"/>
  <c r="Z236" i="3" s="1"/>
  <c r="Z252" i="3" a="1"/>
  <c r="Z252" i="3" s="1"/>
  <c r="Z268" i="3" a="1"/>
  <c r="Z268" i="3" s="1"/>
  <c r="Z284" i="3" a="1"/>
  <c r="Z284" i="3" s="1"/>
  <c r="Z300" i="3" a="1"/>
  <c r="Z300" i="3" s="1"/>
  <c r="CH289" i="3"/>
  <c r="CG289" i="3" s="1"/>
  <c r="CH292" i="3"/>
  <c r="CG292" i="3" s="1"/>
  <c r="CH298" i="3"/>
  <c r="CG298" i="3" s="1"/>
  <c r="CH286" i="3"/>
  <c r="CG286" i="3" s="1"/>
  <c r="CH295" i="3"/>
  <c r="CG295" i="3" s="1"/>
  <c r="CH288" i="3"/>
  <c r="CG288" i="3" s="1"/>
  <c r="CH285" i="3"/>
  <c r="CG285" i="3" s="1"/>
  <c r="CH296" i="3"/>
  <c r="CG296" i="3" s="1"/>
  <c r="CH293" i="3"/>
  <c r="CG293" i="3" s="1"/>
  <c r="CH290" i="3"/>
  <c r="CG290" i="3" s="1"/>
  <c r="CH297" i="3"/>
  <c r="CG297" i="3" s="1"/>
  <c r="CH287" i="3"/>
  <c r="CG287" i="3" s="1"/>
  <c r="CH284" i="3"/>
  <c r="CG284" i="3" s="1"/>
  <c r="CH291" i="3"/>
  <c r="CG291" i="3" s="1"/>
  <c r="CH294" i="3"/>
  <c r="CG294" i="3" s="1"/>
  <c r="CH283" i="3"/>
  <c r="AA6" i="3"/>
  <c r="Z8" i="3" a="1"/>
  <c r="Z8" i="3" s="1"/>
  <c r="CG283" i="3" l="1"/>
  <c r="AC17" i="3" a="1"/>
  <c r="AC17" i="3" s="1"/>
  <c r="AC33" i="3" a="1"/>
  <c r="AC33" i="3" s="1"/>
  <c r="AC49" i="3" a="1"/>
  <c r="AC49" i="3" s="1"/>
  <c r="AC65" i="3" a="1"/>
  <c r="AC65" i="3" s="1"/>
  <c r="AC81" i="3" a="1"/>
  <c r="AC81" i="3" s="1"/>
  <c r="AC97" i="3" a="1"/>
  <c r="AC97" i="3" s="1"/>
  <c r="AC112" i="3" a="1"/>
  <c r="AC112" i="3" s="1"/>
  <c r="AC128" i="3" a="1"/>
  <c r="AC128" i="3" s="1"/>
  <c r="AC144" i="3" a="1"/>
  <c r="AC144" i="3" s="1"/>
  <c r="AC160" i="3" a="1"/>
  <c r="AC160" i="3" s="1"/>
  <c r="AC176" i="3" a="1"/>
  <c r="AC176" i="3" s="1"/>
  <c r="AC193" i="3" a="1"/>
  <c r="AC193" i="3" s="1"/>
  <c r="AC209" i="3" a="1"/>
  <c r="AC209" i="3" s="1"/>
  <c r="AC225" i="3" a="1"/>
  <c r="AC225" i="3" s="1"/>
  <c r="AC241" i="3" a="1"/>
  <c r="AC241" i="3" s="1"/>
  <c r="AC257" i="3" a="1"/>
  <c r="AC257" i="3" s="1"/>
  <c r="AC273" i="3" a="1"/>
  <c r="AC273" i="3" s="1"/>
  <c r="AC289" i="3" a="1"/>
  <c r="AC289" i="3" s="1"/>
  <c r="AC14" i="3" a="1"/>
  <c r="AC14" i="3" s="1"/>
  <c r="AC30" i="3" a="1"/>
  <c r="AC30" i="3" s="1"/>
  <c r="AC46" i="3" a="1"/>
  <c r="AC46" i="3" s="1"/>
  <c r="AC62" i="3" a="1"/>
  <c r="AC62" i="3" s="1"/>
  <c r="AC78" i="3" a="1"/>
  <c r="AC78" i="3" s="1"/>
  <c r="AC94" i="3" a="1"/>
  <c r="AC94" i="3" s="1"/>
  <c r="AC109" i="3" a="1"/>
  <c r="AC109" i="3" s="1"/>
  <c r="AC125" i="3" a="1"/>
  <c r="AC125" i="3" s="1"/>
  <c r="AC141" i="3" a="1"/>
  <c r="AC141" i="3" s="1"/>
  <c r="AC157" i="3" a="1"/>
  <c r="AC157" i="3" s="1"/>
  <c r="AC173" i="3" a="1"/>
  <c r="AC173" i="3" s="1"/>
  <c r="AC190" i="3" a="1"/>
  <c r="AC190" i="3" s="1"/>
  <c r="AC206" i="3" a="1"/>
  <c r="AC206" i="3" s="1"/>
  <c r="AC222" i="3" a="1"/>
  <c r="AC222" i="3" s="1"/>
  <c r="AC238" i="3" a="1"/>
  <c r="AC238" i="3" s="1"/>
  <c r="AC254" i="3" a="1"/>
  <c r="AC254" i="3" s="1"/>
  <c r="AC270" i="3" a="1"/>
  <c r="AC270" i="3" s="1"/>
  <c r="AC286" i="3" a="1"/>
  <c r="AC286" i="3" s="1"/>
  <c r="AC11" i="3" a="1"/>
  <c r="AC11" i="3" s="1"/>
  <c r="AC27" i="3" a="1"/>
  <c r="AC27" i="3" s="1"/>
  <c r="AC43" i="3" a="1"/>
  <c r="AC43" i="3" s="1"/>
  <c r="AC59" i="3" a="1"/>
  <c r="AC59" i="3" s="1"/>
  <c r="AC75" i="3" a="1"/>
  <c r="AC75" i="3" s="1"/>
  <c r="AC91" i="3" a="1"/>
  <c r="AC91" i="3" s="1"/>
  <c r="AC110" i="3" a="1"/>
  <c r="AC110" i="3" s="1"/>
  <c r="AC126" i="3" a="1"/>
  <c r="AC126" i="3" s="1"/>
  <c r="AC142" i="3" a="1"/>
  <c r="AC142" i="3" s="1"/>
  <c r="AC158" i="3" a="1"/>
  <c r="AC158" i="3" s="1"/>
  <c r="AC174" i="3" a="1"/>
  <c r="AC174" i="3" s="1"/>
  <c r="AC187" i="3" a="1"/>
  <c r="AC187" i="3" s="1"/>
  <c r="AC203" i="3" a="1"/>
  <c r="AC203" i="3" s="1"/>
  <c r="AC219" i="3" a="1"/>
  <c r="AC219" i="3" s="1"/>
  <c r="AC235" i="3" a="1"/>
  <c r="AC235" i="3" s="1"/>
  <c r="AC251" i="3" a="1"/>
  <c r="AC251" i="3" s="1"/>
  <c r="AC267" i="3" a="1"/>
  <c r="AC267" i="3" s="1"/>
  <c r="AC283" i="3" a="1"/>
  <c r="AC283" i="3" s="1"/>
  <c r="AC299" i="3" a="1"/>
  <c r="AC299" i="3" s="1"/>
  <c r="AC24" i="3" a="1"/>
  <c r="AC24" i="3" s="1"/>
  <c r="AC40" i="3" a="1"/>
  <c r="AC40" i="3" s="1"/>
  <c r="AC56" i="3" a="1"/>
  <c r="AC56" i="3" s="1"/>
  <c r="AC72" i="3" a="1"/>
  <c r="AC72" i="3" s="1"/>
  <c r="AC88" i="3" a="1"/>
  <c r="AC88" i="3" s="1"/>
  <c r="AC104" i="3" a="1"/>
  <c r="AC104" i="3" s="1"/>
  <c r="AC117" i="3" a="1"/>
  <c r="AC117" i="3" s="1"/>
  <c r="AC133" i="3" a="1"/>
  <c r="AC133" i="3" s="1"/>
  <c r="AC149" i="3" a="1"/>
  <c r="AC149" i="3" s="1"/>
  <c r="AC165" i="3" a="1"/>
  <c r="AC165" i="3" s="1"/>
  <c r="AC184" i="3" a="1"/>
  <c r="AC184" i="3" s="1"/>
  <c r="AC200" i="3" a="1"/>
  <c r="AC200" i="3" s="1"/>
  <c r="AC216" i="3" a="1"/>
  <c r="AC216" i="3" s="1"/>
  <c r="AC232" i="3" a="1"/>
  <c r="AC232" i="3" s="1"/>
  <c r="AC248" i="3" a="1"/>
  <c r="AC248" i="3" s="1"/>
  <c r="AC264" i="3" a="1"/>
  <c r="AC264" i="3" s="1"/>
  <c r="AC280" i="3" a="1"/>
  <c r="AC280" i="3" s="1"/>
  <c r="AC296" i="3" a="1"/>
  <c r="AC296" i="3" s="1"/>
  <c r="AC21" i="3" a="1"/>
  <c r="AC21" i="3" s="1"/>
  <c r="AC37" i="3" a="1"/>
  <c r="AC37" i="3" s="1"/>
  <c r="AC53" i="3" a="1"/>
  <c r="AC53" i="3" s="1"/>
  <c r="AC69" i="3" a="1"/>
  <c r="AC69" i="3" s="1"/>
  <c r="AC85" i="3" a="1"/>
  <c r="AC85" i="3" s="1"/>
  <c r="AC101" i="3" a="1"/>
  <c r="AC101" i="3" s="1"/>
  <c r="AC118" i="3" a="1"/>
  <c r="AC118" i="3" s="1"/>
  <c r="AC134" i="3" a="1"/>
  <c r="AC134" i="3" s="1"/>
  <c r="AC150" i="3" a="1"/>
  <c r="AC150" i="3" s="1"/>
  <c r="AC166" i="3" a="1"/>
  <c r="AC166" i="3" s="1"/>
  <c r="AC181" i="3" a="1"/>
  <c r="AC181" i="3" s="1"/>
  <c r="AC197" i="3" a="1"/>
  <c r="AC197" i="3" s="1"/>
  <c r="AC213" i="3" a="1"/>
  <c r="AC213" i="3" s="1"/>
  <c r="AC229" i="3" a="1"/>
  <c r="AC229" i="3" s="1"/>
  <c r="AC245" i="3" a="1"/>
  <c r="AC245" i="3" s="1"/>
  <c r="AC261" i="3" a="1"/>
  <c r="AC261" i="3" s="1"/>
  <c r="AC277" i="3" a="1"/>
  <c r="AC277" i="3" s="1"/>
  <c r="AC293" i="3" a="1"/>
  <c r="AC293" i="3" s="1"/>
  <c r="AC18" i="3" a="1"/>
  <c r="AC18" i="3" s="1"/>
  <c r="AC34" i="3" a="1"/>
  <c r="AC34" i="3" s="1"/>
  <c r="AC50" i="3" a="1"/>
  <c r="AC50" i="3" s="1"/>
  <c r="AC66" i="3" a="1"/>
  <c r="AC66" i="3" s="1"/>
  <c r="AC82" i="3" a="1"/>
  <c r="AC82" i="3" s="1"/>
  <c r="AC98" i="3" a="1"/>
  <c r="AC98" i="3" s="1"/>
  <c r="AC115" i="3" a="1"/>
  <c r="AC115" i="3" s="1"/>
  <c r="AC131" i="3" a="1"/>
  <c r="AC131" i="3" s="1"/>
  <c r="AC147" i="3" a="1"/>
  <c r="AC147" i="3" s="1"/>
  <c r="AC163" i="3" a="1"/>
  <c r="AC163" i="3" s="1"/>
  <c r="AC179" i="3" a="1"/>
  <c r="AC179" i="3" s="1"/>
  <c r="AC194" i="3" a="1"/>
  <c r="AC194" i="3" s="1"/>
  <c r="AC210" i="3" a="1"/>
  <c r="AC210" i="3" s="1"/>
  <c r="AC226" i="3" a="1"/>
  <c r="AC226" i="3" s="1"/>
  <c r="AC242" i="3" a="1"/>
  <c r="AC242" i="3" s="1"/>
  <c r="AC258" i="3" a="1"/>
  <c r="AC258" i="3" s="1"/>
  <c r="AC274" i="3" a="1"/>
  <c r="AC274" i="3" s="1"/>
  <c r="AC290" i="3" a="1"/>
  <c r="AC290" i="3" s="1"/>
  <c r="AC15" i="3" a="1"/>
  <c r="AC15" i="3" s="1"/>
  <c r="AC31" i="3" a="1"/>
  <c r="AC31" i="3" s="1"/>
  <c r="AC47" i="3" a="1"/>
  <c r="AC47" i="3" s="1"/>
  <c r="AC63" i="3" a="1"/>
  <c r="AC63" i="3" s="1"/>
  <c r="AC79" i="3" a="1"/>
  <c r="AC79" i="3" s="1"/>
  <c r="AC95" i="3" a="1"/>
  <c r="AC95" i="3" s="1"/>
  <c r="AC113" i="3" a="1"/>
  <c r="AC113" i="3" s="1"/>
  <c r="AC129" i="3" a="1"/>
  <c r="AC129" i="3" s="1"/>
  <c r="AC145" i="3" a="1"/>
  <c r="AC145" i="3" s="1"/>
  <c r="AC161" i="3" a="1"/>
  <c r="AC161" i="3" s="1"/>
  <c r="AC177" i="3" a="1"/>
  <c r="AC177" i="3" s="1"/>
  <c r="AC191" i="3" a="1"/>
  <c r="AC191" i="3" s="1"/>
  <c r="AC207" i="3" a="1"/>
  <c r="AC207" i="3" s="1"/>
  <c r="AC223" i="3" a="1"/>
  <c r="AC223" i="3" s="1"/>
  <c r="AC239" i="3" a="1"/>
  <c r="AC239" i="3" s="1"/>
  <c r="AC255" i="3" a="1"/>
  <c r="AC255" i="3" s="1"/>
  <c r="AC271" i="3" a="1"/>
  <c r="AC271" i="3" s="1"/>
  <c r="AC287" i="3" a="1"/>
  <c r="AC287" i="3" s="1"/>
  <c r="AC12" i="3" a="1"/>
  <c r="AC12" i="3" s="1"/>
  <c r="AC28" i="3" a="1"/>
  <c r="AC28" i="3" s="1"/>
  <c r="AC44" i="3" a="1"/>
  <c r="AC44" i="3" s="1"/>
  <c r="AC60" i="3" a="1"/>
  <c r="AC60" i="3" s="1"/>
  <c r="AC76" i="3" a="1"/>
  <c r="AC76" i="3" s="1"/>
  <c r="AC92" i="3" a="1"/>
  <c r="AC92" i="3" s="1"/>
  <c r="AC107" i="3" a="1"/>
  <c r="AC107" i="3" s="1"/>
  <c r="AC123" i="3" a="1"/>
  <c r="AC123" i="3" s="1"/>
  <c r="AC139" i="3" a="1"/>
  <c r="AC139" i="3" s="1"/>
  <c r="AC155" i="3" a="1"/>
  <c r="AC155" i="3" s="1"/>
  <c r="AC171" i="3" a="1"/>
  <c r="AC171" i="3" s="1"/>
  <c r="AC188" i="3" a="1"/>
  <c r="AC188" i="3" s="1"/>
  <c r="AC204" i="3" a="1"/>
  <c r="AC204" i="3" s="1"/>
  <c r="AC220" i="3" a="1"/>
  <c r="AC220" i="3" s="1"/>
  <c r="AC236" i="3" a="1"/>
  <c r="AC236" i="3" s="1"/>
  <c r="AC252" i="3" a="1"/>
  <c r="AC252" i="3" s="1"/>
  <c r="AC268" i="3" a="1"/>
  <c r="AC268" i="3" s="1"/>
  <c r="AC284" i="3" a="1"/>
  <c r="AC284" i="3" s="1"/>
  <c r="AC300" i="3" a="1"/>
  <c r="AC300" i="3" s="1"/>
  <c r="AC9" i="3" a="1"/>
  <c r="AC9" i="3" s="1"/>
  <c r="AC25" i="3" a="1"/>
  <c r="AC25" i="3" s="1"/>
  <c r="AC41" i="3" a="1"/>
  <c r="AC41" i="3" s="1"/>
  <c r="AC57" i="3" a="1"/>
  <c r="AC57" i="3" s="1"/>
  <c r="AC73" i="3" a="1"/>
  <c r="AC73" i="3" s="1"/>
  <c r="AC89" i="3" a="1"/>
  <c r="AC89" i="3" s="1"/>
  <c r="AC105" i="3" a="1"/>
  <c r="AC105" i="3" s="1"/>
  <c r="AC121" i="3" a="1"/>
  <c r="AC121" i="3" s="1"/>
  <c r="AC137" i="3" a="1"/>
  <c r="AC137" i="3" s="1"/>
  <c r="AC153" i="3" a="1"/>
  <c r="AC153" i="3" s="1"/>
  <c r="AC169" i="3" a="1"/>
  <c r="AC169" i="3" s="1"/>
  <c r="AC185" i="3" a="1"/>
  <c r="AC185" i="3" s="1"/>
  <c r="AC201" i="3" a="1"/>
  <c r="AC201" i="3" s="1"/>
  <c r="AC217" i="3" a="1"/>
  <c r="AC217" i="3" s="1"/>
  <c r="AC233" i="3" a="1"/>
  <c r="AC233" i="3" s="1"/>
  <c r="AC249" i="3" a="1"/>
  <c r="AC249" i="3" s="1"/>
  <c r="AC265" i="3" a="1"/>
  <c r="AC265" i="3" s="1"/>
  <c r="AC281" i="3" a="1"/>
  <c r="AC281" i="3" s="1"/>
  <c r="AC297" i="3" a="1"/>
  <c r="AC297" i="3" s="1"/>
  <c r="AC22" i="3" a="1"/>
  <c r="AC22" i="3" s="1"/>
  <c r="AC38" i="3" a="1"/>
  <c r="AC38" i="3" s="1"/>
  <c r="AC54" i="3" a="1"/>
  <c r="AC54" i="3" s="1"/>
  <c r="AC70" i="3" a="1"/>
  <c r="AC70" i="3" s="1"/>
  <c r="AC86" i="3" a="1"/>
  <c r="AC86" i="3" s="1"/>
  <c r="AC102" i="3" a="1"/>
  <c r="AC102" i="3" s="1"/>
  <c r="AC119" i="3" a="1"/>
  <c r="AC119" i="3" s="1"/>
  <c r="AC135" i="3" a="1"/>
  <c r="AC135" i="3" s="1"/>
  <c r="AC151" i="3" a="1"/>
  <c r="AC151" i="3" s="1"/>
  <c r="AC167" i="3" a="1"/>
  <c r="AC167" i="3" s="1"/>
  <c r="AC182" i="3" a="1"/>
  <c r="AC182" i="3" s="1"/>
  <c r="AC198" i="3" a="1"/>
  <c r="AC198" i="3" s="1"/>
  <c r="AC214" i="3" a="1"/>
  <c r="AC214" i="3" s="1"/>
  <c r="AC230" i="3" a="1"/>
  <c r="AC230" i="3" s="1"/>
  <c r="AC246" i="3" a="1"/>
  <c r="AC246" i="3" s="1"/>
  <c r="AC262" i="3" a="1"/>
  <c r="AC262" i="3" s="1"/>
  <c r="AC278" i="3" a="1"/>
  <c r="AC278" i="3" s="1"/>
  <c r="AC294" i="3" a="1"/>
  <c r="AC294" i="3" s="1"/>
  <c r="AC19" i="3" a="1"/>
  <c r="AC19" i="3" s="1"/>
  <c r="AC35" i="3" a="1"/>
  <c r="AC35" i="3" s="1"/>
  <c r="AC51" i="3" a="1"/>
  <c r="AC51" i="3" s="1"/>
  <c r="AC67" i="3" a="1"/>
  <c r="AC67" i="3" s="1"/>
  <c r="AC83" i="3" a="1"/>
  <c r="AC83" i="3" s="1"/>
  <c r="AC99" i="3" a="1"/>
  <c r="AC99" i="3" s="1"/>
  <c r="AC116" i="3" a="1"/>
  <c r="AC116" i="3" s="1"/>
  <c r="AC132" i="3" a="1"/>
  <c r="AC132" i="3" s="1"/>
  <c r="AC148" i="3" a="1"/>
  <c r="AC148" i="3" s="1"/>
  <c r="AC164" i="3" a="1"/>
  <c r="AC164" i="3" s="1"/>
  <c r="AC180" i="3" a="1"/>
  <c r="AC180" i="3" s="1"/>
  <c r="AC195" i="3" a="1"/>
  <c r="AC195" i="3" s="1"/>
  <c r="AC211" i="3" a="1"/>
  <c r="AC211" i="3" s="1"/>
  <c r="AC227" i="3" a="1"/>
  <c r="AC227" i="3" s="1"/>
  <c r="AC243" i="3" a="1"/>
  <c r="AC243" i="3" s="1"/>
  <c r="AC259" i="3" a="1"/>
  <c r="AC259" i="3" s="1"/>
  <c r="AC275" i="3" a="1"/>
  <c r="AC275" i="3" s="1"/>
  <c r="AC291" i="3" a="1"/>
  <c r="AC291" i="3" s="1"/>
  <c r="AC16" i="3" a="1"/>
  <c r="AC16" i="3" s="1"/>
  <c r="AC32" i="3" a="1"/>
  <c r="AC32" i="3" s="1"/>
  <c r="AC48" i="3" a="1"/>
  <c r="AC48" i="3" s="1"/>
  <c r="AC64" i="3" a="1"/>
  <c r="AC64" i="3" s="1"/>
  <c r="AC80" i="3" a="1"/>
  <c r="AC80" i="3" s="1"/>
  <c r="AC96" i="3" a="1"/>
  <c r="AC96" i="3" s="1"/>
  <c r="AC111" i="3" a="1"/>
  <c r="AC111" i="3" s="1"/>
  <c r="AC127" i="3" a="1"/>
  <c r="AC127" i="3" s="1"/>
  <c r="AC143" i="3" a="1"/>
  <c r="AC143" i="3" s="1"/>
  <c r="AC159" i="3" a="1"/>
  <c r="AC159" i="3" s="1"/>
  <c r="AC175" i="3" a="1"/>
  <c r="AC175" i="3" s="1"/>
  <c r="AC192" i="3" a="1"/>
  <c r="AC192" i="3" s="1"/>
  <c r="AC208" i="3" a="1"/>
  <c r="AC208" i="3" s="1"/>
  <c r="AC224" i="3" a="1"/>
  <c r="AC224" i="3" s="1"/>
  <c r="AC240" i="3" a="1"/>
  <c r="AC240" i="3" s="1"/>
  <c r="AC256" i="3" a="1"/>
  <c r="AC256" i="3" s="1"/>
  <c r="AC272" i="3" a="1"/>
  <c r="AC272" i="3" s="1"/>
  <c r="AC288" i="3" a="1"/>
  <c r="AC288" i="3" s="1"/>
  <c r="AC13" i="3" a="1"/>
  <c r="AC13" i="3" s="1"/>
  <c r="AC29" i="3" a="1"/>
  <c r="AC29" i="3" s="1"/>
  <c r="AC45" i="3" a="1"/>
  <c r="AC45" i="3" s="1"/>
  <c r="AC61" i="3" a="1"/>
  <c r="AC61" i="3" s="1"/>
  <c r="AC77" i="3" a="1"/>
  <c r="AC77" i="3" s="1"/>
  <c r="AC93" i="3" a="1"/>
  <c r="AC93" i="3" s="1"/>
  <c r="AC108" i="3" a="1"/>
  <c r="AC108" i="3" s="1"/>
  <c r="AC124" i="3" a="1"/>
  <c r="AC124" i="3" s="1"/>
  <c r="AC140" i="3" a="1"/>
  <c r="AC140" i="3" s="1"/>
  <c r="AC156" i="3" a="1"/>
  <c r="AC156" i="3" s="1"/>
  <c r="AC172" i="3" a="1"/>
  <c r="AC172" i="3" s="1"/>
  <c r="AC189" i="3" a="1"/>
  <c r="AC189" i="3" s="1"/>
  <c r="AC205" i="3" a="1"/>
  <c r="AC205" i="3" s="1"/>
  <c r="AC221" i="3" a="1"/>
  <c r="AC221" i="3" s="1"/>
  <c r="AC237" i="3" a="1"/>
  <c r="AC237" i="3" s="1"/>
  <c r="AC253" i="3" a="1"/>
  <c r="AC253" i="3" s="1"/>
  <c r="AC269" i="3" a="1"/>
  <c r="AC269" i="3" s="1"/>
  <c r="AC285" i="3" a="1"/>
  <c r="AC285" i="3" s="1"/>
  <c r="AC10" i="3" a="1"/>
  <c r="AC10" i="3" s="1"/>
  <c r="AC26" i="3" a="1"/>
  <c r="AC26" i="3" s="1"/>
  <c r="AC42" i="3" a="1"/>
  <c r="AC42" i="3" s="1"/>
  <c r="AC58" i="3" a="1"/>
  <c r="AC58" i="3" s="1"/>
  <c r="AC74" i="3" a="1"/>
  <c r="AC74" i="3" s="1"/>
  <c r="AC90" i="3" a="1"/>
  <c r="AC90" i="3" s="1"/>
  <c r="AC106" i="3" a="1"/>
  <c r="AC106" i="3" s="1"/>
  <c r="AC122" i="3" a="1"/>
  <c r="AC122" i="3" s="1"/>
  <c r="AC138" i="3" a="1"/>
  <c r="AC138" i="3" s="1"/>
  <c r="AC154" i="3" a="1"/>
  <c r="AC154" i="3" s="1"/>
  <c r="AC170" i="3" a="1"/>
  <c r="AC170" i="3" s="1"/>
  <c r="AC186" i="3" a="1"/>
  <c r="AC186" i="3" s="1"/>
  <c r="AC202" i="3" a="1"/>
  <c r="AC202" i="3" s="1"/>
  <c r="AC218" i="3" a="1"/>
  <c r="AC218" i="3" s="1"/>
  <c r="AC234" i="3" a="1"/>
  <c r="AC234" i="3" s="1"/>
  <c r="AC250" i="3" a="1"/>
  <c r="AC250" i="3" s="1"/>
  <c r="AC266" i="3" a="1"/>
  <c r="AC266" i="3" s="1"/>
  <c r="AC282" i="3" a="1"/>
  <c r="AC282" i="3" s="1"/>
  <c r="AC298" i="3" a="1"/>
  <c r="AC298" i="3" s="1"/>
  <c r="AC23" i="3" a="1"/>
  <c r="AC23" i="3" s="1"/>
  <c r="AC39" i="3" a="1"/>
  <c r="AC39" i="3" s="1"/>
  <c r="AC55" i="3" a="1"/>
  <c r="AC55" i="3" s="1"/>
  <c r="AC71" i="3" a="1"/>
  <c r="AC71" i="3" s="1"/>
  <c r="AC87" i="3" a="1"/>
  <c r="AC87" i="3" s="1"/>
  <c r="AC103" i="3" a="1"/>
  <c r="AC103" i="3" s="1"/>
  <c r="AC120" i="3" a="1"/>
  <c r="AC120" i="3" s="1"/>
  <c r="AC136" i="3" a="1"/>
  <c r="AC136" i="3" s="1"/>
  <c r="AC152" i="3" a="1"/>
  <c r="AC152" i="3" s="1"/>
  <c r="AC168" i="3" a="1"/>
  <c r="AC168" i="3" s="1"/>
  <c r="AC183" i="3" a="1"/>
  <c r="AC183" i="3" s="1"/>
  <c r="AC199" i="3" a="1"/>
  <c r="AC199" i="3" s="1"/>
  <c r="AC215" i="3" a="1"/>
  <c r="AC215" i="3" s="1"/>
  <c r="AC231" i="3" a="1"/>
  <c r="AC231" i="3" s="1"/>
  <c r="AC247" i="3" a="1"/>
  <c r="AC247" i="3" s="1"/>
  <c r="AC263" i="3" a="1"/>
  <c r="AC263" i="3" s="1"/>
  <c r="AC279" i="3" a="1"/>
  <c r="AC279" i="3" s="1"/>
  <c r="AC295" i="3" a="1"/>
  <c r="AC295" i="3" s="1"/>
  <c r="AC20" i="3" a="1"/>
  <c r="AC20" i="3" s="1"/>
  <c r="AC36" i="3" a="1"/>
  <c r="AC36" i="3" s="1"/>
  <c r="AC52" i="3" a="1"/>
  <c r="AC52" i="3" s="1"/>
  <c r="AC68" i="3" a="1"/>
  <c r="AC68" i="3" s="1"/>
  <c r="AC84" i="3" a="1"/>
  <c r="AC84" i="3" s="1"/>
  <c r="AC100" i="3" a="1"/>
  <c r="AC100" i="3" s="1"/>
  <c r="AC114" i="3" a="1"/>
  <c r="AC114" i="3" s="1"/>
  <c r="AC130" i="3" a="1"/>
  <c r="AC130" i="3" s="1"/>
  <c r="AC146" i="3" a="1"/>
  <c r="AC146" i="3" s="1"/>
  <c r="AC162" i="3" a="1"/>
  <c r="AC162" i="3" s="1"/>
  <c r="AC178" i="3" a="1"/>
  <c r="AC178" i="3" s="1"/>
  <c r="AC196" i="3" a="1"/>
  <c r="AC196" i="3" s="1"/>
  <c r="AC212" i="3" a="1"/>
  <c r="AC212" i="3" s="1"/>
  <c r="AC228" i="3" a="1"/>
  <c r="AC228" i="3" s="1"/>
  <c r="AC244" i="3" a="1"/>
  <c r="AC244" i="3" s="1"/>
  <c r="AC260" i="3" a="1"/>
  <c r="AC260" i="3" s="1"/>
  <c r="AC276" i="3" a="1"/>
  <c r="AC276" i="3" s="1"/>
  <c r="AC292" i="3" a="1"/>
  <c r="AC292" i="3" s="1"/>
  <c r="AC8" i="3" a="1"/>
  <c r="AC8" i="3" s="1"/>
  <c r="AB8" i="3" a="1"/>
  <c r="AB8" i="3" s="1"/>
  <c r="AB9" i="3" l="1" a="1"/>
  <c r="AB9" i="3" s="1"/>
  <c r="AB25" i="3" a="1"/>
  <c r="AB25" i="3" s="1"/>
  <c r="AB14" i="3" a="1"/>
  <c r="AB14" i="3" s="1"/>
  <c r="AB30" i="3" a="1"/>
  <c r="AB30" i="3" s="1"/>
  <c r="AB19" i="3" a="1"/>
  <c r="AB19" i="3" s="1"/>
  <c r="AB35" i="3" a="1"/>
  <c r="AB35" i="3" s="1"/>
  <c r="AB24" i="3" a="1"/>
  <c r="AB24" i="3" s="1"/>
  <c r="AB37" i="3" a="1"/>
  <c r="AB37" i="3" s="1"/>
  <c r="AB53" i="3" a="1"/>
  <c r="AB53" i="3" s="1"/>
  <c r="AB69" i="3" a="1"/>
  <c r="AB69" i="3" s="1"/>
  <c r="AB85" i="3" a="1"/>
  <c r="AB85" i="3" s="1"/>
  <c r="AB101" i="3" a="1"/>
  <c r="AB101" i="3" s="1"/>
  <c r="AB117" i="3" a="1"/>
  <c r="AB117" i="3" s="1"/>
  <c r="AB133" i="3" a="1"/>
  <c r="AB133" i="3" s="1"/>
  <c r="AB149" i="3" a="1"/>
  <c r="AB149" i="3" s="1"/>
  <c r="AB165" i="3" a="1"/>
  <c r="AB165" i="3" s="1"/>
  <c r="AB181" i="3" a="1"/>
  <c r="AB181" i="3" s="1"/>
  <c r="AB197" i="3" a="1"/>
  <c r="AB197" i="3" s="1"/>
  <c r="AB213" i="3" a="1"/>
  <c r="AB213" i="3" s="1"/>
  <c r="AB229" i="3" a="1"/>
  <c r="AB229" i="3" s="1"/>
  <c r="AB245" i="3" a="1"/>
  <c r="AB245" i="3" s="1"/>
  <c r="AB261" i="3" a="1"/>
  <c r="AB261" i="3" s="1"/>
  <c r="AB277" i="3" a="1"/>
  <c r="AB277" i="3" s="1"/>
  <c r="AB293" i="3" a="1"/>
  <c r="AB293" i="3" s="1"/>
  <c r="AB46" i="3" a="1"/>
  <c r="AB46" i="3" s="1"/>
  <c r="AB62" i="3" a="1"/>
  <c r="AB62" i="3" s="1"/>
  <c r="AB78" i="3" a="1"/>
  <c r="AB78" i="3" s="1"/>
  <c r="AB94" i="3" a="1"/>
  <c r="AB94" i="3" s="1"/>
  <c r="AB110" i="3" a="1"/>
  <c r="AB110" i="3" s="1"/>
  <c r="AB126" i="3" a="1"/>
  <c r="AB126" i="3" s="1"/>
  <c r="AB142" i="3" a="1"/>
  <c r="AB142" i="3" s="1"/>
  <c r="AB158" i="3" a="1"/>
  <c r="AB158" i="3" s="1"/>
  <c r="AB174" i="3" a="1"/>
  <c r="AB174" i="3" s="1"/>
  <c r="AB190" i="3" a="1"/>
  <c r="AB190" i="3" s="1"/>
  <c r="AB206" i="3" a="1"/>
  <c r="AB206" i="3" s="1"/>
  <c r="AB222" i="3" a="1"/>
  <c r="AB222" i="3" s="1"/>
  <c r="AB238" i="3" a="1"/>
  <c r="AB238" i="3" s="1"/>
  <c r="AB254" i="3" a="1"/>
  <c r="AB254" i="3" s="1"/>
  <c r="AB270" i="3" a="1"/>
  <c r="AB270" i="3" s="1"/>
  <c r="AB286" i="3" a="1"/>
  <c r="AB286" i="3" s="1"/>
  <c r="AB39" i="3" a="1"/>
  <c r="AB39" i="3" s="1"/>
  <c r="AB55" i="3" a="1"/>
  <c r="AB55" i="3" s="1"/>
  <c r="AB71" i="3" a="1"/>
  <c r="AB71" i="3" s="1"/>
  <c r="AB87" i="3" a="1"/>
  <c r="AB87" i="3" s="1"/>
  <c r="AB103" i="3" a="1"/>
  <c r="AB103" i="3" s="1"/>
  <c r="AB119" i="3" a="1"/>
  <c r="AB119" i="3" s="1"/>
  <c r="AB135" i="3" a="1"/>
  <c r="AB135" i="3" s="1"/>
  <c r="AB151" i="3" a="1"/>
  <c r="AB151" i="3" s="1"/>
  <c r="AB167" i="3" a="1"/>
  <c r="AB167" i="3" s="1"/>
  <c r="AB183" i="3" a="1"/>
  <c r="AB183" i="3" s="1"/>
  <c r="AB199" i="3" a="1"/>
  <c r="AB199" i="3" s="1"/>
  <c r="AB215" i="3" a="1"/>
  <c r="AB215" i="3" s="1"/>
  <c r="AB231" i="3" a="1"/>
  <c r="AB231" i="3" s="1"/>
  <c r="AB247" i="3" a="1"/>
  <c r="AB247" i="3" s="1"/>
  <c r="AB263" i="3" a="1"/>
  <c r="AB263" i="3" s="1"/>
  <c r="AB279" i="3" a="1"/>
  <c r="AB279" i="3" s="1"/>
  <c r="AB295" i="3" a="1"/>
  <c r="AB295" i="3" s="1"/>
  <c r="AB48" i="3" a="1"/>
  <c r="AB48" i="3" s="1"/>
  <c r="AB64" i="3" a="1"/>
  <c r="AB64" i="3" s="1"/>
  <c r="AB80" i="3" a="1"/>
  <c r="AB80" i="3" s="1"/>
  <c r="AB96" i="3" a="1"/>
  <c r="AB96" i="3" s="1"/>
  <c r="AB112" i="3" a="1"/>
  <c r="AB112" i="3" s="1"/>
  <c r="AB128" i="3" a="1"/>
  <c r="AB128" i="3" s="1"/>
  <c r="AB144" i="3" a="1"/>
  <c r="AB144" i="3" s="1"/>
  <c r="AB160" i="3" a="1"/>
  <c r="AB160" i="3" s="1"/>
  <c r="AB176" i="3" a="1"/>
  <c r="AB176" i="3" s="1"/>
  <c r="AB192" i="3" a="1"/>
  <c r="AB192" i="3" s="1"/>
  <c r="AB208" i="3" a="1"/>
  <c r="AB208" i="3" s="1"/>
  <c r="AB224" i="3" a="1"/>
  <c r="AB224" i="3" s="1"/>
  <c r="AB240" i="3" a="1"/>
  <c r="AB240" i="3" s="1"/>
  <c r="AB256" i="3" a="1"/>
  <c r="AB256" i="3" s="1"/>
  <c r="AB272" i="3" a="1"/>
  <c r="AB272" i="3" s="1"/>
  <c r="AB288" i="3" a="1"/>
  <c r="AB288" i="3" s="1"/>
  <c r="AB13" i="3" a="1"/>
  <c r="AB13" i="3" s="1"/>
  <c r="AB29" i="3" a="1"/>
  <c r="AB29" i="3" s="1"/>
  <c r="AB18" i="3" a="1"/>
  <c r="AB18" i="3" s="1"/>
  <c r="AB34" i="3" a="1"/>
  <c r="AB34" i="3" s="1"/>
  <c r="AB23" i="3" a="1"/>
  <c r="AB23" i="3" s="1"/>
  <c r="AB12" i="3" a="1"/>
  <c r="AB12" i="3" s="1"/>
  <c r="AB28" i="3" a="1"/>
  <c r="AB28" i="3" s="1"/>
  <c r="AB41" i="3" a="1"/>
  <c r="AB41" i="3" s="1"/>
  <c r="AB57" i="3" a="1"/>
  <c r="AB57" i="3" s="1"/>
  <c r="AB73" i="3" a="1"/>
  <c r="AB73" i="3" s="1"/>
  <c r="AB89" i="3" a="1"/>
  <c r="AB89" i="3" s="1"/>
  <c r="AB105" i="3" a="1"/>
  <c r="AB105" i="3" s="1"/>
  <c r="AB121" i="3" a="1"/>
  <c r="AB121" i="3" s="1"/>
  <c r="AB137" i="3" a="1"/>
  <c r="AB137" i="3" s="1"/>
  <c r="AB153" i="3" a="1"/>
  <c r="AB153" i="3" s="1"/>
  <c r="AB169" i="3" a="1"/>
  <c r="AB169" i="3" s="1"/>
  <c r="AB185" i="3" a="1"/>
  <c r="AB185" i="3" s="1"/>
  <c r="AB201" i="3" a="1"/>
  <c r="AB201" i="3" s="1"/>
  <c r="AB217" i="3" a="1"/>
  <c r="AB217" i="3" s="1"/>
  <c r="AB233" i="3" a="1"/>
  <c r="AB233" i="3" s="1"/>
  <c r="AB249" i="3" a="1"/>
  <c r="AB249" i="3" s="1"/>
  <c r="AB265" i="3" a="1"/>
  <c r="AB265" i="3" s="1"/>
  <c r="AB281" i="3" a="1"/>
  <c r="AB281" i="3" s="1"/>
  <c r="AB297" i="3" a="1"/>
  <c r="AB297" i="3" s="1"/>
  <c r="AB50" i="3" a="1"/>
  <c r="AB50" i="3" s="1"/>
  <c r="AB66" i="3" a="1"/>
  <c r="AB66" i="3" s="1"/>
  <c r="AB82" i="3" a="1"/>
  <c r="AB82" i="3" s="1"/>
  <c r="AB98" i="3" a="1"/>
  <c r="AB98" i="3" s="1"/>
  <c r="AB114" i="3" a="1"/>
  <c r="AB114" i="3" s="1"/>
  <c r="AB130" i="3" a="1"/>
  <c r="AB130" i="3" s="1"/>
  <c r="AB146" i="3" a="1"/>
  <c r="AB146" i="3" s="1"/>
  <c r="AB162" i="3" a="1"/>
  <c r="AB162" i="3" s="1"/>
  <c r="AB178" i="3" a="1"/>
  <c r="AB178" i="3" s="1"/>
  <c r="AB194" i="3" a="1"/>
  <c r="AB194" i="3" s="1"/>
  <c r="AB210" i="3" a="1"/>
  <c r="AB210" i="3" s="1"/>
  <c r="AB226" i="3" a="1"/>
  <c r="AB226" i="3" s="1"/>
  <c r="AB242" i="3" a="1"/>
  <c r="AB242" i="3" s="1"/>
  <c r="AB258" i="3" a="1"/>
  <c r="AB258" i="3" s="1"/>
  <c r="AB274" i="3" a="1"/>
  <c r="AB274" i="3" s="1"/>
  <c r="AB290" i="3" a="1"/>
  <c r="AB290" i="3" s="1"/>
  <c r="AB43" i="3" a="1"/>
  <c r="AB43" i="3" s="1"/>
  <c r="AB59" i="3" a="1"/>
  <c r="AB59" i="3" s="1"/>
  <c r="AB75" i="3" a="1"/>
  <c r="AB75" i="3" s="1"/>
  <c r="AB91" i="3" a="1"/>
  <c r="AB91" i="3" s="1"/>
  <c r="AB107" i="3" a="1"/>
  <c r="AB107" i="3" s="1"/>
  <c r="AB123" i="3" a="1"/>
  <c r="AB123" i="3" s="1"/>
  <c r="AB139" i="3" a="1"/>
  <c r="AB139" i="3" s="1"/>
  <c r="AB155" i="3" a="1"/>
  <c r="AB155" i="3" s="1"/>
  <c r="AB171" i="3" a="1"/>
  <c r="AB171" i="3" s="1"/>
  <c r="AB187" i="3" a="1"/>
  <c r="AB187" i="3" s="1"/>
  <c r="AB203" i="3" a="1"/>
  <c r="AB203" i="3" s="1"/>
  <c r="AB219" i="3" a="1"/>
  <c r="AB219" i="3" s="1"/>
  <c r="AB235" i="3" a="1"/>
  <c r="AB235" i="3" s="1"/>
  <c r="AB251" i="3" a="1"/>
  <c r="AB251" i="3" s="1"/>
  <c r="AB267" i="3" a="1"/>
  <c r="AB267" i="3" s="1"/>
  <c r="AB283" i="3" a="1"/>
  <c r="AB283" i="3" s="1"/>
  <c r="AB299" i="3" a="1"/>
  <c r="AB299" i="3" s="1"/>
  <c r="AB52" i="3" a="1"/>
  <c r="AB52" i="3" s="1"/>
  <c r="AB68" i="3" a="1"/>
  <c r="AB68" i="3" s="1"/>
  <c r="AB84" i="3" a="1"/>
  <c r="AB84" i="3" s="1"/>
  <c r="AB100" i="3" a="1"/>
  <c r="AB100" i="3" s="1"/>
  <c r="AB116" i="3" a="1"/>
  <c r="AB116" i="3" s="1"/>
  <c r="AB132" i="3" a="1"/>
  <c r="AB132" i="3" s="1"/>
  <c r="AB148" i="3" a="1"/>
  <c r="AB148" i="3" s="1"/>
  <c r="AB164" i="3" a="1"/>
  <c r="AB164" i="3" s="1"/>
  <c r="AB180" i="3" a="1"/>
  <c r="AB180" i="3" s="1"/>
  <c r="AB196" i="3" a="1"/>
  <c r="AB196" i="3" s="1"/>
  <c r="AB212" i="3" a="1"/>
  <c r="AB212" i="3" s="1"/>
  <c r="AB228" i="3" a="1"/>
  <c r="AB228" i="3" s="1"/>
  <c r="AB244" i="3" a="1"/>
  <c r="AB244" i="3" s="1"/>
  <c r="AB260" i="3" a="1"/>
  <c r="AB260" i="3" s="1"/>
  <c r="AB276" i="3" a="1"/>
  <c r="AB276" i="3" s="1"/>
  <c r="AB292" i="3" a="1"/>
  <c r="AB292" i="3" s="1"/>
  <c r="AB17" i="3" a="1"/>
  <c r="AB17" i="3" s="1"/>
  <c r="AB33" i="3" a="1"/>
  <c r="AB33" i="3" s="1"/>
  <c r="AB22" i="3" a="1"/>
  <c r="AB22" i="3" s="1"/>
  <c r="AB11" i="3" a="1"/>
  <c r="AB11" i="3" s="1"/>
  <c r="AB27" i="3" a="1"/>
  <c r="AB27" i="3" s="1"/>
  <c r="AB16" i="3" a="1"/>
  <c r="AB16" i="3" s="1"/>
  <c r="AB32" i="3" a="1"/>
  <c r="AB32" i="3" s="1"/>
  <c r="AB45" i="3" a="1"/>
  <c r="AB45" i="3" s="1"/>
  <c r="AB61" i="3" a="1"/>
  <c r="AB61" i="3" s="1"/>
  <c r="AB77" i="3" a="1"/>
  <c r="AB77" i="3" s="1"/>
  <c r="AB93" i="3" a="1"/>
  <c r="AB93" i="3" s="1"/>
  <c r="AB109" i="3" a="1"/>
  <c r="AB109" i="3" s="1"/>
  <c r="AB125" i="3" a="1"/>
  <c r="AB125" i="3" s="1"/>
  <c r="AB141" i="3" a="1"/>
  <c r="AB141" i="3" s="1"/>
  <c r="AB157" i="3" a="1"/>
  <c r="AB157" i="3" s="1"/>
  <c r="AB173" i="3" a="1"/>
  <c r="AB173" i="3" s="1"/>
  <c r="AB189" i="3" a="1"/>
  <c r="AB189" i="3" s="1"/>
  <c r="AB205" i="3" a="1"/>
  <c r="AB205" i="3" s="1"/>
  <c r="AB221" i="3" a="1"/>
  <c r="AB221" i="3" s="1"/>
  <c r="AB237" i="3" a="1"/>
  <c r="AB237" i="3" s="1"/>
  <c r="AB253" i="3" a="1"/>
  <c r="AB253" i="3" s="1"/>
  <c r="AB269" i="3" a="1"/>
  <c r="AB269" i="3" s="1"/>
  <c r="AB285" i="3" a="1"/>
  <c r="AB285" i="3" s="1"/>
  <c r="AB38" i="3" a="1"/>
  <c r="AB38" i="3" s="1"/>
  <c r="AB54" i="3" a="1"/>
  <c r="AB54" i="3" s="1"/>
  <c r="AB70" i="3" a="1"/>
  <c r="AB70" i="3" s="1"/>
  <c r="AB86" i="3" a="1"/>
  <c r="AB86" i="3" s="1"/>
  <c r="AB102" i="3" a="1"/>
  <c r="AB102" i="3" s="1"/>
  <c r="AB118" i="3" a="1"/>
  <c r="AB118" i="3" s="1"/>
  <c r="AB134" i="3" a="1"/>
  <c r="AB134" i="3" s="1"/>
  <c r="AB150" i="3" a="1"/>
  <c r="AB150" i="3" s="1"/>
  <c r="AB166" i="3" a="1"/>
  <c r="AB166" i="3" s="1"/>
  <c r="AB182" i="3" a="1"/>
  <c r="AB182" i="3" s="1"/>
  <c r="AB198" i="3" a="1"/>
  <c r="AB198" i="3" s="1"/>
  <c r="AB214" i="3" a="1"/>
  <c r="AB214" i="3" s="1"/>
  <c r="AB230" i="3" a="1"/>
  <c r="AB230" i="3" s="1"/>
  <c r="AB246" i="3" a="1"/>
  <c r="AB246" i="3" s="1"/>
  <c r="AB262" i="3" a="1"/>
  <c r="AB262" i="3" s="1"/>
  <c r="AB278" i="3" a="1"/>
  <c r="AB278" i="3" s="1"/>
  <c r="AB294" i="3" a="1"/>
  <c r="AB294" i="3" s="1"/>
  <c r="AB47" i="3" a="1"/>
  <c r="AB47" i="3" s="1"/>
  <c r="AB63" i="3" a="1"/>
  <c r="AB63" i="3" s="1"/>
  <c r="AB79" i="3" a="1"/>
  <c r="AB79" i="3" s="1"/>
  <c r="AB95" i="3" a="1"/>
  <c r="AB95" i="3" s="1"/>
  <c r="AB111" i="3" a="1"/>
  <c r="AB111" i="3" s="1"/>
  <c r="AB127" i="3" a="1"/>
  <c r="AB127" i="3" s="1"/>
  <c r="AB143" i="3" a="1"/>
  <c r="AB143" i="3" s="1"/>
  <c r="AB159" i="3" a="1"/>
  <c r="AB159" i="3" s="1"/>
  <c r="AB175" i="3" a="1"/>
  <c r="AB175" i="3" s="1"/>
  <c r="AB191" i="3" a="1"/>
  <c r="AB191" i="3" s="1"/>
  <c r="AB207" i="3" a="1"/>
  <c r="AB207" i="3" s="1"/>
  <c r="AB223" i="3" a="1"/>
  <c r="AB223" i="3" s="1"/>
  <c r="AB239" i="3" a="1"/>
  <c r="AB239" i="3" s="1"/>
  <c r="AB255" i="3" a="1"/>
  <c r="AB255" i="3" s="1"/>
  <c r="AB271" i="3" a="1"/>
  <c r="AB271" i="3" s="1"/>
  <c r="AB287" i="3" a="1"/>
  <c r="AB287" i="3" s="1"/>
  <c r="AB40" i="3" a="1"/>
  <c r="AB40" i="3" s="1"/>
  <c r="AB56" i="3" a="1"/>
  <c r="AB56" i="3" s="1"/>
  <c r="AB72" i="3" a="1"/>
  <c r="AB72" i="3" s="1"/>
  <c r="AB88" i="3" a="1"/>
  <c r="AB88" i="3" s="1"/>
  <c r="AB104" i="3" a="1"/>
  <c r="AB104" i="3" s="1"/>
  <c r="AB120" i="3" a="1"/>
  <c r="AB120" i="3" s="1"/>
  <c r="AB136" i="3" a="1"/>
  <c r="AB136" i="3" s="1"/>
  <c r="AB152" i="3" a="1"/>
  <c r="AB152" i="3" s="1"/>
  <c r="AB168" i="3" a="1"/>
  <c r="AB168" i="3" s="1"/>
  <c r="AB184" i="3" a="1"/>
  <c r="AB184" i="3" s="1"/>
  <c r="AB200" i="3" a="1"/>
  <c r="AB200" i="3" s="1"/>
  <c r="AB216" i="3" a="1"/>
  <c r="AB216" i="3" s="1"/>
  <c r="AB232" i="3" a="1"/>
  <c r="AB232" i="3" s="1"/>
  <c r="AB248" i="3" a="1"/>
  <c r="AB248" i="3" s="1"/>
  <c r="AB264" i="3" a="1"/>
  <c r="AB264" i="3" s="1"/>
  <c r="AB280" i="3" a="1"/>
  <c r="AB280" i="3" s="1"/>
  <c r="AB296" i="3" a="1"/>
  <c r="AB296" i="3" s="1"/>
  <c r="AB21" i="3" a="1"/>
  <c r="AB21" i="3" s="1"/>
  <c r="AB10" i="3" a="1"/>
  <c r="AB10" i="3" s="1"/>
  <c r="AB26" i="3" a="1"/>
  <c r="AB26" i="3" s="1"/>
  <c r="AB15" i="3" a="1"/>
  <c r="AB15" i="3" s="1"/>
  <c r="AB31" i="3" a="1"/>
  <c r="AB31" i="3" s="1"/>
  <c r="AB20" i="3" a="1"/>
  <c r="AB20" i="3" s="1"/>
  <c r="AB36" i="3" a="1"/>
  <c r="AB36" i="3" s="1"/>
  <c r="AB49" i="3" a="1"/>
  <c r="AB49" i="3" s="1"/>
  <c r="AB65" i="3" a="1"/>
  <c r="AB65" i="3" s="1"/>
  <c r="AB81" i="3" a="1"/>
  <c r="AB81" i="3" s="1"/>
  <c r="AB97" i="3" a="1"/>
  <c r="AB97" i="3" s="1"/>
  <c r="AB113" i="3" a="1"/>
  <c r="AB113" i="3" s="1"/>
  <c r="AB129" i="3" a="1"/>
  <c r="AB129" i="3" s="1"/>
  <c r="AB145" i="3" a="1"/>
  <c r="AB145" i="3" s="1"/>
  <c r="AB161" i="3" a="1"/>
  <c r="AB161" i="3" s="1"/>
  <c r="AB177" i="3" a="1"/>
  <c r="AB177" i="3" s="1"/>
  <c r="AB193" i="3" a="1"/>
  <c r="AB193" i="3" s="1"/>
  <c r="AB209" i="3" a="1"/>
  <c r="AB209" i="3" s="1"/>
  <c r="AB225" i="3" a="1"/>
  <c r="AB225" i="3" s="1"/>
  <c r="AB241" i="3" a="1"/>
  <c r="AB241" i="3" s="1"/>
  <c r="AB257" i="3" a="1"/>
  <c r="AB257" i="3" s="1"/>
  <c r="AB273" i="3" a="1"/>
  <c r="AB273" i="3" s="1"/>
  <c r="AB289" i="3" a="1"/>
  <c r="AB289" i="3" s="1"/>
  <c r="AB42" i="3" a="1"/>
  <c r="AB42" i="3" s="1"/>
  <c r="AB58" i="3" a="1"/>
  <c r="AB58" i="3" s="1"/>
  <c r="AB74" i="3" a="1"/>
  <c r="AB74" i="3" s="1"/>
  <c r="AB90" i="3" a="1"/>
  <c r="AB90" i="3" s="1"/>
  <c r="AB106" i="3" a="1"/>
  <c r="AB106" i="3" s="1"/>
  <c r="AB122" i="3" a="1"/>
  <c r="AB122" i="3" s="1"/>
  <c r="AB138" i="3" a="1"/>
  <c r="AB138" i="3" s="1"/>
  <c r="AB154" i="3" a="1"/>
  <c r="AB154" i="3" s="1"/>
  <c r="AB170" i="3" a="1"/>
  <c r="AB170" i="3" s="1"/>
  <c r="AB186" i="3" a="1"/>
  <c r="AB186" i="3" s="1"/>
  <c r="AB202" i="3" a="1"/>
  <c r="AB202" i="3" s="1"/>
  <c r="AB218" i="3" a="1"/>
  <c r="AB218" i="3" s="1"/>
  <c r="AB234" i="3" a="1"/>
  <c r="AB234" i="3" s="1"/>
  <c r="AB250" i="3" a="1"/>
  <c r="AB250" i="3" s="1"/>
  <c r="AB266" i="3" a="1"/>
  <c r="AB266" i="3" s="1"/>
  <c r="AB282" i="3" a="1"/>
  <c r="AB282" i="3" s="1"/>
  <c r="AB298" i="3" a="1"/>
  <c r="AB298" i="3" s="1"/>
  <c r="AB51" i="3" a="1"/>
  <c r="AB51" i="3" s="1"/>
  <c r="AB67" i="3" a="1"/>
  <c r="AB67" i="3" s="1"/>
  <c r="AB83" i="3" a="1"/>
  <c r="AB83" i="3" s="1"/>
  <c r="AB99" i="3" a="1"/>
  <c r="AB99" i="3" s="1"/>
  <c r="AB115" i="3" a="1"/>
  <c r="AB115" i="3" s="1"/>
  <c r="AB131" i="3" a="1"/>
  <c r="AB131" i="3" s="1"/>
  <c r="AB147" i="3" a="1"/>
  <c r="AB147" i="3" s="1"/>
  <c r="AB163" i="3" a="1"/>
  <c r="AB163" i="3" s="1"/>
  <c r="AB179" i="3" a="1"/>
  <c r="AB179" i="3" s="1"/>
  <c r="AB195" i="3" a="1"/>
  <c r="AB195" i="3" s="1"/>
  <c r="AB211" i="3" a="1"/>
  <c r="AB211" i="3" s="1"/>
  <c r="AB227" i="3" a="1"/>
  <c r="AB227" i="3" s="1"/>
  <c r="AB243" i="3" a="1"/>
  <c r="AB243" i="3" s="1"/>
  <c r="AB259" i="3" a="1"/>
  <c r="AB259" i="3" s="1"/>
  <c r="AB275" i="3" a="1"/>
  <c r="AB275" i="3" s="1"/>
  <c r="AB291" i="3" a="1"/>
  <c r="AB291" i="3" s="1"/>
  <c r="AB44" i="3" a="1"/>
  <c r="AB44" i="3" s="1"/>
  <c r="AB60" i="3" a="1"/>
  <c r="AB60" i="3" s="1"/>
  <c r="AB76" i="3" a="1"/>
  <c r="AB76" i="3" s="1"/>
  <c r="AB92" i="3" a="1"/>
  <c r="AB92" i="3" s="1"/>
  <c r="AB108" i="3" a="1"/>
  <c r="AB108" i="3" s="1"/>
  <c r="AB124" i="3" a="1"/>
  <c r="AB124" i="3" s="1"/>
  <c r="AB140" i="3" a="1"/>
  <c r="AB140" i="3" s="1"/>
  <c r="AB156" i="3" a="1"/>
  <c r="AB156" i="3" s="1"/>
  <c r="AB172" i="3" a="1"/>
  <c r="AB172" i="3" s="1"/>
  <c r="AB188" i="3" a="1"/>
  <c r="AB188" i="3" s="1"/>
  <c r="AB204" i="3" a="1"/>
  <c r="AB204" i="3" s="1"/>
  <c r="AB220" i="3" a="1"/>
  <c r="AB220" i="3" s="1"/>
  <c r="AB236" i="3" a="1"/>
  <c r="AB236" i="3" s="1"/>
  <c r="AB252" i="3" a="1"/>
  <c r="AB252" i="3" s="1"/>
  <c r="AB268" i="3" a="1"/>
  <c r="AB268" i="3" s="1"/>
  <c r="AB284" i="3" a="1"/>
  <c r="AB284" i="3" s="1"/>
  <c r="AB300" i="3" a="1"/>
  <c r="AB300" i="3" s="1"/>
  <c r="AC6" i="3"/>
  <c r="AG139" i="3" a="1"/>
  <c r="AG139" i="3" s="1"/>
  <c r="AG108" i="3" a="1"/>
  <c r="AG108" i="3" s="1"/>
  <c r="AG70" i="3" a="1"/>
  <c r="AG70" i="3" s="1"/>
  <c r="AG29" i="3" a="1"/>
  <c r="AG29" i="3" s="1"/>
  <c r="AG288" i="3" a="1"/>
  <c r="AG288" i="3" s="1"/>
  <c r="AG219" i="3" a="1"/>
  <c r="AG219" i="3" s="1"/>
  <c r="AG180" i="3" a="1"/>
  <c r="AG180" i="3" s="1"/>
  <c r="AG97" i="3" a="1"/>
  <c r="AG97" i="3" s="1"/>
  <c r="AG66" i="3" a="1"/>
  <c r="AG66" i="3" s="1"/>
  <c r="AG251" i="3" a="1"/>
  <c r="AG251" i="3" s="1"/>
  <c r="AG244" i="3" a="1"/>
  <c r="AG244" i="3" s="1"/>
  <c r="AG113" i="3" a="1"/>
  <c r="AG113" i="3" s="1"/>
  <c r="AG146" i="3" a="1"/>
  <c r="AG146" i="3" s="1"/>
  <c r="AG112" i="3" a="1"/>
  <c r="AG112" i="3" s="1"/>
  <c r="AG71" i="3" a="1"/>
  <c r="AG71" i="3" s="1"/>
  <c r="AG56" i="3" a="1"/>
  <c r="AG56" i="3" s="1"/>
  <c r="AG110" i="3" a="1"/>
  <c r="AG110" i="3" s="1"/>
  <c r="AG79" i="3" a="1"/>
  <c r="AG79" i="3" s="1"/>
  <c r="AG41" i="3" a="1"/>
  <c r="AG41" i="3" s="1"/>
  <c r="AG299" i="3" a="1"/>
  <c r="AG299" i="3" s="1"/>
  <c r="AG43" i="3" a="1"/>
  <c r="AG43" i="3" s="1"/>
  <c r="AG297" i="3" a="1"/>
  <c r="AG297" i="3" s="1"/>
  <c r="AG266" i="3" a="1"/>
  <c r="AG266" i="3" s="1"/>
  <c r="AG231" i="3" a="1"/>
  <c r="AG231" i="3" s="1"/>
  <c r="AG192" i="3" a="1"/>
  <c r="AG192" i="3" s="1"/>
  <c r="AG94" i="3" a="1"/>
  <c r="AG94" i="3" s="1"/>
  <c r="AG221" i="3" a="1"/>
  <c r="AG221" i="3" s="1"/>
  <c r="AG63" i="3" a="1"/>
  <c r="AG63" i="3" s="1"/>
  <c r="AG190" i="3" a="1"/>
  <c r="AG190" i="3" s="1"/>
  <c r="AG201" i="3" a="1"/>
  <c r="AG201" i="3" s="1"/>
  <c r="AG172" i="3" a="1"/>
  <c r="AG172" i="3" s="1"/>
  <c r="AG174" i="3" a="1"/>
  <c r="AG174" i="3" s="1"/>
  <c r="AG143" i="3" a="1"/>
  <c r="AG143" i="3" s="1"/>
  <c r="AG105" i="3" a="1"/>
  <c r="AG105" i="3" s="1"/>
  <c r="AG68" i="3" a="1"/>
  <c r="AG68" i="3" s="1"/>
  <c r="AG76" i="3" a="1"/>
  <c r="AG76" i="3" s="1"/>
  <c r="AG295" i="3" a="1"/>
  <c r="AG295" i="3" s="1"/>
  <c r="AG62" i="3" a="1"/>
  <c r="AG62" i="3" s="1"/>
  <c r="AG189" i="3" a="1"/>
  <c r="AG189" i="3" s="1"/>
  <c r="AG31" i="3" a="1"/>
  <c r="AG31" i="3" s="1"/>
  <c r="AG286" i="3" a="1"/>
  <c r="AG286" i="3" s="1"/>
  <c r="AG249" i="3" a="1"/>
  <c r="AG249" i="3" s="1"/>
  <c r="AG218" i="3" a="1"/>
  <c r="AG218" i="3" s="1"/>
  <c r="AG183" i="3" a="1"/>
  <c r="AG183" i="3" s="1"/>
  <c r="AG141" i="3" a="1"/>
  <c r="AG141" i="3" s="1"/>
  <c r="AG261" i="3" a="1"/>
  <c r="AG261" i="3" s="1"/>
  <c r="AG159" i="3" a="1"/>
  <c r="AG159" i="3" s="1"/>
  <c r="AG155" i="3" a="1"/>
  <c r="AG155" i="3" s="1"/>
  <c r="AG124" i="3" a="1"/>
  <c r="AG124" i="3" s="1"/>
  <c r="AG86" i="3" a="1"/>
  <c r="AG86" i="3" s="1"/>
  <c r="AG45" i="3" a="1"/>
  <c r="AG45" i="3" s="1"/>
  <c r="AG222" i="3" a="1"/>
  <c r="AG222" i="3" s="1"/>
  <c r="AG185" i="3" a="1"/>
  <c r="AG185" i="3" s="1"/>
  <c r="AG156" i="3" a="1"/>
  <c r="AG156" i="3" s="1"/>
  <c r="AG118" i="3" a="1"/>
  <c r="AG118" i="3" s="1"/>
  <c r="AG77" i="3" a="1"/>
  <c r="AG77" i="3" s="1"/>
  <c r="AG21" i="3" a="1"/>
  <c r="AG21" i="3" s="1"/>
  <c r="AG91" i="3" a="1"/>
  <c r="AG91" i="3" s="1"/>
  <c r="AG60" i="3" a="1"/>
  <c r="AG60" i="3" s="1"/>
  <c r="AG22" i="3" a="1"/>
  <c r="AG22" i="3" s="1"/>
  <c r="AG10" i="3" a="1"/>
  <c r="AG10" i="3" s="1"/>
  <c r="AG265" i="3" a="1"/>
  <c r="AG265" i="3" s="1"/>
  <c r="AG234" i="3" a="1"/>
  <c r="AG234" i="3" s="1"/>
  <c r="AG199" i="3" a="1"/>
  <c r="AG199" i="3" s="1"/>
  <c r="AG157" i="3" a="1"/>
  <c r="AG157" i="3" s="1"/>
  <c r="AG89" i="3" a="1"/>
  <c r="AG89" i="3" s="1"/>
  <c r="AG52" i="3" a="1"/>
  <c r="AG52" i="3" s="1"/>
  <c r="AG276" i="3" a="1"/>
  <c r="AG276" i="3" s="1"/>
  <c r="AG225" i="3" a="1"/>
  <c r="AG225" i="3" s="1"/>
  <c r="AG121" i="3" a="1"/>
  <c r="AG121" i="3" s="1"/>
  <c r="AG84" i="3" a="1"/>
  <c r="AG84" i="3" s="1"/>
  <c r="AG212" i="3" a="1"/>
  <c r="AG212" i="3" s="1"/>
  <c r="AG50" i="3" a="1"/>
  <c r="AG50" i="3" s="1"/>
  <c r="AG274" i="3" a="1"/>
  <c r="AG274" i="3" s="1"/>
  <c r="AG239" i="3" a="1"/>
  <c r="AG239" i="3" s="1"/>
  <c r="AG200" i="3" a="1"/>
  <c r="AG200" i="3" s="1"/>
  <c r="AG181" i="3" a="1"/>
  <c r="AG181" i="3" s="1"/>
  <c r="AG237" i="3" a="1"/>
  <c r="AG237" i="3" s="1"/>
  <c r="AG206" i="3" a="1"/>
  <c r="AG206" i="3" s="1"/>
  <c r="AG169" i="3" a="1"/>
  <c r="AG169" i="3" s="1"/>
  <c r="AG132" i="3" a="1"/>
  <c r="AG132" i="3" s="1"/>
  <c r="AG171" i="3" a="1"/>
  <c r="AG171" i="3" s="1"/>
  <c r="AG140" i="3" a="1"/>
  <c r="AG140" i="3" s="1"/>
  <c r="AG102" i="3" a="1"/>
  <c r="AG102" i="3" s="1"/>
  <c r="AG61" i="3" a="1"/>
  <c r="AG61" i="3" s="1"/>
  <c r="AG30" i="3" a="1"/>
  <c r="AG30" i="3" s="1"/>
  <c r="AG158" i="3" a="1"/>
  <c r="AG158" i="3" s="1"/>
  <c r="AG285" i="3" a="1"/>
  <c r="AG285" i="3" s="1"/>
  <c r="AG127" i="3" a="1"/>
  <c r="AG127" i="3" s="1"/>
  <c r="AG46" i="3" a="1"/>
  <c r="AG46" i="3" s="1"/>
  <c r="AG14" i="3" a="1"/>
  <c r="AG14" i="3" s="1"/>
  <c r="AG270" i="3" a="1"/>
  <c r="AG270" i="3" s="1"/>
  <c r="AG235" i="3" a="1"/>
  <c r="AG235" i="3" s="1"/>
  <c r="AG107" i="3" a="1"/>
  <c r="AG107" i="3" s="1"/>
  <c r="AG38" i="3" a="1"/>
  <c r="AG38" i="3" s="1"/>
  <c r="AG256" i="3" a="1"/>
  <c r="AG256" i="3" s="1"/>
  <c r="AG126" i="3" a="1"/>
  <c r="AG126" i="3" s="1"/>
  <c r="AG253" i="3" a="1"/>
  <c r="AG253" i="3" s="1"/>
  <c r="AG95" i="3" a="1"/>
  <c r="AG95" i="3" s="1"/>
  <c r="AG123" i="3" a="1"/>
  <c r="AG123" i="3" s="1"/>
  <c r="AG92" i="3" a="1"/>
  <c r="AG92" i="3" s="1"/>
  <c r="AG54" i="3" a="1"/>
  <c r="AG54" i="3" s="1"/>
  <c r="AG16" i="3" a="1"/>
  <c r="AG16" i="3" s="1"/>
  <c r="AG272" i="3" a="1"/>
  <c r="AG272" i="3" s="1"/>
  <c r="AG101" i="3" a="1"/>
  <c r="AG101" i="3" s="1"/>
  <c r="AG27" i="3" a="1"/>
  <c r="AG27" i="3" s="1"/>
  <c r="AG281" i="3" a="1"/>
  <c r="AG281" i="3" s="1"/>
  <c r="AG250" i="3" a="1"/>
  <c r="AG250" i="3" s="1"/>
  <c r="AG215" i="3" a="1"/>
  <c r="AG215" i="3" s="1"/>
  <c r="AG173" i="3" a="1"/>
  <c r="AG173" i="3" s="1"/>
  <c r="AG59" i="3" a="1"/>
  <c r="AG59" i="3" s="1"/>
  <c r="AG28" i="3" a="1"/>
  <c r="AG28" i="3" s="1"/>
  <c r="AG282" i="3" a="1"/>
  <c r="AG282" i="3" s="1"/>
  <c r="AG247" i="3" a="1"/>
  <c r="AG247" i="3" s="1"/>
  <c r="AG208" i="3" a="1"/>
  <c r="AG208" i="3" s="1"/>
  <c r="AG254" i="3" a="1"/>
  <c r="AG254" i="3" s="1"/>
  <c r="AG217" i="3" a="1"/>
  <c r="AG217" i="3" s="1"/>
  <c r="AG186" i="3" a="1"/>
  <c r="AG186" i="3" s="1"/>
  <c r="AG75" i="3" a="1"/>
  <c r="AG75" i="3" s="1"/>
  <c r="AG263" i="3" a="1"/>
  <c r="AG263" i="3" s="1"/>
  <c r="AG153" i="3" a="1"/>
  <c r="AG153" i="3" s="1"/>
  <c r="AG20" i="3" a="1"/>
  <c r="AG20" i="3" s="1"/>
  <c r="AG187" i="3" a="1"/>
  <c r="AG187" i="3" s="1"/>
  <c r="AG49" i="3" a="1"/>
  <c r="AG49" i="3" s="1"/>
  <c r="AG64" i="3" a="1"/>
  <c r="AG64" i="3" s="1"/>
  <c r="AG280" i="3" a="1"/>
  <c r="AG280" i="3" s="1"/>
  <c r="AG142" i="3" a="1"/>
  <c r="AG142" i="3" s="1"/>
  <c r="AG111" i="3" a="1"/>
  <c r="AG111" i="3" s="1"/>
  <c r="AG73" i="3" a="1"/>
  <c r="AG73" i="3" s="1"/>
  <c r="AG36" i="3" a="1"/>
  <c r="AG36" i="3" s="1"/>
  <c r="AG202" i="3" a="1"/>
  <c r="AG202" i="3" s="1"/>
  <c r="AG44" i="3" a="1"/>
  <c r="AG44" i="3" s="1"/>
  <c r="AG93" i="3" a="1"/>
  <c r="AG93" i="3" s="1"/>
  <c r="AG283" i="3" a="1"/>
  <c r="AG283" i="3" s="1"/>
  <c r="AG145" i="3" a="1"/>
  <c r="AG145" i="3" s="1"/>
  <c r="AG19" i="3" a="1"/>
  <c r="AG19" i="3" s="1"/>
  <c r="AG161" i="3" a="1"/>
  <c r="AG161" i="3" s="1"/>
  <c r="AG191" i="3" a="1"/>
  <c r="AG191" i="3" s="1"/>
  <c r="AG136" i="3" a="1"/>
  <c r="AG136" i="3" s="1"/>
  <c r="AG205" i="3" a="1"/>
  <c r="AG205" i="3" s="1"/>
  <c r="AG175" i="3" a="1"/>
  <c r="AG175" i="3" s="1"/>
  <c r="AG137" i="3" a="1"/>
  <c r="AG137" i="3" s="1"/>
  <c r="AG100" i="3" a="1"/>
  <c r="AG100" i="3" s="1"/>
  <c r="AG166" i="3" a="1"/>
  <c r="AG166" i="3" s="1"/>
  <c r="AG150" i="3" a="1"/>
  <c r="AG150" i="3" s="1"/>
  <c r="AG298" i="3" a="1"/>
  <c r="AG298" i="3" s="1"/>
  <c r="AG224" i="3" a="1"/>
  <c r="AG224" i="3" s="1"/>
  <c r="AG116" i="3" a="1"/>
  <c r="AG116" i="3" s="1"/>
  <c r="AG273" i="3" a="1"/>
  <c r="AG273" i="3" s="1"/>
  <c r="AG148" i="3" a="1"/>
  <c r="AG148" i="3" s="1"/>
  <c r="AG98" i="3" a="1"/>
  <c r="AG98" i="3" s="1"/>
  <c r="AG23" i="3" a="1"/>
  <c r="AG23" i="3" s="1"/>
  <c r="AG13" i="3" a="1"/>
  <c r="AG13" i="3" s="1"/>
  <c r="AG269" i="3" a="1"/>
  <c r="AG269" i="3" s="1"/>
  <c r="AG238" i="3" a="1"/>
  <c r="AG238" i="3" s="1"/>
  <c r="AG203" i="3" a="1"/>
  <c r="AG203" i="3" s="1"/>
  <c r="AG164" i="3" a="1"/>
  <c r="AG164" i="3" s="1"/>
  <c r="AG125" i="3" a="1"/>
  <c r="AG125" i="3" s="1"/>
  <c r="AG134" i="3" a="1"/>
  <c r="AG134" i="3" s="1"/>
  <c r="AG25" i="3" a="1"/>
  <c r="AG25" i="3" s="1"/>
  <c r="AG196" i="3" a="1"/>
  <c r="AG196" i="3" s="1"/>
  <c r="AG57" i="3" a="1"/>
  <c r="AG57" i="3" s="1"/>
  <c r="AG292" i="3" a="1"/>
  <c r="AG292" i="3" s="1"/>
  <c r="AG226" i="3" a="1"/>
  <c r="AG226" i="3" s="1"/>
  <c r="AG151" i="3" a="1"/>
  <c r="AG151" i="3" s="1"/>
  <c r="AG78" i="3" a="1"/>
  <c r="AG78" i="3" s="1"/>
  <c r="AG47" i="3" a="1"/>
  <c r="AG47" i="3" s="1"/>
  <c r="AG11" i="3" a="1"/>
  <c r="AG11" i="3" s="1"/>
  <c r="AG267" i="3" a="1"/>
  <c r="AG267" i="3" s="1"/>
  <c r="AG233" i="3" a="1"/>
  <c r="AG233" i="3" s="1"/>
  <c r="AG279" i="3" a="1"/>
  <c r="AG279" i="3" s="1"/>
  <c r="AG109" i="3" a="1"/>
  <c r="AG109" i="3" s="1"/>
  <c r="AG177" i="3" a="1"/>
  <c r="AG177" i="3" s="1"/>
  <c r="AG119" i="3" a="1"/>
  <c r="AG119" i="3" s="1"/>
  <c r="AG252" i="3" a="1"/>
  <c r="AG252" i="3" s="1"/>
  <c r="AG176" i="3" a="1"/>
  <c r="AG176" i="3" s="1"/>
  <c r="AG259" i="3" a="1"/>
  <c r="AG259" i="3" s="1"/>
  <c r="AG178" i="3" a="1"/>
  <c r="AG178" i="3" s="1"/>
  <c r="AG99" i="3" a="1"/>
  <c r="AG99" i="3" s="1"/>
  <c r="AG149" i="3" a="1"/>
  <c r="AG149" i="3" s="1"/>
  <c r="AG242" i="3" a="1"/>
  <c r="AG242" i="3" s="1"/>
  <c r="AG152" i="3" a="1"/>
  <c r="AG152" i="3" s="1"/>
  <c r="AG17" i="3" a="1"/>
  <c r="AG17" i="3" s="1"/>
  <c r="AG216" i="3" a="1"/>
  <c r="AG216" i="3" s="1"/>
  <c r="AG33" i="3" a="1"/>
  <c r="AG33" i="3" s="1"/>
  <c r="AG271" i="3" a="1"/>
  <c r="AG271" i="3" s="1"/>
  <c r="AG275" i="3" a="1"/>
  <c r="AG275" i="3" s="1"/>
  <c r="AG154" i="3" a="1"/>
  <c r="AG154" i="3" s="1"/>
  <c r="AG248" i="3" a="1"/>
  <c r="AG248" i="3" s="1"/>
  <c r="AG163" i="3" a="1"/>
  <c r="AG163" i="3" s="1"/>
  <c r="AG9" i="3" a="1"/>
  <c r="AG9" i="3" s="1"/>
  <c r="AG214" i="3" a="1"/>
  <c r="AG214" i="3" s="1"/>
  <c r="AG144" i="3" a="1"/>
  <c r="AG144" i="3" s="1"/>
  <c r="AG133" i="3" a="1"/>
  <c r="AG133" i="3" s="1"/>
  <c r="AG243" i="3" a="1"/>
  <c r="AG243" i="3" s="1"/>
  <c r="AG114" i="3" a="1"/>
  <c r="AG114" i="3" s="1"/>
  <c r="AG246" i="3" a="1"/>
  <c r="AG246" i="3" s="1"/>
  <c r="AG129" i="3" a="1"/>
  <c r="AG129" i="3" s="1"/>
  <c r="AG37" i="3" a="1"/>
  <c r="AG37" i="3" s="1"/>
  <c r="AG268" i="3" a="1"/>
  <c r="AG268" i="3" s="1"/>
  <c r="AG293" i="3" a="1"/>
  <c r="AG293" i="3" s="1"/>
  <c r="AG26" i="3" a="1"/>
  <c r="AG26" i="3" s="1"/>
  <c r="AG194" i="3" a="1"/>
  <c r="AG194" i="3" s="1"/>
  <c r="AG35" i="3" a="1"/>
  <c r="AG35" i="3" s="1"/>
  <c r="AG193" i="3" a="1"/>
  <c r="AG193" i="3" s="1"/>
  <c r="AG85" i="3" a="1"/>
  <c r="AG85" i="3" s="1"/>
  <c r="AG138" i="3" a="1"/>
  <c r="AG138" i="3" s="1"/>
  <c r="AG168" i="3" a="1"/>
  <c r="AG168" i="3" s="1"/>
  <c r="AG236" i="3" a="1"/>
  <c r="AG236" i="3" s="1"/>
  <c r="AG228" i="3" a="1"/>
  <c r="AG228" i="3" s="1"/>
  <c r="AG207" i="3" a="1"/>
  <c r="AG207" i="3" s="1"/>
  <c r="AG42" i="3" a="1"/>
  <c r="AG42" i="3" s="1"/>
  <c r="AG290" i="3" a="1"/>
  <c r="AG290" i="3" s="1"/>
  <c r="AG131" i="3" a="1"/>
  <c r="AG131" i="3" s="1"/>
  <c r="AG34" i="3" a="1"/>
  <c r="AG34" i="3" s="1"/>
  <c r="AG262" i="3" a="1"/>
  <c r="AG262" i="3" s="1"/>
  <c r="AG230" i="3" a="1"/>
  <c r="AG230" i="3" s="1"/>
  <c r="AG32" i="3" a="1"/>
  <c r="AG32" i="3" s="1"/>
  <c r="AG229" i="3" a="1"/>
  <c r="AG229" i="3" s="1"/>
  <c r="AG82" i="3" a="1"/>
  <c r="AG82" i="3" s="1"/>
  <c r="AG264" i="3" a="1"/>
  <c r="AG264" i="3" s="1"/>
  <c r="AG209" i="3" a="1"/>
  <c r="AG209" i="3" s="1"/>
  <c r="AG184" i="3" a="1"/>
  <c r="AG184" i="3" s="1"/>
  <c r="AG300" i="3" a="1"/>
  <c r="AG300" i="3" s="1"/>
  <c r="AG204" i="3" a="1"/>
  <c r="AG204" i="3" s="1"/>
  <c r="AG24" i="3" a="1"/>
  <c r="AG24" i="3" s="1"/>
  <c r="AG211" i="3" a="1"/>
  <c r="AG211" i="3" s="1"/>
  <c r="AG87" i="3" a="1"/>
  <c r="AG87" i="3" s="1"/>
  <c r="AG294" i="3" a="1"/>
  <c r="AG294" i="3" s="1"/>
  <c r="AG55" i="3" a="1"/>
  <c r="AG55" i="3" s="1"/>
  <c r="AG182" i="3" a="1"/>
  <c r="AG182" i="3" s="1"/>
  <c r="AG106" i="3" a="1"/>
  <c r="AG106" i="3" s="1"/>
  <c r="AG240" i="3" a="1"/>
  <c r="AG240" i="3" s="1"/>
  <c r="AG284" i="3" a="1"/>
  <c r="AG284" i="3" s="1"/>
  <c r="AG104" i="3" a="1"/>
  <c r="AG104" i="3" s="1"/>
  <c r="AG291" i="3" a="1"/>
  <c r="AG291" i="3" s="1"/>
  <c r="AG135" i="3" a="1"/>
  <c r="AG135" i="3" s="1"/>
  <c r="AG51" i="3" a="1"/>
  <c r="AG51" i="3" s="1"/>
  <c r="AG223" i="3" a="1"/>
  <c r="AG223" i="3" s="1"/>
  <c r="AG53" i="3" a="1"/>
  <c r="AG53" i="3" s="1"/>
  <c r="AG115" i="3" a="1"/>
  <c r="AG115" i="3" s="1"/>
  <c r="AG241" i="3" a="1"/>
  <c r="AG241" i="3" s="1"/>
  <c r="AG117" i="3" a="1"/>
  <c r="AG117" i="3" s="1"/>
  <c r="AG260" i="3" a="1"/>
  <c r="AG260" i="3" s="1"/>
  <c r="AG197" i="3" a="1"/>
  <c r="AG197" i="3" s="1"/>
  <c r="AG12" i="3" a="1"/>
  <c r="AG12" i="3" s="1"/>
  <c r="AG40" i="3" a="1"/>
  <c r="AG40" i="3" s="1"/>
  <c r="AG147" i="3" a="1"/>
  <c r="AG147" i="3" s="1"/>
  <c r="AG296" i="3" a="1"/>
  <c r="AG296" i="3" s="1"/>
  <c r="AG287" i="3" a="1"/>
  <c r="AG287" i="3" s="1"/>
  <c r="AG122" i="3" a="1"/>
  <c r="AG122" i="3" s="1"/>
  <c r="AG48" i="3" a="1"/>
  <c r="AG48" i="3" s="1"/>
  <c r="AG179" i="3" a="1"/>
  <c r="AG179" i="3" s="1"/>
  <c r="AG258" i="3" a="1"/>
  <c r="AG258" i="3" s="1"/>
  <c r="AG18" i="3" a="1"/>
  <c r="AG18" i="3" s="1"/>
  <c r="AG278" i="3" a="1"/>
  <c r="AG278" i="3" s="1"/>
  <c r="AG80" i="3" a="1"/>
  <c r="AG80" i="3" s="1"/>
  <c r="AG277" i="3" a="1"/>
  <c r="AG277" i="3" s="1"/>
  <c r="AG162" i="3" a="1"/>
  <c r="AG162" i="3" s="1"/>
  <c r="AG72" i="3" a="1"/>
  <c r="AG72" i="3" s="1"/>
  <c r="AG130" i="3" a="1"/>
  <c r="AG130" i="3" s="1"/>
  <c r="AG232" i="3" a="1"/>
  <c r="AG232" i="3" s="1"/>
  <c r="AG67" i="3" a="1"/>
  <c r="AG67" i="3" s="1"/>
  <c r="AG160" i="3" a="1"/>
  <c r="AG160" i="3" s="1"/>
  <c r="AG69" i="3" a="1"/>
  <c r="AG69" i="3" s="1"/>
  <c r="AG210" i="3" a="1"/>
  <c r="AG210" i="3" s="1"/>
  <c r="AG120" i="3" a="1"/>
  <c r="AG120" i="3" s="1"/>
  <c r="AG257" i="3" a="1"/>
  <c r="AG257" i="3" s="1"/>
  <c r="AG103" i="3" a="1"/>
  <c r="AG103" i="3" s="1"/>
  <c r="AG188" i="3" a="1"/>
  <c r="AG188" i="3" s="1"/>
  <c r="AG74" i="3" a="1"/>
  <c r="AG74" i="3" s="1"/>
  <c r="AG167" i="3" a="1"/>
  <c r="AG167" i="3" s="1"/>
  <c r="AG83" i="3" a="1"/>
  <c r="AG83" i="3" s="1"/>
  <c r="AG255" i="3" a="1"/>
  <c r="AG255" i="3" s="1"/>
  <c r="AG165" i="3" a="1"/>
  <c r="AG165" i="3" s="1"/>
  <c r="AG96" i="3" a="1"/>
  <c r="AG96" i="3" s="1"/>
  <c r="AG213" i="3" a="1"/>
  <c r="AG213" i="3" s="1"/>
  <c r="AG195" i="3" a="1"/>
  <c r="AG195" i="3" s="1"/>
  <c r="AG289" i="3" a="1"/>
  <c r="AG289" i="3" s="1"/>
  <c r="AG198" i="3" a="1"/>
  <c r="AG198" i="3" s="1"/>
  <c r="AG81" i="3" a="1"/>
  <c r="AG81" i="3" s="1"/>
  <c r="AG245" i="3" a="1"/>
  <c r="AG245" i="3" s="1"/>
  <c r="AG220" i="3" a="1"/>
  <c r="AG220" i="3" s="1"/>
  <c r="AG88" i="3" a="1"/>
  <c r="AG88" i="3" s="1"/>
  <c r="AG227" i="3" a="1"/>
  <c r="AG227" i="3" s="1"/>
  <c r="AG65" i="3" a="1"/>
  <c r="AG65" i="3" s="1"/>
  <c r="AG39" i="3" a="1"/>
  <c r="AG39" i="3" s="1"/>
  <c r="AG170" i="3" a="1"/>
  <c r="AG170" i="3" s="1"/>
  <c r="AG128" i="3" a="1"/>
  <c r="AG128" i="3" s="1"/>
  <c r="AG90" i="3" a="1"/>
  <c r="AG90" i="3" s="1"/>
  <c r="AG15" i="3" a="1"/>
  <c r="AG15" i="3" s="1"/>
  <c r="AG58" i="3" a="1"/>
  <c r="AG58" i="3" s="1"/>
  <c r="CK256" i="3"/>
  <c r="CK258" i="3"/>
  <c r="CK257" i="3"/>
  <c r="CK262" i="3"/>
  <c r="CK255" i="3"/>
  <c r="CK260" i="3"/>
  <c r="CK261" i="3"/>
  <c r="CK254" i="3"/>
  <c r="CK253" i="3"/>
  <c r="AG8" i="3" a="1"/>
  <c r="AG8" i="3" s="1"/>
  <c r="CK259" i="3"/>
  <c r="AF8" i="3" l="1" a="1"/>
  <c r="AF8" i="3" s="1"/>
  <c r="AF111" i="3" a="1"/>
  <c r="AF111" i="3" s="1"/>
  <c r="AG6" i="3"/>
  <c r="AF257" i="3" a="1"/>
  <c r="AF257" i="3" s="1"/>
  <c r="AF230" i="3" a="1"/>
  <c r="AF230" i="3" s="1"/>
  <c r="AF83" i="3" a="1"/>
  <c r="AF83" i="3" s="1"/>
  <c r="AF262" i="3" a="1"/>
  <c r="AF262" i="3" s="1"/>
  <c r="AF26" i="3" a="1"/>
  <c r="AF26" i="3" s="1"/>
  <c r="AF65" i="3" a="1"/>
  <c r="AF65" i="3" s="1"/>
  <c r="AF163" i="3" a="1"/>
  <c r="AF163" i="3" s="1"/>
  <c r="AF280" i="3" a="1"/>
  <c r="AF280" i="3" s="1"/>
  <c r="AF285" i="3" a="1"/>
  <c r="AF285" i="3" s="1"/>
  <c r="AF122" i="3" a="1"/>
  <c r="AF122" i="3" s="1"/>
  <c r="AF52" i="3" a="1"/>
  <c r="AF52" i="3" s="1"/>
  <c r="AF73" i="3" a="1"/>
  <c r="AF73" i="3" s="1"/>
  <c r="AF89" i="3" a="1"/>
  <c r="AF89" i="3" s="1"/>
  <c r="AF41" i="3" a="1"/>
  <c r="AF41" i="3" s="1"/>
  <c r="AF69" i="3" a="1"/>
  <c r="AF69" i="3" s="1"/>
  <c r="AF66" i="3" a="1"/>
  <c r="AF66" i="3" s="1"/>
  <c r="AF101" i="3" a="1"/>
  <c r="AF101" i="3" s="1"/>
  <c r="AF214" i="3" a="1"/>
  <c r="AF214" i="3" s="1"/>
  <c r="AF234" i="3" a="1"/>
  <c r="AF234" i="3" s="1"/>
  <c r="AF117" i="3" a="1"/>
  <c r="AF117" i="3" s="1"/>
  <c r="AF104" i="3" a="1"/>
  <c r="AF104" i="3" s="1"/>
  <c r="AF246" i="3" a="1"/>
  <c r="AF246" i="3" s="1"/>
  <c r="AF136" i="3" a="1"/>
  <c r="AF136" i="3" s="1"/>
  <c r="AF195" i="3" a="1"/>
  <c r="AF195" i="3" s="1"/>
  <c r="AF213" i="3" a="1"/>
  <c r="AF213" i="3" s="1"/>
  <c r="AF261" i="3" a="1"/>
  <c r="AF261" i="3" s="1"/>
  <c r="AF64" i="3" a="1"/>
  <c r="AF64" i="3" s="1"/>
  <c r="AF120" i="3" a="1"/>
  <c r="AF120" i="3" s="1"/>
  <c r="AF39" i="3" a="1"/>
  <c r="AF39" i="3" s="1"/>
  <c r="AF97" i="3" a="1"/>
  <c r="AF97" i="3" s="1"/>
  <c r="AF241" i="3" a="1"/>
  <c r="AF241" i="3" s="1"/>
  <c r="AF298" i="3" a="1"/>
  <c r="AF298" i="3" s="1"/>
  <c r="AF86" i="3" a="1"/>
  <c r="AF86" i="3" s="1"/>
  <c r="AF274" i="3" a="1"/>
  <c r="AF274" i="3" s="1"/>
  <c r="AF130" i="3" a="1"/>
  <c r="AF130" i="3" s="1"/>
  <c r="AF247" i="3" a="1"/>
  <c r="AF247" i="3" s="1"/>
  <c r="AF134" i="3" a="1"/>
  <c r="AF134" i="3" s="1"/>
  <c r="AF256" i="3" a="1"/>
  <c r="AF256" i="3" s="1"/>
  <c r="AF218" i="3" a="1"/>
  <c r="AF218" i="3" s="1"/>
  <c r="AF198" i="3" a="1"/>
  <c r="AF198" i="3" s="1"/>
  <c r="AF20" i="3" a="1"/>
  <c r="AF20" i="3" s="1"/>
  <c r="AF240" i="3" a="1"/>
  <c r="AF240" i="3" s="1"/>
  <c r="AF231" i="3" a="1"/>
  <c r="AF231" i="3" s="1"/>
  <c r="AF50" i="3" a="1"/>
  <c r="AF50" i="3" s="1"/>
  <c r="AF13" i="3" a="1"/>
  <c r="AF13" i="3" s="1"/>
  <c r="AF103" i="3" a="1"/>
  <c r="AF103" i="3" s="1"/>
  <c r="AF244" i="3" a="1"/>
  <c r="AF244" i="3" s="1"/>
  <c r="AF248" i="3" a="1"/>
  <c r="AF248" i="3" s="1"/>
  <c r="AF137" i="3" a="1"/>
  <c r="AF137" i="3" s="1"/>
  <c r="AF226" i="3" a="1"/>
  <c r="AF226" i="3" s="1"/>
  <c r="AF281" i="3" a="1"/>
  <c r="AF281" i="3" s="1"/>
  <c r="AF37" i="3" a="1"/>
  <c r="AF37" i="3" s="1"/>
  <c r="AF84" i="3" a="1"/>
  <c r="AF84" i="3" s="1"/>
  <c r="AF272" i="3" a="1"/>
  <c r="AF272" i="3" s="1"/>
  <c r="AF47" i="3" a="1"/>
  <c r="AF47" i="3" s="1"/>
  <c r="AF150" i="3" a="1"/>
  <c r="AF150" i="3" s="1"/>
  <c r="AF36" i="3" a="1"/>
  <c r="AF36" i="3" s="1"/>
  <c r="AF191" i="3" a="1"/>
  <c r="AF191" i="3" s="1"/>
  <c r="AF183" i="3" a="1"/>
  <c r="AF183" i="3" s="1"/>
  <c r="AF70" i="3" a="1"/>
  <c r="AF70" i="3" s="1"/>
  <c r="AF177" i="3" a="1"/>
  <c r="AF177" i="3" s="1"/>
  <c r="AF57" i="3" a="1"/>
  <c r="AF57" i="3" s="1"/>
  <c r="AF229" i="3" a="1"/>
  <c r="AF229" i="3" s="1"/>
  <c r="AF175" i="3" a="1"/>
  <c r="AF175" i="3" s="1"/>
  <c r="AF88" i="3" a="1"/>
  <c r="AF88" i="3" s="1"/>
  <c r="AF260" i="3" a="1"/>
  <c r="AF260" i="3" s="1"/>
  <c r="AF96" i="3" a="1"/>
  <c r="AF96" i="3" s="1"/>
  <c r="AF121" i="3" a="1"/>
  <c r="AF121" i="3" s="1"/>
  <c r="AF264" i="3" a="1"/>
  <c r="AF264" i="3" s="1"/>
  <c r="AF85" i="3" a="1"/>
  <c r="AF85" i="3" s="1"/>
  <c r="AF259" i="3" a="1"/>
  <c r="AF259" i="3" s="1"/>
  <c r="AF297" i="3" a="1"/>
  <c r="AF297" i="3" s="1"/>
  <c r="AF118" i="3" a="1"/>
  <c r="AF118" i="3" s="1"/>
  <c r="AF166" i="3" a="1"/>
  <c r="AF166" i="3" s="1"/>
  <c r="AF224" i="3" a="1"/>
  <c r="AF224" i="3" s="1"/>
  <c r="AF279" i="3" a="1"/>
  <c r="AF279" i="3" s="1"/>
  <c r="AF199" i="3" a="1"/>
  <c r="AF199" i="3" s="1"/>
  <c r="AF290" i="3" a="1"/>
  <c r="AF290" i="3" s="1"/>
  <c r="AF58" i="3" a="1"/>
  <c r="AF58" i="3" s="1"/>
  <c r="AF263" i="3" a="1"/>
  <c r="AF263" i="3" s="1"/>
  <c r="AF18" i="3" a="1"/>
  <c r="AF18" i="3" s="1"/>
  <c r="AF208" i="3" a="1"/>
  <c r="AF208" i="3" s="1"/>
  <c r="AF42" i="3" a="1"/>
  <c r="AF42" i="3" s="1"/>
  <c r="AF181" i="3" a="1"/>
  <c r="AF181" i="3" s="1"/>
  <c r="AF79" i="3" a="1"/>
  <c r="AF79" i="3" s="1"/>
  <c r="AF138" i="3" a="1"/>
  <c r="AF138" i="3" s="1"/>
  <c r="AF282" i="3" a="1"/>
  <c r="AF282" i="3" s="1"/>
  <c r="AF141" i="3" a="1"/>
  <c r="AF141" i="3" s="1"/>
  <c r="AF135" i="3" a="1"/>
  <c r="AF135" i="3" s="1"/>
  <c r="AF212" i="3" a="1"/>
  <c r="AF212" i="3" s="1"/>
  <c r="AF114" i="3" a="1"/>
  <c r="AF114" i="3" s="1"/>
  <c r="AF201" i="3" a="1"/>
  <c r="AF201" i="3" s="1"/>
  <c r="AF245" i="3" a="1"/>
  <c r="AF245" i="3" s="1"/>
  <c r="AF99" i="3" a="1"/>
  <c r="AF99" i="3" s="1"/>
  <c r="AF225" i="3" a="1"/>
  <c r="AF225" i="3" s="1"/>
  <c r="AF90" i="3" a="1"/>
  <c r="AF90" i="3" s="1"/>
  <c r="AF132" i="3" a="1"/>
  <c r="AF132" i="3" s="1"/>
  <c r="AF258" i="3" a="1"/>
  <c r="AF258" i="3" s="1"/>
  <c r="AF16" i="3" a="1"/>
  <c r="AF16" i="3" s="1"/>
  <c r="AF295" i="3" a="1"/>
  <c r="AF295" i="3" s="1"/>
  <c r="AF116" i="3" a="1"/>
  <c r="AF116" i="3" s="1"/>
  <c r="AF34" i="3" a="1"/>
  <c r="AF34" i="3" s="1"/>
  <c r="AF72" i="3" a="1"/>
  <c r="AF72" i="3" s="1"/>
  <c r="AF182" i="3" a="1"/>
  <c r="AF182" i="3" s="1"/>
  <c r="AF102" i="3" a="1"/>
  <c r="AF102" i="3" s="1"/>
  <c r="AF202" i="3" a="1"/>
  <c r="AF202" i="3" s="1"/>
  <c r="AF215" i="3" a="1"/>
  <c r="AF215" i="3" s="1"/>
  <c r="AF164" i="3" a="1"/>
  <c r="AF164" i="3" s="1"/>
  <c r="AF35" i="3" a="1"/>
  <c r="AF35" i="3" s="1"/>
  <c r="AF289" i="3" a="1"/>
  <c r="AF289" i="3" s="1"/>
  <c r="AF209" i="3" a="1"/>
  <c r="AF209" i="3" s="1"/>
  <c r="AF165" i="3" a="1"/>
  <c r="AF165" i="3" s="1"/>
  <c r="AF147" i="3" a="1"/>
  <c r="AF147" i="3" s="1"/>
  <c r="AF21" i="3" a="1"/>
  <c r="AF21" i="3" s="1"/>
  <c r="AF74" i="3" a="1"/>
  <c r="AF74" i="3" s="1"/>
  <c r="AF32" i="3" a="1"/>
  <c r="AF32" i="3" s="1"/>
  <c r="AF242" i="3" a="1"/>
  <c r="AF242" i="3" s="1"/>
  <c r="AF68" i="3" a="1"/>
  <c r="AF68" i="3" s="1"/>
  <c r="AF55" i="3" a="1"/>
  <c r="AF55" i="3" s="1"/>
  <c r="AF174" i="3" a="1"/>
  <c r="AF174" i="3" s="1"/>
  <c r="AF80" i="3" a="1"/>
  <c r="AF80" i="3" s="1"/>
  <c r="AF76" i="3" a="1"/>
  <c r="AF76" i="3" s="1"/>
  <c r="AF28" i="3" a="1"/>
  <c r="AF28" i="3" s="1"/>
  <c r="AF222" i="3" a="1"/>
  <c r="AF222" i="3" s="1"/>
  <c r="AF127" i="3" a="1"/>
  <c r="AF127" i="3" s="1"/>
  <c r="AF284" i="3" a="1"/>
  <c r="AF284" i="3" s="1"/>
  <c r="AF270" i="3" a="1"/>
  <c r="AF270" i="3" s="1"/>
  <c r="AF123" i="3" a="1"/>
  <c r="AF123" i="3" s="1"/>
  <c r="AF45" i="3" a="1"/>
  <c r="AF45" i="3" s="1"/>
  <c r="AF112" i="3" a="1"/>
  <c r="AF112" i="3" s="1"/>
  <c r="AF236" i="3" a="1"/>
  <c r="AF236" i="3" s="1"/>
  <c r="AF63" i="3" a="1"/>
  <c r="AF63" i="3" s="1"/>
  <c r="AF17" i="3" a="1"/>
  <c r="AF17" i="3" s="1"/>
  <c r="AF44" i="3" a="1"/>
  <c r="AF44" i="3" s="1"/>
  <c r="AF113" i="3" a="1"/>
  <c r="AF113" i="3" s="1"/>
  <c r="AF10" i="3" a="1"/>
  <c r="AF10" i="3" s="1"/>
  <c r="AF46" i="3" a="1"/>
  <c r="AF46" i="3" s="1"/>
  <c r="AF255" i="3" a="1"/>
  <c r="AF255" i="3" s="1"/>
  <c r="AF239" i="3" a="1"/>
  <c r="AF239" i="3" s="1"/>
  <c r="AF60" i="3" a="1"/>
  <c r="AF60" i="3" s="1"/>
  <c r="AF192" i="3" a="1"/>
  <c r="AF192" i="3" s="1"/>
  <c r="AF144" i="3" a="1"/>
  <c r="AF144" i="3" s="1"/>
  <c r="AF142" i="3" a="1"/>
  <c r="AF142" i="3" s="1"/>
  <c r="AF124" i="3" a="1"/>
  <c r="AF124" i="3" s="1"/>
  <c r="AF188" i="3" a="1"/>
  <c r="AF188" i="3" s="1"/>
  <c r="AF108" i="3" a="1"/>
  <c r="AF108" i="3" s="1"/>
  <c r="AF140" i="3" a="1"/>
  <c r="AF140" i="3" s="1"/>
  <c r="AF300" i="3" a="1"/>
  <c r="AF300" i="3" s="1"/>
  <c r="AF187" i="3" a="1"/>
  <c r="AF187" i="3" s="1"/>
  <c r="AF156" i="3" a="1"/>
  <c r="AF156" i="3" s="1"/>
  <c r="AF237" i="3" a="1"/>
  <c r="AF237" i="3" s="1"/>
  <c r="AF61" i="3" a="1"/>
  <c r="AF61" i="3" s="1"/>
  <c r="AF145" i="3" a="1"/>
  <c r="AF145" i="3" s="1"/>
  <c r="AF125" i="3" a="1"/>
  <c r="AF125" i="3" s="1"/>
  <c r="AF171" i="3" a="1"/>
  <c r="AF171" i="3" s="1"/>
  <c r="AF12" i="3" a="1"/>
  <c r="AF12" i="3" s="1"/>
  <c r="AF98" i="3" a="1"/>
  <c r="AF98" i="3" s="1"/>
  <c r="AF75" i="3" a="1"/>
  <c r="AF75" i="3" s="1"/>
  <c r="AF158" i="3" a="1"/>
  <c r="AF158" i="3" s="1"/>
  <c r="AF176" i="3" a="1"/>
  <c r="AF176" i="3" s="1"/>
  <c r="AF59" i="3" a="1"/>
  <c r="AF59" i="3" s="1"/>
  <c r="AF223" i="3" a="1"/>
  <c r="AF223" i="3" s="1"/>
  <c r="AF206" i="3" a="1"/>
  <c r="AF206" i="3" s="1"/>
  <c r="AF43" i="3" a="1"/>
  <c r="AF43" i="3" s="1"/>
  <c r="AF15" i="3" a="1"/>
  <c r="AF15" i="3" s="1"/>
  <c r="AF287" i="3" a="1"/>
  <c r="AF287" i="3" s="1"/>
  <c r="AF299" i="3" a="1"/>
  <c r="AF299" i="3" s="1"/>
  <c r="AF139" i="3" a="1"/>
  <c r="AF139" i="3" s="1"/>
  <c r="AF162" i="3" a="1"/>
  <c r="AF162" i="3" s="1"/>
  <c r="AF78" i="3" a="1"/>
  <c r="AF78" i="3" s="1"/>
  <c r="AF110" i="3" a="1"/>
  <c r="AF110" i="3" s="1"/>
  <c r="AF203" i="3" a="1"/>
  <c r="AF203" i="3" s="1"/>
  <c r="AF286" i="3" a="1"/>
  <c r="AF286" i="3" s="1"/>
  <c r="AF268" i="3" a="1"/>
  <c r="AF268" i="3" s="1"/>
  <c r="AF30" i="3" a="1"/>
  <c r="AF30" i="3" s="1"/>
  <c r="AF221" i="3" a="1"/>
  <c r="AF221" i="3" s="1"/>
  <c r="AF252" i="3" a="1"/>
  <c r="AF252" i="3" s="1"/>
  <c r="AF22" i="3" a="1"/>
  <c r="AF22" i="3" s="1"/>
  <c r="AF178" i="3" a="1"/>
  <c r="AF178" i="3" s="1"/>
  <c r="AF200" i="3" a="1"/>
  <c r="AF200" i="3" s="1"/>
  <c r="AF276" i="3" a="1"/>
  <c r="AF276" i="3" s="1"/>
  <c r="AF273" i="3" a="1"/>
  <c r="AF273" i="3" s="1"/>
  <c r="AF296" i="3" a="1"/>
  <c r="AF296" i="3" s="1"/>
  <c r="AF275" i="3" a="1"/>
  <c r="AF275" i="3" s="1"/>
  <c r="AF294" i="3" a="1"/>
  <c r="AF294" i="3" s="1"/>
  <c r="AF169" i="3" a="1"/>
  <c r="AF169" i="3" s="1"/>
  <c r="AF243" i="3" a="1"/>
  <c r="AF243" i="3" s="1"/>
  <c r="AF82" i="3" a="1"/>
  <c r="AF82" i="3" s="1"/>
  <c r="AF106" i="3" a="1"/>
  <c r="AF106" i="3" s="1"/>
  <c r="AF129" i="3" a="1"/>
  <c r="AF129" i="3" s="1"/>
  <c r="AF153" i="3" a="1"/>
  <c r="AF153" i="3" s="1"/>
  <c r="AF293" i="3" a="1"/>
  <c r="AF293" i="3" s="1"/>
  <c r="AF115" i="3" a="1"/>
  <c r="AF115" i="3" s="1"/>
  <c r="AF249" i="3" a="1"/>
  <c r="AF249" i="3" s="1"/>
  <c r="AF14" i="3" a="1"/>
  <c r="AF14" i="3" s="1"/>
  <c r="AF95" i="3" a="1"/>
  <c r="AF95" i="3" s="1"/>
  <c r="AF87" i="3" a="1"/>
  <c r="AF87" i="3" s="1"/>
  <c r="AF227" i="3" a="1"/>
  <c r="AF227" i="3" s="1"/>
  <c r="AF266" i="3" a="1"/>
  <c r="AF266" i="3" s="1"/>
  <c r="AF56" i="3" a="1"/>
  <c r="AF56" i="3" s="1"/>
  <c r="AF93" i="3" a="1"/>
  <c r="AF93" i="3" s="1"/>
  <c r="AF62" i="3" a="1"/>
  <c r="AF62" i="3" s="1"/>
  <c r="AF235" i="3" a="1"/>
  <c r="AF235" i="3" s="1"/>
  <c r="AF253" i="3" a="1"/>
  <c r="AF253" i="3" s="1"/>
  <c r="AF155" i="3" a="1"/>
  <c r="AF155" i="3" s="1"/>
  <c r="AF157" i="3" a="1"/>
  <c r="AF157" i="3" s="1"/>
  <c r="AF92" i="3" a="1"/>
  <c r="AF92" i="3" s="1"/>
  <c r="AF220" i="3" a="1"/>
  <c r="AF220" i="3" s="1"/>
  <c r="AF49" i="3" a="1"/>
  <c r="AF49" i="3" s="1"/>
  <c r="AF207" i="3" a="1"/>
  <c r="AF207" i="3" s="1"/>
  <c r="AF91" i="3" a="1"/>
  <c r="AF91" i="3" s="1"/>
  <c r="AF173" i="3" a="1"/>
  <c r="AF173" i="3" s="1"/>
  <c r="AF81" i="3" a="1"/>
  <c r="AF81" i="3" s="1"/>
  <c r="AF189" i="3" a="1"/>
  <c r="AF189" i="3" s="1"/>
  <c r="AF27" i="3" a="1"/>
  <c r="AF27" i="3" s="1"/>
  <c r="AF219" i="3" a="1"/>
  <c r="AF219" i="3" s="1"/>
  <c r="AF269" i="3" a="1"/>
  <c r="AF269" i="3" s="1"/>
  <c r="AF283" i="3" a="1"/>
  <c r="AF283" i="3" s="1"/>
  <c r="AF9" i="3" a="1"/>
  <c r="AF9" i="3" s="1"/>
  <c r="AF29" i="3" a="1"/>
  <c r="AF29" i="3" s="1"/>
  <c r="AF204" i="3" a="1"/>
  <c r="AF204" i="3" s="1"/>
  <c r="AF109" i="3" a="1"/>
  <c r="AF109" i="3" s="1"/>
  <c r="AF267" i="3" a="1"/>
  <c r="AF267" i="3" s="1"/>
  <c r="AF33" i="3" a="1"/>
  <c r="AF33" i="3" s="1"/>
  <c r="AF94" i="3" a="1"/>
  <c r="AF94" i="3" s="1"/>
  <c r="AF11" i="3" a="1"/>
  <c r="AF11" i="3" s="1"/>
  <c r="AF172" i="3" a="1"/>
  <c r="AF172" i="3" s="1"/>
  <c r="AF238" i="3" a="1"/>
  <c r="AF238" i="3" s="1"/>
  <c r="AF205" i="3" a="1"/>
  <c r="AF205" i="3" s="1"/>
  <c r="AF77" i="3" a="1"/>
  <c r="AF77" i="3" s="1"/>
  <c r="AF254" i="3" a="1"/>
  <c r="AF254" i="3" s="1"/>
  <c r="AF126" i="3" a="1"/>
  <c r="AF126" i="3" s="1"/>
  <c r="AF271" i="3" a="1"/>
  <c r="AF271" i="3" s="1"/>
  <c r="AF160" i="3" a="1"/>
  <c r="AF160" i="3" s="1"/>
  <c r="AF184" i="3" a="1"/>
  <c r="AF184" i="3" s="1"/>
  <c r="AF38" i="3" a="1"/>
  <c r="AF38" i="3" s="1"/>
  <c r="AF128" i="3" a="1"/>
  <c r="AF128" i="3" s="1"/>
  <c r="AF152" i="3" a="1"/>
  <c r="AF152" i="3" s="1"/>
  <c r="AF131" i="3" a="1"/>
  <c r="AF131" i="3" s="1"/>
  <c r="AF159" i="3" a="1"/>
  <c r="AF159" i="3" s="1"/>
  <c r="AF151" i="3" a="1"/>
  <c r="AF151" i="3" s="1"/>
  <c r="AF291" i="3" a="1"/>
  <c r="AF291" i="3" s="1"/>
  <c r="AF154" i="3" a="1"/>
  <c r="AF154" i="3" s="1"/>
  <c r="AF119" i="3" a="1"/>
  <c r="AF119" i="3" s="1"/>
  <c r="AF228" i="3" a="1"/>
  <c r="AF228" i="3" s="1"/>
  <c r="AF190" i="3" a="1"/>
  <c r="AF190" i="3" s="1"/>
  <c r="AF277" i="3" a="1"/>
  <c r="AF277" i="3" s="1"/>
  <c r="AF143" i="3" a="1"/>
  <c r="AF143" i="3" s="1"/>
  <c r="AF167" i="3" a="1"/>
  <c r="AF167" i="3" s="1"/>
  <c r="AF278" i="3" a="1"/>
  <c r="AF278" i="3" s="1"/>
  <c r="AF133" i="3" a="1"/>
  <c r="AF133" i="3" s="1"/>
  <c r="AF232" i="3" a="1"/>
  <c r="AF232" i="3" s="1"/>
  <c r="AF211" i="3" a="1"/>
  <c r="AF211" i="3" s="1"/>
  <c r="AF250" i="3" a="1"/>
  <c r="AF250" i="3" s="1"/>
  <c r="AF105" i="3" a="1"/>
  <c r="AF105" i="3" s="1"/>
  <c r="AF179" i="3" a="1"/>
  <c r="AF179" i="3" s="1"/>
  <c r="AF146" i="3" a="1"/>
  <c r="AF146" i="3" s="1"/>
  <c r="AF170" i="3" a="1"/>
  <c r="AF170" i="3" s="1"/>
  <c r="AF251" i="3" a="1"/>
  <c r="AF251" i="3" s="1"/>
  <c r="AF25" i="3" a="1"/>
  <c r="AF25" i="3" s="1"/>
  <c r="AF168" i="3" a="1"/>
  <c r="AF168" i="3" s="1"/>
  <c r="AF193" i="3" a="1"/>
  <c r="AF193" i="3" s="1"/>
  <c r="AF186" i="3" a="1"/>
  <c r="AF186" i="3" s="1"/>
  <c r="AF197" i="3" a="1"/>
  <c r="AF197" i="3" s="1"/>
  <c r="AF148" i="3" a="1"/>
  <c r="AF148" i="3" s="1"/>
  <c r="AF53" i="3" a="1"/>
  <c r="AF53" i="3" s="1"/>
  <c r="AF265" i="3" a="1"/>
  <c r="AF265" i="3" s="1"/>
  <c r="AF161" i="3" a="1"/>
  <c r="AF161" i="3" s="1"/>
  <c r="AF210" i="3" a="1"/>
  <c r="AF210" i="3" s="1"/>
  <c r="AF216" i="3" a="1"/>
  <c r="AF216" i="3" s="1"/>
  <c r="AF40" i="3" a="1"/>
  <c r="AF40" i="3" s="1"/>
  <c r="AF31" i="3" a="1"/>
  <c r="AF31" i="3" s="1"/>
  <c r="AF51" i="3" a="1"/>
  <c r="AF51" i="3" s="1"/>
  <c r="AF196" i="3" a="1"/>
  <c r="AF196" i="3" s="1"/>
  <c r="AF180" i="3" a="1"/>
  <c r="AF180" i="3" s="1"/>
  <c r="AF185" i="3" a="1"/>
  <c r="AF185" i="3" s="1"/>
  <c r="AF233" i="3" a="1"/>
  <c r="AF233" i="3" s="1"/>
  <c r="AF194" i="3" a="1"/>
  <c r="AF194" i="3" s="1"/>
  <c r="AF292" i="3" a="1"/>
  <c r="AF292" i="3" s="1"/>
  <c r="AF107" i="3" a="1"/>
  <c r="AF107" i="3" s="1"/>
  <c r="AF149" i="3" a="1"/>
  <c r="AF149" i="3" s="1"/>
  <c r="AF19" i="3" a="1"/>
  <c r="AF19" i="3" s="1"/>
  <c r="AF67" i="3" a="1"/>
  <c r="AF67" i="3" s="1"/>
  <c r="AF54" i="3" a="1"/>
  <c r="AF54" i="3" s="1"/>
  <c r="AF24" i="3" a="1"/>
  <c r="AF24" i="3" s="1"/>
  <c r="AF71" i="3" a="1"/>
  <c r="AF71" i="3" s="1"/>
  <c r="AF288" i="3" a="1"/>
  <c r="AF288" i="3" s="1"/>
  <c r="AF48" i="3" a="1"/>
  <c r="AF48" i="3" s="1"/>
  <c r="AF100" i="3" a="1"/>
  <c r="AF100" i="3" s="1"/>
  <c r="AF23" i="3" a="1"/>
  <c r="AF23" i="3" s="1"/>
  <c r="AF217" i="3" a="1"/>
  <c r="AF217" i="3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<sst xmlns="http://schemas.openxmlformats.org/spreadsheetml/2006/main" count="935" uniqueCount="761">
  <si>
    <t>Nome</t>
  </si>
  <si>
    <t>Telefone</t>
  </si>
  <si>
    <t>e-mail</t>
  </si>
  <si>
    <t>Financeiro</t>
  </si>
  <si>
    <t>Sanda</t>
  </si>
  <si>
    <t>Shuaijiao</t>
  </si>
  <si>
    <t>Nome Completo</t>
  </si>
  <si>
    <t>UF</t>
  </si>
  <si>
    <t>Gênero</t>
  </si>
  <si>
    <t>Nascimento</t>
  </si>
  <si>
    <t>Categoria</t>
  </si>
  <si>
    <t>SANDA</t>
  </si>
  <si>
    <t>SHUAIJIAO</t>
  </si>
  <si>
    <t>TAOLU ESPORTIVO</t>
  </si>
  <si>
    <t>Mãos</t>
  </si>
  <si>
    <t>Duilian</t>
  </si>
  <si>
    <t>Outras Mãos</t>
  </si>
  <si>
    <t>Taijiquan Tradicional</t>
  </si>
  <si>
    <t>Armas Longas</t>
  </si>
  <si>
    <t>Evento em Equipe</t>
  </si>
  <si>
    <t>Valor Total</t>
  </si>
  <si>
    <t>RESUMO</t>
  </si>
  <si>
    <t>Mãos do Sul</t>
  </si>
  <si>
    <t>AC</t>
  </si>
  <si>
    <t>AL</t>
  </si>
  <si>
    <t>BA</t>
  </si>
  <si>
    <t>CE</t>
  </si>
  <si>
    <t>DF</t>
  </si>
  <si>
    <t>ES</t>
  </si>
  <si>
    <t>GO</t>
  </si>
  <si>
    <t>MA</t>
  </si>
  <si>
    <t>MG</t>
  </si>
  <si>
    <t>MS</t>
  </si>
  <si>
    <t>MT</t>
  </si>
  <si>
    <t>PE</t>
  </si>
  <si>
    <t>PI</t>
  </si>
  <si>
    <t>PR</t>
  </si>
  <si>
    <t>RJ</t>
  </si>
  <si>
    <t>RN</t>
  </si>
  <si>
    <t>RO</t>
  </si>
  <si>
    <t>RS</t>
  </si>
  <si>
    <t>SC</t>
  </si>
  <si>
    <t>SP</t>
  </si>
  <si>
    <t>Feminino</t>
  </si>
  <si>
    <t>Masculino</t>
  </si>
  <si>
    <t>SDIF</t>
  </si>
  <si>
    <t>SDIM</t>
  </si>
  <si>
    <t>SDJF</t>
  </si>
  <si>
    <t>SDJM</t>
  </si>
  <si>
    <t>SDAM</t>
  </si>
  <si>
    <t>SDAF</t>
  </si>
  <si>
    <t>SJJF</t>
  </si>
  <si>
    <t>SJJM</t>
  </si>
  <si>
    <t>SJAF</t>
  </si>
  <si>
    <t>SJAM</t>
  </si>
  <si>
    <t>Infantil 39kg</t>
  </si>
  <si>
    <t>Juvenil 48kg</t>
  </si>
  <si>
    <t>Adulto 48kg</t>
  </si>
  <si>
    <t>Infantil 42kg</t>
  </si>
  <si>
    <t>Juvenil 52kg</t>
  </si>
  <si>
    <t>Adulto 52kg</t>
  </si>
  <si>
    <t>Infantil 45kg</t>
  </si>
  <si>
    <t>Juvenil 56kg</t>
  </si>
  <si>
    <t>Adulto 56kg</t>
  </si>
  <si>
    <t>Infantil 48kg</t>
  </si>
  <si>
    <t>Juvenil 60kg</t>
  </si>
  <si>
    <t>Adulto 60kg</t>
  </si>
  <si>
    <t>Infantil 52kg</t>
  </si>
  <si>
    <t>Juvenil 65kg</t>
  </si>
  <si>
    <t>Adulto 65kg</t>
  </si>
  <si>
    <t>Infantil 56kg</t>
  </si>
  <si>
    <t>Juvenil 70kg</t>
  </si>
  <si>
    <t>Adulto 70kg</t>
  </si>
  <si>
    <t>Infantil 60kg</t>
  </si>
  <si>
    <t>Juvenil 75kg</t>
  </si>
  <si>
    <t>Adulto 75kg</t>
  </si>
  <si>
    <t>Juvenil 80kg</t>
  </si>
  <si>
    <t>Adulto 80kg</t>
  </si>
  <si>
    <t>Adulto 90kg</t>
  </si>
  <si>
    <t>Adulto +90kg</t>
  </si>
  <si>
    <t>Juvenil 44kg</t>
  </si>
  <si>
    <t>Juvenil 82kg</t>
  </si>
  <si>
    <t>Juvenil 100kg</t>
  </si>
  <si>
    <t>Adulto 82kg</t>
  </si>
  <si>
    <t>Adulto +100kg</t>
  </si>
  <si>
    <t>Adulto 100kg</t>
  </si>
  <si>
    <t>Changquan Mirim</t>
  </si>
  <si>
    <t>Nanquan Mirim</t>
  </si>
  <si>
    <t>Taijiquan Mirim</t>
  </si>
  <si>
    <t>Changquan Grupo C</t>
  </si>
  <si>
    <t>Nanquan Grupo C</t>
  </si>
  <si>
    <t>Taijiquan Grupo C</t>
  </si>
  <si>
    <t>Nanquan Grupo B</t>
  </si>
  <si>
    <t>Taijiquan Grupo B</t>
  </si>
  <si>
    <t>Nanquan Grupo A</t>
  </si>
  <si>
    <t>Taijiquan Grupo A</t>
  </si>
  <si>
    <t>Changquan Opcional</t>
  </si>
  <si>
    <t>Nanquan Opcional</t>
  </si>
  <si>
    <t>Taijiquan Opcional</t>
  </si>
  <si>
    <t>TEMM</t>
  </si>
  <si>
    <t>TEMMC</t>
  </si>
  <si>
    <t>TEMC</t>
  </si>
  <si>
    <t>TEMB</t>
  </si>
  <si>
    <t>TEMA</t>
  </si>
  <si>
    <t>TEMOA</t>
  </si>
  <si>
    <t>TEACM</t>
  </si>
  <si>
    <t>TEACMC</t>
  </si>
  <si>
    <t>TEACC</t>
  </si>
  <si>
    <t>TEACB</t>
  </si>
  <si>
    <t>TEACA</t>
  </si>
  <si>
    <t>TEACOA</t>
  </si>
  <si>
    <t>TEALM</t>
  </si>
  <si>
    <t>TEALMC</t>
  </si>
  <si>
    <t>TEALC</t>
  </si>
  <si>
    <t>TEALB</t>
  </si>
  <si>
    <t>TEALA</t>
  </si>
  <si>
    <t>TEALOA</t>
  </si>
  <si>
    <t>Daoshu Mirim</t>
  </si>
  <si>
    <t>Nandao Mirim</t>
  </si>
  <si>
    <t>Jianshu Mirim</t>
  </si>
  <si>
    <t>Taijijian Mirim</t>
  </si>
  <si>
    <t>Daoshu Grupo C</t>
  </si>
  <si>
    <t>Jianshu Grupo C</t>
  </si>
  <si>
    <t>Nandao Grupo C</t>
  </si>
  <si>
    <t>Taijijian Grupo C</t>
  </si>
  <si>
    <t>Daoshu Grupo B</t>
  </si>
  <si>
    <t>Jianshu Grupo B</t>
  </si>
  <si>
    <t>Nandao Grupo B</t>
  </si>
  <si>
    <t>Taijijian Grupo B</t>
  </si>
  <si>
    <t>Daoshu Grupo A</t>
  </si>
  <si>
    <t>Jianshu Grupo A</t>
  </si>
  <si>
    <t>Nandao Grupo A</t>
  </si>
  <si>
    <t>Taijijian Grupo A</t>
  </si>
  <si>
    <t>Daoshu Opcional</t>
  </si>
  <si>
    <t>Jianshu Opcional</t>
  </si>
  <si>
    <t>Nandao Opcional</t>
  </si>
  <si>
    <t>Taijijian Opcional</t>
  </si>
  <si>
    <t>Gunshu Mirim</t>
  </si>
  <si>
    <t>Gunshu Grupo C</t>
  </si>
  <si>
    <t>Gunshu Opcional</t>
  </si>
  <si>
    <t>Qiangshu Mirim</t>
  </si>
  <si>
    <t>Qiangshu Grupo C</t>
  </si>
  <si>
    <t>Qiangshu Grupo B</t>
  </si>
  <si>
    <t>Qiangshu Grupo A</t>
  </si>
  <si>
    <t>Qiangshu Opcional</t>
  </si>
  <si>
    <t>Nangun Mirim</t>
  </si>
  <si>
    <t>Nangun Grupo C</t>
  </si>
  <si>
    <t>Nangun Grupo B</t>
  </si>
  <si>
    <t>Nangun Grupo A</t>
  </si>
  <si>
    <t>Nangun Opcional</t>
  </si>
  <si>
    <t>Gunshu Grupo B</t>
  </si>
  <si>
    <t>Gunshu Grupo A</t>
  </si>
  <si>
    <t>Changquan Grupo A</t>
  </si>
  <si>
    <t>Changquan Grupo B</t>
  </si>
  <si>
    <t>Arma Curta</t>
  </si>
  <si>
    <t>TEDLB</t>
  </si>
  <si>
    <t>TEDLA</t>
  </si>
  <si>
    <t>TEDLOA</t>
  </si>
  <si>
    <t>Equipe 1 Grupo B</t>
  </si>
  <si>
    <t>Equipe 2 Grupo B</t>
  </si>
  <si>
    <t>Equipe 1 Grupo A</t>
  </si>
  <si>
    <t>Equipe 2 Grupo A</t>
  </si>
  <si>
    <t>Equipe 1 Adulto</t>
  </si>
  <si>
    <t>Equipe 2 Adulto</t>
  </si>
  <si>
    <t>Adaptado</t>
  </si>
  <si>
    <t>Inscrição Regular</t>
  </si>
  <si>
    <t>Estilos Especiais</t>
  </si>
  <si>
    <t>Outras Mãos de Interno</t>
  </si>
  <si>
    <t>Armas Duplas e Maleáveis</t>
  </si>
  <si>
    <t>Armas Curtas</t>
  </si>
  <si>
    <t>Choylayfut A</t>
  </si>
  <si>
    <t>Hunggar A</t>
  </si>
  <si>
    <t>Wuzuquan A</t>
  </si>
  <si>
    <t>Wingchun A</t>
  </si>
  <si>
    <t>TTMSA</t>
  </si>
  <si>
    <t>Outra Mão de Sul A</t>
  </si>
  <si>
    <t>TTMSB</t>
  </si>
  <si>
    <t>Wingchun B</t>
  </si>
  <si>
    <t>Choylayfut B</t>
  </si>
  <si>
    <t>Hunggar B</t>
  </si>
  <si>
    <t>Wuzuquan B</t>
  </si>
  <si>
    <t>Outra Mão de Sul B</t>
  </si>
  <si>
    <t>TTMSC</t>
  </si>
  <si>
    <t>Choylayfut C</t>
  </si>
  <si>
    <t>Hunggar C</t>
  </si>
  <si>
    <t>Wuzuquan C</t>
  </si>
  <si>
    <t>Wingchun C</t>
  </si>
  <si>
    <t>Outra Mão de Sul C</t>
  </si>
  <si>
    <t>TTMSD</t>
  </si>
  <si>
    <t>Choylayfut D</t>
  </si>
  <si>
    <t>Hunggar D</t>
  </si>
  <si>
    <t>Wuzuquan D</t>
  </si>
  <si>
    <t>Wingchun D</t>
  </si>
  <si>
    <t>Outra Mão de Sul D</t>
  </si>
  <si>
    <t>TTMSE</t>
  </si>
  <si>
    <t>Choylayfut E</t>
  </si>
  <si>
    <t>Wuzuquan E</t>
  </si>
  <si>
    <t>Hunggar E</t>
  </si>
  <si>
    <t>Wingchun E</t>
  </si>
  <si>
    <t>Outra Mão de Sul E</t>
  </si>
  <si>
    <t>TTMSF</t>
  </si>
  <si>
    <t>Choylayfut F</t>
  </si>
  <si>
    <t>Hunggar F</t>
  </si>
  <si>
    <t>Wuzuquan F</t>
  </si>
  <si>
    <t>Wingchun F</t>
  </si>
  <si>
    <t>Outra Mão de Sul F</t>
  </si>
  <si>
    <t>Chaquan A</t>
  </si>
  <si>
    <t>Emeiquan A</t>
  </si>
  <si>
    <t>Fanziquan A</t>
  </si>
  <si>
    <t>Huaquan A</t>
  </si>
  <si>
    <t>Hongquan A</t>
  </si>
  <si>
    <t>Piguaquan A</t>
  </si>
  <si>
    <t>Shaolinquan A</t>
  </si>
  <si>
    <t>Tongbeiquan A</t>
  </si>
  <si>
    <t>Wudangquan A</t>
  </si>
  <si>
    <t>Chaquan B</t>
  </si>
  <si>
    <t>Emeiquan B</t>
  </si>
  <si>
    <t>Fanziquan B</t>
  </si>
  <si>
    <t>Huaquan B</t>
  </si>
  <si>
    <t>Hongquan B</t>
  </si>
  <si>
    <t>Piguaquan B</t>
  </si>
  <si>
    <t>Shaolinquan B</t>
  </si>
  <si>
    <t>Tongbeiquan B</t>
  </si>
  <si>
    <t>Wudangquan B</t>
  </si>
  <si>
    <t>Chaquan C</t>
  </si>
  <si>
    <t>Emeiquan C</t>
  </si>
  <si>
    <t>Fanziquan C</t>
  </si>
  <si>
    <t>Huaquan C</t>
  </si>
  <si>
    <t>Hongquan C</t>
  </si>
  <si>
    <t>Piguaquan C</t>
  </si>
  <si>
    <t>Shaolinquan C</t>
  </si>
  <si>
    <t>Tongbeiquan C</t>
  </si>
  <si>
    <t>Wudangquan C</t>
  </si>
  <si>
    <t>Chaquan D</t>
  </si>
  <si>
    <t>Emeiquan D</t>
  </si>
  <si>
    <t>Fanziquan D</t>
  </si>
  <si>
    <t>Huaquan D</t>
  </si>
  <si>
    <t>Hongquan D</t>
  </si>
  <si>
    <t>Piguaquan D</t>
  </si>
  <si>
    <t>Shaolinquan D</t>
  </si>
  <si>
    <t>Tongbeiquan D</t>
  </si>
  <si>
    <t>Wudangquan D</t>
  </si>
  <si>
    <t>Chaquan E</t>
  </si>
  <si>
    <t>Emeiquan E</t>
  </si>
  <si>
    <t>Fanziquan E</t>
  </si>
  <si>
    <t>Huaquan E</t>
  </si>
  <si>
    <t>Hongquan E</t>
  </si>
  <si>
    <t>Piguaquan E</t>
  </si>
  <si>
    <t>Shaolinquan E</t>
  </si>
  <si>
    <t>Tongbeiquan E</t>
  </si>
  <si>
    <t>Wudangquan E</t>
  </si>
  <si>
    <t>Chaquan F</t>
  </si>
  <si>
    <t>Emeiquan F</t>
  </si>
  <si>
    <t>Fanziquan F</t>
  </si>
  <si>
    <t>Huaquan F</t>
  </si>
  <si>
    <t>Hongquan F</t>
  </si>
  <si>
    <t>Piguaquan F</t>
  </si>
  <si>
    <t>Shaolinquan F</t>
  </si>
  <si>
    <t>Tongbeiquan F</t>
  </si>
  <si>
    <t>Wudangquan F</t>
  </si>
  <si>
    <t>TTOMF</t>
  </si>
  <si>
    <t>TTOMA</t>
  </si>
  <si>
    <t>TTOMB</t>
  </si>
  <si>
    <t>TTOMC</t>
  </si>
  <si>
    <t>TTOMD</t>
  </si>
  <si>
    <t>TTOME</t>
  </si>
  <si>
    <t>TTEEA</t>
  </si>
  <si>
    <t>Ditangquan A</t>
  </si>
  <si>
    <t>Houquan A</t>
  </si>
  <si>
    <t>Zuiquan A</t>
  </si>
  <si>
    <t>TTOMIA</t>
  </si>
  <si>
    <t>Xingyiquan A</t>
  </si>
  <si>
    <t>Outro Estilo Interno A</t>
  </si>
  <si>
    <t>TTACA</t>
  </si>
  <si>
    <t>Dao A</t>
  </si>
  <si>
    <t>Jian A</t>
  </si>
  <si>
    <t>Outra Arma Curta A</t>
  </si>
  <si>
    <t>TTALA</t>
  </si>
  <si>
    <t>Gun A</t>
  </si>
  <si>
    <t>Qiang A</t>
  </si>
  <si>
    <t>Outra Arma Longa A</t>
  </si>
  <si>
    <t>TTADMA</t>
  </si>
  <si>
    <t>Taijidao A</t>
  </si>
  <si>
    <t>Taijishan A</t>
  </si>
  <si>
    <t>Taijiqiang A</t>
  </si>
  <si>
    <t>Taijidao B</t>
  </si>
  <si>
    <t>Taijishan B</t>
  </si>
  <si>
    <t>Taijiqiang B</t>
  </si>
  <si>
    <t>TTADMB</t>
  </si>
  <si>
    <t>TTALB</t>
  </si>
  <si>
    <t>Gun B</t>
  </si>
  <si>
    <t>Qiang B</t>
  </si>
  <si>
    <t>Outra Arma Longa B</t>
  </si>
  <si>
    <t>TTACB</t>
  </si>
  <si>
    <t>Dao B</t>
  </si>
  <si>
    <t>Jian B</t>
  </si>
  <si>
    <t>Outra Arma Curta B</t>
  </si>
  <si>
    <t>TTOMIB</t>
  </si>
  <si>
    <t>Xingyiquan B</t>
  </si>
  <si>
    <t>Outro Estilo Interno B</t>
  </si>
  <si>
    <t>TTEEB</t>
  </si>
  <si>
    <t>Ditangquan B</t>
  </si>
  <si>
    <t>Houquan B</t>
  </si>
  <si>
    <t>Zuiquan B</t>
  </si>
  <si>
    <t>TTEEC</t>
  </si>
  <si>
    <t>Ditangquan C</t>
  </si>
  <si>
    <t>Houquan C</t>
  </si>
  <si>
    <t>Zuiquan C</t>
  </si>
  <si>
    <t>TTOMIC</t>
  </si>
  <si>
    <t>Xingyiquan C</t>
  </si>
  <si>
    <t>Outro Estilo Interno C</t>
  </si>
  <si>
    <t>TTACC</t>
  </si>
  <si>
    <t>Dao C</t>
  </si>
  <si>
    <t>Jian C</t>
  </si>
  <si>
    <t>Outra Arma Curta C</t>
  </si>
  <si>
    <t>TTALC</t>
  </si>
  <si>
    <t>Gun C</t>
  </si>
  <si>
    <t>Qiang C</t>
  </si>
  <si>
    <t>Outra Arma Longa C</t>
  </si>
  <si>
    <t>TTADMC</t>
  </si>
  <si>
    <t>Taijidao C</t>
  </si>
  <si>
    <t>Taijishan C</t>
  </si>
  <si>
    <t>Taijiqiang C</t>
  </si>
  <si>
    <t>Taijidao D</t>
  </si>
  <si>
    <t>Taijishan D</t>
  </si>
  <si>
    <t>Taijiqiang D</t>
  </si>
  <si>
    <t>TTADMD</t>
  </si>
  <si>
    <t>TTALD</t>
  </si>
  <si>
    <t>Gun D</t>
  </si>
  <si>
    <t>Qiang D</t>
  </si>
  <si>
    <t>Outra Arma Longa D</t>
  </si>
  <si>
    <t>TTACD</t>
  </si>
  <si>
    <t>Dao D</t>
  </si>
  <si>
    <t>Jian D</t>
  </si>
  <si>
    <t>Outra Arma Curta D</t>
  </si>
  <si>
    <t>TTOMID</t>
  </si>
  <si>
    <t>Xingyiquan D</t>
  </si>
  <si>
    <t>Outro Estilo Interno D</t>
  </si>
  <si>
    <t>TTEED</t>
  </si>
  <si>
    <t>Ditangquan D</t>
  </si>
  <si>
    <t>Houquan D</t>
  </si>
  <si>
    <t>Zuiquan D</t>
  </si>
  <si>
    <t>TTEEE</t>
  </si>
  <si>
    <t>Ditangquan E</t>
  </si>
  <si>
    <t>Houquan E</t>
  </si>
  <si>
    <t>Zuiquan E</t>
  </si>
  <si>
    <t>TTOMIE</t>
  </si>
  <si>
    <t>Xingyiquan E</t>
  </si>
  <si>
    <t>Outro Estilo Interno E</t>
  </si>
  <si>
    <t>TTACE</t>
  </si>
  <si>
    <t>Dao E</t>
  </si>
  <si>
    <t>Jian E</t>
  </si>
  <si>
    <t>Outra Arma Curta E</t>
  </si>
  <si>
    <t>TTALE</t>
  </si>
  <si>
    <t>Gun E</t>
  </si>
  <si>
    <t>Qiang E</t>
  </si>
  <si>
    <t>Outra Arma Longa E</t>
  </si>
  <si>
    <t>TTADME</t>
  </si>
  <si>
    <t>Taijidao E</t>
  </si>
  <si>
    <t>Taijishan E</t>
  </si>
  <si>
    <t>Taijiqiang E</t>
  </si>
  <si>
    <t>Taijidao F</t>
  </si>
  <si>
    <t>Taijishan F</t>
  </si>
  <si>
    <t>Taijiqiang F</t>
  </si>
  <si>
    <t>TTADMF</t>
  </si>
  <si>
    <t>TTALF</t>
  </si>
  <si>
    <t>Gun F</t>
  </si>
  <si>
    <t>Qiang F</t>
  </si>
  <si>
    <t>Outra Arma Longa F</t>
  </si>
  <si>
    <t>TTACF</t>
  </si>
  <si>
    <t>Dao F</t>
  </si>
  <si>
    <t>Jian F</t>
  </si>
  <si>
    <t>Outra Arma Curta F</t>
  </si>
  <si>
    <t>TTOMIF</t>
  </si>
  <si>
    <t>Xingyiquan F</t>
  </si>
  <si>
    <t>Outro Estilo Interno F</t>
  </si>
  <si>
    <t>TTEEF</t>
  </si>
  <si>
    <t>Ditangquan F</t>
  </si>
  <si>
    <t>Houquan F</t>
  </si>
  <si>
    <t>Zuiquan F</t>
  </si>
  <si>
    <t>TTTTF</t>
  </si>
  <si>
    <t>Yang F</t>
  </si>
  <si>
    <t>Chen F</t>
  </si>
  <si>
    <t>Sun F</t>
  </si>
  <si>
    <t>Wu F</t>
  </si>
  <si>
    <t>Wu-Hao F</t>
  </si>
  <si>
    <t>Outro Taijiquan F</t>
  </si>
  <si>
    <t>Taijiquan 24 F</t>
  </si>
  <si>
    <t>Taijiquan 42 F</t>
  </si>
  <si>
    <t>Wu 45 F</t>
  </si>
  <si>
    <t>Wu-Hao 46 F</t>
  </si>
  <si>
    <t>Sun 73 F</t>
  </si>
  <si>
    <t>Taijiquan 24 E</t>
  </si>
  <si>
    <t>Taijiquan 42 E</t>
  </si>
  <si>
    <t>Wu 45 E</t>
  </si>
  <si>
    <t>Wu-Hao 46 E</t>
  </si>
  <si>
    <t>Sun 73 E</t>
  </si>
  <si>
    <t>TTTTE</t>
  </si>
  <si>
    <t>Yang E</t>
  </si>
  <si>
    <t>Chen E</t>
  </si>
  <si>
    <t>Sun E</t>
  </si>
  <si>
    <t>Wu E</t>
  </si>
  <si>
    <t>Wu-Hao E</t>
  </si>
  <si>
    <t>Outro Taijiquan E</t>
  </si>
  <si>
    <t>TTTTD</t>
  </si>
  <si>
    <t>Yang D</t>
  </si>
  <si>
    <t>Chen D</t>
  </si>
  <si>
    <t>Sun D</t>
  </si>
  <si>
    <t>Wu D</t>
  </si>
  <si>
    <t>Wu-Hao D</t>
  </si>
  <si>
    <t>Outro Taijiquan D</t>
  </si>
  <si>
    <t>Taijiquan 24 D</t>
  </si>
  <si>
    <t>Taijiquan 42 D</t>
  </si>
  <si>
    <t>Wu 45 D</t>
  </si>
  <si>
    <t>Wu-Hao 46 D</t>
  </si>
  <si>
    <t>Sun 73 D</t>
  </si>
  <si>
    <t>Taijiquan 24 C</t>
  </si>
  <si>
    <t>Taijiquan 42 C</t>
  </si>
  <si>
    <t>Wu 45 C</t>
  </si>
  <si>
    <t>Wu-Hao 46 C</t>
  </si>
  <si>
    <t>Sun 73 C</t>
  </si>
  <si>
    <t>TTTTC</t>
  </si>
  <si>
    <t>Yang C</t>
  </si>
  <si>
    <t>Chen C</t>
  </si>
  <si>
    <t>Sun C</t>
  </si>
  <si>
    <t>Wu C</t>
  </si>
  <si>
    <t>Wu-Hao C</t>
  </si>
  <si>
    <t>Outro Taijiquan C</t>
  </si>
  <si>
    <t>TTTTB</t>
  </si>
  <si>
    <t>Yang B</t>
  </si>
  <si>
    <t>Chen B</t>
  </si>
  <si>
    <t>Sun B</t>
  </si>
  <si>
    <t>Wu B</t>
  </si>
  <si>
    <t>Wu-Hao B</t>
  </si>
  <si>
    <t>Outro Taijiquan B</t>
  </si>
  <si>
    <t>Taijiquan 24 B</t>
  </si>
  <si>
    <t>Taijiquan 42 B</t>
  </si>
  <si>
    <t>Wu 45 B</t>
  </si>
  <si>
    <t>Wu-Hao 46 B</t>
  </si>
  <si>
    <t>Sun 73 B</t>
  </si>
  <si>
    <t>Taijiquan 24 A</t>
  </si>
  <si>
    <t>Taijiquan 42 A</t>
  </si>
  <si>
    <t>Wu 45 A</t>
  </si>
  <si>
    <t>Wu-Hao 46 A</t>
  </si>
  <si>
    <t>Sun 73 A</t>
  </si>
  <si>
    <t>TTTTA</t>
  </si>
  <si>
    <t>Outro Taijiquan A</t>
  </si>
  <si>
    <t>Wu-Hao A</t>
  </si>
  <si>
    <t>Wu A</t>
  </si>
  <si>
    <t>Sun A</t>
  </si>
  <si>
    <t>Chen A</t>
  </si>
  <si>
    <t>Yang A</t>
  </si>
  <si>
    <t>Duilian de Tuishou - Equipe 1</t>
  </si>
  <si>
    <t>Duilian de Tuishou - Equipe 2</t>
  </si>
  <si>
    <t>ADAPTADO</t>
  </si>
  <si>
    <t>TAOLU TRADICIONAL (MÁXIMO 3 CATEGORIAS - ATÉ 2 MÃOS , ATÉ 2 ARMAS, ATÉ 1 DE EQUIPE)</t>
  </si>
  <si>
    <t>Taolu Esportivo</t>
  </si>
  <si>
    <t>Taolu Tradicional</t>
  </si>
  <si>
    <t>FEDERAÇÃO ACREANA DE KUNGFU WUSHU - FAKF</t>
  </si>
  <si>
    <t>FEDERAÇÃO ALAGOANA DE KUNGFU WUSHU - FAKFU</t>
  </si>
  <si>
    <t>FEDERAÇÃO BAIANA DE WUSHU SANDA - FBWS</t>
  </si>
  <si>
    <t>FEDERAÇÃO CEARENSE DE KUNG FU WUSHU - FCKW</t>
  </si>
  <si>
    <t>FEDERAÇÃO DE KUNGFU WUSHU DO DISTRITO FEDERAL - FWDF</t>
  </si>
  <si>
    <t>FEDERAÇÃO DO ESPÍRITO SANTO DE KUNG FU WUSHU - FESKW</t>
  </si>
  <si>
    <t>FEDERAÇÃO DE KUNG FU DO ESTADO DE GOIÁS - FKFEGO</t>
  </si>
  <si>
    <t>FEDERAÇÃO MARANHENSE DE KUNG FU WUSHU - FMKW</t>
  </si>
  <si>
    <t>FEDERAÇÃO MATOGROSSENSE DE KUNG FU WUSHU - FMTKW</t>
  </si>
  <si>
    <t>FEDERAÇÃO SUL-MATOGROSSENSE DE KUNG FU WUSHU - FSKFW</t>
  </si>
  <si>
    <t>FEDERAÇÃO MINEIRA DE KUNG-FU WUSHU - FMKFW</t>
  </si>
  <si>
    <t>FEDERAÇÃO PARANAENSE DE KUNG FU - FPRKW</t>
  </si>
  <si>
    <t>FEDERAÇÃO PERNAMBUCANA DE KUNG FU WU SHU E TAI CHI CHUAN - FPKW</t>
  </si>
  <si>
    <t>FEDERAÇÃO DE KUNG FU DO ESTADO DO RIO DE JANEIRO - FKFERJ</t>
  </si>
  <si>
    <t>FEDERAÇÃO POTIGUAR DE KUNG FU WUSHU - FPKW</t>
  </si>
  <si>
    <t>FEDERAÇÃO GAÚCHA DE KUNGFU WUSHU - FGKW</t>
  </si>
  <si>
    <t>FEDERAÇÃO RONDONIENSE DE KUNG FU WUSHU - FRKW</t>
  </si>
  <si>
    <t>FEDERAÇÃO DE KUNG FU WUSHU DE SANTA CATARINA - FKWSC</t>
  </si>
  <si>
    <t>Responsáveis</t>
  </si>
  <si>
    <t>-</t>
  </si>
  <si>
    <t>Sanda 1</t>
  </si>
  <si>
    <t>Sanda 2</t>
  </si>
  <si>
    <t>Shuaijiao 1</t>
  </si>
  <si>
    <t>Shuaijiao 2</t>
  </si>
  <si>
    <t>Taolu Esportivo 1</t>
  </si>
  <si>
    <t>Taolu Esportivo 2</t>
  </si>
  <si>
    <t>Taolu Tradicional 1</t>
  </si>
  <si>
    <t>Taolu Tradicional 2</t>
  </si>
  <si>
    <t>Chefe de Delegação</t>
  </si>
  <si>
    <t>Inscrição 1º Lugar</t>
  </si>
  <si>
    <t>VALOR TOTAL</t>
  </si>
  <si>
    <t>FEDERAÇÃO</t>
  </si>
  <si>
    <t>Bishou A</t>
  </si>
  <si>
    <t>Bishou B</t>
  </si>
  <si>
    <t>Bishou C</t>
  </si>
  <si>
    <t>Bishou D</t>
  </si>
  <si>
    <t>Bishou E</t>
  </si>
  <si>
    <t>Bishou F</t>
  </si>
  <si>
    <t>FML</t>
  </si>
  <si>
    <t>DM</t>
  </si>
  <si>
    <t>DCP</t>
  </si>
  <si>
    <t>BE</t>
  </si>
  <si>
    <t>HT</t>
  </si>
  <si>
    <t>ATX</t>
  </si>
  <si>
    <t>ATT</t>
  </si>
  <si>
    <t>LAMP</t>
  </si>
  <si>
    <t>DV</t>
  </si>
  <si>
    <t>SELECIONE A "UF" AO LADO</t>
  </si>
  <si>
    <t>FEDERAÇÃO PAULISTA DE KUNG FU WUSHU - FPKF</t>
  </si>
  <si>
    <t>TTTOAA</t>
  </si>
  <si>
    <t>TTTOAB</t>
  </si>
  <si>
    <t>TTTOAC</t>
  </si>
  <si>
    <t>TTTOAD</t>
  </si>
  <si>
    <t>TTTOAE</t>
  </si>
  <si>
    <t>TTTOAF</t>
  </si>
  <si>
    <t>Taijiquan 32 A</t>
  </si>
  <si>
    <t>Taijiquan 32 B</t>
  </si>
  <si>
    <t>Taijiquan 32 C</t>
  </si>
  <si>
    <t>Taijiquan 32 D</t>
  </si>
  <si>
    <t>Taijiquan 32 E</t>
  </si>
  <si>
    <t>Taijiquan 32 F</t>
  </si>
  <si>
    <t>Comissão Técnica</t>
  </si>
  <si>
    <t>Médico 1</t>
  </si>
  <si>
    <t>Médico 2</t>
  </si>
  <si>
    <t>LIMITE COM CAMPEÃO</t>
  </si>
  <si>
    <t>ACIMA DO PERMITIDO</t>
  </si>
  <si>
    <t>EM CONFORMIDADE</t>
  </si>
  <si>
    <t>#</t>
  </si>
  <si>
    <r>
      <t>#</t>
    </r>
    <r>
      <rPr>
        <sz val="12"/>
        <color theme="4"/>
        <rFont val="Calibri (Corpo)"/>
      </rPr>
      <t>.</t>
    </r>
  </si>
  <si>
    <r>
      <t>#</t>
    </r>
    <r>
      <rPr>
        <sz val="12"/>
        <color theme="8"/>
        <rFont val="Calibri (Corpo)"/>
      </rPr>
      <t>.</t>
    </r>
  </si>
  <si>
    <t>ABAIXO DO NECESSÁRIO</t>
  </si>
  <si>
    <t>TAOLU ESPORTIVO INDIVIDUAL</t>
  </si>
  <si>
    <t>Pudao / Guandao A</t>
  </si>
  <si>
    <t>Pudao / Guandao B</t>
  </si>
  <si>
    <t>Pudao / Guandao C</t>
  </si>
  <si>
    <t>Pudao / Guandao D</t>
  </si>
  <si>
    <t>Pudao / Guandao E</t>
  </si>
  <si>
    <t>Pudao / Guandao F</t>
  </si>
  <si>
    <t>TAOLU ESPORTIVO MEMBROS POR EQUIPE</t>
  </si>
  <si>
    <t>TAOLU TRADICIONAL MEMBROS POR EQUIPE</t>
  </si>
  <si>
    <t>QUANTIDADE DE ATLETAS POR CATEGORIA</t>
  </si>
  <si>
    <t>Yang 40 A</t>
  </si>
  <si>
    <t>Yang 26 A</t>
  </si>
  <si>
    <t>Yang 26 B</t>
  </si>
  <si>
    <t>Yang 40 B</t>
  </si>
  <si>
    <t>Chen 25 A</t>
  </si>
  <si>
    <t>Chen 36 A</t>
  </si>
  <si>
    <t>Chen 56 A</t>
  </si>
  <si>
    <t>Chen 25 B</t>
  </si>
  <si>
    <t>Chen 36 B</t>
  </si>
  <si>
    <t>Chen 56 B</t>
  </si>
  <si>
    <t>Yang 26 C</t>
  </si>
  <si>
    <t>Yang 40 C</t>
  </si>
  <si>
    <t>Chen 25 C</t>
  </si>
  <si>
    <t>Chen 36 C</t>
  </si>
  <si>
    <t>Chen 56 C</t>
  </si>
  <si>
    <t>Yang 26 D</t>
  </si>
  <si>
    <t>Yang 40 D</t>
  </si>
  <si>
    <t>Chen 25 D</t>
  </si>
  <si>
    <t>Chen 36 D</t>
  </si>
  <si>
    <t>Chen 56 D</t>
  </si>
  <si>
    <t>Yang 26 E</t>
  </si>
  <si>
    <t>Yang 40 E</t>
  </si>
  <si>
    <t>Chen 25 E</t>
  </si>
  <si>
    <t>Chen 36 E</t>
  </si>
  <si>
    <t>Chen 56 E</t>
  </si>
  <si>
    <t>Yang 26 F</t>
  </si>
  <si>
    <t>Yang 40 F</t>
  </si>
  <si>
    <t>Chen 25 F</t>
  </si>
  <si>
    <t>Chen 36 F</t>
  </si>
  <si>
    <t>Chen 56 F</t>
  </si>
  <si>
    <t>TTTPA</t>
  </si>
  <si>
    <t>TTTPB</t>
  </si>
  <si>
    <t>TTTPC</t>
  </si>
  <si>
    <t>TTTPD</t>
  </si>
  <si>
    <t>TTTPE</t>
  </si>
  <si>
    <t>TTTPF</t>
  </si>
  <si>
    <t>Taijiquan Padronizado</t>
  </si>
  <si>
    <t>Taijijian</t>
  </si>
  <si>
    <t>Taijijian Yang A</t>
  </si>
  <si>
    <t>TTTA</t>
  </si>
  <si>
    <t>TTTB</t>
  </si>
  <si>
    <t>TTTC</t>
  </si>
  <si>
    <t>TTTD</t>
  </si>
  <si>
    <t>TTTE</t>
  </si>
  <si>
    <t>TTTF</t>
  </si>
  <si>
    <t>Taijijian 32 A</t>
  </si>
  <si>
    <t>Taijijian Chen A</t>
  </si>
  <si>
    <t>Taijijian Sun A</t>
  </si>
  <si>
    <t>Taijijian Wu A</t>
  </si>
  <si>
    <t>Taijijian Wu-Hao A</t>
  </si>
  <si>
    <t>Taijijian Yang B</t>
  </si>
  <si>
    <t>Taijijian Chen B</t>
  </si>
  <si>
    <t>Taijijian Sun B</t>
  </si>
  <si>
    <t>Taijijian Wu B</t>
  </si>
  <si>
    <t>Taijijian Wu-Hao B</t>
  </si>
  <si>
    <t>Taijijian 32 B</t>
  </si>
  <si>
    <t>Taijijian Yang C</t>
  </si>
  <si>
    <t>Taijijian Chen C</t>
  </si>
  <si>
    <t>Taijijian Sun C</t>
  </si>
  <si>
    <t>Taijijian Wu C</t>
  </si>
  <si>
    <t>Taijijian Wu-Hao C</t>
  </si>
  <si>
    <t>Taijijian 32 C</t>
  </si>
  <si>
    <t>Taijijian Yang D</t>
  </si>
  <si>
    <t>Taijijian Chen D</t>
  </si>
  <si>
    <t>Taijijian Sun D</t>
  </si>
  <si>
    <t>Taijijian Wu D</t>
  </si>
  <si>
    <t>Taijijian Wu-Hao D</t>
  </si>
  <si>
    <t>Taijijian 32 D</t>
  </si>
  <si>
    <t>Taijijian Yang E</t>
  </si>
  <si>
    <t>Taijijian Chen E</t>
  </si>
  <si>
    <t>Taijijian Sun E</t>
  </si>
  <si>
    <t>Taijijian Wu E</t>
  </si>
  <si>
    <t>Taijijian Wu-Hao E</t>
  </si>
  <si>
    <t>Taijijian 32 E</t>
  </si>
  <si>
    <t>Taijijian Yang F</t>
  </si>
  <si>
    <t>Taijijian Chen F</t>
  </si>
  <si>
    <t>Taijijian Sun F</t>
  </si>
  <si>
    <t>Taijijian Wu F</t>
  </si>
  <si>
    <t>Taijijian Wu-Hao F</t>
  </si>
  <si>
    <t>Taijijian 32 F</t>
  </si>
  <si>
    <t>TUISHOU</t>
  </si>
  <si>
    <r>
      <t>Categoria</t>
    </r>
    <r>
      <rPr>
        <sz val="12"/>
        <color theme="4"/>
        <rFont val="Calibri (Corpo)"/>
      </rPr>
      <t>..</t>
    </r>
  </si>
  <si>
    <r>
      <t>Categoria</t>
    </r>
    <r>
      <rPr>
        <sz val="12"/>
        <color theme="4"/>
        <rFont val="Calibri (Corpo)"/>
      </rPr>
      <t>.</t>
    </r>
  </si>
  <si>
    <t>Adulto +75kg</t>
  </si>
  <si>
    <t>TSAF</t>
  </si>
  <si>
    <t>TSAM</t>
  </si>
  <si>
    <t>Grupo</t>
  </si>
  <si>
    <t>Dulian de Tuishou</t>
  </si>
  <si>
    <t>Baguazhang A</t>
  </si>
  <si>
    <t>Baguazhang B</t>
  </si>
  <si>
    <t>Baguazhang C</t>
  </si>
  <si>
    <t>Baguazhang D</t>
  </si>
  <si>
    <t>Baguazhang E</t>
  </si>
  <si>
    <t>Baguazhang F</t>
  </si>
  <si>
    <t>TAOLU TRADICIONAL INDIVIDUAL</t>
  </si>
  <si>
    <t>Atletas</t>
  </si>
  <si>
    <t>Apresentações</t>
  </si>
  <si>
    <t>PREENCHA ESTES CAMPOS PARA HABILITAR AS CATEGORIAS</t>
  </si>
  <si>
    <t>Duilian de Mãos BC - Equipe 1</t>
  </si>
  <si>
    <t>Duilian de Mãos BC - Equipe 2</t>
  </si>
  <si>
    <t>Duilian de Armas BC - Equipe 1</t>
  </si>
  <si>
    <t>Duilian de Armas BC - Equipe 2</t>
  </si>
  <si>
    <t>Duilian de Mãos DE - Equipe 1</t>
  </si>
  <si>
    <t>Duilian de Mãos DE - Equipe 2</t>
  </si>
  <si>
    <t>Duilian de Armas DE - Equipe 1</t>
  </si>
  <si>
    <t>Duilian de Armas DE - Equipe 2</t>
  </si>
  <si>
    <t>TTDGA</t>
  </si>
  <si>
    <t>TTDGB</t>
  </si>
  <si>
    <t>TTDGC</t>
  </si>
  <si>
    <t>TTDGD</t>
  </si>
  <si>
    <t>TTDGE</t>
  </si>
  <si>
    <t>TTDGF</t>
  </si>
  <si>
    <t>SDKF</t>
  </si>
  <si>
    <t>SDKM</t>
  </si>
  <si>
    <t>Kids 30Kg</t>
  </si>
  <si>
    <t>Kids 36Kg</t>
  </si>
  <si>
    <t>Kids 39Kg</t>
  </si>
  <si>
    <t>Kids 42Kg</t>
  </si>
  <si>
    <t>Kids 45Kg</t>
  </si>
  <si>
    <t>Arma Longa
Leque</t>
  </si>
  <si>
    <t>Taijishan Grupo B</t>
  </si>
  <si>
    <t>Taijishan Grupo A</t>
  </si>
  <si>
    <t>Grupo Externo ABC - Equipe 1</t>
  </si>
  <si>
    <t>Grupo Externo ABC - Equipe 2</t>
  </si>
  <si>
    <t>Grupo Interno ABC - Equipe 1</t>
  </si>
  <si>
    <t>Grupo Interno ABC - Equipe 2</t>
  </si>
  <si>
    <t>Grupo Externo DEF - Equipe 1</t>
  </si>
  <si>
    <t>Grupo Externo DEF - Equipe 2</t>
  </si>
  <si>
    <t>Grupo Interno DEF - Equipe 1</t>
  </si>
  <si>
    <t>Grupo Interno DEF - Equipe 2</t>
  </si>
  <si>
    <t>Bagua de Arma A</t>
  </si>
  <si>
    <t>Xingyi de Arma A</t>
  </si>
  <si>
    <t>Bagua de Arma B</t>
  </si>
  <si>
    <t>Xingyi de Arma B</t>
  </si>
  <si>
    <t>Bagua de Arma C</t>
  </si>
  <si>
    <t>Xingyi de Arma C</t>
  </si>
  <si>
    <t>Bagua de Arma D</t>
  </si>
  <si>
    <t>Xingyi de Arma D</t>
  </si>
  <si>
    <t>Bagua de Arma E</t>
  </si>
  <si>
    <t>Xingyi de Arma E</t>
  </si>
  <si>
    <t>Bagua de Arma F</t>
  </si>
  <si>
    <t>Xingyi de Arma F</t>
  </si>
  <si>
    <t>Outras Armas de Interno</t>
  </si>
  <si>
    <t>Taijijian Yang Standard A</t>
  </si>
  <si>
    <t>Taijijian Chen Standard A</t>
  </si>
  <si>
    <t>Taijijian Yang Standard B</t>
  </si>
  <si>
    <t>Taijijian Yang Standard C</t>
  </si>
  <si>
    <t>Taijijian Yang Standard D</t>
  </si>
  <si>
    <t>Taijijian Yang Standard E</t>
  </si>
  <si>
    <t>Taijijian Yang Standard F</t>
  </si>
  <si>
    <t>Taijijian Chen Standard F</t>
  </si>
  <si>
    <t>Taijijian Chen Standard E</t>
  </si>
  <si>
    <t>Taijijian Chen Standard D</t>
  </si>
  <si>
    <t>Taijijian Chen Standard C</t>
  </si>
  <si>
    <t>Taijijian Chen Standard B</t>
  </si>
  <si>
    <t>FEDERAÇÃO DE KUNGFU WUSHU DO PIAUÍ - FKWPI</t>
  </si>
  <si>
    <t>TAOLU TRADICIONAL ADAPTADO INDIVIDUAL</t>
  </si>
  <si>
    <t>QIGONG-SAÚDE</t>
  </si>
  <si>
    <r>
      <t>#</t>
    </r>
    <r>
      <rPr>
        <b/>
        <sz val="12"/>
        <color theme="4"/>
        <rFont val="Calibri (Corpo)"/>
      </rPr>
      <t>.</t>
    </r>
  </si>
  <si>
    <r>
      <t>#</t>
    </r>
    <r>
      <rPr>
        <sz val="12"/>
        <color theme="4"/>
        <rFont val="Calibri (Corpo)"/>
      </rPr>
      <t>..</t>
    </r>
  </si>
  <si>
    <t>SAÚDE Rotina</t>
  </si>
  <si>
    <t>QIGONG-</t>
  </si>
  <si>
    <t>QSA</t>
  </si>
  <si>
    <t>QSB</t>
  </si>
  <si>
    <t>Baduanjin A</t>
  </si>
  <si>
    <t>Baduanjin B</t>
  </si>
  <si>
    <t>Dishuquan A</t>
  </si>
  <si>
    <t>Dishuquan B</t>
  </si>
  <si>
    <t>Dishuquan C</t>
  </si>
  <si>
    <t>Dishuquan D</t>
  </si>
  <si>
    <t>Dishuquan E</t>
  </si>
  <si>
    <t>Dishuquan F</t>
  </si>
  <si>
    <t>Paoquan A</t>
  </si>
  <si>
    <t>Paoquan B</t>
  </si>
  <si>
    <t>Paoquan C</t>
  </si>
  <si>
    <t>Paoquan D</t>
  </si>
  <si>
    <t>Paoquan E</t>
  </si>
  <si>
    <t>Paoquan F</t>
  </si>
  <si>
    <t>Yingzhaoquan A</t>
  </si>
  <si>
    <t>Yingzhaoquan B</t>
  </si>
  <si>
    <t>Yingzhaoquan C</t>
  </si>
  <si>
    <t>Yingzhaoquan D</t>
  </si>
  <si>
    <t>Yingzhaoquan E</t>
  </si>
  <si>
    <t>Yingzhaoquan F</t>
  </si>
  <si>
    <t>Shanzi A</t>
  </si>
  <si>
    <t>Shanzi B</t>
  </si>
  <si>
    <t>Shanzi C</t>
  </si>
  <si>
    <t>Shanzi D</t>
  </si>
  <si>
    <t>Shanzi E</t>
  </si>
  <si>
    <t>Shanzi F</t>
  </si>
  <si>
    <t>Shuangdao A</t>
  </si>
  <si>
    <t>Shuangdao B</t>
  </si>
  <si>
    <t>Shuangdao C</t>
  </si>
  <si>
    <t>Shuangdao D</t>
  </si>
  <si>
    <t>Shuangdao E</t>
  </si>
  <si>
    <t>Shuangdao F</t>
  </si>
  <si>
    <t>Outra Arma Dupla A</t>
  </si>
  <si>
    <t>Outra Arma Dupla B</t>
  </si>
  <si>
    <t>Outra Arma Dupla C</t>
  </si>
  <si>
    <t>Outra Arma Dupla D</t>
  </si>
  <si>
    <t>Outra Arma Dupla E</t>
  </si>
  <si>
    <t>Outra Arma Dupla F</t>
  </si>
  <si>
    <t>Arma Maleável A</t>
  </si>
  <si>
    <t>Arma Maleável B</t>
  </si>
  <si>
    <t>Arma Maleável C</t>
  </si>
  <si>
    <t>Arma Maleável D</t>
  </si>
  <si>
    <t>Arma Maleável E</t>
  </si>
  <si>
    <t>Arma Maleável F</t>
  </si>
  <si>
    <t>PB</t>
  </si>
  <si>
    <t>FEDERAÇÃO PARAIBANA DE KUNG FU WUSHU - FPBKW</t>
  </si>
  <si>
    <t>Kids 32Kg</t>
  </si>
  <si>
    <t>Kids 34Kg</t>
  </si>
  <si>
    <t>Changquan Alternativo</t>
  </si>
  <si>
    <t>Gunshu Alternativo</t>
  </si>
  <si>
    <t>Nanquan Alternativo</t>
  </si>
  <si>
    <t>Daoshu Alternativo</t>
  </si>
  <si>
    <t>Qiangshu Alternativo</t>
  </si>
  <si>
    <t>Taijiquan Alternativo</t>
  </si>
  <si>
    <t>Jianshu Alternativo</t>
  </si>
  <si>
    <t>Nangun Alternativo</t>
  </si>
  <si>
    <t>Nandao Alternativo</t>
  </si>
  <si>
    <t>Taijijian Alternativo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</si>
</sst>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+100kg&quot;"/>
    <numFmt numFmtId="165" formatCode="&quot;Adulto +90kg&quot;"/>
    <numFmt numFmtId="166" formatCode="&quot;R$&quot;\ #,##0.00"/>
    <numFmt numFmtId="167" formatCode="0;\-0;;@"/>
    <numFmt numFmtId="168" formatCode="&quot;R$&quot;0.00;\-0.00;;@"/>
  </numFmts>
  <fonts count="27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 (Corpo)"/>
    </font>
    <font>
      <sz val="12"/>
      <color theme="1"/>
      <name val="Calibri (Corpo)"/>
    </font>
    <font>
      <sz val="12"/>
      <color theme="1"/>
      <name val="Calibri"/>
      <family val="2"/>
      <charset val="204"/>
      <scheme val="minor"/>
    </font>
    <font>
      <sz val="12"/>
      <color theme="5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color theme="4"/>
      <name val="Calibri (Corpo)"/>
    </font>
    <font>
      <sz val="12"/>
      <color theme="8"/>
      <name val="Calibri (Corpo)"/>
    </font>
    <font>
      <sz val="12"/>
      <color rgb="FF7030A0"/>
      <name val="Calibri"/>
      <family val="2"/>
      <scheme val="minor"/>
    </font>
    <font>
      <sz val="10"/>
      <color theme="1"/>
      <name val="Calibri (Corpo)"/>
    </font>
    <font>
      <b/>
      <sz val="12"/>
      <color rgb="FFFFFF00"/>
      <name val="Calibri"/>
      <family val="2"/>
      <charset val="204"/>
      <scheme val="minor"/>
    </font>
    <font>
      <sz val="12"/>
      <color theme="0"/>
      <name val="Calibri (Corpo)"/>
    </font>
    <font>
      <sz val="10"/>
      <color theme="0"/>
      <name val="Calibri"/>
      <family val="2"/>
      <scheme val="minor"/>
    </font>
    <font>
      <b/>
      <sz val="12"/>
      <color theme="4"/>
      <name val="Calibri (Corpo)"/>
    </font>
    <font>
      <sz val="11"/>
      <color theme="0"/>
      <name val="Calibri (Corpo)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scheme val="minor"/>
    </font>
    <font>
      <sz val="10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E0B1FF"/>
        <bgColor indexed="64"/>
      </patternFill>
    </fill>
    <fill>
      <patternFill patternType="solid">
        <fgColor rgb="FF0070C0"/>
        <bgColor indexed="64"/>
      </patternFill>
    </fill>
  </fills>
  <borders count="8">
    <border>
      <left/>
      <right/>
      <top/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</borders>
  <cellStyleXfs count="4">
    <xf numFmtId="0" fontId="0" fillId="0" borderId="0"/>
    <xf numFmtId="0" fontId="24" fillId="0" borderId="0"/>
    <xf numFmtId="0" fontId="25" fillId="0" borderId="0"/>
    <xf numFmtId="0" fontId="26" fillId="0" borderId="0"/>
  </cellStyleXfs>
  <cellXfs count="91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  <xf numFmtId="0" fontId="6" fillId="0" borderId="0" xfId="0" applyFont="1" applyAlignment="1">
      <alignment horizontal="center"/>
    </xf>
    <xf numFmtId="0" fontId="6" fillId="0" borderId="0" xfId="0" applyFont="1"/>
    <xf numFmtId="0" fontId="0" fillId="0" borderId="0" xfId="0" applyAlignment="1" applyProtection="1">
      <alignment horizontal="center"/>
      <protection locked="0"/>
    </xf>
    <xf numFmtId="0" fontId="5" fillId="0" borderId="0" xfId="0" applyFont="1"/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0" fillId="3" borderId="0" xfId="0" applyFill="1"/>
    <xf numFmtId="0" fontId="0" fillId="3" borderId="0" xfId="0" applyFill="1" applyAlignment="1" applyProtection="1">
      <alignment horizontal="center"/>
      <protection locked="0"/>
    </xf>
    <xf numFmtId="167" fontId="0" fillId="0" borderId="0" xfId="0" applyNumberFormat="1" applyAlignment="1">
      <alignment horizontal="center"/>
    </xf>
    <xf numFmtId="0" fontId="9" fillId="0" borderId="0" xfId="0" applyFont="1"/>
    <xf numFmtId="168" fontId="0" fillId="0" borderId="0" xfId="0" applyNumberForma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2" fillId="8" borderId="0" xfId="0" applyFont="1" applyFill="1" applyAlignment="1">
      <alignment horizontal="center" vertical="center"/>
    </xf>
    <xf numFmtId="0" fontId="3" fillId="8" borderId="5" xfId="0" applyFont="1" applyFill="1" applyBorder="1" applyAlignment="1">
      <alignment horizontal="center"/>
    </xf>
    <xf numFmtId="0" fontId="3" fillId="8" borderId="0" xfId="0" applyFont="1" applyFill="1" applyAlignment="1">
      <alignment horizontal="center"/>
    </xf>
    <xf numFmtId="0" fontId="3" fillId="8" borderId="5" xfId="0" applyFont="1" applyFill="1" applyBorder="1" applyAlignment="1">
      <alignment horizontal="center" wrapText="1"/>
    </xf>
    <xf numFmtId="0" fontId="3" fillId="8" borderId="0" xfId="0" applyFont="1" applyFill="1" applyAlignment="1">
      <alignment horizontal="center" wrapText="1"/>
    </xf>
    <xf numFmtId="0" fontId="10" fillId="8" borderId="0" xfId="0" applyFont="1" applyFill="1" applyAlignment="1">
      <alignment horizontal="center" wrapText="1"/>
    </xf>
    <xf numFmtId="0" fontId="2" fillId="8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4" fillId="0" borderId="0" xfId="0" applyFont="1"/>
    <xf numFmtId="164" fontId="1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0" fontId="4" fillId="6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6" fillId="0" borderId="0" xfId="0" applyFont="1" applyAlignment="1">
      <alignment horizontal="center" shrinkToFit="1"/>
    </xf>
    <xf numFmtId="0" fontId="9" fillId="0" borderId="0" xfId="0" applyFont="1" applyAlignment="1">
      <alignment horizontal="center" vertical="center"/>
    </xf>
    <xf numFmtId="167" fontId="0" fillId="0" borderId="0" xfId="0" applyNumberFormat="1"/>
    <xf numFmtId="168" fontId="0" fillId="0" borderId="0" xfId="0" applyNumberFormat="1"/>
    <xf numFmtId="0" fontId="0" fillId="0" borderId="0" xfId="0" applyAlignment="1" applyProtection="1">
      <alignment shrinkToFit="1"/>
      <protection locked="0"/>
    </xf>
    <xf numFmtId="0" fontId="0" fillId="0" borderId="0" xfId="0" applyAlignment="1" applyProtection="1">
      <alignment horizontal="center" shrinkToFit="1"/>
      <protection locked="0"/>
    </xf>
    <xf numFmtId="0" fontId="0" fillId="3" borderId="0" xfId="0" applyFill="1" applyAlignment="1" applyProtection="1">
      <alignment shrinkToFit="1"/>
      <protection locked="0"/>
    </xf>
    <xf numFmtId="0" fontId="0" fillId="3" borderId="0" xfId="0" applyFill="1" applyAlignment="1" applyProtection="1">
      <alignment horizontal="center" shrinkToFit="1"/>
      <protection locked="0"/>
    </xf>
    <xf numFmtId="0" fontId="3" fillId="8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8" fillId="0" borderId="0" xfId="0" applyFont="1" applyAlignment="1">
      <alignment horizontal="center"/>
    </xf>
    <xf numFmtId="0" fontId="19" fillId="0" borderId="0" xfId="0" applyFont="1"/>
    <xf numFmtId="0" fontId="18" fillId="0" borderId="0" xfId="0" applyFont="1"/>
    <xf numFmtId="14" fontId="18" fillId="0" borderId="0" xfId="0" applyNumberFormat="1" applyFont="1"/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1" fillId="0" borderId="0" xfId="0" applyFont="1"/>
    <xf numFmtId="165" fontId="18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5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14" fontId="22" fillId="0" borderId="0" xfId="0" applyNumberFormat="1" applyFont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2" fillId="0" borderId="5" xfId="0" applyFont="1" applyBorder="1" applyAlignment="1">
      <alignment horizontal="center"/>
    </xf>
    <xf numFmtId="0" fontId="2" fillId="8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15" fillId="7" borderId="4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1" fillId="0" borderId="0" xfId="0" applyFont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 wrapText="1"/>
    </xf>
  </cellXfs>
  <cellStyles count="4">
    <cellStyle name="Normal" xfId="0" builtinId="0"/>
    <cellStyle name="Normal 2" xfId="1" xr:uid="{EC2A6097-CFEC-4FA3-84BE-B578F18F21E9}"/>
    <cellStyle name="Normal 3" xfId="2" xr:uid="{EBEBFBB4-F6F3-4F77-8F17-CA5725435033}"/>
    <cellStyle name="Normal 4" xfId="3" xr:uid="{BB42BADA-4199-4F2A-B24A-E2F04C762952}"/>
  </cellStyles>
  <dxfs count="98"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rgb="FFE0B1FF"/>
        </patternFill>
      </fill>
    </dxf>
    <dxf>
      <font>
        <color rgb="FF7030A0"/>
      </font>
      <fill>
        <patternFill>
          <bgColor rgb="FFE0B1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rgb="FFE0B1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fgColor auto="1"/>
          <bgColor rgb="FFE0B1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(Corpo)"/>
        <scheme val="none"/>
      </font>
      <fill>
        <patternFill patternType="none">
          <fgColor theme="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(Corpo)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(Corpo)"/>
        <scheme val="none"/>
      </font>
      <fill>
        <patternFill patternType="none">
          <fgColor theme="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(Corpo)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(Corpo)"/>
        <scheme val="none"/>
      </font>
      <numFmt numFmtId="0" formatCode="General"/>
      <alignment horizontal="center" vertical="bottom" textRotation="0" wrapText="0" indent="0" justifyLastLine="0" shrinkToFit="1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(Corpo)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(Corpo)"/>
        <scheme val="none"/>
      </font>
      <fill>
        <patternFill patternType="none">
          <fgColor theme="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(Corpo)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1"/>
      </font>
      <numFmt numFmtId="168" formatCode="&quot;R$&quot;0.00;\-0.00;;@"/>
    </dxf>
    <dxf>
      <numFmt numFmtId="167" formatCode="0;\-0;;@"/>
    </dxf>
    <dxf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border diagonalUp="0" diagonalDown="0">
        <left style="thin">
          <color theme="1" tint="0.499984740745262"/>
        </left>
        <right/>
        <top/>
        <bottom/>
        <vertical/>
        <horizontal/>
      </border>
    </dxf>
    <dxf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fill>
        <patternFill patternType="solid">
          <fgColor indexed="64"/>
          <bgColor rgb="FF0070C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C7CE"/>
      <color rgb="FFE0B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90A460-A5D3-8D41-9465-67FDC99CE82C}" name="Tabela1" displayName="Tabela1" ref="A2:AA297" totalsRowShown="0" headerRowDxfId="97">
  <autoFilter ref="A2:AA297" xr:uid="{586B7874-6051-A444-B4BF-43836CCCDDF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</autoFilter>
  <tableColumns count="27">
    <tableColumn id="27" xr3:uid="{AF777F65-87FB-6B48-A777-952F9FA8B0C2}" name="Nome Completo" dataDxfId="96"/>
    <tableColumn id="3" xr3:uid="{6016B9E7-EFA6-894A-B789-31F5FF6B8A55}" name="Gênero"/>
    <tableColumn id="4" xr3:uid="{74881569-4477-F541-B61D-02F8FDBC7FB2}" name="Nascimento"/>
    <tableColumn id="5" xr3:uid="{7FF1EEC6-AA0D-5E46-B89F-C1302D083001}" name="Categoria" dataDxfId="95"/>
    <tableColumn id="6" xr3:uid="{93B42BDC-887B-B943-811E-9F0BAD6A72BC}" name="Categoria." dataDxfId="94"/>
    <tableColumn id="26" xr3:uid="{E6EB901D-701C-6748-9ECF-133083FA77AF}" name="Categoria.." dataDxfId="93"/>
    <tableColumn id="1" xr3:uid="{2CC84365-040E-704D-83BA-FAAAE45E9906}" name="SAÚDE Rotina" dataDxfId="92"/>
    <tableColumn id="7" xr3:uid="{2766A1B2-7DE7-1F4B-9059-CF1FDA5B61B1}" name="Mãos" dataDxfId="91"/>
    <tableColumn id="8" xr3:uid="{74644EED-367B-6742-ABE0-DDF545964C61}" name="Arma Curta" dataDxfId="90"/>
    <tableColumn id="9" xr3:uid="{99C47A11-C330-6A44-A756-F43538605FAF}" name="Arma Longa_x000a_Leque" dataDxfId="89"/>
    <tableColumn id="10" xr3:uid="{B6FC84FC-8576-5144-B45C-984A8FA7DC38}" name="Duilian" dataDxfId="88"/>
    <tableColumn id="11" xr3:uid="{3550D98C-3FDB-174B-953F-404B3AD6AD94}" name="Mãos do Sul" dataDxfId="87"/>
    <tableColumn id="12" xr3:uid="{A0B98D82-2C42-6D45-9E75-8A4D8801F568}" name="Outras Mãos" dataDxfId="86"/>
    <tableColumn id="13" xr3:uid="{953A08C2-EDE0-2341-80F3-991FAF284899}" name="Estilos Especiais" dataDxfId="85"/>
    <tableColumn id="14" xr3:uid="{4EA43991-ACB4-EB42-AF32-A434753B79BD}" name="Taijiquan Tradicional" dataDxfId="84"/>
    <tableColumn id="15" xr3:uid="{8C9E74D6-7AF7-D143-88DC-CD8286AC7E22}" name="Taijiquan Padronizado" dataDxfId="83"/>
    <tableColumn id="16" xr3:uid="{DABA413A-0A18-C841-92E8-9AA0CBF27C62}" name="Outras Mãos de Interno" dataDxfId="82"/>
    <tableColumn id="17" xr3:uid="{ADDF3C7E-B836-9948-8319-517B7E24B73E}" name="Armas Curtas" dataDxfId="81"/>
    <tableColumn id="18" xr3:uid="{E562018A-C2A2-1F48-B08D-57C56BC48E8C}" name="Armas Longas" dataDxfId="80"/>
    <tableColumn id="19" xr3:uid="{49401359-27B4-3C4B-ABD6-F5C822C1F0AC}" name="Armas Duplas e Maleáveis" dataDxfId="79"/>
    <tableColumn id="20" xr3:uid="{D4308EE4-FC67-4A45-A8EE-29F5C2F2E8B8}" name="Taijijian"/>
    <tableColumn id="2" xr3:uid="{72340CEB-7A29-B646-BAB5-9BE0266008EE}" name="Outras Armas de Interno" dataDxfId="78"/>
    <tableColumn id="21" xr3:uid="{A9C76D7B-95B4-8B4C-814F-B6D3A7ABA553}" name="Evento em Equipe"/>
    <tableColumn id="22" xr3:uid="{4073FAE6-CF70-CB47-B042-81A45A0F27B8}" name="Adaptado" dataDxfId="77"/>
    <tableColumn id="23" xr3:uid="{05ECD1A9-281A-D444-B16B-DFBDA5AED884}" name="Inscrição 1º Lugar"/>
    <tableColumn id="24" xr3:uid="{EDAACA4A-8881-9C4B-94DF-7F9AD0BA7F07}" name="Inscrição Regular" dataDxfId="76">
      <calculatedColumnFormula>COUNTA(D3:W3)-Y3</calculatedColumnFormula>
    </tableColumn>
    <tableColumn id="25" xr3:uid="{3EC5AD2E-B627-5C44-B1CE-668C3FE85340}" name="Valor Total" dataDxfId="75">
      <calculatedColumnFormula>IF(X3&lt;&gt;"",0.0001,IF(Y3+Z3=0,0,IF(Y3=0,80+(Z3*80),IF(Y3&gt;0,110+(Z3*80)))))</calculatedColumnFormula>
    </tableColumn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375268FC-9274-4547-8F25-9647B592E077}" name="Tabela4611" displayName="Tabela4611" ref="N7:Q37" totalsRowShown="0" headerRowDxfId="26" dataDxfId="25">
  <autoFilter ref="N7:Q37" xr:uid="{375268FC-9274-4547-8F25-9647B592E077}">
    <filterColumn colId="0" hiddenButton="1"/>
    <filterColumn colId="1" hiddenButton="1"/>
    <filterColumn colId="2" hiddenButton="1"/>
    <filterColumn colId="3" hiddenButton="1"/>
  </autoFilter>
  <tableColumns count="4">
    <tableColumn id="1" xr3:uid="{4556EB23-707C-5E4F-A805-B8ECAB907FA7}" name="Feminino" dataDxfId="24">
      <calculatedColumnFormula array="1">IFERROR(INDEX(BD$7:BD$8,SMALL(IF(BD$7:BD$8&lt;&gt;"",ROW(BD$7:BD$8)-ROW(BD$7)+1),ROWS(BD$7:BD7))),"")</calculatedColumnFormula>
    </tableColumn>
    <tableColumn id="2" xr3:uid="{C3DD4745-4D2E-5A43-A1A9-47DED2AE2EE7}" name="#" dataDxfId="23">
      <calculatedColumnFormula array="1">IFERROR(INDEX(BE$7:BE$8,SMALL(IF(BE$7:BE$8&lt;&gt;"",ROW(BE$7:BE$8)-ROW(BE$7)+1),ROWS(BE$7:BE7))),"")</calculatedColumnFormula>
    </tableColumn>
    <tableColumn id="3" xr3:uid="{3DD1A44A-A2E7-2E4B-AD47-E2BC0A845172}" name="Masculino" dataDxfId="22">
      <calculatedColumnFormula array="1">IFERROR(INDEX(BD$9:BD$10,SMALL(IF(BD$9:BD$10&lt;&gt;"",ROW(BD$9:BD$10)-ROW(BD$9)+1),ROWS(BD$9:BD9))),"")</calculatedColumnFormula>
    </tableColumn>
    <tableColumn id="4" xr3:uid="{196D627F-E6F8-8B4D-A722-1F07421C1308}" name="#." dataDxfId="21">
      <calculatedColumnFormula array="1">IFERROR(INDEX(BH$7:BH$36,SMALL(IF(BH$7:BH$36&lt;&gt;"",ROW(BH$7:BH$36)-ROW(BH$7)+1),ROWS(BH$7:BH7))),"")</calculatedColumnFormula>
    </tableColumn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9AC1037-00F2-0246-9891-9DA983B67A2E}" name="Tabela2" displayName="Tabela2" ref="B7:E39" totalsRowShown="0" headerRowDxfId="74" dataDxfId="73">
  <autoFilter ref="B7:E39" xr:uid="{D21B74FF-3B3A-844D-8FE8-0AEFB3EEFA34}">
    <filterColumn colId="0" hiddenButton="1"/>
    <filterColumn colId="1" hiddenButton="1"/>
    <filterColumn colId="2" hiddenButton="1"/>
    <filterColumn colId="3" hiddenButton="1"/>
  </autoFilter>
  <tableColumns count="4">
    <tableColumn id="1" xr3:uid="{3CAA1990-D1F9-504A-80ED-910636AC37A3}" name="Feminino" dataDxfId="72">
      <calculatedColumnFormula array="1">IFERROR(INDEX(AO$7:AO$38,SMALL(IF(AO$7:AO$38&lt;&gt;"",ROW(AO$7:AO$38)-ROW(AO$7)+1),ROWS(AO$7:AO7))),"")</calculatedColumnFormula>
    </tableColumn>
    <tableColumn id="2" xr3:uid="{9CF36C9F-3BCD-6747-AC4F-2B743FB929DD}" name="#" dataDxfId="71">
      <calculatedColumnFormula array="1">IFERROR(INDEX(AP$7:AP$38,SMALL(IF(AP$7:AP$38&lt;&gt;"",ROW(AP$7:AP$38)-ROW(AP$7)+1),ROWS(AP$7:AP7))),"")</calculatedColumnFormula>
    </tableColumn>
    <tableColumn id="3" xr3:uid="{D8685E94-33FC-B041-9EEB-601E32C17C1E}" name="Masculino" dataDxfId="70">
      <calculatedColumnFormula array="1">IFERROR(INDEX(AQ$7:AQ$38,SMALL(IF(AQ$7:AQ$38&lt;&gt;"",ROW(AQ$7:AQ$38)-ROW(AQ$7)+1),ROWS(AQ$7:AQ7))),"")</calculatedColumnFormula>
    </tableColumn>
    <tableColumn id="4" xr3:uid="{72DF6FF7-0074-0E42-A0F5-6C62BC03B346}" name="#." dataDxfId="69">
      <calculatedColumnFormula array="1">IFERROR(INDEX(AR$7:AR$38,SMALL(IF(AR$7:AR$38&lt;&gt;"",ROW(AR$7:AR$38)-ROW(AR$7)+1),ROWS(AR$7:AR7))),"")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47E2146-CA0F-2E4D-9BEE-D81BBDF42C19}" name="Tabela4" displayName="Tabela4" ref="R7:U69" totalsRowShown="0" headerRowDxfId="68" dataDxfId="67">
  <autoFilter ref="R7:U69" xr:uid="{6A9FC69A-E26A-8143-BE55-10119BBA2BC4}">
    <filterColumn colId="0" hiddenButton="1"/>
    <filterColumn colId="1" hiddenButton="1"/>
    <filterColumn colId="2" hiddenButton="1"/>
    <filterColumn colId="3" hiddenButton="1"/>
  </autoFilter>
  <tableColumns count="4">
    <tableColumn id="1" xr3:uid="{A6F925E3-17FF-5940-A94C-9797F3F110FC}" name="Feminino" dataDxfId="66">
      <calculatedColumnFormula array="1">IFERROR(INDEX(BI$7:BI$68,SMALL(IF(BI$7:BI$68&lt;&gt;"",ROW(BI$7:BI$68)-ROW(BI$7)+1),ROWS(BI$7:BI7))),"")</calculatedColumnFormula>
    </tableColumn>
    <tableColumn id="2" xr3:uid="{2A59A725-75E9-9041-8852-7D16CFD143E5}" name="#" dataDxfId="65">
      <calculatedColumnFormula array="1">IFERROR(INDEX(BJ$7:BJ$68,SMALL(IF(BJ$7:BJ$68&lt;&gt;"",ROW(BJ$7:BJ$68)-ROW(BJ$7)+1),ROWS(BJ$7:BJ7))),"")</calculatedColumnFormula>
    </tableColumn>
    <tableColumn id="3" xr3:uid="{D97BD1BA-0E97-B140-8304-56E9D4963C75}" name="Masculino" dataDxfId="64">
      <calculatedColumnFormula array="1">IFERROR(INDEX(BK$7:BK$68,SMALL(IF(BK$7:BK$68&lt;&gt;"",ROW(BK$7:BK$68)-ROW(BK$7)+1),ROWS(BK$7:BK7))),"")</calculatedColumnFormula>
    </tableColumn>
    <tableColumn id="4" xr3:uid="{981B08E7-5E3D-DD4B-8CD5-8CE4DC6CDCC3}" name="#." dataDxfId="63">
      <calculatedColumnFormula array="1">IFERROR(INDEX(BL$7:BL$68,SMALL(IF(BL$7:BL$68&lt;&gt;"",ROW(BL$7:BL$68)-ROW(BL$7)+1),ROWS(BL$7:BL7))),"")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4C42038-51FE-B148-9E56-5F00BA0884DE}" name="Tabela6" displayName="Tabela6" ref="V7:Y37" totalsRowShown="0" headerRowDxfId="62" dataDxfId="61">
  <autoFilter ref="V7:Y37" xr:uid="{4B1E82D3-37DF-4144-9385-6B4B10A69245}">
    <filterColumn colId="0" hiddenButton="1"/>
    <filterColumn colId="1" hiddenButton="1"/>
    <filterColumn colId="2" hiddenButton="1"/>
    <filterColumn colId="3" hiddenButton="1"/>
  </autoFilter>
  <tableColumns count="4">
    <tableColumn id="1" xr3:uid="{A540B9C1-B23D-724A-8287-1FF2E8D3E913}" name="Feminino" dataDxfId="60"/>
    <tableColumn id="2" xr3:uid="{99C5C62E-9394-784C-A89D-BFE4F6C451D6}" name="#" dataDxfId="59"/>
    <tableColumn id="3" xr3:uid="{366EE6C7-1DB1-934F-B308-234152E0C36F}" name="Masculino" dataDxfId="58"/>
    <tableColumn id="4" xr3:uid="{EE73C665-0C60-4944-A8CF-D66E536B3162}" name="#." dataDxfId="57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107BA25-B512-7347-8AB9-7ABDFA0FACED}" name="Tabela7" displayName="Tabela7" ref="Z7:AC300" totalsRowShown="0" dataDxfId="56">
  <autoFilter ref="Z7:AC300" xr:uid="{036D987F-4737-7C4E-8FE5-B9A124132677}">
    <filterColumn colId="0" hiddenButton="1"/>
    <filterColumn colId="1" hiddenButton="1"/>
    <filterColumn colId="2" hiddenButton="1"/>
    <filterColumn colId="3" hiddenButton="1"/>
  </autoFilter>
  <tableColumns count="4">
    <tableColumn id="1" xr3:uid="{C5BD8C81-B11B-CF48-AE86-9C5119179948}" name="Feminino" dataDxfId="55">
      <calculatedColumnFormula array="1">IFERROR(INDEX(CE$7:CE$348,SMALL(IF(CE$7:CE$348&lt;&gt;"",ROW(CE$7:CE$348)-ROW(CE$7)+1),ROWS(CE$7:CE7))),"")</calculatedColumnFormula>
    </tableColumn>
    <tableColumn id="2" xr3:uid="{4553EFF3-A816-4C4F-BD6E-B6F6D36518CA}" name="#" dataDxfId="54">
      <calculatedColumnFormula array="1">IFERROR(INDEX(CF$7:CF$348,SMALL(IF(CF$7:CF$348&lt;&gt;"",ROW(CF$7:CF$348)-ROW(CF$7)+1),ROWS(CF$7:CF7))),"")</calculatedColumnFormula>
    </tableColumn>
    <tableColumn id="3" xr3:uid="{BA092392-C0E0-464B-9AF6-45EF98EB33B1}" name="Masculino" dataDxfId="53">
      <calculatedColumnFormula array="1">IFERROR(INDEX(CG$7:CG$348,SMALL(IF(CG$7:CG$348&lt;&gt;"",ROW(CG$7:CG$348)-ROW(CG$7)+1),ROWS(CG$7:CG7))),"")</calculatedColumnFormula>
    </tableColumn>
    <tableColumn id="4" xr3:uid="{2451C095-88E1-224F-A355-EA4D43311A4A}" name="#." dataDxfId="52">
      <calculatedColumnFormula array="1">IFERROR(INDEX(CH$7:CH$348,SMALL(IF(CH$7:CH$348&lt;&gt;"",ROW(CH$7:CH$348)-ROW(CH$7)+1),ROWS(CH$7:CH7))),"")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0CECBBC-955E-FC49-BDEF-8933DA4D3687}" name="Tabela9" displayName="Tabela9" ref="AH7:AM37" totalsRowShown="0" dataDxfId="51">
  <autoFilter ref="AH7:AM37" xr:uid="{2BEBDCD2-88B9-E540-94B4-AE929681916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BD0490FA-53DC-1546-8475-A48B2822C11B}" name="Duilian" dataDxfId="50">
      <calculatedColumnFormula array="1">IFERROR(INDEX(CN$7:CN$18,SMALL(IF(CN$7:CN$18&lt;&gt;"",ROW(CN$7:CN$18)-ROW(CN$7)+1),ROWS(CN$7:CN7))),"")</calculatedColumnFormula>
    </tableColumn>
    <tableColumn id="4" xr3:uid="{B29B2E65-105D-0F4A-B8DE-7135B58B1E34}" name="#" dataDxfId="49">
      <calculatedColumnFormula array="1">IFERROR(INDEX(CO$7:CO$18,SMALL(IF(CO$7:CO$18&lt;&gt;"",ROW(CO$7:CO$18)-ROW(CO$7)+1),ROWS(CO$7:CO7))),"")</calculatedColumnFormula>
    </tableColumn>
    <tableColumn id="5" xr3:uid="{97BCAD64-BA75-3146-A51A-F04014894C86}" name="Dulian de Tuishou" dataDxfId="48">
      <calculatedColumnFormula array="1">IFERROR(INDEX(CP$7:CP$8,SMALL(IF(CP$7:CP$8&lt;&gt;"",ROW(CP$7:CP$8)-ROW(CP$7)+1),ROWS(CP$7:CP7))),"")</calculatedColumnFormula>
    </tableColumn>
    <tableColumn id="6" xr3:uid="{8B64C8CB-1662-5241-B316-4FCCF21E466F}" name="#." dataDxfId="47"/>
    <tableColumn id="3" xr3:uid="{9093538B-7639-0943-9E73-62834F11531B}" name="Grupo" dataDxfId="46">
      <calculatedColumnFormula array="1">IFERROR(INDEX(CR$7:CR$14,SMALL(IF(CR$7:CR$14&lt;&gt;"",ROW(CR$7:CR$14)-ROW(CR$7)+1),ROWS(CR$7:CR7))),"")</calculatedColumnFormula>
    </tableColumn>
    <tableColumn id="2" xr3:uid="{43EDEC4F-E1FF-D94F-8531-15DE5E4A72B1}" name="#.." dataDxfId="4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5079022-1928-364C-B476-B81AC2D570FA}" name="Tabela24" displayName="Tabela24" ref="J7:M37" totalsRowShown="0" headerRowDxfId="44" dataDxfId="43">
  <autoFilter ref="J7:M37" xr:uid="{DD68EFFC-2662-E342-A934-375BBFE9C178}">
    <filterColumn colId="0" hiddenButton="1"/>
    <filterColumn colId="1" hiddenButton="1"/>
    <filterColumn colId="2" hiddenButton="1"/>
    <filterColumn colId="3" hiddenButton="1"/>
  </autoFilter>
  <tableColumns count="4">
    <tableColumn id="1" xr3:uid="{3BB0A425-B6E5-EE46-BE14-88B7AFB00648}" name="Feminino" dataDxfId="42">
      <calculatedColumnFormula array="1">IFERROR(INDEX(AW$7:AW$36,SMALL(IF(AW$7:AW$36&lt;&gt;"",ROW(AW$7:AW$36)-ROW(AW$7)+1),ROWS(AW$7:AW7))),"")</calculatedColumnFormula>
    </tableColumn>
    <tableColumn id="2" xr3:uid="{A06345D8-9F1D-C64A-AA2C-15DEE99ED4D3}" name="#" dataDxfId="41">
      <calculatedColumnFormula array="1">IFERROR(INDEX(AZ$7:AZ$36,SMALL(IF(AZ$7:AZ$36&lt;&gt;"",ROW(AZ$7:AZ$36)-ROW(AZ$7)+1),ROWS(AZ$7:AZ7))),"")</calculatedColumnFormula>
    </tableColumn>
    <tableColumn id="3" xr3:uid="{28963F2B-F87A-5C47-8E36-A177FA73E52E}" name="Masculino" dataDxfId="40">
      <calculatedColumnFormula array="1">IFERROR(INDEX(BA$7:BA$36,SMALL(IF(BA$7:BA$36&lt;&gt;"",ROW(BA$7:BA$36)-ROW(BA$7)+1),ROWS(BA$7:BA7))),"")</calculatedColumnFormula>
    </tableColumn>
    <tableColumn id="4" xr3:uid="{C571F4AD-FDAA-D34D-8284-E90979E93BFF}" name="#." dataDxfId="39">
      <calculatedColumnFormula array="1">IFERROR(INDEX(BB$7:BB$36,SMALL(IF(BB$7:BB$36&lt;&gt;"",ROW(BB$7:BB$36)-ROW(BB$7)+1),ROWS(BB$7:BB7))),"")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96F5D96-A772-954D-92D1-B2888A285386}" name="Tabela46" displayName="Tabela46" ref="F7:I37" totalsRowShown="0" headerRowDxfId="38" dataDxfId="37">
  <autoFilter ref="F7:I37" xr:uid="{042DD6AD-5090-5F42-A0D3-E2D40F3E76EC}">
    <filterColumn colId="0" hiddenButton="1"/>
    <filterColumn colId="1" hiddenButton="1"/>
    <filterColumn colId="2" hiddenButton="1"/>
    <filterColumn colId="3" hiddenButton="1"/>
  </autoFilter>
  <tableColumns count="4">
    <tableColumn id="1" xr3:uid="{BAB1FC7D-9C13-064A-B973-B70BC2BF9AA0}" name="Feminino" dataDxfId="36">
      <calculatedColumnFormula array="1">IFERROR(INDEX(AT$7:AT$36,SMALL(IF(AT$7:AT$36&lt;&gt;"",ROW(AT$7:AT$36)-ROW(AT$7)+1),ROWS(AT$7:AT7))),"")</calculatedColumnFormula>
    </tableColumn>
    <tableColumn id="2" xr3:uid="{24E69CF8-08E0-4E47-9435-3B673A65DCB5}" name="#" dataDxfId="35">
      <calculatedColumnFormula array="1">IFERROR(INDEX(AU$7:AU$36,SMALL(IF(AU$7:AU$36&lt;&gt;"",ROW(AU$7:AU$36)-ROW(AU$7)+1),ROWS(AU$7:AU7))),"")</calculatedColumnFormula>
    </tableColumn>
    <tableColumn id="3" xr3:uid="{3E40DD73-F638-5F43-AD37-7929A72EAD63}" name="Masculino" dataDxfId="34">
      <calculatedColumnFormula array="1">IFERROR(INDEX(AV$7:AV$36,SMALL(IF(AV$7:AV$36&lt;&gt;"",ROW(AV$7:AV$36)-ROW(AV$7)+1),ROWS(AV$7:AV7))),"")</calculatedColumnFormula>
    </tableColumn>
    <tableColumn id="4" xr3:uid="{FE6E9B13-F72D-B34E-9FB7-BC4EB80B56AB}" name="#." dataDxfId="33">
      <calculatedColumnFormula array="1">IFERROR(INDEX(AW$7:AW$36,SMALL(IF(AW$7:AW$36&lt;&gt;"",ROW(AW$7:AW$36)-ROW(AW$7)+1),ROWS(AW$7:AW7))),"")</calculatedColumnFormula>
    </tableColumn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7BFB65A-A516-AA4D-98BE-E289446AE124}" name="Tabela249" displayName="Tabela249" ref="AD7:AG300" totalsRowShown="0" headerRowDxfId="32" dataDxfId="31">
  <autoFilter ref="AD7:AG300" xr:uid="{07BFB65A-A516-AA4D-98BE-E289446AE124}">
    <filterColumn colId="0" hiddenButton="1"/>
    <filterColumn colId="1" hiddenButton="1"/>
    <filterColumn colId="2" hiddenButton="1"/>
    <filterColumn colId="3" hiddenButton="1"/>
  </autoFilter>
  <tableColumns count="4">
    <tableColumn id="1" xr3:uid="{D5EA4BDA-D236-BC43-ABF4-5C58654266C3}" name="Feminino" dataDxfId="30">
      <calculatedColumnFormula array="1">IFERROR(INDEX(CI$7:CI$377,SMALL(IF(CI$7:CI$377&lt;&gt;"",ROW(CI$7:CI$377)-ROW(CI$7)+1),ROWS(CI$7:CI7))),"")</calculatedColumnFormula>
    </tableColumn>
    <tableColumn id="2" xr3:uid="{60AD2EF2-8245-0E4C-A1D6-577CAEB2F51A}" name="#" dataDxfId="29">
      <calculatedColumnFormula array="1">IFERROR(INDEX(CJ$7:CJ$378,SMALL(IF(CJ$7:CJ$378&lt;&gt;"",ROW(CJ$7:CJ$378)-ROW(CJ$7)+1),ROWS(CJ$7:CJ7))),"")</calculatedColumnFormula>
    </tableColumn>
    <tableColumn id="3" xr3:uid="{6B63BDB0-47B4-A349-93F0-E0EBEDE40069}" name="Masculino" dataDxfId="28">
      <calculatedColumnFormula array="1">IFERROR(INDEX(CK$7:CK$378,SMALL(IF(CK$7:CK$378&lt;&gt;"",ROW(CK$7:CK$378)-ROW(CK$7)+1),ROWS(CK$7:CK7))),"")</calculatedColumnFormula>
    </tableColumn>
    <tableColumn id="4" xr3:uid="{7F23E1D3-4098-3D44-90D7-0FDB350D74D1}" name="#." dataDxfId="27">
      <calculatedColumnFormula array="1">IFERROR(INDEX(CL$7:CL$378,SMALL(IF(CL$7:CL$378&lt;&gt;"",ROW(CL$7:CL$378)-ROW(CL$7)+1),ROWS(CL$7:CL7))),"")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AAE8E-85F9-234A-9233-2BD0BB664600}">
  <dimension ref="A1:FG992"/>
  <sheetViews>
    <sheetView showGridLines="0" tabSelected="1" zoomScaleNormal="100" workbookViewId="0">
      <pane xSplit="3" ySplit="2" topLeftCell="E3" activePane="bottomRight" state="frozen"/>
      <selection pane="topRight" activeCell="D1" sqref="D1"/>
      <selection pane="bottomLeft" activeCell="A3" sqref="A3"/>
      <selection pane="bottomRight" activeCell="A3" sqref="A3"/>
    </sheetView>
  </sheetViews>
  <sheetFormatPr defaultColWidth="11" defaultRowHeight="15.75"/>
  <cols>
    <col min="1" max="1" width="40.875" style="49" customWidth="1"/>
    <col min="2" max="2" width="9.5" customWidth="1"/>
    <col min="3" max="3" width="10.875" customWidth="1"/>
    <col min="4" max="7" width="11" style="25" customWidth="1"/>
    <col min="8" max="8" width="13.875" style="25" customWidth="1"/>
    <col min="9" max="11" width="13.875" customWidth="1"/>
    <col min="12" max="12" width="13.875" style="25" customWidth="1"/>
    <col min="13" max="20" width="13.875" customWidth="1"/>
    <col min="21" max="21" width="16.875" customWidth="1"/>
    <col min="22" max="22" width="13.875" customWidth="1"/>
    <col min="23" max="23" width="20.875" customWidth="1"/>
    <col min="24" max="24" width="9.125" style="25" customWidth="1"/>
    <col min="25" max="26" width="9.125" customWidth="1"/>
    <col min="27" max="27" width="12.625" customWidth="1"/>
    <col min="28" max="33" width="10.875" style="6" hidden="1" customWidth="1"/>
    <col min="34" max="34" width="10.875" style="60" hidden="1" customWidth="1"/>
    <col min="35" max="59" width="10.875" style="6" hidden="1" customWidth="1"/>
    <col min="60" max="60" width="13" style="6" hidden="1" customWidth="1"/>
    <col min="61" max="143" width="10.875" style="6" hidden="1" customWidth="1"/>
    <col min="144" max="145" width="22" style="6" hidden="1" customWidth="1"/>
    <col min="146" max="146" width="21.875" style="6" hidden="1" customWidth="1"/>
    <col min="147" max="147" width="22" style="6" hidden="1" customWidth="1"/>
    <col min="148" max="149" width="21.875" style="6" hidden="1" customWidth="1"/>
    <col min="150" max="151" width="15.5" style="6" hidden="1" customWidth="1"/>
    <col min="152" max="152" width="15.375" style="6" hidden="1" customWidth="1"/>
    <col min="153" max="153" width="15.5" style="6" hidden="1" customWidth="1"/>
    <col min="154" max="155" width="15.375" style="6" hidden="1" customWidth="1"/>
    <col min="156" max="162" width="10.875" style="6" hidden="1" customWidth="1"/>
    <col min="163" max="165" width="10.875" customWidth="1"/>
  </cols>
  <sheetData>
    <row r="1" spans="1:163">
      <c r="A1" s="77" t="s">
        <v>636</v>
      </c>
      <c r="B1" s="77"/>
      <c r="C1" s="77"/>
      <c r="D1" s="33" t="s">
        <v>11</v>
      </c>
      <c r="E1" s="33" t="s">
        <v>12</v>
      </c>
      <c r="F1" s="27" t="s">
        <v>619</v>
      </c>
      <c r="G1" s="27" t="s">
        <v>700</v>
      </c>
      <c r="H1" s="76" t="s">
        <v>13</v>
      </c>
      <c r="I1" s="76"/>
      <c r="J1" s="76"/>
      <c r="K1" s="76"/>
      <c r="L1" s="76" t="s">
        <v>455</v>
      </c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 t="s">
        <v>21</v>
      </c>
      <c r="Y1" s="76"/>
      <c r="Z1" s="76"/>
      <c r="AA1" s="76"/>
      <c r="AE1" s="52"/>
      <c r="AF1" s="52"/>
      <c r="AG1" s="52"/>
      <c r="AH1" s="50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3"/>
      <c r="BE1" s="52"/>
      <c r="BF1" s="53"/>
      <c r="BG1" s="52"/>
      <c r="BH1" s="53"/>
      <c r="BI1" s="52"/>
      <c r="BJ1" s="52"/>
      <c r="BK1" s="52"/>
      <c r="BL1" s="52"/>
      <c r="BM1" s="53">
        <v>23743</v>
      </c>
      <c r="BN1" s="52"/>
      <c r="BO1" s="53">
        <v>27760</v>
      </c>
      <c r="BP1" s="52"/>
      <c r="BQ1" s="52"/>
      <c r="BR1" s="53">
        <v>42005</v>
      </c>
      <c r="BS1" s="53">
        <v>41640</v>
      </c>
      <c r="BT1" s="53">
        <v>40544</v>
      </c>
      <c r="BU1" s="53">
        <v>39448</v>
      </c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3">
        <v>41640</v>
      </c>
      <c r="CN1" s="53">
        <v>39448</v>
      </c>
      <c r="CO1" s="53">
        <v>31413</v>
      </c>
      <c r="CP1" s="53">
        <v>24108</v>
      </c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13"/>
    </row>
    <row r="2" spans="1:163" ht="32.1" customHeight="1">
      <c r="A2" s="48" t="s">
        <v>6</v>
      </c>
      <c r="B2" s="29" t="s">
        <v>8</v>
      </c>
      <c r="C2" s="29" t="s">
        <v>9</v>
      </c>
      <c r="D2" s="28" t="s">
        <v>10</v>
      </c>
      <c r="E2" s="28" t="s">
        <v>621</v>
      </c>
      <c r="F2" s="28" t="s">
        <v>620</v>
      </c>
      <c r="G2" s="30" t="s">
        <v>699</v>
      </c>
      <c r="H2" s="28" t="s">
        <v>14</v>
      </c>
      <c r="I2" s="29" t="s">
        <v>154</v>
      </c>
      <c r="J2" s="31" t="s">
        <v>658</v>
      </c>
      <c r="K2" s="29" t="s">
        <v>15</v>
      </c>
      <c r="L2" s="30" t="s">
        <v>22</v>
      </c>
      <c r="M2" s="31" t="s">
        <v>16</v>
      </c>
      <c r="N2" s="31" t="s">
        <v>166</v>
      </c>
      <c r="O2" s="31" t="s">
        <v>17</v>
      </c>
      <c r="P2" s="31" t="s">
        <v>575</v>
      </c>
      <c r="Q2" s="31" t="s">
        <v>167</v>
      </c>
      <c r="R2" s="31" t="s">
        <v>169</v>
      </c>
      <c r="S2" s="31" t="s">
        <v>18</v>
      </c>
      <c r="T2" s="31" t="s">
        <v>168</v>
      </c>
      <c r="U2" s="31" t="s">
        <v>576</v>
      </c>
      <c r="V2" s="31" t="s">
        <v>681</v>
      </c>
      <c r="W2" s="31" t="s">
        <v>19</v>
      </c>
      <c r="X2" s="30" t="s">
        <v>164</v>
      </c>
      <c r="Y2" s="31" t="s">
        <v>487</v>
      </c>
      <c r="Z2" s="31" t="s">
        <v>165</v>
      </c>
      <c r="AA2" s="32" t="s">
        <v>20</v>
      </c>
      <c r="AE2" s="52"/>
      <c r="AF2" s="52"/>
      <c r="AG2" s="52"/>
      <c r="AH2" s="50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3">
        <v>41640</v>
      </c>
      <c r="BB2" s="53">
        <v>42735</v>
      </c>
      <c r="BC2" s="53">
        <v>40544</v>
      </c>
      <c r="BD2" s="53">
        <v>41639</v>
      </c>
      <c r="BE2" s="53">
        <v>39448</v>
      </c>
      <c r="BF2" s="53">
        <v>40543</v>
      </c>
      <c r="BG2" s="53">
        <v>31048</v>
      </c>
      <c r="BH2" s="53">
        <v>39447</v>
      </c>
      <c r="BI2" s="53"/>
      <c r="BJ2" s="52"/>
      <c r="BK2" s="52"/>
      <c r="BL2" s="52"/>
      <c r="BM2" s="53">
        <v>39447</v>
      </c>
      <c r="BO2" s="53">
        <v>39447</v>
      </c>
      <c r="BP2" s="53">
        <v>27759</v>
      </c>
      <c r="BQ2" s="53">
        <v>43831</v>
      </c>
      <c r="BR2" s="53">
        <v>43830</v>
      </c>
      <c r="BS2" s="53">
        <v>43830</v>
      </c>
      <c r="BT2" s="53">
        <v>41639</v>
      </c>
      <c r="BU2" s="53">
        <v>40543</v>
      </c>
      <c r="BV2" s="53">
        <v>39447</v>
      </c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3">
        <v>42736</v>
      </c>
      <c r="CM2" s="53">
        <v>42735</v>
      </c>
      <c r="CN2" s="53">
        <v>41639</v>
      </c>
      <c r="CO2" s="53">
        <v>39447</v>
      </c>
      <c r="CP2" s="53">
        <v>31412</v>
      </c>
      <c r="CQ2" s="53">
        <v>24107</v>
      </c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13"/>
    </row>
    <row r="3" spans="1:163" ht="15.95" customHeight="1">
      <c r="A3" s="71"/>
      <c r="B3" s="70"/>
      <c r="C3" s="72"/>
      <c r="D3" s="73"/>
      <c r="E3" s="73"/>
      <c r="F3" s="73"/>
      <c r="G3" s="73"/>
      <c r="H3" s="73"/>
      <c r="I3" s="74"/>
      <c r="J3" s="74"/>
      <c r="K3" s="74"/>
      <c r="L3" s="73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5"/>
      <c r="Y3" s="70"/>
      <c r="Z3" s="12"/>
      <c r="AA3" s="14"/>
      <c r="AB3" s="6">
        <f t="shared" ref="AB3" si="0">COUNTA(L3:W3)</f>
        <v>0</v>
      </c>
      <c r="AC3" s="6">
        <f t="shared" ref="AC3" si="1">COUNTA(L3:Q3)</f>
        <v>0</v>
      </c>
      <c r="AD3" s="6">
        <f>COUNTA(R3:V3)</f>
        <v>0</v>
      </c>
      <c r="AE3" s="52" t="str">
        <f>IF(AND(B3="Feminino",C3&gt;=$BA$2,C3&lt;=$BB$2),$BA$3,IF(AND(B3="Masculino",C3&gt;=$BA$2,C3&lt;=$BB$2),$BB$3,IF(AND(B3="Feminino",C3&gt;=$BC$2,C3&lt;=$BD$2),$BC$3,IF(AND(B3="Masculino",C3&gt;=$BC$2,C3&lt;=$BD$2),$BD$3,IF(AND(B3="Feminino",C3&gt;=$BE$2,C3&lt;=$BF$2),$BE$3,IF(AND(B3="Masculino",C3&gt;=$BE$2,C3&lt;=$BF$2),$BF$3,IF(AND(B3="Feminino",C3&gt;=$BG$2,C3&lt;=$BH$2),$BG$3,IF(AND(B3="Masculino",C3&gt;=$BG$2,C3&lt;=$BH$2),$BH$3,""))))))))</f>
        <v/>
      </c>
      <c r="AF3" s="52" t="str">
        <f>IF(AND(B3="Feminino",C3&gt;=$BE$2,C3&lt;=$BF$2),$BI$3,IF(AND(B3="Masculino",C3&gt;=$BE$2,C3&lt;=$BF$2),$BJ$3,IF(AND(B3="Feminino",C3&lt;=$BH$2),$BK$3,IF(AND(B3="Masculino",C3&lt;=$BH$2),$BL$3,""))))</f>
        <v/>
      </c>
      <c r="AG3" s="50" t="str">
        <f>IF(AND(B3="Feminino",C3&gt;=$BM$1,C3&lt;=$BM$2),$BM$3,IF(AND(B3="Masculino",C3&gt;=$BM$1,C3&lt;=$BM$2),$BN$3,""))</f>
        <v/>
      </c>
      <c r="AH3" s="50" t="str">
        <f>IF(C3="","",IF(AND(C3&gt;=$BO$1,C3&lt;=$BO$2),$BO$3,IF(C3&lt;=$BP$2,$BP$3,"")))</f>
        <v/>
      </c>
      <c r="AI3" s="52" t="str">
        <f>IF(C3="","",IF(C3&gt;=$BQ$2,$BQ$3,IF(AND(C3&gt;=$BR$1,C3&lt;=$BR$2),$BR$3,IF(AND(C3&gt;=$BS$1,C3&lt;=$BS$2),$BS$3,IF(AND(C3&gt;=$BT$1,C3&lt;=$BT$2),$BT$3,IF(AND(C3&gt;=$BU$1,C3&lt;=$BU$2),$BU$3,IF(C3&lt;=$BV$2,$BV$3,"")))))))</f>
        <v/>
      </c>
      <c r="AJ3" s="52" t="str">
        <f>IF(C3="","",IF(C3&gt;=$BQ$2,$BW$3,IF(AND(C3&gt;=$BR$1,C3&lt;=$BR$2),$BX$3,IF(AND(C3&gt;=$BS$1,C3&lt;=$BS$2),$BY$3,IF(AND(C3&gt;=$BT$1,C3&lt;=$BT$2),$BZ$3,IF(AND(C3&gt;=$BU$1,C3&lt;=$BU$2),$CA$3,IF(C3&lt;=$BV$2,$CB$3,"")))))))</f>
        <v/>
      </c>
      <c r="AK3" s="52" t="str">
        <f>IF(C3="","",IF(C3&gt;=$BQ$2,$CC$3,IF(AND(C3&gt;=$BR$1,C3&lt;=$BR$2),$CD$3,IF(AND(C3&gt;=$BS$1,C3&lt;=$BS$2),$CE$3,IF(AND(C3&gt;=$BT$1,C3&lt;=$BT$2),$CF$3,IF(AND(C3&gt;=$BU$1,C3&lt;=$BU$2),$CG$3,IF(C3&lt;=$BV$2,$CH$3,"")))))))</f>
        <v/>
      </c>
      <c r="AL3" s="52" t="str">
        <f>IF(C3="","",IF(AND(C3&gt;=$BT$1,C3&lt;=$BT$2),$CI$3,IF(AND(C3&gt;=$BU$1,C3&lt;=$BU$2),$CJ$3,IF(C3&lt;=$BV$2,$CK$3,""))))</f>
        <v/>
      </c>
      <c r="AM3" s="52" t="str">
        <f>IF(C3="","",IF(AB3&gt;=3,"",IF(AC3&gt;=2,"",IF(C3&gt;=$CL$2,$CL$3,IF(AND(C3&gt;=$CM$1,C3&lt;=$CM$2),$CM$3,IF(AND(C3&gt;=$CN$1,C3&lt;=$CN$2),$CN$3,IF(AND(C3&gt;=$CO$1,C3&lt;=$CO$2),$CO$3,IF(AND(C3&gt;=$CP$1,C3&lt;=$CP$2),$CP$3,IF(C3&lt;=$CQ$2,$CQ$3,"")))))))))</f>
        <v/>
      </c>
      <c r="AN3" s="52" t="str">
        <f>IF(C3="","",IF(AB3&gt;=3,"",IF(AC3&gt;=2,"",IF(C3&gt;=$CL$2,$CR$3,IF(AND(C3&gt;=$CM$1,C3&lt;=$CM$2),$CS$3,IF(AND(C3&gt;=$CN$1,C3&lt;=$CN$2),$CT$3,IF(AND(C3&gt;=$CO$1,C3&lt;=$CO$2),$CU$3,IF(AND(C3&gt;=$CP$1,C3&lt;=$CP$2),$CV$3,IF(C3&lt;=$CQ$2,$CW$3,"")))))))))</f>
        <v/>
      </c>
      <c r="AO3" s="52" t="str">
        <f>IF(C3="","",IF(AB3&gt;=3,"",IF(AC3&gt;=2,"",IF(C3&gt;=$CL$2,$CX$3,IF(AND(C3&gt;=$CM$1,C3&lt;=$CM$2),$CY$3,IF(AND(C3&gt;=$CN$1,C3&lt;=$CN$2),$CZ$3,IF(AND(C3&gt;=$CO$1,C3&lt;=$CO$2),$DA$3,IF(AND(C3&gt;=$CP$1,C3&lt;=$CP$2),$DB$3,IF(C3&lt;=$CQ$2,$DC$3,"")))))))))</f>
        <v/>
      </c>
      <c r="AP3" s="52" t="str">
        <f>IF(C3="","",IF(AB3&gt;=3,"",IF(AC3&gt;=2,"",IF(C3&gt;=$CL$2,$DD$3,IF(AND(C3&gt;=$CM$1,C3&lt;=$CM$2),$DE$3,IF(AND(C3&gt;=$CN$1,C3&lt;=$CN$2),$DF$3,IF(AND(C3&gt;=$CO$1,C3&lt;=$CO$2),$DG$3,IF(AND(C3&gt;=$CP$1,C3&lt;=$CP$2),$DH$3,IF(C3&lt;=$CQ$2,$DI$3,"")))))))))</f>
        <v/>
      </c>
      <c r="AQ3" s="52" t="str">
        <f>IF(C3="","",IF(AB3&gt;=3,"",IF(AC3&gt;=2,"",IF(C3&gt;=$CL$2,$DJ$3,IF(AND(C3&gt;=$CM$1,C3&lt;=$CM$2),$DK$3,IF(AND(C3&gt;=$CN$1,C3&lt;=$CN$2),$DL$3,IF(AND(C3&gt;=$CO$1,C3&lt;=$CO$2),$DM$3,IF(AND(C3&gt;=$CP$1,C3&lt;=$CP$2),$DN$3,IF(C3&lt;=$CQ$2,$DO$3,"")))))))))</f>
        <v/>
      </c>
      <c r="AR3" s="52" t="str">
        <f>IF(C3="","",IF(AB3&gt;=3,"",IF(AC3&gt;=2,"",IF(C3&gt;=$CL$2,$DP$3,IF(AND(C3&gt;=$CM$1,C3&lt;=$CM$2),$DQ$3,IF(AND(C3&gt;=$CN$1,C3&lt;=$CN$2),$DR$3,IF(AND(C3&gt;=$CO$1,C3&lt;=$CO$2),$DS$3,IF(AND(C3&gt;=$CP$1,C3&lt;=$CP$2),$DT$3,IF(C3&lt;=$CQ$2,$DU$3,"")))))))))</f>
        <v/>
      </c>
      <c r="AS3" s="52" t="str">
        <f>IF(C3="","",IF(AB3&gt;=3,"",IF(AD3&gt;=2,"",IF(C3&gt;=$CL$2,$DV$3,IF(AND(C3&gt;=$CM$1,C3&lt;=$CM$2),$DW$3,IF(AND(C3&gt;=$CN$1,C3&lt;=$CN$2),$DX$3,IF(AND(C3&gt;=$CO$1,C3&lt;=$CO$2),$DY$3,IF(AND(C3&gt;=$CP$1,C3&lt;=$CP$2),$DZ$3,IF(C3&lt;=$CQ$2,$EA$3,"")))))))))</f>
        <v/>
      </c>
      <c r="AT3" s="52" t="str">
        <f>IF(C3="","",IF(AB3&gt;=3,"",IF(AD3&gt;=2,"",IF(C3&gt;=$CL$2,$EB$3,IF(AND(C3&gt;=$CM$1,C3&lt;=$CM$2),$EC$3,IF(AND(C3&gt;=$CN$1,C3&lt;=$CN$2),$ED$3,IF(AND(C3&gt;=$CO$1,C3&lt;=$CO$2),$EE$3,IF(AND(C3&gt;=$CP$1,C3&lt;=$CP$2),$EF$3,IF(C3&lt;=$CQ$2,$EG$3,"")))))))))</f>
        <v/>
      </c>
      <c r="AU3" s="52" t="str">
        <f>IF(C3="","",IF(AB3&gt;=3,"",IF(AD3&gt;=2,"",IF(C3&gt;=$CL$2,$EH$3,IF(AND(C3&gt;=$CM$1,C3&lt;=$CM$2),$EI$3,IF(AND(C3&gt;=$CN$1,C3&lt;=$CN$2),$EJ$3,IF(AND(C3&gt;=$CO$1,C3&lt;=$CO$2),$EK$3,IF(AND(C3&gt;=$CP$1,C3&lt;=$CP$2),$EL$3,IF(C3&lt;=$CQ$2,$EM$3,"")))))))))</f>
        <v/>
      </c>
      <c r="AV3" s="52" t="str">
        <f>IF(C3="","",IF(AB3&gt;=3,"",IF(AD3&gt;=2,"",IF(C3&gt;=$CL$2,$EN$3,IF(AND(C3&gt;=$CM$1,C3&lt;=$CM$2),$EO$3,IF(AND(C3&gt;=$CN$1,C3&lt;=$CN$2),$EP$3,IF(AND(C3&gt;=$CO$1,C3&lt;=$CO$2),$EQ$3,IF(AND(C3&gt;=$CP$1,C3&lt;=$CP$2),$ER$3,IF(C3&lt;=$CQ$2,$ES$3,"")))))))))</f>
        <v/>
      </c>
      <c r="AW3" s="52" t="str">
        <f>IF(C3="","",IF(AB3&gt;=3,"",IF(AD3&gt;=2,"",IF(C3&gt;=$CL$2,$ET$3,IF(AND(C3&gt;=$CM$1,C3&lt;=$CM$2),$EU$3,IF(AND(C3&gt;=$CN$1,C3&lt;=$CN$2),$EV$3,IF(AND(C3&gt;=$CO$1,C3&lt;=$CO$2),$EW$3,IF(AND(C3&gt;=$CP$1,C3&lt;=$CP$2),$EX$3,IF(C3&lt;=$CQ$2,$EY$3,"")))))))))</f>
        <v/>
      </c>
      <c r="AX3" s="52" t="str">
        <f>IF(C3="","",IF(AB3&gt;=3,"",IF(AD3&gt;=2,"",IF(C3&gt;=$CL$2,$EZ$3,IF(AND(C3&gt;=$CM$1,C3&lt;=$CM$2),$FA$3,IF(AND(C3&gt;=$CN$1,C3&lt;=$CN$2),$FB$3,IF(AND(C3&gt;=$CO$1,C3&lt;=$CO$2),$FC$3,IF(AND(C3&gt;=$CP$1,C3&lt;=$CP$2),$FD$3,IF(C3&lt;=$CQ$2,$FE$3,"")))))))))</f>
        <v/>
      </c>
      <c r="AY3" s="52" t="str">
        <f>IF(C3="","",IF(AND(D3="",E3="",F3="",G3="",H3="",I3="",J3="",K3=""),"ADAPTADO",""))</f>
        <v/>
      </c>
      <c r="AZ3" s="21" t="s">
        <v>8</v>
      </c>
      <c r="BA3" s="54" t="s">
        <v>651</v>
      </c>
      <c r="BB3" s="54" t="s">
        <v>652</v>
      </c>
      <c r="BC3" s="54" t="s">
        <v>45</v>
      </c>
      <c r="BD3" s="54" t="s">
        <v>46</v>
      </c>
      <c r="BE3" s="54" t="s">
        <v>47</v>
      </c>
      <c r="BF3" s="54" t="s">
        <v>48</v>
      </c>
      <c r="BG3" s="54" t="s">
        <v>50</v>
      </c>
      <c r="BH3" s="54" t="s">
        <v>49</v>
      </c>
      <c r="BI3" s="54" t="s">
        <v>51</v>
      </c>
      <c r="BJ3" s="54" t="s">
        <v>52</v>
      </c>
      <c r="BK3" s="54" t="s">
        <v>53</v>
      </c>
      <c r="BL3" s="54" t="s">
        <v>54</v>
      </c>
      <c r="BM3" s="54" t="s">
        <v>623</v>
      </c>
      <c r="BN3" s="54" t="s">
        <v>624</v>
      </c>
      <c r="BO3" s="54" t="s">
        <v>701</v>
      </c>
      <c r="BP3" s="54" t="s">
        <v>702</v>
      </c>
      <c r="BQ3" s="52" t="s">
        <v>99</v>
      </c>
      <c r="BR3" s="52" t="s">
        <v>100</v>
      </c>
      <c r="BS3" s="52" t="s">
        <v>101</v>
      </c>
      <c r="BT3" s="52" t="s">
        <v>102</v>
      </c>
      <c r="BU3" s="52" t="s">
        <v>103</v>
      </c>
      <c r="BV3" s="52" t="s">
        <v>104</v>
      </c>
      <c r="BW3" s="52" t="s">
        <v>105</v>
      </c>
      <c r="BX3" s="52" t="s">
        <v>106</v>
      </c>
      <c r="BY3" s="52" t="s">
        <v>107</v>
      </c>
      <c r="BZ3" s="52" t="s">
        <v>108</v>
      </c>
      <c r="CA3" s="52" t="s">
        <v>109</v>
      </c>
      <c r="CB3" s="52" t="s">
        <v>110</v>
      </c>
      <c r="CC3" s="52" t="s">
        <v>111</v>
      </c>
      <c r="CD3" s="52" t="s">
        <v>112</v>
      </c>
      <c r="CE3" s="52" t="s">
        <v>113</v>
      </c>
      <c r="CF3" s="52" t="s">
        <v>114</v>
      </c>
      <c r="CG3" s="52" t="s">
        <v>115</v>
      </c>
      <c r="CH3" s="52" t="s">
        <v>116</v>
      </c>
      <c r="CI3" s="52" t="s">
        <v>155</v>
      </c>
      <c r="CJ3" s="52" t="s">
        <v>156</v>
      </c>
      <c r="CK3" s="52" t="s">
        <v>157</v>
      </c>
      <c r="CL3" s="50" t="s">
        <v>174</v>
      </c>
      <c r="CM3" s="50" t="s">
        <v>176</v>
      </c>
      <c r="CN3" s="50" t="s">
        <v>182</v>
      </c>
      <c r="CO3" s="50" t="s">
        <v>188</v>
      </c>
      <c r="CP3" s="50" t="s">
        <v>194</v>
      </c>
      <c r="CQ3" s="50" t="s">
        <v>200</v>
      </c>
      <c r="CR3" s="50" t="s">
        <v>261</v>
      </c>
      <c r="CS3" s="50" t="s">
        <v>262</v>
      </c>
      <c r="CT3" s="50" t="s">
        <v>263</v>
      </c>
      <c r="CU3" s="50" t="s">
        <v>264</v>
      </c>
      <c r="CV3" s="50" t="s">
        <v>265</v>
      </c>
      <c r="CW3" s="50" t="s">
        <v>260</v>
      </c>
      <c r="CX3" s="50" t="s">
        <v>266</v>
      </c>
      <c r="CY3" s="50" t="s">
        <v>300</v>
      </c>
      <c r="CZ3" s="50" t="s">
        <v>304</v>
      </c>
      <c r="DA3" s="50" t="s">
        <v>338</v>
      </c>
      <c r="DB3" s="50" t="s">
        <v>342</v>
      </c>
      <c r="DC3" s="50" t="s">
        <v>376</v>
      </c>
      <c r="DD3" s="50" t="s">
        <v>445</v>
      </c>
      <c r="DE3" s="50" t="s">
        <v>428</v>
      </c>
      <c r="DF3" s="50" t="s">
        <v>421</v>
      </c>
      <c r="DG3" s="50" t="s">
        <v>404</v>
      </c>
      <c r="DH3" s="50" t="s">
        <v>397</v>
      </c>
      <c r="DI3" s="50" t="s">
        <v>380</v>
      </c>
      <c r="DJ3" s="50" t="s">
        <v>569</v>
      </c>
      <c r="DK3" s="50" t="s">
        <v>570</v>
      </c>
      <c r="DL3" s="50" t="s">
        <v>571</v>
      </c>
      <c r="DM3" s="50" t="s">
        <v>572</v>
      </c>
      <c r="DN3" s="50" t="s">
        <v>573</v>
      </c>
      <c r="DO3" s="50" t="s">
        <v>574</v>
      </c>
      <c r="DP3" s="50" t="s">
        <v>270</v>
      </c>
      <c r="DQ3" s="50" t="s">
        <v>297</v>
      </c>
      <c r="DR3" s="50" t="s">
        <v>308</v>
      </c>
      <c r="DS3" s="50" t="s">
        <v>335</v>
      </c>
      <c r="DT3" s="50" t="s">
        <v>346</v>
      </c>
      <c r="DU3" s="50" t="s">
        <v>373</v>
      </c>
      <c r="DV3" s="50" t="s">
        <v>273</v>
      </c>
      <c r="DW3" s="50" t="s">
        <v>293</v>
      </c>
      <c r="DX3" s="50" t="s">
        <v>311</v>
      </c>
      <c r="DY3" s="50" t="s">
        <v>331</v>
      </c>
      <c r="DZ3" s="50" t="s">
        <v>349</v>
      </c>
      <c r="EA3" s="50" t="s">
        <v>369</v>
      </c>
      <c r="EB3" s="50" t="s">
        <v>277</v>
      </c>
      <c r="EC3" s="50" t="s">
        <v>289</v>
      </c>
      <c r="ED3" s="50" t="s">
        <v>315</v>
      </c>
      <c r="EE3" s="50" t="s">
        <v>327</v>
      </c>
      <c r="EF3" s="50" t="s">
        <v>353</v>
      </c>
      <c r="EG3" s="50" t="s">
        <v>365</v>
      </c>
      <c r="EH3" s="50" t="s">
        <v>281</v>
      </c>
      <c r="EI3" s="50" t="s">
        <v>288</v>
      </c>
      <c r="EJ3" s="50" t="s">
        <v>319</v>
      </c>
      <c r="EK3" s="50" t="s">
        <v>326</v>
      </c>
      <c r="EL3" s="50" t="s">
        <v>357</v>
      </c>
      <c r="EM3" s="50" t="s">
        <v>364</v>
      </c>
      <c r="EN3" s="50" t="s">
        <v>578</v>
      </c>
      <c r="EO3" s="50" t="s">
        <v>579</v>
      </c>
      <c r="EP3" s="50" t="s">
        <v>580</v>
      </c>
      <c r="EQ3" s="50" t="s">
        <v>581</v>
      </c>
      <c r="ER3" s="50" t="s">
        <v>582</v>
      </c>
      <c r="ES3" s="50" t="s">
        <v>583</v>
      </c>
      <c r="ET3" s="50" t="s">
        <v>507</v>
      </c>
      <c r="EU3" s="50" t="s">
        <v>508</v>
      </c>
      <c r="EV3" s="50" t="s">
        <v>509</v>
      </c>
      <c r="EW3" s="50" t="s">
        <v>510</v>
      </c>
      <c r="EX3" s="50" t="s">
        <v>511</v>
      </c>
      <c r="EY3" s="50" t="s">
        <v>512</v>
      </c>
      <c r="EZ3" s="50" t="s">
        <v>645</v>
      </c>
      <c r="FA3" s="50" t="s">
        <v>646</v>
      </c>
      <c r="FB3" s="50" t="s">
        <v>647</v>
      </c>
      <c r="FC3" s="50" t="s">
        <v>648</v>
      </c>
      <c r="FD3" s="50" t="s">
        <v>649</v>
      </c>
      <c r="FE3" s="50" t="s">
        <v>650</v>
      </c>
      <c r="FF3" s="50" t="s">
        <v>454</v>
      </c>
      <c r="FG3" s="13"/>
    </row>
    <row r="4" spans="1:163">
      <c r="A4" s="71"/>
      <c r="B4" s="70"/>
      <c r="C4" s="72"/>
      <c r="D4" s="73"/>
      <c r="E4" s="73"/>
      <c r="F4" s="73"/>
      <c r="G4" s="73"/>
      <c r="H4" s="73"/>
      <c r="I4" s="74"/>
      <c r="J4" s="74"/>
      <c r="K4" s="74"/>
      <c r="L4" s="73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5"/>
      <c r="Y4" s="70"/>
      <c r="Z4" s="12">
        <f t="shared" ref="Z4:Z62" si="2">COUNTA(D4:W4)-Y4</f>
        <v>0</v>
      </c>
      <c r="AA4" s="14">
        <f t="shared" ref="AA3:AA61" si="3">IF(X4&lt;&gt;"",0.0001,IF(Y4+Z4=0,0,IF(Y4=0,80+(Z4*80),IF(Y4&gt;0,110+(Z4*80)))))</f>
        <v>0</v>
      </c>
      <c r="AB4" s="6">
        <f t="shared" ref="AB4:AB62" si="4">COUNTA(L4:W4)</f>
        <v>0</v>
      </c>
      <c r="AC4" s="6">
        <f t="shared" ref="AC4:AC62" si="5">COUNTA(L4:Q4)</f>
        <v>0</v>
      </c>
      <c r="AD4" s="6">
        <f t="shared" ref="AD4:AD62" si="6">COUNTA(R4:V4)</f>
        <v>0</v>
      </c>
      <c r="AE4" s="52" t="str">
        <f t="shared" ref="AE4:AE62" si="7">IF(AND(B4="Feminino",C4&gt;=$BA$2,C4&lt;=$BB$2),$BA$3,IF(AND(B4="Masculino",C4&gt;=$BA$2,C4&lt;=$BB$2),$BB$3,IF(AND(B4="Feminino",C4&gt;=$BC$2,C4&lt;=$BD$2),$BC$3,IF(AND(B4="Masculino",C4&gt;=$BC$2,C4&lt;=$BD$2),$BD$3,IF(AND(B4="Feminino",C4&gt;=$BE$2,C4&lt;=$BF$2),$BE$3,IF(AND(B4="Masculino",C4&gt;=$BE$2,C4&lt;=$BF$2),$BF$3,IF(AND(B4="Feminino",C4&gt;=$BG$2,C4&lt;=$BH$2),$BG$3,IF(AND(B4="Masculino",C4&gt;=$BG$2,C4&lt;=$BH$2),$BH$3,""))))))))</f>
        <v/>
      </c>
      <c r="AF4" s="52" t="str">
        <f t="shared" ref="AF4:AF62" si="8">IF(AND(B4="Feminino",C4&gt;=$BE$2,C4&lt;=$BF$2),$BI$3,IF(AND(B4="Masculino",C4&gt;=$BE$2,C4&lt;=$BF$2),$BJ$3,IF(AND(B4="Feminino",C4&lt;=$BH$2),$BK$3,IF(AND(B4="Masculino",C4&lt;=$BH$2),$BL$3,""))))</f>
        <v/>
      </c>
      <c r="AG4" s="50" t="str">
        <f t="shared" ref="AG4:AG62" si="9">IF(AND(B4="Feminino",C4&gt;=$BM$1,C4&lt;=$BM$2),$BM$3,IF(AND(B4="Masculino",C4&gt;=$BM$1,C4&lt;=$BM$2),$BN$3,""))</f>
        <v/>
      </c>
      <c r="AH4" s="50" t="str">
        <f t="shared" ref="AH4:AH62" si="10">IF(C4="","",IF(AND(C4&gt;=$BO$1,C4&lt;=$BO$2),$BO$3,IF(C4&lt;=$BP$2,$BP$3,"")))</f>
        <v/>
      </c>
      <c r="AI4" s="52" t="str">
        <f>IF(C4="","",IF(C4&gt;=$BQ$2,$BQ$3,IF(AND(C4&gt;=$BR$1,C4&lt;=$BR$2),$BR$3,IF(AND(C4&gt;=$BS$1,C4&lt;=$BS$2),$BS$3,IF(AND(C4&gt;=$BT$1,C4&lt;=$BT$2),$BT$3,IF(AND(C4&gt;=$BU$1,C4&lt;=$BU$2),$BU$3,IF(C4&lt;=$BV$2,$BV$3,"")))))))</f>
        <v/>
      </c>
      <c r="AJ4" s="52" t="str">
        <f>IF(C4="","",IF(C4&gt;=$BQ$2,$BW$3,IF(AND(C4&gt;=$BR$1,C4&lt;=$BR$2),$BX$3,IF(AND(C4&gt;=$BS$1,C4&lt;=$BS$2),$BY$3,IF(AND(C4&gt;=$BT$1,C4&lt;=$BT$2),$BZ$3,IF(AND(C4&gt;=$BU$1,C4&lt;=$BU$2),$CA$3,IF(C4&lt;=$BV$2,$CB$3,"")))))))</f>
        <v/>
      </c>
      <c r="AK4" s="52" t="str">
        <f>IF(C4="","",IF(C4&gt;=$BQ$2,$CC$3,IF(AND(C4&gt;=$BR$1,C4&lt;=$BR$2),$CD$3,IF(AND(C4&gt;=$BS$1,C4&lt;=$BS$2),$CE$3,IF(AND(C4&gt;=$BT$1,C4&lt;=$BT$2),$CF$3,IF(AND(C4&gt;=$BU$1,C4&lt;=$BU$2),$CG$3,IF(C4&lt;=$BV$2,$CH$3,"")))))))</f>
        <v/>
      </c>
      <c r="AL4" s="52" t="str">
        <f>IF(C4="","",IF(AND(C4&gt;=$BT$1,C4&lt;=$BT$2),$CI$3,IF(AND(C4&gt;=$BU$1,C4&lt;=$BU$2),$CJ$3,IF(C4&lt;=$BV$2,$CK$3,""))))</f>
        <v/>
      </c>
      <c r="AM4" s="52" t="str">
        <f>IF(C4="","",IF(AB4&gt;=3,"",IF(AC4&gt;=2,"",IF(C4&gt;=$CL$2,$CL$3,IF(AND(C4&gt;=$CM$1,C4&lt;=$CM$2),$CM$3,IF(AND(C4&gt;=$CN$1,C4&lt;=$CN$2),$CN$3,IF(AND(C4&gt;=$CO$1,C4&lt;=$CO$2),$CO$3,IF(AND(C4&gt;=$CP$1,C4&lt;=$CP$2),$CP$3,IF(C4&lt;=$CQ$2,$CQ$3,"")))))))))</f>
        <v/>
      </c>
      <c r="AN4" s="52" t="str">
        <f>IF(C4="","",IF(AB4&gt;=3,"",IF(AC4&gt;=2,"",IF(C4&gt;=$CL$2,$CR$3,IF(AND(C4&gt;=$CM$1,C4&lt;=$CM$2),$CS$3,IF(AND(C4&gt;=$CN$1,C4&lt;=$CN$2),$CT$3,IF(AND(C4&gt;=$CO$1,C4&lt;=$CO$2),$CU$3,IF(AND(C4&gt;=$CP$1,C4&lt;=$CP$2),$CV$3,IF(C4&lt;=$CQ$2,$CW$3,"")))))))))</f>
        <v/>
      </c>
      <c r="AO4" s="52" t="str">
        <f>IF(C4="","",IF(AB4&gt;=3,"",IF(AC4&gt;=2,"",IF(C4&gt;=$CL$2,$CX$3,IF(AND(C4&gt;=$CM$1,C4&lt;=$CM$2),$CY$3,IF(AND(C4&gt;=$CN$1,C4&lt;=$CN$2),$CZ$3,IF(AND(C4&gt;=$CO$1,C4&lt;=$CO$2),$DA$3,IF(AND(C4&gt;=$CP$1,C4&lt;=$CP$2),$DB$3,IF(C4&lt;=$CQ$2,$DC$3,"")))))))))</f>
        <v/>
      </c>
      <c r="AP4" s="52" t="str">
        <f>IF(C4="","",IF(AB4&gt;=3,"",IF(AC4&gt;=2,"",IF(C4&gt;=$CL$2,$DD$3,IF(AND(C4&gt;=$CM$1,C4&lt;=$CM$2),$DE$3,IF(AND(C4&gt;=$CN$1,C4&lt;=$CN$2),$DF$3,IF(AND(C4&gt;=$CO$1,C4&lt;=$CO$2),$DG$3,IF(AND(C4&gt;=$CP$1,C4&lt;=$CP$2),$DH$3,IF(C4&lt;=$CQ$2,$DI$3,"")))))))))</f>
        <v/>
      </c>
      <c r="AQ4" s="52" t="str">
        <f>IF(C4="","",IF(AB4&gt;=3,"",IF(AC4&gt;=2,"",IF(C4&gt;=$CL$2,$DJ$3,IF(AND(C4&gt;=$CM$1,C4&lt;=$CM$2),$DK$3,IF(AND(C4&gt;=$CN$1,C4&lt;=$CN$2),$DL$3,IF(AND(C4&gt;=$CO$1,C4&lt;=$CO$2),$DM$3,IF(AND(C4&gt;=$CP$1,C4&lt;=$CP$2),$DN$3,IF(C4&lt;=$CQ$2,$DO$3,"")))))))))</f>
        <v/>
      </c>
      <c r="AR4" s="52" t="str">
        <f>IF(C4="","",IF(AB4&gt;=3,"",IF(AC4&gt;=2,"",IF(C4&gt;=$CL$2,$DP$3,IF(AND(C4&gt;=$CM$1,C4&lt;=$CM$2),$DQ$3,IF(AND(C4&gt;=$CN$1,C4&lt;=$CN$2),$DR$3,IF(AND(C4&gt;=$CO$1,C4&lt;=$CO$2),$DS$3,IF(AND(C4&gt;=$CP$1,C4&lt;=$CP$2),$DT$3,IF(C4&lt;=$CQ$2,$DU$3,"")))))))))</f>
        <v/>
      </c>
      <c r="AS4" s="52" t="str">
        <f>IF(C4="","",IF(AB4&gt;=3,"",IF(AD4&gt;=2,"",IF(C4&gt;=$CL$2,$DV$3,IF(AND(C4&gt;=$CM$1,C4&lt;=$CM$2),$DW$3,IF(AND(C4&gt;=$CN$1,C4&lt;=$CN$2),$DX$3,IF(AND(C4&gt;=$CO$1,C4&lt;=$CO$2),$DY$3,IF(AND(C4&gt;=$CP$1,C4&lt;=$CP$2),$DZ$3,IF(C4&lt;=$CQ$2,$EA$3,"")))))))))</f>
        <v/>
      </c>
      <c r="AT4" s="52" t="str">
        <f>IF(C4="","",IF(AB4&gt;=3,"",IF(AD4&gt;=2,"",IF(C4&gt;=$CL$2,$EB$3,IF(AND(C4&gt;=$CM$1,C4&lt;=$CM$2),$EC$3,IF(AND(C4&gt;=$CN$1,C4&lt;=$CN$2),$ED$3,IF(AND(C4&gt;=$CO$1,C4&lt;=$CO$2),$EE$3,IF(AND(C4&gt;=$CP$1,C4&lt;=$CP$2),$EF$3,IF(C4&lt;=$CQ$2,$EG$3,"")))))))))</f>
        <v/>
      </c>
      <c r="AU4" s="52" t="str">
        <f>IF(C4="","",IF(AB4&gt;=3,"",IF(AD4&gt;=2,"",IF(C4&gt;=$CL$2,$EH$3,IF(AND(C4&gt;=$CM$1,C4&lt;=$CM$2),$EI$3,IF(AND(C4&gt;=$CN$1,C4&lt;=$CN$2),$EJ$3,IF(AND(C4&gt;=$CO$1,C4&lt;=$CO$2),$EK$3,IF(AND(C4&gt;=$CP$1,C4&lt;=$CP$2),$EL$3,IF(C4&lt;=$CQ$2,$EM$3,"")))))))))</f>
        <v/>
      </c>
      <c r="AV4" s="52" t="str">
        <f>IF(C4="","",IF(AB4&gt;=3,"",IF(AD4&gt;=2,"",IF(C4&gt;=$CL$2,$EN$3,IF(AND(C4&gt;=$CM$1,C4&lt;=$CM$2),$EO$3,IF(AND(C4&gt;=$CN$1,C4&lt;=$CN$2),$EP$3,IF(AND(C4&gt;=$CO$1,C4&lt;=$CO$2),$EQ$3,IF(AND(C4&gt;=$CP$1,C4&lt;=$CP$2),$ER$3,IF(C4&lt;=$CQ$2,$ES$3,"")))))))))</f>
        <v/>
      </c>
      <c r="AW4" s="52" t="str">
        <f>IF(C4="","",IF(AB4&gt;=3,"",IF(AD4&gt;=2,"",IF(C4&gt;=$CL$2,$ET$3,IF(AND(C4&gt;=$CM$1,C4&lt;=$CM$2),$EU$3,IF(AND(C4&gt;=$CN$1,C4&lt;=$CN$2),$EV$3,IF(AND(C4&gt;=$CO$1,C4&lt;=$CO$2),$EW$3,IF(AND(C4&gt;=$CP$1,C4&lt;=$CP$2),$EX$3,IF(C4&lt;=$CQ$2,$EY$3,"")))))))))</f>
        <v/>
      </c>
      <c r="AX4" s="52" t="str">
        <f>IF(C4="","",IF(AB4&gt;=3,"",IF(AD4&gt;=2,"",IF(C4&gt;=$CL$2,$EZ$3,IF(AND(C4&gt;=$CM$1,C4&lt;=$CM$2),$FA$3,IF(AND(C4&gt;=$CN$1,C4&lt;=$CN$2),$FB$3,IF(AND(C4&gt;=$CO$1,C4&lt;=$CO$2),$FC$3,IF(AND(C4&gt;=$CP$1,C4&lt;=$CP$2),$FD$3,IF(C4&lt;=$CQ$2,$FE$3,"")))))))))</f>
        <v/>
      </c>
      <c r="AY4" s="52" t="str">
        <f t="shared" ref="AY4:AY62" si="11">IF(C4="","",IF(AND(D4="",E4="",F4="",G4="",H4="",I4="",J4="",K4=""),"ADAPTADO",""))</f>
        <v/>
      </c>
      <c r="AZ4" s="50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2"/>
      <c r="FC4" s="52"/>
      <c r="FD4" s="52"/>
      <c r="FE4" s="52"/>
      <c r="FF4" s="52"/>
      <c r="FG4" s="13"/>
    </row>
    <row r="5" spans="1:163">
      <c r="A5" s="71"/>
      <c r="B5" s="70"/>
      <c r="C5" s="72"/>
      <c r="D5" s="73"/>
      <c r="E5" s="73"/>
      <c r="F5" s="73"/>
      <c r="G5" s="73"/>
      <c r="H5" s="73"/>
      <c r="I5" s="74"/>
      <c r="J5" s="74"/>
      <c r="K5" s="74"/>
      <c r="L5" s="73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5"/>
      <c r="Y5" s="70"/>
      <c r="Z5" s="12">
        <f t="shared" si="2"/>
        <v>0</v>
      </c>
      <c r="AA5" s="14">
        <f t="shared" si="3"/>
        <v>0</v>
      </c>
      <c r="AB5" s="6">
        <f t="shared" si="4"/>
        <v>0</v>
      </c>
      <c r="AC5" s="6">
        <f t="shared" si="5"/>
        <v>0</v>
      </c>
      <c r="AD5" s="6">
        <f t="shared" si="6"/>
        <v>0</v>
      </c>
      <c r="AE5" s="52" t="str">
        <f t="shared" si="7"/>
        <v/>
      </c>
      <c r="AF5" s="52" t="str">
        <f t="shared" si="8"/>
        <v/>
      </c>
      <c r="AG5" s="50" t="str">
        <f t="shared" si="9"/>
        <v/>
      </c>
      <c r="AH5" s="50" t="str">
        <f t="shared" si="10"/>
        <v/>
      </c>
      <c r="AI5" s="52" t="str">
        <f t="shared" ref="AI5:AI62" si="12">IF(C5="","",IF(C5&gt;=$BQ$2,$BQ$3,IF(AND(C5&gt;=$BR$1,C5&lt;=$BR$2),$BR$3,IF(AND(C5&gt;=$BS$1,C5&lt;=$BS$2),$BS$3,IF(AND(C5&gt;=$BT$1,C5&lt;=$BT$2),$BT$3,IF(AND(C5&gt;=$BU$1,C5&lt;=$BU$2),$BU$3,IF(C5&lt;=$BV$2,$BV$3,"")))))))</f>
        <v/>
      </c>
      <c r="AJ5" s="52" t="str">
        <f t="shared" ref="AJ5:AJ62" si="13">IF(C5="","",IF(C5&gt;=$BQ$2,$BW$3,IF(AND(C5&gt;=$BR$1,C5&lt;=$BR$2),$BX$3,IF(AND(C5&gt;=$BS$1,C5&lt;=$BS$2),$BY$3,IF(AND(C5&gt;=$BT$1,C5&lt;=$BT$2),$BZ$3,IF(AND(C5&gt;=$BU$1,C5&lt;=$BU$2),$CA$3,IF(C5&lt;=$BV$2,$CB$3,"")))))))</f>
        <v/>
      </c>
      <c r="AK5" s="52" t="str">
        <f t="shared" ref="AK5:AK62" si="14">IF(C5="","",IF(C5&gt;=$BQ$2,$CC$3,IF(AND(C5&gt;=$BR$1,C5&lt;=$BR$2),$CD$3,IF(AND(C5&gt;=$BS$1,C5&lt;=$BS$2),$CE$3,IF(AND(C5&gt;=$BT$1,C5&lt;=$BT$2),$CF$3,IF(AND(C5&gt;=$BU$1,C5&lt;=$BU$2),$CG$3,IF(C5&lt;=$BV$2,$CH$3,"")))))))</f>
        <v/>
      </c>
      <c r="AL5" s="52" t="str">
        <f t="shared" ref="AL5:AL62" si="15">IF(C5="","",IF(AND(C5&gt;=$BT$1,C5&lt;=$BT$2),$CI$3,IF(AND(C5&gt;=$BU$1,C5&lt;=$BU$2),$CJ$3,IF(C5&lt;=$BV$2,$CK$3,""))))</f>
        <v/>
      </c>
      <c r="AM5" s="52" t="str">
        <f t="shared" ref="AM5:AM62" si="16">IF(C5="","",IF(AB5&gt;=3,"",IF(AC5&gt;=2,"",IF(C5&gt;=$CL$2,$CL$3,IF(AND(C5&gt;=$CM$1,C5&lt;=$CM$2),$CM$3,IF(AND(C5&gt;=$CN$1,C5&lt;=$CN$2),$CN$3,IF(AND(C5&gt;=$CO$1,C5&lt;=$CO$2),$CO$3,IF(AND(C5&gt;=$CP$1,C5&lt;=$CP$2),$CP$3,IF(C5&lt;=$CQ$2,$CQ$3,"")))))))))</f>
        <v/>
      </c>
      <c r="AN5" s="52" t="str">
        <f t="shared" ref="AN5:AN62" si="17">IF(C5="","",IF(AB5&gt;=3,"",IF(AC5&gt;=2,"",IF(C5&gt;=$CL$2,$CR$3,IF(AND(C5&gt;=$CM$1,C5&lt;=$CM$2),$CS$3,IF(AND(C5&gt;=$CN$1,C5&lt;=$CN$2),$CT$3,IF(AND(C5&gt;=$CO$1,C5&lt;=$CO$2),$CU$3,IF(AND(C5&gt;=$CP$1,C5&lt;=$CP$2),$CV$3,IF(C5&lt;=$CQ$2,$CW$3,"")))))))))</f>
        <v/>
      </c>
      <c r="AO5" s="52" t="str">
        <f t="shared" ref="AO5:AO62" si="18">IF(C5="","",IF(AB5&gt;=3,"",IF(AC5&gt;=2,"",IF(C5&gt;=$CL$2,$CX$3,IF(AND(C5&gt;=$CM$1,C5&lt;=$CM$2),$CY$3,IF(AND(C5&gt;=$CN$1,C5&lt;=$CN$2),$CZ$3,IF(AND(C5&gt;=$CO$1,C5&lt;=$CO$2),$DA$3,IF(AND(C5&gt;=$CP$1,C5&lt;=$CP$2),$DB$3,IF(C5&lt;=$CQ$2,$DC$3,"")))))))))</f>
        <v/>
      </c>
      <c r="AP5" s="52" t="str">
        <f t="shared" ref="AP5:AP62" si="19">IF(C5="","",IF(AB5&gt;=3,"",IF(AC5&gt;=2,"",IF(C5&gt;=$CL$2,$DD$3,IF(AND(C5&gt;=$CM$1,C5&lt;=$CM$2),$DE$3,IF(AND(C5&gt;=$CN$1,C5&lt;=$CN$2),$DF$3,IF(AND(C5&gt;=$CO$1,C5&lt;=$CO$2),$DG$3,IF(AND(C5&gt;=$CP$1,C5&lt;=$CP$2),$DH$3,IF(C5&lt;=$CQ$2,$DI$3,"")))))))))</f>
        <v/>
      </c>
      <c r="AQ5" s="52" t="str">
        <f t="shared" ref="AQ5:AQ62" si="20">IF(C5="","",IF(AB5&gt;=3,"",IF(AC5&gt;=2,"",IF(C5&gt;=$CL$2,$DJ$3,IF(AND(C5&gt;=$CM$1,C5&lt;=$CM$2),$DK$3,IF(AND(C5&gt;=$CN$1,C5&lt;=$CN$2),$DL$3,IF(AND(C5&gt;=$CO$1,C5&lt;=$CO$2),$DM$3,IF(AND(C5&gt;=$CP$1,C5&lt;=$CP$2),$DN$3,IF(C5&lt;=$CQ$2,$DO$3,"")))))))))</f>
        <v/>
      </c>
      <c r="AR5" s="52" t="str">
        <f t="shared" ref="AR5:AR62" si="21">IF(C5="","",IF(AB5&gt;=3,"",IF(AC5&gt;=2,"",IF(C5&gt;=$CL$2,$DP$3,IF(AND(C5&gt;=$CM$1,C5&lt;=$CM$2),$DQ$3,IF(AND(C5&gt;=$CN$1,C5&lt;=$CN$2),$DR$3,IF(AND(C5&gt;=$CO$1,C5&lt;=$CO$2),$DS$3,IF(AND(C5&gt;=$CP$1,C5&lt;=$CP$2),$DT$3,IF(C5&lt;=$CQ$2,$DU$3,"")))))))))</f>
        <v/>
      </c>
      <c r="AS5" s="52" t="str">
        <f t="shared" ref="AS5:AS62" si="22">IF(C5="","",IF(AB5&gt;=3,"",IF(AD5&gt;=2,"",IF(C5&gt;=$CL$2,$DV$3,IF(AND(C5&gt;=$CM$1,C5&lt;=$CM$2),$DW$3,IF(AND(C5&gt;=$CN$1,C5&lt;=$CN$2),$DX$3,IF(AND(C5&gt;=$CO$1,C5&lt;=$CO$2),$DY$3,IF(AND(C5&gt;=$CP$1,C5&lt;=$CP$2),$DZ$3,IF(C5&lt;=$CQ$2,$EA$3,"")))))))))</f>
        <v/>
      </c>
      <c r="AT5" s="52" t="str">
        <f t="shared" ref="AT5:AT62" si="23">IF(C5="","",IF(AB5&gt;=3,"",IF(AD5&gt;=2,"",IF(C5&gt;=$CL$2,$EB$3,IF(AND(C5&gt;=$CM$1,C5&lt;=$CM$2),$EC$3,IF(AND(C5&gt;=$CN$1,C5&lt;=$CN$2),$ED$3,IF(AND(C5&gt;=$CO$1,C5&lt;=$CO$2),$EE$3,IF(AND(C5&gt;=$CP$1,C5&lt;=$CP$2),$EF$3,IF(C5&lt;=$CQ$2,$EG$3,"")))))))))</f>
        <v/>
      </c>
      <c r="AU5" s="52" t="str">
        <f t="shared" ref="AU5:AU62" si="24">IF(C5="","",IF(AB5&gt;=3,"",IF(AD5&gt;=2,"",IF(C5&gt;=$CL$2,$EH$3,IF(AND(C5&gt;=$CM$1,C5&lt;=$CM$2),$EI$3,IF(AND(C5&gt;=$CN$1,C5&lt;=$CN$2),$EJ$3,IF(AND(C5&gt;=$CO$1,C5&lt;=$CO$2),$EK$3,IF(AND(C5&gt;=$CP$1,C5&lt;=$CP$2),$EL$3,IF(C5&lt;=$CQ$2,$EM$3,"")))))))))</f>
        <v/>
      </c>
      <c r="AV5" s="52" t="str">
        <f t="shared" ref="AV5:AV62" si="25">IF(C5="","",IF(AB5&gt;=3,"",IF(AD5&gt;=2,"",IF(C5&gt;=$CL$2,$EN$3,IF(AND(C5&gt;=$CM$1,C5&lt;=$CM$2),$EO$3,IF(AND(C5&gt;=$CN$1,C5&lt;=$CN$2),$EP$3,IF(AND(C5&gt;=$CO$1,C5&lt;=$CO$2),$EQ$3,IF(AND(C5&gt;=$CP$1,C5&lt;=$CP$2),$ER$3,IF(C5&lt;=$CQ$2,$ES$3,"")))))))))</f>
        <v/>
      </c>
      <c r="AW5" s="52" t="str">
        <f t="shared" ref="AW5:AW62" si="26">IF(C5="","",IF(AB5&gt;=3,"",IF(AD5&gt;=2,"",IF(C5&gt;=$CL$2,$ET$3,IF(AND(C5&gt;=$CM$1,C5&lt;=$CM$2),$EU$3,IF(AND(C5&gt;=$CN$1,C5&lt;=$CN$2),$EV$3,IF(AND(C5&gt;=$CO$1,C5&lt;=$CO$2),$EW$3,IF(AND(C5&gt;=$CP$1,C5&lt;=$CP$2),$EX$3,IF(C5&lt;=$CQ$2,$EY$3,"")))))))))</f>
        <v/>
      </c>
      <c r="AX5" s="52" t="str">
        <f t="shared" ref="AX5:AX61" si="27">IF(C5="","",IF(AB5&gt;=3,"",IF(AD5&gt;=2,"",IF(C5&gt;=$CL$2,$EZ$3,IF(AND(C5&gt;=$CM$1,C5&lt;=$CM$2),$FA$3,IF(AND(C5&gt;=$CN$1,C5&lt;=$CN$2),$FB$3,IF(AND(C5&gt;=$CO$1,C5&lt;=$CO$2),$FC$3,IF(AND(C5&gt;=$CP$1,C5&lt;=$CP$2),$FD$3,IF(C5&lt;=$CQ$2,$FE$3,"")))))))))</f>
        <v/>
      </c>
      <c r="AY5" s="52" t="str">
        <f t="shared" si="11"/>
        <v/>
      </c>
      <c r="AZ5" s="50" t="s">
        <v>43</v>
      </c>
      <c r="BA5" s="50" t="s">
        <v>653</v>
      </c>
      <c r="BB5" s="50" t="s">
        <v>653</v>
      </c>
      <c r="BC5" s="50" t="s">
        <v>55</v>
      </c>
      <c r="BD5" s="50" t="s">
        <v>55</v>
      </c>
      <c r="BE5" s="50" t="s">
        <v>56</v>
      </c>
      <c r="BF5" s="50" t="s">
        <v>56</v>
      </c>
      <c r="BG5" s="50" t="s">
        <v>57</v>
      </c>
      <c r="BH5" s="50" t="s">
        <v>57</v>
      </c>
      <c r="BI5" s="50" t="s">
        <v>80</v>
      </c>
      <c r="BJ5" s="50" t="s">
        <v>56</v>
      </c>
      <c r="BK5" s="50" t="s">
        <v>57</v>
      </c>
      <c r="BL5" s="50" t="s">
        <v>60</v>
      </c>
      <c r="BM5" s="50" t="s">
        <v>57</v>
      </c>
      <c r="BN5" s="50" t="s">
        <v>60</v>
      </c>
      <c r="BO5" s="50" t="s">
        <v>703</v>
      </c>
      <c r="BP5" s="50" t="s">
        <v>704</v>
      </c>
      <c r="BQ5" s="50" t="s">
        <v>86</v>
      </c>
      <c r="BR5" s="50" t="s">
        <v>86</v>
      </c>
      <c r="BS5" s="50" t="s">
        <v>89</v>
      </c>
      <c r="BT5" s="50" t="s">
        <v>153</v>
      </c>
      <c r="BU5" s="50" t="s">
        <v>152</v>
      </c>
      <c r="BV5" s="50" t="s">
        <v>96</v>
      </c>
      <c r="BW5" s="50" t="s">
        <v>117</v>
      </c>
      <c r="BX5" s="50" t="s">
        <v>117</v>
      </c>
      <c r="BY5" s="50" t="s">
        <v>121</v>
      </c>
      <c r="BZ5" s="50" t="s">
        <v>125</v>
      </c>
      <c r="CA5" s="50" t="s">
        <v>129</v>
      </c>
      <c r="CB5" s="50" t="s">
        <v>133</v>
      </c>
      <c r="CC5" s="50" t="s">
        <v>137</v>
      </c>
      <c r="CD5" s="50" t="s">
        <v>137</v>
      </c>
      <c r="CE5" s="50" t="s">
        <v>138</v>
      </c>
      <c r="CF5" s="50" t="s">
        <v>150</v>
      </c>
      <c r="CG5" s="50" t="s">
        <v>151</v>
      </c>
      <c r="CH5" s="50" t="s">
        <v>139</v>
      </c>
      <c r="CI5" s="50" t="s">
        <v>158</v>
      </c>
      <c r="CJ5" s="50" t="s">
        <v>160</v>
      </c>
      <c r="CK5" s="50" t="s">
        <v>162</v>
      </c>
      <c r="CL5" s="55" t="s">
        <v>170</v>
      </c>
      <c r="CM5" s="55" t="s">
        <v>178</v>
      </c>
      <c r="CN5" s="55" t="s">
        <v>183</v>
      </c>
      <c r="CO5" s="55" t="s">
        <v>189</v>
      </c>
      <c r="CP5" s="55" t="s">
        <v>195</v>
      </c>
      <c r="CQ5" s="55" t="s">
        <v>201</v>
      </c>
      <c r="CR5" s="55" t="s">
        <v>206</v>
      </c>
      <c r="CS5" s="55" t="s">
        <v>215</v>
      </c>
      <c r="CT5" s="55" t="s">
        <v>224</v>
      </c>
      <c r="CU5" s="55" t="s">
        <v>233</v>
      </c>
      <c r="CV5" s="55" t="s">
        <v>242</v>
      </c>
      <c r="CW5" s="55" t="s">
        <v>251</v>
      </c>
      <c r="CX5" s="55" t="s">
        <v>267</v>
      </c>
      <c r="CY5" s="55" t="s">
        <v>301</v>
      </c>
      <c r="CZ5" s="55" t="s">
        <v>305</v>
      </c>
      <c r="DA5" s="55" t="s">
        <v>339</v>
      </c>
      <c r="DB5" s="55" t="s">
        <v>343</v>
      </c>
      <c r="DC5" s="55" t="s">
        <v>377</v>
      </c>
      <c r="DD5" s="55" t="s">
        <v>451</v>
      </c>
      <c r="DE5" s="55" t="s">
        <v>429</v>
      </c>
      <c r="DF5" s="55" t="s">
        <v>422</v>
      </c>
      <c r="DG5" s="55" t="s">
        <v>405</v>
      </c>
      <c r="DH5" s="55" t="s">
        <v>398</v>
      </c>
      <c r="DI5" s="55" t="s">
        <v>381</v>
      </c>
      <c r="DJ5" s="55" t="s">
        <v>540</v>
      </c>
      <c r="DK5" s="55" t="s">
        <v>541</v>
      </c>
      <c r="DL5" s="55" t="s">
        <v>549</v>
      </c>
      <c r="DM5" s="55" t="s">
        <v>554</v>
      </c>
      <c r="DN5" s="55" t="s">
        <v>559</v>
      </c>
      <c r="DO5" s="55" t="s">
        <v>564</v>
      </c>
      <c r="DP5" s="55" t="s">
        <v>271</v>
      </c>
      <c r="DQ5" s="55" t="s">
        <v>298</v>
      </c>
      <c r="DR5" s="55" t="s">
        <v>309</v>
      </c>
      <c r="DS5" s="55" t="s">
        <v>336</v>
      </c>
      <c r="DT5" s="55" t="s">
        <v>347</v>
      </c>
      <c r="DU5" s="55" t="s">
        <v>374</v>
      </c>
      <c r="DV5" s="55" t="s">
        <v>274</v>
      </c>
      <c r="DW5" s="55" t="s">
        <v>294</v>
      </c>
      <c r="DX5" s="55" t="s">
        <v>312</v>
      </c>
      <c r="DY5" s="55" t="s">
        <v>332</v>
      </c>
      <c r="DZ5" s="55" t="s">
        <v>350</v>
      </c>
      <c r="EA5" s="55" t="s">
        <v>370</v>
      </c>
      <c r="EB5" s="55" t="s">
        <v>278</v>
      </c>
      <c r="EC5" s="55" t="s">
        <v>290</v>
      </c>
      <c r="ED5" s="55" t="s">
        <v>316</v>
      </c>
      <c r="EE5" s="55" t="s">
        <v>328</v>
      </c>
      <c r="EF5" s="55" t="s">
        <v>354</v>
      </c>
      <c r="EG5" s="55" t="s">
        <v>366</v>
      </c>
      <c r="EH5" s="55" t="s">
        <v>729</v>
      </c>
      <c r="EI5" s="55" t="s">
        <v>730</v>
      </c>
      <c r="EJ5" s="55" t="s">
        <v>731</v>
      </c>
      <c r="EK5" s="55" t="s">
        <v>732</v>
      </c>
      <c r="EL5" s="55" t="s">
        <v>733</v>
      </c>
      <c r="EM5" s="55" t="s">
        <v>734</v>
      </c>
      <c r="EN5" s="55" t="s">
        <v>577</v>
      </c>
      <c r="EO5" s="55" t="s">
        <v>589</v>
      </c>
      <c r="EP5" s="55" t="s">
        <v>595</v>
      </c>
      <c r="EQ5" s="55" t="s">
        <v>601</v>
      </c>
      <c r="ER5" s="55" t="s">
        <v>607</v>
      </c>
      <c r="ES5" s="55" t="s">
        <v>613</v>
      </c>
      <c r="ET5" s="55" t="s">
        <v>282</v>
      </c>
      <c r="EU5" s="55" t="s">
        <v>285</v>
      </c>
      <c r="EV5" s="55" t="s">
        <v>320</v>
      </c>
      <c r="EW5" s="55" t="s">
        <v>323</v>
      </c>
      <c r="EX5" s="55" t="s">
        <v>358</v>
      </c>
      <c r="EY5" s="55" t="s">
        <v>361</v>
      </c>
      <c r="EZ5" s="50" t="s">
        <v>452</v>
      </c>
      <c r="FA5" s="50" t="s">
        <v>637</v>
      </c>
      <c r="FB5" s="50" t="s">
        <v>637</v>
      </c>
      <c r="FC5" s="50" t="s">
        <v>641</v>
      </c>
      <c r="FD5" s="50" t="s">
        <v>641</v>
      </c>
      <c r="FE5" s="50" t="s">
        <v>452</v>
      </c>
      <c r="FF5" s="50" t="s">
        <v>496</v>
      </c>
      <c r="FG5" s="13"/>
    </row>
    <row r="6" spans="1:163">
      <c r="A6" s="71"/>
      <c r="B6" s="70"/>
      <c r="C6" s="72"/>
      <c r="D6" s="73"/>
      <c r="E6" s="73"/>
      <c r="F6" s="73"/>
      <c r="G6" s="73"/>
      <c r="H6" s="73"/>
      <c r="I6" s="74"/>
      <c r="J6" s="74"/>
      <c r="K6" s="74"/>
      <c r="L6" s="73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5"/>
      <c r="Y6" s="70"/>
      <c r="Z6" s="12">
        <f t="shared" si="2"/>
        <v>0</v>
      </c>
      <c r="AA6" s="14">
        <f t="shared" si="3"/>
        <v>0</v>
      </c>
      <c r="AB6" s="6">
        <f t="shared" si="4"/>
        <v>0</v>
      </c>
      <c r="AC6" s="6">
        <f t="shared" si="5"/>
        <v>0</v>
      </c>
      <c r="AD6" s="6">
        <f t="shared" si="6"/>
        <v>0</v>
      </c>
      <c r="AE6" s="52" t="str">
        <f t="shared" si="7"/>
        <v/>
      </c>
      <c r="AF6" s="52" t="str">
        <f t="shared" si="8"/>
        <v/>
      </c>
      <c r="AG6" s="50" t="str">
        <f t="shared" si="9"/>
        <v/>
      </c>
      <c r="AH6" s="50" t="str">
        <f t="shared" si="10"/>
        <v/>
      </c>
      <c r="AI6" s="52" t="str">
        <f t="shared" si="12"/>
        <v/>
      </c>
      <c r="AJ6" s="52" t="str">
        <f t="shared" si="13"/>
        <v/>
      </c>
      <c r="AK6" s="52" t="str">
        <f t="shared" si="14"/>
        <v/>
      </c>
      <c r="AL6" s="52" t="str">
        <f t="shared" si="15"/>
        <v/>
      </c>
      <c r="AM6" s="52" t="str">
        <f t="shared" si="16"/>
        <v/>
      </c>
      <c r="AN6" s="52" t="str">
        <f t="shared" si="17"/>
        <v/>
      </c>
      <c r="AO6" s="52" t="str">
        <f t="shared" si="18"/>
        <v/>
      </c>
      <c r="AP6" s="52" t="str">
        <f t="shared" si="19"/>
        <v/>
      </c>
      <c r="AQ6" s="52" t="str">
        <f t="shared" si="20"/>
        <v/>
      </c>
      <c r="AR6" s="52" t="str">
        <f t="shared" si="21"/>
        <v/>
      </c>
      <c r="AS6" s="52" t="str">
        <f t="shared" si="22"/>
        <v/>
      </c>
      <c r="AT6" s="52" t="str">
        <f t="shared" si="23"/>
        <v/>
      </c>
      <c r="AU6" s="52" t="str">
        <f t="shared" si="24"/>
        <v/>
      </c>
      <c r="AV6" s="52" t="str">
        <f t="shared" si="25"/>
        <v/>
      </c>
      <c r="AW6" s="52" t="str">
        <f t="shared" si="26"/>
        <v/>
      </c>
      <c r="AX6" s="52" t="str">
        <f t="shared" si="27"/>
        <v/>
      </c>
      <c r="AY6" s="52" t="str">
        <f t="shared" si="11"/>
        <v/>
      </c>
      <c r="AZ6" s="50" t="s">
        <v>44</v>
      </c>
      <c r="BA6" s="50" t="s">
        <v>749</v>
      </c>
      <c r="BB6" s="50" t="s">
        <v>749</v>
      </c>
      <c r="BC6" s="50" t="s">
        <v>58</v>
      </c>
      <c r="BD6" s="50" t="s">
        <v>58</v>
      </c>
      <c r="BE6" s="50" t="s">
        <v>59</v>
      </c>
      <c r="BF6" s="50" t="s">
        <v>59</v>
      </c>
      <c r="BG6" s="50" t="s">
        <v>60</v>
      </c>
      <c r="BH6" s="50" t="s">
        <v>60</v>
      </c>
      <c r="BI6" s="50" t="s">
        <v>56</v>
      </c>
      <c r="BJ6" s="50" t="s">
        <v>59</v>
      </c>
      <c r="BK6" s="50" t="s">
        <v>60</v>
      </c>
      <c r="BL6" s="50" t="s">
        <v>63</v>
      </c>
      <c r="BM6" s="50" t="s">
        <v>63</v>
      </c>
      <c r="BN6" s="50" t="s">
        <v>66</v>
      </c>
      <c r="BO6" s="50"/>
      <c r="BP6" s="50"/>
      <c r="BQ6" s="50" t="s">
        <v>87</v>
      </c>
      <c r="BR6" s="50" t="s">
        <v>87</v>
      </c>
      <c r="BS6" s="50" t="s">
        <v>90</v>
      </c>
      <c r="BT6" s="50" t="s">
        <v>92</v>
      </c>
      <c r="BU6" s="50" t="s">
        <v>94</v>
      </c>
      <c r="BV6" s="50" t="s">
        <v>97</v>
      </c>
      <c r="BW6" s="50" t="s">
        <v>119</v>
      </c>
      <c r="BX6" s="50" t="s">
        <v>119</v>
      </c>
      <c r="BY6" s="50" t="s">
        <v>122</v>
      </c>
      <c r="BZ6" s="50" t="s">
        <v>126</v>
      </c>
      <c r="CA6" s="50" t="s">
        <v>130</v>
      </c>
      <c r="CB6" s="50" t="s">
        <v>134</v>
      </c>
      <c r="CC6" s="50" t="s">
        <v>140</v>
      </c>
      <c r="CD6" s="50" t="s">
        <v>140</v>
      </c>
      <c r="CE6" s="50" t="s">
        <v>141</v>
      </c>
      <c r="CF6" s="50" t="s">
        <v>142</v>
      </c>
      <c r="CG6" s="50" t="s">
        <v>143</v>
      </c>
      <c r="CH6" s="50" t="s">
        <v>144</v>
      </c>
      <c r="CI6" s="50" t="s">
        <v>159</v>
      </c>
      <c r="CJ6" s="50" t="s">
        <v>161</v>
      </c>
      <c r="CK6" s="50" t="s">
        <v>163</v>
      </c>
      <c r="CL6" s="55" t="s">
        <v>171</v>
      </c>
      <c r="CM6" s="55" t="s">
        <v>179</v>
      </c>
      <c r="CN6" s="55" t="s">
        <v>184</v>
      </c>
      <c r="CO6" s="55" t="s">
        <v>190</v>
      </c>
      <c r="CP6" s="55" t="s">
        <v>197</v>
      </c>
      <c r="CQ6" s="55" t="s">
        <v>202</v>
      </c>
      <c r="CR6" s="55" t="s">
        <v>207</v>
      </c>
      <c r="CS6" s="55" t="s">
        <v>216</v>
      </c>
      <c r="CT6" s="55" t="s">
        <v>225</v>
      </c>
      <c r="CU6" s="55" t="s">
        <v>234</v>
      </c>
      <c r="CV6" s="55" t="s">
        <v>243</v>
      </c>
      <c r="CW6" s="55" t="s">
        <v>252</v>
      </c>
      <c r="CX6" s="55" t="s">
        <v>268</v>
      </c>
      <c r="CY6" s="55" t="s">
        <v>302</v>
      </c>
      <c r="CZ6" s="55" t="s">
        <v>306</v>
      </c>
      <c r="DA6" s="55" t="s">
        <v>340</v>
      </c>
      <c r="DB6" s="55" t="s">
        <v>344</v>
      </c>
      <c r="DC6" s="55" t="s">
        <v>378</v>
      </c>
      <c r="DD6" s="55" t="s">
        <v>450</v>
      </c>
      <c r="DE6" s="55" t="s">
        <v>430</v>
      </c>
      <c r="DF6" s="55" t="s">
        <v>423</v>
      </c>
      <c r="DG6" s="55" t="s">
        <v>406</v>
      </c>
      <c r="DH6" s="55" t="s">
        <v>399</v>
      </c>
      <c r="DI6" s="55" t="s">
        <v>382</v>
      </c>
      <c r="DJ6" s="56" t="s">
        <v>539</v>
      </c>
      <c r="DK6" s="56" t="s">
        <v>542</v>
      </c>
      <c r="DL6" s="56" t="s">
        <v>550</v>
      </c>
      <c r="DM6" s="56" t="s">
        <v>555</v>
      </c>
      <c r="DN6" s="56" t="s">
        <v>560</v>
      </c>
      <c r="DO6" s="56" t="s">
        <v>565</v>
      </c>
      <c r="DP6" s="55" t="s">
        <v>627</v>
      </c>
      <c r="DQ6" s="55" t="s">
        <v>628</v>
      </c>
      <c r="DR6" s="55" t="s">
        <v>629</v>
      </c>
      <c r="DS6" s="55" t="s">
        <v>630</v>
      </c>
      <c r="DT6" s="55" t="s">
        <v>631</v>
      </c>
      <c r="DU6" s="55" t="s">
        <v>632</v>
      </c>
      <c r="DV6" s="55" t="s">
        <v>275</v>
      </c>
      <c r="DW6" s="55" t="s">
        <v>295</v>
      </c>
      <c r="DX6" s="55" t="s">
        <v>313</v>
      </c>
      <c r="DY6" s="55" t="s">
        <v>333</v>
      </c>
      <c r="DZ6" s="55" t="s">
        <v>351</v>
      </c>
      <c r="EA6" s="55" t="s">
        <v>371</v>
      </c>
      <c r="EB6" s="55" t="s">
        <v>279</v>
      </c>
      <c r="EC6" s="55" t="s">
        <v>291</v>
      </c>
      <c r="ED6" s="55" t="s">
        <v>317</v>
      </c>
      <c r="EE6" s="55" t="s">
        <v>329</v>
      </c>
      <c r="EF6" s="55" t="s">
        <v>355</v>
      </c>
      <c r="EG6" s="55" t="s">
        <v>367</v>
      </c>
      <c r="EH6" s="55" t="s">
        <v>735</v>
      </c>
      <c r="EI6" s="55" t="s">
        <v>736</v>
      </c>
      <c r="EJ6" s="55" t="s">
        <v>737</v>
      </c>
      <c r="EK6" s="55" t="s">
        <v>738</v>
      </c>
      <c r="EL6" s="55" t="s">
        <v>739</v>
      </c>
      <c r="EM6" s="55" t="s">
        <v>740</v>
      </c>
      <c r="EN6" s="55" t="s">
        <v>682</v>
      </c>
      <c r="EO6" s="55" t="s">
        <v>684</v>
      </c>
      <c r="EP6" s="55" t="s">
        <v>685</v>
      </c>
      <c r="EQ6" s="55" t="s">
        <v>686</v>
      </c>
      <c r="ER6" s="55" t="s">
        <v>687</v>
      </c>
      <c r="ES6" s="55" t="s">
        <v>688</v>
      </c>
      <c r="ET6" s="55" t="s">
        <v>283</v>
      </c>
      <c r="EU6" s="55" t="s">
        <v>286</v>
      </c>
      <c r="EV6" s="55" t="s">
        <v>321</v>
      </c>
      <c r="EW6" s="55" t="s">
        <v>324</v>
      </c>
      <c r="EX6" s="55" t="s">
        <v>359</v>
      </c>
      <c r="EY6" s="55" t="s">
        <v>362</v>
      </c>
      <c r="EZ6" s="50" t="s">
        <v>453</v>
      </c>
      <c r="FA6" s="50" t="s">
        <v>638</v>
      </c>
      <c r="FB6" s="50" t="s">
        <v>638</v>
      </c>
      <c r="FC6" s="50" t="s">
        <v>642</v>
      </c>
      <c r="FD6" s="50" t="s">
        <v>642</v>
      </c>
      <c r="FE6" s="50" t="s">
        <v>453</v>
      </c>
      <c r="FF6" s="50" t="s">
        <v>497</v>
      </c>
      <c r="FG6" s="13"/>
    </row>
    <row r="7" spans="1:163">
      <c r="A7" s="71"/>
      <c r="B7" s="70"/>
      <c r="C7" s="72"/>
      <c r="D7" s="73"/>
      <c r="E7" s="73"/>
      <c r="F7" s="73"/>
      <c r="G7" s="73"/>
      <c r="H7" s="73"/>
      <c r="I7" s="74"/>
      <c r="J7" s="74"/>
      <c r="K7" s="74"/>
      <c r="L7" s="73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5"/>
      <c r="Y7" s="70"/>
      <c r="Z7" s="12">
        <f t="shared" si="2"/>
        <v>0</v>
      </c>
      <c r="AA7" s="14">
        <f t="shared" si="3"/>
        <v>0</v>
      </c>
      <c r="AB7" s="6">
        <f t="shared" si="4"/>
        <v>0</v>
      </c>
      <c r="AC7" s="6">
        <f t="shared" si="5"/>
        <v>0</v>
      </c>
      <c r="AD7" s="6">
        <f t="shared" si="6"/>
        <v>0</v>
      </c>
      <c r="AE7" s="52" t="str">
        <f t="shared" si="7"/>
        <v/>
      </c>
      <c r="AF7" s="52" t="str">
        <f t="shared" si="8"/>
        <v/>
      </c>
      <c r="AG7" s="50" t="str">
        <f t="shared" si="9"/>
        <v/>
      </c>
      <c r="AH7" s="50" t="str">
        <f t="shared" si="10"/>
        <v/>
      </c>
      <c r="AI7" s="52" t="str">
        <f t="shared" si="12"/>
        <v/>
      </c>
      <c r="AJ7" s="52" t="str">
        <f t="shared" si="13"/>
        <v/>
      </c>
      <c r="AK7" s="52" t="str">
        <f t="shared" si="14"/>
        <v/>
      </c>
      <c r="AL7" s="52" t="str">
        <f t="shared" si="15"/>
        <v/>
      </c>
      <c r="AM7" s="52" t="str">
        <f t="shared" si="16"/>
        <v/>
      </c>
      <c r="AN7" s="52" t="str">
        <f t="shared" si="17"/>
        <v/>
      </c>
      <c r="AO7" s="52" t="str">
        <f t="shared" si="18"/>
        <v/>
      </c>
      <c r="AP7" s="52" t="str">
        <f t="shared" si="19"/>
        <v/>
      </c>
      <c r="AQ7" s="52" t="str">
        <f t="shared" si="20"/>
        <v/>
      </c>
      <c r="AR7" s="52" t="str">
        <f t="shared" si="21"/>
        <v/>
      </c>
      <c r="AS7" s="52" t="str">
        <f t="shared" si="22"/>
        <v/>
      </c>
      <c r="AT7" s="52" t="str">
        <f t="shared" si="23"/>
        <v/>
      </c>
      <c r="AU7" s="52" t="str">
        <f t="shared" si="24"/>
        <v/>
      </c>
      <c r="AV7" s="52" t="str">
        <f t="shared" si="25"/>
        <v/>
      </c>
      <c r="AW7" s="52" t="str">
        <f t="shared" si="26"/>
        <v/>
      </c>
      <c r="AX7" s="52" t="str">
        <f t="shared" si="27"/>
        <v/>
      </c>
      <c r="AY7" s="52" t="str">
        <f t="shared" si="11"/>
        <v/>
      </c>
      <c r="AZ7" s="52"/>
      <c r="BA7" s="50" t="s">
        <v>750</v>
      </c>
      <c r="BB7" s="50" t="s">
        <v>750</v>
      </c>
      <c r="BC7" s="50" t="s">
        <v>61</v>
      </c>
      <c r="BD7" s="50" t="s">
        <v>61</v>
      </c>
      <c r="BE7" s="50" t="s">
        <v>62</v>
      </c>
      <c r="BF7" s="50" t="s">
        <v>62</v>
      </c>
      <c r="BG7" s="50" t="s">
        <v>63</v>
      </c>
      <c r="BH7" s="50" t="s">
        <v>63</v>
      </c>
      <c r="BI7" s="50" t="s">
        <v>59</v>
      </c>
      <c r="BJ7" s="50" t="s">
        <v>62</v>
      </c>
      <c r="BK7" s="50" t="s">
        <v>63</v>
      </c>
      <c r="BL7" s="50" t="s">
        <v>66</v>
      </c>
      <c r="BM7" s="50" t="s">
        <v>69</v>
      </c>
      <c r="BN7" s="50" t="s">
        <v>72</v>
      </c>
      <c r="BO7" s="50"/>
      <c r="BP7" s="50"/>
      <c r="BQ7" s="50" t="s">
        <v>88</v>
      </c>
      <c r="BR7" s="50" t="s">
        <v>88</v>
      </c>
      <c r="BS7" s="50" t="s">
        <v>91</v>
      </c>
      <c r="BT7" s="50" t="s">
        <v>93</v>
      </c>
      <c r="BU7" s="50" t="s">
        <v>95</v>
      </c>
      <c r="BV7" s="50" t="s">
        <v>98</v>
      </c>
      <c r="BW7" s="50" t="s">
        <v>118</v>
      </c>
      <c r="BX7" s="50" t="s">
        <v>118</v>
      </c>
      <c r="BY7" s="50" t="s">
        <v>123</v>
      </c>
      <c r="BZ7" s="50" t="s">
        <v>127</v>
      </c>
      <c r="CA7" s="50" t="s">
        <v>131</v>
      </c>
      <c r="CB7" s="50" t="s">
        <v>135</v>
      </c>
      <c r="CC7" s="50" t="s">
        <v>145</v>
      </c>
      <c r="CD7" s="50" t="s">
        <v>145</v>
      </c>
      <c r="CE7" s="50" t="s">
        <v>146</v>
      </c>
      <c r="CF7" s="50" t="s">
        <v>147</v>
      </c>
      <c r="CG7" s="50" t="s">
        <v>148</v>
      </c>
      <c r="CH7" s="50" t="s">
        <v>149</v>
      </c>
      <c r="CI7" s="52"/>
      <c r="CJ7" s="52"/>
      <c r="CK7" s="52"/>
      <c r="CL7" s="55" t="s">
        <v>705</v>
      </c>
      <c r="CM7" s="55" t="s">
        <v>706</v>
      </c>
      <c r="CN7" s="55" t="s">
        <v>707</v>
      </c>
      <c r="CO7" s="55" t="s">
        <v>708</v>
      </c>
      <c r="CP7" s="55" t="s">
        <v>709</v>
      </c>
      <c r="CQ7" s="55" t="s">
        <v>710</v>
      </c>
      <c r="CR7" s="55" t="s">
        <v>208</v>
      </c>
      <c r="CS7" s="55" t="s">
        <v>217</v>
      </c>
      <c r="CT7" s="55" t="s">
        <v>226</v>
      </c>
      <c r="CU7" s="55" t="s">
        <v>235</v>
      </c>
      <c r="CV7" s="55" t="s">
        <v>244</v>
      </c>
      <c r="CW7" s="55" t="s">
        <v>253</v>
      </c>
      <c r="CX7" s="55" t="s">
        <v>269</v>
      </c>
      <c r="CY7" s="55" t="s">
        <v>303</v>
      </c>
      <c r="CZ7" s="55" t="s">
        <v>307</v>
      </c>
      <c r="DA7" s="55" t="s">
        <v>341</v>
      </c>
      <c r="DB7" s="55" t="s">
        <v>345</v>
      </c>
      <c r="DC7" s="55" t="s">
        <v>379</v>
      </c>
      <c r="DD7" s="55" t="s">
        <v>449</v>
      </c>
      <c r="DE7" s="55" t="s">
        <v>431</v>
      </c>
      <c r="DF7" s="55" t="s">
        <v>424</v>
      </c>
      <c r="DG7" s="55" t="s">
        <v>407</v>
      </c>
      <c r="DH7" s="55" t="s">
        <v>400</v>
      </c>
      <c r="DI7" s="55" t="s">
        <v>383</v>
      </c>
      <c r="DJ7" s="55" t="s">
        <v>543</v>
      </c>
      <c r="DK7" s="55" t="s">
        <v>546</v>
      </c>
      <c r="DL7" s="55" t="s">
        <v>551</v>
      </c>
      <c r="DM7" s="55" t="s">
        <v>556</v>
      </c>
      <c r="DN7" s="55" t="s">
        <v>561</v>
      </c>
      <c r="DO7" s="55" t="s">
        <v>566</v>
      </c>
      <c r="DP7" s="55" t="s">
        <v>272</v>
      </c>
      <c r="DQ7" s="55" t="s">
        <v>299</v>
      </c>
      <c r="DR7" s="55" t="s">
        <v>310</v>
      </c>
      <c r="DS7" s="55" t="s">
        <v>337</v>
      </c>
      <c r="DT7" s="55" t="s">
        <v>348</v>
      </c>
      <c r="DU7" s="55" t="s">
        <v>375</v>
      </c>
      <c r="DV7" s="55" t="s">
        <v>490</v>
      </c>
      <c r="DW7" s="55" t="s">
        <v>491</v>
      </c>
      <c r="DX7" s="55" t="s">
        <v>492</v>
      </c>
      <c r="DY7" s="55" t="s">
        <v>493</v>
      </c>
      <c r="DZ7" s="55" t="s">
        <v>494</v>
      </c>
      <c r="EA7" s="55" t="s">
        <v>495</v>
      </c>
      <c r="EB7" s="55" t="s">
        <v>530</v>
      </c>
      <c r="EC7" s="55" t="s">
        <v>531</v>
      </c>
      <c r="ED7" s="56" t="s">
        <v>532</v>
      </c>
      <c r="EE7" s="55" t="s">
        <v>533</v>
      </c>
      <c r="EF7" s="55" t="s">
        <v>534</v>
      </c>
      <c r="EG7" s="55" t="s">
        <v>535</v>
      </c>
      <c r="EH7" s="55" t="s">
        <v>741</v>
      </c>
      <c r="EI7" s="55" t="s">
        <v>742</v>
      </c>
      <c r="EJ7" s="55" t="s">
        <v>743</v>
      </c>
      <c r="EK7" s="55" t="s">
        <v>744</v>
      </c>
      <c r="EL7" s="55" t="s">
        <v>745</v>
      </c>
      <c r="EM7" s="55" t="s">
        <v>746</v>
      </c>
      <c r="EN7" s="55" t="s">
        <v>585</v>
      </c>
      <c r="EO7" s="55" t="s">
        <v>590</v>
      </c>
      <c r="EP7" s="55" t="s">
        <v>596</v>
      </c>
      <c r="EQ7" s="55" t="s">
        <v>602</v>
      </c>
      <c r="ER7" s="55" t="s">
        <v>608</v>
      </c>
      <c r="ES7" s="55" t="s">
        <v>614</v>
      </c>
      <c r="ET7" s="55" t="s">
        <v>284</v>
      </c>
      <c r="EU7" s="55" t="s">
        <v>287</v>
      </c>
      <c r="EV7" s="55" t="s">
        <v>322</v>
      </c>
      <c r="EW7" s="55" t="s">
        <v>325</v>
      </c>
      <c r="EX7" s="55" t="s">
        <v>360</v>
      </c>
      <c r="EY7" s="55" t="s">
        <v>363</v>
      </c>
      <c r="EZ7" s="50" t="s">
        <v>661</v>
      </c>
      <c r="FA7" s="55" t="s">
        <v>639</v>
      </c>
      <c r="FB7" s="55" t="s">
        <v>639</v>
      </c>
      <c r="FC7" s="55" t="s">
        <v>643</v>
      </c>
      <c r="FD7" s="55" t="s">
        <v>643</v>
      </c>
      <c r="FE7" s="50" t="s">
        <v>665</v>
      </c>
      <c r="FF7" s="50" t="s">
        <v>498</v>
      </c>
      <c r="FG7" s="13"/>
    </row>
    <row r="8" spans="1:163">
      <c r="A8" s="71"/>
      <c r="B8" s="70"/>
      <c r="C8" s="72"/>
      <c r="D8" s="73"/>
      <c r="E8" s="73"/>
      <c r="F8" s="73"/>
      <c r="G8" s="73"/>
      <c r="H8" s="73"/>
      <c r="I8" s="74"/>
      <c r="J8" s="74"/>
      <c r="K8" s="74"/>
      <c r="L8" s="73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5"/>
      <c r="Y8" s="70"/>
      <c r="Z8" s="12">
        <f t="shared" si="2"/>
        <v>0</v>
      </c>
      <c r="AA8" s="14">
        <f t="shared" si="3"/>
        <v>0</v>
      </c>
      <c r="AB8" s="6">
        <f t="shared" si="4"/>
        <v>0</v>
      </c>
      <c r="AC8" s="6">
        <f t="shared" si="5"/>
        <v>0</v>
      </c>
      <c r="AD8" s="6">
        <f t="shared" si="6"/>
        <v>0</v>
      </c>
      <c r="AE8" s="52" t="str">
        <f t="shared" si="7"/>
        <v/>
      </c>
      <c r="AF8" s="52" t="str">
        <f t="shared" si="8"/>
        <v/>
      </c>
      <c r="AG8" s="50" t="str">
        <f t="shared" si="9"/>
        <v/>
      </c>
      <c r="AH8" s="50" t="str">
        <f t="shared" si="10"/>
        <v/>
      </c>
      <c r="AI8" s="52" t="str">
        <f t="shared" si="12"/>
        <v/>
      </c>
      <c r="AJ8" s="52" t="str">
        <f t="shared" si="13"/>
        <v/>
      </c>
      <c r="AK8" s="52" t="str">
        <f t="shared" si="14"/>
        <v/>
      </c>
      <c r="AL8" s="52" t="str">
        <f t="shared" si="15"/>
        <v/>
      </c>
      <c r="AM8" s="52" t="str">
        <f t="shared" si="16"/>
        <v/>
      </c>
      <c r="AN8" s="52" t="str">
        <f t="shared" si="17"/>
        <v/>
      </c>
      <c r="AO8" s="52" t="str">
        <f t="shared" si="18"/>
        <v/>
      </c>
      <c r="AP8" s="52" t="str">
        <f t="shared" si="19"/>
        <v/>
      </c>
      <c r="AQ8" s="52" t="str">
        <f t="shared" si="20"/>
        <v/>
      </c>
      <c r="AR8" s="52" t="str">
        <f t="shared" si="21"/>
        <v/>
      </c>
      <c r="AS8" s="52" t="str">
        <f t="shared" si="22"/>
        <v/>
      </c>
      <c r="AT8" s="52" t="str">
        <f t="shared" si="23"/>
        <v/>
      </c>
      <c r="AU8" s="52" t="str">
        <f t="shared" si="24"/>
        <v/>
      </c>
      <c r="AV8" s="52" t="str">
        <f t="shared" si="25"/>
        <v/>
      </c>
      <c r="AW8" s="52" t="str">
        <f t="shared" si="26"/>
        <v/>
      </c>
      <c r="AX8" s="52" t="str">
        <f t="shared" si="27"/>
        <v/>
      </c>
      <c r="AY8" s="52" t="str">
        <f t="shared" si="11"/>
        <v/>
      </c>
      <c r="AZ8" s="52"/>
      <c r="BA8" s="50" t="s">
        <v>654</v>
      </c>
      <c r="BB8" s="50" t="s">
        <v>654</v>
      </c>
      <c r="BC8" s="50" t="s">
        <v>64</v>
      </c>
      <c r="BD8" s="50" t="s">
        <v>64</v>
      </c>
      <c r="BE8" s="50" t="s">
        <v>65</v>
      </c>
      <c r="BF8" s="50" t="s">
        <v>65</v>
      </c>
      <c r="BG8" s="50" t="s">
        <v>66</v>
      </c>
      <c r="BH8" s="50" t="s">
        <v>66</v>
      </c>
      <c r="BI8" s="50" t="s">
        <v>62</v>
      </c>
      <c r="BJ8" s="50" t="s">
        <v>65</v>
      </c>
      <c r="BK8" s="50" t="s">
        <v>66</v>
      </c>
      <c r="BL8" s="50" t="s">
        <v>69</v>
      </c>
      <c r="BM8" s="50" t="s">
        <v>75</v>
      </c>
      <c r="BN8" s="50" t="s">
        <v>77</v>
      </c>
      <c r="BO8" s="50"/>
      <c r="BP8" s="50"/>
      <c r="BQ8" s="52"/>
      <c r="BR8" s="50" t="s">
        <v>89</v>
      </c>
      <c r="BS8" s="52"/>
      <c r="BT8" s="52"/>
      <c r="BU8" s="50" t="s">
        <v>96</v>
      </c>
      <c r="BV8" s="50" t="s">
        <v>751</v>
      </c>
      <c r="BW8" s="50" t="s">
        <v>120</v>
      </c>
      <c r="BX8" s="50" t="s">
        <v>120</v>
      </c>
      <c r="BY8" s="50" t="s">
        <v>124</v>
      </c>
      <c r="BZ8" s="50" t="s">
        <v>128</v>
      </c>
      <c r="CA8" s="50" t="s">
        <v>132</v>
      </c>
      <c r="CB8" s="50" t="s">
        <v>136</v>
      </c>
      <c r="CC8" s="52"/>
      <c r="CD8" s="50" t="s">
        <v>138</v>
      </c>
      <c r="CE8" s="52"/>
      <c r="CF8" s="52" t="s">
        <v>659</v>
      </c>
      <c r="CG8" s="52" t="s">
        <v>660</v>
      </c>
      <c r="CH8" s="50" t="s">
        <v>752</v>
      </c>
      <c r="CI8" s="52"/>
      <c r="CJ8" s="52"/>
      <c r="CK8" s="52"/>
      <c r="CL8" s="55" t="s">
        <v>172</v>
      </c>
      <c r="CM8" s="55" t="s">
        <v>180</v>
      </c>
      <c r="CN8" s="55" t="s">
        <v>185</v>
      </c>
      <c r="CO8" s="55" t="s">
        <v>191</v>
      </c>
      <c r="CP8" s="55" t="s">
        <v>196</v>
      </c>
      <c r="CQ8" s="55" t="s">
        <v>203</v>
      </c>
      <c r="CR8" s="55" t="s">
        <v>209</v>
      </c>
      <c r="CS8" s="55" t="s">
        <v>218</v>
      </c>
      <c r="CT8" s="55" t="s">
        <v>227</v>
      </c>
      <c r="CU8" s="55" t="s">
        <v>236</v>
      </c>
      <c r="CV8" s="55" t="s">
        <v>245</v>
      </c>
      <c r="CW8" s="55" t="s">
        <v>254</v>
      </c>
      <c r="CX8" s="55"/>
      <c r="CY8" s="57"/>
      <c r="CZ8" s="57"/>
      <c r="DA8" s="57"/>
      <c r="DB8" s="57"/>
      <c r="DC8" s="57"/>
      <c r="DD8" s="55" t="s">
        <v>448</v>
      </c>
      <c r="DE8" s="55" t="s">
        <v>432</v>
      </c>
      <c r="DF8" s="55" t="s">
        <v>425</v>
      </c>
      <c r="DG8" s="55" t="s">
        <v>408</v>
      </c>
      <c r="DH8" s="55" t="s">
        <v>401</v>
      </c>
      <c r="DI8" s="55" t="s">
        <v>384</v>
      </c>
      <c r="DJ8" s="55" t="s">
        <v>544</v>
      </c>
      <c r="DK8" s="55" t="s">
        <v>547</v>
      </c>
      <c r="DL8" s="55" t="s">
        <v>552</v>
      </c>
      <c r="DM8" s="55" t="s">
        <v>557</v>
      </c>
      <c r="DN8" s="55" t="s">
        <v>562</v>
      </c>
      <c r="DO8" s="55" t="s">
        <v>567</v>
      </c>
      <c r="DP8" s="55"/>
      <c r="DQ8" s="55"/>
      <c r="DR8" s="55"/>
      <c r="DS8" s="55"/>
      <c r="DT8" s="55"/>
      <c r="DU8" s="55"/>
      <c r="DV8" s="55" t="s">
        <v>723</v>
      </c>
      <c r="DW8" s="55" t="s">
        <v>724</v>
      </c>
      <c r="DX8" s="55" t="s">
        <v>725</v>
      </c>
      <c r="DY8" s="55" t="s">
        <v>726</v>
      </c>
      <c r="DZ8" s="55" t="s">
        <v>727</v>
      </c>
      <c r="EA8" s="55" t="s">
        <v>728</v>
      </c>
      <c r="EB8" s="55" t="s">
        <v>280</v>
      </c>
      <c r="EC8" s="55" t="s">
        <v>292</v>
      </c>
      <c r="ED8" s="55" t="s">
        <v>318</v>
      </c>
      <c r="EE8" s="55" t="s">
        <v>330</v>
      </c>
      <c r="EF8" s="55" t="s">
        <v>356</v>
      </c>
      <c r="EG8" s="55" t="s">
        <v>368</v>
      </c>
      <c r="EH8" s="57"/>
      <c r="EI8" s="57"/>
      <c r="EJ8" s="57"/>
      <c r="EK8" s="57"/>
      <c r="EL8" s="57"/>
      <c r="EM8" s="57"/>
      <c r="EN8" s="55" t="s">
        <v>683</v>
      </c>
      <c r="EO8" s="55" t="s">
        <v>693</v>
      </c>
      <c r="EP8" s="55" t="s">
        <v>692</v>
      </c>
      <c r="EQ8" s="55" t="s">
        <v>691</v>
      </c>
      <c r="ER8" s="55" t="s">
        <v>690</v>
      </c>
      <c r="ES8" s="55" t="s">
        <v>689</v>
      </c>
      <c r="ET8" s="55" t="s">
        <v>669</v>
      </c>
      <c r="EU8" s="55" t="s">
        <v>671</v>
      </c>
      <c r="EV8" s="55" t="s">
        <v>673</v>
      </c>
      <c r="EW8" s="55" t="s">
        <v>675</v>
      </c>
      <c r="EX8" s="55" t="s">
        <v>677</v>
      </c>
      <c r="EY8" s="55" t="s">
        <v>679</v>
      </c>
      <c r="EZ8" s="50" t="s">
        <v>662</v>
      </c>
      <c r="FA8" s="55" t="s">
        <v>640</v>
      </c>
      <c r="FB8" s="55" t="s">
        <v>640</v>
      </c>
      <c r="FC8" s="55" t="s">
        <v>644</v>
      </c>
      <c r="FD8" s="55" t="s">
        <v>644</v>
      </c>
      <c r="FE8" s="50" t="s">
        <v>666</v>
      </c>
      <c r="FF8" s="50" t="s">
        <v>499</v>
      </c>
      <c r="FG8" s="13"/>
    </row>
    <row r="9" spans="1:163">
      <c r="A9" s="71"/>
      <c r="B9" s="70"/>
      <c r="C9" s="72"/>
      <c r="D9" s="73"/>
      <c r="E9" s="73"/>
      <c r="F9" s="73"/>
      <c r="G9" s="73"/>
      <c r="H9" s="73"/>
      <c r="I9" s="74"/>
      <c r="J9" s="74"/>
      <c r="K9" s="74"/>
      <c r="L9" s="73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5"/>
      <c r="Y9" s="70"/>
      <c r="Z9" s="12">
        <f t="shared" si="2"/>
        <v>0</v>
      </c>
      <c r="AA9" s="14">
        <f t="shared" si="3"/>
        <v>0</v>
      </c>
      <c r="AB9" s="6">
        <f t="shared" si="4"/>
        <v>0</v>
      </c>
      <c r="AC9" s="6">
        <f t="shared" si="5"/>
        <v>0</v>
      </c>
      <c r="AD9" s="6">
        <f t="shared" si="6"/>
        <v>0</v>
      </c>
      <c r="AE9" s="52" t="str">
        <f t="shared" si="7"/>
        <v/>
      </c>
      <c r="AF9" s="52" t="str">
        <f t="shared" si="8"/>
        <v/>
      </c>
      <c r="AG9" s="50" t="str">
        <f t="shared" si="9"/>
        <v/>
      </c>
      <c r="AH9" s="50" t="str">
        <f t="shared" si="10"/>
        <v/>
      </c>
      <c r="AI9" s="52" t="str">
        <f t="shared" si="12"/>
        <v/>
      </c>
      <c r="AJ9" s="52" t="str">
        <f t="shared" si="13"/>
        <v/>
      </c>
      <c r="AK9" s="52" t="str">
        <f t="shared" si="14"/>
        <v/>
      </c>
      <c r="AL9" s="52" t="str">
        <f t="shared" si="15"/>
        <v/>
      </c>
      <c r="AM9" s="52" t="str">
        <f t="shared" si="16"/>
        <v/>
      </c>
      <c r="AN9" s="52" t="str">
        <f t="shared" si="17"/>
        <v/>
      </c>
      <c r="AO9" s="52" t="str">
        <f t="shared" si="18"/>
        <v/>
      </c>
      <c r="AP9" s="52" t="str">
        <f t="shared" si="19"/>
        <v/>
      </c>
      <c r="AQ9" s="52" t="str">
        <f t="shared" si="20"/>
        <v/>
      </c>
      <c r="AR9" s="52" t="str">
        <f t="shared" si="21"/>
        <v/>
      </c>
      <c r="AS9" s="52" t="str">
        <f t="shared" si="22"/>
        <v/>
      </c>
      <c r="AT9" s="52" t="str">
        <f t="shared" si="23"/>
        <v/>
      </c>
      <c r="AU9" s="52" t="str">
        <f t="shared" si="24"/>
        <v/>
      </c>
      <c r="AV9" s="52" t="str">
        <f t="shared" si="25"/>
        <v/>
      </c>
      <c r="AW9" s="52" t="str">
        <f t="shared" si="26"/>
        <v/>
      </c>
      <c r="AX9" s="52" t="str">
        <f t="shared" si="27"/>
        <v/>
      </c>
      <c r="AY9" s="52" t="str">
        <f t="shared" si="11"/>
        <v/>
      </c>
      <c r="AZ9" s="52"/>
      <c r="BA9" s="50" t="s">
        <v>655</v>
      </c>
      <c r="BB9" s="50" t="s">
        <v>655</v>
      </c>
      <c r="BC9" s="50"/>
      <c r="BD9" s="50" t="s">
        <v>67</v>
      </c>
      <c r="BE9" s="52"/>
      <c r="BF9" s="50" t="s">
        <v>68</v>
      </c>
      <c r="BG9" s="50" t="s">
        <v>69</v>
      </c>
      <c r="BH9" s="50" t="s">
        <v>69</v>
      </c>
      <c r="BI9" s="50" t="s">
        <v>65</v>
      </c>
      <c r="BJ9" s="50" t="s">
        <v>68</v>
      </c>
      <c r="BK9" s="50" t="s">
        <v>69</v>
      </c>
      <c r="BL9" s="50" t="s">
        <v>72</v>
      </c>
      <c r="BM9" s="50" t="s">
        <v>622</v>
      </c>
      <c r="BN9" s="50" t="s">
        <v>78</v>
      </c>
      <c r="BO9" s="50"/>
      <c r="BP9" s="50"/>
      <c r="BQ9" s="52"/>
      <c r="BR9" s="50" t="s">
        <v>90</v>
      </c>
      <c r="BS9" s="52"/>
      <c r="BT9" s="52"/>
      <c r="BU9" s="50" t="s">
        <v>97</v>
      </c>
      <c r="BV9" s="50" t="s">
        <v>753</v>
      </c>
      <c r="BW9" s="52"/>
      <c r="BX9" s="50" t="s">
        <v>121</v>
      </c>
      <c r="BY9" s="52"/>
      <c r="BZ9" s="52"/>
      <c r="CA9" s="50" t="s">
        <v>133</v>
      </c>
      <c r="CB9" s="50" t="s">
        <v>754</v>
      </c>
      <c r="CC9" s="52"/>
      <c r="CD9" s="50" t="s">
        <v>141</v>
      </c>
      <c r="CE9" s="52"/>
      <c r="CF9" s="52"/>
      <c r="CG9" s="50" t="s">
        <v>139</v>
      </c>
      <c r="CH9" s="50" t="s">
        <v>755</v>
      </c>
      <c r="CI9" s="52"/>
      <c r="CJ9" s="52"/>
      <c r="CK9" s="52"/>
      <c r="CL9" s="55" t="s">
        <v>173</v>
      </c>
      <c r="CM9" s="55" t="s">
        <v>177</v>
      </c>
      <c r="CN9" s="55" t="s">
        <v>186</v>
      </c>
      <c r="CO9" s="55" t="s">
        <v>192</v>
      </c>
      <c r="CP9" s="55" t="s">
        <v>198</v>
      </c>
      <c r="CQ9" s="55" t="s">
        <v>204</v>
      </c>
      <c r="CR9" s="55" t="s">
        <v>210</v>
      </c>
      <c r="CS9" s="55" t="s">
        <v>219</v>
      </c>
      <c r="CT9" s="55" t="s">
        <v>228</v>
      </c>
      <c r="CU9" s="55" t="s">
        <v>237</v>
      </c>
      <c r="CV9" s="55" t="s">
        <v>246</v>
      </c>
      <c r="CW9" s="55" t="s">
        <v>255</v>
      </c>
      <c r="CX9" s="55"/>
      <c r="CY9" s="57"/>
      <c r="CZ9" s="57"/>
      <c r="DA9" s="57"/>
      <c r="DB9" s="57"/>
      <c r="DC9" s="57"/>
      <c r="DD9" s="55" t="s">
        <v>447</v>
      </c>
      <c r="DE9" s="55" t="s">
        <v>433</v>
      </c>
      <c r="DF9" s="55" t="s">
        <v>426</v>
      </c>
      <c r="DG9" s="55" t="s">
        <v>409</v>
      </c>
      <c r="DH9" s="55" t="s">
        <v>402</v>
      </c>
      <c r="DI9" s="55" t="s">
        <v>385</v>
      </c>
      <c r="DJ9" s="55" t="s">
        <v>545</v>
      </c>
      <c r="DK9" s="55" t="s">
        <v>548</v>
      </c>
      <c r="DL9" s="55" t="s">
        <v>553</v>
      </c>
      <c r="DM9" s="55" t="s">
        <v>558</v>
      </c>
      <c r="DN9" s="55" t="s">
        <v>563</v>
      </c>
      <c r="DO9" s="55" t="s">
        <v>568</v>
      </c>
      <c r="DP9" s="55"/>
      <c r="DQ9" s="55"/>
      <c r="DR9" s="55"/>
      <c r="DS9" s="55"/>
      <c r="DT9" s="55"/>
      <c r="DU9" s="55"/>
      <c r="DV9" s="55" t="s">
        <v>276</v>
      </c>
      <c r="DW9" s="55" t="s">
        <v>296</v>
      </c>
      <c r="DX9" s="55" t="s">
        <v>314</v>
      </c>
      <c r="DY9" s="55" t="s">
        <v>334</v>
      </c>
      <c r="DZ9" s="55" t="s">
        <v>352</v>
      </c>
      <c r="EA9" s="55" t="s">
        <v>372</v>
      </c>
      <c r="EB9" s="55"/>
      <c r="EC9" s="55"/>
      <c r="ED9" s="55"/>
      <c r="EE9" s="55"/>
      <c r="EF9" s="55"/>
      <c r="EG9" s="55"/>
      <c r="EH9" s="50"/>
      <c r="EI9" s="50"/>
      <c r="EJ9" s="50"/>
      <c r="EK9" s="50"/>
      <c r="EL9" s="50"/>
      <c r="EM9" s="50"/>
      <c r="EN9" s="55" t="s">
        <v>586</v>
      </c>
      <c r="EO9" s="55" t="s">
        <v>591</v>
      </c>
      <c r="EP9" s="55" t="s">
        <v>597</v>
      </c>
      <c r="EQ9" s="55" t="s">
        <v>603</v>
      </c>
      <c r="ER9" s="55" t="s">
        <v>609</v>
      </c>
      <c r="ES9" s="55" t="s">
        <v>615</v>
      </c>
      <c r="ET9" s="55" t="s">
        <v>670</v>
      </c>
      <c r="EU9" s="55" t="s">
        <v>672</v>
      </c>
      <c r="EV9" s="55" t="s">
        <v>674</v>
      </c>
      <c r="EW9" s="55" t="s">
        <v>676</v>
      </c>
      <c r="EX9" s="55" t="s">
        <v>678</v>
      </c>
      <c r="EY9" s="55" t="s">
        <v>680</v>
      </c>
      <c r="EZ9" s="50" t="s">
        <v>663</v>
      </c>
      <c r="FA9" s="50" t="s">
        <v>452</v>
      </c>
      <c r="FB9" s="50" t="s">
        <v>452</v>
      </c>
      <c r="FC9" s="50" t="s">
        <v>452</v>
      </c>
      <c r="FD9" s="50" t="s">
        <v>452</v>
      </c>
      <c r="FE9" s="50" t="s">
        <v>667</v>
      </c>
      <c r="FF9" s="50" t="s">
        <v>500</v>
      </c>
      <c r="FG9" s="13"/>
    </row>
    <row r="10" spans="1:163">
      <c r="A10" s="71"/>
      <c r="B10" s="70"/>
      <c r="C10" s="72"/>
      <c r="D10" s="73"/>
      <c r="E10" s="73"/>
      <c r="F10" s="73"/>
      <c r="G10" s="73"/>
      <c r="H10" s="73"/>
      <c r="I10" s="74"/>
      <c r="J10" s="74"/>
      <c r="K10" s="74"/>
      <c r="L10" s="73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5"/>
      <c r="Y10" s="70"/>
      <c r="Z10" s="12">
        <f t="shared" si="2"/>
        <v>0</v>
      </c>
      <c r="AA10" s="14">
        <f t="shared" si="3"/>
        <v>0</v>
      </c>
      <c r="AB10" s="6">
        <f t="shared" si="4"/>
        <v>0</v>
      </c>
      <c r="AC10" s="6">
        <f t="shared" si="5"/>
        <v>0</v>
      </c>
      <c r="AD10" s="6">
        <f t="shared" si="6"/>
        <v>0</v>
      </c>
      <c r="AE10" s="52" t="str">
        <f t="shared" si="7"/>
        <v/>
      </c>
      <c r="AF10" s="52" t="str">
        <f t="shared" si="8"/>
        <v/>
      </c>
      <c r="AG10" s="50" t="str">
        <f t="shared" si="9"/>
        <v/>
      </c>
      <c r="AH10" s="50" t="str">
        <f t="shared" si="10"/>
        <v/>
      </c>
      <c r="AI10" s="52" t="str">
        <f t="shared" si="12"/>
        <v/>
      </c>
      <c r="AJ10" s="52" t="str">
        <f t="shared" si="13"/>
        <v/>
      </c>
      <c r="AK10" s="52" t="str">
        <f t="shared" si="14"/>
        <v/>
      </c>
      <c r="AL10" s="52" t="str">
        <f t="shared" si="15"/>
        <v/>
      </c>
      <c r="AM10" s="52" t="str">
        <f t="shared" si="16"/>
        <v/>
      </c>
      <c r="AN10" s="52" t="str">
        <f t="shared" si="17"/>
        <v/>
      </c>
      <c r="AO10" s="52" t="str">
        <f t="shared" si="18"/>
        <v/>
      </c>
      <c r="AP10" s="52" t="str">
        <f t="shared" si="19"/>
        <v/>
      </c>
      <c r="AQ10" s="52" t="str">
        <f t="shared" si="20"/>
        <v/>
      </c>
      <c r="AR10" s="52" t="str">
        <f t="shared" si="21"/>
        <v/>
      </c>
      <c r="AS10" s="52" t="str">
        <f t="shared" si="22"/>
        <v/>
      </c>
      <c r="AT10" s="52" t="str">
        <f t="shared" si="23"/>
        <v/>
      </c>
      <c r="AU10" s="52" t="str">
        <f t="shared" si="24"/>
        <v/>
      </c>
      <c r="AV10" s="52" t="str">
        <f t="shared" si="25"/>
        <v/>
      </c>
      <c r="AW10" s="52" t="str">
        <f t="shared" si="26"/>
        <v/>
      </c>
      <c r="AX10" s="52" t="str">
        <f t="shared" si="27"/>
        <v/>
      </c>
      <c r="AY10" s="52" t="str">
        <f t="shared" si="11"/>
        <v/>
      </c>
      <c r="AZ10" s="52"/>
      <c r="BA10" s="50"/>
      <c r="BB10" s="50" t="s">
        <v>656</v>
      </c>
      <c r="BC10" s="50"/>
      <c r="BD10" s="50" t="s">
        <v>70</v>
      </c>
      <c r="BE10" s="52"/>
      <c r="BF10" s="50" t="s">
        <v>71</v>
      </c>
      <c r="BG10" s="50" t="s">
        <v>72</v>
      </c>
      <c r="BH10" s="50" t="s">
        <v>72</v>
      </c>
      <c r="BI10" s="50" t="s">
        <v>68</v>
      </c>
      <c r="BJ10" s="50" t="s">
        <v>71</v>
      </c>
      <c r="BK10" s="50" t="s">
        <v>72</v>
      </c>
      <c r="BL10" s="50" t="s">
        <v>75</v>
      </c>
      <c r="BM10" s="50"/>
      <c r="BN10" s="58" t="s">
        <v>79</v>
      </c>
      <c r="BO10" s="58"/>
      <c r="BP10" s="58"/>
      <c r="BQ10" s="52"/>
      <c r="BR10" s="50" t="s">
        <v>91</v>
      </c>
      <c r="BS10" s="52"/>
      <c r="BT10" s="52"/>
      <c r="BU10" s="50" t="s">
        <v>98</v>
      </c>
      <c r="BV10" s="50" t="s">
        <v>756</v>
      </c>
      <c r="BW10" s="52"/>
      <c r="BX10" s="50" t="s">
        <v>122</v>
      </c>
      <c r="BY10" s="52"/>
      <c r="BZ10" s="52"/>
      <c r="CA10" s="50" t="s">
        <v>134</v>
      </c>
      <c r="CB10" s="50" t="s">
        <v>757</v>
      </c>
      <c r="CC10" s="52"/>
      <c r="CD10" s="50" t="s">
        <v>146</v>
      </c>
      <c r="CE10" s="52"/>
      <c r="CF10" s="52"/>
      <c r="CG10" s="50" t="s">
        <v>144</v>
      </c>
      <c r="CH10" s="50" t="s">
        <v>758</v>
      </c>
      <c r="CI10" s="52"/>
      <c r="CJ10" s="52"/>
      <c r="CK10" s="52"/>
      <c r="CL10" s="55" t="s">
        <v>175</v>
      </c>
      <c r="CM10" s="55" t="s">
        <v>181</v>
      </c>
      <c r="CN10" s="55" t="s">
        <v>187</v>
      </c>
      <c r="CO10" s="55" t="s">
        <v>193</v>
      </c>
      <c r="CP10" s="55" t="s">
        <v>199</v>
      </c>
      <c r="CQ10" s="55" t="s">
        <v>205</v>
      </c>
      <c r="CR10" s="55" t="s">
        <v>711</v>
      </c>
      <c r="CS10" s="55" t="s">
        <v>712</v>
      </c>
      <c r="CT10" s="55" t="s">
        <v>713</v>
      </c>
      <c r="CU10" s="55" t="s">
        <v>714</v>
      </c>
      <c r="CV10" s="55" t="s">
        <v>715</v>
      </c>
      <c r="CW10" s="55" t="s">
        <v>716</v>
      </c>
      <c r="CX10" s="55"/>
      <c r="CY10" s="57"/>
      <c r="CZ10" s="57"/>
      <c r="DA10" s="57"/>
      <c r="DB10" s="57"/>
      <c r="DC10" s="57"/>
      <c r="DD10" s="55" t="s">
        <v>446</v>
      </c>
      <c r="DE10" s="55" t="s">
        <v>434</v>
      </c>
      <c r="DF10" s="55" t="s">
        <v>427</v>
      </c>
      <c r="DG10" s="55" t="s">
        <v>410</v>
      </c>
      <c r="DH10" s="55" t="s">
        <v>403</v>
      </c>
      <c r="DI10" s="55" t="s">
        <v>386</v>
      </c>
      <c r="DJ10" s="55" t="s">
        <v>444</v>
      </c>
      <c r="DK10" s="55" t="s">
        <v>439</v>
      </c>
      <c r="DL10" s="55" t="s">
        <v>420</v>
      </c>
      <c r="DM10" s="55" t="s">
        <v>415</v>
      </c>
      <c r="DN10" s="55" t="s">
        <v>396</v>
      </c>
      <c r="DO10" s="55" t="s">
        <v>391</v>
      </c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7"/>
      <c r="EF10" s="57"/>
      <c r="EG10" s="57"/>
      <c r="EH10" s="50"/>
      <c r="EI10" s="50"/>
      <c r="EJ10" s="50"/>
      <c r="EK10" s="50"/>
      <c r="EL10" s="50"/>
      <c r="EM10" s="50"/>
      <c r="EN10" s="55" t="s">
        <v>587</v>
      </c>
      <c r="EO10" s="55" t="s">
        <v>592</v>
      </c>
      <c r="EP10" s="55" t="s">
        <v>598</v>
      </c>
      <c r="EQ10" s="55" t="s">
        <v>604</v>
      </c>
      <c r="ER10" s="55" t="s">
        <v>610</v>
      </c>
      <c r="ES10" s="55" t="s">
        <v>616</v>
      </c>
      <c r="ET10" s="57"/>
      <c r="EU10" s="57"/>
      <c r="EV10" s="57"/>
      <c r="EW10" s="57"/>
      <c r="EX10" s="57"/>
      <c r="EY10" s="57"/>
      <c r="EZ10" s="50" t="s">
        <v>664</v>
      </c>
      <c r="FA10" s="50" t="s">
        <v>453</v>
      </c>
      <c r="FB10" s="50" t="s">
        <v>453</v>
      </c>
      <c r="FC10" s="50" t="s">
        <v>453</v>
      </c>
      <c r="FD10" s="50" t="s">
        <v>453</v>
      </c>
      <c r="FE10" s="50" t="s">
        <v>668</v>
      </c>
      <c r="FF10" s="50" t="s">
        <v>501</v>
      </c>
      <c r="FG10" s="13"/>
    </row>
    <row r="11" spans="1:163">
      <c r="A11" s="71"/>
      <c r="B11" s="70"/>
      <c r="C11" s="72"/>
      <c r="D11" s="73"/>
      <c r="E11" s="73"/>
      <c r="F11" s="73"/>
      <c r="G11" s="73"/>
      <c r="H11" s="73"/>
      <c r="I11" s="74"/>
      <c r="J11" s="74"/>
      <c r="K11" s="74"/>
      <c r="L11" s="73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5"/>
      <c r="Y11" s="70"/>
      <c r="Z11" s="12">
        <f t="shared" si="2"/>
        <v>0</v>
      </c>
      <c r="AA11" s="14">
        <f t="shared" si="3"/>
        <v>0</v>
      </c>
      <c r="AB11" s="6">
        <f t="shared" si="4"/>
        <v>0</v>
      </c>
      <c r="AC11" s="6">
        <f t="shared" si="5"/>
        <v>0</v>
      </c>
      <c r="AD11" s="6">
        <f t="shared" si="6"/>
        <v>0</v>
      </c>
      <c r="AE11" s="52" t="str">
        <f t="shared" si="7"/>
        <v/>
      </c>
      <c r="AF11" s="52" t="str">
        <f t="shared" si="8"/>
        <v/>
      </c>
      <c r="AG11" s="50" t="str">
        <f t="shared" si="9"/>
        <v/>
      </c>
      <c r="AH11" s="50" t="str">
        <f t="shared" si="10"/>
        <v/>
      </c>
      <c r="AI11" s="52" t="str">
        <f t="shared" si="12"/>
        <v/>
      </c>
      <c r="AJ11" s="52" t="str">
        <f t="shared" si="13"/>
        <v/>
      </c>
      <c r="AK11" s="52" t="str">
        <f t="shared" si="14"/>
        <v/>
      </c>
      <c r="AL11" s="52" t="str">
        <f t="shared" si="15"/>
        <v/>
      </c>
      <c r="AM11" s="52" t="str">
        <f t="shared" si="16"/>
        <v/>
      </c>
      <c r="AN11" s="52" t="str">
        <f t="shared" si="17"/>
        <v/>
      </c>
      <c r="AO11" s="52" t="str">
        <f t="shared" si="18"/>
        <v/>
      </c>
      <c r="AP11" s="52" t="str">
        <f t="shared" si="19"/>
        <v/>
      </c>
      <c r="AQ11" s="52" t="str">
        <f t="shared" si="20"/>
        <v/>
      </c>
      <c r="AR11" s="52" t="str">
        <f t="shared" si="21"/>
        <v/>
      </c>
      <c r="AS11" s="52" t="str">
        <f t="shared" si="22"/>
        <v/>
      </c>
      <c r="AT11" s="52" t="str">
        <f t="shared" si="23"/>
        <v/>
      </c>
      <c r="AU11" s="52" t="str">
        <f t="shared" si="24"/>
        <v/>
      </c>
      <c r="AV11" s="52" t="str">
        <f t="shared" si="25"/>
        <v/>
      </c>
      <c r="AW11" s="52" t="str">
        <f t="shared" si="26"/>
        <v/>
      </c>
      <c r="AX11" s="52" t="str">
        <f t="shared" si="27"/>
        <v/>
      </c>
      <c r="AY11" s="52" t="str">
        <f t="shared" si="11"/>
        <v/>
      </c>
      <c r="AZ11" s="52"/>
      <c r="BA11" s="50"/>
      <c r="BB11" s="50" t="s">
        <v>657</v>
      </c>
      <c r="BC11" s="50"/>
      <c r="BD11" s="50" t="s">
        <v>73</v>
      </c>
      <c r="BE11" s="52"/>
      <c r="BF11" s="50" t="s">
        <v>74</v>
      </c>
      <c r="BG11" s="50" t="s">
        <v>75</v>
      </c>
      <c r="BH11" s="50" t="s">
        <v>75</v>
      </c>
      <c r="BI11" s="50" t="s">
        <v>71</v>
      </c>
      <c r="BJ11" s="50" t="s">
        <v>74</v>
      </c>
      <c r="BK11" s="50" t="s">
        <v>75</v>
      </c>
      <c r="BL11" s="50" t="s">
        <v>83</v>
      </c>
      <c r="BM11" s="50"/>
      <c r="BN11" s="50"/>
      <c r="BO11" s="50"/>
      <c r="BP11" s="50"/>
      <c r="BQ11" s="52"/>
      <c r="BR11" s="52"/>
      <c r="BS11" s="52"/>
      <c r="BT11" s="52"/>
      <c r="BU11" s="52"/>
      <c r="BV11" s="52"/>
      <c r="BW11" s="52"/>
      <c r="BX11" s="50" t="s">
        <v>123</v>
      </c>
      <c r="BY11" s="52"/>
      <c r="BZ11" s="52"/>
      <c r="CA11" s="50" t="s">
        <v>135</v>
      </c>
      <c r="CB11" s="50" t="s">
        <v>759</v>
      </c>
      <c r="CC11" s="52"/>
      <c r="CD11" s="52"/>
      <c r="CE11" s="52"/>
      <c r="CF11" s="52"/>
      <c r="CG11" s="50" t="s">
        <v>149</v>
      </c>
      <c r="CH11" s="52"/>
      <c r="CI11" s="52"/>
      <c r="CJ11" s="52"/>
      <c r="CK11" s="52"/>
      <c r="CL11" s="52"/>
      <c r="CM11" s="57"/>
      <c r="CN11" s="57"/>
      <c r="CO11" s="57"/>
      <c r="CP11" s="57"/>
      <c r="CQ11" s="57"/>
      <c r="CR11" s="55" t="s">
        <v>211</v>
      </c>
      <c r="CS11" s="55" t="s">
        <v>220</v>
      </c>
      <c r="CT11" s="55" t="s">
        <v>229</v>
      </c>
      <c r="CU11" s="55" t="s">
        <v>238</v>
      </c>
      <c r="CV11" s="55" t="s">
        <v>247</v>
      </c>
      <c r="CW11" s="55" t="s">
        <v>256</v>
      </c>
      <c r="CX11" s="55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5" t="s">
        <v>442</v>
      </c>
      <c r="DK11" s="55" t="s">
        <v>437</v>
      </c>
      <c r="DL11" s="55" t="s">
        <v>418</v>
      </c>
      <c r="DM11" s="55" t="s">
        <v>413</v>
      </c>
      <c r="DN11" s="55" t="s">
        <v>394</v>
      </c>
      <c r="DO11" s="55" t="s">
        <v>389</v>
      </c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7"/>
      <c r="EF11" s="50"/>
      <c r="EG11" s="50"/>
      <c r="EH11" s="50"/>
      <c r="EI11" s="50"/>
      <c r="EJ11" s="50"/>
      <c r="EK11" s="50"/>
      <c r="EL11" s="50"/>
      <c r="EM11" s="50"/>
      <c r="EN11" s="55" t="s">
        <v>588</v>
      </c>
      <c r="EO11" s="55" t="s">
        <v>593</v>
      </c>
      <c r="EP11" s="55" t="s">
        <v>599</v>
      </c>
      <c r="EQ11" s="55" t="s">
        <v>605</v>
      </c>
      <c r="ER11" s="55" t="s">
        <v>611</v>
      </c>
      <c r="ES11" s="55" t="s">
        <v>617</v>
      </c>
      <c r="ET11" s="50"/>
      <c r="EU11" s="50"/>
      <c r="EV11" s="50"/>
      <c r="EW11" s="50"/>
      <c r="EX11" s="50"/>
      <c r="EY11" s="50"/>
      <c r="EZ11" s="50"/>
      <c r="FA11" s="50" t="s">
        <v>661</v>
      </c>
      <c r="FB11" s="50" t="s">
        <v>661</v>
      </c>
      <c r="FC11" s="50" t="s">
        <v>665</v>
      </c>
      <c r="FD11" s="50" t="s">
        <v>665</v>
      </c>
      <c r="FE11" s="52"/>
      <c r="FF11" s="50" t="s">
        <v>502</v>
      </c>
      <c r="FG11" s="13"/>
    </row>
    <row r="12" spans="1:163">
      <c r="A12" s="71"/>
      <c r="B12" s="70"/>
      <c r="C12" s="72"/>
      <c r="D12" s="73"/>
      <c r="E12" s="73"/>
      <c r="F12" s="73"/>
      <c r="G12" s="73"/>
      <c r="H12" s="73"/>
      <c r="I12" s="74"/>
      <c r="J12" s="74"/>
      <c r="K12" s="74"/>
      <c r="L12" s="73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5"/>
      <c r="Y12" s="70"/>
      <c r="Z12" s="12">
        <f t="shared" si="2"/>
        <v>0</v>
      </c>
      <c r="AA12" s="14">
        <f t="shared" si="3"/>
        <v>0</v>
      </c>
      <c r="AB12" s="6">
        <f t="shared" si="4"/>
        <v>0</v>
      </c>
      <c r="AC12" s="6">
        <f t="shared" si="5"/>
        <v>0</v>
      </c>
      <c r="AD12" s="6">
        <f t="shared" si="6"/>
        <v>0</v>
      </c>
      <c r="AE12" s="52" t="str">
        <f t="shared" si="7"/>
        <v/>
      </c>
      <c r="AF12" s="52" t="str">
        <f t="shared" si="8"/>
        <v/>
      </c>
      <c r="AG12" s="50" t="str">
        <f t="shared" si="9"/>
        <v/>
      </c>
      <c r="AH12" s="50" t="str">
        <f t="shared" si="10"/>
        <v/>
      </c>
      <c r="AI12" s="52" t="str">
        <f t="shared" si="12"/>
        <v/>
      </c>
      <c r="AJ12" s="52" t="str">
        <f t="shared" si="13"/>
        <v/>
      </c>
      <c r="AK12" s="52" t="str">
        <f t="shared" si="14"/>
        <v/>
      </c>
      <c r="AL12" s="52" t="str">
        <f t="shared" si="15"/>
        <v/>
      </c>
      <c r="AM12" s="52" t="str">
        <f t="shared" si="16"/>
        <v/>
      </c>
      <c r="AN12" s="52" t="str">
        <f t="shared" si="17"/>
        <v/>
      </c>
      <c r="AO12" s="52" t="str">
        <f t="shared" si="18"/>
        <v/>
      </c>
      <c r="AP12" s="52" t="str">
        <f t="shared" si="19"/>
        <v/>
      </c>
      <c r="AQ12" s="52" t="str">
        <f t="shared" si="20"/>
        <v/>
      </c>
      <c r="AR12" s="52" t="str">
        <f t="shared" si="21"/>
        <v/>
      </c>
      <c r="AS12" s="52" t="str">
        <f t="shared" si="22"/>
        <v/>
      </c>
      <c r="AT12" s="52" t="str">
        <f t="shared" si="23"/>
        <v/>
      </c>
      <c r="AU12" s="52" t="str">
        <f t="shared" si="24"/>
        <v/>
      </c>
      <c r="AV12" s="52" t="str">
        <f t="shared" si="25"/>
        <v/>
      </c>
      <c r="AW12" s="52" t="str">
        <f t="shared" si="26"/>
        <v/>
      </c>
      <c r="AX12" s="52" t="str">
        <f t="shared" si="27"/>
        <v/>
      </c>
      <c r="AY12" s="52" t="str">
        <f t="shared" si="11"/>
        <v/>
      </c>
      <c r="AZ12" s="52"/>
      <c r="BA12" s="52"/>
      <c r="BB12" s="52"/>
      <c r="BC12" s="50"/>
      <c r="BD12" s="52"/>
      <c r="BE12" s="52"/>
      <c r="BF12" s="50" t="s">
        <v>76</v>
      </c>
      <c r="BG12" s="50"/>
      <c r="BH12" s="50" t="s">
        <v>77</v>
      </c>
      <c r="BI12" s="50" t="s">
        <v>74</v>
      </c>
      <c r="BJ12" s="50" t="s">
        <v>81</v>
      </c>
      <c r="BK12" s="50" t="s">
        <v>83</v>
      </c>
      <c r="BL12" s="50" t="s">
        <v>78</v>
      </c>
      <c r="BM12" s="50"/>
      <c r="BN12" s="50"/>
      <c r="BO12" s="50"/>
      <c r="BP12" s="50"/>
      <c r="BQ12" s="52"/>
      <c r="BR12" s="52"/>
      <c r="BS12" s="52"/>
      <c r="BT12" s="52"/>
      <c r="BU12" s="52"/>
      <c r="BV12" s="52"/>
      <c r="BW12" s="52"/>
      <c r="BX12" s="50" t="s">
        <v>124</v>
      </c>
      <c r="BY12" s="52"/>
      <c r="BZ12" s="52"/>
      <c r="CA12" s="50" t="s">
        <v>136</v>
      </c>
      <c r="CB12" s="50" t="s">
        <v>760</v>
      </c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7"/>
      <c r="CN12" s="57"/>
      <c r="CO12" s="57"/>
      <c r="CP12" s="57"/>
      <c r="CQ12" s="57"/>
      <c r="CR12" s="55" t="s">
        <v>212</v>
      </c>
      <c r="CS12" s="55" t="s">
        <v>221</v>
      </c>
      <c r="CT12" s="55" t="s">
        <v>230</v>
      </c>
      <c r="CU12" s="55" t="s">
        <v>239</v>
      </c>
      <c r="CV12" s="55" t="s">
        <v>248</v>
      </c>
      <c r="CW12" s="55" t="s">
        <v>257</v>
      </c>
      <c r="CX12" s="55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5" t="s">
        <v>443</v>
      </c>
      <c r="DK12" s="55" t="s">
        <v>438</v>
      </c>
      <c r="DL12" s="55" t="s">
        <v>419</v>
      </c>
      <c r="DM12" s="55" t="s">
        <v>414</v>
      </c>
      <c r="DN12" s="55" t="s">
        <v>395</v>
      </c>
      <c r="DO12" s="55" t="s">
        <v>390</v>
      </c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7"/>
      <c r="EF12" s="50"/>
      <c r="EG12" s="50"/>
      <c r="EH12" s="50"/>
      <c r="EI12" s="50"/>
      <c r="EJ12" s="50"/>
      <c r="EK12" s="50"/>
      <c r="EL12" s="50"/>
      <c r="EM12" s="50"/>
      <c r="EN12" s="55" t="s">
        <v>584</v>
      </c>
      <c r="EO12" s="55" t="s">
        <v>594</v>
      </c>
      <c r="EP12" s="55" t="s">
        <v>600</v>
      </c>
      <c r="EQ12" s="55" t="s">
        <v>606</v>
      </c>
      <c r="ER12" s="55" t="s">
        <v>612</v>
      </c>
      <c r="ES12" s="55" t="s">
        <v>618</v>
      </c>
      <c r="ET12" s="50"/>
      <c r="EU12" s="50"/>
      <c r="EV12" s="50"/>
      <c r="EW12" s="50"/>
      <c r="EX12" s="50"/>
      <c r="EY12" s="50"/>
      <c r="EZ12" s="50"/>
      <c r="FA12" s="50" t="s">
        <v>662</v>
      </c>
      <c r="FB12" s="50" t="s">
        <v>662</v>
      </c>
      <c r="FC12" s="50" t="s">
        <v>666</v>
      </c>
      <c r="FD12" s="50" t="s">
        <v>666</v>
      </c>
      <c r="FE12" s="52"/>
      <c r="FF12" s="50" t="s">
        <v>503</v>
      </c>
      <c r="FG12" s="13"/>
    </row>
    <row r="13" spans="1:163">
      <c r="A13" s="71"/>
      <c r="B13" s="70"/>
      <c r="C13" s="72"/>
      <c r="D13" s="73"/>
      <c r="E13" s="73"/>
      <c r="F13" s="73"/>
      <c r="G13" s="73"/>
      <c r="H13" s="73"/>
      <c r="I13" s="74"/>
      <c r="J13" s="74"/>
      <c r="K13" s="74"/>
      <c r="L13" s="73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5"/>
      <c r="Y13" s="70"/>
      <c r="Z13" s="12">
        <f t="shared" ref="Z13:Z21" si="28">COUNTA(D13:W13)-Y13</f>
        <v>0</v>
      </c>
      <c r="AA13" s="14">
        <f t="shared" si="3"/>
        <v>0</v>
      </c>
      <c r="AB13" s="6">
        <f t="shared" si="4"/>
        <v>0</v>
      </c>
      <c r="AC13" s="6">
        <f t="shared" si="5"/>
        <v>0</v>
      </c>
      <c r="AD13" s="6">
        <f t="shared" si="6"/>
        <v>0</v>
      </c>
      <c r="AE13" s="52" t="str">
        <f t="shared" si="7"/>
        <v/>
      </c>
      <c r="AF13" s="52" t="str">
        <f t="shared" si="8"/>
        <v/>
      </c>
      <c r="AG13" s="50" t="str">
        <f t="shared" si="9"/>
        <v/>
      </c>
      <c r="AH13" s="50" t="str">
        <f t="shared" si="10"/>
        <v/>
      </c>
      <c r="AI13" s="52" t="str">
        <f t="shared" si="12"/>
        <v/>
      </c>
      <c r="AJ13" s="52" t="str">
        <f t="shared" si="13"/>
        <v/>
      </c>
      <c r="AK13" s="52" t="str">
        <f t="shared" si="14"/>
        <v/>
      </c>
      <c r="AL13" s="52" t="str">
        <f t="shared" si="15"/>
        <v/>
      </c>
      <c r="AM13" s="52" t="str">
        <f t="shared" si="16"/>
        <v/>
      </c>
      <c r="AN13" s="52" t="str">
        <f t="shared" si="17"/>
        <v/>
      </c>
      <c r="AO13" s="52" t="str">
        <f t="shared" si="18"/>
        <v/>
      </c>
      <c r="AP13" s="52" t="str">
        <f t="shared" si="19"/>
        <v/>
      </c>
      <c r="AQ13" s="52" t="str">
        <f t="shared" si="20"/>
        <v/>
      </c>
      <c r="AR13" s="52" t="str">
        <f t="shared" si="21"/>
        <v/>
      </c>
      <c r="AS13" s="52" t="str">
        <f t="shared" si="22"/>
        <v/>
      </c>
      <c r="AT13" s="52" t="str">
        <f t="shared" si="23"/>
        <v/>
      </c>
      <c r="AU13" s="52" t="str">
        <f t="shared" si="24"/>
        <v/>
      </c>
      <c r="AV13" s="52" t="str">
        <f t="shared" si="25"/>
        <v/>
      </c>
      <c r="AW13" s="52" t="str">
        <f t="shared" si="26"/>
        <v/>
      </c>
      <c r="AX13" s="52" t="str">
        <f t="shared" si="27"/>
        <v/>
      </c>
      <c r="AY13" s="52" t="str">
        <f t="shared" si="11"/>
        <v/>
      </c>
      <c r="AZ13" s="52"/>
      <c r="BA13" s="52"/>
      <c r="BB13" s="52"/>
      <c r="BC13" s="52"/>
      <c r="BD13" s="52"/>
      <c r="BE13" s="52"/>
      <c r="BF13" s="50"/>
      <c r="BG13" s="50"/>
      <c r="BH13" s="50" t="s">
        <v>78</v>
      </c>
      <c r="BI13" s="52"/>
      <c r="BJ13" s="50" t="s">
        <v>82</v>
      </c>
      <c r="BK13" s="52"/>
      <c r="BL13" s="59" t="s">
        <v>84</v>
      </c>
      <c r="BM13" s="50"/>
      <c r="BN13" s="50"/>
      <c r="BO13" s="50"/>
      <c r="BP13" s="50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7"/>
      <c r="CN13" s="57"/>
      <c r="CO13" s="57"/>
      <c r="CP13" s="57"/>
      <c r="CQ13" s="57"/>
      <c r="CR13" s="55" t="s">
        <v>717</v>
      </c>
      <c r="CS13" s="55" t="s">
        <v>718</v>
      </c>
      <c r="CT13" s="55" t="s">
        <v>719</v>
      </c>
      <c r="CU13" s="55" t="s">
        <v>720</v>
      </c>
      <c r="CV13" s="55" t="s">
        <v>721</v>
      </c>
      <c r="CW13" s="55" t="s">
        <v>722</v>
      </c>
      <c r="CX13" s="55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5" t="s">
        <v>440</v>
      </c>
      <c r="DK13" s="55" t="s">
        <v>435</v>
      </c>
      <c r="DL13" s="55" t="s">
        <v>416</v>
      </c>
      <c r="DM13" s="55" t="s">
        <v>411</v>
      </c>
      <c r="DN13" s="55" t="s">
        <v>392</v>
      </c>
      <c r="DO13" s="55" t="s">
        <v>387</v>
      </c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7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 t="s">
        <v>664</v>
      </c>
      <c r="FB13" s="50" t="s">
        <v>664</v>
      </c>
      <c r="FC13" s="50" t="s">
        <v>668</v>
      </c>
      <c r="FD13" s="50" t="s">
        <v>668</v>
      </c>
      <c r="FE13" s="52"/>
      <c r="FF13" s="50" t="s">
        <v>504</v>
      </c>
      <c r="FG13" s="13"/>
    </row>
    <row r="14" spans="1:163">
      <c r="A14" s="71"/>
      <c r="B14" s="70"/>
      <c r="C14" s="72"/>
      <c r="D14" s="73"/>
      <c r="E14" s="73"/>
      <c r="F14" s="73"/>
      <c r="G14" s="73"/>
      <c r="H14" s="73"/>
      <c r="I14" s="74"/>
      <c r="J14" s="74"/>
      <c r="K14" s="74"/>
      <c r="L14" s="73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5"/>
      <c r="Y14" s="70"/>
      <c r="Z14" s="12">
        <f t="shared" si="28"/>
        <v>0</v>
      </c>
      <c r="AA14" s="14">
        <f t="shared" si="3"/>
        <v>0</v>
      </c>
      <c r="AB14" s="6">
        <f t="shared" si="4"/>
        <v>0</v>
      </c>
      <c r="AC14" s="6">
        <f t="shared" si="5"/>
        <v>0</v>
      </c>
      <c r="AD14" s="6">
        <f t="shared" si="6"/>
        <v>0</v>
      </c>
      <c r="AE14" s="52" t="str">
        <f t="shared" si="7"/>
        <v/>
      </c>
      <c r="AF14" s="52" t="str">
        <f t="shared" si="8"/>
        <v/>
      </c>
      <c r="AG14" s="50" t="str">
        <f t="shared" si="9"/>
        <v/>
      </c>
      <c r="AH14" s="50" t="str">
        <f t="shared" si="10"/>
        <v/>
      </c>
      <c r="AI14" s="52" t="str">
        <f t="shared" si="12"/>
        <v/>
      </c>
      <c r="AJ14" s="52" t="str">
        <f t="shared" si="13"/>
        <v/>
      </c>
      <c r="AK14" s="52" t="str">
        <f t="shared" si="14"/>
        <v/>
      </c>
      <c r="AL14" s="52" t="str">
        <f t="shared" si="15"/>
        <v/>
      </c>
      <c r="AM14" s="52" t="str">
        <f t="shared" si="16"/>
        <v/>
      </c>
      <c r="AN14" s="52" t="str">
        <f t="shared" si="17"/>
        <v/>
      </c>
      <c r="AO14" s="52" t="str">
        <f t="shared" si="18"/>
        <v/>
      </c>
      <c r="AP14" s="52" t="str">
        <f t="shared" si="19"/>
        <v/>
      </c>
      <c r="AQ14" s="52" t="str">
        <f t="shared" si="20"/>
        <v/>
      </c>
      <c r="AR14" s="52" t="str">
        <f t="shared" si="21"/>
        <v/>
      </c>
      <c r="AS14" s="52" t="str">
        <f t="shared" si="22"/>
        <v/>
      </c>
      <c r="AT14" s="52" t="str">
        <f t="shared" si="23"/>
        <v/>
      </c>
      <c r="AU14" s="52" t="str">
        <f t="shared" si="24"/>
        <v/>
      </c>
      <c r="AV14" s="52" t="str">
        <f t="shared" si="25"/>
        <v/>
      </c>
      <c r="AW14" s="52" t="str">
        <f t="shared" si="26"/>
        <v/>
      </c>
      <c r="AX14" s="52" t="str">
        <f t="shared" si="27"/>
        <v/>
      </c>
      <c r="AY14" s="52" t="str">
        <f t="shared" si="11"/>
        <v/>
      </c>
      <c r="AZ14" s="52"/>
      <c r="BA14" s="52"/>
      <c r="BB14" s="52"/>
      <c r="BC14" s="52"/>
      <c r="BD14" s="52"/>
      <c r="BE14" s="52"/>
      <c r="BF14" s="50"/>
      <c r="BG14" s="50"/>
      <c r="BH14" s="58" t="s">
        <v>85</v>
      </c>
      <c r="BI14" s="52"/>
      <c r="BJ14" s="52"/>
      <c r="BK14" s="52"/>
      <c r="BL14" s="52"/>
      <c r="BM14" s="50"/>
      <c r="BN14" s="58"/>
      <c r="BO14" s="58"/>
      <c r="BP14" s="58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7"/>
      <c r="CN14" s="57"/>
      <c r="CO14" s="57"/>
      <c r="CP14" s="57"/>
      <c r="CQ14" s="57"/>
      <c r="CR14" s="55" t="s">
        <v>213</v>
      </c>
      <c r="CS14" s="55" t="s">
        <v>222</v>
      </c>
      <c r="CT14" s="55" t="s">
        <v>231</v>
      </c>
      <c r="CU14" s="55" t="s">
        <v>240</v>
      </c>
      <c r="CV14" s="55" t="s">
        <v>249</v>
      </c>
      <c r="CW14" s="55" t="s">
        <v>258</v>
      </c>
      <c r="CX14" s="55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5" t="s">
        <v>513</v>
      </c>
      <c r="DK14" s="55" t="s">
        <v>514</v>
      </c>
      <c r="DL14" s="55" t="s">
        <v>515</v>
      </c>
      <c r="DM14" s="55" t="s">
        <v>516</v>
      </c>
      <c r="DN14" s="55" t="s">
        <v>517</v>
      </c>
      <c r="DO14" s="55" t="s">
        <v>518</v>
      </c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7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2"/>
      <c r="FC14" s="52"/>
      <c r="FD14" s="52"/>
      <c r="FE14" s="52"/>
      <c r="FF14" s="52"/>
      <c r="FG14" s="13"/>
    </row>
    <row r="15" spans="1:163">
      <c r="A15" s="71"/>
      <c r="B15" s="70"/>
      <c r="C15" s="72"/>
      <c r="D15" s="73"/>
      <c r="E15" s="73"/>
      <c r="F15" s="73"/>
      <c r="G15" s="73"/>
      <c r="H15" s="73"/>
      <c r="I15" s="74"/>
      <c r="J15" s="74"/>
      <c r="K15" s="74"/>
      <c r="L15" s="73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5"/>
      <c r="Y15" s="70"/>
      <c r="Z15" s="12">
        <f t="shared" si="28"/>
        <v>0</v>
      </c>
      <c r="AA15" s="14">
        <f t="shared" si="3"/>
        <v>0</v>
      </c>
      <c r="AB15" s="6">
        <f t="shared" si="4"/>
        <v>0</v>
      </c>
      <c r="AC15" s="6">
        <f t="shared" si="5"/>
        <v>0</v>
      </c>
      <c r="AD15" s="6">
        <f t="shared" si="6"/>
        <v>0</v>
      </c>
      <c r="AE15" s="52" t="str">
        <f t="shared" si="7"/>
        <v/>
      </c>
      <c r="AF15" s="52" t="str">
        <f t="shared" si="8"/>
        <v/>
      </c>
      <c r="AG15" s="50" t="str">
        <f t="shared" si="9"/>
        <v/>
      </c>
      <c r="AH15" s="50" t="str">
        <f t="shared" si="10"/>
        <v/>
      </c>
      <c r="AI15" s="52" t="str">
        <f t="shared" si="12"/>
        <v/>
      </c>
      <c r="AJ15" s="52" t="str">
        <f t="shared" si="13"/>
        <v/>
      </c>
      <c r="AK15" s="52" t="str">
        <f t="shared" si="14"/>
        <v/>
      </c>
      <c r="AL15" s="52" t="str">
        <f t="shared" si="15"/>
        <v/>
      </c>
      <c r="AM15" s="52" t="str">
        <f t="shared" si="16"/>
        <v/>
      </c>
      <c r="AN15" s="52" t="str">
        <f t="shared" si="17"/>
        <v/>
      </c>
      <c r="AO15" s="52" t="str">
        <f t="shared" si="18"/>
        <v/>
      </c>
      <c r="AP15" s="52" t="str">
        <f t="shared" si="19"/>
        <v/>
      </c>
      <c r="AQ15" s="52" t="str">
        <f t="shared" si="20"/>
        <v/>
      </c>
      <c r="AR15" s="52" t="str">
        <f t="shared" si="21"/>
        <v/>
      </c>
      <c r="AS15" s="52" t="str">
        <f t="shared" si="22"/>
        <v/>
      </c>
      <c r="AT15" s="52" t="str">
        <f t="shared" si="23"/>
        <v/>
      </c>
      <c r="AU15" s="52" t="str">
        <f t="shared" si="24"/>
        <v/>
      </c>
      <c r="AV15" s="52" t="str">
        <f t="shared" si="25"/>
        <v/>
      </c>
      <c r="AW15" s="52" t="str">
        <f t="shared" si="26"/>
        <v/>
      </c>
      <c r="AX15" s="52" t="str">
        <f t="shared" si="27"/>
        <v/>
      </c>
      <c r="AY15" s="52" t="str">
        <f t="shared" si="11"/>
        <v/>
      </c>
      <c r="AZ15" s="52"/>
      <c r="BA15" s="52"/>
      <c r="BB15" s="52"/>
      <c r="BC15" s="52"/>
      <c r="BD15" s="52"/>
      <c r="BE15" s="52"/>
      <c r="BF15" s="52"/>
      <c r="BG15" s="52"/>
      <c r="BH15" s="58" t="s">
        <v>84</v>
      </c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7"/>
      <c r="CN15" s="57"/>
      <c r="CO15" s="57"/>
      <c r="CP15" s="57"/>
      <c r="CQ15" s="57"/>
      <c r="CR15" s="55" t="s">
        <v>214</v>
      </c>
      <c r="CS15" s="55" t="s">
        <v>223</v>
      </c>
      <c r="CT15" s="55" t="s">
        <v>232</v>
      </c>
      <c r="CU15" s="55" t="s">
        <v>241</v>
      </c>
      <c r="CV15" s="55" t="s">
        <v>250</v>
      </c>
      <c r="CW15" s="55" t="s">
        <v>259</v>
      </c>
      <c r="CX15" s="55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5" t="s">
        <v>441</v>
      </c>
      <c r="DK15" s="55" t="s">
        <v>436</v>
      </c>
      <c r="DL15" s="55" t="s">
        <v>417</v>
      </c>
      <c r="DM15" s="55" t="s">
        <v>412</v>
      </c>
      <c r="DN15" s="55" t="s">
        <v>393</v>
      </c>
      <c r="DO15" s="55" t="s">
        <v>388</v>
      </c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7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2"/>
      <c r="FE15" s="52"/>
      <c r="FF15" s="52"/>
      <c r="FG15" s="13"/>
    </row>
    <row r="16" spans="1:163">
      <c r="A16" s="71"/>
      <c r="B16" s="70"/>
      <c r="C16" s="72"/>
      <c r="D16" s="73"/>
      <c r="E16" s="73"/>
      <c r="F16" s="73"/>
      <c r="G16" s="73"/>
      <c r="H16" s="73"/>
      <c r="I16" s="74"/>
      <c r="J16" s="74"/>
      <c r="K16" s="74"/>
      <c r="L16" s="73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5"/>
      <c r="Y16" s="70"/>
      <c r="Z16" s="12">
        <f t="shared" si="28"/>
        <v>0</v>
      </c>
      <c r="AA16" s="14">
        <f t="shared" si="3"/>
        <v>0</v>
      </c>
      <c r="AB16" s="6">
        <f t="shared" si="4"/>
        <v>0</v>
      </c>
      <c r="AC16" s="6">
        <f t="shared" si="5"/>
        <v>0</v>
      </c>
      <c r="AD16" s="6">
        <f t="shared" si="6"/>
        <v>0</v>
      </c>
      <c r="AE16" s="52" t="str">
        <f t="shared" si="7"/>
        <v/>
      </c>
      <c r="AF16" s="52" t="str">
        <f t="shared" si="8"/>
        <v/>
      </c>
      <c r="AG16" s="50" t="str">
        <f t="shared" si="9"/>
        <v/>
      </c>
      <c r="AH16" s="50" t="str">
        <f t="shared" si="10"/>
        <v/>
      </c>
      <c r="AI16" s="52" t="str">
        <f t="shared" si="12"/>
        <v/>
      </c>
      <c r="AJ16" s="52" t="str">
        <f t="shared" si="13"/>
        <v/>
      </c>
      <c r="AK16" s="52" t="str">
        <f t="shared" si="14"/>
        <v/>
      </c>
      <c r="AL16" s="52" t="str">
        <f t="shared" si="15"/>
        <v/>
      </c>
      <c r="AM16" s="52" t="str">
        <f t="shared" si="16"/>
        <v/>
      </c>
      <c r="AN16" s="52" t="str">
        <f t="shared" si="17"/>
        <v/>
      </c>
      <c r="AO16" s="52" t="str">
        <f t="shared" si="18"/>
        <v/>
      </c>
      <c r="AP16" s="52" t="str">
        <f t="shared" si="19"/>
        <v/>
      </c>
      <c r="AQ16" s="52" t="str">
        <f t="shared" si="20"/>
        <v/>
      </c>
      <c r="AR16" s="52" t="str">
        <f t="shared" si="21"/>
        <v/>
      </c>
      <c r="AS16" s="52" t="str">
        <f t="shared" si="22"/>
        <v/>
      </c>
      <c r="AT16" s="52" t="str">
        <f t="shared" si="23"/>
        <v/>
      </c>
      <c r="AU16" s="52" t="str">
        <f t="shared" si="24"/>
        <v/>
      </c>
      <c r="AV16" s="52" t="str">
        <f t="shared" si="25"/>
        <v/>
      </c>
      <c r="AW16" s="52" t="str">
        <f t="shared" si="26"/>
        <v/>
      </c>
      <c r="AX16" s="52" t="str">
        <f t="shared" si="27"/>
        <v/>
      </c>
      <c r="AY16" s="52" t="str">
        <f t="shared" si="11"/>
        <v/>
      </c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5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2"/>
      <c r="FC16" s="52"/>
      <c r="FD16" s="52"/>
      <c r="FE16" s="52"/>
      <c r="FF16" s="52"/>
      <c r="FG16" s="13"/>
    </row>
    <row r="17" spans="1:163">
      <c r="A17" s="71"/>
      <c r="B17" s="70"/>
      <c r="C17" s="72"/>
      <c r="D17" s="73"/>
      <c r="E17" s="73"/>
      <c r="F17" s="73"/>
      <c r="G17" s="73"/>
      <c r="H17" s="73"/>
      <c r="I17" s="74"/>
      <c r="J17" s="74"/>
      <c r="K17" s="74"/>
      <c r="L17" s="73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5"/>
      <c r="Y17" s="70"/>
      <c r="Z17" s="12">
        <f t="shared" si="28"/>
        <v>0</v>
      </c>
      <c r="AA17" s="14">
        <f t="shared" si="3"/>
        <v>0</v>
      </c>
      <c r="AB17" s="6">
        <f t="shared" si="4"/>
        <v>0</v>
      </c>
      <c r="AC17" s="6">
        <f t="shared" si="5"/>
        <v>0</v>
      </c>
      <c r="AD17" s="6">
        <f t="shared" si="6"/>
        <v>0</v>
      </c>
      <c r="AE17" s="52" t="str">
        <f t="shared" si="7"/>
        <v/>
      </c>
      <c r="AF17" s="52" t="str">
        <f t="shared" si="8"/>
        <v/>
      </c>
      <c r="AG17" s="50" t="str">
        <f t="shared" si="9"/>
        <v/>
      </c>
      <c r="AH17" s="50" t="str">
        <f t="shared" si="10"/>
        <v/>
      </c>
      <c r="AI17" s="52" t="str">
        <f t="shared" si="12"/>
        <v/>
      </c>
      <c r="AJ17" s="52" t="str">
        <f t="shared" si="13"/>
        <v/>
      </c>
      <c r="AK17" s="52" t="str">
        <f t="shared" si="14"/>
        <v/>
      </c>
      <c r="AL17" s="52" t="str">
        <f t="shared" si="15"/>
        <v/>
      </c>
      <c r="AM17" s="52" t="str">
        <f t="shared" si="16"/>
        <v/>
      </c>
      <c r="AN17" s="52" t="str">
        <f t="shared" si="17"/>
        <v/>
      </c>
      <c r="AO17" s="52" t="str">
        <f t="shared" si="18"/>
        <v/>
      </c>
      <c r="AP17" s="52" t="str">
        <f t="shared" si="19"/>
        <v/>
      </c>
      <c r="AQ17" s="52" t="str">
        <f t="shared" si="20"/>
        <v/>
      </c>
      <c r="AR17" s="52" t="str">
        <f t="shared" si="21"/>
        <v/>
      </c>
      <c r="AS17" s="52" t="str">
        <f t="shared" si="22"/>
        <v/>
      </c>
      <c r="AT17" s="52" t="str">
        <f t="shared" si="23"/>
        <v/>
      </c>
      <c r="AU17" s="52" t="str">
        <f t="shared" si="24"/>
        <v/>
      </c>
      <c r="AV17" s="52" t="str">
        <f t="shared" si="25"/>
        <v/>
      </c>
      <c r="AW17" s="52" t="str">
        <f t="shared" si="26"/>
        <v/>
      </c>
      <c r="AX17" s="52" t="str">
        <f t="shared" si="27"/>
        <v/>
      </c>
      <c r="AY17" s="52" t="str">
        <f t="shared" si="11"/>
        <v/>
      </c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5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2"/>
      <c r="FC17" s="52"/>
      <c r="FD17" s="52"/>
      <c r="FE17" s="52"/>
      <c r="FF17" s="52"/>
      <c r="FG17" s="13"/>
    </row>
    <row r="18" spans="1:163">
      <c r="A18" s="71"/>
      <c r="B18" s="70"/>
      <c r="C18" s="72"/>
      <c r="D18" s="73"/>
      <c r="E18" s="73"/>
      <c r="F18" s="73"/>
      <c r="G18" s="73"/>
      <c r="H18" s="73"/>
      <c r="I18" s="74"/>
      <c r="J18" s="74"/>
      <c r="K18" s="74"/>
      <c r="L18" s="73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5"/>
      <c r="Y18" s="70"/>
      <c r="Z18" s="12">
        <f t="shared" si="28"/>
        <v>0</v>
      </c>
      <c r="AA18" s="14">
        <f t="shared" si="3"/>
        <v>0</v>
      </c>
      <c r="AB18" s="6">
        <f t="shared" si="4"/>
        <v>0</v>
      </c>
      <c r="AC18" s="6">
        <f t="shared" si="5"/>
        <v>0</v>
      </c>
      <c r="AD18" s="6">
        <f t="shared" si="6"/>
        <v>0</v>
      </c>
      <c r="AE18" s="52" t="str">
        <f t="shared" si="7"/>
        <v/>
      </c>
      <c r="AF18" s="52" t="str">
        <f t="shared" si="8"/>
        <v/>
      </c>
      <c r="AG18" s="50" t="str">
        <f t="shared" si="9"/>
        <v/>
      </c>
      <c r="AH18" s="50" t="str">
        <f t="shared" si="10"/>
        <v/>
      </c>
      <c r="AI18" s="52" t="str">
        <f t="shared" si="12"/>
        <v/>
      </c>
      <c r="AJ18" s="52" t="str">
        <f t="shared" si="13"/>
        <v/>
      </c>
      <c r="AK18" s="52" t="str">
        <f t="shared" si="14"/>
        <v/>
      </c>
      <c r="AL18" s="52" t="str">
        <f t="shared" si="15"/>
        <v/>
      </c>
      <c r="AM18" s="52" t="str">
        <f t="shared" si="16"/>
        <v/>
      </c>
      <c r="AN18" s="52" t="str">
        <f t="shared" si="17"/>
        <v/>
      </c>
      <c r="AO18" s="52" t="str">
        <f t="shared" si="18"/>
        <v/>
      </c>
      <c r="AP18" s="52" t="str">
        <f t="shared" si="19"/>
        <v/>
      </c>
      <c r="AQ18" s="52" t="str">
        <f t="shared" si="20"/>
        <v/>
      </c>
      <c r="AR18" s="52" t="str">
        <f t="shared" si="21"/>
        <v/>
      </c>
      <c r="AS18" s="52" t="str">
        <f t="shared" si="22"/>
        <v/>
      </c>
      <c r="AT18" s="52" t="str">
        <f t="shared" si="23"/>
        <v/>
      </c>
      <c r="AU18" s="52" t="str">
        <f t="shared" si="24"/>
        <v/>
      </c>
      <c r="AV18" s="52" t="str">
        <f t="shared" si="25"/>
        <v/>
      </c>
      <c r="AW18" s="52" t="str">
        <f t="shared" si="26"/>
        <v/>
      </c>
      <c r="AX18" s="52" t="str">
        <f t="shared" si="27"/>
        <v/>
      </c>
      <c r="AY18" s="52" t="str">
        <f t="shared" si="11"/>
        <v/>
      </c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2"/>
      <c r="FC18" s="52"/>
      <c r="FD18" s="52"/>
      <c r="FE18" s="52"/>
      <c r="FF18" s="52"/>
      <c r="FG18" s="13"/>
    </row>
    <row r="19" spans="1:163">
      <c r="A19" s="71"/>
      <c r="B19" s="70"/>
      <c r="C19" s="72"/>
      <c r="D19" s="73"/>
      <c r="E19" s="73"/>
      <c r="F19" s="73"/>
      <c r="G19" s="73"/>
      <c r="H19" s="73"/>
      <c r="I19" s="74"/>
      <c r="J19" s="74"/>
      <c r="K19" s="74"/>
      <c r="L19" s="73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5"/>
      <c r="Y19" s="70"/>
      <c r="Z19" s="12">
        <f t="shared" si="28"/>
        <v>0</v>
      </c>
      <c r="AA19" s="14">
        <f t="shared" si="3"/>
        <v>0</v>
      </c>
      <c r="AB19" s="6">
        <f t="shared" si="4"/>
        <v>0</v>
      </c>
      <c r="AC19" s="6">
        <f t="shared" si="5"/>
        <v>0</v>
      </c>
      <c r="AD19" s="6">
        <f t="shared" si="6"/>
        <v>0</v>
      </c>
      <c r="AE19" s="52" t="str">
        <f t="shared" si="7"/>
        <v/>
      </c>
      <c r="AF19" s="52" t="str">
        <f t="shared" si="8"/>
        <v/>
      </c>
      <c r="AG19" s="50" t="str">
        <f t="shared" si="9"/>
        <v/>
      </c>
      <c r="AH19" s="50" t="str">
        <f t="shared" si="10"/>
        <v/>
      </c>
      <c r="AI19" s="52" t="str">
        <f t="shared" si="12"/>
        <v/>
      </c>
      <c r="AJ19" s="52" t="str">
        <f t="shared" si="13"/>
        <v/>
      </c>
      <c r="AK19" s="52" t="str">
        <f t="shared" si="14"/>
        <v/>
      </c>
      <c r="AL19" s="52" t="str">
        <f t="shared" si="15"/>
        <v/>
      </c>
      <c r="AM19" s="52" t="str">
        <f t="shared" si="16"/>
        <v/>
      </c>
      <c r="AN19" s="52" t="str">
        <f t="shared" si="17"/>
        <v/>
      </c>
      <c r="AO19" s="52" t="str">
        <f t="shared" si="18"/>
        <v/>
      </c>
      <c r="AP19" s="52" t="str">
        <f t="shared" si="19"/>
        <v/>
      </c>
      <c r="AQ19" s="52" t="str">
        <f t="shared" si="20"/>
        <v/>
      </c>
      <c r="AR19" s="52" t="str">
        <f t="shared" si="21"/>
        <v/>
      </c>
      <c r="AS19" s="52" t="str">
        <f t="shared" si="22"/>
        <v/>
      </c>
      <c r="AT19" s="52" t="str">
        <f t="shared" si="23"/>
        <v/>
      </c>
      <c r="AU19" s="52" t="str">
        <f t="shared" si="24"/>
        <v/>
      </c>
      <c r="AV19" s="52" t="str">
        <f t="shared" si="25"/>
        <v/>
      </c>
      <c r="AW19" s="52" t="str">
        <f t="shared" si="26"/>
        <v/>
      </c>
      <c r="AX19" s="52" t="str">
        <f t="shared" si="27"/>
        <v/>
      </c>
      <c r="AY19" s="52" t="str">
        <f t="shared" si="11"/>
        <v/>
      </c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2"/>
      <c r="FC19" s="52"/>
      <c r="FD19" s="52"/>
      <c r="FE19" s="52"/>
      <c r="FF19" s="52"/>
      <c r="FG19" s="13"/>
    </row>
    <row r="20" spans="1:163">
      <c r="A20" s="71"/>
      <c r="B20" s="70"/>
      <c r="C20" s="72"/>
      <c r="D20" s="73"/>
      <c r="E20" s="73"/>
      <c r="F20" s="73"/>
      <c r="G20" s="73"/>
      <c r="H20" s="73"/>
      <c r="I20" s="74"/>
      <c r="J20" s="74"/>
      <c r="K20" s="74"/>
      <c r="L20" s="73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5"/>
      <c r="Y20" s="70"/>
      <c r="Z20" s="12">
        <f t="shared" si="28"/>
        <v>0</v>
      </c>
      <c r="AA20" s="14">
        <f t="shared" si="3"/>
        <v>0</v>
      </c>
      <c r="AB20" s="6">
        <f t="shared" si="4"/>
        <v>0</v>
      </c>
      <c r="AC20" s="6">
        <f t="shared" si="5"/>
        <v>0</v>
      </c>
      <c r="AD20" s="6">
        <f t="shared" si="6"/>
        <v>0</v>
      </c>
      <c r="AE20" s="52" t="str">
        <f t="shared" si="7"/>
        <v/>
      </c>
      <c r="AF20" s="52" t="str">
        <f t="shared" si="8"/>
        <v/>
      </c>
      <c r="AG20" s="50" t="str">
        <f t="shared" si="9"/>
        <v/>
      </c>
      <c r="AH20" s="50" t="str">
        <f t="shared" si="10"/>
        <v/>
      </c>
      <c r="AI20" s="52" t="str">
        <f t="shared" si="12"/>
        <v/>
      </c>
      <c r="AJ20" s="52" t="str">
        <f t="shared" si="13"/>
        <v/>
      </c>
      <c r="AK20" s="52" t="str">
        <f t="shared" si="14"/>
        <v/>
      </c>
      <c r="AL20" s="52" t="str">
        <f t="shared" si="15"/>
        <v/>
      </c>
      <c r="AM20" s="52" t="str">
        <f t="shared" si="16"/>
        <v/>
      </c>
      <c r="AN20" s="52" t="str">
        <f t="shared" si="17"/>
        <v/>
      </c>
      <c r="AO20" s="52" t="str">
        <f t="shared" si="18"/>
        <v/>
      </c>
      <c r="AP20" s="52" t="str">
        <f t="shared" si="19"/>
        <v/>
      </c>
      <c r="AQ20" s="52" t="str">
        <f t="shared" si="20"/>
        <v/>
      </c>
      <c r="AR20" s="52" t="str">
        <f t="shared" si="21"/>
        <v/>
      </c>
      <c r="AS20" s="52" t="str">
        <f t="shared" si="22"/>
        <v/>
      </c>
      <c r="AT20" s="52" t="str">
        <f t="shared" si="23"/>
        <v/>
      </c>
      <c r="AU20" s="52" t="str">
        <f t="shared" si="24"/>
        <v/>
      </c>
      <c r="AV20" s="52" t="str">
        <f t="shared" si="25"/>
        <v/>
      </c>
      <c r="AW20" s="52" t="str">
        <f t="shared" si="26"/>
        <v/>
      </c>
      <c r="AX20" s="52" t="str">
        <f t="shared" si="27"/>
        <v/>
      </c>
      <c r="AY20" s="52" t="str">
        <f t="shared" si="11"/>
        <v/>
      </c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13"/>
    </row>
    <row r="21" spans="1:163">
      <c r="A21" s="71"/>
      <c r="B21" s="70"/>
      <c r="C21" s="72"/>
      <c r="D21" s="73"/>
      <c r="E21" s="73"/>
      <c r="F21" s="73"/>
      <c r="G21" s="73"/>
      <c r="H21" s="73"/>
      <c r="I21" s="74"/>
      <c r="J21" s="74"/>
      <c r="K21" s="74"/>
      <c r="L21" s="73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5"/>
      <c r="Y21" s="70"/>
      <c r="Z21" s="12">
        <f t="shared" si="28"/>
        <v>0</v>
      </c>
      <c r="AA21" s="14">
        <f t="shared" si="3"/>
        <v>0</v>
      </c>
      <c r="AB21" s="6">
        <f t="shared" si="4"/>
        <v>0</v>
      </c>
      <c r="AC21" s="6">
        <f t="shared" si="5"/>
        <v>0</v>
      </c>
      <c r="AD21" s="6">
        <f t="shared" si="6"/>
        <v>0</v>
      </c>
      <c r="AE21" s="52" t="str">
        <f t="shared" si="7"/>
        <v/>
      </c>
      <c r="AF21" s="52" t="str">
        <f t="shared" si="8"/>
        <v/>
      </c>
      <c r="AG21" s="50" t="str">
        <f t="shared" si="9"/>
        <v/>
      </c>
      <c r="AH21" s="50" t="str">
        <f t="shared" si="10"/>
        <v/>
      </c>
      <c r="AI21" s="52" t="str">
        <f t="shared" si="12"/>
        <v/>
      </c>
      <c r="AJ21" s="52" t="str">
        <f t="shared" si="13"/>
        <v/>
      </c>
      <c r="AK21" s="52" t="str">
        <f t="shared" si="14"/>
        <v/>
      </c>
      <c r="AL21" s="52" t="str">
        <f t="shared" si="15"/>
        <v/>
      </c>
      <c r="AM21" s="52" t="str">
        <f t="shared" si="16"/>
        <v/>
      </c>
      <c r="AN21" s="52" t="str">
        <f t="shared" si="17"/>
        <v/>
      </c>
      <c r="AO21" s="52" t="str">
        <f t="shared" si="18"/>
        <v/>
      </c>
      <c r="AP21" s="52" t="str">
        <f t="shared" si="19"/>
        <v/>
      </c>
      <c r="AQ21" s="52" t="str">
        <f t="shared" si="20"/>
        <v/>
      </c>
      <c r="AR21" s="52" t="str">
        <f t="shared" si="21"/>
        <v/>
      </c>
      <c r="AS21" s="52" t="str">
        <f t="shared" si="22"/>
        <v/>
      </c>
      <c r="AT21" s="52" t="str">
        <f t="shared" si="23"/>
        <v/>
      </c>
      <c r="AU21" s="52" t="str">
        <f t="shared" si="24"/>
        <v/>
      </c>
      <c r="AV21" s="52" t="str">
        <f t="shared" si="25"/>
        <v/>
      </c>
      <c r="AW21" s="52" t="str">
        <f t="shared" si="26"/>
        <v/>
      </c>
      <c r="AX21" s="52" t="str">
        <f t="shared" si="27"/>
        <v/>
      </c>
      <c r="AY21" s="52" t="str">
        <f t="shared" si="11"/>
        <v/>
      </c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13"/>
    </row>
    <row r="22" spans="1:163">
      <c r="A22" s="71"/>
      <c r="B22" s="70"/>
      <c r="C22" s="72"/>
      <c r="D22" s="73"/>
      <c r="E22" s="73"/>
      <c r="F22" s="73"/>
      <c r="G22" s="73"/>
      <c r="H22" s="73"/>
      <c r="I22" s="74"/>
      <c r="J22" s="74"/>
      <c r="K22" s="74"/>
      <c r="L22" s="73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5"/>
      <c r="Y22" s="70"/>
      <c r="Z22" s="12"/>
      <c r="AA22" s="14">
        <f t="shared" si="3"/>
        <v>0</v>
      </c>
      <c r="AB22" s="6">
        <f t="shared" si="4"/>
        <v>0</v>
      </c>
      <c r="AC22" s="6">
        <f t="shared" si="5"/>
        <v>0</v>
      </c>
      <c r="AD22" s="6">
        <f t="shared" si="6"/>
        <v>0</v>
      </c>
      <c r="AE22" s="52" t="str">
        <f t="shared" si="7"/>
        <v/>
      </c>
      <c r="AF22" s="52" t="str">
        <f t="shared" si="8"/>
        <v/>
      </c>
      <c r="AG22" s="50" t="str">
        <f t="shared" si="9"/>
        <v/>
      </c>
      <c r="AH22" s="50" t="str">
        <f t="shared" si="10"/>
        <v/>
      </c>
      <c r="AI22" s="52" t="str">
        <f t="shared" si="12"/>
        <v/>
      </c>
      <c r="AJ22" s="52" t="str">
        <f t="shared" si="13"/>
        <v/>
      </c>
      <c r="AK22" s="52" t="str">
        <f t="shared" si="14"/>
        <v/>
      </c>
      <c r="AL22" s="52" t="str">
        <f t="shared" si="15"/>
        <v/>
      </c>
      <c r="AM22" s="52" t="str">
        <f t="shared" si="16"/>
        <v/>
      </c>
      <c r="AN22" s="52" t="str">
        <f t="shared" si="17"/>
        <v/>
      </c>
      <c r="AO22" s="52" t="str">
        <f t="shared" si="18"/>
        <v/>
      </c>
      <c r="AP22" s="52" t="str">
        <f t="shared" si="19"/>
        <v/>
      </c>
      <c r="AQ22" s="52" t="str">
        <f t="shared" si="20"/>
        <v/>
      </c>
      <c r="AR22" s="52" t="str">
        <f t="shared" si="21"/>
        <v/>
      </c>
      <c r="AS22" s="52" t="str">
        <f t="shared" si="22"/>
        <v/>
      </c>
      <c r="AT22" s="52" t="str">
        <f t="shared" si="23"/>
        <v/>
      </c>
      <c r="AU22" s="52" t="str">
        <f t="shared" si="24"/>
        <v/>
      </c>
      <c r="AV22" s="52" t="str">
        <f t="shared" si="25"/>
        <v/>
      </c>
      <c r="AW22" s="52" t="str">
        <f t="shared" si="26"/>
        <v/>
      </c>
      <c r="AX22" s="52" t="str">
        <f t="shared" si="27"/>
        <v/>
      </c>
      <c r="AY22" s="52" t="str">
        <f t="shared" si="11"/>
        <v/>
      </c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13"/>
    </row>
    <row r="23" spans="1:163">
      <c r="A23" s="71"/>
      <c r="B23" s="70"/>
      <c r="C23" s="72"/>
      <c r="D23" s="73"/>
      <c r="E23" s="73"/>
      <c r="F23" s="73"/>
      <c r="G23" s="73"/>
      <c r="H23" s="73"/>
      <c r="I23" s="74"/>
      <c r="J23" s="74"/>
      <c r="K23" s="74"/>
      <c r="L23" s="73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5"/>
      <c r="Y23" s="70"/>
      <c r="Z23" s="12">
        <f t="shared" si="2"/>
        <v>0</v>
      </c>
      <c r="AA23" s="14">
        <f t="shared" si="3"/>
        <v>0</v>
      </c>
      <c r="AB23" s="6">
        <f t="shared" si="4"/>
        <v>0</v>
      </c>
      <c r="AC23" s="6">
        <f t="shared" si="5"/>
        <v>0</v>
      </c>
      <c r="AD23" s="6">
        <f t="shared" si="6"/>
        <v>0</v>
      </c>
      <c r="AE23" s="52" t="str">
        <f t="shared" si="7"/>
        <v/>
      </c>
      <c r="AF23" s="52" t="str">
        <f t="shared" si="8"/>
        <v/>
      </c>
      <c r="AG23" s="50" t="str">
        <f t="shared" si="9"/>
        <v/>
      </c>
      <c r="AH23" s="50" t="str">
        <f t="shared" si="10"/>
        <v/>
      </c>
      <c r="AI23" s="52" t="str">
        <f t="shared" si="12"/>
        <v/>
      </c>
      <c r="AJ23" s="52" t="str">
        <f t="shared" si="13"/>
        <v/>
      </c>
      <c r="AK23" s="52" t="str">
        <f t="shared" si="14"/>
        <v/>
      </c>
      <c r="AL23" s="52" t="str">
        <f t="shared" si="15"/>
        <v/>
      </c>
      <c r="AM23" s="52" t="str">
        <f t="shared" si="16"/>
        <v/>
      </c>
      <c r="AN23" s="52" t="str">
        <f t="shared" si="17"/>
        <v/>
      </c>
      <c r="AO23" s="52" t="str">
        <f t="shared" si="18"/>
        <v/>
      </c>
      <c r="AP23" s="52" t="str">
        <f t="shared" si="19"/>
        <v/>
      </c>
      <c r="AQ23" s="52" t="str">
        <f t="shared" si="20"/>
        <v/>
      </c>
      <c r="AR23" s="52" t="str">
        <f t="shared" si="21"/>
        <v/>
      </c>
      <c r="AS23" s="52" t="str">
        <f t="shared" si="22"/>
        <v/>
      </c>
      <c r="AT23" s="52" t="str">
        <f t="shared" si="23"/>
        <v/>
      </c>
      <c r="AU23" s="52" t="str">
        <f t="shared" si="24"/>
        <v/>
      </c>
      <c r="AV23" s="52" t="str">
        <f t="shared" si="25"/>
        <v/>
      </c>
      <c r="AW23" s="52" t="str">
        <f t="shared" si="26"/>
        <v/>
      </c>
      <c r="AX23" s="52" t="str">
        <f t="shared" si="27"/>
        <v/>
      </c>
      <c r="AY23" s="52" t="str">
        <f t="shared" si="11"/>
        <v/>
      </c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13"/>
    </row>
    <row r="24" spans="1:163">
      <c r="A24" s="71"/>
      <c r="B24" s="70"/>
      <c r="C24" s="72"/>
      <c r="D24" s="73"/>
      <c r="E24" s="73"/>
      <c r="F24" s="73"/>
      <c r="G24" s="73"/>
      <c r="H24" s="73"/>
      <c r="I24" s="74"/>
      <c r="J24" s="74"/>
      <c r="K24" s="74"/>
      <c r="L24" s="73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5"/>
      <c r="Y24" s="70"/>
      <c r="Z24" s="12">
        <f t="shared" si="2"/>
        <v>0</v>
      </c>
      <c r="AA24" s="14">
        <f t="shared" si="3"/>
        <v>0</v>
      </c>
      <c r="AB24" s="6">
        <f t="shared" si="4"/>
        <v>0</v>
      </c>
      <c r="AC24" s="6">
        <f t="shared" si="5"/>
        <v>0</v>
      </c>
      <c r="AD24" s="6">
        <f t="shared" si="6"/>
        <v>0</v>
      </c>
      <c r="AE24" s="52" t="str">
        <f t="shared" si="7"/>
        <v/>
      </c>
      <c r="AF24" s="52" t="str">
        <f t="shared" si="8"/>
        <v/>
      </c>
      <c r="AG24" s="50" t="str">
        <f t="shared" si="9"/>
        <v/>
      </c>
      <c r="AH24" s="50" t="str">
        <f t="shared" si="10"/>
        <v/>
      </c>
      <c r="AI24" s="52" t="str">
        <f t="shared" si="12"/>
        <v/>
      </c>
      <c r="AJ24" s="52" t="str">
        <f t="shared" si="13"/>
        <v/>
      </c>
      <c r="AK24" s="52" t="str">
        <f t="shared" si="14"/>
        <v/>
      </c>
      <c r="AL24" s="52" t="str">
        <f t="shared" si="15"/>
        <v/>
      </c>
      <c r="AM24" s="52" t="str">
        <f t="shared" si="16"/>
        <v/>
      </c>
      <c r="AN24" s="52" t="str">
        <f t="shared" si="17"/>
        <v/>
      </c>
      <c r="AO24" s="52" t="str">
        <f t="shared" si="18"/>
        <v/>
      </c>
      <c r="AP24" s="52" t="str">
        <f t="shared" si="19"/>
        <v/>
      </c>
      <c r="AQ24" s="52" t="str">
        <f t="shared" si="20"/>
        <v/>
      </c>
      <c r="AR24" s="52" t="str">
        <f t="shared" si="21"/>
        <v/>
      </c>
      <c r="AS24" s="52" t="str">
        <f t="shared" si="22"/>
        <v/>
      </c>
      <c r="AT24" s="52" t="str">
        <f t="shared" si="23"/>
        <v/>
      </c>
      <c r="AU24" s="52" t="str">
        <f t="shared" si="24"/>
        <v/>
      </c>
      <c r="AV24" s="52" t="str">
        <f t="shared" si="25"/>
        <v/>
      </c>
      <c r="AW24" s="52" t="str">
        <f t="shared" si="26"/>
        <v/>
      </c>
      <c r="AX24" s="52" t="str">
        <f t="shared" si="27"/>
        <v/>
      </c>
      <c r="AY24" s="52" t="str">
        <f t="shared" si="11"/>
        <v/>
      </c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13"/>
    </row>
    <row r="25" spans="1:163">
      <c r="A25" s="71"/>
      <c r="B25" s="70"/>
      <c r="C25" s="72"/>
      <c r="D25" s="73"/>
      <c r="E25" s="73"/>
      <c r="F25" s="73"/>
      <c r="G25" s="73"/>
      <c r="H25" s="73"/>
      <c r="I25" s="74"/>
      <c r="J25" s="74"/>
      <c r="K25" s="74"/>
      <c r="L25" s="73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5"/>
      <c r="Y25" s="70"/>
      <c r="Z25" s="12">
        <f t="shared" si="2"/>
        <v>0</v>
      </c>
      <c r="AA25" s="14">
        <f t="shared" si="3"/>
        <v>0</v>
      </c>
      <c r="AB25" s="6">
        <f t="shared" si="4"/>
        <v>0</v>
      </c>
      <c r="AC25" s="6">
        <f t="shared" si="5"/>
        <v>0</v>
      </c>
      <c r="AD25" s="6">
        <f t="shared" si="6"/>
        <v>0</v>
      </c>
      <c r="AE25" s="52" t="str">
        <f t="shared" si="7"/>
        <v/>
      </c>
      <c r="AF25" s="52" t="str">
        <f t="shared" si="8"/>
        <v/>
      </c>
      <c r="AG25" s="50" t="str">
        <f t="shared" si="9"/>
        <v/>
      </c>
      <c r="AH25" s="50" t="str">
        <f t="shared" si="10"/>
        <v/>
      </c>
      <c r="AI25" s="52" t="str">
        <f t="shared" si="12"/>
        <v/>
      </c>
      <c r="AJ25" s="52" t="str">
        <f t="shared" si="13"/>
        <v/>
      </c>
      <c r="AK25" s="52" t="str">
        <f t="shared" si="14"/>
        <v/>
      </c>
      <c r="AL25" s="52" t="str">
        <f t="shared" si="15"/>
        <v/>
      </c>
      <c r="AM25" s="52" t="str">
        <f t="shared" si="16"/>
        <v/>
      </c>
      <c r="AN25" s="52" t="str">
        <f t="shared" si="17"/>
        <v/>
      </c>
      <c r="AO25" s="52" t="str">
        <f t="shared" si="18"/>
        <v/>
      </c>
      <c r="AP25" s="52" t="str">
        <f t="shared" si="19"/>
        <v/>
      </c>
      <c r="AQ25" s="52" t="str">
        <f t="shared" si="20"/>
        <v/>
      </c>
      <c r="AR25" s="52" t="str">
        <f t="shared" si="21"/>
        <v/>
      </c>
      <c r="AS25" s="52" t="str">
        <f t="shared" si="22"/>
        <v/>
      </c>
      <c r="AT25" s="52" t="str">
        <f t="shared" si="23"/>
        <v/>
      </c>
      <c r="AU25" s="52" t="str">
        <f t="shared" si="24"/>
        <v/>
      </c>
      <c r="AV25" s="52" t="str">
        <f t="shared" si="25"/>
        <v/>
      </c>
      <c r="AW25" s="52" t="str">
        <f t="shared" si="26"/>
        <v/>
      </c>
      <c r="AX25" s="52" t="str">
        <f t="shared" si="27"/>
        <v/>
      </c>
      <c r="AY25" s="52" t="str">
        <f t="shared" si="11"/>
        <v/>
      </c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13"/>
    </row>
    <row r="26" spans="1:163">
      <c r="A26" s="71"/>
      <c r="B26" s="70"/>
      <c r="C26" s="72"/>
      <c r="D26" s="73"/>
      <c r="E26" s="73"/>
      <c r="F26" s="73"/>
      <c r="G26" s="73"/>
      <c r="H26" s="73"/>
      <c r="I26" s="74"/>
      <c r="J26" s="74"/>
      <c r="K26" s="74"/>
      <c r="L26" s="73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5"/>
      <c r="Y26" s="70"/>
      <c r="Z26" s="12">
        <f t="shared" si="2"/>
        <v>0</v>
      </c>
      <c r="AA26" s="14">
        <f t="shared" si="3"/>
        <v>0</v>
      </c>
      <c r="AB26" s="6">
        <f t="shared" si="4"/>
        <v>0</v>
      </c>
      <c r="AC26" s="6">
        <f t="shared" si="5"/>
        <v>0</v>
      </c>
      <c r="AD26" s="6">
        <f t="shared" si="6"/>
        <v>0</v>
      </c>
      <c r="AE26" s="52" t="str">
        <f t="shared" si="7"/>
        <v/>
      </c>
      <c r="AF26" s="52" t="str">
        <f t="shared" si="8"/>
        <v/>
      </c>
      <c r="AG26" s="50" t="str">
        <f t="shared" si="9"/>
        <v/>
      </c>
      <c r="AH26" s="50" t="str">
        <f t="shared" si="10"/>
        <v/>
      </c>
      <c r="AI26" s="52" t="str">
        <f t="shared" si="12"/>
        <v/>
      </c>
      <c r="AJ26" s="52" t="str">
        <f t="shared" si="13"/>
        <v/>
      </c>
      <c r="AK26" s="52" t="str">
        <f t="shared" si="14"/>
        <v/>
      </c>
      <c r="AL26" s="52" t="str">
        <f t="shared" si="15"/>
        <v/>
      </c>
      <c r="AM26" s="52" t="str">
        <f t="shared" si="16"/>
        <v/>
      </c>
      <c r="AN26" s="52" t="str">
        <f t="shared" si="17"/>
        <v/>
      </c>
      <c r="AO26" s="52" t="str">
        <f t="shared" si="18"/>
        <v/>
      </c>
      <c r="AP26" s="52" t="str">
        <f t="shared" si="19"/>
        <v/>
      </c>
      <c r="AQ26" s="52" t="str">
        <f t="shared" si="20"/>
        <v/>
      </c>
      <c r="AR26" s="52" t="str">
        <f t="shared" si="21"/>
        <v/>
      </c>
      <c r="AS26" s="52" t="str">
        <f t="shared" si="22"/>
        <v/>
      </c>
      <c r="AT26" s="52" t="str">
        <f t="shared" si="23"/>
        <v/>
      </c>
      <c r="AU26" s="52" t="str">
        <f t="shared" si="24"/>
        <v/>
      </c>
      <c r="AV26" s="52" t="str">
        <f t="shared" si="25"/>
        <v/>
      </c>
      <c r="AW26" s="52" t="str">
        <f t="shared" si="26"/>
        <v/>
      </c>
      <c r="AX26" s="52" t="str">
        <f t="shared" si="27"/>
        <v/>
      </c>
      <c r="AY26" s="52" t="str">
        <f t="shared" si="11"/>
        <v/>
      </c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13"/>
    </row>
    <row r="27" spans="1:163">
      <c r="A27" s="71"/>
      <c r="B27" s="70"/>
      <c r="C27" s="72"/>
      <c r="D27" s="73"/>
      <c r="E27" s="73"/>
      <c r="F27" s="73"/>
      <c r="G27" s="73"/>
      <c r="H27" s="73"/>
      <c r="I27" s="74"/>
      <c r="J27" s="74"/>
      <c r="K27" s="74"/>
      <c r="L27" s="73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5"/>
      <c r="Y27" s="70"/>
      <c r="Z27" s="12">
        <f t="shared" si="2"/>
        <v>0</v>
      </c>
      <c r="AA27" s="14">
        <f t="shared" si="3"/>
        <v>0</v>
      </c>
      <c r="AB27" s="6">
        <f t="shared" si="4"/>
        <v>0</v>
      </c>
      <c r="AC27" s="6">
        <f t="shared" si="5"/>
        <v>0</v>
      </c>
      <c r="AD27" s="6">
        <f t="shared" si="6"/>
        <v>0</v>
      </c>
      <c r="AE27" s="52" t="str">
        <f t="shared" si="7"/>
        <v/>
      </c>
      <c r="AF27" s="52" t="str">
        <f t="shared" si="8"/>
        <v/>
      </c>
      <c r="AG27" s="50" t="str">
        <f t="shared" si="9"/>
        <v/>
      </c>
      <c r="AH27" s="50" t="str">
        <f t="shared" si="10"/>
        <v/>
      </c>
      <c r="AI27" s="52" t="str">
        <f t="shared" si="12"/>
        <v/>
      </c>
      <c r="AJ27" s="52" t="str">
        <f t="shared" si="13"/>
        <v/>
      </c>
      <c r="AK27" s="52" t="str">
        <f t="shared" si="14"/>
        <v/>
      </c>
      <c r="AL27" s="52" t="str">
        <f t="shared" si="15"/>
        <v/>
      </c>
      <c r="AM27" s="52" t="str">
        <f t="shared" si="16"/>
        <v/>
      </c>
      <c r="AN27" s="52" t="str">
        <f t="shared" si="17"/>
        <v/>
      </c>
      <c r="AO27" s="52" t="str">
        <f t="shared" si="18"/>
        <v/>
      </c>
      <c r="AP27" s="52" t="str">
        <f t="shared" si="19"/>
        <v/>
      </c>
      <c r="AQ27" s="52" t="str">
        <f t="shared" si="20"/>
        <v/>
      </c>
      <c r="AR27" s="52" t="str">
        <f t="shared" si="21"/>
        <v/>
      </c>
      <c r="AS27" s="52" t="str">
        <f t="shared" si="22"/>
        <v/>
      </c>
      <c r="AT27" s="52" t="str">
        <f t="shared" si="23"/>
        <v/>
      </c>
      <c r="AU27" s="52" t="str">
        <f t="shared" si="24"/>
        <v/>
      </c>
      <c r="AV27" s="52" t="str">
        <f t="shared" si="25"/>
        <v/>
      </c>
      <c r="AW27" s="52" t="str">
        <f t="shared" si="26"/>
        <v/>
      </c>
      <c r="AX27" s="52" t="str">
        <f t="shared" si="27"/>
        <v/>
      </c>
      <c r="AY27" s="52" t="str">
        <f t="shared" si="11"/>
        <v/>
      </c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13"/>
    </row>
    <row r="28" spans="1:163">
      <c r="A28" s="71"/>
      <c r="B28" s="70"/>
      <c r="C28" s="72"/>
      <c r="D28" s="73"/>
      <c r="E28" s="73"/>
      <c r="F28" s="73"/>
      <c r="G28" s="73"/>
      <c r="H28" s="73"/>
      <c r="I28" s="74"/>
      <c r="J28" s="74"/>
      <c r="K28" s="74"/>
      <c r="L28" s="73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5"/>
      <c r="Y28" s="70"/>
      <c r="Z28" s="12">
        <f t="shared" si="2"/>
        <v>0</v>
      </c>
      <c r="AA28" s="14">
        <f t="shared" si="3"/>
        <v>0</v>
      </c>
      <c r="AB28" s="6">
        <f t="shared" si="4"/>
        <v>0</v>
      </c>
      <c r="AC28" s="6">
        <f t="shared" si="5"/>
        <v>0</v>
      </c>
      <c r="AD28" s="6">
        <f t="shared" si="6"/>
        <v>0</v>
      </c>
      <c r="AE28" s="52" t="str">
        <f t="shared" si="7"/>
        <v/>
      </c>
      <c r="AF28" s="52" t="str">
        <f t="shared" si="8"/>
        <v/>
      </c>
      <c r="AG28" s="50" t="str">
        <f t="shared" si="9"/>
        <v/>
      </c>
      <c r="AH28" s="50" t="str">
        <f t="shared" si="10"/>
        <v/>
      </c>
      <c r="AI28" s="52" t="str">
        <f t="shared" si="12"/>
        <v/>
      </c>
      <c r="AJ28" s="52" t="str">
        <f t="shared" si="13"/>
        <v/>
      </c>
      <c r="AK28" s="52" t="str">
        <f t="shared" si="14"/>
        <v/>
      </c>
      <c r="AL28" s="52" t="str">
        <f t="shared" si="15"/>
        <v/>
      </c>
      <c r="AM28" s="52" t="str">
        <f t="shared" si="16"/>
        <v/>
      </c>
      <c r="AN28" s="52" t="str">
        <f t="shared" si="17"/>
        <v/>
      </c>
      <c r="AO28" s="52" t="str">
        <f t="shared" si="18"/>
        <v/>
      </c>
      <c r="AP28" s="52" t="str">
        <f t="shared" si="19"/>
        <v/>
      </c>
      <c r="AQ28" s="52" t="str">
        <f t="shared" si="20"/>
        <v/>
      </c>
      <c r="AR28" s="52" t="str">
        <f t="shared" si="21"/>
        <v/>
      </c>
      <c r="AS28" s="52" t="str">
        <f t="shared" si="22"/>
        <v/>
      </c>
      <c r="AT28" s="52" t="str">
        <f t="shared" si="23"/>
        <v/>
      </c>
      <c r="AU28" s="52" t="str">
        <f t="shared" si="24"/>
        <v/>
      </c>
      <c r="AV28" s="52" t="str">
        <f t="shared" si="25"/>
        <v/>
      </c>
      <c r="AW28" s="52" t="str">
        <f t="shared" si="26"/>
        <v/>
      </c>
      <c r="AX28" s="52" t="str">
        <f t="shared" si="27"/>
        <v/>
      </c>
      <c r="AY28" s="52" t="str">
        <f t="shared" si="11"/>
        <v/>
      </c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13"/>
    </row>
    <row r="29" spans="1:163">
      <c r="A29" s="71"/>
      <c r="B29" s="70"/>
      <c r="C29" s="72"/>
      <c r="D29" s="73"/>
      <c r="E29" s="73"/>
      <c r="F29" s="73"/>
      <c r="G29" s="73"/>
      <c r="H29" s="73"/>
      <c r="I29" s="74"/>
      <c r="J29" s="74"/>
      <c r="K29" s="74"/>
      <c r="L29" s="73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5"/>
      <c r="Y29" s="70"/>
      <c r="Z29" s="12">
        <f t="shared" si="2"/>
        <v>0</v>
      </c>
      <c r="AA29" s="14">
        <f t="shared" si="3"/>
        <v>0</v>
      </c>
      <c r="AB29" s="6">
        <f t="shared" si="4"/>
        <v>0</v>
      </c>
      <c r="AC29" s="6">
        <f t="shared" si="5"/>
        <v>0</v>
      </c>
      <c r="AD29" s="6">
        <f t="shared" si="6"/>
        <v>0</v>
      </c>
      <c r="AE29" s="52" t="str">
        <f t="shared" si="7"/>
        <v/>
      </c>
      <c r="AF29" s="52" t="str">
        <f t="shared" si="8"/>
        <v/>
      </c>
      <c r="AG29" s="50" t="str">
        <f t="shared" si="9"/>
        <v/>
      </c>
      <c r="AH29" s="50" t="str">
        <f t="shared" si="10"/>
        <v/>
      </c>
      <c r="AI29" s="52" t="str">
        <f t="shared" si="12"/>
        <v/>
      </c>
      <c r="AJ29" s="52" t="str">
        <f t="shared" si="13"/>
        <v/>
      </c>
      <c r="AK29" s="52" t="str">
        <f t="shared" si="14"/>
        <v/>
      </c>
      <c r="AL29" s="52" t="str">
        <f t="shared" si="15"/>
        <v/>
      </c>
      <c r="AM29" s="52" t="str">
        <f t="shared" si="16"/>
        <v/>
      </c>
      <c r="AN29" s="52" t="str">
        <f t="shared" si="17"/>
        <v/>
      </c>
      <c r="AO29" s="52" t="str">
        <f t="shared" si="18"/>
        <v/>
      </c>
      <c r="AP29" s="52" t="str">
        <f t="shared" si="19"/>
        <v/>
      </c>
      <c r="AQ29" s="52" t="str">
        <f t="shared" si="20"/>
        <v/>
      </c>
      <c r="AR29" s="52" t="str">
        <f t="shared" si="21"/>
        <v/>
      </c>
      <c r="AS29" s="52" t="str">
        <f t="shared" si="22"/>
        <v/>
      </c>
      <c r="AT29" s="52" t="str">
        <f t="shared" si="23"/>
        <v/>
      </c>
      <c r="AU29" s="52" t="str">
        <f t="shared" si="24"/>
        <v/>
      </c>
      <c r="AV29" s="52" t="str">
        <f t="shared" si="25"/>
        <v/>
      </c>
      <c r="AW29" s="52" t="str">
        <f t="shared" si="26"/>
        <v/>
      </c>
      <c r="AX29" s="52" t="str">
        <f t="shared" si="27"/>
        <v/>
      </c>
      <c r="AY29" s="52" t="str">
        <f t="shared" si="11"/>
        <v/>
      </c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13"/>
    </row>
    <row r="30" spans="1:163">
      <c r="A30" s="71"/>
      <c r="B30" s="70"/>
      <c r="C30" s="72"/>
      <c r="D30" s="73"/>
      <c r="E30" s="73"/>
      <c r="F30" s="73"/>
      <c r="G30" s="73"/>
      <c r="H30" s="73"/>
      <c r="I30" s="74"/>
      <c r="J30" s="74"/>
      <c r="K30" s="74"/>
      <c r="L30" s="73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5"/>
      <c r="Y30" s="70"/>
      <c r="Z30" s="12">
        <f t="shared" si="2"/>
        <v>0</v>
      </c>
      <c r="AA30" s="14">
        <f t="shared" si="3"/>
        <v>0</v>
      </c>
      <c r="AB30" s="6">
        <f t="shared" si="4"/>
        <v>0</v>
      </c>
      <c r="AC30" s="6">
        <f t="shared" si="5"/>
        <v>0</v>
      </c>
      <c r="AD30" s="6">
        <f t="shared" si="6"/>
        <v>0</v>
      </c>
      <c r="AE30" s="52" t="str">
        <f t="shared" si="7"/>
        <v/>
      </c>
      <c r="AF30" s="52" t="str">
        <f t="shared" si="8"/>
        <v/>
      </c>
      <c r="AG30" s="50" t="str">
        <f t="shared" si="9"/>
        <v/>
      </c>
      <c r="AH30" s="50" t="str">
        <f t="shared" si="10"/>
        <v/>
      </c>
      <c r="AI30" s="52" t="str">
        <f t="shared" si="12"/>
        <v/>
      </c>
      <c r="AJ30" s="52" t="str">
        <f t="shared" si="13"/>
        <v/>
      </c>
      <c r="AK30" s="52" t="str">
        <f t="shared" si="14"/>
        <v/>
      </c>
      <c r="AL30" s="52" t="str">
        <f t="shared" si="15"/>
        <v/>
      </c>
      <c r="AM30" s="52" t="str">
        <f t="shared" si="16"/>
        <v/>
      </c>
      <c r="AN30" s="52" t="str">
        <f t="shared" si="17"/>
        <v/>
      </c>
      <c r="AO30" s="52" t="str">
        <f t="shared" si="18"/>
        <v/>
      </c>
      <c r="AP30" s="52" t="str">
        <f t="shared" si="19"/>
        <v/>
      </c>
      <c r="AQ30" s="52" t="str">
        <f t="shared" si="20"/>
        <v/>
      </c>
      <c r="AR30" s="52" t="str">
        <f t="shared" si="21"/>
        <v/>
      </c>
      <c r="AS30" s="52" t="str">
        <f t="shared" si="22"/>
        <v/>
      </c>
      <c r="AT30" s="52" t="str">
        <f t="shared" si="23"/>
        <v/>
      </c>
      <c r="AU30" s="52" t="str">
        <f t="shared" si="24"/>
        <v/>
      </c>
      <c r="AV30" s="52" t="str">
        <f t="shared" si="25"/>
        <v/>
      </c>
      <c r="AW30" s="52" t="str">
        <f t="shared" si="26"/>
        <v/>
      </c>
      <c r="AX30" s="52" t="str">
        <f t="shared" si="27"/>
        <v/>
      </c>
      <c r="AY30" s="52" t="str">
        <f t="shared" si="11"/>
        <v/>
      </c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13"/>
    </row>
    <row r="31" spans="1:163">
      <c r="A31" s="71"/>
      <c r="B31" s="70"/>
      <c r="C31" s="72"/>
      <c r="D31" s="73"/>
      <c r="E31" s="73"/>
      <c r="F31" s="73"/>
      <c r="G31" s="73"/>
      <c r="H31" s="73"/>
      <c r="I31" s="74"/>
      <c r="J31" s="74"/>
      <c r="K31" s="74"/>
      <c r="L31" s="73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5"/>
      <c r="Y31" s="70"/>
      <c r="Z31" s="12">
        <f>COUNTA(D31:W31)-Y31</f>
        <v>0</v>
      </c>
      <c r="AA31" s="14">
        <f>IF(X31&lt;&gt;"",0.0001,IF(Y31+Z31=0,0,IF(Y31=0,80+(Z31*80),IF(Y31&gt;0,110+(Z31*80)))))</f>
        <v>0</v>
      </c>
      <c r="AB31" s="6">
        <f>COUNTA(L31:W31)</f>
        <v>0</v>
      </c>
      <c r="AC31" s="6">
        <f>COUNTA(L31:Q31)</f>
        <v>0</v>
      </c>
      <c r="AD31" s="6">
        <f>COUNTA(R31:V31)</f>
        <v>0</v>
      </c>
      <c r="AE31" s="52" t="str">
        <f>IF(AND(B31="Feminino",C31&gt;=$BA$2,C31&lt;=$BB$2),$BA$3,IF(AND(B31="Masculino",C31&gt;=$BA$2,C31&lt;=$BB$2),$BB$3,IF(AND(B31="Feminino",C31&gt;=$BC$2,C31&lt;=$BD$2),$BC$3,IF(AND(B31="Masculino",C31&gt;=$BC$2,C31&lt;=$BD$2),$BD$3,IF(AND(B31="Feminino",C31&gt;=$BE$2,C31&lt;=$BF$2),$BE$3,IF(AND(B31="Masculino",C31&gt;=$BE$2,C31&lt;=$BF$2),$BF$3,IF(AND(B31="Feminino",C31&gt;=$BG$2,C31&lt;=$BH$2),$BG$3,IF(AND(B31="Masculino",C31&gt;=$BG$2,C31&lt;=$BH$2),$BH$3,""))))))))</f>
        <v/>
      </c>
      <c r="AF31" s="52" t="str">
        <f>IF(AND(B31="Feminino",C31&gt;=$BE$2,C31&lt;=$BF$2),$BI$3,IF(AND(B31="Masculino",C31&gt;=$BE$2,C31&lt;=$BF$2),$BJ$3,IF(AND(B31="Feminino",C31&lt;=$BH$2),$BK$3,IF(AND(B31="Masculino",C31&lt;=$BH$2),$BL$3,""))))</f>
        <v/>
      </c>
      <c r="AG31" s="50" t="str">
        <f>IF(AND(B31="Feminino",C31&gt;=$BM$1,C31&lt;=$BM$2),$BM$3,IF(AND(B31="Masculino",C31&gt;=$BM$1,C31&lt;=$BM$2),$BN$3,""))</f>
        <v/>
      </c>
      <c r="AH31" s="50" t="str">
        <f>IF(C31="","",IF(AND(C31&gt;=$BO$1,C31&lt;=$BO$2),$BO$3,IF(C31&lt;=$BP$2,$BP$3,"")))</f>
        <v/>
      </c>
      <c r="AI31" s="52" t="str">
        <f>IF(C31="","",IF(C31&gt;=$BQ$2,$BQ$3,IF(AND(C31&gt;=$BR$1,C31&lt;=$BR$2),$BR$3,IF(AND(C31&gt;=$BS$1,C31&lt;=$BS$2),$BS$3,IF(AND(C31&gt;=$BT$1,C31&lt;=$BT$2),$BT$3,IF(AND(C31&gt;=$BU$1,C31&lt;=$BU$2),$BU$3,IF(C31&lt;=$BV$2,$BV$3,"")))))))</f>
        <v/>
      </c>
      <c r="AJ31" s="52" t="str">
        <f>IF(C31="","",IF(C31&gt;=$BQ$2,$BW$3,IF(AND(C31&gt;=$BR$1,C31&lt;=$BR$2),$BX$3,IF(AND(C31&gt;=$BS$1,C31&lt;=$BS$2),$BY$3,IF(AND(C31&gt;=$BT$1,C31&lt;=$BT$2),$BZ$3,IF(AND(C31&gt;=$BU$1,C31&lt;=$BU$2),$CA$3,IF(C31&lt;=$BV$2,$CB$3,"")))))))</f>
        <v/>
      </c>
      <c r="AK31" s="52" t="str">
        <f>IF(C31="","",IF(C31&gt;=$BQ$2,$CC$3,IF(AND(C31&gt;=$BR$1,C31&lt;=$BR$2),$CD$3,IF(AND(C31&gt;=$BS$1,C31&lt;=$BS$2),$CE$3,IF(AND(C31&gt;=$BT$1,C31&lt;=$BT$2),$CF$3,IF(AND(C31&gt;=$BU$1,C31&lt;=$BU$2),$CG$3,IF(C31&lt;=$BV$2,$CH$3,"")))))))</f>
        <v/>
      </c>
      <c r="AL31" s="52" t="str">
        <f>IF(C31="","",IF(AND(C31&gt;=$BT$1,C31&lt;=$BT$2),$CI$3,IF(AND(C31&gt;=$BU$1,C31&lt;=$BU$2),$CJ$3,IF(C31&lt;=$BV$2,$CK$3,""))))</f>
        <v/>
      </c>
      <c r="AM31" s="52" t="str">
        <f>IF(C31="","",IF(AB31&gt;=3,"",IF(AC31&gt;=2,"",IF(C31&gt;=$CL$2,$CL$3,IF(AND(C31&gt;=$CM$1,C31&lt;=$CM$2),$CM$3,IF(AND(C31&gt;=$CN$1,C31&lt;=$CN$2),$CN$3,IF(AND(C31&gt;=$CO$1,C31&lt;=$CO$2),$CO$3,IF(AND(C31&gt;=$CP$1,C31&lt;=$CP$2),$CP$3,IF(C31&lt;=$CQ$2,$CQ$3,"")))))))))</f>
        <v/>
      </c>
      <c r="AN31" s="52" t="str">
        <f>IF(C31="","",IF(AB31&gt;=3,"",IF(AC31&gt;=2,"",IF(C31&gt;=$CL$2,$CR$3,IF(AND(C31&gt;=$CM$1,C31&lt;=$CM$2),$CS$3,IF(AND(C31&gt;=$CN$1,C31&lt;=$CN$2),$CT$3,IF(AND(C31&gt;=$CO$1,C31&lt;=$CO$2),$CU$3,IF(AND(C31&gt;=$CP$1,C31&lt;=$CP$2),$CV$3,IF(C31&lt;=$CQ$2,$CW$3,"")))))))))</f>
        <v/>
      </c>
      <c r="AO31" s="52" t="str">
        <f>IF(C31="","",IF(AB31&gt;=3,"",IF(AC31&gt;=2,"",IF(C31&gt;=$CL$2,$CX$3,IF(AND(C31&gt;=$CM$1,C31&lt;=$CM$2),$CY$3,IF(AND(C31&gt;=$CN$1,C31&lt;=$CN$2),$CZ$3,IF(AND(C31&gt;=$CO$1,C31&lt;=$CO$2),$DA$3,IF(AND(C31&gt;=$CP$1,C31&lt;=$CP$2),$DB$3,IF(C31&lt;=$CQ$2,$DC$3,"")))))))))</f>
        <v/>
      </c>
      <c r="AP31" s="52" t="str">
        <f>IF(C31="","",IF(AB31&gt;=3,"",IF(AC31&gt;=2,"",IF(C31&gt;=$CL$2,$DD$3,IF(AND(C31&gt;=$CM$1,C31&lt;=$CM$2),$DE$3,IF(AND(C31&gt;=$CN$1,C31&lt;=$CN$2),$DF$3,IF(AND(C31&gt;=$CO$1,C31&lt;=$CO$2),$DG$3,IF(AND(C31&gt;=$CP$1,C31&lt;=$CP$2),$DH$3,IF(C31&lt;=$CQ$2,$DI$3,"")))))))))</f>
        <v/>
      </c>
      <c r="AQ31" s="52" t="str">
        <f>IF(C31="","",IF(AB31&gt;=3,"",IF(AC31&gt;=2,"",IF(C31&gt;=$CL$2,$DJ$3,IF(AND(C31&gt;=$CM$1,C31&lt;=$CM$2),$DK$3,IF(AND(C31&gt;=$CN$1,C31&lt;=$CN$2),$DL$3,IF(AND(C31&gt;=$CO$1,C31&lt;=$CO$2),$DM$3,IF(AND(C31&gt;=$CP$1,C31&lt;=$CP$2),$DN$3,IF(C31&lt;=$CQ$2,$DO$3,"")))))))))</f>
        <v/>
      </c>
      <c r="AR31" s="52" t="str">
        <f>IF(C31="","",IF(AB31&gt;=3,"",IF(AC31&gt;=2,"",IF(C31&gt;=$CL$2,$DP$3,IF(AND(C31&gt;=$CM$1,C31&lt;=$CM$2),$DQ$3,IF(AND(C31&gt;=$CN$1,C31&lt;=$CN$2),$DR$3,IF(AND(C31&gt;=$CO$1,C31&lt;=$CO$2),$DS$3,IF(AND(C31&gt;=$CP$1,C31&lt;=$CP$2),$DT$3,IF(C31&lt;=$CQ$2,$DU$3,"")))))))))</f>
        <v/>
      </c>
      <c r="AS31" s="52" t="str">
        <f>IF(C31="","",IF(AB31&gt;=3,"",IF(AD31&gt;=2,"",IF(C31&gt;=$CL$2,$DV$3,IF(AND(C31&gt;=$CM$1,C31&lt;=$CM$2),$DW$3,IF(AND(C31&gt;=$CN$1,C31&lt;=$CN$2),$DX$3,IF(AND(C31&gt;=$CO$1,C31&lt;=$CO$2),$DY$3,IF(AND(C31&gt;=$CP$1,C31&lt;=$CP$2),$DZ$3,IF(C31&lt;=$CQ$2,$EA$3,"")))))))))</f>
        <v/>
      </c>
      <c r="AT31" s="52" t="str">
        <f>IF(C31="","",IF(AB31&gt;=3,"",IF(AD31&gt;=2,"",IF(C31&gt;=$CL$2,$EB$3,IF(AND(C31&gt;=$CM$1,C31&lt;=$CM$2),$EC$3,IF(AND(C31&gt;=$CN$1,C31&lt;=$CN$2),$ED$3,IF(AND(C31&gt;=$CO$1,C31&lt;=$CO$2),$EE$3,IF(AND(C31&gt;=$CP$1,C31&lt;=$CP$2),$EF$3,IF(C31&lt;=$CQ$2,$EG$3,"")))))))))</f>
        <v/>
      </c>
      <c r="AU31" s="52" t="str">
        <f>IF(C31="","",IF(AB31&gt;=3,"",IF(AD31&gt;=2,"",IF(C31&gt;=$CL$2,$EH$3,IF(AND(C31&gt;=$CM$1,C31&lt;=$CM$2),$EI$3,IF(AND(C31&gt;=$CN$1,C31&lt;=$CN$2),$EJ$3,IF(AND(C31&gt;=$CO$1,C31&lt;=$CO$2),$EK$3,IF(AND(C31&gt;=$CP$1,C31&lt;=$CP$2),$EL$3,IF(C31&lt;=$CQ$2,$EM$3,"")))))))))</f>
        <v/>
      </c>
      <c r="AV31" s="52" t="str">
        <f>IF(C31="","",IF(AB31&gt;=3,"",IF(AD31&gt;=2,"",IF(C31&gt;=$CL$2,$EN$3,IF(AND(C31&gt;=$CM$1,C31&lt;=$CM$2),$EO$3,IF(AND(C31&gt;=$CN$1,C31&lt;=$CN$2),$EP$3,IF(AND(C31&gt;=$CO$1,C31&lt;=$CO$2),$EQ$3,IF(AND(C31&gt;=$CP$1,C31&lt;=$CP$2),$ER$3,IF(C31&lt;=$CQ$2,$ES$3,"")))))))))</f>
        <v/>
      </c>
      <c r="AW31" s="52" t="str">
        <f>IF(C31="","",IF(AB31&gt;=3,"",IF(AD31&gt;=2,"",IF(C31&gt;=$CL$2,$ET$3,IF(AND(C31&gt;=$CM$1,C31&lt;=$CM$2),$EU$3,IF(AND(C31&gt;=$CN$1,C31&lt;=$CN$2),$EV$3,IF(AND(C31&gt;=$CO$1,C31&lt;=$CO$2),$EW$3,IF(AND(C31&gt;=$CP$1,C31&lt;=$CP$2),$EX$3,IF(C31&lt;=$CQ$2,$EY$3,"")))))))))</f>
        <v/>
      </c>
      <c r="AX31" s="52" t="str">
        <f>IF(C31="","",IF(AB31&gt;=3,"",IF(AD31&gt;=2,"",IF(C31&gt;=$CL$2,$EZ$3,IF(AND(C31&gt;=$CM$1,C31&lt;=$CM$2),$FA$3,IF(AND(C31&gt;=$CN$1,C31&lt;=$CN$2),$FB$3,IF(AND(C31&gt;=$CO$1,C31&lt;=$CO$2),$FC$3,IF(AND(C31&gt;=$CP$1,C31&lt;=$CP$2),$FD$3,IF(C31&lt;=$CQ$2,$FE$3,"")))))))))</f>
        <v/>
      </c>
      <c r="AY31" s="52" t="str">
        <f>IF(C31="","",IF(AND(D31="",E31="",F31="",G31="",H31="",I31="",J31="",K31=""),"ADAPTADO",""))</f>
        <v/>
      </c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13"/>
    </row>
    <row r="32" spans="1:163">
      <c r="A32" s="71"/>
      <c r="B32" s="70"/>
      <c r="C32" s="72"/>
      <c r="D32" s="73"/>
      <c r="E32" s="73"/>
      <c r="F32" s="73"/>
      <c r="G32" s="73"/>
      <c r="H32" s="73"/>
      <c r="I32" s="74"/>
      <c r="J32" s="74"/>
      <c r="K32" s="74"/>
      <c r="L32" s="73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5"/>
      <c r="Y32" s="70"/>
      <c r="Z32" s="12">
        <f t="shared" si="2"/>
        <v>0</v>
      </c>
      <c r="AA32" s="14">
        <f t="shared" si="3"/>
        <v>0</v>
      </c>
      <c r="AB32" s="6">
        <f t="shared" si="4"/>
        <v>0</v>
      </c>
      <c r="AC32" s="6">
        <f t="shared" si="5"/>
        <v>0</v>
      </c>
      <c r="AD32" s="6">
        <f t="shared" si="6"/>
        <v>0</v>
      </c>
      <c r="AE32" s="52" t="str">
        <f t="shared" si="7"/>
        <v/>
      </c>
      <c r="AF32" s="52" t="str">
        <f t="shared" si="8"/>
        <v/>
      </c>
      <c r="AG32" s="50" t="str">
        <f t="shared" si="9"/>
        <v/>
      </c>
      <c r="AH32" s="50" t="str">
        <f t="shared" si="10"/>
        <v/>
      </c>
      <c r="AI32" s="52" t="str">
        <f t="shared" si="12"/>
        <v/>
      </c>
      <c r="AJ32" s="52" t="str">
        <f t="shared" si="13"/>
        <v/>
      </c>
      <c r="AK32" s="52" t="str">
        <f t="shared" si="14"/>
        <v/>
      </c>
      <c r="AL32" s="52" t="str">
        <f t="shared" si="15"/>
        <v/>
      </c>
      <c r="AM32" s="52" t="str">
        <f t="shared" si="16"/>
        <v/>
      </c>
      <c r="AN32" s="52" t="str">
        <f t="shared" si="17"/>
        <v/>
      </c>
      <c r="AO32" s="52" t="str">
        <f t="shared" si="18"/>
        <v/>
      </c>
      <c r="AP32" s="52" t="str">
        <f t="shared" si="19"/>
        <v/>
      </c>
      <c r="AQ32" s="52" t="str">
        <f t="shared" si="20"/>
        <v/>
      </c>
      <c r="AR32" s="52" t="str">
        <f t="shared" si="21"/>
        <v/>
      </c>
      <c r="AS32" s="52" t="str">
        <f t="shared" si="22"/>
        <v/>
      </c>
      <c r="AT32" s="52" t="str">
        <f t="shared" si="23"/>
        <v/>
      </c>
      <c r="AU32" s="52" t="str">
        <f t="shared" si="24"/>
        <v/>
      </c>
      <c r="AV32" s="52" t="str">
        <f t="shared" si="25"/>
        <v/>
      </c>
      <c r="AW32" s="52" t="str">
        <f t="shared" si="26"/>
        <v/>
      </c>
      <c r="AX32" s="52" t="str">
        <f t="shared" si="27"/>
        <v/>
      </c>
      <c r="AY32" s="52" t="str">
        <f t="shared" si="11"/>
        <v/>
      </c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13"/>
    </row>
    <row r="33" spans="1:163">
      <c r="A33" s="71"/>
      <c r="B33" s="70"/>
      <c r="C33" s="72"/>
      <c r="D33" s="73"/>
      <c r="E33" s="73"/>
      <c r="F33" s="73"/>
      <c r="G33" s="73"/>
      <c r="H33" s="73"/>
      <c r="I33" s="74"/>
      <c r="J33" s="74"/>
      <c r="K33" s="74"/>
      <c r="L33" s="73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5"/>
      <c r="Y33" s="70"/>
      <c r="Z33" s="12">
        <f t="shared" si="2"/>
        <v>0</v>
      </c>
      <c r="AA33" s="14">
        <f t="shared" si="3"/>
        <v>0</v>
      </c>
      <c r="AB33" s="6">
        <f t="shared" si="4"/>
        <v>0</v>
      </c>
      <c r="AC33" s="6">
        <f t="shared" si="5"/>
        <v>0</v>
      </c>
      <c r="AD33" s="6">
        <f t="shared" si="6"/>
        <v>0</v>
      </c>
      <c r="AE33" s="52" t="str">
        <f t="shared" si="7"/>
        <v/>
      </c>
      <c r="AF33" s="52" t="str">
        <f t="shared" si="8"/>
        <v/>
      </c>
      <c r="AG33" s="50" t="str">
        <f t="shared" si="9"/>
        <v/>
      </c>
      <c r="AH33" s="50" t="str">
        <f t="shared" si="10"/>
        <v/>
      </c>
      <c r="AI33" s="52" t="str">
        <f t="shared" si="12"/>
        <v/>
      </c>
      <c r="AJ33" s="52" t="str">
        <f t="shared" si="13"/>
        <v/>
      </c>
      <c r="AK33" s="52" t="str">
        <f t="shared" si="14"/>
        <v/>
      </c>
      <c r="AL33" s="52" t="str">
        <f t="shared" si="15"/>
        <v/>
      </c>
      <c r="AM33" s="52" t="str">
        <f t="shared" si="16"/>
        <v/>
      </c>
      <c r="AN33" s="52" t="str">
        <f t="shared" si="17"/>
        <v/>
      </c>
      <c r="AO33" s="52" t="str">
        <f t="shared" si="18"/>
        <v/>
      </c>
      <c r="AP33" s="52" t="str">
        <f t="shared" si="19"/>
        <v/>
      </c>
      <c r="AQ33" s="52" t="str">
        <f t="shared" si="20"/>
        <v/>
      </c>
      <c r="AR33" s="52" t="str">
        <f t="shared" si="21"/>
        <v/>
      </c>
      <c r="AS33" s="52" t="str">
        <f t="shared" si="22"/>
        <v/>
      </c>
      <c r="AT33" s="52" t="str">
        <f t="shared" si="23"/>
        <v/>
      </c>
      <c r="AU33" s="52" t="str">
        <f t="shared" si="24"/>
        <v/>
      </c>
      <c r="AV33" s="52" t="str">
        <f t="shared" si="25"/>
        <v/>
      </c>
      <c r="AW33" s="52" t="str">
        <f t="shared" si="26"/>
        <v/>
      </c>
      <c r="AX33" s="52" t="str">
        <f t="shared" si="27"/>
        <v/>
      </c>
      <c r="AY33" s="52" t="str">
        <f t="shared" si="11"/>
        <v/>
      </c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13"/>
    </row>
    <row r="34" spans="1:163">
      <c r="A34" s="71"/>
      <c r="B34" s="70"/>
      <c r="C34" s="72"/>
      <c r="D34" s="73"/>
      <c r="E34" s="73"/>
      <c r="F34" s="73"/>
      <c r="G34" s="73"/>
      <c r="H34" s="73"/>
      <c r="I34" s="74"/>
      <c r="J34" s="74"/>
      <c r="K34" s="74"/>
      <c r="L34" s="73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5"/>
      <c r="Y34" s="70"/>
      <c r="Z34" s="12">
        <f t="shared" si="2"/>
        <v>0</v>
      </c>
      <c r="AA34" s="14">
        <f t="shared" si="3"/>
        <v>0</v>
      </c>
      <c r="AB34" s="6">
        <f t="shared" si="4"/>
        <v>0</v>
      </c>
      <c r="AC34" s="6">
        <f t="shared" si="5"/>
        <v>0</v>
      </c>
      <c r="AD34" s="6">
        <f t="shared" si="6"/>
        <v>0</v>
      </c>
      <c r="AE34" s="52" t="str">
        <f t="shared" si="7"/>
        <v/>
      </c>
      <c r="AF34" s="52" t="str">
        <f t="shared" si="8"/>
        <v/>
      </c>
      <c r="AG34" s="50" t="str">
        <f t="shared" si="9"/>
        <v/>
      </c>
      <c r="AH34" s="50" t="str">
        <f t="shared" si="10"/>
        <v/>
      </c>
      <c r="AI34" s="52" t="str">
        <f t="shared" si="12"/>
        <v/>
      </c>
      <c r="AJ34" s="52" t="str">
        <f t="shared" si="13"/>
        <v/>
      </c>
      <c r="AK34" s="52" t="str">
        <f t="shared" si="14"/>
        <v/>
      </c>
      <c r="AL34" s="52" t="str">
        <f t="shared" si="15"/>
        <v/>
      </c>
      <c r="AM34" s="52" t="str">
        <f t="shared" si="16"/>
        <v/>
      </c>
      <c r="AN34" s="52" t="str">
        <f t="shared" si="17"/>
        <v/>
      </c>
      <c r="AO34" s="52" t="str">
        <f t="shared" si="18"/>
        <v/>
      </c>
      <c r="AP34" s="52" t="str">
        <f t="shared" si="19"/>
        <v/>
      </c>
      <c r="AQ34" s="52" t="str">
        <f t="shared" si="20"/>
        <v/>
      </c>
      <c r="AR34" s="52" t="str">
        <f t="shared" si="21"/>
        <v/>
      </c>
      <c r="AS34" s="52" t="str">
        <f t="shared" si="22"/>
        <v/>
      </c>
      <c r="AT34" s="52" t="str">
        <f t="shared" si="23"/>
        <v/>
      </c>
      <c r="AU34" s="52" t="str">
        <f t="shared" si="24"/>
        <v/>
      </c>
      <c r="AV34" s="52" t="str">
        <f t="shared" si="25"/>
        <v/>
      </c>
      <c r="AW34" s="52" t="str">
        <f t="shared" si="26"/>
        <v/>
      </c>
      <c r="AX34" s="52" t="str">
        <f t="shared" si="27"/>
        <v/>
      </c>
      <c r="AY34" s="52" t="str">
        <f t="shared" si="11"/>
        <v/>
      </c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13"/>
    </row>
    <row r="35" spans="1:163">
      <c r="A35" s="71"/>
      <c r="B35" s="70"/>
      <c r="C35" s="72"/>
      <c r="D35" s="73"/>
      <c r="E35" s="73"/>
      <c r="F35" s="73"/>
      <c r="G35" s="73"/>
      <c r="H35" s="73"/>
      <c r="I35" s="74"/>
      <c r="J35" s="74"/>
      <c r="K35" s="74"/>
      <c r="L35" s="73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5"/>
      <c r="Y35" s="70"/>
      <c r="Z35" s="12">
        <f t="shared" si="2"/>
        <v>0</v>
      </c>
      <c r="AA35" s="14">
        <f t="shared" si="3"/>
        <v>0</v>
      </c>
      <c r="AB35" s="6">
        <f t="shared" si="4"/>
        <v>0</v>
      </c>
      <c r="AC35" s="6">
        <f t="shared" si="5"/>
        <v>0</v>
      </c>
      <c r="AD35" s="6">
        <f t="shared" si="6"/>
        <v>0</v>
      </c>
      <c r="AE35" s="52" t="str">
        <f t="shared" si="7"/>
        <v/>
      </c>
      <c r="AF35" s="52" t="str">
        <f t="shared" si="8"/>
        <v/>
      </c>
      <c r="AG35" s="50" t="str">
        <f t="shared" si="9"/>
        <v/>
      </c>
      <c r="AH35" s="50" t="str">
        <f t="shared" si="10"/>
        <v/>
      </c>
      <c r="AI35" s="52" t="str">
        <f t="shared" si="12"/>
        <v/>
      </c>
      <c r="AJ35" s="52" t="str">
        <f t="shared" si="13"/>
        <v/>
      </c>
      <c r="AK35" s="52" t="str">
        <f t="shared" si="14"/>
        <v/>
      </c>
      <c r="AL35" s="52" t="str">
        <f t="shared" si="15"/>
        <v/>
      </c>
      <c r="AM35" s="52" t="str">
        <f t="shared" si="16"/>
        <v/>
      </c>
      <c r="AN35" s="52" t="str">
        <f t="shared" si="17"/>
        <v/>
      </c>
      <c r="AO35" s="52" t="str">
        <f t="shared" si="18"/>
        <v/>
      </c>
      <c r="AP35" s="52" t="str">
        <f t="shared" si="19"/>
        <v/>
      </c>
      <c r="AQ35" s="52" t="str">
        <f t="shared" si="20"/>
        <v/>
      </c>
      <c r="AR35" s="52" t="str">
        <f t="shared" si="21"/>
        <v/>
      </c>
      <c r="AS35" s="52" t="str">
        <f t="shared" si="22"/>
        <v/>
      </c>
      <c r="AT35" s="52" t="str">
        <f t="shared" si="23"/>
        <v/>
      </c>
      <c r="AU35" s="52" t="str">
        <f t="shared" si="24"/>
        <v/>
      </c>
      <c r="AV35" s="52" t="str">
        <f t="shared" si="25"/>
        <v/>
      </c>
      <c r="AW35" s="52" t="str">
        <f t="shared" si="26"/>
        <v/>
      </c>
      <c r="AX35" s="52" t="str">
        <f t="shared" si="27"/>
        <v/>
      </c>
      <c r="AY35" s="52" t="str">
        <f t="shared" si="11"/>
        <v/>
      </c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13"/>
    </row>
    <row r="36" spans="1:163">
      <c r="A36" s="71"/>
      <c r="B36" s="70"/>
      <c r="C36" s="72"/>
      <c r="D36" s="73"/>
      <c r="E36" s="73"/>
      <c r="F36" s="73"/>
      <c r="G36" s="73"/>
      <c r="H36" s="73"/>
      <c r="I36" s="74"/>
      <c r="J36" s="74"/>
      <c r="K36" s="74"/>
      <c r="L36" s="73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5"/>
      <c r="Y36" s="70"/>
      <c r="Z36" s="12">
        <f t="shared" si="2"/>
        <v>0</v>
      </c>
      <c r="AA36" s="14">
        <f t="shared" si="3"/>
        <v>0</v>
      </c>
      <c r="AB36" s="6">
        <f t="shared" si="4"/>
        <v>0</v>
      </c>
      <c r="AC36" s="6">
        <f t="shared" si="5"/>
        <v>0</v>
      </c>
      <c r="AD36" s="6">
        <f t="shared" si="6"/>
        <v>0</v>
      </c>
      <c r="AE36" s="52" t="str">
        <f t="shared" si="7"/>
        <v/>
      </c>
      <c r="AF36" s="52" t="str">
        <f t="shared" si="8"/>
        <v/>
      </c>
      <c r="AG36" s="50" t="str">
        <f t="shared" si="9"/>
        <v/>
      </c>
      <c r="AH36" s="50" t="str">
        <f t="shared" si="10"/>
        <v/>
      </c>
      <c r="AI36" s="52" t="str">
        <f t="shared" si="12"/>
        <v/>
      </c>
      <c r="AJ36" s="52" t="str">
        <f t="shared" si="13"/>
        <v/>
      </c>
      <c r="AK36" s="52" t="str">
        <f t="shared" si="14"/>
        <v/>
      </c>
      <c r="AL36" s="52" t="str">
        <f t="shared" si="15"/>
        <v/>
      </c>
      <c r="AM36" s="52" t="str">
        <f t="shared" si="16"/>
        <v/>
      </c>
      <c r="AN36" s="52" t="str">
        <f t="shared" si="17"/>
        <v/>
      </c>
      <c r="AO36" s="52" t="str">
        <f t="shared" si="18"/>
        <v/>
      </c>
      <c r="AP36" s="52" t="str">
        <f t="shared" si="19"/>
        <v/>
      </c>
      <c r="AQ36" s="52" t="str">
        <f t="shared" si="20"/>
        <v/>
      </c>
      <c r="AR36" s="52" t="str">
        <f t="shared" si="21"/>
        <v/>
      </c>
      <c r="AS36" s="52" t="str">
        <f t="shared" si="22"/>
        <v/>
      </c>
      <c r="AT36" s="52" t="str">
        <f t="shared" si="23"/>
        <v/>
      </c>
      <c r="AU36" s="52" t="str">
        <f t="shared" si="24"/>
        <v/>
      </c>
      <c r="AV36" s="52" t="str">
        <f t="shared" si="25"/>
        <v/>
      </c>
      <c r="AW36" s="52" t="str">
        <f t="shared" si="26"/>
        <v/>
      </c>
      <c r="AX36" s="52" t="str">
        <f t="shared" si="27"/>
        <v/>
      </c>
      <c r="AY36" s="52" t="str">
        <f t="shared" si="11"/>
        <v/>
      </c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13"/>
    </row>
    <row r="37" spans="1:163">
      <c r="A37" s="71"/>
      <c r="B37" s="70"/>
      <c r="C37" s="72"/>
      <c r="D37" s="73"/>
      <c r="E37" s="73"/>
      <c r="F37" s="73"/>
      <c r="G37" s="73"/>
      <c r="H37" s="73"/>
      <c r="I37" s="74"/>
      <c r="J37" s="74"/>
      <c r="K37" s="74"/>
      <c r="L37" s="73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5"/>
      <c r="Y37" s="70"/>
      <c r="Z37" s="12">
        <f t="shared" si="2"/>
        <v>0</v>
      </c>
      <c r="AA37" s="14">
        <f t="shared" si="3"/>
        <v>0</v>
      </c>
      <c r="AB37" s="6">
        <f t="shared" si="4"/>
        <v>0</v>
      </c>
      <c r="AC37" s="6">
        <f t="shared" si="5"/>
        <v>0</v>
      </c>
      <c r="AD37" s="6">
        <f t="shared" si="6"/>
        <v>0</v>
      </c>
      <c r="AE37" s="52" t="str">
        <f t="shared" si="7"/>
        <v/>
      </c>
      <c r="AF37" s="52" t="str">
        <f t="shared" si="8"/>
        <v/>
      </c>
      <c r="AG37" s="50" t="str">
        <f t="shared" si="9"/>
        <v/>
      </c>
      <c r="AH37" s="50" t="str">
        <f t="shared" si="10"/>
        <v/>
      </c>
      <c r="AI37" s="52" t="str">
        <f t="shared" si="12"/>
        <v/>
      </c>
      <c r="AJ37" s="52" t="str">
        <f t="shared" si="13"/>
        <v/>
      </c>
      <c r="AK37" s="52" t="str">
        <f t="shared" si="14"/>
        <v/>
      </c>
      <c r="AL37" s="52" t="str">
        <f t="shared" si="15"/>
        <v/>
      </c>
      <c r="AM37" s="52" t="str">
        <f t="shared" si="16"/>
        <v/>
      </c>
      <c r="AN37" s="52" t="str">
        <f t="shared" si="17"/>
        <v/>
      </c>
      <c r="AO37" s="52" t="str">
        <f t="shared" si="18"/>
        <v/>
      </c>
      <c r="AP37" s="52" t="str">
        <f t="shared" si="19"/>
        <v/>
      </c>
      <c r="AQ37" s="52" t="str">
        <f t="shared" si="20"/>
        <v/>
      </c>
      <c r="AR37" s="52" t="str">
        <f t="shared" si="21"/>
        <v/>
      </c>
      <c r="AS37" s="52" t="str">
        <f t="shared" si="22"/>
        <v/>
      </c>
      <c r="AT37" s="52" t="str">
        <f t="shared" si="23"/>
        <v/>
      </c>
      <c r="AU37" s="52" t="str">
        <f t="shared" si="24"/>
        <v/>
      </c>
      <c r="AV37" s="52" t="str">
        <f t="shared" si="25"/>
        <v/>
      </c>
      <c r="AW37" s="52" t="str">
        <f t="shared" si="26"/>
        <v/>
      </c>
      <c r="AX37" s="52" t="str">
        <f t="shared" si="27"/>
        <v/>
      </c>
      <c r="AY37" s="52" t="str">
        <f t="shared" si="11"/>
        <v/>
      </c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13"/>
    </row>
    <row r="38" spans="1:163">
      <c r="A38" s="71"/>
      <c r="B38" s="70"/>
      <c r="C38" s="72"/>
      <c r="D38" s="73"/>
      <c r="E38" s="73"/>
      <c r="F38" s="73"/>
      <c r="G38" s="73"/>
      <c r="H38" s="73"/>
      <c r="I38" s="74"/>
      <c r="J38" s="74"/>
      <c r="K38" s="74"/>
      <c r="L38" s="73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5"/>
      <c r="Y38" s="70"/>
      <c r="Z38" s="12">
        <f t="shared" si="2"/>
        <v>0</v>
      </c>
      <c r="AA38" s="14">
        <f t="shared" si="3"/>
        <v>0</v>
      </c>
      <c r="AB38" s="6">
        <f t="shared" si="4"/>
        <v>0</v>
      </c>
      <c r="AC38" s="6">
        <f t="shared" si="5"/>
        <v>0</v>
      </c>
      <c r="AD38" s="6">
        <f t="shared" si="6"/>
        <v>0</v>
      </c>
      <c r="AE38" s="52" t="str">
        <f t="shared" si="7"/>
        <v/>
      </c>
      <c r="AF38" s="52" t="str">
        <f t="shared" si="8"/>
        <v/>
      </c>
      <c r="AG38" s="50" t="str">
        <f t="shared" si="9"/>
        <v/>
      </c>
      <c r="AH38" s="50" t="str">
        <f t="shared" si="10"/>
        <v/>
      </c>
      <c r="AI38" s="52" t="str">
        <f t="shared" si="12"/>
        <v/>
      </c>
      <c r="AJ38" s="52" t="str">
        <f t="shared" si="13"/>
        <v/>
      </c>
      <c r="AK38" s="52" t="str">
        <f t="shared" si="14"/>
        <v/>
      </c>
      <c r="AL38" s="52" t="str">
        <f t="shared" si="15"/>
        <v/>
      </c>
      <c r="AM38" s="52" t="str">
        <f t="shared" si="16"/>
        <v/>
      </c>
      <c r="AN38" s="52" t="str">
        <f t="shared" si="17"/>
        <v/>
      </c>
      <c r="AO38" s="52" t="str">
        <f t="shared" si="18"/>
        <v/>
      </c>
      <c r="AP38" s="52" t="str">
        <f t="shared" si="19"/>
        <v/>
      </c>
      <c r="AQ38" s="52" t="str">
        <f t="shared" si="20"/>
        <v/>
      </c>
      <c r="AR38" s="52" t="str">
        <f t="shared" si="21"/>
        <v/>
      </c>
      <c r="AS38" s="52" t="str">
        <f t="shared" si="22"/>
        <v/>
      </c>
      <c r="AT38" s="52" t="str">
        <f t="shared" si="23"/>
        <v/>
      </c>
      <c r="AU38" s="52" t="str">
        <f t="shared" si="24"/>
        <v/>
      </c>
      <c r="AV38" s="52" t="str">
        <f t="shared" si="25"/>
        <v/>
      </c>
      <c r="AW38" s="52" t="str">
        <f t="shared" si="26"/>
        <v/>
      </c>
      <c r="AX38" s="52" t="str">
        <f t="shared" si="27"/>
        <v/>
      </c>
      <c r="AY38" s="52" t="str">
        <f t="shared" si="11"/>
        <v/>
      </c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13"/>
    </row>
    <row r="39" spans="1:163">
      <c r="A39" s="71"/>
      <c r="B39" s="70"/>
      <c r="C39" s="72"/>
      <c r="D39" s="73"/>
      <c r="E39" s="73"/>
      <c r="F39" s="73"/>
      <c r="G39" s="73"/>
      <c r="H39" s="73"/>
      <c r="I39" s="74"/>
      <c r="J39" s="74"/>
      <c r="K39" s="74"/>
      <c r="L39" s="73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5"/>
      <c r="Y39" s="70"/>
      <c r="Z39" s="12">
        <f t="shared" si="2"/>
        <v>0</v>
      </c>
      <c r="AA39" s="14">
        <f t="shared" si="3"/>
        <v>0</v>
      </c>
      <c r="AB39" s="6">
        <f t="shared" si="4"/>
        <v>0</v>
      </c>
      <c r="AC39" s="6">
        <f t="shared" si="5"/>
        <v>0</v>
      </c>
      <c r="AD39" s="6">
        <f t="shared" si="6"/>
        <v>0</v>
      </c>
      <c r="AE39" s="52" t="str">
        <f t="shared" si="7"/>
        <v/>
      </c>
      <c r="AF39" s="52" t="str">
        <f t="shared" si="8"/>
        <v/>
      </c>
      <c r="AG39" s="50" t="str">
        <f t="shared" si="9"/>
        <v/>
      </c>
      <c r="AH39" s="50" t="str">
        <f t="shared" si="10"/>
        <v/>
      </c>
      <c r="AI39" s="52" t="str">
        <f t="shared" si="12"/>
        <v/>
      </c>
      <c r="AJ39" s="52" t="str">
        <f t="shared" si="13"/>
        <v/>
      </c>
      <c r="AK39" s="52" t="str">
        <f t="shared" si="14"/>
        <v/>
      </c>
      <c r="AL39" s="52" t="str">
        <f t="shared" si="15"/>
        <v/>
      </c>
      <c r="AM39" s="52" t="str">
        <f t="shared" si="16"/>
        <v/>
      </c>
      <c r="AN39" s="52" t="str">
        <f t="shared" si="17"/>
        <v/>
      </c>
      <c r="AO39" s="52" t="str">
        <f t="shared" si="18"/>
        <v/>
      </c>
      <c r="AP39" s="52" t="str">
        <f t="shared" si="19"/>
        <v/>
      </c>
      <c r="AQ39" s="52" t="str">
        <f t="shared" si="20"/>
        <v/>
      </c>
      <c r="AR39" s="52" t="str">
        <f t="shared" si="21"/>
        <v/>
      </c>
      <c r="AS39" s="52" t="str">
        <f t="shared" si="22"/>
        <v/>
      </c>
      <c r="AT39" s="52" t="str">
        <f t="shared" si="23"/>
        <v/>
      </c>
      <c r="AU39" s="52" t="str">
        <f t="shared" si="24"/>
        <v/>
      </c>
      <c r="AV39" s="52" t="str">
        <f t="shared" si="25"/>
        <v/>
      </c>
      <c r="AW39" s="52" t="str">
        <f t="shared" si="26"/>
        <v/>
      </c>
      <c r="AX39" s="52" t="str">
        <f t="shared" si="27"/>
        <v/>
      </c>
      <c r="AY39" s="52" t="str">
        <f t="shared" si="11"/>
        <v/>
      </c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13"/>
    </row>
    <row r="40" spans="1:163">
      <c r="A40" s="71"/>
      <c r="B40" s="70"/>
      <c r="C40" s="72"/>
      <c r="D40" s="73"/>
      <c r="E40" s="73"/>
      <c r="F40" s="73"/>
      <c r="G40" s="73"/>
      <c r="H40" s="73"/>
      <c r="I40" s="74"/>
      <c r="J40" s="74"/>
      <c r="K40" s="74"/>
      <c r="L40" s="73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5"/>
      <c r="Y40" s="70"/>
      <c r="Z40" s="12">
        <f t="shared" si="2"/>
        <v>0</v>
      </c>
      <c r="AA40" s="14">
        <f t="shared" si="3"/>
        <v>0</v>
      </c>
      <c r="AB40" s="6">
        <f t="shared" si="4"/>
        <v>0</v>
      </c>
      <c r="AC40" s="6">
        <f t="shared" si="5"/>
        <v>0</v>
      </c>
      <c r="AD40" s="6">
        <f t="shared" si="6"/>
        <v>0</v>
      </c>
      <c r="AE40" s="52" t="str">
        <f t="shared" si="7"/>
        <v/>
      </c>
      <c r="AF40" s="52" t="str">
        <f t="shared" si="8"/>
        <v/>
      </c>
      <c r="AG40" s="50" t="str">
        <f t="shared" si="9"/>
        <v/>
      </c>
      <c r="AH40" s="50" t="str">
        <f t="shared" si="10"/>
        <v/>
      </c>
      <c r="AI40" s="52" t="str">
        <f t="shared" si="12"/>
        <v/>
      </c>
      <c r="AJ40" s="52" t="str">
        <f t="shared" si="13"/>
        <v/>
      </c>
      <c r="AK40" s="52" t="str">
        <f t="shared" si="14"/>
        <v/>
      </c>
      <c r="AL40" s="52" t="str">
        <f t="shared" si="15"/>
        <v/>
      </c>
      <c r="AM40" s="52" t="str">
        <f t="shared" si="16"/>
        <v/>
      </c>
      <c r="AN40" s="52" t="str">
        <f t="shared" si="17"/>
        <v/>
      </c>
      <c r="AO40" s="52" t="str">
        <f t="shared" si="18"/>
        <v/>
      </c>
      <c r="AP40" s="52" t="str">
        <f t="shared" si="19"/>
        <v/>
      </c>
      <c r="AQ40" s="52" t="str">
        <f t="shared" si="20"/>
        <v/>
      </c>
      <c r="AR40" s="52" t="str">
        <f t="shared" si="21"/>
        <v/>
      </c>
      <c r="AS40" s="52" t="str">
        <f t="shared" si="22"/>
        <v/>
      </c>
      <c r="AT40" s="52" t="str">
        <f t="shared" si="23"/>
        <v/>
      </c>
      <c r="AU40" s="52" t="str">
        <f t="shared" si="24"/>
        <v/>
      </c>
      <c r="AV40" s="52" t="str">
        <f t="shared" si="25"/>
        <v/>
      </c>
      <c r="AW40" s="52" t="str">
        <f t="shared" si="26"/>
        <v/>
      </c>
      <c r="AX40" s="52" t="str">
        <f t="shared" si="27"/>
        <v/>
      </c>
      <c r="AY40" s="52" t="str">
        <f t="shared" si="11"/>
        <v/>
      </c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13"/>
    </row>
    <row r="41" spans="1:163">
      <c r="A41" s="71"/>
      <c r="B41" s="70"/>
      <c r="C41" s="72"/>
      <c r="D41" s="73"/>
      <c r="E41" s="73"/>
      <c r="F41" s="73"/>
      <c r="G41" s="73"/>
      <c r="H41" s="73"/>
      <c r="I41" s="74"/>
      <c r="J41" s="74"/>
      <c r="K41" s="74"/>
      <c r="L41" s="73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5"/>
      <c r="Y41" s="70"/>
      <c r="Z41" s="12">
        <f t="shared" si="2"/>
        <v>0</v>
      </c>
      <c r="AA41" s="14">
        <f t="shared" si="3"/>
        <v>0</v>
      </c>
      <c r="AB41" s="6">
        <f t="shared" si="4"/>
        <v>0</v>
      </c>
      <c r="AC41" s="6">
        <f t="shared" si="5"/>
        <v>0</v>
      </c>
      <c r="AD41" s="6">
        <f t="shared" si="6"/>
        <v>0</v>
      </c>
      <c r="AE41" s="52" t="str">
        <f t="shared" si="7"/>
        <v/>
      </c>
      <c r="AF41" s="52" t="str">
        <f t="shared" si="8"/>
        <v/>
      </c>
      <c r="AG41" s="50" t="str">
        <f t="shared" si="9"/>
        <v/>
      </c>
      <c r="AH41" s="50" t="str">
        <f t="shared" si="10"/>
        <v/>
      </c>
      <c r="AI41" s="52" t="str">
        <f t="shared" si="12"/>
        <v/>
      </c>
      <c r="AJ41" s="52" t="str">
        <f t="shared" si="13"/>
        <v/>
      </c>
      <c r="AK41" s="52" t="str">
        <f t="shared" si="14"/>
        <v/>
      </c>
      <c r="AL41" s="52" t="str">
        <f t="shared" si="15"/>
        <v/>
      </c>
      <c r="AM41" s="52" t="str">
        <f t="shared" si="16"/>
        <v/>
      </c>
      <c r="AN41" s="52" t="str">
        <f t="shared" si="17"/>
        <v/>
      </c>
      <c r="AO41" s="52" t="str">
        <f t="shared" si="18"/>
        <v/>
      </c>
      <c r="AP41" s="52" t="str">
        <f t="shared" si="19"/>
        <v/>
      </c>
      <c r="AQ41" s="52" t="str">
        <f t="shared" si="20"/>
        <v/>
      </c>
      <c r="AR41" s="52" t="str">
        <f t="shared" si="21"/>
        <v/>
      </c>
      <c r="AS41" s="52" t="str">
        <f t="shared" si="22"/>
        <v/>
      </c>
      <c r="AT41" s="52" t="str">
        <f t="shared" si="23"/>
        <v/>
      </c>
      <c r="AU41" s="52" t="str">
        <f t="shared" si="24"/>
        <v/>
      </c>
      <c r="AV41" s="52" t="str">
        <f t="shared" si="25"/>
        <v/>
      </c>
      <c r="AW41" s="52" t="str">
        <f t="shared" si="26"/>
        <v/>
      </c>
      <c r="AX41" s="52" t="str">
        <f t="shared" si="27"/>
        <v/>
      </c>
      <c r="AY41" s="52" t="str">
        <f t="shared" si="11"/>
        <v/>
      </c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13"/>
    </row>
    <row r="42" spans="1:163">
      <c r="A42" s="71"/>
      <c r="B42" s="70"/>
      <c r="C42" s="72"/>
      <c r="D42" s="73"/>
      <c r="E42" s="73"/>
      <c r="F42" s="73"/>
      <c r="G42" s="73"/>
      <c r="H42" s="73"/>
      <c r="I42" s="74"/>
      <c r="J42" s="74"/>
      <c r="K42" s="74"/>
      <c r="L42" s="73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5"/>
      <c r="Y42" s="70"/>
      <c r="Z42" s="12">
        <f t="shared" si="2"/>
        <v>0</v>
      </c>
      <c r="AA42" s="14">
        <f t="shared" si="3"/>
        <v>0</v>
      </c>
      <c r="AB42" s="6">
        <f t="shared" si="4"/>
        <v>0</v>
      </c>
      <c r="AC42" s="6">
        <f t="shared" si="5"/>
        <v>0</v>
      </c>
      <c r="AD42" s="6">
        <f t="shared" si="6"/>
        <v>0</v>
      </c>
      <c r="AE42" s="52" t="str">
        <f t="shared" si="7"/>
        <v/>
      </c>
      <c r="AF42" s="52" t="str">
        <f t="shared" si="8"/>
        <v/>
      </c>
      <c r="AG42" s="50" t="str">
        <f t="shared" si="9"/>
        <v/>
      </c>
      <c r="AH42" s="50" t="str">
        <f t="shared" si="10"/>
        <v/>
      </c>
      <c r="AI42" s="52" t="str">
        <f t="shared" si="12"/>
        <v/>
      </c>
      <c r="AJ42" s="52" t="str">
        <f t="shared" si="13"/>
        <v/>
      </c>
      <c r="AK42" s="52" t="str">
        <f t="shared" si="14"/>
        <v/>
      </c>
      <c r="AL42" s="52" t="str">
        <f t="shared" si="15"/>
        <v/>
      </c>
      <c r="AM42" s="52" t="str">
        <f t="shared" si="16"/>
        <v/>
      </c>
      <c r="AN42" s="52" t="str">
        <f t="shared" si="17"/>
        <v/>
      </c>
      <c r="AO42" s="52" t="str">
        <f t="shared" si="18"/>
        <v/>
      </c>
      <c r="AP42" s="52" t="str">
        <f t="shared" si="19"/>
        <v/>
      </c>
      <c r="AQ42" s="52" t="str">
        <f t="shared" si="20"/>
        <v/>
      </c>
      <c r="AR42" s="52" t="str">
        <f t="shared" si="21"/>
        <v/>
      </c>
      <c r="AS42" s="52" t="str">
        <f t="shared" si="22"/>
        <v/>
      </c>
      <c r="AT42" s="52" t="str">
        <f t="shared" si="23"/>
        <v/>
      </c>
      <c r="AU42" s="52" t="str">
        <f t="shared" si="24"/>
        <v/>
      </c>
      <c r="AV42" s="52" t="str">
        <f t="shared" si="25"/>
        <v/>
      </c>
      <c r="AW42" s="52" t="str">
        <f t="shared" si="26"/>
        <v/>
      </c>
      <c r="AX42" s="52" t="str">
        <f t="shared" si="27"/>
        <v/>
      </c>
      <c r="AY42" s="52" t="str">
        <f t="shared" si="11"/>
        <v/>
      </c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13"/>
    </row>
    <row r="43" spans="1:163">
      <c r="A43" s="71"/>
      <c r="B43" s="70"/>
      <c r="C43" s="72"/>
      <c r="D43" s="73"/>
      <c r="E43" s="73"/>
      <c r="F43" s="73"/>
      <c r="G43" s="73"/>
      <c r="H43" s="73"/>
      <c r="I43" s="74"/>
      <c r="J43" s="74"/>
      <c r="K43" s="74"/>
      <c r="L43" s="73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5"/>
      <c r="Y43" s="70"/>
      <c r="Z43" s="12">
        <f t="shared" si="2"/>
        <v>0</v>
      </c>
      <c r="AA43" s="14">
        <f t="shared" si="3"/>
        <v>0</v>
      </c>
      <c r="AB43" s="6">
        <f t="shared" si="4"/>
        <v>0</v>
      </c>
      <c r="AC43" s="6">
        <f t="shared" si="5"/>
        <v>0</v>
      </c>
      <c r="AD43" s="6">
        <f t="shared" si="6"/>
        <v>0</v>
      </c>
      <c r="AE43" s="52" t="str">
        <f t="shared" si="7"/>
        <v/>
      </c>
      <c r="AF43" s="52" t="str">
        <f t="shared" si="8"/>
        <v/>
      </c>
      <c r="AG43" s="50" t="str">
        <f t="shared" si="9"/>
        <v/>
      </c>
      <c r="AH43" s="50" t="str">
        <f t="shared" si="10"/>
        <v/>
      </c>
      <c r="AI43" s="52" t="str">
        <f t="shared" si="12"/>
        <v/>
      </c>
      <c r="AJ43" s="52" t="str">
        <f t="shared" si="13"/>
        <v/>
      </c>
      <c r="AK43" s="52" t="str">
        <f t="shared" si="14"/>
        <v/>
      </c>
      <c r="AL43" s="52" t="str">
        <f t="shared" si="15"/>
        <v/>
      </c>
      <c r="AM43" s="52" t="str">
        <f t="shared" si="16"/>
        <v/>
      </c>
      <c r="AN43" s="52" t="str">
        <f t="shared" si="17"/>
        <v/>
      </c>
      <c r="AO43" s="52" t="str">
        <f t="shared" si="18"/>
        <v/>
      </c>
      <c r="AP43" s="52" t="str">
        <f t="shared" si="19"/>
        <v/>
      </c>
      <c r="AQ43" s="52" t="str">
        <f t="shared" si="20"/>
        <v/>
      </c>
      <c r="AR43" s="52" t="str">
        <f t="shared" si="21"/>
        <v/>
      </c>
      <c r="AS43" s="52" t="str">
        <f t="shared" si="22"/>
        <v/>
      </c>
      <c r="AT43" s="52" t="str">
        <f t="shared" si="23"/>
        <v/>
      </c>
      <c r="AU43" s="52" t="str">
        <f t="shared" si="24"/>
        <v/>
      </c>
      <c r="AV43" s="52" t="str">
        <f t="shared" si="25"/>
        <v/>
      </c>
      <c r="AW43" s="52" t="str">
        <f t="shared" si="26"/>
        <v/>
      </c>
      <c r="AX43" s="52" t="str">
        <f t="shared" si="27"/>
        <v/>
      </c>
      <c r="AY43" s="52" t="str">
        <f t="shared" si="11"/>
        <v/>
      </c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13"/>
    </row>
    <row r="44" spans="1:163">
      <c r="A44" s="71"/>
      <c r="B44" s="70"/>
      <c r="C44" s="72"/>
      <c r="D44" s="73"/>
      <c r="E44" s="73"/>
      <c r="F44" s="73"/>
      <c r="G44" s="73"/>
      <c r="H44" s="73"/>
      <c r="I44" s="74"/>
      <c r="J44" s="74"/>
      <c r="K44" s="74"/>
      <c r="L44" s="73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5"/>
      <c r="Y44" s="70"/>
      <c r="Z44" s="12">
        <f t="shared" si="2"/>
        <v>0</v>
      </c>
      <c r="AA44" s="14">
        <f t="shared" si="3"/>
        <v>0</v>
      </c>
      <c r="AB44" s="6">
        <f t="shared" si="4"/>
        <v>0</v>
      </c>
      <c r="AC44" s="6">
        <f t="shared" si="5"/>
        <v>0</v>
      </c>
      <c r="AD44" s="6">
        <f t="shared" si="6"/>
        <v>0</v>
      </c>
      <c r="AE44" s="52" t="str">
        <f t="shared" si="7"/>
        <v/>
      </c>
      <c r="AF44" s="52" t="str">
        <f t="shared" si="8"/>
        <v/>
      </c>
      <c r="AG44" s="50" t="str">
        <f t="shared" si="9"/>
        <v/>
      </c>
      <c r="AH44" s="50" t="str">
        <f t="shared" si="10"/>
        <v/>
      </c>
      <c r="AI44" s="52" t="str">
        <f t="shared" si="12"/>
        <v/>
      </c>
      <c r="AJ44" s="52" t="str">
        <f t="shared" si="13"/>
        <v/>
      </c>
      <c r="AK44" s="52" t="str">
        <f t="shared" si="14"/>
        <v/>
      </c>
      <c r="AL44" s="52" t="str">
        <f t="shared" si="15"/>
        <v/>
      </c>
      <c r="AM44" s="52" t="str">
        <f t="shared" si="16"/>
        <v/>
      </c>
      <c r="AN44" s="52" t="str">
        <f t="shared" si="17"/>
        <v/>
      </c>
      <c r="AO44" s="52" t="str">
        <f t="shared" si="18"/>
        <v/>
      </c>
      <c r="AP44" s="52" t="str">
        <f t="shared" si="19"/>
        <v/>
      </c>
      <c r="AQ44" s="52" t="str">
        <f t="shared" si="20"/>
        <v/>
      </c>
      <c r="AR44" s="52" t="str">
        <f t="shared" si="21"/>
        <v/>
      </c>
      <c r="AS44" s="52" t="str">
        <f t="shared" si="22"/>
        <v/>
      </c>
      <c r="AT44" s="52" t="str">
        <f t="shared" si="23"/>
        <v/>
      </c>
      <c r="AU44" s="52" t="str">
        <f t="shared" si="24"/>
        <v/>
      </c>
      <c r="AV44" s="52" t="str">
        <f t="shared" si="25"/>
        <v/>
      </c>
      <c r="AW44" s="52" t="str">
        <f t="shared" si="26"/>
        <v/>
      </c>
      <c r="AX44" s="52" t="str">
        <f t="shared" si="27"/>
        <v/>
      </c>
      <c r="AY44" s="52" t="str">
        <f t="shared" si="11"/>
        <v/>
      </c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13"/>
    </row>
    <row r="45" spans="1:163">
      <c r="A45" s="71"/>
      <c r="B45" s="70"/>
      <c r="C45" s="72"/>
      <c r="D45" s="73"/>
      <c r="E45" s="73"/>
      <c r="F45" s="73"/>
      <c r="G45" s="73"/>
      <c r="H45" s="73"/>
      <c r="I45" s="74"/>
      <c r="J45" s="74"/>
      <c r="K45" s="74"/>
      <c r="L45" s="73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5"/>
      <c r="Y45" s="70"/>
      <c r="Z45" s="12">
        <f t="shared" si="2"/>
        <v>0</v>
      </c>
      <c r="AA45" s="14">
        <f t="shared" si="3"/>
        <v>0</v>
      </c>
      <c r="AB45" s="6">
        <f t="shared" si="4"/>
        <v>0</v>
      </c>
      <c r="AC45" s="6">
        <f t="shared" si="5"/>
        <v>0</v>
      </c>
      <c r="AD45" s="6">
        <f t="shared" si="6"/>
        <v>0</v>
      </c>
      <c r="AE45" s="52" t="str">
        <f t="shared" si="7"/>
        <v/>
      </c>
      <c r="AF45" s="52" t="str">
        <f t="shared" si="8"/>
        <v/>
      </c>
      <c r="AG45" s="50" t="str">
        <f t="shared" si="9"/>
        <v/>
      </c>
      <c r="AH45" s="50" t="str">
        <f t="shared" si="10"/>
        <v/>
      </c>
      <c r="AI45" s="52" t="str">
        <f t="shared" si="12"/>
        <v/>
      </c>
      <c r="AJ45" s="52" t="str">
        <f t="shared" si="13"/>
        <v/>
      </c>
      <c r="AK45" s="52" t="str">
        <f t="shared" si="14"/>
        <v/>
      </c>
      <c r="AL45" s="52" t="str">
        <f t="shared" si="15"/>
        <v/>
      </c>
      <c r="AM45" s="52" t="str">
        <f t="shared" si="16"/>
        <v/>
      </c>
      <c r="AN45" s="52" t="str">
        <f t="shared" si="17"/>
        <v/>
      </c>
      <c r="AO45" s="52" t="str">
        <f t="shared" si="18"/>
        <v/>
      </c>
      <c r="AP45" s="52" t="str">
        <f t="shared" si="19"/>
        <v/>
      </c>
      <c r="AQ45" s="52" t="str">
        <f t="shared" si="20"/>
        <v/>
      </c>
      <c r="AR45" s="52" t="str">
        <f t="shared" si="21"/>
        <v/>
      </c>
      <c r="AS45" s="52" t="str">
        <f t="shared" si="22"/>
        <v/>
      </c>
      <c r="AT45" s="52" t="str">
        <f t="shared" si="23"/>
        <v/>
      </c>
      <c r="AU45" s="52" t="str">
        <f t="shared" si="24"/>
        <v/>
      </c>
      <c r="AV45" s="52" t="str">
        <f t="shared" si="25"/>
        <v/>
      </c>
      <c r="AW45" s="52" t="str">
        <f t="shared" si="26"/>
        <v/>
      </c>
      <c r="AX45" s="52" t="str">
        <f t="shared" si="27"/>
        <v/>
      </c>
      <c r="AY45" s="52" t="str">
        <f t="shared" si="11"/>
        <v/>
      </c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13"/>
    </row>
    <row r="46" spans="1:163">
      <c r="A46" s="71"/>
      <c r="B46" s="70"/>
      <c r="C46" s="72"/>
      <c r="D46" s="73"/>
      <c r="E46" s="73"/>
      <c r="F46" s="73"/>
      <c r="G46" s="73"/>
      <c r="H46" s="73"/>
      <c r="I46" s="74"/>
      <c r="J46" s="74"/>
      <c r="K46" s="74"/>
      <c r="L46" s="73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5"/>
      <c r="Y46" s="70"/>
      <c r="Z46" s="12">
        <f t="shared" si="2"/>
        <v>0</v>
      </c>
      <c r="AA46" s="14">
        <f t="shared" si="3"/>
        <v>0</v>
      </c>
      <c r="AB46" s="6">
        <f t="shared" si="4"/>
        <v>0</v>
      </c>
      <c r="AC46" s="6">
        <f t="shared" si="5"/>
        <v>0</v>
      </c>
      <c r="AD46" s="6">
        <f t="shared" si="6"/>
        <v>0</v>
      </c>
      <c r="AE46" s="52" t="str">
        <f t="shared" si="7"/>
        <v/>
      </c>
      <c r="AF46" s="52" t="str">
        <f t="shared" si="8"/>
        <v/>
      </c>
      <c r="AG46" s="50" t="str">
        <f t="shared" si="9"/>
        <v/>
      </c>
      <c r="AH46" s="50" t="str">
        <f t="shared" si="10"/>
        <v/>
      </c>
      <c r="AI46" s="52" t="str">
        <f t="shared" si="12"/>
        <v/>
      </c>
      <c r="AJ46" s="52" t="str">
        <f t="shared" si="13"/>
        <v/>
      </c>
      <c r="AK46" s="52" t="str">
        <f t="shared" si="14"/>
        <v/>
      </c>
      <c r="AL46" s="52" t="str">
        <f t="shared" si="15"/>
        <v/>
      </c>
      <c r="AM46" s="52" t="str">
        <f t="shared" si="16"/>
        <v/>
      </c>
      <c r="AN46" s="52" t="str">
        <f t="shared" si="17"/>
        <v/>
      </c>
      <c r="AO46" s="52" t="str">
        <f t="shared" si="18"/>
        <v/>
      </c>
      <c r="AP46" s="52" t="str">
        <f t="shared" si="19"/>
        <v/>
      </c>
      <c r="AQ46" s="52" t="str">
        <f t="shared" si="20"/>
        <v/>
      </c>
      <c r="AR46" s="52" t="str">
        <f t="shared" si="21"/>
        <v/>
      </c>
      <c r="AS46" s="52" t="str">
        <f t="shared" si="22"/>
        <v/>
      </c>
      <c r="AT46" s="52" t="str">
        <f t="shared" si="23"/>
        <v/>
      </c>
      <c r="AU46" s="52" t="str">
        <f t="shared" si="24"/>
        <v/>
      </c>
      <c r="AV46" s="52" t="str">
        <f t="shared" si="25"/>
        <v/>
      </c>
      <c r="AW46" s="52" t="str">
        <f t="shared" si="26"/>
        <v/>
      </c>
      <c r="AX46" s="52" t="str">
        <f t="shared" si="27"/>
        <v/>
      </c>
      <c r="AY46" s="52" t="str">
        <f t="shared" si="11"/>
        <v/>
      </c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13"/>
    </row>
    <row r="47" spans="1:163">
      <c r="A47" s="71"/>
      <c r="B47" s="70"/>
      <c r="C47" s="72"/>
      <c r="D47" s="73"/>
      <c r="E47" s="73"/>
      <c r="F47" s="73"/>
      <c r="G47" s="73"/>
      <c r="H47" s="73"/>
      <c r="I47" s="74"/>
      <c r="J47" s="74"/>
      <c r="K47" s="74"/>
      <c r="L47" s="73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5"/>
      <c r="Y47" s="70"/>
      <c r="Z47" s="12">
        <f t="shared" si="2"/>
        <v>0</v>
      </c>
      <c r="AA47" s="14">
        <f t="shared" si="3"/>
        <v>0</v>
      </c>
      <c r="AB47" s="6">
        <f t="shared" si="4"/>
        <v>0</v>
      </c>
      <c r="AC47" s="6">
        <f t="shared" si="5"/>
        <v>0</v>
      </c>
      <c r="AD47" s="6">
        <f t="shared" si="6"/>
        <v>0</v>
      </c>
      <c r="AE47" s="52" t="str">
        <f t="shared" si="7"/>
        <v/>
      </c>
      <c r="AF47" s="52" t="str">
        <f t="shared" si="8"/>
        <v/>
      </c>
      <c r="AG47" s="50" t="str">
        <f t="shared" si="9"/>
        <v/>
      </c>
      <c r="AH47" s="50" t="str">
        <f t="shared" si="10"/>
        <v/>
      </c>
      <c r="AI47" s="52" t="str">
        <f t="shared" si="12"/>
        <v/>
      </c>
      <c r="AJ47" s="52" t="str">
        <f t="shared" si="13"/>
        <v/>
      </c>
      <c r="AK47" s="52" t="str">
        <f t="shared" si="14"/>
        <v/>
      </c>
      <c r="AL47" s="52" t="str">
        <f t="shared" si="15"/>
        <v/>
      </c>
      <c r="AM47" s="52" t="str">
        <f t="shared" si="16"/>
        <v/>
      </c>
      <c r="AN47" s="52" t="str">
        <f t="shared" si="17"/>
        <v/>
      </c>
      <c r="AO47" s="52" t="str">
        <f t="shared" si="18"/>
        <v/>
      </c>
      <c r="AP47" s="52" t="str">
        <f t="shared" si="19"/>
        <v/>
      </c>
      <c r="AQ47" s="52" t="str">
        <f t="shared" si="20"/>
        <v/>
      </c>
      <c r="AR47" s="52" t="str">
        <f t="shared" si="21"/>
        <v/>
      </c>
      <c r="AS47" s="52" t="str">
        <f t="shared" si="22"/>
        <v/>
      </c>
      <c r="AT47" s="52" t="str">
        <f t="shared" si="23"/>
        <v/>
      </c>
      <c r="AU47" s="52" t="str">
        <f t="shared" si="24"/>
        <v/>
      </c>
      <c r="AV47" s="52" t="str">
        <f t="shared" si="25"/>
        <v/>
      </c>
      <c r="AW47" s="52" t="str">
        <f t="shared" si="26"/>
        <v/>
      </c>
      <c r="AX47" s="52" t="str">
        <f t="shared" si="27"/>
        <v/>
      </c>
      <c r="AY47" s="52" t="str">
        <f t="shared" si="11"/>
        <v/>
      </c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13"/>
    </row>
    <row r="48" spans="1:163">
      <c r="A48" s="71"/>
      <c r="B48" s="70"/>
      <c r="C48" s="72"/>
      <c r="D48" s="73"/>
      <c r="E48" s="73"/>
      <c r="F48" s="73"/>
      <c r="G48" s="73"/>
      <c r="H48" s="73"/>
      <c r="I48" s="74"/>
      <c r="J48" s="74"/>
      <c r="K48" s="74"/>
      <c r="L48" s="73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5"/>
      <c r="Y48" s="70"/>
      <c r="Z48" s="12">
        <f t="shared" si="2"/>
        <v>0</v>
      </c>
      <c r="AA48" s="14">
        <f t="shared" si="3"/>
        <v>0</v>
      </c>
      <c r="AB48" s="6">
        <f t="shared" si="4"/>
        <v>0</v>
      </c>
      <c r="AC48" s="6">
        <f t="shared" si="5"/>
        <v>0</v>
      </c>
      <c r="AD48" s="6">
        <f t="shared" si="6"/>
        <v>0</v>
      </c>
      <c r="AE48" s="52" t="str">
        <f t="shared" si="7"/>
        <v/>
      </c>
      <c r="AF48" s="52" t="str">
        <f t="shared" si="8"/>
        <v/>
      </c>
      <c r="AG48" s="50" t="str">
        <f t="shared" si="9"/>
        <v/>
      </c>
      <c r="AH48" s="50" t="str">
        <f t="shared" si="10"/>
        <v/>
      </c>
      <c r="AI48" s="52" t="str">
        <f t="shared" si="12"/>
        <v/>
      </c>
      <c r="AJ48" s="52" t="str">
        <f t="shared" si="13"/>
        <v/>
      </c>
      <c r="AK48" s="52" t="str">
        <f t="shared" si="14"/>
        <v/>
      </c>
      <c r="AL48" s="52" t="str">
        <f t="shared" si="15"/>
        <v/>
      </c>
      <c r="AM48" s="52" t="str">
        <f t="shared" si="16"/>
        <v/>
      </c>
      <c r="AN48" s="52" t="str">
        <f t="shared" si="17"/>
        <v/>
      </c>
      <c r="AO48" s="52" t="str">
        <f t="shared" si="18"/>
        <v/>
      </c>
      <c r="AP48" s="52" t="str">
        <f t="shared" si="19"/>
        <v/>
      </c>
      <c r="AQ48" s="52" t="str">
        <f t="shared" si="20"/>
        <v/>
      </c>
      <c r="AR48" s="52" t="str">
        <f t="shared" si="21"/>
        <v/>
      </c>
      <c r="AS48" s="52" t="str">
        <f t="shared" si="22"/>
        <v/>
      </c>
      <c r="AT48" s="52" t="str">
        <f t="shared" si="23"/>
        <v/>
      </c>
      <c r="AU48" s="52" t="str">
        <f t="shared" si="24"/>
        <v/>
      </c>
      <c r="AV48" s="52" t="str">
        <f t="shared" si="25"/>
        <v/>
      </c>
      <c r="AW48" s="52" t="str">
        <f t="shared" si="26"/>
        <v/>
      </c>
      <c r="AX48" s="52" t="str">
        <f t="shared" si="27"/>
        <v/>
      </c>
      <c r="AY48" s="52" t="str">
        <f t="shared" si="11"/>
        <v/>
      </c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13"/>
    </row>
    <row r="49" spans="1:163">
      <c r="A49" s="71"/>
      <c r="B49" s="70"/>
      <c r="C49" s="72"/>
      <c r="D49" s="73"/>
      <c r="E49" s="73"/>
      <c r="F49" s="73"/>
      <c r="G49" s="73"/>
      <c r="H49" s="73"/>
      <c r="I49" s="74"/>
      <c r="J49" s="74"/>
      <c r="K49" s="74"/>
      <c r="L49" s="73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5"/>
      <c r="Y49" s="70"/>
      <c r="Z49" s="12">
        <f t="shared" si="2"/>
        <v>0</v>
      </c>
      <c r="AA49" s="14">
        <f t="shared" si="3"/>
        <v>0</v>
      </c>
      <c r="AB49" s="6">
        <f t="shared" si="4"/>
        <v>0</v>
      </c>
      <c r="AC49" s="6">
        <f t="shared" si="5"/>
        <v>0</v>
      </c>
      <c r="AD49" s="6">
        <f t="shared" si="6"/>
        <v>0</v>
      </c>
      <c r="AE49" s="52" t="str">
        <f t="shared" si="7"/>
        <v/>
      </c>
      <c r="AF49" s="52" t="str">
        <f t="shared" si="8"/>
        <v/>
      </c>
      <c r="AG49" s="50" t="str">
        <f t="shared" si="9"/>
        <v/>
      </c>
      <c r="AH49" s="50" t="str">
        <f t="shared" si="10"/>
        <v/>
      </c>
      <c r="AI49" s="52" t="str">
        <f t="shared" si="12"/>
        <v/>
      </c>
      <c r="AJ49" s="52" t="str">
        <f t="shared" si="13"/>
        <v/>
      </c>
      <c r="AK49" s="52" t="str">
        <f t="shared" si="14"/>
        <v/>
      </c>
      <c r="AL49" s="52" t="str">
        <f t="shared" si="15"/>
        <v/>
      </c>
      <c r="AM49" s="52" t="str">
        <f t="shared" si="16"/>
        <v/>
      </c>
      <c r="AN49" s="52" t="str">
        <f t="shared" si="17"/>
        <v/>
      </c>
      <c r="AO49" s="52" t="str">
        <f t="shared" si="18"/>
        <v/>
      </c>
      <c r="AP49" s="52" t="str">
        <f t="shared" si="19"/>
        <v/>
      </c>
      <c r="AQ49" s="52" t="str">
        <f t="shared" si="20"/>
        <v/>
      </c>
      <c r="AR49" s="52" t="str">
        <f t="shared" si="21"/>
        <v/>
      </c>
      <c r="AS49" s="52" t="str">
        <f t="shared" si="22"/>
        <v/>
      </c>
      <c r="AT49" s="52" t="str">
        <f t="shared" si="23"/>
        <v/>
      </c>
      <c r="AU49" s="52" t="str">
        <f t="shared" si="24"/>
        <v/>
      </c>
      <c r="AV49" s="52" t="str">
        <f t="shared" si="25"/>
        <v/>
      </c>
      <c r="AW49" s="52" t="str">
        <f t="shared" si="26"/>
        <v/>
      </c>
      <c r="AX49" s="52" t="str">
        <f t="shared" si="27"/>
        <v/>
      </c>
      <c r="AY49" s="52" t="str">
        <f t="shared" si="11"/>
        <v/>
      </c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13"/>
    </row>
    <row r="50" spans="1:163">
      <c r="A50" s="71"/>
      <c r="B50" s="70"/>
      <c r="C50" s="72"/>
      <c r="D50" s="73"/>
      <c r="E50" s="73"/>
      <c r="F50" s="73"/>
      <c r="G50" s="73"/>
      <c r="H50" s="73"/>
      <c r="I50" s="74"/>
      <c r="J50" s="74"/>
      <c r="K50" s="74"/>
      <c r="L50" s="73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5"/>
      <c r="Y50" s="70"/>
      <c r="Z50" s="12">
        <f t="shared" si="2"/>
        <v>0</v>
      </c>
      <c r="AA50" s="14">
        <f t="shared" si="3"/>
        <v>0</v>
      </c>
      <c r="AB50" s="6">
        <f t="shared" si="4"/>
        <v>0</v>
      </c>
      <c r="AC50" s="6">
        <f t="shared" si="5"/>
        <v>0</v>
      </c>
      <c r="AD50" s="6">
        <f t="shared" si="6"/>
        <v>0</v>
      </c>
      <c r="AE50" s="52" t="str">
        <f t="shared" si="7"/>
        <v/>
      </c>
      <c r="AF50" s="52" t="str">
        <f t="shared" si="8"/>
        <v/>
      </c>
      <c r="AG50" s="50" t="str">
        <f t="shared" si="9"/>
        <v/>
      </c>
      <c r="AH50" s="50" t="str">
        <f t="shared" si="10"/>
        <v/>
      </c>
      <c r="AI50" s="52" t="str">
        <f t="shared" si="12"/>
        <v/>
      </c>
      <c r="AJ50" s="52" t="str">
        <f t="shared" si="13"/>
        <v/>
      </c>
      <c r="AK50" s="52" t="str">
        <f t="shared" si="14"/>
        <v/>
      </c>
      <c r="AL50" s="52" t="str">
        <f t="shared" si="15"/>
        <v/>
      </c>
      <c r="AM50" s="52" t="str">
        <f t="shared" si="16"/>
        <v/>
      </c>
      <c r="AN50" s="52" t="str">
        <f t="shared" si="17"/>
        <v/>
      </c>
      <c r="AO50" s="52" t="str">
        <f t="shared" si="18"/>
        <v/>
      </c>
      <c r="AP50" s="52" t="str">
        <f t="shared" si="19"/>
        <v/>
      </c>
      <c r="AQ50" s="52" t="str">
        <f t="shared" si="20"/>
        <v/>
      </c>
      <c r="AR50" s="52" t="str">
        <f t="shared" si="21"/>
        <v/>
      </c>
      <c r="AS50" s="52" t="str">
        <f t="shared" si="22"/>
        <v/>
      </c>
      <c r="AT50" s="52" t="str">
        <f t="shared" si="23"/>
        <v/>
      </c>
      <c r="AU50" s="52" t="str">
        <f t="shared" si="24"/>
        <v/>
      </c>
      <c r="AV50" s="52" t="str">
        <f t="shared" si="25"/>
        <v/>
      </c>
      <c r="AW50" s="52" t="str">
        <f t="shared" si="26"/>
        <v/>
      </c>
      <c r="AX50" s="52" t="str">
        <f t="shared" si="27"/>
        <v/>
      </c>
      <c r="AY50" s="52" t="str">
        <f t="shared" si="11"/>
        <v/>
      </c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13"/>
    </row>
    <row r="51" spans="1:163">
      <c r="A51" s="71"/>
      <c r="B51" s="70"/>
      <c r="C51" s="72"/>
      <c r="D51" s="73"/>
      <c r="E51" s="73"/>
      <c r="F51" s="73"/>
      <c r="G51" s="73"/>
      <c r="H51" s="73"/>
      <c r="I51" s="74"/>
      <c r="J51" s="74"/>
      <c r="K51" s="74"/>
      <c r="L51" s="73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5"/>
      <c r="Y51" s="70"/>
      <c r="Z51" s="12">
        <f t="shared" si="2"/>
        <v>0</v>
      </c>
      <c r="AA51" s="14">
        <f t="shared" si="3"/>
        <v>0</v>
      </c>
      <c r="AB51" s="6">
        <f t="shared" si="4"/>
        <v>0</v>
      </c>
      <c r="AC51" s="6">
        <f t="shared" si="5"/>
        <v>0</v>
      </c>
      <c r="AD51" s="6">
        <f t="shared" si="6"/>
        <v>0</v>
      </c>
      <c r="AE51" s="52" t="str">
        <f t="shared" si="7"/>
        <v/>
      </c>
      <c r="AF51" s="52" t="str">
        <f t="shared" si="8"/>
        <v/>
      </c>
      <c r="AG51" s="50" t="str">
        <f t="shared" si="9"/>
        <v/>
      </c>
      <c r="AH51" s="50" t="str">
        <f t="shared" si="10"/>
        <v/>
      </c>
      <c r="AI51" s="52" t="str">
        <f t="shared" si="12"/>
        <v/>
      </c>
      <c r="AJ51" s="52" t="str">
        <f t="shared" si="13"/>
        <v/>
      </c>
      <c r="AK51" s="52" t="str">
        <f t="shared" si="14"/>
        <v/>
      </c>
      <c r="AL51" s="52" t="str">
        <f t="shared" si="15"/>
        <v/>
      </c>
      <c r="AM51" s="52" t="str">
        <f t="shared" si="16"/>
        <v/>
      </c>
      <c r="AN51" s="52" t="str">
        <f t="shared" si="17"/>
        <v/>
      </c>
      <c r="AO51" s="52" t="str">
        <f t="shared" si="18"/>
        <v/>
      </c>
      <c r="AP51" s="52" t="str">
        <f t="shared" si="19"/>
        <v/>
      </c>
      <c r="AQ51" s="52" t="str">
        <f t="shared" si="20"/>
        <v/>
      </c>
      <c r="AR51" s="52" t="str">
        <f t="shared" si="21"/>
        <v/>
      </c>
      <c r="AS51" s="52" t="str">
        <f t="shared" si="22"/>
        <v/>
      </c>
      <c r="AT51" s="52" t="str">
        <f t="shared" si="23"/>
        <v/>
      </c>
      <c r="AU51" s="52" t="str">
        <f t="shared" si="24"/>
        <v/>
      </c>
      <c r="AV51" s="52" t="str">
        <f t="shared" si="25"/>
        <v/>
      </c>
      <c r="AW51" s="52" t="str">
        <f t="shared" si="26"/>
        <v/>
      </c>
      <c r="AX51" s="52" t="str">
        <f t="shared" si="27"/>
        <v/>
      </c>
      <c r="AY51" s="52" t="str">
        <f t="shared" si="11"/>
        <v/>
      </c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13"/>
    </row>
    <row r="52" spans="1:163">
      <c r="A52" s="71"/>
      <c r="B52" s="70"/>
      <c r="C52" s="72"/>
      <c r="D52" s="73"/>
      <c r="E52" s="73"/>
      <c r="F52" s="73"/>
      <c r="G52" s="73"/>
      <c r="H52" s="73"/>
      <c r="I52" s="74"/>
      <c r="J52" s="74"/>
      <c r="K52" s="74"/>
      <c r="L52" s="73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5"/>
      <c r="Y52" s="70"/>
      <c r="Z52" s="12">
        <f t="shared" si="2"/>
        <v>0</v>
      </c>
      <c r="AA52" s="14">
        <f t="shared" si="3"/>
        <v>0</v>
      </c>
      <c r="AB52" s="6">
        <f t="shared" si="4"/>
        <v>0</v>
      </c>
      <c r="AC52" s="6">
        <f t="shared" si="5"/>
        <v>0</v>
      </c>
      <c r="AD52" s="6">
        <f t="shared" si="6"/>
        <v>0</v>
      </c>
      <c r="AE52" s="52" t="str">
        <f t="shared" si="7"/>
        <v/>
      </c>
      <c r="AF52" s="52" t="str">
        <f t="shared" si="8"/>
        <v/>
      </c>
      <c r="AG52" s="50" t="str">
        <f t="shared" si="9"/>
        <v/>
      </c>
      <c r="AH52" s="50" t="str">
        <f t="shared" si="10"/>
        <v/>
      </c>
      <c r="AI52" s="52" t="str">
        <f t="shared" si="12"/>
        <v/>
      </c>
      <c r="AJ52" s="52" t="str">
        <f t="shared" si="13"/>
        <v/>
      </c>
      <c r="AK52" s="52" t="str">
        <f t="shared" si="14"/>
        <v/>
      </c>
      <c r="AL52" s="52" t="str">
        <f t="shared" si="15"/>
        <v/>
      </c>
      <c r="AM52" s="52" t="str">
        <f t="shared" si="16"/>
        <v/>
      </c>
      <c r="AN52" s="52" t="str">
        <f t="shared" si="17"/>
        <v/>
      </c>
      <c r="AO52" s="52" t="str">
        <f t="shared" si="18"/>
        <v/>
      </c>
      <c r="AP52" s="52" t="str">
        <f t="shared" si="19"/>
        <v/>
      </c>
      <c r="AQ52" s="52" t="str">
        <f t="shared" si="20"/>
        <v/>
      </c>
      <c r="AR52" s="52" t="str">
        <f t="shared" si="21"/>
        <v/>
      </c>
      <c r="AS52" s="52" t="str">
        <f t="shared" si="22"/>
        <v/>
      </c>
      <c r="AT52" s="52" t="str">
        <f t="shared" si="23"/>
        <v/>
      </c>
      <c r="AU52" s="52" t="str">
        <f t="shared" si="24"/>
        <v/>
      </c>
      <c r="AV52" s="52" t="str">
        <f t="shared" si="25"/>
        <v/>
      </c>
      <c r="AW52" s="52" t="str">
        <f t="shared" si="26"/>
        <v/>
      </c>
      <c r="AX52" s="52" t="str">
        <f t="shared" si="27"/>
        <v/>
      </c>
      <c r="AY52" s="52" t="str">
        <f t="shared" si="11"/>
        <v/>
      </c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13"/>
    </row>
    <row r="53" spans="1:163">
      <c r="A53" s="71"/>
      <c r="B53" s="70"/>
      <c r="C53" s="72"/>
      <c r="D53" s="73"/>
      <c r="E53" s="73"/>
      <c r="F53" s="73"/>
      <c r="G53" s="73"/>
      <c r="H53" s="73"/>
      <c r="I53" s="74"/>
      <c r="J53" s="74"/>
      <c r="K53" s="74"/>
      <c r="L53" s="73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5"/>
      <c r="Y53" s="70"/>
      <c r="Z53" s="12">
        <f t="shared" si="2"/>
        <v>0</v>
      </c>
      <c r="AA53" s="14">
        <f t="shared" si="3"/>
        <v>0</v>
      </c>
      <c r="AB53" s="6">
        <f t="shared" si="4"/>
        <v>0</v>
      </c>
      <c r="AC53" s="6">
        <f t="shared" si="5"/>
        <v>0</v>
      </c>
      <c r="AD53" s="6">
        <f t="shared" si="6"/>
        <v>0</v>
      </c>
      <c r="AE53" s="52" t="str">
        <f t="shared" si="7"/>
        <v/>
      </c>
      <c r="AF53" s="52" t="str">
        <f t="shared" si="8"/>
        <v/>
      </c>
      <c r="AG53" s="50" t="str">
        <f t="shared" si="9"/>
        <v/>
      </c>
      <c r="AH53" s="50" t="str">
        <f t="shared" si="10"/>
        <v/>
      </c>
      <c r="AI53" s="52" t="str">
        <f t="shared" si="12"/>
        <v/>
      </c>
      <c r="AJ53" s="52" t="str">
        <f t="shared" si="13"/>
        <v/>
      </c>
      <c r="AK53" s="52" t="str">
        <f t="shared" si="14"/>
        <v/>
      </c>
      <c r="AL53" s="52" t="str">
        <f t="shared" si="15"/>
        <v/>
      </c>
      <c r="AM53" s="52" t="str">
        <f t="shared" si="16"/>
        <v/>
      </c>
      <c r="AN53" s="52" t="str">
        <f t="shared" si="17"/>
        <v/>
      </c>
      <c r="AO53" s="52" t="str">
        <f t="shared" si="18"/>
        <v/>
      </c>
      <c r="AP53" s="52" t="str">
        <f t="shared" si="19"/>
        <v/>
      </c>
      <c r="AQ53" s="52" t="str">
        <f t="shared" si="20"/>
        <v/>
      </c>
      <c r="AR53" s="52" t="str">
        <f t="shared" si="21"/>
        <v/>
      </c>
      <c r="AS53" s="52" t="str">
        <f t="shared" si="22"/>
        <v/>
      </c>
      <c r="AT53" s="52" t="str">
        <f t="shared" si="23"/>
        <v/>
      </c>
      <c r="AU53" s="52" t="str">
        <f t="shared" si="24"/>
        <v/>
      </c>
      <c r="AV53" s="52" t="str">
        <f t="shared" si="25"/>
        <v/>
      </c>
      <c r="AW53" s="52" t="str">
        <f t="shared" si="26"/>
        <v/>
      </c>
      <c r="AX53" s="52" t="str">
        <f t="shared" si="27"/>
        <v/>
      </c>
      <c r="AY53" s="52" t="str">
        <f t="shared" si="11"/>
        <v/>
      </c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13"/>
    </row>
    <row r="54" spans="1:163">
      <c r="A54" s="71"/>
      <c r="B54" s="70"/>
      <c r="C54" s="72"/>
      <c r="D54" s="73"/>
      <c r="E54" s="73"/>
      <c r="F54" s="73"/>
      <c r="G54" s="73"/>
      <c r="H54" s="73"/>
      <c r="I54" s="74"/>
      <c r="J54" s="74"/>
      <c r="K54" s="74"/>
      <c r="L54" s="73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5"/>
      <c r="Y54" s="70"/>
      <c r="Z54" s="12">
        <f t="shared" si="2"/>
        <v>0</v>
      </c>
      <c r="AA54" s="14">
        <f t="shared" si="3"/>
        <v>0</v>
      </c>
      <c r="AB54" s="6">
        <f t="shared" si="4"/>
        <v>0</v>
      </c>
      <c r="AC54" s="6">
        <f t="shared" si="5"/>
        <v>0</v>
      </c>
      <c r="AD54" s="6">
        <f t="shared" si="6"/>
        <v>0</v>
      </c>
      <c r="AE54" s="52" t="str">
        <f t="shared" si="7"/>
        <v/>
      </c>
      <c r="AF54" s="52" t="str">
        <f t="shared" si="8"/>
        <v/>
      </c>
      <c r="AG54" s="50" t="str">
        <f t="shared" si="9"/>
        <v/>
      </c>
      <c r="AH54" s="50" t="str">
        <f t="shared" si="10"/>
        <v/>
      </c>
      <c r="AI54" s="52" t="str">
        <f t="shared" si="12"/>
        <v/>
      </c>
      <c r="AJ54" s="52" t="str">
        <f t="shared" si="13"/>
        <v/>
      </c>
      <c r="AK54" s="52" t="str">
        <f t="shared" si="14"/>
        <v/>
      </c>
      <c r="AL54" s="52" t="str">
        <f t="shared" si="15"/>
        <v/>
      </c>
      <c r="AM54" s="52" t="str">
        <f t="shared" si="16"/>
        <v/>
      </c>
      <c r="AN54" s="52" t="str">
        <f t="shared" si="17"/>
        <v/>
      </c>
      <c r="AO54" s="52" t="str">
        <f t="shared" si="18"/>
        <v/>
      </c>
      <c r="AP54" s="52" t="str">
        <f t="shared" si="19"/>
        <v/>
      </c>
      <c r="AQ54" s="52" t="str">
        <f t="shared" si="20"/>
        <v/>
      </c>
      <c r="AR54" s="52" t="str">
        <f t="shared" si="21"/>
        <v/>
      </c>
      <c r="AS54" s="52" t="str">
        <f t="shared" si="22"/>
        <v/>
      </c>
      <c r="AT54" s="52" t="str">
        <f t="shared" si="23"/>
        <v/>
      </c>
      <c r="AU54" s="52" t="str">
        <f t="shared" si="24"/>
        <v/>
      </c>
      <c r="AV54" s="52" t="str">
        <f t="shared" si="25"/>
        <v/>
      </c>
      <c r="AW54" s="52" t="str">
        <f t="shared" si="26"/>
        <v/>
      </c>
      <c r="AX54" s="52" t="str">
        <f t="shared" si="27"/>
        <v/>
      </c>
      <c r="AY54" s="52" t="str">
        <f t="shared" si="11"/>
        <v/>
      </c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13"/>
    </row>
    <row r="55" spans="1:163">
      <c r="A55" s="71"/>
      <c r="B55" s="70"/>
      <c r="C55" s="72"/>
      <c r="D55" s="73"/>
      <c r="E55" s="73"/>
      <c r="F55" s="73"/>
      <c r="G55" s="73"/>
      <c r="H55" s="73"/>
      <c r="I55" s="74"/>
      <c r="J55" s="74"/>
      <c r="K55" s="74"/>
      <c r="L55" s="73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5"/>
      <c r="Y55" s="70"/>
      <c r="Z55" s="12">
        <f t="shared" si="2"/>
        <v>0</v>
      </c>
      <c r="AA55" s="14">
        <f t="shared" si="3"/>
        <v>0</v>
      </c>
      <c r="AB55" s="6">
        <f t="shared" si="4"/>
        <v>0</v>
      </c>
      <c r="AC55" s="6">
        <f t="shared" si="5"/>
        <v>0</v>
      </c>
      <c r="AD55" s="6">
        <f t="shared" si="6"/>
        <v>0</v>
      </c>
      <c r="AE55" s="52" t="str">
        <f t="shared" si="7"/>
        <v/>
      </c>
      <c r="AF55" s="52" t="str">
        <f t="shared" si="8"/>
        <v/>
      </c>
      <c r="AG55" s="50" t="str">
        <f t="shared" si="9"/>
        <v/>
      </c>
      <c r="AH55" s="50" t="str">
        <f t="shared" si="10"/>
        <v/>
      </c>
      <c r="AI55" s="52" t="str">
        <f t="shared" si="12"/>
        <v/>
      </c>
      <c r="AJ55" s="52" t="str">
        <f t="shared" si="13"/>
        <v/>
      </c>
      <c r="AK55" s="52" t="str">
        <f t="shared" si="14"/>
        <v/>
      </c>
      <c r="AL55" s="52" t="str">
        <f t="shared" si="15"/>
        <v/>
      </c>
      <c r="AM55" s="52" t="str">
        <f t="shared" si="16"/>
        <v/>
      </c>
      <c r="AN55" s="52" t="str">
        <f t="shared" si="17"/>
        <v/>
      </c>
      <c r="AO55" s="52" t="str">
        <f t="shared" si="18"/>
        <v/>
      </c>
      <c r="AP55" s="52" t="str">
        <f t="shared" si="19"/>
        <v/>
      </c>
      <c r="AQ55" s="52" t="str">
        <f t="shared" si="20"/>
        <v/>
      </c>
      <c r="AR55" s="52" t="str">
        <f t="shared" si="21"/>
        <v/>
      </c>
      <c r="AS55" s="52" t="str">
        <f t="shared" si="22"/>
        <v/>
      </c>
      <c r="AT55" s="52" t="str">
        <f t="shared" si="23"/>
        <v/>
      </c>
      <c r="AU55" s="52" t="str">
        <f t="shared" si="24"/>
        <v/>
      </c>
      <c r="AV55" s="52" t="str">
        <f t="shared" si="25"/>
        <v/>
      </c>
      <c r="AW55" s="52" t="str">
        <f t="shared" si="26"/>
        <v/>
      </c>
      <c r="AX55" s="52" t="str">
        <f t="shared" si="27"/>
        <v/>
      </c>
      <c r="AY55" s="52" t="str">
        <f t="shared" si="11"/>
        <v/>
      </c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13"/>
    </row>
    <row r="56" spans="1:163">
      <c r="A56" s="71"/>
      <c r="B56" s="70"/>
      <c r="C56" s="72"/>
      <c r="D56" s="73"/>
      <c r="E56" s="73"/>
      <c r="F56" s="73"/>
      <c r="G56" s="73"/>
      <c r="H56" s="73"/>
      <c r="I56" s="74"/>
      <c r="J56" s="74"/>
      <c r="K56" s="74"/>
      <c r="L56" s="73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5"/>
      <c r="Y56" s="70"/>
      <c r="Z56" s="12">
        <f t="shared" si="2"/>
        <v>0</v>
      </c>
      <c r="AA56" s="14">
        <f t="shared" si="3"/>
        <v>0</v>
      </c>
      <c r="AB56" s="6">
        <f t="shared" si="4"/>
        <v>0</v>
      </c>
      <c r="AC56" s="6">
        <f t="shared" si="5"/>
        <v>0</v>
      </c>
      <c r="AD56" s="6">
        <f t="shared" si="6"/>
        <v>0</v>
      </c>
      <c r="AE56" s="52" t="str">
        <f t="shared" si="7"/>
        <v/>
      </c>
      <c r="AF56" s="52" t="str">
        <f t="shared" si="8"/>
        <v/>
      </c>
      <c r="AG56" s="50" t="str">
        <f t="shared" si="9"/>
        <v/>
      </c>
      <c r="AH56" s="50" t="str">
        <f t="shared" si="10"/>
        <v/>
      </c>
      <c r="AI56" s="52" t="str">
        <f t="shared" si="12"/>
        <v/>
      </c>
      <c r="AJ56" s="52" t="str">
        <f t="shared" si="13"/>
        <v/>
      </c>
      <c r="AK56" s="52" t="str">
        <f t="shared" si="14"/>
        <v/>
      </c>
      <c r="AL56" s="52" t="str">
        <f t="shared" si="15"/>
        <v/>
      </c>
      <c r="AM56" s="52" t="str">
        <f t="shared" si="16"/>
        <v/>
      </c>
      <c r="AN56" s="52" t="str">
        <f t="shared" si="17"/>
        <v/>
      </c>
      <c r="AO56" s="52" t="str">
        <f t="shared" si="18"/>
        <v/>
      </c>
      <c r="AP56" s="52" t="str">
        <f t="shared" si="19"/>
        <v/>
      </c>
      <c r="AQ56" s="52" t="str">
        <f t="shared" si="20"/>
        <v/>
      </c>
      <c r="AR56" s="52" t="str">
        <f t="shared" si="21"/>
        <v/>
      </c>
      <c r="AS56" s="52" t="str">
        <f t="shared" si="22"/>
        <v/>
      </c>
      <c r="AT56" s="52" t="str">
        <f t="shared" si="23"/>
        <v/>
      </c>
      <c r="AU56" s="52" t="str">
        <f t="shared" si="24"/>
        <v/>
      </c>
      <c r="AV56" s="52" t="str">
        <f t="shared" si="25"/>
        <v/>
      </c>
      <c r="AW56" s="52" t="str">
        <f t="shared" si="26"/>
        <v/>
      </c>
      <c r="AX56" s="52" t="str">
        <f t="shared" si="27"/>
        <v/>
      </c>
      <c r="AY56" s="52" t="str">
        <f t="shared" si="11"/>
        <v/>
      </c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13"/>
    </row>
    <row r="57" spans="1:163">
      <c r="A57" s="71"/>
      <c r="B57" s="70"/>
      <c r="C57" s="72"/>
      <c r="D57" s="73"/>
      <c r="E57" s="73"/>
      <c r="F57" s="73"/>
      <c r="G57" s="73"/>
      <c r="H57" s="73"/>
      <c r="I57" s="74"/>
      <c r="J57" s="74"/>
      <c r="K57" s="74"/>
      <c r="L57" s="73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5"/>
      <c r="Y57" s="70"/>
      <c r="Z57" s="12">
        <f t="shared" si="2"/>
        <v>0</v>
      </c>
      <c r="AA57" s="14">
        <f t="shared" si="3"/>
        <v>0</v>
      </c>
      <c r="AB57" s="6">
        <f t="shared" si="4"/>
        <v>0</v>
      </c>
      <c r="AC57" s="6">
        <f t="shared" si="5"/>
        <v>0</v>
      </c>
      <c r="AD57" s="6">
        <f t="shared" si="6"/>
        <v>0</v>
      </c>
      <c r="AE57" s="52" t="str">
        <f t="shared" si="7"/>
        <v/>
      </c>
      <c r="AF57" s="52" t="str">
        <f t="shared" si="8"/>
        <v/>
      </c>
      <c r="AG57" s="50" t="str">
        <f t="shared" si="9"/>
        <v/>
      </c>
      <c r="AH57" s="50" t="str">
        <f t="shared" si="10"/>
        <v/>
      </c>
      <c r="AI57" s="52" t="str">
        <f t="shared" si="12"/>
        <v/>
      </c>
      <c r="AJ57" s="52" t="str">
        <f t="shared" si="13"/>
        <v/>
      </c>
      <c r="AK57" s="52" t="str">
        <f t="shared" si="14"/>
        <v/>
      </c>
      <c r="AL57" s="52" t="str">
        <f t="shared" si="15"/>
        <v/>
      </c>
      <c r="AM57" s="52" t="str">
        <f t="shared" si="16"/>
        <v/>
      </c>
      <c r="AN57" s="52" t="str">
        <f t="shared" si="17"/>
        <v/>
      </c>
      <c r="AO57" s="52" t="str">
        <f t="shared" si="18"/>
        <v/>
      </c>
      <c r="AP57" s="52" t="str">
        <f t="shared" si="19"/>
        <v/>
      </c>
      <c r="AQ57" s="52" t="str">
        <f t="shared" si="20"/>
        <v/>
      </c>
      <c r="AR57" s="52" t="str">
        <f t="shared" si="21"/>
        <v/>
      </c>
      <c r="AS57" s="52" t="str">
        <f t="shared" si="22"/>
        <v/>
      </c>
      <c r="AT57" s="52" t="str">
        <f t="shared" si="23"/>
        <v/>
      </c>
      <c r="AU57" s="52" t="str">
        <f t="shared" si="24"/>
        <v/>
      </c>
      <c r="AV57" s="52" t="str">
        <f t="shared" si="25"/>
        <v/>
      </c>
      <c r="AW57" s="52" t="str">
        <f t="shared" si="26"/>
        <v/>
      </c>
      <c r="AX57" s="52" t="str">
        <f t="shared" si="27"/>
        <v/>
      </c>
      <c r="AY57" s="52" t="str">
        <f t="shared" si="11"/>
        <v/>
      </c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13"/>
    </row>
    <row r="58" spans="1:163">
      <c r="A58" s="71"/>
      <c r="B58" s="70"/>
      <c r="C58" s="72"/>
      <c r="D58" s="73"/>
      <c r="E58" s="73"/>
      <c r="F58" s="73"/>
      <c r="G58" s="73"/>
      <c r="H58" s="73"/>
      <c r="I58" s="74"/>
      <c r="J58" s="74"/>
      <c r="K58" s="74"/>
      <c r="L58" s="73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5"/>
      <c r="Y58" s="70"/>
      <c r="Z58" s="12">
        <f t="shared" si="2"/>
        <v>0</v>
      </c>
      <c r="AA58" s="14">
        <f t="shared" si="3"/>
        <v>0</v>
      </c>
      <c r="AB58" s="6">
        <f t="shared" si="4"/>
        <v>0</v>
      </c>
      <c r="AC58" s="6">
        <f t="shared" si="5"/>
        <v>0</v>
      </c>
      <c r="AD58" s="6">
        <f t="shared" si="6"/>
        <v>0</v>
      </c>
      <c r="AE58" s="52" t="str">
        <f t="shared" si="7"/>
        <v/>
      </c>
      <c r="AF58" s="52" t="str">
        <f t="shared" si="8"/>
        <v/>
      </c>
      <c r="AG58" s="50" t="str">
        <f t="shared" si="9"/>
        <v/>
      </c>
      <c r="AH58" s="50" t="str">
        <f t="shared" si="10"/>
        <v/>
      </c>
      <c r="AI58" s="52" t="str">
        <f t="shared" si="12"/>
        <v/>
      </c>
      <c r="AJ58" s="52" t="str">
        <f t="shared" si="13"/>
        <v/>
      </c>
      <c r="AK58" s="52" t="str">
        <f t="shared" si="14"/>
        <v/>
      </c>
      <c r="AL58" s="52" t="str">
        <f t="shared" si="15"/>
        <v/>
      </c>
      <c r="AM58" s="52" t="str">
        <f t="shared" si="16"/>
        <v/>
      </c>
      <c r="AN58" s="52" t="str">
        <f t="shared" si="17"/>
        <v/>
      </c>
      <c r="AO58" s="52" t="str">
        <f t="shared" si="18"/>
        <v/>
      </c>
      <c r="AP58" s="52" t="str">
        <f t="shared" si="19"/>
        <v/>
      </c>
      <c r="AQ58" s="52" t="str">
        <f t="shared" si="20"/>
        <v/>
      </c>
      <c r="AR58" s="52" t="str">
        <f t="shared" si="21"/>
        <v/>
      </c>
      <c r="AS58" s="52" t="str">
        <f t="shared" si="22"/>
        <v/>
      </c>
      <c r="AT58" s="52" t="str">
        <f t="shared" si="23"/>
        <v/>
      </c>
      <c r="AU58" s="52" t="str">
        <f t="shared" si="24"/>
        <v/>
      </c>
      <c r="AV58" s="52" t="str">
        <f t="shared" si="25"/>
        <v/>
      </c>
      <c r="AW58" s="52" t="str">
        <f t="shared" si="26"/>
        <v/>
      </c>
      <c r="AX58" s="52" t="str">
        <f t="shared" si="27"/>
        <v/>
      </c>
      <c r="AY58" s="52" t="str">
        <f t="shared" si="11"/>
        <v/>
      </c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13"/>
    </row>
    <row r="59" spans="1:163">
      <c r="A59" s="71"/>
      <c r="B59" s="70"/>
      <c r="C59" s="72"/>
      <c r="D59" s="73"/>
      <c r="E59" s="73"/>
      <c r="F59" s="73"/>
      <c r="G59" s="73"/>
      <c r="H59" s="73"/>
      <c r="I59" s="74"/>
      <c r="J59" s="74"/>
      <c r="K59" s="74"/>
      <c r="L59" s="73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5"/>
      <c r="Y59" s="70"/>
      <c r="Z59" s="12">
        <f t="shared" si="2"/>
        <v>0</v>
      </c>
      <c r="AA59" s="14">
        <f t="shared" si="3"/>
        <v>0</v>
      </c>
      <c r="AB59" s="6">
        <f t="shared" si="4"/>
        <v>0</v>
      </c>
      <c r="AC59" s="6">
        <f t="shared" si="5"/>
        <v>0</v>
      </c>
      <c r="AD59" s="6">
        <f t="shared" si="6"/>
        <v>0</v>
      </c>
      <c r="AE59" s="52" t="str">
        <f t="shared" si="7"/>
        <v/>
      </c>
      <c r="AF59" s="52" t="str">
        <f t="shared" si="8"/>
        <v/>
      </c>
      <c r="AG59" s="50" t="str">
        <f t="shared" si="9"/>
        <v/>
      </c>
      <c r="AH59" s="50" t="str">
        <f t="shared" si="10"/>
        <v/>
      </c>
      <c r="AI59" s="52" t="str">
        <f t="shared" si="12"/>
        <v/>
      </c>
      <c r="AJ59" s="52" t="str">
        <f t="shared" si="13"/>
        <v/>
      </c>
      <c r="AK59" s="52" t="str">
        <f t="shared" si="14"/>
        <v/>
      </c>
      <c r="AL59" s="52" t="str">
        <f t="shared" si="15"/>
        <v/>
      </c>
      <c r="AM59" s="52" t="str">
        <f t="shared" si="16"/>
        <v/>
      </c>
      <c r="AN59" s="52" t="str">
        <f t="shared" si="17"/>
        <v/>
      </c>
      <c r="AO59" s="52" t="str">
        <f t="shared" si="18"/>
        <v/>
      </c>
      <c r="AP59" s="52" t="str">
        <f t="shared" si="19"/>
        <v/>
      </c>
      <c r="AQ59" s="52" t="str">
        <f t="shared" si="20"/>
        <v/>
      </c>
      <c r="AR59" s="52" t="str">
        <f t="shared" si="21"/>
        <v/>
      </c>
      <c r="AS59" s="52" t="str">
        <f t="shared" si="22"/>
        <v/>
      </c>
      <c r="AT59" s="52" t="str">
        <f t="shared" si="23"/>
        <v/>
      </c>
      <c r="AU59" s="52" t="str">
        <f t="shared" si="24"/>
        <v/>
      </c>
      <c r="AV59" s="52" t="str">
        <f t="shared" si="25"/>
        <v/>
      </c>
      <c r="AW59" s="52" t="str">
        <f t="shared" si="26"/>
        <v/>
      </c>
      <c r="AX59" s="52" t="str">
        <f t="shared" si="27"/>
        <v/>
      </c>
      <c r="AY59" s="52" t="str">
        <f t="shared" si="11"/>
        <v/>
      </c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13"/>
    </row>
    <row r="60" spans="1:163">
      <c r="A60" s="71"/>
      <c r="B60" s="70"/>
      <c r="C60" s="72"/>
      <c r="D60" s="73"/>
      <c r="E60" s="73"/>
      <c r="F60" s="73"/>
      <c r="G60" s="73"/>
      <c r="H60" s="73"/>
      <c r="I60" s="74"/>
      <c r="J60" s="74"/>
      <c r="K60" s="74"/>
      <c r="L60" s="73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5"/>
      <c r="Y60" s="70"/>
      <c r="Z60" s="12">
        <f t="shared" si="2"/>
        <v>0</v>
      </c>
      <c r="AA60" s="14">
        <f t="shared" si="3"/>
        <v>0</v>
      </c>
      <c r="AB60" s="6">
        <f t="shared" si="4"/>
        <v>0</v>
      </c>
      <c r="AC60" s="6">
        <f t="shared" si="5"/>
        <v>0</v>
      </c>
      <c r="AD60" s="6">
        <f t="shared" si="6"/>
        <v>0</v>
      </c>
      <c r="AE60" s="52" t="str">
        <f t="shared" si="7"/>
        <v/>
      </c>
      <c r="AF60" s="52" t="str">
        <f t="shared" si="8"/>
        <v/>
      </c>
      <c r="AG60" s="50" t="str">
        <f t="shared" si="9"/>
        <v/>
      </c>
      <c r="AH60" s="50" t="str">
        <f t="shared" si="10"/>
        <v/>
      </c>
      <c r="AI60" s="52" t="str">
        <f t="shared" si="12"/>
        <v/>
      </c>
      <c r="AJ60" s="52" t="str">
        <f t="shared" si="13"/>
        <v/>
      </c>
      <c r="AK60" s="52" t="str">
        <f t="shared" si="14"/>
        <v/>
      </c>
      <c r="AL60" s="52" t="str">
        <f t="shared" si="15"/>
        <v/>
      </c>
      <c r="AM60" s="52" t="str">
        <f t="shared" si="16"/>
        <v/>
      </c>
      <c r="AN60" s="52" t="str">
        <f t="shared" si="17"/>
        <v/>
      </c>
      <c r="AO60" s="52" t="str">
        <f t="shared" si="18"/>
        <v/>
      </c>
      <c r="AP60" s="52" t="str">
        <f t="shared" si="19"/>
        <v/>
      </c>
      <c r="AQ60" s="52" t="str">
        <f t="shared" si="20"/>
        <v/>
      </c>
      <c r="AR60" s="52" t="str">
        <f t="shared" si="21"/>
        <v/>
      </c>
      <c r="AS60" s="52" t="str">
        <f t="shared" si="22"/>
        <v/>
      </c>
      <c r="AT60" s="52" t="str">
        <f t="shared" si="23"/>
        <v/>
      </c>
      <c r="AU60" s="52" t="str">
        <f t="shared" si="24"/>
        <v/>
      </c>
      <c r="AV60" s="52" t="str">
        <f t="shared" si="25"/>
        <v/>
      </c>
      <c r="AW60" s="52" t="str">
        <f t="shared" si="26"/>
        <v/>
      </c>
      <c r="AX60" s="52" t="str">
        <f t="shared" si="27"/>
        <v/>
      </c>
      <c r="AY60" s="52" t="str">
        <f t="shared" si="11"/>
        <v/>
      </c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13"/>
    </row>
    <row r="61" spans="1:163">
      <c r="A61" s="71"/>
      <c r="B61" s="70"/>
      <c r="C61" s="72"/>
      <c r="D61" s="73"/>
      <c r="E61" s="73"/>
      <c r="F61" s="73"/>
      <c r="G61" s="73"/>
      <c r="H61" s="73"/>
      <c r="I61" s="74"/>
      <c r="J61" s="74"/>
      <c r="K61" s="74"/>
      <c r="L61" s="73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5"/>
      <c r="Y61" s="70"/>
      <c r="Z61" s="12">
        <f t="shared" si="2"/>
        <v>0</v>
      </c>
      <c r="AA61" s="14">
        <f t="shared" si="3"/>
        <v>0</v>
      </c>
      <c r="AB61" s="6">
        <f t="shared" si="4"/>
        <v>0</v>
      </c>
      <c r="AC61" s="6">
        <f t="shared" si="5"/>
        <v>0</v>
      </c>
      <c r="AD61" s="6">
        <f t="shared" si="6"/>
        <v>0</v>
      </c>
      <c r="AE61" s="52" t="str">
        <f t="shared" si="7"/>
        <v/>
      </c>
      <c r="AF61" s="52" t="str">
        <f t="shared" si="8"/>
        <v/>
      </c>
      <c r="AG61" s="50" t="str">
        <f t="shared" si="9"/>
        <v/>
      </c>
      <c r="AH61" s="50" t="str">
        <f t="shared" si="10"/>
        <v/>
      </c>
      <c r="AI61" s="52" t="str">
        <f t="shared" si="12"/>
        <v/>
      </c>
      <c r="AJ61" s="52" t="str">
        <f t="shared" si="13"/>
        <v/>
      </c>
      <c r="AK61" s="52" t="str">
        <f t="shared" si="14"/>
        <v/>
      </c>
      <c r="AL61" s="52" t="str">
        <f t="shared" si="15"/>
        <v/>
      </c>
      <c r="AM61" s="52" t="str">
        <f t="shared" si="16"/>
        <v/>
      </c>
      <c r="AN61" s="52" t="str">
        <f t="shared" si="17"/>
        <v/>
      </c>
      <c r="AO61" s="52" t="str">
        <f t="shared" si="18"/>
        <v/>
      </c>
      <c r="AP61" s="52" t="str">
        <f t="shared" si="19"/>
        <v/>
      </c>
      <c r="AQ61" s="52" t="str">
        <f t="shared" si="20"/>
        <v/>
      </c>
      <c r="AR61" s="52" t="str">
        <f t="shared" si="21"/>
        <v/>
      </c>
      <c r="AS61" s="52" t="str">
        <f t="shared" si="22"/>
        <v/>
      </c>
      <c r="AT61" s="52" t="str">
        <f t="shared" si="23"/>
        <v/>
      </c>
      <c r="AU61" s="52" t="str">
        <f t="shared" si="24"/>
        <v/>
      </c>
      <c r="AV61" s="52" t="str">
        <f t="shared" si="25"/>
        <v/>
      </c>
      <c r="AW61" s="52" t="str">
        <f t="shared" si="26"/>
        <v/>
      </c>
      <c r="AX61" s="52" t="str">
        <f t="shared" si="27"/>
        <v/>
      </c>
      <c r="AY61" s="52" t="str">
        <f t="shared" si="11"/>
        <v/>
      </c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  <c r="EK61" s="52"/>
      <c r="EL61" s="52"/>
      <c r="EM61" s="52"/>
      <c r="EN61" s="52"/>
      <c r="EO61" s="52"/>
      <c r="EP61" s="52"/>
      <c r="EQ61" s="52"/>
      <c r="ER61" s="52"/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13"/>
    </row>
    <row r="62" spans="1:163">
      <c r="A62" s="71"/>
      <c r="B62" s="70"/>
      <c r="C62" s="72"/>
      <c r="D62" s="73"/>
      <c r="E62" s="73"/>
      <c r="F62" s="73"/>
      <c r="G62" s="73"/>
      <c r="H62" s="73"/>
      <c r="I62" s="74"/>
      <c r="J62" s="74"/>
      <c r="K62" s="74"/>
      <c r="L62" s="73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5"/>
      <c r="Y62" s="70"/>
      <c r="Z62" s="12">
        <f t="shared" si="2"/>
        <v>0</v>
      </c>
      <c r="AA62" s="14">
        <f t="shared" ref="AA62:AA125" si="29">IF(X62&lt;&gt;"",0.0001,IF(Y62+Z62=0,0,IF(Y62=0,80+(Z62*80),IF(Y62&gt;0,110+(Z62*80)))))</f>
        <v>0</v>
      </c>
      <c r="AB62" s="6">
        <f t="shared" si="4"/>
        <v>0</v>
      </c>
      <c r="AC62" s="6">
        <f t="shared" si="5"/>
        <v>0</v>
      </c>
      <c r="AD62" s="6">
        <f t="shared" si="6"/>
        <v>0</v>
      </c>
      <c r="AE62" s="52" t="str">
        <f t="shared" si="7"/>
        <v/>
      </c>
      <c r="AF62" s="52" t="str">
        <f t="shared" si="8"/>
        <v/>
      </c>
      <c r="AG62" s="50" t="str">
        <f t="shared" si="9"/>
        <v/>
      </c>
      <c r="AH62" s="50" t="str">
        <f t="shared" si="10"/>
        <v/>
      </c>
      <c r="AI62" s="52" t="str">
        <f t="shared" si="12"/>
        <v/>
      </c>
      <c r="AJ62" s="52" t="str">
        <f t="shared" si="13"/>
        <v/>
      </c>
      <c r="AK62" s="52" t="str">
        <f t="shared" si="14"/>
        <v/>
      </c>
      <c r="AL62" s="52" t="str">
        <f t="shared" si="15"/>
        <v/>
      </c>
      <c r="AM62" s="52" t="str">
        <f t="shared" si="16"/>
        <v/>
      </c>
      <c r="AN62" s="52" t="str">
        <f t="shared" si="17"/>
        <v/>
      </c>
      <c r="AO62" s="52" t="str">
        <f t="shared" si="18"/>
        <v/>
      </c>
      <c r="AP62" s="52" t="str">
        <f t="shared" si="19"/>
        <v/>
      </c>
      <c r="AQ62" s="52" t="str">
        <f t="shared" si="20"/>
        <v/>
      </c>
      <c r="AR62" s="52" t="str">
        <f t="shared" si="21"/>
        <v/>
      </c>
      <c r="AS62" s="52" t="str">
        <f t="shared" si="22"/>
        <v/>
      </c>
      <c r="AT62" s="52" t="str">
        <f t="shared" si="23"/>
        <v/>
      </c>
      <c r="AU62" s="52" t="str">
        <f t="shared" si="24"/>
        <v/>
      </c>
      <c r="AV62" s="52" t="str">
        <f t="shared" si="25"/>
        <v/>
      </c>
      <c r="AW62" s="52" t="str">
        <f t="shared" si="26"/>
        <v/>
      </c>
      <c r="AX62" s="52" t="str">
        <f t="shared" ref="AX62:AX125" si="30">IF(C62="","",IF(AB62&gt;=3,"",IF(AD62&gt;=2,"",IF(C62&gt;=$CL$2,$EZ$3,IF(AND(C62&gt;=$CM$1,C62&lt;=$CM$2),$FA$3,IF(AND(C62&gt;=$CN$1,C62&lt;=$CN$2),$FB$3,IF(AND(C62&gt;=$CO$1,C62&lt;=$CO$2),$FC$3,IF(AND(C62&gt;=$CP$1,C62&lt;=$CP$2),$FD$3,IF(C62&lt;=$CQ$2,$FE$3,"")))))))))</f>
        <v/>
      </c>
      <c r="AY62" s="52" t="str">
        <f t="shared" si="11"/>
        <v/>
      </c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13"/>
    </row>
    <row r="63" spans="1:163">
      <c r="A63" s="71"/>
      <c r="B63" s="70"/>
      <c r="C63" s="72"/>
      <c r="D63" s="73"/>
      <c r="E63" s="73"/>
      <c r="F63" s="73"/>
      <c r="G63" s="73"/>
      <c r="H63" s="73"/>
      <c r="I63" s="74"/>
      <c r="J63" s="74"/>
      <c r="K63" s="74"/>
      <c r="L63" s="73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5"/>
      <c r="Y63" s="70"/>
      <c r="Z63" s="12">
        <f t="shared" ref="Z63:Z126" si="31">COUNTA(D63:W63)-Y63</f>
        <v>0</v>
      </c>
      <c r="AA63" s="14">
        <f t="shared" si="29"/>
        <v>0</v>
      </c>
      <c r="AB63" s="6">
        <f t="shared" ref="AB63:AB126" si="32">COUNTA(L63:W63)</f>
        <v>0</v>
      </c>
      <c r="AC63" s="6">
        <f t="shared" ref="AC63:AC126" si="33">COUNTA(L63:Q63)</f>
        <v>0</v>
      </c>
      <c r="AD63" s="6">
        <f t="shared" ref="AD63:AD126" si="34">COUNTA(R63:V63)</f>
        <v>0</v>
      </c>
      <c r="AE63" s="52" t="str">
        <f t="shared" ref="AE63:AE126" si="35">IF(AND(B63="Feminino",C63&gt;=$BA$2,C63&lt;=$BB$2),$BA$3,IF(AND(B63="Masculino",C63&gt;=$BA$2,C63&lt;=$BB$2),$BB$3,IF(AND(B63="Feminino",C63&gt;=$BC$2,C63&lt;=$BD$2),$BC$3,IF(AND(B63="Masculino",C63&gt;=$BC$2,C63&lt;=$BD$2),$BD$3,IF(AND(B63="Feminino",C63&gt;=$BE$2,C63&lt;=$BF$2),$BE$3,IF(AND(B63="Masculino",C63&gt;=$BE$2,C63&lt;=$BF$2),$BF$3,IF(AND(B63="Feminino",C63&gt;=$BG$2,C63&lt;=$BH$2),$BG$3,IF(AND(B63="Masculino",C63&gt;=$BG$2,C63&lt;=$BH$2),$BH$3,""))))))))</f>
        <v/>
      </c>
      <c r="AF63" s="52" t="str">
        <f t="shared" ref="AF63:AF126" si="36">IF(AND(B63="Feminino",C63&gt;=$BE$2,C63&lt;=$BF$2),$BI$3,IF(AND(B63="Masculino",C63&gt;=$BE$2,C63&lt;=$BF$2),$BJ$3,IF(AND(B63="Feminino",C63&lt;=$BH$2),$BK$3,IF(AND(B63="Masculino",C63&lt;=$BH$2),$BL$3,""))))</f>
        <v/>
      </c>
      <c r="AG63" s="50" t="str">
        <f t="shared" ref="AG63:AG126" si="37">IF(AND(B63="Feminino",C63&gt;=$BM$1,C63&lt;=$BM$2),$BM$3,IF(AND(B63="Masculino",C63&gt;=$BM$1,C63&lt;=$BM$2),$BN$3,""))</f>
        <v/>
      </c>
      <c r="AH63" s="50" t="str">
        <f t="shared" ref="AH63:AH126" si="38">IF(C63="","",IF(AND(C63&gt;=$BO$1,C63&lt;=$BO$2),$BO$3,IF(C63&lt;=$BP$2,$BP$3,"")))</f>
        <v/>
      </c>
      <c r="AI63" s="52" t="str">
        <f t="shared" ref="AI63:AI126" si="39">IF(C63="","",IF(C63&gt;=$BQ$2,$BQ$3,IF(AND(C63&gt;=$BR$1,C63&lt;=$BR$2),$BR$3,IF(AND(C63&gt;=$BS$1,C63&lt;=$BS$2),$BS$3,IF(AND(C63&gt;=$BT$1,C63&lt;=$BT$2),$BT$3,IF(AND(C63&gt;=$BU$1,C63&lt;=$BU$2),$BU$3,IF(C63&lt;=$BV$2,$BV$3,"")))))))</f>
        <v/>
      </c>
      <c r="AJ63" s="52" t="str">
        <f t="shared" ref="AJ63:AJ126" si="40">IF(C63="","",IF(C63&gt;=$BQ$2,$BW$3,IF(AND(C63&gt;=$BR$1,C63&lt;=$BR$2),$BX$3,IF(AND(C63&gt;=$BS$1,C63&lt;=$BS$2),$BY$3,IF(AND(C63&gt;=$BT$1,C63&lt;=$BT$2),$BZ$3,IF(AND(C63&gt;=$BU$1,C63&lt;=$BU$2),$CA$3,IF(C63&lt;=$BV$2,$CB$3,"")))))))</f>
        <v/>
      </c>
      <c r="AK63" s="52" t="str">
        <f t="shared" ref="AK63:AK126" si="41">IF(C63="","",IF(C63&gt;=$BQ$2,$CC$3,IF(AND(C63&gt;=$BR$1,C63&lt;=$BR$2),$CD$3,IF(AND(C63&gt;=$BS$1,C63&lt;=$BS$2),$CE$3,IF(AND(C63&gt;=$BT$1,C63&lt;=$BT$2),$CF$3,IF(AND(C63&gt;=$BU$1,C63&lt;=$BU$2),$CG$3,IF(C63&lt;=$BV$2,$CH$3,"")))))))</f>
        <v/>
      </c>
      <c r="AL63" s="52" t="str">
        <f t="shared" ref="AL63:AL126" si="42">IF(C63="","",IF(AND(C63&gt;=$BT$1,C63&lt;=$BT$2),$CI$3,IF(AND(C63&gt;=$BU$1,C63&lt;=$BU$2),$CJ$3,IF(C63&lt;=$BV$2,$CK$3,""))))</f>
        <v/>
      </c>
      <c r="AM63" s="52" t="str">
        <f t="shared" ref="AM63:AM126" si="43">IF(C63="","",IF(AB63&gt;=3,"",IF(AC63&gt;=2,"",IF(C63&gt;=$CL$2,$CL$3,IF(AND(C63&gt;=$CM$1,C63&lt;=$CM$2),$CM$3,IF(AND(C63&gt;=$CN$1,C63&lt;=$CN$2),$CN$3,IF(AND(C63&gt;=$CO$1,C63&lt;=$CO$2),$CO$3,IF(AND(C63&gt;=$CP$1,C63&lt;=$CP$2),$CP$3,IF(C63&lt;=$CQ$2,$CQ$3,"")))))))))</f>
        <v/>
      </c>
      <c r="AN63" s="52" t="str">
        <f t="shared" ref="AN63:AN126" si="44">IF(C63="","",IF(AB63&gt;=3,"",IF(AC63&gt;=2,"",IF(C63&gt;=$CL$2,$CR$3,IF(AND(C63&gt;=$CM$1,C63&lt;=$CM$2),$CS$3,IF(AND(C63&gt;=$CN$1,C63&lt;=$CN$2),$CT$3,IF(AND(C63&gt;=$CO$1,C63&lt;=$CO$2),$CU$3,IF(AND(C63&gt;=$CP$1,C63&lt;=$CP$2),$CV$3,IF(C63&lt;=$CQ$2,$CW$3,"")))))))))</f>
        <v/>
      </c>
      <c r="AO63" s="52" t="str">
        <f t="shared" ref="AO63:AO126" si="45">IF(C63="","",IF(AB63&gt;=3,"",IF(AC63&gt;=2,"",IF(C63&gt;=$CL$2,$CX$3,IF(AND(C63&gt;=$CM$1,C63&lt;=$CM$2),$CY$3,IF(AND(C63&gt;=$CN$1,C63&lt;=$CN$2),$CZ$3,IF(AND(C63&gt;=$CO$1,C63&lt;=$CO$2),$DA$3,IF(AND(C63&gt;=$CP$1,C63&lt;=$CP$2),$DB$3,IF(C63&lt;=$CQ$2,$DC$3,"")))))))))</f>
        <v/>
      </c>
      <c r="AP63" s="52" t="str">
        <f t="shared" ref="AP63:AP126" si="46">IF(C63="","",IF(AB63&gt;=3,"",IF(AC63&gt;=2,"",IF(C63&gt;=$CL$2,$DD$3,IF(AND(C63&gt;=$CM$1,C63&lt;=$CM$2),$DE$3,IF(AND(C63&gt;=$CN$1,C63&lt;=$CN$2),$DF$3,IF(AND(C63&gt;=$CO$1,C63&lt;=$CO$2),$DG$3,IF(AND(C63&gt;=$CP$1,C63&lt;=$CP$2),$DH$3,IF(C63&lt;=$CQ$2,$DI$3,"")))))))))</f>
        <v/>
      </c>
      <c r="AQ63" s="52" t="str">
        <f t="shared" ref="AQ63:AQ126" si="47">IF(C63="","",IF(AB63&gt;=3,"",IF(AC63&gt;=2,"",IF(C63&gt;=$CL$2,$DJ$3,IF(AND(C63&gt;=$CM$1,C63&lt;=$CM$2),$DK$3,IF(AND(C63&gt;=$CN$1,C63&lt;=$CN$2),$DL$3,IF(AND(C63&gt;=$CO$1,C63&lt;=$CO$2),$DM$3,IF(AND(C63&gt;=$CP$1,C63&lt;=$CP$2),$DN$3,IF(C63&lt;=$CQ$2,$DO$3,"")))))))))</f>
        <v/>
      </c>
      <c r="AR63" s="52" t="str">
        <f t="shared" ref="AR63:AR126" si="48">IF(C63="","",IF(AB63&gt;=3,"",IF(AC63&gt;=2,"",IF(C63&gt;=$CL$2,$DP$3,IF(AND(C63&gt;=$CM$1,C63&lt;=$CM$2),$DQ$3,IF(AND(C63&gt;=$CN$1,C63&lt;=$CN$2),$DR$3,IF(AND(C63&gt;=$CO$1,C63&lt;=$CO$2),$DS$3,IF(AND(C63&gt;=$CP$1,C63&lt;=$CP$2),$DT$3,IF(C63&lt;=$CQ$2,$DU$3,"")))))))))</f>
        <v/>
      </c>
      <c r="AS63" s="52" t="str">
        <f t="shared" ref="AS63:AS126" si="49">IF(C63="","",IF(AB63&gt;=3,"",IF(AD63&gt;=2,"",IF(C63&gt;=$CL$2,$DV$3,IF(AND(C63&gt;=$CM$1,C63&lt;=$CM$2),$DW$3,IF(AND(C63&gt;=$CN$1,C63&lt;=$CN$2),$DX$3,IF(AND(C63&gt;=$CO$1,C63&lt;=$CO$2),$DY$3,IF(AND(C63&gt;=$CP$1,C63&lt;=$CP$2),$DZ$3,IF(C63&lt;=$CQ$2,$EA$3,"")))))))))</f>
        <v/>
      </c>
      <c r="AT63" s="52" t="str">
        <f t="shared" ref="AT63:AT126" si="50">IF(C63="","",IF(AB63&gt;=3,"",IF(AD63&gt;=2,"",IF(C63&gt;=$CL$2,$EB$3,IF(AND(C63&gt;=$CM$1,C63&lt;=$CM$2),$EC$3,IF(AND(C63&gt;=$CN$1,C63&lt;=$CN$2),$ED$3,IF(AND(C63&gt;=$CO$1,C63&lt;=$CO$2),$EE$3,IF(AND(C63&gt;=$CP$1,C63&lt;=$CP$2),$EF$3,IF(C63&lt;=$CQ$2,$EG$3,"")))))))))</f>
        <v/>
      </c>
      <c r="AU63" s="52" t="str">
        <f t="shared" ref="AU63:AU126" si="51">IF(C63="","",IF(AB63&gt;=3,"",IF(AD63&gt;=2,"",IF(C63&gt;=$CL$2,$EH$3,IF(AND(C63&gt;=$CM$1,C63&lt;=$CM$2),$EI$3,IF(AND(C63&gt;=$CN$1,C63&lt;=$CN$2),$EJ$3,IF(AND(C63&gt;=$CO$1,C63&lt;=$CO$2),$EK$3,IF(AND(C63&gt;=$CP$1,C63&lt;=$CP$2),$EL$3,IF(C63&lt;=$CQ$2,$EM$3,"")))))))))</f>
        <v/>
      </c>
      <c r="AV63" s="52" t="str">
        <f t="shared" ref="AV63:AV126" si="52">IF(C63="","",IF(AB63&gt;=3,"",IF(AD63&gt;=2,"",IF(C63&gt;=$CL$2,$EN$3,IF(AND(C63&gt;=$CM$1,C63&lt;=$CM$2),$EO$3,IF(AND(C63&gt;=$CN$1,C63&lt;=$CN$2),$EP$3,IF(AND(C63&gt;=$CO$1,C63&lt;=$CO$2),$EQ$3,IF(AND(C63&gt;=$CP$1,C63&lt;=$CP$2),$ER$3,IF(C63&lt;=$CQ$2,$ES$3,"")))))))))</f>
        <v/>
      </c>
      <c r="AW63" s="52" t="str">
        <f t="shared" ref="AW63:AW126" si="53">IF(C63="","",IF(AB63&gt;=3,"",IF(AD63&gt;=2,"",IF(C63&gt;=$CL$2,$ET$3,IF(AND(C63&gt;=$CM$1,C63&lt;=$CM$2),$EU$3,IF(AND(C63&gt;=$CN$1,C63&lt;=$CN$2),$EV$3,IF(AND(C63&gt;=$CO$1,C63&lt;=$CO$2),$EW$3,IF(AND(C63&gt;=$CP$1,C63&lt;=$CP$2),$EX$3,IF(C63&lt;=$CQ$2,$EY$3,"")))))))))</f>
        <v/>
      </c>
      <c r="AX63" s="52" t="str">
        <f t="shared" si="30"/>
        <v/>
      </c>
      <c r="AY63" s="52" t="str">
        <f t="shared" ref="AY63:AY126" si="54">IF(C63="","",IF(AND(D63="",E63="",F63="",G63="",H63="",I63="",J63="",K63=""),"ADAPTADO",""))</f>
        <v/>
      </c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13"/>
    </row>
    <row r="64" spans="1:163">
      <c r="A64" s="71"/>
      <c r="B64" s="70"/>
      <c r="C64" s="72"/>
      <c r="D64" s="73"/>
      <c r="E64" s="73"/>
      <c r="F64" s="73"/>
      <c r="G64" s="73"/>
      <c r="H64" s="73"/>
      <c r="I64" s="74"/>
      <c r="J64" s="74"/>
      <c r="K64" s="74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5"/>
      <c r="Y64" s="70"/>
      <c r="Z64" s="12">
        <f t="shared" si="31"/>
        <v>0</v>
      </c>
      <c r="AA64" s="14">
        <f t="shared" si="29"/>
        <v>0</v>
      </c>
      <c r="AB64" s="6">
        <f t="shared" si="32"/>
        <v>0</v>
      </c>
      <c r="AC64" s="6">
        <f t="shared" si="33"/>
        <v>0</v>
      </c>
      <c r="AD64" s="6">
        <f t="shared" si="34"/>
        <v>0</v>
      </c>
      <c r="AE64" s="52" t="str">
        <f t="shared" si="35"/>
        <v/>
      </c>
      <c r="AF64" s="52" t="str">
        <f t="shared" si="36"/>
        <v/>
      </c>
      <c r="AG64" s="50" t="str">
        <f t="shared" si="37"/>
        <v/>
      </c>
      <c r="AH64" s="50" t="str">
        <f t="shared" si="38"/>
        <v/>
      </c>
      <c r="AI64" s="52" t="str">
        <f t="shared" si="39"/>
        <v/>
      </c>
      <c r="AJ64" s="52" t="str">
        <f t="shared" si="40"/>
        <v/>
      </c>
      <c r="AK64" s="52" t="str">
        <f t="shared" si="41"/>
        <v/>
      </c>
      <c r="AL64" s="52" t="str">
        <f t="shared" si="42"/>
        <v/>
      </c>
      <c r="AM64" s="52" t="str">
        <f t="shared" si="43"/>
        <v/>
      </c>
      <c r="AN64" s="52" t="str">
        <f t="shared" si="44"/>
        <v/>
      </c>
      <c r="AO64" s="52" t="str">
        <f t="shared" si="45"/>
        <v/>
      </c>
      <c r="AP64" s="52" t="str">
        <f t="shared" si="46"/>
        <v/>
      </c>
      <c r="AQ64" s="52" t="str">
        <f t="shared" si="47"/>
        <v/>
      </c>
      <c r="AR64" s="52" t="str">
        <f t="shared" si="48"/>
        <v/>
      </c>
      <c r="AS64" s="52" t="str">
        <f t="shared" si="49"/>
        <v/>
      </c>
      <c r="AT64" s="52" t="str">
        <f t="shared" si="50"/>
        <v/>
      </c>
      <c r="AU64" s="52" t="str">
        <f t="shared" si="51"/>
        <v/>
      </c>
      <c r="AV64" s="52" t="str">
        <f t="shared" si="52"/>
        <v/>
      </c>
      <c r="AW64" s="52" t="str">
        <f t="shared" si="53"/>
        <v/>
      </c>
      <c r="AX64" s="52" t="str">
        <f t="shared" si="30"/>
        <v/>
      </c>
      <c r="AY64" s="52" t="str">
        <f t="shared" si="54"/>
        <v/>
      </c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13"/>
    </row>
    <row r="65" spans="1:163">
      <c r="A65" s="71"/>
      <c r="B65" s="70"/>
      <c r="C65" s="72"/>
      <c r="D65" s="73"/>
      <c r="E65" s="73"/>
      <c r="F65" s="73"/>
      <c r="G65" s="73"/>
      <c r="H65" s="73"/>
      <c r="I65" s="74"/>
      <c r="J65" s="74"/>
      <c r="K65" s="74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5"/>
      <c r="Y65" s="70"/>
      <c r="Z65" s="12">
        <f t="shared" si="31"/>
        <v>0</v>
      </c>
      <c r="AA65" s="14">
        <f t="shared" si="29"/>
        <v>0</v>
      </c>
      <c r="AB65" s="6">
        <f t="shared" si="32"/>
        <v>0</v>
      </c>
      <c r="AC65" s="6">
        <f t="shared" si="33"/>
        <v>0</v>
      </c>
      <c r="AD65" s="6">
        <f t="shared" si="34"/>
        <v>0</v>
      </c>
      <c r="AE65" s="52" t="str">
        <f t="shared" si="35"/>
        <v/>
      </c>
      <c r="AF65" s="52" t="str">
        <f t="shared" si="36"/>
        <v/>
      </c>
      <c r="AG65" s="50" t="str">
        <f t="shared" si="37"/>
        <v/>
      </c>
      <c r="AH65" s="50" t="str">
        <f t="shared" si="38"/>
        <v/>
      </c>
      <c r="AI65" s="52" t="str">
        <f t="shared" si="39"/>
        <v/>
      </c>
      <c r="AJ65" s="52" t="str">
        <f t="shared" si="40"/>
        <v/>
      </c>
      <c r="AK65" s="52" t="str">
        <f t="shared" si="41"/>
        <v/>
      </c>
      <c r="AL65" s="52" t="str">
        <f t="shared" si="42"/>
        <v/>
      </c>
      <c r="AM65" s="52" t="str">
        <f t="shared" si="43"/>
        <v/>
      </c>
      <c r="AN65" s="52" t="str">
        <f t="shared" si="44"/>
        <v/>
      </c>
      <c r="AO65" s="52" t="str">
        <f t="shared" si="45"/>
        <v/>
      </c>
      <c r="AP65" s="52" t="str">
        <f t="shared" si="46"/>
        <v/>
      </c>
      <c r="AQ65" s="52" t="str">
        <f t="shared" si="47"/>
        <v/>
      </c>
      <c r="AR65" s="52" t="str">
        <f t="shared" si="48"/>
        <v/>
      </c>
      <c r="AS65" s="52" t="str">
        <f t="shared" si="49"/>
        <v/>
      </c>
      <c r="AT65" s="52" t="str">
        <f t="shared" si="50"/>
        <v/>
      </c>
      <c r="AU65" s="52" t="str">
        <f t="shared" si="51"/>
        <v/>
      </c>
      <c r="AV65" s="52" t="str">
        <f t="shared" si="52"/>
        <v/>
      </c>
      <c r="AW65" s="52" t="str">
        <f t="shared" si="53"/>
        <v/>
      </c>
      <c r="AX65" s="52" t="str">
        <f t="shared" si="30"/>
        <v/>
      </c>
      <c r="AY65" s="52" t="str">
        <f t="shared" si="54"/>
        <v/>
      </c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13"/>
    </row>
    <row r="66" spans="1:163">
      <c r="A66" s="71"/>
      <c r="B66" s="70"/>
      <c r="C66" s="72"/>
      <c r="D66" s="73"/>
      <c r="E66" s="73"/>
      <c r="F66" s="73"/>
      <c r="G66" s="73"/>
      <c r="H66" s="73"/>
      <c r="I66" s="74"/>
      <c r="J66" s="74"/>
      <c r="K66" s="74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5"/>
      <c r="Y66" s="70"/>
      <c r="Z66" s="12">
        <f t="shared" si="31"/>
        <v>0</v>
      </c>
      <c r="AA66" s="14">
        <f t="shared" si="29"/>
        <v>0</v>
      </c>
      <c r="AB66" s="6">
        <f t="shared" si="32"/>
        <v>0</v>
      </c>
      <c r="AC66" s="6">
        <f t="shared" si="33"/>
        <v>0</v>
      </c>
      <c r="AD66" s="6">
        <f t="shared" si="34"/>
        <v>0</v>
      </c>
      <c r="AE66" s="52" t="str">
        <f t="shared" si="35"/>
        <v/>
      </c>
      <c r="AF66" s="52" t="str">
        <f t="shared" si="36"/>
        <v/>
      </c>
      <c r="AG66" s="50" t="str">
        <f t="shared" si="37"/>
        <v/>
      </c>
      <c r="AH66" s="50" t="str">
        <f t="shared" si="38"/>
        <v/>
      </c>
      <c r="AI66" s="52" t="str">
        <f t="shared" si="39"/>
        <v/>
      </c>
      <c r="AJ66" s="52" t="str">
        <f t="shared" si="40"/>
        <v/>
      </c>
      <c r="AK66" s="52" t="str">
        <f t="shared" si="41"/>
        <v/>
      </c>
      <c r="AL66" s="52" t="str">
        <f t="shared" si="42"/>
        <v/>
      </c>
      <c r="AM66" s="52" t="str">
        <f t="shared" si="43"/>
        <v/>
      </c>
      <c r="AN66" s="52" t="str">
        <f t="shared" si="44"/>
        <v/>
      </c>
      <c r="AO66" s="52" t="str">
        <f t="shared" si="45"/>
        <v/>
      </c>
      <c r="AP66" s="52" t="str">
        <f t="shared" si="46"/>
        <v/>
      </c>
      <c r="AQ66" s="52" t="str">
        <f t="shared" si="47"/>
        <v/>
      </c>
      <c r="AR66" s="52" t="str">
        <f t="shared" si="48"/>
        <v/>
      </c>
      <c r="AS66" s="52" t="str">
        <f t="shared" si="49"/>
        <v/>
      </c>
      <c r="AT66" s="52" t="str">
        <f t="shared" si="50"/>
        <v/>
      </c>
      <c r="AU66" s="52" t="str">
        <f t="shared" si="51"/>
        <v/>
      </c>
      <c r="AV66" s="52" t="str">
        <f t="shared" si="52"/>
        <v/>
      </c>
      <c r="AW66" s="52" t="str">
        <f t="shared" si="53"/>
        <v/>
      </c>
      <c r="AX66" s="52" t="str">
        <f t="shared" si="30"/>
        <v/>
      </c>
      <c r="AY66" s="52" t="str">
        <f t="shared" si="54"/>
        <v/>
      </c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13"/>
    </row>
    <row r="67" spans="1:163">
      <c r="A67" s="71"/>
      <c r="B67" s="70"/>
      <c r="C67" s="72"/>
      <c r="D67" s="73"/>
      <c r="E67" s="73"/>
      <c r="F67" s="73"/>
      <c r="G67" s="73"/>
      <c r="H67" s="73"/>
      <c r="I67" s="74"/>
      <c r="J67" s="74"/>
      <c r="K67" s="74"/>
      <c r="L67" s="73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5"/>
      <c r="Y67" s="70"/>
      <c r="Z67" s="12">
        <f t="shared" si="31"/>
        <v>0</v>
      </c>
      <c r="AA67" s="14">
        <f t="shared" si="29"/>
        <v>0</v>
      </c>
      <c r="AB67" s="6">
        <f t="shared" si="32"/>
        <v>0</v>
      </c>
      <c r="AC67" s="6">
        <f t="shared" si="33"/>
        <v>0</v>
      </c>
      <c r="AD67" s="6">
        <f t="shared" si="34"/>
        <v>0</v>
      </c>
      <c r="AE67" s="52" t="str">
        <f t="shared" si="35"/>
        <v/>
      </c>
      <c r="AF67" s="52" t="str">
        <f t="shared" si="36"/>
        <v/>
      </c>
      <c r="AG67" s="50" t="str">
        <f t="shared" si="37"/>
        <v/>
      </c>
      <c r="AH67" s="50" t="str">
        <f t="shared" si="38"/>
        <v/>
      </c>
      <c r="AI67" s="52" t="str">
        <f t="shared" si="39"/>
        <v/>
      </c>
      <c r="AJ67" s="52" t="str">
        <f t="shared" si="40"/>
        <v/>
      </c>
      <c r="AK67" s="52" t="str">
        <f t="shared" si="41"/>
        <v/>
      </c>
      <c r="AL67" s="52" t="str">
        <f t="shared" si="42"/>
        <v/>
      </c>
      <c r="AM67" s="52" t="str">
        <f t="shared" si="43"/>
        <v/>
      </c>
      <c r="AN67" s="52" t="str">
        <f t="shared" si="44"/>
        <v/>
      </c>
      <c r="AO67" s="52" t="str">
        <f t="shared" si="45"/>
        <v/>
      </c>
      <c r="AP67" s="52" t="str">
        <f t="shared" si="46"/>
        <v/>
      </c>
      <c r="AQ67" s="52" t="str">
        <f t="shared" si="47"/>
        <v/>
      </c>
      <c r="AR67" s="52" t="str">
        <f t="shared" si="48"/>
        <v/>
      </c>
      <c r="AS67" s="52" t="str">
        <f t="shared" si="49"/>
        <v/>
      </c>
      <c r="AT67" s="52" t="str">
        <f t="shared" si="50"/>
        <v/>
      </c>
      <c r="AU67" s="52" t="str">
        <f t="shared" si="51"/>
        <v/>
      </c>
      <c r="AV67" s="52" t="str">
        <f t="shared" si="52"/>
        <v/>
      </c>
      <c r="AW67" s="52" t="str">
        <f t="shared" si="53"/>
        <v/>
      </c>
      <c r="AX67" s="52" t="str">
        <f t="shared" si="30"/>
        <v/>
      </c>
      <c r="AY67" s="52" t="str">
        <f t="shared" si="54"/>
        <v/>
      </c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13"/>
    </row>
    <row r="68" spans="1:163">
      <c r="A68" s="71"/>
      <c r="B68" s="70"/>
      <c r="C68" s="72"/>
      <c r="D68" s="73"/>
      <c r="E68" s="73"/>
      <c r="F68" s="73"/>
      <c r="G68" s="73"/>
      <c r="H68" s="73"/>
      <c r="I68" s="74"/>
      <c r="J68" s="74"/>
      <c r="K68" s="74"/>
      <c r="L68" s="73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5"/>
      <c r="Y68" s="70"/>
      <c r="Z68" s="12">
        <f t="shared" si="31"/>
        <v>0</v>
      </c>
      <c r="AA68" s="14">
        <f t="shared" si="29"/>
        <v>0</v>
      </c>
      <c r="AB68" s="6">
        <f t="shared" si="32"/>
        <v>0</v>
      </c>
      <c r="AC68" s="6">
        <f t="shared" si="33"/>
        <v>0</v>
      </c>
      <c r="AD68" s="6">
        <f t="shared" si="34"/>
        <v>0</v>
      </c>
      <c r="AE68" s="52" t="str">
        <f t="shared" si="35"/>
        <v/>
      </c>
      <c r="AF68" s="52" t="str">
        <f t="shared" si="36"/>
        <v/>
      </c>
      <c r="AG68" s="50" t="str">
        <f t="shared" si="37"/>
        <v/>
      </c>
      <c r="AH68" s="50" t="str">
        <f t="shared" si="38"/>
        <v/>
      </c>
      <c r="AI68" s="52" t="str">
        <f t="shared" si="39"/>
        <v/>
      </c>
      <c r="AJ68" s="52" t="str">
        <f t="shared" si="40"/>
        <v/>
      </c>
      <c r="AK68" s="52" t="str">
        <f t="shared" si="41"/>
        <v/>
      </c>
      <c r="AL68" s="52" t="str">
        <f t="shared" si="42"/>
        <v/>
      </c>
      <c r="AM68" s="52" t="str">
        <f t="shared" si="43"/>
        <v/>
      </c>
      <c r="AN68" s="52" t="str">
        <f t="shared" si="44"/>
        <v/>
      </c>
      <c r="AO68" s="52" t="str">
        <f t="shared" si="45"/>
        <v/>
      </c>
      <c r="AP68" s="52" t="str">
        <f t="shared" si="46"/>
        <v/>
      </c>
      <c r="AQ68" s="52" t="str">
        <f t="shared" si="47"/>
        <v/>
      </c>
      <c r="AR68" s="52" t="str">
        <f t="shared" si="48"/>
        <v/>
      </c>
      <c r="AS68" s="52" t="str">
        <f t="shared" si="49"/>
        <v/>
      </c>
      <c r="AT68" s="52" t="str">
        <f t="shared" si="50"/>
        <v/>
      </c>
      <c r="AU68" s="52" t="str">
        <f t="shared" si="51"/>
        <v/>
      </c>
      <c r="AV68" s="52" t="str">
        <f t="shared" si="52"/>
        <v/>
      </c>
      <c r="AW68" s="52" t="str">
        <f t="shared" si="53"/>
        <v/>
      </c>
      <c r="AX68" s="52" t="str">
        <f t="shared" si="30"/>
        <v/>
      </c>
      <c r="AY68" s="52" t="str">
        <f t="shared" si="54"/>
        <v/>
      </c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13"/>
    </row>
    <row r="69" spans="1:163">
      <c r="A69" s="71"/>
      <c r="B69" s="70"/>
      <c r="C69" s="72"/>
      <c r="D69" s="73"/>
      <c r="E69" s="73"/>
      <c r="F69" s="73"/>
      <c r="G69" s="73"/>
      <c r="H69" s="73"/>
      <c r="I69" s="74"/>
      <c r="J69" s="74"/>
      <c r="K69" s="74"/>
      <c r="L69" s="73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5"/>
      <c r="Y69" s="70"/>
      <c r="Z69" s="12">
        <f t="shared" si="31"/>
        <v>0</v>
      </c>
      <c r="AA69" s="14">
        <f t="shared" si="29"/>
        <v>0</v>
      </c>
      <c r="AB69" s="6">
        <f t="shared" si="32"/>
        <v>0</v>
      </c>
      <c r="AC69" s="6">
        <f t="shared" si="33"/>
        <v>0</v>
      </c>
      <c r="AD69" s="6">
        <f t="shared" si="34"/>
        <v>0</v>
      </c>
      <c r="AE69" s="52" t="str">
        <f t="shared" si="35"/>
        <v/>
      </c>
      <c r="AF69" s="52" t="str">
        <f t="shared" si="36"/>
        <v/>
      </c>
      <c r="AG69" s="50" t="str">
        <f t="shared" si="37"/>
        <v/>
      </c>
      <c r="AH69" s="50" t="str">
        <f t="shared" si="38"/>
        <v/>
      </c>
      <c r="AI69" s="52" t="str">
        <f t="shared" si="39"/>
        <v/>
      </c>
      <c r="AJ69" s="52" t="str">
        <f t="shared" si="40"/>
        <v/>
      </c>
      <c r="AK69" s="52" t="str">
        <f t="shared" si="41"/>
        <v/>
      </c>
      <c r="AL69" s="52" t="str">
        <f t="shared" si="42"/>
        <v/>
      </c>
      <c r="AM69" s="52" t="str">
        <f t="shared" si="43"/>
        <v/>
      </c>
      <c r="AN69" s="52" t="str">
        <f t="shared" si="44"/>
        <v/>
      </c>
      <c r="AO69" s="52" t="str">
        <f t="shared" si="45"/>
        <v/>
      </c>
      <c r="AP69" s="52" t="str">
        <f t="shared" si="46"/>
        <v/>
      </c>
      <c r="AQ69" s="52" t="str">
        <f t="shared" si="47"/>
        <v/>
      </c>
      <c r="AR69" s="52" t="str">
        <f t="shared" si="48"/>
        <v/>
      </c>
      <c r="AS69" s="52" t="str">
        <f t="shared" si="49"/>
        <v/>
      </c>
      <c r="AT69" s="52" t="str">
        <f t="shared" si="50"/>
        <v/>
      </c>
      <c r="AU69" s="52" t="str">
        <f t="shared" si="51"/>
        <v/>
      </c>
      <c r="AV69" s="52" t="str">
        <f t="shared" si="52"/>
        <v/>
      </c>
      <c r="AW69" s="52" t="str">
        <f t="shared" si="53"/>
        <v/>
      </c>
      <c r="AX69" s="52" t="str">
        <f t="shared" si="30"/>
        <v/>
      </c>
      <c r="AY69" s="52" t="str">
        <f t="shared" si="54"/>
        <v/>
      </c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13"/>
    </row>
    <row r="70" spans="1:163">
      <c r="A70" s="71"/>
      <c r="B70" s="70"/>
      <c r="C70" s="72"/>
      <c r="D70" s="73"/>
      <c r="E70" s="73"/>
      <c r="F70" s="73"/>
      <c r="G70" s="73"/>
      <c r="H70" s="73"/>
      <c r="I70" s="74"/>
      <c r="J70" s="74"/>
      <c r="K70" s="74"/>
      <c r="L70" s="73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5"/>
      <c r="Y70" s="70"/>
      <c r="Z70" s="12">
        <f t="shared" si="31"/>
        <v>0</v>
      </c>
      <c r="AA70" s="14">
        <f t="shared" si="29"/>
        <v>0</v>
      </c>
      <c r="AB70" s="6">
        <f t="shared" si="32"/>
        <v>0</v>
      </c>
      <c r="AC70" s="6">
        <f t="shared" si="33"/>
        <v>0</v>
      </c>
      <c r="AD70" s="6">
        <f t="shared" si="34"/>
        <v>0</v>
      </c>
      <c r="AE70" s="52" t="str">
        <f t="shared" si="35"/>
        <v/>
      </c>
      <c r="AF70" s="52" t="str">
        <f t="shared" si="36"/>
        <v/>
      </c>
      <c r="AG70" s="50" t="str">
        <f t="shared" si="37"/>
        <v/>
      </c>
      <c r="AH70" s="50" t="str">
        <f t="shared" si="38"/>
        <v/>
      </c>
      <c r="AI70" s="52" t="str">
        <f t="shared" si="39"/>
        <v/>
      </c>
      <c r="AJ70" s="52" t="str">
        <f t="shared" si="40"/>
        <v/>
      </c>
      <c r="AK70" s="52" t="str">
        <f t="shared" si="41"/>
        <v/>
      </c>
      <c r="AL70" s="52" t="str">
        <f t="shared" si="42"/>
        <v/>
      </c>
      <c r="AM70" s="52" t="str">
        <f t="shared" si="43"/>
        <v/>
      </c>
      <c r="AN70" s="52" t="str">
        <f t="shared" si="44"/>
        <v/>
      </c>
      <c r="AO70" s="52" t="str">
        <f t="shared" si="45"/>
        <v/>
      </c>
      <c r="AP70" s="52" t="str">
        <f t="shared" si="46"/>
        <v/>
      </c>
      <c r="AQ70" s="52" t="str">
        <f t="shared" si="47"/>
        <v/>
      </c>
      <c r="AR70" s="52" t="str">
        <f t="shared" si="48"/>
        <v/>
      </c>
      <c r="AS70" s="52" t="str">
        <f t="shared" si="49"/>
        <v/>
      </c>
      <c r="AT70" s="52" t="str">
        <f t="shared" si="50"/>
        <v/>
      </c>
      <c r="AU70" s="52" t="str">
        <f t="shared" si="51"/>
        <v/>
      </c>
      <c r="AV70" s="52" t="str">
        <f t="shared" si="52"/>
        <v/>
      </c>
      <c r="AW70" s="52" t="str">
        <f t="shared" si="53"/>
        <v/>
      </c>
      <c r="AX70" s="52" t="str">
        <f t="shared" si="30"/>
        <v/>
      </c>
      <c r="AY70" s="52" t="str">
        <f t="shared" si="54"/>
        <v/>
      </c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13"/>
    </row>
    <row r="71" spans="1:163">
      <c r="A71" s="71"/>
      <c r="B71" s="70"/>
      <c r="C71" s="72"/>
      <c r="D71" s="73"/>
      <c r="E71" s="73"/>
      <c r="F71" s="73"/>
      <c r="G71" s="73"/>
      <c r="H71" s="73"/>
      <c r="I71" s="74"/>
      <c r="J71" s="74"/>
      <c r="K71" s="74"/>
      <c r="L71" s="73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5"/>
      <c r="Y71" s="70"/>
      <c r="Z71" s="12">
        <f t="shared" si="31"/>
        <v>0</v>
      </c>
      <c r="AA71" s="14">
        <f t="shared" si="29"/>
        <v>0</v>
      </c>
      <c r="AB71" s="6">
        <f t="shared" si="32"/>
        <v>0</v>
      </c>
      <c r="AC71" s="6">
        <f t="shared" si="33"/>
        <v>0</v>
      </c>
      <c r="AD71" s="6">
        <f t="shared" si="34"/>
        <v>0</v>
      </c>
      <c r="AE71" s="52" t="str">
        <f t="shared" si="35"/>
        <v/>
      </c>
      <c r="AF71" s="52" t="str">
        <f t="shared" si="36"/>
        <v/>
      </c>
      <c r="AG71" s="50" t="str">
        <f t="shared" si="37"/>
        <v/>
      </c>
      <c r="AH71" s="50" t="str">
        <f t="shared" si="38"/>
        <v/>
      </c>
      <c r="AI71" s="52" t="str">
        <f t="shared" si="39"/>
        <v/>
      </c>
      <c r="AJ71" s="52" t="str">
        <f t="shared" si="40"/>
        <v/>
      </c>
      <c r="AK71" s="52" t="str">
        <f t="shared" si="41"/>
        <v/>
      </c>
      <c r="AL71" s="52" t="str">
        <f t="shared" si="42"/>
        <v/>
      </c>
      <c r="AM71" s="52" t="str">
        <f t="shared" si="43"/>
        <v/>
      </c>
      <c r="AN71" s="52" t="str">
        <f t="shared" si="44"/>
        <v/>
      </c>
      <c r="AO71" s="52" t="str">
        <f t="shared" si="45"/>
        <v/>
      </c>
      <c r="AP71" s="52" t="str">
        <f t="shared" si="46"/>
        <v/>
      </c>
      <c r="AQ71" s="52" t="str">
        <f t="shared" si="47"/>
        <v/>
      </c>
      <c r="AR71" s="52" t="str">
        <f t="shared" si="48"/>
        <v/>
      </c>
      <c r="AS71" s="52" t="str">
        <f t="shared" si="49"/>
        <v/>
      </c>
      <c r="AT71" s="52" t="str">
        <f t="shared" si="50"/>
        <v/>
      </c>
      <c r="AU71" s="52" t="str">
        <f t="shared" si="51"/>
        <v/>
      </c>
      <c r="AV71" s="52" t="str">
        <f t="shared" si="52"/>
        <v/>
      </c>
      <c r="AW71" s="52" t="str">
        <f t="shared" si="53"/>
        <v/>
      </c>
      <c r="AX71" s="52" t="str">
        <f t="shared" si="30"/>
        <v/>
      </c>
      <c r="AY71" s="52" t="str">
        <f t="shared" si="54"/>
        <v/>
      </c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13"/>
    </row>
    <row r="72" spans="1:163">
      <c r="A72" s="71"/>
      <c r="B72" s="70"/>
      <c r="C72" s="72"/>
      <c r="D72" s="73"/>
      <c r="E72" s="73"/>
      <c r="F72" s="73"/>
      <c r="G72" s="73"/>
      <c r="H72" s="73"/>
      <c r="I72" s="74"/>
      <c r="J72" s="74"/>
      <c r="K72" s="74"/>
      <c r="L72" s="73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5"/>
      <c r="Y72" s="70"/>
      <c r="Z72" s="12">
        <f t="shared" si="31"/>
        <v>0</v>
      </c>
      <c r="AA72" s="14">
        <f t="shared" si="29"/>
        <v>0</v>
      </c>
      <c r="AB72" s="6">
        <f t="shared" si="32"/>
        <v>0</v>
      </c>
      <c r="AC72" s="6">
        <f t="shared" si="33"/>
        <v>0</v>
      </c>
      <c r="AD72" s="6">
        <f t="shared" si="34"/>
        <v>0</v>
      </c>
      <c r="AE72" s="52" t="str">
        <f t="shared" si="35"/>
        <v/>
      </c>
      <c r="AF72" s="52" t="str">
        <f t="shared" si="36"/>
        <v/>
      </c>
      <c r="AG72" s="50" t="str">
        <f t="shared" si="37"/>
        <v/>
      </c>
      <c r="AH72" s="50" t="str">
        <f t="shared" si="38"/>
        <v/>
      </c>
      <c r="AI72" s="52" t="str">
        <f t="shared" si="39"/>
        <v/>
      </c>
      <c r="AJ72" s="52" t="str">
        <f t="shared" si="40"/>
        <v/>
      </c>
      <c r="AK72" s="52" t="str">
        <f t="shared" si="41"/>
        <v/>
      </c>
      <c r="AL72" s="52" t="str">
        <f t="shared" si="42"/>
        <v/>
      </c>
      <c r="AM72" s="52" t="str">
        <f t="shared" si="43"/>
        <v/>
      </c>
      <c r="AN72" s="52" t="str">
        <f t="shared" si="44"/>
        <v/>
      </c>
      <c r="AO72" s="52" t="str">
        <f t="shared" si="45"/>
        <v/>
      </c>
      <c r="AP72" s="52" t="str">
        <f t="shared" si="46"/>
        <v/>
      </c>
      <c r="AQ72" s="52" t="str">
        <f t="shared" si="47"/>
        <v/>
      </c>
      <c r="AR72" s="52" t="str">
        <f t="shared" si="48"/>
        <v/>
      </c>
      <c r="AS72" s="52" t="str">
        <f t="shared" si="49"/>
        <v/>
      </c>
      <c r="AT72" s="52" t="str">
        <f t="shared" si="50"/>
        <v/>
      </c>
      <c r="AU72" s="52" t="str">
        <f t="shared" si="51"/>
        <v/>
      </c>
      <c r="AV72" s="52" t="str">
        <f t="shared" si="52"/>
        <v/>
      </c>
      <c r="AW72" s="52" t="str">
        <f t="shared" si="53"/>
        <v/>
      </c>
      <c r="AX72" s="52" t="str">
        <f t="shared" si="30"/>
        <v/>
      </c>
      <c r="AY72" s="52" t="str">
        <f t="shared" si="54"/>
        <v/>
      </c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13"/>
    </row>
    <row r="73" spans="1:163">
      <c r="A73" s="71"/>
      <c r="B73" s="70"/>
      <c r="C73" s="72"/>
      <c r="D73" s="73"/>
      <c r="E73" s="73"/>
      <c r="F73" s="73"/>
      <c r="G73" s="73"/>
      <c r="H73" s="73"/>
      <c r="I73" s="74"/>
      <c r="J73" s="74"/>
      <c r="K73" s="74"/>
      <c r="L73" s="73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5"/>
      <c r="Y73" s="70"/>
      <c r="Z73" s="12">
        <f t="shared" si="31"/>
        <v>0</v>
      </c>
      <c r="AA73" s="14">
        <f t="shared" si="29"/>
        <v>0</v>
      </c>
      <c r="AB73" s="6">
        <f t="shared" si="32"/>
        <v>0</v>
      </c>
      <c r="AC73" s="6">
        <f t="shared" si="33"/>
        <v>0</v>
      </c>
      <c r="AD73" s="6">
        <f t="shared" si="34"/>
        <v>0</v>
      </c>
      <c r="AE73" s="52" t="str">
        <f t="shared" si="35"/>
        <v/>
      </c>
      <c r="AF73" s="52" t="str">
        <f t="shared" si="36"/>
        <v/>
      </c>
      <c r="AG73" s="50" t="str">
        <f t="shared" si="37"/>
        <v/>
      </c>
      <c r="AH73" s="50" t="str">
        <f t="shared" si="38"/>
        <v/>
      </c>
      <c r="AI73" s="52" t="str">
        <f t="shared" si="39"/>
        <v/>
      </c>
      <c r="AJ73" s="52" t="str">
        <f t="shared" si="40"/>
        <v/>
      </c>
      <c r="AK73" s="52" t="str">
        <f t="shared" si="41"/>
        <v/>
      </c>
      <c r="AL73" s="52" t="str">
        <f t="shared" si="42"/>
        <v/>
      </c>
      <c r="AM73" s="52" t="str">
        <f t="shared" si="43"/>
        <v/>
      </c>
      <c r="AN73" s="52" t="str">
        <f t="shared" si="44"/>
        <v/>
      </c>
      <c r="AO73" s="52" t="str">
        <f t="shared" si="45"/>
        <v/>
      </c>
      <c r="AP73" s="52" t="str">
        <f t="shared" si="46"/>
        <v/>
      </c>
      <c r="AQ73" s="52" t="str">
        <f t="shared" si="47"/>
        <v/>
      </c>
      <c r="AR73" s="52" t="str">
        <f t="shared" si="48"/>
        <v/>
      </c>
      <c r="AS73" s="52" t="str">
        <f t="shared" si="49"/>
        <v/>
      </c>
      <c r="AT73" s="52" t="str">
        <f t="shared" si="50"/>
        <v/>
      </c>
      <c r="AU73" s="52" t="str">
        <f t="shared" si="51"/>
        <v/>
      </c>
      <c r="AV73" s="52" t="str">
        <f t="shared" si="52"/>
        <v/>
      </c>
      <c r="AW73" s="52" t="str">
        <f t="shared" si="53"/>
        <v/>
      </c>
      <c r="AX73" s="52" t="str">
        <f t="shared" si="30"/>
        <v/>
      </c>
      <c r="AY73" s="52" t="str">
        <f t="shared" si="54"/>
        <v/>
      </c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52"/>
      <c r="DQ73" s="52"/>
      <c r="DR73" s="52"/>
      <c r="DS73" s="52"/>
      <c r="DT73" s="52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  <c r="EK73" s="52"/>
      <c r="EL73" s="52"/>
      <c r="EM73" s="52"/>
      <c r="EN73" s="52"/>
      <c r="EO73" s="52"/>
      <c r="EP73" s="52"/>
      <c r="EQ73" s="52"/>
      <c r="ER73" s="52"/>
      <c r="ES73" s="52"/>
      <c r="ET73" s="52"/>
      <c r="EU73" s="52"/>
      <c r="EV73" s="52"/>
      <c r="EW73" s="52"/>
      <c r="EX73" s="52"/>
      <c r="EY73" s="52"/>
      <c r="EZ73" s="52"/>
      <c r="FA73" s="52"/>
      <c r="FB73" s="52"/>
      <c r="FC73" s="52"/>
      <c r="FD73" s="52"/>
      <c r="FE73" s="52"/>
      <c r="FF73" s="52"/>
      <c r="FG73" s="13"/>
    </row>
    <row r="74" spans="1:163">
      <c r="A74" s="71"/>
      <c r="B74" s="70"/>
      <c r="C74" s="72"/>
      <c r="D74" s="73"/>
      <c r="E74" s="73"/>
      <c r="F74" s="73"/>
      <c r="G74" s="73"/>
      <c r="H74" s="73"/>
      <c r="I74" s="74"/>
      <c r="J74" s="74"/>
      <c r="K74" s="74"/>
      <c r="L74" s="73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5"/>
      <c r="Y74" s="70"/>
      <c r="Z74" s="12">
        <f t="shared" si="31"/>
        <v>0</v>
      </c>
      <c r="AA74" s="14">
        <f t="shared" si="29"/>
        <v>0</v>
      </c>
      <c r="AB74" s="6">
        <f t="shared" si="32"/>
        <v>0</v>
      </c>
      <c r="AC74" s="6">
        <f t="shared" si="33"/>
        <v>0</v>
      </c>
      <c r="AD74" s="6">
        <f t="shared" si="34"/>
        <v>0</v>
      </c>
      <c r="AE74" s="52" t="str">
        <f t="shared" si="35"/>
        <v/>
      </c>
      <c r="AF74" s="52" t="str">
        <f t="shared" si="36"/>
        <v/>
      </c>
      <c r="AG74" s="50" t="str">
        <f t="shared" si="37"/>
        <v/>
      </c>
      <c r="AH74" s="50" t="str">
        <f t="shared" si="38"/>
        <v/>
      </c>
      <c r="AI74" s="52" t="str">
        <f t="shared" si="39"/>
        <v/>
      </c>
      <c r="AJ74" s="52" t="str">
        <f t="shared" si="40"/>
        <v/>
      </c>
      <c r="AK74" s="52" t="str">
        <f t="shared" si="41"/>
        <v/>
      </c>
      <c r="AL74" s="52" t="str">
        <f t="shared" si="42"/>
        <v/>
      </c>
      <c r="AM74" s="52" t="str">
        <f t="shared" si="43"/>
        <v/>
      </c>
      <c r="AN74" s="52" t="str">
        <f t="shared" si="44"/>
        <v/>
      </c>
      <c r="AO74" s="52" t="str">
        <f t="shared" si="45"/>
        <v/>
      </c>
      <c r="AP74" s="52" t="str">
        <f t="shared" si="46"/>
        <v/>
      </c>
      <c r="AQ74" s="52" t="str">
        <f t="shared" si="47"/>
        <v/>
      </c>
      <c r="AR74" s="52" t="str">
        <f t="shared" si="48"/>
        <v/>
      </c>
      <c r="AS74" s="52" t="str">
        <f t="shared" si="49"/>
        <v/>
      </c>
      <c r="AT74" s="52" t="str">
        <f t="shared" si="50"/>
        <v/>
      </c>
      <c r="AU74" s="52" t="str">
        <f t="shared" si="51"/>
        <v/>
      </c>
      <c r="AV74" s="52" t="str">
        <f t="shared" si="52"/>
        <v/>
      </c>
      <c r="AW74" s="52" t="str">
        <f t="shared" si="53"/>
        <v/>
      </c>
      <c r="AX74" s="52" t="str">
        <f t="shared" si="30"/>
        <v/>
      </c>
      <c r="AY74" s="52" t="str">
        <f t="shared" si="54"/>
        <v/>
      </c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2"/>
      <c r="CY74" s="52"/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  <c r="EK74" s="52"/>
      <c r="EL74" s="52"/>
      <c r="EM74" s="52"/>
      <c r="EN74" s="52"/>
      <c r="EO74" s="52"/>
      <c r="EP74" s="52"/>
      <c r="EQ74" s="52"/>
      <c r="ER74" s="52"/>
      <c r="ES74" s="52"/>
      <c r="ET74" s="52"/>
      <c r="EU74" s="52"/>
      <c r="EV74" s="52"/>
      <c r="EW74" s="52"/>
      <c r="EX74" s="52"/>
      <c r="EY74" s="52"/>
      <c r="EZ74" s="52"/>
      <c r="FA74" s="52"/>
      <c r="FB74" s="52"/>
      <c r="FC74" s="52"/>
      <c r="FD74" s="52"/>
      <c r="FE74" s="52"/>
      <c r="FF74" s="52"/>
      <c r="FG74" s="13"/>
    </row>
    <row r="75" spans="1:163">
      <c r="A75" s="71"/>
      <c r="B75" s="70"/>
      <c r="C75" s="72"/>
      <c r="D75" s="73"/>
      <c r="E75" s="73"/>
      <c r="F75" s="73"/>
      <c r="G75" s="73"/>
      <c r="H75" s="73"/>
      <c r="I75" s="74"/>
      <c r="J75" s="74"/>
      <c r="K75" s="74"/>
      <c r="L75" s="73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5"/>
      <c r="Y75" s="70"/>
      <c r="Z75" s="12">
        <f t="shared" si="31"/>
        <v>0</v>
      </c>
      <c r="AA75" s="14">
        <f t="shared" si="29"/>
        <v>0</v>
      </c>
      <c r="AB75" s="6">
        <f t="shared" si="32"/>
        <v>0</v>
      </c>
      <c r="AC75" s="6">
        <f t="shared" si="33"/>
        <v>0</v>
      </c>
      <c r="AD75" s="6">
        <f t="shared" si="34"/>
        <v>0</v>
      </c>
      <c r="AE75" s="52" t="str">
        <f t="shared" si="35"/>
        <v/>
      </c>
      <c r="AF75" s="52" t="str">
        <f t="shared" si="36"/>
        <v/>
      </c>
      <c r="AG75" s="50" t="str">
        <f t="shared" si="37"/>
        <v/>
      </c>
      <c r="AH75" s="50" t="str">
        <f t="shared" si="38"/>
        <v/>
      </c>
      <c r="AI75" s="52" t="str">
        <f t="shared" si="39"/>
        <v/>
      </c>
      <c r="AJ75" s="52" t="str">
        <f t="shared" si="40"/>
        <v/>
      </c>
      <c r="AK75" s="52" t="str">
        <f t="shared" si="41"/>
        <v/>
      </c>
      <c r="AL75" s="52" t="str">
        <f t="shared" si="42"/>
        <v/>
      </c>
      <c r="AM75" s="52" t="str">
        <f t="shared" si="43"/>
        <v/>
      </c>
      <c r="AN75" s="52" t="str">
        <f t="shared" si="44"/>
        <v/>
      </c>
      <c r="AO75" s="52" t="str">
        <f t="shared" si="45"/>
        <v/>
      </c>
      <c r="AP75" s="52" t="str">
        <f t="shared" si="46"/>
        <v/>
      </c>
      <c r="AQ75" s="52" t="str">
        <f t="shared" si="47"/>
        <v/>
      </c>
      <c r="AR75" s="52" t="str">
        <f t="shared" si="48"/>
        <v/>
      </c>
      <c r="AS75" s="52" t="str">
        <f t="shared" si="49"/>
        <v/>
      </c>
      <c r="AT75" s="52" t="str">
        <f t="shared" si="50"/>
        <v/>
      </c>
      <c r="AU75" s="52" t="str">
        <f t="shared" si="51"/>
        <v/>
      </c>
      <c r="AV75" s="52" t="str">
        <f t="shared" si="52"/>
        <v/>
      </c>
      <c r="AW75" s="52" t="str">
        <f t="shared" si="53"/>
        <v/>
      </c>
      <c r="AX75" s="52" t="str">
        <f t="shared" si="30"/>
        <v/>
      </c>
      <c r="AY75" s="52" t="str">
        <f t="shared" si="54"/>
        <v/>
      </c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2"/>
      <c r="CY75" s="52"/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  <c r="EK75" s="52"/>
      <c r="EL75" s="52"/>
      <c r="EM75" s="52"/>
      <c r="EN75" s="52"/>
      <c r="EO75" s="52"/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2"/>
      <c r="FC75" s="52"/>
      <c r="FD75" s="52"/>
      <c r="FE75" s="52"/>
      <c r="FF75" s="52"/>
      <c r="FG75" s="13"/>
    </row>
    <row r="76" spans="1:163">
      <c r="A76" s="71"/>
      <c r="B76" s="70"/>
      <c r="C76" s="72"/>
      <c r="D76" s="73"/>
      <c r="E76" s="73"/>
      <c r="F76" s="73"/>
      <c r="G76" s="73"/>
      <c r="H76" s="73"/>
      <c r="I76" s="74"/>
      <c r="J76" s="74"/>
      <c r="K76" s="74"/>
      <c r="L76" s="73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5"/>
      <c r="Y76" s="70"/>
      <c r="Z76" s="12">
        <f t="shared" si="31"/>
        <v>0</v>
      </c>
      <c r="AA76" s="14">
        <f t="shared" si="29"/>
        <v>0</v>
      </c>
      <c r="AB76" s="6">
        <f t="shared" si="32"/>
        <v>0</v>
      </c>
      <c r="AC76" s="6">
        <f t="shared" si="33"/>
        <v>0</v>
      </c>
      <c r="AD76" s="6">
        <f t="shared" si="34"/>
        <v>0</v>
      </c>
      <c r="AE76" s="52" t="str">
        <f t="shared" si="35"/>
        <v/>
      </c>
      <c r="AF76" s="52" t="str">
        <f t="shared" si="36"/>
        <v/>
      </c>
      <c r="AG76" s="50" t="str">
        <f t="shared" si="37"/>
        <v/>
      </c>
      <c r="AH76" s="50" t="str">
        <f t="shared" si="38"/>
        <v/>
      </c>
      <c r="AI76" s="52" t="str">
        <f t="shared" si="39"/>
        <v/>
      </c>
      <c r="AJ76" s="52" t="str">
        <f t="shared" si="40"/>
        <v/>
      </c>
      <c r="AK76" s="52" t="str">
        <f t="shared" si="41"/>
        <v/>
      </c>
      <c r="AL76" s="52" t="str">
        <f t="shared" si="42"/>
        <v/>
      </c>
      <c r="AM76" s="52" t="str">
        <f t="shared" si="43"/>
        <v/>
      </c>
      <c r="AN76" s="52" t="str">
        <f t="shared" si="44"/>
        <v/>
      </c>
      <c r="AO76" s="52" t="str">
        <f t="shared" si="45"/>
        <v/>
      </c>
      <c r="AP76" s="52" t="str">
        <f t="shared" si="46"/>
        <v/>
      </c>
      <c r="AQ76" s="52" t="str">
        <f t="shared" si="47"/>
        <v/>
      </c>
      <c r="AR76" s="52" t="str">
        <f t="shared" si="48"/>
        <v/>
      </c>
      <c r="AS76" s="52" t="str">
        <f t="shared" si="49"/>
        <v/>
      </c>
      <c r="AT76" s="52" t="str">
        <f t="shared" si="50"/>
        <v/>
      </c>
      <c r="AU76" s="52" t="str">
        <f t="shared" si="51"/>
        <v/>
      </c>
      <c r="AV76" s="52" t="str">
        <f t="shared" si="52"/>
        <v/>
      </c>
      <c r="AW76" s="52" t="str">
        <f t="shared" si="53"/>
        <v/>
      </c>
      <c r="AX76" s="52" t="str">
        <f t="shared" si="30"/>
        <v/>
      </c>
      <c r="AY76" s="52" t="str">
        <f t="shared" si="54"/>
        <v/>
      </c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  <c r="EK76" s="52"/>
      <c r="EL76" s="52"/>
      <c r="EM76" s="52"/>
      <c r="EN76" s="52"/>
      <c r="EO76" s="52"/>
      <c r="EP76" s="52"/>
      <c r="EQ76" s="52"/>
      <c r="ER76" s="52"/>
      <c r="ES76" s="52"/>
      <c r="ET76" s="52"/>
      <c r="EU76" s="52"/>
      <c r="EV76" s="52"/>
      <c r="EW76" s="52"/>
      <c r="EX76" s="52"/>
      <c r="EY76" s="52"/>
      <c r="EZ76" s="52"/>
      <c r="FA76" s="52"/>
      <c r="FB76" s="52"/>
      <c r="FC76" s="52"/>
      <c r="FD76" s="52"/>
      <c r="FE76" s="52"/>
      <c r="FF76" s="52"/>
      <c r="FG76" s="13"/>
    </row>
    <row r="77" spans="1:163">
      <c r="A77" s="71"/>
      <c r="B77" s="70"/>
      <c r="C77" s="72"/>
      <c r="D77" s="73"/>
      <c r="E77" s="73"/>
      <c r="F77" s="73"/>
      <c r="G77" s="73"/>
      <c r="H77" s="73"/>
      <c r="I77" s="74"/>
      <c r="J77" s="74"/>
      <c r="K77" s="74"/>
      <c r="L77" s="73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5"/>
      <c r="Y77" s="70"/>
      <c r="Z77" s="12">
        <f t="shared" si="31"/>
        <v>0</v>
      </c>
      <c r="AA77" s="14">
        <f t="shared" si="29"/>
        <v>0</v>
      </c>
      <c r="AB77" s="6">
        <f t="shared" si="32"/>
        <v>0</v>
      </c>
      <c r="AC77" s="6">
        <f t="shared" si="33"/>
        <v>0</v>
      </c>
      <c r="AD77" s="6">
        <f t="shared" si="34"/>
        <v>0</v>
      </c>
      <c r="AE77" s="52" t="str">
        <f t="shared" si="35"/>
        <v/>
      </c>
      <c r="AF77" s="52" t="str">
        <f t="shared" si="36"/>
        <v/>
      </c>
      <c r="AG77" s="50" t="str">
        <f t="shared" si="37"/>
        <v/>
      </c>
      <c r="AH77" s="50" t="str">
        <f t="shared" si="38"/>
        <v/>
      </c>
      <c r="AI77" s="52" t="str">
        <f t="shared" si="39"/>
        <v/>
      </c>
      <c r="AJ77" s="52" t="str">
        <f t="shared" si="40"/>
        <v/>
      </c>
      <c r="AK77" s="52" t="str">
        <f t="shared" si="41"/>
        <v/>
      </c>
      <c r="AL77" s="52" t="str">
        <f t="shared" si="42"/>
        <v/>
      </c>
      <c r="AM77" s="52" t="str">
        <f t="shared" si="43"/>
        <v/>
      </c>
      <c r="AN77" s="52" t="str">
        <f t="shared" si="44"/>
        <v/>
      </c>
      <c r="AO77" s="52" t="str">
        <f t="shared" si="45"/>
        <v/>
      </c>
      <c r="AP77" s="52" t="str">
        <f t="shared" si="46"/>
        <v/>
      </c>
      <c r="AQ77" s="52" t="str">
        <f t="shared" si="47"/>
        <v/>
      </c>
      <c r="AR77" s="52" t="str">
        <f t="shared" si="48"/>
        <v/>
      </c>
      <c r="AS77" s="52" t="str">
        <f t="shared" si="49"/>
        <v/>
      </c>
      <c r="AT77" s="52" t="str">
        <f t="shared" si="50"/>
        <v/>
      </c>
      <c r="AU77" s="52" t="str">
        <f t="shared" si="51"/>
        <v/>
      </c>
      <c r="AV77" s="52" t="str">
        <f t="shared" si="52"/>
        <v/>
      </c>
      <c r="AW77" s="52" t="str">
        <f t="shared" si="53"/>
        <v/>
      </c>
      <c r="AX77" s="52" t="str">
        <f t="shared" si="30"/>
        <v/>
      </c>
      <c r="AY77" s="52" t="str">
        <f t="shared" si="54"/>
        <v/>
      </c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13"/>
    </row>
    <row r="78" spans="1:163">
      <c r="A78" s="71"/>
      <c r="B78" s="70"/>
      <c r="C78" s="72"/>
      <c r="D78" s="73"/>
      <c r="E78" s="73"/>
      <c r="F78" s="73"/>
      <c r="G78" s="73"/>
      <c r="H78" s="73"/>
      <c r="I78" s="74"/>
      <c r="J78" s="74"/>
      <c r="K78" s="74"/>
      <c r="L78" s="73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5"/>
      <c r="Y78" s="70"/>
      <c r="Z78" s="12">
        <f t="shared" si="31"/>
        <v>0</v>
      </c>
      <c r="AA78" s="14">
        <f t="shared" si="29"/>
        <v>0</v>
      </c>
      <c r="AB78" s="6">
        <f t="shared" si="32"/>
        <v>0</v>
      </c>
      <c r="AC78" s="6">
        <f t="shared" si="33"/>
        <v>0</v>
      </c>
      <c r="AD78" s="6">
        <f t="shared" si="34"/>
        <v>0</v>
      </c>
      <c r="AE78" s="52" t="str">
        <f t="shared" si="35"/>
        <v/>
      </c>
      <c r="AF78" s="52" t="str">
        <f t="shared" si="36"/>
        <v/>
      </c>
      <c r="AG78" s="50" t="str">
        <f t="shared" si="37"/>
        <v/>
      </c>
      <c r="AH78" s="50" t="str">
        <f t="shared" si="38"/>
        <v/>
      </c>
      <c r="AI78" s="52" t="str">
        <f t="shared" si="39"/>
        <v/>
      </c>
      <c r="AJ78" s="52" t="str">
        <f t="shared" si="40"/>
        <v/>
      </c>
      <c r="AK78" s="52" t="str">
        <f t="shared" si="41"/>
        <v/>
      </c>
      <c r="AL78" s="52" t="str">
        <f t="shared" si="42"/>
        <v/>
      </c>
      <c r="AM78" s="52" t="str">
        <f t="shared" si="43"/>
        <v/>
      </c>
      <c r="AN78" s="52" t="str">
        <f t="shared" si="44"/>
        <v/>
      </c>
      <c r="AO78" s="52" t="str">
        <f t="shared" si="45"/>
        <v/>
      </c>
      <c r="AP78" s="52" t="str">
        <f t="shared" si="46"/>
        <v/>
      </c>
      <c r="AQ78" s="52" t="str">
        <f t="shared" si="47"/>
        <v/>
      </c>
      <c r="AR78" s="52" t="str">
        <f t="shared" si="48"/>
        <v/>
      </c>
      <c r="AS78" s="52" t="str">
        <f t="shared" si="49"/>
        <v/>
      </c>
      <c r="AT78" s="52" t="str">
        <f t="shared" si="50"/>
        <v/>
      </c>
      <c r="AU78" s="52" t="str">
        <f t="shared" si="51"/>
        <v/>
      </c>
      <c r="AV78" s="52" t="str">
        <f t="shared" si="52"/>
        <v/>
      </c>
      <c r="AW78" s="52" t="str">
        <f t="shared" si="53"/>
        <v/>
      </c>
      <c r="AX78" s="52" t="str">
        <f t="shared" si="30"/>
        <v/>
      </c>
      <c r="AY78" s="52" t="str">
        <f t="shared" si="54"/>
        <v/>
      </c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13"/>
    </row>
    <row r="79" spans="1:163">
      <c r="A79" s="71"/>
      <c r="B79" s="70"/>
      <c r="C79" s="72"/>
      <c r="D79" s="73"/>
      <c r="E79" s="73"/>
      <c r="F79" s="73"/>
      <c r="G79" s="73"/>
      <c r="H79" s="73"/>
      <c r="I79" s="74"/>
      <c r="J79" s="74"/>
      <c r="K79" s="74"/>
      <c r="L79" s="73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5"/>
      <c r="Y79" s="70"/>
      <c r="Z79" s="12">
        <f t="shared" si="31"/>
        <v>0</v>
      </c>
      <c r="AA79" s="14">
        <f t="shared" si="29"/>
        <v>0</v>
      </c>
      <c r="AB79" s="6">
        <f t="shared" si="32"/>
        <v>0</v>
      </c>
      <c r="AC79" s="6">
        <f t="shared" si="33"/>
        <v>0</v>
      </c>
      <c r="AD79" s="6">
        <f t="shared" si="34"/>
        <v>0</v>
      </c>
      <c r="AE79" s="52" t="str">
        <f t="shared" si="35"/>
        <v/>
      </c>
      <c r="AF79" s="52" t="str">
        <f t="shared" si="36"/>
        <v/>
      </c>
      <c r="AG79" s="50" t="str">
        <f t="shared" si="37"/>
        <v/>
      </c>
      <c r="AH79" s="50" t="str">
        <f t="shared" si="38"/>
        <v/>
      </c>
      <c r="AI79" s="52" t="str">
        <f t="shared" si="39"/>
        <v/>
      </c>
      <c r="AJ79" s="52" t="str">
        <f t="shared" si="40"/>
        <v/>
      </c>
      <c r="AK79" s="52" t="str">
        <f t="shared" si="41"/>
        <v/>
      </c>
      <c r="AL79" s="52" t="str">
        <f t="shared" si="42"/>
        <v/>
      </c>
      <c r="AM79" s="52" t="str">
        <f t="shared" si="43"/>
        <v/>
      </c>
      <c r="AN79" s="52" t="str">
        <f t="shared" si="44"/>
        <v/>
      </c>
      <c r="AO79" s="52" t="str">
        <f t="shared" si="45"/>
        <v/>
      </c>
      <c r="AP79" s="52" t="str">
        <f t="shared" si="46"/>
        <v/>
      </c>
      <c r="AQ79" s="52" t="str">
        <f t="shared" si="47"/>
        <v/>
      </c>
      <c r="AR79" s="52" t="str">
        <f t="shared" si="48"/>
        <v/>
      </c>
      <c r="AS79" s="52" t="str">
        <f t="shared" si="49"/>
        <v/>
      </c>
      <c r="AT79" s="52" t="str">
        <f t="shared" si="50"/>
        <v/>
      </c>
      <c r="AU79" s="52" t="str">
        <f t="shared" si="51"/>
        <v/>
      </c>
      <c r="AV79" s="52" t="str">
        <f t="shared" si="52"/>
        <v/>
      </c>
      <c r="AW79" s="52" t="str">
        <f t="shared" si="53"/>
        <v/>
      </c>
      <c r="AX79" s="52" t="str">
        <f t="shared" si="30"/>
        <v/>
      </c>
      <c r="AY79" s="52" t="str">
        <f t="shared" si="54"/>
        <v/>
      </c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13"/>
    </row>
    <row r="80" spans="1:163">
      <c r="A80" s="71"/>
      <c r="B80" s="70"/>
      <c r="C80" s="72"/>
      <c r="D80" s="73"/>
      <c r="E80" s="73"/>
      <c r="F80" s="73"/>
      <c r="G80" s="73"/>
      <c r="H80" s="73"/>
      <c r="I80" s="74"/>
      <c r="J80" s="74"/>
      <c r="K80" s="74"/>
      <c r="L80" s="73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5"/>
      <c r="Y80" s="70"/>
      <c r="Z80" s="12">
        <f t="shared" si="31"/>
        <v>0</v>
      </c>
      <c r="AA80" s="14">
        <f t="shared" si="29"/>
        <v>0</v>
      </c>
      <c r="AB80" s="6">
        <f t="shared" si="32"/>
        <v>0</v>
      </c>
      <c r="AC80" s="6">
        <f t="shared" si="33"/>
        <v>0</v>
      </c>
      <c r="AD80" s="6">
        <f t="shared" si="34"/>
        <v>0</v>
      </c>
      <c r="AE80" s="52" t="str">
        <f t="shared" si="35"/>
        <v/>
      </c>
      <c r="AF80" s="52" t="str">
        <f t="shared" si="36"/>
        <v/>
      </c>
      <c r="AG80" s="50" t="str">
        <f t="shared" si="37"/>
        <v/>
      </c>
      <c r="AH80" s="50" t="str">
        <f t="shared" si="38"/>
        <v/>
      </c>
      <c r="AI80" s="52" t="str">
        <f t="shared" si="39"/>
        <v/>
      </c>
      <c r="AJ80" s="52" t="str">
        <f t="shared" si="40"/>
        <v/>
      </c>
      <c r="AK80" s="52" t="str">
        <f t="shared" si="41"/>
        <v/>
      </c>
      <c r="AL80" s="52" t="str">
        <f t="shared" si="42"/>
        <v/>
      </c>
      <c r="AM80" s="52" t="str">
        <f t="shared" si="43"/>
        <v/>
      </c>
      <c r="AN80" s="52" t="str">
        <f t="shared" si="44"/>
        <v/>
      </c>
      <c r="AO80" s="52" t="str">
        <f t="shared" si="45"/>
        <v/>
      </c>
      <c r="AP80" s="52" t="str">
        <f t="shared" si="46"/>
        <v/>
      </c>
      <c r="AQ80" s="52" t="str">
        <f t="shared" si="47"/>
        <v/>
      </c>
      <c r="AR80" s="52" t="str">
        <f t="shared" si="48"/>
        <v/>
      </c>
      <c r="AS80" s="52" t="str">
        <f t="shared" si="49"/>
        <v/>
      </c>
      <c r="AT80" s="52" t="str">
        <f t="shared" si="50"/>
        <v/>
      </c>
      <c r="AU80" s="52" t="str">
        <f t="shared" si="51"/>
        <v/>
      </c>
      <c r="AV80" s="52" t="str">
        <f t="shared" si="52"/>
        <v/>
      </c>
      <c r="AW80" s="52" t="str">
        <f t="shared" si="53"/>
        <v/>
      </c>
      <c r="AX80" s="52" t="str">
        <f t="shared" si="30"/>
        <v/>
      </c>
      <c r="AY80" s="52" t="str">
        <f t="shared" si="54"/>
        <v/>
      </c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  <c r="EK80" s="52"/>
      <c r="EL80" s="52"/>
      <c r="EM80" s="52"/>
      <c r="EN80" s="52"/>
      <c r="EO80" s="52"/>
      <c r="EP80" s="52"/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13"/>
    </row>
    <row r="81" spans="1:163">
      <c r="A81" s="71"/>
      <c r="B81" s="70"/>
      <c r="C81" s="72"/>
      <c r="D81" s="73"/>
      <c r="E81" s="73"/>
      <c r="F81" s="73"/>
      <c r="G81" s="73"/>
      <c r="H81" s="73"/>
      <c r="I81" s="74"/>
      <c r="J81" s="74"/>
      <c r="K81" s="74"/>
      <c r="L81" s="73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5"/>
      <c r="Y81" s="70"/>
      <c r="Z81" s="12">
        <f t="shared" si="31"/>
        <v>0</v>
      </c>
      <c r="AA81" s="14">
        <f t="shared" si="29"/>
        <v>0</v>
      </c>
      <c r="AB81" s="6">
        <f t="shared" si="32"/>
        <v>0</v>
      </c>
      <c r="AC81" s="6">
        <f t="shared" si="33"/>
        <v>0</v>
      </c>
      <c r="AD81" s="6">
        <f t="shared" si="34"/>
        <v>0</v>
      </c>
      <c r="AE81" s="52" t="str">
        <f t="shared" si="35"/>
        <v/>
      </c>
      <c r="AF81" s="52" t="str">
        <f t="shared" si="36"/>
        <v/>
      </c>
      <c r="AG81" s="50" t="str">
        <f t="shared" si="37"/>
        <v/>
      </c>
      <c r="AH81" s="50" t="str">
        <f t="shared" si="38"/>
        <v/>
      </c>
      <c r="AI81" s="52" t="str">
        <f t="shared" si="39"/>
        <v/>
      </c>
      <c r="AJ81" s="52" t="str">
        <f t="shared" si="40"/>
        <v/>
      </c>
      <c r="AK81" s="52" t="str">
        <f t="shared" si="41"/>
        <v/>
      </c>
      <c r="AL81" s="52" t="str">
        <f t="shared" si="42"/>
        <v/>
      </c>
      <c r="AM81" s="52" t="str">
        <f t="shared" si="43"/>
        <v/>
      </c>
      <c r="AN81" s="52" t="str">
        <f t="shared" si="44"/>
        <v/>
      </c>
      <c r="AO81" s="52" t="str">
        <f t="shared" si="45"/>
        <v/>
      </c>
      <c r="AP81" s="52" t="str">
        <f t="shared" si="46"/>
        <v/>
      </c>
      <c r="AQ81" s="52" t="str">
        <f t="shared" si="47"/>
        <v/>
      </c>
      <c r="AR81" s="52" t="str">
        <f t="shared" si="48"/>
        <v/>
      </c>
      <c r="AS81" s="52" t="str">
        <f t="shared" si="49"/>
        <v/>
      </c>
      <c r="AT81" s="52" t="str">
        <f t="shared" si="50"/>
        <v/>
      </c>
      <c r="AU81" s="52" t="str">
        <f t="shared" si="51"/>
        <v/>
      </c>
      <c r="AV81" s="52" t="str">
        <f t="shared" si="52"/>
        <v/>
      </c>
      <c r="AW81" s="52" t="str">
        <f t="shared" si="53"/>
        <v/>
      </c>
      <c r="AX81" s="52" t="str">
        <f t="shared" si="30"/>
        <v/>
      </c>
      <c r="AY81" s="52" t="str">
        <f t="shared" si="54"/>
        <v/>
      </c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2"/>
      <c r="DL81" s="52"/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  <c r="EK81" s="52"/>
      <c r="EL81" s="52"/>
      <c r="EM81" s="52"/>
      <c r="EN81" s="52"/>
      <c r="EO81" s="52"/>
      <c r="EP81" s="52"/>
      <c r="EQ81" s="52"/>
      <c r="ER81" s="52"/>
      <c r="ES81" s="52"/>
      <c r="ET81" s="52"/>
      <c r="EU81" s="52"/>
      <c r="EV81" s="52"/>
      <c r="EW81" s="52"/>
      <c r="EX81" s="52"/>
      <c r="EY81" s="52"/>
      <c r="EZ81" s="52"/>
      <c r="FA81" s="52"/>
      <c r="FB81" s="52"/>
      <c r="FC81" s="52"/>
      <c r="FD81" s="52"/>
      <c r="FE81" s="52"/>
      <c r="FF81" s="52"/>
      <c r="FG81" s="13"/>
    </row>
    <row r="82" spans="1:163">
      <c r="A82" s="71"/>
      <c r="B82" s="70"/>
      <c r="C82" s="72"/>
      <c r="D82" s="73"/>
      <c r="E82" s="73"/>
      <c r="F82" s="73"/>
      <c r="G82" s="73"/>
      <c r="H82" s="73"/>
      <c r="I82" s="74"/>
      <c r="J82" s="74"/>
      <c r="K82" s="74"/>
      <c r="L82" s="73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5"/>
      <c r="Y82" s="70"/>
      <c r="Z82" s="12">
        <f t="shared" si="31"/>
        <v>0</v>
      </c>
      <c r="AA82" s="14">
        <f t="shared" si="29"/>
        <v>0</v>
      </c>
      <c r="AB82" s="6">
        <f t="shared" si="32"/>
        <v>0</v>
      </c>
      <c r="AC82" s="6">
        <f t="shared" si="33"/>
        <v>0</v>
      </c>
      <c r="AD82" s="6">
        <f t="shared" si="34"/>
        <v>0</v>
      </c>
      <c r="AE82" s="52" t="str">
        <f t="shared" si="35"/>
        <v/>
      </c>
      <c r="AF82" s="52" t="str">
        <f t="shared" si="36"/>
        <v/>
      </c>
      <c r="AG82" s="50" t="str">
        <f t="shared" si="37"/>
        <v/>
      </c>
      <c r="AH82" s="50" t="str">
        <f t="shared" si="38"/>
        <v/>
      </c>
      <c r="AI82" s="52" t="str">
        <f t="shared" si="39"/>
        <v/>
      </c>
      <c r="AJ82" s="52" t="str">
        <f t="shared" si="40"/>
        <v/>
      </c>
      <c r="AK82" s="52" t="str">
        <f t="shared" si="41"/>
        <v/>
      </c>
      <c r="AL82" s="52" t="str">
        <f t="shared" si="42"/>
        <v/>
      </c>
      <c r="AM82" s="52" t="str">
        <f t="shared" si="43"/>
        <v/>
      </c>
      <c r="AN82" s="52" t="str">
        <f t="shared" si="44"/>
        <v/>
      </c>
      <c r="AO82" s="52" t="str">
        <f t="shared" si="45"/>
        <v/>
      </c>
      <c r="AP82" s="52" t="str">
        <f t="shared" si="46"/>
        <v/>
      </c>
      <c r="AQ82" s="52" t="str">
        <f t="shared" si="47"/>
        <v/>
      </c>
      <c r="AR82" s="52" t="str">
        <f t="shared" si="48"/>
        <v/>
      </c>
      <c r="AS82" s="52" t="str">
        <f t="shared" si="49"/>
        <v/>
      </c>
      <c r="AT82" s="52" t="str">
        <f t="shared" si="50"/>
        <v/>
      </c>
      <c r="AU82" s="52" t="str">
        <f t="shared" si="51"/>
        <v/>
      </c>
      <c r="AV82" s="52" t="str">
        <f t="shared" si="52"/>
        <v/>
      </c>
      <c r="AW82" s="52" t="str">
        <f t="shared" si="53"/>
        <v/>
      </c>
      <c r="AX82" s="52" t="str">
        <f t="shared" si="30"/>
        <v/>
      </c>
      <c r="AY82" s="52" t="str">
        <f t="shared" si="54"/>
        <v/>
      </c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  <c r="CU82" s="52"/>
      <c r="CV82" s="52"/>
      <c r="CW82" s="52"/>
      <c r="CX82" s="52"/>
      <c r="CY82" s="52"/>
      <c r="CZ82" s="52"/>
      <c r="DA82" s="52"/>
      <c r="DB82" s="52"/>
      <c r="DC82" s="52"/>
      <c r="DD82" s="52"/>
      <c r="DE82" s="52"/>
      <c r="DF82" s="52"/>
      <c r="DG82" s="52"/>
      <c r="DH82" s="52"/>
      <c r="DI82" s="52"/>
      <c r="DJ82" s="52"/>
      <c r="DK82" s="52"/>
      <c r="DL82" s="52"/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  <c r="EK82" s="52"/>
      <c r="EL82" s="52"/>
      <c r="EM82" s="52"/>
      <c r="EN82" s="52"/>
      <c r="EO82" s="52"/>
      <c r="EP82" s="52"/>
      <c r="EQ82" s="52"/>
      <c r="ER82" s="52"/>
      <c r="ES82" s="52"/>
      <c r="ET82" s="52"/>
      <c r="EU82" s="52"/>
      <c r="EV82" s="52"/>
      <c r="EW82" s="52"/>
      <c r="EX82" s="52"/>
      <c r="EY82" s="52"/>
      <c r="EZ82" s="52"/>
      <c r="FA82" s="52"/>
      <c r="FB82" s="52"/>
      <c r="FC82" s="52"/>
      <c r="FD82" s="52"/>
      <c r="FE82" s="52"/>
      <c r="FF82" s="52"/>
      <c r="FG82" s="13"/>
    </row>
    <row r="83" spans="1:163">
      <c r="A83" s="71"/>
      <c r="B83" s="70"/>
      <c r="C83" s="72"/>
      <c r="D83" s="73"/>
      <c r="E83" s="73"/>
      <c r="F83" s="73"/>
      <c r="G83" s="73"/>
      <c r="H83" s="73"/>
      <c r="I83" s="74"/>
      <c r="J83" s="74"/>
      <c r="K83" s="74"/>
      <c r="L83" s="73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5"/>
      <c r="Y83" s="70"/>
      <c r="Z83" s="12">
        <f t="shared" si="31"/>
        <v>0</v>
      </c>
      <c r="AA83" s="14">
        <f t="shared" si="29"/>
        <v>0</v>
      </c>
      <c r="AB83" s="6">
        <f t="shared" si="32"/>
        <v>0</v>
      </c>
      <c r="AC83" s="6">
        <f t="shared" si="33"/>
        <v>0</v>
      </c>
      <c r="AD83" s="6">
        <f t="shared" si="34"/>
        <v>0</v>
      </c>
      <c r="AE83" s="52" t="str">
        <f t="shared" si="35"/>
        <v/>
      </c>
      <c r="AF83" s="52" t="str">
        <f t="shared" si="36"/>
        <v/>
      </c>
      <c r="AG83" s="50" t="str">
        <f t="shared" si="37"/>
        <v/>
      </c>
      <c r="AH83" s="50" t="str">
        <f t="shared" si="38"/>
        <v/>
      </c>
      <c r="AI83" s="52" t="str">
        <f t="shared" si="39"/>
        <v/>
      </c>
      <c r="AJ83" s="52" t="str">
        <f t="shared" si="40"/>
        <v/>
      </c>
      <c r="AK83" s="52" t="str">
        <f t="shared" si="41"/>
        <v/>
      </c>
      <c r="AL83" s="52" t="str">
        <f t="shared" si="42"/>
        <v/>
      </c>
      <c r="AM83" s="52" t="str">
        <f t="shared" si="43"/>
        <v/>
      </c>
      <c r="AN83" s="52" t="str">
        <f t="shared" si="44"/>
        <v/>
      </c>
      <c r="AO83" s="52" t="str">
        <f t="shared" si="45"/>
        <v/>
      </c>
      <c r="AP83" s="52" t="str">
        <f t="shared" si="46"/>
        <v/>
      </c>
      <c r="AQ83" s="52" t="str">
        <f t="shared" si="47"/>
        <v/>
      </c>
      <c r="AR83" s="52" t="str">
        <f t="shared" si="48"/>
        <v/>
      </c>
      <c r="AS83" s="52" t="str">
        <f t="shared" si="49"/>
        <v/>
      </c>
      <c r="AT83" s="52" t="str">
        <f t="shared" si="50"/>
        <v/>
      </c>
      <c r="AU83" s="52" t="str">
        <f t="shared" si="51"/>
        <v/>
      </c>
      <c r="AV83" s="52" t="str">
        <f t="shared" si="52"/>
        <v/>
      </c>
      <c r="AW83" s="52" t="str">
        <f t="shared" si="53"/>
        <v/>
      </c>
      <c r="AX83" s="52" t="str">
        <f t="shared" si="30"/>
        <v/>
      </c>
      <c r="AY83" s="52" t="str">
        <f t="shared" si="54"/>
        <v/>
      </c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  <c r="CU83" s="52"/>
      <c r="CV83" s="52"/>
      <c r="CW83" s="52"/>
      <c r="CX83" s="52"/>
      <c r="CY83" s="52"/>
      <c r="CZ83" s="52"/>
      <c r="DA83" s="52"/>
      <c r="DB83" s="52"/>
      <c r="DC83" s="52"/>
      <c r="DD83" s="52"/>
      <c r="DE83" s="52"/>
      <c r="DF83" s="52"/>
      <c r="DG83" s="52"/>
      <c r="DH83" s="52"/>
      <c r="DI83" s="52"/>
      <c r="DJ83" s="52"/>
      <c r="DK83" s="52"/>
      <c r="DL83" s="52"/>
      <c r="DM83" s="52"/>
      <c r="DN83" s="52"/>
      <c r="DO83" s="52"/>
      <c r="DP83" s="52"/>
      <c r="DQ83" s="52"/>
      <c r="DR83" s="52"/>
      <c r="DS83" s="52"/>
      <c r="DT83" s="52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  <c r="EK83" s="52"/>
      <c r="EL83" s="52"/>
      <c r="EM83" s="52"/>
      <c r="EN83" s="52"/>
      <c r="EO83" s="52"/>
      <c r="EP83" s="52"/>
      <c r="EQ83" s="52"/>
      <c r="ER83" s="52"/>
      <c r="ES83" s="52"/>
      <c r="ET83" s="52"/>
      <c r="EU83" s="52"/>
      <c r="EV83" s="52"/>
      <c r="EW83" s="52"/>
      <c r="EX83" s="52"/>
      <c r="EY83" s="52"/>
      <c r="EZ83" s="52"/>
      <c r="FA83" s="52"/>
      <c r="FB83" s="52"/>
      <c r="FC83" s="52"/>
      <c r="FD83" s="52"/>
      <c r="FE83" s="52"/>
      <c r="FF83" s="52"/>
      <c r="FG83" s="13"/>
    </row>
    <row r="84" spans="1:163">
      <c r="A84" s="71"/>
      <c r="B84" s="70"/>
      <c r="C84" s="72"/>
      <c r="D84" s="73"/>
      <c r="E84" s="73"/>
      <c r="F84" s="73"/>
      <c r="G84" s="73"/>
      <c r="H84" s="73"/>
      <c r="I84" s="74"/>
      <c r="J84" s="74"/>
      <c r="K84" s="74"/>
      <c r="L84" s="73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5"/>
      <c r="Y84" s="70"/>
      <c r="Z84" s="12">
        <f t="shared" si="31"/>
        <v>0</v>
      </c>
      <c r="AA84" s="14">
        <f t="shared" si="29"/>
        <v>0</v>
      </c>
      <c r="AB84" s="6">
        <f t="shared" si="32"/>
        <v>0</v>
      </c>
      <c r="AC84" s="6">
        <f t="shared" si="33"/>
        <v>0</v>
      </c>
      <c r="AD84" s="6">
        <f t="shared" si="34"/>
        <v>0</v>
      </c>
      <c r="AE84" s="52" t="str">
        <f t="shared" si="35"/>
        <v/>
      </c>
      <c r="AF84" s="52" t="str">
        <f t="shared" si="36"/>
        <v/>
      </c>
      <c r="AG84" s="50" t="str">
        <f t="shared" si="37"/>
        <v/>
      </c>
      <c r="AH84" s="50" t="str">
        <f t="shared" si="38"/>
        <v/>
      </c>
      <c r="AI84" s="52" t="str">
        <f t="shared" si="39"/>
        <v/>
      </c>
      <c r="AJ84" s="52" t="str">
        <f t="shared" si="40"/>
        <v/>
      </c>
      <c r="AK84" s="52" t="str">
        <f t="shared" si="41"/>
        <v/>
      </c>
      <c r="AL84" s="52" t="str">
        <f t="shared" si="42"/>
        <v/>
      </c>
      <c r="AM84" s="52" t="str">
        <f t="shared" si="43"/>
        <v/>
      </c>
      <c r="AN84" s="52" t="str">
        <f t="shared" si="44"/>
        <v/>
      </c>
      <c r="AO84" s="52" t="str">
        <f t="shared" si="45"/>
        <v/>
      </c>
      <c r="AP84" s="52" t="str">
        <f t="shared" si="46"/>
        <v/>
      </c>
      <c r="AQ84" s="52" t="str">
        <f t="shared" si="47"/>
        <v/>
      </c>
      <c r="AR84" s="52" t="str">
        <f t="shared" si="48"/>
        <v/>
      </c>
      <c r="AS84" s="52" t="str">
        <f t="shared" si="49"/>
        <v/>
      </c>
      <c r="AT84" s="52" t="str">
        <f t="shared" si="50"/>
        <v/>
      </c>
      <c r="AU84" s="52" t="str">
        <f t="shared" si="51"/>
        <v/>
      </c>
      <c r="AV84" s="52" t="str">
        <f t="shared" si="52"/>
        <v/>
      </c>
      <c r="AW84" s="52" t="str">
        <f t="shared" si="53"/>
        <v/>
      </c>
      <c r="AX84" s="52" t="str">
        <f t="shared" si="30"/>
        <v/>
      </c>
      <c r="AY84" s="52" t="str">
        <f t="shared" si="54"/>
        <v/>
      </c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  <c r="CU84" s="52"/>
      <c r="CV84" s="52"/>
      <c r="CW84" s="52"/>
      <c r="CX84" s="52"/>
      <c r="CY84" s="52"/>
      <c r="CZ84" s="52"/>
      <c r="DA84" s="52"/>
      <c r="DB84" s="52"/>
      <c r="DC84" s="52"/>
      <c r="DD84" s="52"/>
      <c r="DE84" s="52"/>
      <c r="DF84" s="52"/>
      <c r="DG84" s="52"/>
      <c r="DH84" s="52"/>
      <c r="DI84" s="52"/>
      <c r="DJ84" s="52"/>
      <c r="DK84" s="52"/>
      <c r="DL84" s="52"/>
      <c r="DM84" s="52"/>
      <c r="DN84" s="52"/>
      <c r="DO84" s="52"/>
      <c r="DP84" s="52"/>
      <c r="DQ84" s="52"/>
      <c r="DR84" s="52"/>
      <c r="DS84" s="52"/>
      <c r="DT84" s="52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  <c r="EK84" s="52"/>
      <c r="EL84" s="52"/>
      <c r="EM84" s="52"/>
      <c r="EN84" s="52"/>
      <c r="EO84" s="52"/>
      <c r="EP84" s="52"/>
      <c r="EQ84" s="52"/>
      <c r="ER84" s="52"/>
      <c r="ES84" s="52"/>
      <c r="ET84" s="52"/>
      <c r="EU84" s="52"/>
      <c r="EV84" s="52"/>
      <c r="EW84" s="52"/>
      <c r="EX84" s="52"/>
      <c r="EY84" s="52"/>
      <c r="EZ84" s="52"/>
      <c r="FA84" s="52"/>
      <c r="FB84" s="52"/>
      <c r="FC84" s="52"/>
      <c r="FD84" s="52"/>
      <c r="FE84" s="52"/>
      <c r="FF84" s="52"/>
      <c r="FG84" s="13"/>
    </row>
    <row r="85" spans="1:163">
      <c r="A85" s="71"/>
      <c r="B85" s="70"/>
      <c r="C85" s="72"/>
      <c r="D85" s="73"/>
      <c r="E85" s="73"/>
      <c r="F85" s="73"/>
      <c r="G85" s="73"/>
      <c r="H85" s="73"/>
      <c r="I85" s="74"/>
      <c r="J85" s="74"/>
      <c r="K85" s="74"/>
      <c r="L85" s="73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5"/>
      <c r="Y85" s="70"/>
      <c r="Z85" s="12">
        <f t="shared" si="31"/>
        <v>0</v>
      </c>
      <c r="AA85" s="14">
        <f t="shared" si="29"/>
        <v>0</v>
      </c>
      <c r="AB85" s="6">
        <f t="shared" si="32"/>
        <v>0</v>
      </c>
      <c r="AC85" s="6">
        <f t="shared" si="33"/>
        <v>0</v>
      </c>
      <c r="AD85" s="6">
        <f t="shared" si="34"/>
        <v>0</v>
      </c>
      <c r="AE85" s="52" t="str">
        <f t="shared" si="35"/>
        <v/>
      </c>
      <c r="AF85" s="52" t="str">
        <f t="shared" si="36"/>
        <v/>
      </c>
      <c r="AG85" s="50" t="str">
        <f t="shared" si="37"/>
        <v/>
      </c>
      <c r="AH85" s="50" t="str">
        <f t="shared" si="38"/>
        <v/>
      </c>
      <c r="AI85" s="52" t="str">
        <f t="shared" si="39"/>
        <v/>
      </c>
      <c r="AJ85" s="52" t="str">
        <f t="shared" si="40"/>
        <v/>
      </c>
      <c r="AK85" s="52" t="str">
        <f t="shared" si="41"/>
        <v/>
      </c>
      <c r="AL85" s="52" t="str">
        <f t="shared" si="42"/>
        <v/>
      </c>
      <c r="AM85" s="52" t="str">
        <f t="shared" si="43"/>
        <v/>
      </c>
      <c r="AN85" s="52" t="str">
        <f t="shared" si="44"/>
        <v/>
      </c>
      <c r="AO85" s="52" t="str">
        <f t="shared" si="45"/>
        <v/>
      </c>
      <c r="AP85" s="52" t="str">
        <f t="shared" si="46"/>
        <v/>
      </c>
      <c r="AQ85" s="52" t="str">
        <f t="shared" si="47"/>
        <v/>
      </c>
      <c r="AR85" s="52" t="str">
        <f t="shared" si="48"/>
        <v/>
      </c>
      <c r="AS85" s="52" t="str">
        <f t="shared" si="49"/>
        <v/>
      </c>
      <c r="AT85" s="52" t="str">
        <f t="shared" si="50"/>
        <v/>
      </c>
      <c r="AU85" s="52" t="str">
        <f t="shared" si="51"/>
        <v/>
      </c>
      <c r="AV85" s="52" t="str">
        <f t="shared" si="52"/>
        <v/>
      </c>
      <c r="AW85" s="52" t="str">
        <f t="shared" si="53"/>
        <v/>
      </c>
      <c r="AX85" s="52" t="str">
        <f t="shared" si="30"/>
        <v/>
      </c>
      <c r="AY85" s="52" t="str">
        <f t="shared" si="54"/>
        <v/>
      </c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  <c r="CU85" s="52"/>
      <c r="CV85" s="52"/>
      <c r="CW85" s="52"/>
      <c r="CX85" s="52"/>
      <c r="CY85" s="52"/>
      <c r="CZ85" s="52"/>
      <c r="DA85" s="52"/>
      <c r="DB85" s="52"/>
      <c r="DC85" s="52"/>
      <c r="DD85" s="52"/>
      <c r="DE85" s="52"/>
      <c r="DF85" s="52"/>
      <c r="DG85" s="52"/>
      <c r="DH85" s="52"/>
      <c r="DI85" s="52"/>
      <c r="DJ85" s="52"/>
      <c r="DK85" s="52"/>
      <c r="DL85" s="52"/>
      <c r="DM85" s="52"/>
      <c r="DN85" s="52"/>
      <c r="DO85" s="52"/>
      <c r="DP85" s="52"/>
      <c r="DQ85" s="52"/>
      <c r="DR85" s="52"/>
      <c r="DS85" s="52"/>
      <c r="DT85" s="52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  <c r="EK85" s="52"/>
      <c r="EL85" s="52"/>
      <c r="EM85" s="52"/>
      <c r="EN85" s="52"/>
      <c r="EO85" s="52"/>
      <c r="EP85" s="52"/>
      <c r="EQ85" s="52"/>
      <c r="ER85" s="52"/>
      <c r="ES85" s="52"/>
      <c r="ET85" s="52"/>
      <c r="EU85" s="52"/>
      <c r="EV85" s="52"/>
      <c r="EW85" s="52"/>
      <c r="EX85" s="52"/>
      <c r="EY85" s="52"/>
      <c r="EZ85" s="52"/>
      <c r="FA85" s="52"/>
      <c r="FB85" s="52"/>
      <c r="FC85" s="52"/>
      <c r="FD85" s="52"/>
      <c r="FE85" s="52"/>
      <c r="FF85" s="52"/>
      <c r="FG85" s="13"/>
    </row>
    <row r="86" spans="1:163">
      <c r="A86" s="71"/>
      <c r="B86" s="70"/>
      <c r="C86" s="72"/>
      <c r="D86" s="73"/>
      <c r="E86" s="73"/>
      <c r="F86" s="73"/>
      <c r="G86" s="73"/>
      <c r="H86" s="73"/>
      <c r="I86" s="74"/>
      <c r="J86" s="74"/>
      <c r="K86" s="74"/>
      <c r="L86" s="73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5"/>
      <c r="Y86" s="70"/>
      <c r="Z86" s="12">
        <f t="shared" si="31"/>
        <v>0</v>
      </c>
      <c r="AA86" s="14">
        <f t="shared" si="29"/>
        <v>0</v>
      </c>
      <c r="AB86" s="6">
        <f t="shared" si="32"/>
        <v>0</v>
      </c>
      <c r="AC86" s="6">
        <f t="shared" si="33"/>
        <v>0</v>
      </c>
      <c r="AD86" s="6">
        <f t="shared" si="34"/>
        <v>0</v>
      </c>
      <c r="AE86" s="52" t="str">
        <f t="shared" si="35"/>
        <v/>
      </c>
      <c r="AF86" s="52" t="str">
        <f t="shared" si="36"/>
        <v/>
      </c>
      <c r="AG86" s="50" t="str">
        <f t="shared" si="37"/>
        <v/>
      </c>
      <c r="AH86" s="50" t="str">
        <f t="shared" si="38"/>
        <v/>
      </c>
      <c r="AI86" s="52" t="str">
        <f t="shared" si="39"/>
        <v/>
      </c>
      <c r="AJ86" s="52" t="str">
        <f t="shared" si="40"/>
        <v/>
      </c>
      <c r="AK86" s="52" t="str">
        <f t="shared" si="41"/>
        <v/>
      </c>
      <c r="AL86" s="52" t="str">
        <f t="shared" si="42"/>
        <v/>
      </c>
      <c r="AM86" s="52" t="str">
        <f t="shared" si="43"/>
        <v/>
      </c>
      <c r="AN86" s="52" t="str">
        <f t="shared" si="44"/>
        <v/>
      </c>
      <c r="AO86" s="52" t="str">
        <f t="shared" si="45"/>
        <v/>
      </c>
      <c r="AP86" s="52" t="str">
        <f t="shared" si="46"/>
        <v/>
      </c>
      <c r="AQ86" s="52" t="str">
        <f t="shared" si="47"/>
        <v/>
      </c>
      <c r="AR86" s="52" t="str">
        <f t="shared" si="48"/>
        <v/>
      </c>
      <c r="AS86" s="52" t="str">
        <f t="shared" si="49"/>
        <v/>
      </c>
      <c r="AT86" s="52" t="str">
        <f t="shared" si="50"/>
        <v/>
      </c>
      <c r="AU86" s="52" t="str">
        <f t="shared" si="51"/>
        <v/>
      </c>
      <c r="AV86" s="52" t="str">
        <f t="shared" si="52"/>
        <v/>
      </c>
      <c r="AW86" s="52" t="str">
        <f t="shared" si="53"/>
        <v/>
      </c>
      <c r="AX86" s="52" t="str">
        <f t="shared" si="30"/>
        <v/>
      </c>
      <c r="AY86" s="52" t="str">
        <f t="shared" si="54"/>
        <v/>
      </c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  <c r="CU86" s="52"/>
      <c r="CV86" s="52"/>
      <c r="CW86" s="52"/>
      <c r="CX86" s="52"/>
      <c r="CY86" s="52"/>
      <c r="CZ86" s="52"/>
      <c r="DA86" s="52"/>
      <c r="DB86" s="52"/>
      <c r="DC86" s="52"/>
      <c r="DD86" s="52"/>
      <c r="DE86" s="52"/>
      <c r="DF86" s="52"/>
      <c r="DG86" s="52"/>
      <c r="DH86" s="52"/>
      <c r="DI86" s="52"/>
      <c r="DJ86" s="52"/>
      <c r="DK86" s="52"/>
      <c r="DL86" s="52"/>
      <c r="DM86" s="52"/>
      <c r="DN86" s="52"/>
      <c r="DO86" s="52"/>
      <c r="DP86" s="52"/>
      <c r="DQ86" s="52"/>
      <c r="DR86" s="52"/>
      <c r="DS86" s="52"/>
      <c r="DT86" s="52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  <c r="EK86" s="52"/>
      <c r="EL86" s="52"/>
      <c r="EM86" s="52"/>
      <c r="EN86" s="52"/>
      <c r="EO86" s="52"/>
      <c r="EP86" s="52"/>
      <c r="EQ86" s="52"/>
      <c r="ER86" s="52"/>
      <c r="ES86" s="52"/>
      <c r="ET86" s="52"/>
      <c r="EU86" s="52"/>
      <c r="EV86" s="52"/>
      <c r="EW86" s="52"/>
      <c r="EX86" s="52"/>
      <c r="EY86" s="52"/>
      <c r="EZ86" s="52"/>
      <c r="FA86" s="52"/>
      <c r="FB86" s="52"/>
      <c r="FC86" s="52"/>
      <c r="FD86" s="52"/>
      <c r="FE86" s="52"/>
      <c r="FF86" s="52"/>
      <c r="FG86" s="13"/>
    </row>
    <row r="87" spans="1:163">
      <c r="A87" s="71"/>
      <c r="B87" s="70"/>
      <c r="C87" s="72"/>
      <c r="D87" s="73"/>
      <c r="E87" s="73"/>
      <c r="F87" s="73"/>
      <c r="G87" s="73"/>
      <c r="H87" s="73"/>
      <c r="I87" s="74"/>
      <c r="J87" s="74"/>
      <c r="K87" s="74"/>
      <c r="L87" s="73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5"/>
      <c r="Y87" s="70"/>
      <c r="Z87" s="12">
        <f t="shared" si="31"/>
        <v>0</v>
      </c>
      <c r="AA87" s="14">
        <f t="shared" si="29"/>
        <v>0</v>
      </c>
      <c r="AB87" s="6">
        <f t="shared" si="32"/>
        <v>0</v>
      </c>
      <c r="AC87" s="6">
        <f t="shared" si="33"/>
        <v>0</v>
      </c>
      <c r="AD87" s="6">
        <f t="shared" si="34"/>
        <v>0</v>
      </c>
      <c r="AE87" s="52" t="str">
        <f t="shared" si="35"/>
        <v/>
      </c>
      <c r="AF87" s="52" t="str">
        <f t="shared" si="36"/>
        <v/>
      </c>
      <c r="AG87" s="50" t="str">
        <f t="shared" si="37"/>
        <v/>
      </c>
      <c r="AH87" s="50" t="str">
        <f t="shared" si="38"/>
        <v/>
      </c>
      <c r="AI87" s="52" t="str">
        <f t="shared" si="39"/>
        <v/>
      </c>
      <c r="AJ87" s="52" t="str">
        <f t="shared" si="40"/>
        <v/>
      </c>
      <c r="AK87" s="52" t="str">
        <f t="shared" si="41"/>
        <v/>
      </c>
      <c r="AL87" s="52" t="str">
        <f t="shared" si="42"/>
        <v/>
      </c>
      <c r="AM87" s="52" t="str">
        <f t="shared" si="43"/>
        <v/>
      </c>
      <c r="AN87" s="52" t="str">
        <f t="shared" si="44"/>
        <v/>
      </c>
      <c r="AO87" s="52" t="str">
        <f t="shared" si="45"/>
        <v/>
      </c>
      <c r="AP87" s="52" t="str">
        <f t="shared" si="46"/>
        <v/>
      </c>
      <c r="AQ87" s="52" t="str">
        <f t="shared" si="47"/>
        <v/>
      </c>
      <c r="AR87" s="52" t="str">
        <f t="shared" si="48"/>
        <v/>
      </c>
      <c r="AS87" s="52" t="str">
        <f t="shared" si="49"/>
        <v/>
      </c>
      <c r="AT87" s="52" t="str">
        <f t="shared" si="50"/>
        <v/>
      </c>
      <c r="AU87" s="52" t="str">
        <f t="shared" si="51"/>
        <v/>
      </c>
      <c r="AV87" s="52" t="str">
        <f t="shared" si="52"/>
        <v/>
      </c>
      <c r="AW87" s="52" t="str">
        <f t="shared" si="53"/>
        <v/>
      </c>
      <c r="AX87" s="52" t="str">
        <f t="shared" si="30"/>
        <v/>
      </c>
      <c r="AY87" s="52" t="str">
        <f t="shared" si="54"/>
        <v/>
      </c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  <c r="CU87" s="52"/>
      <c r="CV87" s="52"/>
      <c r="CW87" s="52"/>
      <c r="CX87" s="52"/>
      <c r="CY87" s="52"/>
      <c r="CZ87" s="52"/>
      <c r="DA87" s="52"/>
      <c r="DB87" s="52"/>
      <c r="DC87" s="52"/>
      <c r="DD87" s="52"/>
      <c r="DE87" s="52"/>
      <c r="DF87" s="52"/>
      <c r="DG87" s="52"/>
      <c r="DH87" s="52"/>
      <c r="DI87" s="52"/>
      <c r="DJ87" s="52"/>
      <c r="DK87" s="52"/>
      <c r="DL87" s="52"/>
      <c r="DM87" s="52"/>
      <c r="DN87" s="52"/>
      <c r="DO87" s="52"/>
      <c r="DP87" s="52"/>
      <c r="DQ87" s="52"/>
      <c r="DR87" s="52"/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/>
      <c r="EE87" s="52"/>
      <c r="EF87" s="52"/>
      <c r="EG87" s="52"/>
      <c r="EH87" s="52"/>
      <c r="EI87" s="52"/>
      <c r="EJ87" s="52"/>
      <c r="EK87" s="52"/>
      <c r="EL87" s="52"/>
      <c r="EM87" s="52"/>
      <c r="EN87" s="52"/>
      <c r="EO87" s="52"/>
      <c r="EP87" s="52"/>
      <c r="EQ87" s="52"/>
      <c r="ER87" s="52"/>
      <c r="ES87" s="52"/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13"/>
    </row>
    <row r="88" spans="1:163">
      <c r="A88" s="71"/>
      <c r="B88" s="70"/>
      <c r="C88" s="72"/>
      <c r="D88" s="73"/>
      <c r="E88" s="73"/>
      <c r="F88" s="73"/>
      <c r="G88" s="73"/>
      <c r="H88" s="73"/>
      <c r="I88" s="74"/>
      <c r="J88" s="74"/>
      <c r="K88" s="74"/>
      <c r="L88" s="73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5"/>
      <c r="Y88" s="70"/>
      <c r="Z88" s="12">
        <f t="shared" si="31"/>
        <v>0</v>
      </c>
      <c r="AA88" s="14">
        <f t="shared" si="29"/>
        <v>0</v>
      </c>
      <c r="AB88" s="6">
        <f t="shared" si="32"/>
        <v>0</v>
      </c>
      <c r="AC88" s="6">
        <f t="shared" si="33"/>
        <v>0</v>
      </c>
      <c r="AD88" s="6">
        <f t="shared" si="34"/>
        <v>0</v>
      </c>
      <c r="AE88" s="52" t="str">
        <f t="shared" si="35"/>
        <v/>
      </c>
      <c r="AF88" s="52" t="str">
        <f t="shared" si="36"/>
        <v/>
      </c>
      <c r="AG88" s="50" t="str">
        <f t="shared" si="37"/>
        <v/>
      </c>
      <c r="AH88" s="50" t="str">
        <f t="shared" si="38"/>
        <v/>
      </c>
      <c r="AI88" s="52" t="str">
        <f t="shared" si="39"/>
        <v/>
      </c>
      <c r="AJ88" s="52" t="str">
        <f t="shared" si="40"/>
        <v/>
      </c>
      <c r="AK88" s="52" t="str">
        <f t="shared" si="41"/>
        <v/>
      </c>
      <c r="AL88" s="52" t="str">
        <f t="shared" si="42"/>
        <v/>
      </c>
      <c r="AM88" s="52" t="str">
        <f t="shared" si="43"/>
        <v/>
      </c>
      <c r="AN88" s="52" t="str">
        <f t="shared" si="44"/>
        <v/>
      </c>
      <c r="AO88" s="52" t="str">
        <f t="shared" si="45"/>
        <v/>
      </c>
      <c r="AP88" s="52" t="str">
        <f t="shared" si="46"/>
        <v/>
      </c>
      <c r="AQ88" s="52" t="str">
        <f t="shared" si="47"/>
        <v/>
      </c>
      <c r="AR88" s="52" t="str">
        <f t="shared" si="48"/>
        <v/>
      </c>
      <c r="AS88" s="52" t="str">
        <f t="shared" si="49"/>
        <v/>
      </c>
      <c r="AT88" s="52" t="str">
        <f t="shared" si="50"/>
        <v/>
      </c>
      <c r="AU88" s="52" t="str">
        <f t="shared" si="51"/>
        <v/>
      </c>
      <c r="AV88" s="52" t="str">
        <f t="shared" si="52"/>
        <v/>
      </c>
      <c r="AW88" s="52" t="str">
        <f t="shared" si="53"/>
        <v/>
      </c>
      <c r="AX88" s="52" t="str">
        <f t="shared" si="30"/>
        <v/>
      </c>
      <c r="AY88" s="52" t="str">
        <f t="shared" si="54"/>
        <v/>
      </c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CY88" s="52"/>
      <c r="CZ88" s="52"/>
      <c r="DA88" s="52"/>
      <c r="DB88" s="52"/>
      <c r="DC88" s="52"/>
      <c r="DD88" s="52"/>
      <c r="DE88" s="52"/>
      <c r="DF88" s="52"/>
      <c r="DG88" s="52"/>
      <c r="DH88" s="52"/>
      <c r="DI88" s="52"/>
      <c r="DJ88" s="52"/>
      <c r="DK88" s="52"/>
      <c r="DL88" s="52"/>
      <c r="DM88" s="52"/>
      <c r="DN88" s="52"/>
      <c r="DO88" s="52"/>
      <c r="DP88" s="52"/>
      <c r="DQ88" s="52"/>
      <c r="DR88" s="52"/>
      <c r="DS88" s="52"/>
      <c r="DT88" s="52"/>
      <c r="DU88" s="52"/>
      <c r="DV88" s="52"/>
      <c r="DW88" s="52"/>
      <c r="DX88" s="52"/>
      <c r="DY88" s="52"/>
      <c r="DZ88" s="52"/>
      <c r="EA88" s="52"/>
      <c r="EB88" s="52"/>
      <c r="EC88" s="52"/>
      <c r="ED88" s="52"/>
      <c r="EE88" s="52"/>
      <c r="EF88" s="52"/>
      <c r="EG88" s="52"/>
      <c r="EH88" s="52"/>
      <c r="EI88" s="52"/>
      <c r="EJ88" s="52"/>
      <c r="EK88" s="52"/>
      <c r="EL88" s="52"/>
      <c r="EM88" s="52"/>
      <c r="EN88" s="52"/>
      <c r="EO88" s="52"/>
      <c r="EP88" s="52"/>
      <c r="EQ88" s="52"/>
      <c r="ER88" s="52"/>
      <c r="ES88" s="52"/>
      <c r="ET88" s="52"/>
      <c r="EU88" s="52"/>
      <c r="EV88" s="52"/>
      <c r="EW88" s="52"/>
      <c r="EX88" s="52"/>
      <c r="EY88" s="52"/>
      <c r="EZ88" s="52"/>
      <c r="FA88" s="52"/>
      <c r="FB88" s="52"/>
      <c r="FC88" s="52"/>
      <c r="FD88" s="52"/>
      <c r="FE88" s="52"/>
      <c r="FF88" s="52"/>
      <c r="FG88" s="13"/>
    </row>
    <row r="89" spans="1:163">
      <c r="A89" s="71"/>
      <c r="B89" s="70"/>
      <c r="C89" s="72"/>
      <c r="D89" s="73"/>
      <c r="E89" s="73"/>
      <c r="F89" s="73"/>
      <c r="G89" s="73"/>
      <c r="H89" s="73"/>
      <c r="I89" s="74"/>
      <c r="J89" s="74"/>
      <c r="K89" s="74"/>
      <c r="L89" s="73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5"/>
      <c r="Y89" s="70"/>
      <c r="Z89" s="12">
        <f t="shared" si="31"/>
        <v>0</v>
      </c>
      <c r="AA89" s="14">
        <f t="shared" si="29"/>
        <v>0</v>
      </c>
      <c r="AB89" s="6">
        <f t="shared" si="32"/>
        <v>0</v>
      </c>
      <c r="AC89" s="6">
        <f t="shared" si="33"/>
        <v>0</v>
      </c>
      <c r="AD89" s="6">
        <f t="shared" si="34"/>
        <v>0</v>
      </c>
      <c r="AE89" s="52" t="str">
        <f t="shared" si="35"/>
        <v/>
      </c>
      <c r="AF89" s="52" t="str">
        <f t="shared" si="36"/>
        <v/>
      </c>
      <c r="AG89" s="50" t="str">
        <f t="shared" si="37"/>
        <v/>
      </c>
      <c r="AH89" s="50" t="str">
        <f t="shared" si="38"/>
        <v/>
      </c>
      <c r="AI89" s="52" t="str">
        <f t="shared" si="39"/>
        <v/>
      </c>
      <c r="AJ89" s="52" t="str">
        <f t="shared" si="40"/>
        <v/>
      </c>
      <c r="AK89" s="52" t="str">
        <f t="shared" si="41"/>
        <v/>
      </c>
      <c r="AL89" s="52" t="str">
        <f t="shared" si="42"/>
        <v/>
      </c>
      <c r="AM89" s="52" t="str">
        <f t="shared" si="43"/>
        <v/>
      </c>
      <c r="AN89" s="52" t="str">
        <f t="shared" si="44"/>
        <v/>
      </c>
      <c r="AO89" s="52" t="str">
        <f t="shared" si="45"/>
        <v/>
      </c>
      <c r="AP89" s="52" t="str">
        <f t="shared" si="46"/>
        <v/>
      </c>
      <c r="AQ89" s="52" t="str">
        <f t="shared" si="47"/>
        <v/>
      </c>
      <c r="AR89" s="52" t="str">
        <f t="shared" si="48"/>
        <v/>
      </c>
      <c r="AS89" s="52" t="str">
        <f t="shared" si="49"/>
        <v/>
      </c>
      <c r="AT89" s="52" t="str">
        <f t="shared" si="50"/>
        <v/>
      </c>
      <c r="AU89" s="52" t="str">
        <f t="shared" si="51"/>
        <v/>
      </c>
      <c r="AV89" s="52" t="str">
        <f t="shared" si="52"/>
        <v/>
      </c>
      <c r="AW89" s="52" t="str">
        <f t="shared" si="53"/>
        <v/>
      </c>
      <c r="AX89" s="52" t="str">
        <f t="shared" si="30"/>
        <v/>
      </c>
      <c r="AY89" s="52" t="str">
        <f t="shared" si="54"/>
        <v/>
      </c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  <c r="CU89" s="52"/>
      <c r="CV89" s="52"/>
      <c r="CW89" s="52"/>
      <c r="CX89" s="52"/>
      <c r="CY89" s="52"/>
      <c r="CZ89" s="52"/>
      <c r="DA89" s="52"/>
      <c r="DB89" s="52"/>
      <c r="DC89" s="52"/>
      <c r="DD89" s="52"/>
      <c r="DE89" s="52"/>
      <c r="DF89" s="52"/>
      <c r="DG89" s="52"/>
      <c r="DH89" s="52"/>
      <c r="DI89" s="52"/>
      <c r="DJ89" s="52"/>
      <c r="DK89" s="52"/>
      <c r="DL89" s="52"/>
      <c r="DM89" s="52"/>
      <c r="DN89" s="52"/>
      <c r="DO89" s="52"/>
      <c r="DP89" s="52"/>
      <c r="DQ89" s="52"/>
      <c r="DR89" s="52"/>
      <c r="DS89" s="52"/>
      <c r="DT89" s="52"/>
      <c r="DU89" s="52"/>
      <c r="DV89" s="52"/>
      <c r="DW89" s="52"/>
      <c r="DX89" s="52"/>
      <c r="DY89" s="52"/>
      <c r="DZ89" s="52"/>
      <c r="EA89" s="52"/>
      <c r="EB89" s="52"/>
      <c r="EC89" s="52"/>
      <c r="ED89" s="52"/>
      <c r="EE89" s="52"/>
      <c r="EF89" s="52"/>
      <c r="EG89" s="52"/>
      <c r="EH89" s="52"/>
      <c r="EI89" s="52"/>
      <c r="EJ89" s="52"/>
      <c r="EK89" s="52"/>
      <c r="EL89" s="52"/>
      <c r="EM89" s="52"/>
      <c r="EN89" s="52"/>
      <c r="EO89" s="52"/>
      <c r="EP89" s="52"/>
      <c r="EQ89" s="52"/>
      <c r="ER89" s="52"/>
      <c r="ES89" s="52"/>
      <c r="ET89" s="52"/>
      <c r="EU89" s="52"/>
      <c r="EV89" s="52"/>
      <c r="EW89" s="52"/>
      <c r="EX89" s="52"/>
      <c r="EY89" s="52"/>
      <c r="EZ89" s="52"/>
      <c r="FA89" s="52"/>
      <c r="FB89" s="52"/>
      <c r="FC89" s="52"/>
      <c r="FD89" s="52"/>
      <c r="FE89" s="52"/>
      <c r="FF89" s="52"/>
      <c r="FG89" s="13"/>
    </row>
    <row r="90" spans="1:163">
      <c r="A90" s="71"/>
      <c r="B90" s="70"/>
      <c r="C90" s="72"/>
      <c r="D90" s="73"/>
      <c r="E90" s="73"/>
      <c r="F90" s="73"/>
      <c r="G90" s="73"/>
      <c r="H90" s="73"/>
      <c r="I90" s="74"/>
      <c r="J90" s="74"/>
      <c r="K90" s="74"/>
      <c r="L90" s="73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5"/>
      <c r="Y90" s="70"/>
      <c r="Z90" s="12">
        <f t="shared" si="31"/>
        <v>0</v>
      </c>
      <c r="AA90" s="14">
        <f t="shared" si="29"/>
        <v>0</v>
      </c>
      <c r="AB90" s="6">
        <f t="shared" si="32"/>
        <v>0</v>
      </c>
      <c r="AC90" s="6">
        <f t="shared" si="33"/>
        <v>0</v>
      </c>
      <c r="AD90" s="6">
        <f t="shared" si="34"/>
        <v>0</v>
      </c>
      <c r="AE90" s="52" t="str">
        <f t="shared" si="35"/>
        <v/>
      </c>
      <c r="AF90" s="52" t="str">
        <f t="shared" si="36"/>
        <v/>
      </c>
      <c r="AG90" s="50" t="str">
        <f t="shared" si="37"/>
        <v/>
      </c>
      <c r="AH90" s="50" t="str">
        <f t="shared" si="38"/>
        <v/>
      </c>
      <c r="AI90" s="52" t="str">
        <f t="shared" si="39"/>
        <v/>
      </c>
      <c r="AJ90" s="52" t="str">
        <f t="shared" si="40"/>
        <v/>
      </c>
      <c r="AK90" s="52" t="str">
        <f t="shared" si="41"/>
        <v/>
      </c>
      <c r="AL90" s="52" t="str">
        <f t="shared" si="42"/>
        <v/>
      </c>
      <c r="AM90" s="52" t="str">
        <f t="shared" si="43"/>
        <v/>
      </c>
      <c r="AN90" s="52" t="str">
        <f t="shared" si="44"/>
        <v/>
      </c>
      <c r="AO90" s="52" t="str">
        <f t="shared" si="45"/>
        <v/>
      </c>
      <c r="AP90" s="52" t="str">
        <f t="shared" si="46"/>
        <v/>
      </c>
      <c r="AQ90" s="52" t="str">
        <f t="shared" si="47"/>
        <v/>
      </c>
      <c r="AR90" s="52" t="str">
        <f t="shared" si="48"/>
        <v/>
      </c>
      <c r="AS90" s="52" t="str">
        <f t="shared" si="49"/>
        <v/>
      </c>
      <c r="AT90" s="52" t="str">
        <f t="shared" si="50"/>
        <v/>
      </c>
      <c r="AU90" s="52" t="str">
        <f t="shared" si="51"/>
        <v/>
      </c>
      <c r="AV90" s="52" t="str">
        <f t="shared" si="52"/>
        <v/>
      </c>
      <c r="AW90" s="52" t="str">
        <f t="shared" si="53"/>
        <v/>
      </c>
      <c r="AX90" s="52" t="str">
        <f t="shared" si="30"/>
        <v/>
      </c>
      <c r="AY90" s="52" t="str">
        <f t="shared" si="54"/>
        <v/>
      </c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2"/>
      <c r="CI90" s="52"/>
      <c r="CJ90" s="52"/>
      <c r="CK90" s="52"/>
      <c r="CL90" s="52"/>
      <c r="CM90" s="52"/>
      <c r="CN90" s="52"/>
      <c r="CO90" s="52"/>
      <c r="CP90" s="52"/>
      <c r="CQ90" s="52"/>
      <c r="CR90" s="52"/>
      <c r="CS90" s="52"/>
      <c r="CT90" s="52"/>
      <c r="CU90" s="52"/>
      <c r="CV90" s="52"/>
      <c r="CW90" s="52"/>
      <c r="CX90" s="52"/>
      <c r="CY90" s="52"/>
      <c r="CZ90" s="52"/>
      <c r="DA90" s="52"/>
      <c r="DB90" s="52"/>
      <c r="DC90" s="52"/>
      <c r="DD90" s="52"/>
      <c r="DE90" s="52"/>
      <c r="DF90" s="52"/>
      <c r="DG90" s="52"/>
      <c r="DH90" s="52"/>
      <c r="DI90" s="52"/>
      <c r="DJ90" s="52"/>
      <c r="DK90" s="52"/>
      <c r="DL90" s="52"/>
      <c r="DM90" s="52"/>
      <c r="DN90" s="52"/>
      <c r="DO90" s="52"/>
      <c r="DP90" s="52"/>
      <c r="DQ90" s="52"/>
      <c r="DR90" s="52"/>
      <c r="DS90" s="52"/>
      <c r="DT90" s="52"/>
      <c r="DU90" s="52"/>
      <c r="DV90" s="52"/>
      <c r="DW90" s="52"/>
      <c r="DX90" s="52"/>
      <c r="DY90" s="52"/>
      <c r="DZ90" s="52"/>
      <c r="EA90" s="52"/>
      <c r="EB90" s="52"/>
      <c r="EC90" s="52"/>
      <c r="ED90" s="52"/>
      <c r="EE90" s="52"/>
      <c r="EF90" s="52"/>
      <c r="EG90" s="52"/>
      <c r="EH90" s="52"/>
      <c r="EI90" s="52"/>
      <c r="EJ90" s="52"/>
      <c r="EK90" s="52"/>
      <c r="EL90" s="52"/>
      <c r="EM90" s="52"/>
      <c r="EN90" s="52"/>
      <c r="EO90" s="52"/>
      <c r="EP90" s="52"/>
      <c r="EQ90" s="52"/>
      <c r="ER90" s="52"/>
      <c r="ES90" s="52"/>
      <c r="ET90" s="52"/>
      <c r="EU90" s="52"/>
      <c r="EV90" s="52"/>
      <c r="EW90" s="52"/>
      <c r="EX90" s="52"/>
      <c r="EY90" s="52"/>
      <c r="EZ90" s="52"/>
      <c r="FA90" s="52"/>
      <c r="FB90" s="52"/>
      <c r="FC90" s="52"/>
      <c r="FD90" s="52"/>
      <c r="FE90" s="52"/>
      <c r="FF90" s="52"/>
      <c r="FG90" s="13"/>
    </row>
    <row r="91" spans="1:163">
      <c r="A91" s="71"/>
      <c r="B91" s="70"/>
      <c r="C91" s="72"/>
      <c r="D91" s="73"/>
      <c r="E91" s="73"/>
      <c r="F91" s="73"/>
      <c r="G91" s="73"/>
      <c r="H91" s="73"/>
      <c r="I91" s="74"/>
      <c r="J91" s="74"/>
      <c r="K91" s="74"/>
      <c r="L91" s="73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5"/>
      <c r="Y91" s="70"/>
      <c r="Z91" s="12">
        <f t="shared" si="31"/>
        <v>0</v>
      </c>
      <c r="AA91" s="14">
        <f t="shared" si="29"/>
        <v>0</v>
      </c>
      <c r="AB91" s="6">
        <f t="shared" si="32"/>
        <v>0</v>
      </c>
      <c r="AC91" s="6">
        <f t="shared" si="33"/>
        <v>0</v>
      </c>
      <c r="AD91" s="6">
        <f t="shared" si="34"/>
        <v>0</v>
      </c>
      <c r="AE91" s="52" t="str">
        <f t="shared" si="35"/>
        <v/>
      </c>
      <c r="AF91" s="52" t="str">
        <f t="shared" si="36"/>
        <v/>
      </c>
      <c r="AG91" s="50" t="str">
        <f t="shared" si="37"/>
        <v/>
      </c>
      <c r="AH91" s="50" t="str">
        <f t="shared" si="38"/>
        <v/>
      </c>
      <c r="AI91" s="52" t="str">
        <f t="shared" si="39"/>
        <v/>
      </c>
      <c r="AJ91" s="52" t="str">
        <f t="shared" si="40"/>
        <v/>
      </c>
      <c r="AK91" s="52" t="str">
        <f t="shared" si="41"/>
        <v/>
      </c>
      <c r="AL91" s="52" t="str">
        <f t="shared" si="42"/>
        <v/>
      </c>
      <c r="AM91" s="52" t="str">
        <f t="shared" si="43"/>
        <v/>
      </c>
      <c r="AN91" s="52" t="str">
        <f t="shared" si="44"/>
        <v/>
      </c>
      <c r="AO91" s="52" t="str">
        <f t="shared" si="45"/>
        <v/>
      </c>
      <c r="AP91" s="52" t="str">
        <f t="shared" si="46"/>
        <v/>
      </c>
      <c r="AQ91" s="52" t="str">
        <f t="shared" si="47"/>
        <v/>
      </c>
      <c r="AR91" s="52" t="str">
        <f t="shared" si="48"/>
        <v/>
      </c>
      <c r="AS91" s="52" t="str">
        <f t="shared" si="49"/>
        <v/>
      </c>
      <c r="AT91" s="52" t="str">
        <f t="shared" si="50"/>
        <v/>
      </c>
      <c r="AU91" s="52" t="str">
        <f t="shared" si="51"/>
        <v/>
      </c>
      <c r="AV91" s="52" t="str">
        <f t="shared" si="52"/>
        <v/>
      </c>
      <c r="AW91" s="52" t="str">
        <f t="shared" si="53"/>
        <v/>
      </c>
      <c r="AX91" s="52" t="str">
        <f t="shared" si="30"/>
        <v/>
      </c>
      <c r="AY91" s="52" t="str">
        <f t="shared" si="54"/>
        <v/>
      </c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2"/>
      <c r="CI91" s="52"/>
      <c r="CJ91" s="52"/>
      <c r="CK91" s="52"/>
      <c r="CL91" s="52"/>
      <c r="CM91" s="52"/>
      <c r="CN91" s="52"/>
      <c r="CO91" s="52"/>
      <c r="CP91" s="52"/>
      <c r="CQ91" s="52"/>
      <c r="CR91" s="52"/>
      <c r="CS91" s="52"/>
      <c r="CT91" s="52"/>
      <c r="CU91" s="52"/>
      <c r="CV91" s="52"/>
      <c r="CW91" s="52"/>
      <c r="CX91" s="52"/>
      <c r="CY91" s="52"/>
      <c r="CZ91" s="52"/>
      <c r="DA91" s="52"/>
      <c r="DB91" s="52"/>
      <c r="DC91" s="52"/>
      <c r="DD91" s="52"/>
      <c r="DE91" s="52"/>
      <c r="DF91" s="52"/>
      <c r="DG91" s="52"/>
      <c r="DH91" s="52"/>
      <c r="DI91" s="52"/>
      <c r="DJ91" s="52"/>
      <c r="DK91" s="52"/>
      <c r="DL91" s="52"/>
      <c r="DM91" s="52"/>
      <c r="DN91" s="52"/>
      <c r="DO91" s="52"/>
      <c r="DP91" s="52"/>
      <c r="DQ91" s="52"/>
      <c r="DR91" s="52"/>
      <c r="DS91" s="52"/>
      <c r="DT91" s="52"/>
      <c r="DU91" s="52"/>
      <c r="DV91" s="52"/>
      <c r="DW91" s="52"/>
      <c r="DX91" s="52"/>
      <c r="DY91" s="52"/>
      <c r="DZ91" s="52"/>
      <c r="EA91" s="52"/>
      <c r="EB91" s="52"/>
      <c r="EC91" s="52"/>
      <c r="ED91" s="52"/>
      <c r="EE91" s="52"/>
      <c r="EF91" s="52"/>
      <c r="EG91" s="52"/>
      <c r="EH91" s="52"/>
      <c r="EI91" s="52"/>
      <c r="EJ91" s="52"/>
      <c r="EK91" s="52"/>
      <c r="EL91" s="52"/>
      <c r="EM91" s="52"/>
      <c r="EN91" s="52"/>
      <c r="EO91" s="52"/>
      <c r="EP91" s="52"/>
      <c r="EQ91" s="52"/>
      <c r="ER91" s="52"/>
      <c r="ES91" s="52"/>
      <c r="ET91" s="52"/>
      <c r="EU91" s="52"/>
      <c r="EV91" s="52"/>
      <c r="EW91" s="52"/>
      <c r="EX91" s="52"/>
      <c r="EY91" s="52"/>
      <c r="EZ91" s="52"/>
      <c r="FA91" s="52"/>
      <c r="FB91" s="52"/>
      <c r="FC91" s="52"/>
      <c r="FD91" s="52"/>
      <c r="FE91" s="52"/>
      <c r="FF91" s="52"/>
      <c r="FG91" s="13"/>
    </row>
    <row r="92" spans="1:163">
      <c r="A92" s="71"/>
      <c r="B92" s="70"/>
      <c r="C92" s="72"/>
      <c r="D92" s="73"/>
      <c r="E92" s="73"/>
      <c r="F92" s="73"/>
      <c r="G92" s="73"/>
      <c r="H92" s="73"/>
      <c r="I92" s="74"/>
      <c r="J92" s="74"/>
      <c r="K92" s="74"/>
      <c r="L92" s="73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5"/>
      <c r="Y92" s="70"/>
      <c r="Z92" s="12">
        <f t="shared" si="31"/>
        <v>0</v>
      </c>
      <c r="AA92" s="14">
        <f t="shared" si="29"/>
        <v>0</v>
      </c>
      <c r="AB92" s="6">
        <f t="shared" si="32"/>
        <v>0</v>
      </c>
      <c r="AC92" s="6">
        <f t="shared" si="33"/>
        <v>0</v>
      </c>
      <c r="AD92" s="6">
        <f t="shared" si="34"/>
        <v>0</v>
      </c>
      <c r="AE92" s="52" t="str">
        <f t="shared" si="35"/>
        <v/>
      </c>
      <c r="AF92" s="52" t="str">
        <f t="shared" si="36"/>
        <v/>
      </c>
      <c r="AG92" s="50" t="str">
        <f t="shared" si="37"/>
        <v/>
      </c>
      <c r="AH92" s="50" t="str">
        <f t="shared" si="38"/>
        <v/>
      </c>
      <c r="AI92" s="52" t="str">
        <f t="shared" si="39"/>
        <v/>
      </c>
      <c r="AJ92" s="52" t="str">
        <f t="shared" si="40"/>
        <v/>
      </c>
      <c r="AK92" s="52" t="str">
        <f t="shared" si="41"/>
        <v/>
      </c>
      <c r="AL92" s="52" t="str">
        <f t="shared" si="42"/>
        <v/>
      </c>
      <c r="AM92" s="52" t="str">
        <f t="shared" si="43"/>
        <v/>
      </c>
      <c r="AN92" s="52" t="str">
        <f t="shared" si="44"/>
        <v/>
      </c>
      <c r="AO92" s="52" t="str">
        <f t="shared" si="45"/>
        <v/>
      </c>
      <c r="AP92" s="52" t="str">
        <f t="shared" si="46"/>
        <v/>
      </c>
      <c r="AQ92" s="52" t="str">
        <f t="shared" si="47"/>
        <v/>
      </c>
      <c r="AR92" s="52" t="str">
        <f t="shared" si="48"/>
        <v/>
      </c>
      <c r="AS92" s="52" t="str">
        <f t="shared" si="49"/>
        <v/>
      </c>
      <c r="AT92" s="52" t="str">
        <f t="shared" si="50"/>
        <v/>
      </c>
      <c r="AU92" s="52" t="str">
        <f t="shared" si="51"/>
        <v/>
      </c>
      <c r="AV92" s="52" t="str">
        <f t="shared" si="52"/>
        <v/>
      </c>
      <c r="AW92" s="52" t="str">
        <f t="shared" si="53"/>
        <v/>
      </c>
      <c r="AX92" s="52" t="str">
        <f t="shared" si="30"/>
        <v/>
      </c>
      <c r="AY92" s="52" t="str">
        <f t="shared" si="54"/>
        <v/>
      </c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2"/>
      <c r="CI92" s="52"/>
      <c r="CJ92" s="52"/>
      <c r="CK92" s="52"/>
      <c r="CL92" s="52"/>
      <c r="CM92" s="52"/>
      <c r="CN92" s="52"/>
      <c r="CO92" s="52"/>
      <c r="CP92" s="52"/>
      <c r="CQ92" s="52"/>
      <c r="CR92" s="52"/>
      <c r="CS92" s="52"/>
      <c r="CT92" s="52"/>
      <c r="CU92" s="52"/>
      <c r="CV92" s="52"/>
      <c r="CW92" s="52"/>
      <c r="CX92" s="52"/>
      <c r="CY92" s="52"/>
      <c r="CZ92" s="52"/>
      <c r="DA92" s="52"/>
      <c r="DB92" s="52"/>
      <c r="DC92" s="52"/>
      <c r="DD92" s="52"/>
      <c r="DE92" s="52"/>
      <c r="DF92" s="52"/>
      <c r="DG92" s="52"/>
      <c r="DH92" s="52"/>
      <c r="DI92" s="52"/>
      <c r="DJ92" s="52"/>
      <c r="DK92" s="52"/>
      <c r="DL92" s="52"/>
      <c r="DM92" s="52"/>
      <c r="DN92" s="52"/>
      <c r="DO92" s="52"/>
      <c r="DP92" s="52"/>
      <c r="DQ92" s="52"/>
      <c r="DR92" s="52"/>
      <c r="DS92" s="52"/>
      <c r="DT92" s="52"/>
      <c r="DU92" s="52"/>
      <c r="DV92" s="52"/>
      <c r="DW92" s="52"/>
      <c r="DX92" s="52"/>
      <c r="DY92" s="52"/>
      <c r="DZ92" s="52"/>
      <c r="EA92" s="52"/>
      <c r="EB92" s="52"/>
      <c r="EC92" s="52"/>
      <c r="ED92" s="52"/>
      <c r="EE92" s="52"/>
      <c r="EF92" s="52"/>
      <c r="EG92" s="52"/>
      <c r="EH92" s="52"/>
      <c r="EI92" s="52"/>
      <c r="EJ92" s="52"/>
      <c r="EK92" s="52"/>
      <c r="EL92" s="52"/>
      <c r="EM92" s="52"/>
      <c r="EN92" s="52"/>
      <c r="EO92" s="52"/>
      <c r="EP92" s="52"/>
      <c r="EQ92" s="52"/>
      <c r="ER92" s="52"/>
      <c r="ES92" s="52"/>
      <c r="ET92" s="52"/>
      <c r="EU92" s="52"/>
      <c r="EV92" s="52"/>
      <c r="EW92" s="52"/>
      <c r="EX92" s="52"/>
      <c r="EY92" s="52"/>
      <c r="EZ92" s="52"/>
      <c r="FA92" s="52"/>
      <c r="FB92" s="52"/>
      <c r="FC92" s="52"/>
      <c r="FD92" s="52"/>
      <c r="FE92" s="52"/>
      <c r="FF92" s="52"/>
      <c r="FG92" s="13"/>
    </row>
    <row r="93" spans="1:163">
      <c r="A93" s="71"/>
      <c r="B93" s="70"/>
      <c r="C93" s="72"/>
      <c r="D93" s="73"/>
      <c r="E93" s="73"/>
      <c r="F93" s="73"/>
      <c r="G93" s="73"/>
      <c r="H93" s="73"/>
      <c r="I93" s="74"/>
      <c r="J93" s="74"/>
      <c r="K93" s="74"/>
      <c r="L93" s="73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5"/>
      <c r="Y93" s="70"/>
      <c r="Z93" s="12">
        <f t="shared" si="31"/>
        <v>0</v>
      </c>
      <c r="AA93" s="14">
        <f t="shared" si="29"/>
        <v>0</v>
      </c>
      <c r="AB93" s="6">
        <f t="shared" si="32"/>
        <v>0</v>
      </c>
      <c r="AC93" s="6">
        <f t="shared" si="33"/>
        <v>0</v>
      </c>
      <c r="AD93" s="6">
        <f t="shared" si="34"/>
        <v>0</v>
      </c>
      <c r="AE93" s="52" t="str">
        <f t="shared" si="35"/>
        <v/>
      </c>
      <c r="AF93" s="52" t="str">
        <f t="shared" si="36"/>
        <v/>
      </c>
      <c r="AG93" s="50" t="str">
        <f t="shared" si="37"/>
        <v/>
      </c>
      <c r="AH93" s="50" t="str">
        <f t="shared" si="38"/>
        <v/>
      </c>
      <c r="AI93" s="52" t="str">
        <f t="shared" si="39"/>
        <v/>
      </c>
      <c r="AJ93" s="52" t="str">
        <f t="shared" si="40"/>
        <v/>
      </c>
      <c r="AK93" s="52" t="str">
        <f t="shared" si="41"/>
        <v/>
      </c>
      <c r="AL93" s="52" t="str">
        <f t="shared" si="42"/>
        <v/>
      </c>
      <c r="AM93" s="52" t="str">
        <f t="shared" si="43"/>
        <v/>
      </c>
      <c r="AN93" s="52" t="str">
        <f t="shared" si="44"/>
        <v/>
      </c>
      <c r="AO93" s="52" t="str">
        <f t="shared" si="45"/>
        <v/>
      </c>
      <c r="AP93" s="52" t="str">
        <f t="shared" si="46"/>
        <v/>
      </c>
      <c r="AQ93" s="52" t="str">
        <f t="shared" si="47"/>
        <v/>
      </c>
      <c r="AR93" s="52" t="str">
        <f t="shared" si="48"/>
        <v/>
      </c>
      <c r="AS93" s="52" t="str">
        <f t="shared" si="49"/>
        <v/>
      </c>
      <c r="AT93" s="52" t="str">
        <f t="shared" si="50"/>
        <v/>
      </c>
      <c r="AU93" s="52" t="str">
        <f t="shared" si="51"/>
        <v/>
      </c>
      <c r="AV93" s="52" t="str">
        <f t="shared" si="52"/>
        <v/>
      </c>
      <c r="AW93" s="52" t="str">
        <f t="shared" si="53"/>
        <v/>
      </c>
      <c r="AX93" s="52" t="str">
        <f t="shared" si="30"/>
        <v/>
      </c>
      <c r="AY93" s="52" t="str">
        <f t="shared" si="54"/>
        <v/>
      </c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2"/>
      <c r="CI93" s="52"/>
      <c r="CJ93" s="52"/>
      <c r="CK93" s="52"/>
      <c r="CL93" s="52"/>
      <c r="CM93" s="52"/>
      <c r="CN93" s="52"/>
      <c r="CO93" s="52"/>
      <c r="CP93" s="52"/>
      <c r="CQ93" s="52"/>
      <c r="CR93" s="52"/>
      <c r="CS93" s="52"/>
      <c r="CT93" s="52"/>
      <c r="CU93" s="52"/>
      <c r="CV93" s="52"/>
      <c r="CW93" s="52"/>
      <c r="CX93" s="52"/>
      <c r="CY93" s="52"/>
      <c r="CZ93" s="52"/>
      <c r="DA93" s="52"/>
      <c r="DB93" s="52"/>
      <c r="DC93" s="52"/>
      <c r="DD93" s="52"/>
      <c r="DE93" s="52"/>
      <c r="DF93" s="52"/>
      <c r="DG93" s="52"/>
      <c r="DH93" s="52"/>
      <c r="DI93" s="52"/>
      <c r="DJ93" s="52"/>
      <c r="DK93" s="52"/>
      <c r="DL93" s="52"/>
      <c r="DM93" s="52"/>
      <c r="DN93" s="52"/>
      <c r="DO93" s="52"/>
      <c r="DP93" s="52"/>
      <c r="DQ93" s="52"/>
      <c r="DR93" s="52"/>
      <c r="DS93" s="52"/>
      <c r="DT93" s="52"/>
      <c r="DU93" s="52"/>
      <c r="DV93" s="52"/>
      <c r="DW93" s="52"/>
      <c r="DX93" s="52"/>
      <c r="DY93" s="52"/>
      <c r="DZ93" s="52"/>
      <c r="EA93" s="52"/>
      <c r="EB93" s="52"/>
      <c r="EC93" s="52"/>
      <c r="ED93" s="52"/>
      <c r="EE93" s="52"/>
      <c r="EF93" s="52"/>
      <c r="EG93" s="52"/>
      <c r="EH93" s="52"/>
      <c r="EI93" s="52"/>
      <c r="EJ93" s="52"/>
      <c r="EK93" s="52"/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2"/>
      <c r="EZ93" s="52"/>
      <c r="FA93" s="52"/>
      <c r="FB93" s="52"/>
      <c r="FC93" s="52"/>
      <c r="FD93" s="52"/>
      <c r="FE93" s="52"/>
      <c r="FF93" s="52"/>
      <c r="FG93" s="13"/>
    </row>
    <row r="94" spans="1:163">
      <c r="A94" s="71"/>
      <c r="B94" s="70"/>
      <c r="C94" s="72"/>
      <c r="D94" s="73"/>
      <c r="E94" s="73"/>
      <c r="F94" s="73"/>
      <c r="G94" s="73"/>
      <c r="H94" s="73"/>
      <c r="I94" s="74"/>
      <c r="J94" s="74"/>
      <c r="K94" s="74"/>
      <c r="L94" s="73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5"/>
      <c r="Y94" s="70"/>
      <c r="Z94" s="12">
        <f t="shared" si="31"/>
        <v>0</v>
      </c>
      <c r="AA94" s="14">
        <f t="shared" si="29"/>
        <v>0</v>
      </c>
      <c r="AB94" s="6">
        <f t="shared" si="32"/>
        <v>0</v>
      </c>
      <c r="AC94" s="6">
        <f t="shared" si="33"/>
        <v>0</v>
      </c>
      <c r="AD94" s="6">
        <f t="shared" si="34"/>
        <v>0</v>
      </c>
      <c r="AE94" s="52" t="str">
        <f t="shared" si="35"/>
        <v/>
      </c>
      <c r="AF94" s="52" t="str">
        <f t="shared" si="36"/>
        <v/>
      </c>
      <c r="AG94" s="50" t="str">
        <f t="shared" si="37"/>
        <v/>
      </c>
      <c r="AH94" s="50" t="str">
        <f t="shared" si="38"/>
        <v/>
      </c>
      <c r="AI94" s="52" t="str">
        <f t="shared" si="39"/>
        <v/>
      </c>
      <c r="AJ94" s="52" t="str">
        <f t="shared" si="40"/>
        <v/>
      </c>
      <c r="AK94" s="52" t="str">
        <f t="shared" si="41"/>
        <v/>
      </c>
      <c r="AL94" s="52" t="str">
        <f t="shared" si="42"/>
        <v/>
      </c>
      <c r="AM94" s="52" t="str">
        <f t="shared" si="43"/>
        <v/>
      </c>
      <c r="AN94" s="52" t="str">
        <f t="shared" si="44"/>
        <v/>
      </c>
      <c r="AO94" s="52" t="str">
        <f t="shared" si="45"/>
        <v/>
      </c>
      <c r="AP94" s="52" t="str">
        <f t="shared" si="46"/>
        <v/>
      </c>
      <c r="AQ94" s="52" t="str">
        <f t="shared" si="47"/>
        <v/>
      </c>
      <c r="AR94" s="52" t="str">
        <f t="shared" si="48"/>
        <v/>
      </c>
      <c r="AS94" s="52" t="str">
        <f t="shared" si="49"/>
        <v/>
      </c>
      <c r="AT94" s="52" t="str">
        <f t="shared" si="50"/>
        <v/>
      </c>
      <c r="AU94" s="52" t="str">
        <f t="shared" si="51"/>
        <v/>
      </c>
      <c r="AV94" s="52" t="str">
        <f t="shared" si="52"/>
        <v/>
      </c>
      <c r="AW94" s="52" t="str">
        <f t="shared" si="53"/>
        <v/>
      </c>
      <c r="AX94" s="52" t="str">
        <f t="shared" si="30"/>
        <v/>
      </c>
      <c r="AY94" s="52" t="str">
        <f t="shared" si="54"/>
        <v/>
      </c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2"/>
      <c r="CI94" s="52"/>
      <c r="CJ94" s="52"/>
      <c r="CK94" s="52"/>
      <c r="CL94" s="52"/>
      <c r="CM94" s="52"/>
      <c r="CN94" s="52"/>
      <c r="CO94" s="52"/>
      <c r="CP94" s="52"/>
      <c r="CQ94" s="52"/>
      <c r="CR94" s="52"/>
      <c r="CS94" s="52"/>
      <c r="CT94" s="52"/>
      <c r="CU94" s="52"/>
      <c r="CV94" s="52"/>
      <c r="CW94" s="52"/>
      <c r="CX94" s="52"/>
      <c r="CY94" s="52"/>
      <c r="CZ94" s="52"/>
      <c r="DA94" s="52"/>
      <c r="DB94" s="52"/>
      <c r="DC94" s="52"/>
      <c r="DD94" s="52"/>
      <c r="DE94" s="52"/>
      <c r="DF94" s="52"/>
      <c r="DG94" s="52"/>
      <c r="DH94" s="52"/>
      <c r="DI94" s="52"/>
      <c r="DJ94" s="52"/>
      <c r="DK94" s="52"/>
      <c r="DL94" s="52"/>
      <c r="DM94" s="52"/>
      <c r="DN94" s="52"/>
      <c r="DO94" s="52"/>
      <c r="DP94" s="52"/>
      <c r="DQ94" s="52"/>
      <c r="DR94" s="52"/>
      <c r="DS94" s="52"/>
      <c r="DT94" s="52"/>
      <c r="DU94" s="52"/>
      <c r="DV94" s="52"/>
      <c r="DW94" s="52"/>
      <c r="DX94" s="52"/>
      <c r="DY94" s="52"/>
      <c r="DZ94" s="52"/>
      <c r="EA94" s="52"/>
      <c r="EB94" s="52"/>
      <c r="EC94" s="52"/>
      <c r="ED94" s="52"/>
      <c r="EE94" s="52"/>
      <c r="EF94" s="52"/>
      <c r="EG94" s="52"/>
      <c r="EH94" s="52"/>
      <c r="EI94" s="52"/>
      <c r="EJ94" s="52"/>
      <c r="EK94" s="52"/>
      <c r="EL94" s="52"/>
      <c r="EM94" s="52"/>
      <c r="EN94" s="52"/>
      <c r="EO94" s="52"/>
      <c r="EP94" s="52"/>
      <c r="EQ94" s="52"/>
      <c r="ER94" s="52"/>
      <c r="ES94" s="52"/>
      <c r="ET94" s="52"/>
      <c r="EU94" s="52"/>
      <c r="EV94" s="52"/>
      <c r="EW94" s="52"/>
      <c r="EX94" s="52"/>
      <c r="EY94" s="52"/>
      <c r="EZ94" s="52"/>
      <c r="FA94" s="52"/>
      <c r="FB94" s="52"/>
      <c r="FC94" s="52"/>
      <c r="FD94" s="52"/>
      <c r="FE94" s="52"/>
      <c r="FF94" s="52"/>
      <c r="FG94" s="13"/>
    </row>
    <row r="95" spans="1:163">
      <c r="A95" s="71"/>
      <c r="B95" s="70"/>
      <c r="C95" s="72"/>
      <c r="D95" s="73"/>
      <c r="E95" s="73"/>
      <c r="F95" s="73"/>
      <c r="G95" s="73"/>
      <c r="H95" s="73"/>
      <c r="I95" s="74"/>
      <c r="J95" s="74"/>
      <c r="K95" s="74"/>
      <c r="L95" s="73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5"/>
      <c r="Y95" s="70"/>
      <c r="Z95" s="12">
        <f t="shared" si="31"/>
        <v>0</v>
      </c>
      <c r="AA95" s="14">
        <f t="shared" si="29"/>
        <v>0</v>
      </c>
      <c r="AB95" s="6">
        <f t="shared" si="32"/>
        <v>0</v>
      </c>
      <c r="AC95" s="6">
        <f t="shared" si="33"/>
        <v>0</v>
      </c>
      <c r="AD95" s="6">
        <f t="shared" si="34"/>
        <v>0</v>
      </c>
      <c r="AE95" s="52" t="str">
        <f t="shared" si="35"/>
        <v/>
      </c>
      <c r="AF95" s="52" t="str">
        <f t="shared" si="36"/>
        <v/>
      </c>
      <c r="AG95" s="50" t="str">
        <f t="shared" si="37"/>
        <v/>
      </c>
      <c r="AH95" s="50" t="str">
        <f t="shared" si="38"/>
        <v/>
      </c>
      <c r="AI95" s="52" t="str">
        <f t="shared" si="39"/>
        <v/>
      </c>
      <c r="AJ95" s="52" t="str">
        <f t="shared" si="40"/>
        <v/>
      </c>
      <c r="AK95" s="52" t="str">
        <f t="shared" si="41"/>
        <v/>
      </c>
      <c r="AL95" s="52" t="str">
        <f t="shared" si="42"/>
        <v/>
      </c>
      <c r="AM95" s="52" t="str">
        <f t="shared" si="43"/>
        <v/>
      </c>
      <c r="AN95" s="52" t="str">
        <f t="shared" si="44"/>
        <v/>
      </c>
      <c r="AO95" s="52" t="str">
        <f t="shared" si="45"/>
        <v/>
      </c>
      <c r="AP95" s="52" t="str">
        <f t="shared" si="46"/>
        <v/>
      </c>
      <c r="AQ95" s="52" t="str">
        <f t="shared" si="47"/>
        <v/>
      </c>
      <c r="AR95" s="52" t="str">
        <f t="shared" si="48"/>
        <v/>
      </c>
      <c r="AS95" s="52" t="str">
        <f t="shared" si="49"/>
        <v/>
      </c>
      <c r="AT95" s="52" t="str">
        <f t="shared" si="50"/>
        <v/>
      </c>
      <c r="AU95" s="52" t="str">
        <f t="shared" si="51"/>
        <v/>
      </c>
      <c r="AV95" s="52" t="str">
        <f t="shared" si="52"/>
        <v/>
      </c>
      <c r="AW95" s="52" t="str">
        <f t="shared" si="53"/>
        <v/>
      </c>
      <c r="AX95" s="52" t="str">
        <f t="shared" si="30"/>
        <v/>
      </c>
      <c r="AY95" s="52" t="str">
        <f t="shared" si="54"/>
        <v/>
      </c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2"/>
      <c r="CI95" s="52"/>
      <c r="CJ95" s="52"/>
      <c r="CK95" s="52"/>
      <c r="CL95" s="52"/>
      <c r="CM95" s="52"/>
      <c r="CN95" s="52"/>
      <c r="CO95" s="52"/>
      <c r="CP95" s="52"/>
      <c r="CQ95" s="52"/>
      <c r="CR95" s="52"/>
      <c r="CS95" s="52"/>
      <c r="CT95" s="52"/>
      <c r="CU95" s="52"/>
      <c r="CV95" s="52"/>
      <c r="CW95" s="52"/>
      <c r="CX95" s="52"/>
      <c r="CY95" s="52"/>
      <c r="CZ95" s="52"/>
      <c r="DA95" s="52"/>
      <c r="DB95" s="52"/>
      <c r="DC95" s="52"/>
      <c r="DD95" s="52"/>
      <c r="DE95" s="52"/>
      <c r="DF95" s="52"/>
      <c r="DG95" s="52"/>
      <c r="DH95" s="52"/>
      <c r="DI95" s="52"/>
      <c r="DJ95" s="52"/>
      <c r="DK95" s="52"/>
      <c r="DL95" s="52"/>
      <c r="DM95" s="52"/>
      <c r="DN95" s="52"/>
      <c r="DO95" s="52"/>
      <c r="DP95" s="52"/>
      <c r="DQ95" s="52"/>
      <c r="DR95" s="52"/>
      <c r="DS95" s="52"/>
      <c r="DT95" s="52"/>
      <c r="DU95" s="52"/>
      <c r="DV95" s="52"/>
      <c r="DW95" s="52"/>
      <c r="DX95" s="52"/>
      <c r="DY95" s="52"/>
      <c r="DZ95" s="52"/>
      <c r="EA95" s="52"/>
      <c r="EB95" s="52"/>
      <c r="EC95" s="52"/>
      <c r="ED95" s="52"/>
      <c r="EE95" s="52"/>
      <c r="EF95" s="52"/>
      <c r="EG95" s="52"/>
      <c r="EH95" s="52"/>
      <c r="EI95" s="52"/>
      <c r="EJ95" s="52"/>
      <c r="EK95" s="52"/>
      <c r="EL95" s="52"/>
      <c r="EM95" s="52"/>
      <c r="EN95" s="52"/>
      <c r="EO95" s="52"/>
      <c r="EP95" s="52"/>
      <c r="EQ95" s="52"/>
      <c r="ER95" s="52"/>
      <c r="ES95" s="52"/>
      <c r="ET95" s="52"/>
      <c r="EU95" s="52"/>
      <c r="EV95" s="52"/>
      <c r="EW95" s="52"/>
      <c r="EX95" s="52"/>
      <c r="EY95" s="52"/>
      <c r="EZ95" s="52"/>
      <c r="FA95" s="52"/>
      <c r="FB95" s="52"/>
      <c r="FC95" s="52"/>
      <c r="FD95" s="52"/>
      <c r="FE95" s="52"/>
      <c r="FF95" s="52"/>
      <c r="FG95" s="13"/>
    </row>
    <row r="96" spans="1:163">
      <c r="A96" s="71"/>
      <c r="B96" s="70"/>
      <c r="C96" s="72"/>
      <c r="D96" s="73"/>
      <c r="E96" s="73"/>
      <c r="F96" s="73"/>
      <c r="G96" s="73"/>
      <c r="H96" s="73"/>
      <c r="I96" s="74"/>
      <c r="J96" s="74"/>
      <c r="K96" s="74"/>
      <c r="L96" s="73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5"/>
      <c r="Y96" s="70"/>
      <c r="Z96" s="12">
        <f t="shared" si="31"/>
        <v>0</v>
      </c>
      <c r="AA96" s="14">
        <f t="shared" si="29"/>
        <v>0</v>
      </c>
      <c r="AB96" s="6">
        <f t="shared" si="32"/>
        <v>0</v>
      </c>
      <c r="AC96" s="6">
        <f t="shared" si="33"/>
        <v>0</v>
      </c>
      <c r="AD96" s="6">
        <f t="shared" si="34"/>
        <v>0</v>
      </c>
      <c r="AE96" s="52" t="str">
        <f t="shared" si="35"/>
        <v/>
      </c>
      <c r="AF96" s="52" t="str">
        <f t="shared" si="36"/>
        <v/>
      </c>
      <c r="AG96" s="50" t="str">
        <f t="shared" si="37"/>
        <v/>
      </c>
      <c r="AH96" s="50" t="str">
        <f t="shared" si="38"/>
        <v/>
      </c>
      <c r="AI96" s="52" t="str">
        <f t="shared" si="39"/>
        <v/>
      </c>
      <c r="AJ96" s="52" t="str">
        <f t="shared" si="40"/>
        <v/>
      </c>
      <c r="AK96" s="52" t="str">
        <f t="shared" si="41"/>
        <v/>
      </c>
      <c r="AL96" s="52" t="str">
        <f t="shared" si="42"/>
        <v/>
      </c>
      <c r="AM96" s="52" t="str">
        <f t="shared" si="43"/>
        <v/>
      </c>
      <c r="AN96" s="52" t="str">
        <f t="shared" si="44"/>
        <v/>
      </c>
      <c r="AO96" s="52" t="str">
        <f t="shared" si="45"/>
        <v/>
      </c>
      <c r="AP96" s="52" t="str">
        <f t="shared" si="46"/>
        <v/>
      </c>
      <c r="AQ96" s="52" t="str">
        <f t="shared" si="47"/>
        <v/>
      </c>
      <c r="AR96" s="52" t="str">
        <f t="shared" si="48"/>
        <v/>
      </c>
      <c r="AS96" s="52" t="str">
        <f t="shared" si="49"/>
        <v/>
      </c>
      <c r="AT96" s="52" t="str">
        <f t="shared" si="50"/>
        <v/>
      </c>
      <c r="AU96" s="52" t="str">
        <f t="shared" si="51"/>
        <v/>
      </c>
      <c r="AV96" s="52" t="str">
        <f t="shared" si="52"/>
        <v/>
      </c>
      <c r="AW96" s="52" t="str">
        <f t="shared" si="53"/>
        <v/>
      </c>
      <c r="AX96" s="52" t="str">
        <f t="shared" si="30"/>
        <v/>
      </c>
      <c r="AY96" s="52" t="str">
        <f t="shared" si="54"/>
        <v/>
      </c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2"/>
      <c r="CI96" s="52"/>
      <c r="CJ96" s="52"/>
      <c r="CK96" s="52"/>
      <c r="CL96" s="52"/>
      <c r="CM96" s="52"/>
      <c r="CN96" s="52"/>
      <c r="CO96" s="52"/>
      <c r="CP96" s="52"/>
      <c r="CQ96" s="52"/>
      <c r="CR96" s="52"/>
      <c r="CS96" s="52"/>
      <c r="CT96" s="52"/>
      <c r="CU96" s="52"/>
      <c r="CV96" s="52"/>
      <c r="CW96" s="52"/>
      <c r="CX96" s="52"/>
      <c r="CY96" s="52"/>
      <c r="CZ96" s="52"/>
      <c r="DA96" s="52"/>
      <c r="DB96" s="52"/>
      <c r="DC96" s="52"/>
      <c r="DD96" s="52"/>
      <c r="DE96" s="52"/>
      <c r="DF96" s="52"/>
      <c r="DG96" s="52"/>
      <c r="DH96" s="52"/>
      <c r="DI96" s="52"/>
      <c r="DJ96" s="52"/>
      <c r="DK96" s="52"/>
      <c r="DL96" s="52"/>
      <c r="DM96" s="52"/>
      <c r="DN96" s="52"/>
      <c r="DO96" s="52"/>
      <c r="DP96" s="52"/>
      <c r="DQ96" s="52"/>
      <c r="DR96" s="52"/>
      <c r="DS96" s="52"/>
      <c r="DT96" s="52"/>
      <c r="DU96" s="52"/>
      <c r="DV96" s="52"/>
      <c r="DW96" s="52"/>
      <c r="DX96" s="52"/>
      <c r="DY96" s="52"/>
      <c r="DZ96" s="52"/>
      <c r="EA96" s="52"/>
      <c r="EB96" s="52"/>
      <c r="EC96" s="52"/>
      <c r="ED96" s="52"/>
      <c r="EE96" s="52"/>
      <c r="EF96" s="52"/>
      <c r="EG96" s="52"/>
      <c r="EH96" s="52"/>
      <c r="EI96" s="52"/>
      <c r="EJ96" s="52"/>
      <c r="EK96" s="52"/>
      <c r="EL96" s="52"/>
      <c r="EM96" s="52"/>
      <c r="EN96" s="52"/>
      <c r="EO96" s="52"/>
      <c r="EP96" s="52"/>
      <c r="EQ96" s="52"/>
      <c r="ER96" s="52"/>
      <c r="ES96" s="52"/>
      <c r="ET96" s="52"/>
      <c r="EU96" s="52"/>
      <c r="EV96" s="52"/>
      <c r="EW96" s="52"/>
      <c r="EX96" s="52"/>
      <c r="EY96" s="52"/>
      <c r="EZ96" s="52"/>
      <c r="FA96" s="52"/>
      <c r="FB96" s="52"/>
      <c r="FC96" s="52"/>
      <c r="FD96" s="52"/>
      <c r="FE96" s="52"/>
      <c r="FF96" s="52"/>
      <c r="FG96" s="13"/>
    </row>
    <row r="97" spans="1:163">
      <c r="A97" s="71"/>
      <c r="B97" s="70"/>
      <c r="C97" s="72"/>
      <c r="D97" s="73"/>
      <c r="E97" s="73"/>
      <c r="F97" s="73"/>
      <c r="G97" s="73"/>
      <c r="H97" s="73"/>
      <c r="I97" s="74"/>
      <c r="J97" s="74"/>
      <c r="K97" s="74"/>
      <c r="L97" s="73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5"/>
      <c r="Y97" s="70"/>
      <c r="Z97" s="12">
        <f t="shared" si="31"/>
        <v>0</v>
      </c>
      <c r="AA97" s="14">
        <f t="shared" si="29"/>
        <v>0</v>
      </c>
      <c r="AB97" s="6">
        <f t="shared" si="32"/>
        <v>0</v>
      </c>
      <c r="AC97" s="6">
        <f t="shared" si="33"/>
        <v>0</v>
      </c>
      <c r="AD97" s="6">
        <f t="shared" si="34"/>
        <v>0</v>
      </c>
      <c r="AE97" s="52" t="str">
        <f t="shared" si="35"/>
        <v/>
      </c>
      <c r="AF97" s="52" t="str">
        <f t="shared" si="36"/>
        <v/>
      </c>
      <c r="AG97" s="50" t="str">
        <f t="shared" si="37"/>
        <v/>
      </c>
      <c r="AH97" s="50" t="str">
        <f t="shared" si="38"/>
        <v/>
      </c>
      <c r="AI97" s="52" t="str">
        <f t="shared" si="39"/>
        <v/>
      </c>
      <c r="AJ97" s="52" t="str">
        <f t="shared" si="40"/>
        <v/>
      </c>
      <c r="AK97" s="52" t="str">
        <f t="shared" si="41"/>
        <v/>
      </c>
      <c r="AL97" s="52" t="str">
        <f t="shared" si="42"/>
        <v/>
      </c>
      <c r="AM97" s="52" t="str">
        <f t="shared" si="43"/>
        <v/>
      </c>
      <c r="AN97" s="52" t="str">
        <f t="shared" si="44"/>
        <v/>
      </c>
      <c r="AO97" s="52" t="str">
        <f t="shared" si="45"/>
        <v/>
      </c>
      <c r="AP97" s="52" t="str">
        <f t="shared" si="46"/>
        <v/>
      </c>
      <c r="AQ97" s="52" t="str">
        <f t="shared" si="47"/>
        <v/>
      </c>
      <c r="AR97" s="52" t="str">
        <f t="shared" si="48"/>
        <v/>
      </c>
      <c r="AS97" s="52" t="str">
        <f t="shared" si="49"/>
        <v/>
      </c>
      <c r="AT97" s="52" t="str">
        <f t="shared" si="50"/>
        <v/>
      </c>
      <c r="AU97" s="52" t="str">
        <f t="shared" si="51"/>
        <v/>
      </c>
      <c r="AV97" s="52" t="str">
        <f t="shared" si="52"/>
        <v/>
      </c>
      <c r="AW97" s="52" t="str">
        <f t="shared" si="53"/>
        <v/>
      </c>
      <c r="AX97" s="52" t="str">
        <f t="shared" si="30"/>
        <v/>
      </c>
      <c r="AY97" s="52" t="str">
        <f t="shared" si="54"/>
        <v/>
      </c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2"/>
      <c r="CI97" s="52"/>
      <c r="CJ97" s="52"/>
      <c r="CK97" s="52"/>
      <c r="CL97" s="52"/>
      <c r="CM97" s="52"/>
      <c r="CN97" s="52"/>
      <c r="CO97" s="52"/>
      <c r="CP97" s="52"/>
      <c r="CQ97" s="52"/>
      <c r="CR97" s="52"/>
      <c r="CS97" s="52"/>
      <c r="CT97" s="52"/>
      <c r="CU97" s="52"/>
      <c r="CV97" s="52"/>
      <c r="CW97" s="52"/>
      <c r="CX97" s="52"/>
      <c r="CY97" s="52"/>
      <c r="CZ97" s="52"/>
      <c r="DA97" s="52"/>
      <c r="DB97" s="52"/>
      <c r="DC97" s="52"/>
      <c r="DD97" s="52"/>
      <c r="DE97" s="52"/>
      <c r="DF97" s="52"/>
      <c r="DG97" s="52"/>
      <c r="DH97" s="52"/>
      <c r="DI97" s="52"/>
      <c r="DJ97" s="52"/>
      <c r="DK97" s="52"/>
      <c r="DL97" s="52"/>
      <c r="DM97" s="52"/>
      <c r="DN97" s="52"/>
      <c r="DO97" s="52"/>
      <c r="DP97" s="52"/>
      <c r="DQ97" s="52"/>
      <c r="DR97" s="52"/>
      <c r="DS97" s="52"/>
      <c r="DT97" s="52"/>
      <c r="DU97" s="52"/>
      <c r="DV97" s="52"/>
      <c r="DW97" s="52"/>
      <c r="DX97" s="52"/>
      <c r="DY97" s="52"/>
      <c r="DZ97" s="52"/>
      <c r="EA97" s="52"/>
      <c r="EB97" s="52"/>
      <c r="EC97" s="52"/>
      <c r="ED97" s="52"/>
      <c r="EE97" s="52"/>
      <c r="EF97" s="52"/>
      <c r="EG97" s="52"/>
      <c r="EH97" s="52"/>
      <c r="EI97" s="52"/>
      <c r="EJ97" s="52"/>
      <c r="EK97" s="52"/>
      <c r="EL97" s="52"/>
      <c r="EM97" s="52"/>
      <c r="EN97" s="52"/>
      <c r="EO97" s="52"/>
      <c r="EP97" s="52"/>
      <c r="EQ97" s="52"/>
      <c r="ER97" s="52"/>
      <c r="ES97" s="52"/>
      <c r="ET97" s="52"/>
      <c r="EU97" s="52"/>
      <c r="EV97" s="52"/>
      <c r="EW97" s="52"/>
      <c r="EX97" s="52"/>
      <c r="EY97" s="52"/>
      <c r="EZ97" s="52"/>
      <c r="FA97" s="52"/>
      <c r="FB97" s="52"/>
      <c r="FC97" s="52"/>
      <c r="FD97" s="52"/>
      <c r="FE97" s="52"/>
      <c r="FF97" s="52"/>
      <c r="FG97" s="13"/>
    </row>
    <row r="98" spans="1:163">
      <c r="A98" s="71"/>
      <c r="B98" s="70"/>
      <c r="C98" s="72"/>
      <c r="D98" s="73"/>
      <c r="E98" s="73"/>
      <c r="F98" s="73"/>
      <c r="G98" s="73"/>
      <c r="H98" s="73"/>
      <c r="I98" s="74"/>
      <c r="J98" s="74"/>
      <c r="K98" s="74"/>
      <c r="L98" s="73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5"/>
      <c r="Y98" s="70"/>
      <c r="Z98" s="12">
        <f t="shared" si="31"/>
        <v>0</v>
      </c>
      <c r="AA98" s="14">
        <f t="shared" si="29"/>
        <v>0</v>
      </c>
      <c r="AB98" s="6">
        <f t="shared" si="32"/>
        <v>0</v>
      </c>
      <c r="AC98" s="6">
        <f t="shared" si="33"/>
        <v>0</v>
      </c>
      <c r="AD98" s="6">
        <f t="shared" si="34"/>
        <v>0</v>
      </c>
      <c r="AE98" s="52" t="str">
        <f t="shared" si="35"/>
        <v/>
      </c>
      <c r="AF98" s="52" t="str">
        <f t="shared" si="36"/>
        <v/>
      </c>
      <c r="AG98" s="50" t="str">
        <f t="shared" si="37"/>
        <v/>
      </c>
      <c r="AH98" s="50" t="str">
        <f t="shared" si="38"/>
        <v/>
      </c>
      <c r="AI98" s="52" t="str">
        <f t="shared" si="39"/>
        <v/>
      </c>
      <c r="AJ98" s="52" t="str">
        <f t="shared" si="40"/>
        <v/>
      </c>
      <c r="AK98" s="52" t="str">
        <f t="shared" si="41"/>
        <v/>
      </c>
      <c r="AL98" s="52" t="str">
        <f t="shared" si="42"/>
        <v/>
      </c>
      <c r="AM98" s="52" t="str">
        <f t="shared" si="43"/>
        <v/>
      </c>
      <c r="AN98" s="52" t="str">
        <f t="shared" si="44"/>
        <v/>
      </c>
      <c r="AO98" s="52" t="str">
        <f t="shared" si="45"/>
        <v/>
      </c>
      <c r="AP98" s="52" t="str">
        <f t="shared" si="46"/>
        <v/>
      </c>
      <c r="AQ98" s="52" t="str">
        <f t="shared" si="47"/>
        <v/>
      </c>
      <c r="AR98" s="52" t="str">
        <f t="shared" si="48"/>
        <v/>
      </c>
      <c r="AS98" s="52" t="str">
        <f t="shared" si="49"/>
        <v/>
      </c>
      <c r="AT98" s="52" t="str">
        <f t="shared" si="50"/>
        <v/>
      </c>
      <c r="AU98" s="52" t="str">
        <f t="shared" si="51"/>
        <v/>
      </c>
      <c r="AV98" s="52" t="str">
        <f t="shared" si="52"/>
        <v/>
      </c>
      <c r="AW98" s="52" t="str">
        <f t="shared" si="53"/>
        <v/>
      </c>
      <c r="AX98" s="52" t="str">
        <f t="shared" si="30"/>
        <v/>
      </c>
      <c r="AY98" s="52" t="str">
        <f t="shared" si="54"/>
        <v/>
      </c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2"/>
      <c r="CI98" s="52"/>
      <c r="CJ98" s="52"/>
      <c r="CK98" s="52"/>
      <c r="CL98" s="52"/>
      <c r="CM98" s="52"/>
      <c r="CN98" s="52"/>
      <c r="CO98" s="52"/>
      <c r="CP98" s="52"/>
      <c r="CQ98" s="52"/>
      <c r="CR98" s="52"/>
      <c r="CS98" s="52"/>
      <c r="CT98" s="52"/>
      <c r="CU98" s="52"/>
      <c r="CV98" s="52"/>
      <c r="CW98" s="52"/>
      <c r="CX98" s="52"/>
      <c r="CY98" s="52"/>
      <c r="CZ98" s="52"/>
      <c r="DA98" s="52"/>
      <c r="DB98" s="52"/>
      <c r="DC98" s="52"/>
      <c r="DD98" s="52"/>
      <c r="DE98" s="52"/>
      <c r="DF98" s="52"/>
      <c r="DG98" s="52"/>
      <c r="DH98" s="52"/>
      <c r="DI98" s="52"/>
      <c r="DJ98" s="52"/>
      <c r="DK98" s="52"/>
      <c r="DL98" s="52"/>
      <c r="DM98" s="52"/>
      <c r="DN98" s="52"/>
      <c r="DO98" s="52"/>
      <c r="DP98" s="52"/>
      <c r="DQ98" s="52"/>
      <c r="DR98" s="52"/>
      <c r="DS98" s="52"/>
      <c r="DT98" s="52"/>
      <c r="DU98" s="52"/>
      <c r="DV98" s="52"/>
      <c r="DW98" s="52"/>
      <c r="DX98" s="52"/>
      <c r="DY98" s="52"/>
      <c r="DZ98" s="52"/>
      <c r="EA98" s="52"/>
      <c r="EB98" s="52"/>
      <c r="EC98" s="52"/>
      <c r="ED98" s="52"/>
      <c r="EE98" s="52"/>
      <c r="EF98" s="52"/>
      <c r="EG98" s="52"/>
      <c r="EH98" s="52"/>
      <c r="EI98" s="52"/>
      <c r="EJ98" s="52"/>
      <c r="EK98" s="52"/>
      <c r="EL98" s="52"/>
      <c r="EM98" s="52"/>
      <c r="EN98" s="52"/>
      <c r="EO98" s="52"/>
      <c r="EP98" s="52"/>
      <c r="EQ98" s="52"/>
      <c r="ER98" s="52"/>
      <c r="ES98" s="52"/>
      <c r="ET98" s="52"/>
      <c r="EU98" s="52"/>
      <c r="EV98" s="52"/>
      <c r="EW98" s="52"/>
      <c r="EX98" s="52"/>
      <c r="EY98" s="52"/>
      <c r="EZ98" s="52"/>
      <c r="FA98" s="52"/>
      <c r="FB98" s="52"/>
      <c r="FC98" s="52"/>
      <c r="FD98" s="52"/>
      <c r="FE98" s="52"/>
      <c r="FF98" s="52"/>
      <c r="FG98" s="13"/>
    </row>
    <row r="99" spans="1:163">
      <c r="A99" s="71"/>
      <c r="B99" s="70"/>
      <c r="C99" s="72"/>
      <c r="D99" s="73"/>
      <c r="E99" s="73"/>
      <c r="F99" s="73"/>
      <c r="G99" s="73"/>
      <c r="H99" s="73"/>
      <c r="I99" s="74"/>
      <c r="J99" s="74"/>
      <c r="K99" s="74"/>
      <c r="L99" s="73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5"/>
      <c r="Y99" s="70"/>
      <c r="Z99" s="12">
        <f t="shared" si="31"/>
        <v>0</v>
      </c>
      <c r="AA99" s="14">
        <f t="shared" si="29"/>
        <v>0</v>
      </c>
      <c r="AB99" s="6">
        <f t="shared" si="32"/>
        <v>0</v>
      </c>
      <c r="AC99" s="6">
        <f t="shared" si="33"/>
        <v>0</v>
      </c>
      <c r="AD99" s="6">
        <f t="shared" si="34"/>
        <v>0</v>
      </c>
      <c r="AE99" s="52" t="str">
        <f t="shared" si="35"/>
        <v/>
      </c>
      <c r="AF99" s="52" t="str">
        <f t="shared" si="36"/>
        <v/>
      </c>
      <c r="AG99" s="50" t="str">
        <f t="shared" si="37"/>
        <v/>
      </c>
      <c r="AH99" s="50" t="str">
        <f t="shared" si="38"/>
        <v/>
      </c>
      <c r="AI99" s="52" t="str">
        <f t="shared" si="39"/>
        <v/>
      </c>
      <c r="AJ99" s="52" t="str">
        <f t="shared" si="40"/>
        <v/>
      </c>
      <c r="AK99" s="52" t="str">
        <f t="shared" si="41"/>
        <v/>
      </c>
      <c r="AL99" s="52" t="str">
        <f t="shared" si="42"/>
        <v/>
      </c>
      <c r="AM99" s="52" t="str">
        <f t="shared" si="43"/>
        <v/>
      </c>
      <c r="AN99" s="52" t="str">
        <f t="shared" si="44"/>
        <v/>
      </c>
      <c r="AO99" s="52" t="str">
        <f t="shared" si="45"/>
        <v/>
      </c>
      <c r="AP99" s="52" t="str">
        <f t="shared" si="46"/>
        <v/>
      </c>
      <c r="AQ99" s="52" t="str">
        <f t="shared" si="47"/>
        <v/>
      </c>
      <c r="AR99" s="52" t="str">
        <f t="shared" si="48"/>
        <v/>
      </c>
      <c r="AS99" s="52" t="str">
        <f t="shared" si="49"/>
        <v/>
      </c>
      <c r="AT99" s="52" t="str">
        <f t="shared" si="50"/>
        <v/>
      </c>
      <c r="AU99" s="52" t="str">
        <f t="shared" si="51"/>
        <v/>
      </c>
      <c r="AV99" s="52" t="str">
        <f t="shared" si="52"/>
        <v/>
      </c>
      <c r="AW99" s="52" t="str">
        <f t="shared" si="53"/>
        <v/>
      </c>
      <c r="AX99" s="52" t="str">
        <f t="shared" si="30"/>
        <v/>
      </c>
      <c r="AY99" s="52" t="str">
        <f t="shared" si="54"/>
        <v/>
      </c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2"/>
      <c r="CI99" s="52"/>
      <c r="CJ99" s="52"/>
      <c r="CK99" s="52"/>
      <c r="CL99" s="52"/>
      <c r="CM99" s="52"/>
      <c r="CN99" s="52"/>
      <c r="CO99" s="52"/>
      <c r="CP99" s="52"/>
      <c r="CQ99" s="52"/>
      <c r="CR99" s="52"/>
      <c r="CS99" s="52"/>
      <c r="CT99" s="52"/>
      <c r="CU99" s="52"/>
      <c r="CV99" s="52"/>
      <c r="CW99" s="52"/>
      <c r="CX99" s="52"/>
      <c r="CY99" s="52"/>
      <c r="CZ99" s="52"/>
      <c r="DA99" s="52"/>
      <c r="DB99" s="52"/>
      <c r="DC99" s="52"/>
      <c r="DD99" s="52"/>
      <c r="DE99" s="52"/>
      <c r="DF99" s="52"/>
      <c r="DG99" s="52"/>
      <c r="DH99" s="52"/>
      <c r="DI99" s="52"/>
      <c r="DJ99" s="52"/>
      <c r="DK99" s="52"/>
      <c r="DL99" s="52"/>
      <c r="DM99" s="52"/>
      <c r="DN99" s="52"/>
      <c r="DO99" s="52"/>
      <c r="DP99" s="52"/>
      <c r="DQ99" s="52"/>
      <c r="DR99" s="52"/>
      <c r="DS99" s="52"/>
      <c r="DT99" s="52"/>
      <c r="DU99" s="52"/>
      <c r="DV99" s="52"/>
      <c r="DW99" s="52"/>
      <c r="DX99" s="52"/>
      <c r="DY99" s="52"/>
      <c r="DZ99" s="52"/>
      <c r="EA99" s="52"/>
      <c r="EB99" s="52"/>
      <c r="EC99" s="52"/>
      <c r="ED99" s="52"/>
      <c r="EE99" s="52"/>
      <c r="EF99" s="52"/>
      <c r="EG99" s="52"/>
      <c r="EH99" s="52"/>
      <c r="EI99" s="52"/>
      <c r="EJ99" s="52"/>
      <c r="EK99" s="52"/>
      <c r="EL99" s="52"/>
      <c r="EM99" s="52"/>
      <c r="EN99" s="52"/>
      <c r="EO99" s="52"/>
      <c r="EP99" s="52"/>
      <c r="EQ99" s="52"/>
      <c r="ER99" s="52"/>
      <c r="ES99" s="52"/>
      <c r="ET99" s="52"/>
      <c r="EU99" s="52"/>
      <c r="EV99" s="52"/>
      <c r="EW99" s="52"/>
      <c r="EX99" s="52"/>
      <c r="EY99" s="52"/>
      <c r="EZ99" s="52"/>
      <c r="FA99" s="52"/>
      <c r="FB99" s="52"/>
      <c r="FC99" s="52"/>
      <c r="FD99" s="52"/>
      <c r="FE99" s="52"/>
      <c r="FF99" s="52"/>
      <c r="FG99" s="13"/>
    </row>
    <row r="100" spans="1:163">
      <c r="A100" s="71"/>
      <c r="B100" s="70"/>
      <c r="C100" s="72"/>
      <c r="D100" s="73"/>
      <c r="E100" s="73"/>
      <c r="F100" s="73"/>
      <c r="G100" s="73"/>
      <c r="H100" s="73"/>
      <c r="I100" s="74"/>
      <c r="J100" s="74"/>
      <c r="K100" s="74"/>
      <c r="L100" s="73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5"/>
      <c r="Y100" s="70"/>
      <c r="Z100" s="12">
        <f t="shared" si="31"/>
        <v>0</v>
      </c>
      <c r="AA100" s="14">
        <f t="shared" si="29"/>
        <v>0</v>
      </c>
      <c r="AB100" s="6">
        <f t="shared" si="32"/>
        <v>0</v>
      </c>
      <c r="AC100" s="6">
        <f t="shared" si="33"/>
        <v>0</v>
      </c>
      <c r="AD100" s="6">
        <f t="shared" si="34"/>
        <v>0</v>
      </c>
      <c r="AE100" s="52" t="str">
        <f t="shared" si="35"/>
        <v/>
      </c>
      <c r="AF100" s="52" t="str">
        <f t="shared" si="36"/>
        <v/>
      </c>
      <c r="AG100" s="50" t="str">
        <f t="shared" si="37"/>
        <v/>
      </c>
      <c r="AH100" s="50" t="str">
        <f t="shared" si="38"/>
        <v/>
      </c>
      <c r="AI100" s="52" t="str">
        <f t="shared" si="39"/>
        <v/>
      </c>
      <c r="AJ100" s="52" t="str">
        <f t="shared" si="40"/>
        <v/>
      </c>
      <c r="AK100" s="52" t="str">
        <f t="shared" si="41"/>
        <v/>
      </c>
      <c r="AL100" s="52" t="str">
        <f t="shared" si="42"/>
        <v/>
      </c>
      <c r="AM100" s="52" t="str">
        <f t="shared" si="43"/>
        <v/>
      </c>
      <c r="AN100" s="52" t="str">
        <f t="shared" si="44"/>
        <v/>
      </c>
      <c r="AO100" s="52" t="str">
        <f t="shared" si="45"/>
        <v/>
      </c>
      <c r="AP100" s="52" t="str">
        <f t="shared" si="46"/>
        <v/>
      </c>
      <c r="AQ100" s="52" t="str">
        <f t="shared" si="47"/>
        <v/>
      </c>
      <c r="AR100" s="52" t="str">
        <f t="shared" si="48"/>
        <v/>
      </c>
      <c r="AS100" s="52" t="str">
        <f t="shared" si="49"/>
        <v/>
      </c>
      <c r="AT100" s="52" t="str">
        <f t="shared" si="50"/>
        <v/>
      </c>
      <c r="AU100" s="52" t="str">
        <f t="shared" si="51"/>
        <v/>
      </c>
      <c r="AV100" s="52" t="str">
        <f t="shared" si="52"/>
        <v/>
      </c>
      <c r="AW100" s="52" t="str">
        <f t="shared" si="53"/>
        <v/>
      </c>
      <c r="AX100" s="52" t="str">
        <f t="shared" si="30"/>
        <v/>
      </c>
      <c r="AY100" s="52" t="str">
        <f t="shared" si="54"/>
        <v/>
      </c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  <c r="EI100" s="52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13"/>
    </row>
    <row r="101" spans="1:163">
      <c r="A101" s="71"/>
      <c r="B101" s="70"/>
      <c r="C101" s="72"/>
      <c r="D101" s="73"/>
      <c r="E101" s="73"/>
      <c r="F101" s="73"/>
      <c r="G101" s="73"/>
      <c r="H101" s="73"/>
      <c r="I101" s="74"/>
      <c r="J101" s="74"/>
      <c r="K101" s="74"/>
      <c r="L101" s="73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5"/>
      <c r="Y101" s="70"/>
      <c r="Z101" s="12">
        <f t="shared" si="31"/>
        <v>0</v>
      </c>
      <c r="AA101" s="14">
        <f t="shared" si="29"/>
        <v>0</v>
      </c>
      <c r="AB101" s="6">
        <f t="shared" si="32"/>
        <v>0</v>
      </c>
      <c r="AC101" s="6">
        <f t="shared" si="33"/>
        <v>0</v>
      </c>
      <c r="AD101" s="6">
        <f t="shared" si="34"/>
        <v>0</v>
      </c>
      <c r="AE101" s="52" t="str">
        <f t="shared" si="35"/>
        <v/>
      </c>
      <c r="AF101" s="52" t="str">
        <f t="shared" si="36"/>
        <v/>
      </c>
      <c r="AG101" s="50" t="str">
        <f t="shared" si="37"/>
        <v/>
      </c>
      <c r="AH101" s="50" t="str">
        <f t="shared" si="38"/>
        <v/>
      </c>
      <c r="AI101" s="52" t="str">
        <f t="shared" si="39"/>
        <v/>
      </c>
      <c r="AJ101" s="52" t="str">
        <f t="shared" si="40"/>
        <v/>
      </c>
      <c r="AK101" s="52" t="str">
        <f t="shared" si="41"/>
        <v/>
      </c>
      <c r="AL101" s="52" t="str">
        <f t="shared" si="42"/>
        <v/>
      </c>
      <c r="AM101" s="52" t="str">
        <f t="shared" si="43"/>
        <v/>
      </c>
      <c r="AN101" s="52" t="str">
        <f t="shared" si="44"/>
        <v/>
      </c>
      <c r="AO101" s="52" t="str">
        <f t="shared" si="45"/>
        <v/>
      </c>
      <c r="AP101" s="52" t="str">
        <f t="shared" si="46"/>
        <v/>
      </c>
      <c r="AQ101" s="52" t="str">
        <f t="shared" si="47"/>
        <v/>
      </c>
      <c r="AR101" s="52" t="str">
        <f t="shared" si="48"/>
        <v/>
      </c>
      <c r="AS101" s="52" t="str">
        <f t="shared" si="49"/>
        <v/>
      </c>
      <c r="AT101" s="52" t="str">
        <f t="shared" si="50"/>
        <v/>
      </c>
      <c r="AU101" s="52" t="str">
        <f t="shared" si="51"/>
        <v/>
      </c>
      <c r="AV101" s="52" t="str">
        <f t="shared" si="52"/>
        <v/>
      </c>
      <c r="AW101" s="52" t="str">
        <f t="shared" si="53"/>
        <v/>
      </c>
      <c r="AX101" s="52" t="str">
        <f t="shared" si="30"/>
        <v/>
      </c>
      <c r="AY101" s="52" t="str">
        <f t="shared" si="54"/>
        <v/>
      </c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2"/>
      <c r="CI101" s="52"/>
      <c r="CJ101" s="52"/>
      <c r="CK101" s="52"/>
      <c r="CL101" s="52"/>
      <c r="CM101" s="52"/>
      <c r="CN101" s="52"/>
      <c r="CO101" s="52"/>
      <c r="CP101" s="52"/>
      <c r="CQ101" s="52"/>
      <c r="CR101" s="52"/>
      <c r="CS101" s="52"/>
      <c r="CT101" s="52"/>
      <c r="CU101" s="52"/>
      <c r="CV101" s="52"/>
      <c r="CW101" s="52"/>
      <c r="CX101" s="52"/>
      <c r="CY101" s="52"/>
      <c r="CZ101" s="52"/>
      <c r="DA101" s="52"/>
      <c r="DB101" s="52"/>
      <c r="DC101" s="52"/>
      <c r="DD101" s="52"/>
      <c r="DE101" s="52"/>
      <c r="DF101" s="52"/>
      <c r="DG101" s="52"/>
      <c r="DH101" s="52"/>
      <c r="DI101" s="52"/>
      <c r="DJ101" s="52"/>
      <c r="DK101" s="52"/>
      <c r="DL101" s="52"/>
      <c r="DM101" s="52"/>
      <c r="DN101" s="52"/>
      <c r="DO101" s="52"/>
      <c r="DP101" s="52"/>
      <c r="DQ101" s="52"/>
      <c r="DR101" s="52"/>
      <c r="DS101" s="52"/>
      <c r="DT101" s="52"/>
      <c r="DU101" s="52"/>
      <c r="DV101" s="52"/>
      <c r="DW101" s="52"/>
      <c r="DX101" s="52"/>
      <c r="DY101" s="52"/>
      <c r="DZ101" s="52"/>
      <c r="EA101" s="52"/>
      <c r="EB101" s="52"/>
      <c r="EC101" s="52"/>
      <c r="ED101" s="52"/>
      <c r="EE101" s="52"/>
      <c r="EF101" s="52"/>
      <c r="EG101" s="52"/>
      <c r="EH101" s="52"/>
      <c r="EI101" s="52"/>
      <c r="EJ101" s="52"/>
      <c r="EK101" s="52"/>
      <c r="EL101" s="52"/>
      <c r="EM101" s="52"/>
      <c r="EN101" s="52"/>
      <c r="EO101" s="52"/>
      <c r="EP101" s="52"/>
      <c r="EQ101" s="52"/>
      <c r="ER101" s="52"/>
      <c r="ES101" s="52"/>
      <c r="ET101" s="52"/>
      <c r="EU101" s="52"/>
      <c r="EV101" s="52"/>
      <c r="EW101" s="52"/>
      <c r="EX101" s="52"/>
      <c r="EY101" s="52"/>
      <c r="EZ101" s="52"/>
      <c r="FA101" s="52"/>
      <c r="FB101" s="52"/>
      <c r="FC101" s="52"/>
      <c r="FD101" s="52"/>
      <c r="FE101" s="52"/>
      <c r="FF101" s="52"/>
      <c r="FG101" s="13"/>
    </row>
    <row r="102" spans="1:163">
      <c r="A102" s="71"/>
      <c r="B102" s="70"/>
      <c r="C102" s="72"/>
      <c r="D102" s="73"/>
      <c r="E102" s="73"/>
      <c r="F102" s="73"/>
      <c r="G102" s="73"/>
      <c r="H102" s="73"/>
      <c r="I102" s="74"/>
      <c r="J102" s="74"/>
      <c r="K102" s="74"/>
      <c r="L102" s="73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5"/>
      <c r="Y102" s="70"/>
      <c r="Z102" s="12">
        <f t="shared" si="31"/>
        <v>0</v>
      </c>
      <c r="AA102" s="14">
        <f t="shared" si="29"/>
        <v>0</v>
      </c>
      <c r="AB102" s="6">
        <f t="shared" si="32"/>
        <v>0</v>
      </c>
      <c r="AC102" s="6">
        <f t="shared" si="33"/>
        <v>0</v>
      </c>
      <c r="AD102" s="6">
        <f t="shared" si="34"/>
        <v>0</v>
      </c>
      <c r="AE102" s="52" t="str">
        <f t="shared" si="35"/>
        <v/>
      </c>
      <c r="AF102" s="52" t="str">
        <f t="shared" si="36"/>
        <v/>
      </c>
      <c r="AG102" s="50" t="str">
        <f t="shared" si="37"/>
        <v/>
      </c>
      <c r="AH102" s="50" t="str">
        <f t="shared" si="38"/>
        <v/>
      </c>
      <c r="AI102" s="52" t="str">
        <f t="shared" si="39"/>
        <v/>
      </c>
      <c r="AJ102" s="52" t="str">
        <f t="shared" si="40"/>
        <v/>
      </c>
      <c r="AK102" s="52" t="str">
        <f t="shared" si="41"/>
        <v/>
      </c>
      <c r="AL102" s="52" t="str">
        <f t="shared" si="42"/>
        <v/>
      </c>
      <c r="AM102" s="52" t="str">
        <f t="shared" si="43"/>
        <v/>
      </c>
      <c r="AN102" s="52" t="str">
        <f t="shared" si="44"/>
        <v/>
      </c>
      <c r="AO102" s="52" t="str">
        <f t="shared" si="45"/>
        <v/>
      </c>
      <c r="AP102" s="52" t="str">
        <f t="shared" si="46"/>
        <v/>
      </c>
      <c r="AQ102" s="52" t="str">
        <f t="shared" si="47"/>
        <v/>
      </c>
      <c r="AR102" s="52" t="str">
        <f t="shared" si="48"/>
        <v/>
      </c>
      <c r="AS102" s="52" t="str">
        <f t="shared" si="49"/>
        <v/>
      </c>
      <c r="AT102" s="52" t="str">
        <f t="shared" si="50"/>
        <v/>
      </c>
      <c r="AU102" s="52" t="str">
        <f t="shared" si="51"/>
        <v/>
      </c>
      <c r="AV102" s="52" t="str">
        <f t="shared" si="52"/>
        <v/>
      </c>
      <c r="AW102" s="52" t="str">
        <f t="shared" si="53"/>
        <v/>
      </c>
      <c r="AX102" s="52" t="str">
        <f t="shared" si="30"/>
        <v/>
      </c>
      <c r="AY102" s="52" t="str">
        <f t="shared" si="54"/>
        <v/>
      </c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2"/>
      <c r="CI102" s="52"/>
      <c r="CJ102" s="52"/>
      <c r="CK102" s="52"/>
      <c r="CL102" s="52"/>
      <c r="CM102" s="52"/>
      <c r="CN102" s="52"/>
      <c r="CO102" s="52"/>
      <c r="CP102" s="52"/>
      <c r="CQ102" s="52"/>
      <c r="CR102" s="52"/>
      <c r="CS102" s="52"/>
      <c r="CT102" s="52"/>
      <c r="CU102" s="52"/>
      <c r="CV102" s="52"/>
      <c r="CW102" s="52"/>
      <c r="CX102" s="52"/>
      <c r="CY102" s="52"/>
      <c r="CZ102" s="52"/>
      <c r="DA102" s="52"/>
      <c r="DB102" s="52"/>
      <c r="DC102" s="52"/>
      <c r="DD102" s="52"/>
      <c r="DE102" s="52"/>
      <c r="DF102" s="52"/>
      <c r="DG102" s="52"/>
      <c r="DH102" s="52"/>
      <c r="DI102" s="52"/>
      <c r="DJ102" s="52"/>
      <c r="DK102" s="52"/>
      <c r="DL102" s="52"/>
      <c r="DM102" s="52"/>
      <c r="DN102" s="52"/>
      <c r="DO102" s="52"/>
      <c r="DP102" s="52"/>
      <c r="DQ102" s="52"/>
      <c r="DR102" s="52"/>
      <c r="DS102" s="52"/>
      <c r="DT102" s="52"/>
      <c r="DU102" s="52"/>
      <c r="DV102" s="52"/>
      <c r="DW102" s="52"/>
      <c r="DX102" s="52"/>
      <c r="DY102" s="52"/>
      <c r="DZ102" s="52"/>
      <c r="EA102" s="52"/>
      <c r="EB102" s="52"/>
      <c r="EC102" s="52"/>
      <c r="ED102" s="52"/>
      <c r="EE102" s="52"/>
      <c r="EF102" s="52"/>
      <c r="EG102" s="52"/>
      <c r="EH102" s="52"/>
      <c r="EI102" s="52"/>
      <c r="EJ102" s="52"/>
      <c r="EK102" s="52"/>
      <c r="EL102" s="52"/>
      <c r="EM102" s="52"/>
      <c r="EN102" s="52"/>
      <c r="EO102" s="52"/>
      <c r="EP102" s="52"/>
      <c r="EQ102" s="52"/>
      <c r="ER102" s="52"/>
      <c r="ES102" s="52"/>
      <c r="ET102" s="52"/>
      <c r="EU102" s="52"/>
      <c r="EV102" s="52"/>
      <c r="EW102" s="52"/>
      <c r="EX102" s="52"/>
      <c r="EY102" s="52"/>
      <c r="EZ102" s="52"/>
      <c r="FA102" s="52"/>
      <c r="FB102" s="52"/>
      <c r="FC102" s="52"/>
      <c r="FD102" s="52"/>
      <c r="FE102" s="52"/>
      <c r="FF102" s="52"/>
      <c r="FG102" s="13"/>
    </row>
    <row r="103" spans="1:163">
      <c r="A103" s="71"/>
      <c r="B103" s="70"/>
      <c r="C103" s="72"/>
      <c r="D103" s="73"/>
      <c r="E103" s="73"/>
      <c r="F103" s="73"/>
      <c r="G103" s="73"/>
      <c r="H103" s="73"/>
      <c r="I103" s="74"/>
      <c r="J103" s="74"/>
      <c r="K103" s="74"/>
      <c r="L103" s="73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5"/>
      <c r="Y103" s="70"/>
      <c r="Z103" s="12">
        <f t="shared" si="31"/>
        <v>0</v>
      </c>
      <c r="AA103" s="14">
        <f t="shared" si="29"/>
        <v>0</v>
      </c>
      <c r="AB103" s="6">
        <f t="shared" si="32"/>
        <v>0</v>
      </c>
      <c r="AC103" s="6">
        <f t="shared" si="33"/>
        <v>0</v>
      </c>
      <c r="AD103" s="6">
        <f t="shared" si="34"/>
        <v>0</v>
      </c>
      <c r="AE103" s="52" t="str">
        <f t="shared" si="35"/>
        <v/>
      </c>
      <c r="AF103" s="52" t="str">
        <f t="shared" si="36"/>
        <v/>
      </c>
      <c r="AG103" s="50" t="str">
        <f t="shared" si="37"/>
        <v/>
      </c>
      <c r="AH103" s="50" t="str">
        <f t="shared" si="38"/>
        <v/>
      </c>
      <c r="AI103" s="52" t="str">
        <f t="shared" si="39"/>
        <v/>
      </c>
      <c r="AJ103" s="52" t="str">
        <f t="shared" si="40"/>
        <v/>
      </c>
      <c r="AK103" s="52" t="str">
        <f t="shared" si="41"/>
        <v/>
      </c>
      <c r="AL103" s="52" t="str">
        <f t="shared" si="42"/>
        <v/>
      </c>
      <c r="AM103" s="52" t="str">
        <f t="shared" si="43"/>
        <v/>
      </c>
      <c r="AN103" s="52" t="str">
        <f t="shared" si="44"/>
        <v/>
      </c>
      <c r="AO103" s="52" t="str">
        <f t="shared" si="45"/>
        <v/>
      </c>
      <c r="AP103" s="52" t="str">
        <f t="shared" si="46"/>
        <v/>
      </c>
      <c r="AQ103" s="52" t="str">
        <f t="shared" si="47"/>
        <v/>
      </c>
      <c r="AR103" s="52" t="str">
        <f t="shared" si="48"/>
        <v/>
      </c>
      <c r="AS103" s="52" t="str">
        <f t="shared" si="49"/>
        <v/>
      </c>
      <c r="AT103" s="52" t="str">
        <f t="shared" si="50"/>
        <v/>
      </c>
      <c r="AU103" s="52" t="str">
        <f t="shared" si="51"/>
        <v/>
      </c>
      <c r="AV103" s="52" t="str">
        <f t="shared" si="52"/>
        <v/>
      </c>
      <c r="AW103" s="52" t="str">
        <f t="shared" si="53"/>
        <v/>
      </c>
      <c r="AX103" s="52" t="str">
        <f t="shared" si="30"/>
        <v/>
      </c>
      <c r="AY103" s="52" t="str">
        <f t="shared" si="54"/>
        <v/>
      </c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2"/>
      <c r="CI103" s="52"/>
      <c r="CJ103" s="52"/>
      <c r="CK103" s="52"/>
      <c r="CL103" s="52"/>
      <c r="CM103" s="52"/>
      <c r="CN103" s="52"/>
      <c r="CO103" s="52"/>
      <c r="CP103" s="52"/>
      <c r="CQ103" s="52"/>
      <c r="CR103" s="52"/>
      <c r="CS103" s="52"/>
      <c r="CT103" s="52"/>
      <c r="CU103" s="52"/>
      <c r="CV103" s="52"/>
      <c r="CW103" s="52"/>
      <c r="CX103" s="52"/>
      <c r="CY103" s="52"/>
      <c r="CZ103" s="52"/>
      <c r="DA103" s="52"/>
      <c r="DB103" s="52"/>
      <c r="DC103" s="52"/>
      <c r="DD103" s="52"/>
      <c r="DE103" s="52"/>
      <c r="DF103" s="52"/>
      <c r="DG103" s="52"/>
      <c r="DH103" s="52"/>
      <c r="DI103" s="52"/>
      <c r="DJ103" s="52"/>
      <c r="DK103" s="52"/>
      <c r="DL103" s="52"/>
      <c r="DM103" s="52"/>
      <c r="DN103" s="52"/>
      <c r="DO103" s="52"/>
      <c r="DP103" s="52"/>
      <c r="DQ103" s="52"/>
      <c r="DR103" s="52"/>
      <c r="DS103" s="52"/>
      <c r="DT103" s="52"/>
      <c r="DU103" s="52"/>
      <c r="DV103" s="52"/>
      <c r="DW103" s="52"/>
      <c r="DX103" s="52"/>
      <c r="DY103" s="52"/>
      <c r="DZ103" s="52"/>
      <c r="EA103" s="52"/>
      <c r="EB103" s="52"/>
      <c r="EC103" s="52"/>
      <c r="ED103" s="52"/>
      <c r="EE103" s="52"/>
      <c r="EF103" s="52"/>
      <c r="EG103" s="52"/>
      <c r="EH103" s="52"/>
      <c r="EI103" s="52"/>
      <c r="EJ103" s="52"/>
      <c r="EK103" s="52"/>
      <c r="EL103" s="52"/>
      <c r="EM103" s="52"/>
      <c r="EN103" s="52"/>
      <c r="EO103" s="52"/>
      <c r="EP103" s="52"/>
      <c r="EQ103" s="52"/>
      <c r="ER103" s="52"/>
      <c r="ES103" s="52"/>
      <c r="ET103" s="52"/>
      <c r="EU103" s="52"/>
      <c r="EV103" s="52"/>
      <c r="EW103" s="52"/>
      <c r="EX103" s="52"/>
      <c r="EY103" s="52"/>
      <c r="EZ103" s="52"/>
      <c r="FA103" s="52"/>
      <c r="FB103" s="52"/>
      <c r="FC103" s="52"/>
      <c r="FD103" s="52"/>
      <c r="FE103" s="52"/>
      <c r="FF103" s="52"/>
      <c r="FG103" s="13"/>
    </row>
    <row r="104" spans="1:163">
      <c r="A104" s="71"/>
      <c r="B104" s="70"/>
      <c r="C104" s="72"/>
      <c r="D104" s="73"/>
      <c r="E104" s="73"/>
      <c r="F104" s="73"/>
      <c r="G104" s="73"/>
      <c r="H104" s="73"/>
      <c r="I104" s="74"/>
      <c r="J104" s="74"/>
      <c r="K104" s="74"/>
      <c r="L104" s="73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5"/>
      <c r="Y104" s="70"/>
      <c r="Z104" s="12">
        <f t="shared" si="31"/>
        <v>0</v>
      </c>
      <c r="AA104" s="14">
        <f t="shared" si="29"/>
        <v>0</v>
      </c>
      <c r="AB104" s="6">
        <f t="shared" si="32"/>
        <v>0</v>
      </c>
      <c r="AC104" s="6">
        <f t="shared" si="33"/>
        <v>0</v>
      </c>
      <c r="AD104" s="6">
        <f t="shared" si="34"/>
        <v>0</v>
      </c>
      <c r="AE104" s="52" t="str">
        <f t="shared" si="35"/>
        <v/>
      </c>
      <c r="AF104" s="52" t="str">
        <f t="shared" si="36"/>
        <v/>
      </c>
      <c r="AG104" s="50" t="str">
        <f t="shared" si="37"/>
        <v/>
      </c>
      <c r="AH104" s="50" t="str">
        <f t="shared" si="38"/>
        <v/>
      </c>
      <c r="AI104" s="52" t="str">
        <f t="shared" si="39"/>
        <v/>
      </c>
      <c r="AJ104" s="52" t="str">
        <f t="shared" si="40"/>
        <v/>
      </c>
      <c r="AK104" s="52" t="str">
        <f t="shared" si="41"/>
        <v/>
      </c>
      <c r="AL104" s="52" t="str">
        <f t="shared" si="42"/>
        <v/>
      </c>
      <c r="AM104" s="52" t="str">
        <f t="shared" si="43"/>
        <v/>
      </c>
      <c r="AN104" s="52" t="str">
        <f t="shared" si="44"/>
        <v/>
      </c>
      <c r="AO104" s="52" t="str">
        <f t="shared" si="45"/>
        <v/>
      </c>
      <c r="AP104" s="52" t="str">
        <f t="shared" si="46"/>
        <v/>
      </c>
      <c r="AQ104" s="52" t="str">
        <f t="shared" si="47"/>
        <v/>
      </c>
      <c r="AR104" s="52" t="str">
        <f t="shared" si="48"/>
        <v/>
      </c>
      <c r="AS104" s="52" t="str">
        <f t="shared" si="49"/>
        <v/>
      </c>
      <c r="AT104" s="52" t="str">
        <f t="shared" si="50"/>
        <v/>
      </c>
      <c r="AU104" s="52" t="str">
        <f t="shared" si="51"/>
        <v/>
      </c>
      <c r="AV104" s="52" t="str">
        <f t="shared" si="52"/>
        <v/>
      </c>
      <c r="AW104" s="52" t="str">
        <f t="shared" si="53"/>
        <v/>
      </c>
      <c r="AX104" s="52" t="str">
        <f t="shared" si="30"/>
        <v/>
      </c>
      <c r="AY104" s="52" t="str">
        <f t="shared" si="54"/>
        <v/>
      </c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2"/>
      <c r="CI104" s="52"/>
      <c r="CJ104" s="52"/>
      <c r="CK104" s="52"/>
      <c r="CL104" s="52"/>
      <c r="CM104" s="52"/>
      <c r="CN104" s="52"/>
      <c r="CO104" s="52"/>
      <c r="CP104" s="52"/>
      <c r="CQ104" s="52"/>
      <c r="CR104" s="52"/>
      <c r="CS104" s="52"/>
      <c r="CT104" s="52"/>
      <c r="CU104" s="52"/>
      <c r="CV104" s="52"/>
      <c r="CW104" s="52"/>
      <c r="CX104" s="52"/>
      <c r="CY104" s="52"/>
      <c r="CZ104" s="52"/>
      <c r="DA104" s="52"/>
      <c r="DB104" s="52"/>
      <c r="DC104" s="52"/>
      <c r="DD104" s="52"/>
      <c r="DE104" s="52"/>
      <c r="DF104" s="52"/>
      <c r="DG104" s="52"/>
      <c r="DH104" s="52"/>
      <c r="DI104" s="52"/>
      <c r="DJ104" s="52"/>
      <c r="DK104" s="52"/>
      <c r="DL104" s="52"/>
      <c r="DM104" s="52"/>
      <c r="DN104" s="52"/>
      <c r="DO104" s="52"/>
      <c r="DP104" s="52"/>
      <c r="DQ104" s="52"/>
      <c r="DR104" s="52"/>
      <c r="DS104" s="52"/>
      <c r="DT104" s="52"/>
      <c r="DU104" s="52"/>
      <c r="DV104" s="52"/>
      <c r="DW104" s="52"/>
      <c r="DX104" s="52"/>
      <c r="DY104" s="52"/>
      <c r="DZ104" s="52"/>
      <c r="EA104" s="52"/>
      <c r="EB104" s="52"/>
      <c r="EC104" s="52"/>
      <c r="ED104" s="52"/>
      <c r="EE104" s="52"/>
      <c r="EF104" s="52"/>
      <c r="EG104" s="52"/>
      <c r="EH104" s="52"/>
      <c r="EI104" s="52"/>
      <c r="EJ104" s="52"/>
      <c r="EK104" s="52"/>
      <c r="EL104" s="52"/>
      <c r="EM104" s="52"/>
      <c r="EN104" s="52"/>
      <c r="EO104" s="52"/>
      <c r="EP104" s="52"/>
      <c r="EQ104" s="52"/>
      <c r="ER104" s="52"/>
      <c r="ES104" s="52"/>
      <c r="ET104" s="52"/>
      <c r="EU104" s="52"/>
      <c r="EV104" s="52"/>
      <c r="EW104" s="52"/>
      <c r="EX104" s="52"/>
      <c r="EY104" s="52"/>
      <c r="EZ104" s="52"/>
      <c r="FA104" s="52"/>
      <c r="FB104" s="52"/>
      <c r="FC104" s="52"/>
      <c r="FD104" s="52"/>
      <c r="FE104" s="52"/>
      <c r="FF104" s="52"/>
      <c r="FG104" s="13"/>
    </row>
    <row r="105" spans="1:163">
      <c r="A105" s="71"/>
      <c r="B105" s="70"/>
      <c r="C105" s="72"/>
      <c r="D105" s="73"/>
      <c r="E105" s="73"/>
      <c r="F105" s="73"/>
      <c r="G105" s="73"/>
      <c r="H105" s="73"/>
      <c r="I105" s="74"/>
      <c r="J105" s="74"/>
      <c r="K105" s="74"/>
      <c r="L105" s="73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5"/>
      <c r="Y105" s="70"/>
      <c r="Z105" s="12">
        <f t="shared" si="31"/>
        <v>0</v>
      </c>
      <c r="AA105" s="14">
        <f t="shared" si="29"/>
        <v>0</v>
      </c>
      <c r="AB105" s="6">
        <f t="shared" si="32"/>
        <v>0</v>
      </c>
      <c r="AC105" s="6">
        <f t="shared" si="33"/>
        <v>0</v>
      </c>
      <c r="AD105" s="6">
        <f t="shared" si="34"/>
        <v>0</v>
      </c>
      <c r="AE105" s="52" t="str">
        <f t="shared" si="35"/>
        <v/>
      </c>
      <c r="AF105" s="52" t="str">
        <f t="shared" si="36"/>
        <v/>
      </c>
      <c r="AG105" s="50" t="str">
        <f t="shared" si="37"/>
        <v/>
      </c>
      <c r="AH105" s="50" t="str">
        <f t="shared" si="38"/>
        <v/>
      </c>
      <c r="AI105" s="52" t="str">
        <f t="shared" si="39"/>
        <v/>
      </c>
      <c r="AJ105" s="52" t="str">
        <f t="shared" si="40"/>
        <v/>
      </c>
      <c r="AK105" s="52" t="str">
        <f t="shared" si="41"/>
        <v/>
      </c>
      <c r="AL105" s="52" t="str">
        <f t="shared" si="42"/>
        <v/>
      </c>
      <c r="AM105" s="52" t="str">
        <f t="shared" si="43"/>
        <v/>
      </c>
      <c r="AN105" s="52" t="str">
        <f t="shared" si="44"/>
        <v/>
      </c>
      <c r="AO105" s="52" t="str">
        <f t="shared" si="45"/>
        <v/>
      </c>
      <c r="AP105" s="52" t="str">
        <f t="shared" si="46"/>
        <v/>
      </c>
      <c r="AQ105" s="52" t="str">
        <f t="shared" si="47"/>
        <v/>
      </c>
      <c r="AR105" s="52" t="str">
        <f t="shared" si="48"/>
        <v/>
      </c>
      <c r="AS105" s="52" t="str">
        <f t="shared" si="49"/>
        <v/>
      </c>
      <c r="AT105" s="52" t="str">
        <f t="shared" si="50"/>
        <v/>
      </c>
      <c r="AU105" s="52" t="str">
        <f t="shared" si="51"/>
        <v/>
      </c>
      <c r="AV105" s="52" t="str">
        <f t="shared" si="52"/>
        <v/>
      </c>
      <c r="AW105" s="52" t="str">
        <f t="shared" si="53"/>
        <v/>
      </c>
      <c r="AX105" s="52" t="str">
        <f t="shared" si="30"/>
        <v/>
      </c>
      <c r="AY105" s="52" t="str">
        <f t="shared" si="54"/>
        <v/>
      </c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  <c r="CU105" s="52"/>
      <c r="CV105" s="52"/>
      <c r="CW105" s="52"/>
      <c r="CX105" s="52"/>
      <c r="CY105" s="52"/>
      <c r="CZ105" s="52"/>
      <c r="DA105" s="52"/>
      <c r="DB105" s="52"/>
      <c r="DC105" s="52"/>
      <c r="DD105" s="52"/>
      <c r="DE105" s="52"/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2"/>
      <c r="DS105" s="52"/>
      <c r="DT105" s="52"/>
      <c r="DU105" s="52"/>
      <c r="DV105" s="52"/>
      <c r="DW105" s="52"/>
      <c r="DX105" s="52"/>
      <c r="DY105" s="52"/>
      <c r="DZ105" s="52"/>
      <c r="EA105" s="52"/>
      <c r="EB105" s="52"/>
      <c r="EC105" s="52"/>
      <c r="ED105" s="52"/>
      <c r="EE105" s="52"/>
      <c r="EF105" s="52"/>
      <c r="EG105" s="52"/>
      <c r="EH105" s="52"/>
      <c r="EI105" s="52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52"/>
      <c r="EU105" s="52"/>
      <c r="EV105" s="52"/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13"/>
    </row>
    <row r="106" spans="1:163">
      <c r="A106" s="71"/>
      <c r="B106" s="70"/>
      <c r="C106" s="72"/>
      <c r="D106" s="73"/>
      <c r="E106" s="73"/>
      <c r="F106" s="73"/>
      <c r="G106" s="73"/>
      <c r="H106" s="73"/>
      <c r="I106" s="74"/>
      <c r="J106" s="74"/>
      <c r="K106" s="74"/>
      <c r="L106" s="73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5"/>
      <c r="Y106" s="70"/>
      <c r="Z106" s="12">
        <f t="shared" si="31"/>
        <v>0</v>
      </c>
      <c r="AA106" s="14">
        <f t="shared" si="29"/>
        <v>0</v>
      </c>
      <c r="AB106" s="6">
        <f t="shared" si="32"/>
        <v>0</v>
      </c>
      <c r="AC106" s="6">
        <f t="shared" si="33"/>
        <v>0</v>
      </c>
      <c r="AD106" s="6">
        <f t="shared" si="34"/>
        <v>0</v>
      </c>
      <c r="AE106" s="52" t="str">
        <f t="shared" si="35"/>
        <v/>
      </c>
      <c r="AF106" s="52" t="str">
        <f t="shared" si="36"/>
        <v/>
      </c>
      <c r="AG106" s="50" t="str">
        <f t="shared" si="37"/>
        <v/>
      </c>
      <c r="AH106" s="50" t="str">
        <f t="shared" si="38"/>
        <v/>
      </c>
      <c r="AI106" s="52" t="str">
        <f t="shared" si="39"/>
        <v/>
      </c>
      <c r="AJ106" s="52" t="str">
        <f t="shared" si="40"/>
        <v/>
      </c>
      <c r="AK106" s="52" t="str">
        <f t="shared" si="41"/>
        <v/>
      </c>
      <c r="AL106" s="52" t="str">
        <f t="shared" si="42"/>
        <v/>
      </c>
      <c r="AM106" s="52" t="str">
        <f t="shared" si="43"/>
        <v/>
      </c>
      <c r="AN106" s="52" t="str">
        <f t="shared" si="44"/>
        <v/>
      </c>
      <c r="AO106" s="52" t="str">
        <f t="shared" si="45"/>
        <v/>
      </c>
      <c r="AP106" s="52" t="str">
        <f t="shared" si="46"/>
        <v/>
      </c>
      <c r="AQ106" s="52" t="str">
        <f t="shared" si="47"/>
        <v/>
      </c>
      <c r="AR106" s="52" t="str">
        <f t="shared" si="48"/>
        <v/>
      </c>
      <c r="AS106" s="52" t="str">
        <f t="shared" si="49"/>
        <v/>
      </c>
      <c r="AT106" s="52" t="str">
        <f t="shared" si="50"/>
        <v/>
      </c>
      <c r="AU106" s="52" t="str">
        <f t="shared" si="51"/>
        <v/>
      </c>
      <c r="AV106" s="52" t="str">
        <f t="shared" si="52"/>
        <v/>
      </c>
      <c r="AW106" s="52" t="str">
        <f t="shared" si="53"/>
        <v/>
      </c>
      <c r="AX106" s="52" t="str">
        <f t="shared" si="30"/>
        <v/>
      </c>
      <c r="AY106" s="52" t="str">
        <f t="shared" si="54"/>
        <v/>
      </c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2"/>
      <c r="DD106" s="52"/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2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13"/>
    </row>
    <row r="107" spans="1:163">
      <c r="A107" s="71"/>
      <c r="B107" s="70"/>
      <c r="C107" s="72"/>
      <c r="D107" s="73"/>
      <c r="E107" s="73"/>
      <c r="F107" s="73"/>
      <c r="G107" s="73"/>
      <c r="H107" s="73"/>
      <c r="I107" s="74"/>
      <c r="J107" s="74"/>
      <c r="K107" s="74"/>
      <c r="L107" s="73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5"/>
      <c r="Y107" s="70"/>
      <c r="Z107" s="12">
        <f t="shared" si="31"/>
        <v>0</v>
      </c>
      <c r="AA107" s="14">
        <f t="shared" si="29"/>
        <v>0</v>
      </c>
      <c r="AB107" s="6">
        <f t="shared" si="32"/>
        <v>0</v>
      </c>
      <c r="AC107" s="6">
        <f t="shared" si="33"/>
        <v>0</v>
      </c>
      <c r="AD107" s="6">
        <f t="shared" si="34"/>
        <v>0</v>
      </c>
      <c r="AE107" s="52" t="str">
        <f t="shared" si="35"/>
        <v/>
      </c>
      <c r="AF107" s="52" t="str">
        <f t="shared" si="36"/>
        <v/>
      </c>
      <c r="AG107" s="50" t="str">
        <f t="shared" si="37"/>
        <v/>
      </c>
      <c r="AH107" s="50" t="str">
        <f t="shared" si="38"/>
        <v/>
      </c>
      <c r="AI107" s="52" t="str">
        <f t="shared" si="39"/>
        <v/>
      </c>
      <c r="AJ107" s="52" t="str">
        <f t="shared" si="40"/>
        <v/>
      </c>
      <c r="AK107" s="52" t="str">
        <f t="shared" si="41"/>
        <v/>
      </c>
      <c r="AL107" s="52" t="str">
        <f t="shared" si="42"/>
        <v/>
      </c>
      <c r="AM107" s="52" t="str">
        <f t="shared" si="43"/>
        <v/>
      </c>
      <c r="AN107" s="52" t="str">
        <f t="shared" si="44"/>
        <v/>
      </c>
      <c r="AO107" s="52" t="str">
        <f t="shared" si="45"/>
        <v/>
      </c>
      <c r="AP107" s="52" t="str">
        <f t="shared" si="46"/>
        <v/>
      </c>
      <c r="AQ107" s="52" t="str">
        <f t="shared" si="47"/>
        <v/>
      </c>
      <c r="AR107" s="52" t="str">
        <f t="shared" si="48"/>
        <v/>
      </c>
      <c r="AS107" s="52" t="str">
        <f t="shared" si="49"/>
        <v/>
      </c>
      <c r="AT107" s="52" t="str">
        <f t="shared" si="50"/>
        <v/>
      </c>
      <c r="AU107" s="52" t="str">
        <f t="shared" si="51"/>
        <v/>
      </c>
      <c r="AV107" s="52" t="str">
        <f t="shared" si="52"/>
        <v/>
      </c>
      <c r="AW107" s="52" t="str">
        <f t="shared" si="53"/>
        <v/>
      </c>
      <c r="AX107" s="52" t="str">
        <f t="shared" si="30"/>
        <v/>
      </c>
      <c r="AY107" s="52" t="str">
        <f t="shared" si="54"/>
        <v/>
      </c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13"/>
    </row>
    <row r="108" spans="1:163">
      <c r="A108" s="71"/>
      <c r="B108" s="70"/>
      <c r="C108" s="72"/>
      <c r="D108" s="73"/>
      <c r="E108" s="73"/>
      <c r="F108" s="73"/>
      <c r="G108" s="73"/>
      <c r="H108" s="73"/>
      <c r="I108" s="74"/>
      <c r="J108" s="74"/>
      <c r="K108" s="74"/>
      <c r="L108" s="73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5"/>
      <c r="Y108" s="70"/>
      <c r="Z108" s="12">
        <f t="shared" si="31"/>
        <v>0</v>
      </c>
      <c r="AA108" s="14">
        <f t="shared" si="29"/>
        <v>0</v>
      </c>
      <c r="AB108" s="6">
        <f t="shared" si="32"/>
        <v>0</v>
      </c>
      <c r="AC108" s="6">
        <f t="shared" si="33"/>
        <v>0</v>
      </c>
      <c r="AD108" s="6">
        <f t="shared" si="34"/>
        <v>0</v>
      </c>
      <c r="AE108" s="52" t="str">
        <f t="shared" si="35"/>
        <v/>
      </c>
      <c r="AF108" s="52" t="str">
        <f t="shared" si="36"/>
        <v/>
      </c>
      <c r="AG108" s="50" t="str">
        <f t="shared" si="37"/>
        <v/>
      </c>
      <c r="AH108" s="50" t="str">
        <f t="shared" si="38"/>
        <v/>
      </c>
      <c r="AI108" s="52" t="str">
        <f t="shared" si="39"/>
        <v/>
      </c>
      <c r="AJ108" s="52" t="str">
        <f t="shared" si="40"/>
        <v/>
      </c>
      <c r="AK108" s="52" t="str">
        <f t="shared" si="41"/>
        <v/>
      </c>
      <c r="AL108" s="52" t="str">
        <f t="shared" si="42"/>
        <v/>
      </c>
      <c r="AM108" s="52" t="str">
        <f t="shared" si="43"/>
        <v/>
      </c>
      <c r="AN108" s="52" t="str">
        <f t="shared" si="44"/>
        <v/>
      </c>
      <c r="AO108" s="52" t="str">
        <f t="shared" si="45"/>
        <v/>
      </c>
      <c r="AP108" s="52" t="str">
        <f t="shared" si="46"/>
        <v/>
      </c>
      <c r="AQ108" s="52" t="str">
        <f t="shared" si="47"/>
        <v/>
      </c>
      <c r="AR108" s="52" t="str">
        <f t="shared" si="48"/>
        <v/>
      </c>
      <c r="AS108" s="52" t="str">
        <f t="shared" si="49"/>
        <v/>
      </c>
      <c r="AT108" s="52" t="str">
        <f t="shared" si="50"/>
        <v/>
      </c>
      <c r="AU108" s="52" t="str">
        <f t="shared" si="51"/>
        <v/>
      </c>
      <c r="AV108" s="52" t="str">
        <f t="shared" si="52"/>
        <v/>
      </c>
      <c r="AW108" s="52" t="str">
        <f t="shared" si="53"/>
        <v/>
      </c>
      <c r="AX108" s="52" t="str">
        <f t="shared" si="30"/>
        <v/>
      </c>
      <c r="AY108" s="52" t="str">
        <f t="shared" si="54"/>
        <v/>
      </c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13"/>
    </row>
    <row r="109" spans="1:163">
      <c r="A109" s="71"/>
      <c r="B109" s="70"/>
      <c r="C109" s="72"/>
      <c r="D109" s="73"/>
      <c r="E109" s="73"/>
      <c r="F109" s="73"/>
      <c r="G109" s="73"/>
      <c r="H109" s="73"/>
      <c r="I109" s="74"/>
      <c r="J109" s="74"/>
      <c r="K109" s="74"/>
      <c r="L109" s="73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5"/>
      <c r="Y109" s="70"/>
      <c r="Z109" s="12">
        <f t="shared" si="31"/>
        <v>0</v>
      </c>
      <c r="AA109" s="14">
        <f t="shared" si="29"/>
        <v>0</v>
      </c>
      <c r="AB109" s="6">
        <f t="shared" si="32"/>
        <v>0</v>
      </c>
      <c r="AC109" s="6">
        <f t="shared" si="33"/>
        <v>0</v>
      </c>
      <c r="AD109" s="6">
        <f t="shared" si="34"/>
        <v>0</v>
      </c>
      <c r="AE109" s="52" t="str">
        <f t="shared" si="35"/>
        <v/>
      </c>
      <c r="AF109" s="52" t="str">
        <f t="shared" si="36"/>
        <v/>
      </c>
      <c r="AG109" s="50" t="str">
        <f t="shared" si="37"/>
        <v/>
      </c>
      <c r="AH109" s="50" t="str">
        <f t="shared" si="38"/>
        <v/>
      </c>
      <c r="AI109" s="52" t="str">
        <f t="shared" si="39"/>
        <v/>
      </c>
      <c r="AJ109" s="52" t="str">
        <f t="shared" si="40"/>
        <v/>
      </c>
      <c r="AK109" s="52" t="str">
        <f t="shared" si="41"/>
        <v/>
      </c>
      <c r="AL109" s="52" t="str">
        <f t="shared" si="42"/>
        <v/>
      </c>
      <c r="AM109" s="52" t="str">
        <f t="shared" si="43"/>
        <v/>
      </c>
      <c r="AN109" s="52" t="str">
        <f t="shared" si="44"/>
        <v/>
      </c>
      <c r="AO109" s="52" t="str">
        <f t="shared" si="45"/>
        <v/>
      </c>
      <c r="AP109" s="52" t="str">
        <f t="shared" si="46"/>
        <v/>
      </c>
      <c r="AQ109" s="52" t="str">
        <f t="shared" si="47"/>
        <v/>
      </c>
      <c r="AR109" s="52" t="str">
        <f t="shared" si="48"/>
        <v/>
      </c>
      <c r="AS109" s="52" t="str">
        <f t="shared" si="49"/>
        <v/>
      </c>
      <c r="AT109" s="52" t="str">
        <f t="shared" si="50"/>
        <v/>
      </c>
      <c r="AU109" s="52" t="str">
        <f t="shared" si="51"/>
        <v/>
      </c>
      <c r="AV109" s="52" t="str">
        <f t="shared" si="52"/>
        <v/>
      </c>
      <c r="AW109" s="52" t="str">
        <f t="shared" si="53"/>
        <v/>
      </c>
      <c r="AX109" s="52" t="str">
        <f t="shared" si="30"/>
        <v/>
      </c>
      <c r="AY109" s="52" t="str">
        <f t="shared" si="54"/>
        <v/>
      </c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13"/>
    </row>
    <row r="110" spans="1:163">
      <c r="A110" s="71"/>
      <c r="B110" s="70"/>
      <c r="C110" s="72"/>
      <c r="D110" s="73"/>
      <c r="E110" s="73"/>
      <c r="F110" s="73"/>
      <c r="G110" s="73"/>
      <c r="H110" s="73"/>
      <c r="I110" s="74"/>
      <c r="J110" s="74"/>
      <c r="K110" s="74"/>
      <c r="L110" s="73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5"/>
      <c r="Y110" s="70"/>
      <c r="Z110" s="12">
        <f t="shared" si="31"/>
        <v>0</v>
      </c>
      <c r="AA110" s="14">
        <f t="shared" si="29"/>
        <v>0</v>
      </c>
      <c r="AB110" s="6">
        <f t="shared" si="32"/>
        <v>0</v>
      </c>
      <c r="AC110" s="6">
        <f t="shared" si="33"/>
        <v>0</v>
      </c>
      <c r="AD110" s="6">
        <f t="shared" si="34"/>
        <v>0</v>
      </c>
      <c r="AE110" s="52" t="str">
        <f t="shared" si="35"/>
        <v/>
      </c>
      <c r="AF110" s="52" t="str">
        <f t="shared" si="36"/>
        <v/>
      </c>
      <c r="AG110" s="50" t="str">
        <f t="shared" si="37"/>
        <v/>
      </c>
      <c r="AH110" s="50" t="str">
        <f t="shared" si="38"/>
        <v/>
      </c>
      <c r="AI110" s="52" t="str">
        <f t="shared" si="39"/>
        <v/>
      </c>
      <c r="AJ110" s="52" t="str">
        <f t="shared" si="40"/>
        <v/>
      </c>
      <c r="AK110" s="52" t="str">
        <f t="shared" si="41"/>
        <v/>
      </c>
      <c r="AL110" s="52" t="str">
        <f t="shared" si="42"/>
        <v/>
      </c>
      <c r="AM110" s="52" t="str">
        <f t="shared" si="43"/>
        <v/>
      </c>
      <c r="AN110" s="52" t="str">
        <f t="shared" si="44"/>
        <v/>
      </c>
      <c r="AO110" s="52" t="str">
        <f t="shared" si="45"/>
        <v/>
      </c>
      <c r="AP110" s="52" t="str">
        <f t="shared" si="46"/>
        <v/>
      </c>
      <c r="AQ110" s="52" t="str">
        <f t="shared" si="47"/>
        <v/>
      </c>
      <c r="AR110" s="52" t="str">
        <f t="shared" si="48"/>
        <v/>
      </c>
      <c r="AS110" s="52" t="str">
        <f t="shared" si="49"/>
        <v/>
      </c>
      <c r="AT110" s="52" t="str">
        <f t="shared" si="50"/>
        <v/>
      </c>
      <c r="AU110" s="52" t="str">
        <f t="shared" si="51"/>
        <v/>
      </c>
      <c r="AV110" s="52" t="str">
        <f t="shared" si="52"/>
        <v/>
      </c>
      <c r="AW110" s="52" t="str">
        <f t="shared" si="53"/>
        <v/>
      </c>
      <c r="AX110" s="52" t="str">
        <f t="shared" si="30"/>
        <v/>
      </c>
      <c r="AY110" s="52" t="str">
        <f t="shared" si="54"/>
        <v/>
      </c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13"/>
    </row>
    <row r="111" spans="1:163">
      <c r="A111" s="71"/>
      <c r="B111" s="70"/>
      <c r="C111" s="72"/>
      <c r="D111" s="73"/>
      <c r="E111" s="73"/>
      <c r="F111" s="73"/>
      <c r="G111" s="73"/>
      <c r="H111" s="73"/>
      <c r="I111" s="74"/>
      <c r="J111" s="74"/>
      <c r="K111" s="74"/>
      <c r="L111" s="73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5"/>
      <c r="Y111" s="70"/>
      <c r="Z111" s="12">
        <f t="shared" si="31"/>
        <v>0</v>
      </c>
      <c r="AA111" s="14">
        <f t="shared" si="29"/>
        <v>0</v>
      </c>
      <c r="AB111" s="6">
        <f t="shared" si="32"/>
        <v>0</v>
      </c>
      <c r="AC111" s="6">
        <f t="shared" si="33"/>
        <v>0</v>
      </c>
      <c r="AD111" s="6">
        <f t="shared" si="34"/>
        <v>0</v>
      </c>
      <c r="AE111" s="52" t="str">
        <f t="shared" si="35"/>
        <v/>
      </c>
      <c r="AF111" s="52" t="str">
        <f t="shared" si="36"/>
        <v/>
      </c>
      <c r="AG111" s="50" t="str">
        <f t="shared" si="37"/>
        <v/>
      </c>
      <c r="AH111" s="50" t="str">
        <f t="shared" si="38"/>
        <v/>
      </c>
      <c r="AI111" s="52" t="str">
        <f t="shared" si="39"/>
        <v/>
      </c>
      <c r="AJ111" s="52" t="str">
        <f t="shared" si="40"/>
        <v/>
      </c>
      <c r="AK111" s="52" t="str">
        <f t="shared" si="41"/>
        <v/>
      </c>
      <c r="AL111" s="52" t="str">
        <f t="shared" si="42"/>
        <v/>
      </c>
      <c r="AM111" s="52" t="str">
        <f t="shared" si="43"/>
        <v/>
      </c>
      <c r="AN111" s="52" t="str">
        <f t="shared" si="44"/>
        <v/>
      </c>
      <c r="AO111" s="52" t="str">
        <f t="shared" si="45"/>
        <v/>
      </c>
      <c r="AP111" s="52" t="str">
        <f t="shared" si="46"/>
        <v/>
      </c>
      <c r="AQ111" s="52" t="str">
        <f t="shared" si="47"/>
        <v/>
      </c>
      <c r="AR111" s="52" t="str">
        <f t="shared" si="48"/>
        <v/>
      </c>
      <c r="AS111" s="52" t="str">
        <f t="shared" si="49"/>
        <v/>
      </c>
      <c r="AT111" s="52" t="str">
        <f t="shared" si="50"/>
        <v/>
      </c>
      <c r="AU111" s="52" t="str">
        <f t="shared" si="51"/>
        <v/>
      </c>
      <c r="AV111" s="52" t="str">
        <f t="shared" si="52"/>
        <v/>
      </c>
      <c r="AW111" s="52" t="str">
        <f t="shared" si="53"/>
        <v/>
      </c>
      <c r="AX111" s="52" t="str">
        <f t="shared" si="30"/>
        <v/>
      </c>
      <c r="AY111" s="52" t="str">
        <f t="shared" si="54"/>
        <v/>
      </c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  <c r="EI111" s="52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13"/>
    </row>
    <row r="112" spans="1:163">
      <c r="A112" s="71"/>
      <c r="B112" s="70"/>
      <c r="C112" s="72"/>
      <c r="D112" s="73"/>
      <c r="E112" s="73"/>
      <c r="F112" s="73"/>
      <c r="G112" s="73"/>
      <c r="H112" s="73"/>
      <c r="I112" s="74"/>
      <c r="J112" s="74"/>
      <c r="K112" s="74"/>
      <c r="L112" s="73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5"/>
      <c r="Y112" s="70"/>
      <c r="Z112" s="12">
        <f t="shared" si="31"/>
        <v>0</v>
      </c>
      <c r="AA112" s="14">
        <f t="shared" si="29"/>
        <v>0</v>
      </c>
      <c r="AB112" s="6">
        <f t="shared" si="32"/>
        <v>0</v>
      </c>
      <c r="AC112" s="6">
        <f t="shared" si="33"/>
        <v>0</v>
      </c>
      <c r="AD112" s="6">
        <f t="shared" si="34"/>
        <v>0</v>
      </c>
      <c r="AE112" s="52" t="str">
        <f t="shared" si="35"/>
        <v/>
      </c>
      <c r="AF112" s="52" t="str">
        <f t="shared" si="36"/>
        <v/>
      </c>
      <c r="AG112" s="50" t="str">
        <f t="shared" si="37"/>
        <v/>
      </c>
      <c r="AH112" s="50" t="str">
        <f t="shared" si="38"/>
        <v/>
      </c>
      <c r="AI112" s="52" t="str">
        <f t="shared" si="39"/>
        <v/>
      </c>
      <c r="AJ112" s="52" t="str">
        <f t="shared" si="40"/>
        <v/>
      </c>
      <c r="AK112" s="52" t="str">
        <f t="shared" si="41"/>
        <v/>
      </c>
      <c r="AL112" s="52" t="str">
        <f t="shared" si="42"/>
        <v/>
      </c>
      <c r="AM112" s="52" t="str">
        <f t="shared" si="43"/>
        <v/>
      </c>
      <c r="AN112" s="52" t="str">
        <f t="shared" si="44"/>
        <v/>
      </c>
      <c r="AO112" s="52" t="str">
        <f t="shared" si="45"/>
        <v/>
      </c>
      <c r="AP112" s="52" t="str">
        <f t="shared" si="46"/>
        <v/>
      </c>
      <c r="AQ112" s="52" t="str">
        <f t="shared" si="47"/>
        <v/>
      </c>
      <c r="AR112" s="52" t="str">
        <f t="shared" si="48"/>
        <v/>
      </c>
      <c r="AS112" s="52" t="str">
        <f t="shared" si="49"/>
        <v/>
      </c>
      <c r="AT112" s="52" t="str">
        <f t="shared" si="50"/>
        <v/>
      </c>
      <c r="AU112" s="52" t="str">
        <f t="shared" si="51"/>
        <v/>
      </c>
      <c r="AV112" s="52" t="str">
        <f t="shared" si="52"/>
        <v/>
      </c>
      <c r="AW112" s="52" t="str">
        <f t="shared" si="53"/>
        <v/>
      </c>
      <c r="AX112" s="52" t="str">
        <f t="shared" si="30"/>
        <v/>
      </c>
      <c r="AY112" s="52" t="str">
        <f t="shared" si="54"/>
        <v/>
      </c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13"/>
    </row>
    <row r="113" spans="1:163">
      <c r="A113" s="71"/>
      <c r="B113" s="70"/>
      <c r="C113" s="72"/>
      <c r="D113" s="73"/>
      <c r="E113" s="73"/>
      <c r="F113" s="73"/>
      <c r="G113" s="73"/>
      <c r="H113" s="73"/>
      <c r="I113" s="74"/>
      <c r="J113" s="74"/>
      <c r="K113" s="74"/>
      <c r="L113" s="73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5"/>
      <c r="Y113" s="70"/>
      <c r="Z113" s="12">
        <f>COUNTA(D113:W113)-Y113</f>
        <v>0</v>
      </c>
      <c r="AA113" s="14">
        <f t="shared" si="29"/>
        <v>0</v>
      </c>
      <c r="AB113" s="6">
        <f>COUNTA(L113:W113)</f>
        <v>0</v>
      </c>
      <c r="AC113" s="6">
        <f t="shared" si="33"/>
        <v>0</v>
      </c>
      <c r="AD113" s="6">
        <f t="shared" si="34"/>
        <v>0</v>
      </c>
      <c r="AE113" s="52" t="str">
        <f t="shared" si="35"/>
        <v/>
      </c>
      <c r="AF113" s="52" t="str">
        <f t="shared" si="36"/>
        <v/>
      </c>
      <c r="AG113" s="50" t="str">
        <f t="shared" si="37"/>
        <v/>
      </c>
      <c r="AH113" s="50" t="str">
        <f t="shared" si="38"/>
        <v/>
      </c>
      <c r="AI113" s="52" t="str">
        <f t="shared" si="39"/>
        <v/>
      </c>
      <c r="AJ113" s="52" t="str">
        <f t="shared" si="40"/>
        <v/>
      </c>
      <c r="AK113" s="52" t="str">
        <f t="shared" si="41"/>
        <v/>
      </c>
      <c r="AL113" s="52" t="str">
        <f t="shared" si="42"/>
        <v/>
      </c>
      <c r="AM113" s="52" t="str">
        <f t="shared" si="43"/>
        <v/>
      </c>
      <c r="AN113" s="52" t="str">
        <f t="shared" si="44"/>
        <v/>
      </c>
      <c r="AO113" s="52" t="str">
        <f t="shared" si="45"/>
        <v/>
      </c>
      <c r="AP113" s="52" t="str">
        <f t="shared" si="46"/>
        <v/>
      </c>
      <c r="AQ113" s="52" t="str">
        <f t="shared" si="47"/>
        <v/>
      </c>
      <c r="AR113" s="52" t="str">
        <f t="shared" si="48"/>
        <v/>
      </c>
      <c r="AS113" s="52" t="str">
        <f t="shared" si="49"/>
        <v/>
      </c>
      <c r="AT113" s="52" t="str">
        <f t="shared" si="50"/>
        <v/>
      </c>
      <c r="AU113" s="52" t="str">
        <f t="shared" si="51"/>
        <v/>
      </c>
      <c r="AV113" s="52" t="str">
        <f t="shared" si="52"/>
        <v/>
      </c>
      <c r="AW113" s="52" t="str">
        <f t="shared" si="53"/>
        <v/>
      </c>
      <c r="AX113" s="52" t="str">
        <f t="shared" si="30"/>
        <v/>
      </c>
      <c r="AY113" s="52" t="str">
        <f t="shared" si="54"/>
        <v/>
      </c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13"/>
    </row>
    <row r="114" spans="1:163">
      <c r="A114" s="71"/>
      <c r="B114" s="70"/>
      <c r="C114" s="72"/>
      <c r="D114" s="73"/>
      <c r="E114" s="73"/>
      <c r="F114" s="73"/>
      <c r="G114" s="73"/>
      <c r="H114" s="73"/>
      <c r="I114" s="74"/>
      <c r="J114" s="74"/>
      <c r="K114" s="74"/>
      <c r="L114" s="73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0"/>
      <c r="Z114" s="12">
        <f t="shared" si="31"/>
        <v>0</v>
      </c>
      <c r="AA114" s="14">
        <f t="shared" si="29"/>
        <v>0</v>
      </c>
      <c r="AB114" s="6">
        <f t="shared" si="32"/>
        <v>0</v>
      </c>
      <c r="AC114" s="6">
        <f t="shared" si="33"/>
        <v>0</v>
      </c>
      <c r="AD114" s="6">
        <f t="shared" si="34"/>
        <v>0</v>
      </c>
      <c r="AE114" s="52" t="str">
        <f t="shared" si="35"/>
        <v/>
      </c>
      <c r="AF114" s="52" t="str">
        <f t="shared" si="36"/>
        <v/>
      </c>
      <c r="AG114" s="50" t="str">
        <f t="shared" si="37"/>
        <v/>
      </c>
      <c r="AH114" s="50" t="str">
        <f t="shared" si="38"/>
        <v/>
      </c>
      <c r="AI114" s="52" t="str">
        <f t="shared" si="39"/>
        <v/>
      </c>
      <c r="AJ114" s="52" t="str">
        <f t="shared" si="40"/>
        <v/>
      </c>
      <c r="AK114" s="52" t="str">
        <f t="shared" si="41"/>
        <v/>
      </c>
      <c r="AL114" s="52" t="str">
        <f t="shared" si="42"/>
        <v/>
      </c>
      <c r="AM114" s="52" t="str">
        <f t="shared" si="43"/>
        <v/>
      </c>
      <c r="AN114" s="52" t="str">
        <f t="shared" si="44"/>
        <v/>
      </c>
      <c r="AO114" s="52" t="str">
        <f t="shared" si="45"/>
        <v/>
      </c>
      <c r="AP114" s="52" t="str">
        <f t="shared" si="46"/>
        <v/>
      </c>
      <c r="AQ114" s="52" t="str">
        <f t="shared" si="47"/>
        <v/>
      </c>
      <c r="AR114" s="52" t="str">
        <f t="shared" si="48"/>
        <v/>
      </c>
      <c r="AS114" s="52" t="str">
        <f t="shared" si="49"/>
        <v/>
      </c>
      <c r="AT114" s="52" t="str">
        <f t="shared" si="50"/>
        <v/>
      </c>
      <c r="AU114" s="52" t="str">
        <f t="shared" si="51"/>
        <v/>
      </c>
      <c r="AV114" s="52" t="str">
        <f t="shared" si="52"/>
        <v/>
      </c>
      <c r="AW114" s="52" t="str">
        <f t="shared" si="53"/>
        <v/>
      </c>
      <c r="AX114" s="52" t="str">
        <f t="shared" si="30"/>
        <v/>
      </c>
      <c r="AY114" s="52" t="str">
        <f t="shared" si="54"/>
        <v/>
      </c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13"/>
    </row>
    <row r="115" spans="1:163">
      <c r="A115" s="71"/>
      <c r="B115" s="70"/>
      <c r="C115" s="72"/>
      <c r="D115" s="73"/>
      <c r="E115" s="73"/>
      <c r="F115" s="73"/>
      <c r="G115" s="73"/>
      <c r="H115" s="73"/>
      <c r="I115" s="74"/>
      <c r="J115" s="74"/>
      <c r="K115" s="74"/>
      <c r="L115" s="73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0"/>
      <c r="Z115" s="12">
        <f t="shared" si="31"/>
        <v>0</v>
      </c>
      <c r="AA115" s="14">
        <f t="shared" si="29"/>
        <v>0</v>
      </c>
      <c r="AB115" s="6">
        <f t="shared" si="32"/>
        <v>0</v>
      </c>
      <c r="AC115" s="6">
        <f t="shared" si="33"/>
        <v>0</v>
      </c>
      <c r="AD115" s="6">
        <f t="shared" si="34"/>
        <v>0</v>
      </c>
      <c r="AE115" s="52" t="str">
        <f t="shared" si="35"/>
        <v/>
      </c>
      <c r="AF115" s="52" t="str">
        <f t="shared" si="36"/>
        <v/>
      </c>
      <c r="AG115" s="50" t="str">
        <f t="shared" si="37"/>
        <v/>
      </c>
      <c r="AH115" s="50" t="str">
        <f t="shared" si="38"/>
        <v/>
      </c>
      <c r="AI115" s="52" t="str">
        <f t="shared" si="39"/>
        <v/>
      </c>
      <c r="AJ115" s="52" t="str">
        <f t="shared" si="40"/>
        <v/>
      </c>
      <c r="AK115" s="52" t="str">
        <f t="shared" si="41"/>
        <v/>
      </c>
      <c r="AL115" s="52" t="str">
        <f t="shared" si="42"/>
        <v/>
      </c>
      <c r="AM115" s="52" t="str">
        <f t="shared" si="43"/>
        <v/>
      </c>
      <c r="AN115" s="52" t="str">
        <f t="shared" si="44"/>
        <v/>
      </c>
      <c r="AO115" s="52" t="str">
        <f t="shared" si="45"/>
        <v/>
      </c>
      <c r="AP115" s="52" t="str">
        <f t="shared" si="46"/>
        <v/>
      </c>
      <c r="AQ115" s="52" t="str">
        <f t="shared" si="47"/>
        <v/>
      </c>
      <c r="AR115" s="52" t="str">
        <f t="shared" si="48"/>
        <v/>
      </c>
      <c r="AS115" s="52" t="str">
        <f t="shared" si="49"/>
        <v/>
      </c>
      <c r="AT115" s="52" t="str">
        <f t="shared" si="50"/>
        <v/>
      </c>
      <c r="AU115" s="52" t="str">
        <f t="shared" si="51"/>
        <v/>
      </c>
      <c r="AV115" s="52" t="str">
        <f t="shared" si="52"/>
        <v/>
      </c>
      <c r="AW115" s="52" t="str">
        <f t="shared" si="53"/>
        <v/>
      </c>
      <c r="AX115" s="52" t="str">
        <f t="shared" si="30"/>
        <v/>
      </c>
      <c r="AY115" s="52" t="str">
        <f t="shared" si="54"/>
        <v/>
      </c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13"/>
    </row>
    <row r="116" spans="1:163">
      <c r="A116" s="71"/>
      <c r="B116" s="70"/>
      <c r="C116" s="72"/>
      <c r="D116" s="73"/>
      <c r="E116" s="73"/>
      <c r="F116" s="73"/>
      <c r="G116" s="73"/>
      <c r="H116" s="73"/>
      <c r="I116" s="74"/>
      <c r="J116" s="74"/>
      <c r="K116" s="74"/>
      <c r="L116" s="73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0"/>
      <c r="Z116" s="12">
        <f t="shared" si="31"/>
        <v>0</v>
      </c>
      <c r="AA116" s="14">
        <f t="shared" si="29"/>
        <v>0</v>
      </c>
      <c r="AB116" s="6">
        <f t="shared" si="32"/>
        <v>0</v>
      </c>
      <c r="AC116" s="6">
        <f t="shared" si="33"/>
        <v>0</v>
      </c>
      <c r="AD116" s="6">
        <f t="shared" si="34"/>
        <v>0</v>
      </c>
      <c r="AE116" s="52" t="str">
        <f t="shared" si="35"/>
        <v/>
      </c>
      <c r="AF116" s="52" t="str">
        <f t="shared" si="36"/>
        <v/>
      </c>
      <c r="AG116" s="50" t="str">
        <f t="shared" si="37"/>
        <v/>
      </c>
      <c r="AH116" s="50" t="str">
        <f t="shared" si="38"/>
        <v/>
      </c>
      <c r="AI116" s="52" t="str">
        <f t="shared" si="39"/>
        <v/>
      </c>
      <c r="AJ116" s="52" t="str">
        <f t="shared" si="40"/>
        <v/>
      </c>
      <c r="AK116" s="52" t="str">
        <f t="shared" si="41"/>
        <v/>
      </c>
      <c r="AL116" s="52" t="str">
        <f t="shared" si="42"/>
        <v/>
      </c>
      <c r="AM116" s="52" t="str">
        <f t="shared" si="43"/>
        <v/>
      </c>
      <c r="AN116" s="52" t="str">
        <f t="shared" si="44"/>
        <v/>
      </c>
      <c r="AO116" s="52" t="str">
        <f t="shared" si="45"/>
        <v/>
      </c>
      <c r="AP116" s="52" t="str">
        <f t="shared" si="46"/>
        <v/>
      </c>
      <c r="AQ116" s="52" t="str">
        <f t="shared" si="47"/>
        <v/>
      </c>
      <c r="AR116" s="52" t="str">
        <f t="shared" si="48"/>
        <v/>
      </c>
      <c r="AS116" s="52" t="str">
        <f t="shared" si="49"/>
        <v/>
      </c>
      <c r="AT116" s="52" t="str">
        <f t="shared" si="50"/>
        <v/>
      </c>
      <c r="AU116" s="52" t="str">
        <f t="shared" si="51"/>
        <v/>
      </c>
      <c r="AV116" s="52" t="str">
        <f t="shared" si="52"/>
        <v/>
      </c>
      <c r="AW116" s="52" t="str">
        <f t="shared" si="53"/>
        <v/>
      </c>
      <c r="AX116" s="52" t="str">
        <f t="shared" si="30"/>
        <v/>
      </c>
      <c r="AY116" s="52" t="str">
        <f t="shared" si="54"/>
        <v/>
      </c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13"/>
    </row>
    <row r="117" spans="1:163">
      <c r="A117" s="71"/>
      <c r="B117" s="70"/>
      <c r="C117" s="72"/>
      <c r="D117" s="73"/>
      <c r="E117" s="73"/>
      <c r="F117" s="73"/>
      <c r="G117" s="73"/>
      <c r="H117" s="73"/>
      <c r="I117" s="74"/>
      <c r="J117" s="74"/>
      <c r="K117" s="74"/>
      <c r="L117" s="73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0"/>
      <c r="Z117" s="12">
        <f t="shared" si="31"/>
        <v>0</v>
      </c>
      <c r="AA117" s="14">
        <f t="shared" si="29"/>
        <v>0</v>
      </c>
      <c r="AB117" s="6">
        <f t="shared" si="32"/>
        <v>0</v>
      </c>
      <c r="AC117" s="6">
        <f t="shared" si="33"/>
        <v>0</v>
      </c>
      <c r="AD117" s="6">
        <f t="shared" si="34"/>
        <v>0</v>
      </c>
      <c r="AE117" s="52" t="str">
        <f t="shared" si="35"/>
        <v/>
      </c>
      <c r="AF117" s="52" t="str">
        <f t="shared" si="36"/>
        <v/>
      </c>
      <c r="AG117" s="50" t="str">
        <f t="shared" si="37"/>
        <v/>
      </c>
      <c r="AH117" s="50" t="str">
        <f t="shared" si="38"/>
        <v/>
      </c>
      <c r="AI117" s="52" t="str">
        <f t="shared" si="39"/>
        <v/>
      </c>
      <c r="AJ117" s="52" t="str">
        <f t="shared" si="40"/>
        <v/>
      </c>
      <c r="AK117" s="52" t="str">
        <f t="shared" si="41"/>
        <v/>
      </c>
      <c r="AL117" s="52" t="str">
        <f t="shared" si="42"/>
        <v/>
      </c>
      <c r="AM117" s="52" t="str">
        <f t="shared" si="43"/>
        <v/>
      </c>
      <c r="AN117" s="52" t="str">
        <f t="shared" si="44"/>
        <v/>
      </c>
      <c r="AO117" s="52" t="str">
        <f t="shared" si="45"/>
        <v/>
      </c>
      <c r="AP117" s="52" t="str">
        <f t="shared" si="46"/>
        <v/>
      </c>
      <c r="AQ117" s="52" t="str">
        <f t="shared" si="47"/>
        <v/>
      </c>
      <c r="AR117" s="52" t="str">
        <f t="shared" si="48"/>
        <v/>
      </c>
      <c r="AS117" s="52" t="str">
        <f t="shared" si="49"/>
        <v/>
      </c>
      <c r="AT117" s="52" t="str">
        <f t="shared" si="50"/>
        <v/>
      </c>
      <c r="AU117" s="52" t="str">
        <f t="shared" si="51"/>
        <v/>
      </c>
      <c r="AV117" s="52" t="str">
        <f t="shared" si="52"/>
        <v/>
      </c>
      <c r="AW117" s="52" t="str">
        <f t="shared" si="53"/>
        <v/>
      </c>
      <c r="AX117" s="52" t="str">
        <f t="shared" si="30"/>
        <v/>
      </c>
      <c r="AY117" s="52" t="str">
        <f t="shared" si="54"/>
        <v/>
      </c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13"/>
    </row>
    <row r="118" spans="1:163">
      <c r="A118" s="71"/>
      <c r="B118" s="70"/>
      <c r="C118" s="72"/>
      <c r="D118" s="73"/>
      <c r="E118" s="73"/>
      <c r="F118" s="73"/>
      <c r="G118" s="73"/>
      <c r="H118" s="73"/>
      <c r="I118" s="74"/>
      <c r="J118" s="74"/>
      <c r="K118" s="74"/>
      <c r="L118" s="73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0"/>
      <c r="Z118" s="12">
        <f t="shared" si="31"/>
        <v>0</v>
      </c>
      <c r="AA118" s="14">
        <f t="shared" si="29"/>
        <v>0</v>
      </c>
      <c r="AB118" s="6">
        <f t="shared" si="32"/>
        <v>0</v>
      </c>
      <c r="AC118" s="6">
        <f t="shared" si="33"/>
        <v>0</v>
      </c>
      <c r="AD118" s="6">
        <f t="shared" si="34"/>
        <v>0</v>
      </c>
      <c r="AE118" s="52" t="str">
        <f t="shared" si="35"/>
        <v/>
      </c>
      <c r="AF118" s="52" t="str">
        <f t="shared" si="36"/>
        <v/>
      </c>
      <c r="AG118" s="50" t="str">
        <f t="shared" si="37"/>
        <v/>
      </c>
      <c r="AH118" s="50" t="str">
        <f t="shared" si="38"/>
        <v/>
      </c>
      <c r="AI118" s="52" t="str">
        <f t="shared" si="39"/>
        <v/>
      </c>
      <c r="AJ118" s="52" t="str">
        <f t="shared" si="40"/>
        <v/>
      </c>
      <c r="AK118" s="52" t="str">
        <f t="shared" si="41"/>
        <v/>
      </c>
      <c r="AL118" s="52" t="str">
        <f t="shared" si="42"/>
        <v/>
      </c>
      <c r="AM118" s="52" t="str">
        <f t="shared" si="43"/>
        <v/>
      </c>
      <c r="AN118" s="52" t="str">
        <f t="shared" si="44"/>
        <v/>
      </c>
      <c r="AO118" s="52" t="str">
        <f t="shared" si="45"/>
        <v/>
      </c>
      <c r="AP118" s="52" t="str">
        <f t="shared" si="46"/>
        <v/>
      </c>
      <c r="AQ118" s="52" t="str">
        <f t="shared" si="47"/>
        <v/>
      </c>
      <c r="AR118" s="52" t="str">
        <f t="shared" si="48"/>
        <v/>
      </c>
      <c r="AS118" s="52" t="str">
        <f t="shared" si="49"/>
        <v/>
      </c>
      <c r="AT118" s="52" t="str">
        <f t="shared" si="50"/>
        <v/>
      </c>
      <c r="AU118" s="52" t="str">
        <f t="shared" si="51"/>
        <v/>
      </c>
      <c r="AV118" s="52" t="str">
        <f t="shared" si="52"/>
        <v/>
      </c>
      <c r="AW118" s="52" t="str">
        <f t="shared" si="53"/>
        <v/>
      </c>
      <c r="AX118" s="52" t="str">
        <f t="shared" si="30"/>
        <v/>
      </c>
      <c r="AY118" s="52" t="str">
        <f t="shared" si="54"/>
        <v/>
      </c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13"/>
    </row>
    <row r="119" spans="1:163">
      <c r="A119" s="71"/>
      <c r="B119" s="70"/>
      <c r="C119" s="72"/>
      <c r="D119" s="73"/>
      <c r="E119" s="73"/>
      <c r="F119" s="73"/>
      <c r="G119" s="73"/>
      <c r="H119" s="73"/>
      <c r="I119" s="74"/>
      <c r="J119" s="74"/>
      <c r="K119" s="74"/>
      <c r="L119" s="73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0"/>
      <c r="Z119" s="12">
        <f t="shared" si="31"/>
        <v>0</v>
      </c>
      <c r="AA119" s="14">
        <f t="shared" si="29"/>
        <v>0</v>
      </c>
      <c r="AB119" s="6">
        <f t="shared" si="32"/>
        <v>0</v>
      </c>
      <c r="AC119" s="6">
        <f t="shared" si="33"/>
        <v>0</v>
      </c>
      <c r="AD119" s="6">
        <f t="shared" si="34"/>
        <v>0</v>
      </c>
      <c r="AE119" s="52" t="str">
        <f t="shared" si="35"/>
        <v/>
      </c>
      <c r="AF119" s="52" t="str">
        <f t="shared" si="36"/>
        <v/>
      </c>
      <c r="AG119" s="50" t="str">
        <f t="shared" si="37"/>
        <v/>
      </c>
      <c r="AH119" s="50" t="str">
        <f t="shared" si="38"/>
        <v/>
      </c>
      <c r="AI119" s="52" t="str">
        <f t="shared" si="39"/>
        <v/>
      </c>
      <c r="AJ119" s="52" t="str">
        <f t="shared" si="40"/>
        <v/>
      </c>
      <c r="AK119" s="52" t="str">
        <f t="shared" si="41"/>
        <v/>
      </c>
      <c r="AL119" s="52" t="str">
        <f t="shared" si="42"/>
        <v/>
      </c>
      <c r="AM119" s="52" t="str">
        <f t="shared" si="43"/>
        <v/>
      </c>
      <c r="AN119" s="52" t="str">
        <f t="shared" si="44"/>
        <v/>
      </c>
      <c r="AO119" s="52" t="str">
        <f t="shared" si="45"/>
        <v/>
      </c>
      <c r="AP119" s="52" t="str">
        <f t="shared" si="46"/>
        <v/>
      </c>
      <c r="AQ119" s="52" t="str">
        <f t="shared" si="47"/>
        <v/>
      </c>
      <c r="AR119" s="52" t="str">
        <f t="shared" si="48"/>
        <v/>
      </c>
      <c r="AS119" s="52" t="str">
        <f t="shared" si="49"/>
        <v/>
      </c>
      <c r="AT119" s="52" t="str">
        <f t="shared" si="50"/>
        <v/>
      </c>
      <c r="AU119" s="52" t="str">
        <f t="shared" si="51"/>
        <v/>
      </c>
      <c r="AV119" s="52" t="str">
        <f t="shared" si="52"/>
        <v/>
      </c>
      <c r="AW119" s="52" t="str">
        <f t="shared" si="53"/>
        <v/>
      </c>
      <c r="AX119" s="52" t="str">
        <f t="shared" si="30"/>
        <v/>
      </c>
      <c r="AY119" s="52" t="str">
        <f t="shared" si="54"/>
        <v/>
      </c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13"/>
    </row>
    <row r="120" spans="1:163">
      <c r="A120" s="71"/>
      <c r="B120" s="70"/>
      <c r="C120" s="72"/>
      <c r="D120" s="73"/>
      <c r="E120" s="73"/>
      <c r="F120" s="73"/>
      <c r="G120" s="73"/>
      <c r="H120" s="73"/>
      <c r="I120" s="74"/>
      <c r="J120" s="74"/>
      <c r="K120" s="74"/>
      <c r="L120" s="73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0"/>
      <c r="Z120" s="12">
        <f t="shared" si="31"/>
        <v>0</v>
      </c>
      <c r="AA120" s="14">
        <f t="shared" si="29"/>
        <v>0</v>
      </c>
      <c r="AB120" s="6">
        <f t="shared" si="32"/>
        <v>0</v>
      </c>
      <c r="AC120" s="6">
        <f t="shared" si="33"/>
        <v>0</v>
      </c>
      <c r="AD120" s="6">
        <f t="shared" si="34"/>
        <v>0</v>
      </c>
      <c r="AE120" s="52" t="str">
        <f t="shared" si="35"/>
        <v/>
      </c>
      <c r="AF120" s="52" t="str">
        <f t="shared" si="36"/>
        <v/>
      </c>
      <c r="AG120" s="50" t="str">
        <f t="shared" si="37"/>
        <v/>
      </c>
      <c r="AH120" s="50" t="str">
        <f t="shared" si="38"/>
        <v/>
      </c>
      <c r="AI120" s="52" t="str">
        <f t="shared" si="39"/>
        <v/>
      </c>
      <c r="AJ120" s="52" t="str">
        <f t="shared" si="40"/>
        <v/>
      </c>
      <c r="AK120" s="52" t="str">
        <f t="shared" si="41"/>
        <v/>
      </c>
      <c r="AL120" s="52" t="str">
        <f t="shared" si="42"/>
        <v/>
      </c>
      <c r="AM120" s="52" t="str">
        <f t="shared" si="43"/>
        <v/>
      </c>
      <c r="AN120" s="52" t="str">
        <f t="shared" si="44"/>
        <v/>
      </c>
      <c r="AO120" s="52" t="str">
        <f t="shared" si="45"/>
        <v/>
      </c>
      <c r="AP120" s="52" t="str">
        <f t="shared" si="46"/>
        <v/>
      </c>
      <c r="AQ120" s="52" t="str">
        <f t="shared" si="47"/>
        <v/>
      </c>
      <c r="AR120" s="52" t="str">
        <f t="shared" si="48"/>
        <v/>
      </c>
      <c r="AS120" s="52" t="str">
        <f t="shared" si="49"/>
        <v/>
      </c>
      <c r="AT120" s="52" t="str">
        <f t="shared" si="50"/>
        <v/>
      </c>
      <c r="AU120" s="52" t="str">
        <f t="shared" si="51"/>
        <v/>
      </c>
      <c r="AV120" s="52" t="str">
        <f t="shared" si="52"/>
        <v/>
      </c>
      <c r="AW120" s="52" t="str">
        <f t="shared" si="53"/>
        <v/>
      </c>
      <c r="AX120" s="52" t="str">
        <f t="shared" si="30"/>
        <v/>
      </c>
      <c r="AY120" s="52" t="str">
        <f t="shared" si="54"/>
        <v/>
      </c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13"/>
    </row>
    <row r="121" spans="1:163">
      <c r="A121" s="71"/>
      <c r="B121" s="70"/>
      <c r="C121" s="72"/>
      <c r="D121" s="73"/>
      <c r="E121" s="73"/>
      <c r="F121" s="73"/>
      <c r="G121" s="73"/>
      <c r="H121" s="73"/>
      <c r="I121" s="74"/>
      <c r="J121" s="74"/>
      <c r="K121" s="74"/>
      <c r="L121" s="73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0"/>
      <c r="Z121" s="12">
        <f t="shared" si="31"/>
        <v>0</v>
      </c>
      <c r="AA121" s="14">
        <f t="shared" si="29"/>
        <v>0</v>
      </c>
      <c r="AB121" s="6">
        <f t="shared" si="32"/>
        <v>0</v>
      </c>
      <c r="AC121" s="6">
        <f t="shared" si="33"/>
        <v>0</v>
      </c>
      <c r="AD121" s="6">
        <f t="shared" si="34"/>
        <v>0</v>
      </c>
      <c r="AE121" s="52" t="str">
        <f t="shared" si="35"/>
        <v/>
      </c>
      <c r="AF121" s="52" t="str">
        <f t="shared" si="36"/>
        <v/>
      </c>
      <c r="AG121" s="50" t="str">
        <f t="shared" si="37"/>
        <v/>
      </c>
      <c r="AH121" s="50" t="str">
        <f t="shared" si="38"/>
        <v/>
      </c>
      <c r="AI121" s="52" t="str">
        <f t="shared" si="39"/>
        <v/>
      </c>
      <c r="AJ121" s="52" t="str">
        <f t="shared" si="40"/>
        <v/>
      </c>
      <c r="AK121" s="52" t="str">
        <f t="shared" si="41"/>
        <v/>
      </c>
      <c r="AL121" s="52" t="str">
        <f t="shared" si="42"/>
        <v/>
      </c>
      <c r="AM121" s="52" t="str">
        <f t="shared" si="43"/>
        <v/>
      </c>
      <c r="AN121" s="52" t="str">
        <f t="shared" si="44"/>
        <v/>
      </c>
      <c r="AO121" s="52" t="str">
        <f t="shared" si="45"/>
        <v/>
      </c>
      <c r="AP121" s="52" t="str">
        <f t="shared" si="46"/>
        <v/>
      </c>
      <c r="AQ121" s="52" t="str">
        <f t="shared" si="47"/>
        <v/>
      </c>
      <c r="AR121" s="52" t="str">
        <f t="shared" si="48"/>
        <v/>
      </c>
      <c r="AS121" s="52" t="str">
        <f t="shared" si="49"/>
        <v/>
      </c>
      <c r="AT121" s="52" t="str">
        <f t="shared" si="50"/>
        <v/>
      </c>
      <c r="AU121" s="52" t="str">
        <f t="shared" si="51"/>
        <v/>
      </c>
      <c r="AV121" s="52" t="str">
        <f t="shared" si="52"/>
        <v/>
      </c>
      <c r="AW121" s="52" t="str">
        <f t="shared" si="53"/>
        <v/>
      </c>
      <c r="AX121" s="52" t="str">
        <f t="shared" si="30"/>
        <v/>
      </c>
      <c r="AY121" s="52" t="str">
        <f t="shared" si="54"/>
        <v/>
      </c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13"/>
    </row>
    <row r="122" spans="1:163">
      <c r="A122" s="71"/>
      <c r="B122" s="70"/>
      <c r="C122" s="72"/>
      <c r="D122" s="73"/>
      <c r="E122" s="73"/>
      <c r="F122" s="73"/>
      <c r="G122" s="73"/>
      <c r="H122" s="73"/>
      <c r="I122" s="74"/>
      <c r="J122" s="74"/>
      <c r="K122" s="74"/>
      <c r="L122" s="73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0"/>
      <c r="Z122" s="12">
        <f t="shared" si="31"/>
        <v>0</v>
      </c>
      <c r="AA122" s="14">
        <f t="shared" si="29"/>
        <v>0</v>
      </c>
      <c r="AB122" s="6">
        <f t="shared" si="32"/>
        <v>0</v>
      </c>
      <c r="AC122" s="6">
        <f t="shared" si="33"/>
        <v>0</v>
      </c>
      <c r="AD122" s="6">
        <f t="shared" si="34"/>
        <v>0</v>
      </c>
      <c r="AE122" s="52" t="str">
        <f t="shared" si="35"/>
        <v/>
      </c>
      <c r="AF122" s="52" t="str">
        <f t="shared" si="36"/>
        <v/>
      </c>
      <c r="AG122" s="50" t="str">
        <f t="shared" si="37"/>
        <v/>
      </c>
      <c r="AH122" s="50" t="str">
        <f t="shared" si="38"/>
        <v/>
      </c>
      <c r="AI122" s="52" t="str">
        <f t="shared" si="39"/>
        <v/>
      </c>
      <c r="AJ122" s="52" t="str">
        <f t="shared" si="40"/>
        <v/>
      </c>
      <c r="AK122" s="52" t="str">
        <f t="shared" si="41"/>
        <v/>
      </c>
      <c r="AL122" s="52" t="str">
        <f t="shared" si="42"/>
        <v/>
      </c>
      <c r="AM122" s="52" t="str">
        <f t="shared" si="43"/>
        <v/>
      </c>
      <c r="AN122" s="52" t="str">
        <f t="shared" si="44"/>
        <v/>
      </c>
      <c r="AO122" s="52" t="str">
        <f t="shared" si="45"/>
        <v/>
      </c>
      <c r="AP122" s="52" t="str">
        <f t="shared" si="46"/>
        <v/>
      </c>
      <c r="AQ122" s="52" t="str">
        <f t="shared" si="47"/>
        <v/>
      </c>
      <c r="AR122" s="52" t="str">
        <f t="shared" si="48"/>
        <v/>
      </c>
      <c r="AS122" s="52" t="str">
        <f t="shared" si="49"/>
        <v/>
      </c>
      <c r="AT122" s="52" t="str">
        <f t="shared" si="50"/>
        <v/>
      </c>
      <c r="AU122" s="52" t="str">
        <f t="shared" si="51"/>
        <v/>
      </c>
      <c r="AV122" s="52" t="str">
        <f t="shared" si="52"/>
        <v/>
      </c>
      <c r="AW122" s="52" t="str">
        <f t="shared" si="53"/>
        <v/>
      </c>
      <c r="AX122" s="52" t="str">
        <f t="shared" si="30"/>
        <v/>
      </c>
      <c r="AY122" s="52" t="str">
        <f t="shared" si="54"/>
        <v/>
      </c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13"/>
    </row>
    <row r="123" spans="1:163">
      <c r="A123" s="71"/>
      <c r="B123" s="70"/>
      <c r="C123" s="72"/>
      <c r="D123" s="73"/>
      <c r="E123" s="73"/>
      <c r="F123" s="73"/>
      <c r="G123" s="73"/>
      <c r="H123" s="73"/>
      <c r="I123" s="74"/>
      <c r="J123" s="74"/>
      <c r="K123" s="74"/>
      <c r="L123" s="73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0"/>
      <c r="Z123" s="12">
        <f t="shared" si="31"/>
        <v>0</v>
      </c>
      <c r="AA123" s="14">
        <f t="shared" si="29"/>
        <v>0</v>
      </c>
      <c r="AB123" s="6">
        <f t="shared" si="32"/>
        <v>0</v>
      </c>
      <c r="AC123" s="6">
        <f t="shared" si="33"/>
        <v>0</v>
      </c>
      <c r="AD123" s="6">
        <f t="shared" si="34"/>
        <v>0</v>
      </c>
      <c r="AE123" s="52" t="str">
        <f t="shared" si="35"/>
        <v/>
      </c>
      <c r="AF123" s="52" t="str">
        <f t="shared" si="36"/>
        <v/>
      </c>
      <c r="AG123" s="50" t="str">
        <f t="shared" si="37"/>
        <v/>
      </c>
      <c r="AH123" s="50" t="str">
        <f t="shared" si="38"/>
        <v/>
      </c>
      <c r="AI123" s="52" t="str">
        <f t="shared" si="39"/>
        <v/>
      </c>
      <c r="AJ123" s="52" t="str">
        <f t="shared" si="40"/>
        <v/>
      </c>
      <c r="AK123" s="52" t="str">
        <f t="shared" si="41"/>
        <v/>
      </c>
      <c r="AL123" s="52" t="str">
        <f t="shared" si="42"/>
        <v/>
      </c>
      <c r="AM123" s="52" t="str">
        <f t="shared" si="43"/>
        <v/>
      </c>
      <c r="AN123" s="52" t="str">
        <f t="shared" si="44"/>
        <v/>
      </c>
      <c r="AO123" s="52" t="str">
        <f t="shared" si="45"/>
        <v/>
      </c>
      <c r="AP123" s="52" t="str">
        <f t="shared" si="46"/>
        <v/>
      </c>
      <c r="AQ123" s="52" t="str">
        <f t="shared" si="47"/>
        <v/>
      </c>
      <c r="AR123" s="52" t="str">
        <f t="shared" si="48"/>
        <v/>
      </c>
      <c r="AS123" s="52" t="str">
        <f t="shared" si="49"/>
        <v/>
      </c>
      <c r="AT123" s="52" t="str">
        <f t="shared" si="50"/>
        <v/>
      </c>
      <c r="AU123" s="52" t="str">
        <f t="shared" si="51"/>
        <v/>
      </c>
      <c r="AV123" s="52" t="str">
        <f t="shared" si="52"/>
        <v/>
      </c>
      <c r="AW123" s="52" t="str">
        <f t="shared" si="53"/>
        <v/>
      </c>
      <c r="AX123" s="52" t="str">
        <f t="shared" si="30"/>
        <v/>
      </c>
      <c r="AY123" s="52" t="str">
        <f t="shared" si="54"/>
        <v/>
      </c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13"/>
    </row>
    <row r="124" spans="1:163">
      <c r="A124" s="71"/>
      <c r="B124" s="70"/>
      <c r="C124" s="72"/>
      <c r="D124" s="73"/>
      <c r="E124" s="73"/>
      <c r="F124" s="73"/>
      <c r="G124" s="73"/>
      <c r="H124" s="73"/>
      <c r="I124" s="74"/>
      <c r="J124" s="74"/>
      <c r="K124" s="74"/>
      <c r="L124" s="73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0"/>
      <c r="Z124" s="12">
        <f t="shared" si="31"/>
        <v>0</v>
      </c>
      <c r="AA124" s="14">
        <f t="shared" si="29"/>
        <v>0</v>
      </c>
      <c r="AB124" s="6">
        <f t="shared" si="32"/>
        <v>0</v>
      </c>
      <c r="AC124" s="6">
        <f t="shared" si="33"/>
        <v>0</v>
      </c>
      <c r="AD124" s="6">
        <f t="shared" si="34"/>
        <v>0</v>
      </c>
      <c r="AE124" s="52" t="str">
        <f t="shared" si="35"/>
        <v/>
      </c>
      <c r="AF124" s="52" t="str">
        <f t="shared" si="36"/>
        <v/>
      </c>
      <c r="AG124" s="50" t="str">
        <f t="shared" si="37"/>
        <v/>
      </c>
      <c r="AH124" s="50" t="str">
        <f t="shared" si="38"/>
        <v/>
      </c>
      <c r="AI124" s="52" t="str">
        <f t="shared" si="39"/>
        <v/>
      </c>
      <c r="AJ124" s="52" t="str">
        <f t="shared" si="40"/>
        <v/>
      </c>
      <c r="AK124" s="52" t="str">
        <f t="shared" si="41"/>
        <v/>
      </c>
      <c r="AL124" s="52" t="str">
        <f t="shared" si="42"/>
        <v/>
      </c>
      <c r="AM124" s="52" t="str">
        <f t="shared" si="43"/>
        <v/>
      </c>
      <c r="AN124" s="52" t="str">
        <f t="shared" si="44"/>
        <v/>
      </c>
      <c r="AO124" s="52" t="str">
        <f t="shared" si="45"/>
        <v/>
      </c>
      <c r="AP124" s="52" t="str">
        <f t="shared" si="46"/>
        <v/>
      </c>
      <c r="AQ124" s="52" t="str">
        <f t="shared" si="47"/>
        <v/>
      </c>
      <c r="AR124" s="52" t="str">
        <f t="shared" si="48"/>
        <v/>
      </c>
      <c r="AS124" s="52" t="str">
        <f t="shared" si="49"/>
        <v/>
      </c>
      <c r="AT124" s="52" t="str">
        <f t="shared" si="50"/>
        <v/>
      </c>
      <c r="AU124" s="52" t="str">
        <f t="shared" si="51"/>
        <v/>
      </c>
      <c r="AV124" s="52" t="str">
        <f t="shared" si="52"/>
        <v/>
      </c>
      <c r="AW124" s="52" t="str">
        <f t="shared" si="53"/>
        <v/>
      </c>
      <c r="AX124" s="52" t="str">
        <f t="shared" si="30"/>
        <v/>
      </c>
      <c r="AY124" s="52" t="str">
        <f t="shared" si="54"/>
        <v/>
      </c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13"/>
    </row>
    <row r="125" spans="1:163">
      <c r="A125" s="71"/>
      <c r="B125" s="70"/>
      <c r="C125" s="72"/>
      <c r="D125" s="73"/>
      <c r="E125" s="73"/>
      <c r="F125" s="73"/>
      <c r="G125" s="73"/>
      <c r="H125" s="73"/>
      <c r="I125" s="74"/>
      <c r="J125" s="74"/>
      <c r="K125" s="74"/>
      <c r="L125" s="73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0"/>
      <c r="Z125" s="12">
        <f t="shared" si="31"/>
        <v>0</v>
      </c>
      <c r="AA125" s="14">
        <f t="shared" si="29"/>
        <v>0</v>
      </c>
      <c r="AB125" s="6">
        <f t="shared" si="32"/>
        <v>0</v>
      </c>
      <c r="AC125" s="6">
        <f t="shared" si="33"/>
        <v>0</v>
      </c>
      <c r="AD125" s="6">
        <f t="shared" si="34"/>
        <v>0</v>
      </c>
      <c r="AE125" s="52" t="str">
        <f t="shared" si="35"/>
        <v/>
      </c>
      <c r="AF125" s="52" t="str">
        <f t="shared" si="36"/>
        <v/>
      </c>
      <c r="AG125" s="50" t="str">
        <f t="shared" si="37"/>
        <v/>
      </c>
      <c r="AH125" s="50" t="str">
        <f t="shared" si="38"/>
        <v/>
      </c>
      <c r="AI125" s="52" t="str">
        <f t="shared" si="39"/>
        <v/>
      </c>
      <c r="AJ125" s="52" t="str">
        <f t="shared" si="40"/>
        <v/>
      </c>
      <c r="AK125" s="52" t="str">
        <f t="shared" si="41"/>
        <v/>
      </c>
      <c r="AL125" s="52" t="str">
        <f t="shared" si="42"/>
        <v/>
      </c>
      <c r="AM125" s="52" t="str">
        <f t="shared" si="43"/>
        <v/>
      </c>
      <c r="AN125" s="52" t="str">
        <f t="shared" si="44"/>
        <v/>
      </c>
      <c r="AO125" s="52" t="str">
        <f t="shared" si="45"/>
        <v/>
      </c>
      <c r="AP125" s="52" t="str">
        <f t="shared" si="46"/>
        <v/>
      </c>
      <c r="AQ125" s="52" t="str">
        <f t="shared" si="47"/>
        <v/>
      </c>
      <c r="AR125" s="52" t="str">
        <f t="shared" si="48"/>
        <v/>
      </c>
      <c r="AS125" s="52" t="str">
        <f t="shared" si="49"/>
        <v/>
      </c>
      <c r="AT125" s="52" t="str">
        <f t="shared" si="50"/>
        <v/>
      </c>
      <c r="AU125" s="52" t="str">
        <f t="shared" si="51"/>
        <v/>
      </c>
      <c r="AV125" s="52" t="str">
        <f t="shared" si="52"/>
        <v/>
      </c>
      <c r="AW125" s="52" t="str">
        <f t="shared" si="53"/>
        <v/>
      </c>
      <c r="AX125" s="52" t="str">
        <f t="shared" si="30"/>
        <v/>
      </c>
      <c r="AY125" s="52" t="str">
        <f t="shared" si="54"/>
        <v/>
      </c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13"/>
    </row>
    <row r="126" spans="1:163">
      <c r="A126" s="71"/>
      <c r="B126" s="70"/>
      <c r="C126" s="72"/>
      <c r="D126" s="73"/>
      <c r="E126" s="73"/>
      <c r="F126" s="73"/>
      <c r="G126" s="73"/>
      <c r="H126" s="73"/>
      <c r="I126" s="74"/>
      <c r="J126" s="74"/>
      <c r="K126" s="74"/>
      <c r="L126" s="73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0"/>
      <c r="Z126" s="12">
        <f t="shared" si="31"/>
        <v>0</v>
      </c>
      <c r="AA126" s="14">
        <f t="shared" ref="AA126:AA189" si="55">IF(X126&lt;&gt;"",0.0001,IF(Y126+Z126=0,0,IF(Y126=0,80+(Z126*80),IF(Y126&gt;0,110+(Z126*80)))))</f>
        <v>0</v>
      </c>
      <c r="AB126" s="6">
        <f t="shared" si="32"/>
        <v>0</v>
      </c>
      <c r="AC126" s="6">
        <f t="shared" si="33"/>
        <v>0</v>
      </c>
      <c r="AD126" s="6">
        <f t="shared" si="34"/>
        <v>0</v>
      </c>
      <c r="AE126" s="52" t="str">
        <f t="shared" si="35"/>
        <v/>
      </c>
      <c r="AF126" s="52" t="str">
        <f t="shared" si="36"/>
        <v/>
      </c>
      <c r="AG126" s="50" t="str">
        <f t="shared" si="37"/>
        <v/>
      </c>
      <c r="AH126" s="50" t="str">
        <f t="shared" si="38"/>
        <v/>
      </c>
      <c r="AI126" s="52" t="str">
        <f t="shared" si="39"/>
        <v/>
      </c>
      <c r="AJ126" s="52" t="str">
        <f t="shared" si="40"/>
        <v/>
      </c>
      <c r="AK126" s="52" t="str">
        <f t="shared" si="41"/>
        <v/>
      </c>
      <c r="AL126" s="52" t="str">
        <f t="shared" si="42"/>
        <v/>
      </c>
      <c r="AM126" s="52" t="str">
        <f t="shared" si="43"/>
        <v/>
      </c>
      <c r="AN126" s="52" t="str">
        <f t="shared" si="44"/>
        <v/>
      </c>
      <c r="AO126" s="52" t="str">
        <f t="shared" si="45"/>
        <v/>
      </c>
      <c r="AP126" s="52" t="str">
        <f t="shared" si="46"/>
        <v/>
      </c>
      <c r="AQ126" s="52" t="str">
        <f t="shared" si="47"/>
        <v/>
      </c>
      <c r="AR126" s="52" t="str">
        <f t="shared" si="48"/>
        <v/>
      </c>
      <c r="AS126" s="52" t="str">
        <f t="shared" si="49"/>
        <v/>
      </c>
      <c r="AT126" s="52" t="str">
        <f t="shared" si="50"/>
        <v/>
      </c>
      <c r="AU126" s="52" t="str">
        <f t="shared" si="51"/>
        <v/>
      </c>
      <c r="AV126" s="52" t="str">
        <f t="shared" si="52"/>
        <v/>
      </c>
      <c r="AW126" s="52" t="str">
        <f t="shared" si="53"/>
        <v/>
      </c>
      <c r="AX126" s="52" t="str">
        <f t="shared" ref="AX126:AX189" si="56">IF(C126="","",IF(AB126&gt;=3,"",IF(AD126&gt;=2,"",IF(C126&gt;=$CL$2,$EZ$3,IF(AND(C126&gt;=$CM$1,C126&lt;=$CM$2),$FA$3,IF(AND(C126&gt;=$CN$1,C126&lt;=$CN$2),$FB$3,IF(AND(C126&gt;=$CO$1,C126&lt;=$CO$2),$FC$3,IF(AND(C126&gt;=$CP$1,C126&lt;=$CP$2),$FD$3,IF(C126&lt;=$CQ$2,$FE$3,"")))))))))</f>
        <v/>
      </c>
      <c r="AY126" s="52" t="str">
        <f t="shared" si="54"/>
        <v/>
      </c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13"/>
    </row>
    <row r="127" spans="1:163">
      <c r="A127" s="71"/>
      <c r="B127" s="70"/>
      <c r="C127" s="72"/>
      <c r="D127" s="73"/>
      <c r="E127" s="73"/>
      <c r="F127" s="73"/>
      <c r="G127" s="73"/>
      <c r="H127" s="73"/>
      <c r="I127" s="74"/>
      <c r="J127" s="74"/>
      <c r="K127" s="74"/>
      <c r="L127" s="73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0"/>
      <c r="Z127" s="12">
        <f t="shared" ref="Z127:Z190" si="57">COUNTA(D127:W127)-Y127</f>
        <v>0</v>
      </c>
      <c r="AA127" s="14">
        <f t="shared" si="55"/>
        <v>0</v>
      </c>
      <c r="AB127" s="6">
        <f t="shared" ref="AB127:AB190" si="58">COUNTA(L127:W127)</f>
        <v>0</v>
      </c>
      <c r="AC127" s="6">
        <f t="shared" ref="AC127:AC190" si="59">COUNTA(L127:Q127)</f>
        <v>0</v>
      </c>
      <c r="AD127" s="6">
        <f t="shared" ref="AD127:AD190" si="60">COUNTA(R127:V127)</f>
        <v>0</v>
      </c>
      <c r="AE127" s="52" t="str">
        <f t="shared" ref="AE127:AE190" si="61">IF(AND(B127="Feminino",C127&gt;=$BA$2,C127&lt;=$BB$2),$BA$3,IF(AND(B127="Masculino",C127&gt;=$BA$2,C127&lt;=$BB$2),$BB$3,IF(AND(B127="Feminino",C127&gt;=$BC$2,C127&lt;=$BD$2),$BC$3,IF(AND(B127="Masculino",C127&gt;=$BC$2,C127&lt;=$BD$2),$BD$3,IF(AND(B127="Feminino",C127&gt;=$BE$2,C127&lt;=$BF$2),$BE$3,IF(AND(B127="Masculino",C127&gt;=$BE$2,C127&lt;=$BF$2),$BF$3,IF(AND(B127="Feminino",C127&gt;=$BG$2,C127&lt;=$BH$2),$BG$3,IF(AND(B127="Masculino",C127&gt;=$BG$2,C127&lt;=$BH$2),$BH$3,""))))))))</f>
        <v/>
      </c>
      <c r="AF127" s="52" t="str">
        <f t="shared" ref="AF127:AF190" si="62">IF(AND(B127="Feminino",C127&gt;=$BE$2,C127&lt;=$BF$2),$BI$3,IF(AND(B127="Masculino",C127&gt;=$BE$2,C127&lt;=$BF$2),$BJ$3,IF(AND(B127="Feminino",C127&lt;=$BH$2),$BK$3,IF(AND(B127="Masculino",C127&lt;=$BH$2),$BL$3,""))))</f>
        <v/>
      </c>
      <c r="AG127" s="50" t="str">
        <f t="shared" ref="AG127:AG190" si="63">IF(AND(B127="Feminino",C127&gt;=$BM$1,C127&lt;=$BM$2),$BM$3,IF(AND(B127="Masculino",C127&gt;=$BM$1,C127&lt;=$BM$2),$BN$3,""))</f>
        <v/>
      </c>
      <c r="AH127" s="50" t="str">
        <f t="shared" ref="AH127:AH190" si="64">IF(C127="","",IF(AND(C127&gt;=$BO$1,C127&lt;=$BO$2),$BO$3,IF(C127&lt;=$BP$2,$BP$3,"")))</f>
        <v/>
      </c>
      <c r="AI127" s="52" t="str">
        <f t="shared" ref="AI127:AI190" si="65">IF(C127="","",IF(C127&gt;=$BQ$2,$BQ$3,IF(AND(C127&gt;=$BR$1,C127&lt;=$BR$2),$BR$3,IF(AND(C127&gt;=$BS$1,C127&lt;=$BS$2),$BS$3,IF(AND(C127&gt;=$BT$1,C127&lt;=$BT$2),$BT$3,IF(AND(C127&gt;=$BU$1,C127&lt;=$BU$2),$BU$3,IF(C127&lt;=$BV$2,$BV$3,"")))))))</f>
        <v/>
      </c>
      <c r="AJ127" s="52" t="str">
        <f t="shared" ref="AJ127:AJ190" si="66">IF(C127="","",IF(C127&gt;=$BQ$2,$BW$3,IF(AND(C127&gt;=$BR$1,C127&lt;=$BR$2),$BX$3,IF(AND(C127&gt;=$BS$1,C127&lt;=$BS$2),$BY$3,IF(AND(C127&gt;=$BT$1,C127&lt;=$BT$2),$BZ$3,IF(AND(C127&gt;=$BU$1,C127&lt;=$BU$2),$CA$3,IF(C127&lt;=$BV$2,$CB$3,"")))))))</f>
        <v/>
      </c>
      <c r="AK127" s="52" t="str">
        <f t="shared" ref="AK127:AK190" si="67">IF(C127="","",IF(C127&gt;=$BQ$2,$CC$3,IF(AND(C127&gt;=$BR$1,C127&lt;=$BR$2),$CD$3,IF(AND(C127&gt;=$BS$1,C127&lt;=$BS$2),$CE$3,IF(AND(C127&gt;=$BT$1,C127&lt;=$BT$2),$CF$3,IF(AND(C127&gt;=$BU$1,C127&lt;=$BU$2),$CG$3,IF(C127&lt;=$BV$2,$CH$3,"")))))))</f>
        <v/>
      </c>
      <c r="AL127" s="52" t="str">
        <f t="shared" ref="AL127:AL190" si="68">IF(C127="","",IF(AND(C127&gt;=$BT$1,C127&lt;=$BT$2),$CI$3,IF(AND(C127&gt;=$BU$1,C127&lt;=$BU$2),$CJ$3,IF(C127&lt;=$BV$2,$CK$3,""))))</f>
        <v/>
      </c>
      <c r="AM127" s="52" t="str">
        <f t="shared" ref="AM127:AM190" si="69">IF(C127="","",IF(AB127&gt;=3,"",IF(AC127&gt;=2,"",IF(C127&gt;=$CL$2,$CL$3,IF(AND(C127&gt;=$CM$1,C127&lt;=$CM$2),$CM$3,IF(AND(C127&gt;=$CN$1,C127&lt;=$CN$2),$CN$3,IF(AND(C127&gt;=$CO$1,C127&lt;=$CO$2),$CO$3,IF(AND(C127&gt;=$CP$1,C127&lt;=$CP$2),$CP$3,IF(C127&lt;=$CQ$2,$CQ$3,"")))))))))</f>
        <v/>
      </c>
      <c r="AN127" s="52" t="str">
        <f t="shared" ref="AN127:AN190" si="70">IF(C127="","",IF(AB127&gt;=3,"",IF(AC127&gt;=2,"",IF(C127&gt;=$CL$2,$CR$3,IF(AND(C127&gt;=$CM$1,C127&lt;=$CM$2),$CS$3,IF(AND(C127&gt;=$CN$1,C127&lt;=$CN$2),$CT$3,IF(AND(C127&gt;=$CO$1,C127&lt;=$CO$2),$CU$3,IF(AND(C127&gt;=$CP$1,C127&lt;=$CP$2),$CV$3,IF(C127&lt;=$CQ$2,$CW$3,"")))))))))</f>
        <v/>
      </c>
      <c r="AO127" s="52" t="str">
        <f t="shared" ref="AO127:AO190" si="71">IF(C127="","",IF(AB127&gt;=3,"",IF(AC127&gt;=2,"",IF(C127&gt;=$CL$2,$CX$3,IF(AND(C127&gt;=$CM$1,C127&lt;=$CM$2),$CY$3,IF(AND(C127&gt;=$CN$1,C127&lt;=$CN$2),$CZ$3,IF(AND(C127&gt;=$CO$1,C127&lt;=$CO$2),$DA$3,IF(AND(C127&gt;=$CP$1,C127&lt;=$CP$2),$DB$3,IF(C127&lt;=$CQ$2,$DC$3,"")))))))))</f>
        <v/>
      </c>
      <c r="AP127" s="52" t="str">
        <f t="shared" ref="AP127:AP190" si="72">IF(C127="","",IF(AB127&gt;=3,"",IF(AC127&gt;=2,"",IF(C127&gt;=$CL$2,$DD$3,IF(AND(C127&gt;=$CM$1,C127&lt;=$CM$2),$DE$3,IF(AND(C127&gt;=$CN$1,C127&lt;=$CN$2),$DF$3,IF(AND(C127&gt;=$CO$1,C127&lt;=$CO$2),$DG$3,IF(AND(C127&gt;=$CP$1,C127&lt;=$CP$2),$DH$3,IF(C127&lt;=$CQ$2,$DI$3,"")))))))))</f>
        <v/>
      </c>
      <c r="AQ127" s="52" t="str">
        <f t="shared" ref="AQ127:AQ190" si="73">IF(C127="","",IF(AB127&gt;=3,"",IF(AC127&gt;=2,"",IF(C127&gt;=$CL$2,$DJ$3,IF(AND(C127&gt;=$CM$1,C127&lt;=$CM$2),$DK$3,IF(AND(C127&gt;=$CN$1,C127&lt;=$CN$2),$DL$3,IF(AND(C127&gt;=$CO$1,C127&lt;=$CO$2),$DM$3,IF(AND(C127&gt;=$CP$1,C127&lt;=$CP$2),$DN$3,IF(C127&lt;=$CQ$2,$DO$3,"")))))))))</f>
        <v/>
      </c>
      <c r="AR127" s="52" t="str">
        <f t="shared" ref="AR127:AR190" si="74">IF(C127="","",IF(AB127&gt;=3,"",IF(AC127&gt;=2,"",IF(C127&gt;=$CL$2,$DP$3,IF(AND(C127&gt;=$CM$1,C127&lt;=$CM$2),$DQ$3,IF(AND(C127&gt;=$CN$1,C127&lt;=$CN$2),$DR$3,IF(AND(C127&gt;=$CO$1,C127&lt;=$CO$2),$DS$3,IF(AND(C127&gt;=$CP$1,C127&lt;=$CP$2),$DT$3,IF(C127&lt;=$CQ$2,$DU$3,"")))))))))</f>
        <v/>
      </c>
      <c r="AS127" s="52" t="str">
        <f t="shared" ref="AS127:AS190" si="75">IF(C127="","",IF(AB127&gt;=3,"",IF(AD127&gt;=2,"",IF(C127&gt;=$CL$2,$DV$3,IF(AND(C127&gt;=$CM$1,C127&lt;=$CM$2),$DW$3,IF(AND(C127&gt;=$CN$1,C127&lt;=$CN$2),$DX$3,IF(AND(C127&gt;=$CO$1,C127&lt;=$CO$2),$DY$3,IF(AND(C127&gt;=$CP$1,C127&lt;=$CP$2),$DZ$3,IF(C127&lt;=$CQ$2,$EA$3,"")))))))))</f>
        <v/>
      </c>
      <c r="AT127" s="52" t="str">
        <f t="shared" ref="AT127:AT190" si="76">IF(C127="","",IF(AB127&gt;=3,"",IF(AD127&gt;=2,"",IF(C127&gt;=$CL$2,$EB$3,IF(AND(C127&gt;=$CM$1,C127&lt;=$CM$2),$EC$3,IF(AND(C127&gt;=$CN$1,C127&lt;=$CN$2),$ED$3,IF(AND(C127&gt;=$CO$1,C127&lt;=$CO$2),$EE$3,IF(AND(C127&gt;=$CP$1,C127&lt;=$CP$2),$EF$3,IF(C127&lt;=$CQ$2,$EG$3,"")))))))))</f>
        <v/>
      </c>
      <c r="AU127" s="52" t="str">
        <f t="shared" ref="AU127:AU190" si="77">IF(C127="","",IF(AB127&gt;=3,"",IF(AD127&gt;=2,"",IF(C127&gt;=$CL$2,$EH$3,IF(AND(C127&gt;=$CM$1,C127&lt;=$CM$2),$EI$3,IF(AND(C127&gt;=$CN$1,C127&lt;=$CN$2),$EJ$3,IF(AND(C127&gt;=$CO$1,C127&lt;=$CO$2),$EK$3,IF(AND(C127&gt;=$CP$1,C127&lt;=$CP$2),$EL$3,IF(C127&lt;=$CQ$2,$EM$3,"")))))))))</f>
        <v/>
      </c>
      <c r="AV127" s="52" t="str">
        <f t="shared" ref="AV127:AV190" si="78">IF(C127="","",IF(AB127&gt;=3,"",IF(AD127&gt;=2,"",IF(C127&gt;=$CL$2,$EN$3,IF(AND(C127&gt;=$CM$1,C127&lt;=$CM$2),$EO$3,IF(AND(C127&gt;=$CN$1,C127&lt;=$CN$2),$EP$3,IF(AND(C127&gt;=$CO$1,C127&lt;=$CO$2),$EQ$3,IF(AND(C127&gt;=$CP$1,C127&lt;=$CP$2),$ER$3,IF(C127&lt;=$CQ$2,$ES$3,"")))))))))</f>
        <v/>
      </c>
      <c r="AW127" s="52" t="str">
        <f t="shared" ref="AW127:AW190" si="79">IF(C127="","",IF(AB127&gt;=3,"",IF(AD127&gt;=2,"",IF(C127&gt;=$CL$2,$ET$3,IF(AND(C127&gt;=$CM$1,C127&lt;=$CM$2),$EU$3,IF(AND(C127&gt;=$CN$1,C127&lt;=$CN$2),$EV$3,IF(AND(C127&gt;=$CO$1,C127&lt;=$CO$2),$EW$3,IF(AND(C127&gt;=$CP$1,C127&lt;=$CP$2),$EX$3,IF(C127&lt;=$CQ$2,$EY$3,"")))))))))</f>
        <v/>
      </c>
      <c r="AX127" s="52" t="str">
        <f t="shared" si="56"/>
        <v/>
      </c>
      <c r="AY127" s="52" t="str">
        <f t="shared" ref="AY127:AY190" si="80">IF(C127="","",IF(AND(D127="",E127="",F127="",G127="",H127="",I127="",J127="",K127=""),"ADAPTADO",""))</f>
        <v/>
      </c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13"/>
    </row>
    <row r="128" spans="1:163">
      <c r="A128" s="71"/>
      <c r="B128" s="70"/>
      <c r="C128" s="72"/>
      <c r="D128" s="73"/>
      <c r="E128" s="73"/>
      <c r="F128" s="73"/>
      <c r="G128" s="73"/>
      <c r="H128" s="73"/>
      <c r="I128" s="74"/>
      <c r="J128" s="74"/>
      <c r="K128" s="74"/>
      <c r="L128" s="73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0"/>
      <c r="Z128" s="12">
        <f t="shared" si="57"/>
        <v>0</v>
      </c>
      <c r="AA128" s="14">
        <f t="shared" si="55"/>
        <v>0</v>
      </c>
      <c r="AB128" s="6">
        <f t="shared" si="58"/>
        <v>0</v>
      </c>
      <c r="AC128" s="6">
        <f t="shared" si="59"/>
        <v>0</v>
      </c>
      <c r="AD128" s="6">
        <f t="shared" si="60"/>
        <v>0</v>
      </c>
      <c r="AE128" s="52" t="str">
        <f t="shared" si="61"/>
        <v/>
      </c>
      <c r="AF128" s="52" t="str">
        <f t="shared" si="62"/>
        <v/>
      </c>
      <c r="AG128" s="50" t="str">
        <f t="shared" si="63"/>
        <v/>
      </c>
      <c r="AH128" s="50" t="str">
        <f t="shared" si="64"/>
        <v/>
      </c>
      <c r="AI128" s="52" t="str">
        <f t="shared" si="65"/>
        <v/>
      </c>
      <c r="AJ128" s="52" t="str">
        <f t="shared" si="66"/>
        <v/>
      </c>
      <c r="AK128" s="52" t="str">
        <f t="shared" si="67"/>
        <v/>
      </c>
      <c r="AL128" s="52" t="str">
        <f t="shared" si="68"/>
        <v/>
      </c>
      <c r="AM128" s="52" t="str">
        <f t="shared" si="69"/>
        <v/>
      </c>
      <c r="AN128" s="52" t="str">
        <f t="shared" si="70"/>
        <v/>
      </c>
      <c r="AO128" s="52" t="str">
        <f t="shared" si="71"/>
        <v/>
      </c>
      <c r="AP128" s="52" t="str">
        <f t="shared" si="72"/>
        <v/>
      </c>
      <c r="AQ128" s="52" t="str">
        <f t="shared" si="73"/>
        <v/>
      </c>
      <c r="AR128" s="52" t="str">
        <f t="shared" si="74"/>
        <v/>
      </c>
      <c r="AS128" s="52" t="str">
        <f t="shared" si="75"/>
        <v/>
      </c>
      <c r="AT128" s="52" t="str">
        <f t="shared" si="76"/>
        <v/>
      </c>
      <c r="AU128" s="52" t="str">
        <f t="shared" si="77"/>
        <v/>
      </c>
      <c r="AV128" s="52" t="str">
        <f t="shared" si="78"/>
        <v/>
      </c>
      <c r="AW128" s="52" t="str">
        <f t="shared" si="79"/>
        <v/>
      </c>
      <c r="AX128" s="52" t="str">
        <f t="shared" si="56"/>
        <v/>
      </c>
      <c r="AY128" s="52" t="str">
        <f t="shared" si="80"/>
        <v/>
      </c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13"/>
    </row>
    <row r="129" spans="1:163">
      <c r="A129" s="71"/>
      <c r="B129" s="70"/>
      <c r="C129" s="72"/>
      <c r="D129" s="73"/>
      <c r="E129" s="73"/>
      <c r="F129" s="73"/>
      <c r="G129" s="73"/>
      <c r="H129" s="73"/>
      <c r="I129" s="74"/>
      <c r="J129" s="74"/>
      <c r="K129" s="74"/>
      <c r="L129" s="73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0"/>
      <c r="Z129" s="12">
        <f t="shared" si="57"/>
        <v>0</v>
      </c>
      <c r="AA129" s="14">
        <f t="shared" si="55"/>
        <v>0</v>
      </c>
      <c r="AB129" s="6">
        <f t="shared" si="58"/>
        <v>0</v>
      </c>
      <c r="AC129" s="6">
        <f t="shared" si="59"/>
        <v>0</v>
      </c>
      <c r="AD129" s="6">
        <f t="shared" si="60"/>
        <v>0</v>
      </c>
      <c r="AE129" s="52" t="str">
        <f t="shared" si="61"/>
        <v/>
      </c>
      <c r="AF129" s="52" t="str">
        <f t="shared" si="62"/>
        <v/>
      </c>
      <c r="AG129" s="50" t="str">
        <f t="shared" si="63"/>
        <v/>
      </c>
      <c r="AH129" s="50" t="str">
        <f t="shared" si="64"/>
        <v/>
      </c>
      <c r="AI129" s="52" t="str">
        <f t="shared" si="65"/>
        <v/>
      </c>
      <c r="AJ129" s="52" t="str">
        <f t="shared" si="66"/>
        <v/>
      </c>
      <c r="AK129" s="52" t="str">
        <f t="shared" si="67"/>
        <v/>
      </c>
      <c r="AL129" s="52" t="str">
        <f t="shared" si="68"/>
        <v/>
      </c>
      <c r="AM129" s="52" t="str">
        <f t="shared" si="69"/>
        <v/>
      </c>
      <c r="AN129" s="52" t="str">
        <f t="shared" si="70"/>
        <v/>
      </c>
      <c r="AO129" s="52" t="str">
        <f t="shared" si="71"/>
        <v/>
      </c>
      <c r="AP129" s="52" t="str">
        <f t="shared" si="72"/>
        <v/>
      </c>
      <c r="AQ129" s="52" t="str">
        <f t="shared" si="73"/>
        <v/>
      </c>
      <c r="AR129" s="52" t="str">
        <f t="shared" si="74"/>
        <v/>
      </c>
      <c r="AS129" s="52" t="str">
        <f t="shared" si="75"/>
        <v/>
      </c>
      <c r="AT129" s="52" t="str">
        <f t="shared" si="76"/>
        <v/>
      </c>
      <c r="AU129" s="52" t="str">
        <f t="shared" si="77"/>
        <v/>
      </c>
      <c r="AV129" s="52" t="str">
        <f t="shared" si="78"/>
        <v/>
      </c>
      <c r="AW129" s="52" t="str">
        <f t="shared" si="79"/>
        <v/>
      </c>
      <c r="AX129" s="52" t="str">
        <f t="shared" si="56"/>
        <v/>
      </c>
      <c r="AY129" s="52" t="str">
        <f t="shared" si="80"/>
        <v/>
      </c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13"/>
    </row>
    <row r="130" spans="1:163">
      <c r="A130" s="71"/>
      <c r="B130" s="70"/>
      <c r="C130" s="72"/>
      <c r="D130" s="73"/>
      <c r="E130" s="73"/>
      <c r="F130" s="73"/>
      <c r="G130" s="73"/>
      <c r="H130" s="73"/>
      <c r="I130" s="74"/>
      <c r="J130" s="74"/>
      <c r="K130" s="74"/>
      <c r="L130" s="73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0"/>
      <c r="Z130" s="12">
        <f t="shared" si="57"/>
        <v>0</v>
      </c>
      <c r="AA130" s="14">
        <f t="shared" si="55"/>
        <v>0</v>
      </c>
      <c r="AB130" s="6">
        <f t="shared" si="58"/>
        <v>0</v>
      </c>
      <c r="AC130" s="6">
        <f t="shared" si="59"/>
        <v>0</v>
      </c>
      <c r="AD130" s="6">
        <f t="shared" si="60"/>
        <v>0</v>
      </c>
      <c r="AE130" s="52" t="str">
        <f t="shared" si="61"/>
        <v/>
      </c>
      <c r="AF130" s="52" t="str">
        <f t="shared" si="62"/>
        <v/>
      </c>
      <c r="AG130" s="50" t="str">
        <f t="shared" si="63"/>
        <v/>
      </c>
      <c r="AH130" s="50" t="str">
        <f t="shared" si="64"/>
        <v/>
      </c>
      <c r="AI130" s="52" t="str">
        <f t="shared" si="65"/>
        <v/>
      </c>
      <c r="AJ130" s="52" t="str">
        <f t="shared" si="66"/>
        <v/>
      </c>
      <c r="AK130" s="52" t="str">
        <f t="shared" si="67"/>
        <v/>
      </c>
      <c r="AL130" s="52" t="str">
        <f t="shared" si="68"/>
        <v/>
      </c>
      <c r="AM130" s="52" t="str">
        <f t="shared" si="69"/>
        <v/>
      </c>
      <c r="AN130" s="52" t="str">
        <f t="shared" si="70"/>
        <v/>
      </c>
      <c r="AO130" s="52" t="str">
        <f t="shared" si="71"/>
        <v/>
      </c>
      <c r="AP130" s="52" t="str">
        <f t="shared" si="72"/>
        <v/>
      </c>
      <c r="AQ130" s="52" t="str">
        <f t="shared" si="73"/>
        <v/>
      </c>
      <c r="AR130" s="52" t="str">
        <f t="shared" si="74"/>
        <v/>
      </c>
      <c r="AS130" s="52" t="str">
        <f t="shared" si="75"/>
        <v/>
      </c>
      <c r="AT130" s="52" t="str">
        <f t="shared" si="76"/>
        <v/>
      </c>
      <c r="AU130" s="52" t="str">
        <f t="shared" si="77"/>
        <v/>
      </c>
      <c r="AV130" s="52" t="str">
        <f t="shared" si="78"/>
        <v/>
      </c>
      <c r="AW130" s="52" t="str">
        <f t="shared" si="79"/>
        <v/>
      </c>
      <c r="AX130" s="52" t="str">
        <f t="shared" si="56"/>
        <v/>
      </c>
      <c r="AY130" s="52" t="str">
        <f t="shared" si="80"/>
        <v/>
      </c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13"/>
    </row>
    <row r="131" spans="1:163">
      <c r="A131" s="71"/>
      <c r="B131" s="70"/>
      <c r="C131" s="72"/>
      <c r="D131" s="73"/>
      <c r="E131" s="73"/>
      <c r="F131" s="73"/>
      <c r="G131" s="73"/>
      <c r="H131" s="73"/>
      <c r="I131" s="74"/>
      <c r="J131" s="74"/>
      <c r="K131" s="74"/>
      <c r="L131" s="73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0"/>
      <c r="Z131" s="12">
        <f t="shared" si="57"/>
        <v>0</v>
      </c>
      <c r="AA131" s="14">
        <f t="shared" si="55"/>
        <v>0</v>
      </c>
      <c r="AB131" s="6">
        <f t="shared" si="58"/>
        <v>0</v>
      </c>
      <c r="AC131" s="6">
        <f t="shared" si="59"/>
        <v>0</v>
      </c>
      <c r="AD131" s="6">
        <f t="shared" si="60"/>
        <v>0</v>
      </c>
      <c r="AE131" s="52" t="str">
        <f t="shared" si="61"/>
        <v/>
      </c>
      <c r="AF131" s="52" t="str">
        <f t="shared" si="62"/>
        <v/>
      </c>
      <c r="AG131" s="50" t="str">
        <f t="shared" si="63"/>
        <v/>
      </c>
      <c r="AH131" s="50" t="str">
        <f t="shared" si="64"/>
        <v/>
      </c>
      <c r="AI131" s="52" t="str">
        <f t="shared" si="65"/>
        <v/>
      </c>
      <c r="AJ131" s="52" t="str">
        <f t="shared" si="66"/>
        <v/>
      </c>
      <c r="AK131" s="52" t="str">
        <f t="shared" si="67"/>
        <v/>
      </c>
      <c r="AL131" s="52" t="str">
        <f t="shared" si="68"/>
        <v/>
      </c>
      <c r="AM131" s="52" t="str">
        <f t="shared" si="69"/>
        <v/>
      </c>
      <c r="AN131" s="52" t="str">
        <f t="shared" si="70"/>
        <v/>
      </c>
      <c r="AO131" s="52" t="str">
        <f t="shared" si="71"/>
        <v/>
      </c>
      <c r="AP131" s="52" t="str">
        <f t="shared" si="72"/>
        <v/>
      </c>
      <c r="AQ131" s="52" t="str">
        <f t="shared" si="73"/>
        <v/>
      </c>
      <c r="AR131" s="52" t="str">
        <f t="shared" si="74"/>
        <v/>
      </c>
      <c r="AS131" s="52" t="str">
        <f t="shared" si="75"/>
        <v/>
      </c>
      <c r="AT131" s="52" t="str">
        <f t="shared" si="76"/>
        <v/>
      </c>
      <c r="AU131" s="52" t="str">
        <f t="shared" si="77"/>
        <v/>
      </c>
      <c r="AV131" s="52" t="str">
        <f t="shared" si="78"/>
        <v/>
      </c>
      <c r="AW131" s="52" t="str">
        <f t="shared" si="79"/>
        <v/>
      </c>
      <c r="AX131" s="52" t="str">
        <f t="shared" si="56"/>
        <v/>
      </c>
      <c r="AY131" s="52" t="str">
        <f t="shared" si="80"/>
        <v/>
      </c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13"/>
    </row>
    <row r="132" spans="1:163">
      <c r="A132" s="71"/>
      <c r="B132" s="70"/>
      <c r="C132" s="72"/>
      <c r="D132" s="73"/>
      <c r="E132" s="73"/>
      <c r="F132" s="73"/>
      <c r="G132" s="73"/>
      <c r="H132" s="73"/>
      <c r="I132" s="74"/>
      <c r="J132" s="74"/>
      <c r="K132" s="74"/>
      <c r="L132" s="73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0"/>
      <c r="Z132" s="12">
        <f t="shared" si="57"/>
        <v>0</v>
      </c>
      <c r="AA132" s="14">
        <f t="shared" si="55"/>
        <v>0</v>
      </c>
      <c r="AB132" s="6">
        <f t="shared" si="58"/>
        <v>0</v>
      </c>
      <c r="AC132" s="6">
        <f t="shared" si="59"/>
        <v>0</v>
      </c>
      <c r="AD132" s="6">
        <f t="shared" si="60"/>
        <v>0</v>
      </c>
      <c r="AE132" s="52" t="str">
        <f t="shared" si="61"/>
        <v/>
      </c>
      <c r="AF132" s="52" t="str">
        <f t="shared" si="62"/>
        <v/>
      </c>
      <c r="AG132" s="50" t="str">
        <f t="shared" si="63"/>
        <v/>
      </c>
      <c r="AH132" s="50" t="str">
        <f t="shared" si="64"/>
        <v/>
      </c>
      <c r="AI132" s="52" t="str">
        <f t="shared" si="65"/>
        <v/>
      </c>
      <c r="AJ132" s="52" t="str">
        <f t="shared" si="66"/>
        <v/>
      </c>
      <c r="AK132" s="52" t="str">
        <f t="shared" si="67"/>
        <v/>
      </c>
      <c r="AL132" s="52" t="str">
        <f t="shared" si="68"/>
        <v/>
      </c>
      <c r="AM132" s="52" t="str">
        <f t="shared" si="69"/>
        <v/>
      </c>
      <c r="AN132" s="52" t="str">
        <f t="shared" si="70"/>
        <v/>
      </c>
      <c r="AO132" s="52" t="str">
        <f t="shared" si="71"/>
        <v/>
      </c>
      <c r="AP132" s="52" t="str">
        <f t="shared" si="72"/>
        <v/>
      </c>
      <c r="AQ132" s="52" t="str">
        <f t="shared" si="73"/>
        <v/>
      </c>
      <c r="AR132" s="52" t="str">
        <f t="shared" si="74"/>
        <v/>
      </c>
      <c r="AS132" s="52" t="str">
        <f t="shared" si="75"/>
        <v/>
      </c>
      <c r="AT132" s="52" t="str">
        <f t="shared" si="76"/>
        <v/>
      </c>
      <c r="AU132" s="52" t="str">
        <f t="shared" si="77"/>
        <v/>
      </c>
      <c r="AV132" s="52" t="str">
        <f t="shared" si="78"/>
        <v/>
      </c>
      <c r="AW132" s="52" t="str">
        <f t="shared" si="79"/>
        <v/>
      </c>
      <c r="AX132" s="52" t="str">
        <f t="shared" si="56"/>
        <v/>
      </c>
      <c r="AY132" s="52" t="str">
        <f t="shared" si="80"/>
        <v/>
      </c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13"/>
    </row>
    <row r="133" spans="1:163">
      <c r="A133" s="71"/>
      <c r="B133" s="70"/>
      <c r="C133" s="72"/>
      <c r="D133" s="73"/>
      <c r="E133" s="73"/>
      <c r="F133" s="73"/>
      <c r="G133" s="73"/>
      <c r="H133" s="73"/>
      <c r="I133" s="74"/>
      <c r="J133" s="74"/>
      <c r="K133" s="74"/>
      <c r="L133" s="73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0"/>
      <c r="Z133" s="12">
        <f t="shared" si="57"/>
        <v>0</v>
      </c>
      <c r="AA133" s="14">
        <f t="shared" si="55"/>
        <v>0</v>
      </c>
      <c r="AB133" s="6">
        <f t="shared" si="58"/>
        <v>0</v>
      </c>
      <c r="AC133" s="6">
        <f t="shared" si="59"/>
        <v>0</v>
      </c>
      <c r="AD133" s="6">
        <f t="shared" si="60"/>
        <v>0</v>
      </c>
      <c r="AE133" s="52" t="str">
        <f t="shared" si="61"/>
        <v/>
      </c>
      <c r="AF133" s="52" t="str">
        <f t="shared" si="62"/>
        <v/>
      </c>
      <c r="AG133" s="50" t="str">
        <f t="shared" si="63"/>
        <v/>
      </c>
      <c r="AH133" s="50" t="str">
        <f t="shared" si="64"/>
        <v/>
      </c>
      <c r="AI133" s="52" t="str">
        <f t="shared" si="65"/>
        <v/>
      </c>
      <c r="AJ133" s="52" t="str">
        <f t="shared" si="66"/>
        <v/>
      </c>
      <c r="AK133" s="52" t="str">
        <f t="shared" si="67"/>
        <v/>
      </c>
      <c r="AL133" s="52" t="str">
        <f t="shared" si="68"/>
        <v/>
      </c>
      <c r="AM133" s="52" t="str">
        <f t="shared" si="69"/>
        <v/>
      </c>
      <c r="AN133" s="52" t="str">
        <f t="shared" si="70"/>
        <v/>
      </c>
      <c r="AO133" s="52" t="str">
        <f t="shared" si="71"/>
        <v/>
      </c>
      <c r="AP133" s="52" t="str">
        <f t="shared" si="72"/>
        <v/>
      </c>
      <c r="AQ133" s="52" t="str">
        <f t="shared" si="73"/>
        <v/>
      </c>
      <c r="AR133" s="52" t="str">
        <f t="shared" si="74"/>
        <v/>
      </c>
      <c r="AS133" s="52" t="str">
        <f t="shared" si="75"/>
        <v/>
      </c>
      <c r="AT133" s="52" t="str">
        <f t="shared" si="76"/>
        <v/>
      </c>
      <c r="AU133" s="52" t="str">
        <f t="shared" si="77"/>
        <v/>
      </c>
      <c r="AV133" s="52" t="str">
        <f t="shared" si="78"/>
        <v/>
      </c>
      <c r="AW133" s="52" t="str">
        <f t="shared" si="79"/>
        <v/>
      </c>
      <c r="AX133" s="52" t="str">
        <f t="shared" si="56"/>
        <v/>
      </c>
      <c r="AY133" s="52" t="str">
        <f t="shared" si="80"/>
        <v/>
      </c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13"/>
    </row>
    <row r="134" spans="1:163">
      <c r="A134" s="71"/>
      <c r="B134" s="70"/>
      <c r="C134" s="72"/>
      <c r="D134" s="73"/>
      <c r="E134" s="73"/>
      <c r="F134" s="73"/>
      <c r="G134" s="73"/>
      <c r="H134" s="73"/>
      <c r="I134" s="74"/>
      <c r="J134" s="74"/>
      <c r="K134" s="74"/>
      <c r="L134" s="73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0"/>
      <c r="Z134" s="12">
        <f t="shared" si="57"/>
        <v>0</v>
      </c>
      <c r="AA134" s="14">
        <f t="shared" si="55"/>
        <v>0</v>
      </c>
      <c r="AB134" s="6">
        <f t="shared" si="58"/>
        <v>0</v>
      </c>
      <c r="AC134" s="6">
        <f t="shared" si="59"/>
        <v>0</v>
      </c>
      <c r="AD134" s="6">
        <f t="shared" si="60"/>
        <v>0</v>
      </c>
      <c r="AE134" s="52" t="str">
        <f t="shared" si="61"/>
        <v/>
      </c>
      <c r="AF134" s="52" t="str">
        <f t="shared" si="62"/>
        <v/>
      </c>
      <c r="AG134" s="50" t="str">
        <f t="shared" si="63"/>
        <v/>
      </c>
      <c r="AH134" s="50" t="str">
        <f t="shared" si="64"/>
        <v/>
      </c>
      <c r="AI134" s="52" t="str">
        <f t="shared" si="65"/>
        <v/>
      </c>
      <c r="AJ134" s="52" t="str">
        <f t="shared" si="66"/>
        <v/>
      </c>
      <c r="AK134" s="52" t="str">
        <f t="shared" si="67"/>
        <v/>
      </c>
      <c r="AL134" s="52" t="str">
        <f t="shared" si="68"/>
        <v/>
      </c>
      <c r="AM134" s="52" t="str">
        <f t="shared" si="69"/>
        <v/>
      </c>
      <c r="AN134" s="52" t="str">
        <f t="shared" si="70"/>
        <v/>
      </c>
      <c r="AO134" s="52" t="str">
        <f t="shared" si="71"/>
        <v/>
      </c>
      <c r="AP134" s="52" t="str">
        <f t="shared" si="72"/>
        <v/>
      </c>
      <c r="AQ134" s="52" t="str">
        <f t="shared" si="73"/>
        <v/>
      </c>
      <c r="AR134" s="52" t="str">
        <f t="shared" si="74"/>
        <v/>
      </c>
      <c r="AS134" s="52" t="str">
        <f t="shared" si="75"/>
        <v/>
      </c>
      <c r="AT134" s="52" t="str">
        <f t="shared" si="76"/>
        <v/>
      </c>
      <c r="AU134" s="52" t="str">
        <f t="shared" si="77"/>
        <v/>
      </c>
      <c r="AV134" s="52" t="str">
        <f t="shared" si="78"/>
        <v/>
      </c>
      <c r="AW134" s="52" t="str">
        <f t="shared" si="79"/>
        <v/>
      </c>
      <c r="AX134" s="52" t="str">
        <f t="shared" si="56"/>
        <v/>
      </c>
      <c r="AY134" s="52" t="str">
        <f t="shared" si="80"/>
        <v/>
      </c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13"/>
    </row>
    <row r="135" spans="1:163">
      <c r="A135" s="71"/>
      <c r="B135" s="70"/>
      <c r="C135" s="72"/>
      <c r="D135" s="73"/>
      <c r="E135" s="73"/>
      <c r="F135" s="73"/>
      <c r="G135" s="73"/>
      <c r="H135" s="73"/>
      <c r="I135" s="74"/>
      <c r="J135" s="74"/>
      <c r="K135" s="74"/>
      <c r="L135" s="73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0"/>
      <c r="Z135" s="12">
        <f t="shared" si="57"/>
        <v>0</v>
      </c>
      <c r="AA135" s="14">
        <f t="shared" si="55"/>
        <v>0</v>
      </c>
      <c r="AB135" s="6">
        <f t="shared" si="58"/>
        <v>0</v>
      </c>
      <c r="AC135" s="6">
        <f t="shared" si="59"/>
        <v>0</v>
      </c>
      <c r="AD135" s="6">
        <f t="shared" si="60"/>
        <v>0</v>
      </c>
      <c r="AE135" s="52" t="str">
        <f t="shared" si="61"/>
        <v/>
      </c>
      <c r="AF135" s="52" t="str">
        <f t="shared" si="62"/>
        <v/>
      </c>
      <c r="AG135" s="50" t="str">
        <f t="shared" si="63"/>
        <v/>
      </c>
      <c r="AH135" s="50" t="str">
        <f t="shared" si="64"/>
        <v/>
      </c>
      <c r="AI135" s="52" t="str">
        <f t="shared" si="65"/>
        <v/>
      </c>
      <c r="AJ135" s="52" t="str">
        <f t="shared" si="66"/>
        <v/>
      </c>
      <c r="AK135" s="52" t="str">
        <f t="shared" si="67"/>
        <v/>
      </c>
      <c r="AL135" s="52" t="str">
        <f t="shared" si="68"/>
        <v/>
      </c>
      <c r="AM135" s="52" t="str">
        <f t="shared" si="69"/>
        <v/>
      </c>
      <c r="AN135" s="52" t="str">
        <f t="shared" si="70"/>
        <v/>
      </c>
      <c r="AO135" s="52" t="str">
        <f t="shared" si="71"/>
        <v/>
      </c>
      <c r="AP135" s="52" t="str">
        <f t="shared" si="72"/>
        <v/>
      </c>
      <c r="AQ135" s="52" t="str">
        <f t="shared" si="73"/>
        <v/>
      </c>
      <c r="AR135" s="52" t="str">
        <f t="shared" si="74"/>
        <v/>
      </c>
      <c r="AS135" s="52" t="str">
        <f t="shared" si="75"/>
        <v/>
      </c>
      <c r="AT135" s="52" t="str">
        <f t="shared" si="76"/>
        <v/>
      </c>
      <c r="AU135" s="52" t="str">
        <f t="shared" si="77"/>
        <v/>
      </c>
      <c r="AV135" s="52" t="str">
        <f t="shared" si="78"/>
        <v/>
      </c>
      <c r="AW135" s="52" t="str">
        <f t="shared" si="79"/>
        <v/>
      </c>
      <c r="AX135" s="52" t="str">
        <f t="shared" si="56"/>
        <v/>
      </c>
      <c r="AY135" s="52" t="str">
        <f t="shared" si="80"/>
        <v/>
      </c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13"/>
    </row>
    <row r="136" spans="1:163">
      <c r="A136" s="71"/>
      <c r="B136" s="70"/>
      <c r="C136" s="72"/>
      <c r="D136" s="73"/>
      <c r="E136" s="73"/>
      <c r="F136" s="73"/>
      <c r="G136" s="73"/>
      <c r="H136" s="73"/>
      <c r="I136" s="74"/>
      <c r="J136" s="74"/>
      <c r="K136" s="74"/>
      <c r="L136" s="73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0"/>
      <c r="Z136" s="12">
        <f t="shared" si="57"/>
        <v>0</v>
      </c>
      <c r="AA136" s="14">
        <f t="shared" si="55"/>
        <v>0</v>
      </c>
      <c r="AB136" s="6">
        <f t="shared" si="58"/>
        <v>0</v>
      </c>
      <c r="AC136" s="6">
        <f t="shared" si="59"/>
        <v>0</v>
      </c>
      <c r="AD136" s="6">
        <f t="shared" si="60"/>
        <v>0</v>
      </c>
      <c r="AE136" s="52" t="str">
        <f t="shared" si="61"/>
        <v/>
      </c>
      <c r="AF136" s="52" t="str">
        <f t="shared" si="62"/>
        <v/>
      </c>
      <c r="AG136" s="50" t="str">
        <f t="shared" si="63"/>
        <v/>
      </c>
      <c r="AH136" s="50" t="str">
        <f t="shared" si="64"/>
        <v/>
      </c>
      <c r="AI136" s="52" t="str">
        <f t="shared" si="65"/>
        <v/>
      </c>
      <c r="AJ136" s="52" t="str">
        <f t="shared" si="66"/>
        <v/>
      </c>
      <c r="AK136" s="52" t="str">
        <f t="shared" si="67"/>
        <v/>
      </c>
      <c r="AL136" s="52" t="str">
        <f t="shared" si="68"/>
        <v/>
      </c>
      <c r="AM136" s="52" t="str">
        <f t="shared" si="69"/>
        <v/>
      </c>
      <c r="AN136" s="52" t="str">
        <f t="shared" si="70"/>
        <v/>
      </c>
      <c r="AO136" s="52" t="str">
        <f t="shared" si="71"/>
        <v/>
      </c>
      <c r="AP136" s="52" t="str">
        <f t="shared" si="72"/>
        <v/>
      </c>
      <c r="AQ136" s="52" t="str">
        <f t="shared" si="73"/>
        <v/>
      </c>
      <c r="AR136" s="52" t="str">
        <f t="shared" si="74"/>
        <v/>
      </c>
      <c r="AS136" s="52" t="str">
        <f t="shared" si="75"/>
        <v/>
      </c>
      <c r="AT136" s="52" t="str">
        <f t="shared" si="76"/>
        <v/>
      </c>
      <c r="AU136" s="52" t="str">
        <f t="shared" si="77"/>
        <v/>
      </c>
      <c r="AV136" s="52" t="str">
        <f t="shared" si="78"/>
        <v/>
      </c>
      <c r="AW136" s="52" t="str">
        <f t="shared" si="79"/>
        <v/>
      </c>
      <c r="AX136" s="52" t="str">
        <f t="shared" si="56"/>
        <v/>
      </c>
      <c r="AY136" s="52" t="str">
        <f t="shared" si="80"/>
        <v/>
      </c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13"/>
    </row>
    <row r="137" spans="1:163">
      <c r="A137" s="71"/>
      <c r="B137" s="70"/>
      <c r="C137" s="72"/>
      <c r="D137" s="73"/>
      <c r="E137" s="73"/>
      <c r="F137" s="73"/>
      <c r="G137" s="73"/>
      <c r="H137" s="73"/>
      <c r="I137" s="74"/>
      <c r="J137" s="74"/>
      <c r="K137" s="74"/>
      <c r="L137" s="73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0"/>
      <c r="Z137" s="12">
        <f t="shared" si="57"/>
        <v>0</v>
      </c>
      <c r="AA137" s="14">
        <f t="shared" si="55"/>
        <v>0</v>
      </c>
      <c r="AB137" s="6">
        <f t="shared" si="58"/>
        <v>0</v>
      </c>
      <c r="AC137" s="6">
        <f t="shared" si="59"/>
        <v>0</v>
      </c>
      <c r="AD137" s="6">
        <f t="shared" si="60"/>
        <v>0</v>
      </c>
      <c r="AE137" s="52" t="str">
        <f t="shared" si="61"/>
        <v/>
      </c>
      <c r="AF137" s="52" t="str">
        <f t="shared" si="62"/>
        <v/>
      </c>
      <c r="AG137" s="50" t="str">
        <f t="shared" si="63"/>
        <v/>
      </c>
      <c r="AH137" s="50" t="str">
        <f t="shared" si="64"/>
        <v/>
      </c>
      <c r="AI137" s="52" t="str">
        <f t="shared" si="65"/>
        <v/>
      </c>
      <c r="AJ137" s="52" t="str">
        <f t="shared" si="66"/>
        <v/>
      </c>
      <c r="AK137" s="52" t="str">
        <f t="shared" si="67"/>
        <v/>
      </c>
      <c r="AL137" s="52" t="str">
        <f t="shared" si="68"/>
        <v/>
      </c>
      <c r="AM137" s="52" t="str">
        <f t="shared" si="69"/>
        <v/>
      </c>
      <c r="AN137" s="52" t="str">
        <f t="shared" si="70"/>
        <v/>
      </c>
      <c r="AO137" s="52" t="str">
        <f t="shared" si="71"/>
        <v/>
      </c>
      <c r="AP137" s="52" t="str">
        <f t="shared" si="72"/>
        <v/>
      </c>
      <c r="AQ137" s="52" t="str">
        <f t="shared" si="73"/>
        <v/>
      </c>
      <c r="AR137" s="52" t="str">
        <f t="shared" si="74"/>
        <v/>
      </c>
      <c r="AS137" s="52" t="str">
        <f t="shared" si="75"/>
        <v/>
      </c>
      <c r="AT137" s="52" t="str">
        <f t="shared" si="76"/>
        <v/>
      </c>
      <c r="AU137" s="52" t="str">
        <f t="shared" si="77"/>
        <v/>
      </c>
      <c r="AV137" s="52" t="str">
        <f t="shared" si="78"/>
        <v/>
      </c>
      <c r="AW137" s="52" t="str">
        <f t="shared" si="79"/>
        <v/>
      </c>
      <c r="AX137" s="52" t="str">
        <f t="shared" si="56"/>
        <v/>
      </c>
      <c r="AY137" s="52" t="str">
        <f t="shared" si="80"/>
        <v/>
      </c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13"/>
    </row>
    <row r="138" spans="1:163">
      <c r="A138" s="71"/>
      <c r="B138" s="70"/>
      <c r="C138" s="72"/>
      <c r="D138" s="73"/>
      <c r="E138" s="73"/>
      <c r="F138" s="73"/>
      <c r="G138" s="73"/>
      <c r="H138" s="73"/>
      <c r="I138" s="74"/>
      <c r="J138" s="74"/>
      <c r="K138" s="74"/>
      <c r="L138" s="73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0"/>
      <c r="Z138" s="12">
        <f t="shared" si="57"/>
        <v>0</v>
      </c>
      <c r="AA138" s="14">
        <f t="shared" si="55"/>
        <v>0</v>
      </c>
      <c r="AB138" s="6">
        <f t="shared" si="58"/>
        <v>0</v>
      </c>
      <c r="AC138" s="6">
        <f t="shared" si="59"/>
        <v>0</v>
      </c>
      <c r="AD138" s="6">
        <f t="shared" si="60"/>
        <v>0</v>
      </c>
      <c r="AE138" s="52" t="str">
        <f t="shared" si="61"/>
        <v/>
      </c>
      <c r="AF138" s="52" t="str">
        <f t="shared" si="62"/>
        <v/>
      </c>
      <c r="AG138" s="50" t="str">
        <f t="shared" si="63"/>
        <v/>
      </c>
      <c r="AH138" s="50" t="str">
        <f t="shared" si="64"/>
        <v/>
      </c>
      <c r="AI138" s="52" t="str">
        <f t="shared" si="65"/>
        <v/>
      </c>
      <c r="AJ138" s="52" t="str">
        <f t="shared" si="66"/>
        <v/>
      </c>
      <c r="AK138" s="52" t="str">
        <f t="shared" si="67"/>
        <v/>
      </c>
      <c r="AL138" s="52" t="str">
        <f t="shared" si="68"/>
        <v/>
      </c>
      <c r="AM138" s="52" t="str">
        <f t="shared" si="69"/>
        <v/>
      </c>
      <c r="AN138" s="52" t="str">
        <f t="shared" si="70"/>
        <v/>
      </c>
      <c r="AO138" s="52" t="str">
        <f t="shared" si="71"/>
        <v/>
      </c>
      <c r="AP138" s="52" t="str">
        <f t="shared" si="72"/>
        <v/>
      </c>
      <c r="AQ138" s="52" t="str">
        <f t="shared" si="73"/>
        <v/>
      </c>
      <c r="AR138" s="52" t="str">
        <f t="shared" si="74"/>
        <v/>
      </c>
      <c r="AS138" s="52" t="str">
        <f t="shared" si="75"/>
        <v/>
      </c>
      <c r="AT138" s="52" t="str">
        <f t="shared" si="76"/>
        <v/>
      </c>
      <c r="AU138" s="52" t="str">
        <f t="shared" si="77"/>
        <v/>
      </c>
      <c r="AV138" s="52" t="str">
        <f t="shared" si="78"/>
        <v/>
      </c>
      <c r="AW138" s="52" t="str">
        <f t="shared" si="79"/>
        <v/>
      </c>
      <c r="AX138" s="52" t="str">
        <f t="shared" si="56"/>
        <v/>
      </c>
      <c r="AY138" s="52" t="str">
        <f t="shared" si="80"/>
        <v/>
      </c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13"/>
    </row>
    <row r="139" spans="1:163">
      <c r="A139" s="71"/>
      <c r="B139" s="70"/>
      <c r="C139" s="72"/>
      <c r="D139" s="73"/>
      <c r="E139" s="73"/>
      <c r="F139" s="73"/>
      <c r="G139" s="73"/>
      <c r="H139" s="73"/>
      <c r="I139" s="74"/>
      <c r="J139" s="74"/>
      <c r="K139" s="74"/>
      <c r="L139" s="73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0"/>
      <c r="Z139" s="12">
        <f t="shared" si="57"/>
        <v>0</v>
      </c>
      <c r="AA139" s="14">
        <f t="shared" si="55"/>
        <v>0</v>
      </c>
      <c r="AB139" s="6">
        <f t="shared" si="58"/>
        <v>0</v>
      </c>
      <c r="AC139" s="6">
        <f t="shared" si="59"/>
        <v>0</v>
      </c>
      <c r="AD139" s="6">
        <f t="shared" si="60"/>
        <v>0</v>
      </c>
      <c r="AE139" s="52" t="str">
        <f t="shared" si="61"/>
        <v/>
      </c>
      <c r="AF139" s="52" t="str">
        <f t="shared" si="62"/>
        <v/>
      </c>
      <c r="AG139" s="50" t="str">
        <f t="shared" si="63"/>
        <v/>
      </c>
      <c r="AH139" s="50" t="str">
        <f t="shared" si="64"/>
        <v/>
      </c>
      <c r="AI139" s="52" t="str">
        <f t="shared" si="65"/>
        <v/>
      </c>
      <c r="AJ139" s="52" t="str">
        <f t="shared" si="66"/>
        <v/>
      </c>
      <c r="AK139" s="52" t="str">
        <f t="shared" si="67"/>
        <v/>
      </c>
      <c r="AL139" s="52" t="str">
        <f t="shared" si="68"/>
        <v/>
      </c>
      <c r="AM139" s="52" t="str">
        <f t="shared" si="69"/>
        <v/>
      </c>
      <c r="AN139" s="52" t="str">
        <f t="shared" si="70"/>
        <v/>
      </c>
      <c r="AO139" s="52" t="str">
        <f t="shared" si="71"/>
        <v/>
      </c>
      <c r="AP139" s="52" t="str">
        <f t="shared" si="72"/>
        <v/>
      </c>
      <c r="AQ139" s="52" t="str">
        <f t="shared" si="73"/>
        <v/>
      </c>
      <c r="AR139" s="52" t="str">
        <f t="shared" si="74"/>
        <v/>
      </c>
      <c r="AS139" s="52" t="str">
        <f t="shared" si="75"/>
        <v/>
      </c>
      <c r="AT139" s="52" t="str">
        <f t="shared" si="76"/>
        <v/>
      </c>
      <c r="AU139" s="52" t="str">
        <f t="shared" si="77"/>
        <v/>
      </c>
      <c r="AV139" s="52" t="str">
        <f t="shared" si="78"/>
        <v/>
      </c>
      <c r="AW139" s="52" t="str">
        <f t="shared" si="79"/>
        <v/>
      </c>
      <c r="AX139" s="52" t="str">
        <f t="shared" si="56"/>
        <v/>
      </c>
      <c r="AY139" s="52" t="str">
        <f t="shared" si="80"/>
        <v/>
      </c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13"/>
    </row>
    <row r="140" spans="1:163">
      <c r="A140" s="71"/>
      <c r="B140" s="70"/>
      <c r="C140" s="72"/>
      <c r="D140" s="73"/>
      <c r="E140" s="73"/>
      <c r="F140" s="73"/>
      <c r="G140" s="73"/>
      <c r="H140" s="73"/>
      <c r="I140" s="74"/>
      <c r="J140" s="74"/>
      <c r="K140" s="74"/>
      <c r="L140" s="73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0"/>
      <c r="Z140" s="12">
        <f t="shared" si="57"/>
        <v>0</v>
      </c>
      <c r="AA140" s="14">
        <f t="shared" si="55"/>
        <v>0</v>
      </c>
      <c r="AB140" s="6">
        <f t="shared" si="58"/>
        <v>0</v>
      </c>
      <c r="AC140" s="6">
        <f t="shared" si="59"/>
        <v>0</v>
      </c>
      <c r="AD140" s="6">
        <f t="shared" si="60"/>
        <v>0</v>
      </c>
      <c r="AE140" s="52" t="str">
        <f t="shared" si="61"/>
        <v/>
      </c>
      <c r="AF140" s="52" t="str">
        <f t="shared" si="62"/>
        <v/>
      </c>
      <c r="AG140" s="50" t="str">
        <f t="shared" si="63"/>
        <v/>
      </c>
      <c r="AH140" s="50" t="str">
        <f t="shared" si="64"/>
        <v/>
      </c>
      <c r="AI140" s="52" t="str">
        <f t="shared" si="65"/>
        <v/>
      </c>
      <c r="AJ140" s="52" t="str">
        <f t="shared" si="66"/>
        <v/>
      </c>
      <c r="AK140" s="52" t="str">
        <f t="shared" si="67"/>
        <v/>
      </c>
      <c r="AL140" s="52" t="str">
        <f t="shared" si="68"/>
        <v/>
      </c>
      <c r="AM140" s="52" t="str">
        <f t="shared" si="69"/>
        <v/>
      </c>
      <c r="AN140" s="52" t="str">
        <f t="shared" si="70"/>
        <v/>
      </c>
      <c r="AO140" s="52" t="str">
        <f t="shared" si="71"/>
        <v/>
      </c>
      <c r="AP140" s="52" t="str">
        <f t="shared" si="72"/>
        <v/>
      </c>
      <c r="AQ140" s="52" t="str">
        <f t="shared" si="73"/>
        <v/>
      </c>
      <c r="AR140" s="52" t="str">
        <f t="shared" si="74"/>
        <v/>
      </c>
      <c r="AS140" s="52" t="str">
        <f t="shared" si="75"/>
        <v/>
      </c>
      <c r="AT140" s="52" t="str">
        <f t="shared" si="76"/>
        <v/>
      </c>
      <c r="AU140" s="52" t="str">
        <f t="shared" si="77"/>
        <v/>
      </c>
      <c r="AV140" s="52" t="str">
        <f t="shared" si="78"/>
        <v/>
      </c>
      <c r="AW140" s="52" t="str">
        <f t="shared" si="79"/>
        <v/>
      </c>
      <c r="AX140" s="52" t="str">
        <f t="shared" si="56"/>
        <v/>
      </c>
      <c r="AY140" s="52" t="str">
        <f t="shared" si="80"/>
        <v/>
      </c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13"/>
    </row>
    <row r="141" spans="1:163">
      <c r="A141" s="71"/>
      <c r="B141" s="70"/>
      <c r="C141" s="72"/>
      <c r="D141" s="73"/>
      <c r="E141" s="73"/>
      <c r="F141" s="73"/>
      <c r="G141" s="73"/>
      <c r="H141" s="73"/>
      <c r="I141" s="74"/>
      <c r="J141" s="74"/>
      <c r="K141" s="74"/>
      <c r="L141" s="73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0"/>
      <c r="Z141" s="12">
        <f t="shared" si="57"/>
        <v>0</v>
      </c>
      <c r="AA141" s="14">
        <f t="shared" si="55"/>
        <v>0</v>
      </c>
      <c r="AB141" s="6">
        <f t="shared" si="58"/>
        <v>0</v>
      </c>
      <c r="AC141" s="6">
        <f t="shared" si="59"/>
        <v>0</v>
      </c>
      <c r="AD141" s="6">
        <f t="shared" si="60"/>
        <v>0</v>
      </c>
      <c r="AE141" s="52" t="str">
        <f t="shared" si="61"/>
        <v/>
      </c>
      <c r="AF141" s="52" t="str">
        <f t="shared" si="62"/>
        <v/>
      </c>
      <c r="AG141" s="50" t="str">
        <f t="shared" si="63"/>
        <v/>
      </c>
      <c r="AH141" s="50" t="str">
        <f t="shared" si="64"/>
        <v/>
      </c>
      <c r="AI141" s="52" t="str">
        <f t="shared" si="65"/>
        <v/>
      </c>
      <c r="AJ141" s="52" t="str">
        <f t="shared" si="66"/>
        <v/>
      </c>
      <c r="AK141" s="52" t="str">
        <f t="shared" si="67"/>
        <v/>
      </c>
      <c r="AL141" s="52" t="str">
        <f t="shared" si="68"/>
        <v/>
      </c>
      <c r="AM141" s="52" t="str">
        <f t="shared" si="69"/>
        <v/>
      </c>
      <c r="AN141" s="52" t="str">
        <f t="shared" si="70"/>
        <v/>
      </c>
      <c r="AO141" s="52" t="str">
        <f t="shared" si="71"/>
        <v/>
      </c>
      <c r="AP141" s="52" t="str">
        <f t="shared" si="72"/>
        <v/>
      </c>
      <c r="AQ141" s="52" t="str">
        <f t="shared" si="73"/>
        <v/>
      </c>
      <c r="AR141" s="52" t="str">
        <f t="shared" si="74"/>
        <v/>
      </c>
      <c r="AS141" s="52" t="str">
        <f t="shared" si="75"/>
        <v/>
      </c>
      <c r="AT141" s="52" t="str">
        <f t="shared" si="76"/>
        <v/>
      </c>
      <c r="AU141" s="52" t="str">
        <f t="shared" si="77"/>
        <v/>
      </c>
      <c r="AV141" s="52" t="str">
        <f t="shared" si="78"/>
        <v/>
      </c>
      <c r="AW141" s="52" t="str">
        <f t="shared" si="79"/>
        <v/>
      </c>
      <c r="AX141" s="52" t="str">
        <f t="shared" si="56"/>
        <v/>
      </c>
      <c r="AY141" s="52" t="str">
        <f t="shared" si="80"/>
        <v/>
      </c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13"/>
    </row>
    <row r="142" spans="1:163">
      <c r="A142" s="71"/>
      <c r="B142" s="70"/>
      <c r="C142" s="72"/>
      <c r="D142" s="73"/>
      <c r="E142" s="73"/>
      <c r="F142" s="73"/>
      <c r="G142" s="73"/>
      <c r="H142" s="73"/>
      <c r="I142" s="74"/>
      <c r="J142" s="74"/>
      <c r="K142" s="74"/>
      <c r="L142" s="73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0"/>
      <c r="Z142" s="12">
        <f t="shared" si="57"/>
        <v>0</v>
      </c>
      <c r="AA142" s="14">
        <f t="shared" si="55"/>
        <v>0</v>
      </c>
      <c r="AB142" s="6">
        <f t="shared" si="58"/>
        <v>0</v>
      </c>
      <c r="AC142" s="6">
        <f t="shared" si="59"/>
        <v>0</v>
      </c>
      <c r="AD142" s="6">
        <f t="shared" si="60"/>
        <v>0</v>
      </c>
      <c r="AE142" s="52" t="str">
        <f t="shared" si="61"/>
        <v/>
      </c>
      <c r="AF142" s="52" t="str">
        <f t="shared" si="62"/>
        <v/>
      </c>
      <c r="AG142" s="50" t="str">
        <f t="shared" si="63"/>
        <v/>
      </c>
      <c r="AH142" s="50" t="str">
        <f t="shared" si="64"/>
        <v/>
      </c>
      <c r="AI142" s="52" t="str">
        <f t="shared" si="65"/>
        <v/>
      </c>
      <c r="AJ142" s="52" t="str">
        <f t="shared" si="66"/>
        <v/>
      </c>
      <c r="AK142" s="52" t="str">
        <f t="shared" si="67"/>
        <v/>
      </c>
      <c r="AL142" s="52" t="str">
        <f t="shared" si="68"/>
        <v/>
      </c>
      <c r="AM142" s="52" t="str">
        <f t="shared" si="69"/>
        <v/>
      </c>
      <c r="AN142" s="52" t="str">
        <f t="shared" si="70"/>
        <v/>
      </c>
      <c r="AO142" s="52" t="str">
        <f t="shared" si="71"/>
        <v/>
      </c>
      <c r="AP142" s="52" t="str">
        <f t="shared" si="72"/>
        <v/>
      </c>
      <c r="AQ142" s="52" t="str">
        <f t="shared" si="73"/>
        <v/>
      </c>
      <c r="AR142" s="52" t="str">
        <f t="shared" si="74"/>
        <v/>
      </c>
      <c r="AS142" s="52" t="str">
        <f t="shared" si="75"/>
        <v/>
      </c>
      <c r="AT142" s="52" t="str">
        <f t="shared" si="76"/>
        <v/>
      </c>
      <c r="AU142" s="52" t="str">
        <f t="shared" si="77"/>
        <v/>
      </c>
      <c r="AV142" s="52" t="str">
        <f t="shared" si="78"/>
        <v/>
      </c>
      <c r="AW142" s="52" t="str">
        <f t="shared" si="79"/>
        <v/>
      </c>
      <c r="AX142" s="52" t="str">
        <f t="shared" si="56"/>
        <v/>
      </c>
      <c r="AY142" s="52" t="str">
        <f t="shared" si="80"/>
        <v/>
      </c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13"/>
    </row>
    <row r="143" spans="1:163">
      <c r="A143" s="71"/>
      <c r="B143" s="70"/>
      <c r="C143" s="72"/>
      <c r="D143" s="73"/>
      <c r="E143" s="73"/>
      <c r="F143" s="73"/>
      <c r="G143" s="73"/>
      <c r="H143" s="73"/>
      <c r="I143" s="74"/>
      <c r="J143" s="74"/>
      <c r="K143" s="74"/>
      <c r="L143" s="73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0"/>
      <c r="Z143" s="12">
        <f t="shared" si="57"/>
        <v>0</v>
      </c>
      <c r="AA143" s="14">
        <f t="shared" si="55"/>
        <v>0</v>
      </c>
      <c r="AB143" s="6">
        <f t="shared" si="58"/>
        <v>0</v>
      </c>
      <c r="AC143" s="6">
        <f t="shared" si="59"/>
        <v>0</v>
      </c>
      <c r="AD143" s="6">
        <f t="shared" si="60"/>
        <v>0</v>
      </c>
      <c r="AE143" s="52" t="str">
        <f t="shared" si="61"/>
        <v/>
      </c>
      <c r="AF143" s="52" t="str">
        <f t="shared" si="62"/>
        <v/>
      </c>
      <c r="AG143" s="50" t="str">
        <f t="shared" si="63"/>
        <v/>
      </c>
      <c r="AH143" s="50" t="str">
        <f t="shared" si="64"/>
        <v/>
      </c>
      <c r="AI143" s="52" t="str">
        <f t="shared" si="65"/>
        <v/>
      </c>
      <c r="AJ143" s="52" t="str">
        <f t="shared" si="66"/>
        <v/>
      </c>
      <c r="AK143" s="52" t="str">
        <f t="shared" si="67"/>
        <v/>
      </c>
      <c r="AL143" s="52" t="str">
        <f t="shared" si="68"/>
        <v/>
      </c>
      <c r="AM143" s="52" t="str">
        <f t="shared" si="69"/>
        <v/>
      </c>
      <c r="AN143" s="52" t="str">
        <f t="shared" si="70"/>
        <v/>
      </c>
      <c r="AO143" s="52" t="str">
        <f t="shared" si="71"/>
        <v/>
      </c>
      <c r="AP143" s="52" t="str">
        <f t="shared" si="72"/>
        <v/>
      </c>
      <c r="AQ143" s="52" t="str">
        <f t="shared" si="73"/>
        <v/>
      </c>
      <c r="AR143" s="52" t="str">
        <f t="shared" si="74"/>
        <v/>
      </c>
      <c r="AS143" s="52" t="str">
        <f t="shared" si="75"/>
        <v/>
      </c>
      <c r="AT143" s="52" t="str">
        <f t="shared" si="76"/>
        <v/>
      </c>
      <c r="AU143" s="52" t="str">
        <f t="shared" si="77"/>
        <v/>
      </c>
      <c r="AV143" s="52" t="str">
        <f t="shared" si="78"/>
        <v/>
      </c>
      <c r="AW143" s="52" t="str">
        <f t="shared" si="79"/>
        <v/>
      </c>
      <c r="AX143" s="52" t="str">
        <f t="shared" si="56"/>
        <v/>
      </c>
      <c r="AY143" s="52" t="str">
        <f t="shared" si="80"/>
        <v/>
      </c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13"/>
    </row>
    <row r="144" spans="1:163">
      <c r="A144" s="71"/>
      <c r="B144" s="70"/>
      <c r="C144" s="72"/>
      <c r="D144" s="73"/>
      <c r="E144" s="73"/>
      <c r="F144" s="73"/>
      <c r="G144" s="73"/>
      <c r="H144" s="73"/>
      <c r="I144" s="74"/>
      <c r="J144" s="74"/>
      <c r="K144" s="74"/>
      <c r="L144" s="73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0"/>
      <c r="Z144" s="12">
        <f t="shared" si="57"/>
        <v>0</v>
      </c>
      <c r="AA144" s="14">
        <f t="shared" si="55"/>
        <v>0</v>
      </c>
      <c r="AB144" s="6">
        <f t="shared" si="58"/>
        <v>0</v>
      </c>
      <c r="AC144" s="6">
        <f t="shared" si="59"/>
        <v>0</v>
      </c>
      <c r="AD144" s="6">
        <f t="shared" si="60"/>
        <v>0</v>
      </c>
      <c r="AE144" s="52" t="str">
        <f t="shared" si="61"/>
        <v/>
      </c>
      <c r="AF144" s="52" t="str">
        <f t="shared" si="62"/>
        <v/>
      </c>
      <c r="AG144" s="50" t="str">
        <f t="shared" si="63"/>
        <v/>
      </c>
      <c r="AH144" s="50" t="str">
        <f t="shared" si="64"/>
        <v/>
      </c>
      <c r="AI144" s="52" t="str">
        <f t="shared" si="65"/>
        <v/>
      </c>
      <c r="AJ144" s="52" t="str">
        <f t="shared" si="66"/>
        <v/>
      </c>
      <c r="AK144" s="52" t="str">
        <f t="shared" si="67"/>
        <v/>
      </c>
      <c r="AL144" s="52" t="str">
        <f t="shared" si="68"/>
        <v/>
      </c>
      <c r="AM144" s="52" t="str">
        <f t="shared" si="69"/>
        <v/>
      </c>
      <c r="AN144" s="52" t="str">
        <f t="shared" si="70"/>
        <v/>
      </c>
      <c r="AO144" s="52" t="str">
        <f t="shared" si="71"/>
        <v/>
      </c>
      <c r="AP144" s="52" t="str">
        <f t="shared" si="72"/>
        <v/>
      </c>
      <c r="AQ144" s="52" t="str">
        <f t="shared" si="73"/>
        <v/>
      </c>
      <c r="AR144" s="52" t="str">
        <f t="shared" si="74"/>
        <v/>
      </c>
      <c r="AS144" s="52" t="str">
        <f t="shared" si="75"/>
        <v/>
      </c>
      <c r="AT144" s="52" t="str">
        <f t="shared" si="76"/>
        <v/>
      </c>
      <c r="AU144" s="52" t="str">
        <f t="shared" si="77"/>
        <v/>
      </c>
      <c r="AV144" s="52" t="str">
        <f t="shared" si="78"/>
        <v/>
      </c>
      <c r="AW144" s="52" t="str">
        <f t="shared" si="79"/>
        <v/>
      </c>
      <c r="AX144" s="52" t="str">
        <f t="shared" si="56"/>
        <v/>
      </c>
      <c r="AY144" s="52" t="str">
        <f t="shared" si="80"/>
        <v/>
      </c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13"/>
    </row>
    <row r="145" spans="1:163">
      <c r="A145" s="71"/>
      <c r="B145" s="70"/>
      <c r="C145" s="72"/>
      <c r="D145" s="73"/>
      <c r="E145" s="73"/>
      <c r="F145" s="73"/>
      <c r="G145" s="73"/>
      <c r="H145" s="73"/>
      <c r="I145" s="74"/>
      <c r="J145" s="74"/>
      <c r="K145" s="74"/>
      <c r="L145" s="73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0"/>
      <c r="Z145" s="12">
        <f t="shared" si="57"/>
        <v>0</v>
      </c>
      <c r="AA145" s="14">
        <f t="shared" si="55"/>
        <v>0</v>
      </c>
      <c r="AB145" s="6">
        <f t="shared" si="58"/>
        <v>0</v>
      </c>
      <c r="AC145" s="6">
        <f t="shared" si="59"/>
        <v>0</v>
      </c>
      <c r="AD145" s="6">
        <f t="shared" si="60"/>
        <v>0</v>
      </c>
      <c r="AE145" s="52" t="str">
        <f t="shared" si="61"/>
        <v/>
      </c>
      <c r="AF145" s="52" t="str">
        <f t="shared" si="62"/>
        <v/>
      </c>
      <c r="AG145" s="50" t="str">
        <f t="shared" si="63"/>
        <v/>
      </c>
      <c r="AH145" s="50" t="str">
        <f t="shared" si="64"/>
        <v/>
      </c>
      <c r="AI145" s="52" t="str">
        <f t="shared" si="65"/>
        <v/>
      </c>
      <c r="AJ145" s="52" t="str">
        <f t="shared" si="66"/>
        <v/>
      </c>
      <c r="AK145" s="52" t="str">
        <f t="shared" si="67"/>
        <v/>
      </c>
      <c r="AL145" s="52" t="str">
        <f t="shared" si="68"/>
        <v/>
      </c>
      <c r="AM145" s="52" t="str">
        <f t="shared" si="69"/>
        <v/>
      </c>
      <c r="AN145" s="52" t="str">
        <f t="shared" si="70"/>
        <v/>
      </c>
      <c r="AO145" s="52" t="str">
        <f t="shared" si="71"/>
        <v/>
      </c>
      <c r="AP145" s="52" t="str">
        <f t="shared" si="72"/>
        <v/>
      </c>
      <c r="AQ145" s="52" t="str">
        <f t="shared" si="73"/>
        <v/>
      </c>
      <c r="AR145" s="52" t="str">
        <f t="shared" si="74"/>
        <v/>
      </c>
      <c r="AS145" s="52" t="str">
        <f t="shared" si="75"/>
        <v/>
      </c>
      <c r="AT145" s="52" t="str">
        <f t="shared" si="76"/>
        <v/>
      </c>
      <c r="AU145" s="52" t="str">
        <f t="shared" si="77"/>
        <v/>
      </c>
      <c r="AV145" s="52" t="str">
        <f t="shared" si="78"/>
        <v/>
      </c>
      <c r="AW145" s="52" t="str">
        <f t="shared" si="79"/>
        <v/>
      </c>
      <c r="AX145" s="52" t="str">
        <f t="shared" si="56"/>
        <v/>
      </c>
      <c r="AY145" s="52" t="str">
        <f t="shared" si="80"/>
        <v/>
      </c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13"/>
    </row>
    <row r="146" spans="1:163">
      <c r="A146" s="71"/>
      <c r="B146" s="70"/>
      <c r="C146" s="72"/>
      <c r="D146" s="73"/>
      <c r="E146" s="73"/>
      <c r="F146" s="73"/>
      <c r="G146" s="73"/>
      <c r="H146" s="73"/>
      <c r="I146" s="74"/>
      <c r="J146" s="74"/>
      <c r="K146" s="74"/>
      <c r="L146" s="73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0"/>
      <c r="Z146" s="12">
        <f t="shared" si="57"/>
        <v>0</v>
      </c>
      <c r="AA146" s="14">
        <f t="shared" si="55"/>
        <v>0</v>
      </c>
      <c r="AB146" s="6">
        <f t="shared" si="58"/>
        <v>0</v>
      </c>
      <c r="AC146" s="6">
        <f t="shared" si="59"/>
        <v>0</v>
      </c>
      <c r="AD146" s="6">
        <f t="shared" si="60"/>
        <v>0</v>
      </c>
      <c r="AE146" s="52" t="str">
        <f t="shared" si="61"/>
        <v/>
      </c>
      <c r="AF146" s="52" t="str">
        <f t="shared" si="62"/>
        <v/>
      </c>
      <c r="AG146" s="50" t="str">
        <f t="shared" si="63"/>
        <v/>
      </c>
      <c r="AH146" s="50" t="str">
        <f t="shared" si="64"/>
        <v/>
      </c>
      <c r="AI146" s="52" t="str">
        <f t="shared" si="65"/>
        <v/>
      </c>
      <c r="AJ146" s="52" t="str">
        <f t="shared" si="66"/>
        <v/>
      </c>
      <c r="AK146" s="52" t="str">
        <f t="shared" si="67"/>
        <v/>
      </c>
      <c r="AL146" s="52" t="str">
        <f t="shared" si="68"/>
        <v/>
      </c>
      <c r="AM146" s="52" t="str">
        <f t="shared" si="69"/>
        <v/>
      </c>
      <c r="AN146" s="52" t="str">
        <f t="shared" si="70"/>
        <v/>
      </c>
      <c r="AO146" s="52" t="str">
        <f t="shared" si="71"/>
        <v/>
      </c>
      <c r="AP146" s="52" t="str">
        <f t="shared" si="72"/>
        <v/>
      </c>
      <c r="AQ146" s="52" t="str">
        <f t="shared" si="73"/>
        <v/>
      </c>
      <c r="AR146" s="52" t="str">
        <f t="shared" si="74"/>
        <v/>
      </c>
      <c r="AS146" s="52" t="str">
        <f t="shared" si="75"/>
        <v/>
      </c>
      <c r="AT146" s="52" t="str">
        <f t="shared" si="76"/>
        <v/>
      </c>
      <c r="AU146" s="52" t="str">
        <f t="shared" si="77"/>
        <v/>
      </c>
      <c r="AV146" s="52" t="str">
        <f t="shared" si="78"/>
        <v/>
      </c>
      <c r="AW146" s="52" t="str">
        <f t="shared" si="79"/>
        <v/>
      </c>
      <c r="AX146" s="52" t="str">
        <f t="shared" si="56"/>
        <v/>
      </c>
      <c r="AY146" s="52" t="str">
        <f t="shared" si="80"/>
        <v/>
      </c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13"/>
    </row>
    <row r="147" spans="1:163">
      <c r="A147" s="71"/>
      <c r="B147" s="70"/>
      <c r="C147" s="72"/>
      <c r="D147" s="73"/>
      <c r="E147" s="73"/>
      <c r="F147" s="73"/>
      <c r="G147" s="73"/>
      <c r="H147" s="73"/>
      <c r="I147" s="74"/>
      <c r="J147" s="74"/>
      <c r="K147" s="74"/>
      <c r="L147" s="73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0"/>
      <c r="Z147" s="12">
        <f t="shared" si="57"/>
        <v>0</v>
      </c>
      <c r="AA147" s="14">
        <f t="shared" si="55"/>
        <v>0</v>
      </c>
      <c r="AB147" s="6">
        <f t="shared" si="58"/>
        <v>0</v>
      </c>
      <c r="AC147" s="6">
        <f t="shared" si="59"/>
        <v>0</v>
      </c>
      <c r="AD147" s="6">
        <f t="shared" si="60"/>
        <v>0</v>
      </c>
      <c r="AE147" s="52" t="str">
        <f t="shared" si="61"/>
        <v/>
      </c>
      <c r="AF147" s="52" t="str">
        <f t="shared" si="62"/>
        <v/>
      </c>
      <c r="AG147" s="50" t="str">
        <f t="shared" si="63"/>
        <v/>
      </c>
      <c r="AH147" s="50" t="str">
        <f t="shared" si="64"/>
        <v/>
      </c>
      <c r="AI147" s="52" t="str">
        <f t="shared" si="65"/>
        <v/>
      </c>
      <c r="AJ147" s="52" t="str">
        <f t="shared" si="66"/>
        <v/>
      </c>
      <c r="AK147" s="52" t="str">
        <f t="shared" si="67"/>
        <v/>
      </c>
      <c r="AL147" s="52" t="str">
        <f t="shared" si="68"/>
        <v/>
      </c>
      <c r="AM147" s="52" t="str">
        <f t="shared" si="69"/>
        <v/>
      </c>
      <c r="AN147" s="52" t="str">
        <f t="shared" si="70"/>
        <v/>
      </c>
      <c r="AO147" s="52" t="str">
        <f t="shared" si="71"/>
        <v/>
      </c>
      <c r="AP147" s="52" t="str">
        <f t="shared" si="72"/>
        <v/>
      </c>
      <c r="AQ147" s="52" t="str">
        <f t="shared" si="73"/>
        <v/>
      </c>
      <c r="AR147" s="52" t="str">
        <f t="shared" si="74"/>
        <v/>
      </c>
      <c r="AS147" s="52" t="str">
        <f t="shared" si="75"/>
        <v/>
      </c>
      <c r="AT147" s="52" t="str">
        <f t="shared" si="76"/>
        <v/>
      </c>
      <c r="AU147" s="52" t="str">
        <f t="shared" si="77"/>
        <v/>
      </c>
      <c r="AV147" s="52" t="str">
        <f t="shared" si="78"/>
        <v/>
      </c>
      <c r="AW147" s="52" t="str">
        <f t="shared" si="79"/>
        <v/>
      </c>
      <c r="AX147" s="52" t="str">
        <f t="shared" si="56"/>
        <v/>
      </c>
      <c r="AY147" s="52" t="str">
        <f t="shared" si="80"/>
        <v/>
      </c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13"/>
    </row>
    <row r="148" spans="1:163">
      <c r="A148" s="71"/>
      <c r="B148" s="70"/>
      <c r="C148" s="72"/>
      <c r="D148" s="73"/>
      <c r="E148" s="73"/>
      <c r="F148" s="73"/>
      <c r="G148" s="73"/>
      <c r="H148" s="73"/>
      <c r="I148" s="74"/>
      <c r="J148" s="74"/>
      <c r="K148" s="74"/>
      <c r="L148" s="73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0"/>
      <c r="Z148" s="12">
        <f t="shared" si="57"/>
        <v>0</v>
      </c>
      <c r="AA148" s="14">
        <f t="shared" si="55"/>
        <v>0</v>
      </c>
      <c r="AB148" s="6">
        <f t="shared" si="58"/>
        <v>0</v>
      </c>
      <c r="AC148" s="6">
        <f t="shared" si="59"/>
        <v>0</v>
      </c>
      <c r="AD148" s="6">
        <f t="shared" si="60"/>
        <v>0</v>
      </c>
      <c r="AE148" s="52" t="str">
        <f t="shared" si="61"/>
        <v/>
      </c>
      <c r="AF148" s="52" t="str">
        <f t="shared" si="62"/>
        <v/>
      </c>
      <c r="AG148" s="50" t="str">
        <f t="shared" si="63"/>
        <v/>
      </c>
      <c r="AH148" s="50" t="str">
        <f t="shared" si="64"/>
        <v/>
      </c>
      <c r="AI148" s="52" t="str">
        <f t="shared" si="65"/>
        <v/>
      </c>
      <c r="AJ148" s="52" t="str">
        <f t="shared" si="66"/>
        <v/>
      </c>
      <c r="AK148" s="52" t="str">
        <f t="shared" si="67"/>
        <v/>
      </c>
      <c r="AL148" s="52" t="str">
        <f t="shared" si="68"/>
        <v/>
      </c>
      <c r="AM148" s="52" t="str">
        <f t="shared" si="69"/>
        <v/>
      </c>
      <c r="AN148" s="52" t="str">
        <f t="shared" si="70"/>
        <v/>
      </c>
      <c r="AO148" s="52" t="str">
        <f t="shared" si="71"/>
        <v/>
      </c>
      <c r="AP148" s="52" t="str">
        <f t="shared" si="72"/>
        <v/>
      </c>
      <c r="AQ148" s="52" t="str">
        <f t="shared" si="73"/>
        <v/>
      </c>
      <c r="AR148" s="52" t="str">
        <f t="shared" si="74"/>
        <v/>
      </c>
      <c r="AS148" s="52" t="str">
        <f t="shared" si="75"/>
        <v/>
      </c>
      <c r="AT148" s="52" t="str">
        <f t="shared" si="76"/>
        <v/>
      </c>
      <c r="AU148" s="52" t="str">
        <f t="shared" si="77"/>
        <v/>
      </c>
      <c r="AV148" s="52" t="str">
        <f t="shared" si="78"/>
        <v/>
      </c>
      <c r="AW148" s="52" t="str">
        <f t="shared" si="79"/>
        <v/>
      </c>
      <c r="AX148" s="52" t="str">
        <f t="shared" si="56"/>
        <v/>
      </c>
      <c r="AY148" s="52" t="str">
        <f t="shared" si="80"/>
        <v/>
      </c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13"/>
    </row>
    <row r="149" spans="1:163">
      <c r="A149" s="71"/>
      <c r="B149" s="70"/>
      <c r="C149" s="72"/>
      <c r="D149" s="73"/>
      <c r="E149" s="73"/>
      <c r="F149" s="73"/>
      <c r="G149" s="73"/>
      <c r="H149" s="73"/>
      <c r="I149" s="74"/>
      <c r="J149" s="74"/>
      <c r="K149" s="74"/>
      <c r="L149" s="73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0"/>
      <c r="Z149" s="12">
        <f t="shared" si="57"/>
        <v>0</v>
      </c>
      <c r="AA149" s="14">
        <f t="shared" si="55"/>
        <v>0</v>
      </c>
      <c r="AB149" s="6">
        <f t="shared" si="58"/>
        <v>0</v>
      </c>
      <c r="AC149" s="6">
        <f t="shared" si="59"/>
        <v>0</v>
      </c>
      <c r="AD149" s="6">
        <f t="shared" si="60"/>
        <v>0</v>
      </c>
      <c r="AE149" s="52" t="str">
        <f t="shared" si="61"/>
        <v/>
      </c>
      <c r="AF149" s="52" t="str">
        <f t="shared" si="62"/>
        <v/>
      </c>
      <c r="AG149" s="50" t="str">
        <f t="shared" si="63"/>
        <v/>
      </c>
      <c r="AH149" s="50" t="str">
        <f t="shared" si="64"/>
        <v/>
      </c>
      <c r="AI149" s="52" t="str">
        <f t="shared" si="65"/>
        <v/>
      </c>
      <c r="AJ149" s="52" t="str">
        <f t="shared" si="66"/>
        <v/>
      </c>
      <c r="AK149" s="52" t="str">
        <f t="shared" si="67"/>
        <v/>
      </c>
      <c r="AL149" s="52" t="str">
        <f t="shared" si="68"/>
        <v/>
      </c>
      <c r="AM149" s="52" t="str">
        <f t="shared" si="69"/>
        <v/>
      </c>
      <c r="AN149" s="52" t="str">
        <f t="shared" si="70"/>
        <v/>
      </c>
      <c r="AO149" s="52" t="str">
        <f t="shared" si="71"/>
        <v/>
      </c>
      <c r="AP149" s="52" t="str">
        <f t="shared" si="72"/>
        <v/>
      </c>
      <c r="AQ149" s="52" t="str">
        <f t="shared" si="73"/>
        <v/>
      </c>
      <c r="AR149" s="52" t="str">
        <f t="shared" si="74"/>
        <v/>
      </c>
      <c r="AS149" s="52" t="str">
        <f t="shared" si="75"/>
        <v/>
      </c>
      <c r="AT149" s="52" t="str">
        <f t="shared" si="76"/>
        <v/>
      </c>
      <c r="AU149" s="52" t="str">
        <f t="shared" si="77"/>
        <v/>
      </c>
      <c r="AV149" s="52" t="str">
        <f t="shared" si="78"/>
        <v/>
      </c>
      <c r="AW149" s="52" t="str">
        <f t="shared" si="79"/>
        <v/>
      </c>
      <c r="AX149" s="52" t="str">
        <f t="shared" si="56"/>
        <v/>
      </c>
      <c r="AY149" s="52" t="str">
        <f t="shared" si="80"/>
        <v/>
      </c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13"/>
    </row>
    <row r="150" spans="1:163">
      <c r="A150" s="71"/>
      <c r="B150" s="70"/>
      <c r="C150" s="72"/>
      <c r="D150" s="73"/>
      <c r="E150" s="73"/>
      <c r="F150" s="73"/>
      <c r="G150" s="73"/>
      <c r="H150" s="73"/>
      <c r="I150" s="74"/>
      <c r="J150" s="74"/>
      <c r="K150" s="74"/>
      <c r="L150" s="73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0"/>
      <c r="Z150" s="12">
        <f t="shared" si="57"/>
        <v>0</v>
      </c>
      <c r="AA150" s="14">
        <f t="shared" si="55"/>
        <v>0</v>
      </c>
      <c r="AB150" s="6">
        <f t="shared" si="58"/>
        <v>0</v>
      </c>
      <c r="AC150" s="6">
        <f t="shared" si="59"/>
        <v>0</v>
      </c>
      <c r="AD150" s="6">
        <f t="shared" si="60"/>
        <v>0</v>
      </c>
      <c r="AE150" s="52" t="str">
        <f t="shared" si="61"/>
        <v/>
      </c>
      <c r="AF150" s="52" t="str">
        <f t="shared" si="62"/>
        <v/>
      </c>
      <c r="AG150" s="50" t="str">
        <f t="shared" si="63"/>
        <v/>
      </c>
      <c r="AH150" s="50" t="str">
        <f t="shared" si="64"/>
        <v/>
      </c>
      <c r="AI150" s="52" t="str">
        <f t="shared" si="65"/>
        <v/>
      </c>
      <c r="AJ150" s="52" t="str">
        <f t="shared" si="66"/>
        <v/>
      </c>
      <c r="AK150" s="52" t="str">
        <f t="shared" si="67"/>
        <v/>
      </c>
      <c r="AL150" s="52" t="str">
        <f t="shared" si="68"/>
        <v/>
      </c>
      <c r="AM150" s="52" t="str">
        <f t="shared" si="69"/>
        <v/>
      </c>
      <c r="AN150" s="52" t="str">
        <f t="shared" si="70"/>
        <v/>
      </c>
      <c r="AO150" s="52" t="str">
        <f t="shared" si="71"/>
        <v/>
      </c>
      <c r="AP150" s="52" t="str">
        <f t="shared" si="72"/>
        <v/>
      </c>
      <c r="AQ150" s="52" t="str">
        <f t="shared" si="73"/>
        <v/>
      </c>
      <c r="AR150" s="52" t="str">
        <f t="shared" si="74"/>
        <v/>
      </c>
      <c r="AS150" s="52" t="str">
        <f t="shared" si="75"/>
        <v/>
      </c>
      <c r="AT150" s="52" t="str">
        <f t="shared" si="76"/>
        <v/>
      </c>
      <c r="AU150" s="52" t="str">
        <f t="shared" si="77"/>
        <v/>
      </c>
      <c r="AV150" s="52" t="str">
        <f t="shared" si="78"/>
        <v/>
      </c>
      <c r="AW150" s="52" t="str">
        <f t="shared" si="79"/>
        <v/>
      </c>
      <c r="AX150" s="52" t="str">
        <f t="shared" si="56"/>
        <v/>
      </c>
      <c r="AY150" s="52" t="str">
        <f t="shared" si="80"/>
        <v/>
      </c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13"/>
    </row>
    <row r="151" spans="1:163">
      <c r="A151" s="71"/>
      <c r="B151" s="70"/>
      <c r="C151" s="72"/>
      <c r="D151" s="73"/>
      <c r="E151" s="73"/>
      <c r="F151" s="73"/>
      <c r="G151" s="73"/>
      <c r="H151" s="73"/>
      <c r="I151" s="74"/>
      <c r="J151" s="74"/>
      <c r="K151" s="74"/>
      <c r="L151" s="73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0"/>
      <c r="Z151" s="12">
        <f t="shared" si="57"/>
        <v>0</v>
      </c>
      <c r="AA151" s="14">
        <f t="shared" si="55"/>
        <v>0</v>
      </c>
      <c r="AB151" s="6">
        <f t="shared" si="58"/>
        <v>0</v>
      </c>
      <c r="AC151" s="6">
        <f t="shared" si="59"/>
        <v>0</v>
      </c>
      <c r="AD151" s="6">
        <f t="shared" si="60"/>
        <v>0</v>
      </c>
      <c r="AE151" s="52" t="str">
        <f t="shared" si="61"/>
        <v/>
      </c>
      <c r="AF151" s="52" t="str">
        <f t="shared" si="62"/>
        <v/>
      </c>
      <c r="AG151" s="50" t="str">
        <f t="shared" si="63"/>
        <v/>
      </c>
      <c r="AH151" s="50" t="str">
        <f t="shared" si="64"/>
        <v/>
      </c>
      <c r="AI151" s="52" t="str">
        <f t="shared" si="65"/>
        <v/>
      </c>
      <c r="AJ151" s="52" t="str">
        <f t="shared" si="66"/>
        <v/>
      </c>
      <c r="AK151" s="52" t="str">
        <f t="shared" si="67"/>
        <v/>
      </c>
      <c r="AL151" s="52" t="str">
        <f t="shared" si="68"/>
        <v/>
      </c>
      <c r="AM151" s="52" t="str">
        <f t="shared" si="69"/>
        <v/>
      </c>
      <c r="AN151" s="52" t="str">
        <f t="shared" si="70"/>
        <v/>
      </c>
      <c r="AO151" s="52" t="str">
        <f t="shared" si="71"/>
        <v/>
      </c>
      <c r="AP151" s="52" t="str">
        <f t="shared" si="72"/>
        <v/>
      </c>
      <c r="AQ151" s="52" t="str">
        <f t="shared" si="73"/>
        <v/>
      </c>
      <c r="AR151" s="52" t="str">
        <f t="shared" si="74"/>
        <v/>
      </c>
      <c r="AS151" s="52" t="str">
        <f t="shared" si="75"/>
        <v/>
      </c>
      <c r="AT151" s="52" t="str">
        <f t="shared" si="76"/>
        <v/>
      </c>
      <c r="AU151" s="52" t="str">
        <f t="shared" si="77"/>
        <v/>
      </c>
      <c r="AV151" s="52" t="str">
        <f t="shared" si="78"/>
        <v/>
      </c>
      <c r="AW151" s="52" t="str">
        <f t="shared" si="79"/>
        <v/>
      </c>
      <c r="AX151" s="52" t="str">
        <f t="shared" si="56"/>
        <v/>
      </c>
      <c r="AY151" s="52" t="str">
        <f t="shared" si="80"/>
        <v/>
      </c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13"/>
    </row>
    <row r="152" spans="1:163">
      <c r="A152" s="71"/>
      <c r="B152" s="70"/>
      <c r="C152" s="72"/>
      <c r="D152" s="73"/>
      <c r="E152" s="73"/>
      <c r="F152" s="73"/>
      <c r="G152" s="73"/>
      <c r="H152" s="73"/>
      <c r="I152" s="74"/>
      <c r="J152" s="74"/>
      <c r="K152" s="74"/>
      <c r="L152" s="73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0"/>
      <c r="Z152" s="12">
        <f t="shared" si="57"/>
        <v>0</v>
      </c>
      <c r="AA152" s="14">
        <f t="shared" si="55"/>
        <v>0</v>
      </c>
      <c r="AB152" s="6">
        <f t="shared" si="58"/>
        <v>0</v>
      </c>
      <c r="AC152" s="6">
        <f t="shared" si="59"/>
        <v>0</v>
      </c>
      <c r="AD152" s="6">
        <f t="shared" si="60"/>
        <v>0</v>
      </c>
      <c r="AE152" s="52" t="str">
        <f t="shared" si="61"/>
        <v/>
      </c>
      <c r="AF152" s="52" t="str">
        <f t="shared" si="62"/>
        <v/>
      </c>
      <c r="AG152" s="50" t="str">
        <f t="shared" si="63"/>
        <v/>
      </c>
      <c r="AH152" s="50" t="str">
        <f t="shared" si="64"/>
        <v/>
      </c>
      <c r="AI152" s="52" t="str">
        <f t="shared" si="65"/>
        <v/>
      </c>
      <c r="AJ152" s="52" t="str">
        <f t="shared" si="66"/>
        <v/>
      </c>
      <c r="AK152" s="52" t="str">
        <f t="shared" si="67"/>
        <v/>
      </c>
      <c r="AL152" s="52" t="str">
        <f t="shared" si="68"/>
        <v/>
      </c>
      <c r="AM152" s="52" t="str">
        <f t="shared" si="69"/>
        <v/>
      </c>
      <c r="AN152" s="52" t="str">
        <f t="shared" si="70"/>
        <v/>
      </c>
      <c r="AO152" s="52" t="str">
        <f t="shared" si="71"/>
        <v/>
      </c>
      <c r="AP152" s="52" t="str">
        <f t="shared" si="72"/>
        <v/>
      </c>
      <c r="AQ152" s="52" t="str">
        <f t="shared" si="73"/>
        <v/>
      </c>
      <c r="AR152" s="52" t="str">
        <f t="shared" si="74"/>
        <v/>
      </c>
      <c r="AS152" s="52" t="str">
        <f t="shared" si="75"/>
        <v/>
      </c>
      <c r="AT152" s="52" t="str">
        <f t="shared" si="76"/>
        <v/>
      </c>
      <c r="AU152" s="52" t="str">
        <f t="shared" si="77"/>
        <v/>
      </c>
      <c r="AV152" s="52" t="str">
        <f t="shared" si="78"/>
        <v/>
      </c>
      <c r="AW152" s="52" t="str">
        <f t="shared" si="79"/>
        <v/>
      </c>
      <c r="AX152" s="52" t="str">
        <f t="shared" si="56"/>
        <v/>
      </c>
      <c r="AY152" s="52" t="str">
        <f t="shared" si="80"/>
        <v/>
      </c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13"/>
    </row>
    <row r="153" spans="1:163">
      <c r="A153" s="71"/>
      <c r="B153" s="70"/>
      <c r="C153" s="72"/>
      <c r="D153" s="73"/>
      <c r="E153" s="73"/>
      <c r="F153" s="73"/>
      <c r="G153" s="73"/>
      <c r="H153" s="73"/>
      <c r="I153" s="74"/>
      <c r="J153" s="74"/>
      <c r="K153" s="74"/>
      <c r="L153" s="73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0"/>
      <c r="Z153" s="12">
        <f t="shared" si="57"/>
        <v>0</v>
      </c>
      <c r="AA153" s="14">
        <f t="shared" si="55"/>
        <v>0</v>
      </c>
      <c r="AB153" s="6">
        <f t="shared" si="58"/>
        <v>0</v>
      </c>
      <c r="AC153" s="6">
        <f t="shared" si="59"/>
        <v>0</v>
      </c>
      <c r="AD153" s="6">
        <f t="shared" si="60"/>
        <v>0</v>
      </c>
      <c r="AE153" s="52" t="str">
        <f t="shared" si="61"/>
        <v/>
      </c>
      <c r="AF153" s="52" t="str">
        <f t="shared" si="62"/>
        <v/>
      </c>
      <c r="AG153" s="50" t="str">
        <f t="shared" si="63"/>
        <v/>
      </c>
      <c r="AH153" s="50" t="str">
        <f t="shared" si="64"/>
        <v/>
      </c>
      <c r="AI153" s="52" t="str">
        <f t="shared" si="65"/>
        <v/>
      </c>
      <c r="AJ153" s="52" t="str">
        <f t="shared" si="66"/>
        <v/>
      </c>
      <c r="AK153" s="52" t="str">
        <f t="shared" si="67"/>
        <v/>
      </c>
      <c r="AL153" s="52" t="str">
        <f t="shared" si="68"/>
        <v/>
      </c>
      <c r="AM153" s="52" t="str">
        <f t="shared" si="69"/>
        <v/>
      </c>
      <c r="AN153" s="52" t="str">
        <f t="shared" si="70"/>
        <v/>
      </c>
      <c r="AO153" s="52" t="str">
        <f t="shared" si="71"/>
        <v/>
      </c>
      <c r="AP153" s="52" t="str">
        <f t="shared" si="72"/>
        <v/>
      </c>
      <c r="AQ153" s="52" t="str">
        <f t="shared" si="73"/>
        <v/>
      </c>
      <c r="AR153" s="52" t="str">
        <f t="shared" si="74"/>
        <v/>
      </c>
      <c r="AS153" s="52" t="str">
        <f t="shared" si="75"/>
        <v/>
      </c>
      <c r="AT153" s="52" t="str">
        <f t="shared" si="76"/>
        <v/>
      </c>
      <c r="AU153" s="52" t="str">
        <f t="shared" si="77"/>
        <v/>
      </c>
      <c r="AV153" s="52" t="str">
        <f t="shared" si="78"/>
        <v/>
      </c>
      <c r="AW153" s="52" t="str">
        <f t="shared" si="79"/>
        <v/>
      </c>
      <c r="AX153" s="52" t="str">
        <f t="shared" si="56"/>
        <v/>
      </c>
      <c r="AY153" s="52" t="str">
        <f t="shared" si="80"/>
        <v/>
      </c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13"/>
    </row>
    <row r="154" spans="1:163">
      <c r="A154" s="71"/>
      <c r="B154" s="70"/>
      <c r="C154" s="72"/>
      <c r="D154" s="73"/>
      <c r="E154" s="73"/>
      <c r="F154" s="73"/>
      <c r="G154" s="73"/>
      <c r="H154" s="73"/>
      <c r="I154" s="74"/>
      <c r="J154" s="74"/>
      <c r="K154" s="74"/>
      <c r="L154" s="73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0"/>
      <c r="Z154" s="12">
        <f t="shared" si="57"/>
        <v>0</v>
      </c>
      <c r="AA154" s="14">
        <f t="shared" si="55"/>
        <v>0</v>
      </c>
      <c r="AB154" s="6">
        <f t="shared" si="58"/>
        <v>0</v>
      </c>
      <c r="AC154" s="6">
        <f t="shared" si="59"/>
        <v>0</v>
      </c>
      <c r="AD154" s="6">
        <f t="shared" si="60"/>
        <v>0</v>
      </c>
      <c r="AE154" s="52" t="str">
        <f t="shared" si="61"/>
        <v/>
      </c>
      <c r="AF154" s="52" t="str">
        <f t="shared" si="62"/>
        <v/>
      </c>
      <c r="AG154" s="50" t="str">
        <f t="shared" si="63"/>
        <v/>
      </c>
      <c r="AH154" s="50" t="str">
        <f t="shared" si="64"/>
        <v/>
      </c>
      <c r="AI154" s="52" t="str">
        <f t="shared" si="65"/>
        <v/>
      </c>
      <c r="AJ154" s="52" t="str">
        <f t="shared" si="66"/>
        <v/>
      </c>
      <c r="AK154" s="52" t="str">
        <f t="shared" si="67"/>
        <v/>
      </c>
      <c r="AL154" s="52" t="str">
        <f t="shared" si="68"/>
        <v/>
      </c>
      <c r="AM154" s="52" t="str">
        <f t="shared" si="69"/>
        <v/>
      </c>
      <c r="AN154" s="52" t="str">
        <f t="shared" si="70"/>
        <v/>
      </c>
      <c r="AO154" s="52" t="str">
        <f t="shared" si="71"/>
        <v/>
      </c>
      <c r="AP154" s="52" t="str">
        <f t="shared" si="72"/>
        <v/>
      </c>
      <c r="AQ154" s="52" t="str">
        <f t="shared" si="73"/>
        <v/>
      </c>
      <c r="AR154" s="52" t="str">
        <f t="shared" si="74"/>
        <v/>
      </c>
      <c r="AS154" s="52" t="str">
        <f t="shared" si="75"/>
        <v/>
      </c>
      <c r="AT154" s="52" t="str">
        <f t="shared" si="76"/>
        <v/>
      </c>
      <c r="AU154" s="52" t="str">
        <f t="shared" si="77"/>
        <v/>
      </c>
      <c r="AV154" s="52" t="str">
        <f t="shared" si="78"/>
        <v/>
      </c>
      <c r="AW154" s="52" t="str">
        <f t="shared" si="79"/>
        <v/>
      </c>
      <c r="AX154" s="52" t="str">
        <f t="shared" si="56"/>
        <v/>
      </c>
      <c r="AY154" s="52" t="str">
        <f t="shared" si="80"/>
        <v/>
      </c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13"/>
    </row>
    <row r="155" spans="1:163">
      <c r="A155" s="71"/>
      <c r="B155" s="70"/>
      <c r="C155" s="72"/>
      <c r="D155" s="73"/>
      <c r="E155" s="73"/>
      <c r="F155" s="73"/>
      <c r="G155" s="73"/>
      <c r="H155" s="73"/>
      <c r="I155" s="74"/>
      <c r="J155" s="74"/>
      <c r="K155" s="74"/>
      <c r="L155" s="73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0"/>
      <c r="Z155" s="12">
        <f t="shared" si="57"/>
        <v>0</v>
      </c>
      <c r="AA155" s="14">
        <f t="shared" si="55"/>
        <v>0</v>
      </c>
      <c r="AB155" s="6">
        <f t="shared" si="58"/>
        <v>0</v>
      </c>
      <c r="AC155" s="6">
        <f t="shared" si="59"/>
        <v>0</v>
      </c>
      <c r="AD155" s="6">
        <f t="shared" si="60"/>
        <v>0</v>
      </c>
      <c r="AE155" s="52" t="str">
        <f t="shared" si="61"/>
        <v/>
      </c>
      <c r="AF155" s="52" t="str">
        <f t="shared" si="62"/>
        <v/>
      </c>
      <c r="AG155" s="50" t="str">
        <f t="shared" si="63"/>
        <v/>
      </c>
      <c r="AH155" s="50" t="str">
        <f t="shared" si="64"/>
        <v/>
      </c>
      <c r="AI155" s="52" t="str">
        <f t="shared" si="65"/>
        <v/>
      </c>
      <c r="AJ155" s="52" t="str">
        <f t="shared" si="66"/>
        <v/>
      </c>
      <c r="AK155" s="52" t="str">
        <f t="shared" si="67"/>
        <v/>
      </c>
      <c r="AL155" s="52" t="str">
        <f t="shared" si="68"/>
        <v/>
      </c>
      <c r="AM155" s="52" t="str">
        <f t="shared" si="69"/>
        <v/>
      </c>
      <c r="AN155" s="52" t="str">
        <f t="shared" si="70"/>
        <v/>
      </c>
      <c r="AO155" s="52" t="str">
        <f t="shared" si="71"/>
        <v/>
      </c>
      <c r="AP155" s="52" t="str">
        <f t="shared" si="72"/>
        <v/>
      </c>
      <c r="AQ155" s="52" t="str">
        <f t="shared" si="73"/>
        <v/>
      </c>
      <c r="AR155" s="52" t="str">
        <f t="shared" si="74"/>
        <v/>
      </c>
      <c r="AS155" s="52" t="str">
        <f t="shared" si="75"/>
        <v/>
      </c>
      <c r="AT155" s="52" t="str">
        <f t="shared" si="76"/>
        <v/>
      </c>
      <c r="AU155" s="52" t="str">
        <f t="shared" si="77"/>
        <v/>
      </c>
      <c r="AV155" s="52" t="str">
        <f t="shared" si="78"/>
        <v/>
      </c>
      <c r="AW155" s="52" t="str">
        <f t="shared" si="79"/>
        <v/>
      </c>
      <c r="AX155" s="52" t="str">
        <f t="shared" si="56"/>
        <v/>
      </c>
      <c r="AY155" s="52" t="str">
        <f t="shared" si="80"/>
        <v/>
      </c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13"/>
    </row>
    <row r="156" spans="1:163">
      <c r="A156" s="71"/>
      <c r="B156" s="70"/>
      <c r="C156" s="72"/>
      <c r="D156" s="73"/>
      <c r="E156" s="73"/>
      <c r="F156" s="73"/>
      <c r="G156" s="73"/>
      <c r="H156" s="73"/>
      <c r="I156" s="74"/>
      <c r="J156" s="74"/>
      <c r="K156" s="74"/>
      <c r="L156" s="73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0"/>
      <c r="Z156" s="12">
        <f t="shared" si="57"/>
        <v>0</v>
      </c>
      <c r="AA156" s="14">
        <f t="shared" si="55"/>
        <v>0</v>
      </c>
      <c r="AB156" s="6">
        <f t="shared" si="58"/>
        <v>0</v>
      </c>
      <c r="AC156" s="6">
        <f t="shared" si="59"/>
        <v>0</v>
      </c>
      <c r="AD156" s="6">
        <f t="shared" si="60"/>
        <v>0</v>
      </c>
      <c r="AE156" s="52" t="str">
        <f t="shared" si="61"/>
        <v/>
      </c>
      <c r="AF156" s="52" t="str">
        <f t="shared" si="62"/>
        <v/>
      </c>
      <c r="AG156" s="50" t="str">
        <f t="shared" si="63"/>
        <v/>
      </c>
      <c r="AH156" s="50" t="str">
        <f t="shared" si="64"/>
        <v/>
      </c>
      <c r="AI156" s="52" t="str">
        <f t="shared" si="65"/>
        <v/>
      </c>
      <c r="AJ156" s="52" t="str">
        <f t="shared" si="66"/>
        <v/>
      </c>
      <c r="AK156" s="52" t="str">
        <f t="shared" si="67"/>
        <v/>
      </c>
      <c r="AL156" s="52" t="str">
        <f t="shared" si="68"/>
        <v/>
      </c>
      <c r="AM156" s="52" t="str">
        <f t="shared" si="69"/>
        <v/>
      </c>
      <c r="AN156" s="52" t="str">
        <f t="shared" si="70"/>
        <v/>
      </c>
      <c r="AO156" s="52" t="str">
        <f t="shared" si="71"/>
        <v/>
      </c>
      <c r="AP156" s="52" t="str">
        <f t="shared" si="72"/>
        <v/>
      </c>
      <c r="AQ156" s="52" t="str">
        <f t="shared" si="73"/>
        <v/>
      </c>
      <c r="AR156" s="52" t="str">
        <f t="shared" si="74"/>
        <v/>
      </c>
      <c r="AS156" s="52" t="str">
        <f t="shared" si="75"/>
        <v/>
      </c>
      <c r="AT156" s="52" t="str">
        <f t="shared" si="76"/>
        <v/>
      </c>
      <c r="AU156" s="52" t="str">
        <f t="shared" si="77"/>
        <v/>
      </c>
      <c r="AV156" s="52" t="str">
        <f t="shared" si="78"/>
        <v/>
      </c>
      <c r="AW156" s="52" t="str">
        <f t="shared" si="79"/>
        <v/>
      </c>
      <c r="AX156" s="52" t="str">
        <f t="shared" si="56"/>
        <v/>
      </c>
      <c r="AY156" s="52" t="str">
        <f t="shared" si="80"/>
        <v/>
      </c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13"/>
    </row>
    <row r="157" spans="1:163">
      <c r="A157" s="71"/>
      <c r="B157" s="70"/>
      <c r="C157" s="72"/>
      <c r="D157" s="73"/>
      <c r="E157" s="73"/>
      <c r="F157" s="73"/>
      <c r="G157" s="73"/>
      <c r="H157" s="73"/>
      <c r="I157" s="74"/>
      <c r="J157" s="74"/>
      <c r="K157" s="74"/>
      <c r="L157" s="73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0"/>
      <c r="Z157" s="12">
        <f t="shared" si="57"/>
        <v>0</v>
      </c>
      <c r="AA157" s="14">
        <f t="shared" si="55"/>
        <v>0</v>
      </c>
      <c r="AB157" s="6">
        <f t="shared" si="58"/>
        <v>0</v>
      </c>
      <c r="AC157" s="6">
        <f t="shared" si="59"/>
        <v>0</v>
      </c>
      <c r="AD157" s="6">
        <f t="shared" si="60"/>
        <v>0</v>
      </c>
      <c r="AE157" s="52" t="str">
        <f t="shared" si="61"/>
        <v/>
      </c>
      <c r="AF157" s="52" t="str">
        <f t="shared" si="62"/>
        <v/>
      </c>
      <c r="AG157" s="50" t="str">
        <f t="shared" si="63"/>
        <v/>
      </c>
      <c r="AH157" s="50" t="str">
        <f t="shared" si="64"/>
        <v/>
      </c>
      <c r="AI157" s="52" t="str">
        <f t="shared" si="65"/>
        <v/>
      </c>
      <c r="AJ157" s="52" t="str">
        <f t="shared" si="66"/>
        <v/>
      </c>
      <c r="AK157" s="52" t="str">
        <f t="shared" si="67"/>
        <v/>
      </c>
      <c r="AL157" s="52" t="str">
        <f t="shared" si="68"/>
        <v/>
      </c>
      <c r="AM157" s="52" t="str">
        <f t="shared" si="69"/>
        <v/>
      </c>
      <c r="AN157" s="52" t="str">
        <f t="shared" si="70"/>
        <v/>
      </c>
      <c r="AO157" s="52" t="str">
        <f t="shared" si="71"/>
        <v/>
      </c>
      <c r="AP157" s="52" t="str">
        <f t="shared" si="72"/>
        <v/>
      </c>
      <c r="AQ157" s="52" t="str">
        <f t="shared" si="73"/>
        <v/>
      </c>
      <c r="AR157" s="52" t="str">
        <f t="shared" si="74"/>
        <v/>
      </c>
      <c r="AS157" s="52" t="str">
        <f t="shared" si="75"/>
        <v/>
      </c>
      <c r="AT157" s="52" t="str">
        <f t="shared" si="76"/>
        <v/>
      </c>
      <c r="AU157" s="52" t="str">
        <f t="shared" si="77"/>
        <v/>
      </c>
      <c r="AV157" s="52" t="str">
        <f t="shared" si="78"/>
        <v/>
      </c>
      <c r="AW157" s="52" t="str">
        <f t="shared" si="79"/>
        <v/>
      </c>
      <c r="AX157" s="52" t="str">
        <f t="shared" si="56"/>
        <v/>
      </c>
      <c r="AY157" s="52" t="str">
        <f t="shared" si="80"/>
        <v/>
      </c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13"/>
    </row>
    <row r="158" spans="1:163">
      <c r="A158" s="71"/>
      <c r="B158" s="70"/>
      <c r="C158" s="72"/>
      <c r="D158" s="73"/>
      <c r="E158" s="73"/>
      <c r="F158" s="73"/>
      <c r="G158" s="73"/>
      <c r="H158" s="73"/>
      <c r="I158" s="74"/>
      <c r="J158" s="74"/>
      <c r="K158" s="74"/>
      <c r="L158" s="73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0"/>
      <c r="Z158" s="12">
        <f t="shared" si="57"/>
        <v>0</v>
      </c>
      <c r="AA158" s="14">
        <f t="shared" si="55"/>
        <v>0</v>
      </c>
      <c r="AB158" s="6">
        <f t="shared" si="58"/>
        <v>0</v>
      </c>
      <c r="AC158" s="6">
        <f t="shared" si="59"/>
        <v>0</v>
      </c>
      <c r="AD158" s="6">
        <f t="shared" si="60"/>
        <v>0</v>
      </c>
      <c r="AE158" s="52" t="str">
        <f t="shared" si="61"/>
        <v/>
      </c>
      <c r="AF158" s="52" t="str">
        <f t="shared" si="62"/>
        <v/>
      </c>
      <c r="AG158" s="50" t="str">
        <f t="shared" si="63"/>
        <v/>
      </c>
      <c r="AH158" s="50" t="str">
        <f t="shared" si="64"/>
        <v/>
      </c>
      <c r="AI158" s="52" t="str">
        <f t="shared" si="65"/>
        <v/>
      </c>
      <c r="AJ158" s="52" t="str">
        <f t="shared" si="66"/>
        <v/>
      </c>
      <c r="AK158" s="52" t="str">
        <f t="shared" si="67"/>
        <v/>
      </c>
      <c r="AL158" s="52" t="str">
        <f t="shared" si="68"/>
        <v/>
      </c>
      <c r="AM158" s="52" t="str">
        <f t="shared" si="69"/>
        <v/>
      </c>
      <c r="AN158" s="52" t="str">
        <f t="shared" si="70"/>
        <v/>
      </c>
      <c r="AO158" s="52" t="str">
        <f t="shared" si="71"/>
        <v/>
      </c>
      <c r="AP158" s="52" t="str">
        <f t="shared" si="72"/>
        <v/>
      </c>
      <c r="AQ158" s="52" t="str">
        <f t="shared" si="73"/>
        <v/>
      </c>
      <c r="AR158" s="52" t="str">
        <f t="shared" si="74"/>
        <v/>
      </c>
      <c r="AS158" s="52" t="str">
        <f t="shared" si="75"/>
        <v/>
      </c>
      <c r="AT158" s="52" t="str">
        <f t="shared" si="76"/>
        <v/>
      </c>
      <c r="AU158" s="52" t="str">
        <f t="shared" si="77"/>
        <v/>
      </c>
      <c r="AV158" s="52" t="str">
        <f t="shared" si="78"/>
        <v/>
      </c>
      <c r="AW158" s="52" t="str">
        <f t="shared" si="79"/>
        <v/>
      </c>
      <c r="AX158" s="52" t="str">
        <f t="shared" si="56"/>
        <v/>
      </c>
      <c r="AY158" s="52" t="str">
        <f t="shared" si="80"/>
        <v/>
      </c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13"/>
    </row>
    <row r="159" spans="1:163">
      <c r="A159" s="71"/>
      <c r="B159" s="70"/>
      <c r="C159" s="72"/>
      <c r="D159" s="73"/>
      <c r="E159" s="73"/>
      <c r="F159" s="73"/>
      <c r="G159" s="73"/>
      <c r="H159" s="73"/>
      <c r="I159" s="74"/>
      <c r="J159" s="74"/>
      <c r="K159" s="74"/>
      <c r="L159" s="73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0"/>
      <c r="Z159" s="12">
        <f t="shared" si="57"/>
        <v>0</v>
      </c>
      <c r="AA159" s="14">
        <f t="shared" si="55"/>
        <v>0</v>
      </c>
      <c r="AB159" s="6">
        <f t="shared" si="58"/>
        <v>0</v>
      </c>
      <c r="AC159" s="6">
        <f t="shared" si="59"/>
        <v>0</v>
      </c>
      <c r="AD159" s="6">
        <f t="shared" si="60"/>
        <v>0</v>
      </c>
      <c r="AE159" s="52" t="str">
        <f t="shared" si="61"/>
        <v/>
      </c>
      <c r="AF159" s="52" t="str">
        <f t="shared" si="62"/>
        <v/>
      </c>
      <c r="AG159" s="50" t="str">
        <f t="shared" si="63"/>
        <v/>
      </c>
      <c r="AH159" s="50" t="str">
        <f t="shared" si="64"/>
        <v/>
      </c>
      <c r="AI159" s="52" t="str">
        <f t="shared" si="65"/>
        <v/>
      </c>
      <c r="AJ159" s="52" t="str">
        <f t="shared" si="66"/>
        <v/>
      </c>
      <c r="AK159" s="52" t="str">
        <f t="shared" si="67"/>
        <v/>
      </c>
      <c r="AL159" s="52" t="str">
        <f t="shared" si="68"/>
        <v/>
      </c>
      <c r="AM159" s="52" t="str">
        <f t="shared" si="69"/>
        <v/>
      </c>
      <c r="AN159" s="52" t="str">
        <f t="shared" si="70"/>
        <v/>
      </c>
      <c r="AO159" s="52" t="str">
        <f t="shared" si="71"/>
        <v/>
      </c>
      <c r="AP159" s="52" t="str">
        <f t="shared" si="72"/>
        <v/>
      </c>
      <c r="AQ159" s="52" t="str">
        <f t="shared" si="73"/>
        <v/>
      </c>
      <c r="AR159" s="52" t="str">
        <f t="shared" si="74"/>
        <v/>
      </c>
      <c r="AS159" s="52" t="str">
        <f t="shared" si="75"/>
        <v/>
      </c>
      <c r="AT159" s="52" t="str">
        <f t="shared" si="76"/>
        <v/>
      </c>
      <c r="AU159" s="52" t="str">
        <f t="shared" si="77"/>
        <v/>
      </c>
      <c r="AV159" s="52" t="str">
        <f t="shared" si="78"/>
        <v/>
      </c>
      <c r="AW159" s="52" t="str">
        <f t="shared" si="79"/>
        <v/>
      </c>
      <c r="AX159" s="52" t="str">
        <f t="shared" si="56"/>
        <v/>
      </c>
      <c r="AY159" s="52" t="str">
        <f t="shared" si="80"/>
        <v/>
      </c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13"/>
    </row>
    <row r="160" spans="1:163">
      <c r="A160" s="71"/>
      <c r="B160" s="70"/>
      <c r="C160" s="72"/>
      <c r="D160" s="73"/>
      <c r="E160" s="73"/>
      <c r="F160" s="73"/>
      <c r="G160" s="73"/>
      <c r="H160" s="73"/>
      <c r="I160" s="74"/>
      <c r="J160" s="74"/>
      <c r="K160" s="74"/>
      <c r="L160" s="73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0"/>
      <c r="Z160" s="12">
        <f t="shared" si="57"/>
        <v>0</v>
      </c>
      <c r="AA160" s="14">
        <f t="shared" si="55"/>
        <v>0</v>
      </c>
      <c r="AB160" s="6">
        <f t="shared" si="58"/>
        <v>0</v>
      </c>
      <c r="AC160" s="6">
        <f t="shared" si="59"/>
        <v>0</v>
      </c>
      <c r="AD160" s="6">
        <f t="shared" si="60"/>
        <v>0</v>
      </c>
      <c r="AE160" s="52" t="str">
        <f t="shared" si="61"/>
        <v/>
      </c>
      <c r="AF160" s="52" t="str">
        <f t="shared" si="62"/>
        <v/>
      </c>
      <c r="AG160" s="50" t="str">
        <f t="shared" si="63"/>
        <v/>
      </c>
      <c r="AH160" s="50" t="str">
        <f t="shared" si="64"/>
        <v/>
      </c>
      <c r="AI160" s="52" t="str">
        <f t="shared" si="65"/>
        <v/>
      </c>
      <c r="AJ160" s="52" t="str">
        <f t="shared" si="66"/>
        <v/>
      </c>
      <c r="AK160" s="52" t="str">
        <f t="shared" si="67"/>
        <v/>
      </c>
      <c r="AL160" s="52" t="str">
        <f t="shared" si="68"/>
        <v/>
      </c>
      <c r="AM160" s="52" t="str">
        <f t="shared" si="69"/>
        <v/>
      </c>
      <c r="AN160" s="52" t="str">
        <f t="shared" si="70"/>
        <v/>
      </c>
      <c r="AO160" s="52" t="str">
        <f t="shared" si="71"/>
        <v/>
      </c>
      <c r="AP160" s="52" t="str">
        <f t="shared" si="72"/>
        <v/>
      </c>
      <c r="AQ160" s="52" t="str">
        <f t="shared" si="73"/>
        <v/>
      </c>
      <c r="AR160" s="52" t="str">
        <f t="shared" si="74"/>
        <v/>
      </c>
      <c r="AS160" s="52" t="str">
        <f t="shared" si="75"/>
        <v/>
      </c>
      <c r="AT160" s="52" t="str">
        <f t="shared" si="76"/>
        <v/>
      </c>
      <c r="AU160" s="52" t="str">
        <f t="shared" si="77"/>
        <v/>
      </c>
      <c r="AV160" s="52" t="str">
        <f t="shared" si="78"/>
        <v/>
      </c>
      <c r="AW160" s="52" t="str">
        <f t="shared" si="79"/>
        <v/>
      </c>
      <c r="AX160" s="52" t="str">
        <f t="shared" si="56"/>
        <v/>
      </c>
      <c r="AY160" s="52" t="str">
        <f t="shared" si="80"/>
        <v/>
      </c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13"/>
    </row>
    <row r="161" spans="1:163">
      <c r="A161" s="71"/>
      <c r="B161" s="70"/>
      <c r="C161" s="72"/>
      <c r="D161" s="73"/>
      <c r="E161" s="73"/>
      <c r="F161" s="73"/>
      <c r="G161" s="73"/>
      <c r="H161" s="73"/>
      <c r="I161" s="74"/>
      <c r="J161" s="74"/>
      <c r="K161" s="74"/>
      <c r="L161" s="73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0"/>
      <c r="Z161" s="12">
        <f t="shared" si="57"/>
        <v>0</v>
      </c>
      <c r="AA161" s="14">
        <f t="shared" si="55"/>
        <v>0</v>
      </c>
      <c r="AB161" s="6">
        <f t="shared" si="58"/>
        <v>0</v>
      </c>
      <c r="AC161" s="6">
        <f t="shared" si="59"/>
        <v>0</v>
      </c>
      <c r="AD161" s="6">
        <f t="shared" si="60"/>
        <v>0</v>
      </c>
      <c r="AE161" s="52" t="str">
        <f t="shared" si="61"/>
        <v/>
      </c>
      <c r="AF161" s="52" t="str">
        <f t="shared" si="62"/>
        <v/>
      </c>
      <c r="AG161" s="50" t="str">
        <f t="shared" si="63"/>
        <v/>
      </c>
      <c r="AH161" s="50" t="str">
        <f t="shared" si="64"/>
        <v/>
      </c>
      <c r="AI161" s="52" t="str">
        <f t="shared" si="65"/>
        <v/>
      </c>
      <c r="AJ161" s="52" t="str">
        <f t="shared" si="66"/>
        <v/>
      </c>
      <c r="AK161" s="52" t="str">
        <f t="shared" si="67"/>
        <v/>
      </c>
      <c r="AL161" s="52" t="str">
        <f t="shared" si="68"/>
        <v/>
      </c>
      <c r="AM161" s="52" t="str">
        <f t="shared" si="69"/>
        <v/>
      </c>
      <c r="AN161" s="52" t="str">
        <f t="shared" si="70"/>
        <v/>
      </c>
      <c r="AO161" s="52" t="str">
        <f t="shared" si="71"/>
        <v/>
      </c>
      <c r="AP161" s="52" t="str">
        <f t="shared" si="72"/>
        <v/>
      </c>
      <c r="AQ161" s="52" t="str">
        <f t="shared" si="73"/>
        <v/>
      </c>
      <c r="AR161" s="52" t="str">
        <f t="shared" si="74"/>
        <v/>
      </c>
      <c r="AS161" s="52" t="str">
        <f t="shared" si="75"/>
        <v/>
      </c>
      <c r="AT161" s="52" t="str">
        <f t="shared" si="76"/>
        <v/>
      </c>
      <c r="AU161" s="52" t="str">
        <f t="shared" si="77"/>
        <v/>
      </c>
      <c r="AV161" s="52" t="str">
        <f t="shared" si="78"/>
        <v/>
      </c>
      <c r="AW161" s="52" t="str">
        <f t="shared" si="79"/>
        <v/>
      </c>
      <c r="AX161" s="52" t="str">
        <f t="shared" si="56"/>
        <v/>
      </c>
      <c r="AY161" s="52" t="str">
        <f t="shared" si="80"/>
        <v/>
      </c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13"/>
    </row>
    <row r="162" spans="1:163">
      <c r="A162" s="71"/>
      <c r="B162" s="70"/>
      <c r="C162" s="72"/>
      <c r="D162" s="73"/>
      <c r="E162" s="73"/>
      <c r="F162" s="73"/>
      <c r="G162" s="73"/>
      <c r="H162" s="73"/>
      <c r="I162" s="74"/>
      <c r="J162" s="74"/>
      <c r="K162" s="74"/>
      <c r="L162" s="73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0"/>
      <c r="Z162" s="12">
        <f t="shared" si="57"/>
        <v>0</v>
      </c>
      <c r="AA162" s="14">
        <f t="shared" si="55"/>
        <v>0</v>
      </c>
      <c r="AB162" s="6">
        <f t="shared" si="58"/>
        <v>0</v>
      </c>
      <c r="AC162" s="6">
        <f t="shared" si="59"/>
        <v>0</v>
      </c>
      <c r="AD162" s="6">
        <f t="shared" si="60"/>
        <v>0</v>
      </c>
      <c r="AE162" s="52" t="str">
        <f t="shared" si="61"/>
        <v/>
      </c>
      <c r="AF162" s="52" t="str">
        <f t="shared" si="62"/>
        <v/>
      </c>
      <c r="AG162" s="50" t="str">
        <f t="shared" si="63"/>
        <v/>
      </c>
      <c r="AH162" s="50" t="str">
        <f t="shared" si="64"/>
        <v/>
      </c>
      <c r="AI162" s="52" t="str">
        <f t="shared" si="65"/>
        <v/>
      </c>
      <c r="AJ162" s="52" t="str">
        <f t="shared" si="66"/>
        <v/>
      </c>
      <c r="AK162" s="52" t="str">
        <f t="shared" si="67"/>
        <v/>
      </c>
      <c r="AL162" s="52" t="str">
        <f t="shared" si="68"/>
        <v/>
      </c>
      <c r="AM162" s="52" t="str">
        <f t="shared" si="69"/>
        <v/>
      </c>
      <c r="AN162" s="52" t="str">
        <f t="shared" si="70"/>
        <v/>
      </c>
      <c r="AO162" s="52" t="str">
        <f t="shared" si="71"/>
        <v/>
      </c>
      <c r="AP162" s="52" t="str">
        <f t="shared" si="72"/>
        <v/>
      </c>
      <c r="AQ162" s="52" t="str">
        <f t="shared" si="73"/>
        <v/>
      </c>
      <c r="AR162" s="52" t="str">
        <f t="shared" si="74"/>
        <v/>
      </c>
      <c r="AS162" s="52" t="str">
        <f t="shared" si="75"/>
        <v/>
      </c>
      <c r="AT162" s="52" t="str">
        <f t="shared" si="76"/>
        <v/>
      </c>
      <c r="AU162" s="52" t="str">
        <f t="shared" si="77"/>
        <v/>
      </c>
      <c r="AV162" s="52" t="str">
        <f t="shared" si="78"/>
        <v/>
      </c>
      <c r="AW162" s="52" t="str">
        <f t="shared" si="79"/>
        <v/>
      </c>
      <c r="AX162" s="52" t="str">
        <f t="shared" si="56"/>
        <v/>
      </c>
      <c r="AY162" s="52" t="str">
        <f t="shared" si="80"/>
        <v/>
      </c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13"/>
    </row>
    <row r="163" spans="1:163">
      <c r="A163" s="71"/>
      <c r="B163" s="70"/>
      <c r="C163" s="72"/>
      <c r="D163" s="73"/>
      <c r="E163" s="73"/>
      <c r="F163" s="73"/>
      <c r="G163" s="73"/>
      <c r="H163" s="73"/>
      <c r="I163" s="74"/>
      <c r="J163" s="74"/>
      <c r="K163" s="74"/>
      <c r="L163" s="73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0"/>
      <c r="Z163" s="12">
        <f t="shared" si="57"/>
        <v>0</v>
      </c>
      <c r="AA163" s="14">
        <f t="shared" si="55"/>
        <v>0</v>
      </c>
      <c r="AB163" s="6">
        <f t="shared" si="58"/>
        <v>0</v>
      </c>
      <c r="AC163" s="6">
        <f t="shared" si="59"/>
        <v>0</v>
      </c>
      <c r="AD163" s="6">
        <f t="shared" si="60"/>
        <v>0</v>
      </c>
      <c r="AE163" s="52" t="str">
        <f t="shared" si="61"/>
        <v/>
      </c>
      <c r="AF163" s="52" t="str">
        <f t="shared" si="62"/>
        <v/>
      </c>
      <c r="AG163" s="50" t="str">
        <f t="shared" si="63"/>
        <v/>
      </c>
      <c r="AH163" s="50" t="str">
        <f t="shared" si="64"/>
        <v/>
      </c>
      <c r="AI163" s="52" t="str">
        <f t="shared" si="65"/>
        <v/>
      </c>
      <c r="AJ163" s="52" t="str">
        <f t="shared" si="66"/>
        <v/>
      </c>
      <c r="AK163" s="52" t="str">
        <f t="shared" si="67"/>
        <v/>
      </c>
      <c r="AL163" s="52" t="str">
        <f t="shared" si="68"/>
        <v/>
      </c>
      <c r="AM163" s="52" t="str">
        <f t="shared" si="69"/>
        <v/>
      </c>
      <c r="AN163" s="52" t="str">
        <f t="shared" si="70"/>
        <v/>
      </c>
      <c r="AO163" s="52" t="str">
        <f t="shared" si="71"/>
        <v/>
      </c>
      <c r="AP163" s="52" t="str">
        <f t="shared" si="72"/>
        <v/>
      </c>
      <c r="AQ163" s="52" t="str">
        <f t="shared" si="73"/>
        <v/>
      </c>
      <c r="AR163" s="52" t="str">
        <f t="shared" si="74"/>
        <v/>
      </c>
      <c r="AS163" s="52" t="str">
        <f t="shared" si="75"/>
        <v/>
      </c>
      <c r="AT163" s="52" t="str">
        <f t="shared" si="76"/>
        <v/>
      </c>
      <c r="AU163" s="52" t="str">
        <f t="shared" si="77"/>
        <v/>
      </c>
      <c r="AV163" s="52" t="str">
        <f t="shared" si="78"/>
        <v/>
      </c>
      <c r="AW163" s="52" t="str">
        <f t="shared" si="79"/>
        <v/>
      </c>
      <c r="AX163" s="52" t="str">
        <f t="shared" si="56"/>
        <v/>
      </c>
      <c r="AY163" s="52" t="str">
        <f t="shared" si="80"/>
        <v/>
      </c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13"/>
    </row>
    <row r="164" spans="1:163">
      <c r="A164" s="71"/>
      <c r="B164" s="70"/>
      <c r="C164" s="72"/>
      <c r="D164" s="73"/>
      <c r="E164" s="73"/>
      <c r="F164" s="73"/>
      <c r="G164" s="73"/>
      <c r="H164" s="73"/>
      <c r="I164" s="74"/>
      <c r="J164" s="74"/>
      <c r="K164" s="74"/>
      <c r="L164" s="73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0"/>
      <c r="Z164" s="12">
        <f t="shared" si="57"/>
        <v>0</v>
      </c>
      <c r="AA164" s="14">
        <f t="shared" si="55"/>
        <v>0</v>
      </c>
      <c r="AB164" s="6">
        <f t="shared" si="58"/>
        <v>0</v>
      </c>
      <c r="AC164" s="6">
        <f t="shared" si="59"/>
        <v>0</v>
      </c>
      <c r="AD164" s="6">
        <f t="shared" si="60"/>
        <v>0</v>
      </c>
      <c r="AE164" s="52" t="str">
        <f t="shared" si="61"/>
        <v/>
      </c>
      <c r="AF164" s="52" t="str">
        <f t="shared" si="62"/>
        <v/>
      </c>
      <c r="AG164" s="50" t="str">
        <f t="shared" si="63"/>
        <v/>
      </c>
      <c r="AH164" s="50" t="str">
        <f t="shared" si="64"/>
        <v/>
      </c>
      <c r="AI164" s="52" t="str">
        <f t="shared" si="65"/>
        <v/>
      </c>
      <c r="AJ164" s="52" t="str">
        <f t="shared" si="66"/>
        <v/>
      </c>
      <c r="AK164" s="52" t="str">
        <f t="shared" si="67"/>
        <v/>
      </c>
      <c r="AL164" s="52" t="str">
        <f t="shared" si="68"/>
        <v/>
      </c>
      <c r="AM164" s="52" t="str">
        <f t="shared" si="69"/>
        <v/>
      </c>
      <c r="AN164" s="52" t="str">
        <f t="shared" si="70"/>
        <v/>
      </c>
      <c r="AO164" s="52" t="str">
        <f t="shared" si="71"/>
        <v/>
      </c>
      <c r="AP164" s="52" t="str">
        <f t="shared" si="72"/>
        <v/>
      </c>
      <c r="AQ164" s="52" t="str">
        <f t="shared" si="73"/>
        <v/>
      </c>
      <c r="AR164" s="52" t="str">
        <f t="shared" si="74"/>
        <v/>
      </c>
      <c r="AS164" s="52" t="str">
        <f t="shared" si="75"/>
        <v/>
      </c>
      <c r="AT164" s="52" t="str">
        <f t="shared" si="76"/>
        <v/>
      </c>
      <c r="AU164" s="52" t="str">
        <f t="shared" si="77"/>
        <v/>
      </c>
      <c r="AV164" s="52" t="str">
        <f t="shared" si="78"/>
        <v/>
      </c>
      <c r="AW164" s="52" t="str">
        <f t="shared" si="79"/>
        <v/>
      </c>
      <c r="AX164" s="52" t="str">
        <f t="shared" si="56"/>
        <v/>
      </c>
      <c r="AY164" s="52" t="str">
        <f t="shared" si="80"/>
        <v/>
      </c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13"/>
    </row>
    <row r="165" spans="1:163">
      <c r="A165" s="71"/>
      <c r="B165" s="70"/>
      <c r="C165" s="72"/>
      <c r="D165" s="73"/>
      <c r="E165" s="73"/>
      <c r="F165" s="73"/>
      <c r="G165" s="73"/>
      <c r="H165" s="73"/>
      <c r="I165" s="74"/>
      <c r="J165" s="74"/>
      <c r="K165" s="74"/>
      <c r="L165" s="73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0"/>
      <c r="Z165" s="12">
        <f t="shared" si="57"/>
        <v>0</v>
      </c>
      <c r="AA165" s="14">
        <f t="shared" si="55"/>
        <v>0</v>
      </c>
      <c r="AB165" s="6">
        <f t="shared" si="58"/>
        <v>0</v>
      </c>
      <c r="AC165" s="6">
        <f t="shared" si="59"/>
        <v>0</v>
      </c>
      <c r="AD165" s="6">
        <f t="shared" si="60"/>
        <v>0</v>
      </c>
      <c r="AE165" s="52" t="str">
        <f t="shared" si="61"/>
        <v/>
      </c>
      <c r="AF165" s="52" t="str">
        <f t="shared" si="62"/>
        <v/>
      </c>
      <c r="AG165" s="50" t="str">
        <f t="shared" si="63"/>
        <v/>
      </c>
      <c r="AH165" s="50" t="str">
        <f t="shared" si="64"/>
        <v/>
      </c>
      <c r="AI165" s="52" t="str">
        <f t="shared" si="65"/>
        <v/>
      </c>
      <c r="AJ165" s="52" t="str">
        <f t="shared" si="66"/>
        <v/>
      </c>
      <c r="AK165" s="52" t="str">
        <f t="shared" si="67"/>
        <v/>
      </c>
      <c r="AL165" s="52" t="str">
        <f t="shared" si="68"/>
        <v/>
      </c>
      <c r="AM165" s="52" t="str">
        <f t="shared" si="69"/>
        <v/>
      </c>
      <c r="AN165" s="52" t="str">
        <f t="shared" si="70"/>
        <v/>
      </c>
      <c r="AO165" s="52" t="str">
        <f t="shared" si="71"/>
        <v/>
      </c>
      <c r="AP165" s="52" t="str">
        <f t="shared" si="72"/>
        <v/>
      </c>
      <c r="AQ165" s="52" t="str">
        <f t="shared" si="73"/>
        <v/>
      </c>
      <c r="AR165" s="52" t="str">
        <f t="shared" si="74"/>
        <v/>
      </c>
      <c r="AS165" s="52" t="str">
        <f t="shared" si="75"/>
        <v/>
      </c>
      <c r="AT165" s="52" t="str">
        <f t="shared" si="76"/>
        <v/>
      </c>
      <c r="AU165" s="52" t="str">
        <f t="shared" si="77"/>
        <v/>
      </c>
      <c r="AV165" s="52" t="str">
        <f t="shared" si="78"/>
        <v/>
      </c>
      <c r="AW165" s="52" t="str">
        <f t="shared" si="79"/>
        <v/>
      </c>
      <c r="AX165" s="52" t="str">
        <f t="shared" si="56"/>
        <v/>
      </c>
      <c r="AY165" s="52" t="str">
        <f t="shared" si="80"/>
        <v/>
      </c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13"/>
    </row>
    <row r="166" spans="1:163">
      <c r="A166" s="71"/>
      <c r="B166" s="70"/>
      <c r="C166" s="72"/>
      <c r="D166" s="73"/>
      <c r="E166" s="73"/>
      <c r="F166" s="73"/>
      <c r="G166" s="73"/>
      <c r="H166" s="73"/>
      <c r="I166" s="74"/>
      <c r="J166" s="74"/>
      <c r="K166" s="74"/>
      <c r="L166" s="73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0"/>
      <c r="Z166" s="12">
        <f t="shared" si="57"/>
        <v>0</v>
      </c>
      <c r="AA166" s="14">
        <f t="shared" si="55"/>
        <v>0</v>
      </c>
      <c r="AB166" s="6">
        <f t="shared" si="58"/>
        <v>0</v>
      </c>
      <c r="AC166" s="6">
        <f t="shared" si="59"/>
        <v>0</v>
      </c>
      <c r="AD166" s="6">
        <f t="shared" si="60"/>
        <v>0</v>
      </c>
      <c r="AE166" s="52" t="str">
        <f t="shared" si="61"/>
        <v/>
      </c>
      <c r="AF166" s="52" t="str">
        <f t="shared" si="62"/>
        <v/>
      </c>
      <c r="AG166" s="50" t="str">
        <f t="shared" si="63"/>
        <v/>
      </c>
      <c r="AH166" s="50" t="str">
        <f t="shared" si="64"/>
        <v/>
      </c>
      <c r="AI166" s="52" t="str">
        <f t="shared" si="65"/>
        <v/>
      </c>
      <c r="AJ166" s="52" t="str">
        <f t="shared" si="66"/>
        <v/>
      </c>
      <c r="AK166" s="52" t="str">
        <f t="shared" si="67"/>
        <v/>
      </c>
      <c r="AL166" s="52" t="str">
        <f t="shared" si="68"/>
        <v/>
      </c>
      <c r="AM166" s="52" t="str">
        <f t="shared" si="69"/>
        <v/>
      </c>
      <c r="AN166" s="52" t="str">
        <f t="shared" si="70"/>
        <v/>
      </c>
      <c r="AO166" s="52" t="str">
        <f t="shared" si="71"/>
        <v/>
      </c>
      <c r="AP166" s="52" t="str">
        <f t="shared" si="72"/>
        <v/>
      </c>
      <c r="AQ166" s="52" t="str">
        <f t="shared" si="73"/>
        <v/>
      </c>
      <c r="AR166" s="52" t="str">
        <f t="shared" si="74"/>
        <v/>
      </c>
      <c r="AS166" s="52" t="str">
        <f t="shared" si="75"/>
        <v/>
      </c>
      <c r="AT166" s="52" t="str">
        <f t="shared" si="76"/>
        <v/>
      </c>
      <c r="AU166" s="52" t="str">
        <f t="shared" si="77"/>
        <v/>
      </c>
      <c r="AV166" s="52" t="str">
        <f t="shared" si="78"/>
        <v/>
      </c>
      <c r="AW166" s="52" t="str">
        <f t="shared" si="79"/>
        <v/>
      </c>
      <c r="AX166" s="52" t="str">
        <f t="shared" si="56"/>
        <v/>
      </c>
      <c r="AY166" s="52" t="str">
        <f t="shared" si="80"/>
        <v/>
      </c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13"/>
    </row>
    <row r="167" spans="1:163">
      <c r="A167" s="71"/>
      <c r="B167" s="70"/>
      <c r="C167" s="72"/>
      <c r="D167" s="73"/>
      <c r="E167" s="73"/>
      <c r="F167" s="73"/>
      <c r="G167" s="73"/>
      <c r="H167" s="73"/>
      <c r="I167" s="74"/>
      <c r="J167" s="74"/>
      <c r="K167" s="74"/>
      <c r="L167" s="73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0"/>
      <c r="Z167" s="12">
        <f t="shared" si="57"/>
        <v>0</v>
      </c>
      <c r="AA167" s="14">
        <f t="shared" si="55"/>
        <v>0</v>
      </c>
      <c r="AB167" s="6">
        <f t="shared" si="58"/>
        <v>0</v>
      </c>
      <c r="AC167" s="6">
        <f t="shared" si="59"/>
        <v>0</v>
      </c>
      <c r="AD167" s="6">
        <f t="shared" si="60"/>
        <v>0</v>
      </c>
      <c r="AE167" s="52" t="str">
        <f t="shared" si="61"/>
        <v/>
      </c>
      <c r="AF167" s="52" t="str">
        <f t="shared" si="62"/>
        <v/>
      </c>
      <c r="AG167" s="50" t="str">
        <f t="shared" si="63"/>
        <v/>
      </c>
      <c r="AH167" s="50" t="str">
        <f t="shared" si="64"/>
        <v/>
      </c>
      <c r="AI167" s="52" t="str">
        <f t="shared" si="65"/>
        <v/>
      </c>
      <c r="AJ167" s="52" t="str">
        <f t="shared" si="66"/>
        <v/>
      </c>
      <c r="AK167" s="52" t="str">
        <f t="shared" si="67"/>
        <v/>
      </c>
      <c r="AL167" s="52" t="str">
        <f t="shared" si="68"/>
        <v/>
      </c>
      <c r="AM167" s="52" t="str">
        <f t="shared" si="69"/>
        <v/>
      </c>
      <c r="AN167" s="52" t="str">
        <f t="shared" si="70"/>
        <v/>
      </c>
      <c r="AO167" s="52" t="str">
        <f t="shared" si="71"/>
        <v/>
      </c>
      <c r="AP167" s="52" t="str">
        <f t="shared" si="72"/>
        <v/>
      </c>
      <c r="AQ167" s="52" t="str">
        <f t="shared" si="73"/>
        <v/>
      </c>
      <c r="AR167" s="52" t="str">
        <f t="shared" si="74"/>
        <v/>
      </c>
      <c r="AS167" s="52" t="str">
        <f t="shared" si="75"/>
        <v/>
      </c>
      <c r="AT167" s="52" t="str">
        <f t="shared" si="76"/>
        <v/>
      </c>
      <c r="AU167" s="52" t="str">
        <f t="shared" si="77"/>
        <v/>
      </c>
      <c r="AV167" s="52" t="str">
        <f t="shared" si="78"/>
        <v/>
      </c>
      <c r="AW167" s="52" t="str">
        <f t="shared" si="79"/>
        <v/>
      </c>
      <c r="AX167" s="52" t="str">
        <f t="shared" si="56"/>
        <v/>
      </c>
      <c r="AY167" s="52" t="str">
        <f t="shared" si="80"/>
        <v/>
      </c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13"/>
    </row>
    <row r="168" spans="1:163">
      <c r="A168" s="71"/>
      <c r="B168" s="70"/>
      <c r="C168" s="72"/>
      <c r="D168" s="73"/>
      <c r="E168" s="73"/>
      <c r="F168" s="73"/>
      <c r="G168" s="73"/>
      <c r="H168" s="73"/>
      <c r="I168" s="74"/>
      <c r="J168" s="74"/>
      <c r="K168" s="74"/>
      <c r="L168" s="73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0"/>
      <c r="Z168" s="12">
        <f t="shared" si="57"/>
        <v>0</v>
      </c>
      <c r="AA168" s="14">
        <f t="shared" si="55"/>
        <v>0</v>
      </c>
      <c r="AB168" s="6">
        <f t="shared" si="58"/>
        <v>0</v>
      </c>
      <c r="AC168" s="6">
        <f t="shared" si="59"/>
        <v>0</v>
      </c>
      <c r="AD168" s="6">
        <f t="shared" si="60"/>
        <v>0</v>
      </c>
      <c r="AE168" s="52" t="str">
        <f t="shared" si="61"/>
        <v/>
      </c>
      <c r="AF168" s="52" t="str">
        <f t="shared" si="62"/>
        <v/>
      </c>
      <c r="AG168" s="50" t="str">
        <f t="shared" si="63"/>
        <v/>
      </c>
      <c r="AH168" s="50" t="str">
        <f t="shared" si="64"/>
        <v/>
      </c>
      <c r="AI168" s="52" t="str">
        <f t="shared" si="65"/>
        <v/>
      </c>
      <c r="AJ168" s="52" t="str">
        <f t="shared" si="66"/>
        <v/>
      </c>
      <c r="AK168" s="52" t="str">
        <f t="shared" si="67"/>
        <v/>
      </c>
      <c r="AL168" s="52" t="str">
        <f t="shared" si="68"/>
        <v/>
      </c>
      <c r="AM168" s="52" t="str">
        <f t="shared" si="69"/>
        <v/>
      </c>
      <c r="AN168" s="52" t="str">
        <f t="shared" si="70"/>
        <v/>
      </c>
      <c r="AO168" s="52" t="str">
        <f t="shared" si="71"/>
        <v/>
      </c>
      <c r="AP168" s="52" t="str">
        <f t="shared" si="72"/>
        <v/>
      </c>
      <c r="AQ168" s="52" t="str">
        <f t="shared" si="73"/>
        <v/>
      </c>
      <c r="AR168" s="52" t="str">
        <f t="shared" si="74"/>
        <v/>
      </c>
      <c r="AS168" s="52" t="str">
        <f t="shared" si="75"/>
        <v/>
      </c>
      <c r="AT168" s="52" t="str">
        <f t="shared" si="76"/>
        <v/>
      </c>
      <c r="AU168" s="52" t="str">
        <f t="shared" si="77"/>
        <v/>
      </c>
      <c r="AV168" s="52" t="str">
        <f t="shared" si="78"/>
        <v/>
      </c>
      <c r="AW168" s="52" t="str">
        <f t="shared" si="79"/>
        <v/>
      </c>
      <c r="AX168" s="52" t="str">
        <f t="shared" si="56"/>
        <v/>
      </c>
      <c r="AY168" s="52" t="str">
        <f t="shared" si="80"/>
        <v/>
      </c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13"/>
    </row>
    <row r="169" spans="1:163">
      <c r="A169" s="71"/>
      <c r="B169" s="70"/>
      <c r="C169" s="72"/>
      <c r="D169" s="73"/>
      <c r="E169" s="73"/>
      <c r="F169" s="73"/>
      <c r="G169" s="73"/>
      <c r="H169" s="73"/>
      <c r="I169" s="74"/>
      <c r="J169" s="74"/>
      <c r="K169" s="74"/>
      <c r="L169" s="73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0"/>
      <c r="Z169" s="12">
        <f t="shared" si="57"/>
        <v>0</v>
      </c>
      <c r="AA169" s="14">
        <f t="shared" si="55"/>
        <v>0</v>
      </c>
      <c r="AB169" s="6">
        <f t="shared" si="58"/>
        <v>0</v>
      </c>
      <c r="AC169" s="6">
        <f t="shared" si="59"/>
        <v>0</v>
      </c>
      <c r="AD169" s="6">
        <f t="shared" si="60"/>
        <v>0</v>
      </c>
      <c r="AE169" s="52" t="str">
        <f t="shared" si="61"/>
        <v/>
      </c>
      <c r="AF169" s="52" t="str">
        <f t="shared" si="62"/>
        <v/>
      </c>
      <c r="AG169" s="50" t="str">
        <f t="shared" si="63"/>
        <v/>
      </c>
      <c r="AH169" s="50" t="str">
        <f t="shared" si="64"/>
        <v/>
      </c>
      <c r="AI169" s="52" t="str">
        <f t="shared" si="65"/>
        <v/>
      </c>
      <c r="AJ169" s="52" t="str">
        <f t="shared" si="66"/>
        <v/>
      </c>
      <c r="AK169" s="52" t="str">
        <f t="shared" si="67"/>
        <v/>
      </c>
      <c r="AL169" s="52" t="str">
        <f t="shared" si="68"/>
        <v/>
      </c>
      <c r="AM169" s="52" t="str">
        <f t="shared" si="69"/>
        <v/>
      </c>
      <c r="AN169" s="52" t="str">
        <f t="shared" si="70"/>
        <v/>
      </c>
      <c r="AO169" s="52" t="str">
        <f t="shared" si="71"/>
        <v/>
      </c>
      <c r="AP169" s="52" t="str">
        <f t="shared" si="72"/>
        <v/>
      </c>
      <c r="AQ169" s="52" t="str">
        <f t="shared" si="73"/>
        <v/>
      </c>
      <c r="AR169" s="52" t="str">
        <f t="shared" si="74"/>
        <v/>
      </c>
      <c r="AS169" s="52" t="str">
        <f t="shared" si="75"/>
        <v/>
      </c>
      <c r="AT169" s="52" t="str">
        <f t="shared" si="76"/>
        <v/>
      </c>
      <c r="AU169" s="52" t="str">
        <f t="shared" si="77"/>
        <v/>
      </c>
      <c r="AV169" s="52" t="str">
        <f t="shared" si="78"/>
        <v/>
      </c>
      <c r="AW169" s="52" t="str">
        <f t="shared" si="79"/>
        <v/>
      </c>
      <c r="AX169" s="52" t="str">
        <f t="shared" si="56"/>
        <v/>
      </c>
      <c r="AY169" s="52" t="str">
        <f t="shared" si="80"/>
        <v/>
      </c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13"/>
    </row>
    <row r="170" spans="1:163">
      <c r="A170" s="71"/>
      <c r="B170" s="70"/>
      <c r="C170" s="72"/>
      <c r="D170" s="73"/>
      <c r="E170" s="73"/>
      <c r="F170" s="73"/>
      <c r="G170" s="73"/>
      <c r="H170" s="73"/>
      <c r="I170" s="74"/>
      <c r="J170" s="74"/>
      <c r="K170" s="74"/>
      <c r="L170" s="73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0"/>
      <c r="Z170" s="12">
        <f t="shared" si="57"/>
        <v>0</v>
      </c>
      <c r="AA170" s="14">
        <f t="shared" si="55"/>
        <v>0</v>
      </c>
      <c r="AB170" s="6">
        <f t="shared" si="58"/>
        <v>0</v>
      </c>
      <c r="AC170" s="6">
        <f t="shared" si="59"/>
        <v>0</v>
      </c>
      <c r="AD170" s="6">
        <f t="shared" si="60"/>
        <v>0</v>
      </c>
      <c r="AE170" s="52" t="str">
        <f t="shared" si="61"/>
        <v/>
      </c>
      <c r="AF170" s="52" t="str">
        <f t="shared" si="62"/>
        <v/>
      </c>
      <c r="AG170" s="50" t="str">
        <f t="shared" si="63"/>
        <v/>
      </c>
      <c r="AH170" s="50" t="str">
        <f t="shared" si="64"/>
        <v/>
      </c>
      <c r="AI170" s="52" t="str">
        <f t="shared" si="65"/>
        <v/>
      </c>
      <c r="AJ170" s="52" t="str">
        <f t="shared" si="66"/>
        <v/>
      </c>
      <c r="AK170" s="52" t="str">
        <f t="shared" si="67"/>
        <v/>
      </c>
      <c r="AL170" s="52" t="str">
        <f t="shared" si="68"/>
        <v/>
      </c>
      <c r="AM170" s="52" t="str">
        <f t="shared" si="69"/>
        <v/>
      </c>
      <c r="AN170" s="52" t="str">
        <f t="shared" si="70"/>
        <v/>
      </c>
      <c r="AO170" s="52" t="str">
        <f t="shared" si="71"/>
        <v/>
      </c>
      <c r="AP170" s="52" t="str">
        <f t="shared" si="72"/>
        <v/>
      </c>
      <c r="AQ170" s="52" t="str">
        <f t="shared" si="73"/>
        <v/>
      </c>
      <c r="AR170" s="52" t="str">
        <f t="shared" si="74"/>
        <v/>
      </c>
      <c r="AS170" s="52" t="str">
        <f t="shared" si="75"/>
        <v/>
      </c>
      <c r="AT170" s="52" t="str">
        <f t="shared" si="76"/>
        <v/>
      </c>
      <c r="AU170" s="52" t="str">
        <f t="shared" si="77"/>
        <v/>
      </c>
      <c r="AV170" s="52" t="str">
        <f t="shared" si="78"/>
        <v/>
      </c>
      <c r="AW170" s="52" t="str">
        <f t="shared" si="79"/>
        <v/>
      </c>
      <c r="AX170" s="52" t="str">
        <f t="shared" si="56"/>
        <v/>
      </c>
      <c r="AY170" s="52" t="str">
        <f t="shared" si="80"/>
        <v/>
      </c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13"/>
    </row>
    <row r="171" spans="1:163">
      <c r="A171" s="71"/>
      <c r="B171" s="70"/>
      <c r="C171" s="72"/>
      <c r="D171" s="73"/>
      <c r="E171" s="73"/>
      <c r="F171" s="73"/>
      <c r="G171" s="73"/>
      <c r="H171" s="73"/>
      <c r="I171" s="74"/>
      <c r="J171" s="74"/>
      <c r="K171" s="74"/>
      <c r="L171" s="73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0"/>
      <c r="Z171" s="12">
        <f t="shared" si="57"/>
        <v>0</v>
      </c>
      <c r="AA171" s="14">
        <f t="shared" si="55"/>
        <v>0</v>
      </c>
      <c r="AB171" s="6">
        <f t="shared" si="58"/>
        <v>0</v>
      </c>
      <c r="AC171" s="6">
        <f t="shared" si="59"/>
        <v>0</v>
      </c>
      <c r="AD171" s="6">
        <f t="shared" si="60"/>
        <v>0</v>
      </c>
      <c r="AE171" s="52" t="str">
        <f t="shared" si="61"/>
        <v/>
      </c>
      <c r="AF171" s="52" t="str">
        <f t="shared" si="62"/>
        <v/>
      </c>
      <c r="AG171" s="50" t="str">
        <f t="shared" si="63"/>
        <v/>
      </c>
      <c r="AH171" s="50" t="str">
        <f t="shared" si="64"/>
        <v/>
      </c>
      <c r="AI171" s="52" t="str">
        <f t="shared" si="65"/>
        <v/>
      </c>
      <c r="AJ171" s="52" t="str">
        <f t="shared" si="66"/>
        <v/>
      </c>
      <c r="AK171" s="52" t="str">
        <f t="shared" si="67"/>
        <v/>
      </c>
      <c r="AL171" s="52" t="str">
        <f t="shared" si="68"/>
        <v/>
      </c>
      <c r="AM171" s="52" t="str">
        <f t="shared" si="69"/>
        <v/>
      </c>
      <c r="AN171" s="52" t="str">
        <f t="shared" si="70"/>
        <v/>
      </c>
      <c r="AO171" s="52" t="str">
        <f t="shared" si="71"/>
        <v/>
      </c>
      <c r="AP171" s="52" t="str">
        <f t="shared" si="72"/>
        <v/>
      </c>
      <c r="AQ171" s="52" t="str">
        <f t="shared" si="73"/>
        <v/>
      </c>
      <c r="AR171" s="52" t="str">
        <f t="shared" si="74"/>
        <v/>
      </c>
      <c r="AS171" s="52" t="str">
        <f t="shared" si="75"/>
        <v/>
      </c>
      <c r="AT171" s="52" t="str">
        <f t="shared" si="76"/>
        <v/>
      </c>
      <c r="AU171" s="52" t="str">
        <f t="shared" si="77"/>
        <v/>
      </c>
      <c r="AV171" s="52" t="str">
        <f t="shared" si="78"/>
        <v/>
      </c>
      <c r="AW171" s="52" t="str">
        <f t="shared" si="79"/>
        <v/>
      </c>
      <c r="AX171" s="52" t="str">
        <f t="shared" si="56"/>
        <v/>
      </c>
      <c r="AY171" s="52" t="str">
        <f t="shared" si="80"/>
        <v/>
      </c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13"/>
    </row>
    <row r="172" spans="1:163">
      <c r="A172" s="71"/>
      <c r="B172" s="70"/>
      <c r="C172" s="72"/>
      <c r="D172" s="73"/>
      <c r="E172" s="73"/>
      <c r="F172" s="73"/>
      <c r="G172" s="73"/>
      <c r="H172" s="73"/>
      <c r="I172" s="74"/>
      <c r="J172" s="74"/>
      <c r="K172" s="74"/>
      <c r="L172" s="73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0"/>
      <c r="Z172" s="12">
        <f t="shared" si="57"/>
        <v>0</v>
      </c>
      <c r="AA172" s="14">
        <f t="shared" si="55"/>
        <v>0</v>
      </c>
      <c r="AB172" s="6">
        <f t="shared" si="58"/>
        <v>0</v>
      </c>
      <c r="AC172" s="6">
        <f t="shared" si="59"/>
        <v>0</v>
      </c>
      <c r="AD172" s="6">
        <f t="shared" si="60"/>
        <v>0</v>
      </c>
      <c r="AE172" s="52" t="str">
        <f t="shared" si="61"/>
        <v/>
      </c>
      <c r="AF172" s="52" t="str">
        <f t="shared" si="62"/>
        <v/>
      </c>
      <c r="AG172" s="50" t="str">
        <f t="shared" si="63"/>
        <v/>
      </c>
      <c r="AH172" s="50" t="str">
        <f t="shared" si="64"/>
        <v/>
      </c>
      <c r="AI172" s="52" t="str">
        <f t="shared" si="65"/>
        <v/>
      </c>
      <c r="AJ172" s="52" t="str">
        <f t="shared" si="66"/>
        <v/>
      </c>
      <c r="AK172" s="52" t="str">
        <f t="shared" si="67"/>
        <v/>
      </c>
      <c r="AL172" s="52" t="str">
        <f t="shared" si="68"/>
        <v/>
      </c>
      <c r="AM172" s="52" t="str">
        <f t="shared" si="69"/>
        <v/>
      </c>
      <c r="AN172" s="52" t="str">
        <f t="shared" si="70"/>
        <v/>
      </c>
      <c r="AO172" s="52" t="str">
        <f t="shared" si="71"/>
        <v/>
      </c>
      <c r="AP172" s="52" t="str">
        <f t="shared" si="72"/>
        <v/>
      </c>
      <c r="AQ172" s="52" t="str">
        <f t="shared" si="73"/>
        <v/>
      </c>
      <c r="AR172" s="52" t="str">
        <f t="shared" si="74"/>
        <v/>
      </c>
      <c r="AS172" s="52" t="str">
        <f t="shared" si="75"/>
        <v/>
      </c>
      <c r="AT172" s="52" t="str">
        <f t="shared" si="76"/>
        <v/>
      </c>
      <c r="AU172" s="52" t="str">
        <f t="shared" si="77"/>
        <v/>
      </c>
      <c r="AV172" s="52" t="str">
        <f t="shared" si="78"/>
        <v/>
      </c>
      <c r="AW172" s="52" t="str">
        <f t="shared" si="79"/>
        <v/>
      </c>
      <c r="AX172" s="52" t="str">
        <f t="shared" si="56"/>
        <v/>
      </c>
      <c r="AY172" s="52" t="str">
        <f t="shared" si="80"/>
        <v/>
      </c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13"/>
    </row>
    <row r="173" spans="1:163">
      <c r="A173" s="71"/>
      <c r="B173" s="70"/>
      <c r="C173" s="72"/>
      <c r="D173" s="73"/>
      <c r="E173" s="73"/>
      <c r="F173" s="73"/>
      <c r="G173" s="73"/>
      <c r="H173" s="73"/>
      <c r="I173" s="74"/>
      <c r="J173" s="74"/>
      <c r="K173" s="74"/>
      <c r="L173" s="73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0"/>
      <c r="Z173" s="12">
        <f t="shared" si="57"/>
        <v>0</v>
      </c>
      <c r="AA173" s="14">
        <f t="shared" si="55"/>
        <v>0</v>
      </c>
      <c r="AB173" s="6">
        <f t="shared" si="58"/>
        <v>0</v>
      </c>
      <c r="AC173" s="6">
        <f t="shared" si="59"/>
        <v>0</v>
      </c>
      <c r="AD173" s="6">
        <f t="shared" si="60"/>
        <v>0</v>
      </c>
      <c r="AE173" s="52" t="str">
        <f t="shared" si="61"/>
        <v/>
      </c>
      <c r="AF173" s="52" t="str">
        <f t="shared" si="62"/>
        <v/>
      </c>
      <c r="AG173" s="50" t="str">
        <f t="shared" si="63"/>
        <v/>
      </c>
      <c r="AH173" s="50" t="str">
        <f t="shared" si="64"/>
        <v/>
      </c>
      <c r="AI173" s="52" t="str">
        <f t="shared" si="65"/>
        <v/>
      </c>
      <c r="AJ173" s="52" t="str">
        <f t="shared" si="66"/>
        <v/>
      </c>
      <c r="AK173" s="52" t="str">
        <f t="shared" si="67"/>
        <v/>
      </c>
      <c r="AL173" s="52" t="str">
        <f t="shared" si="68"/>
        <v/>
      </c>
      <c r="AM173" s="52" t="str">
        <f t="shared" si="69"/>
        <v/>
      </c>
      <c r="AN173" s="52" t="str">
        <f t="shared" si="70"/>
        <v/>
      </c>
      <c r="AO173" s="52" t="str">
        <f t="shared" si="71"/>
        <v/>
      </c>
      <c r="AP173" s="52" t="str">
        <f t="shared" si="72"/>
        <v/>
      </c>
      <c r="AQ173" s="52" t="str">
        <f t="shared" si="73"/>
        <v/>
      </c>
      <c r="AR173" s="52" t="str">
        <f t="shared" si="74"/>
        <v/>
      </c>
      <c r="AS173" s="52" t="str">
        <f t="shared" si="75"/>
        <v/>
      </c>
      <c r="AT173" s="52" t="str">
        <f t="shared" si="76"/>
        <v/>
      </c>
      <c r="AU173" s="52" t="str">
        <f t="shared" si="77"/>
        <v/>
      </c>
      <c r="AV173" s="52" t="str">
        <f t="shared" si="78"/>
        <v/>
      </c>
      <c r="AW173" s="52" t="str">
        <f t="shared" si="79"/>
        <v/>
      </c>
      <c r="AX173" s="52" t="str">
        <f t="shared" si="56"/>
        <v/>
      </c>
      <c r="AY173" s="52" t="str">
        <f t="shared" si="80"/>
        <v/>
      </c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13"/>
    </row>
    <row r="174" spans="1:163">
      <c r="A174" s="71"/>
      <c r="B174" s="70"/>
      <c r="C174" s="72"/>
      <c r="D174" s="73"/>
      <c r="E174" s="73"/>
      <c r="F174" s="73"/>
      <c r="G174" s="73"/>
      <c r="H174" s="73"/>
      <c r="I174" s="74"/>
      <c r="J174" s="74"/>
      <c r="K174" s="74"/>
      <c r="L174" s="73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0"/>
      <c r="Z174" s="12">
        <f t="shared" si="57"/>
        <v>0</v>
      </c>
      <c r="AA174" s="14">
        <f t="shared" si="55"/>
        <v>0</v>
      </c>
      <c r="AB174" s="6">
        <f t="shared" si="58"/>
        <v>0</v>
      </c>
      <c r="AC174" s="6">
        <f t="shared" si="59"/>
        <v>0</v>
      </c>
      <c r="AD174" s="6">
        <f t="shared" si="60"/>
        <v>0</v>
      </c>
      <c r="AE174" s="52" t="str">
        <f t="shared" si="61"/>
        <v/>
      </c>
      <c r="AF174" s="52" t="str">
        <f t="shared" si="62"/>
        <v/>
      </c>
      <c r="AG174" s="50" t="str">
        <f t="shared" si="63"/>
        <v/>
      </c>
      <c r="AH174" s="50" t="str">
        <f t="shared" si="64"/>
        <v/>
      </c>
      <c r="AI174" s="52" t="str">
        <f t="shared" si="65"/>
        <v/>
      </c>
      <c r="AJ174" s="52" t="str">
        <f t="shared" si="66"/>
        <v/>
      </c>
      <c r="AK174" s="52" t="str">
        <f t="shared" si="67"/>
        <v/>
      </c>
      <c r="AL174" s="52" t="str">
        <f t="shared" si="68"/>
        <v/>
      </c>
      <c r="AM174" s="52" t="str">
        <f t="shared" si="69"/>
        <v/>
      </c>
      <c r="AN174" s="52" t="str">
        <f t="shared" si="70"/>
        <v/>
      </c>
      <c r="AO174" s="52" t="str">
        <f t="shared" si="71"/>
        <v/>
      </c>
      <c r="AP174" s="52" t="str">
        <f t="shared" si="72"/>
        <v/>
      </c>
      <c r="AQ174" s="52" t="str">
        <f t="shared" si="73"/>
        <v/>
      </c>
      <c r="AR174" s="52" t="str">
        <f t="shared" si="74"/>
        <v/>
      </c>
      <c r="AS174" s="52" t="str">
        <f t="shared" si="75"/>
        <v/>
      </c>
      <c r="AT174" s="52" t="str">
        <f t="shared" si="76"/>
        <v/>
      </c>
      <c r="AU174" s="52" t="str">
        <f t="shared" si="77"/>
        <v/>
      </c>
      <c r="AV174" s="52" t="str">
        <f t="shared" si="78"/>
        <v/>
      </c>
      <c r="AW174" s="52" t="str">
        <f t="shared" si="79"/>
        <v/>
      </c>
      <c r="AX174" s="52" t="str">
        <f t="shared" si="56"/>
        <v/>
      </c>
      <c r="AY174" s="52" t="str">
        <f t="shared" si="80"/>
        <v/>
      </c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13"/>
    </row>
    <row r="175" spans="1:163">
      <c r="A175" s="71"/>
      <c r="B175" s="70"/>
      <c r="C175" s="72"/>
      <c r="D175" s="73"/>
      <c r="E175" s="73"/>
      <c r="F175" s="73"/>
      <c r="G175" s="73"/>
      <c r="H175" s="73"/>
      <c r="I175" s="74"/>
      <c r="J175" s="74"/>
      <c r="K175" s="74"/>
      <c r="L175" s="73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0"/>
      <c r="Z175" s="12">
        <f t="shared" si="57"/>
        <v>0</v>
      </c>
      <c r="AA175" s="14">
        <f t="shared" si="55"/>
        <v>0</v>
      </c>
      <c r="AB175" s="6">
        <f t="shared" si="58"/>
        <v>0</v>
      </c>
      <c r="AC175" s="6">
        <f t="shared" si="59"/>
        <v>0</v>
      </c>
      <c r="AD175" s="6">
        <f t="shared" si="60"/>
        <v>0</v>
      </c>
      <c r="AE175" s="52" t="str">
        <f t="shared" si="61"/>
        <v/>
      </c>
      <c r="AF175" s="52" t="str">
        <f t="shared" si="62"/>
        <v/>
      </c>
      <c r="AG175" s="50" t="str">
        <f t="shared" si="63"/>
        <v/>
      </c>
      <c r="AH175" s="50" t="str">
        <f t="shared" si="64"/>
        <v/>
      </c>
      <c r="AI175" s="52" t="str">
        <f t="shared" si="65"/>
        <v/>
      </c>
      <c r="AJ175" s="52" t="str">
        <f t="shared" si="66"/>
        <v/>
      </c>
      <c r="AK175" s="52" t="str">
        <f t="shared" si="67"/>
        <v/>
      </c>
      <c r="AL175" s="52" t="str">
        <f t="shared" si="68"/>
        <v/>
      </c>
      <c r="AM175" s="52" t="str">
        <f t="shared" si="69"/>
        <v/>
      </c>
      <c r="AN175" s="52" t="str">
        <f t="shared" si="70"/>
        <v/>
      </c>
      <c r="AO175" s="52" t="str">
        <f t="shared" si="71"/>
        <v/>
      </c>
      <c r="AP175" s="52" t="str">
        <f t="shared" si="72"/>
        <v/>
      </c>
      <c r="AQ175" s="52" t="str">
        <f t="shared" si="73"/>
        <v/>
      </c>
      <c r="AR175" s="52" t="str">
        <f t="shared" si="74"/>
        <v/>
      </c>
      <c r="AS175" s="52" t="str">
        <f t="shared" si="75"/>
        <v/>
      </c>
      <c r="AT175" s="52" t="str">
        <f t="shared" si="76"/>
        <v/>
      </c>
      <c r="AU175" s="52" t="str">
        <f t="shared" si="77"/>
        <v/>
      </c>
      <c r="AV175" s="52" t="str">
        <f t="shared" si="78"/>
        <v/>
      </c>
      <c r="AW175" s="52" t="str">
        <f t="shared" si="79"/>
        <v/>
      </c>
      <c r="AX175" s="52" t="str">
        <f t="shared" si="56"/>
        <v/>
      </c>
      <c r="AY175" s="52" t="str">
        <f t="shared" si="80"/>
        <v/>
      </c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2"/>
      <c r="CP175" s="52"/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2"/>
      <c r="DI175" s="52"/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/>
      <c r="EE175" s="52"/>
      <c r="EF175" s="52"/>
      <c r="EG175" s="52"/>
      <c r="EH175" s="52"/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13"/>
    </row>
    <row r="176" spans="1:163">
      <c r="A176" s="71"/>
      <c r="B176" s="70"/>
      <c r="C176" s="72"/>
      <c r="D176" s="73"/>
      <c r="E176" s="73"/>
      <c r="F176" s="73"/>
      <c r="G176" s="73"/>
      <c r="H176" s="73"/>
      <c r="I176" s="74"/>
      <c r="J176" s="74"/>
      <c r="K176" s="74"/>
      <c r="L176" s="73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0"/>
      <c r="Z176" s="12">
        <f t="shared" si="57"/>
        <v>0</v>
      </c>
      <c r="AA176" s="14">
        <f t="shared" si="55"/>
        <v>0</v>
      </c>
      <c r="AB176" s="6">
        <f t="shared" si="58"/>
        <v>0</v>
      </c>
      <c r="AC176" s="6">
        <f t="shared" si="59"/>
        <v>0</v>
      </c>
      <c r="AD176" s="6">
        <f t="shared" si="60"/>
        <v>0</v>
      </c>
      <c r="AE176" s="52" t="str">
        <f t="shared" si="61"/>
        <v/>
      </c>
      <c r="AF176" s="52" t="str">
        <f t="shared" si="62"/>
        <v/>
      </c>
      <c r="AG176" s="50" t="str">
        <f t="shared" si="63"/>
        <v/>
      </c>
      <c r="AH176" s="50" t="str">
        <f t="shared" si="64"/>
        <v/>
      </c>
      <c r="AI176" s="52" t="str">
        <f t="shared" si="65"/>
        <v/>
      </c>
      <c r="AJ176" s="52" t="str">
        <f t="shared" si="66"/>
        <v/>
      </c>
      <c r="AK176" s="52" t="str">
        <f t="shared" si="67"/>
        <v/>
      </c>
      <c r="AL176" s="52" t="str">
        <f t="shared" si="68"/>
        <v/>
      </c>
      <c r="AM176" s="52" t="str">
        <f t="shared" si="69"/>
        <v/>
      </c>
      <c r="AN176" s="52" t="str">
        <f t="shared" si="70"/>
        <v/>
      </c>
      <c r="AO176" s="52" t="str">
        <f t="shared" si="71"/>
        <v/>
      </c>
      <c r="AP176" s="52" t="str">
        <f t="shared" si="72"/>
        <v/>
      </c>
      <c r="AQ176" s="52" t="str">
        <f t="shared" si="73"/>
        <v/>
      </c>
      <c r="AR176" s="52" t="str">
        <f t="shared" si="74"/>
        <v/>
      </c>
      <c r="AS176" s="52" t="str">
        <f t="shared" si="75"/>
        <v/>
      </c>
      <c r="AT176" s="52" t="str">
        <f t="shared" si="76"/>
        <v/>
      </c>
      <c r="AU176" s="52" t="str">
        <f t="shared" si="77"/>
        <v/>
      </c>
      <c r="AV176" s="52" t="str">
        <f t="shared" si="78"/>
        <v/>
      </c>
      <c r="AW176" s="52" t="str">
        <f t="shared" si="79"/>
        <v/>
      </c>
      <c r="AX176" s="52" t="str">
        <f t="shared" si="56"/>
        <v/>
      </c>
      <c r="AY176" s="52" t="str">
        <f t="shared" si="80"/>
        <v/>
      </c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13"/>
    </row>
    <row r="177" spans="1:163">
      <c r="A177" s="71"/>
      <c r="B177" s="70"/>
      <c r="C177" s="72"/>
      <c r="D177" s="73"/>
      <c r="E177" s="73"/>
      <c r="F177" s="73"/>
      <c r="G177" s="73"/>
      <c r="H177" s="73"/>
      <c r="I177" s="74"/>
      <c r="J177" s="74"/>
      <c r="K177" s="74"/>
      <c r="L177" s="73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0"/>
      <c r="Z177" s="12">
        <f t="shared" si="57"/>
        <v>0</v>
      </c>
      <c r="AA177" s="14">
        <f t="shared" si="55"/>
        <v>0</v>
      </c>
      <c r="AB177" s="6">
        <f t="shared" si="58"/>
        <v>0</v>
      </c>
      <c r="AC177" s="6">
        <f t="shared" si="59"/>
        <v>0</v>
      </c>
      <c r="AD177" s="6">
        <f t="shared" si="60"/>
        <v>0</v>
      </c>
      <c r="AE177" s="52" t="str">
        <f t="shared" si="61"/>
        <v/>
      </c>
      <c r="AF177" s="52" t="str">
        <f t="shared" si="62"/>
        <v/>
      </c>
      <c r="AG177" s="50" t="str">
        <f t="shared" si="63"/>
        <v/>
      </c>
      <c r="AH177" s="50" t="str">
        <f t="shared" si="64"/>
        <v/>
      </c>
      <c r="AI177" s="52" t="str">
        <f t="shared" si="65"/>
        <v/>
      </c>
      <c r="AJ177" s="52" t="str">
        <f t="shared" si="66"/>
        <v/>
      </c>
      <c r="AK177" s="52" t="str">
        <f t="shared" si="67"/>
        <v/>
      </c>
      <c r="AL177" s="52" t="str">
        <f t="shared" si="68"/>
        <v/>
      </c>
      <c r="AM177" s="52" t="str">
        <f t="shared" si="69"/>
        <v/>
      </c>
      <c r="AN177" s="52" t="str">
        <f t="shared" si="70"/>
        <v/>
      </c>
      <c r="AO177" s="52" t="str">
        <f t="shared" si="71"/>
        <v/>
      </c>
      <c r="AP177" s="52" t="str">
        <f t="shared" si="72"/>
        <v/>
      </c>
      <c r="AQ177" s="52" t="str">
        <f t="shared" si="73"/>
        <v/>
      </c>
      <c r="AR177" s="52" t="str">
        <f t="shared" si="74"/>
        <v/>
      </c>
      <c r="AS177" s="52" t="str">
        <f t="shared" si="75"/>
        <v/>
      </c>
      <c r="AT177" s="52" t="str">
        <f t="shared" si="76"/>
        <v/>
      </c>
      <c r="AU177" s="52" t="str">
        <f t="shared" si="77"/>
        <v/>
      </c>
      <c r="AV177" s="52" t="str">
        <f t="shared" si="78"/>
        <v/>
      </c>
      <c r="AW177" s="52" t="str">
        <f t="shared" si="79"/>
        <v/>
      </c>
      <c r="AX177" s="52" t="str">
        <f t="shared" si="56"/>
        <v/>
      </c>
      <c r="AY177" s="52" t="str">
        <f t="shared" si="80"/>
        <v/>
      </c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13"/>
    </row>
    <row r="178" spans="1:163">
      <c r="A178" s="71"/>
      <c r="B178" s="70"/>
      <c r="C178" s="72"/>
      <c r="D178" s="73"/>
      <c r="E178" s="73"/>
      <c r="F178" s="73"/>
      <c r="G178" s="73"/>
      <c r="H178" s="73"/>
      <c r="I178" s="74"/>
      <c r="J178" s="74"/>
      <c r="K178" s="74"/>
      <c r="L178" s="73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0"/>
      <c r="Z178" s="12">
        <f t="shared" si="57"/>
        <v>0</v>
      </c>
      <c r="AA178" s="14">
        <f t="shared" si="55"/>
        <v>0</v>
      </c>
      <c r="AB178" s="6">
        <f t="shared" si="58"/>
        <v>0</v>
      </c>
      <c r="AC178" s="6">
        <f t="shared" si="59"/>
        <v>0</v>
      </c>
      <c r="AD178" s="6">
        <f t="shared" si="60"/>
        <v>0</v>
      </c>
      <c r="AE178" s="52" t="str">
        <f t="shared" si="61"/>
        <v/>
      </c>
      <c r="AF178" s="52" t="str">
        <f t="shared" si="62"/>
        <v/>
      </c>
      <c r="AG178" s="50" t="str">
        <f t="shared" si="63"/>
        <v/>
      </c>
      <c r="AH178" s="50" t="str">
        <f t="shared" si="64"/>
        <v/>
      </c>
      <c r="AI178" s="52" t="str">
        <f t="shared" si="65"/>
        <v/>
      </c>
      <c r="AJ178" s="52" t="str">
        <f t="shared" si="66"/>
        <v/>
      </c>
      <c r="AK178" s="52" t="str">
        <f t="shared" si="67"/>
        <v/>
      </c>
      <c r="AL178" s="52" t="str">
        <f t="shared" si="68"/>
        <v/>
      </c>
      <c r="AM178" s="52" t="str">
        <f t="shared" si="69"/>
        <v/>
      </c>
      <c r="AN178" s="52" t="str">
        <f t="shared" si="70"/>
        <v/>
      </c>
      <c r="AO178" s="52" t="str">
        <f t="shared" si="71"/>
        <v/>
      </c>
      <c r="AP178" s="52" t="str">
        <f t="shared" si="72"/>
        <v/>
      </c>
      <c r="AQ178" s="52" t="str">
        <f t="shared" si="73"/>
        <v/>
      </c>
      <c r="AR178" s="52" t="str">
        <f t="shared" si="74"/>
        <v/>
      </c>
      <c r="AS178" s="52" t="str">
        <f t="shared" si="75"/>
        <v/>
      </c>
      <c r="AT178" s="52" t="str">
        <f t="shared" si="76"/>
        <v/>
      </c>
      <c r="AU178" s="52" t="str">
        <f t="shared" si="77"/>
        <v/>
      </c>
      <c r="AV178" s="52" t="str">
        <f t="shared" si="78"/>
        <v/>
      </c>
      <c r="AW178" s="52" t="str">
        <f t="shared" si="79"/>
        <v/>
      </c>
      <c r="AX178" s="52" t="str">
        <f t="shared" si="56"/>
        <v/>
      </c>
      <c r="AY178" s="52" t="str">
        <f t="shared" si="80"/>
        <v/>
      </c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13"/>
    </row>
    <row r="179" spans="1:163">
      <c r="A179" s="71"/>
      <c r="B179" s="70"/>
      <c r="C179" s="72"/>
      <c r="D179" s="73"/>
      <c r="E179" s="73"/>
      <c r="F179" s="73"/>
      <c r="G179" s="73"/>
      <c r="H179" s="73"/>
      <c r="I179" s="74"/>
      <c r="J179" s="74"/>
      <c r="K179" s="74"/>
      <c r="L179" s="73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0"/>
      <c r="Z179" s="12">
        <f t="shared" si="57"/>
        <v>0</v>
      </c>
      <c r="AA179" s="14">
        <f t="shared" si="55"/>
        <v>0</v>
      </c>
      <c r="AB179" s="6">
        <f t="shared" si="58"/>
        <v>0</v>
      </c>
      <c r="AC179" s="6">
        <f t="shared" si="59"/>
        <v>0</v>
      </c>
      <c r="AD179" s="6">
        <f t="shared" si="60"/>
        <v>0</v>
      </c>
      <c r="AE179" s="52" t="str">
        <f t="shared" si="61"/>
        <v/>
      </c>
      <c r="AF179" s="52" t="str">
        <f t="shared" si="62"/>
        <v/>
      </c>
      <c r="AG179" s="50" t="str">
        <f t="shared" si="63"/>
        <v/>
      </c>
      <c r="AH179" s="50" t="str">
        <f t="shared" si="64"/>
        <v/>
      </c>
      <c r="AI179" s="52" t="str">
        <f t="shared" si="65"/>
        <v/>
      </c>
      <c r="AJ179" s="52" t="str">
        <f t="shared" si="66"/>
        <v/>
      </c>
      <c r="AK179" s="52" t="str">
        <f t="shared" si="67"/>
        <v/>
      </c>
      <c r="AL179" s="52" t="str">
        <f t="shared" si="68"/>
        <v/>
      </c>
      <c r="AM179" s="52" t="str">
        <f t="shared" si="69"/>
        <v/>
      </c>
      <c r="AN179" s="52" t="str">
        <f t="shared" si="70"/>
        <v/>
      </c>
      <c r="AO179" s="52" t="str">
        <f t="shared" si="71"/>
        <v/>
      </c>
      <c r="AP179" s="52" t="str">
        <f t="shared" si="72"/>
        <v/>
      </c>
      <c r="AQ179" s="52" t="str">
        <f t="shared" si="73"/>
        <v/>
      </c>
      <c r="AR179" s="52" t="str">
        <f t="shared" si="74"/>
        <v/>
      </c>
      <c r="AS179" s="52" t="str">
        <f t="shared" si="75"/>
        <v/>
      </c>
      <c r="AT179" s="52" t="str">
        <f t="shared" si="76"/>
        <v/>
      </c>
      <c r="AU179" s="52" t="str">
        <f t="shared" si="77"/>
        <v/>
      </c>
      <c r="AV179" s="52" t="str">
        <f t="shared" si="78"/>
        <v/>
      </c>
      <c r="AW179" s="52" t="str">
        <f t="shared" si="79"/>
        <v/>
      </c>
      <c r="AX179" s="52" t="str">
        <f t="shared" si="56"/>
        <v/>
      </c>
      <c r="AY179" s="52" t="str">
        <f t="shared" si="80"/>
        <v/>
      </c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13"/>
    </row>
    <row r="180" spans="1:163">
      <c r="A180" s="71"/>
      <c r="B180" s="70"/>
      <c r="C180" s="72"/>
      <c r="D180" s="73"/>
      <c r="E180" s="73"/>
      <c r="F180" s="73"/>
      <c r="G180" s="73"/>
      <c r="H180" s="73"/>
      <c r="I180" s="74"/>
      <c r="J180" s="74"/>
      <c r="K180" s="74"/>
      <c r="L180" s="73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0"/>
      <c r="Z180" s="12">
        <f t="shared" si="57"/>
        <v>0</v>
      </c>
      <c r="AA180" s="14">
        <f t="shared" si="55"/>
        <v>0</v>
      </c>
      <c r="AB180" s="6">
        <f t="shared" si="58"/>
        <v>0</v>
      </c>
      <c r="AC180" s="6">
        <f t="shared" si="59"/>
        <v>0</v>
      </c>
      <c r="AD180" s="6">
        <f t="shared" si="60"/>
        <v>0</v>
      </c>
      <c r="AE180" s="52" t="str">
        <f t="shared" si="61"/>
        <v/>
      </c>
      <c r="AF180" s="52" t="str">
        <f t="shared" si="62"/>
        <v/>
      </c>
      <c r="AG180" s="50" t="str">
        <f t="shared" si="63"/>
        <v/>
      </c>
      <c r="AH180" s="50" t="str">
        <f t="shared" si="64"/>
        <v/>
      </c>
      <c r="AI180" s="52" t="str">
        <f t="shared" si="65"/>
        <v/>
      </c>
      <c r="AJ180" s="52" t="str">
        <f t="shared" si="66"/>
        <v/>
      </c>
      <c r="AK180" s="52" t="str">
        <f t="shared" si="67"/>
        <v/>
      </c>
      <c r="AL180" s="52" t="str">
        <f t="shared" si="68"/>
        <v/>
      </c>
      <c r="AM180" s="52" t="str">
        <f t="shared" si="69"/>
        <v/>
      </c>
      <c r="AN180" s="52" t="str">
        <f t="shared" si="70"/>
        <v/>
      </c>
      <c r="AO180" s="52" t="str">
        <f t="shared" si="71"/>
        <v/>
      </c>
      <c r="AP180" s="52" t="str">
        <f t="shared" si="72"/>
        <v/>
      </c>
      <c r="AQ180" s="52" t="str">
        <f t="shared" si="73"/>
        <v/>
      </c>
      <c r="AR180" s="52" t="str">
        <f t="shared" si="74"/>
        <v/>
      </c>
      <c r="AS180" s="52" t="str">
        <f t="shared" si="75"/>
        <v/>
      </c>
      <c r="AT180" s="52" t="str">
        <f t="shared" si="76"/>
        <v/>
      </c>
      <c r="AU180" s="52" t="str">
        <f t="shared" si="77"/>
        <v/>
      </c>
      <c r="AV180" s="52" t="str">
        <f t="shared" si="78"/>
        <v/>
      </c>
      <c r="AW180" s="52" t="str">
        <f t="shared" si="79"/>
        <v/>
      </c>
      <c r="AX180" s="52" t="str">
        <f t="shared" si="56"/>
        <v/>
      </c>
      <c r="AY180" s="52" t="str">
        <f t="shared" si="80"/>
        <v/>
      </c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  <c r="EI180" s="52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13"/>
    </row>
    <row r="181" spans="1:163">
      <c r="A181" s="71"/>
      <c r="B181" s="70"/>
      <c r="C181" s="72"/>
      <c r="D181" s="73"/>
      <c r="E181" s="73"/>
      <c r="F181" s="73"/>
      <c r="G181" s="73"/>
      <c r="H181" s="73"/>
      <c r="I181" s="74"/>
      <c r="J181" s="74"/>
      <c r="K181" s="74"/>
      <c r="L181" s="73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0"/>
      <c r="Z181" s="12">
        <f t="shared" si="57"/>
        <v>0</v>
      </c>
      <c r="AA181" s="14">
        <f t="shared" si="55"/>
        <v>0</v>
      </c>
      <c r="AB181" s="6">
        <f t="shared" si="58"/>
        <v>0</v>
      </c>
      <c r="AC181" s="6">
        <f t="shared" si="59"/>
        <v>0</v>
      </c>
      <c r="AD181" s="6">
        <f t="shared" si="60"/>
        <v>0</v>
      </c>
      <c r="AE181" s="52" t="str">
        <f t="shared" si="61"/>
        <v/>
      </c>
      <c r="AF181" s="52" t="str">
        <f t="shared" si="62"/>
        <v/>
      </c>
      <c r="AG181" s="50" t="str">
        <f t="shared" si="63"/>
        <v/>
      </c>
      <c r="AH181" s="50" t="str">
        <f t="shared" si="64"/>
        <v/>
      </c>
      <c r="AI181" s="52" t="str">
        <f t="shared" si="65"/>
        <v/>
      </c>
      <c r="AJ181" s="52" t="str">
        <f t="shared" si="66"/>
        <v/>
      </c>
      <c r="AK181" s="52" t="str">
        <f t="shared" si="67"/>
        <v/>
      </c>
      <c r="AL181" s="52" t="str">
        <f t="shared" si="68"/>
        <v/>
      </c>
      <c r="AM181" s="52" t="str">
        <f t="shared" si="69"/>
        <v/>
      </c>
      <c r="AN181" s="52" t="str">
        <f t="shared" si="70"/>
        <v/>
      </c>
      <c r="AO181" s="52" t="str">
        <f t="shared" si="71"/>
        <v/>
      </c>
      <c r="AP181" s="52" t="str">
        <f t="shared" si="72"/>
        <v/>
      </c>
      <c r="AQ181" s="52" t="str">
        <f t="shared" si="73"/>
        <v/>
      </c>
      <c r="AR181" s="52" t="str">
        <f t="shared" si="74"/>
        <v/>
      </c>
      <c r="AS181" s="52" t="str">
        <f t="shared" si="75"/>
        <v/>
      </c>
      <c r="AT181" s="52" t="str">
        <f t="shared" si="76"/>
        <v/>
      </c>
      <c r="AU181" s="52" t="str">
        <f t="shared" si="77"/>
        <v/>
      </c>
      <c r="AV181" s="52" t="str">
        <f t="shared" si="78"/>
        <v/>
      </c>
      <c r="AW181" s="52" t="str">
        <f t="shared" si="79"/>
        <v/>
      </c>
      <c r="AX181" s="52" t="str">
        <f t="shared" si="56"/>
        <v/>
      </c>
      <c r="AY181" s="52" t="str">
        <f t="shared" si="80"/>
        <v/>
      </c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13"/>
    </row>
    <row r="182" spans="1:163">
      <c r="A182" s="71"/>
      <c r="B182" s="70"/>
      <c r="C182" s="72"/>
      <c r="D182" s="73"/>
      <c r="E182" s="73"/>
      <c r="F182" s="73"/>
      <c r="G182" s="73"/>
      <c r="H182" s="73"/>
      <c r="I182" s="74"/>
      <c r="J182" s="74"/>
      <c r="K182" s="74"/>
      <c r="L182" s="73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0"/>
      <c r="Z182" s="12">
        <f t="shared" si="57"/>
        <v>0</v>
      </c>
      <c r="AA182" s="14">
        <f t="shared" si="55"/>
        <v>0</v>
      </c>
      <c r="AB182" s="6">
        <f t="shared" si="58"/>
        <v>0</v>
      </c>
      <c r="AC182" s="6">
        <f t="shared" si="59"/>
        <v>0</v>
      </c>
      <c r="AD182" s="6">
        <f t="shared" si="60"/>
        <v>0</v>
      </c>
      <c r="AE182" s="52" t="str">
        <f t="shared" si="61"/>
        <v/>
      </c>
      <c r="AF182" s="52" t="str">
        <f t="shared" si="62"/>
        <v/>
      </c>
      <c r="AG182" s="50" t="str">
        <f t="shared" si="63"/>
        <v/>
      </c>
      <c r="AH182" s="50" t="str">
        <f t="shared" si="64"/>
        <v/>
      </c>
      <c r="AI182" s="52" t="str">
        <f t="shared" si="65"/>
        <v/>
      </c>
      <c r="AJ182" s="52" t="str">
        <f t="shared" si="66"/>
        <v/>
      </c>
      <c r="AK182" s="52" t="str">
        <f t="shared" si="67"/>
        <v/>
      </c>
      <c r="AL182" s="52" t="str">
        <f t="shared" si="68"/>
        <v/>
      </c>
      <c r="AM182" s="52" t="str">
        <f t="shared" si="69"/>
        <v/>
      </c>
      <c r="AN182" s="52" t="str">
        <f t="shared" si="70"/>
        <v/>
      </c>
      <c r="AO182" s="52" t="str">
        <f t="shared" si="71"/>
        <v/>
      </c>
      <c r="AP182" s="52" t="str">
        <f t="shared" si="72"/>
        <v/>
      </c>
      <c r="AQ182" s="52" t="str">
        <f t="shared" si="73"/>
        <v/>
      </c>
      <c r="AR182" s="52" t="str">
        <f t="shared" si="74"/>
        <v/>
      </c>
      <c r="AS182" s="52" t="str">
        <f t="shared" si="75"/>
        <v/>
      </c>
      <c r="AT182" s="52" t="str">
        <f t="shared" si="76"/>
        <v/>
      </c>
      <c r="AU182" s="52" t="str">
        <f t="shared" si="77"/>
        <v/>
      </c>
      <c r="AV182" s="52" t="str">
        <f t="shared" si="78"/>
        <v/>
      </c>
      <c r="AW182" s="52" t="str">
        <f t="shared" si="79"/>
        <v/>
      </c>
      <c r="AX182" s="52" t="str">
        <f t="shared" si="56"/>
        <v/>
      </c>
      <c r="AY182" s="52" t="str">
        <f t="shared" si="80"/>
        <v/>
      </c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13"/>
    </row>
    <row r="183" spans="1:163">
      <c r="A183" s="71"/>
      <c r="B183" s="70"/>
      <c r="C183" s="72"/>
      <c r="D183" s="73"/>
      <c r="E183" s="73"/>
      <c r="F183" s="73"/>
      <c r="G183" s="73"/>
      <c r="H183" s="73"/>
      <c r="I183" s="74"/>
      <c r="J183" s="74"/>
      <c r="K183" s="74"/>
      <c r="L183" s="73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0"/>
      <c r="Z183" s="12">
        <f t="shared" si="57"/>
        <v>0</v>
      </c>
      <c r="AA183" s="14">
        <f t="shared" si="55"/>
        <v>0</v>
      </c>
      <c r="AB183" s="6">
        <f t="shared" si="58"/>
        <v>0</v>
      </c>
      <c r="AC183" s="6">
        <f t="shared" si="59"/>
        <v>0</v>
      </c>
      <c r="AD183" s="6">
        <f t="shared" si="60"/>
        <v>0</v>
      </c>
      <c r="AE183" s="52" t="str">
        <f t="shared" si="61"/>
        <v/>
      </c>
      <c r="AF183" s="52" t="str">
        <f t="shared" si="62"/>
        <v/>
      </c>
      <c r="AG183" s="50" t="str">
        <f t="shared" si="63"/>
        <v/>
      </c>
      <c r="AH183" s="50" t="str">
        <f t="shared" si="64"/>
        <v/>
      </c>
      <c r="AI183" s="52" t="str">
        <f t="shared" si="65"/>
        <v/>
      </c>
      <c r="AJ183" s="52" t="str">
        <f t="shared" si="66"/>
        <v/>
      </c>
      <c r="AK183" s="52" t="str">
        <f t="shared" si="67"/>
        <v/>
      </c>
      <c r="AL183" s="52" t="str">
        <f t="shared" si="68"/>
        <v/>
      </c>
      <c r="AM183" s="52" t="str">
        <f t="shared" si="69"/>
        <v/>
      </c>
      <c r="AN183" s="52" t="str">
        <f t="shared" si="70"/>
        <v/>
      </c>
      <c r="AO183" s="52" t="str">
        <f t="shared" si="71"/>
        <v/>
      </c>
      <c r="AP183" s="52" t="str">
        <f t="shared" si="72"/>
        <v/>
      </c>
      <c r="AQ183" s="52" t="str">
        <f t="shared" si="73"/>
        <v/>
      </c>
      <c r="AR183" s="52" t="str">
        <f t="shared" si="74"/>
        <v/>
      </c>
      <c r="AS183" s="52" t="str">
        <f t="shared" si="75"/>
        <v/>
      </c>
      <c r="AT183" s="52" t="str">
        <f t="shared" si="76"/>
        <v/>
      </c>
      <c r="AU183" s="52" t="str">
        <f t="shared" si="77"/>
        <v/>
      </c>
      <c r="AV183" s="52" t="str">
        <f t="shared" si="78"/>
        <v/>
      </c>
      <c r="AW183" s="52" t="str">
        <f t="shared" si="79"/>
        <v/>
      </c>
      <c r="AX183" s="52" t="str">
        <f t="shared" si="56"/>
        <v/>
      </c>
      <c r="AY183" s="52" t="str">
        <f t="shared" si="80"/>
        <v/>
      </c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13"/>
    </row>
    <row r="184" spans="1:163">
      <c r="A184" s="71"/>
      <c r="B184" s="70"/>
      <c r="C184" s="72"/>
      <c r="D184" s="73"/>
      <c r="E184" s="73"/>
      <c r="F184" s="73"/>
      <c r="G184" s="73"/>
      <c r="H184" s="73"/>
      <c r="I184" s="74"/>
      <c r="J184" s="74"/>
      <c r="K184" s="74"/>
      <c r="L184" s="73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0"/>
      <c r="Z184" s="12">
        <f t="shared" si="57"/>
        <v>0</v>
      </c>
      <c r="AA184" s="14">
        <f t="shared" si="55"/>
        <v>0</v>
      </c>
      <c r="AB184" s="6">
        <f t="shared" si="58"/>
        <v>0</v>
      </c>
      <c r="AC184" s="6">
        <f t="shared" si="59"/>
        <v>0</v>
      </c>
      <c r="AD184" s="6">
        <f t="shared" si="60"/>
        <v>0</v>
      </c>
      <c r="AE184" s="52" t="str">
        <f t="shared" si="61"/>
        <v/>
      </c>
      <c r="AF184" s="52" t="str">
        <f t="shared" si="62"/>
        <v/>
      </c>
      <c r="AG184" s="50" t="str">
        <f t="shared" si="63"/>
        <v/>
      </c>
      <c r="AH184" s="50" t="str">
        <f t="shared" si="64"/>
        <v/>
      </c>
      <c r="AI184" s="52" t="str">
        <f t="shared" si="65"/>
        <v/>
      </c>
      <c r="AJ184" s="52" t="str">
        <f t="shared" si="66"/>
        <v/>
      </c>
      <c r="AK184" s="52" t="str">
        <f t="shared" si="67"/>
        <v/>
      </c>
      <c r="AL184" s="52" t="str">
        <f t="shared" si="68"/>
        <v/>
      </c>
      <c r="AM184" s="52" t="str">
        <f t="shared" si="69"/>
        <v/>
      </c>
      <c r="AN184" s="52" t="str">
        <f t="shared" si="70"/>
        <v/>
      </c>
      <c r="AO184" s="52" t="str">
        <f t="shared" si="71"/>
        <v/>
      </c>
      <c r="AP184" s="52" t="str">
        <f t="shared" si="72"/>
        <v/>
      </c>
      <c r="AQ184" s="52" t="str">
        <f t="shared" si="73"/>
        <v/>
      </c>
      <c r="AR184" s="52" t="str">
        <f t="shared" si="74"/>
        <v/>
      </c>
      <c r="AS184" s="52" t="str">
        <f t="shared" si="75"/>
        <v/>
      </c>
      <c r="AT184" s="52" t="str">
        <f t="shared" si="76"/>
        <v/>
      </c>
      <c r="AU184" s="52" t="str">
        <f t="shared" si="77"/>
        <v/>
      </c>
      <c r="AV184" s="52" t="str">
        <f t="shared" si="78"/>
        <v/>
      </c>
      <c r="AW184" s="52" t="str">
        <f t="shared" si="79"/>
        <v/>
      </c>
      <c r="AX184" s="52" t="str">
        <f t="shared" si="56"/>
        <v/>
      </c>
      <c r="AY184" s="52" t="str">
        <f t="shared" si="80"/>
        <v/>
      </c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13"/>
    </row>
    <row r="185" spans="1:163">
      <c r="A185" s="71"/>
      <c r="B185" s="70"/>
      <c r="C185" s="72"/>
      <c r="D185" s="73"/>
      <c r="E185" s="73"/>
      <c r="F185" s="73"/>
      <c r="G185" s="73"/>
      <c r="H185" s="73"/>
      <c r="I185" s="74"/>
      <c r="J185" s="74"/>
      <c r="K185" s="74"/>
      <c r="L185" s="73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0"/>
      <c r="Z185" s="12">
        <f t="shared" si="57"/>
        <v>0</v>
      </c>
      <c r="AA185" s="14">
        <f t="shared" si="55"/>
        <v>0</v>
      </c>
      <c r="AB185" s="6">
        <f t="shared" si="58"/>
        <v>0</v>
      </c>
      <c r="AC185" s="6">
        <f t="shared" si="59"/>
        <v>0</v>
      </c>
      <c r="AD185" s="6">
        <f t="shared" si="60"/>
        <v>0</v>
      </c>
      <c r="AE185" s="52" t="str">
        <f t="shared" si="61"/>
        <v/>
      </c>
      <c r="AF185" s="52" t="str">
        <f t="shared" si="62"/>
        <v/>
      </c>
      <c r="AG185" s="50" t="str">
        <f t="shared" si="63"/>
        <v/>
      </c>
      <c r="AH185" s="50" t="str">
        <f t="shared" si="64"/>
        <v/>
      </c>
      <c r="AI185" s="52" t="str">
        <f t="shared" si="65"/>
        <v/>
      </c>
      <c r="AJ185" s="52" t="str">
        <f t="shared" si="66"/>
        <v/>
      </c>
      <c r="AK185" s="52" t="str">
        <f t="shared" si="67"/>
        <v/>
      </c>
      <c r="AL185" s="52" t="str">
        <f t="shared" si="68"/>
        <v/>
      </c>
      <c r="AM185" s="52" t="str">
        <f t="shared" si="69"/>
        <v/>
      </c>
      <c r="AN185" s="52" t="str">
        <f t="shared" si="70"/>
        <v/>
      </c>
      <c r="AO185" s="52" t="str">
        <f t="shared" si="71"/>
        <v/>
      </c>
      <c r="AP185" s="52" t="str">
        <f t="shared" si="72"/>
        <v/>
      </c>
      <c r="AQ185" s="52" t="str">
        <f t="shared" si="73"/>
        <v/>
      </c>
      <c r="AR185" s="52" t="str">
        <f t="shared" si="74"/>
        <v/>
      </c>
      <c r="AS185" s="52" t="str">
        <f t="shared" si="75"/>
        <v/>
      </c>
      <c r="AT185" s="52" t="str">
        <f t="shared" si="76"/>
        <v/>
      </c>
      <c r="AU185" s="52" t="str">
        <f t="shared" si="77"/>
        <v/>
      </c>
      <c r="AV185" s="52" t="str">
        <f t="shared" si="78"/>
        <v/>
      </c>
      <c r="AW185" s="52" t="str">
        <f t="shared" si="79"/>
        <v/>
      </c>
      <c r="AX185" s="52" t="str">
        <f t="shared" si="56"/>
        <v/>
      </c>
      <c r="AY185" s="52" t="str">
        <f t="shared" si="80"/>
        <v/>
      </c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13"/>
    </row>
    <row r="186" spans="1:163">
      <c r="A186" s="71"/>
      <c r="B186" s="70"/>
      <c r="C186" s="72"/>
      <c r="D186" s="73"/>
      <c r="E186" s="73"/>
      <c r="F186" s="73"/>
      <c r="G186" s="73"/>
      <c r="H186" s="73"/>
      <c r="I186" s="74"/>
      <c r="J186" s="74"/>
      <c r="K186" s="74"/>
      <c r="L186" s="73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0"/>
      <c r="Z186" s="12">
        <f t="shared" si="57"/>
        <v>0</v>
      </c>
      <c r="AA186" s="14">
        <f t="shared" si="55"/>
        <v>0</v>
      </c>
      <c r="AB186" s="6">
        <f t="shared" si="58"/>
        <v>0</v>
      </c>
      <c r="AC186" s="6">
        <f t="shared" si="59"/>
        <v>0</v>
      </c>
      <c r="AD186" s="6">
        <f t="shared" si="60"/>
        <v>0</v>
      </c>
      <c r="AE186" s="52" t="str">
        <f t="shared" si="61"/>
        <v/>
      </c>
      <c r="AF186" s="52" t="str">
        <f t="shared" si="62"/>
        <v/>
      </c>
      <c r="AG186" s="50" t="str">
        <f t="shared" si="63"/>
        <v/>
      </c>
      <c r="AH186" s="50" t="str">
        <f t="shared" si="64"/>
        <v/>
      </c>
      <c r="AI186" s="52" t="str">
        <f t="shared" si="65"/>
        <v/>
      </c>
      <c r="AJ186" s="52" t="str">
        <f t="shared" si="66"/>
        <v/>
      </c>
      <c r="AK186" s="52" t="str">
        <f t="shared" si="67"/>
        <v/>
      </c>
      <c r="AL186" s="52" t="str">
        <f t="shared" si="68"/>
        <v/>
      </c>
      <c r="AM186" s="52" t="str">
        <f t="shared" si="69"/>
        <v/>
      </c>
      <c r="AN186" s="52" t="str">
        <f t="shared" si="70"/>
        <v/>
      </c>
      <c r="AO186" s="52" t="str">
        <f t="shared" si="71"/>
        <v/>
      </c>
      <c r="AP186" s="52" t="str">
        <f t="shared" si="72"/>
        <v/>
      </c>
      <c r="AQ186" s="52" t="str">
        <f t="shared" si="73"/>
        <v/>
      </c>
      <c r="AR186" s="52" t="str">
        <f t="shared" si="74"/>
        <v/>
      </c>
      <c r="AS186" s="52" t="str">
        <f t="shared" si="75"/>
        <v/>
      </c>
      <c r="AT186" s="52" t="str">
        <f t="shared" si="76"/>
        <v/>
      </c>
      <c r="AU186" s="52" t="str">
        <f t="shared" si="77"/>
        <v/>
      </c>
      <c r="AV186" s="52" t="str">
        <f t="shared" si="78"/>
        <v/>
      </c>
      <c r="AW186" s="52" t="str">
        <f t="shared" si="79"/>
        <v/>
      </c>
      <c r="AX186" s="52" t="str">
        <f t="shared" si="56"/>
        <v/>
      </c>
      <c r="AY186" s="52" t="str">
        <f t="shared" si="80"/>
        <v/>
      </c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13"/>
    </row>
    <row r="187" spans="1:163">
      <c r="A187" s="71"/>
      <c r="B187" s="70"/>
      <c r="C187" s="72"/>
      <c r="D187" s="73"/>
      <c r="E187" s="73"/>
      <c r="F187" s="73"/>
      <c r="G187" s="73"/>
      <c r="H187" s="73"/>
      <c r="I187" s="74"/>
      <c r="J187" s="74"/>
      <c r="K187" s="74"/>
      <c r="L187" s="73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0"/>
      <c r="Z187" s="12">
        <f t="shared" si="57"/>
        <v>0</v>
      </c>
      <c r="AA187" s="14">
        <f t="shared" si="55"/>
        <v>0</v>
      </c>
      <c r="AB187" s="6">
        <f t="shared" si="58"/>
        <v>0</v>
      </c>
      <c r="AC187" s="6">
        <f t="shared" si="59"/>
        <v>0</v>
      </c>
      <c r="AD187" s="6">
        <f t="shared" si="60"/>
        <v>0</v>
      </c>
      <c r="AE187" s="52" t="str">
        <f t="shared" si="61"/>
        <v/>
      </c>
      <c r="AF187" s="52" t="str">
        <f t="shared" si="62"/>
        <v/>
      </c>
      <c r="AG187" s="50" t="str">
        <f t="shared" si="63"/>
        <v/>
      </c>
      <c r="AH187" s="50" t="str">
        <f t="shared" si="64"/>
        <v/>
      </c>
      <c r="AI187" s="52" t="str">
        <f t="shared" si="65"/>
        <v/>
      </c>
      <c r="AJ187" s="52" t="str">
        <f t="shared" si="66"/>
        <v/>
      </c>
      <c r="AK187" s="52" t="str">
        <f t="shared" si="67"/>
        <v/>
      </c>
      <c r="AL187" s="52" t="str">
        <f t="shared" si="68"/>
        <v/>
      </c>
      <c r="AM187" s="52" t="str">
        <f t="shared" si="69"/>
        <v/>
      </c>
      <c r="AN187" s="52" t="str">
        <f t="shared" si="70"/>
        <v/>
      </c>
      <c r="AO187" s="52" t="str">
        <f t="shared" si="71"/>
        <v/>
      </c>
      <c r="AP187" s="52" t="str">
        <f t="shared" si="72"/>
        <v/>
      </c>
      <c r="AQ187" s="52" t="str">
        <f t="shared" si="73"/>
        <v/>
      </c>
      <c r="AR187" s="52" t="str">
        <f t="shared" si="74"/>
        <v/>
      </c>
      <c r="AS187" s="52" t="str">
        <f t="shared" si="75"/>
        <v/>
      </c>
      <c r="AT187" s="52" t="str">
        <f t="shared" si="76"/>
        <v/>
      </c>
      <c r="AU187" s="52" t="str">
        <f t="shared" si="77"/>
        <v/>
      </c>
      <c r="AV187" s="52" t="str">
        <f t="shared" si="78"/>
        <v/>
      </c>
      <c r="AW187" s="52" t="str">
        <f t="shared" si="79"/>
        <v/>
      </c>
      <c r="AX187" s="52" t="str">
        <f t="shared" si="56"/>
        <v/>
      </c>
      <c r="AY187" s="52" t="str">
        <f t="shared" si="80"/>
        <v/>
      </c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13"/>
    </row>
    <row r="188" spans="1:163">
      <c r="A188" s="71"/>
      <c r="B188" s="70"/>
      <c r="C188" s="72"/>
      <c r="D188" s="73"/>
      <c r="E188" s="73"/>
      <c r="F188" s="73"/>
      <c r="G188" s="73"/>
      <c r="H188" s="73"/>
      <c r="I188" s="74"/>
      <c r="J188" s="74"/>
      <c r="K188" s="74"/>
      <c r="L188" s="73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0"/>
      <c r="Z188" s="12">
        <f t="shared" si="57"/>
        <v>0</v>
      </c>
      <c r="AA188" s="14">
        <f t="shared" si="55"/>
        <v>0</v>
      </c>
      <c r="AB188" s="6">
        <f t="shared" si="58"/>
        <v>0</v>
      </c>
      <c r="AC188" s="6">
        <f t="shared" si="59"/>
        <v>0</v>
      </c>
      <c r="AD188" s="6">
        <f t="shared" si="60"/>
        <v>0</v>
      </c>
      <c r="AE188" s="52" t="str">
        <f t="shared" si="61"/>
        <v/>
      </c>
      <c r="AF188" s="52" t="str">
        <f t="shared" si="62"/>
        <v/>
      </c>
      <c r="AG188" s="50" t="str">
        <f t="shared" si="63"/>
        <v/>
      </c>
      <c r="AH188" s="50" t="str">
        <f t="shared" si="64"/>
        <v/>
      </c>
      <c r="AI188" s="52" t="str">
        <f t="shared" si="65"/>
        <v/>
      </c>
      <c r="AJ188" s="52" t="str">
        <f t="shared" si="66"/>
        <v/>
      </c>
      <c r="AK188" s="52" t="str">
        <f t="shared" si="67"/>
        <v/>
      </c>
      <c r="AL188" s="52" t="str">
        <f t="shared" si="68"/>
        <v/>
      </c>
      <c r="AM188" s="52" t="str">
        <f t="shared" si="69"/>
        <v/>
      </c>
      <c r="AN188" s="52" t="str">
        <f t="shared" si="70"/>
        <v/>
      </c>
      <c r="AO188" s="52" t="str">
        <f t="shared" si="71"/>
        <v/>
      </c>
      <c r="AP188" s="52" t="str">
        <f t="shared" si="72"/>
        <v/>
      </c>
      <c r="AQ188" s="52" t="str">
        <f t="shared" si="73"/>
        <v/>
      </c>
      <c r="AR188" s="52" t="str">
        <f t="shared" si="74"/>
        <v/>
      </c>
      <c r="AS188" s="52" t="str">
        <f t="shared" si="75"/>
        <v/>
      </c>
      <c r="AT188" s="52" t="str">
        <f t="shared" si="76"/>
        <v/>
      </c>
      <c r="AU188" s="52" t="str">
        <f t="shared" si="77"/>
        <v/>
      </c>
      <c r="AV188" s="52" t="str">
        <f t="shared" si="78"/>
        <v/>
      </c>
      <c r="AW188" s="52" t="str">
        <f t="shared" si="79"/>
        <v/>
      </c>
      <c r="AX188" s="52" t="str">
        <f t="shared" si="56"/>
        <v/>
      </c>
      <c r="AY188" s="52" t="str">
        <f t="shared" si="80"/>
        <v/>
      </c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13"/>
    </row>
    <row r="189" spans="1:163">
      <c r="A189" s="71"/>
      <c r="B189" s="70"/>
      <c r="C189" s="72"/>
      <c r="D189" s="73"/>
      <c r="E189" s="73"/>
      <c r="F189" s="73"/>
      <c r="G189" s="73"/>
      <c r="H189" s="73"/>
      <c r="I189" s="74"/>
      <c r="J189" s="74"/>
      <c r="K189" s="74"/>
      <c r="L189" s="73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0"/>
      <c r="Z189" s="12">
        <f t="shared" si="57"/>
        <v>0</v>
      </c>
      <c r="AA189" s="14">
        <f t="shared" si="55"/>
        <v>0</v>
      </c>
      <c r="AB189" s="6">
        <f t="shared" si="58"/>
        <v>0</v>
      </c>
      <c r="AC189" s="6">
        <f t="shared" si="59"/>
        <v>0</v>
      </c>
      <c r="AD189" s="6">
        <f t="shared" si="60"/>
        <v>0</v>
      </c>
      <c r="AE189" s="52" t="str">
        <f t="shared" si="61"/>
        <v/>
      </c>
      <c r="AF189" s="52" t="str">
        <f t="shared" si="62"/>
        <v/>
      </c>
      <c r="AG189" s="50" t="str">
        <f t="shared" si="63"/>
        <v/>
      </c>
      <c r="AH189" s="50" t="str">
        <f t="shared" si="64"/>
        <v/>
      </c>
      <c r="AI189" s="52" t="str">
        <f t="shared" si="65"/>
        <v/>
      </c>
      <c r="AJ189" s="52" t="str">
        <f t="shared" si="66"/>
        <v/>
      </c>
      <c r="AK189" s="52" t="str">
        <f t="shared" si="67"/>
        <v/>
      </c>
      <c r="AL189" s="52" t="str">
        <f t="shared" si="68"/>
        <v/>
      </c>
      <c r="AM189" s="52" t="str">
        <f t="shared" si="69"/>
        <v/>
      </c>
      <c r="AN189" s="52" t="str">
        <f t="shared" si="70"/>
        <v/>
      </c>
      <c r="AO189" s="52" t="str">
        <f t="shared" si="71"/>
        <v/>
      </c>
      <c r="AP189" s="52" t="str">
        <f t="shared" si="72"/>
        <v/>
      </c>
      <c r="AQ189" s="52" t="str">
        <f t="shared" si="73"/>
        <v/>
      </c>
      <c r="AR189" s="52" t="str">
        <f t="shared" si="74"/>
        <v/>
      </c>
      <c r="AS189" s="52" t="str">
        <f t="shared" si="75"/>
        <v/>
      </c>
      <c r="AT189" s="52" t="str">
        <f t="shared" si="76"/>
        <v/>
      </c>
      <c r="AU189" s="52" t="str">
        <f t="shared" si="77"/>
        <v/>
      </c>
      <c r="AV189" s="52" t="str">
        <f t="shared" si="78"/>
        <v/>
      </c>
      <c r="AW189" s="52" t="str">
        <f t="shared" si="79"/>
        <v/>
      </c>
      <c r="AX189" s="52" t="str">
        <f t="shared" si="56"/>
        <v/>
      </c>
      <c r="AY189" s="52" t="str">
        <f t="shared" si="80"/>
        <v/>
      </c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13"/>
    </row>
    <row r="190" spans="1:163">
      <c r="A190" s="71"/>
      <c r="B190" s="70"/>
      <c r="C190" s="72"/>
      <c r="D190" s="73"/>
      <c r="E190" s="73"/>
      <c r="F190" s="73"/>
      <c r="G190" s="73"/>
      <c r="H190" s="73"/>
      <c r="I190" s="74"/>
      <c r="J190" s="74"/>
      <c r="K190" s="74"/>
      <c r="L190" s="73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0"/>
      <c r="Z190" s="12">
        <f t="shared" si="57"/>
        <v>0</v>
      </c>
      <c r="AA190" s="14">
        <f t="shared" ref="AA190:AA253" si="81">IF(X190&lt;&gt;"",0.0001,IF(Y190+Z190=0,0,IF(Y190=0,80+(Z190*80),IF(Y190&gt;0,110+(Z190*80)))))</f>
        <v>0</v>
      </c>
      <c r="AB190" s="6">
        <f t="shared" si="58"/>
        <v>0</v>
      </c>
      <c r="AC190" s="6">
        <f t="shared" si="59"/>
        <v>0</v>
      </c>
      <c r="AD190" s="6">
        <f t="shared" si="60"/>
        <v>0</v>
      </c>
      <c r="AE190" s="52" t="str">
        <f t="shared" si="61"/>
        <v/>
      </c>
      <c r="AF190" s="52" t="str">
        <f t="shared" si="62"/>
        <v/>
      </c>
      <c r="AG190" s="50" t="str">
        <f t="shared" si="63"/>
        <v/>
      </c>
      <c r="AH190" s="50" t="str">
        <f t="shared" si="64"/>
        <v/>
      </c>
      <c r="AI190" s="52" t="str">
        <f t="shared" si="65"/>
        <v/>
      </c>
      <c r="AJ190" s="52" t="str">
        <f t="shared" si="66"/>
        <v/>
      </c>
      <c r="AK190" s="52" t="str">
        <f t="shared" si="67"/>
        <v/>
      </c>
      <c r="AL190" s="52" t="str">
        <f t="shared" si="68"/>
        <v/>
      </c>
      <c r="AM190" s="52" t="str">
        <f t="shared" si="69"/>
        <v/>
      </c>
      <c r="AN190" s="52" t="str">
        <f t="shared" si="70"/>
        <v/>
      </c>
      <c r="AO190" s="52" t="str">
        <f t="shared" si="71"/>
        <v/>
      </c>
      <c r="AP190" s="52" t="str">
        <f t="shared" si="72"/>
        <v/>
      </c>
      <c r="AQ190" s="52" t="str">
        <f t="shared" si="73"/>
        <v/>
      </c>
      <c r="AR190" s="52" t="str">
        <f t="shared" si="74"/>
        <v/>
      </c>
      <c r="AS190" s="52" t="str">
        <f t="shared" si="75"/>
        <v/>
      </c>
      <c r="AT190" s="52" t="str">
        <f t="shared" si="76"/>
        <v/>
      </c>
      <c r="AU190" s="52" t="str">
        <f t="shared" si="77"/>
        <v/>
      </c>
      <c r="AV190" s="52" t="str">
        <f t="shared" si="78"/>
        <v/>
      </c>
      <c r="AW190" s="52" t="str">
        <f t="shared" si="79"/>
        <v/>
      </c>
      <c r="AX190" s="52" t="str">
        <f t="shared" ref="AX190:AX253" si="82">IF(C190="","",IF(AB190&gt;=3,"",IF(AD190&gt;=2,"",IF(C190&gt;=$CL$2,$EZ$3,IF(AND(C190&gt;=$CM$1,C190&lt;=$CM$2),$FA$3,IF(AND(C190&gt;=$CN$1,C190&lt;=$CN$2),$FB$3,IF(AND(C190&gt;=$CO$1,C190&lt;=$CO$2),$FC$3,IF(AND(C190&gt;=$CP$1,C190&lt;=$CP$2),$FD$3,IF(C190&lt;=$CQ$2,$FE$3,"")))))))))</f>
        <v/>
      </c>
      <c r="AY190" s="52" t="str">
        <f t="shared" si="80"/>
        <v/>
      </c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2"/>
      <c r="DG190" s="52"/>
      <c r="DH190" s="52"/>
      <c r="DI190" s="52"/>
      <c r="DJ190" s="52"/>
      <c r="DK190" s="52"/>
      <c r="DL190" s="52"/>
      <c r="DM190" s="52"/>
      <c r="DN190" s="52"/>
      <c r="DO190" s="52"/>
      <c r="DP190" s="52"/>
      <c r="DQ190" s="52"/>
      <c r="DR190" s="52"/>
      <c r="DS190" s="52"/>
      <c r="DT190" s="52"/>
      <c r="DU190" s="52"/>
      <c r="DV190" s="52"/>
      <c r="DW190" s="52"/>
      <c r="DX190" s="52"/>
      <c r="DY190" s="52"/>
      <c r="DZ190" s="52"/>
      <c r="EA190" s="52"/>
      <c r="EB190" s="52"/>
      <c r="EC190" s="52"/>
      <c r="ED190" s="52"/>
      <c r="EE190" s="52"/>
      <c r="EF190" s="52"/>
      <c r="EG190" s="52"/>
      <c r="EH190" s="52"/>
      <c r="EI190" s="52"/>
      <c r="EJ190" s="52"/>
      <c r="EK190" s="52"/>
      <c r="EL190" s="52"/>
      <c r="EM190" s="52"/>
      <c r="EN190" s="52"/>
      <c r="EO190" s="52"/>
      <c r="EP190" s="52"/>
      <c r="EQ190" s="52"/>
      <c r="ER190" s="52"/>
      <c r="ES190" s="52"/>
      <c r="ET190" s="52"/>
      <c r="EU190" s="52"/>
      <c r="EV190" s="52"/>
      <c r="EW190" s="52"/>
      <c r="EX190" s="52"/>
      <c r="EY190" s="52"/>
      <c r="EZ190" s="52"/>
      <c r="FA190" s="52"/>
      <c r="FB190" s="52"/>
      <c r="FC190" s="52"/>
      <c r="FD190" s="52"/>
      <c r="FE190" s="52"/>
      <c r="FF190" s="52"/>
      <c r="FG190" s="13"/>
    </row>
    <row r="191" spans="1:163">
      <c r="A191" s="71"/>
      <c r="B191" s="70"/>
      <c r="C191" s="72"/>
      <c r="D191" s="73"/>
      <c r="E191" s="73"/>
      <c r="F191" s="73"/>
      <c r="G191" s="73"/>
      <c r="H191" s="73"/>
      <c r="I191" s="74"/>
      <c r="J191" s="74"/>
      <c r="K191" s="74"/>
      <c r="L191" s="73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0"/>
      <c r="Z191" s="12">
        <f t="shared" ref="Z191:Z254" si="83">COUNTA(D191:W191)-Y191</f>
        <v>0</v>
      </c>
      <c r="AA191" s="14">
        <f t="shared" si="81"/>
        <v>0</v>
      </c>
      <c r="AB191" s="6">
        <f t="shared" ref="AB191:AB254" si="84">COUNTA(L191:W191)</f>
        <v>0</v>
      </c>
      <c r="AC191" s="6">
        <f t="shared" ref="AC191:AC254" si="85">COUNTA(L191:Q191)</f>
        <v>0</v>
      </c>
      <c r="AD191" s="6">
        <f t="shared" ref="AD191:AD254" si="86">COUNTA(R191:V191)</f>
        <v>0</v>
      </c>
      <c r="AE191" s="52" t="str">
        <f t="shared" ref="AE191:AE254" si="87">IF(AND(B191="Feminino",C191&gt;=$BA$2,C191&lt;=$BB$2),$BA$3,IF(AND(B191="Masculino",C191&gt;=$BA$2,C191&lt;=$BB$2),$BB$3,IF(AND(B191="Feminino",C191&gt;=$BC$2,C191&lt;=$BD$2),$BC$3,IF(AND(B191="Masculino",C191&gt;=$BC$2,C191&lt;=$BD$2),$BD$3,IF(AND(B191="Feminino",C191&gt;=$BE$2,C191&lt;=$BF$2),$BE$3,IF(AND(B191="Masculino",C191&gt;=$BE$2,C191&lt;=$BF$2),$BF$3,IF(AND(B191="Feminino",C191&gt;=$BG$2,C191&lt;=$BH$2),$BG$3,IF(AND(B191="Masculino",C191&gt;=$BG$2,C191&lt;=$BH$2),$BH$3,""))))))))</f>
        <v/>
      </c>
      <c r="AF191" s="52" t="str">
        <f t="shared" ref="AF191:AF254" si="88">IF(AND(B191="Feminino",C191&gt;=$BE$2,C191&lt;=$BF$2),$BI$3,IF(AND(B191="Masculino",C191&gt;=$BE$2,C191&lt;=$BF$2),$BJ$3,IF(AND(B191="Feminino",C191&lt;=$BH$2),$BK$3,IF(AND(B191="Masculino",C191&lt;=$BH$2),$BL$3,""))))</f>
        <v/>
      </c>
      <c r="AG191" s="50" t="str">
        <f t="shared" ref="AG191:AG254" si="89">IF(AND(B191="Feminino",C191&gt;=$BM$1,C191&lt;=$BM$2),$BM$3,IF(AND(B191="Masculino",C191&gt;=$BM$1,C191&lt;=$BM$2),$BN$3,""))</f>
        <v/>
      </c>
      <c r="AH191" s="50" t="str">
        <f t="shared" ref="AH191:AH254" si="90">IF(C191="","",IF(AND(C191&gt;=$BO$1,C191&lt;=$BO$2),$BO$3,IF(C191&lt;=$BP$2,$BP$3,"")))</f>
        <v/>
      </c>
      <c r="AI191" s="52" t="str">
        <f t="shared" ref="AI191:AI254" si="91">IF(C191="","",IF(C191&gt;=$BQ$2,$BQ$3,IF(AND(C191&gt;=$BR$1,C191&lt;=$BR$2),$BR$3,IF(AND(C191&gt;=$BS$1,C191&lt;=$BS$2),$BS$3,IF(AND(C191&gt;=$BT$1,C191&lt;=$BT$2),$BT$3,IF(AND(C191&gt;=$BU$1,C191&lt;=$BU$2),$BU$3,IF(C191&lt;=$BV$2,$BV$3,"")))))))</f>
        <v/>
      </c>
      <c r="AJ191" s="52" t="str">
        <f t="shared" ref="AJ191:AJ254" si="92">IF(C191="","",IF(C191&gt;=$BQ$2,$BW$3,IF(AND(C191&gt;=$BR$1,C191&lt;=$BR$2),$BX$3,IF(AND(C191&gt;=$BS$1,C191&lt;=$BS$2),$BY$3,IF(AND(C191&gt;=$BT$1,C191&lt;=$BT$2),$BZ$3,IF(AND(C191&gt;=$BU$1,C191&lt;=$BU$2),$CA$3,IF(C191&lt;=$BV$2,$CB$3,"")))))))</f>
        <v/>
      </c>
      <c r="AK191" s="52" t="str">
        <f t="shared" ref="AK191:AK254" si="93">IF(C191="","",IF(C191&gt;=$BQ$2,$CC$3,IF(AND(C191&gt;=$BR$1,C191&lt;=$BR$2),$CD$3,IF(AND(C191&gt;=$BS$1,C191&lt;=$BS$2),$CE$3,IF(AND(C191&gt;=$BT$1,C191&lt;=$BT$2),$CF$3,IF(AND(C191&gt;=$BU$1,C191&lt;=$BU$2),$CG$3,IF(C191&lt;=$BV$2,$CH$3,"")))))))</f>
        <v/>
      </c>
      <c r="AL191" s="52" t="str">
        <f t="shared" ref="AL191:AL254" si="94">IF(C191="","",IF(AND(C191&gt;=$BT$1,C191&lt;=$BT$2),$CI$3,IF(AND(C191&gt;=$BU$1,C191&lt;=$BU$2),$CJ$3,IF(C191&lt;=$BV$2,$CK$3,""))))</f>
        <v/>
      </c>
      <c r="AM191" s="52" t="str">
        <f t="shared" ref="AM191:AM254" si="95">IF(C191="","",IF(AB191&gt;=3,"",IF(AC191&gt;=2,"",IF(C191&gt;=$CL$2,$CL$3,IF(AND(C191&gt;=$CM$1,C191&lt;=$CM$2),$CM$3,IF(AND(C191&gt;=$CN$1,C191&lt;=$CN$2),$CN$3,IF(AND(C191&gt;=$CO$1,C191&lt;=$CO$2),$CO$3,IF(AND(C191&gt;=$CP$1,C191&lt;=$CP$2),$CP$3,IF(C191&lt;=$CQ$2,$CQ$3,"")))))))))</f>
        <v/>
      </c>
      <c r="AN191" s="52" t="str">
        <f t="shared" ref="AN191:AN254" si="96">IF(C191="","",IF(AB191&gt;=3,"",IF(AC191&gt;=2,"",IF(C191&gt;=$CL$2,$CR$3,IF(AND(C191&gt;=$CM$1,C191&lt;=$CM$2),$CS$3,IF(AND(C191&gt;=$CN$1,C191&lt;=$CN$2),$CT$3,IF(AND(C191&gt;=$CO$1,C191&lt;=$CO$2),$CU$3,IF(AND(C191&gt;=$CP$1,C191&lt;=$CP$2),$CV$3,IF(C191&lt;=$CQ$2,$CW$3,"")))))))))</f>
        <v/>
      </c>
      <c r="AO191" s="52" t="str">
        <f t="shared" ref="AO191:AO254" si="97">IF(C191="","",IF(AB191&gt;=3,"",IF(AC191&gt;=2,"",IF(C191&gt;=$CL$2,$CX$3,IF(AND(C191&gt;=$CM$1,C191&lt;=$CM$2),$CY$3,IF(AND(C191&gt;=$CN$1,C191&lt;=$CN$2),$CZ$3,IF(AND(C191&gt;=$CO$1,C191&lt;=$CO$2),$DA$3,IF(AND(C191&gt;=$CP$1,C191&lt;=$CP$2),$DB$3,IF(C191&lt;=$CQ$2,$DC$3,"")))))))))</f>
        <v/>
      </c>
      <c r="AP191" s="52" t="str">
        <f t="shared" ref="AP191:AP254" si="98">IF(C191="","",IF(AB191&gt;=3,"",IF(AC191&gt;=2,"",IF(C191&gt;=$CL$2,$DD$3,IF(AND(C191&gt;=$CM$1,C191&lt;=$CM$2),$DE$3,IF(AND(C191&gt;=$CN$1,C191&lt;=$CN$2),$DF$3,IF(AND(C191&gt;=$CO$1,C191&lt;=$CO$2),$DG$3,IF(AND(C191&gt;=$CP$1,C191&lt;=$CP$2),$DH$3,IF(C191&lt;=$CQ$2,$DI$3,"")))))))))</f>
        <v/>
      </c>
      <c r="AQ191" s="52" t="str">
        <f t="shared" ref="AQ191:AQ254" si="99">IF(C191="","",IF(AB191&gt;=3,"",IF(AC191&gt;=2,"",IF(C191&gt;=$CL$2,$DJ$3,IF(AND(C191&gt;=$CM$1,C191&lt;=$CM$2),$DK$3,IF(AND(C191&gt;=$CN$1,C191&lt;=$CN$2),$DL$3,IF(AND(C191&gt;=$CO$1,C191&lt;=$CO$2),$DM$3,IF(AND(C191&gt;=$CP$1,C191&lt;=$CP$2),$DN$3,IF(C191&lt;=$CQ$2,$DO$3,"")))))))))</f>
        <v/>
      </c>
      <c r="AR191" s="52" t="str">
        <f t="shared" ref="AR191:AR254" si="100">IF(C191="","",IF(AB191&gt;=3,"",IF(AC191&gt;=2,"",IF(C191&gt;=$CL$2,$DP$3,IF(AND(C191&gt;=$CM$1,C191&lt;=$CM$2),$DQ$3,IF(AND(C191&gt;=$CN$1,C191&lt;=$CN$2),$DR$3,IF(AND(C191&gt;=$CO$1,C191&lt;=$CO$2),$DS$3,IF(AND(C191&gt;=$CP$1,C191&lt;=$CP$2),$DT$3,IF(C191&lt;=$CQ$2,$DU$3,"")))))))))</f>
        <v/>
      </c>
      <c r="AS191" s="52" t="str">
        <f t="shared" ref="AS191:AS254" si="101">IF(C191="","",IF(AB191&gt;=3,"",IF(AD191&gt;=2,"",IF(C191&gt;=$CL$2,$DV$3,IF(AND(C191&gt;=$CM$1,C191&lt;=$CM$2),$DW$3,IF(AND(C191&gt;=$CN$1,C191&lt;=$CN$2),$DX$3,IF(AND(C191&gt;=$CO$1,C191&lt;=$CO$2),$DY$3,IF(AND(C191&gt;=$CP$1,C191&lt;=$CP$2),$DZ$3,IF(C191&lt;=$CQ$2,$EA$3,"")))))))))</f>
        <v/>
      </c>
      <c r="AT191" s="52" t="str">
        <f t="shared" ref="AT191:AT254" si="102">IF(C191="","",IF(AB191&gt;=3,"",IF(AD191&gt;=2,"",IF(C191&gt;=$CL$2,$EB$3,IF(AND(C191&gt;=$CM$1,C191&lt;=$CM$2),$EC$3,IF(AND(C191&gt;=$CN$1,C191&lt;=$CN$2),$ED$3,IF(AND(C191&gt;=$CO$1,C191&lt;=$CO$2),$EE$3,IF(AND(C191&gt;=$CP$1,C191&lt;=$CP$2),$EF$3,IF(C191&lt;=$CQ$2,$EG$3,"")))))))))</f>
        <v/>
      </c>
      <c r="AU191" s="52" t="str">
        <f t="shared" ref="AU191:AU254" si="103">IF(C191="","",IF(AB191&gt;=3,"",IF(AD191&gt;=2,"",IF(C191&gt;=$CL$2,$EH$3,IF(AND(C191&gt;=$CM$1,C191&lt;=$CM$2),$EI$3,IF(AND(C191&gt;=$CN$1,C191&lt;=$CN$2),$EJ$3,IF(AND(C191&gt;=$CO$1,C191&lt;=$CO$2),$EK$3,IF(AND(C191&gt;=$CP$1,C191&lt;=$CP$2),$EL$3,IF(C191&lt;=$CQ$2,$EM$3,"")))))))))</f>
        <v/>
      </c>
      <c r="AV191" s="52" t="str">
        <f t="shared" ref="AV191:AV254" si="104">IF(C191="","",IF(AB191&gt;=3,"",IF(AD191&gt;=2,"",IF(C191&gt;=$CL$2,$EN$3,IF(AND(C191&gt;=$CM$1,C191&lt;=$CM$2),$EO$3,IF(AND(C191&gt;=$CN$1,C191&lt;=$CN$2),$EP$3,IF(AND(C191&gt;=$CO$1,C191&lt;=$CO$2),$EQ$3,IF(AND(C191&gt;=$CP$1,C191&lt;=$CP$2),$ER$3,IF(C191&lt;=$CQ$2,$ES$3,"")))))))))</f>
        <v/>
      </c>
      <c r="AW191" s="52" t="str">
        <f t="shared" ref="AW191:AW254" si="105">IF(C191="","",IF(AB191&gt;=3,"",IF(AD191&gt;=2,"",IF(C191&gt;=$CL$2,$ET$3,IF(AND(C191&gt;=$CM$1,C191&lt;=$CM$2),$EU$3,IF(AND(C191&gt;=$CN$1,C191&lt;=$CN$2),$EV$3,IF(AND(C191&gt;=$CO$1,C191&lt;=$CO$2),$EW$3,IF(AND(C191&gt;=$CP$1,C191&lt;=$CP$2),$EX$3,IF(C191&lt;=$CQ$2,$EY$3,"")))))))))</f>
        <v/>
      </c>
      <c r="AX191" s="52" t="str">
        <f t="shared" si="82"/>
        <v/>
      </c>
      <c r="AY191" s="52" t="str">
        <f t="shared" ref="AY191:AY254" si="106">IF(C191="","",IF(AND(D191="",E191="",F191="",G191="",H191="",I191="",J191="",K191=""),"ADAPTADO",""))</f>
        <v/>
      </c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13"/>
    </row>
    <row r="192" spans="1:163">
      <c r="A192" s="71"/>
      <c r="B192" s="70"/>
      <c r="C192" s="72"/>
      <c r="D192" s="73"/>
      <c r="E192" s="73"/>
      <c r="F192" s="73"/>
      <c r="G192" s="73"/>
      <c r="H192" s="73"/>
      <c r="I192" s="74"/>
      <c r="J192" s="74"/>
      <c r="K192" s="74"/>
      <c r="L192" s="73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0"/>
      <c r="Z192" s="12">
        <f t="shared" si="83"/>
        <v>0</v>
      </c>
      <c r="AA192" s="14">
        <f t="shared" si="81"/>
        <v>0</v>
      </c>
      <c r="AB192" s="6">
        <f t="shared" si="84"/>
        <v>0</v>
      </c>
      <c r="AC192" s="6">
        <f t="shared" si="85"/>
        <v>0</v>
      </c>
      <c r="AD192" s="6">
        <f t="shared" si="86"/>
        <v>0</v>
      </c>
      <c r="AE192" s="52" t="str">
        <f t="shared" si="87"/>
        <v/>
      </c>
      <c r="AF192" s="52" t="str">
        <f t="shared" si="88"/>
        <v/>
      </c>
      <c r="AG192" s="50" t="str">
        <f t="shared" si="89"/>
        <v/>
      </c>
      <c r="AH192" s="50" t="str">
        <f t="shared" si="90"/>
        <v/>
      </c>
      <c r="AI192" s="52" t="str">
        <f t="shared" si="91"/>
        <v/>
      </c>
      <c r="AJ192" s="52" t="str">
        <f t="shared" si="92"/>
        <v/>
      </c>
      <c r="AK192" s="52" t="str">
        <f t="shared" si="93"/>
        <v/>
      </c>
      <c r="AL192" s="52" t="str">
        <f t="shared" si="94"/>
        <v/>
      </c>
      <c r="AM192" s="52" t="str">
        <f t="shared" si="95"/>
        <v/>
      </c>
      <c r="AN192" s="52" t="str">
        <f t="shared" si="96"/>
        <v/>
      </c>
      <c r="AO192" s="52" t="str">
        <f t="shared" si="97"/>
        <v/>
      </c>
      <c r="AP192" s="52" t="str">
        <f t="shared" si="98"/>
        <v/>
      </c>
      <c r="AQ192" s="52" t="str">
        <f t="shared" si="99"/>
        <v/>
      </c>
      <c r="AR192" s="52" t="str">
        <f t="shared" si="100"/>
        <v/>
      </c>
      <c r="AS192" s="52" t="str">
        <f t="shared" si="101"/>
        <v/>
      </c>
      <c r="AT192" s="52" t="str">
        <f t="shared" si="102"/>
        <v/>
      </c>
      <c r="AU192" s="52" t="str">
        <f t="shared" si="103"/>
        <v/>
      </c>
      <c r="AV192" s="52" t="str">
        <f t="shared" si="104"/>
        <v/>
      </c>
      <c r="AW192" s="52" t="str">
        <f t="shared" si="105"/>
        <v/>
      </c>
      <c r="AX192" s="52" t="str">
        <f t="shared" si="82"/>
        <v/>
      </c>
      <c r="AY192" s="52" t="str">
        <f t="shared" si="106"/>
        <v/>
      </c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13"/>
    </row>
    <row r="193" spans="1:163">
      <c r="A193" s="71"/>
      <c r="B193" s="70"/>
      <c r="C193" s="72"/>
      <c r="D193" s="73"/>
      <c r="E193" s="73"/>
      <c r="F193" s="73"/>
      <c r="G193" s="73"/>
      <c r="H193" s="73"/>
      <c r="I193" s="74"/>
      <c r="J193" s="74"/>
      <c r="K193" s="74"/>
      <c r="L193" s="73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0"/>
      <c r="Z193" s="12">
        <f t="shared" si="83"/>
        <v>0</v>
      </c>
      <c r="AA193" s="14">
        <f t="shared" si="81"/>
        <v>0</v>
      </c>
      <c r="AB193" s="6">
        <f t="shared" si="84"/>
        <v>0</v>
      </c>
      <c r="AC193" s="6">
        <f t="shared" si="85"/>
        <v>0</v>
      </c>
      <c r="AD193" s="6">
        <f t="shared" si="86"/>
        <v>0</v>
      </c>
      <c r="AE193" s="52" t="str">
        <f t="shared" si="87"/>
        <v/>
      </c>
      <c r="AF193" s="52" t="str">
        <f t="shared" si="88"/>
        <v/>
      </c>
      <c r="AG193" s="50" t="str">
        <f t="shared" si="89"/>
        <v/>
      </c>
      <c r="AH193" s="50" t="str">
        <f t="shared" si="90"/>
        <v/>
      </c>
      <c r="AI193" s="52" t="str">
        <f t="shared" si="91"/>
        <v/>
      </c>
      <c r="AJ193" s="52" t="str">
        <f t="shared" si="92"/>
        <v/>
      </c>
      <c r="AK193" s="52" t="str">
        <f t="shared" si="93"/>
        <v/>
      </c>
      <c r="AL193" s="52" t="str">
        <f t="shared" si="94"/>
        <v/>
      </c>
      <c r="AM193" s="52" t="str">
        <f t="shared" si="95"/>
        <v/>
      </c>
      <c r="AN193" s="52" t="str">
        <f t="shared" si="96"/>
        <v/>
      </c>
      <c r="AO193" s="52" t="str">
        <f t="shared" si="97"/>
        <v/>
      </c>
      <c r="AP193" s="52" t="str">
        <f t="shared" si="98"/>
        <v/>
      </c>
      <c r="AQ193" s="52" t="str">
        <f t="shared" si="99"/>
        <v/>
      </c>
      <c r="AR193" s="52" t="str">
        <f t="shared" si="100"/>
        <v/>
      </c>
      <c r="AS193" s="52" t="str">
        <f t="shared" si="101"/>
        <v/>
      </c>
      <c r="AT193" s="52" t="str">
        <f t="shared" si="102"/>
        <v/>
      </c>
      <c r="AU193" s="52" t="str">
        <f t="shared" si="103"/>
        <v/>
      </c>
      <c r="AV193" s="52" t="str">
        <f t="shared" si="104"/>
        <v/>
      </c>
      <c r="AW193" s="52" t="str">
        <f t="shared" si="105"/>
        <v/>
      </c>
      <c r="AX193" s="52" t="str">
        <f t="shared" si="82"/>
        <v/>
      </c>
      <c r="AY193" s="52" t="str">
        <f t="shared" si="106"/>
        <v/>
      </c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13"/>
    </row>
    <row r="194" spans="1:163">
      <c r="A194" s="71"/>
      <c r="B194" s="70"/>
      <c r="C194" s="72"/>
      <c r="D194" s="73"/>
      <c r="E194" s="73"/>
      <c r="F194" s="73"/>
      <c r="G194" s="73"/>
      <c r="H194" s="73"/>
      <c r="I194" s="74"/>
      <c r="J194" s="74"/>
      <c r="K194" s="74"/>
      <c r="L194" s="73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0"/>
      <c r="Z194" s="12">
        <f t="shared" si="83"/>
        <v>0</v>
      </c>
      <c r="AA194" s="14">
        <f t="shared" si="81"/>
        <v>0</v>
      </c>
      <c r="AB194" s="6">
        <f t="shared" si="84"/>
        <v>0</v>
      </c>
      <c r="AC194" s="6">
        <f t="shared" si="85"/>
        <v>0</v>
      </c>
      <c r="AD194" s="6">
        <f t="shared" si="86"/>
        <v>0</v>
      </c>
      <c r="AE194" s="52" t="str">
        <f t="shared" si="87"/>
        <v/>
      </c>
      <c r="AF194" s="52" t="str">
        <f t="shared" si="88"/>
        <v/>
      </c>
      <c r="AG194" s="50" t="str">
        <f t="shared" si="89"/>
        <v/>
      </c>
      <c r="AH194" s="50" t="str">
        <f t="shared" si="90"/>
        <v/>
      </c>
      <c r="AI194" s="52" t="str">
        <f t="shared" si="91"/>
        <v/>
      </c>
      <c r="AJ194" s="52" t="str">
        <f t="shared" si="92"/>
        <v/>
      </c>
      <c r="AK194" s="52" t="str">
        <f t="shared" si="93"/>
        <v/>
      </c>
      <c r="AL194" s="52" t="str">
        <f t="shared" si="94"/>
        <v/>
      </c>
      <c r="AM194" s="52" t="str">
        <f t="shared" si="95"/>
        <v/>
      </c>
      <c r="AN194" s="52" t="str">
        <f t="shared" si="96"/>
        <v/>
      </c>
      <c r="AO194" s="52" t="str">
        <f t="shared" si="97"/>
        <v/>
      </c>
      <c r="AP194" s="52" t="str">
        <f t="shared" si="98"/>
        <v/>
      </c>
      <c r="AQ194" s="52" t="str">
        <f t="shared" si="99"/>
        <v/>
      </c>
      <c r="AR194" s="52" t="str">
        <f t="shared" si="100"/>
        <v/>
      </c>
      <c r="AS194" s="52" t="str">
        <f t="shared" si="101"/>
        <v/>
      </c>
      <c r="AT194" s="52" t="str">
        <f t="shared" si="102"/>
        <v/>
      </c>
      <c r="AU194" s="52" t="str">
        <f t="shared" si="103"/>
        <v/>
      </c>
      <c r="AV194" s="52" t="str">
        <f t="shared" si="104"/>
        <v/>
      </c>
      <c r="AW194" s="52" t="str">
        <f t="shared" si="105"/>
        <v/>
      </c>
      <c r="AX194" s="52" t="str">
        <f t="shared" si="82"/>
        <v/>
      </c>
      <c r="AY194" s="52" t="str">
        <f t="shared" si="106"/>
        <v/>
      </c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13"/>
    </row>
    <row r="195" spans="1:163">
      <c r="A195" s="71"/>
      <c r="B195" s="70"/>
      <c r="C195" s="72"/>
      <c r="D195" s="73"/>
      <c r="E195" s="73"/>
      <c r="F195" s="73"/>
      <c r="G195" s="73"/>
      <c r="H195" s="73"/>
      <c r="I195" s="74"/>
      <c r="J195" s="74"/>
      <c r="K195" s="74"/>
      <c r="L195" s="73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0"/>
      <c r="Z195" s="12">
        <f t="shared" si="83"/>
        <v>0</v>
      </c>
      <c r="AA195" s="14">
        <f t="shared" si="81"/>
        <v>0</v>
      </c>
      <c r="AB195" s="6">
        <f t="shared" si="84"/>
        <v>0</v>
      </c>
      <c r="AC195" s="6">
        <f t="shared" si="85"/>
        <v>0</v>
      </c>
      <c r="AD195" s="6">
        <f t="shared" si="86"/>
        <v>0</v>
      </c>
      <c r="AE195" s="52" t="str">
        <f t="shared" si="87"/>
        <v/>
      </c>
      <c r="AF195" s="52" t="str">
        <f t="shared" si="88"/>
        <v/>
      </c>
      <c r="AG195" s="50" t="str">
        <f t="shared" si="89"/>
        <v/>
      </c>
      <c r="AH195" s="50" t="str">
        <f t="shared" si="90"/>
        <v/>
      </c>
      <c r="AI195" s="52" t="str">
        <f t="shared" si="91"/>
        <v/>
      </c>
      <c r="AJ195" s="52" t="str">
        <f t="shared" si="92"/>
        <v/>
      </c>
      <c r="AK195" s="52" t="str">
        <f t="shared" si="93"/>
        <v/>
      </c>
      <c r="AL195" s="52" t="str">
        <f t="shared" si="94"/>
        <v/>
      </c>
      <c r="AM195" s="52" t="str">
        <f t="shared" si="95"/>
        <v/>
      </c>
      <c r="AN195" s="52" t="str">
        <f t="shared" si="96"/>
        <v/>
      </c>
      <c r="AO195" s="52" t="str">
        <f t="shared" si="97"/>
        <v/>
      </c>
      <c r="AP195" s="52" t="str">
        <f t="shared" si="98"/>
        <v/>
      </c>
      <c r="AQ195" s="52" t="str">
        <f t="shared" si="99"/>
        <v/>
      </c>
      <c r="AR195" s="52" t="str">
        <f t="shared" si="100"/>
        <v/>
      </c>
      <c r="AS195" s="52" t="str">
        <f t="shared" si="101"/>
        <v/>
      </c>
      <c r="AT195" s="52" t="str">
        <f t="shared" si="102"/>
        <v/>
      </c>
      <c r="AU195" s="52" t="str">
        <f t="shared" si="103"/>
        <v/>
      </c>
      <c r="AV195" s="52" t="str">
        <f t="shared" si="104"/>
        <v/>
      </c>
      <c r="AW195" s="52" t="str">
        <f t="shared" si="105"/>
        <v/>
      </c>
      <c r="AX195" s="52" t="str">
        <f t="shared" si="82"/>
        <v/>
      </c>
      <c r="AY195" s="52" t="str">
        <f t="shared" si="106"/>
        <v/>
      </c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2"/>
      <c r="FG195" s="13"/>
    </row>
    <row r="196" spans="1:163">
      <c r="A196" s="71"/>
      <c r="B196" s="70"/>
      <c r="C196" s="72"/>
      <c r="D196" s="73"/>
      <c r="E196" s="73"/>
      <c r="F196" s="73"/>
      <c r="G196" s="73"/>
      <c r="H196" s="73"/>
      <c r="I196" s="74"/>
      <c r="J196" s="74"/>
      <c r="K196" s="74"/>
      <c r="L196" s="73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0"/>
      <c r="Z196" s="12">
        <f t="shared" si="83"/>
        <v>0</v>
      </c>
      <c r="AA196" s="14">
        <f t="shared" si="81"/>
        <v>0</v>
      </c>
      <c r="AB196" s="6">
        <f t="shared" si="84"/>
        <v>0</v>
      </c>
      <c r="AC196" s="6">
        <f t="shared" si="85"/>
        <v>0</v>
      </c>
      <c r="AD196" s="6">
        <f t="shared" si="86"/>
        <v>0</v>
      </c>
      <c r="AE196" s="52" t="str">
        <f t="shared" si="87"/>
        <v/>
      </c>
      <c r="AF196" s="52" t="str">
        <f t="shared" si="88"/>
        <v/>
      </c>
      <c r="AG196" s="50" t="str">
        <f t="shared" si="89"/>
        <v/>
      </c>
      <c r="AH196" s="50" t="str">
        <f t="shared" si="90"/>
        <v/>
      </c>
      <c r="AI196" s="52" t="str">
        <f t="shared" si="91"/>
        <v/>
      </c>
      <c r="AJ196" s="52" t="str">
        <f t="shared" si="92"/>
        <v/>
      </c>
      <c r="AK196" s="52" t="str">
        <f t="shared" si="93"/>
        <v/>
      </c>
      <c r="AL196" s="52" t="str">
        <f t="shared" si="94"/>
        <v/>
      </c>
      <c r="AM196" s="52" t="str">
        <f t="shared" si="95"/>
        <v/>
      </c>
      <c r="AN196" s="52" t="str">
        <f t="shared" si="96"/>
        <v/>
      </c>
      <c r="AO196" s="52" t="str">
        <f t="shared" si="97"/>
        <v/>
      </c>
      <c r="AP196" s="52" t="str">
        <f t="shared" si="98"/>
        <v/>
      </c>
      <c r="AQ196" s="52" t="str">
        <f t="shared" si="99"/>
        <v/>
      </c>
      <c r="AR196" s="52" t="str">
        <f t="shared" si="100"/>
        <v/>
      </c>
      <c r="AS196" s="52" t="str">
        <f t="shared" si="101"/>
        <v/>
      </c>
      <c r="AT196" s="52" t="str">
        <f t="shared" si="102"/>
        <v/>
      </c>
      <c r="AU196" s="52" t="str">
        <f t="shared" si="103"/>
        <v/>
      </c>
      <c r="AV196" s="52" t="str">
        <f t="shared" si="104"/>
        <v/>
      </c>
      <c r="AW196" s="52" t="str">
        <f t="shared" si="105"/>
        <v/>
      </c>
      <c r="AX196" s="52" t="str">
        <f t="shared" si="82"/>
        <v/>
      </c>
      <c r="AY196" s="52" t="str">
        <f t="shared" si="106"/>
        <v/>
      </c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13"/>
    </row>
    <row r="197" spans="1:163">
      <c r="A197" s="71"/>
      <c r="B197" s="70"/>
      <c r="C197" s="72"/>
      <c r="D197" s="73"/>
      <c r="E197" s="73"/>
      <c r="F197" s="73"/>
      <c r="G197" s="73"/>
      <c r="H197" s="73"/>
      <c r="I197" s="74"/>
      <c r="J197" s="74"/>
      <c r="K197" s="74"/>
      <c r="L197" s="73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0"/>
      <c r="Z197" s="12">
        <f t="shared" si="83"/>
        <v>0</v>
      </c>
      <c r="AA197" s="14">
        <f t="shared" si="81"/>
        <v>0</v>
      </c>
      <c r="AB197" s="6">
        <f t="shared" si="84"/>
        <v>0</v>
      </c>
      <c r="AC197" s="6">
        <f t="shared" si="85"/>
        <v>0</v>
      </c>
      <c r="AD197" s="6">
        <f t="shared" si="86"/>
        <v>0</v>
      </c>
      <c r="AE197" s="52" t="str">
        <f t="shared" si="87"/>
        <v/>
      </c>
      <c r="AF197" s="52" t="str">
        <f t="shared" si="88"/>
        <v/>
      </c>
      <c r="AG197" s="50" t="str">
        <f t="shared" si="89"/>
        <v/>
      </c>
      <c r="AH197" s="50" t="str">
        <f t="shared" si="90"/>
        <v/>
      </c>
      <c r="AI197" s="52" t="str">
        <f t="shared" si="91"/>
        <v/>
      </c>
      <c r="AJ197" s="52" t="str">
        <f t="shared" si="92"/>
        <v/>
      </c>
      <c r="AK197" s="52" t="str">
        <f t="shared" si="93"/>
        <v/>
      </c>
      <c r="AL197" s="52" t="str">
        <f t="shared" si="94"/>
        <v/>
      </c>
      <c r="AM197" s="52" t="str">
        <f t="shared" si="95"/>
        <v/>
      </c>
      <c r="AN197" s="52" t="str">
        <f t="shared" si="96"/>
        <v/>
      </c>
      <c r="AO197" s="52" t="str">
        <f t="shared" si="97"/>
        <v/>
      </c>
      <c r="AP197" s="52" t="str">
        <f t="shared" si="98"/>
        <v/>
      </c>
      <c r="AQ197" s="52" t="str">
        <f t="shared" si="99"/>
        <v/>
      </c>
      <c r="AR197" s="52" t="str">
        <f t="shared" si="100"/>
        <v/>
      </c>
      <c r="AS197" s="52" t="str">
        <f t="shared" si="101"/>
        <v/>
      </c>
      <c r="AT197" s="52" t="str">
        <f t="shared" si="102"/>
        <v/>
      </c>
      <c r="AU197" s="52" t="str">
        <f t="shared" si="103"/>
        <v/>
      </c>
      <c r="AV197" s="52" t="str">
        <f t="shared" si="104"/>
        <v/>
      </c>
      <c r="AW197" s="52" t="str">
        <f t="shared" si="105"/>
        <v/>
      </c>
      <c r="AX197" s="52" t="str">
        <f t="shared" si="82"/>
        <v/>
      </c>
      <c r="AY197" s="52" t="str">
        <f t="shared" si="106"/>
        <v/>
      </c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52"/>
      <c r="CS197" s="52"/>
      <c r="CT197" s="52"/>
      <c r="CU197" s="52"/>
      <c r="CV197" s="52"/>
      <c r="CW197" s="52"/>
      <c r="CX197" s="52"/>
      <c r="CY197" s="52"/>
      <c r="CZ197" s="52"/>
      <c r="DA197" s="52"/>
      <c r="DB197" s="52"/>
      <c r="DC197" s="52"/>
      <c r="DD197" s="52"/>
      <c r="DE197" s="52"/>
      <c r="DF197" s="52"/>
      <c r="DG197" s="52"/>
      <c r="DH197" s="52"/>
      <c r="DI197" s="52"/>
      <c r="DJ197" s="52"/>
      <c r="DK197" s="52"/>
      <c r="DL197" s="52"/>
      <c r="DM197" s="52"/>
      <c r="DN197" s="52"/>
      <c r="DO197" s="52"/>
      <c r="DP197" s="52"/>
      <c r="DQ197" s="52"/>
      <c r="DR197" s="52"/>
      <c r="DS197" s="52"/>
      <c r="DT197" s="52"/>
      <c r="DU197" s="52"/>
      <c r="DV197" s="52"/>
      <c r="DW197" s="52"/>
      <c r="DX197" s="52"/>
      <c r="DY197" s="52"/>
      <c r="DZ197" s="52"/>
      <c r="EA197" s="52"/>
      <c r="EB197" s="52"/>
      <c r="EC197" s="52"/>
      <c r="ED197" s="52"/>
      <c r="EE197" s="52"/>
      <c r="EF197" s="52"/>
      <c r="EG197" s="52"/>
      <c r="EH197" s="52"/>
      <c r="EI197" s="52"/>
      <c r="EJ197" s="52"/>
      <c r="EK197" s="52"/>
      <c r="EL197" s="52"/>
      <c r="EM197" s="52"/>
      <c r="EN197" s="52"/>
      <c r="EO197" s="52"/>
      <c r="EP197" s="52"/>
      <c r="EQ197" s="52"/>
      <c r="ER197" s="52"/>
      <c r="ES197" s="52"/>
      <c r="ET197" s="52"/>
      <c r="EU197" s="52"/>
      <c r="EV197" s="52"/>
      <c r="EW197" s="52"/>
      <c r="EX197" s="52"/>
      <c r="EY197" s="52"/>
      <c r="EZ197" s="52"/>
      <c r="FA197" s="52"/>
      <c r="FB197" s="52"/>
      <c r="FC197" s="52"/>
      <c r="FD197" s="52"/>
      <c r="FE197" s="52"/>
      <c r="FF197" s="52"/>
      <c r="FG197" s="13"/>
    </row>
    <row r="198" spans="1:163">
      <c r="A198" s="71"/>
      <c r="B198" s="70"/>
      <c r="C198" s="72"/>
      <c r="D198" s="73"/>
      <c r="E198" s="73"/>
      <c r="F198" s="73"/>
      <c r="G198" s="73"/>
      <c r="H198" s="73"/>
      <c r="I198" s="74"/>
      <c r="J198" s="74"/>
      <c r="K198" s="74"/>
      <c r="L198" s="73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0"/>
      <c r="Z198" s="12">
        <f t="shared" si="83"/>
        <v>0</v>
      </c>
      <c r="AA198" s="14">
        <f t="shared" si="81"/>
        <v>0</v>
      </c>
      <c r="AB198" s="6">
        <f t="shared" si="84"/>
        <v>0</v>
      </c>
      <c r="AC198" s="6">
        <f t="shared" si="85"/>
        <v>0</v>
      </c>
      <c r="AD198" s="6">
        <f t="shared" si="86"/>
        <v>0</v>
      </c>
      <c r="AE198" s="52" t="str">
        <f t="shared" si="87"/>
        <v/>
      </c>
      <c r="AF198" s="52" t="str">
        <f t="shared" si="88"/>
        <v/>
      </c>
      <c r="AG198" s="50" t="str">
        <f t="shared" si="89"/>
        <v/>
      </c>
      <c r="AH198" s="50" t="str">
        <f t="shared" si="90"/>
        <v/>
      </c>
      <c r="AI198" s="52" t="str">
        <f t="shared" si="91"/>
        <v/>
      </c>
      <c r="AJ198" s="52" t="str">
        <f t="shared" si="92"/>
        <v/>
      </c>
      <c r="AK198" s="52" t="str">
        <f t="shared" si="93"/>
        <v/>
      </c>
      <c r="AL198" s="52" t="str">
        <f t="shared" si="94"/>
        <v/>
      </c>
      <c r="AM198" s="52" t="str">
        <f t="shared" si="95"/>
        <v/>
      </c>
      <c r="AN198" s="52" t="str">
        <f t="shared" si="96"/>
        <v/>
      </c>
      <c r="AO198" s="52" t="str">
        <f t="shared" si="97"/>
        <v/>
      </c>
      <c r="AP198" s="52" t="str">
        <f t="shared" si="98"/>
        <v/>
      </c>
      <c r="AQ198" s="52" t="str">
        <f t="shared" si="99"/>
        <v/>
      </c>
      <c r="AR198" s="52" t="str">
        <f t="shared" si="100"/>
        <v/>
      </c>
      <c r="AS198" s="52" t="str">
        <f t="shared" si="101"/>
        <v/>
      </c>
      <c r="AT198" s="52" t="str">
        <f t="shared" si="102"/>
        <v/>
      </c>
      <c r="AU198" s="52" t="str">
        <f t="shared" si="103"/>
        <v/>
      </c>
      <c r="AV198" s="52" t="str">
        <f t="shared" si="104"/>
        <v/>
      </c>
      <c r="AW198" s="52" t="str">
        <f t="shared" si="105"/>
        <v/>
      </c>
      <c r="AX198" s="52" t="str">
        <f t="shared" si="82"/>
        <v/>
      </c>
      <c r="AY198" s="52" t="str">
        <f t="shared" si="106"/>
        <v/>
      </c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13"/>
    </row>
    <row r="199" spans="1:163">
      <c r="A199" s="71"/>
      <c r="B199" s="70"/>
      <c r="C199" s="72"/>
      <c r="D199" s="73"/>
      <c r="E199" s="73"/>
      <c r="F199" s="73"/>
      <c r="G199" s="73"/>
      <c r="H199" s="73"/>
      <c r="I199" s="74"/>
      <c r="J199" s="74"/>
      <c r="K199" s="74"/>
      <c r="L199" s="73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0"/>
      <c r="Z199" s="12">
        <f t="shared" si="83"/>
        <v>0</v>
      </c>
      <c r="AA199" s="14">
        <f t="shared" si="81"/>
        <v>0</v>
      </c>
      <c r="AB199" s="6">
        <f t="shared" si="84"/>
        <v>0</v>
      </c>
      <c r="AC199" s="6">
        <f t="shared" si="85"/>
        <v>0</v>
      </c>
      <c r="AD199" s="6">
        <f t="shared" si="86"/>
        <v>0</v>
      </c>
      <c r="AE199" s="52" t="str">
        <f t="shared" si="87"/>
        <v/>
      </c>
      <c r="AF199" s="52" t="str">
        <f t="shared" si="88"/>
        <v/>
      </c>
      <c r="AG199" s="50" t="str">
        <f t="shared" si="89"/>
        <v/>
      </c>
      <c r="AH199" s="50" t="str">
        <f t="shared" si="90"/>
        <v/>
      </c>
      <c r="AI199" s="52" t="str">
        <f t="shared" si="91"/>
        <v/>
      </c>
      <c r="AJ199" s="52" t="str">
        <f t="shared" si="92"/>
        <v/>
      </c>
      <c r="AK199" s="52" t="str">
        <f t="shared" si="93"/>
        <v/>
      </c>
      <c r="AL199" s="52" t="str">
        <f t="shared" si="94"/>
        <v/>
      </c>
      <c r="AM199" s="52" t="str">
        <f t="shared" si="95"/>
        <v/>
      </c>
      <c r="AN199" s="52" t="str">
        <f t="shared" si="96"/>
        <v/>
      </c>
      <c r="AO199" s="52" t="str">
        <f t="shared" si="97"/>
        <v/>
      </c>
      <c r="AP199" s="52" t="str">
        <f t="shared" si="98"/>
        <v/>
      </c>
      <c r="AQ199" s="52" t="str">
        <f t="shared" si="99"/>
        <v/>
      </c>
      <c r="AR199" s="52" t="str">
        <f t="shared" si="100"/>
        <v/>
      </c>
      <c r="AS199" s="52" t="str">
        <f t="shared" si="101"/>
        <v/>
      </c>
      <c r="AT199" s="52" t="str">
        <f t="shared" si="102"/>
        <v/>
      </c>
      <c r="AU199" s="52" t="str">
        <f t="shared" si="103"/>
        <v/>
      </c>
      <c r="AV199" s="52" t="str">
        <f t="shared" si="104"/>
        <v/>
      </c>
      <c r="AW199" s="52" t="str">
        <f t="shared" si="105"/>
        <v/>
      </c>
      <c r="AX199" s="52" t="str">
        <f t="shared" si="82"/>
        <v/>
      </c>
      <c r="AY199" s="52" t="str">
        <f t="shared" si="106"/>
        <v/>
      </c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13"/>
    </row>
    <row r="200" spans="1:163">
      <c r="A200" s="71"/>
      <c r="B200" s="70"/>
      <c r="C200" s="72"/>
      <c r="D200" s="73"/>
      <c r="E200" s="73"/>
      <c r="F200" s="73"/>
      <c r="G200" s="73"/>
      <c r="H200" s="73"/>
      <c r="I200" s="74"/>
      <c r="J200" s="74"/>
      <c r="K200" s="74"/>
      <c r="L200" s="73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0"/>
      <c r="Z200" s="12">
        <f t="shared" si="83"/>
        <v>0</v>
      </c>
      <c r="AA200" s="14">
        <f t="shared" si="81"/>
        <v>0</v>
      </c>
      <c r="AB200" s="6">
        <f t="shared" si="84"/>
        <v>0</v>
      </c>
      <c r="AC200" s="6">
        <f t="shared" si="85"/>
        <v>0</v>
      </c>
      <c r="AD200" s="6">
        <f t="shared" si="86"/>
        <v>0</v>
      </c>
      <c r="AE200" s="52" t="str">
        <f t="shared" si="87"/>
        <v/>
      </c>
      <c r="AF200" s="52" t="str">
        <f t="shared" si="88"/>
        <v/>
      </c>
      <c r="AG200" s="50" t="str">
        <f t="shared" si="89"/>
        <v/>
      </c>
      <c r="AH200" s="50" t="str">
        <f t="shared" si="90"/>
        <v/>
      </c>
      <c r="AI200" s="52" t="str">
        <f t="shared" si="91"/>
        <v/>
      </c>
      <c r="AJ200" s="52" t="str">
        <f t="shared" si="92"/>
        <v/>
      </c>
      <c r="AK200" s="52" t="str">
        <f t="shared" si="93"/>
        <v/>
      </c>
      <c r="AL200" s="52" t="str">
        <f t="shared" si="94"/>
        <v/>
      </c>
      <c r="AM200" s="52" t="str">
        <f t="shared" si="95"/>
        <v/>
      </c>
      <c r="AN200" s="52" t="str">
        <f t="shared" si="96"/>
        <v/>
      </c>
      <c r="AO200" s="52" t="str">
        <f t="shared" si="97"/>
        <v/>
      </c>
      <c r="AP200" s="52" t="str">
        <f t="shared" si="98"/>
        <v/>
      </c>
      <c r="AQ200" s="52" t="str">
        <f t="shared" si="99"/>
        <v/>
      </c>
      <c r="AR200" s="52" t="str">
        <f t="shared" si="100"/>
        <v/>
      </c>
      <c r="AS200" s="52" t="str">
        <f t="shared" si="101"/>
        <v/>
      </c>
      <c r="AT200" s="52" t="str">
        <f t="shared" si="102"/>
        <v/>
      </c>
      <c r="AU200" s="52" t="str">
        <f t="shared" si="103"/>
        <v/>
      </c>
      <c r="AV200" s="52" t="str">
        <f t="shared" si="104"/>
        <v/>
      </c>
      <c r="AW200" s="52" t="str">
        <f t="shared" si="105"/>
        <v/>
      </c>
      <c r="AX200" s="52" t="str">
        <f t="shared" si="82"/>
        <v/>
      </c>
      <c r="AY200" s="52" t="str">
        <f t="shared" si="106"/>
        <v/>
      </c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13"/>
    </row>
    <row r="201" spans="1:163">
      <c r="A201" s="71"/>
      <c r="B201" s="70"/>
      <c r="C201" s="72"/>
      <c r="D201" s="73"/>
      <c r="E201" s="73"/>
      <c r="F201" s="73"/>
      <c r="G201" s="73"/>
      <c r="H201" s="73"/>
      <c r="I201" s="74"/>
      <c r="J201" s="74"/>
      <c r="K201" s="74"/>
      <c r="L201" s="73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0"/>
      <c r="Z201" s="12">
        <f t="shared" si="83"/>
        <v>0</v>
      </c>
      <c r="AA201" s="14">
        <f t="shared" si="81"/>
        <v>0</v>
      </c>
      <c r="AB201" s="6">
        <f t="shared" si="84"/>
        <v>0</v>
      </c>
      <c r="AC201" s="6">
        <f t="shared" si="85"/>
        <v>0</v>
      </c>
      <c r="AD201" s="6">
        <f t="shared" si="86"/>
        <v>0</v>
      </c>
      <c r="AE201" s="52" t="str">
        <f t="shared" si="87"/>
        <v/>
      </c>
      <c r="AF201" s="52" t="str">
        <f t="shared" si="88"/>
        <v/>
      </c>
      <c r="AG201" s="50" t="str">
        <f t="shared" si="89"/>
        <v/>
      </c>
      <c r="AH201" s="50" t="str">
        <f t="shared" si="90"/>
        <v/>
      </c>
      <c r="AI201" s="52" t="str">
        <f t="shared" si="91"/>
        <v/>
      </c>
      <c r="AJ201" s="52" t="str">
        <f t="shared" si="92"/>
        <v/>
      </c>
      <c r="AK201" s="52" t="str">
        <f t="shared" si="93"/>
        <v/>
      </c>
      <c r="AL201" s="52" t="str">
        <f t="shared" si="94"/>
        <v/>
      </c>
      <c r="AM201" s="52" t="str">
        <f t="shared" si="95"/>
        <v/>
      </c>
      <c r="AN201" s="52" t="str">
        <f t="shared" si="96"/>
        <v/>
      </c>
      <c r="AO201" s="52" t="str">
        <f t="shared" si="97"/>
        <v/>
      </c>
      <c r="AP201" s="52" t="str">
        <f t="shared" si="98"/>
        <v/>
      </c>
      <c r="AQ201" s="52" t="str">
        <f t="shared" si="99"/>
        <v/>
      </c>
      <c r="AR201" s="52" t="str">
        <f t="shared" si="100"/>
        <v/>
      </c>
      <c r="AS201" s="52" t="str">
        <f t="shared" si="101"/>
        <v/>
      </c>
      <c r="AT201" s="52" t="str">
        <f t="shared" si="102"/>
        <v/>
      </c>
      <c r="AU201" s="52" t="str">
        <f t="shared" si="103"/>
        <v/>
      </c>
      <c r="AV201" s="52" t="str">
        <f t="shared" si="104"/>
        <v/>
      </c>
      <c r="AW201" s="52" t="str">
        <f t="shared" si="105"/>
        <v/>
      </c>
      <c r="AX201" s="52" t="str">
        <f t="shared" si="82"/>
        <v/>
      </c>
      <c r="AY201" s="52" t="str">
        <f t="shared" si="106"/>
        <v/>
      </c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13"/>
    </row>
    <row r="202" spans="1:163">
      <c r="A202" s="71"/>
      <c r="B202" s="70"/>
      <c r="C202" s="72"/>
      <c r="D202" s="73"/>
      <c r="E202" s="73"/>
      <c r="F202" s="73"/>
      <c r="G202" s="73"/>
      <c r="H202" s="73"/>
      <c r="I202" s="74"/>
      <c r="J202" s="74"/>
      <c r="K202" s="74"/>
      <c r="L202" s="73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0"/>
      <c r="Z202" s="12">
        <f t="shared" si="83"/>
        <v>0</v>
      </c>
      <c r="AA202" s="14">
        <f t="shared" si="81"/>
        <v>0</v>
      </c>
      <c r="AB202" s="6">
        <f t="shared" si="84"/>
        <v>0</v>
      </c>
      <c r="AC202" s="6">
        <f t="shared" si="85"/>
        <v>0</v>
      </c>
      <c r="AD202" s="6">
        <f t="shared" si="86"/>
        <v>0</v>
      </c>
      <c r="AE202" s="52" t="str">
        <f t="shared" si="87"/>
        <v/>
      </c>
      <c r="AF202" s="52" t="str">
        <f t="shared" si="88"/>
        <v/>
      </c>
      <c r="AG202" s="50" t="str">
        <f t="shared" si="89"/>
        <v/>
      </c>
      <c r="AH202" s="50" t="str">
        <f t="shared" si="90"/>
        <v/>
      </c>
      <c r="AI202" s="52" t="str">
        <f t="shared" si="91"/>
        <v/>
      </c>
      <c r="AJ202" s="52" t="str">
        <f t="shared" si="92"/>
        <v/>
      </c>
      <c r="AK202" s="52" t="str">
        <f t="shared" si="93"/>
        <v/>
      </c>
      <c r="AL202" s="52" t="str">
        <f t="shared" si="94"/>
        <v/>
      </c>
      <c r="AM202" s="52" t="str">
        <f t="shared" si="95"/>
        <v/>
      </c>
      <c r="AN202" s="52" t="str">
        <f t="shared" si="96"/>
        <v/>
      </c>
      <c r="AO202" s="52" t="str">
        <f t="shared" si="97"/>
        <v/>
      </c>
      <c r="AP202" s="52" t="str">
        <f t="shared" si="98"/>
        <v/>
      </c>
      <c r="AQ202" s="52" t="str">
        <f t="shared" si="99"/>
        <v/>
      </c>
      <c r="AR202" s="52" t="str">
        <f t="shared" si="100"/>
        <v/>
      </c>
      <c r="AS202" s="52" t="str">
        <f t="shared" si="101"/>
        <v/>
      </c>
      <c r="AT202" s="52" t="str">
        <f t="shared" si="102"/>
        <v/>
      </c>
      <c r="AU202" s="52" t="str">
        <f t="shared" si="103"/>
        <v/>
      </c>
      <c r="AV202" s="52" t="str">
        <f t="shared" si="104"/>
        <v/>
      </c>
      <c r="AW202" s="52" t="str">
        <f t="shared" si="105"/>
        <v/>
      </c>
      <c r="AX202" s="52" t="str">
        <f t="shared" si="82"/>
        <v/>
      </c>
      <c r="AY202" s="52" t="str">
        <f t="shared" si="106"/>
        <v/>
      </c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13"/>
    </row>
    <row r="203" spans="1:163">
      <c r="A203" s="71"/>
      <c r="B203" s="70"/>
      <c r="C203" s="72"/>
      <c r="D203" s="73"/>
      <c r="E203" s="73"/>
      <c r="F203" s="73"/>
      <c r="G203" s="73"/>
      <c r="H203" s="73"/>
      <c r="I203" s="74"/>
      <c r="J203" s="74"/>
      <c r="K203" s="74"/>
      <c r="L203" s="73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0"/>
      <c r="Z203" s="12">
        <f t="shared" si="83"/>
        <v>0</v>
      </c>
      <c r="AA203" s="14">
        <f t="shared" si="81"/>
        <v>0</v>
      </c>
      <c r="AB203" s="6">
        <f t="shared" si="84"/>
        <v>0</v>
      </c>
      <c r="AC203" s="6">
        <f t="shared" si="85"/>
        <v>0</v>
      </c>
      <c r="AD203" s="6">
        <f t="shared" si="86"/>
        <v>0</v>
      </c>
      <c r="AE203" s="52" t="str">
        <f t="shared" si="87"/>
        <v/>
      </c>
      <c r="AF203" s="52" t="str">
        <f t="shared" si="88"/>
        <v/>
      </c>
      <c r="AG203" s="50" t="str">
        <f t="shared" si="89"/>
        <v/>
      </c>
      <c r="AH203" s="50" t="str">
        <f t="shared" si="90"/>
        <v/>
      </c>
      <c r="AI203" s="52" t="str">
        <f t="shared" si="91"/>
        <v/>
      </c>
      <c r="AJ203" s="52" t="str">
        <f t="shared" si="92"/>
        <v/>
      </c>
      <c r="AK203" s="52" t="str">
        <f t="shared" si="93"/>
        <v/>
      </c>
      <c r="AL203" s="52" t="str">
        <f t="shared" si="94"/>
        <v/>
      </c>
      <c r="AM203" s="52" t="str">
        <f t="shared" si="95"/>
        <v/>
      </c>
      <c r="AN203" s="52" t="str">
        <f t="shared" si="96"/>
        <v/>
      </c>
      <c r="AO203" s="52" t="str">
        <f t="shared" si="97"/>
        <v/>
      </c>
      <c r="AP203" s="52" t="str">
        <f t="shared" si="98"/>
        <v/>
      </c>
      <c r="AQ203" s="52" t="str">
        <f t="shared" si="99"/>
        <v/>
      </c>
      <c r="AR203" s="52" t="str">
        <f t="shared" si="100"/>
        <v/>
      </c>
      <c r="AS203" s="52" t="str">
        <f t="shared" si="101"/>
        <v/>
      </c>
      <c r="AT203" s="52" t="str">
        <f t="shared" si="102"/>
        <v/>
      </c>
      <c r="AU203" s="52" t="str">
        <f t="shared" si="103"/>
        <v/>
      </c>
      <c r="AV203" s="52" t="str">
        <f t="shared" si="104"/>
        <v/>
      </c>
      <c r="AW203" s="52" t="str">
        <f t="shared" si="105"/>
        <v/>
      </c>
      <c r="AX203" s="52" t="str">
        <f t="shared" si="82"/>
        <v/>
      </c>
      <c r="AY203" s="52" t="str">
        <f t="shared" si="106"/>
        <v/>
      </c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13"/>
    </row>
    <row r="204" spans="1:163">
      <c r="A204" s="71"/>
      <c r="B204" s="70"/>
      <c r="C204" s="72"/>
      <c r="D204" s="73"/>
      <c r="E204" s="73"/>
      <c r="F204" s="73"/>
      <c r="G204" s="73"/>
      <c r="H204" s="73"/>
      <c r="I204" s="74"/>
      <c r="J204" s="74"/>
      <c r="K204" s="74"/>
      <c r="L204" s="73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0"/>
      <c r="Z204" s="12">
        <f t="shared" si="83"/>
        <v>0</v>
      </c>
      <c r="AA204" s="14">
        <f t="shared" si="81"/>
        <v>0</v>
      </c>
      <c r="AB204" s="6">
        <f t="shared" si="84"/>
        <v>0</v>
      </c>
      <c r="AC204" s="6">
        <f t="shared" si="85"/>
        <v>0</v>
      </c>
      <c r="AD204" s="6">
        <f t="shared" si="86"/>
        <v>0</v>
      </c>
      <c r="AE204" s="52" t="str">
        <f t="shared" si="87"/>
        <v/>
      </c>
      <c r="AF204" s="52" t="str">
        <f t="shared" si="88"/>
        <v/>
      </c>
      <c r="AG204" s="50" t="str">
        <f t="shared" si="89"/>
        <v/>
      </c>
      <c r="AH204" s="50" t="str">
        <f t="shared" si="90"/>
        <v/>
      </c>
      <c r="AI204" s="52" t="str">
        <f t="shared" si="91"/>
        <v/>
      </c>
      <c r="AJ204" s="52" t="str">
        <f t="shared" si="92"/>
        <v/>
      </c>
      <c r="AK204" s="52" t="str">
        <f t="shared" si="93"/>
        <v/>
      </c>
      <c r="AL204" s="52" t="str">
        <f t="shared" si="94"/>
        <v/>
      </c>
      <c r="AM204" s="52" t="str">
        <f t="shared" si="95"/>
        <v/>
      </c>
      <c r="AN204" s="52" t="str">
        <f t="shared" si="96"/>
        <v/>
      </c>
      <c r="AO204" s="52" t="str">
        <f t="shared" si="97"/>
        <v/>
      </c>
      <c r="AP204" s="52" t="str">
        <f t="shared" si="98"/>
        <v/>
      </c>
      <c r="AQ204" s="52" t="str">
        <f t="shared" si="99"/>
        <v/>
      </c>
      <c r="AR204" s="52" t="str">
        <f t="shared" si="100"/>
        <v/>
      </c>
      <c r="AS204" s="52" t="str">
        <f t="shared" si="101"/>
        <v/>
      </c>
      <c r="AT204" s="52" t="str">
        <f t="shared" si="102"/>
        <v/>
      </c>
      <c r="AU204" s="52" t="str">
        <f t="shared" si="103"/>
        <v/>
      </c>
      <c r="AV204" s="52" t="str">
        <f t="shared" si="104"/>
        <v/>
      </c>
      <c r="AW204" s="52" t="str">
        <f t="shared" si="105"/>
        <v/>
      </c>
      <c r="AX204" s="52" t="str">
        <f t="shared" si="82"/>
        <v/>
      </c>
      <c r="AY204" s="52" t="str">
        <f t="shared" si="106"/>
        <v/>
      </c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52"/>
      <c r="CS204" s="52"/>
      <c r="CT204" s="52"/>
      <c r="CU204" s="52"/>
      <c r="CV204" s="52"/>
      <c r="CW204" s="52"/>
      <c r="CX204" s="52"/>
      <c r="CY204" s="52"/>
      <c r="CZ204" s="52"/>
      <c r="DA204" s="52"/>
      <c r="DB204" s="52"/>
      <c r="DC204" s="52"/>
      <c r="DD204" s="52"/>
      <c r="DE204" s="52"/>
      <c r="DF204" s="52"/>
      <c r="DG204" s="52"/>
      <c r="DH204" s="52"/>
      <c r="DI204" s="52"/>
      <c r="DJ204" s="52"/>
      <c r="DK204" s="52"/>
      <c r="DL204" s="52"/>
      <c r="DM204" s="52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  <c r="EL204" s="52"/>
      <c r="EM204" s="52"/>
      <c r="EN204" s="52"/>
      <c r="EO204" s="52"/>
      <c r="EP204" s="52"/>
      <c r="EQ204" s="52"/>
      <c r="ER204" s="52"/>
      <c r="ES204" s="52"/>
      <c r="ET204" s="52"/>
      <c r="EU204" s="52"/>
      <c r="EV204" s="52"/>
      <c r="EW204" s="52"/>
      <c r="EX204" s="52"/>
      <c r="EY204" s="52"/>
      <c r="EZ204" s="52"/>
      <c r="FA204" s="52"/>
      <c r="FB204" s="52"/>
      <c r="FC204" s="52"/>
      <c r="FD204" s="52"/>
      <c r="FE204" s="52"/>
      <c r="FF204" s="52"/>
      <c r="FG204" s="13"/>
    </row>
    <row r="205" spans="1:163">
      <c r="A205" s="71"/>
      <c r="B205" s="70"/>
      <c r="C205" s="72"/>
      <c r="D205" s="73"/>
      <c r="E205" s="73"/>
      <c r="F205" s="73"/>
      <c r="G205" s="73"/>
      <c r="H205" s="73"/>
      <c r="I205" s="74"/>
      <c r="J205" s="74"/>
      <c r="K205" s="74"/>
      <c r="L205" s="73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0"/>
      <c r="Z205" s="12">
        <f t="shared" si="83"/>
        <v>0</v>
      </c>
      <c r="AA205" s="14">
        <f t="shared" si="81"/>
        <v>0</v>
      </c>
      <c r="AB205" s="6">
        <f t="shared" si="84"/>
        <v>0</v>
      </c>
      <c r="AC205" s="6">
        <f t="shared" si="85"/>
        <v>0</v>
      </c>
      <c r="AD205" s="6">
        <f t="shared" si="86"/>
        <v>0</v>
      </c>
      <c r="AE205" s="52" t="str">
        <f t="shared" si="87"/>
        <v/>
      </c>
      <c r="AF205" s="52" t="str">
        <f t="shared" si="88"/>
        <v/>
      </c>
      <c r="AG205" s="50" t="str">
        <f t="shared" si="89"/>
        <v/>
      </c>
      <c r="AH205" s="50" t="str">
        <f t="shared" si="90"/>
        <v/>
      </c>
      <c r="AI205" s="52" t="str">
        <f t="shared" si="91"/>
        <v/>
      </c>
      <c r="AJ205" s="52" t="str">
        <f t="shared" si="92"/>
        <v/>
      </c>
      <c r="AK205" s="52" t="str">
        <f t="shared" si="93"/>
        <v/>
      </c>
      <c r="AL205" s="52" t="str">
        <f t="shared" si="94"/>
        <v/>
      </c>
      <c r="AM205" s="52" t="str">
        <f t="shared" si="95"/>
        <v/>
      </c>
      <c r="AN205" s="52" t="str">
        <f t="shared" si="96"/>
        <v/>
      </c>
      <c r="AO205" s="52" t="str">
        <f t="shared" si="97"/>
        <v/>
      </c>
      <c r="AP205" s="52" t="str">
        <f t="shared" si="98"/>
        <v/>
      </c>
      <c r="AQ205" s="52" t="str">
        <f t="shared" si="99"/>
        <v/>
      </c>
      <c r="AR205" s="52" t="str">
        <f t="shared" si="100"/>
        <v/>
      </c>
      <c r="AS205" s="52" t="str">
        <f t="shared" si="101"/>
        <v/>
      </c>
      <c r="AT205" s="52" t="str">
        <f t="shared" si="102"/>
        <v/>
      </c>
      <c r="AU205" s="52" t="str">
        <f t="shared" si="103"/>
        <v/>
      </c>
      <c r="AV205" s="52" t="str">
        <f t="shared" si="104"/>
        <v/>
      </c>
      <c r="AW205" s="52" t="str">
        <f t="shared" si="105"/>
        <v/>
      </c>
      <c r="AX205" s="52" t="str">
        <f t="shared" si="82"/>
        <v/>
      </c>
      <c r="AY205" s="52" t="str">
        <f t="shared" si="106"/>
        <v/>
      </c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13"/>
    </row>
    <row r="206" spans="1:163">
      <c r="A206" s="71"/>
      <c r="B206" s="70"/>
      <c r="C206" s="72"/>
      <c r="D206" s="73"/>
      <c r="E206" s="73"/>
      <c r="F206" s="73"/>
      <c r="G206" s="73"/>
      <c r="H206" s="73"/>
      <c r="I206" s="74"/>
      <c r="J206" s="74"/>
      <c r="K206" s="74"/>
      <c r="L206" s="73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0"/>
      <c r="Z206" s="12">
        <f t="shared" si="83"/>
        <v>0</v>
      </c>
      <c r="AA206" s="14">
        <f t="shared" si="81"/>
        <v>0</v>
      </c>
      <c r="AB206" s="6">
        <f t="shared" si="84"/>
        <v>0</v>
      </c>
      <c r="AC206" s="6">
        <f t="shared" si="85"/>
        <v>0</v>
      </c>
      <c r="AD206" s="6">
        <f t="shared" si="86"/>
        <v>0</v>
      </c>
      <c r="AE206" s="52" t="str">
        <f t="shared" si="87"/>
        <v/>
      </c>
      <c r="AF206" s="52" t="str">
        <f t="shared" si="88"/>
        <v/>
      </c>
      <c r="AG206" s="50" t="str">
        <f t="shared" si="89"/>
        <v/>
      </c>
      <c r="AH206" s="50" t="str">
        <f t="shared" si="90"/>
        <v/>
      </c>
      <c r="AI206" s="52" t="str">
        <f t="shared" si="91"/>
        <v/>
      </c>
      <c r="AJ206" s="52" t="str">
        <f t="shared" si="92"/>
        <v/>
      </c>
      <c r="AK206" s="52" t="str">
        <f t="shared" si="93"/>
        <v/>
      </c>
      <c r="AL206" s="52" t="str">
        <f t="shared" si="94"/>
        <v/>
      </c>
      <c r="AM206" s="52" t="str">
        <f t="shared" si="95"/>
        <v/>
      </c>
      <c r="AN206" s="52" t="str">
        <f t="shared" si="96"/>
        <v/>
      </c>
      <c r="AO206" s="52" t="str">
        <f t="shared" si="97"/>
        <v/>
      </c>
      <c r="AP206" s="52" t="str">
        <f t="shared" si="98"/>
        <v/>
      </c>
      <c r="AQ206" s="52" t="str">
        <f t="shared" si="99"/>
        <v/>
      </c>
      <c r="AR206" s="52" t="str">
        <f t="shared" si="100"/>
        <v/>
      </c>
      <c r="AS206" s="52" t="str">
        <f t="shared" si="101"/>
        <v/>
      </c>
      <c r="AT206" s="52" t="str">
        <f t="shared" si="102"/>
        <v/>
      </c>
      <c r="AU206" s="52" t="str">
        <f t="shared" si="103"/>
        <v/>
      </c>
      <c r="AV206" s="52" t="str">
        <f t="shared" si="104"/>
        <v/>
      </c>
      <c r="AW206" s="52" t="str">
        <f t="shared" si="105"/>
        <v/>
      </c>
      <c r="AX206" s="52" t="str">
        <f t="shared" si="82"/>
        <v/>
      </c>
      <c r="AY206" s="52" t="str">
        <f t="shared" si="106"/>
        <v/>
      </c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52"/>
      <c r="EU206" s="52"/>
      <c r="EV206" s="52"/>
      <c r="EW206" s="52"/>
      <c r="EX206" s="52"/>
      <c r="EY206" s="52"/>
      <c r="EZ206" s="52"/>
      <c r="FA206" s="52"/>
      <c r="FB206" s="52"/>
      <c r="FC206" s="52"/>
      <c r="FD206" s="52"/>
      <c r="FE206" s="52"/>
      <c r="FF206" s="52"/>
      <c r="FG206" s="13"/>
    </row>
    <row r="207" spans="1:163">
      <c r="A207" s="71"/>
      <c r="B207" s="70"/>
      <c r="C207" s="72"/>
      <c r="D207" s="73"/>
      <c r="E207" s="73"/>
      <c r="F207" s="73"/>
      <c r="G207" s="73"/>
      <c r="H207" s="73"/>
      <c r="I207" s="74"/>
      <c r="J207" s="74"/>
      <c r="K207" s="74"/>
      <c r="L207" s="73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0"/>
      <c r="Z207" s="12">
        <f t="shared" si="83"/>
        <v>0</v>
      </c>
      <c r="AA207" s="14">
        <f t="shared" si="81"/>
        <v>0</v>
      </c>
      <c r="AB207" s="6">
        <f t="shared" si="84"/>
        <v>0</v>
      </c>
      <c r="AC207" s="6">
        <f t="shared" si="85"/>
        <v>0</v>
      </c>
      <c r="AD207" s="6">
        <f t="shared" si="86"/>
        <v>0</v>
      </c>
      <c r="AE207" s="52" t="str">
        <f t="shared" si="87"/>
        <v/>
      </c>
      <c r="AF207" s="52" t="str">
        <f t="shared" si="88"/>
        <v/>
      </c>
      <c r="AG207" s="50" t="str">
        <f t="shared" si="89"/>
        <v/>
      </c>
      <c r="AH207" s="50" t="str">
        <f t="shared" si="90"/>
        <v/>
      </c>
      <c r="AI207" s="52" t="str">
        <f t="shared" si="91"/>
        <v/>
      </c>
      <c r="AJ207" s="52" t="str">
        <f t="shared" si="92"/>
        <v/>
      </c>
      <c r="AK207" s="52" t="str">
        <f t="shared" si="93"/>
        <v/>
      </c>
      <c r="AL207" s="52" t="str">
        <f t="shared" si="94"/>
        <v/>
      </c>
      <c r="AM207" s="52" t="str">
        <f t="shared" si="95"/>
        <v/>
      </c>
      <c r="AN207" s="52" t="str">
        <f t="shared" si="96"/>
        <v/>
      </c>
      <c r="AO207" s="52" t="str">
        <f t="shared" si="97"/>
        <v/>
      </c>
      <c r="AP207" s="52" t="str">
        <f t="shared" si="98"/>
        <v/>
      </c>
      <c r="AQ207" s="52" t="str">
        <f t="shared" si="99"/>
        <v/>
      </c>
      <c r="AR207" s="52" t="str">
        <f t="shared" si="100"/>
        <v/>
      </c>
      <c r="AS207" s="52" t="str">
        <f t="shared" si="101"/>
        <v/>
      </c>
      <c r="AT207" s="52" t="str">
        <f t="shared" si="102"/>
        <v/>
      </c>
      <c r="AU207" s="52" t="str">
        <f t="shared" si="103"/>
        <v/>
      </c>
      <c r="AV207" s="52" t="str">
        <f t="shared" si="104"/>
        <v/>
      </c>
      <c r="AW207" s="52" t="str">
        <f t="shared" si="105"/>
        <v/>
      </c>
      <c r="AX207" s="52" t="str">
        <f t="shared" si="82"/>
        <v/>
      </c>
      <c r="AY207" s="52" t="str">
        <f t="shared" si="106"/>
        <v/>
      </c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13"/>
    </row>
    <row r="208" spans="1:163">
      <c r="A208" s="71"/>
      <c r="B208" s="70"/>
      <c r="C208" s="72"/>
      <c r="D208" s="73"/>
      <c r="E208" s="73"/>
      <c r="F208" s="73"/>
      <c r="G208" s="73"/>
      <c r="H208" s="73"/>
      <c r="I208" s="74"/>
      <c r="J208" s="74"/>
      <c r="K208" s="74"/>
      <c r="L208" s="73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0"/>
      <c r="Z208" s="12">
        <f t="shared" si="83"/>
        <v>0</v>
      </c>
      <c r="AA208" s="14">
        <f t="shared" si="81"/>
        <v>0</v>
      </c>
      <c r="AB208" s="6">
        <f t="shared" si="84"/>
        <v>0</v>
      </c>
      <c r="AC208" s="6">
        <f t="shared" si="85"/>
        <v>0</v>
      </c>
      <c r="AD208" s="6">
        <f t="shared" si="86"/>
        <v>0</v>
      </c>
      <c r="AE208" s="52" t="str">
        <f t="shared" si="87"/>
        <v/>
      </c>
      <c r="AF208" s="52" t="str">
        <f t="shared" si="88"/>
        <v/>
      </c>
      <c r="AG208" s="50" t="str">
        <f t="shared" si="89"/>
        <v/>
      </c>
      <c r="AH208" s="50" t="str">
        <f t="shared" si="90"/>
        <v/>
      </c>
      <c r="AI208" s="52" t="str">
        <f t="shared" si="91"/>
        <v/>
      </c>
      <c r="AJ208" s="52" t="str">
        <f t="shared" si="92"/>
        <v/>
      </c>
      <c r="AK208" s="52" t="str">
        <f t="shared" si="93"/>
        <v/>
      </c>
      <c r="AL208" s="52" t="str">
        <f t="shared" si="94"/>
        <v/>
      </c>
      <c r="AM208" s="52" t="str">
        <f t="shared" si="95"/>
        <v/>
      </c>
      <c r="AN208" s="52" t="str">
        <f t="shared" si="96"/>
        <v/>
      </c>
      <c r="AO208" s="52" t="str">
        <f t="shared" si="97"/>
        <v/>
      </c>
      <c r="AP208" s="52" t="str">
        <f t="shared" si="98"/>
        <v/>
      </c>
      <c r="AQ208" s="52" t="str">
        <f t="shared" si="99"/>
        <v/>
      </c>
      <c r="AR208" s="52" t="str">
        <f t="shared" si="100"/>
        <v/>
      </c>
      <c r="AS208" s="52" t="str">
        <f t="shared" si="101"/>
        <v/>
      </c>
      <c r="AT208" s="52" t="str">
        <f t="shared" si="102"/>
        <v/>
      </c>
      <c r="AU208" s="52" t="str">
        <f t="shared" si="103"/>
        <v/>
      </c>
      <c r="AV208" s="52" t="str">
        <f t="shared" si="104"/>
        <v/>
      </c>
      <c r="AW208" s="52" t="str">
        <f t="shared" si="105"/>
        <v/>
      </c>
      <c r="AX208" s="52" t="str">
        <f t="shared" si="82"/>
        <v/>
      </c>
      <c r="AY208" s="52" t="str">
        <f t="shared" si="106"/>
        <v/>
      </c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52"/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2"/>
      <c r="DK208" s="52"/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  <c r="EL208" s="52"/>
      <c r="EM208" s="52"/>
      <c r="EN208" s="52"/>
      <c r="EO208" s="52"/>
      <c r="EP208" s="52"/>
      <c r="EQ208" s="52"/>
      <c r="ER208" s="52"/>
      <c r="ES208" s="52"/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13"/>
    </row>
    <row r="209" spans="1:163">
      <c r="A209" s="71"/>
      <c r="B209" s="70"/>
      <c r="C209" s="72"/>
      <c r="D209" s="73"/>
      <c r="E209" s="73"/>
      <c r="F209" s="73"/>
      <c r="G209" s="73"/>
      <c r="H209" s="73"/>
      <c r="I209" s="74"/>
      <c r="J209" s="74"/>
      <c r="K209" s="74"/>
      <c r="L209" s="73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0"/>
      <c r="Z209" s="12">
        <f t="shared" si="83"/>
        <v>0</v>
      </c>
      <c r="AA209" s="14">
        <f t="shared" si="81"/>
        <v>0</v>
      </c>
      <c r="AB209" s="6">
        <f t="shared" si="84"/>
        <v>0</v>
      </c>
      <c r="AC209" s="6">
        <f t="shared" si="85"/>
        <v>0</v>
      </c>
      <c r="AD209" s="6">
        <f t="shared" si="86"/>
        <v>0</v>
      </c>
      <c r="AE209" s="52" t="str">
        <f t="shared" si="87"/>
        <v/>
      </c>
      <c r="AF209" s="52" t="str">
        <f t="shared" si="88"/>
        <v/>
      </c>
      <c r="AG209" s="50" t="str">
        <f t="shared" si="89"/>
        <v/>
      </c>
      <c r="AH209" s="50" t="str">
        <f t="shared" si="90"/>
        <v/>
      </c>
      <c r="AI209" s="52" t="str">
        <f t="shared" si="91"/>
        <v/>
      </c>
      <c r="AJ209" s="52" t="str">
        <f t="shared" si="92"/>
        <v/>
      </c>
      <c r="AK209" s="52" t="str">
        <f t="shared" si="93"/>
        <v/>
      </c>
      <c r="AL209" s="52" t="str">
        <f t="shared" si="94"/>
        <v/>
      </c>
      <c r="AM209" s="52" t="str">
        <f t="shared" si="95"/>
        <v/>
      </c>
      <c r="AN209" s="52" t="str">
        <f t="shared" si="96"/>
        <v/>
      </c>
      <c r="AO209" s="52" t="str">
        <f t="shared" si="97"/>
        <v/>
      </c>
      <c r="AP209" s="52" t="str">
        <f t="shared" si="98"/>
        <v/>
      </c>
      <c r="AQ209" s="52" t="str">
        <f t="shared" si="99"/>
        <v/>
      </c>
      <c r="AR209" s="52" t="str">
        <f t="shared" si="100"/>
        <v/>
      </c>
      <c r="AS209" s="52" t="str">
        <f t="shared" si="101"/>
        <v/>
      </c>
      <c r="AT209" s="52" t="str">
        <f t="shared" si="102"/>
        <v/>
      </c>
      <c r="AU209" s="52" t="str">
        <f t="shared" si="103"/>
        <v/>
      </c>
      <c r="AV209" s="52" t="str">
        <f t="shared" si="104"/>
        <v/>
      </c>
      <c r="AW209" s="52" t="str">
        <f t="shared" si="105"/>
        <v/>
      </c>
      <c r="AX209" s="52" t="str">
        <f t="shared" si="82"/>
        <v/>
      </c>
      <c r="AY209" s="52" t="str">
        <f t="shared" si="106"/>
        <v/>
      </c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13"/>
    </row>
    <row r="210" spans="1:163">
      <c r="A210" s="71"/>
      <c r="B210" s="70"/>
      <c r="C210" s="72"/>
      <c r="D210" s="73"/>
      <c r="E210" s="73"/>
      <c r="F210" s="73"/>
      <c r="G210" s="73"/>
      <c r="H210" s="73"/>
      <c r="I210" s="74"/>
      <c r="J210" s="74"/>
      <c r="K210" s="74"/>
      <c r="L210" s="73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0"/>
      <c r="Z210" s="12">
        <f t="shared" si="83"/>
        <v>0</v>
      </c>
      <c r="AA210" s="14">
        <f t="shared" si="81"/>
        <v>0</v>
      </c>
      <c r="AB210" s="6">
        <f t="shared" si="84"/>
        <v>0</v>
      </c>
      <c r="AC210" s="6">
        <f t="shared" si="85"/>
        <v>0</v>
      </c>
      <c r="AD210" s="6">
        <f t="shared" si="86"/>
        <v>0</v>
      </c>
      <c r="AE210" s="52" t="str">
        <f t="shared" si="87"/>
        <v/>
      </c>
      <c r="AF210" s="52" t="str">
        <f t="shared" si="88"/>
        <v/>
      </c>
      <c r="AG210" s="50" t="str">
        <f t="shared" si="89"/>
        <v/>
      </c>
      <c r="AH210" s="50" t="str">
        <f t="shared" si="90"/>
        <v/>
      </c>
      <c r="AI210" s="52" t="str">
        <f t="shared" si="91"/>
        <v/>
      </c>
      <c r="AJ210" s="52" t="str">
        <f t="shared" si="92"/>
        <v/>
      </c>
      <c r="AK210" s="52" t="str">
        <f t="shared" si="93"/>
        <v/>
      </c>
      <c r="AL210" s="52" t="str">
        <f t="shared" si="94"/>
        <v/>
      </c>
      <c r="AM210" s="52" t="str">
        <f t="shared" si="95"/>
        <v/>
      </c>
      <c r="AN210" s="52" t="str">
        <f t="shared" si="96"/>
        <v/>
      </c>
      <c r="AO210" s="52" t="str">
        <f t="shared" si="97"/>
        <v/>
      </c>
      <c r="AP210" s="52" t="str">
        <f t="shared" si="98"/>
        <v/>
      </c>
      <c r="AQ210" s="52" t="str">
        <f t="shared" si="99"/>
        <v/>
      </c>
      <c r="AR210" s="52" t="str">
        <f t="shared" si="100"/>
        <v/>
      </c>
      <c r="AS210" s="52" t="str">
        <f t="shared" si="101"/>
        <v/>
      </c>
      <c r="AT210" s="52" t="str">
        <f t="shared" si="102"/>
        <v/>
      </c>
      <c r="AU210" s="52" t="str">
        <f t="shared" si="103"/>
        <v/>
      </c>
      <c r="AV210" s="52" t="str">
        <f t="shared" si="104"/>
        <v/>
      </c>
      <c r="AW210" s="52" t="str">
        <f t="shared" si="105"/>
        <v/>
      </c>
      <c r="AX210" s="52" t="str">
        <f t="shared" si="82"/>
        <v/>
      </c>
      <c r="AY210" s="52" t="str">
        <f t="shared" si="106"/>
        <v/>
      </c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2"/>
      <c r="CI210" s="52"/>
      <c r="CJ210" s="52"/>
      <c r="CK210" s="52"/>
      <c r="CL210" s="52"/>
      <c r="CM210" s="52"/>
      <c r="CN210" s="52"/>
      <c r="CO210" s="52"/>
      <c r="CP210" s="52"/>
      <c r="CQ210" s="52"/>
      <c r="CR210" s="52"/>
      <c r="CS210" s="52"/>
      <c r="CT210" s="52"/>
      <c r="CU210" s="52"/>
      <c r="CV210" s="52"/>
      <c r="CW210" s="52"/>
      <c r="CX210" s="52"/>
      <c r="CY210" s="52"/>
      <c r="CZ210" s="52"/>
      <c r="DA210" s="52"/>
      <c r="DB210" s="52"/>
      <c r="DC210" s="52"/>
      <c r="DD210" s="52"/>
      <c r="DE210" s="52"/>
      <c r="DF210" s="52"/>
      <c r="DG210" s="52"/>
      <c r="DH210" s="52"/>
      <c r="DI210" s="52"/>
      <c r="DJ210" s="52"/>
      <c r="DK210" s="52"/>
      <c r="DL210" s="52"/>
      <c r="DM210" s="52"/>
      <c r="DN210" s="52"/>
      <c r="DO210" s="52"/>
      <c r="DP210" s="52"/>
      <c r="DQ210" s="52"/>
      <c r="DR210" s="52"/>
      <c r="DS210" s="52"/>
      <c r="DT210" s="52"/>
      <c r="DU210" s="52"/>
      <c r="DV210" s="52"/>
      <c r="DW210" s="52"/>
      <c r="DX210" s="52"/>
      <c r="DY210" s="52"/>
      <c r="DZ210" s="52"/>
      <c r="EA210" s="52"/>
      <c r="EB210" s="52"/>
      <c r="EC210" s="52"/>
      <c r="ED210" s="52"/>
      <c r="EE210" s="52"/>
      <c r="EF210" s="52"/>
      <c r="EG210" s="52"/>
      <c r="EH210" s="52"/>
      <c r="EI210" s="52"/>
      <c r="EJ210" s="52"/>
      <c r="EK210" s="52"/>
      <c r="EL210" s="52"/>
      <c r="EM210" s="52"/>
      <c r="EN210" s="52"/>
      <c r="EO210" s="52"/>
      <c r="EP210" s="52"/>
      <c r="EQ210" s="52"/>
      <c r="ER210" s="52"/>
      <c r="ES210" s="52"/>
      <c r="ET210" s="52"/>
      <c r="EU210" s="52"/>
      <c r="EV210" s="52"/>
      <c r="EW210" s="52"/>
      <c r="EX210" s="52"/>
      <c r="EY210" s="52"/>
      <c r="EZ210" s="52"/>
      <c r="FA210" s="52"/>
      <c r="FB210" s="52"/>
      <c r="FC210" s="52"/>
      <c r="FD210" s="52"/>
      <c r="FE210" s="52"/>
      <c r="FF210" s="52"/>
      <c r="FG210" s="13"/>
    </row>
    <row r="211" spans="1:163">
      <c r="A211" s="71"/>
      <c r="B211" s="70"/>
      <c r="C211" s="72"/>
      <c r="D211" s="73"/>
      <c r="E211" s="73"/>
      <c r="F211" s="73"/>
      <c r="G211" s="73"/>
      <c r="H211" s="73"/>
      <c r="I211" s="74"/>
      <c r="J211" s="74"/>
      <c r="K211" s="74"/>
      <c r="L211" s="73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0"/>
      <c r="Z211" s="12">
        <f t="shared" si="83"/>
        <v>0</v>
      </c>
      <c r="AA211" s="14">
        <f t="shared" si="81"/>
        <v>0</v>
      </c>
      <c r="AB211" s="6">
        <f t="shared" si="84"/>
        <v>0</v>
      </c>
      <c r="AC211" s="6">
        <f t="shared" si="85"/>
        <v>0</v>
      </c>
      <c r="AD211" s="6">
        <f t="shared" si="86"/>
        <v>0</v>
      </c>
      <c r="AE211" s="52" t="str">
        <f t="shared" si="87"/>
        <v/>
      </c>
      <c r="AF211" s="52" t="str">
        <f t="shared" si="88"/>
        <v/>
      </c>
      <c r="AG211" s="50" t="str">
        <f t="shared" si="89"/>
        <v/>
      </c>
      <c r="AH211" s="50" t="str">
        <f t="shared" si="90"/>
        <v/>
      </c>
      <c r="AI211" s="52" t="str">
        <f t="shared" si="91"/>
        <v/>
      </c>
      <c r="AJ211" s="52" t="str">
        <f t="shared" si="92"/>
        <v/>
      </c>
      <c r="AK211" s="52" t="str">
        <f t="shared" si="93"/>
        <v/>
      </c>
      <c r="AL211" s="52" t="str">
        <f t="shared" si="94"/>
        <v/>
      </c>
      <c r="AM211" s="52" t="str">
        <f t="shared" si="95"/>
        <v/>
      </c>
      <c r="AN211" s="52" t="str">
        <f t="shared" si="96"/>
        <v/>
      </c>
      <c r="AO211" s="52" t="str">
        <f t="shared" si="97"/>
        <v/>
      </c>
      <c r="AP211" s="52" t="str">
        <f t="shared" si="98"/>
        <v/>
      </c>
      <c r="AQ211" s="52" t="str">
        <f t="shared" si="99"/>
        <v/>
      </c>
      <c r="AR211" s="52" t="str">
        <f t="shared" si="100"/>
        <v/>
      </c>
      <c r="AS211" s="52" t="str">
        <f t="shared" si="101"/>
        <v/>
      </c>
      <c r="AT211" s="52" t="str">
        <f t="shared" si="102"/>
        <v/>
      </c>
      <c r="AU211" s="52" t="str">
        <f t="shared" si="103"/>
        <v/>
      </c>
      <c r="AV211" s="52" t="str">
        <f t="shared" si="104"/>
        <v/>
      </c>
      <c r="AW211" s="52" t="str">
        <f t="shared" si="105"/>
        <v/>
      </c>
      <c r="AX211" s="52" t="str">
        <f t="shared" si="82"/>
        <v/>
      </c>
      <c r="AY211" s="52" t="str">
        <f t="shared" si="106"/>
        <v/>
      </c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2"/>
      <c r="CI211" s="52"/>
      <c r="CJ211" s="52"/>
      <c r="CK211" s="52"/>
      <c r="CL211" s="52"/>
      <c r="CM211" s="52"/>
      <c r="CN211" s="52"/>
      <c r="CO211" s="52"/>
      <c r="CP211" s="52"/>
      <c r="CQ211" s="52"/>
      <c r="CR211" s="52"/>
      <c r="CS211" s="52"/>
      <c r="CT211" s="52"/>
      <c r="CU211" s="52"/>
      <c r="CV211" s="52"/>
      <c r="CW211" s="52"/>
      <c r="CX211" s="52"/>
      <c r="CY211" s="52"/>
      <c r="CZ211" s="52"/>
      <c r="DA211" s="52"/>
      <c r="DB211" s="52"/>
      <c r="DC211" s="52"/>
      <c r="DD211" s="52"/>
      <c r="DE211" s="52"/>
      <c r="DF211" s="52"/>
      <c r="DG211" s="52"/>
      <c r="DH211" s="52"/>
      <c r="DI211" s="52"/>
      <c r="DJ211" s="52"/>
      <c r="DK211" s="52"/>
      <c r="DL211" s="52"/>
      <c r="DM211" s="52"/>
      <c r="DN211" s="52"/>
      <c r="DO211" s="52"/>
      <c r="DP211" s="52"/>
      <c r="DQ211" s="52"/>
      <c r="DR211" s="52"/>
      <c r="DS211" s="52"/>
      <c r="DT211" s="52"/>
      <c r="DU211" s="52"/>
      <c r="DV211" s="52"/>
      <c r="DW211" s="52"/>
      <c r="DX211" s="52"/>
      <c r="DY211" s="52"/>
      <c r="DZ211" s="52"/>
      <c r="EA211" s="52"/>
      <c r="EB211" s="52"/>
      <c r="EC211" s="52"/>
      <c r="ED211" s="52"/>
      <c r="EE211" s="52"/>
      <c r="EF211" s="52"/>
      <c r="EG211" s="52"/>
      <c r="EH211" s="52"/>
      <c r="EI211" s="52"/>
      <c r="EJ211" s="52"/>
      <c r="EK211" s="52"/>
      <c r="EL211" s="52"/>
      <c r="EM211" s="52"/>
      <c r="EN211" s="52"/>
      <c r="EO211" s="52"/>
      <c r="EP211" s="52"/>
      <c r="EQ211" s="52"/>
      <c r="ER211" s="52"/>
      <c r="ES211" s="52"/>
      <c r="ET211" s="52"/>
      <c r="EU211" s="52"/>
      <c r="EV211" s="52"/>
      <c r="EW211" s="52"/>
      <c r="EX211" s="52"/>
      <c r="EY211" s="52"/>
      <c r="EZ211" s="52"/>
      <c r="FA211" s="52"/>
      <c r="FB211" s="52"/>
      <c r="FC211" s="52"/>
      <c r="FD211" s="52"/>
      <c r="FE211" s="52"/>
      <c r="FF211" s="52"/>
      <c r="FG211" s="13"/>
    </row>
    <row r="212" spans="1:163">
      <c r="A212" s="71"/>
      <c r="B212" s="70"/>
      <c r="C212" s="72"/>
      <c r="D212" s="73"/>
      <c r="E212" s="73"/>
      <c r="F212" s="73"/>
      <c r="G212" s="73"/>
      <c r="H212" s="73"/>
      <c r="I212" s="74"/>
      <c r="J212" s="74"/>
      <c r="K212" s="74"/>
      <c r="L212" s="73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0"/>
      <c r="Z212" s="12">
        <f t="shared" si="83"/>
        <v>0</v>
      </c>
      <c r="AA212" s="14">
        <f t="shared" si="81"/>
        <v>0</v>
      </c>
      <c r="AB212" s="6">
        <f t="shared" si="84"/>
        <v>0</v>
      </c>
      <c r="AC212" s="6">
        <f t="shared" si="85"/>
        <v>0</v>
      </c>
      <c r="AD212" s="6">
        <f t="shared" si="86"/>
        <v>0</v>
      </c>
      <c r="AE212" s="52" t="str">
        <f t="shared" si="87"/>
        <v/>
      </c>
      <c r="AF212" s="52" t="str">
        <f t="shared" si="88"/>
        <v/>
      </c>
      <c r="AG212" s="50" t="str">
        <f t="shared" si="89"/>
        <v/>
      </c>
      <c r="AH212" s="50" t="str">
        <f t="shared" si="90"/>
        <v/>
      </c>
      <c r="AI212" s="52" t="str">
        <f t="shared" si="91"/>
        <v/>
      </c>
      <c r="AJ212" s="52" t="str">
        <f t="shared" si="92"/>
        <v/>
      </c>
      <c r="AK212" s="52" t="str">
        <f t="shared" si="93"/>
        <v/>
      </c>
      <c r="AL212" s="52" t="str">
        <f t="shared" si="94"/>
        <v/>
      </c>
      <c r="AM212" s="52" t="str">
        <f t="shared" si="95"/>
        <v/>
      </c>
      <c r="AN212" s="52" t="str">
        <f t="shared" si="96"/>
        <v/>
      </c>
      <c r="AO212" s="52" t="str">
        <f t="shared" si="97"/>
        <v/>
      </c>
      <c r="AP212" s="52" t="str">
        <f t="shared" si="98"/>
        <v/>
      </c>
      <c r="AQ212" s="52" t="str">
        <f t="shared" si="99"/>
        <v/>
      </c>
      <c r="AR212" s="52" t="str">
        <f t="shared" si="100"/>
        <v/>
      </c>
      <c r="AS212" s="52" t="str">
        <f t="shared" si="101"/>
        <v/>
      </c>
      <c r="AT212" s="52" t="str">
        <f t="shared" si="102"/>
        <v/>
      </c>
      <c r="AU212" s="52" t="str">
        <f t="shared" si="103"/>
        <v/>
      </c>
      <c r="AV212" s="52" t="str">
        <f t="shared" si="104"/>
        <v/>
      </c>
      <c r="AW212" s="52" t="str">
        <f t="shared" si="105"/>
        <v/>
      </c>
      <c r="AX212" s="52" t="str">
        <f t="shared" si="82"/>
        <v/>
      </c>
      <c r="AY212" s="52" t="str">
        <f t="shared" si="106"/>
        <v/>
      </c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  <c r="CO212" s="52"/>
      <c r="CP212" s="52"/>
      <c r="CQ212" s="52"/>
      <c r="CR212" s="52"/>
      <c r="CS212" s="52"/>
      <c r="CT212" s="52"/>
      <c r="CU212" s="52"/>
      <c r="CV212" s="52"/>
      <c r="CW212" s="52"/>
      <c r="CX212" s="52"/>
      <c r="CY212" s="52"/>
      <c r="CZ212" s="52"/>
      <c r="DA212" s="52"/>
      <c r="DB212" s="52"/>
      <c r="DC212" s="52"/>
      <c r="DD212" s="52"/>
      <c r="DE212" s="52"/>
      <c r="DF212" s="52"/>
      <c r="DG212" s="52"/>
      <c r="DH212" s="52"/>
      <c r="DI212" s="52"/>
      <c r="DJ212" s="52"/>
      <c r="DK212" s="52"/>
      <c r="DL212" s="52"/>
      <c r="DM212" s="52"/>
      <c r="DN212" s="52"/>
      <c r="DO212" s="52"/>
      <c r="DP212" s="52"/>
      <c r="DQ212" s="52"/>
      <c r="DR212" s="52"/>
      <c r="DS212" s="52"/>
      <c r="DT212" s="52"/>
      <c r="DU212" s="52"/>
      <c r="DV212" s="52"/>
      <c r="DW212" s="52"/>
      <c r="DX212" s="52"/>
      <c r="DY212" s="52"/>
      <c r="DZ212" s="52"/>
      <c r="EA212" s="52"/>
      <c r="EB212" s="52"/>
      <c r="EC212" s="52"/>
      <c r="ED212" s="52"/>
      <c r="EE212" s="52"/>
      <c r="EF212" s="52"/>
      <c r="EG212" s="52"/>
      <c r="EH212" s="52"/>
      <c r="EI212" s="52"/>
      <c r="EJ212" s="52"/>
      <c r="EK212" s="52"/>
      <c r="EL212" s="52"/>
      <c r="EM212" s="52"/>
      <c r="EN212" s="52"/>
      <c r="EO212" s="52"/>
      <c r="EP212" s="52"/>
      <c r="EQ212" s="52"/>
      <c r="ER212" s="52"/>
      <c r="ES212" s="52"/>
      <c r="ET212" s="52"/>
      <c r="EU212" s="52"/>
      <c r="EV212" s="52"/>
      <c r="EW212" s="52"/>
      <c r="EX212" s="52"/>
      <c r="EY212" s="52"/>
      <c r="EZ212" s="52"/>
      <c r="FA212" s="52"/>
      <c r="FB212" s="52"/>
      <c r="FC212" s="52"/>
      <c r="FD212" s="52"/>
      <c r="FE212" s="52"/>
      <c r="FF212" s="52"/>
      <c r="FG212" s="13"/>
    </row>
    <row r="213" spans="1:163">
      <c r="A213" s="71"/>
      <c r="B213" s="70"/>
      <c r="C213" s="72"/>
      <c r="D213" s="73"/>
      <c r="E213" s="73"/>
      <c r="F213" s="73"/>
      <c r="G213" s="73"/>
      <c r="H213" s="73"/>
      <c r="I213" s="74"/>
      <c r="J213" s="74"/>
      <c r="K213" s="74"/>
      <c r="L213" s="73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0"/>
      <c r="Z213" s="12">
        <f t="shared" si="83"/>
        <v>0</v>
      </c>
      <c r="AA213" s="14">
        <f t="shared" si="81"/>
        <v>0</v>
      </c>
      <c r="AB213" s="6">
        <f t="shared" si="84"/>
        <v>0</v>
      </c>
      <c r="AC213" s="6">
        <f t="shared" si="85"/>
        <v>0</v>
      </c>
      <c r="AD213" s="6">
        <f t="shared" si="86"/>
        <v>0</v>
      </c>
      <c r="AE213" s="52" t="str">
        <f t="shared" si="87"/>
        <v/>
      </c>
      <c r="AF213" s="52" t="str">
        <f t="shared" si="88"/>
        <v/>
      </c>
      <c r="AG213" s="50" t="str">
        <f t="shared" si="89"/>
        <v/>
      </c>
      <c r="AH213" s="50" t="str">
        <f t="shared" si="90"/>
        <v/>
      </c>
      <c r="AI213" s="52" t="str">
        <f t="shared" si="91"/>
        <v/>
      </c>
      <c r="AJ213" s="52" t="str">
        <f t="shared" si="92"/>
        <v/>
      </c>
      <c r="AK213" s="52" t="str">
        <f t="shared" si="93"/>
        <v/>
      </c>
      <c r="AL213" s="52" t="str">
        <f t="shared" si="94"/>
        <v/>
      </c>
      <c r="AM213" s="52" t="str">
        <f t="shared" si="95"/>
        <v/>
      </c>
      <c r="AN213" s="52" t="str">
        <f t="shared" si="96"/>
        <v/>
      </c>
      <c r="AO213" s="52" t="str">
        <f t="shared" si="97"/>
        <v/>
      </c>
      <c r="AP213" s="52" t="str">
        <f t="shared" si="98"/>
        <v/>
      </c>
      <c r="AQ213" s="52" t="str">
        <f t="shared" si="99"/>
        <v/>
      </c>
      <c r="AR213" s="52" t="str">
        <f t="shared" si="100"/>
        <v/>
      </c>
      <c r="AS213" s="52" t="str">
        <f t="shared" si="101"/>
        <v/>
      </c>
      <c r="AT213" s="52" t="str">
        <f t="shared" si="102"/>
        <v/>
      </c>
      <c r="AU213" s="52" t="str">
        <f t="shared" si="103"/>
        <v/>
      </c>
      <c r="AV213" s="52" t="str">
        <f t="shared" si="104"/>
        <v/>
      </c>
      <c r="AW213" s="52" t="str">
        <f t="shared" si="105"/>
        <v/>
      </c>
      <c r="AX213" s="52" t="str">
        <f t="shared" si="82"/>
        <v/>
      </c>
      <c r="AY213" s="52" t="str">
        <f t="shared" si="106"/>
        <v/>
      </c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/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2"/>
      <c r="CI213" s="52"/>
      <c r="CJ213" s="52"/>
      <c r="CK213" s="52"/>
      <c r="CL213" s="52"/>
      <c r="CM213" s="52"/>
      <c r="CN213" s="52"/>
      <c r="CO213" s="52"/>
      <c r="CP213" s="52"/>
      <c r="CQ213" s="52"/>
      <c r="CR213" s="52"/>
      <c r="CS213" s="52"/>
      <c r="CT213" s="52"/>
      <c r="CU213" s="52"/>
      <c r="CV213" s="52"/>
      <c r="CW213" s="52"/>
      <c r="CX213" s="52"/>
      <c r="CY213" s="52"/>
      <c r="CZ213" s="52"/>
      <c r="DA213" s="52"/>
      <c r="DB213" s="52"/>
      <c r="DC213" s="52"/>
      <c r="DD213" s="52"/>
      <c r="DE213" s="52"/>
      <c r="DF213" s="52"/>
      <c r="DG213" s="52"/>
      <c r="DH213" s="52"/>
      <c r="DI213" s="52"/>
      <c r="DJ213" s="52"/>
      <c r="DK213" s="52"/>
      <c r="DL213" s="52"/>
      <c r="DM213" s="52"/>
      <c r="DN213" s="52"/>
      <c r="DO213" s="52"/>
      <c r="DP213" s="52"/>
      <c r="DQ213" s="52"/>
      <c r="DR213" s="52"/>
      <c r="DS213" s="52"/>
      <c r="DT213" s="52"/>
      <c r="DU213" s="52"/>
      <c r="DV213" s="52"/>
      <c r="DW213" s="52"/>
      <c r="DX213" s="52"/>
      <c r="DY213" s="52"/>
      <c r="DZ213" s="52"/>
      <c r="EA213" s="52"/>
      <c r="EB213" s="52"/>
      <c r="EC213" s="52"/>
      <c r="ED213" s="52"/>
      <c r="EE213" s="52"/>
      <c r="EF213" s="52"/>
      <c r="EG213" s="52"/>
      <c r="EH213" s="52"/>
      <c r="EI213" s="52"/>
      <c r="EJ213" s="52"/>
      <c r="EK213" s="52"/>
      <c r="EL213" s="52"/>
      <c r="EM213" s="52"/>
      <c r="EN213" s="52"/>
      <c r="EO213" s="52"/>
      <c r="EP213" s="52"/>
      <c r="EQ213" s="52"/>
      <c r="ER213" s="52"/>
      <c r="ES213" s="52"/>
      <c r="ET213" s="52"/>
      <c r="EU213" s="52"/>
      <c r="EV213" s="52"/>
      <c r="EW213" s="52"/>
      <c r="EX213" s="52"/>
      <c r="EY213" s="52"/>
      <c r="EZ213" s="52"/>
      <c r="FA213" s="52"/>
      <c r="FB213" s="52"/>
      <c r="FC213" s="52"/>
      <c r="FD213" s="52"/>
      <c r="FE213" s="52"/>
      <c r="FF213" s="52"/>
      <c r="FG213" s="13"/>
    </row>
    <row r="214" spans="1:163">
      <c r="A214" s="71"/>
      <c r="B214" s="70"/>
      <c r="C214" s="72"/>
      <c r="D214" s="73"/>
      <c r="E214" s="73"/>
      <c r="F214" s="73"/>
      <c r="G214" s="73"/>
      <c r="H214" s="73"/>
      <c r="I214" s="74"/>
      <c r="J214" s="74"/>
      <c r="K214" s="74"/>
      <c r="L214" s="73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0"/>
      <c r="Z214" s="12">
        <f t="shared" si="83"/>
        <v>0</v>
      </c>
      <c r="AA214" s="14">
        <f t="shared" si="81"/>
        <v>0</v>
      </c>
      <c r="AB214" s="6">
        <f t="shared" si="84"/>
        <v>0</v>
      </c>
      <c r="AC214" s="6">
        <f t="shared" si="85"/>
        <v>0</v>
      </c>
      <c r="AD214" s="6">
        <f t="shared" si="86"/>
        <v>0</v>
      </c>
      <c r="AE214" s="52" t="str">
        <f t="shared" si="87"/>
        <v/>
      </c>
      <c r="AF214" s="52" t="str">
        <f t="shared" si="88"/>
        <v/>
      </c>
      <c r="AG214" s="50" t="str">
        <f t="shared" si="89"/>
        <v/>
      </c>
      <c r="AH214" s="50" t="str">
        <f t="shared" si="90"/>
        <v/>
      </c>
      <c r="AI214" s="52" t="str">
        <f t="shared" si="91"/>
        <v/>
      </c>
      <c r="AJ214" s="52" t="str">
        <f t="shared" si="92"/>
        <v/>
      </c>
      <c r="AK214" s="52" t="str">
        <f t="shared" si="93"/>
        <v/>
      </c>
      <c r="AL214" s="52" t="str">
        <f t="shared" si="94"/>
        <v/>
      </c>
      <c r="AM214" s="52" t="str">
        <f t="shared" si="95"/>
        <v/>
      </c>
      <c r="AN214" s="52" t="str">
        <f t="shared" si="96"/>
        <v/>
      </c>
      <c r="AO214" s="52" t="str">
        <f t="shared" si="97"/>
        <v/>
      </c>
      <c r="AP214" s="52" t="str">
        <f t="shared" si="98"/>
        <v/>
      </c>
      <c r="AQ214" s="52" t="str">
        <f t="shared" si="99"/>
        <v/>
      </c>
      <c r="AR214" s="52" t="str">
        <f t="shared" si="100"/>
        <v/>
      </c>
      <c r="AS214" s="52" t="str">
        <f t="shared" si="101"/>
        <v/>
      </c>
      <c r="AT214" s="52" t="str">
        <f t="shared" si="102"/>
        <v/>
      </c>
      <c r="AU214" s="52" t="str">
        <f t="shared" si="103"/>
        <v/>
      </c>
      <c r="AV214" s="52" t="str">
        <f t="shared" si="104"/>
        <v/>
      </c>
      <c r="AW214" s="52" t="str">
        <f t="shared" si="105"/>
        <v/>
      </c>
      <c r="AX214" s="52" t="str">
        <f t="shared" si="82"/>
        <v/>
      </c>
      <c r="AY214" s="52" t="str">
        <f t="shared" si="106"/>
        <v/>
      </c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2"/>
      <c r="CI214" s="52"/>
      <c r="CJ214" s="52"/>
      <c r="CK214" s="52"/>
      <c r="CL214" s="52"/>
      <c r="CM214" s="52"/>
      <c r="CN214" s="52"/>
      <c r="CO214" s="52"/>
      <c r="CP214" s="52"/>
      <c r="CQ214" s="52"/>
      <c r="CR214" s="52"/>
      <c r="CS214" s="52"/>
      <c r="CT214" s="52"/>
      <c r="CU214" s="52"/>
      <c r="CV214" s="52"/>
      <c r="CW214" s="52"/>
      <c r="CX214" s="52"/>
      <c r="CY214" s="52"/>
      <c r="CZ214" s="52"/>
      <c r="DA214" s="52"/>
      <c r="DB214" s="52"/>
      <c r="DC214" s="52"/>
      <c r="DD214" s="52"/>
      <c r="DE214" s="52"/>
      <c r="DF214" s="52"/>
      <c r="DG214" s="52"/>
      <c r="DH214" s="52"/>
      <c r="DI214" s="52"/>
      <c r="DJ214" s="52"/>
      <c r="DK214" s="52"/>
      <c r="DL214" s="52"/>
      <c r="DM214" s="52"/>
      <c r="DN214" s="52"/>
      <c r="DO214" s="52"/>
      <c r="DP214" s="52"/>
      <c r="DQ214" s="52"/>
      <c r="DR214" s="52"/>
      <c r="DS214" s="52"/>
      <c r="DT214" s="52"/>
      <c r="DU214" s="52"/>
      <c r="DV214" s="52"/>
      <c r="DW214" s="52"/>
      <c r="DX214" s="52"/>
      <c r="DY214" s="52"/>
      <c r="DZ214" s="52"/>
      <c r="EA214" s="52"/>
      <c r="EB214" s="52"/>
      <c r="EC214" s="52"/>
      <c r="ED214" s="52"/>
      <c r="EE214" s="52"/>
      <c r="EF214" s="52"/>
      <c r="EG214" s="52"/>
      <c r="EH214" s="52"/>
      <c r="EI214" s="52"/>
      <c r="EJ214" s="52"/>
      <c r="EK214" s="52"/>
      <c r="EL214" s="52"/>
      <c r="EM214" s="52"/>
      <c r="EN214" s="52"/>
      <c r="EO214" s="52"/>
      <c r="EP214" s="52"/>
      <c r="EQ214" s="52"/>
      <c r="ER214" s="52"/>
      <c r="ES214" s="52"/>
      <c r="ET214" s="52"/>
      <c r="EU214" s="52"/>
      <c r="EV214" s="52"/>
      <c r="EW214" s="52"/>
      <c r="EX214" s="52"/>
      <c r="EY214" s="52"/>
      <c r="EZ214" s="52"/>
      <c r="FA214" s="52"/>
      <c r="FB214" s="52"/>
      <c r="FC214" s="52"/>
      <c r="FD214" s="52"/>
      <c r="FE214" s="52"/>
      <c r="FF214" s="52"/>
      <c r="FG214" s="13"/>
    </row>
    <row r="215" spans="1:163">
      <c r="A215" s="71"/>
      <c r="B215" s="70"/>
      <c r="C215" s="72"/>
      <c r="D215" s="73"/>
      <c r="E215" s="73"/>
      <c r="F215" s="73"/>
      <c r="G215" s="73"/>
      <c r="H215" s="73"/>
      <c r="I215" s="74"/>
      <c r="J215" s="74"/>
      <c r="K215" s="74"/>
      <c r="L215" s="73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0"/>
      <c r="Z215" s="12">
        <f t="shared" si="83"/>
        <v>0</v>
      </c>
      <c r="AA215" s="14">
        <f t="shared" si="81"/>
        <v>0</v>
      </c>
      <c r="AB215" s="6">
        <f t="shared" si="84"/>
        <v>0</v>
      </c>
      <c r="AC215" s="6">
        <f t="shared" si="85"/>
        <v>0</v>
      </c>
      <c r="AD215" s="6">
        <f t="shared" si="86"/>
        <v>0</v>
      </c>
      <c r="AE215" s="52" t="str">
        <f t="shared" si="87"/>
        <v/>
      </c>
      <c r="AF215" s="52" t="str">
        <f t="shared" si="88"/>
        <v/>
      </c>
      <c r="AG215" s="50" t="str">
        <f t="shared" si="89"/>
        <v/>
      </c>
      <c r="AH215" s="50" t="str">
        <f t="shared" si="90"/>
        <v/>
      </c>
      <c r="AI215" s="52" t="str">
        <f t="shared" si="91"/>
        <v/>
      </c>
      <c r="AJ215" s="52" t="str">
        <f t="shared" si="92"/>
        <v/>
      </c>
      <c r="AK215" s="52" t="str">
        <f t="shared" si="93"/>
        <v/>
      </c>
      <c r="AL215" s="52" t="str">
        <f t="shared" si="94"/>
        <v/>
      </c>
      <c r="AM215" s="52" t="str">
        <f t="shared" si="95"/>
        <v/>
      </c>
      <c r="AN215" s="52" t="str">
        <f t="shared" si="96"/>
        <v/>
      </c>
      <c r="AO215" s="52" t="str">
        <f t="shared" si="97"/>
        <v/>
      </c>
      <c r="AP215" s="52" t="str">
        <f t="shared" si="98"/>
        <v/>
      </c>
      <c r="AQ215" s="52" t="str">
        <f t="shared" si="99"/>
        <v/>
      </c>
      <c r="AR215" s="52" t="str">
        <f t="shared" si="100"/>
        <v/>
      </c>
      <c r="AS215" s="52" t="str">
        <f t="shared" si="101"/>
        <v/>
      </c>
      <c r="AT215" s="52" t="str">
        <f t="shared" si="102"/>
        <v/>
      </c>
      <c r="AU215" s="52" t="str">
        <f t="shared" si="103"/>
        <v/>
      </c>
      <c r="AV215" s="52" t="str">
        <f t="shared" si="104"/>
        <v/>
      </c>
      <c r="AW215" s="52" t="str">
        <f t="shared" si="105"/>
        <v/>
      </c>
      <c r="AX215" s="52" t="str">
        <f t="shared" si="82"/>
        <v/>
      </c>
      <c r="AY215" s="52" t="str">
        <f t="shared" si="106"/>
        <v/>
      </c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2"/>
      <c r="CI215" s="52"/>
      <c r="CJ215" s="52"/>
      <c r="CK215" s="52"/>
      <c r="CL215" s="52"/>
      <c r="CM215" s="52"/>
      <c r="CN215" s="52"/>
      <c r="CO215" s="52"/>
      <c r="CP215" s="52"/>
      <c r="CQ215" s="52"/>
      <c r="CR215" s="52"/>
      <c r="CS215" s="52"/>
      <c r="CT215" s="52"/>
      <c r="CU215" s="52"/>
      <c r="CV215" s="52"/>
      <c r="CW215" s="52"/>
      <c r="CX215" s="52"/>
      <c r="CY215" s="52"/>
      <c r="CZ215" s="52"/>
      <c r="DA215" s="52"/>
      <c r="DB215" s="52"/>
      <c r="DC215" s="52"/>
      <c r="DD215" s="52"/>
      <c r="DE215" s="52"/>
      <c r="DF215" s="52"/>
      <c r="DG215" s="52"/>
      <c r="DH215" s="52"/>
      <c r="DI215" s="52"/>
      <c r="DJ215" s="52"/>
      <c r="DK215" s="52"/>
      <c r="DL215" s="52"/>
      <c r="DM215" s="52"/>
      <c r="DN215" s="52"/>
      <c r="DO215" s="52"/>
      <c r="DP215" s="52"/>
      <c r="DQ215" s="52"/>
      <c r="DR215" s="52"/>
      <c r="DS215" s="52"/>
      <c r="DT215" s="52"/>
      <c r="DU215" s="52"/>
      <c r="DV215" s="52"/>
      <c r="DW215" s="52"/>
      <c r="DX215" s="52"/>
      <c r="DY215" s="52"/>
      <c r="DZ215" s="52"/>
      <c r="EA215" s="52"/>
      <c r="EB215" s="52"/>
      <c r="EC215" s="52"/>
      <c r="ED215" s="52"/>
      <c r="EE215" s="52"/>
      <c r="EF215" s="52"/>
      <c r="EG215" s="52"/>
      <c r="EH215" s="52"/>
      <c r="EI215" s="52"/>
      <c r="EJ215" s="52"/>
      <c r="EK215" s="52"/>
      <c r="EL215" s="52"/>
      <c r="EM215" s="52"/>
      <c r="EN215" s="52"/>
      <c r="EO215" s="52"/>
      <c r="EP215" s="52"/>
      <c r="EQ215" s="52"/>
      <c r="ER215" s="52"/>
      <c r="ES215" s="52"/>
      <c r="ET215" s="52"/>
      <c r="EU215" s="52"/>
      <c r="EV215" s="52"/>
      <c r="EW215" s="52"/>
      <c r="EX215" s="52"/>
      <c r="EY215" s="52"/>
      <c r="EZ215" s="52"/>
      <c r="FA215" s="52"/>
      <c r="FB215" s="52"/>
      <c r="FC215" s="52"/>
      <c r="FD215" s="52"/>
      <c r="FE215" s="52"/>
      <c r="FF215" s="52"/>
      <c r="FG215" s="13"/>
    </row>
    <row r="216" spans="1:163">
      <c r="A216" s="71"/>
      <c r="B216" s="70"/>
      <c r="C216" s="72"/>
      <c r="D216" s="73"/>
      <c r="E216" s="73"/>
      <c r="F216" s="73"/>
      <c r="G216" s="73"/>
      <c r="H216" s="73"/>
      <c r="I216" s="74"/>
      <c r="J216" s="74"/>
      <c r="K216" s="74"/>
      <c r="L216" s="73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0"/>
      <c r="Z216" s="12">
        <f t="shared" si="83"/>
        <v>0</v>
      </c>
      <c r="AA216" s="14">
        <f t="shared" si="81"/>
        <v>0</v>
      </c>
      <c r="AB216" s="6">
        <f t="shared" si="84"/>
        <v>0</v>
      </c>
      <c r="AC216" s="6">
        <f t="shared" si="85"/>
        <v>0</v>
      </c>
      <c r="AD216" s="6">
        <f t="shared" si="86"/>
        <v>0</v>
      </c>
      <c r="AE216" s="52" t="str">
        <f t="shared" si="87"/>
        <v/>
      </c>
      <c r="AF216" s="52" t="str">
        <f t="shared" si="88"/>
        <v/>
      </c>
      <c r="AG216" s="50" t="str">
        <f t="shared" si="89"/>
        <v/>
      </c>
      <c r="AH216" s="50" t="str">
        <f t="shared" si="90"/>
        <v/>
      </c>
      <c r="AI216" s="52" t="str">
        <f t="shared" si="91"/>
        <v/>
      </c>
      <c r="AJ216" s="52" t="str">
        <f t="shared" si="92"/>
        <v/>
      </c>
      <c r="AK216" s="52" t="str">
        <f t="shared" si="93"/>
        <v/>
      </c>
      <c r="AL216" s="52" t="str">
        <f t="shared" si="94"/>
        <v/>
      </c>
      <c r="AM216" s="52" t="str">
        <f t="shared" si="95"/>
        <v/>
      </c>
      <c r="AN216" s="52" t="str">
        <f t="shared" si="96"/>
        <v/>
      </c>
      <c r="AO216" s="52" t="str">
        <f t="shared" si="97"/>
        <v/>
      </c>
      <c r="AP216" s="52" t="str">
        <f t="shared" si="98"/>
        <v/>
      </c>
      <c r="AQ216" s="52" t="str">
        <f t="shared" si="99"/>
        <v/>
      </c>
      <c r="AR216" s="52" t="str">
        <f t="shared" si="100"/>
        <v/>
      </c>
      <c r="AS216" s="52" t="str">
        <f t="shared" si="101"/>
        <v/>
      </c>
      <c r="AT216" s="52" t="str">
        <f t="shared" si="102"/>
        <v/>
      </c>
      <c r="AU216" s="52" t="str">
        <f t="shared" si="103"/>
        <v/>
      </c>
      <c r="AV216" s="52" t="str">
        <f t="shared" si="104"/>
        <v/>
      </c>
      <c r="AW216" s="52" t="str">
        <f t="shared" si="105"/>
        <v/>
      </c>
      <c r="AX216" s="52" t="str">
        <f t="shared" si="82"/>
        <v/>
      </c>
      <c r="AY216" s="52" t="str">
        <f t="shared" si="106"/>
        <v/>
      </c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2"/>
      <c r="CI216" s="52"/>
      <c r="CJ216" s="52"/>
      <c r="CK216" s="52"/>
      <c r="CL216" s="52"/>
      <c r="CM216" s="52"/>
      <c r="CN216" s="52"/>
      <c r="CO216" s="52"/>
      <c r="CP216" s="52"/>
      <c r="CQ216" s="52"/>
      <c r="CR216" s="52"/>
      <c r="CS216" s="52"/>
      <c r="CT216" s="52"/>
      <c r="CU216" s="52"/>
      <c r="CV216" s="52"/>
      <c r="CW216" s="52"/>
      <c r="CX216" s="52"/>
      <c r="CY216" s="52"/>
      <c r="CZ216" s="52"/>
      <c r="DA216" s="52"/>
      <c r="DB216" s="52"/>
      <c r="DC216" s="52"/>
      <c r="DD216" s="52"/>
      <c r="DE216" s="52"/>
      <c r="DF216" s="52"/>
      <c r="DG216" s="52"/>
      <c r="DH216" s="52"/>
      <c r="DI216" s="52"/>
      <c r="DJ216" s="52"/>
      <c r="DK216" s="52"/>
      <c r="DL216" s="52"/>
      <c r="DM216" s="52"/>
      <c r="DN216" s="52"/>
      <c r="DO216" s="52"/>
      <c r="DP216" s="52"/>
      <c r="DQ216" s="52"/>
      <c r="DR216" s="52"/>
      <c r="DS216" s="52"/>
      <c r="DT216" s="52"/>
      <c r="DU216" s="52"/>
      <c r="DV216" s="52"/>
      <c r="DW216" s="52"/>
      <c r="DX216" s="52"/>
      <c r="DY216" s="52"/>
      <c r="DZ216" s="52"/>
      <c r="EA216" s="52"/>
      <c r="EB216" s="52"/>
      <c r="EC216" s="52"/>
      <c r="ED216" s="52"/>
      <c r="EE216" s="52"/>
      <c r="EF216" s="52"/>
      <c r="EG216" s="52"/>
      <c r="EH216" s="52"/>
      <c r="EI216" s="52"/>
      <c r="EJ216" s="52"/>
      <c r="EK216" s="52"/>
      <c r="EL216" s="52"/>
      <c r="EM216" s="52"/>
      <c r="EN216" s="52"/>
      <c r="EO216" s="52"/>
      <c r="EP216" s="52"/>
      <c r="EQ216" s="52"/>
      <c r="ER216" s="52"/>
      <c r="ES216" s="52"/>
      <c r="ET216" s="52"/>
      <c r="EU216" s="52"/>
      <c r="EV216" s="52"/>
      <c r="EW216" s="52"/>
      <c r="EX216" s="52"/>
      <c r="EY216" s="52"/>
      <c r="EZ216" s="52"/>
      <c r="FA216" s="52"/>
      <c r="FB216" s="52"/>
      <c r="FC216" s="52"/>
      <c r="FD216" s="52"/>
      <c r="FE216" s="52"/>
      <c r="FF216" s="52"/>
      <c r="FG216" s="13"/>
    </row>
    <row r="217" spans="1:163">
      <c r="A217" s="71"/>
      <c r="B217" s="70"/>
      <c r="C217" s="72"/>
      <c r="D217" s="73"/>
      <c r="E217" s="73"/>
      <c r="F217" s="73"/>
      <c r="G217" s="73"/>
      <c r="H217" s="73"/>
      <c r="I217" s="74"/>
      <c r="J217" s="74"/>
      <c r="K217" s="74"/>
      <c r="L217" s="73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0"/>
      <c r="Z217" s="12">
        <f t="shared" si="83"/>
        <v>0</v>
      </c>
      <c r="AA217" s="14">
        <f t="shared" si="81"/>
        <v>0</v>
      </c>
      <c r="AB217" s="6">
        <f t="shared" si="84"/>
        <v>0</v>
      </c>
      <c r="AC217" s="6">
        <f t="shared" si="85"/>
        <v>0</v>
      </c>
      <c r="AD217" s="6">
        <f t="shared" si="86"/>
        <v>0</v>
      </c>
      <c r="AE217" s="52" t="str">
        <f t="shared" si="87"/>
        <v/>
      </c>
      <c r="AF217" s="52" t="str">
        <f t="shared" si="88"/>
        <v/>
      </c>
      <c r="AG217" s="50" t="str">
        <f t="shared" si="89"/>
        <v/>
      </c>
      <c r="AH217" s="50" t="str">
        <f t="shared" si="90"/>
        <v/>
      </c>
      <c r="AI217" s="52" t="str">
        <f t="shared" si="91"/>
        <v/>
      </c>
      <c r="AJ217" s="52" t="str">
        <f t="shared" si="92"/>
        <v/>
      </c>
      <c r="AK217" s="52" t="str">
        <f t="shared" si="93"/>
        <v/>
      </c>
      <c r="AL217" s="52" t="str">
        <f t="shared" si="94"/>
        <v/>
      </c>
      <c r="AM217" s="52" t="str">
        <f t="shared" si="95"/>
        <v/>
      </c>
      <c r="AN217" s="52" t="str">
        <f t="shared" si="96"/>
        <v/>
      </c>
      <c r="AO217" s="52" t="str">
        <f t="shared" si="97"/>
        <v/>
      </c>
      <c r="AP217" s="52" t="str">
        <f t="shared" si="98"/>
        <v/>
      </c>
      <c r="AQ217" s="52" t="str">
        <f t="shared" si="99"/>
        <v/>
      </c>
      <c r="AR217" s="52" t="str">
        <f t="shared" si="100"/>
        <v/>
      </c>
      <c r="AS217" s="52" t="str">
        <f t="shared" si="101"/>
        <v/>
      </c>
      <c r="AT217" s="52" t="str">
        <f t="shared" si="102"/>
        <v/>
      </c>
      <c r="AU217" s="52" t="str">
        <f t="shared" si="103"/>
        <v/>
      </c>
      <c r="AV217" s="52" t="str">
        <f t="shared" si="104"/>
        <v/>
      </c>
      <c r="AW217" s="52" t="str">
        <f t="shared" si="105"/>
        <v/>
      </c>
      <c r="AX217" s="52" t="str">
        <f t="shared" si="82"/>
        <v/>
      </c>
      <c r="AY217" s="52" t="str">
        <f t="shared" si="106"/>
        <v/>
      </c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  <c r="BS217" s="52"/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2"/>
      <c r="CI217" s="52"/>
      <c r="CJ217" s="52"/>
      <c r="CK217" s="52"/>
      <c r="CL217" s="52"/>
      <c r="CM217" s="52"/>
      <c r="CN217" s="52"/>
      <c r="CO217" s="52"/>
      <c r="CP217" s="52"/>
      <c r="CQ217" s="52"/>
      <c r="CR217" s="52"/>
      <c r="CS217" s="52"/>
      <c r="CT217" s="52"/>
      <c r="CU217" s="52"/>
      <c r="CV217" s="52"/>
      <c r="CW217" s="52"/>
      <c r="CX217" s="52"/>
      <c r="CY217" s="52"/>
      <c r="CZ217" s="52"/>
      <c r="DA217" s="52"/>
      <c r="DB217" s="52"/>
      <c r="DC217" s="52"/>
      <c r="DD217" s="52"/>
      <c r="DE217" s="52"/>
      <c r="DF217" s="52"/>
      <c r="DG217" s="52"/>
      <c r="DH217" s="52"/>
      <c r="DI217" s="52"/>
      <c r="DJ217" s="52"/>
      <c r="DK217" s="52"/>
      <c r="DL217" s="52"/>
      <c r="DM217" s="52"/>
      <c r="DN217" s="52"/>
      <c r="DO217" s="52"/>
      <c r="DP217" s="52"/>
      <c r="DQ217" s="52"/>
      <c r="DR217" s="52"/>
      <c r="DS217" s="52"/>
      <c r="DT217" s="52"/>
      <c r="DU217" s="52"/>
      <c r="DV217" s="52"/>
      <c r="DW217" s="52"/>
      <c r="DX217" s="52"/>
      <c r="DY217" s="52"/>
      <c r="DZ217" s="52"/>
      <c r="EA217" s="52"/>
      <c r="EB217" s="52"/>
      <c r="EC217" s="52"/>
      <c r="ED217" s="52"/>
      <c r="EE217" s="52"/>
      <c r="EF217" s="52"/>
      <c r="EG217" s="52"/>
      <c r="EH217" s="52"/>
      <c r="EI217" s="52"/>
      <c r="EJ217" s="52"/>
      <c r="EK217" s="52"/>
      <c r="EL217" s="52"/>
      <c r="EM217" s="52"/>
      <c r="EN217" s="52"/>
      <c r="EO217" s="52"/>
      <c r="EP217" s="52"/>
      <c r="EQ217" s="52"/>
      <c r="ER217" s="52"/>
      <c r="ES217" s="52"/>
      <c r="ET217" s="52"/>
      <c r="EU217" s="52"/>
      <c r="EV217" s="52"/>
      <c r="EW217" s="52"/>
      <c r="EX217" s="52"/>
      <c r="EY217" s="52"/>
      <c r="EZ217" s="52"/>
      <c r="FA217" s="52"/>
      <c r="FB217" s="52"/>
      <c r="FC217" s="52"/>
      <c r="FD217" s="52"/>
      <c r="FE217" s="52"/>
      <c r="FF217" s="52"/>
      <c r="FG217" s="13"/>
    </row>
    <row r="218" spans="1:163">
      <c r="A218" s="71"/>
      <c r="B218" s="70"/>
      <c r="C218" s="72"/>
      <c r="D218" s="73"/>
      <c r="E218" s="73"/>
      <c r="F218" s="73"/>
      <c r="G218" s="73"/>
      <c r="H218" s="73"/>
      <c r="I218" s="74"/>
      <c r="J218" s="74"/>
      <c r="K218" s="74"/>
      <c r="L218" s="73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0"/>
      <c r="Z218" s="12">
        <f t="shared" si="83"/>
        <v>0</v>
      </c>
      <c r="AA218" s="14">
        <f t="shared" si="81"/>
        <v>0</v>
      </c>
      <c r="AB218" s="6">
        <f t="shared" si="84"/>
        <v>0</v>
      </c>
      <c r="AC218" s="6">
        <f t="shared" si="85"/>
        <v>0</v>
      </c>
      <c r="AD218" s="6">
        <f t="shared" si="86"/>
        <v>0</v>
      </c>
      <c r="AE218" s="52" t="str">
        <f t="shared" si="87"/>
        <v/>
      </c>
      <c r="AF218" s="52" t="str">
        <f t="shared" si="88"/>
        <v/>
      </c>
      <c r="AG218" s="50" t="str">
        <f t="shared" si="89"/>
        <v/>
      </c>
      <c r="AH218" s="50" t="str">
        <f t="shared" si="90"/>
        <v/>
      </c>
      <c r="AI218" s="52" t="str">
        <f t="shared" si="91"/>
        <v/>
      </c>
      <c r="AJ218" s="52" t="str">
        <f t="shared" si="92"/>
        <v/>
      </c>
      <c r="AK218" s="52" t="str">
        <f t="shared" si="93"/>
        <v/>
      </c>
      <c r="AL218" s="52" t="str">
        <f t="shared" si="94"/>
        <v/>
      </c>
      <c r="AM218" s="52" t="str">
        <f t="shared" si="95"/>
        <v/>
      </c>
      <c r="AN218" s="52" t="str">
        <f t="shared" si="96"/>
        <v/>
      </c>
      <c r="AO218" s="52" t="str">
        <f t="shared" si="97"/>
        <v/>
      </c>
      <c r="AP218" s="52" t="str">
        <f t="shared" si="98"/>
        <v/>
      </c>
      <c r="AQ218" s="52" t="str">
        <f t="shared" si="99"/>
        <v/>
      </c>
      <c r="AR218" s="52" t="str">
        <f t="shared" si="100"/>
        <v/>
      </c>
      <c r="AS218" s="52" t="str">
        <f t="shared" si="101"/>
        <v/>
      </c>
      <c r="AT218" s="52" t="str">
        <f t="shared" si="102"/>
        <v/>
      </c>
      <c r="AU218" s="52" t="str">
        <f t="shared" si="103"/>
        <v/>
      </c>
      <c r="AV218" s="52" t="str">
        <f t="shared" si="104"/>
        <v/>
      </c>
      <c r="AW218" s="52" t="str">
        <f t="shared" si="105"/>
        <v/>
      </c>
      <c r="AX218" s="52" t="str">
        <f t="shared" si="82"/>
        <v/>
      </c>
      <c r="AY218" s="52" t="str">
        <f t="shared" si="106"/>
        <v/>
      </c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  <c r="BS218" s="52"/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2"/>
      <c r="CI218" s="52"/>
      <c r="CJ218" s="52"/>
      <c r="CK218" s="52"/>
      <c r="CL218" s="52"/>
      <c r="CM218" s="52"/>
      <c r="CN218" s="52"/>
      <c r="CO218" s="52"/>
      <c r="CP218" s="52"/>
      <c r="CQ218" s="52"/>
      <c r="CR218" s="52"/>
      <c r="CS218" s="52"/>
      <c r="CT218" s="52"/>
      <c r="CU218" s="52"/>
      <c r="CV218" s="52"/>
      <c r="CW218" s="52"/>
      <c r="CX218" s="52"/>
      <c r="CY218" s="52"/>
      <c r="CZ218" s="52"/>
      <c r="DA218" s="52"/>
      <c r="DB218" s="52"/>
      <c r="DC218" s="52"/>
      <c r="DD218" s="52"/>
      <c r="DE218" s="52"/>
      <c r="DF218" s="52"/>
      <c r="DG218" s="52"/>
      <c r="DH218" s="52"/>
      <c r="DI218" s="52"/>
      <c r="DJ218" s="52"/>
      <c r="DK218" s="52"/>
      <c r="DL218" s="52"/>
      <c r="DM218" s="52"/>
      <c r="DN218" s="52"/>
      <c r="DO218" s="52"/>
      <c r="DP218" s="52"/>
      <c r="DQ218" s="52"/>
      <c r="DR218" s="52"/>
      <c r="DS218" s="52"/>
      <c r="DT218" s="52"/>
      <c r="DU218" s="52"/>
      <c r="DV218" s="52"/>
      <c r="DW218" s="52"/>
      <c r="DX218" s="52"/>
      <c r="DY218" s="52"/>
      <c r="DZ218" s="52"/>
      <c r="EA218" s="52"/>
      <c r="EB218" s="52"/>
      <c r="EC218" s="52"/>
      <c r="ED218" s="52"/>
      <c r="EE218" s="52"/>
      <c r="EF218" s="52"/>
      <c r="EG218" s="52"/>
      <c r="EH218" s="52"/>
      <c r="EI218" s="52"/>
      <c r="EJ218" s="52"/>
      <c r="EK218" s="52"/>
      <c r="EL218" s="52"/>
      <c r="EM218" s="52"/>
      <c r="EN218" s="52"/>
      <c r="EO218" s="52"/>
      <c r="EP218" s="52"/>
      <c r="EQ218" s="52"/>
      <c r="ER218" s="52"/>
      <c r="ES218" s="52"/>
      <c r="ET218" s="52"/>
      <c r="EU218" s="52"/>
      <c r="EV218" s="52"/>
      <c r="EW218" s="52"/>
      <c r="EX218" s="52"/>
      <c r="EY218" s="52"/>
      <c r="EZ218" s="52"/>
      <c r="FA218" s="52"/>
      <c r="FB218" s="52"/>
      <c r="FC218" s="52"/>
      <c r="FD218" s="52"/>
      <c r="FE218" s="52"/>
      <c r="FF218" s="52"/>
      <c r="FG218" s="13"/>
    </row>
    <row r="219" spans="1:163">
      <c r="A219" s="71"/>
      <c r="B219" s="70"/>
      <c r="C219" s="72"/>
      <c r="D219" s="73"/>
      <c r="E219" s="73"/>
      <c r="F219" s="73"/>
      <c r="G219" s="73"/>
      <c r="H219" s="73"/>
      <c r="I219" s="74"/>
      <c r="J219" s="74"/>
      <c r="K219" s="74"/>
      <c r="L219" s="73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0"/>
      <c r="Z219" s="12">
        <f t="shared" si="83"/>
        <v>0</v>
      </c>
      <c r="AA219" s="14">
        <f t="shared" si="81"/>
        <v>0</v>
      </c>
      <c r="AB219" s="6">
        <f t="shared" si="84"/>
        <v>0</v>
      </c>
      <c r="AC219" s="6">
        <f t="shared" si="85"/>
        <v>0</v>
      </c>
      <c r="AD219" s="6">
        <f t="shared" si="86"/>
        <v>0</v>
      </c>
      <c r="AE219" s="52" t="str">
        <f t="shared" si="87"/>
        <v/>
      </c>
      <c r="AF219" s="52" t="str">
        <f t="shared" si="88"/>
        <v/>
      </c>
      <c r="AG219" s="50" t="str">
        <f t="shared" si="89"/>
        <v/>
      </c>
      <c r="AH219" s="50" t="str">
        <f t="shared" si="90"/>
        <v/>
      </c>
      <c r="AI219" s="52" t="str">
        <f t="shared" si="91"/>
        <v/>
      </c>
      <c r="AJ219" s="52" t="str">
        <f t="shared" si="92"/>
        <v/>
      </c>
      <c r="AK219" s="52" t="str">
        <f t="shared" si="93"/>
        <v/>
      </c>
      <c r="AL219" s="52" t="str">
        <f t="shared" si="94"/>
        <v/>
      </c>
      <c r="AM219" s="52" t="str">
        <f t="shared" si="95"/>
        <v/>
      </c>
      <c r="AN219" s="52" t="str">
        <f t="shared" si="96"/>
        <v/>
      </c>
      <c r="AO219" s="52" t="str">
        <f t="shared" si="97"/>
        <v/>
      </c>
      <c r="AP219" s="52" t="str">
        <f t="shared" si="98"/>
        <v/>
      </c>
      <c r="AQ219" s="52" t="str">
        <f t="shared" si="99"/>
        <v/>
      </c>
      <c r="AR219" s="52" t="str">
        <f t="shared" si="100"/>
        <v/>
      </c>
      <c r="AS219" s="52" t="str">
        <f t="shared" si="101"/>
        <v/>
      </c>
      <c r="AT219" s="52" t="str">
        <f t="shared" si="102"/>
        <v/>
      </c>
      <c r="AU219" s="52" t="str">
        <f t="shared" si="103"/>
        <v/>
      </c>
      <c r="AV219" s="52" t="str">
        <f t="shared" si="104"/>
        <v/>
      </c>
      <c r="AW219" s="52" t="str">
        <f t="shared" si="105"/>
        <v/>
      </c>
      <c r="AX219" s="52" t="str">
        <f t="shared" si="82"/>
        <v/>
      </c>
      <c r="AY219" s="52" t="str">
        <f t="shared" si="106"/>
        <v/>
      </c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  <c r="BS219" s="52"/>
      <c r="BT219" s="52"/>
      <c r="BU219" s="52"/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2"/>
      <c r="CI219" s="52"/>
      <c r="CJ219" s="52"/>
      <c r="CK219" s="52"/>
      <c r="CL219" s="52"/>
      <c r="CM219" s="52"/>
      <c r="CN219" s="52"/>
      <c r="CO219" s="52"/>
      <c r="CP219" s="52"/>
      <c r="CQ219" s="52"/>
      <c r="CR219" s="52"/>
      <c r="CS219" s="52"/>
      <c r="CT219" s="52"/>
      <c r="CU219" s="52"/>
      <c r="CV219" s="52"/>
      <c r="CW219" s="52"/>
      <c r="CX219" s="52"/>
      <c r="CY219" s="52"/>
      <c r="CZ219" s="52"/>
      <c r="DA219" s="52"/>
      <c r="DB219" s="52"/>
      <c r="DC219" s="52"/>
      <c r="DD219" s="52"/>
      <c r="DE219" s="52"/>
      <c r="DF219" s="52"/>
      <c r="DG219" s="52"/>
      <c r="DH219" s="52"/>
      <c r="DI219" s="52"/>
      <c r="DJ219" s="52"/>
      <c r="DK219" s="52"/>
      <c r="DL219" s="52"/>
      <c r="DM219" s="52"/>
      <c r="DN219" s="52"/>
      <c r="DO219" s="52"/>
      <c r="DP219" s="52"/>
      <c r="DQ219" s="52"/>
      <c r="DR219" s="52"/>
      <c r="DS219" s="52"/>
      <c r="DT219" s="52"/>
      <c r="DU219" s="52"/>
      <c r="DV219" s="52"/>
      <c r="DW219" s="52"/>
      <c r="DX219" s="52"/>
      <c r="DY219" s="52"/>
      <c r="DZ219" s="52"/>
      <c r="EA219" s="52"/>
      <c r="EB219" s="52"/>
      <c r="EC219" s="52"/>
      <c r="ED219" s="52"/>
      <c r="EE219" s="52"/>
      <c r="EF219" s="52"/>
      <c r="EG219" s="52"/>
      <c r="EH219" s="52"/>
      <c r="EI219" s="52"/>
      <c r="EJ219" s="52"/>
      <c r="EK219" s="52"/>
      <c r="EL219" s="52"/>
      <c r="EM219" s="52"/>
      <c r="EN219" s="52"/>
      <c r="EO219" s="52"/>
      <c r="EP219" s="52"/>
      <c r="EQ219" s="52"/>
      <c r="ER219" s="52"/>
      <c r="ES219" s="52"/>
      <c r="ET219" s="52"/>
      <c r="EU219" s="52"/>
      <c r="EV219" s="52"/>
      <c r="EW219" s="52"/>
      <c r="EX219" s="52"/>
      <c r="EY219" s="52"/>
      <c r="EZ219" s="52"/>
      <c r="FA219" s="52"/>
      <c r="FB219" s="52"/>
      <c r="FC219" s="52"/>
      <c r="FD219" s="52"/>
      <c r="FE219" s="52"/>
      <c r="FF219" s="52"/>
      <c r="FG219" s="13"/>
    </row>
    <row r="220" spans="1:163">
      <c r="A220" s="71"/>
      <c r="B220" s="70"/>
      <c r="C220" s="72"/>
      <c r="D220" s="73"/>
      <c r="E220" s="73"/>
      <c r="F220" s="73"/>
      <c r="G220" s="73"/>
      <c r="H220" s="73"/>
      <c r="I220" s="74"/>
      <c r="J220" s="74"/>
      <c r="K220" s="74"/>
      <c r="L220" s="73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0"/>
      <c r="Z220" s="12">
        <f t="shared" si="83"/>
        <v>0</v>
      </c>
      <c r="AA220" s="14">
        <f t="shared" si="81"/>
        <v>0</v>
      </c>
      <c r="AB220" s="6">
        <f t="shared" si="84"/>
        <v>0</v>
      </c>
      <c r="AC220" s="6">
        <f t="shared" si="85"/>
        <v>0</v>
      </c>
      <c r="AD220" s="6">
        <f t="shared" si="86"/>
        <v>0</v>
      </c>
      <c r="AE220" s="52" t="str">
        <f t="shared" si="87"/>
        <v/>
      </c>
      <c r="AF220" s="52" t="str">
        <f t="shared" si="88"/>
        <v/>
      </c>
      <c r="AG220" s="50" t="str">
        <f t="shared" si="89"/>
        <v/>
      </c>
      <c r="AH220" s="50" t="str">
        <f t="shared" si="90"/>
        <v/>
      </c>
      <c r="AI220" s="52" t="str">
        <f t="shared" si="91"/>
        <v/>
      </c>
      <c r="AJ220" s="52" t="str">
        <f t="shared" si="92"/>
        <v/>
      </c>
      <c r="AK220" s="52" t="str">
        <f t="shared" si="93"/>
        <v/>
      </c>
      <c r="AL220" s="52" t="str">
        <f t="shared" si="94"/>
        <v/>
      </c>
      <c r="AM220" s="52" t="str">
        <f t="shared" si="95"/>
        <v/>
      </c>
      <c r="AN220" s="52" t="str">
        <f t="shared" si="96"/>
        <v/>
      </c>
      <c r="AO220" s="52" t="str">
        <f t="shared" si="97"/>
        <v/>
      </c>
      <c r="AP220" s="52" t="str">
        <f t="shared" si="98"/>
        <v/>
      </c>
      <c r="AQ220" s="52" t="str">
        <f t="shared" si="99"/>
        <v/>
      </c>
      <c r="AR220" s="52" t="str">
        <f t="shared" si="100"/>
        <v/>
      </c>
      <c r="AS220" s="52" t="str">
        <f t="shared" si="101"/>
        <v/>
      </c>
      <c r="AT220" s="52" t="str">
        <f t="shared" si="102"/>
        <v/>
      </c>
      <c r="AU220" s="52" t="str">
        <f t="shared" si="103"/>
        <v/>
      </c>
      <c r="AV220" s="52" t="str">
        <f t="shared" si="104"/>
        <v/>
      </c>
      <c r="AW220" s="52" t="str">
        <f t="shared" si="105"/>
        <v/>
      </c>
      <c r="AX220" s="52" t="str">
        <f t="shared" si="82"/>
        <v/>
      </c>
      <c r="AY220" s="52" t="str">
        <f t="shared" si="106"/>
        <v/>
      </c>
      <c r="AZ220" s="52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2"/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2"/>
      <c r="CI220" s="52"/>
      <c r="CJ220" s="52"/>
      <c r="CK220" s="52"/>
      <c r="CL220" s="52"/>
      <c r="CM220" s="52"/>
      <c r="CN220" s="52"/>
      <c r="CO220" s="52"/>
      <c r="CP220" s="52"/>
      <c r="CQ220" s="52"/>
      <c r="CR220" s="52"/>
      <c r="CS220" s="52"/>
      <c r="CT220" s="52"/>
      <c r="CU220" s="52"/>
      <c r="CV220" s="52"/>
      <c r="CW220" s="52"/>
      <c r="CX220" s="52"/>
      <c r="CY220" s="52"/>
      <c r="CZ220" s="52"/>
      <c r="DA220" s="52"/>
      <c r="DB220" s="52"/>
      <c r="DC220" s="52"/>
      <c r="DD220" s="52"/>
      <c r="DE220" s="52"/>
      <c r="DF220" s="52"/>
      <c r="DG220" s="52"/>
      <c r="DH220" s="52"/>
      <c r="DI220" s="52"/>
      <c r="DJ220" s="52"/>
      <c r="DK220" s="52"/>
      <c r="DL220" s="52"/>
      <c r="DM220" s="52"/>
      <c r="DN220" s="52"/>
      <c r="DO220" s="52"/>
      <c r="DP220" s="52"/>
      <c r="DQ220" s="52"/>
      <c r="DR220" s="52"/>
      <c r="DS220" s="52"/>
      <c r="DT220" s="52"/>
      <c r="DU220" s="52"/>
      <c r="DV220" s="52"/>
      <c r="DW220" s="52"/>
      <c r="DX220" s="52"/>
      <c r="DY220" s="52"/>
      <c r="DZ220" s="52"/>
      <c r="EA220" s="52"/>
      <c r="EB220" s="52"/>
      <c r="EC220" s="52"/>
      <c r="ED220" s="52"/>
      <c r="EE220" s="52"/>
      <c r="EF220" s="52"/>
      <c r="EG220" s="52"/>
      <c r="EH220" s="52"/>
      <c r="EI220" s="52"/>
      <c r="EJ220" s="52"/>
      <c r="EK220" s="52"/>
      <c r="EL220" s="52"/>
      <c r="EM220" s="52"/>
      <c r="EN220" s="52"/>
      <c r="EO220" s="52"/>
      <c r="EP220" s="52"/>
      <c r="EQ220" s="52"/>
      <c r="ER220" s="52"/>
      <c r="ES220" s="52"/>
      <c r="ET220" s="52"/>
      <c r="EU220" s="52"/>
      <c r="EV220" s="52"/>
      <c r="EW220" s="52"/>
      <c r="EX220" s="52"/>
      <c r="EY220" s="52"/>
      <c r="EZ220" s="52"/>
      <c r="FA220" s="52"/>
      <c r="FB220" s="52"/>
      <c r="FC220" s="52"/>
      <c r="FD220" s="52"/>
      <c r="FE220" s="52"/>
      <c r="FF220" s="52"/>
      <c r="FG220" s="13"/>
    </row>
    <row r="221" spans="1:163">
      <c r="A221" s="71"/>
      <c r="B221" s="70"/>
      <c r="C221" s="72"/>
      <c r="D221" s="73"/>
      <c r="E221" s="73"/>
      <c r="F221" s="73"/>
      <c r="G221" s="73"/>
      <c r="H221" s="73"/>
      <c r="I221" s="74"/>
      <c r="J221" s="74"/>
      <c r="K221" s="74"/>
      <c r="L221" s="73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0"/>
      <c r="Z221" s="12">
        <f t="shared" si="83"/>
        <v>0</v>
      </c>
      <c r="AA221" s="14">
        <f t="shared" si="81"/>
        <v>0</v>
      </c>
      <c r="AB221" s="6">
        <f t="shared" si="84"/>
        <v>0</v>
      </c>
      <c r="AC221" s="6">
        <f t="shared" si="85"/>
        <v>0</v>
      </c>
      <c r="AD221" s="6">
        <f t="shared" si="86"/>
        <v>0</v>
      </c>
      <c r="AE221" s="52" t="str">
        <f t="shared" si="87"/>
        <v/>
      </c>
      <c r="AF221" s="52" t="str">
        <f t="shared" si="88"/>
        <v/>
      </c>
      <c r="AG221" s="50" t="str">
        <f t="shared" si="89"/>
        <v/>
      </c>
      <c r="AH221" s="50" t="str">
        <f t="shared" si="90"/>
        <v/>
      </c>
      <c r="AI221" s="52" t="str">
        <f t="shared" si="91"/>
        <v/>
      </c>
      <c r="AJ221" s="52" t="str">
        <f t="shared" si="92"/>
        <v/>
      </c>
      <c r="AK221" s="52" t="str">
        <f t="shared" si="93"/>
        <v/>
      </c>
      <c r="AL221" s="52" t="str">
        <f t="shared" si="94"/>
        <v/>
      </c>
      <c r="AM221" s="52" t="str">
        <f t="shared" si="95"/>
        <v/>
      </c>
      <c r="AN221" s="52" t="str">
        <f t="shared" si="96"/>
        <v/>
      </c>
      <c r="AO221" s="52" t="str">
        <f t="shared" si="97"/>
        <v/>
      </c>
      <c r="AP221" s="52" t="str">
        <f t="shared" si="98"/>
        <v/>
      </c>
      <c r="AQ221" s="52" t="str">
        <f t="shared" si="99"/>
        <v/>
      </c>
      <c r="AR221" s="52" t="str">
        <f t="shared" si="100"/>
        <v/>
      </c>
      <c r="AS221" s="52" t="str">
        <f t="shared" si="101"/>
        <v/>
      </c>
      <c r="AT221" s="52" t="str">
        <f t="shared" si="102"/>
        <v/>
      </c>
      <c r="AU221" s="52" t="str">
        <f t="shared" si="103"/>
        <v/>
      </c>
      <c r="AV221" s="52" t="str">
        <f t="shared" si="104"/>
        <v/>
      </c>
      <c r="AW221" s="52" t="str">
        <f t="shared" si="105"/>
        <v/>
      </c>
      <c r="AX221" s="52" t="str">
        <f t="shared" si="82"/>
        <v/>
      </c>
      <c r="AY221" s="52" t="str">
        <f t="shared" si="106"/>
        <v/>
      </c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  <c r="BS221" s="52"/>
      <c r="BT221" s="52"/>
      <c r="BU221" s="52"/>
      <c r="BV221" s="52"/>
      <c r="BW221" s="52"/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2"/>
      <c r="CI221" s="52"/>
      <c r="CJ221" s="52"/>
      <c r="CK221" s="52"/>
      <c r="CL221" s="52"/>
      <c r="CM221" s="52"/>
      <c r="CN221" s="52"/>
      <c r="CO221" s="52"/>
      <c r="CP221" s="52"/>
      <c r="CQ221" s="52"/>
      <c r="CR221" s="52"/>
      <c r="CS221" s="52"/>
      <c r="CT221" s="52"/>
      <c r="CU221" s="52"/>
      <c r="CV221" s="52"/>
      <c r="CW221" s="52"/>
      <c r="CX221" s="52"/>
      <c r="CY221" s="52"/>
      <c r="CZ221" s="52"/>
      <c r="DA221" s="52"/>
      <c r="DB221" s="52"/>
      <c r="DC221" s="52"/>
      <c r="DD221" s="52"/>
      <c r="DE221" s="52"/>
      <c r="DF221" s="52"/>
      <c r="DG221" s="52"/>
      <c r="DH221" s="52"/>
      <c r="DI221" s="52"/>
      <c r="DJ221" s="52"/>
      <c r="DK221" s="52"/>
      <c r="DL221" s="52"/>
      <c r="DM221" s="52"/>
      <c r="DN221" s="52"/>
      <c r="DO221" s="52"/>
      <c r="DP221" s="52"/>
      <c r="DQ221" s="52"/>
      <c r="DR221" s="52"/>
      <c r="DS221" s="52"/>
      <c r="DT221" s="52"/>
      <c r="DU221" s="52"/>
      <c r="DV221" s="52"/>
      <c r="DW221" s="52"/>
      <c r="DX221" s="52"/>
      <c r="DY221" s="52"/>
      <c r="DZ221" s="52"/>
      <c r="EA221" s="52"/>
      <c r="EB221" s="52"/>
      <c r="EC221" s="52"/>
      <c r="ED221" s="52"/>
      <c r="EE221" s="52"/>
      <c r="EF221" s="52"/>
      <c r="EG221" s="52"/>
      <c r="EH221" s="52"/>
      <c r="EI221" s="52"/>
      <c r="EJ221" s="52"/>
      <c r="EK221" s="52"/>
      <c r="EL221" s="52"/>
      <c r="EM221" s="52"/>
      <c r="EN221" s="52"/>
      <c r="EO221" s="52"/>
      <c r="EP221" s="52"/>
      <c r="EQ221" s="52"/>
      <c r="ER221" s="52"/>
      <c r="ES221" s="52"/>
      <c r="ET221" s="52"/>
      <c r="EU221" s="52"/>
      <c r="EV221" s="52"/>
      <c r="EW221" s="52"/>
      <c r="EX221" s="52"/>
      <c r="EY221" s="52"/>
      <c r="EZ221" s="52"/>
      <c r="FA221" s="52"/>
      <c r="FB221" s="52"/>
      <c r="FC221" s="52"/>
      <c r="FD221" s="52"/>
      <c r="FE221" s="52"/>
      <c r="FF221" s="52"/>
      <c r="FG221" s="13"/>
    </row>
    <row r="222" spans="1:163">
      <c r="A222" s="71"/>
      <c r="B222" s="70"/>
      <c r="C222" s="72"/>
      <c r="D222" s="73"/>
      <c r="E222" s="73"/>
      <c r="F222" s="73"/>
      <c r="G222" s="73"/>
      <c r="H222" s="73"/>
      <c r="I222" s="74"/>
      <c r="J222" s="74"/>
      <c r="K222" s="74"/>
      <c r="L222" s="73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0"/>
      <c r="Z222" s="12">
        <f t="shared" si="83"/>
        <v>0</v>
      </c>
      <c r="AA222" s="14">
        <f t="shared" si="81"/>
        <v>0</v>
      </c>
      <c r="AB222" s="6">
        <f t="shared" si="84"/>
        <v>0</v>
      </c>
      <c r="AC222" s="6">
        <f t="shared" si="85"/>
        <v>0</v>
      </c>
      <c r="AD222" s="6">
        <f t="shared" si="86"/>
        <v>0</v>
      </c>
      <c r="AE222" s="52" t="str">
        <f t="shared" si="87"/>
        <v/>
      </c>
      <c r="AF222" s="52" t="str">
        <f t="shared" si="88"/>
        <v/>
      </c>
      <c r="AG222" s="50" t="str">
        <f t="shared" si="89"/>
        <v/>
      </c>
      <c r="AH222" s="50" t="str">
        <f t="shared" si="90"/>
        <v/>
      </c>
      <c r="AI222" s="52" t="str">
        <f t="shared" si="91"/>
        <v/>
      </c>
      <c r="AJ222" s="52" t="str">
        <f t="shared" si="92"/>
        <v/>
      </c>
      <c r="AK222" s="52" t="str">
        <f t="shared" si="93"/>
        <v/>
      </c>
      <c r="AL222" s="52" t="str">
        <f t="shared" si="94"/>
        <v/>
      </c>
      <c r="AM222" s="52" t="str">
        <f t="shared" si="95"/>
        <v/>
      </c>
      <c r="AN222" s="52" t="str">
        <f t="shared" si="96"/>
        <v/>
      </c>
      <c r="AO222" s="52" t="str">
        <f t="shared" si="97"/>
        <v/>
      </c>
      <c r="AP222" s="52" t="str">
        <f t="shared" si="98"/>
        <v/>
      </c>
      <c r="AQ222" s="52" t="str">
        <f t="shared" si="99"/>
        <v/>
      </c>
      <c r="AR222" s="52" t="str">
        <f t="shared" si="100"/>
        <v/>
      </c>
      <c r="AS222" s="52" t="str">
        <f t="shared" si="101"/>
        <v/>
      </c>
      <c r="AT222" s="52" t="str">
        <f t="shared" si="102"/>
        <v/>
      </c>
      <c r="AU222" s="52" t="str">
        <f t="shared" si="103"/>
        <v/>
      </c>
      <c r="AV222" s="52" t="str">
        <f t="shared" si="104"/>
        <v/>
      </c>
      <c r="AW222" s="52" t="str">
        <f t="shared" si="105"/>
        <v/>
      </c>
      <c r="AX222" s="52" t="str">
        <f t="shared" si="82"/>
        <v/>
      </c>
      <c r="AY222" s="52" t="str">
        <f t="shared" si="106"/>
        <v/>
      </c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  <c r="BM222" s="52"/>
      <c r="BN222" s="52"/>
      <c r="BO222" s="52"/>
      <c r="BP222" s="52"/>
      <c r="BQ222" s="52"/>
      <c r="BR222" s="52"/>
      <c r="BS222" s="52"/>
      <c r="BT222" s="52"/>
      <c r="BU222" s="52"/>
      <c r="BV222" s="52"/>
      <c r="BW222" s="52"/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2"/>
      <c r="CI222" s="52"/>
      <c r="CJ222" s="52"/>
      <c r="CK222" s="52"/>
      <c r="CL222" s="52"/>
      <c r="CM222" s="52"/>
      <c r="CN222" s="52"/>
      <c r="CO222" s="52"/>
      <c r="CP222" s="52"/>
      <c r="CQ222" s="52"/>
      <c r="CR222" s="52"/>
      <c r="CS222" s="52"/>
      <c r="CT222" s="52"/>
      <c r="CU222" s="52"/>
      <c r="CV222" s="52"/>
      <c r="CW222" s="52"/>
      <c r="CX222" s="52"/>
      <c r="CY222" s="52"/>
      <c r="CZ222" s="52"/>
      <c r="DA222" s="52"/>
      <c r="DB222" s="52"/>
      <c r="DC222" s="52"/>
      <c r="DD222" s="52"/>
      <c r="DE222" s="52"/>
      <c r="DF222" s="52"/>
      <c r="DG222" s="52"/>
      <c r="DH222" s="52"/>
      <c r="DI222" s="52"/>
      <c r="DJ222" s="52"/>
      <c r="DK222" s="52"/>
      <c r="DL222" s="52"/>
      <c r="DM222" s="52"/>
      <c r="DN222" s="52"/>
      <c r="DO222" s="52"/>
      <c r="DP222" s="52"/>
      <c r="DQ222" s="52"/>
      <c r="DR222" s="52"/>
      <c r="DS222" s="52"/>
      <c r="DT222" s="52"/>
      <c r="DU222" s="52"/>
      <c r="DV222" s="52"/>
      <c r="DW222" s="52"/>
      <c r="DX222" s="52"/>
      <c r="DY222" s="52"/>
      <c r="DZ222" s="52"/>
      <c r="EA222" s="52"/>
      <c r="EB222" s="52"/>
      <c r="EC222" s="52"/>
      <c r="ED222" s="52"/>
      <c r="EE222" s="52"/>
      <c r="EF222" s="52"/>
      <c r="EG222" s="52"/>
      <c r="EH222" s="52"/>
      <c r="EI222" s="52"/>
      <c r="EJ222" s="52"/>
      <c r="EK222" s="52"/>
      <c r="EL222" s="52"/>
      <c r="EM222" s="52"/>
      <c r="EN222" s="52"/>
      <c r="EO222" s="52"/>
      <c r="EP222" s="52"/>
      <c r="EQ222" s="52"/>
      <c r="ER222" s="52"/>
      <c r="ES222" s="52"/>
      <c r="ET222" s="52"/>
      <c r="EU222" s="52"/>
      <c r="EV222" s="52"/>
      <c r="EW222" s="52"/>
      <c r="EX222" s="52"/>
      <c r="EY222" s="52"/>
      <c r="EZ222" s="52"/>
      <c r="FA222" s="52"/>
      <c r="FB222" s="52"/>
      <c r="FC222" s="52"/>
      <c r="FD222" s="52"/>
      <c r="FE222" s="52"/>
      <c r="FF222" s="52"/>
      <c r="FG222" s="13"/>
    </row>
    <row r="223" spans="1:163">
      <c r="A223" s="71"/>
      <c r="B223" s="70"/>
      <c r="C223" s="72"/>
      <c r="D223" s="73"/>
      <c r="E223" s="73"/>
      <c r="F223" s="73"/>
      <c r="G223" s="73"/>
      <c r="H223" s="73"/>
      <c r="I223" s="74"/>
      <c r="J223" s="74"/>
      <c r="K223" s="74"/>
      <c r="L223" s="73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0"/>
      <c r="Z223" s="12">
        <f t="shared" si="83"/>
        <v>0</v>
      </c>
      <c r="AA223" s="14">
        <f t="shared" si="81"/>
        <v>0</v>
      </c>
      <c r="AB223" s="6">
        <f t="shared" si="84"/>
        <v>0</v>
      </c>
      <c r="AC223" s="6">
        <f t="shared" si="85"/>
        <v>0</v>
      </c>
      <c r="AD223" s="6">
        <f t="shared" si="86"/>
        <v>0</v>
      </c>
      <c r="AE223" s="52" t="str">
        <f t="shared" si="87"/>
        <v/>
      </c>
      <c r="AF223" s="52" t="str">
        <f t="shared" si="88"/>
        <v/>
      </c>
      <c r="AG223" s="50" t="str">
        <f t="shared" si="89"/>
        <v/>
      </c>
      <c r="AH223" s="50" t="str">
        <f t="shared" si="90"/>
        <v/>
      </c>
      <c r="AI223" s="52" t="str">
        <f t="shared" si="91"/>
        <v/>
      </c>
      <c r="AJ223" s="52" t="str">
        <f t="shared" si="92"/>
        <v/>
      </c>
      <c r="AK223" s="52" t="str">
        <f t="shared" si="93"/>
        <v/>
      </c>
      <c r="AL223" s="52" t="str">
        <f t="shared" si="94"/>
        <v/>
      </c>
      <c r="AM223" s="52" t="str">
        <f t="shared" si="95"/>
        <v/>
      </c>
      <c r="AN223" s="52" t="str">
        <f t="shared" si="96"/>
        <v/>
      </c>
      <c r="AO223" s="52" t="str">
        <f t="shared" si="97"/>
        <v/>
      </c>
      <c r="AP223" s="52" t="str">
        <f t="shared" si="98"/>
        <v/>
      </c>
      <c r="AQ223" s="52" t="str">
        <f t="shared" si="99"/>
        <v/>
      </c>
      <c r="AR223" s="52" t="str">
        <f t="shared" si="100"/>
        <v/>
      </c>
      <c r="AS223" s="52" t="str">
        <f t="shared" si="101"/>
        <v/>
      </c>
      <c r="AT223" s="52" t="str">
        <f t="shared" si="102"/>
        <v/>
      </c>
      <c r="AU223" s="52" t="str">
        <f t="shared" si="103"/>
        <v/>
      </c>
      <c r="AV223" s="52" t="str">
        <f t="shared" si="104"/>
        <v/>
      </c>
      <c r="AW223" s="52" t="str">
        <f t="shared" si="105"/>
        <v/>
      </c>
      <c r="AX223" s="52" t="str">
        <f t="shared" si="82"/>
        <v/>
      </c>
      <c r="AY223" s="52" t="str">
        <f t="shared" si="106"/>
        <v/>
      </c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2"/>
      <c r="CI223" s="52"/>
      <c r="CJ223" s="52"/>
      <c r="CK223" s="52"/>
      <c r="CL223" s="52"/>
      <c r="CM223" s="52"/>
      <c r="CN223" s="52"/>
      <c r="CO223" s="52"/>
      <c r="CP223" s="52"/>
      <c r="CQ223" s="52"/>
      <c r="CR223" s="52"/>
      <c r="CS223" s="52"/>
      <c r="CT223" s="52"/>
      <c r="CU223" s="52"/>
      <c r="CV223" s="52"/>
      <c r="CW223" s="52"/>
      <c r="CX223" s="52"/>
      <c r="CY223" s="52"/>
      <c r="CZ223" s="52"/>
      <c r="DA223" s="52"/>
      <c r="DB223" s="52"/>
      <c r="DC223" s="52"/>
      <c r="DD223" s="52"/>
      <c r="DE223" s="52"/>
      <c r="DF223" s="52"/>
      <c r="DG223" s="52"/>
      <c r="DH223" s="52"/>
      <c r="DI223" s="52"/>
      <c r="DJ223" s="52"/>
      <c r="DK223" s="52"/>
      <c r="DL223" s="52"/>
      <c r="DM223" s="52"/>
      <c r="DN223" s="52"/>
      <c r="DO223" s="52"/>
      <c r="DP223" s="52"/>
      <c r="DQ223" s="52"/>
      <c r="DR223" s="52"/>
      <c r="DS223" s="52"/>
      <c r="DT223" s="52"/>
      <c r="DU223" s="52"/>
      <c r="DV223" s="52"/>
      <c r="DW223" s="52"/>
      <c r="DX223" s="52"/>
      <c r="DY223" s="52"/>
      <c r="DZ223" s="52"/>
      <c r="EA223" s="52"/>
      <c r="EB223" s="52"/>
      <c r="EC223" s="52"/>
      <c r="ED223" s="52"/>
      <c r="EE223" s="52"/>
      <c r="EF223" s="52"/>
      <c r="EG223" s="52"/>
      <c r="EH223" s="52"/>
      <c r="EI223" s="52"/>
      <c r="EJ223" s="52"/>
      <c r="EK223" s="52"/>
      <c r="EL223" s="52"/>
      <c r="EM223" s="52"/>
      <c r="EN223" s="52"/>
      <c r="EO223" s="52"/>
      <c r="EP223" s="52"/>
      <c r="EQ223" s="52"/>
      <c r="ER223" s="52"/>
      <c r="ES223" s="52"/>
      <c r="ET223" s="52"/>
      <c r="EU223" s="52"/>
      <c r="EV223" s="52"/>
      <c r="EW223" s="52"/>
      <c r="EX223" s="52"/>
      <c r="EY223" s="52"/>
      <c r="EZ223" s="52"/>
      <c r="FA223" s="52"/>
      <c r="FB223" s="52"/>
      <c r="FC223" s="52"/>
      <c r="FD223" s="52"/>
      <c r="FE223" s="52"/>
      <c r="FF223" s="52"/>
      <c r="FG223" s="13"/>
    </row>
    <row r="224" spans="1:163">
      <c r="A224" s="71"/>
      <c r="B224" s="70"/>
      <c r="C224" s="72"/>
      <c r="D224" s="73"/>
      <c r="E224" s="73"/>
      <c r="F224" s="73"/>
      <c r="G224" s="73"/>
      <c r="H224" s="73"/>
      <c r="I224" s="74"/>
      <c r="J224" s="74"/>
      <c r="K224" s="74"/>
      <c r="L224" s="73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0"/>
      <c r="Z224" s="12">
        <f t="shared" si="83"/>
        <v>0</v>
      </c>
      <c r="AA224" s="14">
        <f t="shared" si="81"/>
        <v>0</v>
      </c>
      <c r="AB224" s="6">
        <f t="shared" si="84"/>
        <v>0</v>
      </c>
      <c r="AC224" s="6">
        <f t="shared" si="85"/>
        <v>0</v>
      </c>
      <c r="AD224" s="6">
        <f t="shared" si="86"/>
        <v>0</v>
      </c>
      <c r="AE224" s="52" t="str">
        <f t="shared" si="87"/>
        <v/>
      </c>
      <c r="AF224" s="52" t="str">
        <f t="shared" si="88"/>
        <v/>
      </c>
      <c r="AG224" s="50" t="str">
        <f t="shared" si="89"/>
        <v/>
      </c>
      <c r="AH224" s="50" t="str">
        <f t="shared" si="90"/>
        <v/>
      </c>
      <c r="AI224" s="52" t="str">
        <f t="shared" si="91"/>
        <v/>
      </c>
      <c r="AJ224" s="52" t="str">
        <f t="shared" si="92"/>
        <v/>
      </c>
      <c r="AK224" s="52" t="str">
        <f t="shared" si="93"/>
        <v/>
      </c>
      <c r="AL224" s="52" t="str">
        <f t="shared" si="94"/>
        <v/>
      </c>
      <c r="AM224" s="52" t="str">
        <f t="shared" si="95"/>
        <v/>
      </c>
      <c r="AN224" s="52" t="str">
        <f t="shared" si="96"/>
        <v/>
      </c>
      <c r="AO224" s="52" t="str">
        <f t="shared" si="97"/>
        <v/>
      </c>
      <c r="AP224" s="52" t="str">
        <f t="shared" si="98"/>
        <v/>
      </c>
      <c r="AQ224" s="52" t="str">
        <f t="shared" si="99"/>
        <v/>
      </c>
      <c r="AR224" s="52" t="str">
        <f t="shared" si="100"/>
        <v/>
      </c>
      <c r="AS224" s="52" t="str">
        <f t="shared" si="101"/>
        <v/>
      </c>
      <c r="AT224" s="52" t="str">
        <f t="shared" si="102"/>
        <v/>
      </c>
      <c r="AU224" s="52" t="str">
        <f t="shared" si="103"/>
        <v/>
      </c>
      <c r="AV224" s="52" t="str">
        <f t="shared" si="104"/>
        <v/>
      </c>
      <c r="AW224" s="52" t="str">
        <f t="shared" si="105"/>
        <v/>
      </c>
      <c r="AX224" s="52" t="str">
        <f t="shared" si="82"/>
        <v/>
      </c>
      <c r="AY224" s="52" t="str">
        <f t="shared" si="106"/>
        <v/>
      </c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2"/>
      <c r="CI224" s="52"/>
      <c r="CJ224" s="52"/>
      <c r="CK224" s="52"/>
      <c r="CL224" s="52"/>
      <c r="CM224" s="52"/>
      <c r="CN224" s="52"/>
      <c r="CO224" s="52"/>
      <c r="CP224" s="52"/>
      <c r="CQ224" s="52"/>
      <c r="CR224" s="52"/>
      <c r="CS224" s="52"/>
      <c r="CT224" s="52"/>
      <c r="CU224" s="52"/>
      <c r="CV224" s="52"/>
      <c r="CW224" s="52"/>
      <c r="CX224" s="52"/>
      <c r="CY224" s="52"/>
      <c r="CZ224" s="52"/>
      <c r="DA224" s="52"/>
      <c r="DB224" s="52"/>
      <c r="DC224" s="52"/>
      <c r="DD224" s="52"/>
      <c r="DE224" s="52"/>
      <c r="DF224" s="52"/>
      <c r="DG224" s="52"/>
      <c r="DH224" s="52"/>
      <c r="DI224" s="52"/>
      <c r="DJ224" s="52"/>
      <c r="DK224" s="52"/>
      <c r="DL224" s="52"/>
      <c r="DM224" s="52"/>
      <c r="DN224" s="52"/>
      <c r="DO224" s="52"/>
      <c r="DP224" s="52"/>
      <c r="DQ224" s="52"/>
      <c r="DR224" s="52"/>
      <c r="DS224" s="52"/>
      <c r="DT224" s="52"/>
      <c r="DU224" s="52"/>
      <c r="DV224" s="52"/>
      <c r="DW224" s="52"/>
      <c r="DX224" s="52"/>
      <c r="DY224" s="52"/>
      <c r="DZ224" s="52"/>
      <c r="EA224" s="52"/>
      <c r="EB224" s="52"/>
      <c r="EC224" s="52"/>
      <c r="ED224" s="52"/>
      <c r="EE224" s="52"/>
      <c r="EF224" s="52"/>
      <c r="EG224" s="52"/>
      <c r="EH224" s="52"/>
      <c r="EI224" s="52"/>
      <c r="EJ224" s="52"/>
      <c r="EK224" s="52"/>
      <c r="EL224" s="52"/>
      <c r="EM224" s="52"/>
      <c r="EN224" s="52"/>
      <c r="EO224" s="52"/>
      <c r="EP224" s="52"/>
      <c r="EQ224" s="52"/>
      <c r="ER224" s="52"/>
      <c r="ES224" s="52"/>
      <c r="ET224" s="52"/>
      <c r="EU224" s="52"/>
      <c r="EV224" s="52"/>
      <c r="EW224" s="52"/>
      <c r="EX224" s="52"/>
      <c r="EY224" s="52"/>
      <c r="EZ224" s="52"/>
      <c r="FA224" s="52"/>
      <c r="FB224" s="52"/>
      <c r="FC224" s="52"/>
      <c r="FD224" s="52"/>
      <c r="FE224" s="52"/>
      <c r="FF224" s="52"/>
      <c r="FG224" s="13"/>
    </row>
    <row r="225" spans="1:163">
      <c r="A225" s="71"/>
      <c r="B225" s="70"/>
      <c r="C225" s="72"/>
      <c r="D225" s="73"/>
      <c r="E225" s="73"/>
      <c r="F225" s="73"/>
      <c r="G225" s="73"/>
      <c r="H225" s="73"/>
      <c r="I225" s="74"/>
      <c r="J225" s="74"/>
      <c r="K225" s="74"/>
      <c r="L225" s="73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0"/>
      <c r="Z225" s="12">
        <f t="shared" si="83"/>
        <v>0</v>
      </c>
      <c r="AA225" s="14">
        <f t="shared" si="81"/>
        <v>0</v>
      </c>
      <c r="AB225" s="6">
        <f t="shared" si="84"/>
        <v>0</v>
      </c>
      <c r="AC225" s="6">
        <f t="shared" si="85"/>
        <v>0</v>
      </c>
      <c r="AD225" s="6">
        <f t="shared" si="86"/>
        <v>0</v>
      </c>
      <c r="AE225" s="52" t="str">
        <f t="shared" si="87"/>
        <v/>
      </c>
      <c r="AF225" s="52" t="str">
        <f t="shared" si="88"/>
        <v/>
      </c>
      <c r="AG225" s="50" t="str">
        <f t="shared" si="89"/>
        <v/>
      </c>
      <c r="AH225" s="50" t="str">
        <f t="shared" si="90"/>
        <v/>
      </c>
      <c r="AI225" s="52" t="str">
        <f t="shared" si="91"/>
        <v/>
      </c>
      <c r="AJ225" s="52" t="str">
        <f t="shared" si="92"/>
        <v/>
      </c>
      <c r="AK225" s="52" t="str">
        <f t="shared" si="93"/>
        <v/>
      </c>
      <c r="AL225" s="52" t="str">
        <f t="shared" si="94"/>
        <v/>
      </c>
      <c r="AM225" s="52" t="str">
        <f t="shared" si="95"/>
        <v/>
      </c>
      <c r="AN225" s="52" t="str">
        <f t="shared" si="96"/>
        <v/>
      </c>
      <c r="AO225" s="52" t="str">
        <f t="shared" si="97"/>
        <v/>
      </c>
      <c r="AP225" s="52" t="str">
        <f t="shared" si="98"/>
        <v/>
      </c>
      <c r="AQ225" s="52" t="str">
        <f t="shared" si="99"/>
        <v/>
      </c>
      <c r="AR225" s="52" t="str">
        <f t="shared" si="100"/>
        <v/>
      </c>
      <c r="AS225" s="52" t="str">
        <f t="shared" si="101"/>
        <v/>
      </c>
      <c r="AT225" s="52" t="str">
        <f t="shared" si="102"/>
        <v/>
      </c>
      <c r="AU225" s="52" t="str">
        <f t="shared" si="103"/>
        <v/>
      </c>
      <c r="AV225" s="52" t="str">
        <f t="shared" si="104"/>
        <v/>
      </c>
      <c r="AW225" s="52" t="str">
        <f t="shared" si="105"/>
        <v/>
      </c>
      <c r="AX225" s="52" t="str">
        <f t="shared" si="82"/>
        <v/>
      </c>
      <c r="AY225" s="52" t="str">
        <f t="shared" si="106"/>
        <v/>
      </c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2"/>
      <c r="CI225" s="52"/>
      <c r="CJ225" s="52"/>
      <c r="CK225" s="52"/>
      <c r="CL225" s="52"/>
      <c r="CM225" s="52"/>
      <c r="CN225" s="52"/>
      <c r="CO225" s="52"/>
      <c r="CP225" s="52"/>
      <c r="CQ225" s="52"/>
      <c r="CR225" s="52"/>
      <c r="CS225" s="52"/>
      <c r="CT225" s="52"/>
      <c r="CU225" s="52"/>
      <c r="CV225" s="52"/>
      <c r="CW225" s="52"/>
      <c r="CX225" s="52"/>
      <c r="CY225" s="52"/>
      <c r="CZ225" s="52"/>
      <c r="DA225" s="52"/>
      <c r="DB225" s="52"/>
      <c r="DC225" s="52"/>
      <c r="DD225" s="52"/>
      <c r="DE225" s="52"/>
      <c r="DF225" s="52"/>
      <c r="DG225" s="52"/>
      <c r="DH225" s="52"/>
      <c r="DI225" s="52"/>
      <c r="DJ225" s="52"/>
      <c r="DK225" s="52"/>
      <c r="DL225" s="52"/>
      <c r="DM225" s="52"/>
      <c r="DN225" s="52"/>
      <c r="DO225" s="52"/>
      <c r="DP225" s="52"/>
      <c r="DQ225" s="52"/>
      <c r="DR225" s="52"/>
      <c r="DS225" s="52"/>
      <c r="DT225" s="52"/>
      <c r="DU225" s="52"/>
      <c r="DV225" s="52"/>
      <c r="DW225" s="52"/>
      <c r="DX225" s="52"/>
      <c r="DY225" s="52"/>
      <c r="DZ225" s="52"/>
      <c r="EA225" s="52"/>
      <c r="EB225" s="52"/>
      <c r="EC225" s="52"/>
      <c r="ED225" s="52"/>
      <c r="EE225" s="52"/>
      <c r="EF225" s="52"/>
      <c r="EG225" s="52"/>
      <c r="EH225" s="52"/>
      <c r="EI225" s="52"/>
      <c r="EJ225" s="52"/>
      <c r="EK225" s="52"/>
      <c r="EL225" s="52"/>
      <c r="EM225" s="52"/>
      <c r="EN225" s="52"/>
      <c r="EO225" s="52"/>
      <c r="EP225" s="52"/>
      <c r="EQ225" s="52"/>
      <c r="ER225" s="52"/>
      <c r="ES225" s="52"/>
      <c r="ET225" s="52"/>
      <c r="EU225" s="52"/>
      <c r="EV225" s="52"/>
      <c r="EW225" s="52"/>
      <c r="EX225" s="52"/>
      <c r="EY225" s="52"/>
      <c r="EZ225" s="52"/>
      <c r="FA225" s="52"/>
      <c r="FB225" s="52"/>
      <c r="FC225" s="52"/>
      <c r="FD225" s="52"/>
      <c r="FE225" s="52"/>
      <c r="FF225" s="52"/>
      <c r="FG225" s="13"/>
    </row>
    <row r="226" spans="1:163">
      <c r="A226" s="71"/>
      <c r="B226" s="70"/>
      <c r="C226" s="72"/>
      <c r="D226" s="73"/>
      <c r="E226" s="73"/>
      <c r="F226" s="73"/>
      <c r="G226" s="73"/>
      <c r="H226" s="73"/>
      <c r="I226" s="74"/>
      <c r="J226" s="74"/>
      <c r="K226" s="74"/>
      <c r="L226" s="73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0"/>
      <c r="Z226" s="12">
        <f t="shared" si="83"/>
        <v>0</v>
      </c>
      <c r="AA226" s="14">
        <f t="shared" si="81"/>
        <v>0</v>
      </c>
      <c r="AB226" s="6">
        <f t="shared" si="84"/>
        <v>0</v>
      </c>
      <c r="AC226" s="6">
        <f t="shared" si="85"/>
        <v>0</v>
      </c>
      <c r="AD226" s="6">
        <f t="shared" si="86"/>
        <v>0</v>
      </c>
      <c r="AE226" s="52" t="str">
        <f t="shared" si="87"/>
        <v/>
      </c>
      <c r="AF226" s="52" t="str">
        <f t="shared" si="88"/>
        <v/>
      </c>
      <c r="AG226" s="50" t="str">
        <f t="shared" si="89"/>
        <v/>
      </c>
      <c r="AH226" s="50" t="str">
        <f t="shared" si="90"/>
        <v/>
      </c>
      <c r="AI226" s="52" t="str">
        <f t="shared" si="91"/>
        <v/>
      </c>
      <c r="AJ226" s="52" t="str">
        <f t="shared" si="92"/>
        <v/>
      </c>
      <c r="AK226" s="52" t="str">
        <f t="shared" si="93"/>
        <v/>
      </c>
      <c r="AL226" s="52" t="str">
        <f t="shared" si="94"/>
        <v/>
      </c>
      <c r="AM226" s="52" t="str">
        <f t="shared" si="95"/>
        <v/>
      </c>
      <c r="AN226" s="52" t="str">
        <f t="shared" si="96"/>
        <v/>
      </c>
      <c r="AO226" s="52" t="str">
        <f t="shared" si="97"/>
        <v/>
      </c>
      <c r="AP226" s="52" t="str">
        <f t="shared" si="98"/>
        <v/>
      </c>
      <c r="AQ226" s="52" t="str">
        <f t="shared" si="99"/>
        <v/>
      </c>
      <c r="AR226" s="52" t="str">
        <f t="shared" si="100"/>
        <v/>
      </c>
      <c r="AS226" s="52" t="str">
        <f t="shared" si="101"/>
        <v/>
      </c>
      <c r="AT226" s="52" t="str">
        <f t="shared" si="102"/>
        <v/>
      </c>
      <c r="AU226" s="52" t="str">
        <f t="shared" si="103"/>
        <v/>
      </c>
      <c r="AV226" s="52" t="str">
        <f t="shared" si="104"/>
        <v/>
      </c>
      <c r="AW226" s="52" t="str">
        <f t="shared" si="105"/>
        <v/>
      </c>
      <c r="AX226" s="52" t="str">
        <f t="shared" si="82"/>
        <v/>
      </c>
      <c r="AY226" s="52" t="str">
        <f t="shared" si="106"/>
        <v/>
      </c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2"/>
      <c r="CI226" s="52"/>
      <c r="CJ226" s="52"/>
      <c r="CK226" s="52"/>
      <c r="CL226" s="52"/>
      <c r="CM226" s="52"/>
      <c r="CN226" s="52"/>
      <c r="CO226" s="52"/>
      <c r="CP226" s="52"/>
      <c r="CQ226" s="52"/>
      <c r="CR226" s="52"/>
      <c r="CS226" s="52"/>
      <c r="CT226" s="52"/>
      <c r="CU226" s="52"/>
      <c r="CV226" s="52"/>
      <c r="CW226" s="52"/>
      <c r="CX226" s="52"/>
      <c r="CY226" s="52"/>
      <c r="CZ226" s="52"/>
      <c r="DA226" s="52"/>
      <c r="DB226" s="52"/>
      <c r="DC226" s="52"/>
      <c r="DD226" s="52"/>
      <c r="DE226" s="52"/>
      <c r="DF226" s="52"/>
      <c r="DG226" s="52"/>
      <c r="DH226" s="52"/>
      <c r="DI226" s="52"/>
      <c r="DJ226" s="52"/>
      <c r="DK226" s="52"/>
      <c r="DL226" s="52"/>
      <c r="DM226" s="52"/>
      <c r="DN226" s="52"/>
      <c r="DO226" s="52"/>
      <c r="DP226" s="52"/>
      <c r="DQ226" s="52"/>
      <c r="DR226" s="52"/>
      <c r="DS226" s="52"/>
      <c r="DT226" s="52"/>
      <c r="DU226" s="52"/>
      <c r="DV226" s="52"/>
      <c r="DW226" s="52"/>
      <c r="DX226" s="52"/>
      <c r="DY226" s="52"/>
      <c r="DZ226" s="52"/>
      <c r="EA226" s="52"/>
      <c r="EB226" s="52"/>
      <c r="EC226" s="52"/>
      <c r="ED226" s="52"/>
      <c r="EE226" s="52"/>
      <c r="EF226" s="52"/>
      <c r="EG226" s="52"/>
      <c r="EH226" s="52"/>
      <c r="EI226" s="52"/>
      <c r="EJ226" s="52"/>
      <c r="EK226" s="52"/>
      <c r="EL226" s="52"/>
      <c r="EM226" s="52"/>
      <c r="EN226" s="52"/>
      <c r="EO226" s="52"/>
      <c r="EP226" s="52"/>
      <c r="EQ226" s="52"/>
      <c r="ER226" s="52"/>
      <c r="ES226" s="52"/>
      <c r="ET226" s="52"/>
      <c r="EU226" s="52"/>
      <c r="EV226" s="52"/>
      <c r="EW226" s="52"/>
      <c r="EX226" s="52"/>
      <c r="EY226" s="52"/>
      <c r="EZ226" s="52"/>
      <c r="FA226" s="52"/>
      <c r="FB226" s="52"/>
      <c r="FC226" s="52"/>
      <c r="FD226" s="52"/>
      <c r="FE226" s="52"/>
      <c r="FF226" s="52"/>
      <c r="FG226" s="13"/>
    </row>
    <row r="227" spans="1:163">
      <c r="A227" s="71"/>
      <c r="B227" s="70"/>
      <c r="C227" s="72"/>
      <c r="D227" s="73"/>
      <c r="E227" s="73"/>
      <c r="F227" s="73"/>
      <c r="G227" s="73"/>
      <c r="H227" s="73"/>
      <c r="I227" s="74"/>
      <c r="J227" s="74"/>
      <c r="K227" s="74"/>
      <c r="L227" s="73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0"/>
      <c r="Z227" s="12">
        <f t="shared" si="83"/>
        <v>0</v>
      </c>
      <c r="AA227" s="14">
        <f t="shared" si="81"/>
        <v>0</v>
      </c>
      <c r="AB227" s="6">
        <f t="shared" si="84"/>
        <v>0</v>
      </c>
      <c r="AC227" s="6">
        <f t="shared" si="85"/>
        <v>0</v>
      </c>
      <c r="AD227" s="6">
        <f t="shared" si="86"/>
        <v>0</v>
      </c>
      <c r="AE227" s="52" t="str">
        <f t="shared" si="87"/>
        <v/>
      </c>
      <c r="AF227" s="52" t="str">
        <f t="shared" si="88"/>
        <v/>
      </c>
      <c r="AG227" s="50" t="str">
        <f t="shared" si="89"/>
        <v/>
      </c>
      <c r="AH227" s="50" t="str">
        <f t="shared" si="90"/>
        <v/>
      </c>
      <c r="AI227" s="52" t="str">
        <f t="shared" si="91"/>
        <v/>
      </c>
      <c r="AJ227" s="52" t="str">
        <f t="shared" si="92"/>
        <v/>
      </c>
      <c r="AK227" s="52" t="str">
        <f t="shared" si="93"/>
        <v/>
      </c>
      <c r="AL227" s="52" t="str">
        <f t="shared" si="94"/>
        <v/>
      </c>
      <c r="AM227" s="52" t="str">
        <f t="shared" si="95"/>
        <v/>
      </c>
      <c r="AN227" s="52" t="str">
        <f t="shared" si="96"/>
        <v/>
      </c>
      <c r="AO227" s="52" t="str">
        <f t="shared" si="97"/>
        <v/>
      </c>
      <c r="AP227" s="52" t="str">
        <f t="shared" si="98"/>
        <v/>
      </c>
      <c r="AQ227" s="52" t="str">
        <f t="shared" si="99"/>
        <v/>
      </c>
      <c r="AR227" s="52" t="str">
        <f t="shared" si="100"/>
        <v/>
      </c>
      <c r="AS227" s="52" t="str">
        <f t="shared" si="101"/>
        <v/>
      </c>
      <c r="AT227" s="52" t="str">
        <f t="shared" si="102"/>
        <v/>
      </c>
      <c r="AU227" s="52" t="str">
        <f t="shared" si="103"/>
        <v/>
      </c>
      <c r="AV227" s="52" t="str">
        <f t="shared" si="104"/>
        <v/>
      </c>
      <c r="AW227" s="52" t="str">
        <f t="shared" si="105"/>
        <v/>
      </c>
      <c r="AX227" s="52" t="str">
        <f t="shared" si="82"/>
        <v/>
      </c>
      <c r="AY227" s="52" t="str">
        <f t="shared" si="106"/>
        <v/>
      </c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2"/>
      <c r="CI227" s="52"/>
      <c r="CJ227" s="52"/>
      <c r="CK227" s="52"/>
      <c r="CL227" s="52"/>
      <c r="CM227" s="52"/>
      <c r="CN227" s="52"/>
      <c r="CO227" s="52"/>
      <c r="CP227" s="52"/>
      <c r="CQ227" s="52"/>
      <c r="CR227" s="52"/>
      <c r="CS227" s="52"/>
      <c r="CT227" s="52"/>
      <c r="CU227" s="52"/>
      <c r="CV227" s="52"/>
      <c r="CW227" s="52"/>
      <c r="CX227" s="52"/>
      <c r="CY227" s="52"/>
      <c r="CZ227" s="52"/>
      <c r="DA227" s="52"/>
      <c r="DB227" s="52"/>
      <c r="DC227" s="52"/>
      <c r="DD227" s="52"/>
      <c r="DE227" s="52"/>
      <c r="DF227" s="52"/>
      <c r="DG227" s="52"/>
      <c r="DH227" s="52"/>
      <c r="DI227" s="52"/>
      <c r="DJ227" s="52"/>
      <c r="DK227" s="52"/>
      <c r="DL227" s="52"/>
      <c r="DM227" s="52"/>
      <c r="DN227" s="52"/>
      <c r="DO227" s="52"/>
      <c r="DP227" s="52"/>
      <c r="DQ227" s="52"/>
      <c r="DR227" s="52"/>
      <c r="DS227" s="52"/>
      <c r="DT227" s="52"/>
      <c r="DU227" s="52"/>
      <c r="DV227" s="52"/>
      <c r="DW227" s="52"/>
      <c r="DX227" s="52"/>
      <c r="DY227" s="52"/>
      <c r="DZ227" s="52"/>
      <c r="EA227" s="52"/>
      <c r="EB227" s="52"/>
      <c r="EC227" s="52"/>
      <c r="ED227" s="52"/>
      <c r="EE227" s="52"/>
      <c r="EF227" s="52"/>
      <c r="EG227" s="52"/>
      <c r="EH227" s="52"/>
      <c r="EI227" s="52"/>
      <c r="EJ227" s="52"/>
      <c r="EK227" s="52"/>
      <c r="EL227" s="52"/>
      <c r="EM227" s="52"/>
      <c r="EN227" s="52"/>
      <c r="EO227" s="52"/>
      <c r="EP227" s="52"/>
      <c r="EQ227" s="52"/>
      <c r="ER227" s="52"/>
      <c r="ES227" s="52"/>
      <c r="ET227" s="52"/>
      <c r="EU227" s="52"/>
      <c r="EV227" s="52"/>
      <c r="EW227" s="52"/>
      <c r="EX227" s="52"/>
      <c r="EY227" s="52"/>
      <c r="EZ227" s="52"/>
      <c r="FA227" s="52"/>
      <c r="FB227" s="52"/>
      <c r="FC227" s="52"/>
      <c r="FD227" s="52"/>
      <c r="FE227" s="52"/>
      <c r="FF227" s="52"/>
      <c r="FG227" s="13"/>
    </row>
    <row r="228" spans="1:163">
      <c r="A228" s="71"/>
      <c r="B228" s="70"/>
      <c r="C228" s="72"/>
      <c r="D228" s="73"/>
      <c r="E228" s="73"/>
      <c r="F228" s="73"/>
      <c r="G228" s="73"/>
      <c r="H228" s="73"/>
      <c r="I228" s="74"/>
      <c r="J228" s="74"/>
      <c r="K228" s="74"/>
      <c r="L228" s="73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0"/>
      <c r="Z228" s="12">
        <f t="shared" si="83"/>
        <v>0</v>
      </c>
      <c r="AA228" s="14">
        <f t="shared" si="81"/>
        <v>0</v>
      </c>
      <c r="AB228" s="6">
        <f t="shared" si="84"/>
        <v>0</v>
      </c>
      <c r="AC228" s="6">
        <f t="shared" si="85"/>
        <v>0</v>
      </c>
      <c r="AD228" s="6">
        <f t="shared" si="86"/>
        <v>0</v>
      </c>
      <c r="AE228" s="52" t="str">
        <f t="shared" si="87"/>
        <v/>
      </c>
      <c r="AF228" s="52" t="str">
        <f t="shared" si="88"/>
        <v/>
      </c>
      <c r="AG228" s="50" t="str">
        <f t="shared" si="89"/>
        <v/>
      </c>
      <c r="AH228" s="50" t="str">
        <f t="shared" si="90"/>
        <v/>
      </c>
      <c r="AI228" s="52" t="str">
        <f t="shared" si="91"/>
        <v/>
      </c>
      <c r="AJ228" s="52" t="str">
        <f t="shared" si="92"/>
        <v/>
      </c>
      <c r="AK228" s="52" t="str">
        <f t="shared" si="93"/>
        <v/>
      </c>
      <c r="AL228" s="52" t="str">
        <f t="shared" si="94"/>
        <v/>
      </c>
      <c r="AM228" s="52" t="str">
        <f t="shared" si="95"/>
        <v/>
      </c>
      <c r="AN228" s="52" t="str">
        <f t="shared" si="96"/>
        <v/>
      </c>
      <c r="AO228" s="52" t="str">
        <f t="shared" si="97"/>
        <v/>
      </c>
      <c r="AP228" s="52" t="str">
        <f t="shared" si="98"/>
        <v/>
      </c>
      <c r="AQ228" s="52" t="str">
        <f t="shared" si="99"/>
        <v/>
      </c>
      <c r="AR228" s="52" t="str">
        <f t="shared" si="100"/>
        <v/>
      </c>
      <c r="AS228" s="52" t="str">
        <f t="shared" si="101"/>
        <v/>
      </c>
      <c r="AT228" s="52" t="str">
        <f t="shared" si="102"/>
        <v/>
      </c>
      <c r="AU228" s="52" t="str">
        <f t="shared" si="103"/>
        <v/>
      </c>
      <c r="AV228" s="52" t="str">
        <f t="shared" si="104"/>
        <v/>
      </c>
      <c r="AW228" s="52" t="str">
        <f t="shared" si="105"/>
        <v/>
      </c>
      <c r="AX228" s="52" t="str">
        <f t="shared" si="82"/>
        <v/>
      </c>
      <c r="AY228" s="52" t="str">
        <f t="shared" si="106"/>
        <v/>
      </c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2"/>
      <c r="CI228" s="52"/>
      <c r="CJ228" s="52"/>
      <c r="CK228" s="52"/>
      <c r="CL228" s="52"/>
      <c r="CM228" s="52"/>
      <c r="CN228" s="52"/>
      <c r="CO228" s="52"/>
      <c r="CP228" s="52"/>
      <c r="CQ228" s="52"/>
      <c r="CR228" s="52"/>
      <c r="CS228" s="52"/>
      <c r="CT228" s="52"/>
      <c r="CU228" s="52"/>
      <c r="CV228" s="52"/>
      <c r="CW228" s="52"/>
      <c r="CX228" s="52"/>
      <c r="CY228" s="52"/>
      <c r="CZ228" s="52"/>
      <c r="DA228" s="52"/>
      <c r="DB228" s="52"/>
      <c r="DC228" s="52"/>
      <c r="DD228" s="52"/>
      <c r="DE228" s="52"/>
      <c r="DF228" s="52"/>
      <c r="DG228" s="52"/>
      <c r="DH228" s="52"/>
      <c r="DI228" s="52"/>
      <c r="DJ228" s="52"/>
      <c r="DK228" s="52"/>
      <c r="DL228" s="52"/>
      <c r="DM228" s="52"/>
      <c r="DN228" s="52"/>
      <c r="DO228" s="52"/>
      <c r="DP228" s="52"/>
      <c r="DQ228" s="52"/>
      <c r="DR228" s="52"/>
      <c r="DS228" s="52"/>
      <c r="DT228" s="52"/>
      <c r="DU228" s="52"/>
      <c r="DV228" s="52"/>
      <c r="DW228" s="52"/>
      <c r="DX228" s="52"/>
      <c r="DY228" s="52"/>
      <c r="DZ228" s="52"/>
      <c r="EA228" s="52"/>
      <c r="EB228" s="52"/>
      <c r="EC228" s="52"/>
      <c r="ED228" s="52"/>
      <c r="EE228" s="52"/>
      <c r="EF228" s="52"/>
      <c r="EG228" s="52"/>
      <c r="EH228" s="52"/>
      <c r="EI228" s="52"/>
      <c r="EJ228" s="52"/>
      <c r="EK228" s="52"/>
      <c r="EL228" s="52"/>
      <c r="EM228" s="52"/>
      <c r="EN228" s="52"/>
      <c r="EO228" s="52"/>
      <c r="EP228" s="52"/>
      <c r="EQ228" s="52"/>
      <c r="ER228" s="52"/>
      <c r="ES228" s="52"/>
      <c r="ET228" s="52"/>
      <c r="EU228" s="52"/>
      <c r="EV228" s="52"/>
      <c r="EW228" s="52"/>
      <c r="EX228" s="52"/>
      <c r="EY228" s="52"/>
      <c r="EZ228" s="52"/>
      <c r="FA228" s="52"/>
      <c r="FB228" s="52"/>
      <c r="FC228" s="52"/>
      <c r="FD228" s="52"/>
      <c r="FE228" s="52"/>
      <c r="FF228" s="52"/>
      <c r="FG228" s="13"/>
    </row>
    <row r="229" spans="1:163">
      <c r="A229" s="71"/>
      <c r="B229" s="70"/>
      <c r="C229" s="72"/>
      <c r="D229" s="73"/>
      <c r="E229" s="73"/>
      <c r="F229" s="73"/>
      <c r="G229" s="73"/>
      <c r="H229" s="73"/>
      <c r="I229" s="74"/>
      <c r="J229" s="74"/>
      <c r="K229" s="74"/>
      <c r="L229" s="73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0"/>
      <c r="Z229" s="12">
        <f t="shared" si="83"/>
        <v>0</v>
      </c>
      <c r="AA229" s="14">
        <f t="shared" si="81"/>
        <v>0</v>
      </c>
      <c r="AB229" s="6">
        <f t="shared" si="84"/>
        <v>0</v>
      </c>
      <c r="AC229" s="6">
        <f t="shared" si="85"/>
        <v>0</v>
      </c>
      <c r="AD229" s="6">
        <f t="shared" si="86"/>
        <v>0</v>
      </c>
      <c r="AE229" s="52" t="str">
        <f t="shared" si="87"/>
        <v/>
      </c>
      <c r="AF229" s="52" t="str">
        <f t="shared" si="88"/>
        <v/>
      </c>
      <c r="AG229" s="50" t="str">
        <f t="shared" si="89"/>
        <v/>
      </c>
      <c r="AH229" s="50" t="str">
        <f t="shared" si="90"/>
        <v/>
      </c>
      <c r="AI229" s="52" t="str">
        <f t="shared" si="91"/>
        <v/>
      </c>
      <c r="AJ229" s="52" t="str">
        <f t="shared" si="92"/>
        <v/>
      </c>
      <c r="AK229" s="52" t="str">
        <f t="shared" si="93"/>
        <v/>
      </c>
      <c r="AL229" s="52" t="str">
        <f t="shared" si="94"/>
        <v/>
      </c>
      <c r="AM229" s="52" t="str">
        <f t="shared" si="95"/>
        <v/>
      </c>
      <c r="AN229" s="52" t="str">
        <f t="shared" si="96"/>
        <v/>
      </c>
      <c r="AO229" s="52" t="str">
        <f t="shared" si="97"/>
        <v/>
      </c>
      <c r="AP229" s="52" t="str">
        <f t="shared" si="98"/>
        <v/>
      </c>
      <c r="AQ229" s="52" t="str">
        <f t="shared" si="99"/>
        <v/>
      </c>
      <c r="AR229" s="52" t="str">
        <f t="shared" si="100"/>
        <v/>
      </c>
      <c r="AS229" s="52" t="str">
        <f t="shared" si="101"/>
        <v/>
      </c>
      <c r="AT229" s="52" t="str">
        <f t="shared" si="102"/>
        <v/>
      </c>
      <c r="AU229" s="52" t="str">
        <f t="shared" si="103"/>
        <v/>
      </c>
      <c r="AV229" s="52" t="str">
        <f t="shared" si="104"/>
        <v/>
      </c>
      <c r="AW229" s="52" t="str">
        <f t="shared" si="105"/>
        <v/>
      </c>
      <c r="AX229" s="52" t="str">
        <f t="shared" si="82"/>
        <v/>
      </c>
      <c r="AY229" s="52" t="str">
        <f t="shared" si="106"/>
        <v/>
      </c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2"/>
      <c r="CI229" s="52"/>
      <c r="CJ229" s="52"/>
      <c r="CK229" s="52"/>
      <c r="CL229" s="52"/>
      <c r="CM229" s="52"/>
      <c r="CN229" s="52"/>
      <c r="CO229" s="52"/>
      <c r="CP229" s="52"/>
      <c r="CQ229" s="52"/>
      <c r="CR229" s="52"/>
      <c r="CS229" s="52"/>
      <c r="CT229" s="52"/>
      <c r="CU229" s="52"/>
      <c r="CV229" s="52"/>
      <c r="CW229" s="52"/>
      <c r="CX229" s="52"/>
      <c r="CY229" s="52"/>
      <c r="CZ229" s="52"/>
      <c r="DA229" s="52"/>
      <c r="DB229" s="52"/>
      <c r="DC229" s="52"/>
      <c r="DD229" s="52"/>
      <c r="DE229" s="52"/>
      <c r="DF229" s="52"/>
      <c r="DG229" s="52"/>
      <c r="DH229" s="52"/>
      <c r="DI229" s="52"/>
      <c r="DJ229" s="52"/>
      <c r="DK229" s="52"/>
      <c r="DL229" s="52"/>
      <c r="DM229" s="52"/>
      <c r="DN229" s="52"/>
      <c r="DO229" s="52"/>
      <c r="DP229" s="52"/>
      <c r="DQ229" s="52"/>
      <c r="DR229" s="52"/>
      <c r="DS229" s="52"/>
      <c r="DT229" s="52"/>
      <c r="DU229" s="52"/>
      <c r="DV229" s="52"/>
      <c r="DW229" s="52"/>
      <c r="DX229" s="52"/>
      <c r="DY229" s="52"/>
      <c r="DZ229" s="52"/>
      <c r="EA229" s="52"/>
      <c r="EB229" s="52"/>
      <c r="EC229" s="52"/>
      <c r="ED229" s="52"/>
      <c r="EE229" s="52"/>
      <c r="EF229" s="52"/>
      <c r="EG229" s="52"/>
      <c r="EH229" s="52"/>
      <c r="EI229" s="52"/>
      <c r="EJ229" s="52"/>
      <c r="EK229" s="52"/>
      <c r="EL229" s="52"/>
      <c r="EM229" s="52"/>
      <c r="EN229" s="52"/>
      <c r="EO229" s="52"/>
      <c r="EP229" s="52"/>
      <c r="EQ229" s="52"/>
      <c r="ER229" s="52"/>
      <c r="ES229" s="52"/>
      <c r="ET229" s="52"/>
      <c r="EU229" s="52"/>
      <c r="EV229" s="52"/>
      <c r="EW229" s="52"/>
      <c r="EX229" s="52"/>
      <c r="EY229" s="52"/>
      <c r="EZ229" s="52"/>
      <c r="FA229" s="52"/>
      <c r="FB229" s="52"/>
      <c r="FC229" s="52"/>
      <c r="FD229" s="52"/>
      <c r="FE229" s="52"/>
      <c r="FF229" s="52"/>
      <c r="FG229" s="13"/>
    </row>
    <row r="230" spans="1:163">
      <c r="A230" s="71"/>
      <c r="B230" s="70"/>
      <c r="C230" s="72"/>
      <c r="D230" s="73"/>
      <c r="E230" s="73"/>
      <c r="F230" s="73"/>
      <c r="G230" s="73"/>
      <c r="H230" s="73"/>
      <c r="I230" s="74"/>
      <c r="J230" s="74"/>
      <c r="K230" s="74"/>
      <c r="L230" s="73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0"/>
      <c r="Z230" s="12">
        <f t="shared" si="83"/>
        <v>0</v>
      </c>
      <c r="AA230" s="14">
        <f t="shared" si="81"/>
        <v>0</v>
      </c>
      <c r="AB230" s="6">
        <f t="shared" si="84"/>
        <v>0</v>
      </c>
      <c r="AC230" s="6">
        <f t="shared" si="85"/>
        <v>0</v>
      </c>
      <c r="AD230" s="6">
        <f t="shared" si="86"/>
        <v>0</v>
      </c>
      <c r="AE230" s="52" t="str">
        <f t="shared" si="87"/>
        <v/>
      </c>
      <c r="AF230" s="52" t="str">
        <f t="shared" si="88"/>
        <v/>
      </c>
      <c r="AG230" s="50" t="str">
        <f t="shared" si="89"/>
        <v/>
      </c>
      <c r="AH230" s="50" t="str">
        <f t="shared" si="90"/>
        <v/>
      </c>
      <c r="AI230" s="52" t="str">
        <f t="shared" si="91"/>
        <v/>
      </c>
      <c r="AJ230" s="52" t="str">
        <f t="shared" si="92"/>
        <v/>
      </c>
      <c r="AK230" s="52" t="str">
        <f t="shared" si="93"/>
        <v/>
      </c>
      <c r="AL230" s="52" t="str">
        <f t="shared" si="94"/>
        <v/>
      </c>
      <c r="AM230" s="52" t="str">
        <f t="shared" si="95"/>
        <v/>
      </c>
      <c r="AN230" s="52" t="str">
        <f t="shared" si="96"/>
        <v/>
      </c>
      <c r="AO230" s="52" t="str">
        <f t="shared" si="97"/>
        <v/>
      </c>
      <c r="AP230" s="52" t="str">
        <f t="shared" si="98"/>
        <v/>
      </c>
      <c r="AQ230" s="52" t="str">
        <f t="shared" si="99"/>
        <v/>
      </c>
      <c r="AR230" s="52" t="str">
        <f t="shared" si="100"/>
        <v/>
      </c>
      <c r="AS230" s="52" t="str">
        <f t="shared" si="101"/>
        <v/>
      </c>
      <c r="AT230" s="52" t="str">
        <f t="shared" si="102"/>
        <v/>
      </c>
      <c r="AU230" s="52" t="str">
        <f t="shared" si="103"/>
        <v/>
      </c>
      <c r="AV230" s="52" t="str">
        <f t="shared" si="104"/>
        <v/>
      </c>
      <c r="AW230" s="52" t="str">
        <f t="shared" si="105"/>
        <v/>
      </c>
      <c r="AX230" s="52" t="str">
        <f t="shared" si="82"/>
        <v/>
      </c>
      <c r="AY230" s="52" t="str">
        <f t="shared" si="106"/>
        <v/>
      </c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2"/>
      <c r="BN230" s="52"/>
      <c r="BO230" s="52"/>
      <c r="BP230" s="52"/>
      <c r="BQ230" s="52"/>
      <c r="BR230" s="52"/>
      <c r="BS230" s="52"/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2"/>
      <c r="CI230" s="52"/>
      <c r="CJ230" s="52"/>
      <c r="CK230" s="52"/>
      <c r="CL230" s="52"/>
      <c r="CM230" s="52"/>
      <c r="CN230" s="52"/>
      <c r="CO230" s="52"/>
      <c r="CP230" s="52"/>
      <c r="CQ230" s="52"/>
      <c r="CR230" s="52"/>
      <c r="CS230" s="52"/>
      <c r="CT230" s="52"/>
      <c r="CU230" s="52"/>
      <c r="CV230" s="52"/>
      <c r="CW230" s="52"/>
      <c r="CX230" s="52"/>
      <c r="CY230" s="52"/>
      <c r="CZ230" s="52"/>
      <c r="DA230" s="52"/>
      <c r="DB230" s="52"/>
      <c r="DC230" s="52"/>
      <c r="DD230" s="52"/>
      <c r="DE230" s="52"/>
      <c r="DF230" s="52"/>
      <c r="DG230" s="52"/>
      <c r="DH230" s="52"/>
      <c r="DI230" s="52"/>
      <c r="DJ230" s="52"/>
      <c r="DK230" s="52"/>
      <c r="DL230" s="52"/>
      <c r="DM230" s="52"/>
      <c r="DN230" s="52"/>
      <c r="DO230" s="52"/>
      <c r="DP230" s="52"/>
      <c r="DQ230" s="52"/>
      <c r="DR230" s="52"/>
      <c r="DS230" s="52"/>
      <c r="DT230" s="52"/>
      <c r="DU230" s="52"/>
      <c r="DV230" s="52"/>
      <c r="DW230" s="52"/>
      <c r="DX230" s="52"/>
      <c r="DY230" s="52"/>
      <c r="DZ230" s="52"/>
      <c r="EA230" s="52"/>
      <c r="EB230" s="52"/>
      <c r="EC230" s="52"/>
      <c r="ED230" s="52"/>
      <c r="EE230" s="52"/>
      <c r="EF230" s="52"/>
      <c r="EG230" s="52"/>
      <c r="EH230" s="52"/>
      <c r="EI230" s="52"/>
      <c r="EJ230" s="52"/>
      <c r="EK230" s="52"/>
      <c r="EL230" s="52"/>
      <c r="EM230" s="52"/>
      <c r="EN230" s="52"/>
      <c r="EO230" s="52"/>
      <c r="EP230" s="52"/>
      <c r="EQ230" s="52"/>
      <c r="ER230" s="52"/>
      <c r="ES230" s="52"/>
      <c r="ET230" s="52"/>
      <c r="EU230" s="52"/>
      <c r="EV230" s="52"/>
      <c r="EW230" s="52"/>
      <c r="EX230" s="52"/>
      <c r="EY230" s="52"/>
      <c r="EZ230" s="52"/>
      <c r="FA230" s="52"/>
      <c r="FB230" s="52"/>
      <c r="FC230" s="52"/>
      <c r="FD230" s="52"/>
      <c r="FE230" s="52"/>
      <c r="FF230" s="52"/>
      <c r="FG230" s="13"/>
    </row>
    <row r="231" spans="1:163">
      <c r="A231" s="71"/>
      <c r="B231" s="70"/>
      <c r="C231" s="72"/>
      <c r="D231" s="73"/>
      <c r="E231" s="73"/>
      <c r="F231" s="73"/>
      <c r="G231" s="73"/>
      <c r="H231" s="73"/>
      <c r="I231" s="74"/>
      <c r="J231" s="74"/>
      <c r="K231" s="74"/>
      <c r="L231" s="73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0"/>
      <c r="Z231" s="12">
        <f t="shared" si="83"/>
        <v>0</v>
      </c>
      <c r="AA231" s="14">
        <f t="shared" si="81"/>
        <v>0</v>
      </c>
      <c r="AB231" s="6">
        <f t="shared" si="84"/>
        <v>0</v>
      </c>
      <c r="AC231" s="6">
        <f t="shared" si="85"/>
        <v>0</v>
      </c>
      <c r="AD231" s="6">
        <f t="shared" si="86"/>
        <v>0</v>
      </c>
      <c r="AE231" s="52" t="str">
        <f t="shared" si="87"/>
        <v/>
      </c>
      <c r="AF231" s="52" t="str">
        <f t="shared" si="88"/>
        <v/>
      </c>
      <c r="AG231" s="50" t="str">
        <f t="shared" si="89"/>
        <v/>
      </c>
      <c r="AH231" s="50" t="str">
        <f t="shared" si="90"/>
        <v/>
      </c>
      <c r="AI231" s="52" t="str">
        <f t="shared" si="91"/>
        <v/>
      </c>
      <c r="AJ231" s="52" t="str">
        <f t="shared" si="92"/>
        <v/>
      </c>
      <c r="AK231" s="52" t="str">
        <f t="shared" si="93"/>
        <v/>
      </c>
      <c r="AL231" s="52" t="str">
        <f t="shared" si="94"/>
        <v/>
      </c>
      <c r="AM231" s="52" t="str">
        <f t="shared" si="95"/>
        <v/>
      </c>
      <c r="AN231" s="52" t="str">
        <f t="shared" si="96"/>
        <v/>
      </c>
      <c r="AO231" s="52" t="str">
        <f t="shared" si="97"/>
        <v/>
      </c>
      <c r="AP231" s="52" t="str">
        <f t="shared" si="98"/>
        <v/>
      </c>
      <c r="AQ231" s="52" t="str">
        <f t="shared" si="99"/>
        <v/>
      </c>
      <c r="AR231" s="52" t="str">
        <f t="shared" si="100"/>
        <v/>
      </c>
      <c r="AS231" s="52" t="str">
        <f t="shared" si="101"/>
        <v/>
      </c>
      <c r="AT231" s="52" t="str">
        <f t="shared" si="102"/>
        <v/>
      </c>
      <c r="AU231" s="52" t="str">
        <f t="shared" si="103"/>
        <v/>
      </c>
      <c r="AV231" s="52" t="str">
        <f t="shared" si="104"/>
        <v/>
      </c>
      <c r="AW231" s="52" t="str">
        <f t="shared" si="105"/>
        <v/>
      </c>
      <c r="AX231" s="52" t="str">
        <f t="shared" si="82"/>
        <v/>
      </c>
      <c r="AY231" s="52" t="str">
        <f t="shared" si="106"/>
        <v/>
      </c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  <c r="BM231" s="52"/>
      <c r="BN231" s="52"/>
      <c r="BO231" s="52"/>
      <c r="BP231" s="52"/>
      <c r="BQ231" s="52"/>
      <c r="BR231" s="52"/>
      <c r="BS231" s="52"/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2"/>
      <c r="CI231" s="52"/>
      <c r="CJ231" s="52"/>
      <c r="CK231" s="52"/>
      <c r="CL231" s="52"/>
      <c r="CM231" s="52"/>
      <c r="CN231" s="52"/>
      <c r="CO231" s="52"/>
      <c r="CP231" s="52"/>
      <c r="CQ231" s="52"/>
      <c r="CR231" s="52"/>
      <c r="CS231" s="52"/>
      <c r="CT231" s="52"/>
      <c r="CU231" s="52"/>
      <c r="CV231" s="52"/>
      <c r="CW231" s="52"/>
      <c r="CX231" s="52"/>
      <c r="CY231" s="52"/>
      <c r="CZ231" s="52"/>
      <c r="DA231" s="52"/>
      <c r="DB231" s="52"/>
      <c r="DC231" s="52"/>
      <c r="DD231" s="52"/>
      <c r="DE231" s="52"/>
      <c r="DF231" s="52"/>
      <c r="DG231" s="52"/>
      <c r="DH231" s="52"/>
      <c r="DI231" s="52"/>
      <c r="DJ231" s="52"/>
      <c r="DK231" s="52"/>
      <c r="DL231" s="52"/>
      <c r="DM231" s="52"/>
      <c r="DN231" s="52"/>
      <c r="DO231" s="52"/>
      <c r="DP231" s="52"/>
      <c r="DQ231" s="52"/>
      <c r="DR231" s="52"/>
      <c r="DS231" s="52"/>
      <c r="DT231" s="52"/>
      <c r="DU231" s="52"/>
      <c r="DV231" s="52"/>
      <c r="DW231" s="52"/>
      <c r="DX231" s="52"/>
      <c r="DY231" s="52"/>
      <c r="DZ231" s="52"/>
      <c r="EA231" s="52"/>
      <c r="EB231" s="52"/>
      <c r="EC231" s="52"/>
      <c r="ED231" s="52"/>
      <c r="EE231" s="52"/>
      <c r="EF231" s="52"/>
      <c r="EG231" s="52"/>
      <c r="EH231" s="52"/>
      <c r="EI231" s="52"/>
      <c r="EJ231" s="52"/>
      <c r="EK231" s="52"/>
      <c r="EL231" s="52"/>
      <c r="EM231" s="52"/>
      <c r="EN231" s="52"/>
      <c r="EO231" s="52"/>
      <c r="EP231" s="52"/>
      <c r="EQ231" s="52"/>
      <c r="ER231" s="52"/>
      <c r="ES231" s="52"/>
      <c r="ET231" s="52"/>
      <c r="EU231" s="52"/>
      <c r="EV231" s="52"/>
      <c r="EW231" s="52"/>
      <c r="EX231" s="52"/>
      <c r="EY231" s="52"/>
      <c r="EZ231" s="52"/>
      <c r="FA231" s="52"/>
      <c r="FB231" s="52"/>
      <c r="FC231" s="52"/>
      <c r="FD231" s="52"/>
      <c r="FE231" s="52"/>
      <c r="FF231" s="52"/>
      <c r="FG231" s="13"/>
    </row>
    <row r="232" spans="1:163">
      <c r="A232" s="71"/>
      <c r="B232" s="70"/>
      <c r="C232" s="72"/>
      <c r="D232" s="73"/>
      <c r="E232" s="73"/>
      <c r="F232" s="73"/>
      <c r="G232" s="73"/>
      <c r="H232" s="73"/>
      <c r="I232" s="74"/>
      <c r="J232" s="74"/>
      <c r="K232" s="74"/>
      <c r="L232" s="73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0"/>
      <c r="Z232" s="12">
        <f t="shared" si="83"/>
        <v>0</v>
      </c>
      <c r="AA232" s="14">
        <f t="shared" si="81"/>
        <v>0</v>
      </c>
      <c r="AB232" s="6">
        <f t="shared" si="84"/>
        <v>0</v>
      </c>
      <c r="AC232" s="6">
        <f t="shared" si="85"/>
        <v>0</v>
      </c>
      <c r="AD232" s="6">
        <f t="shared" si="86"/>
        <v>0</v>
      </c>
      <c r="AE232" s="52" t="str">
        <f t="shared" si="87"/>
        <v/>
      </c>
      <c r="AF232" s="52" t="str">
        <f t="shared" si="88"/>
        <v/>
      </c>
      <c r="AG232" s="50" t="str">
        <f t="shared" si="89"/>
        <v/>
      </c>
      <c r="AH232" s="50" t="str">
        <f t="shared" si="90"/>
        <v/>
      </c>
      <c r="AI232" s="52" t="str">
        <f t="shared" si="91"/>
        <v/>
      </c>
      <c r="AJ232" s="52" t="str">
        <f t="shared" si="92"/>
        <v/>
      </c>
      <c r="AK232" s="52" t="str">
        <f t="shared" si="93"/>
        <v/>
      </c>
      <c r="AL232" s="52" t="str">
        <f t="shared" si="94"/>
        <v/>
      </c>
      <c r="AM232" s="52" t="str">
        <f t="shared" si="95"/>
        <v/>
      </c>
      <c r="AN232" s="52" t="str">
        <f t="shared" si="96"/>
        <v/>
      </c>
      <c r="AO232" s="52" t="str">
        <f t="shared" si="97"/>
        <v/>
      </c>
      <c r="AP232" s="52" t="str">
        <f t="shared" si="98"/>
        <v/>
      </c>
      <c r="AQ232" s="52" t="str">
        <f t="shared" si="99"/>
        <v/>
      </c>
      <c r="AR232" s="52" t="str">
        <f t="shared" si="100"/>
        <v/>
      </c>
      <c r="AS232" s="52" t="str">
        <f t="shared" si="101"/>
        <v/>
      </c>
      <c r="AT232" s="52" t="str">
        <f t="shared" si="102"/>
        <v/>
      </c>
      <c r="AU232" s="52" t="str">
        <f t="shared" si="103"/>
        <v/>
      </c>
      <c r="AV232" s="52" t="str">
        <f t="shared" si="104"/>
        <v/>
      </c>
      <c r="AW232" s="52" t="str">
        <f t="shared" si="105"/>
        <v/>
      </c>
      <c r="AX232" s="52" t="str">
        <f t="shared" si="82"/>
        <v/>
      </c>
      <c r="AY232" s="52" t="str">
        <f t="shared" si="106"/>
        <v/>
      </c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  <c r="BM232" s="52"/>
      <c r="BN232" s="52"/>
      <c r="BO232" s="52"/>
      <c r="BP232" s="52"/>
      <c r="BQ232" s="52"/>
      <c r="BR232" s="52"/>
      <c r="BS232" s="52"/>
      <c r="BT232" s="52"/>
      <c r="BU232" s="52"/>
      <c r="BV232" s="52"/>
      <c r="BW232" s="52"/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2"/>
      <c r="CI232" s="52"/>
      <c r="CJ232" s="52"/>
      <c r="CK232" s="52"/>
      <c r="CL232" s="52"/>
      <c r="CM232" s="52"/>
      <c r="CN232" s="52"/>
      <c r="CO232" s="52"/>
      <c r="CP232" s="52"/>
      <c r="CQ232" s="52"/>
      <c r="CR232" s="52"/>
      <c r="CS232" s="52"/>
      <c r="CT232" s="52"/>
      <c r="CU232" s="52"/>
      <c r="CV232" s="52"/>
      <c r="CW232" s="52"/>
      <c r="CX232" s="52"/>
      <c r="CY232" s="52"/>
      <c r="CZ232" s="52"/>
      <c r="DA232" s="52"/>
      <c r="DB232" s="52"/>
      <c r="DC232" s="52"/>
      <c r="DD232" s="52"/>
      <c r="DE232" s="52"/>
      <c r="DF232" s="52"/>
      <c r="DG232" s="52"/>
      <c r="DH232" s="52"/>
      <c r="DI232" s="52"/>
      <c r="DJ232" s="52"/>
      <c r="DK232" s="52"/>
      <c r="DL232" s="52"/>
      <c r="DM232" s="52"/>
      <c r="DN232" s="52"/>
      <c r="DO232" s="52"/>
      <c r="DP232" s="52"/>
      <c r="DQ232" s="52"/>
      <c r="DR232" s="52"/>
      <c r="DS232" s="52"/>
      <c r="DT232" s="52"/>
      <c r="DU232" s="52"/>
      <c r="DV232" s="52"/>
      <c r="DW232" s="52"/>
      <c r="DX232" s="52"/>
      <c r="DY232" s="52"/>
      <c r="DZ232" s="52"/>
      <c r="EA232" s="52"/>
      <c r="EB232" s="52"/>
      <c r="EC232" s="52"/>
      <c r="ED232" s="52"/>
      <c r="EE232" s="52"/>
      <c r="EF232" s="52"/>
      <c r="EG232" s="52"/>
      <c r="EH232" s="52"/>
      <c r="EI232" s="52"/>
      <c r="EJ232" s="52"/>
      <c r="EK232" s="52"/>
      <c r="EL232" s="52"/>
      <c r="EM232" s="52"/>
      <c r="EN232" s="52"/>
      <c r="EO232" s="52"/>
      <c r="EP232" s="52"/>
      <c r="EQ232" s="52"/>
      <c r="ER232" s="52"/>
      <c r="ES232" s="52"/>
      <c r="ET232" s="52"/>
      <c r="EU232" s="52"/>
      <c r="EV232" s="52"/>
      <c r="EW232" s="52"/>
      <c r="EX232" s="52"/>
      <c r="EY232" s="52"/>
      <c r="EZ232" s="52"/>
      <c r="FA232" s="52"/>
      <c r="FB232" s="52"/>
      <c r="FC232" s="52"/>
      <c r="FD232" s="52"/>
      <c r="FE232" s="52"/>
      <c r="FF232" s="52"/>
      <c r="FG232" s="13"/>
    </row>
    <row r="233" spans="1:163">
      <c r="A233" s="71"/>
      <c r="B233" s="70"/>
      <c r="C233" s="72"/>
      <c r="D233" s="73"/>
      <c r="E233" s="73"/>
      <c r="F233" s="73"/>
      <c r="G233" s="73"/>
      <c r="H233" s="73"/>
      <c r="I233" s="74"/>
      <c r="J233" s="74"/>
      <c r="K233" s="74"/>
      <c r="L233" s="73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0"/>
      <c r="Z233" s="12">
        <f t="shared" si="83"/>
        <v>0</v>
      </c>
      <c r="AA233" s="14">
        <f t="shared" si="81"/>
        <v>0</v>
      </c>
      <c r="AB233" s="6">
        <f t="shared" si="84"/>
        <v>0</v>
      </c>
      <c r="AC233" s="6">
        <f t="shared" si="85"/>
        <v>0</v>
      </c>
      <c r="AD233" s="6">
        <f t="shared" si="86"/>
        <v>0</v>
      </c>
      <c r="AE233" s="52" t="str">
        <f t="shared" si="87"/>
        <v/>
      </c>
      <c r="AF233" s="52" t="str">
        <f t="shared" si="88"/>
        <v/>
      </c>
      <c r="AG233" s="50" t="str">
        <f t="shared" si="89"/>
        <v/>
      </c>
      <c r="AH233" s="50" t="str">
        <f t="shared" si="90"/>
        <v/>
      </c>
      <c r="AI233" s="52" t="str">
        <f t="shared" si="91"/>
        <v/>
      </c>
      <c r="AJ233" s="52" t="str">
        <f t="shared" si="92"/>
        <v/>
      </c>
      <c r="AK233" s="52" t="str">
        <f t="shared" si="93"/>
        <v/>
      </c>
      <c r="AL233" s="52" t="str">
        <f t="shared" si="94"/>
        <v/>
      </c>
      <c r="AM233" s="52" t="str">
        <f t="shared" si="95"/>
        <v/>
      </c>
      <c r="AN233" s="52" t="str">
        <f t="shared" si="96"/>
        <v/>
      </c>
      <c r="AO233" s="52" t="str">
        <f t="shared" si="97"/>
        <v/>
      </c>
      <c r="AP233" s="52" t="str">
        <f t="shared" si="98"/>
        <v/>
      </c>
      <c r="AQ233" s="52" t="str">
        <f t="shared" si="99"/>
        <v/>
      </c>
      <c r="AR233" s="52" t="str">
        <f t="shared" si="100"/>
        <v/>
      </c>
      <c r="AS233" s="52" t="str">
        <f t="shared" si="101"/>
        <v/>
      </c>
      <c r="AT233" s="52" t="str">
        <f t="shared" si="102"/>
        <v/>
      </c>
      <c r="AU233" s="52" t="str">
        <f t="shared" si="103"/>
        <v/>
      </c>
      <c r="AV233" s="52" t="str">
        <f t="shared" si="104"/>
        <v/>
      </c>
      <c r="AW233" s="52" t="str">
        <f t="shared" si="105"/>
        <v/>
      </c>
      <c r="AX233" s="52" t="str">
        <f t="shared" si="82"/>
        <v/>
      </c>
      <c r="AY233" s="52" t="str">
        <f t="shared" si="106"/>
        <v/>
      </c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  <c r="BM233" s="52"/>
      <c r="BN233" s="52"/>
      <c r="BO233" s="52"/>
      <c r="BP233" s="52"/>
      <c r="BQ233" s="52"/>
      <c r="BR233" s="52"/>
      <c r="BS233" s="52"/>
      <c r="BT233" s="52"/>
      <c r="BU233" s="52"/>
      <c r="BV233" s="52"/>
      <c r="BW233" s="52"/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2"/>
      <c r="CI233" s="52"/>
      <c r="CJ233" s="52"/>
      <c r="CK233" s="52"/>
      <c r="CL233" s="52"/>
      <c r="CM233" s="52"/>
      <c r="CN233" s="52"/>
      <c r="CO233" s="52"/>
      <c r="CP233" s="52"/>
      <c r="CQ233" s="52"/>
      <c r="CR233" s="52"/>
      <c r="CS233" s="52"/>
      <c r="CT233" s="52"/>
      <c r="CU233" s="52"/>
      <c r="CV233" s="52"/>
      <c r="CW233" s="52"/>
      <c r="CX233" s="52"/>
      <c r="CY233" s="52"/>
      <c r="CZ233" s="52"/>
      <c r="DA233" s="52"/>
      <c r="DB233" s="52"/>
      <c r="DC233" s="52"/>
      <c r="DD233" s="52"/>
      <c r="DE233" s="52"/>
      <c r="DF233" s="52"/>
      <c r="DG233" s="52"/>
      <c r="DH233" s="52"/>
      <c r="DI233" s="52"/>
      <c r="DJ233" s="52"/>
      <c r="DK233" s="52"/>
      <c r="DL233" s="52"/>
      <c r="DM233" s="52"/>
      <c r="DN233" s="52"/>
      <c r="DO233" s="52"/>
      <c r="DP233" s="52"/>
      <c r="DQ233" s="52"/>
      <c r="DR233" s="52"/>
      <c r="DS233" s="52"/>
      <c r="DT233" s="52"/>
      <c r="DU233" s="52"/>
      <c r="DV233" s="52"/>
      <c r="DW233" s="52"/>
      <c r="DX233" s="52"/>
      <c r="DY233" s="52"/>
      <c r="DZ233" s="52"/>
      <c r="EA233" s="52"/>
      <c r="EB233" s="52"/>
      <c r="EC233" s="52"/>
      <c r="ED233" s="52"/>
      <c r="EE233" s="52"/>
      <c r="EF233" s="52"/>
      <c r="EG233" s="52"/>
      <c r="EH233" s="52"/>
      <c r="EI233" s="52"/>
      <c r="EJ233" s="52"/>
      <c r="EK233" s="52"/>
      <c r="EL233" s="52"/>
      <c r="EM233" s="52"/>
      <c r="EN233" s="52"/>
      <c r="EO233" s="52"/>
      <c r="EP233" s="52"/>
      <c r="EQ233" s="52"/>
      <c r="ER233" s="52"/>
      <c r="ES233" s="52"/>
      <c r="ET233" s="52"/>
      <c r="EU233" s="52"/>
      <c r="EV233" s="52"/>
      <c r="EW233" s="52"/>
      <c r="EX233" s="52"/>
      <c r="EY233" s="52"/>
      <c r="EZ233" s="52"/>
      <c r="FA233" s="52"/>
      <c r="FB233" s="52"/>
      <c r="FC233" s="52"/>
      <c r="FD233" s="52"/>
      <c r="FE233" s="52"/>
      <c r="FF233" s="52"/>
      <c r="FG233" s="13"/>
    </row>
    <row r="234" spans="1:163">
      <c r="A234" s="71"/>
      <c r="B234" s="70"/>
      <c r="C234" s="72"/>
      <c r="D234" s="73"/>
      <c r="E234" s="73"/>
      <c r="F234" s="73"/>
      <c r="G234" s="73"/>
      <c r="H234" s="73"/>
      <c r="I234" s="74"/>
      <c r="J234" s="74"/>
      <c r="K234" s="74"/>
      <c r="L234" s="73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0"/>
      <c r="Z234" s="12">
        <f t="shared" si="83"/>
        <v>0</v>
      </c>
      <c r="AA234" s="14">
        <f t="shared" si="81"/>
        <v>0</v>
      </c>
      <c r="AB234" s="6">
        <f t="shared" si="84"/>
        <v>0</v>
      </c>
      <c r="AC234" s="6">
        <f t="shared" si="85"/>
        <v>0</v>
      </c>
      <c r="AD234" s="6">
        <f t="shared" si="86"/>
        <v>0</v>
      </c>
      <c r="AE234" s="52" t="str">
        <f t="shared" si="87"/>
        <v/>
      </c>
      <c r="AF234" s="52" t="str">
        <f t="shared" si="88"/>
        <v/>
      </c>
      <c r="AG234" s="50" t="str">
        <f t="shared" si="89"/>
        <v/>
      </c>
      <c r="AH234" s="50" t="str">
        <f t="shared" si="90"/>
        <v/>
      </c>
      <c r="AI234" s="52" t="str">
        <f t="shared" si="91"/>
        <v/>
      </c>
      <c r="AJ234" s="52" t="str">
        <f t="shared" si="92"/>
        <v/>
      </c>
      <c r="AK234" s="52" t="str">
        <f t="shared" si="93"/>
        <v/>
      </c>
      <c r="AL234" s="52" t="str">
        <f t="shared" si="94"/>
        <v/>
      </c>
      <c r="AM234" s="52" t="str">
        <f t="shared" si="95"/>
        <v/>
      </c>
      <c r="AN234" s="52" t="str">
        <f t="shared" si="96"/>
        <v/>
      </c>
      <c r="AO234" s="52" t="str">
        <f t="shared" si="97"/>
        <v/>
      </c>
      <c r="AP234" s="52" t="str">
        <f t="shared" si="98"/>
        <v/>
      </c>
      <c r="AQ234" s="52" t="str">
        <f t="shared" si="99"/>
        <v/>
      </c>
      <c r="AR234" s="52" t="str">
        <f t="shared" si="100"/>
        <v/>
      </c>
      <c r="AS234" s="52" t="str">
        <f t="shared" si="101"/>
        <v/>
      </c>
      <c r="AT234" s="52" t="str">
        <f t="shared" si="102"/>
        <v/>
      </c>
      <c r="AU234" s="52" t="str">
        <f t="shared" si="103"/>
        <v/>
      </c>
      <c r="AV234" s="52" t="str">
        <f t="shared" si="104"/>
        <v/>
      </c>
      <c r="AW234" s="52" t="str">
        <f t="shared" si="105"/>
        <v/>
      </c>
      <c r="AX234" s="52" t="str">
        <f t="shared" si="82"/>
        <v/>
      </c>
      <c r="AY234" s="52" t="str">
        <f t="shared" si="106"/>
        <v/>
      </c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  <c r="BM234" s="52"/>
      <c r="BN234" s="52"/>
      <c r="BO234" s="52"/>
      <c r="BP234" s="52"/>
      <c r="BQ234" s="52"/>
      <c r="BR234" s="52"/>
      <c r="BS234" s="52"/>
      <c r="BT234" s="52"/>
      <c r="BU234" s="52"/>
      <c r="BV234" s="52"/>
      <c r="BW234" s="52"/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2"/>
      <c r="CI234" s="52"/>
      <c r="CJ234" s="52"/>
      <c r="CK234" s="52"/>
      <c r="CL234" s="52"/>
      <c r="CM234" s="52"/>
      <c r="CN234" s="52"/>
      <c r="CO234" s="52"/>
      <c r="CP234" s="52"/>
      <c r="CQ234" s="52"/>
      <c r="CR234" s="52"/>
      <c r="CS234" s="52"/>
      <c r="CT234" s="52"/>
      <c r="CU234" s="52"/>
      <c r="CV234" s="52"/>
      <c r="CW234" s="52"/>
      <c r="CX234" s="52"/>
      <c r="CY234" s="52"/>
      <c r="CZ234" s="52"/>
      <c r="DA234" s="52"/>
      <c r="DB234" s="52"/>
      <c r="DC234" s="52"/>
      <c r="DD234" s="52"/>
      <c r="DE234" s="52"/>
      <c r="DF234" s="52"/>
      <c r="DG234" s="52"/>
      <c r="DH234" s="52"/>
      <c r="DI234" s="52"/>
      <c r="DJ234" s="52"/>
      <c r="DK234" s="52"/>
      <c r="DL234" s="52"/>
      <c r="DM234" s="52"/>
      <c r="DN234" s="52"/>
      <c r="DO234" s="52"/>
      <c r="DP234" s="52"/>
      <c r="DQ234" s="52"/>
      <c r="DR234" s="52"/>
      <c r="DS234" s="52"/>
      <c r="DT234" s="52"/>
      <c r="DU234" s="52"/>
      <c r="DV234" s="52"/>
      <c r="DW234" s="52"/>
      <c r="DX234" s="52"/>
      <c r="DY234" s="52"/>
      <c r="DZ234" s="52"/>
      <c r="EA234" s="52"/>
      <c r="EB234" s="52"/>
      <c r="EC234" s="52"/>
      <c r="ED234" s="52"/>
      <c r="EE234" s="52"/>
      <c r="EF234" s="52"/>
      <c r="EG234" s="52"/>
      <c r="EH234" s="52"/>
      <c r="EI234" s="52"/>
      <c r="EJ234" s="52"/>
      <c r="EK234" s="52"/>
      <c r="EL234" s="52"/>
      <c r="EM234" s="52"/>
      <c r="EN234" s="52"/>
      <c r="EO234" s="52"/>
      <c r="EP234" s="52"/>
      <c r="EQ234" s="52"/>
      <c r="ER234" s="52"/>
      <c r="ES234" s="52"/>
      <c r="ET234" s="52"/>
      <c r="EU234" s="52"/>
      <c r="EV234" s="52"/>
      <c r="EW234" s="52"/>
      <c r="EX234" s="52"/>
      <c r="EY234" s="52"/>
      <c r="EZ234" s="52"/>
      <c r="FA234" s="52"/>
      <c r="FB234" s="52"/>
      <c r="FC234" s="52"/>
      <c r="FD234" s="52"/>
      <c r="FE234" s="52"/>
      <c r="FF234" s="52"/>
      <c r="FG234" s="13"/>
    </row>
    <row r="235" spans="1:163">
      <c r="A235" s="71"/>
      <c r="B235" s="70"/>
      <c r="C235" s="72"/>
      <c r="D235" s="73"/>
      <c r="E235" s="73"/>
      <c r="F235" s="73"/>
      <c r="G235" s="73"/>
      <c r="H235" s="73"/>
      <c r="I235" s="74"/>
      <c r="J235" s="74"/>
      <c r="K235" s="74"/>
      <c r="L235" s="73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0"/>
      <c r="Z235" s="12">
        <f t="shared" si="83"/>
        <v>0</v>
      </c>
      <c r="AA235" s="14">
        <f t="shared" si="81"/>
        <v>0</v>
      </c>
      <c r="AB235" s="6">
        <f t="shared" si="84"/>
        <v>0</v>
      </c>
      <c r="AC235" s="6">
        <f t="shared" si="85"/>
        <v>0</v>
      </c>
      <c r="AD235" s="6">
        <f t="shared" si="86"/>
        <v>0</v>
      </c>
      <c r="AE235" s="52" t="str">
        <f t="shared" si="87"/>
        <v/>
      </c>
      <c r="AF235" s="52" t="str">
        <f t="shared" si="88"/>
        <v/>
      </c>
      <c r="AG235" s="50" t="str">
        <f t="shared" si="89"/>
        <v/>
      </c>
      <c r="AH235" s="50" t="str">
        <f t="shared" si="90"/>
        <v/>
      </c>
      <c r="AI235" s="52" t="str">
        <f t="shared" si="91"/>
        <v/>
      </c>
      <c r="AJ235" s="52" t="str">
        <f t="shared" si="92"/>
        <v/>
      </c>
      <c r="AK235" s="52" t="str">
        <f t="shared" si="93"/>
        <v/>
      </c>
      <c r="AL235" s="52" t="str">
        <f t="shared" si="94"/>
        <v/>
      </c>
      <c r="AM235" s="52" t="str">
        <f t="shared" si="95"/>
        <v/>
      </c>
      <c r="AN235" s="52" t="str">
        <f t="shared" si="96"/>
        <v/>
      </c>
      <c r="AO235" s="52" t="str">
        <f t="shared" si="97"/>
        <v/>
      </c>
      <c r="AP235" s="52" t="str">
        <f t="shared" si="98"/>
        <v/>
      </c>
      <c r="AQ235" s="52" t="str">
        <f t="shared" si="99"/>
        <v/>
      </c>
      <c r="AR235" s="52" t="str">
        <f t="shared" si="100"/>
        <v/>
      </c>
      <c r="AS235" s="52" t="str">
        <f t="shared" si="101"/>
        <v/>
      </c>
      <c r="AT235" s="52" t="str">
        <f t="shared" si="102"/>
        <v/>
      </c>
      <c r="AU235" s="52" t="str">
        <f t="shared" si="103"/>
        <v/>
      </c>
      <c r="AV235" s="52" t="str">
        <f t="shared" si="104"/>
        <v/>
      </c>
      <c r="AW235" s="52" t="str">
        <f t="shared" si="105"/>
        <v/>
      </c>
      <c r="AX235" s="52" t="str">
        <f t="shared" si="82"/>
        <v/>
      </c>
      <c r="AY235" s="52" t="str">
        <f t="shared" si="106"/>
        <v/>
      </c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  <c r="BM235" s="52"/>
      <c r="BN235" s="52"/>
      <c r="BO235" s="52"/>
      <c r="BP235" s="52"/>
      <c r="BQ235" s="52"/>
      <c r="BR235" s="52"/>
      <c r="BS235" s="52"/>
      <c r="BT235" s="52"/>
      <c r="BU235" s="52"/>
      <c r="BV235" s="52"/>
      <c r="BW235" s="52"/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2"/>
      <c r="CI235" s="52"/>
      <c r="CJ235" s="52"/>
      <c r="CK235" s="52"/>
      <c r="CL235" s="52"/>
      <c r="CM235" s="52"/>
      <c r="CN235" s="52"/>
      <c r="CO235" s="52"/>
      <c r="CP235" s="52"/>
      <c r="CQ235" s="52"/>
      <c r="CR235" s="52"/>
      <c r="CS235" s="52"/>
      <c r="CT235" s="52"/>
      <c r="CU235" s="52"/>
      <c r="CV235" s="52"/>
      <c r="CW235" s="52"/>
      <c r="CX235" s="52"/>
      <c r="CY235" s="52"/>
      <c r="CZ235" s="52"/>
      <c r="DA235" s="52"/>
      <c r="DB235" s="52"/>
      <c r="DC235" s="52"/>
      <c r="DD235" s="52"/>
      <c r="DE235" s="52"/>
      <c r="DF235" s="52"/>
      <c r="DG235" s="52"/>
      <c r="DH235" s="52"/>
      <c r="DI235" s="52"/>
      <c r="DJ235" s="52"/>
      <c r="DK235" s="52"/>
      <c r="DL235" s="52"/>
      <c r="DM235" s="52"/>
      <c r="DN235" s="52"/>
      <c r="DO235" s="52"/>
      <c r="DP235" s="52"/>
      <c r="DQ235" s="52"/>
      <c r="DR235" s="52"/>
      <c r="DS235" s="52"/>
      <c r="DT235" s="52"/>
      <c r="DU235" s="52"/>
      <c r="DV235" s="52"/>
      <c r="DW235" s="52"/>
      <c r="DX235" s="52"/>
      <c r="DY235" s="52"/>
      <c r="DZ235" s="52"/>
      <c r="EA235" s="52"/>
      <c r="EB235" s="52"/>
      <c r="EC235" s="52"/>
      <c r="ED235" s="52"/>
      <c r="EE235" s="52"/>
      <c r="EF235" s="52"/>
      <c r="EG235" s="52"/>
      <c r="EH235" s="52"/>
      <c r="EI235" s="52"/>
      <c r="EJ235" s="52"/>
      <c r="EK235" s="52"/>
      <c r="EL235" s="52"/>
      <c r="EM235" s="52"/>
      <c r="EN235" s="52"/>
      <c r="EO235" s="52"/>
      <c r="EP235" s="52"/>
      <c r="EQ235" s="52"/>
      <c r="ER235" s="52"/>
      <c r="ES235" s="52"/>
      <c r="ET235" s="52"/>
      <c r="EU235" s="52"/>
      <c r="EV235" s="52"/>
      <c r="EW235" s="52"/>
      <c r="EX235" s="52"/>
      <c r="EY235" s="52"/>
      <c r="EZ235" s="52"/>
      <c r="FA235" s="52"/>
      <c r="FB235" s="52"/>
      <c r="FC235" s="52"/>
      <c r="FD235" s="52"/>
      <c r="FE235" s="52"/>
      <c r="FF235" s="52"/>
      <c r="FG235" s="13"/>
    </row>
    <row r="236" spans="1:163">
      <c r="A236" s="71"/>
      <c r="B236" s="70"/>
      <c r="C236" s="72"/>
      <c r="D236" s="73"/>
      <c r="E236" s="73"/>
      <c r="F236" s="73"/>
      <c r="G236" s="73"/>
      <c r="H236" s="73"/>
      <c r="I236" s="74"/>
      <c r="J236" s="74"/>
      <c r="K236" s="74"/>
      <c r="L236" s="73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0"/>
      <c r="Z236" s="12">
        <f t="shared" si="83"/>
        <v>0</v>
      </c>
      <c r="AA236" s="14">
        <f t="shared" si="81"/>
        <v>0</v>
      </c>
      <c r="AB236" s="6">
        <f t="shared" si="84"/>
        <v>0</v>
      </c>
      <c r="AC236" s="6">
        <f t="shared" si="85"/>
        <v>0</v>
      </c>
      <c r="AD236" s="6">
        <f t="shared" si="86"/>
        <v>0</v>
      </c>
      <c r="AE236" s="52" t="str">
        <f t="shared" si="87"/>
        <v/>
      </c>
      <c r="AF236" s="52" t="str">
        <f t="shared" si="88"/>
        <v/>
      </c>
      <c r="AG236" s="50" t="str">
        <f t="shared" si="89"/>
        <v/>
      </c>
      <c r="AH236" s="50" t="str">
        <f t="shared" si="90"/>
        <v/>
      </c>
      <c r="AI236" s="52" t="str">
        <f t="shared" si="91"/>
        <v/>
      </c>
      <c r="AJ236" s="52" t="str">
        <f t="shared" si="92"/>
        <v/>
      </c>
      <c r="AK236" s="52" t="str">
        <f t="shared" si="93"/>
        <v/>
      </c>
      <c r="AL236" s="52" t="str">
        <f t="shared" si="94"/>
        <v/>
      </c>
      <c r="AM236" s="52" t="str">
        <f t="shared" si="95"/>
        <v/>
      </c>
      <c r="AN236" s="52" t="str">
        <f t="shared" si="96"/>
        <v/>
      </c>
      <c r="AO236" s="52" t="str">
        <f t="shared" si="97"/>
        <v/>
      </c>
      <c r="AP236" s="52" t="str">
        <f t="shared" si="98"/>
        <v/>
      </c>
      <c r="AQ236" s="52" t="str">
        <f t="shared" si="99"/>
        <v/>
      </c>
      <c r="AR236" s="52" t="str">
        <f t="shared" si="100"/>
        <v/>
      </c>
      <c r="AS236" s="52" t="str">
        <f t="shared" si="101"/>
        <v/>
      </c>
      <c r="AT236" s="52" t="str">
        <f t="shared" si="102"/>
        <v/>
      </c>
      <c r="AU236" s="52" t="str">
        <f t="shared" si="103"/>
        <v/>
      </c>
      <c r="AV236" s="52" t="str">
        <f t="shared" si="104"/>
        <v/>
      </c>
      <c r="AW236" s="52" t="str">
        <f t="shared" si="105"/>
        <v/>
      </c>
      <c r="AX236" s="52" t="str">
        <f t="shared" si="82"/>
        <v/>
      </c>
      <c r="AY236" s="52" t="str">
        <f t="shared" si="106"/>
        <v/>
      </c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2"/>
      <c r="BM236" s="52"/>
      <c r="BN236" s="52"/>
      <c r="BO236" s="52"/>
      <c r="BP236" s="52"/>
      <c r="BQ236" s="52"/>
      <c r="BR236" s="52"/>
      <c r="BS236" s="52"/>
      <c r="BT236" s="52"/>
      <c r="BU236" s="52"/>
      <c r="BV236" s="52"/>
      <c r="BW236" s="52"/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2"/>
      <c r="CI236" s="52"/>
      <c r="CJ236" s="52"/>
      <c r="CK236" s="52"/>
      <c r="CL236" s="52"/>
      <c r="CM236" s="52"/>
      <c r="CN236" s="52"/>
      <c r="CO236" s="52"/>
      <c r="CP236" s="52"/>
      <c r="CQ236" s="52"/>
      <c r="CR236" s="52"/>
      <c r="CS236" s="52"/>
      <c r="CT236" s="52"/>
      <c r="CU236" s="52"/>
      <c r="CV236" s="52"/>
      <c r="CW236" s="52"/>
      <c r="CX236" s="52"/>
      <c r="CY236" s="52"/>
      <c r="CZ236" s="52"/>
      <c r="DA236" s="52"/>
      <c r="DB236" s="52"/>
      <c r="DC236" s="52"/>
      <c r="DD236" s="52"/>
      <c r="DE236" s="52"/>
      <c r="DF236" s="52"/>
      <c r="DG236" s="52"/>
      <c r="DH236" s="52"/>
      <c r="DI236" s="52"/>
      <c r="DJ236" s="52"/>
      <c r="DK236" s="52"/>
      <c r="DL236" s="52"/>
      <c r="DM236" s="52"/>
      <c r="DN236" s="52"/>
      <c r="DO236" s="52"/>
      <c r="DP236" s="52"/>
      <c r="DQ236" s="52"/>
      <c r="DR236" s="52"/>
      <c r="DS236" s="52"/>
      <c r="DT236" s="52"/>
      <c r="DU236" s="52"/>
      <c r="DV236" s="52"/>
      <c r="DW236" s="52"/>
      <c r="DX236" s="52"/>
      <c r="DY236" s="52"/>
      <c r="DZ236" s="52"/>
      <c r="EA236" s="52"/>
      <c r="EB236" s="52"/>
      <c r="EC236" s="52"/>
      <c r="ED236" s="52"/>
      <c r="EE236" s="52"/>
      <c r="EF236" s="52"/>
      <c r="EG236" s="52"/>
      <c r="EH236" s="52"/>
      <c r="EI236" s="52"/>
      <c r="EJ236" s="52"/>
      <c r="EK236" s="52"/>
      <c r="EL236" s="52"/>
      <c r="EM236" s="52"/>
      <c r="EN236" s="52"/>
      <c r="EO236" s="52"/>
      <c r="EP236" s="52"/>
      <c r="EQ236" s="52"/>
      <c r="ER236" s="52"/>
      <c r="ES236" s="52"/>
      <c r="ET236" s="52"/>
      <c r="EU236" s="52"/>
      <c r="EV236" s="52"/>
      <c r="EW236" s="52"/>
      <c r="EX236" s="52"/>
      <c r="EY236" s="52"/>
      <c r="EZ236" s="52"/>
      <c r="FA236" s="52"/>
      <c r="FB236" s="52"/>
      <c r="FC236" s="52"/>
      <c r="FD236" s="52"/>
      <c r="FE236" s="52"/>
      <c r="FF236" s="52"/>
      <c r="FG236" s="13"/>
    </row>
    <row r="237" spans="1:163">
      <c r="A237" s="71"/>
      <c r="B237" s="70"/>
      <c r="C237" s="72"/>
      <c r="D237" s="73"/>
      <c r="E237" s="73"/>
      <c r="F237" s="73"/>
      <c r="G237" s="73"/>
      <c r="H237" s="73"/>
      <c r="I237" s="74"/>
      <c r="J237" s="74"/>
      <c r="K237" s="74"/>
      <c r="L237" s="73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0"/>
      <c r="Z237" s="12">
        <f t="shared" si="83"/>
        <v>0</v>
      </c>
      <c r="AA237" s="14">
        <f t="shared" si="81"/>
        <v>0</v>
      </c>
      <c r="AB237" s="6">
        <f t="shared" si="84"/>
        <v>0</v>
      </c>
      <c r="AC237" s="6">
        <f t="shared" si="85"/>
        <v>0</v>
      </c>
      <c r="AD237" s="6">
        <f t="shared" si="86"/>
        <v>0</v>
      </c>
      <c r="AE237" s="52" t="str">
        <f t="shared" si="87"/>
        <v/>
      </c>
      <c r="AF237" s="52" t="str">
        <f t="shared" si="88"/>
        <v/>
      </c>
      <c r="AG237" s="50" t="str">
        <f t="shared" si="89"/>
        <v/>
      </c>
      <c r="AH237" s="50" t="str">
        <f t="shared" si="90"/>
        <v/>
      </c>
      <c r="AI237" s="52" t="str">
        <f t="shared" si="91"/>
        <v/>
      </c>
      <c r="AJ237" s="52" t="str">
        <f t="shared" si="92"/>
        <v/>
      </c>
      <c r="AK237" s="52" t="str">
        <f t="shared" si="93"/>
        <v/>
      </c>
      <c r="AL237" s="52" t="str">
        <f t="shared" si="94"/>
        <v/>
      </c>
      <c r="AM237" s="52" t="str">
        <f t="shared" si="95"/>
        <v/>
      </c>
      <c r="AN237" s="52" t="str">
        <f t="shared" si="96"/>
        <v/>
      </c>
      <c r="AO237" s="52" t="str">
        <f t="shared" si="97"/>
        <v/>
      </c>
      <c r="AP237" s="52" t="str">
        <f t="shared" si="98"/>
        <v/>
      </c>
      <c r="AQ237" s="52" t="str">
        <f t="shared" si="99"/>
        <v/>
      </c>
      <c r="AR237" s="52" t="str">
        <f t="shared" si="100"/>
        <v/>
      </c>
      <c r="AS237" s="52" t="str">
        <f t="shared" si="101"/>
        <v/>
      </c>
      <c r="AT237" s="52" t="str">
        <f t="shared" si="102"/>
        <v/>
      </c>
      <c r="AU237" s="52" t="str">
        <f t="shared" si="103"/>
        <v/>
      </c>
      <c r="AV237" s="52" t="str">
        <f t="shared" si="104"/>
        <v/>
      </c>
      <c r="AW237" s="52" t="str">
        <f t="shared" si="105"/>
        <v/>
      </c>
      <c r="AX237" s="52" t="str">
        <f t="shared" si="82"/>
        <v/>
      </c>
      <c r="AY237" s="52" t="str">
        <f t="shared" si="106"/>
        <v/>
      </c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2"/>
      <c r="BM237" s="52"/>
      <c r="BN237" s="52"/>
      <c r="BO237" s="52"/>
      <c r="BP237" s="52"/>
      <c r="BQ237" s="52"/>
      <c r="BR237" s="52"/>
      <c r="BS237" s="52"/>
      <c r="BT237" s="52"/>
      <c r="BU237" s="52"/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2"/>
      <c r="CI237" s="52"/>
      <c r="CJ237" s="52"/>
      <c r="CK237" s="52"/>
      <c r="CL237" s="52"/>
      <c r="CM237" s="52"/>
      <c r="CN237" s="52"/>
      <c r="CO237" s="52"/>
      <c r="CP237" s="52"/>
      <c r="CQ237" s="52"/>
      <c r="CR237" s="52"/>
      <c r="CS237" s="52"/>
      <c r="CT237" s="52"/>
      <c r="CU237" s="52"/>
      <c r="CV237" s="52"/>
      <c r="CW237" s="52"/>
      <c r="CX237" s="52"/>
      <c r="CY237" s="52"/>
      <c r="CZ237" s="52"/>
      <c r="DA237" s="52"/>
      <c r="DB237" s="52"/>
      <c r="DC237" s="52"/>
      <c r="DD237" s="52"/>
      <c r="DE237" s="52"/>
      <c r="DF237" s="52"/>
      <c r="DG237" s="52"/>
      <c r="DH237" s="52"/>
      <c r="DI237" s="52"/>
      <c r="DJ237" s="52"/>
      <c r="DK237" s="52"/>
      <c r="DL237" s="52"/>
      <c r="DM237" s="52"/>
      <c r="DN237" s="52"/>
      <c r="DO237" s="52"/>
      <c r="DP237" s="52"/>
      <c r="DQ237" s="52"/>
      <c r="DR237" s="52"/>
      <c r="DS237" s="52"/>
      <c r="DT237" s="52"/>
      <c r="DU237" s="52"/>
      <c r="DV237" s="52"/>
      <c r="DW237" s="52"/>
      <c r="DX237" s="52"/>
      <c r="DY237" s="52"/>
      <c r="DZ237" s="52"/>
      <c r="EA237" s="52"/>
      <c r="EB237" s="52"/>
      <c r="EC237" s="52"/>
      <c r="ED237" s="52"/>
      <c r="EE237" s="52"/>
      <c r="EF237" s="52"/>
      <c r="EG237" s="52"/>
      <c r="EH237" s="52"/>
      <c r="EI237" s="52"/>
      <c r="EJ237" s="52"/>
      <c r="EK237" s="52"/>
      <c r="EL237" s="52"/>
      <c r="EM237" s="52"/>
      <c r="EN237" s="52"/>
      <c r="EO237" s="52"/>
      <c r="EP237" s="52"/>
      <c r="EQ237" s="52"/>
      <c r="ER237" s="52"/>
      <c r="ES237" s="52"/>
      <c r="ET237" s="52"/>
      <c r="EU237" s="52"/>
      <c r="EV237" s="52"/>
      <c r="EW237" s="52"/>
      <c r="EX237" s="52"/>
      <c r="EY237" s="52"/>
      <c r="EZ237" s="52"/>
      <c r="FA237" s="52"/>
      <c r="FB237" s="52"/>
      <c r="FC237" s="52"/>
      <c r="FD237" s="52"/>
      <c r="FE237" s="52"/>
      <c r="FF237" s="52"/>
      <c r="FG237" s="13"/>
    </row>
    <row r="238" spans="1:163">
      <c r="A238" s="71"/>
      <c r="B238" s="70"/>
      <c r="C238" s="72"/>
      <c r="D238" s="73"/>
      <c r="E238" s="73"/>
      <c r="F238" s="73"/>
      <c r="G238" s="73"/>
      <c r="H238" s="73"/>
      <c r="I238" s="74"/>
      <c r="J238" s="74"/>
      <c r="K238" s="74"/>
      <c r="L238" s="73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0"/>
      <c r="Z238" s="12">
        <f t="shared" si="83"/>
        <v>0</v>
      </c>
      <c r="AA238" s="14">
        <f t="shared" si="81"/>
        <v>0</v>
      </c>
      <c r="AB238" s="6">
        <f t="shared" si="84"/>
        <v>0</v>
      </c>
      <c r="AC238" s="6">
        <f t="shared" si="85"/>
        <v>0</v>
      </c>
      <c r="AD238" s="6">
        <f t="shared" si="86"/>
        <v>0</v>
      </c>
      <c r="AE238" s="52" t="str">
        <f t="shared" si="87"/>
        <v/>
      </c>
      <c r="AF238" s="52" t="str">
        <f t="shared" si="88"/>
        <v/>
      </c>
      <c r="AG238" s="50" t="str">
        <f t="shared" si="89"/>
        <v/>
      </c>
      <c r="AH238" s="50" t="str">
        <f t="shared" si="90"/>
        <v/>
      </c>
      <c r="AI238" s="52" t="str">
        <f t="shared" si="91"/>
        <v/>
      </c>
      <c r="AJ238" s="52" t="str">
        <f t="shared" si="92"/>
        <v/>
      </c>
      <c r="AK238" s="52" t="str">
        <f t="shared" si="93"/>
        <v/>
      </c>
      <c r="AL238" s="52" t="str">
        <f t="shared" si="94"/>
        <v/>
      </c>
      <c r="AM238" s="52" t="str">
        <f t="shared" si="95"/>
        <v/>
      </c>
      <c r="AN238" s="52" t="str">
        <f t="shared" si="96"/>
        <v/>
      </c>
      <c r="AO238" s="52" t="str">
        <f t="shared" si="97"/>
        <v/>
      </c>
      <c r="AP238" s="52" t="str">
        <f t="shared" si="98"/>
        <v/>
      </c>
      <c r="AQ238" s="52" t="str">
        <f t="shared" si="99"/>
        <v/>
      </c>
      <c r="AR238" s="52" t="str">
        <f t="shared" si="100"/>
        <v/>
      </c>
      <c r="AS238" s="52" t="str">
        <f t="shared" si="101"/>
        <v/>
      </c>
      <c r="AT238" s="52" t="str">
        <f t="shared" si="102"/>
        <v/>
      </c>
      <c r="AU238" s="52" t="str">
        <f t="shared" si="103"/>
        <v/>
      </c>
      <c r="AV238" s="52" t="str">
        <f t="shared" si="104"/>
        <v/>
      </c>
      <c r="AW238" s="52" t="str">
        <f t="shared" si="105"/>
        <v/>
      </c>
      <c r="AX238" s="52" t="str">
        <f t="shared" si="82"/>
        <v/>
      </c>
      <c r="AY238" s="52" t="str">
        <f t="shared" si="106"/>
        <v/>
      </c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  <c r="BM238" s="52"/>
      <c r="BN238" s="52"/>
      <c r="BO238" s="52"/>
      <c r="BP238" s="52"/>
      <c r="BQ238" s="52"/>
      <c r="BR238" s="52"/>
      <c r="BS238" s="52"/>
      <c r="BT238" s="52"/>
      <c r="BU238" s="52"/>
      <c r="BV238" s="52"/>
      <c r="BW238" s="52"/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2"/>
      <c r="CI238" s="52"/>
      <c r="CJ238" s="52"/>
      <c r="CK238" s="52"/>
      <c r="CL238" s="52"/>
      <c r="CM238" s="52"/>
      <c r="CN238" s="52"/>
      <c r="CO238" s="52"/>
      <c r="CP238" s="52"/>
      <c r="CQ238" s="52"/>
      <c r="CR238" s="52"/>
      <c r="CS238" s="52"/>
      <c r="CT238" s="52"/>
      <c r="CU238" s="52"/>
      <c r="CV238" s="52"/>
      <c r="CW238" s="52"/>
      <c r="CX238" s="52"/>
      <c r="CY238" s="52"/>
      <c r="CZ238" s="52"/>
      <c r="DA238" s="52"/>
      <c r="DB238" s="52"/>
      <c r="DC238" s="52"/>
      <c r="DD238" s="52"/>
      <c r="DE238" s="52"/>
      <c r="DF238" s="52"/>
      <c r="DG238" s="52"/>
      <c r="DH238" s="52"/>
      <c r="DI238" s="52"/>
      <c r="DJ238" s="52"/>
      <c r="DK238" s="52"/>
      <c r="DL238" s="52"/>
      <c r="DM238" s="52"/>
      <c r="DN238" s="52"/>
      <c r="DO238" s="52"/>
      <c r="DP238" s="52"/>
      <c r="DQ238" s="52"/>
      <c r="DR238" s="52"/>
      <c r="DS238" s="52"/>
      <c r="DT238" s="52"/>
      <c r="DU238" s="52"/>
      <c r="DV238" s="52"/>
      <c r="DW238" s="52"/>
      <c r="DX238" s="52"/>
      <c r="DY238" s="52"/>
      <c r="DZ238" s="52"/>
      <c r="EA238" s="52"/>
      <c r="EB238" s="52"/>
      <c r="EC238" s="52"/>
      <c r="ED238" s="52"/>
      <c r="EE238" s="52"/>
      <c r="EF238" s="52"/>
      <c r="EG238" s="52"/>
      <c r="EH238" s="52"/>
      <c r="EI238" s="52"/>
      <c r="EJ238" s="52"/>
      <c r="EK238" s="52"/>
      <c r="EL238" s="52"/>
      <c r="EM238" s="52"/>
      <c r="EN238" s="52"/>
      <c r="EO238" s="52"/>
      <c r="EP238" s="52"/>
      <c r="EQ238" s="52"/>
      <c r="ER238" s="52"/>
      <c r="ES238" s="52"/>
      <c r="ET238" s="52"/>
      <c r="EU238" s="52"/>
      <c r="EV238" s="52"/>
      <c r="EW238" s="52"/>
      <c r="EX238" s="52"/>
      <c r="EY238" s="52"/>
      <c r="EZ238" s="52"/>
      <c r="FA238" s="52"/>
      <c r="FB238" s="52"/>
      <c r="FC238" s="52"/>
      <c r="FD238" s="52"/>
      <c r="FE238" s="52"/>
      <c r="FF238" s="52"/>
      <c r="FG238" s="13"/>
    </row>
    <row r="239" spans="1:163">
      <c r="A239" s="71"/>
      <c r="B239" s="70"/>
      <c r="C239" s="72"/>
      <c r="D239" s="73"/>
      <c r="E239" s="73"/>
      <c r="F239" s="73"/>
      <c r="G239" s="73"/>
      <c r="H239" s="73"/>
      <c r="I239" s="74"/>
      <c r="J239" s="74"/>
      <c r="K239" s="74"/>
      <c r="L239" s="73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0"/>
      <c r="Z239" s="12">
        <f t="shared" si="83"/>
        <v>0</v>
      </c>
      <c r="AA239" s="14">
        <f t="shared" si="81"/>
        <v>0</v>
      </c>
      <c r="AB239" s="6">
        <f t="shared" si="84"/>
        <v>0</v>
      </c>
      <c r="AC239" s="6">
        <f t="shared" si="85"/>
        <v>0</v>
      </c>
      <c r="AD239" s="6">
        <f t="shared" si="86"/>
        <v>0</v>
      </c>
      <c r="AE239" s="52" t="str">
        <f t="shared" si="87"/>
        <v/>
      </c>
      <c r="AF239" s="52" t="str">
        <f t="shared" si="88"/>
        <v/>
      </c>
      <c r="AG239" s="50" t="str">
        <f t="shared" si="89"/>
        <v/>
      </c>
      <c r="AH239" s="50" t="str">
        <f t="shared" si="90"/>
        <v/>
      </c>
      <c r="AI239" s="52" t="str">
        <f t="shared" si="91"/>
        <v/>
      </c>
      <c r="AJ239" s="52" t="str">
        <f t="shared" si="92"/>
        <v/>
      </c>
      <c r="AK239" s="52" t="str">
        <f t="shared" si="93"/>
        <v/>
      </c>
      <c r="AL239" s="52" t="str">
        <f t="shared" si="94"/>
        <v/>
      </c>
      <c r="AM239" s="52" t="str">
        <f t="shared" si="95"/>
        <v/>
      </c>
      <c r="AN239" s="52" t="str">
        <f t="shared" si="96"/>
        <v/>
      </c>
      <c r="AO239" s="52" t="str">
        <f t="shared" si="97"/>
        <v/>
      </c>
      <c r="AP239" s="52" t="str">
        <f t="shared" si="98"/>
        <v/>
      </c>
      <c r="AQ239" s="52" t="str">
        <f t="shared" si="99"/>
        <v/>
      </c>
      <c r="AR239" s="52" t="str">
        <f t="shared" si="100"/>
        <v/>
      </c>
      <c r="AS239" s="52" t="str">
        <f t="shared" si="101"/>
        <v/>
      </c>
      <c r="AT239" s="52" t="str">
        <f t="shared" si="102"/>
        <v/>
      </c>
      <c r="AU239" s="52" t="str">
        <f t="shared" si="103"/>
        <v/>
      </c>
      <c r="AV239" s="52" t="str">
        <f t="shared" si="104"/>
        <v/>
      </c>
      <c r="AW239" s="52" t="str">
        <f t="shared" si="105"/>
        <v/>
      </c>
      <c r="AX239" s="52" t="str">
        <f t="shared" si="82"/>
        <v/>
      </c>
      <c r="AY239" s="52" t="str">
        <f t="shared" si="106"/>
        <v/>
      </c>
      <c r="AZ239" s="52"/>
      <c r="BA239" s="52"/>
      <c r="BB239" s="52"/>
      <c r="BC239" s="52"/>
      <c r="BD239" s="52"/>
      <c r="BE239" s="52"/>
      <c r="BF239" s="52"/>
      <c r="BG239" s="52"/>
      <c r="BH239" s="52"/>
      <c r="BI239" s="52"/>
      <c r="BJ239" s="52"/>
      <c r="BK239" s="52"/>
      <c r="BL239" s="52"/>
      <c r="BM239" s="52"/>
      <c r="BN239" s="52"/>
      <c r="BO239" s="52"/>
      <c r="BP239" s="52"/>
      <c r="BQ239" s="52"/>
      <c r="BR239" s="52"/>
      <c r="BS239" s="52"/>
      <c r="BT239" s="52"/>
      <c r="BU239" s="52"/>
      <c r="BV239" s="52"/>
      <c r="BW239" s="52"/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2"/>
      <c r="CI239" s="52"/>
      <c r="CJ239" s="52"/>
      <c r="CK239" s="52"/>
      <c r="CL239" s="52"/>
      <c r="CM239" s="52"/>
      <c r="CN239" s="52"/>
      <c r="CO239" s="52"/>
      <c r="CP239" s="52"/>
      <c r="CQ239" s="52"/>
      <c r="CR239" s="52"/>
      <c r="CS239" s="52"/>
      <c r="CT239" s="52"/>
      <c r="CU239" s="52"/>
      <c r="CV239" s="52"/>
      <c r="CW239" s="52"/>
      <c r="CX239" s="52"/>
      <c r="CY239" s="52"/>
      <c r="CZ239" s="52"/>
      <c r="DA239" s="52"/>
      <c r="DB239" s="52"/>
      <c r="DC239" s="52"/>
      <c r="DD239" s="52"/>
      <c r="DE239" s="52"/>
      <c r="DF239" s="52"/>
      <c r="DG239" s="52"/>
      <c r="DH239" s="52"/>
      <c r="DI239" s="52"/>
      <c r="DJ239" s="52"/>
      <c r="DK239" s="52"/>
      <c r="DL239" s="52"/>
      <c r="DM239" s="52"/>
      <c r="DN239" s="52"/>
      <c r="DO239" s="52"/>
      <c r="DP239" s="52"/>
      <c r="DQ239" s="52"/>
      <c r="DR239" s="52"/>
      <c r="DS239" s="52"/>
      <c r="DT239" s="52"/>
      <c r="DU239" s="52"/>
      <c r="DV239" s="52"/>
      <c r="DW239" s="52"/>
      <c r="DX239" s="52"/>
      <c r="DY239" s="52"/>
      <c r="DZ239" s="52"/>
      <c r="EA239" s="52"/>
      <c r="EB239" s="52"/>
      <c r="EC239" s="52"/>
      <c r="ED239" s="52"/>
      <c r="EE239" s="52"/>
      <c r="EF239" s="52"/>
      <c r="EG239" s="52"/>
      <c r="EH239" s="52"/>
      <c r="EI239" s="52"/>
      <c r="EJ239" s="52"/>
      <c r="EK239" s="52"/>
      <c r="EL239" s="52"/>
      <c r="EM239" s="52"/>
      <c r="EN239" s="52"/>
      <c r="EO239" s="52"/>
      <c r="EP239" s="52"/>
      <c r="EQ239" s="52"/>
      <c r="ER239" s="52"/>
      <c r="ES239" s="52"/>
      <c r="ET239" s="52"/>
      <c r="EU239" s="52"/>
      <c r="EV239" s="52"/>
      <c r="EW239" s="52"/>
      <c r="EX239" s="52"/>
      <c r="EY239" s="52"/>
      <c r="EZ239" s="52"/>
      <c r="FA239" s="52"/>
      <c r="FB239" s="52"/>
      <c r="FC239" s="52"/>
      <c r="FD239" s="52"/>
      <c r="FE239" s="52"/>
      <c r="FF239" s="52"/>
      <c r="FG239" s="13"/>
    </row>
    <row r="240" spans="1:163">
      <c r="A240" s="71"/>
      <c r="B240" s="70"/>
      <c r="C240" s="72"/>
      <c r="D240" s="73"/>
      <c r="E240" s="73"/>
      <c r="F240" s="73"/>
      <c r="G240" s="73"/>
      <c r="H240" s="73"/>
      <c r="I240" s="74"/>
      <c r="J240" s="74"/>
      <c r="K240" s="74"/>
      <c r="L240" s="73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0"/>
      <c r="Z240" s="12">
        <f t="shared" si="83"/>
        <v>0</v>
      </c>
      <c r="AA240" s="14">
        <f t="shared" si="81"/>
        <v>0</v>
      </c>
      <c r="AB240" s="6">
        <f t="shared" si="84"/>
        <v>0</v>
      </c>
      <c r="AC240" s="6">
        <f t="shared" si="85"/>
        <v>0</v>
      </c>
      <c r="AD240" s="6">
        <f t="shared" si="86"/>
        <v>0</v>
      </c>
      <c r="AE240" s="52" t="str">
        <f t="shared" si="87"/>
        <v/>
      </c>
      <c r="AF240" s="52" t="str">
        <f t="shared" si="88"/>
        <v/>
      </c>
      <c r="AG240" s="50" t="str">
        <f t="shared" si="89"/>
        <v/>
      </c>
      <c r="AH240" s="50" t="str">
        <f t="shared" si="90"/>
        <v/>
      </c>
      <c r="AI240" s="52" t="str">
        <f t="shared" si="91"/>
        <v/>
      </c>
      <c r="AJ240" s="52" t="str">
        <f t="shared" si="92"/>
        <v/>
      </c>
      <c r="AK240" s="52" t="str">
        <f t="shared" si="93"/>
        <v/>
      </c>
      <c r="AL240" s="52" t="str">
        <f t="shared" si="94"/>
        <v/>
      </c>
      <c r="AM240" s="52" t="str">
        <f t="shared" si="95"/>
        <v/>
      </c>
      <c r="AN240" s="52" t="str">
        <f t="shared" si="96"/>
        <v/>
      </c>
      <c r="AO240" s="52" t="str">
        <f t="shared" si="97"/>
        <v/>
      </c>
      <c r="AP240" s="52" t="str">
        <f t="shared" si="98"/>
        <v/>
      </c>
      <c r="AQ240" s="52" t="str">
        <f t="shared" si="99"/>
        <v/>
      </c>
      <c r="AR240" s="52" t="str">
        <f t="shared" si="100"/>
        <v/>
      </c>
      <c r="AS240" s="52" t="str">
        <f t="shared" si="101"/>
        <v/>
      </c>
      <c r="AT240" s="52" t="str">
        <f t="shared" si="102"/>
        <v/>
      </c>
      <c r="AU240" s="52" t="str">
        <f t="shared" si="103"/>
        <v/>
      </c>
      <c r="AV240" s="52" t="str">
        <f t="shared" si="104"/>
        <v/>
      </c>
      <c r="AW240" s="52" t="str">
        <f t="shared" si="105"/>
        <v/>
      </c>
      <c r="AX240" s="52" t="str">
        <f t="shared" si="82"/>
        <v/>
      </c>
      <c r="AY240" s="52" t="str">
        <f t="shared" si="106"/>
        <v/>
      </c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  <c r="BM240" s="52"/>
      <c r="BN240" s="52"/>
      <c r="BO240" s="52"/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2"/>
      <c r="CI240" s="52"/>
      <c r="CJ240" s="52"/>
      <c r="CK240" s="52"/>
      <c r="CL240" s="52"/>
      <c r="CM240" s="52"/>
      <c r="CN240" s="52"/>
      <c r="CO240" s="52"/>
      <c r="CP240" s="52"/>
      <c r="CQ240" s="52"/>
      <c r="CR240" s="52"/>
      <c r="CS240" s="52"/>
      <c r="CT240" s="52"/>
      <c r="CU240" s="52"/>
      <c r="CV240" s="52"/>
      <c r="CW240" s="52"/>
      <c r="CX240" s="52"/>
      <c r="CY240" s="52"/>
      <c r="CZ240" s="52"/>
      <c r="DA240" s="52"/>
      <c r="DB240" s="52"/>
      <c r="DC240" s="52"/>
      <c r="DD240" s="52"/>
      <c r="DE240" s="52"/>
      <c r="DF240" s="52"/>
      <c r="DG240" s="52"/>
      <c r="DH240" s="52"/>
      <c r="DI240" s="52"/>
      <c r="DJ240" s="52"/>
      <c r="DK240" s="52"/>
      <c r="DL240" s="52"/>
      <c r="DM240" s="52"/>
      <c r="DN240" s="52"/>
      <c r="DO240" s="52"/>
      <c r="DP240" s="52"/>
      <c r="DQ240" s="52"/>
      <c r="DR240" s="52"/>
      <c r="DS240" s="52"/>
      <c r="DT240" s="52"/>
      <c r="DU240" s="52"/>
      <c r="DV240" s="52"/>
      <c r="DW240" s="52"/>
      <c r="DX240" s="52"/>
      <c r="DY240" s="52"/>
      <c r="DZ240" s="52"/>
      <c r="EA240" s="52"/>
      <c r="EB240" s="52"/>
      <c r="EC240" s="52"/>
      <c r="ED240" s="52"/>
      <c r="EE240" s="52"/>
      <c r="EF240" s="52"/>
      <c r="EG240" s="52"/>
      <c r="EH240" s="52"/>
      <c r="EI240" s="52"/>
      <c r="EJ240" s="52"/>
      <c r="EK240" s="52"/>
      <c r="EL240" s="52"/>
      <c r="EM240" s="52"/>
      <c r="EN240" s="52"/>
      <c r="EO240" s="52"/>
      <c r="EP240" s="52"/>
      <c r="EQ240" s="52"/>
      <c r="ER240" s="52"/>
      <c r="ES240" s="52"/>
      <c r="ET240" s="52"/>
      <c r="EU240" s="52"/>
      <c r="EV240" s="52"/>
      <c r="EW240" s="52"/>
      <c r="EX240" s="52"/>
      <c r="EY240" s="52"/>
      <c r="EZ240" s="52"/>
      <c r="FA240" s="52"/>
      <c r="FB240" s="52"/>
      <c r="FC240" s="52"/>
      <c r="FD240" s="52"/>
      <c r="FE240" s="52"/>
      <c r="FF240" s="52"/>
      <c r="FG240" s="13"/>
    </row>
    <row r="241" spans="1:163">
      <c r="A241" s="71"/>
      <c r="B241" s="70"/>
      <c r="C241" s="72"/>
      <c r="D241" s="73"/>
      <c r="E241" s="73"/>
      <c r="F241" s="73"/>
      <c r="G241" s="73"/>
      <c r="H241" s="73"/>
      <c r="I241" s="74"/>
      <c r="J241" s="74"/>
      <c r="K241" s="74"/>
      <c r="L241" s="73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0"/>
      <c r="Z241" s="12">
        <f t="shared" si="83"/>
        <v>0</v>
      </c>
      <c r="AA241" s="14">
        <f t="shared" si="81"/>
        <v>0</v>
      </c>
      <c r="AB241" s="6">
        <f t="shared" si="84"/>
        <v>0</v>
      </c>
      <c r="AC241" s="6">
        <f t="shared" si="85"/>
        <v>0</v>
      </c>
      <c r="AD241" s="6">
        <f t="shared" si="86"/>
        <v>0</v>
      </c>
      <c r="AE241" s="52" t="str">
        <f t="shared" si="87"/>
        <v/>
      </c>
      <c r="AF241" s="52" t="str">
        <f t="shared" si="88"/>
        <v/>
      </c>
      <c r="AG241" s="50" t="str">
        <f t="shared" si="89"/>
        <v/>
      </c>
      <c r="AH241" s="50" t="str">
        <f t="shared" si="90"/>
        <v/>
      </c>
      <c r="AI241" s="52" t="str">
        <f t="shared" si="91"/>
        <v/>
      </c>
      <c r="AJ241" s="52" t="str">
        <f t="shared" si="92"/>
        <v/>
      </c>
      <c r="AK241" s="52" t="str">
        <f t="shared" si="93"/>
        <v/>
      </c>
      <c r="AL241" s="52" t="str">
        <f t="shared" si="94"/>
        <v/>
      </c>
      <c r="AM241" s="52" t="str">
        <f t="shared" si="95"/>
        <v/>
      </c>
      <c r="AN241" s="52" t="str">
        <f t="shared" si="96"/>
        <v/>
      </c>
      <c r="AO241" s="52" t="str">
        <f t="shared" si="97"/>
        <v/>
      </c>
      <c r="AP241" s="52" t="str">
        <f t="shared" si="98"/>
        <v/>
      </c>
      <c r="AQ241" s="52" t="str">
        <f t="shared" si="99"/>
        <v/>
      </c>
      <c r="AR241" s="52" t="str">
        <f t="shared" si="100"/>
        <v/>
      </c>
      <c r="AS241" s="52" t="str">
        <f t="shared" si="101"/>
        <v/>
      </c>
      <c r="AT241" s="52" t="str">
        <f t="shared" si="102"/>
        <v/>
      </c>
      <c r="AU241" s="52" t="str">
        <f t="shared" si="103"/>
        <v/>
      </c>
      <c r="AV241" s="52" t="str">
        <f t="shared" si="104"/>
        <v/>
      </c>
      <c r="AW241" s="52" t="str">
        <f t="shared" si="105"/>
        <v/>
      </c>
      <c r="AX241" s="52" t="str">
        <f t="shared" si="82"/>
        <v/>
      </c>
      <c r="AY241" s="52" t="str">
        <f t="shared" si="106"/>
        <v/>
      </c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  <c r="BM241" s="52"/>
      <c r="BN241" s="52"/>
      <c r="BO241" s="52"/>
      <c r="BP241" s="52"/>
      <c r="BQ241" s="52"/>
      <c r="BR241" s="52"/>
      <c r="BS241" s="52"/>
      <c r="BT241" s="52"/>
      <c r="BU241" s="52"/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2"/>
      <c r="CI241" s="52"/>
      <c r="CJ241" s="52"/>
      <c r="CK241" s="52"/>
      <c r="CL241" s="52"/>
      <c r="CM241" s="52"/>
      <c r="CN241" s="52"/>
      <c r="CO241" s="52"/>
      <c r="CP241" s="52"/>
      <c r="CQ241" s="52"/>
      <c r="CR241" s="52"/>
      <c r="CS241" s="52"/>
      <c r="CT241" s="52"/>
      <c r="CU241" s="52"/>
      <c r="CV241" s="52"/>
      <c r="CW241" s="52"/>
      <c r="CX241" s="52"/>
      <c r="CY241" s="52"/>
      <c r="CZ241" s="52"/>
      <c r="DA241" s="52"/>
      <c r="DB241" s="52"/>
      <c r="DC241" s="52"/>
      <c r="DD241" s="52"/>
      <c r="DE241" s="52"/>
      <c r="DF241" s="52"/>
      <c r="DG241" s="52"/>
      <c r="DH241" s="52"/>
      <c r="DI241" s="52"/>
      <c r="DJ241" s="52"/>
      <c r="DK241" s="52"/>
      <c r="DL241" s="52"/>
      <c r="DM241" s="52"/>
      <c r="DN241" s="52"/>
      <c r="DO241" s="52"/>
      <c r="DP241" s="52"/>
      <c r="DQ241" s="52"/>
      <c r="DR241" s="52"/>
      <c r="DS241" s="52"/>
      <c r="DT241" s="52"/>
      <c r="DU241" s="52"/>
      <c r="DV241" s="52"/>
      <c r="DW241" s="52"/>
      <c r="DX241" s="52"/>
      <c r="DY241" s="52"/>
      <c r="DZ241" s="52"/>
      <c r="EA241" s="52"/>
      <c r="EB241" s="52"/>
      <c r="EC241" s="52"/>
      <c r="ED241" s="52"/>
      <c r="EE241" s="52"/>
      <c r="EF241" s="52"/>
      <c r="EG241" s="52"/>
      <c r="EH241" s="52"/>
      <c r="EI241" s="52"/>
      <c r="EJ241" s="52"/>
      <c r="EK241" s="52"/>
      <c r="EL241" s="52"/>
      <c r="EM241" s="52"/>
      <c r="EN241" s="52"/>
      <c r="EO241" s="52"/>
      <c r="EP241" s="52"/>
      <c r="EQ241" s="52"/>
      <c r="ER241" s="52"/>
      <c r="ES241" s="52"/>
      <c r="ET241" s="52"/>
      <c r="EU241" s="52"/>
      <c r="EV241" s="52"/>
      <c r="EW241" s="52"/>
      <c r="EX241" s="52"/>
      <c r="EY241" s="52"/>
      <c r="EZ241" s="52"/>
      <c r="FA241" s="52"/>
      <c r="FB241" s="52"/>
      <c r="FC241" s="52"/>
      <c r="FD241" s="52"/>
      <c r="FE241" s="52"/>
      <c r="FF241" s="52"/>
      <c r="FG241" s="13"/>
    </row>
    <row r="242" spans="1:163">
      <c r="A242" s="71"/>
      <c r="B242" s="70"/>
      <c r="C242" s="72"/>
      <c r="D242" s="73"/>
      <c r="E242" s="73"/>
      <c r="F242" s="73"/>
      <c r="G242" s="73"/>
      <c r="H242" s="73"/>
      <c r="I242" s="74"/>
      <c r="J242" s="74"/>
      <c r="K242" s="74"/>
      <c r="L242" s="73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0"/>
      <c r="Z242" s="12">
        <f t="shared" si="83"/>
        <v>0</v>
      </c>
      <c r="AA242" s="14">
        <f t="shared" si="81"/>
        <v>0</v>
      </c>
      <c r="AB242" s="6">
        <f t="shared" si="84"/>
        <v>0</v>
      </c>
      <c r="AC242" s="6">
        <f t="shared" si="85"/>
        <v>0</v>
      </c>
      <c r="AD242" s="6">
        <f t="shared" si="86"/>
        <v>0</v>
      </c>
      <c r="AE242" s="52" t="str">
        <f t="shared" si="87"/>
        <v/>
      </c>
      <c r="AF242" s="52" t="str">
        <f t="shared" si="88"/>
        <v/>
      </c>
      <c r="AG242" s="50" t="str">
        <f t="shared" si="89"/>
        <v/>
      </c>
      <c r="AH242" s="50" t="str">
        <f t="shared" si="90"/>
        <v/>
      </c>
      <c r="AI242" s="52" t="str">
        <f t="shared" si="91"/>
        <v/>
      </c>
      <c r="AJ242" s="52" t="str">
        <f t="shared" si="92"/>
        <v/>
      </c>
      <c r="AK242" s="52" t="str">
        <f t="shared" si="93"/>
        <v/>
      </c>
      <c r="AL242" s="52" t="str">
        <f t="shared" si="94"/>
        <v/>
      </c>
      <c r="AM242" s="52" t="str">
        <f t="shared" si="95"/>
        <v/>
      </c>
      <c r="AN242" s="52" t="str">
        <f t="shared" si="96"/>
        <v/>
      </c>
      <c r="AO242" s="52" t="str">
        <f t="shared" si="97"/>
        <v/>
      </c>
      <c r="AP242" s="52" t="str">
        <f t="shared" si="98"/>
        <v/>
      </c>
      <c r="AQ242" s="52" t="str">
        <f t="shared" si="99"/>
        <v/>
      </c>
      <c r="AR242" s="52" t="str">
        <f t="shared" si="100"/>
        <v/>
      </c>
      <c r="AS242" s="52" t="str">
        <f t="shared" si="101"/>
        <v/>
      </c>
      <c r="AT242" s="52" t="str">
        <f t="shared" si="102"/>
        <v/>
      </c>
      <c r="AU242" s="52" t="str">
        <f t="shared" si="103"/>
        <v/>
      </c>
      <c r="AV242" s="52" t="str">
        <f t="shared" si="104"/>
        <v/>
      </c>
      <c r="AW242" s="52" t="str">
        <f t="shared" si="105"/>
        <v/>
      </c>
      <c r="AX242" s="52" t="str">
        <f t="shared" si="82"/>
        <v/>
      </c>
      <c r="AY242" s="52" t="str">
        <f t="shared" si="106"/>
        <v/>
      </c>
      <c r="AZ242" s="52"/>
      <c r="BA242" s="52"/>
      <c r="BB242" s="52"/>
      <c r="BC242" s="52"/>
      <c r="BD242" s="52"/>
      <c r="BE242" s="52"/>
      <c r="BF242" s="52"/>
      <c r="BG242" s="52"/>
      <c r="BH242" s="52"/>
      <c r="BI242" s="52"/>
      <c r="BJ242" s="52"/>
      <c r="BK242" s="52"/>
      <c r="BL242" s="52"/>
      <c r="BM242" s="52"/>
      <c r="BN242" s="52"/>
      <c r="BO242" s="52"/>
      <c r="BP242" s="52"/>
      <c r="BQ242" s="52"/>
      <c r="BR242" s="52"/>
      <c r="BS242" s="52"/>
      <c r="BT242" s="52"/>
      <c r="BU242" s="52"/>
      <c r="BV242" s="52"/>
      <c r="BW242" s="52"/>
      <c r="BX242" s="52"/>
      <c r="BY242" s="52"/>
      <c r="BZ242" s="52"/>
      <c r="CA242" s="52"/>
      <c r="CB242" s="52"/>
      <c r="CC242" s="52"/>
      <c r="CD242" s="52"/>
      <c r="CE242" s="52"/>
      <c r="CF242" s="52"/>
      <c r="CG242" s="52"/>
      <c r="CH242" s="52"/>
      <c r="CI242" s="52"/>
      <c r="CJ242" s="52"/>
      <c r="CK242" s="52"/>
      <c r="CL242" s="52"/>
      <c r="CM242" s="52"/>
      <c r="CN242" s="52"/>
      <c r="CO242" s="52"/>
      <c r="CP242" s="52"/>
      <c r="CQ242" s="52"/>
      <c r="CR242" s="52"/>
      <c r="CS242" s="52"/>
      <c r="CT242" s="52"/>
      <c r="CU242" s="52"/>
      <c r="CV242" s="52"/>
      <c r="CW242" s="52"/>
      <c r="CX242" s="52"/>
      <c r="CY242" s="52"/>
      <c r="CZ242" s="52"/>
      <c r="DA242" s="52"/>
      <c r="DB242" s="52"/>
      <c r="DC242" s="52"/>
      <c r="DD242" s="52"/>
      <c r="DE242" s="52"/>
      <c r="DF242" s="52"/>
      <c r="DG242" s="52"/>
      <c r="DH242" s="52"/>
      <c r="DI242" s="52"/>
      <c r="DJ242" s="52"/>
      <c r="DK242" s="52"/>
      <c r="DL242" s="52"/>
      <c r="DM242" s="52"/>
      <c r="DN242" s="52"/>
      <c r="DO242" s="52"/>
      <c r="DP242" s="52"/>
      <c r="DQ242" s="52"/>
      <c r="DR242" s="52"/>
      <c r="DS242" s="52"/>
      <c r="DT242" s="52"/>
      <c r="DU242" s="52"/>
      <c r="DV242" s="52"/>
      <c r="DW242" s="52"/>
      <c r="DX242" s="52"/>
      <c r="DY242" s="52"/>
      <c r="DZ242" s="52"/>
      <c r="EA242" s="52"/>
      <c r="EB242" s="52"/>
      <c r="EC242" s="52"/>
      <c r="ED242" s="52"/>
      <c r="EE242" s="52"/>
      <c r="EF242" s="52"/>
      <c r="EG242" s="52"/>
      <c r="EH242" s="52"/>
      <c r="EI242" s="52"/>
      <c r="EJ242" s="52"/>
      <c r="EK242" s="52"/>
      <c r="EL242" s="52"/>
      <c r="EM242" s="52"/>
      <c r="EN242" s="52"/>
      <c r="EO242" s="52"/>
      <c r="EP242" s="52"/>
      <c r="EQ242" s="52"/>
      <c r="ER242" s="52"/>
      <c r="ES242" s="52"/>
      <c r="ET242" s="52"/>
      <c r="EU242" s="52"/>
      <c r="EV242" s="52"/>
      <c r="EW242" s="52"/>
      <c r="EX242" s="52"/>
      <c r="EY242" s="52"/>
      <c r="EZ242" s="52"/>
      <c r="FA242" s="52"/>
      <c r="FB242" s="52"/>
      <c r="FC242" s="52"/>
      <c r="FD242" s="52"/>
      <c r="FE242" s="52"/>
      <c r="FF242" s="52"/>
      <c r="FG242" s="13"/>
    </row>
    <row r="243" spans="1:163">
      <c r="A243" s="71"/>
      <c r="B243" s="70"/>
      <c r="C243" s="72"/>
      <c r="D243" s="73"/>
      <c r="E243" s="73"/>
      <c r="F243" s="73"/>
      <c r="G243" s="73"/>
      <c r="H243" s="73"/>
      <c r="I243" s="74"/>
      <c r="J243" s="74"/>
      <c r="K243" s="74"/>
      <c r="L243" s="73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5"/>
      <c r="Y243" s="70"/>
      <c r="Z243" s="12">
        <f t="shared" si="83"/>
        <v>0</v>
      </c>
      <c r="AA243" s="14">
        <f t="shared" si="81"/>
        <v>0</v>
      </c>
      <c r="AB243" s="6">
        <f t="shared" si="84"/>
        <v>0</v>
      </c>
      <c r="AC243" s="6">
        <f t="shared" si="85"/>
        <v>0</v>
      </c>
      <c r="AD243" s="6">
        <f t="shared" si="86"/>
        <v>0</v>
      </c>
      <c r="AE243" s="52" t="str">
        <f t="shared" si="87"/>
        <v/>
      </c>
      <c r="AF243" s="52" t="str">
        <f t="shared" si="88"/>
        <v/>
      </c>
      <c r="AG243" s="50" t="str">
        <f t="shared" si="89"/>
        <v/>
      </c>
      <c r="AH243" s="50" t="str">
        <f t="shared" si="90"/>
        <v/>
      </c>
      <c r="AI243" s="52" t="str">
        <f t="shared" si="91"/>
        <v/>
      </c>
      <c r="AJ243" s="52" t="str">
        <f t="shared" si="92"/>
        <v/>
      </c>
      <c r="AK243" s="52" t="str">
        <f t="shared" si="93"/>
        <v/>
      </c>
      <c r="AL243" s="52" t="str">
        <f t="shared" si="94"/>
        <v/>
      </c>
      <c r="AM243" s="52" t="str">
        <f t="shared" si="95"/>
        <v/>
      </c>
      <c r="AN243" s="52" t="str">
        <f t="shared" si="96"/>
        <v/>
      </c>
      <c r="AO243" s="52" t="str">
        <f t="shared" si="97"/>
        <v/>
      </c>
      <c r="AP243" s="52" t="str">
        <f t="shared" si="98"/>
        <v/>
      </c>
      <c r="AQ243" s="52" t="str">
        <f t="shared" si="99"/>
        <v/>
      </c>
      <c r="AR243" s="52" t="str">
        <f t="shared" si="100"/>
        <v/>
      </c>
      <c r="AS243" s="52" t="str">
        <f t="shared" si="101"/>
        <v/>
      </c>
      <c r="AT243" s="52" t="str">
        <f t="shared" si="102"/>
        <v/>
      </c>
      <c r="AU243" s="52" t="str">
        <f t="shared" si="103"/>
        <v/>
      </c>
      <c r="AV243" s="52" t="str">
        <f t="shared" si="104"/>
        <v/>
      </c>
      <c r="AW243" s="52" t="str">
        <f t="shared" si="105"/>
        <v/>
      </c>
      <c r="AX243" s="52" t="str">
        <f t="shared" si="82"/>
        <v/>
      </c>
      <c r="AY243" s="52" t="str">
        <f t="shared" si="106"/>
        <v/>
      </c>
      <c r="AZ243" s="52"/>
      <c r="BA243" s="52"/>
      <c r="BB243" s="52"/>
      <c r="BC243" s="52"/>
      <c r="BD243" s="52"/>
      <c r="BE243" s="52"/>
      <c r="BF243" s="52"/>
      <c r="BG243" s="52"/>
      <c r="BH243" s="52"/>
      <c r="BI243" s="52"/>
      <c r="BJ243" s="52"/>
      <c r="BK243" s="52"/>
      <c r="BL243" s="52"/>
      <c r="BM243" s="52"/>
      <c r="BN243" s="52"/>
      <c r="BO243" s="52"/>
      <c r="BP243" s="52"/>
      <c r="BQ243" s="52"/>
      <c r="BR243" s="52"/>
      <c r="BS243" s="52"/>
      <c r="BT243" s="52"/>
      <c r="BU243" s="52"/>
      <c r="BV243" s="52"/>
      <c r="BW243" s="52"/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2"/>
      <c r="CI243" s="52"/>
      <c r="CJ243" s="52"/>
      <c r="CK243" s="52"/>
      <c r="CL243" s="52"/>
      <c r="CM243" s="52"/>
      <c r="CN243" s="52"/>
      <c r="CO243" s="52"/>
      <c r="CP243" s="52"/>
      <c r="CQ243" s="52"/>
      <c r="CR243" s="52"/>
      <c r="CS243" s="52"/>
      <c r="CT243" s="52"/>
      <c r="CU243" s="52"/>
      <c r="CV243" s="52"/>
      <c r="CW243" s="52"/>
      <c r="CX243" s="52"/>
      <c r="CY243" s="52"/>
      <c r="CZ243" s="52"/>
      <c r="DA243" s="52"/>
      <c r="DB243" s="52"/>
      <c r="DC243" s="52"/>
      <c r="DD243" s="52"/>
      <c r="DE243" s="52"/>
      <c r="DF243" s="52"/>
      <c r="DG243" s="52"/>
      <c r="DH243" s="52"/>
      <c r="DI243" s="52"/>
      <c r="DJ243" s="52"/>
      <c r="DK243" s="52"/>
      <c r="DL243" s="52"/>
      <c r="DM243" s="52"/>
      <c r="DN243" s="52"/>
      <c r="DO243" s="52"/>
      <c r="DP243" s="52"/>
      <c r="DQ243" s="52"/>
      <c r="DR243" s="52"/>
      <c r="DS243" s="52"/>
      <c r="DT243" s="52"/>
      <c r="DU243" s="52"/>
      <c r="DV243" s="52"/>
      <c r="DW243" s="52"/>
      <c r="DX243" s="52"/>
      <c r="DY243" s="52"/>
      <c r="DZ243" s="52"/>
      <c r="EA243" s="52"/>
      <c r="EB243" s="52"/>
      <c r="EC243" s="52"/>
      <c r="ED243" s="52"/>
      <c r="EE243" s="52"/>
      <c r="EF243" s="52"/>
      <c r="EG243" s="52"/>
      <c r="EH243" s="52"/>
      <c r="EI243" s="52"/>
      <c r="EJ243" s="52"/>
      <c r="EK243" s="52"/>
      <c r="EL243" s="52"/>
      <c r="EM243" s="52"/>
      <c r="EN243" s="52"/>
      <c r="EO243" s="52"/>
      <c r="EP243" s="52"/>
      <c r="EQ243" s="52"/>
      <c r="ER243" s="52"/>
      <c r="ES243" s="52"/>
      <c r="ET243" s="52"/>
      <c r="EU243" s="52"/>
      <c r="EV243" s="52"/>
      <c r="EW243" s="52"/>
      <c r="EX243" s="52"/>
      <c r="EY243" s="52"/>
      <c r="EZ243" s="52"/>
      <c r="FA243" s="52"/>
      <c r="FB243" s="52"/>
      <c r="FC243" s="52"/>
      <c r="FD243" s="52"/>
      <c r="FE243" s="52"/>
      <c r="FF243" s="52"/>
      <c r="FG243" s="13"/>
    </row>
    <row r="244" spans="1:163">
      <c r="A244" s="71"/>
      <c r="B244" s="70"/>
      <c r="C244" s="72"/>
      <c r="D244" s="73"/>
      <c r="E244" s="73"/>
      <c r="F244" s="73"/>
      <c r="G244" s="73"/>
      <c r="H244" s="73"/>
      <c r="I244" s="74"/>
      <c r="J244" s="74"/>
      <c r="K244" s="74"/>
      <c r="L244" s="73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5"/>
      <c r="Y244" s="70"/>
      <c r="Z244" s="12">
        <f t="shared" si="83"/>
        <v>0</v>
      </c>
      <c r="AA244" s="14">
        <f t="shared" si="81"/>
        <v>0</v>
      </c>
      <c r="AB244" s="6">
        <f t="shared" si="84"/>
        <v>0</v>
      </c>
      <c r="AC244" s="6">
        <f t="shared" si="85"/>
        <v>0</v>
      </c>
      <c r="AD244" s="6">
        <f t="shared" si="86"/>
        <v>0</v>
      </c>
      <c r="AE244" s="52" t="str">
        <f t="shared" si="87"/>
        <v/>
      </c>
      <c r="AF244" s="52" t="str">
        <f t="shared" si="88"/>
        <v/>
      </c>
      <c r="AG244" s="50" t="str">
        <f t="shared" si="89"/>
        <v/>
      </c>
      <c r="AH244" s="50" t="str">
        <f t="shared" si="90"/>
        <v/>
      </c>
      <c r="AI244" s="52" t="str">
        <f t="shared" si="91"/>
        <v/>
      </c>
      <c r="AJ244" s="52" t="str">
        <f t="shared" si="92"/>
        <v/>
      </c>
      <c r="AK244" s="52" t="str">
        <f t="shared" si="93"/>
        <v/>
      </c>
      <c r="AL244" s="52" t="str">
        <f t="shared" si="94"/>
        <v/>
      </c>
      <c r="AM244" s="52" t="str">
        <f t="shared" si="95"/>
        <v/>
      </c>
      <c r="AN244" s="52" t="str">
        <f t="shared" si="96"/>
        <v/>
      </c>
      <c r="AO244" s="52" t="str">
        <f t="shared" si="97"/>
        <v/>
      </c>
      <c r="AP244" s="52" t="str">
        <f t="shared" si="98"/>
        <v/>
      </c>
      <c r="AQ244" s="52" t="str">
        <f t="shared" si="99"/>
        <v/>
      </c>
      <c r="AR244" s="52" t="str">
        <f t="shared" si="100"/>
        <v/>
      </c>
      <c r="AS244" s="52" t="str">
        <f t="shared" si="101"/>
        <v/>
      </c>
      <c r="AT244" s="52" t="str">
        <f t="shared" si="102"/>
        <v/>
      </c>
      <c r="AU244" s="52" t="str">
        <f t="shared" si="103"/>
        <v/>
      </c>
      <c r="AV244" s="52" t="str">
        <f t="shared" si="104"/>
        <v/>
      </c>
      <c r="AW244" s="52" t="str">
        <f t="shared" si="105"/>
        <v/>
      </c>
      <c r="AX244" s="52" t="str">
        <f t="shared" si="82"/>
        <v/>
      </c>
      <c r="AY244" s="52" t="str">
        <f t="shared" si="106"/>
        <v/>
      </c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  <c r="BM244" s="52"/>
      <c r="BN244" s="52"/>
      <c r="BO244" s="52"/>
      <c r="BP244" s="52"/>
      <c r="BQ244" s="52"/>
      <c r="BR244" s="52"/>
      <c r="BS244" s="52"/>
      <c r="BT244" s="52"/>
      <c r="BU244" s="52"/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2"/>
      <c r="CI244" s="52"/>
      <c r="CJ244" s="52"/>
      <c r="CK244" s="52"/>
      <c r="CL244" s="52"/>
      <c r="CM244" s="52"/>
      <c r="CN244" s="52"/>
      <c r="CO244" s="52"/>
      <c r="CP244" s="52"/>
      <c r="CQ244" s="52"/>
      <c r="CR244" s="52"/>
      <c r="CS244" s="52"/>
      <c r="CT244" s="52"/>
      <c r="CU244" s="52"/>
      <c r="CV244" s="52"/>
      <c r="CW244" s="52"/>
      <c r="CX244" s="52"/>
      <c r="CY244" s="52"/>
      <c r="CZ244" s="52"/>
      <c r="DA244" s="52"/>
      <c r="DB244" s="52"/>
      <c r="DC244" s="52"/>
      <c r="DD244" s="52"/>
      <c r="DE244" s="52"/>
      <c r="DF244" s="52"/>
      <c r="DG244" s="52"/>
      <c r="DH244" s="52"/>
      <c r="DI244" s="52"/>
      <c r="DJ244" s="52"/>
      <c r="DK244" s="52"/>
      <c r="DL244" s="52"/>
      <c r="DM244" s="52"/>
      <c r="DN244" s="52"/>
      <c r="DO244" s="52"/>
      <c r="DP244" s="52"/>
      <c r="DQ244" s="52"/>
      <c r="DR244" s="52"/>
      <c r="DS244" s="52"/>
      <c r="DT244" s="52"/>
      <c r="DU244" s="52"/>
      <c r="DV244" s="52"/>
      <c r="DW244" s="52"/>
      <c r="DX244" s="52"/>
      <c r="DY244" s="52"/>
      <c r="DZ244" s="52"/>
      <c r="EA244" s="52"/>
      <c r="EB244" s="52"/>
      <c r="EC244" s="52"/>
      <c r="ED244" s="52"/>
      <c r="EE244" s="52"/>
      <c r="EF244" s="52"/>
      <c r="EG244" s="52"/>
      <c r="EH244" s="52"/>
      <c r="EI244" s="52"/>
      <c r="EJ244" s="52"/>
      <c r="EK244" s="52"/>
      <c r="EL244" s="52"/>
      <c r="EM244" s="52"/>
      <c r="EN244" s="52"/>
      <c r="EO244" s="52"/>
      <c r="EP244" s="52"/>
      <c r="EQ244" s="52"/>
      <c r="ER244" s="52"/>
      <c r="ES244" s="52"/>
      <c r="ET244" s="52"/>
      <c r="EU244" s="52"/>
      <c r="EV244" s="52"/>
      <c r="EW244" s="52"/>
      <c r="EX244" s="52"/>
      <c r="EY244" s="52"/>
      <c r="EZ244" s="52"/>
      <c r="FA244" s="52"/>
      <c r="FB244" s="52"/>
      <c r="FC244" s="52"/>
      <c r="FD244" s="52"/>
      <c r="FE244" s="52"/>
      <c r="FF244" s="52"/>
      <c r="FG244" s="13"/>
    </row>
    <row r="245" spans="1:163">
      <c r="A245" s="71"/>
      <c r="B245" s="70"/>
      <c r="C245" s="72"/>
      <c r="D245" s="73"/>
      <c r="E245" s="73"/>
      <c r="F245" s="73"/>
      <c r="G245" s="73"/>
      <c r="H245" s="73"/>
      <c r="I245" s="74"/>
      <c r="J245" s="74"/>
      <c r="K245" s="74"/>
      <c r="L245" s="73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5"/>
      <c r="Y245" s="70"/>
      <c r="Z245" s="12">
        <f t="shared" si="83"/>
        <v>0</v>
      </c>
      <c r="AA245" s="14">
        <f t="shared" si="81"/>
        <v>0</v>
      </c>
      <c r="AB245" s="6">
        <f t="shared" si="84"/>
        <v>0</v>
      </c>
      <c r="AC245" s="6">
        <f t="shared" si="85"/>
        <v>0</v>
      </c>
      <c r="AD245" s="6">
        <f t="shared" si="86"/>
        <v>0</v>
      </c>
      <c r="AE245" s="52" t="str">
        <f t="shared" si="87"/>
        <v/>
      </c>
      <c r="AF245" s="52" t="str">
        <f t="shared" si="88"/>
        <v/>
      </c>
      <c r="AG245" s="50" t="str">
        <f t="shared" si="89"/>
        <v/>
      </c>
      <c r="AH245" s="50" t="str">
        <f t="shared" si="90"/>
        <v/>
      </c>
      <c r="AI245" s="52" t="str">
        <f t="shared" si="91"/>
        <v/>
      </c>
      <c r="AJ245" s="52" t="str">
        <f t="shared" si="92"/>
        <v/>
      </c>
      <c r="AK245" s="52" t="str">
        <f t="shared" si="93"/>
        <v/>
      </c>
      <c r="AL245" s="52" t="str">
        <f t="shared" si="94"/>
        <v/>
      </c>
      <c r="AM245" s="52" t="str">
        <f t="shared" si="95"/>
        <v/>
      </c>
      <c r="AN245" s="52" t="str">
        <f t="shared" si="96"/>
        <v/>
      </c>
      <c r="AO245" s="52" t="str">
        <f t="shared" si="97"/>
        <v/>
      </c>
      <c r="AP245" s="52" t="str">
        <f t="shared" si="98"/>
        <v/>
      </c>
      <c r="AQ245" s="52" t="str">
        <f t="shared" si="99"/>
        <v/>
      </c>
      <c r="AR245" s="52" t="str">
        <f t="shared" si="100"/>
        <v/>
      </c>
      <c r="AS245" s="52" t="str">
        <f t="shared" si="101"/>
        <v/>
      </c>
      <c r="AT245" s="52" t="str">
        <f t="shared" si="102"/>
        <v/>
      </c>
      <c r="AU245" s="52" t="str">
        <f t="shared" si="103"/>
        <v/>
      </c>
      <c r="AV245" s="52" t="str">
        <f t="shared" si="104"/>
        <v/>
      </c>
      <c r="AW245" s="52" t="str">
        <f t="shared" si="105"/>
        <v/>
      </c>
      <c r="AX245" s="52" t="str">
        <f t="shared" si="82"/>
        <v/>
      </c>
      <c r="AY245" s="52" t="str">
        <f t="shared" si="106"/>
        <v/>
      </c>
      <c r="AZ245" s="52"/>
      <c r="BA245" s="52"/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  <c r="BM245" s="52"/>
      <c r="BN245" s="52"/>
      <c r="BO245" s="52"/>
      <c r="BP245" s="52"/>
      <c r="BQ245" s="52"/>
      <c r="BR245" s="52"/>
      <c r="BS245" s="52"/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2"/>
      <c r="CI245" s="52"/>
      <c r="CJ245" s="52"/>
      <c r="CK245" s="52"/>
      <c r="CL245" s="52"/>
      <c r="CM245" s="52"/>
      <c r="CN245" s="52"/>
      <c r="CO245" s="52"/>
      <c r="CP245" s="52"/>
      <c r="CQ245" s="52"/>
      <c r="CR245" s="52"/>
      <c r="CS245" s="52"/>
      <c r="CT245" s="52"/>
      <c r="CU245" s="52"/>
      <c r="CV245" s="52"/>
      <c r="CW245" s="52"/>
      <c r="CX245" s="52"/>
      <c r="CY245" s="52"/>
      <c r="CZ245" s="52"/>
      <c r="DA245" s="52"/>
      <c r="DB245" s="52"/>
      <c r="DC245" s="52"/>
      <c r="DD245" s="52"/>
      <c r="DE245" s="52"/>
      <c r="DF245" s="52"/>
      <c r="DG245" s="52"/>
      <c r="DH245" s="52"/>
      <c r="DI245" s="52"/>
      <c r="DJ245" s="52"/>
      <c r="DK245" s="52"/>
      <c r="DL245" s="52"/>
      <c r="DM245" s="52"/>
      <c r="DN245" s="52"/>
      <c r="DO245" s="52"/>
      <c r="DP245" s="52"/>
      <c r="DQ245" s="52"/>
      <c r="DR245" s="52"/>
      <c r="DS245" s="52"/>
      <c r="DT245" s="52"/>
      <c r="DU245" s="52"/>
      <c r="DV245" s="52"/>
      <c r="DW245" s="52"/>
      <c r="DX245" s="52"/>
      <c r="DY245" s="52"/>
      <c r="DZ245" s="52"/>
      <c r="EA245" s="52"/>
      <c r="EB245" s="52"/>
      <c r="EC245" s="52"/>
      <c r="ED245" s="52"/>
      <c r="EE245" s="52"/>
      <c r="EF245" s="52"/>
      <c r="EG245" s="52"/>
      <c r="EH245" s="52"/>
      <c r="EI245" s="52"/>
      <c r="EJ245" s="52"/>
      <c r="EK245" s="52"/>
      <c r="EL245" s="52"/>
      <c r="EM245" s="52"/>
      <c r="EN245" s="52"/>
      <c r="EO245" s="52"/>
      <c r="EP245" s="52"/>
      <c r="EQ245" s="52"/>
      <c r="ER245" s="52"/>
      <c r="ES245" s="52"/>
      <c r="ET245" s="52"/>
      <c r="EU245" s="52"/>
      <c r="EV245" s="52"/>
      <c r="EW245" s="52"/>
      <c r="EX245" s="52"/>
      <c r="EY245" s="52"/>
      <c r="EZ245" s="52"/>
      <c r="FA245" s="52"/>
      <c r="FB245" s="52"/>
      <c r="FC245" s="52"/>
      <c r="FD245" s="52"/>
      <c r="FE245" s="52"/>
      <c r="FF245" s="52"/>
      <c r="FG245" s="13"/>
    </row>
    <row r="246" spans="1:163">
      <c r="A246" s="71"/>
      <c r="B246" s="70"/>
      <c r="C246" s="72"/>
      <c r="D246" s="73"/>
      <c r="E246" s="73"/>
      <c r="F246" s="73"/>
      <c r="G246" s="73"/>
      <c r="H246" s="73"/>
      <c r="I246" s="74"/>
      <c r="J246" s="74"/>
      <c r="K246" s="74"/>
      <c r="L246" s="73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5"/>
      <c r="Y246" s="70"/>
      <c r="Z246" s="12">
        <f t="shared" si="83"/>
        <v>0</v>
      </c>
      <c r="AA246" s="14">
        <f t="shared" si="81"/>
        <v>0</v>
      </c>
      <c r="AB246" s="6">
        <f t="shared" si="84"/>
        <v>0</v>
      </c>
      <c r="AC246" s="6">
        <f t="shared" si="85"/>
        <v>0</v>
      </c>
      <c r="AD246" s="6">
        <f t="shared" si="86"/>
        <v>0</v>
      </c>
      <c r="AE246" s="52" t="str">
        <f t="shared" si="87"/>
        <v/>
      </c>
      <c r="AF246" s="52" t="str">
        <f t="shared" si="88"/>
        <v/>
      </c>
      <c r="AG246" s="50" t="str">
        <f t="shared" si="89"/>
        <v/>
      </c>
      <c r="AH246" s="50" t="str">
        <f t="shared" si="90"/>
        <v/>
      </c>
      <c r="AI246" s="52" t="str">
        <f t="shared" si="91"/>
        <v/>
      </c>
      <c r="AJ246" s="52" t="str">
        <f t="shared" si="92"/>
        <v/>
      </c>
      <c r="AK246" s="52" t="str">
        <f t="shared" si="93"/>
        <v/>
      </c>
      <c r="AL246" s="52" t="str">
        <f t="shared" si="94"/>
        <v/>
      </c>
      <c r="AM246" s="52" t="str">
        <f t="shared" si="95"/>
        <v/>
      </c>
      <c r="AN246" s="52" t="str">
        <f t="shared" si="96"/>
        <v/>
      </c>
      <c r="AO246" s="52" t="str">
        <f t="shared" si="97"/>
        <v/>
      </c>
      <c r="AP246" s="52" t="str">
        <f t="shared" si="98"/>
        <v/>
      </c>
      <c r="AQ246" s="52" t="str">
        <f t="shared" si="99"/>
        <v/>
      </c>
      <c r="AR246" s="52" t="str">
        <f t="shared" si="100"/>
        <v/>
      </c>
      <c r="AS246" s="52" t="str">
        <f t="shared" si="101"/>
        <v/>
      </c>
      <c r="AT246" s="52" t="str">
        <f t="shared" si="102"/>
        <v/>
      </c>
      <c r="AU246" s="52" t="str">
        <f t="shared" si="103"/>
        <v/>
      </c>
      <c r="AV246" s="52" t="str">
        <f t="shared" si="104"/>
        <v/>
      </c>
      <c r="AW246" s="52" t="str">
        <f t="shared" si="105"/>
        <v/>
      </c>
      <c r="AX246" s="52" t="str">
        <f t="shared" si="82"/>
        <v/>
      </c>
      <c r="AY246" s="52" t="str">
        <f t="shared" si="106"/>
        <v/>
      </c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  <c r="BM246" s="52"/>
      <c r="BN246" s="52"/>
      <c r="BO246" s="52"/>
      <c r="BP246" s="52"/>
      <c r="BQ246" s="52"/>
      <c r="BR246" s="52"/>
      <c r="BS246" s="52"/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2"/>
      <c r="CI246" s="52"/>
      <c r="CJ246" s="52"/>
      <c r="CK246" s="52"/>
      <c r="CL246" s="52"/>
      <c r="CM246" s="52"/>
      <c r="CN246" s="52"/>
      <c r="CO246" s="52"/>
      <c r="CP246" s="52"/>
      <c r="CQ246" s="52"/>
      <c r="CR246" s="52"/>
      <c r="CS246" s="52"/>
      <c r="CT246" s="52"/>
      <c r="CU246" s="52"/>
      <c r="CV246" s="52"/>
      <c r="CW246" s="52"/>
      <c r="CX246" s="52"/>
      <c r="CY246" s="52"/>
      <c r="CZ246" s="52"/>
      <c r="DA246" s="52"/>
      <c r="DB246" s="52"/>
      <c r="DC246" s="52"/>
      <c r="DD246" s="52"/>
      <c r="DE246" s="52"/>
      <c r="DF246" s="52"/>
      <c r="DG246" s="52"/>
      <c r="DH246" s="52"/>
      <c r="DI246" s="52"/>
      <c r="DJ246" s="52"/>
      <c r="DK246" s="52"/>
      <c r="DL246" s="52"/>
      <c r="DM246" s="52"/>
      <c r="DN246" s="52"/>
      <c r="DO246" s="52"/>
      <c r="DP246" s="52"/>
      <c r="DQ246" s="52"/>
      <c r="DR246" s="52"/>
      <c r="DS246" s="52"/>
      <c r="DT246" s="52"/>
      <c r="DU246" s="52"/>
      <c r="DV246" s="52"/>
      <c r="DW246" s="52"/>
      <c r="DX246" s="52"/>
      <c r="DY246" s="52"/>
      <c r="DZ246" s="52"/>
      <c r="EA246" s="52"/>
      <c r="EB246" s="52"/>
      <c r="EC246" s="52"/>
      <c r="ED246" s="52"/>
      <c r="EE246" s="52"/>
      <c r="EF246" s="52"/>
      <c r="EG246" s="52"/>
      <c r="EH246" s="52"/>
      <c r="EI246" s="52"/>
      <c r="EJ246" s="52"/>
      <c r="EK246" s="52"/>
      <c r="EL246" s="52"/>
      <c r="EM246" s="52"/>
      <c r="EN246" s="52"/>
      <c r="EO246" s="52"/>
      <c r="EP246" s="52"/>
      <c r="EQ246" s="52"/>
      <c r="ER246" s="52"/>
      <c r="ES246" s="52"/>
      <c r="ET246" s="52"/>
      <c r="EU246" s="52"/>
      <c r="EV246" s="52"/>
      <c r="EW246" s="52"/>
      <c r="EX246" s="52"/>
      <c r="EY246" s="52"/>
      <c r="EZ246" s="52"/>
      <c r="FA246" s="52"/>
      <c r="FB246" s="52"/>
      <c r="FC246" s="52"/>
      <c r="FD246" s="52"/>
      <c r="FE246" s="52"/>
      <c r="FF246" s="52"/>
      <c r="FG246" s="13"/>
    </row>
    <row r="247" spans="1:163">
      <c r="A247" s="71"/>
      <c r="B247" s="70"/>
      <c r="C247" s="72"/>
      <c r="D247" s="73"/>
      <c r="E247" s="73"/>
      <c r="F247" s="73"/>
      <c r="G247" s="73"/>
      <c r="H247" s="73"/>
      <c r="I247" s="74"/>
      <c r="J247" s="74"/>
      <c r="K247" s="74"/>
      <c r="L247" s="73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5"/>
      <c r="Y247" s="70"/>
      <c r="Z247" s="12">
        <f t="shared" si="83"/>
        <v>0</v>
      </c>
      <c r="AA247" s="14">
        <f t="shared" si="81"/>
        <v>0</v>
      </c>
      <c r="AB247" s="6">
        <f t="shared" si="84"/>
        <v>0</v>
      </c>
      <c r="AC247" s="6">
        <f t="shared" si="85"/>
        <v>0</v>
      </c>
      <c r="AD247" s="6">
        <f t="shared" si="86"/>
        <v>0</v>
      </c>
      <c r="AE247" s="52" t="str">
        <f t="shared" si="87"/>
        <v/>
      </c>
      <c r="AF247" s="52" t="str">
        <f t="shared" si="88"/>
        <v/>
      </c>
      <c r="AG247" s="50" t="str">
        <f t="shared" si="89"/>
        <v/>
      </c>
      <c r="AH247" s="50" t="str">
        <f t="shared" si="90"/>
        <v/>
      </c>
      <c r="AI247" s="52" t="str">
        <f t="shared" si="91"/>
        <v/>
      </c>
      <c r="AJ247" s="52" t="str">
        <f t="shared" si="92"/>
        <v/>
      </c>
      <c r="AK247" s="52" t="str">
        <f t="shared" si="93"/>
        <v/>
      </c>
      <c r="AL247" s="52" t="str">
        <f t="shared" si="94"/>
        <v/>
      </c>
      <c r="AM247" s="52" t="str">
        <f t="shared" si="95"/>
        <v/>
      </c>
      <c r="AN247" s="52" t="str">
        <f t="shared" si="96"/>
        <v/>
      </c>
      <c r="AO247" s="52" t="str">
        <f t="shared" si="97"/>
        <v/>
      </c>
      <c r="AP247" s="52" t="str">
        <f t="shared" si="98"/>
        <v/>
      </c>
      <c r="AQ247" s="52" t="str">
        <f t="shared" si="99"/>
        <v/>
      </c>
      <c r="AR247" s="52" t="str">
        <f t="shared" si="100"/>
        <v/>
      </c>
      <c r="AS247" s="52" t="str">
        <f t="shared" si="101"/>
        <v/>
      </c>
      <c r="AT247" s="52" t="str">
        <f t="shared" si="102"/>
        <v/>
      </c>
      <c r="AU247" s="52" t="str">
        <f t="shared" si="103"/>
        <v/>
      </c>
      <c r="AV247" s="52" t="str">
        <f t="shared" si="104"/>
        <v/>
      </c>
      <c r="AW247" s="52" t="str">
        <f t="shared" si="105"/>
        <v/>
      </c>
      <c r="AX247" s="52" t="str">
        <f t="shared" si="82"/>
        <v/>
      </c>
      <c r="AY247" s="52" t="str">
        <f t="shared" si="106"/>
        <v/>
      </c>
      <c r="AZ247" s="52"/>
      <c r="BA247" s="52"/>
      <c r="BB247" s="52"/>
      <c r="BC247" s="52"/>
      <c r="BD247" s="52"/>
      <c r="BE247" s="52"/>
      <c r="BF247" s="52"/>
      <c r="BG247" s="52"/>
      <c r="BH247" s="52"/>
      <c r="BI247" s="52"/>
      <c r="BJ247" s="52"/>
      <c r="BK247" s="52"/>
      <c r="BL247" s="52"/>
      <c r="BM247" s="52"/>
      <c r="BN247" s="52"/>
      <c r="BO247" s="52"/>
      <c r="BP247" s="52"/>
      <c r="BQ247" s="52"/>
      <c r="BR247" s="52"/>
      <c r="BS247" s="52"/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2"/>
      <c r="CI247" s="52"/>
      <c r="CJ247" s="52"/>
      <c r="CK247" s="52"/>
      <c r="CL247" s="52"/>
      <c r="CM247" s="52"/>
      <c r="CN247" s="52"/>
      <c r="CO247" s="52"/>
      <c r="CP247" s="52"/>
      <c r="CQ247" s="52"/>
      <c r="CR247" s="52"/>
      <c r="CS247" s="52"/>
      <c r="CT247" s="52"/>
      <c r="CU247" s="52"/>
      <c r="CV247" s="52"/>
      <c r="CW247" s="52"/>
      <c r="CX247" s="52"/>
      <c r="CY247" s="52"/>
      <c r="CZ247" s="52"/>
      <c r="DA247" s="52"/>
      <c r="DB247" s="52"/>
      <c r="DC247" s="52"/>
      <c r="DD247" s="52"/>
      <c r="DE247" s="52"/>
      <c r="DF247" s="52"/>
      <c r="DG247" s="52"/>
      <c r="DH247" s="52"/>
      <c r="DI247" s="52"/>
      <c r="DJ247" s="52"/>
      <c r="DK247" s="52"/>
      <c r="DL247" s="52"/>
      <c r="DM247" s="52"/>
      <c r="DN247" s="52"/>
      <c r="DO247" s="52"/>
      <c r="DP247" s="52"/>
      <c r="DQ247" s="52"/>
      <c r="DR247" s="52"/>
      <c r="DS247" s="52"/>
      <c r="DT247" s="52"/>
      <c r="DU247" s="52"/>
      <c r="DV247" s="52"/>
      <c r="DW247" s="52"/>
      <c r="DX247" s="52"/>
      <c r="DY247" s="52"/>
      <c r="DZ247" s="52"/>
      <c r="EA247" s="52"/>
      <c r="EB247" s="52"/>
      <c r="EC247" s="52"/>
      <c r="ED247" s="52"/>
      <c r="EE247" s="52"/>
      <c r="EF247" s="52"/>
      <c r="EG247" s="52"/>
      <c r="EH247" s="52"/>
      <c r="EI247" s="52"/>
      <c r="EJ247" s="52"/>
      <c r="EK247" s="52"/>
      <c r="EL247" s="52"/>
      <c r="EM247" s="52"/>
      <c r="EN247" s="52"/>
      <c r="EO247" s="52"/>
      <c r="EP247" s="52"/>
      <c r="EQ247" s="52"/>
      <c r="ER247" s="52"/>
      <c r="ES247" s="52"/>
      <c r="ET247" s="52"/>
      <c r="EU247" s="52"/>
      <c r="EV247" s="52"/>
      <c r="EW247" s="52"/>
      <c r="EX247" s="52"/>
      <c r="EY247" s="52"/>
      <c r="EZ247" s="52"/>
      <c r="FA247" s="52"/>
      <c r="FB247" s="52"/>
      <c r="FC247" s="52"/>
      <c r="FD247" s="52"/>
      <c r="FE247" s="52"/>
      <c r="FF247" s="52"/>
      <c r="FG247" s="13"/>
    </row>
    <row r="248" spans="1:163">
      <c r="A248" s="71"/>
      <c r="B248" s="70"/>
      <c r="C248" s="72"/>
      <c r="D248" s="73"/>
      <c r="E248" s="73"/>
      <c r="F248" s="73"/>
      <c r="G248" s="73"/>
      <c r="H248" s="73"/>
      <c r="I248" s="74"/>
      <c r="J248" s="74"/>
      <c r="K248" s="74"/>
      <c r="L248" s="73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5"/>
      <c r="Y248" s="70"/>
      <c r="Z248" s="12">
        <f t="shared" si="83"/>
        <v>0</v>
      </c>
      <c r="AA248" s="14">
        <f t="shared" si="81"/>
        <v>0</v>
      </c>
      <c r="AB248" s="6">
        <f t="shared" si="84"/>
        <v>0</v>
      </c>
      <c r="AC248" s="6">
        <f t="shared" si="85"/>
        <v>0</v>
      </c>
      <c r="AD248" s="6">
        <f t="shared" si="86"/>
        <v>0</v>
      </c>
      <c r="AE248" s="52" t="str">
        <f t="shared" si="87"/>
        <v/>
      </c>
      <c r="AF248" s="52" t="str">
        <f t="shared" si="88"/>
        <v/>
      </c>
      <c r="AG248" s="50" t="str">
        <f t="shared" si="89"/>
        <v/>
      </c>
      <c r="AH248" s="50" t="str">
        <f t="shared" si="90"/>
        <v/>
      </c>
      <c r="AI248" s="52" t="str">
        <f t="shared" si="91"/>
        <v/>
      </c>
      <c r="AJ248" s="52" t="str">
        <f t="shared" si="92"/>
        <v/>
      </c>
      <c r="AK248" s="52" t="str">
        <f t="shared" si="93"/>
        <v/>
      </c>
      <c r="AL248" s="52" t="str">
        <f t="shared" si="94"/>
        <v/>
      </c>
      <c r="AM248" s="52" t="str">
        <f t="shared" si="95"/>
        <v/>
      </c>
      <c r="AN248" s="52" t="str">
        <f t="shared" si="96"/>
        <v/>
      </c>
      <c r="AO248" s="52" t="str">
        <f t="shared" si="97"/>
        <v/>
      </c>
      <c r="AP248" s="52" t="str">
        <f t="shared" si="98"/>
        <v/>
      </c>
      <c r="AQ248" s="52" t="str">
        <f t="shared" si="99"/>
        <v/>
      </c>
      <c r="AR248" s="52" t="str">
        <f t="shared" si="100"/>
        <v/>
      </c>
      <c r="AS248" s="52" t="str">
        <f t="shared" si="101"/>
        <v/>
      </c>
      <c r="AT248" s="52" t="str">
        <f t="shared" si="102"/>
        <v/>
      </c>
      <c r="AU248" s="52" t="str">
        <f t="shared" si="103"/>
        <v/>
      </c>
      <c r="AV248" s="52" t="str">
        <f t="shared" si="104"/>
        <v/>
      </c>
      <c r="AW248" s="52" t="str">
        <f t="shared" si="105"/>
        <v/>
      </c>
      <c r="AX248" s="52" t="str">
        <f t="shared" si="82"/>
        <v/>
      </c>
      <c r="AY248" s="52" t="str">
        <f t="shared" si="106"/>
        <v/>
      </c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  <c r="BM248" s="52"/>
      <c r="BN248" s="52"/>
      <c r="BO248" s="52"/>
      <c r="BP248" s="52"/>
      <c r="BQ248" s="52"/>
      <c r="BR248" s="52"/>
      <c r="BS248" s="52"/>
      <c r="BT248" s="52"/>
      <c r="BU248" s="52"/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2"/>
      <c r="CI248" s="52"/>
      <c r="CJ248" s="52"/>
      <c r="CK248" s="52"/>
      <c r="CL248" s="52"/>
      <c r="CM248" s="52"/>
      <c r="CN248" s="52"/>
      <c r="CO248" s="52"/>
      <c r="CP248" s="52"/>
      <c r="CQ248" s="52"/>
      <c r="CR248" s="52"/>
      <c r="CS248" s="52"/>
      <c r="CT248" s="52"/>
      <c r="CU248" s="52"/>
      <c r="CV248" s="52"/>
      <c r="CW248" s="52"/>
      <c r="CX248" s="52"/>
      <c r="CY248" s="52"/>
      <c r="CZ248" s="52"/>
      <c r="DA248" s="52"/>
      <c r="DB248" s="52"/>
      <c r="DC248" s="52"/>
      <c r="DD248" s="52"/>
      <c r="DE248" s="52"/>
      <c r="DF248" s="52"/>
      <c r="DG248" s="52"/>
      <c r="DH248" s="52"/>
      <c r="DI248" s="52"/>
      <c r="DJ248" s="52"/>
      <c r="DK248" s="52"/>
      <c r="DL248" s="52"/>
      <c r="DM248" s="52"/>
      <c r="DN248" s="52"/>
      <c r="DO248" s="52"/>
      <c r="DP248" s="52"/>
      <c r="DQ248" s="52"/>
      <c r="DR248" s="52"/>
      <c r="DS248" s="52"/>
      <c r="DT248" s="52"/>
      <c r="DU248" s="52"/>
      <c r="DV248" s="52"/>
      <c r="DW248" s="52"/>
      <c r="DX248" s="52"/>
      <c r="DY248" s="52"/>
      <c r="DZ248" s="52"/>
      <c r="EA248" s="52"/>
      <c r="EB248" s="52"/>
      <c r="EC248" s="52"/>
      <c r="ED248" s="52"/>
      <c r="EE248" s="52"/>
      <c r="EF248" s="52"/>
      <c r="EG248" s="52"/>
      <c r="EH248" s="52"/>
      <c r="EI248" s="52"/>
      <c r="EJ248" s="52"/>
      <c r="EK248" s="52"/>
      <c r="EL248" s="52"/>
      <c r="EM248" s="52"/>
      <c r="EN248" s="52"/>
      <c r="EO248" s="52"/>
      <c r="EP248" s="52"/>
      <c r="EQ248" s="52"/>
      <c r="ER248" s="52"/>
      <c r="ES248" s="52"/>
      <c r="ET248" s="52"/>
      <c r="EU248" s="52"/>
      <c r="EV248" s="52"/>
      <c r="EW248" s="52"/>
      <c r="EX248" s="52"/>
      <c r="EY248" s="52"/>
      <c r="EZ248" s="52"/>
      <c r="FA248" s="52"/>
      <c r="FB248" s="52"/>
      <c r="FC248" s="52"/>
      <c r="FD248" s="52"/>
      <c r="FE248" s="52"/>
      <c r="FF248" s="52"/>
      <c r="FG248" s="13"/>
    </row>
    <row r="249" spans="1:163">
      <c r="A249" s="71"/>
      <c r="B249" s="70"/>
      <c r="C249" s="72"/>
      <c r="D249" s="73"/>
      <c r="E249" s="73"/>
      <c r="F249" s="73"/>
      <c r="G249" s="73"/>
      <c r="H249" s="73"/>
      <c r="I249" s="74"/>
      <c r="J249" s="74"/>
      <c r="K249" s="74"/>
      <c r="L249" s="73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5"/>
      <c r="Y249" s="70"/>
      <c r="Z249" s="12">
        <f t="shared" si="83"/>
        <v>0</v>
      </c>
      <c r="AA249" s="14">
        <f t="shared" si="81"/>
        <v>0</v>
      </c>
      <c r="AB249" s="6">
        <f t="shared" si="84"/>
        <v>0</v>
      </c>
      <c r="AC249" s="6">
        <f t="shared" si="85"/>
        <v>0</v>
      </c>
      <c r="AD249" s="6">
        <f t="shared" si="86"/>
        <v>0</v>
      </c>
      <c r="AE249" s="52" t="str">
        <f t="shared" si="87"/>
        <v/>
      </c>
      <c r="AF249" s="52" t="str">
        <f t="shared" si="88"/>
        <v/>
      </c>
      <c r="AG249" s="50" t="str">
        <f t="shared" si="89"/>
        <v/>
      </c>
      <c r="AH249" s="50" t="str">
        <f t="shared" si="90"/>
        <v/>
      </c>
      <c r="AI249" s="52" t="str">
        <f t="shared" si="91"/>
        <v/>
      </c>
      <c r="AJ249" s="52" t="str">
        <f t="shared" si="92"/>
        <v/>
      </c>
      <c r="AK249" s="52" t="str">
        <f t="shared" si="93"/>
        <v/>
      </c>
      <c r="AL249" s="52" t="str">
        <f t="shared" si="94"/>
        <v/>
      </c>
      <c r="AM249" s="52" t="str">
        <f t="shared" si="95"/>
        <v/>
      </c>
      <c r="AN249" s="52" t="str">
        <f t="shared" si="96"/>
        <v/>
      </c>
      <c r="AO249" s="52" t="str">
        <f t="shared" si="97"/>
        <v/>
      </c>
      <c r="AP249" s="52" t="str">
        <f t="shared" si="98"/>
        <v/>
      </c>
      <c r="AQ249" s="52" t="str">
        <f t="shared" si="99"/>
        <v/>
      </c>
      <c r="AR249" s="52" t="str">
        <f t="shared" si="100"/>
        <v/>
      </c>
      <c r="AS249" s="52" t="str">
        <f t="shared" si="101"/>
        <v/>
      </c>
      <c r="AT249" s="52" t="str">
        <f t="shared" si="102"/>
        <v/>
      </c>
      <c r="AU249" s="52" t="str">
        <f t="shared" si="103"/>
        <v/>
      </c>
      <c r="AV249" s="52" t="str">
        <f t="shared" si="104"/>
        <v/>
      </c>
      <c r="AW249" s="52" t="str">
        <f t="shared" si="105"/>
        <v/>
      </c>
      <c r="AX249" s="52" t="str">
        <f t="shared" si="82"/>
        <v/>
      </c>
      <c r="AY249" s="52" t="str">
        <f t="shared" si="106"/>
        <v/>
      </c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  <c r="BM249" s="52"/>
      <c r="BN249" s="52"/>
      <c r="BO249" s="52"/>
      <c r="BP249" s="52"/>
      <c r="BQ249" s="52"/>
      <c r="BR249" s="52"/>
      <c r="BS249" s="52"/>
      <c r="BT249" s="52"/>
      <c r="BU249" s="52"/>
      <c r="BV249" s="52"/>
      <c r="BW249" s="52"/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2"/>
      <c r="CI249" s="52"/>
      <c r="CJ249" s="52"/>
      <c r="CK249" s="52"/>
      <c r="CL249" s="52"/>
      <c r="CM249" s="52"/>
      <c r="CN249" s="52"/>
      <c r="CO249" s="52"/>
      <c r="CP249" s="52"/>
      <c r="CQ249" s="52"/>
      <c r="CR249" s="52"/>
      <c r="CS249" s="52"/>
      <c r="CT249" s="52"/>
      <c r="CU249" s="52"/>
      <c r="CV249" s="52"/>
      <c r="CW249" s="52"/>
      <c r="CX249" s="52"/>
      <c r="CY249" s="52"/>
      <c r="CZ249" s="52"/>
      <c r="DA249" s="52"/>
      <c r="DB249" s="52"/>
      <c r="DC249" s="52"/>
      <c r="DD249" s="52"/>
      <c r="DE249" s="52"/>
      <c r="DF249" s="52"/>
      <c r="DG249" s="52"/>
      <c r="DH249" s="52"/>
      <c r="DI249" s="52"/>
      <c r="DJ249" s="52"/>
      <c r="DK249" s="52"/>
      <c r="DL249" s="52"/>
      <c r="DM249" s="52"/>
      <c r="DN249" s="52"/>
      <c r="DO249" s="52"/>
      <c r="DP249" s="52"/>
      <c r="DQ249" s="52"/>
      <c r="DR249" s="52"/>
      <c r="DS249" s="52"/>
      <c r="DT249" s="52"/>
      <c r="DU249" s="52"/>
      <c r="DV249" s="52"/>
      <c r="DW249" s="52"/>
      <c r="DX249" s="52"/>
      <c r="DY249" s="52"/>
      <c r="DZ249" s="52"/>
      <c r="EA249" s="52"/>
      <c r="EB249" s="52"/>
      <c r="EC249" s="52"/>
      <c r="ED249" s="52"/>
      <c r="EE249" s="52"/>
      <c r="EF249" s="52"/>
      <c r="EG249" s="52"/>
      <c r="EH249" s="52"/>
      <c r="EI249" s="52"/>
      <c r="EJ249" s="52"/>
      <c r="EK249" s="52"/>
      <c r="EL249" s="52"/>
      <c r="EM249" s="52"/>
      <c r="EN249" s="52"/>
      <c r="EO249" s="52"/>
      <c r="EP249" s="52"/>
      <c r="EQ249" s="52"/>
      <c r="ER249" s="52"/>
      <c r="ES249" s="52"/>
      <c r="ET249" s="52"/>
      <c r="EU249" s="52"/>
      <c r="EV249" s="52"/>
      <c r="EW249" s="52"/>
      <c r="EX249" s="52"/>
      <c r="EY249" s="52"/>
      <c r="EZ249" s="52"/>
      <c r="FA249" s="52"/>
      <c r="FB249" s="52"/>
      <c r="FC249" s="52"/>
      <c r="FD249" s="52"/>
      <c r="FE249" s="52"/>
      <c r="FF249" s="52"/>
      <c r="FG249" s="13"/>
    </row>
    <row r="250" spans="1:163">
      <c r="A250" s="71"/>
      <c r="B250" s="70"/>
      <c r="C250" s="72"/>
      <c r="D250" s="73"/>
      <c r="E250" s="73"/>
      <c r="F250" s="73"/>
      <c r="G250" s="73"/>
      <c r="H250" s="73"/>
      <c r="I250" s="74"/>
      <c r="J250" s="74"/>
      <c r="K250" s="74"/>
      <c r="L250" s="73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5"/>
      <c r="Y250" s="70"/>
      <c r="Z250" s="12">
        <f t="shared" si="83"/>
        <v>0</v>
      </c>
      <c r="AA250" s="14">
        <f t="shared" si="81"/>
        <v>0</v>
      </c>
      <c r="AB250" s="6">
        <f t="shared" si="84"/>
        <v>0</v>
      </c>
      <c r="AC250" s="6">
        <f t="shared" si="85"/>
        <v>0</v>
      </c>
      <c r="AD250" s="6">
        <f t="shared" si="86"/>
        <v>0</v>
      </c>
      <c r="AE250" s="52" t="str">
        <f t="shared" si="87"/>
        <v/>
      </c>
      <c r="AF250" s="52" t="str">
        <f t="shared" si="88"/>
        <v/>
      </c>
      <c r="AG250" s="50" t="str">
        <f t="shared" si="89"/>
        <v/>
      </c>
      <c r="AH250" s="50" t="str">
        <f t="shared" si="90"/>
        <v/>
      </c>
      <c r="AI250" s="52" t="str">
        <f t="shared" si="91"/>
        <v/>
      </c>
      <c r="AJ250" s="52" t="str">
        <f t="shared" si="92"/>
        <v/>
      </c>
      <c r="AK250" s="52" t="str">
        <f t="shared" si="93"/>
        <v/>
      </c>
      <c r="AL250" s="52" t="str">
        <f t="shared" si="94"/>
        <v/>
      </c>
      <c r="AM250" s="52" t="str">
        <f t="shared" si="95"/>
        <v/>
      </c>
      <c r="AN250" s="52" t="str">
        <f t="shared" si="96"/>
        <v/>
      </c>
      <c r="AO250" s="52" t="str">
        <f t="shared" si="97"/>
        <v/>
      </c>
      <c r="AP250" s="52" t="str">
        <f t="shared" si="98"/>
        <v/>
      </c>
      <c r="AQ250" s="52" t="str">
        <f t="shared" si="99"/>
        <v/>
      </c>
      <c r="AR250" s="52" t="str">
        <f t="shared" si="100"/>
        <v/>
      </c>
      <c r="AS250" s="52" t="str">
        <f t="shared" si="101"/>
        <v/>
      </c>
      <c r="AT250" s="52" t="str">
        <f t="shared" si="102"/>
        <v/>
      </c>
      <c r="AU250" s="52" t="str">
        <f t="shared" si="103"/>
        <v/>
      </c>
      <c r="AV250" s="52" t="str">
        <f t="shared" si="104"/>
        <v/>
      </c>
      <c r="AW250" s="52" t="str">
        <f t="shared" si="105"/>
        <v/>
      </c>
      <c r="AX250" s="52" t="str">
        <f t="shared" si="82"/>
        <v/>
      </c>
      <c r="AY250" s="52" t="str">
        <f t="shared" si="106"/>
        <v/>
      </c>
      <c r="AZ250" s="52"/>
      <c r="BA250" s="52"/>
      <c r="BB250" s="52"/>
      <c r="BC250" s="52"/>
      <c r="BD250" s="52"/>
      <c r="BE250" s="52"/>
      <c r="BF250" s="52"/>
      <c r="BG250" s="52"/>
      <c r="BH250" s="52"/>
      <c r="BI250" s="52"/>
      <c r="BJ250" s="52"/>
      <c r="BK250" s="52"/>
      <c r="BL250" s="52"/>
      <c r="BM250" s="52"/>
      <c r="BN250" s="52"/>
      <c r="BO250" s="52"/>
      <c r="BP250" s="52"/>
      <c r="BQ250" s="52"/>
      <c r="BR250" s="52"/>
      <c r="BS250" s="52"/>
      <c r="BT250" s="52"/>
      <c r="BU250" s="52"/>
      <c r="BV250" s="52"/>
      <c r="BW250" s="52"/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2"/>
      <c r="CI250" s="52"/>
      <c r="CJ250" s="52"/>
      <c r="CK250" s="52"/>
      <c r="CL250" s="52"/>
      <c r="CM250" s="52"/>
      <c r="CN250" s="52"/>
      <c r="CO250" s="52"/>
      <c r="CP250" s="52"/>
      <c r="CQ250" s="52"/>
      <c r="CR250" s="52"/>
      <c r="CS250" s="52"/>
      <c r="CT250" s="52"/>
      <c r="CU250" s="52"/>
      <c r="CV250" s="52"/>
      <c r="CW250" s="52"/>
      <c r="CX250" s="52"/>
      <c r="CY250" s="52"/>
      <c r="CZ250" s="52"/>
      <c r="DA250" s="52"/>
      <c r="DB250" s="52"/>
      <c r="DC250" s="52"/>
      <c r="DD250" s="52"/>
      <c r="DE250" s="52"/>
      <c r="DF250" s="52"/>
      <c r="DG250" s="52"/>
      <c r="DH250" s="52"/>
      <c r="DI250" s="52"/>
      <c r="DJ250" s="52"/>
      <c r="DK250" s="52"/>
      <c r="DL250" s="52"/>
      <c r="DM250" s="52"/>
      <c r="DN250" s="52"/>
      <c r="DO250" s="52"/>
      <c r="DP250" s="52"/>
      <c r="DQ250" s="52"/>
      <c r="DR250" s="52"/>
      <c r="DS250" s="52"/>
      <c r="DT250" s="52"/>
      <c r="DU250" s="52"/>
      <c r="DV250" s="52"/>
      <c r="DW250" s="52"/>
      <c r="DX250" s="52"/>
      <c r="DY250" s="52"/>
      <c r="DZ250" s="52"/>
      <c r="EA250" s="52"/>
      <c r="EB250" s="52"/>
      <c r="EC250" s="52"/>
      <c r="ED250" s="52"/>
      <c r="EE250" s="52"/>
      <c r="EF250" s="52"/>
      <c r="EG250" s="52"/>
      <c r="EH250" s="52"/>
      <c r="EI250" s="52"/>
      <c r="EJ250" s="52"/>
      <c r="EK250" s="52"/>
      <c r="EL250" s="52"/>
      <c r="EM250" s="52"/>
      <c r="EN250" s="52"/>
      <c r="EO250" s="52"/>
      <c r="EP250" s="52"/>
      <c r="EQ250" s="52"/>
      <c r="ER250" s="52"/>
      <c r="ES250" s="52"/>
      <c r="ET250" s="52"/>
      <c r="EU250" s="52"/>
      <c r="EV250" s="52"/>
      <c r="EW250" s="52"/>
      <c r="EX250" s="52"/>
      <c r="EY250" s="52"/>
      <c r="EZ250" s="52"/>
      <c r="FA250" s="52"/>
      <c r="FB250" s="52"/>
      <c r="FC250" s="52"/>
      <c r="FD250" s="52"/>
      <c r="FE250" s="52"/>
      <c r="FF250" s="52"/>
      <c r="FG250" s="13"/>
    </row>
    <row r="251" spans="1:163">
      <c r="A251" s="71"/>
      <c r="B251" s="70"/>
      <c r="C251" s="72"/>
      <c r="D251" s="73"/>
      <c r="E251" s="73"/>
      <c r="F251" s="73"/>
      <c r="G251" s="73"/>
      <c r="H251" s="73"/>
      <c r="I251" s="74"/>
      <c r="J251" s="74"/>
      <c r="K251" s="74"/>
      <c r="L251" s="73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5"/>
      <c r="Y251" s="70"/>
      <c r="Z251" s="12">
        <f t="shared" si="83"/>
        <v>0</v>
      </c>
      <c r="AA251" s="14">
        <f t="shared" si="81"/>
        <v>0</v>
      </c>
      <c r="AB251" s="6">
        <f t="shared" si="84"/>
        <v>0</v>
      </c>
      <c r="AC251" s="6">
        <f t="shared" si="85"/>
        <v>0</v>
      </c>
      <c r="AD251" s="6">
        <f t="shared" si="86"/>
        <v>0</v>
      </c>
      <c r="AE251" s="52" t="str">
        <f t="shared" si="87"/>
        <v/>
      </c>
      <c r="AF251" s="52" t="str">
        <f t="shared" si="88"/>
        <v/>
      </c>
      <c r="AG251" s="50" t="str">
        <f t="shared" si="89"/>
        <v/>
      </c>
      <c r="AH251" s="50" t="str">
        <f t="shared" si="90"/>
        <v/>
      </c>
      <c r="AI251" s="52" t="str">
        <f t="shared" si="91"/>
        <v/>
      </c>
      <c r="AJ251" s="52" t="str">
        <f t="shared" si="92"/>
        <v/>
      </c>
      <c r="AK251" s="52" t="str">
        <f t="shared" si="93"/>
        <v/>
      </c>
      <c r="AL251" s="52" t="str">
        <f t="shared" si="94"/>
        <v/>
      </c>
      <c r="AM251" s="52" t="str">
        <f t="shared" si="95"/>
        <v/>
      </c>
      <c r="AN251" s="52" t="str">
        <f t="shared" si="96"/>
        <v/>
      </c>
      <c r="AO251" s="52" t="str">
        <f t="shared" si="97"/>
        <v/>
      </c>
      <c r="AP251" s="52" t="str">
        <f t="shared" si="98"/>
        <v/>
      </c>
      <c r="AQ251" s="52" t="str">
        <f t="shared" si="99"/>
        <v/>
      </c>
      <c r="AR251" s="52" t="str">
        <f t="shared" si="100"/>
        <v/>
      </c>
      <c r="AS251" s="52" t="str">
        <f t="shared" si="101"/>
        <v/>
      </c>
      <c r="AT251" s="52" t="str">
        <f t="shared" si="102"/>
        <v/>
      </c>
      <c r="AU251" s="52" t="str">
        <f t="shared" si="103"/>
        <v/>
      </c>
      <c r="AV251" s="52" t="str">
        <f t="shared" si="104"/>
        <v/>
      </c>
      <c r="AW251" s="52" t="str">
        <f t="shared" si="105"/>
        <v/>
      </c>
      <c r="AX251" s="52" t="str">
        <f t="shared" si="82"/>
        <v/>
      </c>
      <c r="AY251" s="52" t="str">
        <f t="shared" si="106"/>
        <v/>
      </c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  <c r="BM251" s="52"/>
      <c r="BN251" s="52"/>
      <c r="BO251" s="52"/>
      <c r="BP251" s="52"/>
      <c r="BQ251" s="52"/>
      <c r="BR251" s="52"/>
      <c r="BS251" s="52"/>
      <c r="BT251" s="52"/>
      <c r="BU251" s="52"/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2"/>
      <c r="CI251" s="52"/>
      <c r="CJ251" s="52"/>
      <c r="CK251" s="52"/>
      <c r="CL251" s="52"/>
      <c r="CM251" s="52"/>
      <c r="CN251" s="52"/>
      <c r="CO251" s="52"/>
      <c r="CP251" s="52"/>
      <c r="CQ251" s="52"/>
      <c r="CR251" s="52"/>
      <c r="CS251" s="52"/>
      <c r="CT251" s="52"/>
      <c r="CU251" s="52"/>
      <c r="CV251" s="52"/>
      <c r="CW251" s="52"/>
      <c r="CX251" s="52"/>
      <c r="CY251" s="52"/>
      <c r="CZ251" s="52"/>
      <c r="DA251" s="52"/>
      <c r="DB251" s="52"/>
      <c r="DC251" s="52"/>
      <c r="DD251" s="52"/>
      <c r="DE251" s="52"/>
      <c r="DF251" s="52"/>
      <c r="DG251" s="52"/>
      <c r="DH251" s="52"/>
      <c r="DI251" s="52"/>
      <c r="DJ251" s="52"/>
      <c r="DK251" s="52"/>
      <c r="DL251" s="52"/>
      <c r="DM251" s="52"/>
      <c r="DN251" s="52"/>
      <c r="DO251" s="52"/>
      <c r="DP251" s="52"/>
      <c r="DQ251" s="52"/>
      <c r="DR251" s="52"/>
      <c r="DS251" s="52"/>
      <c r="DT251" s="52"/>
      <c r="DU251" s="52"/>
      <c r="DV251" s="52"/>
      <c r="DW251" s="52"/>
      <c r="DX251" s="52"/>
      <c r="DY251" s="52"/>
      <c r="DZ251" s="52"/>
      <c r="EA251" s="52"/>
      <c r="EB251" s="52"/>
      <c r="EC251" s="52"/>
      <c r="ED251" s="52"/>
      <c r="EE251" s="52"/>
      <c r="EF251" s="52"/>
      <c r="EG251" s="52"/>
      <c r="EH251" s="52"/>
      <c r="EI251" s="52"/>
      <c r="EJ251" s="52"/>
      <c r="EK251" s="52"/>
      <c r="EL251" s="52"/>
      <c r="EM251" s="52"/>
      <c r="EN251" s="52"/>
      <c r="EO251" s="52"/>
      <c r="EP251" s="52"/>
      <c r="EQ251" s="52"/>
      <c r="ER251" s="52"/>
      <c r="ES251" s="52"/>
      <c r="ET251" s="52"/>
      <c r="EU251" s="52"/>
      <c r="EV251" s="52"/>
      <c r="EW251" s="52"/>
      <c r="EX251" s="52"/>
      <c r="EY251" s="52"/>
      <c r="EZ251" s="52"/>
      <c r="FA251" s="52"/>
      <c r="FB251" s="52"/>
      <c r="FC251" s="52"/>
      <c r="FD251" s="52"/>
      <c r="FE251" s="52"/>
      <c r="FF251" s="52"/>
      <c r="FG251" s="13"/>
    </row>
    <row r="252" spans="1:163">
      <c r="A252" s="71"/>
      <c r="B252" s="70"/>
      <c r="C252" s="72"/>
      <c r="D252" s="73"/>
      <c r="E252" s="73"/>
      <c r="F252" s="73"/>
      <c r="G252" s="73"/>
      <c r="H252" s="73"/>
      <c r="I252" s="74"/>
      <c r="J252" s="74"/>
      <c r="K252" s="74"/>
      <c r="L252" s="73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5"/>
      <c r="Y252" s="70"/>
      <c r="Z252" s="12">
        <f t="shared" si="83"/>
        <v>0</v>
      </c>
      <c r="AA252" s="14">
        <f t="shared" si="81"/>
        <v>0</v>
      </c>
      <c r="AB252" s="6">
        <f t="shared" si="84"/>
        <v>0</v>
      </c>
      <c r="AC252" s="6">
        <f t="shared" si="85"/>
        <v>0</v>
      </c>
      <c r="AD252" s="6">
        <f t="shared" si="86"/>
        <v>0</v>
      </c>
      <c r="AE252" s="52" t="str">
        <f t="shared" si="87"/>
        <v/>
      </c>
      <c r="AF252" s="52" t="str">
        <f t="shared" si="88"/>
        <v/>
      </c>
      <c r="AG252" s="50" t="str">
        <f t="shared" si="89"/>
        <v/>
      </c>
      <c r="AH252" s="50" t="str">
        <f t="shared" si="90"/>
        <v/>
      </c>
      <c r="AI252" s="52" t="str">
        <f t="shared" si="91"/>
        <v/>
      </c>
      <c r="AJ252" s="52" t="str">
        <f t="shared" si="92"/>
        <v/>
      </c>
      <c r="AK252" s="52" t="str">
        <f t="shared" si="93"/>
        <v/>
      </c>
      <c r="AL252" s="52" t="str">
        <f t="shared" si="94"/>
        <v/>
      </c>
      <c r="AM252" s="52" t="str">
        <f t="shared" si="95"/>
        <v/>
      </c>
      <c r="AN252" s="52" t="str">
        <f t="shared" si="96"/>
        <v/>
      </c>
      <c r="AO252" s="52" t="str">
        <f t="shared" si="97"/>
        <v/>
      </c>
      <c r="AP252" s="52" t="str">
        <f t="shared" si="98"/>
        <v/>
      </c>
      <c r="AQ252" s="52" t="str">
        <f t="shared" si="99"/>
        <v/>
      </c>
      <c r="AR252" s="52" t="str">
        <f t="shared" si="100"/>
        <v/>
      </c>
      <c r="AS252" s="52" t="str">
        <f t="shared" si="101"/>
        <v/>
      </c>
      <c r="AT252" s="52" t="str">
        <f t="shared" si="102"/>
        <v/>
      </c>
      <c r="AU252" s="52" t="str">
        <f t="shared" si="103"/>
        <v/>
      </c>
      <c r="AV252" s="52" t="str">
        <f t="shared" si="104"/>
        <v/>
      </c>
      <c r="AW252" s="52" t="str">
        <f t="shared" si="105"/>
        <v/>
      </c>
      <c r="AX252" s="52" t="str">
        <f t="shared" si="82"/>
        <v/>
      </c>
      <c r="AY252" s="52" t="str">
        <f t="shared" si="106"/>
        <v/>
      </c>
      <c r="AZ252" s="52"/>
      <c r="BA252" s="52"/>
      <c r="BB252" s="52"/>
      <c r="BC252" s="52"/>
      <c r="BD252" s="52"/>
      <c r="BE252" s="52"/>
      <c r="BF252" s="52"/>
      <c r="BG252" s="52"/>
      <c r="BH252" s="52"/>
      <c r="BI252" s="52"/>
      <c r="BJ252" s="52"/>
      <c r="BK252" s="52"/>
      <c r="BL252" s="52"/>
      <c r="BM252" s="52"/>
      <c r="BN252" s="52"/>
      <c r="BO252" s="52"/>
      <c r="BP252" s="52"/>
      <c r="BQ252" s="52"/>
      <c r="BR252" s="52"/>
      <c r="BS252" s="52"/>
      <c r="BT252" s="52"/>
      <c r="BU252" s="52"/>
      <c r="BV252" s="52"/>
      <c r="BW252" s="52"/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2"/>
      <c r="CI252" s="52"/>
      <c r="CJ252" s="52"/>
      <c r="CK252" s="52"/>
      <c r="CL252" s="52"/>
      <c r="CM252" s="52"/>
      <c r="CN252" s="52"/>
      <c r="CO252" s="52"/>
      <c r="CP252" s="52"/>
      <c r="CQ252" s="52"/>
      <c r="CR252" s="52"/>
      <c r="CS252" s="52"/>
      <c r="CT252" s="52"/>
      <c r="CU252" s="52"/>
      <c r="CV252" s="52"/>
      <c r="CW252" s="52"/>
      <c r="CX252" s="52"/>
      <c r="CY252" s="52"/>
      <c r="CZ252" s="52"/>
      <c r="DA252" s="52"/>
      <c r="DB252" s="52"/>
      <c r="DC252" s="52"/>
      <c r="DD252" s="52"/>
      <c r="DE252" s="52"/>
      <c r="DF252" s="52"/>
      <c r="DG252" s="52"/>
      <c r="DH252" s="52"/>
      <c r="DI252" s="52"/>
      <c r="DJ252" s="52"/>
      <c r="DK252" s="52"/>
      <c r="DL252" s="52"/>
      <c r="DM252" s="52"/>
      <c r="DN252" s="52"/>
      <c r="DO252" s="52"/>
      <c r="DP252" s="52"/>
      <c r="DQ252" s="52"/>
      <c r="DR252" s="52"/>
      <c r="DS252" s="52"/>
      <c r="DT252" s="52"/>
      <c r="DU252" s="52"/>
      <c r="DV252" s="52"/>
      <c r="DW252" s="52"/>
      <c r="DX252" s="52"/>
      <c r="DY252" s="52"/>
      <c r="DZ252" s="52"/>
      <c r="EA252" s="52"/>
      <c r="EB252" s="52"/>
      <c r="EC252" s="52"/>
      <c r="ED252" s="52"/>
      <c r="EE252" s="52"/>
      <c r="EF252" s="52"/>
      <c r="EG252" s="52"/>
      <c r="EH252" s="52"/>
      <c r="EI252" s="52"/>
      <c r="EJ252" s="52"/>
      <c r="EK252" s="52"/>
      <c r="EL252" s="52"/>
      <c r="EM252" s="52"/>
      <c r="EN252" s="52"/>
      <c r="EO252" s="52"/>
      <c r="EP252" s="52"/>
      <c r="EQ252" s="52"/>
      <c r="ER252" s="52"/>
      <c r="ES252" s="52"/>
      <c r="ET252" s="52"/>
      <c r="EU252" s="52"/>
      <c r="EV252" s="52"/>
      <c r="EW252" s="52"/>
      <c r="EX252" s="52"/>
      <c r="EY252" s="52"/>
      <c r="EZ252" s="52"/>
      <c r="FA252" s="52"/>
      <c r="FB252" s="52"/>
      <c r="FC252" s="52"/>
      <c r="FD252" s="52"/>
      <c r="FE252" s="52"/>
      <c r="FF252" s="52"/>
      <c r="FG252" s="13"/>
    </row>
    <row r="253" spans="1:163">
      <c r="A253" s="71"/>
      <c r="B253" s="70"/>
      <c r="C253" s="72"/>
      <c r="D253" s="73"/>
      <c r="E253" s="73"/>
      <c r="F253" s="73"/>
      <c r="G253" s="73"/>
      <c r="H253" s="73"/>
      <c r="I253" s="74"/>
      <c r="J253" s="74"/>
      <c r="K253" s="74"/>
      <c r="L253" s="73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5"/>
      <c r="Y253" s="70"/>
      <c r="Z253" s="12">
        <f t="shared" si="83"/>
        <v>0</v>
      </c>
      <c r="AA253" s="14">
        <f t="shared" si="81"/>
        <v>0</v>
      </c>
      <c r="AB253" s="6">
        <f t="shared" si="84"/>
        <v>0</v>
      </c>
      <c r="AC253" s="6">
        <f t="shared" si="85"/>
        <v>0</v>
      </c>
      <c r="AD253" s="6">
        <f t="shared" si="86"/>
        <v>0</v>
      </c>
      <c r="AE253" s="52" t="str">
        <f t="shared" si="87"/>
        <v/>
      </c>
      <c r="AF253" s="52" t="str">
        <f t="shared" si="88"/>
        <v/>
      </c>
      <c r="AG253" s="50" t="str">
        <f t="shared" si="89"/>
        <v/>
      </c>
      <c r="AH253" s="50" t="str">
        <f t="shared" si="90"/>
        <v/>
      </c>
      <c r="AI253" s="52" t="str">
        <f t="shared" si="91"/>
        <v/>
      </c>
      <c r="AJ253" s="52" t="str">
        <f t="shared" si="92"/>
        <v/>
      </c>
      <c r="AK253" s="52" t="str">
        <f t="shared" si="93"/>
        <v/>
      </c>
      <c r="AL253" s="52" t="str">
        <f t="shared" si="94"/>
        <v/>
      </c>
      <c r="AM253" s="52" t="str">
        <f t="shared" si="95"/>
        <v/>
      </c>
      <c r="AN253" s="52" t="str">
        <f t="shared" si="96"/>
        <v/>
      </c>
      <c r="AO253" s="52" t="str">
        <f t="shared" si="97"/>
        <v/>
      </c>
      <c r="AP253" s="52" t="str">
        <f t="shared" si="98"/>
        <v/>
      </c>
      <c r="AQ253" s="52" t="str">
        <f t="shared" si="99"/>
        <v/>
      </c>
      <c r="AR253" s="52" t="str">
        <f t="shared" si="100"/>
        <v/>
      </c>
      <c r="AS253" s="52" t="str">
        <f t="shared" si="101"/>
        <v/>
      </c>
      <c r="AT253" s="52" t="str">
        <f t="shared" si="102"/>
        <v/>
      </c>
      <c r="AU253" s="52" t="str">
        <f t="shared" si="103"/>
        <v/>
      </c>
      <c r="AV253" s="52" t="str">
        <f t="shared" si="104"/>
        <v/>
      </c>
      <c r="AW253" s="52" t="str">
        <f t="shared" si="105"/>
        <v/>
      </c>
      <c r="AX253" s="52" t="str">
        <f t="shared" si="82"/>
        <v/>
      </c>
      <c r="AY253" s="52" t="str">
        <f t="shared" si="106"/>
        <v/>
      </c>
      <c r="AZ253" s="52"/>
      <c r="BA253" s="52"/>
      <c r="BB253" s="52"/>
      <c r="BC253" s="52"/>
      <c r="BD253" s="52"/>
      <c r="BE253" s="52"/>
      <c r="BF253" s="52"/>
      <c r="BG253" s="52"/>
      <c r="BH253" s="52"/>
      <c r="BI253" s="52"/>
      <c r="BJ253" s="52"/>
      <c r="BK253" s="52"/>
      <c r="BL253" s="52"/>
      <c r="BM253" s="52"/>
      <c r="BN253" s="52"/>
      <c r="BO253" s="52"/>
      <c r="BP253" s="52"/>
      <c r="BQ253" s="52"/>
      <c r="BR253" s="52"/>
      <c r="BS253" s="52"/>
      <c r="BT253" s="52"/>
      <c r="BU253" s="52"/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2"/>
      <c r="CI253" s="52"/>
      <c r="CJ253" s="52"/>
      <c r="CK253" s="52"/>
      <c r="CL253" s="52"/>
      <c r="CM253" s="52"/>
      <c r="CN253" s="52"/>
      <c r="CO253" s="52"/>
      <c r="CP253" s="52"/>
      <c r="CQ253" s="52"/>
      <c r="CR253" s="52"/>
      <c r="CS253" s="52"/>
      <c r="CT253" s="52"/>
      <c r="CU253" s="52"/>
      <c r="CV253" s="52"/>
      <c r="CW253" s="52"/>
      <c r="CX253" s="52"/>
      <c r="CY253" s="52"/>
      <c r="CZ253" s="52"/>
      <c r="DA253" s="52"/>
      <c r="DB253" s="52"/>
      <c r="DC253" s="52"/>
      <c r="DD253" s="52"/>
      <c r="DE253" s="52"/>
      <c r="DF253" s="52"/>
      <c r="DG253" s="52"/>
      <c r="DH253" s="52"/>
      <c r="DI253" s="52"/>
      <c r="DJ253" s="52"/>
      <c r="DK253" s="52"/>
      <c r="DL253" s="52"/>
      <c r="DM253" s="52"/>
      <c r="DN253" s="52"/>
      <c r="DO253" s="52"/>
      <c r="DP253" s="52"/>
      <c r="DQ253" s="52"/>
      <c r="DR253" s="52"/>
      <c r="DS253" s="52"/>
      <c r="DT253" s="52"/>
      <c r="DU253" s="52"/>
      <c r="DV253" s="52"/>
      <c r="DW253" s="52"/>
      <c r="DX253" s="52"/>
      <c r="DY253" s="52"/>
      <c r="DZ253" s="52"/>
      <c r="EA253" s="52"/>
      <c r="EB253" s="52"/>
      <c r="EC253" s="52"/>
      <c r="ED253" s="52"/>
      <c r="EE253" s="52"/>
      <c r="EF253" s="52"/>
      <c r="EG253" s="52"/>
      <c r="EH253" s="52"/>
      <c r="EI253" s="52"/>
      <c r="EJ253" s="52"/>
      <c r="EK253" s="52"/>
      <c r="EL253" s="52"/>
      <c r="EM253" s="52"/>
      <c r="EN253" s="52"/>
      <c r="EO253" s="52"/>
      <c r="EP253" s="52"/>
      <c r="EQ253" s="52"/>
      <c r="ER253" s="52"/>
      <c r="ES253" s="52"/>
      <c r="ET253" s="52"/>
      <c r="EU253" s="52"/>
      <c r="EV253" s="52"/>
      <c r="EW253" s="52"/>
      <c r="EX253" s="52"/>
      <c r="EY253" s="52"/>
      <c r="EZ253" s="52"/>
      <c r="FA253" s="52"/>
      <c r="FB253" s="52"/>
      <c r="FC253" s="52"/>
      <c r="FD253" s="52"/>
      <c r="FE253" s="52"/>
      <c r="FF253" s="52"/>
      <c r="FG253" s="13"/>
    </row>
    <row r="254" spans="1:163">
      <c r="A254" s="71"/>
      <c r="B254" s="70"/>
      <c r="C254" s="72"/>
      <c r="D254" s="73"/>
      <c r="E254" s="73"/>
      <c r="F254" s="73"/>
      <c r="G254" s="73"/>
      <c r="H254" s="73"/>
      <c r="I254" s="74"/>
      <c r="J254" s="74"/>
      <c r="K254" s="74"/>
      <c r="L254" s="73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5"/>
      <c r="Y254" s="70"/>
      <c r="Z254" s="12">
        <f t="shared" si="83"/>
        <v>0</v>
      </c>
      <c r="AA254" s="14">
        <f t="shared" ref="AA254:AA297" si="107">IF(X254&lt;&gt;"",0.0001,IF(Y254+Z254=0,0,IF(Y254=0,80+(Z254*80),IF(Y254&gt;0,110+(Z254*80)))))</f>
        <v>0</v>
      </c>
      <c r="AB254" s="6">
        <f t="shared" si="84"/>
        <v>0</v>
      </c>
      <c r="AC254" s="6">
        <f t="shared" si="85"/>
        <v>0</v>
      </c>
      <c r="AD254" s="6">
        <f t="shared" si="86"/>
        <v>0</v>
      </c>
      <c r="AE254" s="52" t="str">
        <f t="shared" si="87"/>
        <v/>
      </c>
      <c r="AF254" s="52" t="str">
        <f t="shared" si="88"/>
        <v/>
      </c>
      <c r="AG254" s="50" t="str">
        <f t="shared" si="89"/>
        <v/>
      </c>
      <c r="AH254" s="50" t="str">
        <f t="shared" si="90"/>
        <v/>
      </c>
      <c r="AI254" s="52" t="str">
        <f t="shared" si="91"/>
        <v/>
      </c>
      <c r="AJ254" s="52" t="str">
        <f t="shared" si="92"/>
        <v/>
      </c>
      <c r="AK254" s="52" t="str">
        <f t="shared" si="93"/>
        <v/>
      </c>
      <c r="AL254" s="52" t="str">
        <f t="shared" si="94"/>
        <v/>
      </c>
      <c r="AM254" s="52" t="str">
        <f t="shared" si="95"/>
        <v/>
      </c>
      <c r="AN254" s="52" t="str">
        <f t="shared" si="96"/>
        <v/>
      </c>
      <c r="AO254" s="52" t="str">
        <f t="shared" si="97"/>
        <v/>
      </c>
      <c r="AP254" s="52" t="str">
        <f t="shared" si="98"/>
        <v/>
      </c>
      <c r="AQ254" s="52" t="str">
        <f t="shared" si="99"/>
        <v/>
      </c>
      <c r="AR254" s="52" t="str">
        <f t="shared" si="100"/>
        <v/>
      </c>
      <c r="AS254" s="52" t="str">
        <f t="shared" si="101"/>
        <v/>
      </c>
      <c r="AT254" s="52" t="str">
        <f t="shared" si="102"/>
        <v/>
      </c>
      <c r="AU254" s="52" t="str">
        <f t="shared" si="103"/>
        <v/>
      </c>
      <c r="AV254" s="52" t="str">
        <f t="shared" si="104"/>
        <v/>
      </c>
      <c r="AW254" s="52" t="str">
        <f t="shared" si="105"/>
        <v/>
      </c>
      <c r="AX254" s="52" t="str">
        <f t="shared" ref="AX254:AX297" si="108">IF(C254="","",IF(AB254&gt;=3,"",IF(AD254&gt;=2,"",IF(C254&gt;=$CL$2,$EZ$3,IF(AND(C254&gt;=$CM$1,C254&lt;=$CM$2),$FA$3,IF(AND(C254&gt;=$CN$1,C254&lt;=$CN$2),$FB$3,IF(AND(C254&gt;=$CO$1,C254&lt;=$CO$2),$FC$3,IF(AND(C254&gt;=$CP$1,C254&lt;=$CP$2),$FD$3,IF(C254&lt;=$CQ$2,$FE$3,"")))))))))</f>
        <v/>
      </c>
      <c r="AY254" s="52" t="str">
        <f t="shared" si="106"/>
        <v/>
      </c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  <c r="BM254" s="52"/>
      <c r="BN254" s="52"/>
      <c r="BO254" s="52"/>
      <c r="BP254" s="52"/>
      <c r="BQ254" s="52"/>
      <c r="BR254" s="52"/>
      <c r="BS254" s="52"/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2"/>
      <c r="CI254" s="52"/>
      <c r="CJ254" s="52"/>
      <c r="CK254" s="52"/>
      <c r="CL254" s="52"/>
      <c r="CM254" s="52"/>
      <c r="CN254" s="52"/>
      <c r="CO254" s="52"/>
      <c r="CP254" s="52"/>
      <c r="CQ254" s="52"/>
      <c r="CR254" s="52"/>
      <c r="CS254" s="52"/>
      <c r="CT254" s="52"/>
      <c r="CU254" s="52"/>
      <c r="CV254" s="52"/>
      <c r="CW254" s="52"/>
      <c r="CX254" s="52"/>
      <c r="CY254" s="52"/>
      <c r="CZ254" s="52"/>
      <c r="DA254" s="52"/>
      <c r="DB254" s="52"/>
      <c r="DC254" s="52"/>
      <c r="DD254" s="52"/>
      <c r="DE254" s="52"/>
      <c r="DF254" s="52"/>
      <c r="DG254" s="52"/>
      <c r="DH254" s="52"/>
      <c r="DI254" s="52"/>
      <c r="DJ254" s="52"/>
      <c r="DK254" s="52"/>
      <c r="DL254" s="52"/>
      <c r="DM254" s="52"/>
      <c r="DN254" s="52"/>
      <c r="DO254" s="52"/>
      <c r="DP254" s="52"/>
      <c r="DQ254" s="52"/>
      <c r="DR254" s="52"/>
      <c r="DS254" s="52"/>
      <c r="DT254" s="52"/>
      <c r="DU254" s="52"/>
      <c r="DV254" s="52"/>
      <c r="DW254" s="52"/>
      <c r="DX254" s="52"/>
      <c r="DY254" s="52"/>
      <c r="DZ254" s="52"/>
      <c r="EA254" s="52"/>
      <c r="EB254" s="52"/>
      <c r="EC254" s="52"/>
      <c r="ED254" s="52"/>
      <c r="EE254" s="52"/>
      <c r="EF254" s="52"/>
      <c r="EG254" s="52"/>
      <c r="EH254" s="52"/>
      <c r="EI254" s="52"/>
      <c r="EJ254" s="52"/>
      <c r="EK254" s="52"/>
      <c r="EL254" s="52"/>
      <c r="EM254" s="52"/>
      <c r="EN254" s="52"/>
      <c r="EO254" s="52"/>
      <c r="EP254" s="52"/>
      <c r="EQ254" s="52"/>
      <c r="ER254" s="52"/>
      <c r="ES254" s="52"/>
      <c r="ET254" s="52"/>
      <c r="EU254" s="52"/>
      <c r="EV254" s="52"/>
      <c r="EW254" s="52"/>
      <c r="EX254" s="52"/>
      <c r="EY254" s="52"/>
      <c r="EZ254" s="52"/>
      <c r="FA254" s="52"/>
      <c r="FB254" s="52"/>
      <c r="FC254" s="52"/>
      <c r="FD254" s="52"/>
      <c r="FE254" s="52"/>
      <c r="FF254" s="52"/>
      <c r="FG254" s="13"/>
    </row>
    <row r="255" spans="1:163">
      <c r="A255" s="71"/>
      <c r="B255" s="70"/>
      <c r="C255" s="72"/>
      <c r="D255" s="73"/>
      <c r="E255" s="73"/>
      <c r="F255" s="73"/>
      <c r="G255" s="73"/>
      <c r="H255" s="73"/>
      <c r="I255" s="74"/>
      <c r="J255" s="74"/>
      <c r="K255" s="74"/>
      <c r="L255" s="73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5"/>
      <c r="Y255" s="70"/>
      <c r="Z255" s="12">
        <f t="shared" ref="Z255:Z318" si="109">COUNTA(D255:W255)-Y255</f>
        <v>0</v>
      </c>
      <c r="AA255" s="14">
        <f t="shared" si="107"/>
        <v>0</v>
      </c>
      <c r="AB255" s="6">
        <f t="shared" ref="AB255:AB297" si="110">COUNTA(L255:W255)</f>
        <v>0</v>
      </c>
      <c r="AC255" s="6">
        <f t="shared" ref="AC255:AC297" si="111">COUNTA(L255:Q255)</f>
        <v>0</v>
      </c>
      <c r="AD255" s="6">
        <f t="shared" ref="AD255:AD297" si="112">COUNTA(R255:V255)</f>
        <v>0</v>
      </c>
      <c r="AE255" s="52" t="str">
        <f t="shared" ref="AE255:AE297" si="113">IF(AND(B255="Feminino",C255&gt;=$BA$2,C255&lt;=$BB$2),$BA$3,IF(AND(B255="Masculino",C255&gt;=$BA$2,C255&lt;=$BB$2),$BB$3,IF(AND(B255="Feminino",C255&gt;=$BC$2,C255&lt;=$BD$2),$BC$3,IF(AND(B255="Masculino",C255&gt;=$BC$2,C255&lt;=$BD$2),$BD$3,IF(AND(B255="Feminino",C255&gt;=$BE$2,C255&lt;=$BF$2),$BE$3,IF(AND(B255="Masculino",C255&gt;=$BE$2,C255&lt;=$BF$2),$BF$3,IF(AND(B255="Feminino",C255&gt;=$BG$2,C255&lt;=$BH$2),$BG$3,IF(AND(B255="Masculino",C255&gt;=$BG$2,C255&lt;=$BH$2),$BH$3,""))))))))</f>
        <v/>
      </c>
      <c r="AF255" s="52" t="str">
        <f t="shared" ref="AF255:AF297" si="114">IF(AND(B255="Feminino",C255&gt;=$BE$2,C255&lt;=$BF$2),$BI$3,IF(AND(B255="Masculino",C255&gt;=$BE$2,C255&lt;=$BF$2),$BJ$3,IF(AND(B255="Feminino",C255&lt;=$BH$2),$BK$3,IF(AND(B255="Masculino",C255&lt;=$BH$2),$BL$3,""))))</f>
        <v/>
      </c>
      <c r="AG255" s="50" t="str">
        <f t="shared" ref="AG255:AG318" si="115">IF(AND(B255="Feminino",C255&gt;=$BM$1,C255&lt;=$BM$2),$BM$3,IF(AND(B255="Masculino",C255&gt;=$BM$1,C255&lt;=$BM$2),$BN$3,""))</f>
        <v/>
      </c>
      <c r="AH255" s="50" t="str">
        <f t="shared" ref="AH255:AH318" si="116">IF(C255="","",IF(AND(C255&gt;=$BO$1,C255&lt;=$BO$2),$BO$3,IF(C255&lt;=$BP$2,$BP$3,"")))</f>
        <v/>
      </c>
      <c r="AI255" s="52" t="str">
        <f t="shared" ref="AI255:AI297" si="117">IF(C255="","",IF(C255&gt;=$BQ$2,$BQ$3,IF(AND(C255&gt;=$BR$1,C255&lt;=$BR$2),$BR$3,IF(AND(C255&gt;=$BS$1,C255&lt;=$BS$2),$BS$3,IF(AND(C255&gt;=$BT$1,C255&lt;=$BT$2),$BT$3,IF(AND(C255&gt;=$BU$1,C255&lt;=$BU$2),$BU$3,IF(C255&lt;=$BV$2,$BV$3,"")))))))</f>
        <v/>
      </c>
      <c r="AJ255" s="52" t="str">
        <f t="shared" ref="AJ255:AJ297" si="118">IF(C255="","",IF(C255&gt;=$BQ$2,$BW$3,IF(AND(C255&gt;=$BR$1,C255&lt;=$BR$2),$BX$3,IF(AND(C255&gt;=$BS$1,C255&lt;=$BS$2),$BY$3,IF(AND(C255&gt;=$BT$1,C255&lt;=$BT$2),$BZ$3,IF(AND(C255&gt;=$BU$1,C255&lt;=$BU$2),$CA$3,IF(C255&lt;=$BV$2,$CB$3,"")))))))</f>
        <v/>
      </c>
      <c r="AK255" s="52" t="str">
        <f t="shared" ref="AK255:AK297" si="119">IF(C255="","",IF(C255&gt;=$BQ$2,$CC$3,IF(AND(C255&gt;=$BR$1,C255&lt;=$BR$2),$CD$3,IF(AND(C255&gt;=$BS$1,C255&lt;=$BS$2),$CE$3,IF(AND(C255&gt;=$BT$1,C255&lt;=$BT$2),$CF$3,IF(AND(C255&gt;=$BU$1,C255&lt;=$BU$2),$CG$3,IF(C255&lt;=$BV$2,$CH$3,"")))))))</f>
        <v/>
      </c>
      <c r="AL255" s="52" t="str">
        <f t="shared" ref="AL255:AL297" si="120">IF(C255="","",IF(AND(C255&gt;=$BT$1,C255&lt;=$BT$2),$CI$3,IF(AND(C255&gt;=$BU$1,C255&lt;=$BU$2),$CJ$3,IF(C255&lt;=$BV$2,$CK$3,""))))</f>
        <v/>
      </c>
      <c r="AM255" s="52" t="str">
        <f t="shared" ref="AM255:AM297" si="121">IF(C255="","",IF(AB255&gt;=3,"",IF(AC255&gt;=2,"",IF(C255&gt;=$CL$2,$CL$3,IF(AND(C255&gt;=$CM$1,C255&lt;=$CM$2),$CM$3,IF(AND(C255&gt;=$CN$1,C255&lt;=$CN$2),$CN$3,IF(AND(C255&gt;=$CO$1,C255&lt;=$CO$2),$CO$3,IF(AND(C255&gt;=$CP$1,C255&lt;=$CP$2),$CP$3,IF(C255&lt;=$CQ$2,$CQ$3,"")))))))))</f>
        <v/>
      </c>
      <c r="AN255" s="52" t="str">
        <f t="shared" ref="AN255:AN297" si="122">IF(C255="","",IF(AB255&gt;=3,"",IF(AC255&gt;=2,"",IF(C255&gt;=$CL$2,$CR$3,IF(AND(C255&gt;=$CM$1,C255&lt;=$CM$2),$CS$3,IF(AND(C255&gt;=$CN$1,C255&lt;=$CN$2),$CT$3,IF(AND(C255&gt;=$CO$1,C255&lt;=$CO$2),$CU$3,IF(AND(C255&gt;=$CP$1,C255&lt;=$CP$2),$CV$3,IF(C255&lt;=$CQ$2,$CW$3,"")))))))))</f>
        <v/>
      </c>
      <c r="AO255" s="52" t="str">
        <f t="shared" ref="AO255:AO297" si="123">IF(C255="","",IF(AB255&gt;=3,"",IF(AC255&gt;=2,"",IF(C255&gt;=$CL$2,$CX$3,IF(AND(C255&gt;=$CM$1,C255&lt;=$CM$2),$CY$3,IF(AND(C255&gt;=$CN$1,C255&lt;=$CN$2),$CZ$3,IF(AND(C255&gt;=$CO$1,C255&lt;=$CO$2),$DA$3,IF(AND(C255&gt;=$CP$1,C255&lt;=$CP$2),$DB$3,IF(C255&lt;=$CQ$2,$DC$3,"")))))))))</f>
        <v/>
      </c>
      <c r="AP255" s="52" t="str">
        <f t="shared" ref="AP255:AP297" si="124">IF(C255="","",IF(AB255&gt;=3,"",IF(AC255&gt;=2,"",IF(C255&gt;=$CL$2,$DD$3,IF(AND(C255&gt;=$CM$1,C255&lt;=$CM$2),$DE$3,IF(AND(C255&gt;=$CN$1,C255&lt;=$CN$2),$DF$3,IF(AND(C255&gt;=$CO$1,C255&lt;=$CO$2),$DG$3,IF(AND(C255&gt;=$CP$1,C255&lt;=$CP$2),$DH$3,IF(C255&lt;=$CQ$2,$DI$3,"")))))))))</f>
        <v/>
      </c>
      <c r="AQ255" s="52" t="str">
        <f t="shared" ref="AQ255:AQ297" si="125">IF(C255="","",IF(AB255&gt;=3,"",IF(AC255&gt;=2,"",IF(C255&gt;=$CL$2,$DJ$3,IF(AND(C255&gt;=$CM$1,C255&lt;=$CM$2),$DK$3,IF(AND(C255&gt;=$CN$1,C255&lt;=$CN$2),$DL$3,IF(AND(C255&gt;=$CO$1,C255&lt;=$CO$2),$DM$3,IF(AND(C255&gt;=$CP$1,C255&lt;=$CP$2),$DN$3,IF(C255&lt;=$CQ$2,$DO$3,"")))))))))</f>
        <v/>
      </c>
      <c r="AR255" s="52" t="str">
        <f t="shared" ref="AR255:AR297" si="126">IF(C255="","",IF(AB255&gt;=3,"",IF(AC255&gt;=2,"",IF(C255&gt;=$CL$2,$DP$3,IF(AND(C255&gt;=$CM$1,C255&lt;=$CM$2),$DQ$3,IF(AND(C255&gt;=$CN$1,C255&lt;=$CN$2),$DR$3,IF(AND(C255&gt;=$CO$1,C255&lt;=$CO$2),$DS$3,IF(AND(C255&gt;=$CP$1,C255&lt;=$CP$2),$DT$3,IF(C255&lt;=$CQ$2,$DU$3,"")))))))))</f>
        <v/>
      </c>
      <c r="AS255" s="52" t="str">
        <f t="shared" ref="AS255:AS297" si="127">IF(C255="","",IF(AB255&gt;=3,"",IF(AD255&gt;=2,"",IF(C255&gt;=$CL$2,$DV$3,IF(AND(C255&gt;=$CM$1,C255&lt;=$CM$2),$DW$3,IF(AND(C255&gt;=$CN$1,C255&lt;=$CN$2),$DX$3,IF(AND(C255&gt;=$CO$1,C255&lt;=$CO$2),$DY$3,IF(AND(C255&gt;=$CP$1,C255&lt;=$CP$2),$DZ$3,IF(C255&lt;=$CQ$2,$EA$3,"")))))))))</f>
        <v/>
      </c>
      <c r="AT255" s="52" t="str">
        <f t="shared" ref="AT255:AT297" si="128">IF(C255="","",IF(AB255&gt;=3,"",IF(AD255&gt;=2,"",IF(C255&gt;=$CL$2,$EB$3,IF(AND(C255&gt;=$CM$1,C255&lt;=$CM$2),$EC$3,IF(AND(C255&gt;=$CN$1,C255&lt;=$CN$2),$ED$3,IF(AND(C255&gt;=$CO$1,C255&lt;=$CO$2),$EE$3,IF(AND(C255&gt;=$CP$1,C255&lt;=$CP$2),$EF$3,IF(C255&lt;=$CQ$2,$EG$3,"")))))))))</f>
        <v/>
      </c>
      <c r="AU255" s="52" t="str">
        <f t="shared" ref="AU255:AU297" si="129">IF(C255="","",IF(AB255&gt;=3,"",IF(AD255&gt;=2,"",IF(C255&gt;=$CL$2,$EH$3,IF(AND(C255&gt;=$CM$1,C255&lt;=$CM$2),$EI$3,IF(AND(C255&gt;=$CN$1,C255&lt;=$CN$2),$EJ$3,IF(AND(C255&gt;=$CO$1,C255&lt;=$CO$2),$EK$3,IF(AND(C255&gt;=$CP$1,C255&lt;=$CP$2),$EL$3,IF(C255&lt;=$CQ$2,$EM$3,"")))))))))</f>
        <v/>
      </c>
      <c r="AV255" s="52" t="str">
        <f t="shared" ref="AV255:AV297" si="130">IF(C255="","",IF(AB255&gt;=3,"",IF(AD255&gt;=2,"",IF(C255&gt;=$CL$2,$EN$3,IF(AND(C255&gt;=$CM$1,C255&lt;=$CM$2),$EO$3,IF(AND(C255&gt;=$CN$1,C255&lt;=$CN$2),$EP$3,IF(AND(C255&gt;=$CO$1,C255&lt;=$CO$2),$EQ$3,IF(AND(C255&gt;=$CP$1,C255&lt;=$CP$2),$ER$3,IF(C255&lt;=$CQ$2,$ES$3,"")))))))))</f>
        <v/>
      </c>
      <c r="AW255" s="52" t="str">
        <f t="shared" ref="AW255:AW297" si="131">IF(C255="","",IF(AB255&gt;=3,"",IF(AD255&gt;=2,"",IF(C255&gt;=$CL$2,$ET$3,IF(AND(C255&gt;=$CM$1,C255&lt;=$CM$2),$EU$3,IF(AND(C255&gt;=$CN$1,C255&lt;=$CN$2),$EV$3,IF(AND(C255&gt;=$CO$1,C255&lt;=$CO$2),$EW$3,IF(AND(C255&gt;=$CP$1,C255&lt;=$CP$2),$EX$3,IF(C255&lt;=$CQ$2,$EY$3,"")))))))))</f>
        <v/>
      </c>
      <c r="AX255" s="52" t="str">
        <f t="shared" si="108"/>
        <v/>
      </c>
      <c r="AY255" s="52" t="str">
        <f t="shared" ref="AY255:AY318" si="132">IF(C255="","",IF(AND(D255="",E255="",F255="",G255="",H255="",I255="",J255="",K255=""),"ADAPTADO",""))</f>
        <v/>
      </c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  <c r="BM255" s="52"/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2"/>
      <c r="CI255" s="52"/>
      <c r="CJ255" s="52"/>
      <c r="CK255" s="52"/>
      <c r="CL255" s="52"/>
      <c r="CM255" s="52"/>
      <c r="CN255" s="52"/>
      <c r="CO255" s="52"/>
      <c r="CP255" s="52"/>
      <c r="CQ255" s="52"/>
      <c r="CR255" s="52"/>
      <c r="CS255" s="52"/>
      <c r="CT255" s="52"/>
      <c r="CU255" s="52"/>
      <c r="CV255" s="52"/>
      <c r="CW255" s="52"/>
      <c r="CX255" s="52"/>
      <c r="CY255" s="52"/>
      <c r="CZ255" s="52"/>
      <c r="DA255" s="52"/>
      <c r="DB255" s="52"/>
      <c r="DC255" s="52"/>
      <c r="DD255" s="52"/>
      <c r="DE255" s="52"/>
      <c r="DF255" s="52"/>
      <c r="DG255" s="52"/>
      <c r="DH255" s="52"/>
      <c r="DI255" s="52"/>
      <c r="DJ255" s="52"/>
      <c r="DK255" s="52"/>
      <c r="DL255" s="52"/>
      <c r="DM255" s="52"/>
      <c r="DN255" s="52"/>
      <c r="DO255" s="52"/>
      <c r="DP255" s="52"/>
      <c r="DQ255" s="52"/>
      <c r="DR255" s="52"/>
      <c r="DS255" s="52"/>
      <c r="DT255" s="52"/>
      <c r="DU255" s="52"/>
      <c r="DV255" s="52"/>
      <c r="DW255" s="52"/>
      <c r="DX255" s="52"/>
      <c r="DY255" s="52"/>
      <c r="DZ255" s="52"/>
      <c r="EA255" s="52"/>
      <c r="EB255" s="52"/>
      <c r="EC255" s="52"/>
      <c r="ED255" s="52"/>
      <c r="EE255" s="52"/>
      <c r="EF255" s="52"/>
      <c r="EG255" s="52"/>
      <c r="EH255" s="52"/>
      <c r="EI255" s="52"/>
      <c r="EJ255" s="52"/>
      <c r="EK255" s="52"/>
      <c r="EL255" s="52"/>
      <c r="EM255" s="52"/>
      <c r="EN255" s="52"/>
      <c r="EO255" s="52"/>
      <c r="EP255" s="52"/>
      <c r="EQ255" s="52"/>
      <c r="ER255" s="52"/>
      <c r="ES255" s="52"/>
      <c r="ET255" s="52"/>
      <c r="EU255" s="52"/>
      <c r="EV255" s="52"/>
      <c r="EW255" s="52"/>
      <c r="EX255" s="52"/>
      <c r="EY255" s="52"/>
      <c r="EZ255" s="52"/>
      <c r="FA255" s="52"/>
      <c r="FB255" s="52"/>
      <c r="FC255" s="52"/>
      <c r="FD255" s="52"/>
      <c r="FE255" s="52"/>
      <c r="FF255" s="52"/>
      <c r="FG255" s="13"/>
    </row>
    <row r="256" spans="1:163">
      <c r="A256" s="71"/>
      <c r="B256" s="70"/>
      <c r="C256" s="72"/>
      <c r="D256" s="73"/>
      <c r="E256" s="73"/>
      <c r="F256" s="73"/>
      <c r="G256" s="73"/>
      <c r="H256" s="73"/>
      <c r="I256" s="74"/>
      <c r="J256" s="74"/>
      <c r="K256" s="74"/>
      <c r="L256" s="73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5"/>
      <c r="Y256" s="70"/>
      <c r="Z256" s="12">
        <f t="shared" si="109"/>
        <v>0</v>
      </c>
      <c r="AA256" s="14">
        <f t="shared" si="107"/>
        <v>0</v>
      </c>
      <c r="AB256" s="6">
        <f t="shared" si="110"/>
        <v>0</v>
      </c>
      <c r="AC256" s="6">
        <f t="shared" si="111"/>
        <v>0</v>
      </c>
      <c r="AD256" s="6">
        <f t="shared" si="112"/>
        <v>0</v>
      </c>
      <c r="AE256" s="52" t="str">
        <f t="shared" si="113"/>
        <v/>
      </c>
      <c r="AF256" s="52" t="str">
        <f t="shared" si="114"/>
        <v/>
      </c>
      <c r="AG256" s="50" t="str">
        <f t="shared" si="115"/>
        <v/>
      </c>
      <c r="AH256" s="50" t="str">
        <f t="shared" si="116"/>
        <v/>
      </c>
      <c r="AI256" s="52" t="str">
        <f t="shared" si="117"/>
        <v/>
      </c>
      <c r="AJ256" s="52" t="str">
        <f t="shared" si="118"/>
        <v/>
      </c>
      <c r="AK256" s="52" t="str">
        <f t="shared" si="119"/>
        <v/>
      </c>
      <c r="AL256" s="52" t="str">
        <f t="shared" si="120"/>
        <v/>
      </c>
      <c r="AM256" s="52" t="str">
        <f t="shared" si="121"/>
        <v/>
      </c>
      <c r="AN256" s="52" t="str">
        <f t="shared" si="122"/>
        <v/>
      </c>
      <c r="AO256" s="52" t="str">
        <f t="shared" si="123"/>
        <v/>
      </c>
      <c r="AP256" s="52" t="str">
        <f t="shared" si="124"/>
        <v/>
      </c>
      <c r="AQ256" s="52" t="str">
        <f t="shared" si="125"/>
        <v/>
      </c>
      <c r="AR256" s="52" t="str">
        <f t="shared" si="126"/>
        <v/>
      </c>
      <c r="AS256" s="52" t="str">
        <f t="shared" si="127"/>
        <v/>
      </c>
      <c r="AT256" s="52" t="str">
        <f t="shared" si="128"/>
        <v/>
      </c>
      <c r="AU256" s="52" t="str">
        <f t="shared" si="129"/>
        <v/>
      </c>
      <c r="AV256" s="52" t="str">
        <f t="shared" si="130"/>
        <v/>
      </c>
      <c r="AW256" s="52" t="str">
        <f t="shared" si="131"/>
        <v/>
      </c>
      <c r="AX256" s="52" t="str">
        <f t="shared" si="108"/>
        <v/>
      </c>
      <c r="AY256" s="52" t="str">
        <f t="shared" si="132"/>
        <v/>
      </c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  <c r="BM256" s="52"/>
      <c r="BN256" s="52"/>
      <c r="BO256" s="52"/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2"/>
      <c r="CI256" s="52"/>
      <c r="CJ256" s="52"/>
      <c r="CK256" s="52"/>
      <c r="CL256" s="52"/>
      <c r="CM256" s="52"/>
      <c r="CN256" s="52"/>
      <c r="CO256" s="52"/>
      <c r="CP256" s="52"/>
      <c r="CQ256" s="52"/>
      <c r="CR256" s="52"/>
      <c r="CS256" s="52"/>
      <c r="CT256" s="52"/>
      <c r="CU256" s="52"/>
      <c r="CV256" s="52"/>
      <c r="CW256" s="52"/>
      <c r="CX256" s="52"/>
      <c r="CY256" s="52"/>
      <c r="CZ256" s="52"/>
      <c r="DA256" s="52"/>
      <c r="DB256" s="52"/>
      <c r="DC256" s="52"/>
      <c r="DD256" s="52"/>
      <c r="DE256" s="52"/>
      <c r="DF256" s="52"/>
      <c r="DG256" s="52"/>
      <c r="DH256" s="52"/>
      <c r="DI256" s="52"/>
      <c r="DJ256" s="52"/>
      <c r="DK256" s="52"/>
      <c r="DL256" s="52"/>
      <c r="DM256" s="52"/>
      <c r="DN256" s="52"/>
      <c r="DO256" s="52"/>
      <c r="DP256" s="52"/>
      <c r="DQ256" s="52"/>
      <c r="DR256" s="52"/>
      <c r="DS256" s="52"/>
      <c r="DT256" s="52"/>
      <c r="DU256" s="52"/>
      <c r="DV256" s="52"/>
      <c r="DW256" s="52"/>
      <c r="DX256" s="52"/>
      <c r="DY256" s="52"/>
      <c r="DZ256" s="52"/>
      <c r="EA256" s="52"/>
      <c r="EB256" s="52"/>
      <c r="EC256" s="52"/>
      <c r="ED256" s="52"/>
      <c r="EE256" s="52"/>
      <c r="EF256" s="52"/>
      <c r="EG256" s="52"/>
      <c r="EH256" s="52"/>
      <c r="EI256" s="52"/>
      <c r="EJ256" s="52"/>
      <c r="EK256" s="52"/>
      <c r="EL256" s="52"/>
      <c r="EM256" s="52"/>
      <c r="EN256" s="52"/>
      <c r="EO256" s="52"/>
      <c r="EP256" s="52"/>
      <c r="EQ256" s="52"/>
      <c r="ER256" s="52"/>
      <c r="ES256" s="52"/>
      <c r="ET256" s="52"/>
      <c r="EU256" s="52"/>
      <c r="EV256" s="52"/>
      <c r="EW256" s="52"/>
      <c r="EX256" s="52"/>
      <c r="EY256" s="52"/>
      <c r="EZ256" s="52"/>
      <c r="FA256" s="52"/>
      <c r="FB256" s="52"/>
      <c r="FC256" s="52"/>
      <c r="FD256" s="52"/>
      <c r="FE256" s="52"/>
      <c r="FF256" s="52"/>
      <c r="FG256" s="13"/>
    </row>
    <row r="257" spans="1:163">
      <c r="A257" s="71"/>
      <c r="B257" s="70"/>
      <c r="C257" s="72"/>
      <c r="D257" s="73"/>
      <c r="E257" s="73"/>
      <c r="F257" s="73"/>
      <c r="G257" s="73"/>
      <c r="H257" s="73"/>
      <c r="I257" s="74"/>
      <c r="J257" s="74"/>
      <c r="K257" s="74"/>
      <c r="L257" s="73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5"/>
      <c r="Y257" s="70"/>
      <c r="Z257" s="12">
        <f t="shared" si="109"/>
        <v>0</v>
      </c>
      <c r="AA257" s="14">
        <f t="shared" si="107"/>
        <v>0</v>
      </c>
      <c r="AB257" s="6">
        <f t="shared" si="110"/>
        <v>0</v>
      </c>
      <c r="AC257" s="6">
        <f t="shared" si="111"/>
        <v>0</v>
      </c>
      <c r="AD257" s="6">
        <f t="shared" si="112"/>
        <v>0</v>
      </c>
      <c r="AE257" s="52" t="str">
        <f t="shared" si="113"/>
        <v/>
      </c>
      <c r="AF257" s="52" t="str">
        <f t="shared" si="114"/>
        <v/>
      </c>
      <c r="AG257" s="50" t="str">
        <f t="shared" si="115"/>
        <v/>
      </c>
      <c r="AH257" s="50" t="str">
        <f t="shared" si="116"/>
        <v/>
      </c>
      <c r="AI257" s="52" t="str">
        <f t="shared" si="117"/>
        <v/>
      </c>
      <c r="AJ257" s="52" t="str">
        <f t="shared" si="118"/>
        <v/>
      </c>
      <c r="AK257" s="52" t="str">
        <f t="shared" si="119"/>
        <v/>
      </c>
      <c r="AL257" s="52" t="str">
        <f t="shared" si="120"/>
        <v/>
      </c>
      <c r="AM257" s="52" t="str">
        <f t="shared" si="121"/>
        <v/>
      </c>
      <c r="AN257" s="52" t="str">
        <f t="shared" si="122"/>
        <v/>
      </c>
      <c r="AO257" s="52" t="str">
        <f t="shared" si="123"/>
        <v/>
      </c>
      <c r="AP257" s="52" t="str">
        <f t="shared" si="124"/>
        <v/>
      </c>
      <c r="AQ257" s="52" t="str">
        <f t="shared" si="125"/>
        <v/>
      </c>
      <c r="AR257" s="52" t="str">
        <f t="shared" si="126"/>
        <v/>
      </c>
      <c r="AS257" s="52" t="str">
        <f t="shared" si="127"/>
        <v/>
      </c>
      <c r="AT257" s="52" t="str">
        <f t="shared" si="128"/>
        <v/>
      </c>
      <c r="AU257" s="52" t="str">
        <f t="shared" si="129"/>
        <v/>
      </c>
      <c r="AV257" s="52" t="str">
        <f t="shared" si="130"/>
        <v/>
      </c>
      <c r="AW257" s="52" t="str">
        <f t="shared" si="131"/>
        <v/>
      </c>
      <c r="AX257" s="52" t="str">
        <f t="shared" si="108"/>
        <v/>
      </c>
      <c r="AY257" s="52" t="str">
        <f t="shared" si="132"/>
        <v/>
      </c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  <c r="BM257" s="52"/>
      <c r="BN257" s="52"/>
      <c r="BO257" s="52"/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2"/>
      <c r="CI257" s="52"/>
      <c r="CJ257" s="52"/>
      <c r="CK257" s="52"/>
      <c r="CL257" s="52"/>
      <c r="CM257" s="52"/>
      <c r="CN257" s="52"/>
      <c r="CO257" s="52"/>
      <c r="CP257" s="52"/>
      <c r="CQ257" s="52"/>
      <c r="CR257" s="52"/>
      <c r="CS257" s="52"/>
      <c r="CT257" s="52"/>
      <c r="CU257" s="52"/>
      <c r="CV257" s="52"/>
      <c r="CW257" s="52"/>
      <c r="CX257" s="52"/>
      <c r="CY257" s="52"/>
      <c r="CZ257" s="52"/>
      <c r="DA257" s="52"/>
      <c r="DB257" s="52"/>
      <c r="DC257" s="52"/>
      <c r="DD257" s="52"/>
      <c r="DE257" s="52"/>
      <c r="DF257" s="52"/>
      <c r="DG257" s="52"/>
      <c r="DH257" s="52"/>
      <c r="DI257" s="52"/>
      <c r="DJ257" s="52"/>
      <c r="DK257" s="52"/>
      <c r="DL257" s="52"/>
      <c r="DM257" s="52"/>
      <c r="DN257" s="52"/>
      <c r="DO257" s="52"/>
      <c r="DP257" s="52"/>
      <c r="DQ257" s="52"/>
      <c r="DR257" s="52"/>
      <c r="DS257" s="52"/>
      <c r="DT257" s="52"/>
      <c r="DU257" s="52"/>
      <c r="DV257" s="52"/>
      <c r="DW257" s="52"/>
      <c r="DX257" s="52"/>
      <c r="DY257" s="52"/>
      <c r="DZ257" s="52"/>
      <c r="EA257" s="52"/>
      <c r="EB257" s="52"/>
      <c r="EC257" s="52"/>
      <c r="ED257" s="52"/>
      <c r="EE257" s="52"/>
      <c r="EF257" s="52"/>
      <c r="EG257" s="52"/>
      <c r="EH257" s="52"/>
      <c r="EI257" s="52"/>
      <c r="EJ257" s="52"/>
      <c r="EK257" s="52"/>
      <c r="EL257" s="52"/>
      <c r="EM257" s="52"/>
      <c r="EN257" s="52"/>
      <c r="EO257" s="52"/>
      <c r="EP257" s="52"/>
      <c r="EQ257" s="52"/>
      <c r="ER257" s="52"/>
      <c r="ES257" s="52"/>
      <c r="ET257" s="52"/>
      <c r="EU257" s="52"/>
      <c r="EV257" s="52"/>
      <c r="EW257" s="52"/>
      <c r="EX257" s="52"/>
      <c r="EY257" s="52"/>
      <c r="EZ257" s="52"/>
      <c r="FA257" s="52"/>
      <c r="FB257" s="52"/>
      <c r="FC257" s="52"/>
      <c r="FD257" s="52"/>
      <c r="FE257" s="52"/>
      <c r="FF257" s="52"/>
      <c r="FG257" s="13"/>
    </row>
    <row r="258" spans="1:163">
      <c r="A258" s="71"/>
      <c r="B258" s="70"/>
      <c r="C258" s="72"/>
      <c r="D258" s="73"/>
      <c r="E258" s="73"/>
      <c r="F258" s="73"/>
      <c r="G258" s="73"/>
      <c r="H258" s="73"/>
      <c r="I258" s="74"/>
      <c r="J258" s="74"/>
      <c r="K258" s="74"/>
      <c r="L258" s="73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5"/>
      <c r="Y258" s="70"/>
      <c r="Z258" s="12">
        <f t="shared" si="109"/>
        <v>0</v>
      </c>
      <c r="AA258" s="14">
        <f t="shared" si="107"/>
        <v>0</v>
      </c>
      <c r="AB258" s="6">
        <f t="shared" si="110"/>
        <v>0</v>
      </c>
      <c r="AC258" s="6">
        <f t="shared" si="111"/>
        <v>0</v>
      </c>
      <c r="AD258" s="6">
        <f t="shared" si="112"/>
        <v>0</v>
      </c>
      <c r="AE258" s="52" t="str">
        <f t="shared" si="113"/>
        <v/>
      </c>
      <c r="AF258" s="52" t="str">
        <f t="shared" si="114"/>
        <v/>
      </c>
      <c r="AG258" s="50" t="str">
        <f t="shared" si="115"/>
        <v/>
      </c>
      <c r="AH258" s="50" t="str">
        <f t="shared" si="116"/>
        <v/>
      </c>
      <c r="AI258" s="52" t="str">
        <f t="shared" si="117"/>
        <v/>
      </c>
      <c r="AJ258" s="52" t="str">
        <f t="shared" si="118"/>
        <v/>
      </c>
      <c r="AK258" s="52" t="str">
        <f t="shared" si="119"/>
        <v/>
      </c>
      <c r="AL258" s="52" t="str">
        <f t="shared" si="120"/>
        <v/>
      </c>
      <c r="AM258" s="52" t="str">
        <f t="shared" si="121"/>
        <v/>
      </c>
      <c r="AN258" s="52" t="str">
        <f t="shared" si="122"/>
        <v/>
      </c>
      <c r="AO258" s="52" t="str">
        <f t="shared" si="123"/>
        <v/>
      </c>
      <c r="AP258" s="52" t="str">
        <f t="shared" si="124"/>
        <v/>
      </c>
      <c r="AQ258" s="52" t="str">
        <f t="shared" si="125"/>
        <v/>
      </c>
      <c r="AR258" s="52" t="str">
        <f t="shared" si="126"/>
        <v/>
      </c>
      <c r="AS258" s="52" t="str">
        <f t="shared" si="127"/>
        <v/>
      </c>
      <c r="AT258" s="52" t="str">
        <f t="shared" si="128"/>
        <v/>
      </c>
      <c r="AU258" s="52" t="str">
        <f t="shared" si="129"/>
        <v/>
      </c>
      <c r="AV258" s="52" t="str">
        <f t="shared" si="130"/>
        <v/>
      </c>
      <c r="AW258" s="52" t="str">
        <f t="shared" si="131"/>
        <v/>
      </c>
      <c r="AX258" s="52" t="str">
        <f t="shared" si="108"/>
        <v/>
      </c>
      <c r="AY258" s="52" t="str">
        <f t="shared" si="132"/>
        <v/>
      </c>
      <c r="AZ258" s="52"/>
      <c r="BA258" s="52"/>
      <c r="BB258" s="52"/>
      <c r="BC258" s="52"/>
      <c r="BD258" s="52"/>
      <c r="BE258" s="52"/>
      <c r="BF258" s="52"/>
      <c r="BG258" s="52"/>
      <c r="BH258" s="52"/>
      <c r="BI258" s="52"/>
      <c r="BJ258" s="52"/>
      <c r="BK258" s="52"/>
      <c r="BL258" s="52"/>
      <c r="BM258" s="52"/>
      <c r="BN258" s="52"/>
      <c r="BO258" s="52"/>
      <c r="BP258" s="52"/>
      <c r="BQ258" s="52"/>
      <c r="BR258" s="52"/>
      <c r="BS258" s="52"/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2"/>
      <c r="CI258" s="52"/>
      <c r="CJ258" s="52"/>
      <c r="CK258" s="52"/>
      <c r="CL258" s="52"/>
      <c r="CM258" s="52"/>
      <c r="CN258" s="52"/>
      <c r="CO258" s="52"/>
      <c r="CP258" s="52"/>
      <c r="CQ258" s="52"/>
      <c r="CR258" s="52"/>
      <c r="CS258" s="52"/>
      <c r="CT258" s="52"/>
      <c r="CU258" s="52"/>
      <c r="CV258" s="52"/>
      <c r="CW258" s="52"/>
      <c r="CX258" s="52"/>
      <c r="CY258" s="52"/>
      <c r="CZ258" s="52"/>
      <c r="DA258" s="52"/>
      <c r="DB258" s="52"/>
      <c r="DC258" s="52"/>
      <c r="DD258" s="52"/>
      <c r="DE258" s="52"/>
      <c r="DF258" s="52"/>
      <c r="DG258" s="52"/>
      <c r="DH258" s="52"/>
      <c r="DI258" s="52"/>
      <c r="DJ258" s="52"/>
      <c r="DK258" s="52"/>
      <c r="DL258" s="52"/>
      <c r="DM258" s="52"/>
      <c r="DN258" s="52"/>
      <c r="DO258" s="52"/>
      <c r="DP258" s="52"/>
      <c r="DQ258" s="52"/>
      <c r="DR258" s="52"/>
      <c r="DS258" s="52"/>
      <c r="DT258" s="52"/>
      <c r="DU258" s="52"/>
      <c r="DV258" s="52"/>
      <c r="DW258" s="52"/>
      <c r="DX258" s="52"/>
      <c r="DY258" s="52"/>
      <c r="DZ258" s="52"/>
      <c r="EA258" s="52"/>
      <c r="EB258" s="52"/>
      <c r="EC258" s="52"/>
      <c r="ED258" s="52"/>
      <c r="EE258" s="52"/>
      <c r="EF258" s="52"/>
      <c r="EG258" s="52"/>
      <c r="EH258" s="52"/>
      <c r="EI258" s="52"/>
      <c r="EJ258" s="52"/>
      <c r="EK258" s="52"/>
      <c r="EL258" s="52"/>
      <c r="EM258" s="52"/>
      <c r="EN258" s="52"/>
      <c r="EO258" s="52"/>
      <c r="EP258" s="52"/>
      <c r="EQ258" s="52"/>
      <c r="ER258" s="52"/>
      <c r="ES258" s="52"/>
      <c r="ET258" s="52"/>
      <c r="EU258" s="52"/>
      <c r="EV258" s="52"/>
      <c r="EW258" s="52"/>
      <c r="EX258" s="52"/>
      <c r="EY258" s="52"/>
      <c r="EZ258" s="52"/>
      <c r="FA258" s="52"/>
      <c r="FB258" s="52"/>
      <c r="FC258" s="52"/>
      <c r="FD258" s="52"/>
      <c r="FE258" s="52"/>
      <c r="FF258" s="52"/>
      <c r="FG258" s="13"/>
    </row>
    <row r="259" spans="1:163">
      <c r="A259" s="71"/>
      <c r="B259" s="70"/>
      <c r="C259" s="72"/>
      <c r="D259" s="73"/>
      <c r="E259" s="73"/>
      <c r="F259" s="73"/>
      <c r="G259" s="73"/>
      <c r="H259" s="73"/>
      <c r="I259" s="74"/>
      <c r="J259" s="74"/>
      <c r="K259" s="74"/>
      <c r="L259" s="73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5"/>
      <c r="Y259" s="70"/>
      <c r="Z259" s="12">
        <f t="shared" si="109"/>
        <v>0</v>
      </c>
      <c r="AA259" s="14">
        <f t="shared" si="107"/>
        <v>0</v>
      </c>
      <c r="AB259" s="6">
        <f t="shared" si="110"/>
        <v>0</v>
      </c>
      <c r="AC259" s="6">
        <f t="shared" si="111"/>
        <v>0</v>
      </c>
      <c r="AD259" s="6">
        <f t="shared" si="112"/>
        <v>0</v>
      </c>
      <c r="AE259" s="52" t="str">
        <f t="shared" si="113"/>
        <v/>
      </c>
      <c r="AF259" s="52" t="str">
        <f t="shared" si="114"/>
        <v/>
      </c>
      <c r="AG259" s="50" t="str">
        <f t="shared" si="115"/>
        <v/>
      </c>
      <c r="AH259" s="50" t="str">
        <f t="shared" si="116"/>
        <v/>
      </c>
      <c r="AI259" s="52" t="str">
        <f t="shared" si="117"/>
        <v/>
      </c>
      <c r="AJ259" s="52" t="str">
        <f t="shared" si="118"/>
        <v/>
      </c>
      <c r="AK259" s="52" t="str">
        <f t="shared" si="119"/>
        <v/>
      </c>
      <c r="AL259" s="52" t="str">
        <f t="shared" si="120"/>
        <v/>
      </c>
      <c r="AM259" s="52" t="str">
        <f t="shared" si="121"/>
        <v/>
      </c>
      <c r="AN259" s="52" t="str">
        <f t="shared" si="122"/>
        <v/>
      </c>
      <c r="AO259" s="52" t="str">
        <f t="shared" si="123"/>
        <v/>
      </c>
      <c r="AP259" s="52" t="str">
        <f t="shared" si="124"/>
        <v/>
      </c>
      <c r="AQ259" s="52" t="str">
        <f t="shared" si="125"/>
        <v/>
      </c>
      <c r="AR259" s="52" t="str">
        <f t="shared" si="126"/>
        <v/>
      </c>
      <c r="AS259" s="52" t="str">
        <f t="shared" si="127"/>
        <v/>
      </c>
      <c r="AT259" s="52" t="str">
        <f t="shared" si="128"/>
        <v/>
      </c>
      <c r="AU259" s="52" t="str">
        <f t="shared" si="129"/>
        <v/>
      </c>
      <c r="AV259" s="52" t="str">
        <f t="shared" si="130"/>
        <v/>
      </c>
      <c r="AW259" s="52" t="str">
        <f t="shared" si="131"/>
        <v/>
      </c>
      <c r="AX259" s="52" t="str">
        <f t="shared" si="108"/>
        <v/>
      </c>
      <c r="AY259" s="52" t="str">
        <f t="shared" si="132"/>
        <v/>
      </c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  <c r="BM259" s="52"/>
      <c r="BN259" s="52"/>
      <c r="BO259" s="52"/>
      <c r="BP259" s="52"/>
      <c r="BQ259" s="52"/>
      <c r="BR259" s="52"/>
      <c r="BS259" s="52"/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2"/>
      <c r="CI259" s="52"/>
      <c r="CJ259" s="52"/>
      <c r="CK259" s="52"/>
      <c r="CL259" s="52"/>
      <c r="CM259" s="52"/>
      <c r="CN259" s="52"/>
      <c r="CO259" s="52"/>
      <c r="CP259" s="52"/>
      <c r="CQ259" s="52"/>
      <c r="CR259" s="52"/>
      <c r="CS259" s="52"/>
      <c r="CT259" s="52"/>
      <c r="CU259" s="52"/>
      <c r="CV259" s="52"/>
      <c r="CW259" s="52"/>
      <c r="CX259" s="52"/>
      <c r="CY259" s="52"/>
      <c r="CZ259" s="52"/>
      <c r="DA259" s="52"/>
      <c r="DB259" s="52"/>
      <c r="DC259" s="52"/>
      <c r="DD259" s="52"/>
      <c r="DE259" s="52"/>
      <c r="DF259" s="52"/>
      <c r="DG259" s="52"/>
      <c r="DH259" s="52"/>
      <c r="DI259" s="52"/>
      <c r="DJ259" s="52"/>
      <c r="DK259" s="52"/>
      <c r="DL259" s="52"/>
      <c r="DM259" s="52"/>
      <c r="DN259" s="52"/>
      <c r="DO259" s="52"/>
      <c r="DP259" s="52"/>
      <c r="DQ259" s="52"/>
      <c r="DR259" s="52"/>
      <c r="DS259" s="52"/>
      <c r="DT259" s="52"/>
      <c r="DU259" s="52"/>
      <c r="DV259" s="52"/>
      <c r="DW259" s="52"/>
      <c r="DX259" s="52"/>
      <c r="DY259" s="52"/>
      <c r="DZ259" s="52"/>
      <c r="EA259" s="52"/>
      <c r="EB259" s="52"/>
      <c r="EC259" s="52"/>
      <c r="ED259" s="52"/>
      <c r="EE259" s="52"/>
      <c r="EF259" s="52"/>
      <c r="EG259" s="52"/>
      <c r="EH259" s="52"/>
      <c r="EI259" s="52"/>
      <c r="EJ259" s="52"/>
      <c r="EK259" s="52"/>
      <c r="EL259" s="52"/>
      <c r="EM259" s="52"/>
      <c r="EN259" s="52"/>
      <c r="EO259" s="52"/>
      <c r="EP259" s="52"/>
      <c r="EQ259" s="52"/>
      <c r="ER259" s="52"/>
      <c r="ES259" s="52"/>
      <c r="ET259" s="52"/>
      <c r="EU259" s="52"/>
      <c r="EV259" s="52"/>
      <c r="EW259" s="52"/>
      <c r="EX259" s="52"/>
      <c r="EY259" s="52"/>
      <c r="EZ259" s="52"/>
      <c r="FA259" s="52"/>
      <c r="FB259" s="52"/>
      <c r="FC259" s="52"/>
      <c r="FD259" s="52"/>
      <c r="FE259" s="52"/>
      <c r="FF259" s="52"/>
      <c r="FG259" s="13"/>
    </row>
    <row r="260" spans="1:163">
      <c r="A260" s="71"/>
      <c r="B260" s="70"/>
      <c r="C260" s="72"/>
      <c r="D260" s="73"/>
      <c r="E260" s="73"/>
      <c r="F260" s="73"/>
      <c r="G260" s="73"/>
      <c r="H260" s="73"/>
      <c r="I260" s="74"/>
      <c r="J260" s="74"/>
      <c r="K260" s="74"/>
      <c r="L260" s="73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5"/>
      <c r="Y260" s="70"/>
      <c r="Z260" s="12">
        <f t="shared" si="109"/>
        <v>0</v>
      </c>
      <c r="AA260" s="14">
        <f t="shared" si="107"/>
        <v>0</v>
      </c>
      <c r="AB260" s="6">
        <f t="shared" si="110"/>
        <v>0</v>
      </c>
      <c r="AC260" s="6">
        <f t="shared" si="111"/>
        <v>0</v>
      </c>
      <c r="AD260" s="6">
        <f t="shared" si="112"/>
        <v>0</v>
      </c>
      <c r="AE260" s="52" t="str">
        <f t="shared" si="113"/>
        <v/>
      </c>
      <c r="AF260" s="52" t="str">
        <f t="shared" si="114"/>
        <v/>
      </c>
      <c r="AG260" s="50" t="str">
        <f t="shared" si="115"/>
        <v/>
      </c>
      <c r="AH260" s="50" t="str">
        <f t="shared" si="116"/>
        <v/>
      </c>
      <c r="AI260" s="52" t="str">
        <f t="shared" si="117"/>
        <v/>
      </c>
      <c r="AJ260" s="52" t="str">
        <f t="shared" si="118"/>
        <v/>
      </c>
      <c r="AK260" s="52" t="str">
        <f t="shared" si="119"/>
        <v/>
      </c>
      <c r="AL260" s="52" t="str">
        <f t="shared" si="120"/>
        <v/>
      </c>
      <c r="AM260" s="52" t="str">
        <f t="shared" si="121"/>
        <v/>
      </c>
      <c r="AN260" s="52" t="str">
        <f t="shared" si="122"/>
        <v/>
      </c>
      <c r="AO260" s="52" t="str">
        <f t="shared" si="123"/>
        <v/>
      </c>
      <c r="AP260" s="52" t="str">
        <f t="shared" si="124"/>
        <v/>
      </c>
      <c r="AQ260" s="52" t="str">
        <f t="shared" si="125"/>
        <v/>
      </c>
      <c r="AR260" s="52" t="str">
        <f t="shared" si="126"/>
        <v/>
      </c>
      <c r="AS260" s="52" t="str">
        <f t="shared" si="127"/>
        <v/>
      </c>
      <c r="AT260" s="52" t="str">
        <f t="shared" si="128"/>
        <v/>
      </c>
      <c r="AU260" s="52" t="str">
        <f t="shared" si="129"/>
        <v/>
      </c>
      <c r="AV260" s="52" t="str">
        <f t="shared" si="130"/>
        <v/>
      </c>
      <c r="AW260" s="52" t="str">
        <f t="shared" si="131"/>
        <v/>
      </c>
      <c r="AX260" s="52" t="str">
        <f t="shared" si="108"/>
        <v/>
      </c>
      <c r="AY260" s="52" t="str">
        <f t="shared" si="132"/>
        <v/>
      </c>
      <c r="AZ260" s="52"/>
      <c r="BA260" s="52"/>
      <c r="BB260" s="52"/>
      <c r="BC260" s="52"/>
      <c r="BD260" s="52"/>
      <c r="BE260" s="52"/>
      <c r="BF260" s="52"/>
      <c r="BG260" s="52"/>
      <c r="BH260" s="52"/>
      <c r="BI260" s="52"/>
      <c r="BJ260" s="52"/>
      <c r="BK260" s="52"/>
      <c r="BL260" s="52"/>
      <c r="BM260" s="52"/>
      <c r="BN260" s="52"/>
      <c r="BO260" s="52"/>
      <c r="BP260" s="52"/>
      <c r="BQ260" s="52"/>
      <c r="BR260" s="52"/>
      <c r="BS260" s="52"/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2"/>
      <c r="CI260" s="52"/>
      <c r="CJ260" s="52"/>
      <c r="CK260" s="52"/>
      <c r="CL260" s="52"/>
      <c r="CM260" s="52"/>
      <c r="CN260" s="52"/>
      <c r="CO260" s="52"/>
      <c r="CP260" s="52"/>
      <c r="CQ260" s="52"/>
      <c r="CR260" s="52"/>
      <c r="CS260" s="52"/>
      <c r="CT260" s="52"/>
      <c r="CU260" s="52"/>
      <c r="CV260" s="52"/>
      <c r="CW260" s="52"/>
      <c r="CX260" s="52"/>
      <c r="CY260" s="52"/>
      <c r="CZ260" s="52"/>
      <c r="DA260" s="52"/>
      <c r="DB260" s="52"/>
      <c r="DC260" s="52"/>
      <c r="DD260" s="52"/>
      <c r="DE260" s="52"/>
      <c r="DF260" s="52"/>
      <c r="DG260" s="52"/>
      <c r="DH260" s="52"/>
      <c r="DI260" s="52"/>
      <c r="DJ260" s="52"/>
      <c r="DK260" s="52"/>
      <c r="DL260" s="52"/>
      <c r="DM260" s="52"/>
      <c r="DN260" s="52"/>
      <c r="DO260" s="52"/>
      <c r="DP260" s="52"/>
      <c r="DQ260" s="52"/>
      <c r="DR260" s="52"/>
      <c r="DS260" s="52"/>
      <c r="DT260" s="52"/>
      <c r="DU260" s="52"/>
      <c r="DV260" s="52"/>
      <c r="DW260" s="52"/>
      <c r="DX260" s="52"/>
      <c r="DY260" s="52"/>
      <c r="DZ260" s="52"/>
      <c r="EA260" s="52"/>
      <c r="EB260" s="52"/>
      <c r="EC260" s="52"/>
      <c r="ED260" s="52"/>
      <c r="EE260" s="52"/>
      <c r="EF260" s="52"/>
      <c r="EG260" s="52"/>
      <c r="EH260" s="52"/>
      <c r="EI260" s="52"/>
      <c r="EJ260" s="52"/>
      <c r="EK260" s="52"/>
      <c r="EL260" s="52"/>
      <c r="EM260" s="52"/>
      <c r="EN260" s="52"/>
      <c r="EO260" s="52"/>
      <c r="EP260" s="52"/>
      <c r="EQ260" s="52"/>
      <c r="ER260" s="52"/>
      <c r="ES260" s="52"/>
      <c r="ET260" s="52"/>
      <c r="EU260" s="52"/>
      <c r="EV260" s="52"/>
      <c r="EW260" s="52"/>
      <c r="EX260" s="52"/>
      <c r="EY260" s="52"/>
      <c r="EZ260" s="52"/>
      <c r="FA260" s="52"/>
      <c r="FB260" s="52"/>
      <c r="FC260" s="52"/>
      <c r="FD260" s="52"/>
      <c r="FE260" s="52"/>
      <c r="FF260" s="52"/>
      <c r="FG260" s="13"/>
    </row>
    <row r="261" spans="1:163">
      <c r="A261" s="71"/>
      <c r="B261" s="70"/>
      <c r="C261" s="72"/>
      <c r="D261" s="73"/>
      <c r="E261" s="73"/>
      <c r="F261" s="73"/>
      <c r="G261" s="73"/>
      <c r="H261" s="73"/>
      <c r="I261" s="74"/>
      <c r="J261" s="74"/>
      <c r="K261" s="74"/>
      <c r="L261" s="73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5"/>
      <c r="Y261" s="70"/>
      <c r="Z261" s="12">
        <f t="shared" si="109"/>
        <v>0</v>
      </c>
      <c r="AA261" s="14">
        <f t="shared" si="107"/>
        <v>0</v>
      </c>
      <c r="AB261" s="6">
        <f t="shared" si="110"/>
        <v>0</v>
      </c>
      <c r="AC261" s="6">
        <f t="shared" si="111"/>
        <v>0</v>
      </c>
      <c r="AD261" s="6">
        <f t="shared" si="112"/>
        <v>0</v>
      </c>
      <c r="AE261" s="52" t="str">
        <f t="shared" si="113"/>
        <v/>
      </c>
      <c r="AF261" s="52" t="str">
        <f t="shared" si="114"/>
        <v/>
      </c>
      <c r="AG261" s="50" t="str">
        <f t="shared" si="115"/>
        <v/>
      </c>
      <c r="AH261" s="50" t="str">
        <f t="shared" si="116"/>
        <v/>
      </c>
      <c r="AI261" s="52" t="str">
        <f t="shared" si="117"/>
        <v/>
      </c>
      <c r="AJ261" s="52" t="str">
        <f t="shared" si="118"/>
        <v/>
      </c>
      <c r="AK261" s="52" t="str">
        <f t="shared" si="119"/>
        <v/>
      </c>
      <c r="AL261" s="52" t="str">
        <f t="shared" si="120"/>
        <v/>
      </c>
      <c r="AM261" s="52" t="str">
        <f t="shared" si="121"/>
        <v/>
      </c>
      <c r="AN261" s="52" t="str">
        <f t="shared" si="122"/>
        <v/>
      </c>
      <c r="AO261" s="52" t="str">
        <f t="shared" si="123"/>
        <v/>
      </c>
      <c r="AP261" s="52" t="str">
        <f t="shared" si="124"/>
        <v/>
      </c>
      <c r="AQ261" s="52" t="str">
        <f t="shared" si="125"/>
        <v/>
      </c>
      <c r="AR261" s="52" t="str">
        <f t="shared" si="126"/>
        <v/>
      </c>
      <c r="AS261" s="52" t="str">
        <f t="shared" si="127"/>
        <v/>
      </c>
      <c r="AT261" s="52" t="str">
        <f t="shared" si="128"/>
        <v/>
      </c>
      <c r="AU261" s="52" t="str">
        <f t="shared" si="129"/>
        <v/>
      </c>
      <c r="AV261" s="52" t="str">
        <f t="shared" si="130"/>
        <v/>
      </c>
      <c r="AW261" s="52" t="str">
        <f t="shared" si="131"/>
        <v/>
      </c>
      <c r="AX261" s="52" t="str">
        <f t="shared" si="108"/>
        <v/>
      </c>
      <c r="AY261" s="52" t="str">
        <f t="shared" si="132"/>
        <v/>
      </c>
      <c r="AZ261" s="52"/>
      <c r="BA261" s="52"/>
      <c r="BB261" s="52"/>
      <c r="BC261" s="52"/>
      <c r="BD261" s="52"/>
      <c r="BE261" s="52"/>
      <c r="BF261" s="52"/>
      <c r="BG261" s="52"/>
      <c r="BH261" s="52"/>
      <c r="BI261" s="52"/>
      <c r="BJ261" s="52"/>
      <c r="BK261" s="52"/>
      <c r="BL261" s="52"/>
      <c r="BM261" s="52"/>
      <c r="BN261" s="52"/>
      <c r="BO261" s="52"/>
      <c r="BP261" s="52"/>
      <c r="BQ261" s="52"/>
      <c r="BR261" s="52"/>
      <c r="BS261" s="52"/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2"/>
      <c r="CI261" s="52"/>
      <c r="CJ261" s="52"/>
      <c r="CK261" s="52"/>
      <c r="CL261" s="52"/>
      <c r="CM261" s="52"/>
      <c r="CN261" s="52"/>
      <c r="CO261" s="52"/>
      <c r="CP261" s="52"/>
      <c r="CQ261" s="52"/>
      <c r="CR261" s="52"/>
      <c r="CS261" s="52"/>
      <c r="CT261" s="52"/>
      <c r="CU261" s="52"/>
      <c r="CV261" s="52"/>
      <c r="CW261" s="52"/>
      <c r="CX261" s="52"/>
      <c r="CY261" s="52"/>
      <c r="CZ261" s="52"/>
      <c r="DA261" s="52"/>
      <c r="DB261" s="52"/>
      <c r="DC261" s="52"/>
      <c r="DD261" s="52"/>
      <c r="DE261" s="52"/>
      <c r="DF261" s="52"/>
      <c r="DG261" s="52"/>
      <c r="DH261" s="52"/>
      <c r="DI261" s="52"/>
      <c r="DJ261" s="52"/>
      <c r="DK261" s="52"/>
      <c r="DL261" s="52"/>
      <c r="DM261" s="52"/>
      <c r="DN261" s="52"/>
      <c r="DO261" s="52"/>
      <c r="DP261" s="52"/>
      <c r="DQ261" s="52"/>
      <c r="DR261" s="52"/>
      <c r="DS261" s="52"/>
      <c r="DT261" s="52"/>
      <c r="DU261" s="52"/>
      <c r="DV261" s="52"/>
      <c r="DW261" s="52"/>
      <c r="DX261" s="52"/>
      <c r="DY261" s="52"/>
      <c r="DZ261" s="52"/>
      <c r="EA261" s="52"/>
      <c r="EB261" s="52"/>
      <c r="EC261" s="52"/>
      <c r="ED261" s="52"/>
      <c r="EE261" s="52"/>
      <c r="EF261" s="52"/>
      <c r="EG261" s="52"/>
      <c r="EH261" s="52"/>
      <c r="EI261" s="52"/>
      <c r="EJ261" s="52"/>
      <c r="EK261" s="52"/>
      <c r="EL261" s="52"/>
      <c r="EM261" s="52"/>
      <c r="EN261" s="52"/>
      <c r="EO261" s="52"/>
      <c r="EP261" s="52"/>
      <c r="EQ261" s="52"/>
      <c r="ER261" s="52"/>
      <c r="ES261" s="52"/>
      <c r="ET261" s="52"/>
      <c r="EU261" s="52"/>
      <c r="EV261" s="52"/>
      <c r="EW261" s="52"/>
      <c r="EX261" s="52"/>
      <c r="EY261" s="52"/>
      <c r="EZ261" s="52"/>
      <c r="FA261" s="52"/>
      <c r="FB261" s="52"/>
      <c r="FC261" s="52"/>
      <c r="FD261" s="52"/>
      <c r="FE261" s="52"/>
      <c r="FF261" s="52"/>
      <c r="FG261" s="13"/>
    </row>
    <row r="262" spans="1:163">
      <c r="A262" s="71"/>
      <c r="B262" s="70"/>
      <c r="C262" s="72"/>
      <c r="D262" s="73"/>
      <c r="E262" s="73"/>
      <c r="F262" s="73"/>
      <c r="G262" s="73"/>
      <c r="H262" s="73"/>
      <c r="I262" s="74"/>
      <c r="J262" s="74"/>
      <c r="K262" s="74"/>
      <c r="L262" s="73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5"/>
      <c r="Y262" s="70"/>
      <c r="Z262" s="12">
        <f t="shared" si="109"/>
        <v>0</v>
      </c>
      <c r="AA262" s="14">
        <f t="shared" si="107"/>
        <v>0</v>
      </c>
      <c r="AB262" s="6">
        <f t="shared" si="110"/>
        <v>0</v>
      </c>
      <c r="AC262" s="6">
        <f t="shared" si="111"/>
        <v>0</v>
      </c>
      <c r="AD262" s="6">
        <f t="shared" si="112"/>
        <v>0</v>
      </c>
      <c r="AE262" s="52" t="str">
        <f t="shared" si="113"/>
        <v/>
      </c>
      <c r="AF262" s="52" t="str">
        <f t="shared" si="114"/>
        <v/>
      </c>
      <c r="AG262" s="50" t="str">
        <f t="shared" si="115"/>
        <v/>
      </c>
      <c r="AH262" s="50" t="str">
        <f t="shared" si="116"/>
        <v/>
      </c>
      <c r="AI262" s="52" t="str">
        <f t="shared" si="117"/>
        <v/>
      </c>
      <c r="AJ262" s="52" t="str">
        <f t="shared" si="118"/>
        <v/>
      </c>
      <c r="AK262" s="52" t="str">
        <f t="shared" si="119"/>
        <v/>
      </c>
      <c r="AL262" s="52" t="str">
        <f t="shared" si="120"/>
        <v/>
      </c>
      <c r="AM262" s="52" t="str">
        <f t="shared" si="121"/>
        <v/>
      </c>
      <c r="AN262" s="52" t="str">
        <f t="shared" si="122"/>
        <v/>
      </c>
      <c r="AO262" s="52" t="str">
        <f t="shared" si="123"/>
        <v/>
      </c>
      <c r="AP262" s="52" t="str">
        <f t="shared" si="124"/>
        <v/>
      </c>
      <c r="AQ262" s="52" t="str">
        <f t="shared" si="125"/>
        <v/>
      </c>
      <c r="AR262" s="52" t="str">
        <f t="shared" si="126"/>
        <v/>
      </c>
      <c r="AS262" s="52" t="str">
        <f t="shared" si="127"/>
        <v/>
      </c>
      <c r="AT262" s="52" t="str">
        <f t="shared" si="128"/>
        <v/>
      </c>
      <c r="AU262" s="52" t="str">
        <f t="shared" si="129"/>
        <v/>
      </c>
      <c r="AV262" s="52" t="str">
        <f t="shared" si="130"/>
        <v/>
      </c>
      <c r="AW262" s="52" t="str">
        <f t="shared" si="131"/>
        <v/>
      </c>
      <c r="AX262" s="52" t="str">
        <f t="shared" si="108"/>
        <v/>
      </c>
      <c r="AY262" s="52" t="str">
        <f t="shared" si="132"/>
        <v/>
      </c>
      <c r="AZ262" s="52"/>
      <c r="BA262" s="52"/>
      <c r="BB262" s="52"/>
      <c r="BC262" s="52"/>
      <c r="BD262" s="52"/>
      <c r="BE262" s="52"/>
      <c r="BF262" s="52"/>
      <c r="BG262" s="52"/>
      <c r="BH262" s="52"/>
      <c r="BI262" s="52"/>
      <c r="BJ262" s="52"/>
      <c r="BK262" s="52"/>
      <c r="BL262" s="52"/>
      <c r="BM262" s="52"/>
      <c r="BN262" s="52"/>
      <c r="BO262" s="52"/>
      <c r="BP262" s="52"/>
      <c r="BQ262" s="52"/>
      <c r="BR262" s="52"/>
      <c r="BS262" s="52"/>
      <c r="BT262" s="52"/>
      <c r="BU262" s="52"/>
      <c r="BV262" s="52"/>
      <c r="BW262" s="52"/>
      <c r="BX262" s="52"/>
      <c r="BY262" s="52"/>
      <c r="BZ262" s="52"/>
      <c r="CA262" s="52"/>
      <c r="CB262" s="52"/>
      <c r="CC262" s="52"/>
      <c r="CD262" s="52"/>
      <c r="CE262" s="52"/>
      <c r="CF262" s="52"/>
      <c r="CG262" s="52"/>
      <c r="CH262" s="52"/>
      <c r="CI262" s="52"/>
      <c r="CJ262" s="52"/>
      <c r="CK262" s="52"/>
      <c r="CL262" s="52"/>
      <c r="CM262" s="52"/>
      <c r="CN262" s="52"/>
      <c r="CO262" s="52"/>
      <c r="CP262" s="52"/>
      <c r="CQ262" s="52"/>
      <c r="CR262" s="52"/>
      <c r="CS262" s="52"/>
      <c r="CT262" s="52"/>
      <c r="CU262" s="52"/>
      <c r="CV262" s="52"/>
      <c r="CW262" s="52"/>
      <c r="CX262" s="52"/>
      <c r="CY262" s="52"/>
      <c r="CZ262" s="52"/>
      <c r="DA262" s="52"/>
      <c r="DB262" s="52"/>
      <c r="DC262" s="52"/>
      <c r="DD262" s="52"/>
      <c r="DE262" s="52"/>
      <c r="DF262" s="52"/>
      <c r="DG262" s="52"/>
      <c r="DH262" s="52"/>
      <c r="DI262" s="52"/>
      <c r="DJ262" s="52"/>
      <c r="DK262" s="52"/>
      <c r="DL262" s="52"/>
      <c r="DM262" s="52"/>
      <c r="DN262" s="52"/>
      <c r="DO262" s="52"/>
      <c r="DP262" s="52"/>
      <c r="DQ262" s="52"/>
      <c r="DR262" s="52"/>
      <c r="DS262" s="52"/>
      <c r="DT262" s="52"/>
      <c r="DU262" s="52"/>
      <c r="DV262" s="52"/>
      <c r="DW262" s="52"/>
      <c r="DX262" s="52"/>
      <c r="DY262" s="52"/>
      <c r="DZ262" s="52"/>
      <c r="EA262" s="52"/>
      <c r="EB262" s="52"/>
      <c r="EC262" s="52"/>
      <c r="ED262" s="52"/>
      <c r="EE262" s="52"/>
      <c r="EF262" s="52"/>
      <c r="EG262" s="52"/>
      <c r="EH262" s="52"/>
      <c r="EI262" s="52"/>
      <c r="EJ262" s="52"/>
      <c r="EK262" s="52"/>
      <c r="EL262" s="52"/>
      <c r="EM262" s="52"/>
      <c r="EN262" s="52"/>
      <c r="EO262" s="52"/>
      <c r="EP262" s="52"/>
      <c r="EQ262" s="52"/>
      <c r="ER262" s="52"/>
      <c r="ES262" s="52"/>
      <c r="ET262" s="52"/>
      <c r="EU262" s="52"/>
      <c r="EV262" s="52"/>
      <c r="EW262" s="52"/>
      <c r="EX262" s="52"/>
      <c r="EY262" s="52"/>
      <c r="EZ262" s="52"/>
      <c r="FA262" s="52"/>
      <c r="FB262" s="52"/>
      <c r="FC262" s="52"/>
      <c r="FD262" s="52"/>
      <c r="FE262" s="52"/>
      <c r="FF262" s="52"/>
      <c r="FG262" s="13"/>
    </row>
    <row r="263" spans="1:163">
      <c r="A263" s="71"/>
      <c r="B263" s="70"/>
      <c r="C263" s="72"/>
      <c r="D263" s="73"/>
      <c r="E263" s="73"/>
      <c r="F263" s="73"/>
      <c r="G263" s="73"/>
      <c r="H263" s="73"/>
      <c r="I263" s="74"/>
      <c r="J263" s="74"/>
      <c r="K263" s="74"/>
      <c r="L263" s="73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5"/>
      <c r="Y263" s="70"/>
      <c r="Z263" s="12">
        <f t="shared" si="109"/>
        <v>0</v>
      </c>
      <c r="AA263" s="14">
        <f t="shared" si="107"/>
        <v>0</v>
      </c>
      <c r="AB263" s="6">
        <f t="shared" si="110"/>
        <v>0</v>
      </c>
      <c r="AC263" s="6">
        <f t="shared" si="111"/>
        <v>0</v>
      </c>
      <c r="AD263" s="6">
        <f t="shared" si="112"/>
        <v>0</v>
      </c>
      <c r="AE263" s="52" t="str">
        <f t="shared" si="113"/>
        <v/>
      </c>
      <c r="AF263" s="52" t="str">
        <f t="shared" si="114"/>
        <v/>
      </c>
      <c r="AG263" s="50" t="str">
        <f t="shared" si="115"/>
        <v/>
      </c>
      <c r="AH263" s="50" t="str">
        <f t="shared" si="116"/>
        <v/>
      </c>
      <c r="AI263" s="52" t="str">
        <f t="shared" si="117"/>
        <v/>
      </c>
      <c r="AJ263" s="52" t="str">
        <f t="shared" si="118"/>
        <v/>
      </c>
      <c r="AK263" s="52" t="str">
        <f t="shared" si="119"/>
        <v/>
      </c>
      <c r="AL263" s="52" t="str">
        <f t="shared" si="120"/>
        <v/>
      </c>
      <c r="AM263" s="52" t="str">
        <f t="shared" si="121"/>
        <v/>
      </c>
      <c r="AN263" s="52" t="str">
        <f t="shared" si="122"/>
        <v/>
      </c>
      <c r="AO263" s="52" t="str">
        <f t="shared" si="123"/>
        <v/>
      </c>
      <c r="AP263" s="52" t="str">
        <f t="shared" si="124"/>
        <v/>
      </c>
      <c r="AQ263" s="52" t="str">
        <f t="shared" si="125"/>
        <v/>
      </c>
      <c r="AR263" s="52" t="str">
        <f t="shared" si="126"/>
        <v/>
      </c>
      <c r="AS263" s="52" t="str">
        <f t="shared" si="127"/>
        <v/>
      </c>
      <c r="AT263" s="52" t="str">
        <f t="shared" si="128"/>
        <v/>
      </c>
      <c r="AU263" s="52" t="str">
        <f t="shared" si="129"/>
        <v/>
      </c>
      <c r="AV263" s="52" t="str">
        <f t="shared" si="130"/>
        <v/>
      </c>
      <c r="AW263" s="52" t="str">
        <f t="shared" si="131"/>
        <v/>
      </c>
      <c r="AX263" s="52" t="str">
        <f t="shared" si="108"/>
        <v/>
      </c>
      <c r="AY263" s="52" t="str">
        <f t="shared" si="132"/>
        <v/>
      </c>
      <c r="AZ263" s="52"/>
      <c r="BA263" s="52"/>
      <c r="BB263" s="52"/>
      <c r="BC263" s="52"/>
      <c r="BD263" s="52"/>
      <c r="BE263" s="52"/>
      <c r="BF263" s="52"/>
      <c r="BG263" s="52"/>
      <c r="BH263" s="52"/>
      <c r="BI263" s="52"/>
      <c r="BJ263" s="52"/>
      <c r="BK263" s="52"/>
      <c r="BL263" s="52"/>
      <c r="BM263" s="52"/>
      <c r="BN263" s="52"/>
      <c r="BO263" s="52"/>
      <c r="BP263" s="52"/>
      <c r="BQ263" s="52"/>
      <c r="BR263" s="52"/>
      <c r="BS263" s="52"/>
      <c r="BT263" s="52"/>
      <c r="BU263" s="52"/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2"/>
      <c r="CI263" s="52"/>
      <c r="CJ263" s="52"/>
      <c r="CK263" s="52"/>
      <c r="CL263" s="52"/>
      <c r="CM263" s="52"/>
      <c r="CN263" s="52"/>
      <c r="CO263" s="52"/>
      <c r="CP263" s="52"/>
      <c r="CQ263" s="52"/>
      <c r="CR263" s="52"/>
      <c r="CS263" s="52"/>
      <c r="CT263" s="52"/>
      <c r="CU263" s="52"/>
      <c r="CV263" s="52"/>
      <c r="CW263" s="52"/>
      <c r="CX263" s="52"/>
      <c r="CY263" s="52"/>
      <c r="CZ263" s="52"/>
      <c r="DA263" s="52"/>
      <c r="DB263" s="52"/>
      <c r="DC263" s="52"/>
      <c r="DD263" s="52"/>
      <c r="DE263" s="52"/>
      <c r="DF263" s="52"/>
      <c r="DG263" s="52"/>
      <c r="DH263" s="52"/>
      <c r="DI263" s="52"/>
      <c r="DJ263" s="52"/>
      <c r="DK263" s="52"/>
      <c r="DL263" s="52"/>
      <c r="DM263" s="52"/>
      <c r="DN263" s="52"/>
      <c r="DO263" s="52"/>
      <c r="DP263" s="52"/>
      <c r="DQ263" s="52"/>
      <c r="DR263" s="52"/>
      <c r="DS263" s="52"/>
      <c r="DT263" s="52"/>
      <c r="DU263" s="52"/>
      <c r="DV263" s="52"/>
      <c r="DW263" s="52"/>
      <c r="DX263" s="52"/>
      <c r="DY263" s="52"/>
      <c r="DZ263" s="52"/>
      <c r="EA263" s="52"/>
      <c r="EB263" s="52"/>
      <c r="EC263" s="52"/>
      <c r="ED263" s="52"/>
      <c r="EE263" s="52"/>
      <c r="EF263" s="52"/>
      <c r="EG263" s="52"/>
      <c r="EH263" s="52"/>
      <c r="EI263" s="52"/>
      <c r="EJ263" s="52"/>
      <c r="EK263" s="52"/>
      <c r="EL263" s="52"/>
      <c r="EM263" s="52"/>
      <c r="EN263" s="52"/>
      <c r="EO263" s="52"/>
      <c r="EP263" s="52"/>
      <c r="EQ263" s="52"/>
      <c r="ER263" s="52"/>
      <c r="ES263" s="52"/>
      <c r="ET263" s="52"/>
      <c r="EU263" s="52"/>
      <c r="EV263" s="52"/>
      <c r="EW263" s="52"/>
      <c r="EX263" s="52"/>
      <c r="EY263" s="52"/>
      <c r="EZ263" s="52"/>
      <c r="FA263" s="52"/>
      <c r="FB263" s="52"/>
      <c r="FC263" s="52"/>
      <c r="FD263" s="52"/>
      <c r="FE263" s="52"/>
      <c r="FF263" s="52"/>
      <c r="FG263" s="13"/>
    </row>
    <row r="264" spans="1:163">
      <c r="A264" s="71"/>
      <c r="B264" s="70"/>
      <c r="C264" s="72"/>
      <c r="D264" s="73"/>
      <c r="E264" s="73"/>
      <c r="F264" s="73"/>
      <c r="G264" s="73"/>
      <c r="H264" s="73"/>
      <c r="I264" s="74"/>
      <c r="J264" s="74"/>
      <c r="K264" s="74"/>
      <c r="L264" s="73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5"/>
      <c r="Y264" s="70"/>
      <c r="Z264" s="12">
        <f t="shared" si="109"/>
        <v>0</v>
      </c>
      <c r="AA264" s="14">
        <f t="shared" si="107"/>
        <v>0</v>
      </c>
      <c r="AB264" s="6">
        <f t="shared" si="110"/>
        <v>0</v>
      </c>
      <c r="AC264" s="6">
        <f t="shared" si="111"/>
        <v>0</v>
      </c>
      <c r="AD264" s="6">
        <f t="shared" si="112"/>
        <v>0</v>
      </c>
      <c r="AE264" s="52" t="str">
        <f t="shared" si="113"/>
        <v/>
      </c>
      <c r="AF264" s="52" t="str">
        <f t="shared" si="114"/>
        <v/>
      </c>
      <c r="AG264" s="50" t="str">
        <f t="shared" si="115"/>
        <v/>
      </c>
      <c r="AH264" s="50" t="str">
        <f t="shared" si="116"/>
        <v/>
      </c>
      <c r="AI264" s="52" t="str">
        <f t="shared" si="117"/>
        <v/>
      </c>
      <c r="AJ264" s="52" t="str">
        <f t="shared" si="118"/>
        <v/>
      </c>
      <c r="AK264" s="52" t="str">
        <f t="shared" si="119"/>
        <v/>
      </c>
      <c r="AL264" s="52" t="str">
        <f t="shared" si="120"/>
        <v/>
      </c>
      <c r="AM264" s="52" t="str">
        <f t="shared" si="121"/>
        <v/>
      </c>
      <c r="AN264" s="52" t="str">
        <f t="shared" si="122"/>
        <v/>
      </c>
      <c r="AO264" s="52" t="str">
        <f t="shared" si="123"/>
        <v/>
      </c>
      <c r="AP264" s="52" t="str">
        <f t="shared" si="124"/>
        <v/>
      </c>
      <c r="AQ264" s="52" t="str">
        <f t="shared" si="125"/>
        <v/>
      </c>
      <c r="AR264" s="52" t="str">
        <f t="shared" si="126"/>
        <v/>
      </c>
      <c r="AS264" s="52" t="str">
        <f t="shared" si="127"/>
        <v/>
      </c>
      <c r="AT264" s="52" t="str">
        <f t="shared" si="128"/>
        <v/>
      </c>
      <c r="AU264" s="52" t="str">
        <f t="shared" si="129"/>
        <v/>
      </c>
      <c r="AV264" s="52" t="str">
        <f t="shared" si="130"/>
        <v/>
      </c>
      <c r="AW264" s="52" t="str">
        <f t="shared" si="131"/>
        <v/>
      </c>
      <c r="AX264" s="52" t="str">
        <f t="shared" si="108"/>
        <v/>
      </c>
      <c r="AY264" s="52" t="str">
        <f t="shared" si="132"/>
        <v/>
      </c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  <c r="BM264" s="52"/>
      <c r="BN264" s="52"/>
      <c r="BO264" s="52"/>
      <c r="BP264" s="52"/>
      <c r="BQ264" s="52"/>
      <c r="BR264" s="52"/>
      <c r="BS264" s="52"/>
      <c r="BT264" s="52"/>
      <c r="BU264" s="52"/>
      <c r="BV264" s="52"/>
      <c r="BW264" s="52"/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2"/>
      <c r="CI264" s="52"/>
      <c r="CJ264" s="52"/>
      <c r="CK264" s="52"/>
      <c r="CL264" s="52"/>
      <c r="CM264" s="52"/>
      <c r="CN264" s="52"/>
      <c r="CO264" s="52"/>
      <c r="CP264" s="52"/>
      <c r="CQ264" s="52"/>
      <c r="CR264" s="52"/>
      <c r="CS264" s="52"/>
      <c r="CT264" s="52"/>
      <c r="CU264" s="52"/>
      <c r="CV264" s="52"/>
      <c r="CW264" s="52"/>
      <c r="CX264" s="52"/>
      <c r="CY264" s="52"/>
      <c r="CZ264" s="52"/>
      <c r="DA264" s="52"/>
      <c r="DB264" s="52"/>
      <c r="DC264" s="52"/>
      <c r="DD264" s="52"/>
      <c r="DE264" s="52"/>
      <c r="DF264" s="52"/>
      <c r="DG264" s="52"/>
      <c r="DH264" s="52"/>
      <c r="DI264" s="52"/>
      <c r="DJ264" s="52"/>
      <c r="DK264" s="52"/>
      <c r="DL264" s="52"/>
      <c r="DM264" s="52"/>
      <c r="DN264" s="52"/>
      <c r="DO264" s="52"/>
      <c r="DP264" s="52"/>
      <c r="DQ264" s="52"/>
      <c r="DR264" s="52"/>
      <c r="DS264" s="52"/>
      <c r="DT264" s="52"/>
      <c r="DU264" s="52"/>
      <c r="DV264" s="52"/>
      <c r="DW264" s="52"/>
      <c r="DX264" s="52"/>
      <c r="DY264" s="52"/>
      <c r="DZ264" s="52"/>
      <c r="EA264" s="52"/>
      <c r="EB264" s="52"/>
      <c r="EC264" s="52"/>
      <c r="ED264" s="52"/>
      <c r="EE264" s="52"/>
      <c r="EF264" s="52"/>
      <c r="EG264" s="52"/>
      <c r="EH264" s="52"/>
      <c r="EI264" s="52"/>
      <c r="EJ264" s="52"/>
      <c r="EK264" s="52"/>
      <c r="EL264" s="52"/>
      <c r="EM264" s="52"/>
      <c r="EN264" s="52"/>
      <c r="EO264" s="52"/>
      <c r="EP264" s="52"/>
      <c r="EQ264" s="52"/>
      <c r="ER264" s="52"/>
      <c r="ES264" s="52"/>
      <c r="ET264" s="52"/>
      <c r="EU264" s="52"/>
      <c r="EV264" s="52"/>
      <c r="EW264" s="52"/>
      <c r="EX264" s="52"/>
      <c r="EY264" s="52"/>
      <c r="EZ264" s="52"/>
      <c r="FA264" s="52"/>
      <c r="FB264" s="52"/>
      <c r="FC264" s="52"/>
      <c r="FD264" s="52"/>
      <c r="FE264" s="52"/>
      <c r="FF264" s="52"/>
      <c r="FG264" s="13"/>
    </row>
    <row r="265" spans="1:163">
      <c r="A265" s="71"/>
      <c r="B265" s="70"/>
      <c r="C265" s="72"/>
      <c r="D265" s="73"/>
      <c r="E265" s="73"/>
      <c r="F265" s="73"/>
      <c r="G265" s="73"/>
      <c r="H265" s="73"/>
      <c r="I265" s="74"/>
      <c r="J265" s="74"/>
      <c r="K265" s="74"/>
      <c r="L265" s="73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5"/>
      <c r="Y265" s="70"/>
      <c r="Z265" s="12">
        <f t="shared" si="109"/>
        <v>0</v>
      </c>
      <c r="AA265" s="14">
        <f t="shared" si="107"/>
        <v>0</v>
      </c>
      <c r="AB265" s="6">
        <f t="shared" si="110"/>
        <v>0</v>
      </c>
      <c r="AC265" s="6">
        <f t="shared" si="111"/>
        <v>0</v>
      </c>
      <c r="AD265" s="6">
        <f t="shared" si="112"/>
        <v>0</v>
      </c>
      <c r="AE265" s="52" t="str">
        <f t="shared" si="113"/>
        <v/>
      </c>
      <c r="AF265" s="52" t="str">
        <f t="shared" si="114"/>
        <v/>
      </c>
      <c r="AG265" s="50" t="str">
        <f t="shared" si="115"/>
        <v/>
      </c>
      <c r="AH265" s="50" t="str">
        <f t="shared" si="116"/>
        <v/>
      </c>
      <c r="AI265" s="52" t="str">
        <f t="shared" si="117"/>
        <v/>
      </c>
      <c r="AJ265" s="52" t="str">
        <f t="shared" si="118"/>
        <v/>
      </c>
      <c r="AK265" s="52" t="str">
        <f t="shared" si="119"/>
        <v/>
      </c>
      <c r="AL265" s="52" t="str">
        <f t="shared" si="120"/>
        <v/>
      </c>
      <c r="AM265" s="52" t="str">
        <f t="shared" si="121"/>
        <v/>
      </c>
      <c r="AN265" s="52" t="str">
        <f t="shared" si="122"/>
        <v/>
      </c>
      <c r="AO265" s="52" t="str">
        <f t="shared" si="123"/>
        <v/>
      </c>
      <c r="AP265" s="52" t="str">
        <f t="shared" si="124"/>
        <v/>
      </c>
      <c r="AQ265" s="52" t="str">
        <f t="shared" si="125"/>
        <v/>
      </c>
      <c r="AR265" s="52" t="str">
        <f t="shared" si="126"/>
        <v/>
      </c>
      <c r="AS265" s="52" t="str">
        <f t="shared" si="127"/>
        <v/>
      </c>
      <c r="AT265" s="52" t="str">
        <f t="shared" si="128"/>
        <v/>
      </c>
      <c r="AU265" s="52" t="str">
        <f t="shared" si="129"/>
        <v/>
      </c>
      <c r="AV265" s="52" t="str">
        <f t="shared" si="130"/>
        <v/>
      </c>
      <c r="AW265" s="52" t="str">
        <f t="shared" si="131"/>
        <v/>
      </c>
      <c r="AX265" s="52" t="str">
        <f t="shared" si="108"/>
        <v/>
      </c>
      <c r="AY265" s="52" t="str">
        <f t="shared" si="132"/>
        <v/>
      </c>
      <c r="AZ265" s="52"/>
      <c r="BA265" s="52"/>
      <c r="BB265" s="52"/>
      <c r="BC265" s="52"/>
      <c r="BD265" s="52"/>
      <c r="BE265" s="52"/>
      <c r="BF265" s="52"/>
      <c r="BG265" s="52"/>
      <c r="BH265" s="52"/>
      <c r="BI265" s="52"/>
      <c r="BJ265" s="52"/>
      <c r="BK265" s="52"/>
      <c r="BL265" s="52"/>
      <c r="BM265" s="52"/>
      <c r="BN265" s="52"/>
      <c r="BO265" s="52"/>
      <c r="BP265" s="52"/>
      <c r="BQ265" s="52"/>
      <c r="BR265" s="52"/>
      <c r="BS265" s="52"/>
      <c r="BT265" s="52"/>
      <c r="BU265" s="52"/>
      <c r="BV265" s="52"/>
      <c r="BW265" s="52"/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2"/>
      <c r="CI265" s="52"/>
      <c r="CJ265" s="52"/>
      <c r="CK265" s="52"/>
      <c r="CL265" s="52"/>
      <c r="CM265" s="52"/>
      <c r="CN265" s="52"/>
      <c r="CO265" s="52"/>
      <c r="CP265" s="52"/>
      <c r="CQ265" s="52"/>
      <c r="CR265" s="52"/>
      <c r="CS265" s="52"/>
      <c r="CT265" s="52"/>
      <c r="CU265" s="52"/>
      <c r="CV265" s="52"/>
      <c r="CW265" s="52"/>
      <c r="CX265" s="52"/>
      <c r="CY265" s="52"/>
      <c r="CZ265" s="52"/>
      <c r="DA265" s="52"/>
      <c r="DB265" s="52"/>
      <c r="DC265" s="52"/>
      <c r="DD265" s="52"/>
      <c r="DE265" s="52"/>
      <c r="DF265" s="52"/>
      <c r="DG265" s="52"/>
      <c r="DH265" s="52"/>
      <c r="DI265" s="52"/>
      <c r="DJ265" s="52"/>
      <c r="DK265" s="52"/>
      <c r="DL265" s="52"/>
      <c r="DM265" s="52"/>
      <c r="DN265" s="52"/>
      <c r="DO265" s="52"/>
      <c r="DP265" s="52"/>
      <c r="DQ265" s="52"/>
      <c r="DR265" s="52"/>
      <c r="DS265" s="52"/>
      <c r="DT265" s="52"/>
      <c r="DU265" s="52"/>
      <c r="DV265" s="52"/>
      <c r="DW265" s="52"/>
      <c r="DX265" s="52"/>
      <c r="DY265" s="52"/>
      <c r="DZ265" s="52"/>
      <c r="EA265" s="52"/>
      <c r="EB265" s="52"/>
      <c r="EC265" s="52"/>
      <c r="ED265" s="52"/>
      <c r="EE265" s="52"/>
      <c r="EF265" s="52"/>
      <c r="EG265" s="52"/>
      <c r="EH265" s="52"/>
      <c r="EI265" s="52"/>
      <c r="EJ265" s="52"/>
      <c r="EK265" s="52"/>
      <c r="EL265" s="52"/>
      <c r="EM265" s="52"/>
      <c r="EN265" s="52"/>
      <c r="EO265" s="52"/>
      <c r="EP265" s="52"/>
      <c r="EQ265" s="52"/>
      <c r="ER265" s="52"/>
      <c r="ES265" s="52"/>
      <c r="ET265" s="52"/>
      <c r="EU265" s="52"/>
      <c r="EV265" s="52"/>
      <c r="EW265" s="52"/>
      <c r="EX265" s="52"/>
      <c r="EY265" s="52"/>
      <c r="EZ265" s="52"/>
      <c r="FA265" s="52"/>
      <c r="FB265" s="52"/>
      <c r="FC265" s="52"/>
      <c r="FD265" s="52"/>
      <c r="FE265" s="52"/>
      <c r="FF265" s="52"/>
      <c r="FG265" s="13"/>
    </row>
    <row r="266" spans="1:163">
      <c r="A266" s="71"/>
      <c r="B266" s="70"/>
      <c r="C266" s="72"/>
      <c r="D266" s="73"/>
      <c r="E266" s="73"/>
      <c r="F266" s="73"/>
      <c r="G266" s="73"/>
      <c r="H266" s="73"/>
      <c r="I266" s="74"/>
      <c r="J266" s="74"/>
      <c r="K266" s="74"/>
      <c r="L266" s="73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5"/>
      <c r="Y266" s="70"/>
      <c r="Z266" s="12">
        <f t="shared" si="109"/>
        <v>0</v>
      </c>
      <c r="AA266" s="14">
        <f t="shared" si="107"/>
        <v>0</v>
      </c>
      <c r="AB266" s="6">
        <f t="shared" si="110"/>
        <v>0</v>
      </c>
      <c r="AC266" s="6">
        <f t="shared" si="111"/>
        <v>0</v>
      </c>
      <c r="AD266" s="6">
        <f t="shared" si="112"/>
        <v>0</v>
      </c>
      <c r="AE266" s="52" t="str">
        <f t="shared" si="113"/>
        <v/>
      </c>
      <c r="AF266" s="52" t="str">
        <f t="shared" si="114"/>
        <v/>
      </c>
      <c r="AG266" s="50" t="str">
        <f t="shared" si="115"/>
        <v/>
      </c>
      <c r="AH266" s="50" t="str">
        <f t="shared" si="116"/>
        <v/>
      </c>
      <c r="AI266" s="52" t="str">
        <f t="shared" si="117"/>
        <v/>
      </c>
      <c r="AJ266" s="52" t="str">
        <f t="shared" si="118"/>
        <v/>
      </c>
      <c r="AK266" s="52" t="str">
        <f t="shared" si="119"/>
        <v/>
      </c>
      <c r="AL266" s="52" t="str">
        <f t="shared" si="120"/>
        <v/>
      </c>
      <c r="AM266" s="52" t="str">
        <f t="shared" si="121"/>
        <v/>
      </c>
      <c r="AN266" s="52" t="str">
        <f t="shared" si="122"/>
        <v/>
      </c>
      <c r="AO266" s="52" t="str">
        <f t="shared" si="123"/>
        <v/>
      </c>
      <c r="AP266" s="52" t="str">
        <f t="shared" si="124"/>
        <v/>
      </c>
      <c r="AQ266" s="52" t="str">
        <f t="shared" si="125"/>
        <v/>
      </c>
      <c r="AR266" s="52" t="str">
        <f t="shared" si="126"/>
        <v/>
      </c>
      <c r="AS266" s="52" t="str">
        <f t="shared" si="127"/>
        <v/>
      </c>
      <c r="AT266" s="52" t="str">
        <f t="shared" si="128"/>
        <v/>
      </c>
      <c r="AU266" s="52" t="str">
        <f t="shared" si="129"/>
        <v/>
      </c>
      <c r="AV266" s="52" t="str">
        <f t="shared" si="130"/>
        <v/>
      </c>
      <c r="AW266" s="52" t="str">
        <f t="shared" si="131"/>
        <v/>
      </c>
      <c r="AX266" s="52" t="str">
        <f t="shared" si="108"/>
        <v/>
      </c>
      <c r="AY266" s="52" t="str">
        <f t="shared" si="132"/>
        <v/>
      </c>
      <c r="AZ266" s="52"/>
      <c r="BA266" s="52"/>
      <c r="BB266" s="52"/>
      <c r="BC266" s="52"/>
      <c r="BD266" s="52"/>
      <c r="BE266" s="52"/>
      <c r="BF266" s="52"/>
      <c r="BG266" s="52"/>
      <c r="BH266" s="52"/>
      <c r="BI266" s="52"/>
      <c r="BJ266" s="52"/>
      <c r="BK266" s="52"/>
      <c r="BL266" s="52"/>
      <c r="BM266" s="52"/>
      <c r="BN266" s="52"/>
      <c r="BO266" s="52"/>
      <c r="BP266" s="52"/>
      <c r="BQ266" s="52"/>
      <c r="BR266" s="52"/>
      <c r="BS266" s="52"/>
      <c r="BT266" s="52"/>
      <c r="BU266" s="52"/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2"/>
      <c r="CI266" s="52"/>
      <c r="CJ266" s="52"/>
      <c r="CK266" s="52"/>
      <c r="CL266" s="52"/>
      <c r="CM266" s="52"/>
      <c r="CN266" s="52"/>
      <c r="CO266" s="52"/>
      <c r="CP266" s="52"/>
      <c r="CQ266" s="52"/>
      <c r="CR266" s="52"/>
      <c r="CS266" s="52"/>
      <c r="CT266" s="52"/>
      <c r="CU266" s="52"/>
      <c r="CV266" s="52"/>
      <c r="CW266" s="52"/>
      <c r="CX266" s="52"/>
      <c r="CY266" s="52"/>
      <c r="CZ266" s="52"/>
      <c r="DA266" s="52"/>
      <c r="DB266" s="52"/>
      <c r="DC266" s="52"/>
      <c r="DD266" s="52"/>
      <c r="DE266" s="52"/>
      <c r="DF266" s="52"/>
      <c r="DG266" s="52"/>
      <c r="DH266" s="52"/>
      <c r="DI266" s="52"/>
      <c r="DJ266" s="52"/>
      <c r="DK266" s="52"/>
      <c r="DL266" s="52"/>
      <c r="DM266" s="52"/>
      <c r="DN266" s="52"/>
      <c r="DO266" s="52"/>
      <c r="DP266" s="52"/>
      <c r="DQ266" s="52"/>
      <c r="DR266" s="52"/>
      <c r="DS266" s="52"/>
      <c r="DT266" s="52"/>
      <c r="DU266" s="52"/>
      <c r="DV266" s="52"/>
      <c r="DW266" s="52"/>
      <c r="DX266" s="52"/>
      <c r="DY266" s="52"/>
      <c r="DZ266" s="52"/>
      <c r="EA266" s="52"/>
      <c r="EB266" s="52"/>
      <c r="EC266" s="52"/>
      <c r="ED266" s="52"/>
      <c r="EE266" s="52"/>
      <c r="EF266" s="52"/>
      <c r="EG266" s="52"/>
      <c r="EH266" s="52"/>
      <c r="EI266" s="52"/>
      <c r="EJ266" s="52"/>
      <c r="EK266" s="52"/>
      <c r="EL266" s="52"/>
      <c r="EM266" s="52"/>
      <c r="EN266" s="52"/>
      <c r="EO266" s="52"/>
      <c r="EP266" s="52"/>
      <c r="EQ266" s="52"/>
      <c r="ER266" s="52"/>
      <c r="ES266" s="52"/>
      <c r="ET266" s="52"/>
      <c r="EU266" s="52"/>
      <c r="EV266" s="52"/>
      <c r="EW266" s="52"/>
      <c r="EX266" s="52"/>
      <c r="EY266" s="52"/>
      <c r="EZ266" s="52"/>
      <c r="FA266" s="52"/>
      <c r="FB266" s="52"/>
      <c r="FC266" s="52"/>
      <c r="FD266" s="52"/>
      <c r="FE266" s="52"/>
      <c r="FF266" s="52"/>
      <c r="FG266" s="13"/>
    </row>
    <row r="267" spans="1:163">
      <c r="A267" s="71"/>
      <c r="B267" s="70"/>
      <c r="C267" s="72"/>
      <c r="D267" s="73"/>
      <c r="E267" s="73"/>
      <c r="F267" s="73"/>
      <c r="G267" s="73"/>
      <c r="H267" s="73"/>
      <c r="I267" s="74"/>
      <c r="J267" s="74"/>
      <c r="K267" s="74"/>
      <c r="L267" s="73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5"/>
      <c r="Y267" s="70"/>
      <c r="Z267" s="12">
        <f t="shared" si="109"/>
        <v>0</v>
      </c>
      <c r="AA267" s="14">
        <f t="shared" si="107"/>
        <v>0</v>
      </c>
      <c r="AB267" s="6">
        <f t="shared" si="110"/>
        <v>0</v>
      </c>
      <c r="AC267" s="6">
        <f t="shared" si="111"/>
        <v>0</v>
      </c>
      <c r="AD267" s="6">
        <f t="shared" si="112"/>
        <v>0</v>
      </c>
      <c r="AE267" s="52" t="str">
        <f t="shared" si="113"/>
        <v/>
      </c>
      <c r="AF267" s="52" t="str">
        <f t="shared" si="114"/>
        <v/>
      </c>
      <c r="AG267" s="50" t="str">
        <f t="shared" si="115"/>
        <v/>
      </c>
      <c r="AH267" s="50" t="str">
        <f t="shared" si="116"/>
        <v/>
      </c>
      <c r="AI267" s="52" t="str">
        <f t="shared" si="117"/>
        <v/>
      </c>
      <c r="AJ267" s="52" t="str">
        <f t="shared" si="118"/>
        <v/>
      </c>
      <c r="AK267" s="52" t="str">
        <f t="shared" si="119"/>
        <v/>
      </c>
      <c r="AL267" s="52" t="str">
        <f t="shared" si="120"/>
        <v/>
      </c>
      <c r="AM267" s="52" t="str">
        <f t="shared" si="121"/>
        <v/>
      </c>
      <c r="AN267" s="52" t="str">
        <f t="shared" si="122"/>
        <v/>
      </c>
      <c r="AO267" s="52" t="str">
        <f t="shared" si="123"/>
        <v/>
      </c>
      <c r="AP267" s="52" t="str">
        <f t="shared" si="124"/>
        <v/>
      </c>
      <c r="AQ267" s="52" t="str">
        <f t="shared" si="125"/>
        <v/>
      </c>
      <c r="AR267" s="52" t="str">
        <f t="shared" si="126"/>
        <v/>
      </c>
      <c r="AS267" s="52" t="str">
        <f t="shared" si="127"/>
        <v/>
      </c>
      <c r="AT267" s="52" t="str">
        <f t="shared" si="128"/>
        <v/>
      </c>
      <c r="AU267" s="52" t="str">
        <f t="shared" si="129"/>
        <v/>
      </c>
      <c r="AV267" s="52" t="str">
        <f t="shared" si="130"/>
        <v/>
      </c>
      <c r="AW267" s="52" t="str">
        <f t="shared" si="131"/>
        <v/>
      </c>
      <c r="AX267" s="52" t="str">
        <f t="shared" si="108"/>
        <v/>
      </c>
      <c r="AY267" s="52" t="str">
        <f t="shared" si="132"/>
        <v/>
      </c>
      <c r="AZ267" s="52"/>
      <c r="BA267" s="52"/>
      <c r="BB267" s="52"/>
      <c r="BC267" s="52"/>
      <c r="BD267" s="52"/>
      <c r="BE267" s="52"/>
      <c r="BF267" s="52"/>
      <c r="BG267" s="52"/>
      <c r="BH267" s="52"/>
      <c r="BI267" s="52"/>
      <c r="BJ267" s="52"/>
      <c r="BK267" s="52"/>
      <c r="BL267" s="52"/>
      <c r="BM267" s="52"/>
      <c r="BN267" s="52"/>
      <c r="BO267" s="52"/>
      <c r="BP267" s="52"/>
      <c r="BQ267" s="52"/>
      <c r="BR267" s="52"/>
      <c r="BS267" s="52"/>
      <c r="BT267" s="52"/>
      <c r="BU267" s="52"/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2"/>
      <c r="CI267" s="52"/>
      <c r="CJ267" s="52"/>
      <c r="CK267" s="52"/>
      <c r="CL267" s="52"/>
      <c r="CM267" s="52"/>
      <c r="CN267" s="52"/>
      <c r="CO267" s="52"/>
      <c r="CP267" s="52"/>
      <c r="CQ267" s="52"/>
      <c r="CR267" s="52"/>
      <c r="CS267" s="52"/>
      <c r="CT267" s="52"/>
      <c r="CU267" s="52"/>
      <c r="CV267" s="52"/>
      <c r="CW267" s="52"/>
      <c r="CX267" s="52"/>
      <c r="CY267" s="52"/>
      <c r="CZ267" s="52"/>
      <c r="DA267" s="52"/>
      <c r="DB267" s="52"/>
      <c r="DC267" s="52"/>
      <c r="DD267" s="52"/>
      <c r="DE267" s="52"/>
      <c r="DF267" s="52"/>
      <c r="DG267" s="52"/>
      <c r="DH267" s="52"/>
      <c r="DI267" s="52"/>
      <c r="DJ267" s="52"/>
      <c r="DK267" s="52"/>
      <c r="DL267" s="52"/>
      <c r="DM267" s="52"/>
      <c r="DN267" s="52"/>
      <c r="DO267" s="52"/>
      <c r="DP267" s="52"/>
      <c r="DQ267" s="52"/>
      <c r="DR267" s="52"/>
      <c r="DS267" s="52"/>
      <c r="DT267" s="52"/>
      <c r="DU267" s="52"/>
      <c r="DV267" s="52"/>
      <c r="DW267" s="52"/>
      <c r="DX267" s="52"/>
      <c r="DY267" s="52"/>
      <c r="DZ267" s="52"/>
      <c r="EA267" s="52"/>
      <c r="EB267" s="52"/>
      <c r="EC267" s="52"/>
      <c r="ED267" s="52"/>
      <c r="EE267" s="52"/>
      <c r="EF267" s="52"/>
      <c r="EG267" s="52"/>
      <c r="EH267" s="52"/>
      <c r="EI267" s="52"/>
      <c r="EJ267" s="52"/>
      <c r="EK267" s="52"/>
      <c r="EL267" s="52"/>
      <c r="EM267" s="52"/>
      <c r="EN267" s="52"/>
      <c r="EO267" s="52"/>
      <c r="EP267" s="52"/>
      <c r="EQ267" s="52"/>
      <c r="ER267" s="52"/>
      <c r="ES267" s="52"/>
      <c r="ET267" s="52"/>
      <c r="EU267" s="52"/>
      <c r="EV267" s="52"/>
      <c r="EW267" s="52"/>
      <c r="EX267" s="52"/>
      <c r="EY267" s="52"/>
      <c r="EZ267" s="52"/>
      <c r="FA267" s="52"/>
      <c r="FB267" s="52"/>
      <c r="FC267" s="52"/>
      <c r="FD267" s="52"/>
      <c r="FE267" s="52"/>
      <c r="FF267" s="52"/>
      <c r="FG267" s="13"/>
    </row>
    <row r="268" spans="1:163">
      <c r="A268" s="71"/>
      <c r="B268" s="70"/>
      <c r="C268" s="72"/>
      <c r="D268" s="73"/>
      <c r="E268" s="73"/>
      <c r="F268" s="73"/>
      <c r="G268" s="73"/>
      <c r="H268" s="73"/>
      <c r="I268" s="74"/>
      <c r="J268" s="74"/>
      <c r="K268" s="74"/>
      <c r="L268" s="73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5"/>
      <c r="Y268" s="70"/>
      <c r="Z268" s="12">
        <f t="shared" si="109"/>
        <v>0</v>
      </c>
      <c r="AA268" s="14">
        <f t="shared" si="107"/>
        <v>0</v>
      </c>
      <c r="AB268" s="6">
        <f t="shared" si="110"/>
        <v>0</v>
      </c>
      <c r="AC268" s="6">
        <f t="shared" si="111"/>
        <v>0</v>
      </c>
      <c r="AD268" s="6">
        <f t="shared" si="112"/>
        <v>0</v>
      </c>
      <c r="AE268" s="52" t="str">
        <f t="shared" si="113"/>
        <v/>
      </c>
      <c r="AF268" s="52" t="str">
        <f t="shared" si="114"/>
        <v/>
      </c>
      <c r="AG268" s="50" t="str">
        <f t="shared" si="115"/>
        <v/>
      </c>
      <c r="AH268" s="50" t="str">
        <f t="shared" si="116"/>
        <v/>
      </c>
      <c r="AI268" s="52" t="str">
        <f t="shared" si="117"/>
        <v/>
      </c>
      <c r="AJ268" s="52" t="str">
        <f t="shared" si="118"/>
        <v/>
      </c>
      <c r="AK268" s="52" t="str">
        <f t="shared" si="119"/>
        <v/>
      </c>
      <c r="AL268" s="52" t="str">
        <f t="shared" si="120"/>
        <v/>
      </c>
      <c r="AM268" s="52" t="str">
        <f t="shared" si="121"/>
        <v/>
      </c>
      <c r="AN268" s="52" t="str">
        <f t="shared" si="122"/>
        <v/>
      </c>
      <c r="AO268" s="52" t="str">
        <f t="shared" si="123"/>
        <v/>
      </c>
      <c r="AP268" s="52" t="str">
        <f t="shared" si="124"/>
        <v/>
      </c>
      <c r="AQ268" s="52" t="str">
        <f t="shared" si="125"/>
        <v/>
      </c>
      <c r="AR268" s="52" t="str">
        <f t="shared" si="126"/>
        <v/>
      </c>
      <c r="AS268" s="52" t="str">
        <f t="shared" si="127"/>
        <v/>
      </c>
      <c r="AT268" s="52" t="str">
        <f t="shared" si="128"/>
        <v/>
      </c>
      <c r="AU268" s="52" t="str">
        <f t="shared" si="129"/>
        <v/>
      </c>
      <c r="AV268" s="52" t="str">
        <f t="shared" si="130"/>
        <v/>
      </c>
      <c r="AW268" s="52" t="str">
        <f t="shared" si="131"/>
        <v/>
      </c>
      <c r="AX268" s="52" t="str">
        <f t="shared" si="108"/>
        <v/>
      </c>
      <c r="AY268" s="52" t="str">
        <f t="shared" si="132"/>
        <v/>
      </c>
      <c r="AZ268" s="52"/>
      <c r="BA268" s="52"/>
      <c r="BB268" s="52"/>
      <c r="BC268" s="52"/>
      <c r="BD268" s="52"/>
      <c r="BE268" s="52"/>
      <c r="BF268" s="52"/>
      <c r="BG268" s="52"/>
      <c r="BH268" s="52"/>
      <c r="BI268" s="52"/>
      <c r="BJ268" s="52"/>
      <c r="BK268" s="52"/>
      <c r="BL268" s="52"/>
      <c r="BM268" s="52"/>
      <c r="BN268" s="52"/>
      <c r="BO268" s="52"/>
      <c r="BP268" s="52"/>
      <c r="BQ268" s="52"/>
      <c r="BR268" s="52"/>
      <c r="BS268" s="52"/>
      <c r="BT268" s="52"/>
      <c r="BU268" s="52"/>
      <c r="BV268" s="52"/>
      <c r="BW268" s="52"/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2"/>
      <c r="CI268" s="52"/>
      <c r="CJ268" s="52"/>
      <c r="CK268" s="52"/>
      <c r="CL268" s="52"/>
      <c r="CM268" s="52"/>
      <c r="CN268" s="52"/>
      <c r="CO268" s="52"/>
      <c r="CP268" s="52"/>
      <c r="CQ268" s="52"/>
      <c r="CR268" s="52"/>
      <c r="CS268" s="52"/>
      <c r="CT268" s="52"/>
      <c r="CU268" s="52"/>
      <c r="CV268" s="52"/>
      <c r="CW268" s="52"/>
      <c r="CX268" s="52"/>
      <c r="CY268" s="52"/>
      <c r="CZ268" s="52"/>
      <c r="DA268" s="52"/>
      <c r="DB268" s="52"/>
      <c r="DC268" s="52"/>
      <c r="DD268" s="52"/>
      <c r="DE268" s="52"/>
      <c r="DF268" s="52"/>
      <c r="DG268" s="52"/>
      <c r="DH268" s="52"/>
      <c r="DI268" s="52"/>
      <c r="DJ268" s="52"/>
      <c r="DK268" s="52"/>
      <c r="DL268" s="52"/>
      <c r="DM268" s="52"/>
      <c r="DN268" s="52"/>
      <c r="DO268" s="52"/>
      <c r="DP268" s="52"/>
      <c r="DQ268" s="52"/>
      <c r="DR268" s="52"/>
      <c r="DS268" s="52"/>
      <c r="DT268" s="52"/>
      <c r="DU268" s="52"/>
      <c r="DV268" s="52"/>
      <c r="DW268" s="52"/>
      <c r="DX268" s="52"/>
      <c r="DY268" s="52"/>
      <c r="DZ268" s="52"/>
      <c r="EA268" s="52"/>
      <c r="EB268" s="52"/>
      <c r="EC268" s="52"/>
      <c r="ED268" s="52"/>
      <c r="EE268" s="52"/>
      <c r="EF268" s="52"/>
      <c r="EG268" s="52"/>
      <c r="EH268" s="52"/>
      <c r="EI268" s="52"/>
      <c r="EJ268" s="52"/>
      <c r="EK268" s="52"/>
      <c r="EL268" s="52"/>
      <c r="EM268" s="52"/>
      <c r="EN268" s="52"/>
      <c r="EO268" s="52"/>
      <c r="EP268" s="52"/>
      <c r="EQ268" s="52"/>
      <c r="ER268" s="52"/>
      <c r="ES268" s="52"/>
      <c r="ET268" s="52"/>
      <c r="EU268" s="52"/>
      <c r="EV268" s="52"/>
      <c r="EW268" s="52"/>
      <c r="EX268" s="52"/>
      <c r="EY268" s="52"/>
      <c r="EZ268" s="52"/>
      <c r="FA268" s="52"/>
      <c r="FB268" s="52"/>
      <c r="FC268" s="52"/>
      <c r="FD268" s="52"/>
      <c r="FE268" s="52"/>
      <c r="FF268" s="52"/>
      <c r="FG268" s="13"/>
    </row>
    <row r="269" spans="1:163">
      <c r="A269" s="71"/>
      <c r="B269" s="70"/>
      <c r="C269" s="72"/>
      <c r="D269" s="73"/>
      <c r="E269" s="73"/>
      <c r="F269" s="73"/>
      <c r="G269" s="73"/>
      <c r="H269" s="73"/>
      <c r="I269" s="74"/>
      <c r="J269" s="74"/>
      <c r="K269" s="74"/>
      <c r="L269" s="73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5"/>
      <c r="Y269" s="70"/>
      <c r="Z269" s="12">
        <f t="shared" si="109"/>
        <v>0</v>
      </c>
      <c r="AA269" s="14">
        <f t="shared" si="107"/>
        <v>0</v>
      </c>
      <c r="AB269" s="6">
        <f t="shared" si="110"/>
        <v>0</v>
      </c>
      <c r="AC269" s="6">
        <f t="shared" si="111"/>
        <v>0</v>
      </c>
      <c r="AD269" s="6">
        <f t="shared" si="112"/>
        <v>0</v>
      </c>
      <c r="AE269" s="52" t="str">
        <f t="shared" si="113"/>
        <v/>
      </c>
      <c r="AF269" s="52" t="str">
        <f t="shared" si="114"/>
        <v/>
      </c>
      <c r="AG269" s="50" t="str">
        <f t="shared" si="115"/>
        <v/>
      </c>
      <c r="AH269" s="50" t="str">
        <f t="shared" si="116"/>
        <v/>
      </c>
      <c r="AI269" s="52" t="str">
        <f t="shared" si="117"/>
        <v/>
      </c>
      <c r="AJ269" s="52" t="str">
        <f t="shared" si="118"/>
        <v/>
      </c>
      <c r="AK269" s="52" t="str">
        <f t="shared" si="119"/>
        <v/>
      </c>
      <c r="AL269" s="52" t="str">
        <f t="shared" si="120"/>
        <v/>
      </c>
      <c r="AM269" s="52" t="str">
        <f t="shared" si="121"/>
        <v/>
      </c>
      <c r="AN269" s="52" t="str">
        <f t="shared" si="122"/>
        <v/>
      </c>
      <c r="AO269" s="52" t="str">
        <f t="shared" si="123"/>
        <v/>
      </c>
      <c r="AP269" s="52" t="str">
        <f t="shared" si="124"/>
        <v/>
      </c>
      <c r="AQ269" s="52" t="str">
        <f t="shared" si="125"/>
        <v/>
      </c>
      <c r="AR269" s="52" t="str">
        <f t="shared" si="126"/>
        <v/>
      </c>
      <c r="AS269" s="52" t="str">
        <f t="shared" si="127"/>
        <v/>
      </c>
      <c r="AT269" s="52" t="str">
        <f t="shared" si="128"/>
        <v/>
      </c>
      <c r="AU269" s="52" t="str">
        <f t="shared" si="129"/>
        <v/>
      </c>
      <c r="AV269" s="52" t="str">
        <f t="shared" si="130"/>
        <v/>
      </c>
      <c r="AW269" s="52" t="str">
        <f t="shared" si="131"/>
        <v/>
      </c>
      <c r="AX269" s="52" t="str">
        <f t="shared" si="108"/>
        <v/>
      </c>
      <c r="AY269" s="52" t="str">
        <f t="shared" si="132"/>
        <v/>
      </c>
      <c r="AZ269" s="52"/>
      <c r="BA269" s="52"/>
      <c r="BB269" s="52"/>
      <c r="BC269" s="52"/>
      <c r="BD269" s="52"/>
      <c r="BE269" s="52"/>
      <c r="BF269" s="52"/>
      <c r="BG269" s="52"/>
      <c r="BH269" s="52"/>
      <c r="BI269" s="52"/>
      <c r="BJ269" s="52"/>
      <c r="BK269" s="52"/>
      <c r="BL269" s="52"/>
      <c r="BM269" s="52"/>
      <c r="BN269" s="52"/>
      <c r="BO269" s="52"/>
      <c r="BP269" s="52"/>
      <c r="BQ269" s="52"/>
      <c r="BR269" s="52"/>
      <c r="BS269" s="52"/>
      <c r="BT269" s="52"/>
      <c r="BU269" s="52"/>
      <c r="BV269" s="52"/>
      <c r="BW269" s="52"/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2"/>
      <c r="CI269" s="52"/>
      <c r="CJ269" s="52"/>
      <c r="CK269" s="52"/>
      <c r="CL269" s="52"/>
      <c r="CM269" s="52"/>
      <c r="CN269" s="52"/>
      <c r="CO269" s="52"/>
      <c r="CP269" s="52"/>
      <c r="CQ269" s="52"/>
      <c r="CR269" s="52"/>
      <c r="CS269" s="52"/>
      <c r="CT269" s="52"/>
      <c r="CU269" s="52"/>
      <c r="CV269" s="52"/>
      <c r="CW269" s="52"/>
      <c r="CX269" s="52"/>
      <c r="CY269" s="52"/>
      <c r="CZ269" s="52"/>
      <c r="DA269" s="52"/>
      <c r="DB269" s="52"/>
      <c r="DC269" s="52"/>
      <c r="DD269" s="52"/>
      <c r="DE269" s="52"/>
      <c r="DF269" s="52"/>
      <c r="DG269" s="52"/>
      <c r="DH269" s="52"/>
      <c r="DI269" s="52"/>
      <c r="DJ269" s="52"/>
      <c r="DK269" s="52"/>
      <c r="DL269" s="52"/>
      <c r="DM269" s="52"/>
      <c r="DN269" s="52"/>
      <c r="DO269" s="52"/>
      <c r="DP269" s="52"/>
      <c r="DQ269" s="52"/>
      <c r="DR269" s="52"/>
      <c r="DS269" s="52"/>
      <c r="DT269" s="52"/>
      <c r="DU269" s="52"/>
      <c r="DV269" s="52"/>
      <c r="DW269" s="52"/>
      <c r="DX269" s="52"/>
      <c r="DY269" s="52"/>
      <c r="DZ269" s="52"/>
      <c r="EA269" s="52"/>
      <c r="EB269" s="52"/>
      <c r="EC269" s="52"/>
      <c r="ED269" s="52"/>
      <c r="EE269" s="52"/>
      <c r="EF269" s="52"/>
      <c r="EG269" s="52"/>
      <c r="EH269" s="52"/>
      <c r="EI269" s="52"/>
      <c r="EJ269" s="52"/>
      <c r="EK269" s="52"/>
      <c r="EL269" s="52"/>
      <c r="EM269" s="52"/>
      <c r="EN269" s="52"/>
      <c r="EO269" s="52"/>
      <c r="EP269" s="52"/>
      <c r="EQ269" s="52"/>
      <c r="ER269" s="52"/>
      <c r="ES269" s="52"/>
      <c r="ET269" s="52"/>
      <c r="EU269" s="52"/>
      <c r="EV269" s="52"/>
      <c r="EW269" s="52"/>
      <c r="EX269" s="52"/>
      <c r="EY269" s="52"/>
      <c r="EZ269" s="52"/>
      <c r="FA269" s="52"/>
      <c r="FB269" s="52"/>
      <c r="FC269" s="52"/>
      <c r="FD269" s="52"/>
      <c r="FE269" s="52"/>
      <c r="FF269" s="52"/>
      <c r="FG269" s="13"/>
    </row>
    <row r="270" spans="1:163">
      <c r="A270" s="71"/>
      <c r="B270" s="70"/>
      <c r="C270" s="72"/>
      <c r="D270" s="73"/>
      <c r="E270" s="73"/>
      <c r="F270" s="73"/>
      <c r="G270" s="73"/>
      <c r="H270" s="73"/>
      <c r="I270" s="74"/>
      <c r="J270" s="74"/>
      <c r="K270" s="74"/>
      <c r="L270" s="73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5"/>
      <c r="Y270" s="70"/>
      <c r="Z270" s="12">
        <f t="shared" si="109"/>
        <v>0</v>
      </c>
      <c r="AA270" s="14">
        <f t="shared" si="107"/>
        <v>0</v>
      </c>
      <c r="AB270" s="6">
        <f t="shared" si="110"/>
        <v>0</v>
      </c>
      <c r="AC270" s="6">
        <f t="shared" si="111"/>
        <v>0</v>
      </c>
      <c r="AD270" s="6">
        <f t="shared" si="112"/>
        <v>0</v>
      </c>
      <c r="AE270" s="52" t="str">
        <f t="shared" si="113"/>
        <v/>
      </c>
      <c r="AF270" s="52" t="str">
        <f t="shared" si="114"/>
        <v/>
      </c>
      <c r="AG270" s="50" t="str">
        <f t="shared" si="115"/>
        <v/>
      </c>
      <c r="AH270" s="50" t="str">
        <f t="shared" si="116"/>
        <v/>
      </c>
      <c r="AI270" s="52" t="str">
        <f t="shared" si="117"/>
        <v/>
      </c>
      <c r="AJ270" s="52" t="str">
        <f t="shared" si="118"/>
        <v/>
      </c>
      <c r="AK270" s="52" t="str">
        <f t="shared" si="119"/>
        <v/>
      </c>
      <c r="AL270" s="52" t="str">
        <f t="shared" si="120"/>
        <v/>
      </c>
      <c r="AM270" s="52" t="str">
        <f t="shared" si="121"/>
        <v/>
      </c>
      <c r="AN270" s="52" t="str">
        <f t="shared" si="122"/>
        <v/>
      </c>
      <c r="AO270" s="52" t="str">
        <f t="shared" si="123"/>
        <v/>
      </c>
      <c r="AP270" s="52" t="str">
        <f t="shared" si="124"/>
        <v/>
      </c>
      <c r="AQ270" s="52" t="str">
        <f t="shared" si="125"/>
        <v/>
      </c>
      <c r="AR270" s="52" t="str">
        <f t="shared" si="126"/>
        <v/>
      </c>
      <c r="AS270" s="52" t="str">
        <f t="shared" si="127"/>
        <v/>
      </c>
      <c r="AT270" s="52" t="str">
        <f t="shared" si="128"/>
        <v/>
      </c>
      <c r="AU270" s="52" t="str">
        <f t="shared" si="129"/>
        <v/>
      </c>
      <c r="AV270" s="52" t="str">
        <f t="shared" si="130"/>
        <v/>
      </c>
      <c r="AW270" s="52" t="str">
        <f t="shared" si="131"/>
        <v/>
      </c>
      <c r="AX270" s="52" t="str">
        <f t="shared" si="108"/>
        <v/>
      </c>
      <c r="AY270" s="52" t="str">
        <f t="shared" si="132"/>
        <v/>
      </c>
      <c r="AZ270" s="52"/>
      <c r="BA270" s="52"/>
      <c r="BB270" s="52"/>
      <c r="BC270" s="52"/>
      <c r="BD270" s="52"/>
      <c r="BE270" s="52"/>
      <c r="BF270" s="52"/>
      <c r="BG270" s="52"/>
      <c r="BH270" s="52"/>
      <c r="BI270" s="52"/>
      <c r="BJ270" s="52"/>
      <c r="BK270" s="52"/>
      <c r="BL270" s="52"/>
      <c r="BM270" s="52"/>
      <c r="BN270" s="52"/>
      <c r="BO270" s="52"/>
      <c r="BP270" s="52"/>
      <c r="BQ270" s="52"/>
      <c r="BR270" s="52"/>
      <c r="BS270" s="52"/>
      <c r="BT270" s="52"/>
      <c r="BU270" s="52"/>
      <c r="BV270" s="52"/>
      <c r="BW270" s="52"/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2"/>
      <c r="CI270" s="52"/>
      <c r="CJ270" s="52"/>
      <c r="CK270" s="52"/>
      <c r="CL270" s="52"/>
      <c r="CM270" s="52"/>
      <c r="CN270" s="52"/>
      <c r="CO270" s="52"/>
      <c r="CP270" s="52"/>
      <c r="CQ270" s="52"/>
      <c r="CR270" s="52"/>
      <c r="CS270" s="52"/>
      <c r="CT270" s="52"/>
      <c r="CU270" s="52"/>
      <c r="CV270" s="52"/>
      <c r="CW270" s="52"/>
      <c r="CX270" s="52"/>
      <c r="CY270" s="52"/>
      <c r="CZ270" s="52"/>
      <c r="DA270" s="52"/>
      <c r="DB270" s="52"/>
      <c r="DC270" s="52"/>
      <c r="DD270" s="52"/>
      <c r="DE270" s="52"/>
      <c r="DF270" s="52"/>
      <c r="DG270" s="52"/>
      <c r="DH270" s="52"/>
      <c r="DI270" s="52"/>
      <c r="DJ270" s="52"/>
      <c r="DK270" s="52"/>
      <c r="DL270" s="52"/>
      <c r="DM270" s="52"/>
      <c r="DN270" s="52"/>
      <c r="DO270" s="52"/>
      <c r="DP270" s="52"/>
      <c r="DQ270" s="52"/>
      <c r="DR270" s="52"/>
      <c r="DS270" s="52"/>
      <c r="DT270" s="52"/>
      <c r="DU270" s="52"/>
      <c r="DV270" s="52"/>
      <c r="DW270" s="52"/>
      <c r="DX270" s="52"/>
      <c r="DY270" s="52"/>
      <c r="DZ270" s="52"/>
      <c r="EA270" s="52"/>
      <c r="EB270" s="52"/>
      <c r="EC270" s="52"/>
      <c r="ED270" s="52"/>
      <c r="EE270" s="52"/>
      <c r="EF270" s="52"/>
      <c r="EG270" s="52"/>
      <c r="EH270" s="52"/>
      <c r="EI270" s="52"/>
      <c r="EJ270" s="52"/>
      <c r="EK270" s="52"/>
      <c r="EL270" s="52"/>
      <c r="EM270" s="52"/>
      <c r="EN270" s="52"/>
      <c r="EO270" s="52"/>
      <c r="EP270" s="52"/>
      <c r="EQ270" s="52"/>
      <c r="ER270" s="52"/>
      <c r="ES270" s="52"/>
      <c r="ET270" s="52"/>
      <c r="EU270" s="52"/>
      <c r="EV270" s="52"/>
      <c r="EW270" s="52"/>
      <c r="EX270" s="52"/>
      <c r="EY270" s="52"/>
      <c r="EZ270" s="52"/>
      <c r="FA270" s="52"/>
      <c r="FB270" s="52"/>
      <c r="FC270" s="52"/>
      <c r="FD270" s="52"/>
      <c r="FE270" s="52"/>
      <c r="FF270" s="52"/>
      <c r="FG270" s="13"/>
    </row>
    <row r="271" spans="1:163">
      <c r="A271" s="71"/>
      <c r="B271" s="70"/>
      <c r="C271" s="72"/>
      <c r="D271" s="73"/>
      <c r="E271" s="73"/>
      <c r="F271" s="73"/>
      <c r="G271" s="73"/>
      <c r="H271" s="73"/>
      <c r="I271" s="74"/>
      <c r="J271" s="74"/>
      <c r="K271" s="74"/>
      <c r="L271" s="73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5"/>
      <c r="Y271" s="70"/>
      <c r="Z271" s="12">
        <f t="shared" si="109"/>
        <v>0</v>
      </c>
      <c r="AA271" s="14">
        <f t="shared" si="107"/>
        <v>0</v>
      </c>
      <c r="AB271" s="6">
        <f t="shared" si="110"/>
        <v>0</v>
      </c>
      <c r="AC271" s="6">
        <f t="shared" si="111"/>
        <v>0</v>
      </c>
      <c r="AD271" s="6">
        <f t="shared" si="112"/>
        <v>0</v>
      </c>
      <c r="AE271" s="52" t="str">
        <f t="shared" si="113"/>
        <v/>
      </c>
      <c r="AF271" s="52" t="str">
        <f t="shared" si="114"/>
        <v/>
      </c>
      <c r="AG271" s="50" t="str">
        <f t="shared" si="115"/>
        <v/>
      </c>
      <c r="AH271" s="50" t="str">
        <f t="shared" si="116"/>
        <v/>
      </c>
      <c r="AI271" s="52" t="str">
        <f t="shared" si="117"/>
        <v/>
      </c>
      <c r="AJ271" s="52" t="str">
        <f t="shared" si="118"/>
        <v/>
      </c>
      <c r="AK271" s="52" t="str">
        <f t="shared" si="119"/>
        <v/>
      </c>
      <c r="AL271" s="52" t="str">
        <f t="shared" si="120"/>
        <v/>
      </c>
      <c r="AM271" s="52" t="str">
        <f t="shared" si="121"/>
        <v/>
      </c>
      <c r="AN271" s="52" t="str">
        <f t="shared" si="122"/>
        <v/>
      </c>
      <c r="AO271" s="52" t="str">
        <f t="shared" si="123"/>
        <v/>
      </c>
      <c r="AP271" s="52" t="str">
        <f t="shared" si="124"/>
        <v/>
      </c>
      <c r="AQ271" s="52" t="str">
        <f t="shared" si="125"/>
        <v/>
      </c>
      <c r="AR271" s="52" t="str">
        <f t="shared" si="126"/>
        <v/>
      </c>
      <c r="AS271" s="52" t="str">
        <f t="shared" si="127"/>
        <v/>
      </c>
      <c r="AT271" s="52" t="str">
        <f t="shared" si="128"/>
        <v/>
      </c>
      <c r="AU271" s="52" t="str">
        <f t="shared" si="129"/>
        <v/>
      </c>
      <c r="AV271" s="52" t="str">
        <f t="shared" si="130"/>
        <v/>
      </c>
      <c r="AW271" s="52" t="str">
        <f t="shared" si="131"/>
        <v/>
      </c>
      <c r="AX271" s="52" t="str">
        <f t="shared" si="108"/>
        <v/>
      </c>
      <c r="AY271" s="52" t="str">
        <f t="shared" si="132"/>
        <v/>
      </c>
      <c r="AZ271" s="52"/>
      <c r="BA271" s="52"/>
      <c r="BB271" s="52"/>
      <c r="BC271" s="52"/>
      <c r="BD271" s="52"/>
      <c r="BE271" s="52"/>
      <c r="BF271" s="52"/>
      <c r="BG271" s="52"/>
      <c r="BH271" s="52"/>
      <c r="BI271" s="52"/>
      <c r="BJ271" s="52"/>
      <c r="BK271" s="52"/>
      <c r="BL271" s="52"/>
      <c r="BM271" s="52"/>
      <c r="BN271" s="52"/>
      <c r="BO271" s="52"/>
      <c r="BP271" s="52"/>
      <c r="BQ271" s="52"/>
      <c r="BR271" s="52"/>
      <c r="BS271" s="52"/>
      <c r="BT271" s="52"/>
      <c r="BU271" s="52"/>
      <c r="BV271" s="52"/>
      <c r="BW271" s="52"/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2"/>
      <c r="CI271" s="52"/>
      <c r="CJ271" s="52"/>
      <c r="CK271" s="52"/>
      <c r="CL271" s="52"/>
      <c r="CM271" s="52"/>
      <c r="CN271" s="52"/>
      <c r="CO271" s="52"/>
      <c r="CP271" s="52"/>
      <c r="CQ271" s="52"/>
      <c r="CR271" s="52"/>
      <c r="CS271" s="52"/>
      <c r="CT271" s="52"/>
      <c r="CU271" s="52"/>
      <c r="CV271" s="52"/>
      <c r="CW271" s="52"/>
      <c r="CX271" s="52"/>
      <c r="CY271" s="52"/>
      <c r="CZ271" s="52"/>
      <c r="DA271" s="52"/>
      <c r="DB271" s="52"/>
      <c r="DC271" s="52"/>
      <c r="DD271" s="52"/>
      <c r="DE271" s="52"/>
      <c r="DF271" s="52"/>
      <c r="DG271" s="52"/>
      <c r="DH271" s="52"/>
      <c r="DI271" s="52"/>
      <c r="DJ271" s="52"/>
      <c r="DK271" s="52"/>
      <c r="DL271" s="52"/>
      <c r="DM271" s="52"/>
      <c r="DN271" s="52"/>
      <c r="DO271" s="52"/>
      <c r="DP271" s="52"/>
      <c r="DQ271" s="52"/>
      <c r="DR271" s="52"/>
      <c r="DS271" s="52"/>
      <c r="DT271" s="52"/>
      <c r="DU271" s="52"/>
      <c r="DV271" s="52"/>
      <c r="DW271" s="52"/>
      <c r="DX271" s="52"/>
      <c r="DY271" s="52"/>
      <c r="DZ271" s="52"/>
      <c r="EA271" s="52"/>
      <c r="EB271" s="52"/>
      <c r="EC271" s="52"/>
      <c r="ED271" s="52"/>
      <c r="EE271" s="52"/>
      <c r="EF271" s="52"/>
      <c r="EG271" s="52"/>
      <c r="EH271" s="52"/>
      <c r="EI271" s="52"/>
      <c r="EJ271" s="52"/>
      <c r="EK271" s="52"/>
      <c r="EL271" s="52"/>
      <c r="EM271" s="52"/>
      <c r="EN271" s="52"/>
      <c r="EO271" s="52"/>
      <c r="EP271" s="52"/>
      <c r="EQ271" s="52"/>
      <c r="ER271" s="52"/>
      <c r="ES271" s="52"/>
      <c r="ET271" s="52"/>
      <c r="EU271" s="52"/>
      <c r="EV271" s="52"/>
      <c r="EW271" s="52"/>
      <c r="EX271" s="52"/>
      <c r="EY271" s="52"/>
      <c r="EZ271" s="52"/>
      <c r="FA271" s="52"/>
      <c r="FB271" s="52"/>
      <c r="FC271" s="52"/>
      <c r="FD271" s="52"/>
      <c r="FE271" s="52"/>
      <c r="FF271" s="52"/>
      <c r="FG271" s="13"/>
    </row>
    <row r="272" spans="1:163">
      <c r="A272" s="71"/>
      <c r="B272" s="70"/>
      <c r="C272" s="72"/>
      <c r="D272" s="73"/>
      <c r="E272" s="73"/>
      <c r="F272" s="73"/>
      <c r="G272" s="73"/>
      <c r="H272" s="73"/>
      <c r="I272" s="74"/>
      <c r="J272" s="74"/>
      <c r="K272" s="74"/>
      <c r="L272" s="73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5"/>
      <c r="Y272" s="70"/>
      <c r="Z272" s="12">
        <f t="shared" si="109"/>
        <v>0</v>
      </c>
      <c r="AA272" s="14">
        <f t="shared" si="107"/>
        <v>0</v>
      </c>
      <c r="AB272" s="6">
        <f t="shared" si="110"/>
        <v>0</v>
      </c>
      <c r="AC272" s="6">
        <f t="shared" si="111"/>
        <v>0</v>
      </c>
      <c r="AD272" s="6">
        <f t="shared" si="112"/>
        <v>0</v>
      </c>
      <c r="AE272" s="52" t="str">
        <f t="shared" si="113"/>
        <v/>
      </c>
      <c r="AF272" s="52" t="str">
        <f t="shared" si="114"/>
        <v/>
      </c>
      <c r="AG272" s="50" t="str">
        <f t="shared" si="115"/>
        <v/>
      </c>
      <c r="AH272" s="50" t="str">
        <f t="shared" si="116"/>
        <v/>
      </c>
      <c r="AI272" s="52" t="str">
        <f t="shared" si="117"/>
        <v/>
      </c>
      <c r="AJ272" s="52" t="str">
        <f t="shared" si="118"/>
        <v/>
      </c>
      <c r="AK272" s="52" t="str">
        <f t="shared" si="119"/>
        <v/>
      </c>
      <c r="AL272" s="52" t="str">
        <f t="shared" si="120"/>
        <v/>
      </c>
      <c r="AM272" s="52" t="str">
        <f t="shared" si="121"/>
        <v/>
      </c>
      <c r="AN272" s="52" t="str">
        <f t="shared" si="122"/>
        <v/>
      </c>
      <c r="AO272" s="52" t="str">
        <f t="shared" si="123"/>
        <v/>
      </c>
      <c r="AP272" s="52" t="str">
        <f t="shared" si="124"/>
        <v/>
      </c>
      <c r="AQ272" s="52" t="str">
        <f t="shared" si="125"/>
        <v/>
      </c>
      <c r="AR272" s="52" t="str">
        <f t="shared" si="126"/>
        <v/>
      </c>
      <c r="AS272" s="52" t="str">
        <f t="shared" si="127"/>
        <v/>
      </c>
      <c r="AT272" s="52" t="str">
        <f t="shared" si="128"/>
        <v/>
      </c>
      <c r="AU272" s="52" t="str">
        <f t="shared" si="129"/>
        <v/>
      </c>
      <c r="AV272" s="52" t="str">
        <f t="shared" si="130"/>
        <v/>
      </c>
      <c r="AW272" s="52" t="str">
        <f t="shared" si="131"/>
        <v/>
      </c>
      <c r="AX272" s="52" t="str">
        <f t="shared" si="108"/>
        <v/>
      </c>
      <c r="AY272" s="52" t="str">
        <f t="shared" si="132"/>
        <v/>
      </c>
      <c r="AZ272" s="52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  <c r="BM272" s="52"/>
      <c r="BN272" s="52"/>
      <c r="BO272" s="52"/>
      <c r="BP272" s="52"/>
      <c r="BQ272" s="52"/>
      <c r="BR272" s="52"/>
      <c r="BS272" s="52"/>
      <c r="BT272" s="52"/>
      <c r="BU272" s="52"/>
      <c r="BV272" s="52"/>
      <c r="BW272" s="52"/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2"/>
      <c r="CI272" s="52"/>
      <c r="CJ272" s="52"/>
      <c r="CK272" s="52"/>
      <c r="CL272" s="52"/>
      <c r="CM272" s="52"/>
      <c r="CN272" s="52"/>
      <c r="CO272" s="52"/>
      <c r="CP272" s="52"/>
      <c r="CQ272" s="52"/>
      <c r="CR272" s="52"/>
      <c r="CS272" s="52"/>
      <c r="CT272" s="52"/>
      <c r="CU272" s="52"/>
      <c r="CV272" s="52"/>
      <c r="CW272" s="52"/>
      <c r="CX272" s="52"/>
      <c r="CY272" s="52"/>
      <c r="CZ272" s="52"/>
      <c r="DA272" s="52"/>
      <c r="DB272" s="52"/>
      <c r="DC272" s="52"/>
      <c r="DD272" s="52"/>
      <c r="DE272" s="52"/>
      <c r="DF272" s="52"/>
      <c r="DG272" s="52"/>
      <c r="DH272" s="52"/>
      <c r="DI272" s="52"/>
      <c r="DJ272" s="52"/>
      <c r="DK272" s="52"/>
      <c r="DL272" s="52"/>
      <c r="DM272" s="52"/>
      <c r="DN272" s="52"/>
      <c r="DO272" s="52"/>
      <c r="DP272" s="52"/>
      <c r="DQ272" s="52"/>
      <c r="DR272" s="52"/>
      <c r="DS272" s="52"/>
      <c r="DT272" s="52"/>
      <c r="DU272" s="52"/>
      <c r="DV272" s="52"/>
      <c r="DW272" s="52"/>
      <c r="DX272" s="52"/>
      <c r="DY272" s="52"/>
      <c r="DZ272" s="52"/>
      <c r="EA272" s="52"/>
      <c r="EB272" s="52"/>
      <c r="EC272" s="52"/>
      <c r="ED272" s="52"/>
      <c r="EE272" s="52"/>
      <c r="EF272" s="52"/>
      <c r="EG272" s="52"/>
      <c r="EH272" s="52"/>
      <c r="EI272" s="52"/>
      <c r="EJ272" s="52"/>
      <c r="EK272" s="52"/>
      <c r="EL272" s="52"/>
      <c r="EM272" s="52"/>
      <c r="EN272" s="52"/>
      <c r="EO272" s="52"/>
      <c r="EP272" s="52"/>
      <c r="EQ272" s="52"/>
      <c r="ER272" s="52"/>
      <c r="ES272" s="52"/>
      <c r="ET272" s="52"/>
      <c r="EU272" s="52"/>
      <c r="EV272" s="52"/>
      <c r="EW272" s="52"/>
      <c r="EX272" s="52"/>
      <c r="EY272" s="52"/>
      <c r="EZ272" s="52"/>
      <c r="FA272" s="52"/>
      <c r="FB272" s="52"/>
      <c r="FC272" s="52"/>
      <c r="FD272" s="52"/>
      <c r="FE272" s="52"/>
      <c r="FF272" s="52"/>
      <c r="FG272" s="13"/>
    </row>
    <row r="273" spans="1:163">
      <c r="A273" s="71"/>
      <c r="B273" s="70"/>
      <c r="C273" s="72"/>
      <c r="D273" s="73"/>
      <c r="E273" s="73"/>
      <c r="F273" s="73"/>
      <c r="G273" s="73"/>
      <c r="H273" s="73"/>
      <c r="I273" s="74"/>
      <c r="J273" s="74"/>
      <c r="K273" s="74"/>
      <c r="L273" s="73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5"/>
      <c r="Y273" s="70"/>
      <c r="Z273" s="12">
        <f t="shared" si="109"/>
        <v>0</v>
      </c>
      <c r="AA273" s="14">
        <f t="shared" si="107"/>
        <v>0</v>
      </c>
      <c r="AB273" s="6">
        <f t="shared" si="110"/>
        <v>0</v>
      </c>
      <c r="AC273" s="6">
        <f t="shared" si="111"/>
        <v>0</v>
      </c>
      <c r="AD273" s="6">
        <f t="shared" si="112"/>
        <v>0</v>
      </c>
      <c r="AE273" s="52" t="str">
        <f t="shared" si="113"/>
        <v/>
      </c>
      <c r="AF273" s="52" t="str">
        <f t="shared" si="114"/>
        <v/>
      </c>
      <c r="AG273" s="50" t="str">
        <f t="shared" si="115"/>
        <v/>
      </c>
      <c r="AH273" s="50" t="str">
        <f t="shared" si="116"/>
        <v/>
      </c>
      <c r="AI273" s="52" t="str">
        <f t="shared" si="117"/>
        <v/>
      </c>
      <c r="AJ273" s="52" t="str">
        <f t="shared" si="118"/>
        <v/>
      </c>
      <c r="AK273" s="52" t="str">
        <f t="shared" si="119"/>
        <v/>
      </c>
      <c r="AL273" s="52" t="str">
        <f t="shared" si="120"/>
        <v/>
      </c>
      <c r="AM273" s="52" t="str">
        <f t="shared" si="121"/>
        <v/>
      </c>
      <c r="AN273" s="52" t="str">
        <f t="shared" si="122"/>
        <v/>
      </c>
      <c r="AO273" s="52" t="str">
        <f t="shared" si="123"/>
        <v/>
      </c>
      <c r="AP273" s="52" t="str">
        <f t="shared" si="124"/>
        <v/>
      </c>
      <c r="AQ273" s="52" t="str">
        <f t="shared" si="125"/>
        <v/>
      </c>
      <c r="AR273" s="52" t="str">
        <f t="shared" si="126"/>
        <v/>
      </c>
      <c r="AS273" s="52" t="str">
        <f t="shared" si="127"/>
        <v/>
      </c>
      <c r="AT273" s="52" t="str">
        <f t="shared" si="128"/>
        <v/>
      </c>
      <c r="AU273" s="52" t="str">
        <f t="shared" si="129"/>
        <v/>
      </c>
      <c r="AV273" s="52" t="str">
        <f t="shared" si="130"/>
        <v/>
      </c>
      <c r="AW273" s="52" t="str">
        <f t="shared" si="131"/>
        <v/>
      </c>
      <c r="AX273" s="52" t="str">
        <f t="shared" si="108"/>
        <v/>
      </c>
      <c r="AY273" s="52" t="str">
        <f t="shared" si="132"/>
        <v/>
      </c>
      <c r="AZ273" s="52"/>
      <c r="BA273" s="52"/>
      <c r="BB273" s="52"/>
      <c r="BC273" s="52"/>
      <c r="BD273" s="52"/>
      <c r="BE273" s="52"/>
      <c r="BF273" s="52"/>
      <c r="BG273" s="52"/>
      <c r="BH273" s="52"/>
      <c r="BI273" s="52"/>
      <c r="BJ273" s="52"/>
      <c r="BK273" s="52"/>
      <c r="BL273" s="52"/>
      <c r="BM273" s="52"/>
      <c r="BN273" s="52"/>
      <c r="BO273" s="52"/>
      <c r="BP273" s="52"/>
      <c r="BQ273" s="52"/>
      <c r="BR273" s="52"/>
      <c r="BS273" s="52"/>
      <c r="BT273" s="52"/>
      <c r="BU273" s="52"/>
      <c r="BV273" s="52"/>
      <c r="BW273" s="52"/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2"/>
      <c r="CI273" s="52"/>
      <c r="CJ273" s="52"/>
      <c r="CK273" s="52"/>
      <c r="CL273" s="52"/>
      <c r="CM273" s="52"/>
      <c r="CN273" s="52"/>
      <c r="CO273" s="52"/>
      <c r="CP273" s="52"/>
      <c r="CQ273" s="52"/>
      <c r="CR273" s="52"/>
      <c r="CS273" s="52"/>
      <c r="CT273" s="52"/>
      <c r="CU273" s="52"/>
      <c r="CV273" s="52"/>
      <c r="CW273" s="52"/>
      <c r="CX273" s="52"/>
      <c r="CY273" s="52"/>
      <c r="CZ273" s="52"/>
      <c r="DA273" s="52"/>
      <c r="DB273" s="52"/>
      <c r="DC273" s="52"/>
      <c r="DD273" s="52"/>
      <c r="DE273" s="52"/>
      <c r="DF273" s="52"/>
      <c r="DG273" s="52"/>
      <c r="DH273" s="52"/>
      <c r="DI273" s="52"/>
      <c r="DJ273" s="52"/>
      <c r="DK273" s="52"/>
      <c r="DL273" s="52"/>
      <c r="DM273" s="52"/>
      <c r="DN273" s="52"/>
      <c r="DO273" s="52"/>
      <c r="DP273" s="52"/>
      <c r="DQ273" s="52"/>
      <c r="DR273" s="52"/>
      <c r="DS273" s="52"/>
      <c r="DT273" s="52"/>
      <c r="DU273" s="52"/>
      <c r="DV273" s="52"/>
      <c r="DW273" s="52"/>
      <c r="DX273" s="52"/>
      <c r="DY273" s="52"/>
      <c r="DZ273" s="52"/>
      <c r="EA273" s="52"/>
      <c r="EB273" s="52"/>
      <c r="EC273" s="52"/>
      <c r="ED273" s="52"/>
      <c r="EE273" s="52"/>
      <c r="EF273" s="52"/>
      <c r="EG273" s="52"/>
      <c r="EH273" s="52"/>
      <c r="EI273" s="52"/>
      <c r="EJ273" s="52"/>
      <c r="EK273" s="52"/>
      <c r="EL273" s="52"/>
      <c r="EM273" s="52"/>
      <c r="EN273" s="52"/>
      <c r="EO273" s="52"/>
      <c r="EP273" s="52"/>
      <c r="EQ273" s="52"/>
      <c r="ER273" s="52"/>
      <c r="ES273" s="52"/>
      <c r="ET273" s="52"/>
      <c r="EU273" s="52"/>
      <c r="EV273" s="52"/>
      <c r="EW273" s="52"/>
      <c r="EX273" s="52"/>
      <c r="EY273" s="52"/>
      <c r="EZ273" s="52"/>
      <c r="FA273" s="52"/>
      <c r="FB273" s="52"/>
      <c r="FC273" s="52"/>
      <c r="FD273" s="52"/>
      <c r="FE273" s="52"/>
      <c r="FF273" s="52"/>
      <c r="FG273" s="13"/>
    </row>
    <row r="274" spans="1:163">
      <c r="A274" s="71"/>
      <c r="B274" s="70"/>
      <c r="C274" s="72"/>
      <c r="D274" s="73"/>
      <c r="E274" s="73"/>
      <c r="F274" s="73"/>
      <c r="G274" s="73"/>
      <c r="H274" s="73"/>
      <c r="I274" s="74"/>
      <c r="J274" s="74"/>
      <c r="K274" s="74"/>
      <c r="L274" s="73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5"/>
      <c r="Y274" s="70"/>
      <c r="Z274" s="12">
        <f t="shared" si="109"/>
        <v>0</v>
      </c>
      <c r="AA274" s="14">
        <f t="shared" si="107"/>
        <v>0</v>
      </c>
      <c r="AB274" s="6">
        <f t="shared" si="110"/>
        <v>0</v>
      </c>
      <c r="AC274" s="6">
        <f t="shared" si="111"/>
        <v>0</v>
      </c>
      <c r="AD274" s="6">
        <f t="shared" si="112"/>
        <v>0</v>
      </c>
      <c r="AE274" s="52" t="str">
        <f t="shared" si="113"/>
        <v/>
      </c>
      <c r="AF274" s="52" t="str">
        <f t="shared" si="114"/>
        <v/>
      </c>
      <c r="AG274" s="50" t="str">
        <f t="shared" si="115"/>
        <v/>
      </c>
      <c r="AH274" s="50" t="str">
        <f t="shared" si="116"/>
        <v/>
      </c>
      <c r="AI274" s="52" t="str">
        <f t="shared" si="117"/>
        <v/>
      </c>
      <c r="AJ274" s="52" t="str">
        <f t="shared" si="118"/>
        <v/>
      </c>
      <c r="AK274" s="52" t="str">
        <f t="shared" si="119"/>
        <v/>
      </c>
      <c r="AL274" s="52" t="str">
        <f t="shared" si="120"/>
        <v/>
      </c>
      <c r="AM274" s="52" t="str">
        <f t="shared" si="121"/>
        <v/>
      </c>
      <c r="AN274" s="52" t="str">
        <f t="shared" si="122"/>
        <v/>
      </c>
      <c r="AO274" s="52" t="str">
        <f t="shared" si="123"/>
        <v/>
      </c>
      <c r="AP274" s="52" t="str">
        <f t="shared" si="124"/>
        <v/>
      </c>
      <c r="AQ274" s="52" t="str">
        <f t="shared" si="125"/>
        <v/>
      </c>
      <c r="AR274" s="52" t="str">
        <f t="shared" si="126"/>
        <v/>
      </c>
      <c r="AS274" s="52" t="str">
        <f t="shared" si="127"/>
        <v/>
      </c>
      <c r="AT274" s="52" t="str">
        <f t="shared" si="128"/>
        <v/>
      </c>
      <c r="AU274" s="52" t="str">
        <f t="shared" si="129"/>
        <v/>
      </c>
      <c r="AV274" s="52" t="str">
        <f t="shared" si="130"/>
        <v/>
      </c>
      <c r="AW274" s="52" t="str">
        <f t="shared" si="131"/>
        <v/>
      </c>
      <c r="AX274" s="52" t="str">
        <f t="shared" si="108"/>
        <v/>
      </c>
      <c r="AY274" s="52" t="str">
        <f t="shared" si="132"/>
        <v/>
      </c>
      <c r="AZ274" s="52"/>
      <c r="BA274" s="52"/>
      <c r="BB274" s="52"/>
      <c r="BC274" s="52"/>
      <c r="BD274" s="52"/>
      <c r="BE274" s="52"/>
      <c r="BF274" s="52"/>
      <c r="BG274" s="52"/>
      <c r="BH274" s="52"/>
      <c r="BI274" s="52"/>
      <c r="BJ274" s="52"/>
      <c r="BK274" s="52"/>
      <c r="BL274" s="52"/>
      <c r="BM274" s="52"/>
      <c r="BN274" s="52"/>
      <c r="BO274" s="52"/>
      <c r="BP274" s="52"/>
      <c r="BQ274" s="52"/>
      <c r="BR274" s="52"/>
      <c r="BS274" s="52"/>
      <c r="BT274" s="52"/>
      <c r="BU274" s="52"/>
      <c r="BV274" s="52"/>
      <c r="BW274" s="52"/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2"/>
      <c r="CI274" s="52"/>
      <c r="CJ274" s="52"/>
      <c r="CK274" s="52"/>
      <c r="CL274" s="52"/>
      <c r="CM274" s="52"/>
      <c r="CN274" s="52"/>
      <c r="CO274" s="52"/>
      <c r="CP274" s="52"/>
      <c r="CQ274" s="52"/>
      <c r="CR274" s="52"/>
      <c r="CS274" s="52"/>
      <c r="CT274" s="52"/>
      <c r="CU274" s="52"/>
      <c r="CV274" s="52"/>
      <c r="CW274" s="52"/>
      <c r="CX274" s="52"/>
      <c r="CY274" s="52"/>
      <c r="CZ274" s="52"/>
      <c r="DA274" s="52"/>
      <c r="DB274" s="52"/>
      <c r="DC274" s="52"/>
      <c r="DD274" s="52"/>
      <c r="DE274" s="52"/>
      <c r="DF274" s="52"/>
      <c r="DG274" s="52"/>
      <c r="DH274" s="52"/>
      <c r="DI274" s="52"/>
      <c r="DJ274" s="52"/>
      <c r="DK274" s="52"/>
      <c r="DL274" s="52"/>
      <c r="DM274" s="52"/>
      <c r="DN274" s="52"/>
      <c r="DO274" s="52"/>
      <c r="DP274" s="52"/>
      <c r="DQ274" s="52"/>
      <c r="DR274" s="52"/>
      <c r="DS274" s="52"/>
      <c r="DT274" s="52"/>
      <c r="DU274" s="52"/>
      <c r="DV274" s="52"/>
      <c r="DW274" s="52"/>
      <c r="DX274" s="52"/>
      <c r="DY274" s="52"/>
      <c r="DZ274" s="52"/>
      <c r="EA274" s="52"/>
      <c r="EB274" s="52"/>
      <c r="EC274" s="52"/>
      <c r="ED274" s="52"/>
      <c r="EE274" s="52"/>
      <c r="EF274" s="52"/>
      <c r="EG274" s="52"/>
      <c r="EH274" s="52"/>
      <c r="EI274" s="52"/>
      <c r="EJ274" s="52"/>
      <c r="EK274" s="52"/>
      <c r="EL274" s="52"/>
      <c r="EM274" s="52"/>
      <c r="EN274" s="52"/>
      <c r="EO274" s="52"/>
      <c r="EP274" s="52"/>
      <c r="EQ274" s="52"/>
      <c r="ER274" s="52"/>
      <c r="ES274" s="52"/>
      <c r="ET274" s="52"/>
      <c r="EU274" s="52"/>
      <c r="EV274" s="52"/>
      <c r="EW274" s="52"/>
      <c r="EX274" s="52"/>
      <c r="EY274" s="52"/>
      <c r="EZ274" s="52"/>
      <c r="FA274" s="52"/>
      <c r="FB274" s="52"/>
      <c r="FC274" s="52"/>
      <c r="FD274" s="52"/>
      <c r="FE274" s="52"/>
      <c r="FF274" s="52"/>
      <c r="FG274" s="13"/>
    </row>
    <row r="275" spans="1:163">
      <c r="A275" s="71"/>
      <c r="B275" s="70"/>
      <c r="C275" s="72"/>
      <c r="D275" s="73"/>
      <c r="E275" s="73"/>
      <c r="F275" s="73"/>
      <c r="G275" s="73"/>
      <c r="H275" s="73"/>
      <c r="I275" s="74"/>
      <c r="J275" s="74"/>
      <c r="K275" s="74"/>
      <c r="L275" s="73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5"/>
      <c r="Y275" s="70"/>
      <c r="Z275" s="12">
        <f t="shared" si="109"/>
        <v>0</v>
      </c>
      <c r="AA275" s="14">
        <f t="shared" si="107"/>
        <v>0</v>
      </c>
      <c r="AB275" s="6">
        <f t="shared" si="110"/>
        <v>0</v>
      </c>
      <c r="AC275" s="6">
        <f t="shared" si="111"/>
        <v>0</v>
      </c>
      <c r="AD275" s="6">
        <f t="shared" si="112"/>
        <v>0</v>
      </c>
      <c r="AE275" s="52" t="str">
        <f t="shared" si="113"/>
        <v/>
      </c>
      <c r="AF275" s="52" t="str">
        <f t="shared" si="114"/>
        <v/>
      </c>
      <c r="AG275" s="50" t="str">
        <f t="shared" si="115"/>
        <v/>
      </c>
      <c r="AH275" s="50" t="str">
        <f t="shared" si="116"/>
        <v/>
      </c>
      <c r="AI275" s="52" t="str">
        <f t="shared" si="117"/>
        <v/>
      </c>
      <c r="AJ275" s="52" t="str">
        <f t="shared" si="118"/>
        <v/>
      </c>
      <c r="AK275" s="52" t="str">
        <f t="shared" si="119"/>
        <v/>
      </c>
      <c r="AL275" s="52" t="str">
        <f t="shared" si="120"/>
        <v/>
      </c>
      <c r="AM275" s="52" t="str">
        <f t="shared" si="121"/>
        <v/>
      </c>
      <c r="AN275" s="52" t="str">
        <f t="shared" si="122"/>
        <v/>
      </c>
      <c r="AO275" s="52" t="str">
        <f t="shared" si="123"/>
        <v/>
      </c>
      <c r="AP275" s="52" t="str">
        <f t="shared" si="124"/>
        <v/>
      </c>
      <c r="AQ275" s="52" t="str">
        <f t="shared" si="125"/>
        <v/>
      </c>
      <c r="AR275" s="52" t="str">
        <f t="shared" si="126"/>
        <v/>
      </c>
      <c r="AS275" s="52" t="str">
        <f t="shared" si="127"/>
        <v/>
      </c>
      <c r="AT275" s="52" t="str">
        <f t="shared" si="128"/>
        <v/>
      </c>
      <c r="AU275" s="52" t="str">
        <f t="shared" si="129"/>
        <v/>
      </c>
      <c r="AV275" s="52" t="str">
        <f t="shared" si="130"/>
        <v/>
      </c>
      <c r="AW275" s="52" t="str">
        <f t="shared" si="131"/>
        <v/>
      </c>
      <c r="AX275" s="52" t="str">
        <f t="shared" si="108"/>
        <v/>
      </c>
      <c r="AY275" s="52" t="str">
        <f t="shared" si="132"/>
        <v/>
      </c>
      <c r="AZ275" s="52"/>
      <c r="BA275" s="52"/>
      <c r="BB275" s="52"/>
      <c r="BC275" s="52"/>
      <c r="BD275" s="52"/>
      <c r="BE275" s="52"/>
      <c r="BF275" s="52"/>
      <c r="BG275" s="52"/>
      <c r="BH275" s="52"/>
      <c r="BI275" s="52"/>
      <c r="BJ275" s="52"/>
      <c r="BK275" s="52"/>
      <c r="BL275" s="52"/>
      <c r="BM275" s="52"/>
      <c r="BN275" s="52"/>
      <c r="BO275" s="52"/>
      <c r="BP275" s="52"/>
      <c r="BQ275" s="52"/>
      <c r="BR275" s="52"/>
      <c r="BS275" s="52"/>
      <c r="BT275" s="52"/>
      <c r="BU275" s="52"/>
      <c r="BV275" s="52"/>
      <c r="BW275" s="52"/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2"/>
      <c r="CI275" s="52"/>
      <c r="CJ275" s="52"/>
      <c r="CK275" s="52"/>
      <c r="CL275" s="52"/>
      <c r="CM275" s="52"/>
      <c r="CN275" s="52"/>
      <c r="CO275" s="52"/>
      <c r="CP275" s="52"/>
      <c r="CQ275" s="52"/>
      <c r="CR275" s="52"/>
      <c r="CS275" s="52"/>
      <c r="CT275" s="52"/>
      <c r="CU275" s="52"/>
      <c r="CV275" s="52"/>
      <c r="CW275" s="52"/>
      <c r="CX275" s="52"/>
      <c r="CY275" s="52"/>
      <c r="CZ275" s="52"/>
      <c r="DA275" s="52"/>
      <c r="DB275" s="52"/>
      <c r="DC275" s="52"/>
      <c r="DD275" s="52"/>
      <c r="DE275" s="52"/>
      <c r="DF275" s="52"/>
      <c r="DG275" s="52"/>
      <c r="DH275" s="52"/>
      <c r="DI275" s="52"/>
      <c r="DJ275" s="52"/>
      <c r="DK275" s="52"/>
      <c r="DL275" s="52"/>
      <c r="DM275" s="52"/>
      <c r="DN275" s="52"/>
      <c r="DO275" s="52"/>
      <c r="DP275" s="52"/>
      <c r="DQ275" s="52"/>
      <c r="DR275" s="52"/>
      <c r="DS275" s="52"/>
      <c r="DT275" s="52"/>
      <c r="DU275" s="52"/>
      <c r="DV275" s="52"/>
      <c r="DW275" s="52"/>
      <c r="DX275" s="52"/>
      <c r="DY275" s="52"/>
      <c r="DZ275" s="52"/>
      <c r="EA275" s="52"/>
      <c r="EB275" s="52"/>
      <c r="EC275" s="52"/>
      <c r="ED275" s="52"/>
      <c r="EE275" s="52"/>
      <c r="EF275" s="52"/>
      <c r="EG275" s="52"/>
      <c r="EH275" s="52"/>
      <c r="EI275" s="52"/>
      <c r="EJ275" s="52"/>
      <c r="EK275" s="52"/>
      <c r="EL275" s="52"/>
      <c r="EM275" s="52"/>
      <c r="EN275" s="52"/>
      <c r="EO275" s="52"/>
      <c r="EP275" s="52"/>
      <c r="EQ275" s="52"/>
      <c r="ER275" s="52"/>
      <c r="ES275" s="52"/>
      <c r="ET275" s="52"/>
      <c r="EU275" s="52"/>
      <c r="EV275" s="52"/>
      <c r="EW275" s="52"/>
      <c r="EX275" s="52"/>
      <c r="EY275" s="52"/>
      <c r="EZ275" s="52"/>
      <c r="FA275" s="52"/>
      <c r="FB275" s="52"/>
      <c r="FC275" s="52"/>
      <c r="FD275" s="52"/>
      <c r="FE275" s="52"/>
      <c r="FF275" s="52"/>
      <c r="FG275" s="13"/>
    </row>
    <row r="276" spans="1:163">
      <c r="A276" s="71"/>
      <c r="B276" s="70"/>
      <c r="C276" s="72"/>
      <c r="D276" s="73"/>
      <c r="E276" s="73"/>
      <c r="F276" s="73"/>
      <c r="G276" s="73"/>
      <c r="H276" s="73"/>
      <c r="I276" s="74"/>
      <c r="J276" s="74"/>
      <c r="K276" s="74"/>
      <c r="L276" s="73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5"/>
      <c r="Y276" s="70"/>
      <c r="Z276" s="12">
        <f t="shared" si="109"/>
        <v>0</v>
      </c>
      <c r="AA276" s="14">
        <f t="shared" si="107"/>
        <v>0</v>
      </c>
      <c r="AB276" s="6">
        <f t="shared" si="110"/>
        <v>0</v>
      </c>
      <c r="AC276" s="6">
        <f t="shared" si="111"/>
        <v>0</v>
      </c>
      <c r="AD276" s="6">
        <f t="shared" si="112"/>
        <v>0</v>
      </c>
      <c r="AE276" s="52" t="str">
        <f t="shared" si="113"/>
        <v/>
      </c>
      <c r="AF276" s="52" t="str">
        <f t="shared" si="114"/>
        <v/>
      </c>
      <c r="AG276" s="50" t="str">
        <f t="shared" si="115"/>
        <v/>
      </c>
      <c r="AH276" s="50" t="str">
        <f t="shared" si="116"/>
        <v/>
      </c>
      <c r="AI276" s="52" t="str">
        <f t="shared" si="117"/>
        <v/>
      </c>
      <c r="AJ276" s="52" t="str">
        <f t="shared" si="118"/>
        <v/>
      </c>
      <c r="AK276" s="52" t="str">
        <f t="shared" si="119"/>
        <v/>
      </c>
      <c r="AL276" s="52" t="str">
        <f t="shared" si="120"/>
        <v/>
      </c>
      <c r="AM276" s="52" t="str">
        <f t="shared" si="121"/>
        <v/>
      </c>
      <c r="AN276" s="52" t="str">
        <f t="shared" si="122"/>
        <v/>
      </c>
      <c r="AO276" s="52" t="str">
        <f t="shared" si="123"/>
        <v/>
      </c>
      <c r="AP276" s="52" t="str">
        <f t="shared" si="124"/>
        <v/>
      </c>
      <c r="AQ276" s="52" t="str">
        <f t="shared" si="125"/>
        <v/>
      </c>
      <c r="AR276" s="52" t="str">
        <f t="shared" si="126"/>
        <v/>
      </c>
      <c r="AS276" s="52" t="str">
        <f t="shared" si="127"/>
        <v/>
      </c>
      <c r="AT276" s="52" t="str">
        <f t="shared" si="128"/>
        <v/>
      </c>
      <c r="AU276" s="52" t="str">
        <f t="shared" si="129"/>
        <v/>
      </c>
      <c r="AV276" s="52" t="str">
        <f t="shared" si="130"/>
        <v/>
      </c>
      <c r="AW276" s="52" t="str">
        <f t="shared" si="131"/>
        <v/>
      </c>
      <c r="AX276" s="52" t="str">
        <f t="shared" si="108"/>
        <v/>
      </c>
      <c r="AY276" s="52" t="str">
        <f t="shared" si="132"/>
        <v/>
      </c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  <c r="BM276" s="52"/>
      <c r="BN276" s="52"/>
      <c r="BO276" s="52"/>
      <c r="BP276" s="52"/>
      <c r="BQ276" s="52"/>
      <c r="BR276" s="52"/>
      <c r="BS276" s="52"/>
      <c r="BT276" s="52"/>
      <c r="BU276" s="52"/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2"/>
      <c r="CI276" s="52"/>
      <c r="CJ276" s="52"/>
      <c r="CK276" s="52"/>
      <c r="CL276" s="52"/>
      <c r="CM276" s="52"/>
      <c r="CN276" s="52"/>
      <c r="CO276" s="52"/>
      <c r="CP276" s="52"/>
      <c r="CQ276" s="52"/>
      <c r="CR276" s="52"/>
      <c r="CS276" s="52"/>
      <c r="CT276" s="52"/>
      <c r="CU276" s="52"/>
      <c r="CV276" s="52"/>
      <c r="CW276" s="52"/>
      <c r="CX276" s="52"/>
      <c r="CY276" s="52"/>
      <c r="CZ276" s="52"/>
      <c r="DA276" s="52"/>
      <c r="DB276" s="52"/>
      <c r="DC276" s="52"/>
      <c r="DD276" s="52"/>
      <c r="DE276" s="52"/>
      <c r="DF276" s="52"/>
      <c r="DG276" s="52"/>
      <c r="DH276" s="52"/>
      <c r="DI276" s="52"/>
      <c r="DJ276" s="52"/>
      <c r="DK276" s="52"/>
      <c r="DL276" s="52"/>
      <c r="DM276" s="52"/>
      <c r="DN276" s="52"/>
      <c r="DO276" s="52"/>
      <c r="DP276" s="52"/>
      <c r="DQ276" s="52"/>
      <c r="DR276" s="52"/>
      <c r="DS276" s="52"/>
      <c r="DT276" s="52"/>
      <c r="DU276" s="52"/>
      <c r="DV276" s="52"/>
      <c r="DW276" s="52"/>
      <c r="DX276" s="52"/>
      <c r="DY276" s="52"/>
      <c r="DZ276" s="52"/>
      <c r="EA276" s="52"/>
      <c r="EB276" s="52"/>
      <c r="EC276" s="52"/>
      <c r="ED276" s="52"/>
      <c r="EE276" s="52"/>
      <c r="EF276" s="52"/>
      <c r="EG276" s="52"/>
      <c r="EH276" s="52"/>
      <c r="EI276" s="52"/>
      <c r="EJ276" s="52"/>
      <c r="EK276" s="52"/>
      <c r="EL276" s="52"/>
      <c r="EM276" s="52"/>
      <c r="EN276" s="52"/>
      <c r="EO276" s="52"/>
      <c r="EP276" s="52"/>
      <c r="EQ276" s="52"/>
      <c r="ER276" s="52"/>
      <c r="ES276" s="52"/>
      <c r="ET276" s="52"/>
      <c r="EU276" s="52"/>
      <c r="EV276" s="52"/>
      <c r="EW276" s="52"/>
      <c r="EX276" s="52"/>
      <c r="EY276" s="52"/>
      <c r="EZ276" s="52"/>
      <c r="FA276" s="52"/>
      <c r="FB276" s="52"/>
      <c r="FC276" s="52"/>
      <c r="FD276" s="52"/>
      <c r="FE276" s="52"/>
      <c r="FF276" s="52"/>
      <c r="FG276" s="13"/>
    </row>
    <row r="277" spans="1:163">
      <c r="A277" s="71"/>
      <c r="B277" s="70"/>
      <c r="C277" s="72"/>
      <c r="D277" s="73"/>
      <c r="E277" s="73"/>
      <c r="F277" s="73"/>
      <c r="G277" s="73"/>
      <c r="H277" s="73"/>
      <c r="I277" s="74"/>
      <c r="J277" s="74"/>
      <c r="K277" s="74"/>
      <c r="L277" s="73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5"/>
      <c r="Y277" s="70"/>
      <c r="Z277" s="12">
        <f t="shared" si="109"/>
        <v>0</v>
      </c>
      <c r="AA277" s="14">
        <f t="shared" si="107"/>
        <v>0</v>
      </c>
      <c r="AB277" s="6">
        <f t="shared" si="110"/>
        <v>0</v>
      </c>
      <c r="AC277" s="6">
        <f t="shared" si="111"/>
        <v>0</v>
      </c>
      <c r="AD277" s="6">
        <f t="shared" si="112"/>
        <v>0</v>
      </c>
      <c r="AE277" s="52" t="str">
        <f t="shared" si="113"/>
        <v/>
      </c>
      <c r="AF277" s="52" t="str">
        <f t="shared" si="114"/>
        <v/>
      </c>
      <c r="AG277" s="50" t="str">
        <f t="shared" si="115"/>
        <v/>
      </c>
      <c r="AH277" s="50" t="str">
        <f t="shared" si="116"/>
        <v/>
      </c>
      <c r="AI277" s="52" t="str">
        <f t="shared" si="117"/>
        <v/>
      </c>
      <c r="AJ277" s="52" t="str">
        <f t="shared" si="118"/>
        <v/>
      </c>
      <c r="AK277" s="52" t="str">
        <f t="shared" si="119"/>
        <v/>
      </c>
      <c r="AL277" s="52" t="str">
        <f t="shared" si="120"/>
        <v/>
      </c>
      <c r="AM277" s="52" t="str">
        <f t="shared" si="121"/>
        <v/>
      </c>
      <c r="AN277" s="52" t="str">
        <f t="shared" si="122"/>
        <v/>
      </c>
      <c r="AO277" s="52" t="str">
        <f t="shared" si="123"/>
        <v/>
      </c>
      <c r="AP277" s="52" t="str">
        <f t="shared" si="124"/>
        <v/>
      </c>
      <c r="AQ277" s="52" t="str">
        <f t="shared" si="125"/>
        <v/>
      </c>
      <c r="AR277" s="52" t="str">
        <f t="shared" si="126"/>
        <v/>
      </c>
      <c r="AS277" s="52" t="str">
        <f t="shared" si="127"/>
        <v/>
      </c>
      <c r="AT277" s="52" t="str">
        <f t="shared" si="128"/>
        <v/>
      </c>
      <c r="AU277" s="52" t="str">
        <f t="shared" si="129"/>
        <v/>
      </c>
      <c r="AV277" s="52" t="str">
        <f t="shared" si="130"/>
        <v/>
      </c>
      <c r="AW277" s="52" t="str">
        <f t="shared" si="131"/>
        <v/>
      </c>
      <c r="AX277" s="52" t="str">
        <f t="shared" si="108"/>
        <v/>
      </c>
      <c r="AY277" s="52" t="str">
        <f t="shared" si="132"/>
        <v/>
      </c>
      <c r="AZ277" s="52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2"/>
      <c r="CI277" s="52"/>
      <c r="CJ277" s="52"/>
      <c r="CK277" s="52"/>
      <c r="CL277" s="52"/>
      <c r="CM277" s="52"/>
      <c r="CN277" s="52"/>
      <c r="CO277" s="52"/>
      <c r="CP277" s="52"/>
      <c r="CQ277" s="52"/>
      <c r="CR277" s="52"/>
      <c r="CS277" s="52"/>
      <c r="CT277" s="52"/>
      <c r="CU277" s="52"/>
      <c r="CV277" s="52"/>
      <c r="CW277" s="52"/>
      <c r="CX277" s="52"/>
      <c r="CY277" s="52"/>
      <c r="CZ277" s="52"/>
      <c r="DA277" s="52"/>
      <c r="DB277" s="52"/>
      <c r="DC277" s="52"/>
      <c r="DD277" s="52"/>
      <c r="DE277" s="52"/>
      <c r="DF277" s="52"/>
      <c r="DG277" s="52"/>
      <c r="DH277" s="52"/>
      <c r="DI277" s="52"/>
      <c r="DJ277" s="52"/>
      <c r="DK277" s="52"/>
      <c r="DL277" s="52"/>
      <c r="DM277" s="52"/>
      <c r="DN277" s="52"/>
      <c r="DO277" s="52"/>
      <c r="DP277" s="52"/>
      <c r="DQ277" s="52"/>
      <c r="DR277" s="52"/>
      <c r="DS277" s="52"/>
      <c r="DT277" s="52"/>
      <c r="DU277" s="52"/>
      <c r="DV277" s="52"/>
      <c r="DW277" s="52"/>
      <c r="DX277" s="52"/>
      <c r="DY277" s="52"/>
      <c r="DZ277" s="52"/>
      <c r="EA277" s="52"/>
      <c r="EB277" s="52"/>
      <c r="EC277" s="52"/>
      <c r="ED277" s="52"/>
      <c r="EE277" s="52"/>
      <c r="EF277" s="52"/>
      <c r="EG277" s="52"/>
      <c r="EH277" s="52"/>
      <c r="EI277" s="52"/>
      <c r="EJ277" s="52"/>
      <c r="EK277" s="52"/>
      <c r="EL277" s="52"/>
      <c r="EM277" s="52"/>
      <c r="EN277" s="52"/>
      <c r="EO277" s="52"/>
      <c r="EP277" s="52"/>
      <c r="EQ277" s="52"/>
      <c r="ER277" s="52"/>
      <c r="ES277" s="52"/>
      <c r="ET277" s="52"/>
      <c r="EU277" s="52"/>
      <c r="EV277" s="52"/>
      <c r="EW277" s="52"/>
      <c r="EX277" s="52"/>
      <c r="EY277" s="52"/>
      <c r="EZ277" s="52"/>
      <c r="FA277" s="52"/>
      <c r="FB277" s="52"/>
      <c r="FC277" s="52"/>
      <c r="FD277" s="52"/>
      <c r="FE277" s="52"/>
      <c r="FF277" s="52"/>
      <c r="FG277" s="13"/>
    </row>
    <row r="278" spans="1:163">
      <c r="A278" s="71"/>
      <c r="B278" s="70"/>
      <c r="C278" s="72"/>
      <c r="D278" s="73"/>
      <c r="E278" s="73"/>
      <c r="F278" s="73"/>
      <c r="G278" s="73"/>
      <c r="H278" s="73"/>
      <c r="I278" s="74"/>
      <c r="J278" s="74"/>
      <c r="K278" s="74"/>
      <c r="L278" s="73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5"/>
      <c r="Y278" s="70"/>
      <c r="Z278" s="12">
        <f t="shared" si="109"/>
        <v>0</v>
      </c>
      <c r="AA278" s="14">
        <f t="shared" si="107"/>
        <v>0</v>
      </c>
      <c r="AB278" s="6">
        <f t="shared" si="110"/>
        <v>0</v>
      </c>
      <c r="AC278" s="6">
        <f t="shared" si="111"/>
        <v>0</v>
      </c>
      <c r="AD278" s="6">
        <f t="shared" si="112"/>
        <v>0</v>
      </c>
      <c r="AE278" s="52" t="str">
        <f t="shared" si="113"/>
        <v/>
      </c>
      <c r="AF278" s="52" t="str">
        <f t="shared" si="114"/>
        <v/>
      </c>
      <c r="AG278" s="50" t="str">
        <f t="shared" si="115"/>
        <v/>
      </c>
      <c r="AH278" s="50" t="str">
        <f t="shared" si="116"/>
        <v/>
      </c>
      <c r="AI278" s="52" t="str">
        <f t="shared" si="117"/>
        <v/>
      </c>
      <c r="AJ278" s="52" t="str">
        <f t="shared" si="118"/>
        <v/>
      </c>
      <c r="AK278" s="52" t="str">
        <f t="shared" si="119"/>
        <v/>
      </c>
      <c r="AL278" s="52" t="str">
        <f t="shared" si="120"/>
        <v/>
      </c>
      <c r="AM278" s="52" t="str">
        <f t="shared" si="121"/>
        <v/>
      </c>
      <c r="AN278" s="52" t="str">
        <f t="shared" si="122"/>
        <v/>
      </c>
      <c r="AO278" s="52" t="str">
        <f t="shared" si="123"/>
        <v/>
      </c>
      <c r="AP278" s="52" t="str">
        <f t="shared" si="124"/>
        <v/>
      </c>
      <c r="AQ278" s="52" t="str">
        <f t="shared" si="125"/>
        <v/>
      </c>
      <c r="AR278" s="52" t="str">
        <f t="shared" si="126"/>
        <v/>
      </c>
      <c r="AS278" s="52" t="str">
        <f t="shared" si="127"/>
        <v/>
      </c>
      <c r="AT278" s="52" t="str">
        <f t="shared" si="128"/>
        <v/>
      </c>
      <c r="AU278" s="52" t="str">
        <f t="shared" si="129"/>
        <v/>
      </c>
      <c r="AV278" s="52" t="str">
        <f t="shared" si="130"/>
        <v/>
      </c>
      <c r="AW278" s="52" t="str">
        <f t="shared" si="131"/>
        <v/>
      </c>
      <c r="AX278" s="52" t="str">
        <f t="shared" si="108"/>
        <v/>
      </c>
      <c r="AY278" s="52" t="str">
        <f t="shared" si="132"/>
        <v/>
      </c>
      <c r="AZ278" s="52"/>
      <c r="BA278" s="52"/>
      <c r="BB278" s="52"/>
      <c r="BC278" s="52"/>
      <c r="BD278" s="52"/>
      <c r="BE278" s="52"/>
      <c r="BF278" s="52"/>
      <c r="BG278" s="52"/>
      <c r="BH278" s="52"/>
      <c r="BI278" s="52"/>
      <c r="BJ278" s="52"/>
      <c r="BK278" s="52"/>
      <c r="BL278" s="52"/>
      <c r="BM278" s="52"/>
      <c r="BN278" s="52"/>
      <c r="BO278" s="52"/>
      <c r="BP278" s="52"/>
      <c r="BQ278" s="52"/>
      <c r="BR278" s="52"/>
      <c r="BS278" s="52"/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2"/>
      <c r="CI278" s="52"/>
      <c r="CJ278" s="52"/>
      <c r="CK278" s="52"/>
      <c r="CL278" s="52"/>
      <c r="CM278" s="52"/>
      <c r="CN278" s="52"/>
      <c r="CO278" s="52"/>
      <c r="CP278" s="52"/>
      <c r="CQ278" s="52"/>
      <c r="CR278" s="52"/>
      <c r="CS278" s="52"/>
      <c r="CT278" s="52"/>
      <c r="CU278" s="52"/>
      <c r="CV278" s="52"/>
      <c r="CW278" s="52"/>
      <c r="CX278" s="52"/>
      <c r="CY278" s="52"/>
      <c r="CZ278" s="52"/>
      <c r="DA278" s="52"/>
      <c r="DB278" s="52"/>
      <c r="DC278" s="52"/>
      <c r="DD278" s="52"/>
      <c r="DE278" s="52"/>
      <c r="DF278" s="52"/>
      <c r="DG278" s="52"/>
      <c r="DH278" s="52"/>
      <c r="DI278" s="52"/>
      <c r="DJ278" s="52"/>
      <c r="DK278" s="52"/>
      <c r="DL278" s="52"/>
      <c r="DM278" s="52"/>
      <c r="DN278" s="52"/>
      <c r="DO278" s="52"/>
      <c r="DP278" s="52"/>
      <c r="DQ278" s="52"/>
      <c r="DR278" s="52"/>
      <c r="DS278" s="52"/>
      <c r="DT278" s="52"/>
      <c r="DU278" s="52"/>
      <c r="DV278" s="52"/>
      <c r="DW278" s="52"/>
      <c r="DX278" s="52"/>
      <c r="DY278" s="52"/>
      <c r="DZ278" s="52"/>
      <c r="EA278" s="52"/>
      <c r="EB278" s="52"/>
      <c r="EC278" s="52"/>
      <c r="ED278" s="52"/>
      <c r="EE278" s="52"/>
      <c r="EF278" s="52"/>
      <c r="EG278" s="52"/>
      <c r="EH278" s="52"/>
      <c r="EI278" s="52"/>
      <c r="EJ278" s="52"/>
      <c r="EK278" s="52"/>
      <c r="EL278" s="52"/>
      <c r="EM278" s="52"/>
      <c r="EN278" s="52"/>
      <c r="EO278" s="52"/>
      <c r="EP278" s="52"/>
      <c r="EQ278" s="52"/>
      <c r="ER278" s="52"/>
      <c r="ES278" s="52"/>
      <c r="ET278" s="52"/>
      <c r="EU278" s="52"/>
      <c r="EV278" s="52"/>
      <c r="EW278" s="52"/>
      <c r="EX278" s="52"/>
      <c r="EY278" s="52"/>
      <c r="EZ278" s="52"/>
      <c r="FA278" s="52"/>
      <c r="FB278" s="52"/>
      <c r="FC278" s="52"/>
      <c r="FD278" s="52"/>
      <c r="FE278" s="52"/>
      <c r="FF278" s="52"/>
      <c r="FG278" s="13"/>
    </row>
    <row r="279" spans="1:163">
      <c r="A279" s="71"/>
      <c r="B279" s="70"/>
      <c r="C279" s="72"/>
      <c r="D279" s="73"/>
      <c r="E279" s="73"/>
      <c r="F279" s="73"/>
      <c r="G279" s="73"/>
      <c r="H279" s="73"/>
      <c r="I279" s="74"/>
      <c r="J279" s="74"/>
      <c r="K279" s="74"/>
      <c r="L279" s="73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5"/>
      <c r="Y279" s="70"/>
      <c r="Z279" s="12">
        <f t="shared" si="109"/>
        <v>0</v>
      </c>
      <c r="AA279" s="14">
        <f t="shared" si="107"/>
        <v>0</v>
      </c>
      <c r="AB279" s="6">
        <f t="shared" si="110"/>
        <v>0</v>
      </c>
      <c r="AC279" s="6">
        <f t="shared" si="111"/>
        <v>0</v>
      </c>
      <c r="AD279" s="6">
        <f t="shared" si="112"/>
        <v>0</v>
      </c>
      <c r="AE279" s="52" t="str">
        <f t="shared" si="113"/>
        <v/>
      </c>
      <c r="AF279" s="52" t="str">
        <f t="shared" si="114"/>
        <v/>
      </c>
      <c r="AG279" s="50" t="str">
        <f t="shared" si="115"/>
        <v/>
      </c>
      <c r="AH279" s="50" t="str">
        <f t="shared" si="116"/>
        <v/>
      </c>
      <c r="AI279" s="52" t="str">
        <f t="shared" si="117"/>
        <v/>
      </c>
      <c r="AJ279" s="52" t="str">
        <f t="shared" si="118"/>
        <v/>
      </c>
      <c r="AK279" s="52" t="str">
        <f t="shared" si="119"/>
        <v/>
      </c>
      <c r="AL279" s="52" t="str">
        <f t="shared" si="120"/>
        <v/>
      </c>
      <c r="AM279" s="52" t="str">
        <f t="shared" si="121"/>
        <v/>
      </c>
      <c r="AN279" s="52" t="str">
        <f t="shared" si="122"/>
        <v/>
      </c>
      <c r="AO279" s="52" t="str">
        <f t="shared" si="123"/>
        <v/>
      </c>
      <c r="AP279" s="52" t="str">
        <f t="shared" si="124"/>
        <v/>
      </c>
      <c r="AQ279" s="52" t="str">
        <f t="shared" si="125"/>
        <v/>
      </c>
      <c r="AR279" s="52" t="str">
        <f t="shared" si="126"/>
        <v/>
      </c>
      <c r="AS279" s="52" t="str">
        <f t="shared" si="127"/>
        <v/>
      </c>
      <c r="AT279" s="52" t="str">
        <f t="shared" si="128"/>
        <v/>
      </c>
      <c r="AU279" s="52" t="str">
        <f t="shared" si="129"/>
        <v/>
      </c>
      <c r="AV279" s="52" t="str">
        <f t="shared" si="130"/>
        <v/>
      </c>
      <c r="AW279" s="52" t="str">
        <f t="shared" si="131"/>
        <v/>
      </c>
      <c r="AX279" s="52" t="str">
        <f t="shared" si="108"/>
        <v/>
      </c>
      <c r="AY279" s="52" t="str">
        <f t="shared" si="132"/>
        <v/>
      </c>
      <c r="AZ279" s="52"/>
      <c r="BA279" s="52"/>
      <c r="BB279" s="52"/>
      <c r="BC279" s="52"/>
      <c r="BD279" s="52"/>
      <c r="BE279" s="52"/>
      <c r="BF279" s="52"/>
      <c r="BG279" s="52"/>
      <c r="BH279" s="52"/>
      <c r="BI279" s="52"/>
      <c r="BJ279" s="52"/>
      <c r="BK279" s="52"/>
      <c r="BL279" s="52"/>
      <c r="BM279" s="52"/>
      <c r="BN279" s="52"/>
      <c r="BO279" s="52"/>
      <c r="BP279" s="52"/>
      <c r="BQ279" s="52"/>
      <c r="BR279" s="52"/>
      <c r="BS279" s="52"/>
      <c r="BT279" s="52"/>
      <c r="BU279" s="52"/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2"/>
      <c r="CI279" s="52"/>
      <c r="CJ279" s="52"/>
      <c r="CK279" s="52"/>
      <c r="CL279" s="52"/>
      <c r="CM279" s="52"/>
      <c r="CN279" s="52"/>
      <c r="CO279" s="52"/>
      <c r="CP279" s="52"/>
      <c r="CQ279" s="52"/>
      <c r="CR279" s="52"/>
      <c r="CS279" s="52"/>
      <c r="CT279" s="52"/>
      <c r="CU279" s="52"/>
      <c r="CV279" s="52"/>
      <c r="CW279" s="52"/>
      <c r="CX279" s="52"/>
      <c r="CY279" s="52"/>
      <c r="CZ279" s="52"/>
      <c r="DA279" s="52"/>
      <c r="DB279" s="52"/>
      <c r="DC279" s="52"/>
      <c r="DD279" s="52"/>
      <c r="DE279" s="52"/>
      <c r="DF279" s="52"/>
      <c r="DG279" s="52"/>
      <c r="DH279" s="52"/>
      <c r="DI279" s="52"/>
      <c r="DJ279" s="52"/>
      <c r="DK279" s="52"/>
      <c r="DL279" s="52"/>
      <c r="DM279" s="52"/>
      <c r="DN279" s="52"/>
      <c r="DO279" s="52"/>
      <c r="DP279" s="52"/>
      <c r="DQ279" s="52"/>
      <c r="DR279" s="52"/>
      <c r="DS279" s="52"/>
      <c r="DT279" s="52"/>
      <c r="DU279" s="52"/>
      <c r="DV279" s="52"/>
      <c r="DW279" s="52"/>
      <c r="DX279" s="52"/>
      <c r="DY279" s="52"/>
      <c r="DZ279" s="52"/>
      <c r="EA279" s="52"/>
      <c r="EB279" s="52"/>
      <c r="EC279" s="52"/>
      <c r="ED279" s="52"/>
      <c r="EE279" s="52"/>
      <c r="EF279" s="52"/>
      <c r="EG279" s="52"/>
      <c r="EH279" s="52"/>
      <c r="EI279" s="52"/>
      <c r="EJ279" s="52"/>
      <c r="EK279" s="52"/>
      <c r="EL279" s="52"/>
      <c r="EM279" s="52"/>
      <c r="EN279" s="52"/>
      <c r="EO279" s="52"/>
      <c r="EP279" s="52"/>
      <c r="EQ279" s="52"/>
      <c r="ER279" s="52"/>
      <c r="ES279" s="52"/>
      <c r="ET279" s="52"/>
      <c r="EU279" s="52"/>
      <c r="EV279" s="52"/>
      <c r="EW279" s="52"/>
      <c r="EX279" s="52"/>
      <c r="EY279" s="52"/>
      <c r="EZ279" s="52"/>
      <c r="FA279" s="52"/>
      <c r="FB279" s="52"/>
      <c r="FC279" s="52"/>
      <c r="FD279" s="52"/>
      <c r="FE279" s="52"/>
      <c r="FF279" s="52"/>
      <c r="FG279" s="13"/>
    </row>
    <row r="280" spans="1:163">
      <c r="A280" s="71"/>
      <c r="B280" s="70"/>
      <c r="C280" s="72"/>
      <c r="D280" s="73"/>
      <c r="E280" s="73"/>
      <c r="F280" s="73"/>
      <c r="G280" s="73"/>
      <c r="H280" s="73"/>
      <c r="I280" s="74"/>
      <c r="J280" s="74"/>
      <c r="K280" s="74"/>
      <c r="L280" s="73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5"/>
      <c r="Y280" s="70"/>
      <c r="Z280" s="12">
        <f t="shared" si="109"/>
        <v>0</v>
      </c>
      <c r="AA280" s="14">
        <f t="shared" si="107"/>
        <v>0</v>
      </c>
      <c r="AB280" s="6">
        <f t="shared" si="110"/>
        <v>0</v>
      </c>
      <c r="AC280" s="6">
        <f t="shared" si="111"/>
        <v>0</v>
      </c>
      <c r="AD280" s="6">
        <f t="shared" si="112"/>
        <v>0</v>
      </c>
      <c r="AE280" s="52" t="str">
        <f t="shared" si="113"/>
        <v/>
      </c>
      <c r="AF280" s="52" t="str">
        <f t="shared" si="114"/>
        <v/>
      </c>
      <c r="AG280" s="50" t="str">
        <f t="shared" si="115"/>
        <v/>
      </c>
      <c r="AH280" s="50" t="str">
        <f t="shared" si="116"/>
        <v/>
      </c>
      <c r="AI280" s="52" t="str">
        <f t="shared" si="117"/>
        <v/>
      </c>
      <c r="AJ280" s="52" t="str">
        <f t="shared" si="118"/>
        <v/>
      </c>
      <c r="AK280" s="52" t="str">
        <f t="shared" si="119"/>
        <v/>
      </c>
      <c r="AL280" s="52" t="str">
        <f t="shared" si="120"/>
        <v/>
      </c>
      <c r="AM280" s="52" t="str">
        <f t="shared" si="121"/>
        <v/>
      </c>
      <c r="AN280" s="52" t="str">
        <f t="shared" si="122"/>
        <v/>
      </c>
      <c r="AO280" s="52" t="str">
        <f t="shared" si="123"/>
        <v/>
      </c>
      <c r="AP280" s="52" t="str">
        <f t="shared" si="124"/>
        <v/>
      </c>
      <c r="AQ280" s="52" t="str">
        <f t="shared" si="125"/>
        <v/>
      </c>
      <c r="AR280" s="52" t="str">
        <f t="shared" si="126"/>
        <v/>
      </c>
      <c r="AS280" s="52" t="str">
        <f t="shared" si="127"/>
        <v/>
      </c>
      <c r="AT280" s="52" t="str">
        <f t="shared" si="128"/>
        <v/>
      </c>
      <c r="AU280" s="52" t="str">
        <f t="shared" si="129"/>
        <v/>
      </c>
      <c r="AV280" s="52" t="str">
        <f t="shared" si="130"/>
        <v/>
      </c>
      <c r="AW280" s="52" t="str">
        <f t="shared" si="131"/>
        <v/>
      </c>
      <c r="AX280" s="52" t="str">
        <f t="shared" si="108"/>
        <v/>
      </c>
      <c r="AY280" s="52" t="str">
        <f t="shared" si="132"/>
        <v/>
      </c>
      <c r="AZ280" s="52"/>
      <c r="BA280" s="52"/>
      <c r="BB280" s="52"/>
      <c r="BC280" s="52"/>
      <c r="BD280" s="52"/>
      <c r="BE280" s="52"/>
      <c r="BF280" s="52"/>
      <c r="BG280" s="52"/>
      <c r="BH280" s="52"/>
      <c r="BI280" s="52"/>
      <c r="BJ280" s="52"/>
      <c r="BK280" s="52"/>
      <c r="BL280" s="52"/>
      <c r="BM280" s="52"/>
      <c r="BN280" s="52"/>
      <c r="BO280" s="52"/>
      <c r="BP280" s="52"/>
      <c r="BQ280" s="52"/>
      <c r="BR280" s="52"/>
      <c r="BS280" s="52"/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2"/>
      <c r="CI280" s="52"/>
      <c r="CJ280" s="52"/>
      <c r="CK280" s="52"/>
      <c r="CL280" s="52"/>
      <c r="CM280" s="52"/>
      <c r="CN280" s="52"/>
      <c r="CO280" s="52"/>
      <c r="CP280" s="52"/>
      <c r="CQ280" s="52"/>
      <c r="CR280" s="52"/>
      <c r="CS280" s="52"/>
      <c r="CT280" s="52"/>
      <c r="CU280" s="52"/>
      <c r="CV280" s="52"/>
      <c r="CW280" s="52"/>
      <c r="CX280" s="52"/>
      <c r="CY280" s="52"/>
      <c r="CZ280" s="52"/>
      <c r="DA280" s="52"/>
      <c r="DB280" s="52"/>
      <c r="DC280" s="52"/>
      <c r="DD280" s="52"/>
      <c r="DE280" s="52"/>
      <c r="DF280" s="52"/>
      <c r="DG280" s="52"/>
      <c r="DH280" s="52"/>
      <c r="DI280" s="52"/>
      <c r="DJ280" s="52"/>
      <c r="DK280" s="52"/>
      <c r="DL280" s="52"/>
      <c r="DM280" s="52"/>
      <c r="DN280" s="52"/>
      <c r="DO280" s="52"/>
      <c r="DP280" s="52"/>
      <c r="DQ280" s="52"/>
      <c r="DR280" s="52"/>
      <c r="DS280" s="52"/>
      <c r="DT280" s="52"/>
      <c r="DU280" s="52"/>
      <c r="DV280" s="52"/>
      <c r="DW280" s="52"/>
      <c r="DX280" s="52"/>
      <c r="DY280" s="52"/>
      <c r="DZ280" s="52"/>
      <c r="EA280" s="52"/>
      <c r="EB280" s="52"/>
      <c r="EC280" s="52"/>
      <c r="ED280" s="52"/>
      <c r="EE280" s="52"/>
      <c r="EF280" s="52"/>
      <c r="EG280" s="52"/>
      <c r="EH280" s="52"/>
      <c r="EI280" s="52"/>
      <c r="EJ280" s="52"/>
      <c r="EK280" s="52"/>
      <c r="EL280" s="52"/>
      <c r="EM280" s="52"/>
      <c r="EN280" s="52"/>
      <c r="EO280" s="52"/>
      <c r="EP280" s="52"/>
      <c r="EQ280" s="52"/>
      <c r="ER280" s="52"/>
      <c r="ES280" s="52"/>
      <c r="ET280" s="52"/>
      <c r="EU280" s="52"/>
      <c r="EV280" s="52"/>
      <c r="EW280" s="52"/>
      <c r="EX280" s="52"/>
      <c r="EY280" s="52"/>
      <c r="EZ280" s="52"/>
      <c r="FA280" s="52"/>
      <c r="FB280" s="52"/>
      <c r="FC280" s="52"/>
      <c r="FD280" s="52"/>
      <c r="FE280" s="52"/>
      <c r="FF280" s="52"/>
      <c r="FG280" s="13"/>
    </row>
    <row r="281" spans="1:163">
      <c r="A281" s="71"/>
      <c r="B281" s="70"/>
      <c r="C281" s="72"/>
      <c r="D281" s="73"/>
      <c r="E281" s="73"/>
      <c r="F281" s="73"/>
      <c r="G281" s="73"/>
      <c r="H281" s="73"/>
      <c r="I281" s="74"/>
      <c r="J281" s="74"/>
      <c r="K281" s="74"/>
      <c r="L281" s="73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5"/>
      <c r="Y281" s="70"/>
      <c r="Z281" s="12">
        <f t="shared" si="109"/>
        <v>0</v>
      </c>
      <c r="AA281" s="14">
        <f t="shared" si="107"/>
        <v>0</v>
      </c>
      <c r="AB281" s="6">
        <f t="shared" si="110"/>
        <v>0</v>
      </c>
      <c r="AC281" s="6">
        <f t="shared" si="111"/>
        <v>0</v>
      </c>
      <c r="AD281" s="6">
        <f t="shared" si="112"/>
        <v>0</v>
      </c>
      <c r="AE281" s="52" t="str">
        <f t="shared" si="113"/>
        <v/>
      </c>
      <c r="AF281" s="52" t="str">
        <f t="shared" si="114"/>
        <v/>
      </c>
      <c r="AG281" s="50" t="str">
        <f t="shared" si="115"/>
        <v/>
      </c>
      <c r="AH281" s="50" t="str">
        <f t="shared" si="116"/>
        <v/>
      </c>
      <c r="AI281" s="52" t="str">
        <f t="shared" si="117"/>
        <v/>
      </c>
      <c r="AJ281" s="52" t="str">
        <f t="shared" si="118"/>
        <v/>
      </c>
      <c r="AK281" s="52" t="str">
        <f t="shared" si="119"/>
        <v/>
      </c>
      <c r="AL281" s="52" t="str">
        <f t="shared" si="120"/>
        <v/>
      </c>
      <c r="AM281" s="52" t="str">
        <f t="shared" si="121"/>
        <v/>
      </c>
      <c r="AN281" s="52" t="str">
        <f t="shared" si="122"/>
        <v/>
      </c>
      <c r="AO281" s="52" t="str">
        <f t="shared" si="123"/>
        <v/>
      </c>
      <c r="AP281" s="52" t="str">
        <f t="shared" si="124"/>
        <v/>
      </c>
      <c r="AQ281" s="52" t="str">
        <f t="shared" si="125"/>
        <v/>
      </c>
      <c r="AR281" s="52" t="str">
        <f t="shared" si="126"/>
        <v/>
      </c>
      <c r="AS281" s="52" t="str">
        <f t="shared" si="127"/>
        <v/>
      </c>
      <c r="AT281" s="52" t="str">
        <f t="shared" si="128"/>
        <v/>
      </c>
      <c r="AU281" s="52" t="str">
        <f t="shared" si="129"/>
        <v/>
      </c>
      <c r="AV281" s="52" t="str">
        <f t="shared" si="130"/>
        <v/>
      </c>
      <c r="AW281" s="52" t="str">
        <f t="shared" si="131"/>
        <v/>
      </c>
      <c r="AX281" s="52" t="str">
        <f t="shared" si="108"/>
        <v/>
      </c>
      <c r="AY281" s="52" t="str">
        <f t="shared" si="132"/>
        <v/>
      </c>
      <c r="AZ281" s="52"/>
      <c r="BA281" s="52"/>
      <c r="BB281" s="52"/>
      <c r="BC281" s="52"/>
      <c r="BD281" s="52"/>
      <c r="BE281" s="52"/>
      <c r="BF281" s="52"/>
      <c r="BG281" s="52"/>
      <c r="BH281" s="52"/>
      <c r="BI281" s="52"/>
      <c r="BJ281" s="52"/>
      <c r="BK281" s="52"/>
      <c r="BL281" s="52"/>
      <c r="BM281" s="52"/>
      <c r="BN281" s="52"/>
      <c r="BO281" s="52"/>
      <c r="BP281" s="52"/>
      <c r="BQ281" s="52"/>
      <c r="BR281" s="52"/>
      <c r="BS281" s="52"/>
      <c r="BT281" s="52"/>
      <c r="BU281" s="52"/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2"/>
      <c r="CI281" s="52"/>
      <c r="CJ281" s="52"/>
      <c r="CK281" s="52"/>
      <c r="CL281" s="52"/>
      <c r="CM281" s="52"/>
      <c r="CN281" s="52"/>
      <c r="CO281" s="52"/>
      <c r="CP281" s="52"/>
      <c r="CQ281" s="52"/>
      <c r="CR281" s="52"/>
      <c r="CS281" s="52"/>
      <c r="CT281" s="52"/>
      <c r="CU281" s="52"/>
      <c r="CV281" s="52"/>
      <c r="CW281" s="52"/>
      <c r="CX281" s="52"/>
      <c r="CY281" s="52"/>
      <c r="CZ281" s="52"/>
      <c r="DA281" s="52"/>
      <c r="DB281" s="52"/>
      <c r="DC281" s="52"/>
      <c r="DD281" s="52"/>
      <c r="DE281" s="52"/>
      <c r="DF281" s="52"/>
      <c r="DG281" s="52"/>
      <c r="DH281" s="52"/>
      <c r="DI281" s="52"/>
      <c r="DJ281" s="52"/>
      <c r="DK281" s="52"/>
      <c r="DL281" s="52"/>
      <c r="DM281" s="52"/>
      <c r="DN281" s="52"/>
      <c r="DO281" s="52"/>
      <c r="DP281" s="52"/>
      <c r="DQ281" s="52"/>
      <c r="DR281" s="52"/>
      <c r="DS281" s="52"/>
      <c r="DT281" s="52"/>
      <c r="DU281" s="52"/>
      <c r="DV281" s="52"/>
      <c r="DW281" s="52"/>
      <c r="DX281" s="52"/>
      <c r="DY281" s="52"/>
      <c r="DZ281" s="52"/>
      <c r="EA281" s="52"/>
      <c r="EB281" s="52"/>
      <c r="EC281" s="52"/>
      <c r="ED281" s="52"/>
      <c r="EE281" s="52"/>
      <c r="EF281" s="52"/>
      <c r="EG281" s="52"/>
      <c r="EH281" s="52"/>
      <c r="EI281" s="52"/>
      <c r="EJ281" s="52"/>
      <c r="EK281" s="52"/>
      <c r="EL281" s="52"/>
      <c r="EM281" s="52"/>
      <c r="EN281" s="52"/>
      <c r="EO281" s="52"/>
      <c r="EP281" s="52"/>
      <c r="EQ281" s="52"/>
      <c r="ER281" s="52"/>
      <c r="ES281" s="52"/>
      <c r="ET281" s="52"/>
      <c r="EU281" s="52"/>
      <c r="EV281" s="52"/>
      <c r="EW281" s="52"/>
      <c r="EX281" s="52"/>
      <c r="EY281" s="52"/>
      <c r="EZ281" s="52"/>
      <c r="FA281" s="52"/>
      <c r="FB281" s="52"/>
      <c r="FC281" s="52"/>
      <c r="FD281" s="52"/>
      <c r="FE281" s="52"/>
      <c r="FF281" s="52"/>
      <c r="FG281" s="13"/>
    </row>
    <row r="282" spans="1:163">
      <c r="A282" s="71"/>
      <c r="B282" s="70"/>
      <c r="C282" s="72"/>
      <c r="D282" s="73"/>
      <c r="E282" s="73"/>
      <c r="F282" s="73"/>
      <c r="G282" s="73"/>
      <c r="H282" s="73"/>
      <c r="I282" s="74"/>
      <c r="J282" s="74"/>
      <c r="K282" s="74"/>
      <c r="L282" s="73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5"/>
      <c r="Y282" s="70"/>
      <c r="Z282" s="12">
        <f t="shared" si="109"/>
        <v>0</v>
      </c>
      <c r="AA282" s="14">
        <f t="shared" si="107"/>
        <v>0</v>
      </c>
      <c r="AB282" s="6">
        <f t="shared" si="110"/>
        <v>0</v>
      </c>
      <c r="AC282" s="6">
        <f t="shared" si="111"/>
        <v>0</v>
      </c>
      <c r="AD282" s="6">
        <f t="shared" si="112"/>
        <v>0</v>
      </c>
      <c r="AE282" s="52" t="str">
        <f t="shared" si="113"/>
        <v/>
      </c>
      <c r="AF282" s="52" t="str">
        <f t="shared" si="114"/>
        <v/>
      </c>
      <c r="AG282" s="50" t="str">
        <f t="shared" si="115"/>
        <v/>
      </c>
      <c r="AH282" s="50" t="str">
        <f t="shared" si="116"/>
        <v/>
      </c>
      <c r="AI282" s="52" t="str">
        <f t="shared" si="117"/>
        <v/>
      </c>
      <c r="AJ282" s="52" t="str">
        <f t="shared" si="118"/>
        <v/>
      </c>
      <c r="AK282" s="52" t="str">
        <f t="shared" si="119"/>
        <v/>
      </c>
      <c r="AL282" s="52" t="str">
        <f t="shared" si="120"/>
        <v/>
      </c>
      <c r="AM282" s="52" t="str">
        <f t="shared" si="121"/>
        <v/>
      </c>
      <c r="AN282" s="52" t="str">
        <f t="shared" si="122"/>
        <v/>
      </c>
      <c r="AO282" s="52" t="str">
        <f t="shared" si="123"/>
        <v/>
      </c>
      <c r="AP282" s="52" t="str">
        <f t="shared" si="124"/>
        <v/>
      </c>
      <c r="AQ282" s="52" t="str">
        <f t="shared" si="125"/>
        <v/>
      </c>
      <c r="AR282" s="52" t="str">
        <f t="shared" si="126"/>
        <v/>
      </c>
      <c r="AS282" s="52" t="str">
        <f t="shared" si="127"/>
        <v/>
      </c>
      <c r="AT282" s="52" t="str">
        <f t="shared" si="128"/>
        <v/>
      </c>
      <c r="AU282" s="52" t="str">
        <f t="shared" si="129"/>
        <v/>
      </c>
      <c r="AV282" s="52" t="str">
        <f t="shared" si="130"/>
        <v/>
      </c>
      <c r="AW282" s="52" t="str">
        <f t="shared" si="131"/>
        <v/>
      </c>
      <c r="AX282" s="52" t="str">
        <f t="shared" si="108"/>
        <v/>
      </c>
      <c r="AY282" s="52" t="str">
        <f t="shared" si="132"/>
        <v/>
      </c>
      <c r="AZ282" s="52"/>
      <c r="BA282" s="52"/>
      <c r="BB282" s="52"/>
      <c r="BC282" s="52"/>
      <c r="BD282" s="52"/>
      <c r="BE282" s="52"/>
      <c r="BF282" s="52"/>
      <c r="BG282" s="52"/>
      <c r="BH282" s="52"/>
      <c r="BI282" s="52"/>
      <c r="BJ282" s="52"/>
      <c r="BK282" s="52"/>
      <c r="BL282" s="52"/>
      <c r="BM282" s="52"/>
      <c r="BN282" s="52"/>
      <c r="BO282" s="52"/>
      <c r="BP282" s="52"/>
      <c r="BQ282" s="52"/>
      <c r="BR282" s="52"/>
      <c r="BS282" s="52"/>
      <c r="BT282" s="52"/>
      <c r="BU282" s="52"/>
      <c r="BV282" s="52"/>
      <c r="BW282" s="52"/>
      <c r="BX282" s="52"/>
      <c r="BY282" s="52"/>
      <c r="BZ282" s="52"/>
      <c r="CA282" s="52"/>
      <c r="CB282" s="52"/>
      <c r="CC282" s="52"/>
      <c r="CD282" s="52"/>
      <c r="CE282" s="52"/>
      <c r="CF282" s="52"/>
      <c r="CG282" s="52"/>
      <c r="CH282" s="52"/>
      <c r="CI282" s="52"/>
      <c r="CJ282" s="52"/>
      <c r="CK282" s="52"/>
      <c r="CL282" s="52"/>
      <c r="CM282" s="52"/>
      <c r="CN282" s="52"/>
      <c r="CO282" s="52"/>
      <c r="CP282" s="52"/>
      <c r="CQ282" s="52"/>
      <c r="CR282" s="52"/>
      <c r="CS282" s="52"/>
      <c r="CT282" s="52"/>
      <c r="CU282" s="52"/>
      <c r="CV282" s="52"/>
      <c r="CW282" s="52"/>
      <c r="CX282" s="52"/>
      <c r="CY282" s="52"/>
      <c r="CZ282" s="52"/>
      <c r="DA282" s="52"/>
      <c r="DB282" s="52"/>
      <c r="DC282" s="52"/>
      <c r="DD282" s="52"/>
      <c r="DE282" s="52"/>
      <c r="DF282" s="52"/>
      <c r="DG282" s="52"/>
      <c r="DH282" s="52"/>
      <c r="DI282" s="52"/>
      <c r="DJ282" s="52"/>
      <c r="DK282" s="52"/>
      <c r="DL282" s="52"/>
      <c r="DM282" s="52"/>
      <c r="DN282" s="52"/>
      <c r="DO282" s="52"/>
      <c r="DP282" s="52"/>
      <c r="DQ282" s="52"/>
      <c r="DR282" s="52"/>
      <c r="DS282" s="52"/>
      <c r="DT282" s="52"/>
      <c r="DU282" s="52"/>
      <c r="DV282" s="52"/>
      <c r="DW282" s="52"/>
      <c r="DX282" s="52"/>
      <c r="DY282" s="52"/>
      <c r="DZ282" s="52"/>
      <c r="EA282" s="52"/>
      <c r="EB282" s="52"/>
      <c r="EC282" s="52"/>
      <c r="ED282" s="52"/>
      <c r="EE282" s="52"/>
      <c r="EF282" s="52"/>
      <c r="EG282" s="52"/>
      <c r="EH282" s="52"/>
      <c r="EI282" s="52"/>
      <c r="EJ282" s="52"/>
      <c r="EK282" s="52"/>
      <c r="EL282" s="52"/>
      <c r="EM282" s="52"/>
      <c r="EN282" s="52"/>
      <c r="EO282" s="52"/>
      <c r="EP282" s="52"/>
      <c r="EQ282" s="52"/>
      <c r="ER282" s="52"/>
      <c r="ES282" s="52"/>
      <c r="ET282" s="52"/>
      <c r="EU282" s="52"/>
      <c r="EV282" s="52"/>
      <c r="EW282" s="52"/>
      <c r="EX282" s="52"/>
      <c r="EY282" s="52"/>
      <c r="EZ282" s="52"/>
      <c r="FA282" s="52"/>
      <c r="FB282" s="52"/>
      <c r="FC282" s="52"/>
      <c r="FD282" s="52"/>
      <c r="FE282" s="52"/>
      <c r="FF282" s="52"/>
      <c r="FG282" s="13"/>
    </row>
    <row r="283" spans="1:163">
      <c r="A283" s="71"/>
      <c r="B283" s="70"/>
      <c r="C283" s="72"/>
      <c r="D283" s="73"/>
      <c r="E283" s="73"/>
      <c r="F283" s="73"/>
      <c r="G283" s="73"/>
      <c r="H283" s="73"/>
      <c r="I283" s="74"/>
      <c r="J283" s="74"/>
      <c r="K283" s="74"/>
      <c r="L283" s="73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5"/>
      <c r="Y283" s="70"/>
      <c r="Z283" s="12">
        <f t="shared" si="109"/>
        <v>0</v>
      </c>
      <c r="AA283" s="14">
        <f t="shared" si="107"/>
        <v>0</v>
      </c>
      <c r="AB283" s="6">
        <f t="shared" si="110"/>
        <v>0</v>
      </c>
      <c r="AC283" s="6">
        <f t="shared" si="111"/>
        <v>0</v>
      </c>
      <c r="AD283" s="6">
        <f t="shared" si="112"/>
        <v>0</v>
      </c>
      <c r="AE283" s="52" t="str">
        <f t="shared" si="113"/>
        <v/>
      </c>
      <c r="AF283" s="52" t="str">
        <f t="shared" si="114"/>
        <v/>
      </c>
      <c r="AG283" s="50" t="str">
        <f t="shared" si="115"/>
        <v/>
      </c>
      <c r="AH283" s="50" t="str">
        <f t="shared" si="116"/>
        <v/>
      </c>
      <c r="AI283" s="52" t="str">
        <f t="shared" si="117"/>
        <v/>
      </c>
      <c r="AJ283" s="52" t="str">
        <f t="shared" si="118"/>
        <v/>
      </c>
      <c r="AK283" s="52" t="str">
        <f t="shared" si="119"/>
        <v/>
      </c>
      <c r="AL283" s="52" t="str">
        <f t="shared" si="120"/>
        <v/>
      </c>
      <c r="AM283" s="52" t="str">
        <f t="shared" si="121"/>
        <v/>
      </c>
      <c r="AN283" s="52" t="str">
        <f t="shared" si="122"/>
        <v/>
      </c>
      <c r="AO283" s="52" t="str">
        <f t="shared" si="123"/>
        <v/>
      </c>
      <c r="AP283" s="52" t="str">
        <f t="shared" si="124"/>
        <v/>
      </c>
      <c r="AQ283" s="52" t="str">
        <f t="shared" si="125"/>
        <v/>
      </c>
      <c r="AR283" s="52" t="str">
        <f t="shared" si="126"/>
        <v/>
      </c>
      <c r="AS283" s="52" t="str">
        <f t="shared" si="127"/>
        <v/>
      </c>
      <c r="AT283" s="52" t="str">
        <f t="shared" si="128"/>
        <v/>
      </c>
      <c r="AU283" s="52" t="str">
        <f t="shared" si="129"/>
        <v/>
      </c>
      <c r="AV283" s="52" t="str">
        <f t="shared" si="130"/>
        <v/>
      </c>
      <c r="AW283" s="52" t="str">
        <f t="shared" si="131"/>
        <v/>
      </c>
      <c r="AX283" s="52" t="str">
        <f t="shared" si="108"/>
        <v/>
      </c>
      <c r="AY283" s="52" t="str">
        <f t="shared" si="132"/>
        <v/>
      </c>
      <c r="AZ283" s="52"/>
      <c r="BA283" s="52"/>
      <c r="BB283" s="52"/>
      <c r="BC283" s="52"/>
      <c r="BD283" s="52"/>
      <c r="BE283" s="52"/>
      <c r="BF283" s="52"/>
      <c r="BG283" s="52"/>
      <c r="BH283" s="52"/>
      <c r="BI283" s="52"/>
      <c r="BJ283" s="52"/>
      <c r="BK283" s="52"/>
      <c r="BL283" s="52"/>
      <c r="BM283" s="52"/>
      <c r="BN283" s="52"/>
      <c r="BO283" s="52"/>
      <c r="BP283" s="52"/>
      <c r="BQ283" s="52"/>
      <c r="BR283" s="52"/>
      <c r="BS283" s="52"/>
      <c r="BT283" s="52"/>
      <c r="BU283" s="52"/>
      <c r="BV283" s="52"/>
      <c r="BW283" s="52"/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2"/>
      <c r="CI283" s="52"/>
      <c r="CJ283" s="52"/>
      <c r="CK283" s="52"/>
      <c r="CL283" s="52"/>
      <c r="CM283" s="52"/>
      <c r="CN283" s="52"/>
      <c r="CO283" s="52"/>
      <c r="CP283" s="52"/>
      <c r="CQ283" s="52"/>
      <c r="CR283" s="52"/>
      <c r="CS283" s="52"/>
      <c r="CT283" s="52"/>
      <c r="CU283" s="52"/>
      <c r="CV283" s="52"/>
      <c r="CW283" s="52"/>
      <c r="CX283" s="52"/>
      <c r="CY283" s="52"/>
      <c r="CZ283" s="52"/>
      <c r="DA283" s="52"/>
      <c r="DB283" s="52"/>
      <c r="DC283" s="52"/>
      <c r="DD283" s="52"/>
      <c r="DE283" s="52"/>
      <c r="DF283" s="52"/>
      <c r="DG283" s="52"/>
      <c r="DH283" s="52"/>
      <c r="DI283" s="52"/>
      <c r="DJ283" s="52"/>
      <c r="DK283" s="52"/>
      <c r="DL283" s="52"/>
      <c r="DM283" s="52"/>
      <c r="DN283" s="52"/>
      <c r="DO283" s="52"/>
      <c r="DP283" s="52"/>
      <c r="DQ283" s="52"/>
      <c r="DR283" s="52"/>
      <c r="DS283" s="52"/>
      <c r="DT283" s="52"/>
      <c r="DU283" s="52"/>
      <c r="DV283" s="52"/>
      <c r="DW283" s="52"/>
      <c r="DX283" s="52"/>
      <c r="DY283" s="52"/>
      <c r="DZ283" s="52"/>
      <c r="EA283" s="52"/>
      <c r="EB283" s="52"/>
      <c r="EC283" s="52"/>
      <c r="ED283" s="52"/>
      <c r="EE283" s="52"/>
      <c r="EF283" s="52"/>
      <c r="EG283" s="52"/>
      <c r="EH283" s="52"/>
      <c r="EI283" s="52"/>
      <c r="EJ283" s="52"/>
      <c r="EK283" s="52"/>
      <c r="EL283" s="52"/>
      <c r="EM283" s="52"/>
      <c r="EN283" s="52"/>
      <c r="EO283" s="52"/>
      <c r="EP283" s="52"/>
      <c r="EQ283" s="52"/>
      <c r="ER283" s="52"/>
      <c r="ES283" s="52"/>
      <c r="ET283" s="52"/>
      <c r="EU283" s="52"/>
      <c r="EV283" s="52"/>
      <c r="EW283" s="52"/>
      <c r="EX283" s="52"/>
      <c r="EY283" s="52"/>
      <c r="EZ283" s="52"/>
      <c r="FA283" s="52"/>
      <c r="FB283" s="52"/>
      <c r="FC283" s="52"/>
      <c r="FD283" s="52"/>
      <c r="FE283" s="52"/>
      <c r="FF283" s="52"/>
      <c r="FG283" s="13"/>
    </row>
    <row r="284" spans="1:163">
      <c r="A284" s="71"/>
      <c r="B284" s="70"/>
      <c r="C284" s="72"/>
      <c r="D284" s="73"/>
      <c r="E284" s="73"/>
      <c r="F284" s="73"/>
      <c r="G284" s="73"/>
      <c r="H284" s="73"/>
      <c r="I284" s="74"/>
      <c r="J284" s="74"/>
      <c r="K284" s="74"/>
      <c r="L284" s="73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5"/>
      <c r="Y284" s="70"/>
      <c r="Z284" s="12">
        <f t="shared" si="109"/>
        <v>0</v>
      </c>
      <c r="AA284" s="14">
        <f t="shared" si="107"/>
        <v>0</v>
      </c>
      <c r="AB284" s="6">
        <f t="shared" si="110"/>
        <v>0</v>
      </c>
      <c r="AC284" s="6">
        <f t="shared" si="111"/>
        <v>0</v>
      </c>
      <c r="AD284" s="6">
        <f t="shared" si="112"/>
        <v>0</v>
      </c>
      <c r="AE284" s="52" t="str">
        <f t="shared" si="113"/>
        <v/>
      </c>
      <c r="AF284" s="52" t="str">
        <f t="shared" si="114"/>
        <v/>
      </c>
      <c r="AG284" s="50" t="str">
        <f t="shared" si="115"/>
        <v/>
      </c>
      <c r="AH284" s="50" t="str">
        <f t="shared" si="116"/>
        <v/>
      </c>
      <c r="AI284" s="52" t="str">
        <f t="shared" si="117"/>
        <v/>
      </c>
      <c r="AJ284" s="52" t="str">
        <f t="shared" si="118"/>
        <v/>
      </c>
      <c r="AK284" s="52" t="str">
        <f t="shared" si="119"/>
        <v/>
      </c>
      <c r="AL284" s="52" t="str">
        <f t="shared" si="120"/>
        <v/>
      </c>
      <c r="AM284" s="52" t="str">
        <f t="shared" si="121"/>
        <v/>
      </c>
      <c r="AN284" s="52" t="str">
        <f t="shared" si="122"/>
        <v/>
      </c>
      <c r="AO284" s="52" t="str">
        <f t="shared" si="123"/>
        <v/>
      </c>
      <c r="AP284" s="52" t="str">
        <f t="shared" si="124"/>
        <v/>
      </c>
      <c r="AQ284" s="52" t="str">
        <f t="shared" si="125"/>
        <v/>
      </c>
      <c r="AR284" s="52" t="str">
        <f t="shared" si="126"/>
        <v/>
      </c>
      <c r="AS284" s="52" t="str">
        <f t="shared" si="127"/>
        <v/>
      </c>
      <c r="AT284" s="52" t="str">
        <f t="shared" si="128"/>
        <v/>
      </c>
      <c r="AU284" s="52" t="str">
        <f t="shared" si="129"/>
        <v/>
      </c>
      <c r="AV284" s="52" t="str">
        <f t="shared" si="130"/>
        <v/>
      </c>
      <c r="AW284" s="52" t="str">
        <f t="shared" si="131"/>
        <v/>
      </c>
      <c r="AX284" s="52" t="str">
        <f t="shared" si="108"/>
        <v/>
      </c>
      <c r="AY284" s="52" t="str">
        <f t="shared" si="132"/>
        <v/>
      </c>
      <c r="AZ284" s="52"/>
      <c r="BA284" s="52"/>
      <c r="BB284" s="52"/>
      <c r="BC284" s="52"/>
      <c r="BD284" s="52"/>
      <c r="BE284" s="52"/>
      <c r="BF284" s="52"/>
      <c r="BG284" s="52"/>
      <c r="BH284" s="52"/>
      <c r="BI284" s="52"/>
      <c r="BJ284" s="52"/>
      <c r="BK284" s="52"/>
      <c r="BL284" s="52"/>
      <c r="BM284" s="52"/>
      <c r="BN284" s="52"/>
      <c r="BO284" s="52"/>
      <c r="BP284" s="52"/>
      <c r="BQ284" s="52"/>
      <c r="BR284" s="52"/>
      <c r="BS284" s="52"/>
      <c r="BT284" s="52"/>
      <c r="BU284" s="52"/>
      <c r="BV284" s="52"/>
      <c r="BW284" s="52"/>
      <c r="BX284" s="52"/>
      <c r="BY284" s="52"/>
      <c r="BZ284" s="52"/>
      <c r="CA284" s="52"/>
      <c r="CB284" s="52"/>
      <c r="CC284" s="52"/>
      <c r="CD284" s="52"/>
      <c r="CE284" s="52"/>
      <c r="CF284" s="52"/>
      <c r="CG284" s="52"/>
      <c r="CH284" s="52"/>
      <c r="CI284" s="52"/>
      <c r="CJ284" s="52"/>
      <c r="CK284" s="52"/>
      <c r="CL284" s="52"/>
      <c r="CM284" s="52"/>
      <c r="CN284" s="52"/>
      <c r="CO284" s="52"/>
      <c r="CP284" s="52"/>
      <c r="CQ284" s="52"/>
      <c r="CR284" s="52"/>
      <c r="CS284" s="52"/>
      <c r="CT284" s="52"/>
      <c r="CU284" s="52"/>
      <c r="CV284" s="52"/>
      <c r="CW284" s="52"/>
      <c r="CX284" s="52"/>
      <c r="CY284" s="52"/>
      <c r="CZ284" s="52"/>
      <c r="DA284" s="52"/>
      <c r="DB284" s="52"/>
      <c r="DC284" s="52"/>
      <c r="DD284" s="52"/>
      <c r="DE284" s="52"/>
      <c r="DF284" s="52"/>
      <c r="DG284" s="52"/>
      <c r="DH284" s="52"/>
      <c r="DI284" s="52"/>
      <c r="DJ284" s="52"/>
      <c r="DK284" s="52"/>
      <c r="DL284" s="52"/>
      <c r="DM284" s="52"/>
      <c r="DN284" s="52"/>
      <c r="DO284" s="52"/>
      <c r="DP284" s="52"/>
      <c r="DQ284" s="52"/>
      <c r="DR284" s="52"/>
      <c r="DS284" s="52"/>
      <c r="DT284" s="52"/>
      <c r="DU284" s="52"/>
      <c r="DV284" s="52"/>
      <c r="DW284" s="52"/>
      <c r="DX284" s="52"/>
      <c r="DY284" s="52"/>
      <c r="DZ284" s="52"/>
      <c r="EA284" s="52"/>
      <c r="EB284" s="52"/>
      <c r="EC284" s="52"/>
      <c r="ED284" s="52"/>
      <c r="EE284" s="52"/>
      <c r="EF284" s="52"/>
      <c r="EG284" s="52"/>
      <c r="EH284" s="52"/>
      <c r="EI284" s="52"/>
      <c r="EJ284" s="52"/>
      <c r="EK284" s="52"/>
      <c r="EL284" s="52"/>
      <c r="EM284" s="52"/>
      <c r="EN284" s="52"/>
      <c r="EO284" s="52"/>
      <c r="EP284" s="52"/>
      <c r="EQ284" s="52"/>
      <c r="ER284" s="52"/>
      <c r="ES284" s="52"/>
      <c r="ET284" s="52"/>
      <c r="EU284" s="52"/>
      <c r="EV284" s="52"/>
      <c r="EW284" s="52"/>
      <c r="EX284" s="52"/>
      <c r="EY284" s="52"/>
      <c r="EZ284" s="52"/>
      <c r="FA284" s="52"/>
      <c r="FB284" s="52"/>
      <c r="FC284" s="52"/>
      <c r="FD284" s="52"/>
      <c r="FE284" s="52"/>
      <c r="FF284" s="52"/>
      <c r="FG284" s="13"/>
    </row>
    <row r="285" spans="1:163">
      <c r="A285" s="71"/>
      <c r="B285" s="70"/>
      <c r="C285" s="72"/>
      <c r="D285" s="73"/>
      <c r="E285" s="73"/>
      <c r="F285" s="73"/>
      <c r="G285" s="73"/>
      <c r="H285" s="73"/>
      <c r="I285" s="74"/>
      <c r="J285" s="74"/>
      <c r="K285" s="74"/>
      <c r="L285" s="73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5"/>
      <c r="Y285" s="70"/>
      <c r="Z285" s="12">
        <f t="shared" si="109"/>
        <v>0</v>
      </c>
      <c r="AA285" s="14">
        <f t="shared" si="107"/>
        <v>0</v>
      </c>
      <c r="AB285" s="6">
        <f t="shared" si="110"/>
        <v>0</v>
      </c>
      <c r="AC285" s="6">
        <f t="shared" si="111"/>
        <v>0</v>
      </c>
      <c r="AD285" s="6">
        <f t="shared" si="112"/>
        <v>0</v>
      </c>
      <c r="AE285" s="52" t="str">
        <f t="shared" si="113"/>
        <v/>
      </c>
      <c r="AF285" s="52" t="str">
        <f t="shared" si="114"/>
        <v/>
      </c>
      <c r="AG285" s="50" t="str">
        <f t="shared" si="115"/>
        <v/>
      </c>
      <c r="AH285" s="50" t="str">
        <f t="shared" si="116"/>
        <v/>
      </c>
      <c r="AI285" s="52" t="str">
        <f t="shared" si="117"/>
        <v/>
      </c>
      <c r="AJ285" s="52" t="str">
        <f t="shared" si="118"/>
        <v/>
      </c>
      <c r="AK285" s="52" t="str">
        <f t="shared" si="119"/>
        <v/>
      </c>
      <c r="AL285" s="52" t="str">
        <f t="shared" si="120"/>
        <v/>
      </c>
      <c r="AM285" s="52" t="str">
        <f t="shared" si="121"/>
        <v/>
      </c>
      <c r="AN285" s="52" t="str">
        <f t="shared" si="122"/>
        <v/>
      </c>
      <c r="AO285" s="52" t="str">
        <f t="shared" si="123"/>
        <v/>
      </c>
      <c r="AP285" s="52" t="str">
        <f t="shared" si="124"/>
        <v/>
      </c>
      <c r="AQ285" s="52" t="str">
        <f t="shared" si="125"/>
        <v/>
      </c>
      <c r="AR285" s="52" t="str">
        <f t="shared" si="126"/>
        <v/>
      </c>
      <c r="AS285" s="52" t="str">
        <f t="shared" si="127"/>
        <v/>
      </c>
      <c r="AT285" s="52" t="str">
        <f t="shared" si="128"/>
        <v/>
      </c>
      <c r="AU285" s="52" t="str">
        <f t="shared" si="129"/>
        <v/>
      </c>
      <c r="AV285" s="52" t="str">
        <f t="shared" si="130"/>
        <v/>
      </c>
      <c r="AW285" s="52" t="str">
        <f t="shared" si="131"/>
        <v/>
      </c>
      <c r="AX285" s="52" t="str">
        <f t="shared" si="108"/>
        <v/>
      </c>
      <c r="AY285" s="52" t="str">
        <f t="shared" si="132"/>
        <v/>
      </c>
      <c r="AZ285" s="52"/>
      <c r="BA285" s="52"/>
      <c r="BB285" s="52"/>
      <c r="BC285" s="52"/>
      <c r="BD285" s="52"/>
      <c r="BE285" s="52"/>
      <c r="BF285" s="52"/>
      <c r="BG285" s="52"/>
      <c r="BH285" s="52"/>
      <c r="BI285" s="52"/>
      <c r="BJ285" s="52"/>
      <c r="BK285" s="52"/>
      <c r="BL285" s="52"/>
      <c r="BM285" s="52"/>
      <c r="BN285" s="52"/>
      <c r="BO285" s="52"/>
      <c r="BP285" s="52"/>
      <c r="BQ285" s="52"/>
      <c r="BR285" s="52"/>
      <c r="BS285" s="52"/>
      <c r="BT285" s="52"/>
      <c r="BU285" s="52"/>
      <c r="BV285" s="52"/>
      <c r="BW285" s="52"/>
      <c r="BX285" s="52"/>
      <c r="BY285" s="52"/>
      <c r="BZ285" s="52"/>
      <c r="CA285" s="52"/>
      <c r="CB285" s="52"/>
      <c r="CC285" s="52"/>
      <c r="CD285" s="52"/>
      <c r="CE285" s="52"/>
      <c r="CF285" s="52"/>
      <c r="CG285" s="52"/>
      <c r="CH285" s="52"/>
      <c r="CI285" s="52"/>
      <c r="CJ285" s="52"/>
      <c r="CK285" s="52"/>
      <c r="CL285" s="52"/>
      <c r="CM285" s="52"/>
      <c r="CN285" s="52"/>
      <c r="CO285" s="52"/>
      <c r="CP285" s="52"/>
      <c r="CQ285" s="52"/>
      <c r="CR285" s="52"/>
      <c r="CS285" s="52"/>
      <c r="CT285" s="52"/>
      <c r="CU285" s="52"/>
      <c r="CV285" s="52"/>
      <c r="CW285" s="52"/>
      <c r="CX285" s="52"/>
      <c r="CY285" s="52"/>
      <c r="CZ285" s="52"/>
      <c r="DA285" s="52"/>
      <c r="DB285" s="52"/>
      <c r="DC285" s="52"/>
      <c r="DD285" s="52"/>
      <c r="DE285" s="52"/>
      <c r="DF285" s="52"/>
      <c r="DG285" s="52"/>
      <c r="DH285" s="52"/>
      <c r="DI285" s="52"/>
      <c r="DJ285" s="52"/>
      <c r="DK285" s="52"/>
      <c r="DL285" s="52"/>
      <c r="DM285" s="52"/>
      <c r="DN285" s="52"/>
      <c r="DO285" s="52"/>
      <c r="DP285" s="52"/>
      <c r="DQ285" s="52"/>
      <c r="DR285" s="52"/>
      <c r="DS285" s="52"/>
      <c r="DT285" s="52"/>
      <c r="DU285" s="52"/>
      <c r="DV285" s="52"/>
      <c r="DW285" s="52"/>
      <c r="DX285" s="52"/>
      <c r="DY285" s="52"/>
      <c r="DZ285" s="52"/>
      <c r="EA285" s="52"/>
      <c r="EB285" s="52"/>
      <c r="EC285" s="52"/>
      <c r="ED285" s="52"/>
      <c r="EE285" s="52"/>
      <c r="EF285" s="52"/>
      <c r="EG285" s="52"/>
      <c r="EH285" s="52"/>
      <c r="EI285" s="52"/>
      <c r="EJ285" s="52"/>
      <c r="EK285" s="52"/>
      <c r="EL285" s="52"/>
      <c r="EM285" s="52"/>
      <c r="EN285" s="52"/>
      <c r="EO285" s="52"/>
      <c r="EP285" s="52"/>
      <c r="EQ285" s="52"/>
      <c r="ER285" s="52"/>
      <c r="ES285" s="52"/>
      <c r="ET285" s="52"/>
      <c r="EU285" s="52"/>
      <c r="EV285" s="52"/>
      <c r="EW285" s="52"/>
      <c r="EX285" s="52"/>
      <c r="EY285" s="52"/>
      <c r="EZ285" s="52"/>
      <c r="FA285" s="52"/>
      <c r="FB285" s="52"/>
      <c r="FC285" s="52"/>
      <c r="FD285" s="52"/>
      <c r="FE285" s="52"/>
      <c r="FF285" s="52"/>
      <c r="FG285" s="13"/>
    </row>
    <row r="286" spans="1:163">
      <c r="A286" s="71"/>
      <c r="B286" s="70"/>
      <c r="C286" s="72"/>
      <c r="D286" s="73"/>
      <c r="E286" s="73"/>
      <c r="F286" s="73"/>
      <c r="G286" s="73"/>
      <c r="H286" s="73"/>
      <c r="I286" s="74"/>
      <c r="J286" s="74"/>
      <c r="K286" s="74"/>
      <c r="L286" s="73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5"/>
      <c r="Y286" s="70"/>
      <c r="Z286" s="12">
        <f t="shared" si="109"/>
        <v>0</v>
      </c>
      <c r="AA286" s="14">
        <f t="shared" si="107"/>
        <v>0</v>
      </c>
      <c r="AB286" s="6">
        <f t="shared" si="110"/>
        <v>0</v>
      </c>
      <c r="AC286" s="6">
        <f t="shared" si="111"/>
        <v>0</v>
      </c>
      <c r="AD286" s="6">
        <f t="shared" si="112"/>
        <v>0</v>
      </c>
      <c r="AE286" s="52" t="str">
        <f t="shared" si="113"/>
        <v/>
      </c>
      <c r="AF286" s="52" t="str">
        <f t="shared" si="114"/>
        <v/>
      </c>
      <c r="AG286" s="50" t="str">
        <f t="shared" si="115"/>
        <v/>
      </c>
      <c r="AH286" s="50" t="str">
        <f t="shared" si="116"/>
        <v/>
      </c>
      <c r="AI286" s="52" t="str">
        <f t="shared" si="117"/>
        <v/>
      </c>
      <c r="AJ286" s="52" t="str">
        <f t="shared" si="118"/>
        <v/>
      </c>
      <c r="AK286" s="52" t="str">
        <f t="shared" si="119"/>
        <v/>
      </c>
      <c r="AL286" s="52" t="str">
        <f t="shared" si="120"/>
        <v/>
      </c>
      <c r="AM286" s="52" t="str">
        <f t="shared" si="121"/>
        <v/>
      </c>
      <c r="AN286" s="52" t="str">
        <f t="shared" si="122"/>
        <v/>
      </c>
      <c r="AO286" s="52" t="str">
        <f t="shared" si="123"/>
        <v/>
      </c>
      <c r="AP286" s="52" t="str">
        <f t="shared" si="124"/>
        <v/>
      </c>
      <c r="AQ286" s="52" t="str">
        <f t="shared" si="125"/>
        <v/>
      </c>
      <c r="AR286" s="52" t="str">
        <f t="shared" si="126"/>
        <v/>
      </c>
      <c r="AS286" s="52" t="str">
        <f t="shared" si="127"/>
        <v/>
      </c>
      <c r="AT286" s="52" t="str">
        <f t="shared" si="128"/>
        <v/>
      </c>
      <c r="AU286" s="52" t="str">
        <f t="shared" si="129"/>
        <v/>
      </c>
      <c r="AV286" s="52" t="str">
        <f t="shared" si="130"/>
        <v/>
      </c>
      <c r="AW286" s="52" t="str">
        <f t="shared" si="131"/>
        <v/>
      </c>
      <c r="AX286" s="52" t="str">
        <f t="shared" si="108"/>
        <v/>
      </c>
      <c r="AY286" s="52" t="str">
        <f t="shared" si="132"/>
        <v/>
      </c>
      <c r="AZ286" s="52"/>
      <c r="BA286" s="52"/>
      <c r="BB286" s="52"/>
      <c r="BC286" s="52"/>
      <c r="BD286" s="52"/>
      <c r="BE286" s="52"/>
      <c r="BF286" s="52"/>
      <c r="BG286" s="52"/>
      <c r="BH286" s="52"/>
      <c r="BI286" s="52"/>
      <c r="BJ286" s="52"/>
      <c r="BK286" s="52"/>
      <c r="BL286" s="52"/>
      <c r="BM286" s="52"/>
      <c r="BN286" s="52"/>
      <c r="BO286" s="52"/>
      <c r="BP286" s="52"/>
      <c r="BQ286" s="52"/>
      <c r="BR286" s="52"/>
      <c r="BS286" s="52"/>
      <c r="BT286" s="52"/>
      <c r="BU286" s="52"/>
      <c r="BV286" s="52"/>
      <c r="BW286" s="52"/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2"/>
      <c r="CI286" s="52"/>
      <c r="CJ286" s="52"/>
      <c r="CK286" s="52"/>
      <c r="CL286" s="52"/>
      <c r="CM286" s="52"/>
      <c r="CN286" s="52"/>
      <c r="CO286" s="52"/>
      <c r="CP286" s="52"/>
      <c r="CQ286" s="52"/>
      <c r="CR286" s="52"/>
      <c r="CS286" s="52"/>
      <c r="CT286" s="52"/>
      <c r="CU286" s="52"/>
      <c r="CV286" s="52"/>
      <c r="CW286" s="52"/>
      <c r="CX286" s="52"/>
      <c r="CY286" s="52"/>
      <c r="CZ286" s="52"/>
      <c r="DA286" s="52"/>
      <c r="DB286" s="52"/>
      <c r="DC286" s="52"/>
      <c r="DD286" s="52"/>
      <c r="DE286" s="52"/>
      <c r="DF286" s="52"/>
      <c r="DG286" s="52"/>
      <c r="DH286" s="52"/>
      <c r="DI286" s="52"/>
      <c r="DJ286" s="52"/>
      <c r="DK286" s="52"/>
      <c r="DL286" s="52"/>
      <c r="DM286" s="52"/>
      <c r="DN286" s="52"/>
      <c r="DO286" s="52"/>
      <c r="DP286" s="52"/>
      <c r="DQ286" s="52"/>
      <c r="DR286" s="52"/>
      <c r="DS286" s="52"/>
      <c r="DT286" s="52"/>
      <c r="DU286" s="52"/>
      <c r="DV286" s="52"/>
      <c r="DW286" s="52"/>
      <c r="DX286" s="52"/>
      <c r="DY286" s="52"/>
      <c r="DZ286" s="52"/>
      <c r="EA286" s="52"/>
      <c r="EB286" s="52"/>
      <c r="EC286" s="52"/>
      <c r="ED286" s="52"/>
      <c r="EE286" s="52"/>
      <c r="EF286" s="52"/>
      <c r="EG286" s="52"/>
      <c r="EH286" s="52"/>
      <c r="EI286" s="52"/>
      <c r="EJ286" s="52"/>
      <c r="EK286" s="52"/>
      <c r="EL286" s="52"/>
      <c r="EM286" s="52"/>
      <c r="EN286" s="52"/>
      <c r="EO286" s="52"/>
      <c r="EP286" s="52"/>
      <c r="EQ286" s="52"/>
      <c r="ER286" s="52"/>
      <c r="ES286" s="52"/>
      <c r="ET286" s="52"/>
      <c r="EU286" s="52"/>
      <c r="EV286" s="52"/>
      <c r="EW286" s="52"/>
      <c r="EX286" s="52"/>
      <c r="EY286" s="52"/>
      <c r="EZ286" s="52"/>
      <c r="FA286" s="52"/>
      <c r="FB286" s="52"/>
      <c r="FC286" s="52"/>
      <c r="FD286" s="52"/>
      <c r="FE286" s="52"/>
      <c r="FF286" s="52"/>
      <c r="FG286" s="13"/>
    </row>
    <row r="287" spans="1:163">
      <c r="A287" s="71"/>
      <c r="B287" s="70"/>
      <c r="C287" s="72"/>
      <c r="D287" s="73"/>
      <c r="E287" s="73"/>
      <c r="F287" s="73"/>
      <c r="G287" s="73"/>
      <c r="H287" s="73"/>
      <c r="I287" s="74"/>
      <c r="J287" s="74"/>
      <c r="K287" s="74"/>
      <c r="L287" s="73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5"/>
      <c r="Y287" s="70"/>
      <c r="Z287" s="12">
        <f t="shared" si="109"/>
        <v>0</v>
      </c>
      <c r="AA287" s="14">
        <f t="shared" si="107"/>
        <v>0</v>
      </c>
      <c r="AB287" s="6">
        <f t="shared" si="110"/>
        <v>0</v>
      </c>
      <c r="AC287" s="6">
        <f t="shared" si="111"/>
        <v>0</v>
      </c>
      <c r="AD287" s="6">
        <f t="shared" si="112"/>
        <v>0</v>
      </c>
      <c r="AE287" s="52" t="str">
        <f t="shared" si="113"/>
        <v/>
      </c>
      <c r="AF287" s="52" t="str">
        <f t="shared" si="114"/>
        <v/>
      </c>
      <c r="AG287" s="50" t="str">
        <f t="shared" si="115"/>
        <v/>
      </c>
      <c r="AH287" s="50" t="str">
        <f t="shared" si="116"/>
        <v/>
      </c>
      <c r="AI287" s="52" t="str">
        <f t="shared" si="117"/>
        <v/>
      </c>
      <c r="AJ287" s="52" t="str">
        <f t="shared" si="118"/>
        <v/>
      </c>
      <c r="AK287" s="52" t="str">
        <f t="shared" si="119"/>
        <v/>
      </c>
      <c r="AL287" s="52" t="str">
        <f t="shared" si="120"/>
        <v/>
      </c>
      <c r="AM287" s="52" t="str">
        <f t="shared" si="121"/>
        <v/>
      </c>
      <c r="AN287" s="52" t="str">
        <f t="shared" si="122"/>
        <v/>
      </c>
      <c r="AO287" s="52" t="str">
        <f t="shared" si="123"/>
        <v/>
      </c>
      <c r="AP287" s="52" t="str">
        <f t="shared" si="124"/>
        <v/>
      </c>
      <c r="AQ287" s="52" t="str">
        <f t="shared" si="125"/>
        <v/>
      </c>
      <c r="AR287" s="52" t="str">
        <f t="shared" si="126"/>
        <v/>
      </c>
      <c r="AS287" s="52" t="str">
        <f t="shared" si="127"/>
        <v/>
      </c>
      <c r="AT287" s="52" t="str">
        <f t="shared" si="128"/>
        <v/>
      </c>
      <c r="AU287" s="52" t="str">
        <f t="shared" si="129"/>
        <v/>
      </c>
      <c r="AV287" s="52" t="str">
        <f t="shared" si="130"/>
        <v/>
      </c>
      <c r="AW287" s="52" t="str">
        <f t="shared" si="131"/>
        <v/>
      </c>
      <c r="AX287" s="52" t="str">
        <f t="shared" si="108"/>
        <v/>
      </c>
      <c r="AY287" s="52" t="str">
        <f t="shared" si="132"/>
        <v/>
      </c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2"/>
      <c r="BL287" s="52"/>
      <c r="BM287" s="52"/>
      <c r="BN287" s="52"/>
      <c r="BO287" s="52"/>
      <c r="BP287" s="52"/>
      <c r="BQ287" s="52"/>
      <c r="BR287" s="52"/>
      <c r="BS287" s="52"/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2"/>
      <c r="CI287" s="52"/>
      <c r="CJ287" s="52"/>
      <c r="CK287" s="52"/>
      <c r="CL287" s="52"/>
      <c r="CM287" s="52"/>
      <c r="CN287" s="52"/>
      <c r="CO287" s="52"/>
      <c r="CP287" s="52"/>
      <c r="CQ287" s="52"/>
      <c r="CR287" s="52"/>
      <c r="CS287" s="52"/>
      <c r="CT287" s="52"/>
      <c r="CU287" s="52"/>
      <c r="CV287" s="52"/>
      <c r="CW287" s="52"/>
      <c r="CX287" s="52"/>
      <c r="CY287" s="52"/>
      <c r="CZ287" s="52"/>
      <c r="DA287" s="52"/>
      <c r="DB287" s="52"/>
      <c r="DC287" s="52"/>
      <c r="DD287" s="52"/>
      <c r="DE287" s="52"/>
      <c r="DF287" s="52"/>
      <c r="DG287" s="52"/>
      <c r="DH287" s="52"/>
      <c r="DI287" s="52"/>
      <c r="DJ287" s="52"/>
      <c r="DK287" s="52"/>
      <c r="DL287" s="52"/>
      <c r="DM287" s="52"/>
      <c r="DN287" s="52"/>
      <c r="DO287" s="52"/>
      <c r="DP287" s="52"/>
      <c r="DQ287" s="52"/>
      <c r="DR287" s="52"/>
      <c r="DS287" s="52"/>
      <c r="DT287" s="52"/>
      <c r="DU287" s="52"/>
      <c r="DV287" s="52"/>
      <c r="DW287" s="52"/>
      <c r="DX287" s="52"/>
      <c r="DY287" s="52"/>
      <c r="DZ287" s="52"/>
      <c r="EA287" s="52"/>
      <c r="EB287" s="52"/>
      <c r="EC287" s="52"/>
      <c r="ED287" s="52"/>
      <c r="EE287" s="52"/>
      <c r="EF287" s="52"/>
      <c r="EG287" s="52"/>
      <c r="EH287" s="52"/>
      <c r="EI287" s="52"/>
      <c r="EJ287" s="52"/>
      <c r="EK287" s="52"/>
      <c r="EL287" s="52"/>
      <c r="EM287" s="52"/>
      <c r="EN287" s="52"/>
      <c r="EO287" s="52"/>
      <c r="EP287" s="52"/>
      <c r="EQ287" s="52"/>
      <c r="ER287" s="52"/>
      <c r="ES287" s="52"/>
      <c r="ET287" s="52"/>
      <c r="EU287" s="52"/>
      <c r="EV287" s="52"/>
      <c r="EW287" s="52"/>
      <c r="EX287" s="52"/>
      <c r="EY287" s="52"/>
      <c r="EZ287" s="52"/>
      <c r="FA287" s="52"/>
      <c r="FB287" s="52"/>
      <c r="FC287" s="52"/>
      <c r="FD287" s="52"/>
      <c r="FE287" s="52"/>
      <c r="FF287" s="52"/>
      <c r="FG287" s="13"/>
    </row>
    <row r="288" spans="1:163">
      <c r="A288" s="71"/>
      <c r="B288" s="70"/>
      <c r="C288" s="72"/>
      <c r="D288" s="73"/>
      <c r="E288" s="73"/>
      <c r="F288" s="73"/>
      <c r="G288" s="73"/>
      <c r="H288" s="73"/>
      <c r="I288" s="74"/>
      <c r="J288" s="74"/>
      <c r="K288" s="74"/>
      <c r="L288" s="73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5"/>
      <c r="Y288" s="70"/>
      <c r="Z288" s="12">
        <f t="shared" si="109"/>
        <v>0</v>
      </c>
      <c r="AA288" s="14">
        <f t="shared" si="107"/>
        <v>0</v>
      </c>
      <c r="AB288" s="6">
        <f t="shared" si="110"/>
        <v>0</v>
      </c>
      <c r="AC288" s="6">
        <f t="shared" si="111"/>
        <v>0</v>
      </c>
      <c r="AD288" s="6">
        <f t="shared" si="112"/>
        <v>0</v>
      </c>
      <c r="AE288" s="52" t="str">
        <f t="shared" si="113"/>
        <v/>
      </c>
      <c r="AF288" s="52" t="str">
        <f t="shared" si="114"/>
        <v/>
      </c>
      <c r="AG288" s="50" t="str">
        <f t="shared" si="115"/>
        <v/>
      </c>
      <c r="AH288" s="50" t="str">
        <f t="shared" si="116"/>
        <v/>
      </c>
      <c r="AI288" s="52" t="str">
        <f t="shared" si="117"/>
        <v/>
      </c>
      <c r="AJ288" s="52" t="str">
        <f t="shared" si="118"/>
        <v/>
      </c>
      <c r="AK288" s="52" t="str">
        <f t="shared" si="119"/>
        <v/>
      </c>
      <c r="AL288" s="52" t="str">
        <f t="shared" si="120"/>
        <v/>
      </c>
      <c r="AM288" s="52" t="str">
        <f t="shared" si="121"/>
        <v/>
      </c>
      <c r="AN288" s="52" t="str">
        <f t="shared" si="122"/>
        <v/>
      </c>
      <c r="AO288" s="52" t="str">
        <f t="shared" si="123"/>
        <v/>
      </c>
      <c r="AP288" s="52" t="str">
        <f t="shared" si="124"/>
        <v/>
      </c>
      <c r="AQ288" s="52" t="str">
        <f t="shared" si="125"/>
        <v/>
      </c>
      <c r="AR288" s="52" t="str">
        <f t="shared" si="126"/>
        <v/>
      </c>
      <c r="AS288" s="52" t="str">
        <f t="shared" si="127"/>
        <v/>
      </c>
      <c r="AT288" s="52" t="str">
        <f t="shared" si="128"/>
        <v/>
      </c>
      <c r="AU288" s="52" t="str">
        <f t="shared" si="129"/>
        <v/>
      </c>
      <c r="AV288" s="52" t="str">
        <f t="shared" si="130"/>
        <v/>
      </c>
      <c r="AW288" s="52" t="str">
        <f t="shared" si="131"/>
        <v/>
      </c>
      <c r="AX288" s="52" t="str">
        <f t="shared" si="108"/>
        <v/>
      </c>
      <c r="AY288" s="52" t="str">
        <f t="shared" si="132"/>
        <v/>
      </c>
      <c r="AZ288" s="52"/>
      <c r="BA288" s="52"/>
      <c r="BB288" s="52"/>
      <c r="BC288" s="52"/>
      <c r="BD288" s="52"/>
      <c r="BE288" s="52"/>
      <c r="BF288" s="52"/>
      <c r="BG288" s="52"/>
      <c r="BH288" s="52"/>
      <c r="BI288" s="52"/>
      <c r="BJ288" s="52"/>
      <c r="BK288" s="52"/>
      <c r="BL288" s="52"/>
      <c r="BM288" s="52"/>
      <c r="BN288" s="52"/>
      <c r="BO288" s="52"/>
      <c r="BP288" s="52"/>
      <c r="BQ288" s="52"/>
      <c r="BR288" s="52"/>
      <c r="BS288" s="52"/>
      <c r="BT288" s="52"/>
      <c r="BU288" s="52"/>
      <c r="BV288" s="52"/>
      <c r="BW288" s="52"/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2"/>
      <c r="CI288" s="52"/>
      <c r="CJ288" s="52"/>
      <c r="CK288" s="52"/>
      <c r="CL288" s="52"/>
      <c r="CM288" s="52"/>
      <c r="CN288" s="52"/>
      <c r="CO288" s="52"/>
      <c r="CP288" s="52"/>
      <c r="CQ288" s="52"/>
      <c r="CR288" s="52"/>
      <c r="CS288" s="52"/>
      <c r="CT288" s="52"/>
      <c r="CU288" s="52"/>
      <c r="CV288" s="52"/>
      <c r="CW288" s="52"/>
      <c r="CX288" s="52"/>
      <c r="CY288" s="52"/>
      <c r="CZ288" s="52"/>
      <c r="DA288" s="52"/>
      <c r="DB288" s="52"/>
      <c r="DC288" s="52"/>
      <c r="DD288" s="52"/>
      <c r="DE288" s="52"/>
      <c r="DF288" s="52"/>
      <c r="DG288" s="52"/>
      <c r="DH288" s="52"/>
      <c r="DI288" s="52"/>
      <c r="DJ288" s="52"/>
      <c r="DK288" s="52"/>
      <c r="DL288" s="52"/>
      <c r="DM288" s="52"/>
      <c r="DN288" s="52"/>
      <c r="DO288" s="52"/>
      <c r="DP288" s="52"/>
      <c r="DQ288" s="52"/>
      <c r="DR288" s="52"/>
      <c r="DS288" s="52"/>
      <c r="DT288" s="52"/>
      <c r="DU288" s="52"/>
      <c r="DV288" s="52"/>
      <c r="DW288" s="52"/>
      <c r="DX288" s="52"/>
      <c r="DY288" s="52"/>
      <c r="DZ288" s="52"/>
      <c r="EA288" s="52"/>
      <c r="EB288" s="52"/>
      <c r="EC288" s="52"/>
      <c r="ED288" s="52"/>
      <c r="EE288" s="52"/>
      <c r="EF288" s="52"/>
      <c r="EG288" s="52"/>
      <c r="EH288" s="52"/>
      <c r="EI288" s="52"/>
      <c r="EJ288" s="52"/>
      <c r="EK288" s="52"/>
      <c r="EL288" s="52"/>
      <c r="EM288" s="52"/>
      <c r="EN288" s="52"/>
      <c r="EO288" s="52"/>
      <c r="EP288" s="52"/>
      <c r="EQ288" s="52"/>
      <c r="ER288" s="52"/>
      <c r="ES288" s="52"/>
      <c r="ET288" s="52"/>
      <c r="EU288" s="52"/>
      <c r="EV288" s="52"/>
      <c r="EW288" s="52"/>
      <c r="EX288" s="52"/>
      <c r="EY288" s="52"/>
      <c r="EZ288" s="52"/>
      <c r="FA288" s="52"/>
      <c r="FB288" s="52"/>
      <c r="FC288" s="52"/>
      <c r="FD288" s="52"/>
      <c r="FE288" s="52"/>
      <c r="FF288" s="52"/>
      <c r="FG288" s="13"/>
    </row>
    <row r="289" spans="1:163">
      <c r="A289" s="71"/>
      <c r="B289" s="70"/>
      <c r="C289" s="72"/>
      <c r="D289" s="73"/>
      <c r="E289" s="73"/>
      <c r="F289" s="73"/>
      <c r="G289" s="73"/>
      <c r="H289" s="73"/>
      <c r="I289" s="74"/>
      <c r="J289" s="74"/>
      <c r="K289" s="74"/>
      <c r="L289" s="73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5"/>
      <c r="Y289" s="70"/>
      <c r="Z289" s="12">
        <f t="shared" si="109"/>
        <v>0</v>
      </c>
      <c r="AA289" s="14">
        <f t="shared" si="107"/>
        <v>0</v>
      </c>
      <c r="AB289" s="6">
        <f t="shared" si="110"/>
        <v>0</v>
      </c>
      <c r="AC289" s="6">
        <f t="shared" si="111"/>
        <v>0</v>
      </c>
      <c r="AD289" s="6">
        <f t="shared" si="112"/>
        <v>0</v>
      </c>
      <c r="AE289" s="52" t="str">
        <f t="shared" si="113"/>
        <v/>
      </c>
      <c r="AF289" s="52" t="str">
        <f t="shared" si="114"/>
        <v/>
      </c>
      <c r="AG289" s="50" t="str">
        <f t="shared" si="115"/>
        <v/>
      </c>
      <c r="AH289" s="50" t="str">
        <f t="shared" si="116"/>
        <v/>
      </c>
      <c r="AI289" s="52" t="str">
        <f t="shared" si="117"/>
        <v/>
      </c>
      <c r="AJ289" s="52" t="str">
        <f t="shared" si="118"/>
        <v/>
      </c>
      <c r="AK289" s="52" t="str">
        <f t="shared" si="119"/>
        <v/>
      </c>
      <c r="AL289" s="52" t="str">
        <f t="shared" si="120"/>
        <v/>
      </c>
      <c r="AM289" s="52" t="str">
        <f t="shared" si="121"/>
        <v/>
      </c>
      <c r="AN289" s="52" t="str">
        <f t="shared" si="122"/>
        <v/>
      </c>
      <c r="AO289" s="52" t="str">
        <f t="shared" si="123"/>
        <v/>
      </c>
      <c r="AP289" s="52" t="str">
        <f t="shared" si="124"/>
        <v/>
      </c>
      <c r="AQ289" s="52" t="str">
        <f t="shared" si="125"/>
        <v/>
      </c>
      <c r="AR289" s="52" t="str">
        <f t="shared" si="126"/>
        <v/>
      </c>
      <c r="AS289" s="52" t="str">
        <f t="shared" si="127"/>
        <v/>
      </c>
      <c r="AT289" s="52" t="str">
        <f t="shared" si="128"/>
        <v/>
      </c>
      <c r="AU289" s="52" t="str">
        <f t="shared" si="129"/>
        <v/>
      </c>
      <c r="AV289" s="52" t="str">
        <f t="shared" si="130"/>
        <v/>
      </c>
      <c r="AW289" s="52" t="str">
        <f t="shared" si="131"/>
        <v/>
      </c>
      <c r="AX289" s="52" t="str">
        <f t="shared" si="108"/>
        <v/>
      </c>
      <c r="AY289" s="52" t="str">
        <f t="shared" si="132"/>
        <v/>
      </c>
      <c r="AZ289" s="52"/>
      <c r="BA289" s="52"/>
      <c r="BB289" s="52"/>
      <c r="BC289" s="52"/>
      <c r="BD289" s="52"/>
      <c r="BE289" s="52"/>
      <c r="BF289" s="52"/>
      <c r="BG289" s="52"/>
      <c r="BH289" s="52"/>
      <c r="BI289" s="52"/>
      <c r="BJ289" s="52"/>
      <c r="BK289" s="52"/>
      <c r="BL289" s="52"/>
      <c r="BM289" s="52"/>
      <c r="BN289" s="52"/>
      <c r="BO289" s="52"/>
      <c r="BP289" s="52"/>
      <c r="BQ289" s="52"/>
      <c r="BR289" s="52"/>
      <c r="BS289" s="52"/>
      <c r="BT289" s="52"/>
      <c r="BU289" s="52"/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2"/>
      <c r="CI289" s="52"/>
      <c r="CJ289" s="52"/>
      <c r="CK289" s="52"/>
      <c r="CL289" s="52"/>
      <c r="CM289" s="52"/>
      <c r="CN289" s="52"/>
      <c r="CO289" s="52"/>
      <c r="CP289" s="52"/>
      <c r="CQ289" s="52"/>
      <c r="CR289" s="52"/>
      <c r="CS289" s="52"/>
      <c r="CT289" s="52"/>
      <c r="CU289" s="52"/>
      <c r="CV289" s="52"/>
      <c r="CW289" s="52"/>
      <c r="CX289" s="52"/>
      <c r="CY289" s="52"/>
      <c r="CZ289" s="52"/>
      <c r="DA289" s="52"/>
      <c r="DB289" s="52"/>
      <c r="DC289" s="52"/>
      <c r="DD289" s="52"/>
      <c r="DE289" s="52"/>
      <c r="DF289" s="52"/>
      <c r="DG289" s="52"/>
      <c r="DH289" s="52"/>
      <c r="DI289" s="52"/>
      <c r="DJ289" s="52"/>
      <c r="DK289" s="52"/>
      <c r="DL289" s="52"/>
      <c r="DM289" s="52"/>
      <c r="DN289" s="52"/>
      <c r="DO289" s="52"/>
      <c r="DP289" s="52"/>
      <c r="DQ289" s="52"/>
      <c r="DR289" s="52"/>
      <c r="DS289" s="52"/>
      <c r="DT289" s="52"/>
      <c r="DU289" s="52"/>
      <c r="DV289" s="52"/>
      <c r="DW289" s="52"/>
      <c r="DX289" s="52"/>
      <c r="DY289" s="52"/>
      <c r="DZ289" s="52"/>
      <c r="EA289" s="52"/>
      <c r="EB289" s="52"/>
      <c r="EC289" s="52"/>
      <c r="ED289" s="52"/>
      <c r="EE289" s="52"/>
      <c r="EF289" s="52"/>
      <c r="EG289" s="52"/>
      <c r="EH289" s="52"/>
      <c r="EI289" s="52"/>
      <c r="EJ289" s="52"/>
      <c r="EK289" s="52"/>
      <c r="EL289" s="52"/>
      <c r="EM289" s="52"/>
      <c r="EN289" s="52"/>
      <c r="EO289" s="52"/>
      <c r="EP289" s="52"/>
      <c r="EQ289" s="52"/>
      <c r="ER289" s="52"/>
      <c r="ES289" s="52"/>
      <c r="ET289" s="52"/>
      <c r="EU289" s="52"/>
      <c r="EV289" s="52"/>
      <c r="EW289" s="52"/>
      <c r="EX289" s="52"/>
      <c r="EY289" s="52"/>
      <c r="EZ289" s="52"/>
      <c r="FA289" s="52"/>
      <c r="FB289" s="52"/>
      <c r="FC289" s="52"/>
      <c r="FD289" s="52"/>
      <c r="FE289" s="52"/>
      <c r="FF289" s="52"/>
      <c r="FG289" s="13"/>
    </row>
    <row r="290" spans="1:163">
      <c r="A290" s="71"/>
      <c r="B290" s="70"/>
      <c r="C290" s="72"/>
      <c r="D290" s="73"/>
      <c r="E290" s="73"/>
      <c r="F290" s="73"/>
      <c r="G290" s="73"/>
      <c r="H290" s="73"/>
      <c r="I290" s="74"/>
      <c r="J290" s="74"/>
      <c r="K290" s="74"/>
      <c r="L290" s="73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5"/>
      <c r="Y290" s="70"/>
      <c r="Z290" s="12">
        <f t="shared" si="109"/>
        <v>0</v>
      </c>
      <c r="AA290" s="14">
        <f t="shared" si="107"/>
        <v>0</v>
      </c>
      <c r="AB290" s="6">
        <f t="shared" si="110"/>
        <v>0</v>
      </c>
      <c r="AC290" s="6">
        <f t="shared" si="111"/>
        <v>0</v>
      </c>
      <c r="AD290" s="6">
        <f t="shared" si="112"/>
        <v>0</v>
      </c>
      <c r="AE290" s="52" t="str">
        <f t="shared" si="113"/>
        <v/>
      </c>
      <c r="AF290" s="52" t="str">
        <f t="shared" si="114"/>
        <v/>
      </c>
      <c r="AG290" s="50" t="str">
        <f t="shared" si="115"/>
        <v/>
      </c>
      <c r="AH290" s="50" t="str">
        <f t="shared" si="116"/>
        <v/>
      </c>
      <c r="AI290" s="52" t="str">
        <f t="shared" si="117"/>
        <v/>
      </c>
      <c r="AJ290" s="52" t="str">
        <f t="shared" si="118"/>
        <v/>
      </c>
      <c r="AK290" s="52" t="str">
        <f t="shared" si="119"/>
        <v/>
      </c>
      <c r="AL290" s="52" t="str">
        <f t="shared" si="120"/>
        <v/>
      </c>
      <c r="AM290" s="52" t="str">
        <f t="shared" si="121"/>
        <v/>
      </c>
      <c r="AN290" s="52" t="str">
        <f t="shared" si="122"/>
        <v/>
      </c>
      <c r="AO290" s="52" t="str">
        <f t="shared" si="123"/>
        <v/>
      </c>
      <c r="AP290" s="52" t="str">
        <f t="shared" si="124"/>
        <v/>
      </c>
      <c r="AQ290" s="52" t="str">
        <f t="shared" si="125"/>
        <v/>
      </c>
      <c r="AR290" s="52" t="str">
        <f t="shared" si="126"/>
        <v/>
      </c>
      <c r="AS290" s="52" t="str">
        <f t="shared" si="127"/>
        <v/>
      </c>
      <c r="AT290" s="52" t="str">
        <f t="shared" si="128"/>
        <v/>
      </c>
      <c r="AU290" s="52" t="str">
        <f t="shared" si="129"/>
        <v/>
      </c>
      <c r="AV290" s="52" t="str">
        <f t="shared" si="130"/>
        <v/>
      </c>
      <c r="AW290" s="52" t="str">
        <f t="shared" si="131"/>
        <v/>
      </c>
      <c r="AX290" s="52" t="str">
        <f t="shared" si="108"/>
        <v/>
      </c>
      <c r="AY290" s="52" t="str">
        <f t="shared" si="132"/>
        <v/>
      </c>
      <c r="AZ290" s="52"/>
      <c r="BA290" s="52"/>
      <c r="BB290" s="52"/>
      <c r="BC290" s="52"/>
      <c r="BD290" s="52"/>
      <c r="BE290" s="52"/>
      <c r="BF290" s="52"/>
      <c r="BG290" s="52"/>
      <c r="BH290" s="52"/>
      <c r="BI290" s="52"/>
      <c r="BJ290" s="52"/>
      <c r="BK290" s="52"/>
      <c r="BL290" s="52"/>
      <c r="BM290" s="52"/>
      <c r="BN290" s="52"/>
      <c r="BO290" s="52"/>
      <c r="BP290" s="52"/>
      <c r="BQ290" s="52"/>
      <c r="BR290" s="52"/>
      <c r="BS290" s="52"/>
      <c r="BT290" s="52"/>
      <c r="BU290" s="52"/>
      <c r="BV290" s="52"/>
      <c r="BW290" s="52"/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2"/>
      <c r="CI290" s="52"/>
      <c r="CJ290" s="52"/>
      <c r="CK290" s="52"/>
      <c r="CL290" s="52"/>
      <c r="CM290" s="52"/>
      <c r="CN290" s="52"/>
      <c r="CO290" s="52"/>
      <c r="CP290" s="52"/>
      <c r="CQ290" s="52"/>
      <c r="CR290" s="52"/>
      <c r="CS290" s="52"/>
      <c r="CT290" s="52"/>
      <c r="CU290" s="52"/>
      <c r="CV290" s="52"/>
      <c r="CW290" s="52"/>
      <c r="CX290" s="52"/>
      <c r="CY290" s="52"/>
      <c r="CZ290" s="52"/>
      <c r="DA290" s="52"/>
      <c r="DB290" s="52"/>
      <c r="DC290" s="52"/>
      <c r="DD290" s="52"/>
      <c r="DE290" s="52"/>
      <c r="DF290" s="52"/>
      <c r="DG290" s="52"/>
      <c r="DH290" s="52"/>
      <c r="DI290" s="52"/>
      <c r="DJ290" s="52"/>
      <c r="DK290" s="52"/>
      <c r="DL290" s="52"/>
      <c r="DM290" s="52"/>
      <c r="DN290" s="52"/>
      <c r="DO290" s="52"/>
      <c r="DP290" s="52"/>
      <c r="DQ290" s="52"/>
      <c r="DR290" s="52"/>
      <c r="DS290" s="52"/>
      <c r="DT290" s="52"/>
      <c r="DU290" s="52"/>
      <c r="DV290" s="52"/>
      <c r="DW290" s="52"/>
      <c r="DX290" s="52"/>
      <c r="DY290" s="52"/>
      <c r="DZ290" s="52"/>
      <c r="EA290" s="52"/>
      <c r="EB290" s="52"/>
      <c r="EC290" s="52"/>
      <c r="ED290" s="52"/>
      <c r="EE290" s="52"/>
      <c r="EF290" s="52"/>
      <c r="EG290" s="52"/>
      <c r="EH290" s="52"/>
      <c r="EI290" s="52"/>
      <c r="EJ290" s="52"/>
      <c r="EK290" s="52"/>
      <c r="EL290" s="52"/>
      <c r="EM290" s="52"/>
      <c r="EN290" s="52"/>
      <c r="EO290" s="52"/>
      <c r="EP290" s="52"/>
      <c r="EQ290" s="52"/>
      <c r="ER290" s="52"/>
      <c r="ES290" s="52"/>
      <c r="ET290" s="52"/>
      <c r="EU290" s="52"/>
      <c r="EV290" s="52"/>
      <c r="EW290" s="52"/>
      <c r="EX290" s="52"/>
      <c r="EY290" s="52"/>
      <c r="EZ290" s="52"/>
      <c r="FA290" s="52"/>
      <c r="FB290" s="52"/>
      <c r="FC290" s="52"/>
      <c r="FD290" s="52"/>
      <c r="FE290" s="52"/>
      <c r="FF290" s="52"/>
      <c r="FG290" s="13"/>
    </row>
    <row r="291" spans="1:163">
      <c r="A291" s="71"/>
      <c r="B291" s="70"/>
      <c r="C291" s="72"/>
      <c r="D291" s="73"/>
      <c r="E291" s="73"/>
      <c r="F291" s="73"/>
      <c r="G291" s="73"/>
      <c r="H291" s="73"/>
      <c r="I291" s="74"/>
      <c r="J291" s="74"/>
      <c r="K291" s="74"/>
      <c r="L291" s="73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5"/>
      <c r="Y291" s="70"/>
      <c r="Z291" s="12">
        <f t="shared" si="109"/>
        <v>0</v>
      </c>
      <c r="AA291" s="14">
        <f t="shared" si="107"/>
        <v>0</v>
      </c>
      <c r="AB291" s="6">
        <f t="shared" si="110"/>
        <v>0</v>
      </c>
      <c r="AC291" s="6">
        <f t="shared" si="111"/>
        <v>0</v>
      </c>
      <c r="AD291" s="6">
        <f t="shared" si="112"/>
        <v>0</v>
      </c>
      <c r="AE291" s="52" t="str">
        <f t="shared" si="113"/>
        <v/>
      </c>
      <c r="AF291" s="52" t="str">
        <f t="shared" si="114"/>
        <v/>
      </c>
      <c r="AG291" s="50" t="str">
        <f t="shared" si="115"/>
        <v/>
      </c>
      <c r="AH291" s="50" t="str">
        <f t="shared" si="116"/>
        <v/>
      </c>
      <c r="AI291" s="52" t="str">
        <f t="shared" si="117"/>
        <v/>
      </c>
      <c r="AJ291" s="52" t="str">
        <f t="shared" si="118"/>
        <v/>
      </c>
      <c r="AK291" s="52" t="str">
        <f t="shared" si="119"/>
        <v/>
      </c>
      <c r="AL291" s="52" t="str">
        <f t="shared" si="120"/>
        <v/>
      </c>
      <c r="AM291" s="52" t="str">
        <f t="shared" si="121"/>
        <v/>
      </c>
      <c r="AN291" s="52" t="str">
        <f t="shared" si="122"/>
        <v/>
      </c>
      <c r="AO291" s="52" t="str">
        <f t="shared" si="123"/>
        <v/>
      </c>
      <c r="AP291" s="52" t="str">
        <f t="shared" si="124"/>
        <v/>
      </c>
      <c r="AQ291" s="52" t="str">
        <f t="shared" si="125"/>
        <v/>
      </c>
      <c r="AR291" s="52" t="str">
        <f t="shared" si="126"/>
        <v/>
      </c>
      <c r="AS291" s="52" t="str">
        <f t="shared" si="127"/>
        <v/>
      </c>
      <c r="AT291" s="52" t="str">
        <f t="shared" si="128"/>
        <v/>
      </c>
      <c r="AU291" s="52" t="str">
        <f t="shared" si="129"/>
        <v/>
      </c>
      <c r="AV291" s="52" t="str">
        <f t="shared" si="130"/>
        <v/>
      </c>
      <c r="AW291" s="52" t="str">
        <f t="shared" si="131"/>
        <v/>
      </c>
      <c r="AX291" s="52" t="str">
        <f t="shared" si="108"/>
        <v/>
      </c>
      <c r="AY291" s="52" t="str">
        <f t="shared" si="132"/>
        <v/>
      </c>
      <c r="AZ291" s="52"/>
      <c r="BA291" s="52"/>
      <c r="BB291" s="52"/>
      <c r="BC291" s="52"/>
      <c r="BD291" s="52"/>
      <c r="BE291" s="52"/>
      <c r="BF291" s="52"/>
      <c r="BG291" s="52"/>
      <c r="BH291" s="52"/>
      <c r="BI291" s="52"/>
      <c r="BJ291" s="52"/>
      <c r="BK291" s="52"/>
      <c r="BL291" s="52"/>
      <c r="BM291" s="52"/>
      <c r="BN291" s="52"/>
      <c r="BO291" s="52"/>
      <c r="BP291" s="52"/>
      <c r="BQ291" s="52"/>
      <c r="BR291" s="52"/>
      <c r="BS291" s="52"/>
      <c r="BT291" s="52"/>
      <c r="BU291" s="52"/>
      <c r="BV291" s="52"/>
      <c r="BW291" s="52"/>
      <c r="BX291" s="52"/>
      <c r="BY291" s="52"/>
      <c r="BZ291" s="52"/>
      <c r="CA291" s="52"/>
      <c r="CB291" s="52"/>
      <c r="CC291" s="52"/>
      <c r="CD291" s="52"/>
      <c r="CE291" s="52"/>
      <c r="CF291" s="52"/>
      <c r="CG291" s="52"/>
      <c r="CH291" s="52"/>
      <c r="CI291" s="52"/>
      <c r="CJ291" s="52"/>
      <c r="CK291" s="52"/>
      <c r="CL291" s="52"/>
      <c r="CM291" s="52"/>
      <c r="CN291" s="52"/>
      <c r="CO291" s="52"/>
      <c r="CP291" s="52"/>
      <c r="CQ291" s="52"/>
      <c r="CR291" s="52"/>
      <c r="CS291" s="52"/>
      <c r="CT291" s="52"/>
      <c r="CU291" s="52"/>
      <c r="CV291" s="52"/>
      <c r="CW291" s="52"/>
      <c r="CX291" s="52"/>
      <c r="CY291" s="52"/>
      <c r="CZ291" s="52"/>
      <c r="DA291" s="52"/>
      <c r="DB291" s="52"/>
      <c r="DC291" s="52"/>
      <c r="DD291" s="52"/>
      <c r="DE291" s="52"/>
      <c r="DF291" s="52"/>
      <c r="DG291" s="52"/>
      <c r="DH291" s="52"/>
      <c r="DI291" s="52"/>
      <c r="DJ291" s="52"/>
      <c r="DK291" s="52"/>
      <c r="DL291" s="52"/>
      <c r="DM291" s="52"/>
      <c r="DN291" s="52"/>
      <c r="DO291" s="52"/>
      <c r="DP291" s="52"/>
      <c r="DQ291" s="52"/>
      <c r="DR291" s="52"/>
      <c r="DS291" s="52"/>
      <c r="DT291" s="52"/>
      <c r="DU291" s="52"/>
      <c r="DV291" s="52"/>
      <c r="DW291" s="52"/>
      <c r="DX291" s="52"/>
      <c r="DY291" s="52"/>
      <c r="DZ291" s="52"/>
      <c r="EA291" s="52"/>
      <c r="EB291" s="52"/>
      <c r="EC291" s="52"/>
      <c r="ED291" s="52"/>
      <c r="EE291" s="52"/>
      <c r="EF291" s="52"/>
      <c r="EG291" s="52"/>
      <c r="EH291" s="52"/>
      <c r="EI291" s="52"/>
      <c r="EJ291" s="52"/>
      <c r="EK291" s="52"/>
      <c r="EL291" s="52"/>
      <c r="EM291" s="52"/>
      <c r="EN291" s="52"/>
      <c r="EO291" s="52"/>
      <c r="EP291" s="52"/>
      <c r="EQ291" s="52"/>
      <c r="ER291" s="52"/>
      <c r="ES291" s="52"/>
      <c r="ET291" s="52"/>
      <c r="EU291" s="52"/>
      <c r="EV291" s="52"/>
      <c r="EW291" s="52"/>
      <c r="EX291" s="52"/>
      <c r="EY291" s="52"/>
      <c r="EZ291" s="52"/>
      <c r="FA291" s="52"/>
      <c r="FB291" s="52"/>
      <c r="FC291" s="52"/>
      <c r="FD291" s="52"/>
      <c r="FE291" s="52"/>
      <c r="FF291" s="52"/>
      <c r="FG291" s="13"/>
    </row>
    <row r="292" spans="1:163">
      <c r="A292" s="71"/>
      <c r="B292" s="70"/>
      <c r="C292" s="72"/>
      <c r="D292" s="73"/>
      <c r="E292" s="73"/>
      <c r="F292" s="73"/>
      <c r="G292" s="73"/>
      <c r="H292" s="73"/>
      <c r="I292" s="74"/>
      <c r="J292" s="74"/>
      <c r="K292" s="74"/>
      <c r="L292" s="73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5"/>
      <c r="Y292" s="70"/>
      <c r="Z292" s="12">
        <f t="shared" si="109"/>
        <v>0</v>
      </c>
      <c r="AA292" s="14">
        <f t="shared" si="107"/>
        <v>0</v>
      </c>
      <c r="AB292" s="6">
        <f t="shared" si="110"/>
        <v>0</v>
      </c>
      <c r="AC292" s="6">
        <f t="shared" si="111"/>
        <v>0</v>
      </c>
      <c r="AD292" s="6">
        <f t="shared" si="112"/>
        <v>0</v>
      </c>
      <c r="AE292" s="52" t="str">
        <f t="shared" si="113"/>
        <v/>
      </c>
      <c r="AF292" s="52" t="str">
        <f t="shared" si="114"/>
        <v/>
      </c>
      <c r="AG292" s="50" t="str">
        <f t="shared" si="115"/>
        <v/>
      </c>
      <c r="AH292" s="50" t="str">
        <f t="shared" si="116"/>
        <v/>
      </c>
      <c r="AI292" s="52" t="str">
        <f t="shared" si="117"/>
        <v/>
      </c>
      <c r="AJ292" s="52" t="str">
        <f t="shared" si="118"/>
        <v/>
      </c>
      <c r="AK292" s="52" t="str">
        <f t="shared" si="119"/>
        <v/>
      </c>
      <c r="AL292" s="52" t="str">
        <f t="shared" si="120"/>
        <v/>
      </c>
      <c r="AM292" s="52" t="str">
        <f t="shared" si="121"/>
        <v/>
      </c>
      <c r="AN292" s="52" t="str">
        <f t="shared" si="122"/>
        <v/>
      </c>
      <c r="AO292" s="52" t="str">
        <f t="shared" si="123"/>
        <v/>
      </c>
      <c r="AP292" s="52" t="str">
        <f t="shared" si="124"/>
        <v/>
      </c>
      <c r="AQ292" s="52" t="str">
        <f t="shared" si="125"/>
        <v/>
      </c>
      <c r="AR292" s="52" t="str">
        <f t="shared" si="126"/>
        <v/>
      </c>
      <c r="AS292" s="52" t="str">
        <f t="shared" si="127"/>
        <v/>
      </c>
      <c r="AT292" s="52" t="str">
        <f t="shared" si="128"/>
        <v/>
      </c>
      <c r="AU292" s="52" t="str">
        <f t="shared" si="129"/>
        <v/>
      </c>
      <c r="AV292" s="52" t="str">
        <f t="shared" si="130"/>
        <v/>
      </c>
      <c r="AW292" s="52" t="str">
        <f t="shared" si="131"/>
        <v/>
      </c>
      <c r="AX292" s="52" t="str">
        <f t="shared" si="108"/>
        <v/>
      </c>
      <c r="AY292" s="52" t="str">
        <f t="shared" si="132"/>
        <v/>
      </c>
      <c r="AZ292" s="52"/>
      <c r="BA292" s="52"/>
      <c r="BB292" s="52"/>
      <c r="BC292" s="52"/>
      <c r="BD292" s="52"/>
      <c r="BE292" s="52"/>
      <c r="BF292" s="52"/>
      <c r="BG292" s="52"/>
      <c r="BH292" s="52"/>
      <c r="BI292" s="52"/>
      <c r="BJ292" s="52"/>
      <c r="BK292" s="52"/>
      <c r="BL292" s="52"/>
      <c r="BM292" s="52"/>
      <c r="BN292" s="52"/>
      <c r="BO292" s="52"/>
      <c r="BP292" s="52"/>
      <c r="BQ292" s="52"/>
      <c r="BR292" s="52"/>
      <c r="BS292" s="52"/>
      <c r="BT292" s="52"/>
      <c r="BU292" s="52"/>
      <c r="BV292" s="52"/>
      <c r="BW292" s="52"/>
      <c r="BX292" s="52"/>
      <c r="BY292" s="52"/>
      <c r="BZ292" s="52"/>
      <c r="CA292" s="52"/>
      <c r="CB292" s="52"/>
      <c r="CC292" s="52"/>
      <c r="CD292" s="52"/>
      <c r="CE292" s="52"/>
      <c r="CF292" s="52"/>
      <c r="CG292" s="52"/>
      <c r="CH292" s="52"/>
      <c r="CI292" s="52"/>
      <c r="CJ292" s="52"/>
      <c r="CK292" s="52"/>
      <c r="CL292" s="52"/>
      <c r="CM292" s="52"/>
      <c r="CN292" s="52"/>
      <c r="CO292" s="52"/>
      <c r="CP292" s="52"/>
      <c r="CQ292" s="52"/>
      <c r="CR292" s="52"/>
      <c r="CS292" s="52"/>
      <c r="CT292" s="52"/>
      <c r="CU292" s="52"/>
      <c r="CV292" s="52"/>
      <c r="CW292" s="52"/>
      <c r="CX292" s="52"/>
      <c r="CY292" s="52"/>
      <c r="CZ292" s="52"/>
      <c r="DA292" s="52"/>
      <c r="DB292" s="52"/>
      <c r="DC292" s="52"/>
      <c r="DD292" s="52"/>
      <c r="DE292" s="52"/>
      <c r="DF292" s="52"/>
      <c r="DG292" s="52"/>
      <c r="DH292" s="52"/>
      <c r="DI292" s="52"/>
      <c r="DJ292" s="52"/>
      <c r="DK292" s="52"/>
      <c r="DL292" s="52"/>
      <c r="DM292" s="52"/>
      <c r="DN292" s="52"/>
      <c r="DO292" s="52"/>
      <c r="DP292" s="52"/>
      <c r="DQ292" s="52"/>
      <c r="DR292" s="52"/>
      <c r="DS292" s="52"/>
      <c r="DT292" s="52"/>
      <c r="DU292" s="52"/>
      <c r="DV292" s="52"/>
      <c r="DW292" s="52"/>
      <c r="DX292" s="52"/>
      <c r="DY292" s="52"/>
      <c r="DZ292" s="52"/>
      <c r="EA292" s="52"/>
      <c r="EB292" s="52"/>
      <c r="EC292" s="52"/>
      <c r="ED292" s="52"/>
      <c r="EE292" s="52"/>
      <c r="EF292" s="52"/>
      <c r="EG292" s="52"/>
      <c r="EH292" s="52"/>
      <c r="EI292" s="52"/>
      <c r="EJ292" s="52"/>
      <c r="EK292" s="52"/>
      <c r="EL292" s="52"/>
      <c r="EM292" s="52"/>
      <c r="EN292" s="52"/>
      <c r="EO292" s="52"/>
      <c r="EP292" s="52"/>
      <c r="EQ292" s="52"/>
      <c r="ER292" s="52"/>
      <c r="ES292" s="52"/>
      <c r="ET292" s="52"/>
      <c r="EU292" s="52"/>
      <c r="EV292" s="52"/>
      <c r="EW292" s="52"/>
      <c r="EX292" s="52"/>
      <c r="EY292" s="52"/>
      <c r="EZ292" s="52"/>
      <c r="FA292" s="52"/>
      <c r="FB292" s="52"/>
      <c r="FC292" s="52"/>
      <c r="FD292" s="52"/>
      <c r="FE292" s="52"/>
      <c r="FF292" s="52"/>
      <c r="FG292" s="13"/>
    </row>
    <row r="293" spans="1:163">
      <c r="A293" s="71"/>
      <c r="B293" s="70"/>
      <c r="C293" s="72"/>
      <c r="D293" s="73"/>
      <c r="E293" s="73"/>
      <c r="F293" s="73"/>
      <c r="G293" s="73"/>
      <c r="H293" s="73"/>
      <c r="I293" s="74"/>
      <c r="J293" s="74"/>
      <c r="K293" s="74"/>
      <c r="L293" s="73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5"/>
      <c r="Y293" s="70"/>
      <c r="Z293" s="12">
        <f t="shared" si="109"/>
        <v>0</v>
      </c>
      <c r="AA293" s="14">
        <f t="shared" si="107"/>
        <v>0</v>
      </c>
      <c r="AB293" s="6">
        <f t="shared" si="110"/>
        <v>0</v>
      </c>
      <c r="AC293" s="6">
        <f t="shared" si="111"/>
        <v>0</v>
      </c>
      <c r="AD293" s="6">
        <f t="shared" si="112"/>
        <v>0</v>
      </c>
      <c r="AE293" s="52" t="str">
        <f t="shared" si="113"/>
        <v/>
      </c>
      <c r="AF293" s="52" t="str">
        <f t="shared" si="114"/>
        <v/>
      </c>
      <c r="AG293" s="50" t="str">
        <f t="shared" si="115"/>
        <v/>
      </c>
      <c r="AH293" s="50" t="str">
        <f t="shared" si="116"/>
        <v/>
      </c>
      <c r="AI293" s="52" t="str">
        <f t="shared" si="117"/>
        <v/>
      </c>
      <c r="AJ293" s="52" t="str">
        <f t="shared" si="118"/>
        <v/>
      </c>
      <c r="AK293" s="52" t="str">
        <f t="shared" si="119"/>
        <v/>
      </c>
      <c r="AL293" s="52" t="str">
        <f t="shared" si="120"/>
        <v/>
      </c>
      <c r="AM293" s="52" t="str">
        <f t="shared" si="121"/>
        <v/>
      </c>
      <c r="AN293" s="52" t="str">
        <f t="shared" si="122"/>
        <v/>
      </c>
      <c r="AO293" s="52" t="str">
        <f t="shared" si="123"/>
        <v/>
      </c>
      <c r="AP293" s="52" t="str">
        <f t="shared" si="124"/>
        <v/>
      </c>
      <c r="AQ293" s="52" t="str">
        <f t="shared" si="125"/>
        <v/>
      </c>
      <c r="AR293" s="52" t="str">
        <f t="shared" si="126"/>
        <v/>
      </c>
      <c r="AS293" s="52" t="str">
        <f t="shared" si="127"/>
        <v/>
      </c>
      <c r="AT293" s="52" t="str">
        <f t="shared" si="128"/>
        <v/>
      </c>
      <c r="AU293" s="52" t="str">
        <f t="shared" si="129"/>
        <v/>
      </c>
      <c r="AV293" s="52" t="str">
        <f t="shared" si="130"/>
        <v/>
      </c>
      <c r="AW293" s="52" t="str">
        <f t="shared" si="131"/>
        <v/>
      </c>
      <c r="AX293" s="52" t="str">
        <f t="shared" si="108"/>
        <v/>
      </c>
      <c r="AY293" s="52" t="str">
        <f t="shared" si="132"/>
        <v/>
      </c>
      <c r="AZ293" s="52"/>
      <c r="BA293" s="52"/>
      <c r="BB293" s="52"/>
      <c r="BC293" s="52"/>
      <c r="BD293" s="52"/>
      <c r="BE293" s="52"/>
      <c r="BF293" s="52"/>
      <c r="BG293" s="52"/>
      <c r="BH293" s="52"/>
      <c r="BI293" s="52"/>
      <c r="BJ293" s="52"/>
      <c r="BK293" s="52"/>
      <c r="BL293" s="52"/>
      <c r="BM293" s="52"/>
      <c r="BN293" s="52"/>
      <c r="BO293" s="52"/>
      <c r="BP293" s="52"/>
      <c r="BQ293" s="52"/>
      <c r="BR293" s="52"/>
      <c r="BS293" s="52"/>
      <c r="BT293" s="52"/>
      <c r="BU293" s="52"/>
      <c r="BV293" s="52"/>
      <c r="BW293" s="52"/>
      <c r="BX293" s="52"/>
      <c r="BY293" s="52"/>
      <c r="BZ293" s="52"/>
      <c r="CA293" s="52"/>
      <c r="CB293" s="52"/>
      <c r="CC293" s="52"/>
      <c r="CD293" s="52"/>
      <c r="CE293" s="52"/>
      <c r="CF293" s="52"/>
      <c r="CG293" s="52"/>
      <c r="CH293" s="52"/>
      <c r="CI293" s="52"/>
      <c r="CJ293" s="52"/>
      <c r="CK293" s="52"/>
      <c r="CL293" s="52"/>
      <c r="CM293" s="52"/>
      <c r="CN293" s="52"/>
      <c r="CO293" s="52"/>
      <c r="CP293" s="52"/>
      <c r="CQ293" s="52"/>
      <c r="CR293" s="52"/>
      <c r="CS293" s="52"/>
      <c r="CT293" s="52"/>
      <c r="CU293" s="52"/>
      <c r="CV293" s="52"/>
      <c r="CW293" s="52"/>
      <c r="CX293" s="52"/>
      <c r="CY293" s="52"/>
      <c r="CZ293" s="52"/>
      <c r="DA293" s="52"/>
      <c r="DB293" s="52"/>
      <c r="DC293" s="52"/>
      <c r="DD293" s="52"/>
      <c r="DE293" s="52"/>
      <c r="DF293" s="52"/>
      <c r="DG293" s="52"/>
      <c r="DH293" s="52"/>
      <c r="DI293" s="52"/>
      <c r="DJ293" s="52"/>
      <c r="DK293" s="52"/>
      <c r="DL293" s="52"/>
      <c r="DM293" s="52"/>
      <c r="DN293" s="52"/>
      <c r="DO293" s="52"/>
      <c r="DP293" s="52"/>
      <c r="DQ293" s="52"/>
      <c r="DR293" s="52"/>
      <c r="DS293" s="52"/>
      <c r="DT293" s="52"/>
      <c r="DU293" s="52"/>
      <c r="DV293" s="52"/>
      <c r="DW293" s="52"/>
      <c r="DX293" s="52"/>
      <c r="DY293" s="52"/>
      <c r="DZ293" s="52"/>
      <c r="EA293" s="52"/>
      <c r="EB293" s="52"/>
      <c r="EC293" s="52"/>
      <c r="ED293" s="52"/>
      <c r="EE293" s="52"/>
      <c r="EF293" s="52"/>
      <c r="EG293" s="52"/>
      <c r="EH293" s="52"/>
      <c r="EI293" s="52"/>
      <c r="EJ293" s="52"/>
      <c r="EK293" s="52"/>
      <c r="EL293" s="52"/>
      <c r="EM293" s="52"/>
      <c r="EN293" s="52"/>
      <c r="EO293" s="52"/>
      <c r="EP293" s="52"/>
      <c r="EQ293" s="52"/>
      <c r="ER293" s="52"/>
      <c r="ES293" s="52"/>
      <c r="ET293" s="52"/>
      <c r="EU293" s="52"/>
      <c r="EV293" s="52"/>
      <c r="EW293" s="52"/>
      <c r="EX293" s="52"/>
      <c r="EY293" s="52"/>
      <c r="EZ293" s="52"/>
      <c r="FA293" s="52"/>
      <c r="FB293" s="52"/>
      <c r="FC293" s="52"/>
      <c r="FD293" s="52"/>
      <c r="FE293" s="52"/>
      <c r="FF293" s="52"/>
      <c r="FG293" s="13"/>
    </row>
    <row r="294" spans="1:163">
      <c r="A294" s="71"/>
      <c r="B294" s="70"/>
      <c r="C294" s="72"/>
      <c r="D294" s="73"/>
      <c r="E294" s="73"/>
      <c r="F294" s="73"/>
      <c r="G294" s="73"/>
      <c r="H294" s="73"/>
      <c r="I294" s="74"/>
      <c r="J294" s="74"/>
      <c r="K294" s="74"/>
      <c r="L294" s="73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5"/>
      <c r="Y294" s="70"/>
      <c r="Z294" s="12">
        <f t="shared" si="109"/>
        <v>0</v>
      </c>
      <c r="AA294" s="14">
        <f t="shared" si="107"/>
        <v>0</v>
      </c>
      <c r="AB294" s="6">
        <f t="shared" si="110"/>
        <v>0</v>
      </c>
      <c r="AC294" s="6">
        <f t="shared" si="111"/>
        <v>0</v>
      </c>
      <c r="AD294" s="6">
        <f t="shared" si="112"/>
        <v>0</v>
      </c>
      <c r="AE294" s="52" t="str">
        <f t="shared" si="113"/>
        <v/>
      </c>
      <c r="AF294" s="52" t="str">
        <f t="shared" si="114"/>
        <v/>
      </c>
      <c r="AG294" s="50" t="str">
        <f t="shared" si="115"/>
        <v/>
      </c>
      <c r="AH294" s="50" t="str">
        <f t="shared" si="116"/>
        <v/>
      </c>
      <c r="AI294" s="52" t="str">
        <f t="shared" si="117"/>
        <v/>
      </c>
      <c r="AJ294" s="52" t="str">
        <f t="shared" si="118"/>
        <v/>
      </c>
      <c r="AK294" s="52" t="str">
        <f t="shared" si="119"/>
        <v/>
      </c>
      <c r="AL294" s="52" t="str">
        <f t="shared" si="120"/>
        <v/>
      </c>
      <c r="AM294" s="52" t="str">
        <f t="shared" si="121"/>
        <v/>
      </c>
      <c r="AN294" s="52" t="str">
        <f t="shared" si="122"/>
        <v/>
      </c>
      <c r="AO294" s="52" t="str">
        <f t="shared" si="123"/>
        <v/>
      </c>
      <c r="AP294" s="52" t="str">
        <f t="shared" si="124"/>
        <v/>
      </c>
      <c r="AQ294" s="52" t="str">
        <f t="shared" si="125"/>
        <v/>
      </c>
      <c r="AR294" s="52" t="str">
        <f t="shared" si="126"/>
        <v/>
      </c>
      <c r="AS294" s="52" t="str">
        <f t="shared" si="127"/>
        <v/>
      </c>
      <c r="AT294" s="52" t="str">
        <f t="shared" si="128"/>
        <v/>
      </c>
      <c r="AU294" s="52" t="str">
        <f t="shared" si="129"/>
        <v/>
      </c>
      <c r="AV294" s="52" t="str">
        <f t="shared" si="130"/>
        <v/>
      </c>
      <c r="AW294" s="52" t="str">
        <f t="shared" si="131"/>
        <v/>
      </c>
      <c r="AX294" s="52" t="str">
        <f t="shared" si="108"/>
        <v/>
      </c>
      <c r="AY294" s="52" t="str">
        <f t="shared" si="132"/>
        <v/>
      </c>
      <c r="AZ294" s="52"/>
      <c r="BA294" s="52"/>
      <c r="BB294" s="52"/>
      <c r="BC294" s="52"/>
      <c r="BD294" s="52"/>
      <c r="BE294" s="52"/>
      <c r="BF294" s="52"/>
      <c r="BG294" s="52"/>
      <c r="BH294" s="52"/>
      <c r="BI294" s="52"/>
      <c r="BJ294" s="52"/>
      <c r="BK294" s="52"/>
      <c r="BL294" s="52"/>
      <c r="BM294" s="52"/>
      <c r="BN294" s="52"/>
      <c r="BO294" s="52"/>
      <c r="BP294" s="52"/>
      <c r="BQ294" s="52"/>
      <c r="BR294" s="52"/>
      <c r="BS294" s="52"/>
      <c r="BT294" s="52"/>
      <c r="BU294" s="52"/>
      <c r="BV294" s="52"/>
      <c r="BW294" s="52"/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2"/>
      <c r="CI294" s="52"/>
      <c r="CJ294" s="52"/>
      <c r="CK294" s="52"/>
      <c r="CL294" s="52"/>
      <c r="CM294" s="52"/>
      <c r="CN294" s="52"/>
      <c r="CO294" s="52"/>
      <c r="CP294" s="52"/>
      <c r="CQ294" s="52"/>
      <c r="CR294" s="52"/>
      <c r="CS294" s="52"/>
      <c r="CT294" s="52"/>
      <c r="CU294" s="52"/>
      <c r="CV294" s="52"/>
      <c r="CW294" s="52"/>
      <c r="CX294" s="52"/>
      <c r="CY294" s="52"/>
      <c r="CZ294" s="52"/>
      <c r="DA294" s="52"/>
      <c r="DB294" s="52"/>
      <c r="DC294" s="52"/>
      <c r="DD294" s="52"/>
      <c r="DE294" s="52"/>
      <c r="DF294" s="52"/>
      <c r="DG294" s="52"/>
      <c r="DH294" s="52"/>
      <c r="DI294" s="52"/>
      <c r="DJ294" s="52"/>
      <c r="DK294" s="52"/>
      <c r="DL294" s="52"/>
      <c r="DM294" s="52"/>
      <c r="DN294" s="52"/>
      <c r="DO294" s="52"/>
      <c r="DP294" s="52"/>
      <c r="DQ294" s="52"/>
      <c r="DR294" s="52"/>
      <c r="DS294" s="52"/>
      <c r="DT294" s="52"/>
      <c r="DU294" s="52"/>
      <c r="DV294" s="52"/>
      <c r="DW294" s="52"/>
      <c r="DX294" s="52"/>
      <c r="DY294" s="52"/>
      <c r="DZ294" s="52"/>
      <c r="EA294" s="52"/>
      <c r="EB294" s="52"/>
      <c r="EC294" s="52"/>
      <c r="ED294" s="52"/>
      <c r="EE294" s="52"/>
      <c r="EF294" s="52"/>
      <c r="EG294" s="52"/>
      <c r="EH294" s="52"/>
      <c r="EI294" s="52"/>
      <c r="EJ294" s="52"/>
      <c r="EK294" s="52"/>
      <c r="EL294" s="52"/>
      <c r="EM294" s="52"/>
      <c r="EN294" s="52"/>
      <c r="EO294" s="52"/>
      <c r="EP294" s="52"/>
      <c r="EQ294" s="52"/>
      <c r="ER294" s="52"/>
      <c r="ES294" s="52"/>
      <c r="ET294" s="52"/>
      <c r="EU294" s="52"/>
      <c r="EV294" s="52"/>
      <c r="EW294" s="52"/>
      <c r="EX294" s="52"/>
      <c r="EY294" s="52"/>
      <c r="EZ294" s="52"/>
      <c r="FA294" s="52"/>
      <c r="FB294" s="52"/>
      <c r="FC294" s="52"/>
      <c r="FD294" s="52"/>
      <c r="FE294" s="52"/>
      <c r="FF294" s="52"/>
      <c r="FG294" s="13"/>
    </row>
    <row r="295" spans="1:163">
      <c r="A295" s="71"/>
      <c r="B295" s="70"/>
      <c r="C295" s="72"/>
      <c r="D295" s="73"/>
      <c r="E295" s="73"/>
      <c r="F295" s="73"/>
      <c r="G295" s="73"/>
      <c r="H295" s="73"/>
      <c r="I295" s="74"/>
      <c r="J295" s="74"/>
      <c r="K295" s="74"/>
      <c r="L295" s="73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5"/>
      <c r="Y295" s="70"/>
      <c r="Z295" s="12">
        <f t="shared" si="109"/>
        <v>0</v>
      </c>
      <c r="AA295" s="14">
        <f t="shared" si="107"/>
        <v>0</v>
      </c>
      <c r="AB295" s="6">
        <f t="shared" si="110"/>
        <v>0</v>
      </c>
      <c r="AC295" s="6">
        <f t="shared" si="111"/>
        <v>0</v>
      </c>
      <c r="AD295" s="6">
        <f t="shared" si="112"/>
        <v>0</v>
      </c>
      <c r="AE295" s="52" t="str">
        <f t="shared" si="113"/>
        <v/>
      </c>
      <c r="AF295" s="52" t="str">
        <f t="shared" si="114"/>
        <v/>
      </c>
      <c r="AG295" s="50" t="str">
        <f t="shared" si="115"/>
        <v/>
      </c>
      <c r="AH295" s="50" t="str">
        <f t="shared" si="116"/>
        <v/>
      </c>
      <c r="AI295" s="52" t="str">
        <f t="shared" si="117"/>
        <v/>
      </c>
      <c r="AJ295" s="52" t="str">
        <f t="shared" si="118"/>
        <v/>
      </c>
      <c r="AK295" s="52" t="str">
        <f t="shared" si="119"/>
        <v/>
      </c>
      <c r="AL295" s="52" t="str">
        <f t="shared" si="120"/>
        <v/>
      </c>
      <c r="AM295" s="52" t="str">
        <f t="shared" si="121"/>
        <v/>
      </c>
      <c r="AN295" s="52" t="str">
        <f t="shared" si="122"/>
        <v/>
      </c>
      <c r="AO295" s="52" t="str">
        <f t="shared" si="123"/>
        <v/>
      </c>
      <c r="AP295" s="52" t="str">
        <f t="shared" si="124"/>
        <v/>
      </c>
      <c r="AQ295" s="52" t="str">
        <f t="shared" si="125"/>
        <v/>
      </c>
      <c r="AR295" s="52" t="str">
        <f t="shared" si="126"/>
        <v/>
      </c>
      <c r="AS295" s="52" t="str">
        <f t="shared" si="127"/>
        <v/>
      </c>
      <c r="AT295" s="52" t="str">
        <f t="shared" si="128"/>
        <v/>
      </c>
      <c r="AU295" s="52" t="str">
        <f t="shared" si="129"/>
        <v/>
      </c>
      <c r="AV295" s="52" t="str">
        <f t="shared" si="130"/>
        <v/>
      </c>
      <c r="AW295" s="52" t="str">
        <f t="shared" si="131"/>
        <v/>
      </c>
      <c r="AX295" s="52" t="str">
        <f t="shared" si="108"/>
        <v/>
      </c>
      <c r="AY295" s="52" t="str">
        <f t="shared" si="132"/>
        <v/>
      </c>
      <c r="AZ295" s="52"/>
      <c r="BA295" s="52"/>
      <c r="BB295" s="52"/>
      <c r="BC295" s="52"/>
      <c r="BD295" s="52"/>
      <c r="BE295" s="52"/>
      <c r="BF295" s="52"/>
      <c r="BG295" s="52"/>
      <c r="BH295" s="52"/>
      <c r="BI295" s="52"/>
      <c r="BJ295" s="52"/>
      <c r="BK295" s="52"/>
      <c r="BL295" s="52"/>
      <c r="BM295" s="52"/>
      <c r="BN295" s="52"/>
      <c r="BO295" s="52"/>
      <c r="BP295" s="52"/>
      <c r="BQ295" s="52"/>
      <c r="BR295" s="52"/>
      <c r="BS295" s="52"/>
      <c r="BT295" s="52"/>
      <c r="BU295" s="52"/>
      <c r="BV295" s="52"/>
      <c r="BW295" s="52"/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2"/>
      <c r="CI295" s="52"/>
      <c r="CJ295" s="52"/>
      <c r="CK295" s="52"/>
      <c r="CL295" s="52"/>
      <c r="CM295" s="52"/>
      <c r="CN295" s="52"/>
      <c r="CO295" s="52"/>
      <c r="CP295" s="52"/>
      <c r="CQ295" s="52"/>
      <c r="CR295" s="52"/>
      <c r="CS295" s="52"/>
      <c r="CT295" s="52"/>
      <c r="CU295" s="52"/>
      <c r="CV295" s="52"/>
      <c r="CW295" s="52"/>
      <c r="CX295" s="52"/>
      <c r="CY295" s="52"/>
      <c r="CZ295" s="52"/>
      <c r="DA295" s="52"/>
      <c r="DB295" s="52"/>
      <c r="DC295" s="52"/>
      <c r="DD295" s="52"/>
      <c r="DE295" s="52"/>
      <c r="DF295" s="52"/>
      <c r="DG295" s="52"/>
      <c r="DH295" s="52"/>
      <c r="DI295" s="52"/>
      <c r="DJ295" s="52"/>
      <c r="DK295" s="52"/>
      <c r="DL295" s="52"/>
      <c r="DM295" s="52"/>
      <c r="DN295" s="52"/>
      <c r="DO295" s="52"/>
      <c r="DP295" s="52"/>
      <c r="DQ295" s="52"/>
      <c r="DR295" s="52"/>
      <c r="DS295" s="52"/>
      <c r="DT295" s="52"/>
      <c r="DU295" s="52"/>
      <c r="DV295" s="52"/>
      <c r="DW295" s="52"/>
      <c r="DX295" s="52"/>
      <c r="DY295" s="52"/>
      <c r="DZ295" s="52"/>
      <c r="EA295" s="52"/>
      <c r="EB295" s="52"/>
      <c r="EC295" s="52"/>
      <c r="ED295" s="52"/>
      <c r="EE295" s="52"/>
      <c r="EF295" s="52"/>
      <c r="EG295" s="52"/>
      <c r="EH295" s="52"/>
      <c r="EI295" s="52"/>
      <c r="EJ295" s="52"/>
      <c r="EK295" s="52"/>
      <c r="EL295" s="52"/>
      <c r="EM295" s="52"/>
      <c r="EN295" s="52"/>
      <c r="EO295" s="52"/>
      <c r="EP295" s="52"/>
      <c r="EQ295" s="52"/>
      <c r="ER295" s="52"/>
      <c r="ES295" s="52"/>
      <c r="ET295" s="52"/>
      <c r="EU295" s="52"/>
      <c r="EV295" s="52"/>
      <c r="EW295" s="52"/>
      <c r="EX295" s="52"/>
      <c r="EY295" s="52"/>
      <c r="EZ295" s="52"/>
      <c r="FA295" s="52"/>
      <c r="FB295" s="52"/>
      <c r="FC295" s="52"/>
      <c r="FD295" s="52"/>
      <c r="FE295" s="52"/>
      <c r="FF295" s="52"/>
      <c r="FG295" s="13"/>
    </row>
    <row r="296" spans="1:163">
      <c r="A296" s="71"/>
      <c r="B296" s="70"/>
      <c r="C296" s="72"/>
      <c r="D296" s="73"/>
      <c r="E296" s="73"/>
      <c r="F296" s="73"/>
      <c r="G296" s="73"/>
      <c r="H296" s="73"/>
      <c r="I296" s="74"/>
      <c r="J296" s="74"/>
      <c r="K296" s="74"/>
      <c r="L296" s="73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5"/>
      <c r="Y296" s="70"/>
      <c r="Z296" s="12">
        <f t="shared" si="109"/>
        <v>0</v>
      </c>
      <c r="AA296" s="14">
        <f t="shared" si="107"/>
        <v>0</v>
      </c>
      <c r="AB296" s="6">
        <f t="shared" si="110"/>
        <v>0</v>
      </c>
      <c r="AC296" s="6">
        <f t="shared" si="111"/>
        <v>0</v>
      </c>
      <c r="AD296" s="6">
        <f t="shared" si="112"/>
        <v>0</v>
      </c>
      <c r="AE296" s="52" t="str">
        <f t="shared" si="113"/>
        <v/>
      </c>
      <c r="AF296" s="52" t="str">
        <f t="shared" si="114"/>
        <v/>
      </c>
      <c r="AG296" s="50" t="str">
        <f t="shared" si="115"/>
        <v/>
      </c>
      <c r="AH296" s="50" t="str">
        <f t="shared" si="116"/>
        <v/>
      </c>
      <c r="AI296" s="52" t="str">
        <f t="shared" si="117"/>
        <v/>
      </c>
      <c r="AJ296" s="52" t="str">
        <f t="shared" si="118"/>
        <v/>
      </c>
      <c r="AK296" s="52" t="str">
        <f t="shared" si="119"/>
        <v/>
      </c>
      <c r="AL296" s="52" t="str">
        <f t="shared" si="120"/>
        <v/>
      </c>
      <c r="AM296" s="52" t="str">
        <f t="shared" si="121"/>
        <v/>
      </c>
      <c r="AN296" s="52" t="str">
        <f t="shared" si="122"/>
        <v/>
      </c>
      <c r="AO296" s="52" t="str">
        <f t="shared" si="123"/>
        <v/>
      </c>
      <c r="AP296" s="52" t="str">
        <f t="shared" si="124"/>
        <v/>
      </c>
      <c r="AQ296" s="52" t="str">
        <f t="shared" si="125"/>
        <v/>
      </c>
      <c r="AR296" s="52" t="str">
        <f t="shared" si="126"/>
        <v/>
      </c>
      <c r="AS296" s="52" t="str">
        <f t="shared" si="127"/>
        <v/>
      </c>
      <c r="AT296" s="52" t="str">
        <f t="shared" si="128"/>
        <v/>
      </c>
      <c r="AU296" s="52" t="str">
        <f t="shared" si="129"/>
        <v/>
      </c>
      <c r="AV296" s="52" t="str">
        <f t="shared" si="130"/>
        <v/>
      </c>
      <c r="AW296" s="52" t="str">
        <f t="shared" si="131"/>
        <v/>
      </c>
      <c r="AX296" s="52" t="str">
        <f t="shared" si="108"/>
        <v/>
      </c>
      <c r="AY296" s="52" t="str">
        <f t="shared" si="132"/>
        <v/>
      </c>
      <c r="AZ296" s="52"/>
      <c r="BA296" s="52"/>
      <c r="BB296" s="52"/>
      <c r="BC296" s="52"/>
      <c r="BD296" s="52"/>
      <c r="BE296" s="52"/>
      <c r="BF296" s="52"/>
      <c r="BG296" s="52"/>
      <c r="BH296" s="52"/>
      <c r="BI296" s="52"/>
      <c r="BJ296" s="52"/>
      <c r="BK296" s="52"/>
      <c r="BL296" s="52"/>
      <c r="BM296" s="52"/>
      <c r="BN296" s="52"/>
      <c r="BO296" s="52"/>
      <c r="BP296" s="52"/>
      <c r="BQ296" s="52"/>
      <c r="BR296" s="52"/>
      <c r="BS296" s="52"/>
      <c r="BT296" s="52"/>
      <c r="BU296" s="52"/>
      <c r="BV296" s="52"/>
      <c r="BW296" s="52"/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2"/>
      <c r="CI296" s="52"/>
      <c r="CJ296" s="52"/>
      <c r="CK296" s="52"/>
      <c r="CL296" s="52"/>
      <c r="CM296" s="52"/>
      <c r="CN296" s="52"/>
      <c r="CO296" s="52"/>
      <c r="CP296" s="52"/>
      <c r="CQ296" s="52"/>
      <c r="CR296" s="52"/>
      <c r="CS296" s="52"/>
      <c r="CT296" s="52"/>
      <c r="CU296" s="52"/>
      <c r="CV296" s="52"/>
      <c r="CW296" s="52"/>
      <c r="CX296" s="52"/>
      <c r="CY296" s="52"/>
      <c r="CZ296" s="52"/>
      <c r="DA296" s="52"/>
      <c r="DB296" s="52"/>
      <c r="DC296" s="52"/>
      <c r="DD296" s="52"/>
      <c r="DE296" s="52"/>
      <c r="DF296" s="52"/>
      <c r="DG296" s="52"/>
      <c r="DH296" s="52"/>
      <c r="DI296" s="52"/>
      <c r="DJ296" s="52"/>
      <c r="DK296" s="52"/>
      <c r="DL296" s="52"/>
      <c r="DM296" s="52"/>
      <c r="DN296" s="52"/>
      <c r="DO296" s="52"/>
      <c r="DP296" s="52"/>
      <c r="DQ296" s="52"/>
      <c r="DR296" s="52"/>
      <c r="DS296" s="52"/>
      <c r="DT296" s="52"/>
      <c r="DU296" s="52"/>
      <c r="DV296" s="52"/>
      <c r="DW296" s="52"/>
      <c r="DX296" s="52"/>
      <c r="DY296" s="52"/>
      <c r="DZ296" s="52"/>
      <c r="EA296" s="52"/>
      <c r="EB296" s="52"/>
      <c r="EC296" s="52"/>
      <c r="ED296" s="52"/>
      <c r="EE296" s="52"/>
      <c r="EF296" s="52"/>
      <c r="EG296" s="52"/>
      <c r="EH296" s="52"/>
      <c r="EI296" s="52"/>
      <c r="EJ296" s="52"/>
      <c r="EK296" s="52"/>
      <c r="EL296" s="52"/>
      <c r="EM296" s="52"/>
      <c r="EN296" s="52"/>
      <c r="EO296" s="52"/>
      <c r="EP296" s="52"/>
      <c r="EQ296" s="52"/>
      <c r="ER296" s="52"/>
      <c r="ES296" s="52"/>
      <c r="ET296" s="52"/>
      <c r="EU296" s="52"/>
      <c r="EV296" s="52"/>
      <c r="EW296" s="52"/>
      <c r="EX296" s="52"/>
      <c r="EY296" s="52"/>
      <c r="EZ296" s="52"/>
      <c r="FA296" s="52"/>
      <c r="FB296" s="52"/>
      <c r="FC296" s="52"/>
      <c r="FD296" s="52"/>
      <c r="FE296" s="52"/>
      <c r="FF296" s="52"/>
      <c r="FG296" s="13"/>
    </row>
    <row r="297" spans="1:163">
      <c r="A297" s="71"/>
      <c r="B297" s="70"/>
      <c r="C297" s="72"/>
      <c r="D297" s="73"/>
      <c r="E297" s="73"/>
      <c r="F297" s="73"/>
      <c r="G297" s="73"/>
      <c r="H297" s="73"/>
      <c r="I297" s="74"/>
      <c r="J297" s="74"/>
      <c r="K297" s="74"/>
      <c r="L297" s="73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5"/>
      <c r="Y297" s="70"/>
      <c r="Z297" s="12">
        <f t="shared" si="109"/>
        <v>0</v>
      </c>
      <c r="AA297" s="14">
        <f t="shared" si="107"/>
        <v>0</v>
      </c>
      <c r="AB297" s="6">
        <f t="shared" si="110"/>
        <v>0</v>
      </c>
      <c r="AC297" s="6">
        <f t="shared" si="111"/>
        <v>0</v>
      </c>
      <c r="AD297" s="6">
        <f t="shared" si="112"/>
        <v>0</v>
      </c>
      <c r="AE297" s="52" t="str">
        <f t="shared" si="113"/>
        <v/>
      </c>
      <c r="AF297" s="52" t="str">
        <f t="shared" si="114"/>
        <v/>
      </c>
      <c r="AG297" s="50" t="str">
        <f t="shared" si="115"/>
        <v/>
      </c>
      <c r="AH297" s="50" t="str">
        <f t="shared" si="116"/>
        <v/>
      </c>
      <c r="AI297" s="52" t="str">
        <f t="shared" si="117"/>
        <v/>
      </c>
      <c r="AJ297" s="52" t="str">
        <f t="shared" si="118"/>
        <v/>
      </c>
      <c r="AK297" s="52" t="str">
        <f t="shared" si="119"/>
        <v/>
      </c>
      <c r="AL297" s="52" t="str">
        <f t="shared" si="120"/>
        <v/>
      </c>
      <c r="AM297" s="52" t="str">
        <f t="shared" si="121"/>
        <v/>
      </c>
      <c r="AN297" s="52" t="str">
        <f t="shared" si="122"/>
        <v/>
      </c>
      <c r="AO297" s="52" t="str">
        <f t="shared" si="123"/>
        <v/>
      </c>
      <c r="AP297" s="52" t="str">
        <f t="shared" si="124"/>
        <v/>
      </c>
      <c r="AQ297" s="52" t="str">
        <f t="shared" si="125"/>
        <v/>
      </c>
      <c r="AR297" s="52" t="str">
        <f t="shared" si="126"/>
        <v/>
      </c>
      <c r="AS297" s="52" t="str">
        <f t="shared" si="127"/>
        <v/>
      </c>
      <c r="AT297" s="52" t="str">
        <f t="shared" si="128"/>
        <v/>
      </c>
      <c r="AU297" s="52" t="str">
        <f t="shared" si="129"/>
        <v/>
      </c>
      <c r="AV297" s="52" t="str">
        <f t="shared" si="130"/>
        <v/>
      </c>
      <c r="AW297" s="52" t="str">
        <f t="shared" si="131"/>
        <v/>
      </c>
      <c r="AX297" s="52" t="str">
        <f t="shared" si="108"/>
        <v/>
      </c>
      <c r="AY297" s="52" t="str">
        <f t="shared" si="132"/>
        <v/>
      </c>
      <c r="AZ297" s="52"/>
      <c r="BA297" s="52"/>
      <c r="BB297" s="52"/>
      <c r="BC297" s="52"/>
      <c r="BD297" s="52"/>
      <c r="BE297" s="52"/>
      <c r="BF297" s="52"/>
      <c r="BG297" s="52"/>
      <c r="BH297" s="52"/>
      <c r="BI297" s="52"/>
      <c r="BJ297" s="52"/>
      <c r="BK297" s="52"/>
      <c r="BL297" s="52"/>
      <c r="BM297" s="52"/>
      <c r="BN297" s="52"/>
      <c r="BO297" s="52"/>
      <c r="BP297" s="52"/>
      <c r="BQ297" s="52"/>
      <c r="BR297" s="52"/>
      <c r="BS297" s="52"/>
      <c r="BT297" s="52"/>
      <c r="BU297" s="52"/>
      <c r="BV297" s="52"/>
      <c r="BW297" s="52"/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2"/>
      <c r="CI297" s="52"/>
      <c r="CJ297" s="52"/>
      <c r="CK297" s="52"/>
      <c r="CL297" s="52"/>
      <c r="CM297" s="52"/>
      <c r="CN297" s="52"/>
      <c r="CO297" s="52"/>
      <c r="CP297" s="52"/>
      <c r="CQ297" s="52"/>
      <c r="CR297" s="52"/>
      <c r="CS297" s="52"/>
      <c r="CT297" s="52"/>
      <c r="CU297" s="52"/>
      <c r="CV297" s="52"/>
      <c r="CW297" s="52"/>
      <c r="CX297" s="52"/>
      <c r="CY297" s="52"/>
      <c r="CZ297" s="52"/>
      <c r="DA297" s="52"/>
      <c r="DB297" s="52"/>
      <c r="DC297" s="52"/>
      <c r="DD297" s="52"/>
      <c r="DE297" s="52"/>
      <c r="DF297" s="52"/>
      <c r="DG297" s="52"/>
      <c r="DH297" s="52"/>
      <c r="DI297" s="52"/>
      <c r="DJ297" s="52"/>
      <c r="DK297" s="52"/>
      <c r="DL297" s="52"/>
      <c r="DM297" s="52"/>
      <c r="DN297" s="52"/>
      <c r="DO297" s="52"/>
      <c r="DP297" s="52"/>
      <c r="DQ297" s="52"/>
      <c r="DR297" s="52"/>
      <c r="DS297" s="52"/>
      <c r="DT297" s="52"/>
      <c r="DU297" s="52"/>
      <c r="DV297" s="52"/>
      <c r="DW297" s="52"/>
      <c r="DX297" s="52"/>
      <c r="DY297" s="52"/>
      <c r="DZ297" s="52"/>
      <c r="EA297" s="52"/>
      <c r="EB297" s="52"/>
      <c r="EC297" s="52"/>
      <c r="ED297" s="52"/>
      <c r="EE297" s="52"/>
      <c r="EF297" s="52"/>
      <c r="EG297" s="52"/>
      <c r="EH297" s="52"/>
      <c r="EI297" s="52"/>
      <c r="EJ297" s="52"/>
      <c r="EK297" s="52"/>
      <c r="EL297" s="52"/>
      <c r="EM297" s="52"/>
      <c r="EN297" s="52"/>
      <c r="EO297" s="52"/>
      <c r="EP297" s="52"/>
      <c r="EQ297" s="52"/>
      <c r="ER297" s="52"/>
      <c r="ES297" s="52"/>
      <c r="ET297" s="52"/>
      <c r="EU297" s="52"/>
      <c r="EV297" s="52"/>
      <c r="EW297" s="52"/>
      <c r="EX297" s="52"/>
      <c r="EY297" s="52"/>
      <c r="EZ297" s="52"/>
      <c r="FA297" s="52"/>
      <c r="FB297" s="52"/>
      <c r="FC297" s="52"/>
      <c r="FD297" s="52"/>
      <c r="FE297" s="52"/>
      <c r="FF297" s="52"/>
      <c r="FG297" s="13"/>
    </row>
    <row r="298" spans="1:163">
      <c r="D298" s="23"/>
      <c r="E298" s="23"/>
      <c r="F298" s="23"/>
      <c r="G298" s="23"/>
      <c r="H298" s="23"/>
      <c r="I298" s="3"/>
      <c r="J298" s="3"/>
      <c r="K298" s="3"/>
      <c r="L298" s="2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26"/>
      <c r="Y298" s="1"/>
      <c r="Z298" s="12">
        <f t="shared" si="109"/>
        <v>0</v>
      </c>
      <c r="AA298" s="14">
        <f t="shared" ref="AA298:AA318" si="133">IF(X298&lt;&gt;"",0.0001,IF(Y298+Z298=0,0,IF(Y298=0,70+(Z298*50),IF(Y298&gt;0,80+(Z298*50)))))</f>
        <v>0</v>
      </c>
      <c r="AB298" s="6">
        <f t="shared" ref="AB298:AB361" si="134">COUNTA(L298:W298)</f>
        <v>0</v>
      </c>
      <c r="AC298" s="6">
        <f t="shared" ref="AC298:AC361" si="135">COUNTA(L298:Q298)</f>
        <v>0</v>
      </c>
      <c r="AD298" s="6">
        <f t="shared" ref="AD298:AD361" si="136">COUNTA(R298:V298)</f>
        <v>0</v>
      </c>
      <c r="AE298" s="52" t="str">
        <f t="shared" ref="AE298:AE361" si="137">IF(AND(B298="Feminino",C298&gt;=$BA$2,C298&lt;=$BB$2),$BA$3,IF(AND(B298="Masculino",C298&gt;=$BA$2,C298&lt;=$BB$2),$BB$3,IF(AND(B298="Feminino",C298&gt;=$BC$2,C298&lt;=$BD$2),$BC$3,IF(AND(B298="Masculino",C298&gt;=$BC$2,C298&lt;=$BD$2),$BD$3,IF(AND(B298="Feminino",C298&gt;=$BE$2,C298&lt;=$BF$2),$BE$3,IF(AND(B298="Masculino",C298&gt;=$BE$2,C298&lt;=$BF$2),$BF$3,IF(AND(B298="Feminino",C298&gt;=$BG$2,C298&lt;=$BH$2),$BG$3,IF(AND(B298="Masculino",C298&gt;=$BG$2,C298&lt;=$BH$2),$BH$3,""))))))))</f>
        <v/>
      </c>
      <c r="AF298" s="52" t="str">
        <f t="shared" ref="AF298:AF361" si="138">IF(AND(B298="Feminino",C298&gt;=$BE$2,C298&lt;=$BF$2),$BI$3,IF(AND(B298="Masculino",C298&gt;=$BE$2,C298&lt;=$BF$2),$BJ$3,IF(AND(B298="Feminino",C298&lt;=$BH$2),$BK$3,IF(AND(B298="Masculino",C298&lt;=$BH$2),$BL$3,""))))</f>
        <v/>
      </c>
      <c r="AG298" s="50" t="str">
        <f t="shared" si="115"/>
        <v/>
      </c>
      <c r="AH298" s="50" t="str">
        <f t="shared" si="116"/>
        <v/>
      </c>
      <c r="AI298" s="52" t="str">
        <f t="shared" ref="AI298:AI361" si="139">IF(C298="","",IF(C298&gt;=$BQ$2,$BQ$3,IF(AND(C298&gt;=$BR$1,C298&lt;=$BR$2),$BR$3,IF(AND(C298&gt;=$BS$1,C298&lt;=$BS$2),$BS$3,IF(AND(C298&gt;=$BT$1,C298&lt;=$BT$2),$BT$3,IF(AND(C298&gt;=$BU$1,C298&lt;=$BU$2),$BU$3,IF(C298&lt;=$BV$2,$BV$3,"")))))))</f>
        <v/>
      </c>
      <c r="AJ298" s="52" t="str">
        <f t="shared" ref="AJ298:AJ361" si="140">IF(C298="","",IF(C298&gt;=$BQ$2,$BW$3,IF(AND(C298&gt;=$BR$1,C298&lt;=$BR$2),$BX$3,IF(AND(C298&gt;=$BS$1,C298&lt;=$BS$2),$BY$3,IF(AND(C298&gt;=$BT$1,C298&lt;=$BT$2),$BZ$3,IF(AND(C298&gt;=$BU$1,C298&lt;=$BU$2),$CA$3,IF(C298&lt;=$BV$2,$CB$3,"")))))))</f>
        <v/>
      </c>
      <c r="AK298" s="52" t="str">
        <f t="shared" ref="AK298:AK361" si="141">IF(C298="","",IF(C298&gt;=$BQ$2,$CC$3,IF(AND(C298&gt;=$BR$1,C298&lt;=$BR$2),$CD$3,IF(AND(C298&gt;=$BS$1,C298&lt;=$BS$2),$CE$3,IF(AND(C298&gt;=$BT$1,C298&lt;=$BT$2),$CF$3,IF(AND(C298&gt;=$BU$1,C298&lt;=$BU$2),$CG$3,IF(C298&lt;=$BV$2,$CH$3,"")))))))</f>
        <v/>
      </c>
      <c r="AL298" s="52" t="str">
        <f t="shared" ref="AL298:AL361" si="142">IF(C298="","",IF(AND(C298&gt;=$BT$1,C298&lt;=$BT$2),$CI$3,IF(AND(C298&gt;=$BU$1,C298&lt;=$BU$2),$CJ$3,IF(C298&lt;=$BV$2,$CK$3,""))))</f>
        <v/>
      </c>
      <c r="AM298" s="52" t="str">
        <f t="shared" ref="AM298:AM361" si="143">IF(C298="","",IF(AB298&gt;=3,"",IF(AC298&gt;=2,"",IF(C298&gt;=$CL$2,$CL$3,IF(AND(C298&gt;=$CM$1,C298&lt;=$CM$2),$CM$3,IF(AND(C298&gt;=$CN$1,C298&lt;=$CN$2),$CN$3,IF(AND(C298&gt;=$CO$1,C298&lt;=$CO$2),$CO$3,IF(AND(C298&gt;=$CP$1,C298&lt;=$CP$2),$CP$3,IF(C298&lt;=$CQ$2,$CQ$3,"")))))))))</f>
        <v/>
      </c>
      <c r="AN298" s="52" t="str">
        <f t="shared" ref="AN298:AN361" si="144">IF(C298="","",IF(AB298&gt;=3,"",IF(AC298&gt;=2,"",IF(C298&gt;=$CL$2,$CR$3,IF(AND(C298&gt;=$CM$1,C298&lt;=$CM$2),$CS$3,IF(AND(C298&gt;=$CN$1,C298&lt;=$CN$2),$CT$3,IF(AND(C298&gt;=$CO$1,C298&lt;=$CO$2),$CU$3,IF(AND(C298&gt;=$CP$1,C298&lt;=$CP$2),$CV$3,IF(C298&lt;=$CQ$2,$CW$3,"")))))))))</f>
        <v/>
      </c>
      <c r="AO298" s="52" t="str">
        <f t="shared" ref="AO298:AO361" si="145">IF(C298="","",IF(AB298&gt;=3,"",IF(AC298&gt;=2,"",IF(C298&gt;=$CL$2,$CX$3,IF(AND(C298&gt;=$CM$1,C298&lt;=$CM$2),$CY$3,IF(AND(C298&gt;=$CN$1,C298&lt;=$CN$2),$CZ$3,IF(AND(C298&gt;=$CO$1,C298&lt;=$CO$2),$DA$3,IF(AND(C298&gt;=$CP$1,C298&lt;=$CP$2),$DB$3,IF(C298&lt;=$CQ$2,$DC$3,"")))))))))</f>
        <v/>
      </c>
      <c r="AP298" s="52" t="str">
        <f t="shared" ref="AP298:AP361" si="146">IF(C298="","",IF(AB298&gt;=3,"",IF(AC298&gt;=2,"",IF(C298&gt;=$CL$2,$DD$3,IF(AND(C298&gt;=$CM$1,C298&lt;=$CM$2),$DE$3,IF(AND(C298&gt;=$CN$1,C298&lt;=$CN$2),$DF$3,IF(AND(C298&gt;=$CO$1,C298&lt;=$CO$2),$DG$3,IF(AND(C298&gt;=$CP$1,C298&lt;=$CP$2),$DH$3,IF(C298&lt;=$CQ$2,$DI$3,"")))))))))</f>
        <v/>
      </c>
      <c r="AQ298" s="52" t="str">
        <f t="shared" ref="AQ298:AQ361" si="147">IF(C298="","",IF(AB298&gt;=3,"",IF(AC298&gt;=2,"",IF(C298&gt;=$CL$2,$DJ$3,IF(AND(C298&gt;=$CM$1,C298&lt;=$CM$2),$DK$3,IF(AND(C298&gt;=$CN$1,C298&lt;=$CN$2),$DL$3,IF(AND(C298&gt;=$CO$1,C298&lt;=$CO$2),$DM$3,IF(AND(C298&gt;=$CP$1,C298&lt;=$CP$2),$DN$3,IF(C298&lt;=$CQ$2,$DO$3,"")))))))))</f>
        <v/>
      </c>
      <c r="AR298" s="52" t="str">
        <f t="shared" ref="AR298:AR361" si="148">IF(C298="","",IF(AB298&gt;=3,"",IF(AC298&gt;=2,"",IF(C298&gt;=$CL$2,$DP$3,IF(AND(C298&gt;=$CM$1,C298&lt;=$CM$2),$DQ$3,IF(AND(C298&gt;=$CN$1,C298&lt;=$CN$2),$DR$3,IF(AND(C298&gt;=$CO$1,C298&lt;=$CO$2),$DS$3,IF(AND(C298&gt;=$CP$1,C298&lt;=$CP$2),$DT$3,IF(C298&lt;=$CQ$2,$DU$3,"")))))))))</f>
        <v/>
      </c>
      <c r="AS298" s="52" t="str">
        <f t="shared" ref="AS298:AS361" si="149">IF(C298="","",IF(AB298&gt;=3,"",IF(AD298&gt;=2,"",IF(C298&gt;=$CL$2,$DV$3,IF(AND(C298&gt;=$CM$1,C298&lt;=$CM$2),$DW$3,IF(AND(C298&gt;=$CN$1,C298&lt;=$CN$2),$DX$3,IF(AND(C298&gt;=$CO$1,C298&lt;=$CO$2),$DY$3,IF(AND(C298&gt;=$CP$1,C298&lt;=$CP$2),$DZ$3,IF(C298&lt;=$CQ$2,$EA$3,"")))))))))</f>
        <v/>
      </c>
      <c r="AT298" s="52" t="str">
        <f t="shared" ref="AT298:AT361" si="150">IF(C298="","",IF(AB298&gt;=3,"",IF(AD298&gt;=2,"",IF(C298&gt;=$CL$2,$EB$3,IF(AND(C298&gt;=$CM$1,C298&lt;=$CM$2),$EC$3,IF(AND(C298&gt;=$CN$1,C298&lt;=$CN$2),$ED$3,IF(AND(C298&gt;=$CO$1,C298&lt;=$CO$2),$EE$3,IF(AND(C298&gt;=$CP$1,C298&lt;=$CP$2),$EF$3,IF(C298&lt;=$CQ$2,$EG$3,"")))))))))</f>
        <v/>
      </c>
      <c r="AU298" s="52" t="str">
        <f t="shared" ref="AU298:AU361" si="151">IF(C298="","",IF(AB298&gt;=3,"",IF(AD298&gt;=2,"",IF(C298&gt;=$CL$2,$EH$3,IF(AND(C298&gt;=$CM$1,C298&lt;=$CM$2),$EI$3,IF(AND(C298&gt;=$CN$1,C298&lt;=$CN$2),$EJ$3,IF(AND(C298&gt;=$CO$1,C298&lt;=$CO$2),$EK$3,IF(AND(C298&gt;=$CP$1,C298&lt;=$CP$2),$EL$3,IF(C298&lt;=$CQ$2,$EM$3,"")))))))))</f>
        <v/>
      </c>
      <c r="AV298" s="52" t="str">
        <f t="shared" ref="AV298:AV361" si="152">IF(C298="","",IF(AB298&gt;=3,"",IF(AD298&gt;=2,"",IF(C298&gt;=$CL$2,$EN$3,IF(AND(C298&gt;=$CM$1,C298&lt;=$CM$2),$EO$3,IF(AND(C298&gt;=$CN$1,C298&lt;=$CN$2),$EP$3,IF(AND(C298&gt;=$CO$1,C298&lt;=$CO$2),$EQ$3,IF(AND(C298&gt;=$CP$1,C298&lt;=$CP$2),$ER$3,IF(C298&lt;=$CQ$2,$ES$3,"")))))))))</f>
        <v/>
      </c>
      <c r="AW298" s="52" t="str">
        <f t="shared" ref="AW298:AW361" si="153">IF(C298="","",IF(AB298&gt;=3,"",IF(AD298&gt;=2,"",IF(C298&gt;=$CL$2,$ET$3,IF(AND(C298&gt;=$CM$1,C298&lt;=$CM$2),$EU$3,IF(AND(C298&gt;=$CN$1,C298&lt;=$CN$2),$EV$3,IF(AND(C298&gt;=$CO$1,C298&lt;=$CO$2),$EW$3,IF(AND(C298&gt;=$CP$1,C298&lt;=$CP$2),$EX$3,IF(C298&lt;=$CQ$2,$EY$3,"")))))))))</f>
        <v/>
      </c>
      <c r="AX298" s="52" t="str">
        <f t="shared" ref="AX298:AX361" si="154">IF(C298="","",IF(AB298&gt;=3,"",IF(AD298&gt;=2,"",IF(C298&gt;=$CL$2,$EZ$3,IF(AND(C298&gt;=$CM$1,C298&lt;=$CM$2),$FA$3,IF(AND(C298&gt;=$CN$1,C298&lt;=$CN$2),$FB$3,IF(AND(C298&gt;=$CO$1,C298&lt;=$CO$2),$FC$3,IF(AND(C298&gt;=$CP$1,C298&lt;=$CP$2),$FD$3,IF(C298&lt;=$CQ$2,$FE$3,"")))))))))</f>
        <v/>
      </c>
      <c r="AY298" s="52" t="str">
        <f t="shared" si="132"/>
        <v/>
      </c>
      <c r="AZ298" s="52"/>
      <c r="BA298" s="52"/>
      <c r="BB298" s="52"/>
      <c r="BC298" s="52"/>
      <c r="BD298" s="52"/>
      <c r="BE298" s="52"/>
      <c r="BF298" s="52"/>
      <c r="BG298" s="52"/>
      <c r="BH298" s="52"/>
      <c r="BI298" s="52"/>
      <c r="BJ298" s="52"/>
      <c r="BK298" s="52"/>
      <c r="BL298" s="52"/>
      <c r="BM298" s="52"/>
      <c r="BN298" s="52"/>
      <c r="BO298" s="52"/>
      <c r="BP298" s="52"/>
      <c r="BQ298" s="52"/>
      <c r="BR298" s="52"/>
      <c r="BS298" s="52"/>
      <c r="BT298" s="52"/>
      <c r="BU298" s="52"/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2"/>
      <c r="CI298" s="52"/>
      <c r="CJ298" s="52"/>
      <c r="CK298" s="52"/>
      <c r="CL298" s="52"/>
      <c r="CM298" s="52"/>
      <c r="CN298" s="52"/>
      <c r="CO298" s="52"/>
      <c r="CP298" s="52"/>
      <c r="CQ298" s="52"/>
      <c r="CR298" s="52"/>
      <c r="CS298" s="52"/>
      <c r="CT298" s="52"/>
      <c r="CU298" s="52"/>
      <c r="CV298" s="52"/>
      <c r="CW298" s="52"/>
      <c r="CX298" s="52"/>
      <c r="CY298" s="52"/>
      <c r="CZ298" s="52"/>
      <c r="DA298" s="52"/>
      <c r="DB298" s="52"/>
      <c r="DC298" s="52"/>
      <c r="DD298" s="52"/>
      <c r="DE298" s="52"/>
      <c r="DF298" s="52"/>
      <c r="DG298" s="52"/>
      <c r="DH298" s="52"/>
      <c r="DI298" s="52"/>
      <c r="DJ298" s="52"/>
      <c r="DK298" s="52"/>
      <c r="DL298" s="52"/>
      <c r="DM298" s="52"/>
      <c r="DN298" s="52"/>
      <c r="DO298" s="52"/>
      <c r="DP298" s="52"/>
      <c r="DQ298" s="52"/>
      <c r="DR298" s="52"/>
      <c r="DS298" s="52"/>
      <c r="DT298" s="52"/>
      <c r="DU298" s="52"/>
      <c r="DV298" s="52"/>
      <c r="DW298" s="52"/>
      <c r="DX298" s="52"/>
      <c r="DY298" s="52"/>
      <c r="DZ298" s="52"/>
      <c r="EA298" s="52"/>
      <c r="EB298" s="52"/>
      <c r="EC298" s="52"/>
      <c r="ED298" s="52"/>
      <c r="EE298" s="52"/>
      <c r="EF298" s="52"/>
      <c r="EG298" s="52"/>
      <c r="EH298" s="52"/>
      <c r="EI298" s="52"/>
      <c r="EJ298" s="52"/>
      <c r="EK298" s="52"/>
      <c r="EL298" s="52"/>
      <c r="EM298" s="52"/>
      <c r="EN298" s="52"/>
      <c r="EO298" s="52"/>
      <c r="EP298" s="52"/>
      <c r="EQ298" s="52"/>
      <c r="ER298" s="52"/>
      <c r="ES298" s="52"/>
      <c r="ET298" s="52"/>
      <c r="EU298" s="52"/>
      <c r="EV298" s="52"/>
      <c r="EW298" s="52"/>
      <c r="EX298" s="52"/>
      <c r="EY298" s="52"/>
      <c r="EZ298" s="52"/>
      <c r="FA298" s="52"/>
      <c r="FB298" s="52"/>
      <c r="FC298" s="52"/>
      <c r="FD298" s="52"/>
      <c r="FE298" s="52"/>
      <c r="FF298" s="52"/>
      <c r="FG298" s="13"/>
    </row>
    <row r="299" spans="1:163">
      <c r="D299" s="23"/>
      <c r="E299" s="23"/>
      <c r="F299" s="23"/>
      <c r="G299" s="23"/>
      <c r="H299" s="23"/>
      <c r="I299" s="3"/>
      <c r="J299" s="3"/>
      <c r="K299" s="3"/>
      <c r="L299" s="2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26"/>
      <c r="Y299" s="1"/>
      <c r="Z299" s="12">
        <f t="shared" si="109"/>
        <v>0</v>
      </c>
      <c r="AA299" s="14">
        <f t="shared" si="133"/>
        <v>0</v>
      </c>
      <c r="AB299" s="6">
        <f t="shared" si="134"/>
        <v>0</v>
      </c>
      <c r="AC299" s="6">
        <f t="shared" si="135"/>
        <v>0</v>
      </c>
      <c r="AD299" s="6">
        <f t="shared" si="136"/>
        <v>0</v>
      </c>
      <c r="AE299" s="52" t="str">
        <f t="shared" si="137"/>
        <v/>
      </c>
      <c r="AF299" s="52" t="str">
        <f t="shared" si="138"/>
        <v/>
      </c>
      <c r="AG299" s="50" t="str">
        <f t="shared" si="115"/>
        <v/>
      </c>
      <c r="AH299" s="50" t="str">
        <f t="shared" si="116"/>
        <v/>
      </c>
      <c r="AI299" s="52" t="str">
        <f t="shared" si="139"/>
        <v/>
      </c>
      <c r="AJ299" s="52" t="str">
        <f t="shared" si="140"/>
        <v/>
      </c>
      <c r="AK299" s="52" t="str">
        <f t="shared" si="141"/>
        <v/>
      </c>
      <c r="AL299" s="52" t="str">
        <f t="shared" si="142"/>
        <v/>
      </c>
      <c r="AM299" s="52" t="str">
        <f t="shared" si="143"/>
        <v/>
      </c>
      <c r="AN299" s="52" t="str">
        <f t="shared" si="144"/>
        <v/>
      </c>
      <c r="AO299" s="52" t="str">
        <f t="shared" si="145"/>
        <v/>
      </c>
      <c r="AP299" s="52" t="str">
        <f t="shared" si="146"/>
        <v/>
      </c>
      <c r="AQ299" s="52" t="str">
        <f t="shared" si="147"/>
        <v/>
      </c>
      <c r="AR299" s="52" t="str">
        <f t="shared" si="148"/>
        <v/>
      </c>
      <c r="AS299" s="52" t="str">
        <f t="shared" si="149"/>
        <v/>
      </c>
      <c r="AT299" s="52" t="str">
        <f t="shared" si="150"/>
        <v/>
      </c>
      <c r="AU299" s="52" t="str">
        <f t="shared" si="151"/>
        <v/>
      </c>
      <c r="AV299" s="52" t="str">
        <f t="shared" si="152"/>
        <v/>
      </c>
      <c r="AW299" s="52" t="str">
        <f t="shared" si="153"/>
        <v/>
      </c>
      <c r="AX299" s="52" t="str">
        <f t="shared" si="154"/>
        <v/>
      </c>
      <c r="AY299" s="52" t="str">
        <f t="shared" si="132"/>
        <v/>
      </c>
      <c r="AZ299" s="52"/>
      <c r="BA299" s="52"/>
      <c r="BB299" s="52"/>
      <c r="BC299" s="52"/>
      <c r="BD299" s="52"/>
      <c r="BE299" s="52"/>
      <c r="BF299" s="52"/>
      <c r="BG299" s="52"/>
      <c r="BH299" s="52"/>
      <c r="BI299" s="52"/>
      <c r="BJ299" s="52"/>
      <c r="BK299" s="52"/>
      <c r="BL299" s="52"/>
      <c r="BM299" s="52"/>
      <c r="BN299" s="52"/>
      <c r="BO299" s="52"/>
      <c r="BP299" s="52"/>
      <c r="BQ299" s="52"/>
      <c r="BR299" s="52"/>
      <c r="BS299" s="52"/>
      <c r="BT299" s="52"/>
      <c r="BU299" s="52"/>
      <c r="BV299" s="52"/>
      <c r="BW299" s="52"/>
      <c r="BX299" s="52"/>
      <c r="BY299" s="52"/>
      <c r="BZ299" s="52"/>
      <c r="CA299" s="52"/>
      <c r="CB299" s="52"/>
      <c r="CC299" s="52"/>
      <c r="CD299" s="52"/>
      <c r="CE299" s="52"/>
      <c r="CF299" s="52"/>
      <c r="CG299" s="52"/>
      <c r="CH299" s="52"/>
      <c r="CI299" s="52"/>
      <c r="CJ299" s="52"/>
      <c r="CK299" s="52"/>
      <c r="CL299" s="52"/>
      <c r="CM299" s="52"/>
      <c r="CN299" s="52"/>
      <c r="CO299" s="52"/>
      <c r="CP299" s="52"/>
      <c r="CQ299" s="52"/>
      <c r="CR299" s="52"/>
      <c r="CS299" s="52"/>
      <c r="CT299" s="52"/>
      <c r="CU299" s="52"/>
      <c r="CV299" s="52"/>
      <c r="CW299" s="52"/>
      <c r="CX299" s="52"/>
      <c r="CY299" s="52"/>
      <c r="CZ299" s="52"/>
      <c r="DA299" s="52"/>
      <c r="DB299" s="52"/>
      <c r="DC299" s="52"/>
      <c r="DD299" s="52"/>
      <c r="DE299" s="52"/>
      <c r="DF299" s="52"/>
      <c r="DG299" s="52"/>
      <c r="DH299" s="52"/>
      <c r="DI299" s="52"/>
      <c r="DJ299" s="52"/>
      <c r="DK299" s="52"/>
      <c r="DL299" s="52"/>
      <c r="DM299" s="52"/>
      <c r="DN299" s="52"/>
      <c r="DO299" s="52"/>
      <c r="DP299" s="52"/>
      <c r="DQ299" s="52"/>
      <c r="DR299" s="52"/>
      <c r="DS299" s="52"/>
      <c r="DT299" s="52"/>
      <c r="DU299" s="52"/>
      <c r="DV299" s="52"/>
      <c r="DW299" s="52"/>
      <c r="DX299" s="52"/>
      <c r="DY299" s="52"/>
      <c r="DZ299" s="52"/>
      <c r="EA299" s="52"/>
      <c r="EB299" s="52"/>
      <c r="EC299" s="52"/>
      <c r="ED299" s="52"/>
      <c r="EE299" s="52"/>
      <c r="EF299" s="52"/>
      <c r="EG299" s="52"/>
      <c r="EH299" s="52"/>
      <c r="EI299" s="52"/>
      <c r="EJ299" s="52"/>
      <c r="EK299" s="52"/>
      <c r="EL299" s="52"/>
      <c r="EM299" s="52"/>
      <c r="EN299" s="52"/>
      <c r="EO299" s="52"/>
      <c r="EP299" s="52"/>
      <c r="EQ299" s="52"/>
      <c r="ER299" s="52"/>
      <c r="ES299" s="52"/>
      <c r="ET299" s="52"/>
      <c r="EU299" s="52"/>
      <c r="EV299" s="52"/>
      <c r="EW299" s="52"/>
      <c r="EX299" s="52"/>
      <c r="EY299" s="52"/>
      <c r="EZ299" s="52"/>
      <c r="FA299" s="52"/>
      <c r="FB299" s="52"/>
      <c r="FC299" s="52"/>
      <c r="FD299" s="52"/>
      <c r="FE299" s="52"/>
      <c r="FF299" s="52"/>
      <c r="FG299" s="13"/>
    </row>
    <row r="300" spans="1:163">
      <c r="D300" s="23"/>
      <c r="E300" s="23"/>
      <c r="F300" s="23"/>
      <c r="G300" s="23"/>
      <c r="H300" s="23"/>
      <c r="I300" s="3"/>
      <c r="J300" s="3"/>
      <c r="K300" s="3"/>
      <c r="L300" s="2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26"/>
      <c r="Y300" s="1"/>
      <c r="Z300" s="12">
        <f t="shared" si="109"/>
        <v>0</v>
      </c>
      <c r="AA300" s="14">
        <f t="shared" si="133"/>
        <v>0</v>
      </c>
      <c r="AB300" s="6">
        <f t="shared" si="134"/>
        <v>0</v>
      </c>
      <c r="AC300" s="6">
        <f t="shared" si="135"/>
        <v>0</v>
      </c>
      <c r="AD300" s="6">
        <f t="shared" si="136"/>
        <v>0</v>
      </c>
      <c r="AE300" s="52" t="str">
        <f t="shared" si="137"/>
        <v/>
      </c>
      <c r="AF300" s="52" t="str">
        <f t="shared" si="138"/>
        <v/>
      </c>
      <c r="AG300" s="50" t="str">
        <f t="shared" si="115"/>
        <v/>
      </c>
      <c r="AH300" s="50" t="str">
        <f t="shared" si="116"/>
        <v/>
      </c>
      <c r="AI300" s="52" t="str">
        <f t="shared" si="139"/>
        <v/>
      </c>
      <c r="AJ300" s="52" t="str">
        <f t="shared" si="140"/>
        <v/>
      </c>
      <c r="AK300" s="52" t="str">
        <f t="shared" si="141"/>
        <v/>
      </c>
      <c r="AL300" s="52" t="str">
        <f t="shared" si="142"/>
        <v/>
      </c>
      <c r="AM300" s="52" t="str">
        <f t="shared" si="143"/>
        <v/>
      </c>
      <c r="AN300" s="52" t="str">
        <f t="shared" si="144"/>
        <v/>
      </c>
      <c r="AO300" s="52" t="str">
        <f t="shared" si="145"/>
        <v/>
      </c>
      <c r="AP300" s="52" t="str">
        <f t="shared" si="146"/>
        <v/>
      </c>
      <c r="AQ300" s="52" t="str">
        <f t="shared" si="147"/>
        <v/>
      </c>
      <c r="AR300" s="52" t="str">
        <f t="shared" si="148"/>
        <v/>
      </c>
      <c r="AS300" s="52" t="str">
        <f t="shared" si="149"/>
        <v/>
      </c>
      <c r="AT300" s="52" t="str">
        <f t="shared" si="150"/>
        <v/>
      </c>
      <c r="AU300" s="52" t="str">
        <f t="shared" si="151"/>
        <v/>
      </c>
      <c r="AV300" s="52" t="str">
        <f t="shared" si="152"/>
        <v/>
      </c>
      <c r="AW300" s="52" t="str">
        <f t="shared" si="153"/>
        <v/>
      </c>
      <c r="AX300" s="52" t="str">
        <f t="shared" si="154"/>
        <v/>
      </c>
      <c r="AY300" s="52" t="str">
        <f t="shared" si="132"/>
        <v/>
      </c>
    </row>
    <row r="301" spans="1:163">
      <c r="D301" s="23"/>
      <c r="E301" s="23"/>
      <c r="F301" s="23"/>
      <c r="G301" s="23"/>
      <c r="H301" s="23"/>
      <c r="I301" s="3"/>
      <c r="J301" s="3"/>
      <c r="K301" s="3"/>
      <c r="L301" s="2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26"/>
      <c r="Y301" s="1"/>
      <c r="Z301" s="12">
        <f t="shared" si="109"/>
        <v>0</v>
      </c>
      <c r="AA301" s="14">
        <f t="shared" si="133"/>
        <v>0</v>
      </c>
      <c r="AB301" s="6">
        <f t="shared" si="134"/>
        <v>0</v>
      </c>
      <c r="AC301" s="6">
        <f t="shared" si="135"/>
        <v>0</v>
      </c>
      <c r="AD301" s="6">
        <f t="shared" si="136"/>
        <v>0</v>
      </c>
      <c r="AE301" s="52" t="str">
        <f t="shared" si="137"/>
        <v/>
      </c>
      <c r="AF301" s="52" t="str">
        <f t="shared" si="138"/>
        <v/>
      </c>
      <c r="AG301" s="50" t="str">
        <f t="shared" si="115"/>
        <v/>
      </c>
      <c r="AH301" s="50" t="str">
        <f t="shared" si="116"/>
        <v/>
      </c>
      <c r="AI301" s="52" t="str">
        <f t="shared" si="139"/>
        <v/>
      </c>
      <c r="AJ301" s="52" t="str">
        <f t="shared" si="140"/>
        <v/>
      </c>
      <c r="AK301" s="52" t="str">
        <f t="shared" si="141"/>
        <v/>
      </c>
      <c r="AL301" s="52" t="str">
        <f t="shared" si="142"/>
        <v/>
      </c>
      <c r="AM301" s="52" t="str">
        <f t="shared" si="143"/>
        <v/>
      </c>
      <c r="AN301" s="52" t="str">
        <f t="shared" si="144"/>
        <v/>
      </c>
      <c r="AO301" s="52" t="str">
        <f t="shared" si="145"/>
        <v/>
      </c>
      <c r="AP301" s="52" t="str">
        <f t="shared" si="146"/>
        <v/>
      </c>
      <c r="AQ301" s="52" t="str">
        <f t="shared" si="147"/>
        <v/>
      </c>
      <c r="AR301" s="52" t="str">
        <f t="shared" si="148"/>
        <v/>
      </c>
      <c r="AS301" s="52" t="str">
        <f t="shared" si="149"/>
        <v/>
      </c>
      <c r="AT301" s="52" t="str">
        <f t="shared" si="150"/>
        <v/>
      </c>
      <c r="AU301" s="52" t="str">
        <f t="shared" si="151"/>
        <v/>
      </c>
      <c r="AV301" s="52" t="str">
        <f t="shared" si="152"/>
        <v/>
      </c>
      <c r="AW301" s="52" t="str">
        <f t="shared" si="153"/>
        <v/>
      </c>
      <c r="AX301" s="52" t="str">
        <f t="shared" si="154"/>
        <v/>
      </c>
      <c r="AY301" s="52" t="str">
        <f t="shared" si="132"/>
        <v/>
      </c>
    </row>
    <row r="302" spans="1:163">
      <c r="D302" s="23"/>
      <c r="E302" s="23"/>
      <c r="F302" s="23"/>
      <c r="G302" s="23"/>
      <c r="H302" s="23"/>
      <c r="I302" s="3"/>
      <c r="J302" s="3"/>
      <c r="K302" s="3"/>
      <c r="L302" s="2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26"/>
      <c r="Y302" s="1"/>
      <c r="Z302" s="12">
        <f t="shared" si="109"/>
        <v>0</v>
      </c>
      <c r="AA302" s="14">
        <f t="shared" si="133"/>
        <v>0</v>
      </c>
      <c r="AB302" s="6">
        <f t="shared" si="134"/>
        <v>0</v>
      </c>
      <c r="AC302" s="6">
        <f t="shared" si="135"/>
        <v>0</v>
      </c>
      <c r="AD302" s="6">
        <f t="shared" si="136"/>
        <v>0</v>
      </c>
      <c r="AE302" s="52" t="str">
        <f t="shared" si="137"/>
        <v/>
      </c>
      <c r="AF302" s="52" t="str">
        <f t="shared" si="138"/>
        <v/>
      </c>
      <c r="AG302" s="50" t="str">
        <f t="shared" si="115"/>
        <v/>
      </c>
      <c r="AH302" s="50" t="str">
        <f t="shared" si="116"/>
        <v/>
      </c>
      <c r="AI302" s="52" t="str">
        <f t="shared" si="139"/>
        <v/>
      </c>
      <c r="AJ302" s="52" t="str">
        <f t="shared" si="140"/>
        <v/>
      </c>
      <c r="AK302" s="52" t="str">
        <f t="shared" si="141"/>
        <v/>
      </c>
      <c r="AL302" s="52" t="str">
        <f t="shared" si="142"/>
        <v/>
      </c>
      <c r="AM302" s="52" t="str">
        <f t="shared" si="143"/>
        <v/>
      </c>
      <c r="AN302" s="52" t="str">
        <f t="shared" si="144"/>
        <v/>
      </c>
      <c r="AO302" s="52" t="str">
        <f t="shared" si="145"/>
        <v/>
      </c>
      <c r="AP302" s="52" t="str">
        <f t="shared" si="146"/>
        <v/>
      </c>
      <c r="AQ302" s="52" t="str">
        <f t="shared" si="147"/>
        <v/>
      </c>
      <c r="AR302" s="52" t="str">
        <f t="shared" si="148"/>
        <v/>
      </c>
      <c r="AS302" s="52" t="str">
        <f t="shared" si="149"/>
        <v/>
      </c>
      <c r="AT302" s="52" t="str">
        <f t="shared" si="150"/>
        <v/>
      </c>
      <c r="AU302" s="52" t="str">
        <f t="shared" si="151"/>
        <v/>
      </c>
      <c r="AV302" s="52" t="str">
        <f t="shared" si="152"/>
        <v/>
      </c>
      <c r="AW302" s="52" t="str">
        <f t="shared" si="153"/>
        <v/>
      </c>
      <c r="AX302" s="52" t="str">
        <f t="shared" si="154"/>
        <v/>
      </c>
      <c r="AY302" s="52" t="str">
        <f t="shared" si="132"/>
        <v/>
      </c>
    </row>
    <row r="303" spans="1:163">
      <c r="D303" s="23"/>
      <c r="E303" s="23"/>
      <c r="F303" s="23"/>
      <c r="G303" s="23"/>
      <c r="H303" s="23"/>
      <c r="I303" s="3"/>
      <c r="J303" s="3"/>
      <c r="K303" s="3"/>
      <c r="L303" s="2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26"/>
      <c r="Y303" s="1"/>
      <c r="Z303" s="12">
        <f t="shared" si="109"/>
        <v>0</v>
      </c>
      <c r="AA303" s="14">
        <f t="shared" si="133"/>
        <v>0</v>
      </c>
      <c r="AB303" s="6">
        <f t="shared" si="134"/>
        <v>0</v>
      </c>
      <c r="AC303" s="6">
        <f t="shared" si="135"/>
        <v>0</v>
      </c>
      <c r="AD303" s="6">
        <f t="shared" si="136"/>
        <v>0</v>
      </c>
      <c r="AE303" s="52" t="str">
        <f t="shared" si="137"/>
        <v/>
      </c>
      <c r="AF303" s="52" t="str">
        <f t="shared" si="138"/>
        <v/>
      </c>
      <c r="AG303" s="50" t="str">
        <f t="shared" si="115"/>
        <v/>
      </c>
      <c r="AH303" s="50" t="str">
        <f t="shared" si="116"/>
        <v/>
      </c>
      <c r="AI303" s="52" t="str">
        <f t="shared" si="139"/>
        <v/>
      </c>
      <c r="AJ303" s="52" t="str">
        <f t="shared" si="140"/>
        <v/>
      </c>
      <c r="AK303" s="52" t="str">
        <f t="shared" si="141"/>
        <v/>
      </c>
      <c r="AL303" s="52" t="str">
        <f t="shared" si="142"/>
        <v/>
      </c>
      <c r="AM303" s="52" t="str">
        <f t="shared" si="143"/>
        <v/>
      </c>
      <c r="AN303" s="52" t="str">
        <f t="shared" si="144"/>
        <v/>
      </c>
      <c r="AO303" s="52" t="str">
        <f t="shared" si="145"/>
        <v/>
      </c>
      <c r="AP303" s="52" t="str">
        <f t="shared" si="146"/>
        <v/>
      </c>
      <c r="AQ303" s="52" t="str">
        <f t="shared" si="147"/>
        <v/>
      </c>
      <c r="AR303" s="52" t="str">
        <f t="shared" si="148"/>
        <v/>
      </c>
      <c r="AS303" s="52" t="str">
        <f t="shared" si="149"/>
        <v/>
      </c>
      <c r="AT303" s="52" t="str">
        <f t="shared" si="150"/>
        <v/>
      </c>
      <c r="AU303" s="52" t="str">
        <f t="shared" si="151"/>
        <v/>
      </c>
      <c r="AV303" s="52" t="str">
        <f t="shared" si="152"/>
        <v/>
      </c>
      <c r="AW303" s="52" t="str">
        <f t="shared" si="153"/>
        <v/>
      </c>
      <c r="AX303" s="52" t="str">
        <f t="shared" si="154"/>
        <v/>
      </c>
      <c r="AY303" s="52" t="str">
        <f t="shared" si="132"/>
        <v/>
      </c>
    </row>
    <row r="304" spans="1:163">
      <c r="D304" s="23"/>
      <c r="E304" s="23"/>
      <c r="F304" s="23"/>
      <c r="G304" s="23"/>
      <c r="H304" s="23"/>
      <c r="I304" s="3"/>
      <c r="J304" s="3"/>
      <c r="K304" s="3"/>
      <c r="L304" s="2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26"/>
      <c r="Y304" s="1"/>
      <c r="Z304" s="12">
        <f t="shared" si="109"/>
        <v>0</v>
      </c>
      <c r="AA304" s="14">
        <f t="shared" si="133"/>
        <v>0</v>
      </c>
      <c r="AB304" s="6">
        <f t="shared" si="134"/>
        <v>0</v>
      </c>
      <c r="AC304" s="6">
        <f t="shared" si="135"/>
        <v>0</v>
      </c>
      <c r="AD304" s="6">
        <f t="shared" si="136"/>
        <v>0</v>
      </c>
      <c r="AE304" s="52" t="str">
        <f t="shared" si="137"/>
        <v/>
      </c>
      <c r="AF304" s="52" t="str">
        <f t="shared" si="138"/>
        <v/>
      </c>
      <c r="AG304" s="50" t="str">
        <f t="shared" si="115"/>
        <v/>
      </c>
      <c r="AH304" s="50" t="str">
        <f t="shared" si="116"/>
        <v/>
      </c>
      <c r="AI304" s="52" t="str">
        <f t="shared" si="139"/>
        <v/>
      </c>
      <c r="AJ304" s="52" t="str">
        <f t="shared" si="140"/>
        <v/>
      </c>
      <c r="AK304" s="52" t="str">
        <f t="shared" si="141"/>
        <v/>
      </c>
      <c r="AL304" s="52" t="str">
        <f t="shared" si="142"/>
        <v/>
      </c>
      <c r="AM304" s="52" t="str">
        <f t="shared" si="143"/>
        <v/>
      </c>
      <c r="AN304" s="52" t="str">
        <f t="shared" si="144"/>
        <v/>
      </c>
      <c r="AO304" s="52" t="str">
        <f t="shared" si="145"/>
        <v/>
      </c>
      <c r="AP304" s="52" t="str">
        <f t="shared" si="146"/>
        <v/>
      </c>
      <c r="AQ304" s="52" t="str">
        <f t="shared" si="147"/>
        <v/>
      </c>
      <c r="AR304" s="52" t="str">
        <f t="shared" si="148"/>
        <v/>
      </c>
      <c r="AS304" s="52" t="str">
        <f t="shared" si="149"/>
        <v/>
      </c>
      <c r="AT304" s="52" t="str">
        <f t="shared" si="150"/>
        <v/>
      </c>
      <c r="AU304" s="52" t="str">
        <f t="shared" si="151"/>
        <v/>
      </c>
      <c r="AV304" s="52" t="str">
        <f t="shared" si="152"/>
        <v/>
      </c>
      <c r="AW304" s="52" t="str">
        <f t="shared" si="153"/>
        <v/>
      </c>
      <c r="AX304" s="52" t="str">
        <f t="shared" si="154"/>
        <v/>
      </c>
      <c r="AY304" s="52" t="str">
        <f t="shared" si="132"/>
        <v/>
      </c>
    </row>
    <row r="305" spans="4:51">
      <c r="D305" s="23"/>
      <c r="E305" s="23"/>
      <c r="F305" s="23"/>
      <c r="G305" s="23"/>
      <c r="H305" s="23"/>
      <c r="I305" s="3"/>
      <c r="J305" s="3"/>
      <c r="K305" s="3"/>
      <c r="L305" s="2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26"/>
      <c r="Y305" s="1"/>
      <c r="Z305" s="12">
        <f t="shared" si="109"/>
        <v>0</v>
      </c>
      <c r="AA305" s="14">
        <f t="shared" si="133"/>
        <v>0</v>
      </c>
      <c r="AB305" s="6">
        <f t="shared" si="134"/>
        <v>0</v>
      </c>
      <c r="AC305" s="6">
        <f t="shared" si="135"/>
        <v>0</v>
      </c>
      <c r="AD305" s="6">
        <f t="shared" si="136"/>
        <v>0</v>
      </c>
      <c r="AE305" s="52" t="str">
        <f t="shared" si="137"/>
        <v/>
      </c>
      <c r="AF305" s="52" t="str">
        <f t="shared" si="138"/>
        <v/>
      </c>
      <c r="AG305" s="50" t="str">
        <f t="shared" si="115"/>
        <v/>
      </c>
      <c r="AH305" s="50" t="str">
        <f t="shared" si="116"/>
        <v/>
      </c>
      <c r="AI305" s="52" t="str">
        <f t="shared" si="139"/>
        <v/>
      </c>
      <c r="AJ305" s="52" t="str">
        <f t="shared" si="140"/>
        <v/>
      </c>
      <c r="AK305" s="52" t="str">
        <f t="shared" si="141"/>
        <v/>
      </c>
      <c r="AL305" s="52" t="str">
        <f t="shared" si="142"/>
        <v/>
      </c>
      <c r="AM305" s="52" t="str">
        <f t="shared" si="143"/>
        <v/>
      </c>
      <c r="AN305" s="52" t="str">
        <f t="shared" si="144"/>
        <v/>
      </c>
      <c r="AO305" s="52" t="str">
        <f t="shared" si="145"/>
        <v/>
      </c>
      <c r="AP305" s="52" t="str">
        <f t="shared" si="146"/>
        <v/>
      </c>
      <c r="AQ305" s="52" t="str">
        <f t="shared" si="147"/>
        <v/>
      </c>
      <c r="AR305" s="52" t="str">
        <f t="shared" si="148"/>
        <v/>
      </c>
      <c r="AS305" s="52" t="str">
        <f t="shared" si="149"/>
        <v/>
      </c>
      <c r="AT305" s="52" t="str">
        <f t="shared" si="150"/>
        <v/>
      </c>
      <c r="AU305" s="52" t="str">
        <f t="shared" si="151"/>
        <v/>
      </c>
      <c r="AV305" s="52" t="str">
        <f t="shared" si="152"/>
        <v/>
      </c>
      <c r="AW305" s="52" t="str">
        <f t="shared" si="153"/>
        <v/>
      </c>
      <c r="AX305" s="52" t="str">
        <f t="shared" si="154"/>
        <v/>
      </c>
      <c r="AY305" s="52" t="str">
        <f t="shared" si="132"/>
        <v/>
      </c>
    </row>
    <row r="306" spans="4:51">
      <c r="D306" s="23"/>
      <c r="E306" s="23"/>
      <c r="F306" s="23"/>
      <c r="G306" s="23"/>
      <c r="H306" s="23"/>
      <c r="I306" s="3"/>
      <c r="J306" s="3"/>
      <c r="K306" s="3"/>
      <c r="L306" s="2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26"/>
      <c r="Y306" s="1"/>
      <c r="Z306" s="12">
        <f t="shared" si="109"/>
        <v>0</v>
      </c>
      <c r="AA306" s="14">
        <f t="shared" si="133"/>
        <v>0</v>
      </c>
      <c r="AB306" s="6">
        <f t="shared" si="134"/>
        <v>0</v>
      </c>
      <c r="AC306" s="6">
        <f t="shared" si="135"/>
        <v>0</v>
      </c>
      <c r="AD306" s="6">
        <f t="shared" si="136"/>
        <v>0</v>
      </c>
      <c r="AE306" s="52" t="str">
        <f t="shared" si="137"/>
        <v/>
      </c>
      <c r="AF306" s="52" t="str">
        <f t="shared" si="138"/>
        <v/>
      </c>
      <c r="AG306" s="50" t="str">
        <f t="shared" si="115"/>
        <v/>
      </c>
      <c r="AH306" s="50" t="str">
        <f t="shared" si="116"/>
        <v/>
      </c>
      <c r="AI306" s="52" t="str">
        <f t="shared" si="139"/>
        <v/>
      </c>
      <c r="AJ306" s="52" t="str">
        <f t="shared" si="140"/>
        <v/>
      </c>
      <c r="AK306" s="52" t="str">
        <f t="shared" si="141"/>
        <v/>
      </c>
      <c r="AL306" s="52" t="str">
        <f t="shared" si="142"/>
        <v/>
      </c>
      <c r="AM306" s="52" t="str">
        <f t="shared" si="143"/>
        <v/>
      </c>
      <c r="AN306" s="52" t="str">
        <f t="shared" si="144"/>
        <v/>
      </c>
      <c r="AO306" s="52" t="str">
        <f t="shared" si="145"/>
        <v/>
      </c>
      <c r="AP306" s="52" t="str">
        <f t="shared" si="146"/>
        <v/>
      </c>
      <c r="AQ306" s="52" t="str">
        <f t="shared" si="147"/>
        <v/>
      </c>
      <c r="AR306" s="52" t="str">
        <f t="shared" si="148"/>
        <v/>
      </c>
      <c r="AS306" s="52" t="str">
        <f t="shared" si="149"/>
        <v/>
      </c>
      <c r="AT306" s="52" t="str">
        <f t="shared" si="150"/>
        <v/>
      </c>
      <c r="AU306" s="52" t="str">
        <f t="shared" si="151"/>
        <v/>
      </c>
      <c r="AV306" s="52" t="str">
        <f t="shared" si="152"/>
        <v/>
      </c>
      <c r="AW306" s="52" t="str">
        <f t="shared" si="153"/>
        <v/>
      </c>
      <c r="AX306" s="52" t="str">
        <f t="shared" si="154"/>
        <v/>
      </c>
      <c r="AY306" s="52" t="str">
        <f t="shared" si="132"/>
        <v/>
      </c>
    </row>
    <row r="307" spans="4:51">
      <c r="D307" s="23"/>
      <c r="E307" s="23"/>
      <c r="F307" s="23"/>
      <c r="G307" s="23"/>
      <c r="H307" s="23"/>
      <c r="I307" s="3"/>
      <c r="J307" s="3"/>
      <c r="K307" s="3"/>
      <c r="L307" s="2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26"/>
      <c r="Y307" s="1"/>
      <c r="Z307" s="12">
        <f t="shared" si="109"/>
        <v>0</v>
      </c>
      <c r="AA307" s="14">
        <f t="shared" si="133"/>
        <v>0</v>
      </c>
      <c r="AB307" s="6">
        <f t="shared" si="134"/>
        <v>0</v>
      </c>
      <c r="AC307" s="6">
        <f t="shared" si="135"/>
        <v>0</v>
      </c>
      <c r="AD307" s="6">
        <f t="shared" si="136"/>
        <v>0</v>
      </c>
      <c r="AE307" s="52" t="str">
        <f t="shared" si="137"/>
        <v/>
      </c>
      <c r="AF307" s="52" t="str">
        <f t="shared" si="138"/>
        <v/>
      </c>
      <c r="AG307" s="50" t="str">
        <f t="shared" si="115"/>
        <v/>
      </c>
      <c r="AH307" s="50" t="str">
        <f t="shared" si="116"/>
        <v/>
      </c>
      <c r="AI307" s="52" t="str">
        <f t="shared" si="139"/>
        <v/>
      </c>
      <c r="AJ307" s="52" t="str">
        <f t="shared" si="140"/>
        <v/>
      </c>
      <c r="AK307" s="52" t="str">
        <f t="shared" si="141"/>
        <v/>
      </c>
      <c r="AL307" s="52" t="str">
        <f t="shared" si="142"/>
        <v/>
      </c>
      <c r="AM307" s="52" t="str">
        <f t="shared" si="143"/>
        <v/>
      </c>
      <c r="AN307" s="52" t="str">
        <f t="shared" si="144"/>
        <v/>
      </c>
      <c r="AO307" s="52" t="str">
        <f t="shared" si="145"/>
        <v/>
      </c>
      <c r="AP307" s="52" t="str">
        <f t="shared" si="146"/>
        <v/>
      </c>
      <c r="AQ307" s="52" t="str">
        <f t="shared" si="147"/>
        <v/>
      </c>
      <c r="AR307" s="52" t="str">
        <f t="shared" si="148"/>
        <v/>
      </c>
      <c r="AS307" s="52" t="str">
        <f t="shared" si="149"/>
        <v/>
      </c>
      <c r="AT307" s="52" t="str">
        <f t="shared" si="150"/>
        <v/>
      </c>
      <c r="AU307" s="52" t="str">
        <f t="shared" si="151"/>
        <v/>
      </c>
      <c r="AV307" s="52" t="str">
        <f t="shared" si="152"/>
        <v/>
      </c>
      <c r="AW307" s="52" t="str">
        <f t="shared" si="153"/>
        <v/>
      </c>
      <c r="AX307" s="52" t="str">
        <f t="shared" si="154"/>
        <v/>
      </c>
      <c r="AY307" s="52" t="str">
        <f t="shared" si="132"/>
        <v/>
      </c>
    </row>
    <row r="308" spans="4:51">
      <c r="D308" s="23"/>
      <c r="E308" s="23"/>
      <c r="F308" s="23"/>
      <c r="G308" s="23"/>
      <c r="H308" s="23"/>
      <c r="I308" s="3"/>
      <c r="J308" s="3"/>
      <c r="K308" s="3"/>
      <c r="L308" s="2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26"/>
      <c r="Y308" s="1"/>
      <c r="Z308" s="12">
        <f t="shared" si="109"/>
        <v>0</v>
      </c>
      <c r="AA308" s="14">
        <f t="shared" si="133"/>
        <v>0</v>
      </c>
      <c r="AB308" s="6">
        <f t="shared" si="134"/>
        <v>0</v>
      </c>
      <c r="AC308" s="6">
        <f t="shared" si="135"/>
        <v>0</v>
      </c>
      <c r="AD308" s="6">
        <f t="shared" si="136"/>
        <v>0</v>
      </c>
      <c r="AE308" s="52" t="str">
        <f t="shared" si="137"/>
        <v/>
      </c>
      <c r="AF308" s="52" t="str">
        <f t="shared" si="138"/>
        <v/>
      </c>
      <c r="AG308" s="50" t="str">
        <f t="shared" si="115"/>
        <v/>
      </c>
      <c r="AH308" s="50" t="str">
        <f t="shared" si="116"/>
        <v/>
      </c>
      <c r="AI308" s="52" t="str">
        <f t="shared" si="139"/>
        <v/>
      </c>
      <c r="AJ308" s="52" t="str">
        <f t="shared" si="140"/>
        <v/>
      </c>
      <c r="AK308" s="52" t="str">
        <f t="shared" si="141"/>
        <v/>
      </c>
      <c r="AL308" s="52" t="str">
        <f t="shared" si="142"/>
        <v/>
      </c>
      <c r="AM308" s="52" t="str">
        <f t="shared" si="143"/>
        <v/>
      </c>
      <c r="AN308" s="52" t="str">
        <f t="shared" si="144"/>
        <v/>
      </c>
      <c r="AO308" s="52" t="str">
        <f t="shared" si="145"/>
        <v/>
      </c>
      <c r="AP308" s="52" t="str">
        <f t="shared" si="146"/>
        <v/>
      </c>
      <c r="AQ308" s="52" t="str">
        <f t="shared" si="147"/>
        <v/>
      </c>
      <c r="AR308" s="52" t="str">
        <f t="shared" si="148"/>
        <v/>
      </c>
      <c r="AS308" s="52" t="str">
        <f t="shared" si="149"/>
        <v/>
      </c>
      <c r="AT308" s="52" t="str">
        <f t="shared" si="150"/>
        <v/>
      </c>
      <c r="AU308" s="52" t="str">
        <f t="shared" si="151"/>
        <v/>
      </c>
      <c r="AV308" s="52" t="str">
        <f t="shared" si="152"/>
        <v/>
      </c>
      <c r="AW308" s="52" t="str">
        <f t="shared" si="153"/>
        <v/>
      </c>
      <c r="AX308" s="52" t="str">
        <f t="shared" si="154"/>
        <v/>
      </c>
      <c r="AY308" s="52" t="str">
        <f t="shared" si="132"/>
        <v/>
      </c>
    </row>
    <row r="309" spans="4:51">
      <c r="D309" s="23"/>
      <c r="E309" s="23"/>
      <c r="F309" s="23"/>
      <c r="G309" s="23"/>
      <c r="H309" s="23"/>
      <c r="I309" s="3"/>
      <c r="J309" s="3"/>
      <c r="K309" s="3"/>
      <c r="L309" s="2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26"/>
      <c r="Y309" s="1"/>
      <c r="Z309" s="12">
        <f t="shared" si="109"/>
        <v>0</v>
      </c>
      <c r="AA309" s="14">
        <f t="shared" si="133"/>
        <v>0</v>
      </c>
      <c r="AB309" s="6">
        <f t="shared" si="134"/>
        <v>0</v>
      </c>
      <c r="AC309" s="6">
        <f t="shared" si="135"/>
        <v>0</v>
      </c>
      <c r="AD309" s="6">
        <f t="shared" si="136"/>
        <v>0</v>
      </c>
      <c r="AE309" s="52" t="str">
        <f t="shared" si="137"/>
        <v/>
      </c>
      <c r="AF309" s="52" t="str">
        <f t="shared" si="138"/>
        <v/>
      </c>
      <c r="AG309" s="50" t="str">
        <f t="shared" si="115"/>
        <v/>
      </c>
      <c r="AH309" s="50" t="str">
        <f t="shared" si="116"/>
        <v/>
      </c>
      <c r="AI309" s="52" t="str">
        <f t="shared" si="139"/>
        <v/>
      </c>
      <c r="AJ309" s="52" t="str">
        <f t="shared" si="140"/>
        <v/>
      </c>
      <c r="AK309" s="52" t="str">
        <f t="shared" si="141"/>
        <v/>
      </c>
      <c r="AL309" s="52" t="str">
        <f t="shared" si="142"/>
        <v/>
      </c>
      <c r="AM309" s="52" t="str">
        <f t="shared" si="143"/>
        <v/>
      </c>
      <c r="AN309" s="52" t="str">
        <f t="shared" si="144"/>
        <v/>
      </c>
      <c r="AO309" s="52" t="str">
        <f t="shared" si="145"/>
        <v/>
      </c>
      <c r="AP309" s="52" t="str">
        <f t="shared" si="146"/>
        <v/>
      </c>
      <c r="AQ309" s="52" t="str">
        <f t="shared" si="147"/>
        <v/>
      </c>
      <c r="AR309" s="52" t="str">
        <f t="shared" si="148"/>
        <v/>
      </c>
      <c r="AS309" s="52" t="str">
        <f t="shared" si="149"/>
        <v/>
      </c>
      <c r="AT309" s="52" t="str">
        <f t="shared" si="150"/>
        <v/>
      </c>
      <c r="AU309" s="52" t="str">
        <f t="shared" si="151"/>
        <v/>
      </c>
      <c r="AV309" s="52" t="str">
        <f t="shared" si="152"/>
        <v/>
      </c>
      <c r="AW309" s="52" t="str">
        <f t="shared" si="153"/>
        <v/>
      </c>
      <c r="AX309" s="52" t="str">
        <f t="shared" si="154"/>
        <v/>
      </c>
      <c r="AY309" s="52" t="str">
        <f t="shared" si="132"/>
        <v/>
      </c>
    </row>
    <row r="310" spans="4:51">
      <c r="D310" s="23"/>
      <c r="E310" s="23"/>
      <c r="F310" s="23"/>
      <c r="G310" s="23"/>
      <c r="H310" s="23"/>
      <c r="I310" s="3"/>
      <c r="J310" s="3"/>
      <c r="K310" s="3"/>
      <c r="L310" s="2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26"/>
      <c r="Y310" s="1"/>
      <c r="Z310" s="12">
        <f t="shared" si="109"/>
        <v>0</v>
      </c>
      <c r="AA310" s="14">
        <f t="shared" si="133"/>
        <v>0</v>
      </c>
      <c r="AB310" s="6">
        <f t="shared" si="134"/>
        <v>0</v>
      </c>
      <c r="AC310" s="6">
        <f t="shared" si="135"/>
        <v>0</v>
      </c>
      <c r="AD310" s="6">
        <f t="shared" si="136"/>
        <v>0</v>
      </c>
      <c r="AE310" s="52" t="str">
        <f t="shared" si="137"/>
        <v/>
      </c>
      <c r="AF310" s="52" t="str">
        <f t="shared" si="138"/>
        <v/>
      </c>
      <c r="AG310" s="50" t="str">
        <f t="shared" si="115"/>
        <v/>
      </c>
      <c r="AH310" s="50" t="str">
        <f t="shared" si="116"/>
        <v/>
      </c>
      <c r="AI310" s="52" t="str">
        <f t="shared" si="139"/>
        <v/>
      </c>
      <c r="AJ310" s="52" t="str">
        <f t="shared" si="140"/>
        <v/>
      </c>
      <c r="AK310" s="52" t="str">
        <f t="shared" si="141"/>
        <v/>
      </c>
      <c r="AL310" s="52" t="str">
        <f t="shared" si="142"/>
        <v/>
      </c>
      <c r="AM310" s="52" t="str">
        <f t="shared" si="143"/>
        <v/>
      </c>
      <c r="AN310" s="52" t="str">
        <f t="shared" si="144"/>
        <v/>
      </c>
      <c r="AO310" s="52" t="str">
        <f t="shared" si="145"/>
        <v/>
      </c>
      <c r="AP310" s="52" t="str">
        <f t="shared" si="146"/>
        <v/>
      </c>
      <c r="AQ310" s="52" t="str">
        <f t="shared" si="147"/>
        <v/>
      </c>
      <c r="AR310" s="52" t="str">
        <f t="shared" si="148"/>
        <v/>
      </c>
      <c r="AS310" s="52" t="str">
        <f t="shared" si="149"/>
        <v/>
      </c>
      <c r="AT310" s="52" t="str">
        <f t="shared" si="150"/>
        <v/>
      </c>
      <c r="AU310" s="52" t="str">
        <f t="shared" si="151"/>
        <v/>
      </c>
      <c r="AV310" s="52" t="str">
        <f t="shared" si="152"/>
        <v/>
      </c>
      <c r="AW310" s="52" t="str">
        <f t="shared" si="153"/>
        <v/>
      </c>
      <c r="AX310" s="52" t="str">
        <f t="shared" si="154"/>
        <v/>
      </c>
      <c r="AY310" s="52" t="str">
        <f t="shared" si="132"/>
        <v/>
      </c>
    </row>
    <row r="311" spans="4:51">
      <c r="D311" s="23"/>
      <c r="E311" s="23"/>
      <c r="F311" s="23"/>
      <c r="G311" s="23"/>
      <c r="H311" s="23"/>
      <c r="I311" s="3"/>
      <c r="J311" s="3"/>
      <c r="K311" s="3"/>
      <c r="L311" s="2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26"/>
      <c r="Y311" s="1"/>
      <c r="Z311" s="12">
        <f t="shared" si="109"/>
        <v>0</v>
      </c>
      <c r="AA311" s="14">
        <f t="shared" si="133"/>
        <v>0</v>
      </c>
      <c r="AB311" s="6">
        <f t="shared" si="134"/>
        <v>0</v>
      </c>
      <c r="AC311" s="6">
        <f t="shared" si="135"/>
        <v>0</v>
      </c>
      <c r="AD311" s="6">
        <f t="shared" si="136"/>
        <v>0</v>
      </c>
      <c r="AE311" s="52" t="str">
        <f t="shared" si="137"/>
        <v/>
      </c>
      <c r="AF311" s="52" t="str">
        <f t="shared" si="138"/>
        <v/>
      </c>
      <c r="AG311" s="50" t="str">
        <f t="shared" si="115"/>
        <v/>
      </c>
      <c r="AH311" s="50" t="str">
        <f t="shared" si="116"/>
        <v/>
      </c>
      <c r="AI311" s="52" t="str">
        <f t="shared" si="139"/>
        <v/>
      </c>
      <c r="AJ311" s="52" t="str">
        <f t="shared" si="140"/>
        <v/>
      </c>
      <c r="AK311" s="52" t="str">
        <f t="shared" si="141"/>
        <v/>
      </c>
      <c r="AL311" s="52" t="str">
        <f t="shared" si="142"/>
        <v/>
      </c>
      <c r="AM311" s="52" t="str">
        <f t="shared" si="143"/>
        <v/>
      </c>
      <c r="AN311" s="52" t="str">
        <f t="shared" si="144"/>
        <v/>
      </c>
      <c r="AO311" s="52" t="str">
        <f t="shared" si="145"/>
        <v/>
      </c>
      <c r="AP311" s="52" t="str">
        <f t="shared" si="146"/>
        <v/>
      </c>
      <c r="AQ311" s="52" t="str">
        <f t="shared" si="147"/>
        <v/>
      </c>
      <c r="AR311" s="52" t="str">
        <f t="shared" si="148"/>
        <v/>
      </c>
      <c r="AS311" s="52" t="str">
        <f t="shared" si="149"/>
        <v/>
      </c>
      <c r="AT311" s="52" t="str">
        <f t="shared" si="150"/>
        <v/>
      </c>
      <c r="AU311" s="52" t="str">
        <f t="shared" si="151"/>
        <v/>
      </c>
      <c r="AV311" s="52" t="str">
        <f t="shared" si="152"/>
        <v/>
      </c>
      <c r="AW311" s="52" t="str">
        <f t="shared" si="153"/>
        <v/>
      </c>
      <c r="AX311" s="52" t="str">
        <f t="shared" si="154"/>
        <v/>
      </c>
      <c r="AY311" s="52" t="str">
        <f t="shared" si="132"/>
        <v/>
      </c>
    </row>
    <row r="312" spans="4:51">
      <c r="D312" s="23"/>
      <c r="E312" s="23"/>
      <c r="F312" s="23"/>
      <c r="G312" s="23"/>
      <c r="H312" s="23"/>
      <c r="I312" s="3"/>
      <c r="J312" s="3"/>
      <c r="K312" s="3"/>
      <c r="L312" s="2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26"/>
      <c r="Y312" s="1"/>
      <c r="Z312" s="12">
        <f t="shared" si="109"/>
        <v>0</v>
      </c>
      <c r="AA312" s="14">
        <f t="shared" si="133"/>
        <v>0</v>
      </c>
      <c r="AB312" s="6">
        <f t="shared" si="134"/>
        <v>0</v>
      </c>
      <c r="AC312" s="6">
        <f t="shared" si="135"/>
        <v>0</v>
      </c>
      <c r="AD312" s="6">
        <f t="shared" si="136"/>
        <v>0</v>
      </c>
      <c r="AE312" s="52" t="str">
        <f t="shared" si="137"/>
        <v/>
      </c>
      <c r="AF312" s="52" t="str">
        <f t="shared" si="138"/>
        <v/>
      </c>
      <c r="AG312" s="50" t="str">
        <f t="shared" si="115"/>
        <v/>
      </c>
      <c r="AH312" s="50" t="str">
        <f t="shared" si="116"/>
        <v/>
      </c>
      <c r="AI312" s="52" t="str">
        <f t="shared" si="139"/>
        <v/>
      </c>
      <c r="AJ312" s="52" t="str">
        <f t="shared" si="140"/>
        <v/>
      </c>
      <c r="AK312" s="52" t="str">
        <f t="shared" si="141"/>
        <v/>
      </c>
      <c r="AL312" s="52" t="str">
        <f t="shared" si="142"/>
        <v/>
      </c>
      <c r="AM312" s="52" t="str">
        <f t="shared" si="143"/>
        <v/>
      </c>
      <c r="AN312" s="52" t="str">
        <f t="shared" si="144"/>
        <v/>
      </c>
      <c r="AO312" s="52" t="str">
        <f t="shared" si="145"/>
        <v/>
      </c>
      <c r="AP312" s="52" t="str">
        <f t="shared" si="146"/>
        <v/>
      </c>
      <c r="AQ312" s="52" t="str">
        <f t="shared" si="147"/>
        <v/>
      </c>
      <c r="AR312" s="52" t="str">
        <f t="shared" si="148"/>
        <v/>
      </c>
      <c r="AS312" s="52" t="str">
        <f t="shared" si="149"/>
        <v/>
      </c>
      <c r="AT312" s="52" t="str">
        <f t="shared" si="150"/>
        <v/>
      </c>
      <c r="AU312" s="52" t="str">
        <f t="shared" si="151"/>
        <v/>
      </c>
      <c r="AV312" s="52" t="str">
        <f t="shared" si="152"/>
        <v/>
      </c>
      <c r="AW312" s="52" t="str">
        <f t="shared" si="153"/>
        <v/>
      </c>
      <c r="AX312" s="52" t="str">
        <f t="shared" si="154"/>
        <v/>
      </c>
      <c r="AY312" s="52" t="str">
        <f t="shared" si="132"/>
        <v/>
      </c>
    </row>
    <row r="313" spans="4:51">
      <c r="D313" s="23"/>
      <c r="E313" s="23"/>
      <c r="F313" s="23"/>
      <c r="G313" s="23"/>
      <c r="H313" s="23"/>
      <c r="I313" s="3"/>
      <c r="J313" s="3"/>
      <c r="K313" s="3"/>
      <c r="L313" s="2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26"/>
      <c r="Y313" s="1"/>
      <c r="Z313" s="12">
        <f t="shared" si="109"/>
        <v>0</v>
      </c>
      <c r="AA313" s="14">
        <f t="shared" si="133"/>
        <v>0</v>
      </c>
      <c r="AB313" s="6">
        <f t="shared" si="134"/>
        <v>0</v>
      </c>
      <c r="AC313" s="6">
        <f t="shared" si="135"/>
        <v>0</v>
      </c>
      <c r="AD313" s="6">
        <f t="shared" si="136"/>
        <v>0</v>
      </c>
      <c r="AE313" s="52" t="str">
        <f t="shared" si="137"/>
        <v/>
      </c>
      <c r="AF313" s="52" t="str">
        <f t="shared" si="138"/>
        <v/>
      </c>
      <c r="AG313" s="50" t="str">
        <f t="shared" si="115"/>
        <v/>
      </c>
      <c r="AH313" s="50" t="str">
        <f t="shared" si="116"/>
        <v/>
      </c>
      <c r="AI313" s="52" t="str">
        <f t="shared" si="139"/>
        <v/>
      </c>
      <c r="AJ313" s="52" t="str">
        <f t="shared" si="140"/>
        <v/>
      </c>
      <c r="AK313" s="52" t="str">
        <f t="shared" si="141"/>
        <v/>
      </c>
      <c r="AL313" s="52" t="str">
        <f t="shared" si="142"/>
        <v/>
      </c>
      <c r="AM313" s="52" t="str">
        <f t="shared" si="143"/>
        <v/>
      </c>
      <c r="AN313" s="52" t="str">
        <f t="shared" si="144"/>
        <v/>
      </c>
      <c r="AO313" s="52" t="str">
        <f t="shared" si="145"/>
        <v/>
      </c>
      <c r="AP313" s="52" t="str">
        <f t="shared" si="146"/>
        <v/>
      </c>
      <c r="AQ313" s="52" t="str">
        <f t="shared" si="147"/>
        <v/>
      </c>
      <c r="AR313" s="52" t="str">
        <f t="shared" si="148"/>
        <v/>
      </c>
      <c r="AS313" s="52" t="str">
        <f t="shared" si="149"/>
        <v/>
      </c>
      <c r="AT313" s="52" t="str">
        <f t="shared" si="150"/>
        <v/>
      </c>
      <c r="AU313" s="52" t="str">
        <f t="shared" si="151"/>
        <v/>
      </c>
      <c r="AV313" s="52" t="str">
        <f t="shared" si="152"/>
        <v/>
      </c>
      <c r="AW313" s="52" t="str">
        <f t="shared" si="153"/>
        <v/>
      </c>
      <c r="AX313" s="52" t="str">
        <f t="shared" si="154"/>
        <v/>
      </c>
      <c r="AY313" s="52" t="str">
        <f t="shared" si="132"/>
        <v/>
      </c>
    </row>
    <row r="314" spans="4:51">
      <c r="D314" s="23"/>
      <c r="E314" s="23"/>
      <c r="F314" s="23"/>
      <c r="G314" s="23"/>
      <c r="H314" s="23"/>
      <c r="I314" s="3"/>
      <c r="J314" s="3"/>
      <c r="K314" s="3"/>
      <c r="L314" s="2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26"/>
      <c r="Y314" s="1"/>
      <c r="Z314" s="12">
        <f t="shared" si="109"/>
        <v>0</v>
      </c>
      <c r="AA314" s="14">
        <f t="shared" si="133"/>
        <v>0</v>
      </c>
      <c r="AB314" s="6">
        <f t="shared" si="134"/>
        <v>0</v>
      </c>
      <c r="AC314" s="6">
        <f t="shared" si="135"/>
        <v>0</v>
      </c>
      <c r="AD314" s="6">
        <f t="shared" si="136"/>
        <v>0</v>
      </c>
      <c r="AE314" s="52" t="str">
        <f t="shared" si="137"/>
        <v/>
      </c>
      <c r="AF314" s="52" t="str">
        <f t="shared" si="138"/>
        <v/>
      </c>
      <c r="AG314" s="50" t="str">
        <f t="shared" si="115"/>
        <v/>
      </c>
      <c r="AH314" s="50" t="str">
        <f t="shared" si="116"/>
        <v/>
      </c>
      <c r="AI314" s="52" t="str">
        <f t="shared" si="139"/>
        <v/>
      </c>
      <c r="AJ314" s="52" t="str">
        <f t="shared" si="140"/>
        <v/>
      </c>
      <c r="AK314" s="52" t="str">
        <f t="shared" si="141"/>
        <v/>
      </c>
      <c r="AL314" s="52" t="str">
        <f t="shared" si="142"/>
        <v/>
      </c>
      <c r="AM314" s="52" t="str">
        <f t="shared" si="143"/>
        <v/>
      </c>
      <c r="AN314" s="52" t="str">
        <f t="shared" si="144"/>
        <v/>
      </c>
      <c r="AO314" s="52" t="str">
        <f t="shared" si="145"/>
        <v/>
      </c>
      <c r="AP314" s="52" t="str">
        <f t="shared" si="146"/>
        <v/>
      </c>
      <c r="AQ314" s="52" t="str">
        <f t="shared" si="147"/>
        <v/>
      </c>
      <c r="AR314" s="52" t="str">
        <f t="shared" si="148"/>
        <v/>
      </c>
      <c r="AS314" s="52" t="str">
        <f t="shared" si="149"/>
        <v/>
      </c>
      <c r="AT314" s="52" t="str">
        <f t="shared" si="150"/>
        <v/>
      </c>
      <c r="AU314" s="52" t="str">
        <f t="shared" si="151"/>
        <v/>
      </c>
      <c r="AV314" s="52" t="str">
        <f t="shared" si="152"/>
        <v/>
      </c>
      <c r="AW314" s="52" t="str">
        <f t="shared" si="153"/>
        <v/>
      </c>
      <c r="AX314" s="52" t="str">
        <f t="shared" si="154"/>
        <v/>
      </c>
      <c r="AY314" s="52" t="str">
        <f t="shared" si="132"/>
        <v/>
      </c>
    </row>
    <row r="315" spans="4:51">
      <c r="D315" s="23"/>
      <c r="E315" s="23"/>
      <c r="F315" s="23"/>
      <c r="G315" s="23"/>
      <c r="H315" s="23"/>
      <c r="I315" s="3"/>
      <c r="J315" s="3"/>
      <c r="K315" s="3"/>
      <c r="L315" s="2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26"/>
      <c r="Y315" s="1"/>
      <c r="Z315" s="12">
        <f t="shared" si="109"/>
        <v>0</v>
      </c>
      <c r="AA315" s="14">
        <f t="shared" si="133"/>
        <v>0</v>
      </c>
      <c r="AB315" s="6">
        <f t="shared" si="134"/>
        <v>0</v>
      </c>
      <c r="AC315" s="6">
        <f t="shared" si="135"/>
        <v>0</v>
      </c>
      <c r="AD315" s="6">
        <f t="shared" si="136"/>
        <v>0</v>
      </c>
      <c r="AE315" s="52" t="str">
        <f t="shared" si="137"/>
        <v/>
      </c>
      <c r="AF315" s="52" t="str">
        <f t="shared" si="138"/>
        <v/>
      </c>
      <c r="AG315" s="50" t="str">
        <f t="shared" si="115"/>
        <v/>
      </c>
      <c r="AH315" s="50" t="str">
        <f t="shared" si="116"/>
        <v/>
      </c>
      <c r="AI315" s="52" t="str">
        <f t="shared" si="139"/>
        <v/>
      </c>
      <c r="AJ315" s="52" t="str">
        <f t="shared" si="140"/>
        <v/>
      </c>
      <c r="AK315" s="52" t="str">
        <f t="shared" si="141"/>
        <v/>
      </c>
      <c r="AL315" s="52" t="str">
        <f t="shared" si="142"/>
        <v/>
      </c>
      <c r="AM315" s="52" t="str">
        <f t="shared" si="143"/>
        <v/>
      </c>
      <c r="AN315" s="52" t="str">
        <f t="shared" si="144"/>
        <v/>
      </c>
      <c r="AO315" s="52" t="str">
        <f t="shared" si="145"/>
        <v/>
      </c>
      <c r="AP315" s="52" t="str">
        <f t="shared" si="146"/>
        <v/>
      </c>
      <c r="AQ315" s="52" t="str">
        <f t="shared" si="147"/>
        <v/>
      </c>
      <c r="AR315" s="52" t="str">
        <f t="shared" si="148"/>
        <v/>
      </c>
      <c r="AS315" s="52" t="str">
        <f t="shared" si="149"/>
        <v/>
      </c>
      <c r="AT315" s="52" t="str">
        <f t="shared" si="150"/>
        <v/>
      </c>
      <c r="AU315" s="52" t="str">
        <f t="shared" si="151"/>
        <v/>
      </c>
      <c r="AV315" s="52" t="str">
        <f t="shared" si="152"/>
        <v/>
      </c>
      <c r="AW315" s="52" t="str">
        <f t="shared" si="153"/>
        <v/>
      </c>
      <c r="AX315" s="52" t="str">
        <f t="shared" si="154"/>
        <v/>
      </c>
      <c r="AY315" s="52" t="str">
        <f t="shared" si="132"/>
        <v/>
      </c>
    </row>
    <row r="316" spans="4:51">
      <c r="D316" s="23"/>
      <c r="E316" s="23"/>
      <c r="F316" s="23"/>
      <c r="G316" s="23"/>
      <c r="H316" s="23"/>
      <c r="I316" s="3"/>
      <c r="J316" s="3"/>
      <c r="K316" s="3"/>
      <c r="L316" s="2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26"/>
      <c r="Y316" s="1"/>
      <c r="Z316" s="12">
        <f t="shared" si="109"/>
        <v>0</v>
      </c>
      <c r="AA316" s="14">
        <f t="shared" si="133"/>
        <v>0</v>
      </c>
      <c r="AB316" s="6">
        <f t="shared" si="134"/>
        <v>0</v>
      </c>
      <c r="AC316" s="6">
        <f t="shared" si="135"/>
        <v>0</v>
      </c>
      <c r="AD316" s="6">
        <f t="shared" si="136"/>
        <v>0</v>
      </c>
      <c r="AE316" s="52" t="str">
        <f t="shared" si="137"/>
        <v/>
      </c>
      <c r="AF316" s="52" t="str">
        <f t="shared" si="138"/>
        <v/>
      </c>
      <c r="AG316" s="50" t="str">
        <f t="shared" si="115"/>
        <v/>
      </c>
      <c r="AH316" s="50" t="str">
        <f t="shared" si="116"/>
        <v/>
      </c>
      <c r="AI316" s="52" t="str">
        <f t="shared" si="139"/>
        <v/>
      </c>
      <c r="AJ316" s="52" t="str">
        <f t="shared" si="140"/>
        <v/>
      </c>
      <c r="AK316" s="52" t="str">
        <f t="shared" si="141"/>
        <v/>
      </c>
      <c r="AL316" s="52" t="str">
        <f t="shared" si="142"/>
        <v/>
      </c>
      <c r="AM316" s="52" t="str">
        <f t="shared" si="143"/>
        <v/>
      </c>
      <c r="AN316" s="52" t="str">
        <f t="shared" si="144"/>
        <v/>
      </c>
      <c r="AO316" s="52" t="str">
        <f t="shared" si="145"/>
        <v/>
      </c>
      <c r="AP316" s="52" t="str">
        <f t="shared" si="146"/>
        <v/>
      </c>
      <c r="AQ316" s="52" t="str">
        <f t="shared" si="147"/>
        <v/>
      </c>
      <c r="AR316" s="52" t="str">
        <f t="shared" si="148"/>
        <v/>
      </c>
      <c r="AS316" s="52" t="str">
        <f t="shared" si="149"/>
        <v/>
      </c>
      <c r="AT316" s="52" t="str">
        <f t="shared" si="150"/>
        <v/>
      </c>
      <c r="AU316" s="52" t="str">
        <f t="shared" si="151"/>
        <v/>
      </c>
      <c r="AV316" s="52" t="str">
        <f t="shared" si="152"/>
        <v/>
      </c>
      <c r="AW316" s="52" t="str">
        <f t="shared" si="153"/>
        <v/>
      </c>
      <c r="AX316" s="52" t="str">
        <f t="shared" si="154"/>
        <v/>
      </c>
      <c r="AY316" s="52" t="str">
        <f t="shared" si="132"/>
        <v/>
      </c>
    </row>
    <row r="317" spans="4:51">
      <c r="D317" s="23"/>
      <c r="E317" s="23"/>
      <c r="F317" s="23"/>
      <c r="G317" s="23"/>
      <c r="H317" s="23"/>
      <c r="I317" s="3"/>
      <c r="J317" s="3"/>
      <c r="K317" s="3"/>
      <c r="L317" s="2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26"/>
      <c r="Y317" s="1"/>
      <c r="Z317" s="12">
        <f t="shared" si="109"/>
        <v>0</v>
      </c>
      <c r="AA317" s="14">
        <f t="shared" si="133"/>
        <v>0</v>
      </c>
      <c r="AB317" s="6">
        <f t="shared" si="134"/>
        <v>0</v>
      </c>
      <c r="AC317" s="6">
        <f t="shared" si="135"/>
        <v>0</v>
      </c>
      <c r="AD317" s="6">
        <f t="shared" si="136"/>
        <v>0</v>
      </c>
      <c r="AE317" s="52" t="str">
        <f t="shared" si="137"/>
        <v/>
      </c>
      <c r="AF317" s="52" t="str">
        <f t="shared" si="138"/>
        <v/>
      </c>
      <c r="AG317" s="50" t="str">
        <f t="shared" si="115"/>
        <v/>
      </c>
      <c r="AH317" s="50" t="str">
        <f t="shared" si="116"/>
        <v/>
      </c>
      <c r="AI317" s="52" t="str">
        <f t="shared" si="139"/>
        <v/>
      </c>
      <c r="AJ317" s="52" t="str">
        <f t="shared" si="140"/>
        <v/>
      </c>
      <c r="AK317" s="52" t="str">
        <f t="shared" si="141"/>
        <v/>
      </c>
      <c r="AL317" s="52" t="str">
        <f t="shared" si="142"/>
        <v/>
      </c>
      <c r="AM317" s="52" t="str">
        <f t="shared" si="143"/>
        <v/>
      </c>
      <c r="AN317" s="52" t="str">
        <f t="shared" si="144"/>
        <v/>
      </c>
      <c r="AO317" s="52" t="str">
        <f t="shared" si="145"/>
        <v/>
      </c>
      <c r="AP317" s="52" t="str">
        <f t="shared" si="146"/>
        <v/>
      </c>
      <c r="AQ317" s="52" t="str">
        <f t="shared" si="147"/>
        <v/>
      </c>
      <c r="AR317" s="52" t="str">
        <f t="shared" si="148"/>
        <v/>
      </c>
      <c r="AS317" s="52" t="str">
        <f t="shared" si="149"/>
        <v/>
      </c>
      <c r="AT317" s="52" t="str">
        <f t="shared" si="150"/>
        <v/>
      </c>
      <c r="AU317" s="52" t="str">
        <f t="shared" si="151"/>
        <v/>
      </c>
      <c r="AV317" s="52" t="str">
        <f t="shared" si="152"/>
        <v/>
      </c>
      <c r="AW317" s="52" t="str">
        <f t="shared" si="153"/>
        <v/>
      </c>
      <c r="AX317" s="52" t="str">
        <f t="shared" si="154"/>
        <v/>
      </c>
      <c r="AY317" s="52" t="str">
        <f t="shared" si="132"/>
        <v/>
      </c>
    </row>
    <row r="318" spans="4:51">
      <c r="D318" s="23"/>
      <c r="E318" s="23"/>
      <c r="F318" s="23"/>
      <c r="G318" s="23"/>
      <c r="H318" s="23"/>
      <c r="I318" s="3"/>
      <c r="J318" s="3"/>
      <c r="K318" s="3"/>
      <c r="L318" s="2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26"/>
      <c r="Y318" s="1"/>
      <c r="Z318" s="12">
        <f t="shared" si="109"/>
        <v>0</v>
      </c>
      <c r="AA318" s="14">
        <f t="shared" si="133"/>
        <v>0</v>
      </c>
      <c r="AB318" s="6">
        <f t="shared" si="134"/>
        <v>0</v>
      </c>
      <c r="AC318" s="6">
        <f t="shared" si="135"/>
        <v>0</v>
      </c>
      <c r="AD318" s="6">
        <f t="shared" si="136"/>
        <v>0</v>
      </c>
      <c r="AE318" s="52" t="str">
        <f t="shared" si="137"/>
        <v/>
      </c>
      <c r="AF318" s="52" t="str">
        <f t="shared" si="138"/>
        <v/>
      </c>
      <c r="AG318" s="50" t="str">
        <f t="shared" si="115"/>
        <v/>
      </c>
      <c r="AH318" s="50" t="str">
        <f t="shared" si="116"/>
        <v/>
      </c>
      <c r="AI318" s="52" t="str">
        <f t="shared" si="139"/>
        <v/>
      </c>
      <c r="AJ318" s="52" t="str">
        <f t="shared" si="140"/>
        <v/>
      </c>
      <c r="AK318" s="52" t="str">
        <f t="shared" si="141"/>
        <v/>
      </c>
      <c r="AL318" s="52" t="str">
        <f t="shared" si="142"/>
        <v/>
      </c>
      <c r="AM318" s="52" t="str">
        <f t="shared" si="143"/>
        <v/>
      </c>
      <c r="AN318" s="52" t="str">
        <f t="shared" si="144"/>
        <v/>
      </c>
      <c r="AO318" s="52" t="str">
        <f t="shared" si="145"/>
        <v/>
      </c>
      <c r="AP318" s="52" t="str">
        <f t="shared" si="146"/>
        <v/>
      </c>
      <c r="AQ318" s="52" t="str">
        <f t="shared" si="147"/>
        <v/>
      </c>
      <c r="AR318" s="52" t="str">
        <f t="shared" si="148"/>
        <v/>
      </c>
      <c r="AS318" s="52" t="str">
        <f t="shared" si="149"/>
        <v/>
      </c>
      <c r="AT318" s="52" t="str">
        <f t="shared" si="150"/>
        <v/>
      </c>
      <c r="AU318" s="52" t="str">
        <f t="shared" si="151"/>
        <v/>
      </c>
      <c r="AV318" s="52" t="str">
        <f t="shared" si="152"/>
        <v/>
      </c>
      <c r="AW318" s="52" t="str">
        <f t="shared" si="153"/>
        <v/>
      </c>
      <c r="AX318" s="52" t="str">
        <f t="shared" si="154"/>
        <v/>
      </c>
      <c r="AY318" s="52" t="str">
        <f t="shared" si="132"/>
        <v/>
      </c>
    </row>
    <row r="319" spans="4:51">
      <c r="D319" s="23"/>
      <c r="E319" s="23"/>
      <c r="F319" s="23"/>
      <c r="G319" s="23"/>
      <c r="H319" s="23"/>
      <c r="I319" s="3"/>
      <c r="J319" s="3"/>
      <c r="K319" s="3"/>
      <c r="L319" s="2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26"/>
      <c r="Y319" s="1"/>
      <c r="Z319" s="12">
        <f t="shared" ref="Z319:Z382" si="155">COUNTA(D319:W319)-Y319</f>
        <v>0</v>
      </c>
      <c r="AA319" s="14">
        <f t="shared" ref="AA319:AA382" si="156">IF(X319&lt;&gt;"",0.0001,IF(Y319+Z319=0,0,IF(Y319=0,70+(Z319*50),IF(Y319&gt;0,80+(Z319*50)))))</f>
        <v>0</v>
      </c>
      <c r="AB319" s="6">
        <f t="shared" si="134"/>
        <v>0</v>
      </c>
      <c r="AC319" s="6">
        <f t="shared" si="135"/>
        <v>0</v>
      </c>
      <c r="AD319" s="6">
        <f t="shared" si="136"/>
        <v>0</v>
      </c>
      <c r="AE319" s="52" t="str">
        <f t="shared" si="137"/>
        <v/>
      </c>
      <c r="AF319" s="52" t="str">
        <f t="shared" si="138"/>
        <v/>
      </c>
      <c r="AG319" s="50" t="str">
        <f t="shared" ref="AG319:AG382" si="157">IF(AND(B319="Feminino",C319&gt;=$BM$1,C319&lt;=$BM$2),$BM$3,IF(AND(B319="Masculino",C319&gt;=$BM$1,C319&lt;=$BM$2),$BN$3,""))</f>
        <v/>
      </c>
      <c r="AH319" s="50" t="str">
        <f t="shared" ref="AH319:AH382" si="158">IF(C319="","",IF(AND(C319&gt;=$BO$1,C319&lt;=$BO$2),$BO$3,IF(C319&lt;=$BP$2,$BP$3,"")))</f>
        <v/>
      </c>
      <c r="AI319" s="52" t="str">
        <f t="shared" si="139"/>
        <v/>
      </c>
      <c r="AJ319" s="52" t="str">
        <f t="shared" si="140"/>
        <v/>
      </c>
      <c r="AK319" s="52" t="str">
        <f t="shared" si="141"/>
        <v/>
      </c>
      <c r="AL319" s="52" t="str">
        <f t="shared" si="142"/>
        <v/>
      </c>
      <c r="AM319" s="52" t="str">
        <f t="shared" si="143"/>
        <v/>
      </c>
      <c r="AN319" s="52" t="str">
        <f t="shared" si="144"/>
        <v/>
      </c>
      <c r="AO319" s="52" t="str">
        <f t="shared" si="145"/>
        <v/>
      </c>
      <c r="AP319" s="52" t="str">
        <f t="shared" si="146"/>
        <v/>
      </c>
      <c r="AQ319" s="52" t="str">
        <f t="shared" si="147"/>
        <v/>
      </c>
      <c r="AR319" s="52" t="str">
        <f t="shared" si="148"/>
        <v/>
      </c>
      <c r="AS319" s="52" t="str">
        <f t="shared" si="149"/>
        <v/>
      </c>
      <c r="AT319" s="52" t="str">
        <f t="shared" si="150"/>
        <v/>
      </c>
      <c r="AU319" s="52" t="str">
        <f t="shared" si="151"/>
        <v/>
      </c>
      <c r="AV319" s="52" t="str">
        <f t="shared" si="152"/>
        <v/>
      </c>
      <c r="AW319" s="52" t="str">
        <f t="shared" si="153"/>
        <v/>
      </c>
      <c r="AX319" s="52" t="str">
        <f t="shared" si="154"/>
        <v/>
      </c>
      <c r="AY319" s="52" t="str">
        <f t="shared" ref="AY319:AY382" si="159">IF(C319="","",IF(AND(D319="",E319="",F319="",G319="",H319="",I319="",J319="",K319=""),"ADAPTADO",""))</f>
        <v/>
      </c>
    </row>
    <row r="320" spans="4:51">
      <c r="D320" s="23"/>
      <c r="E320" s="23"/>
      <c r="F320" s="23"/>
      <c r="G320" s="23"/>
      <c r="H320" s="23"/>
      <c r="I320" s="3"/>
      <c r="J320" s="3"/>
      <c r="K320" s="3"/>
      <c r="L320" s="2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26"/>
      <c r="Y320" s="1"/>
      <c r="Z320" s="12">
        <f t="shared" si="155"/>
        <v>0</v>
      </c>
      <c r="AA320" s="14">
        <f t="shared" si="156"/>
        <v>0</v>
      </c>
      <c r="AB320" s="6">
        <f t="shared" si="134"/>
        <v>0</v>
      </c>
      <c r="AC320" s="6">
        <f t="shared" si="135"/>
        <v>0</v>
      </c>
      <c r="AD320" s="6">
        <f t="shared" si="136"/>
        <v>0</v>
      </c>
      <c r="AE320" s="52" t="str">
        <f t="shared" si="137"/>
        <v/>
      </c>
      <c r="AF320" s="52" t="str">
        <f t="shared" si="138"/>
        <v/>
      </c>
      <c r="AG320" s="50" t="str">
        <f t="shared" si="157"/>
        <v/>
      </c>
      <c r="AH320" s="50" t="str">
        <f t="shared" si="158"/>
        <v/>
      </c>
      <c r="AI320" s="52" t="str">
        <f t="shared" si="139"/>
        <v/>
      </c>
      <c r="AJ320" s="52" t="str">
        <f t="shared" si="140"/>
        <v/>
      </c>
      <c r="AK320" s="52" t="str">
        <f t="shared" si="141"/>
        <v/>
      </c>
      <c r="AL320" s="52" t="str">
        <f t="shared" si="142"/>
        <v/>
      </c>
      <c r="AM320" s="52" t="str">
        <f t="shared" si="143"/>
        <v/>
      </c>
      <c r="AN320" s="52" t="str">
        <f t="shared" si="144"/>
        <v/>
      </c>
      <c r="AO320" s="52" t="str">
        <f t="shared" si="145"/>
        <v/>
      </c>
      <c r="AP320" s="52" t="str">
        <f t="shared" si="146"/>
        <v/>
      </c>
      <c r="AQ320" s="52" t="str">
        <f t="shared" si="147"/>
        <v/>
      </c>
      <c r="AR320" s="52" t="str">
        <f t="shared" si="148"/>
        <v/>
      </c>
      <c r="AS320" s="52" t="str">
        <f t="shared" si="149"/>
        <v/>
      </c>
      <c r="AT320" s="52" t="str">
        <f t="shared" si="150"/>
        <v/>
      </c>
      <c r="AU320" s="52" t="str">
        <f t="shared" si="151"/>
        <v/>
      </c>
      <c r="AV320" s="52" t="str">
        <f t="shared" si="152"/>
        <v/>
      </c>
      <c r="AW320" s="52" t="str">
        <f t="shared" si="153"/>
        <v/>
      </c>
      <c r="AX320" s="52" t="str">
        <f t="shared" si="154"/>
        <v/>
      </c>
      <c r="AY320" s="52" t="str">
        <f t="shared" si="159"/>
        <v/>
      </c>
    </row>
    <row r="321" spans="4:51">
      <c r="D321" s="23"/>
      <c r="E321" s="23"/>
      <c r="F321" s="23"/>
      <c r="G321" s="23"/>
      <c r="H321" s="23"/>
      <c r="I321" s="3"/>
      <c r="J321" s="3"/>
      <c r="K321" s="3"/>
      <c r="L321" s="2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26"/>
      <c r="Y321" s="1"/>
      <c r="Z321" s="12">
        <f t="shared" si="155"/>
        <v>0</v>
      </c>
      <c r="AA321" s="14">
        <f t="shared" si="156"/>
        <v>0</v>
      </c>
      <c r="AB321" s="6">
        <f t="shared" si="134"/>
        <v>0</v>
      </c>
      <c r="AC321" s="6">
        <f t="shared" si="135"/>
        <v>0</v>
      </c>
      <c r="AD321" s="6">
        <f t="shared" si="136"/>
        <v>0</v>
      </c>
      <c r="AE321" s="52" t="str">
        <f t="shared" si="137"/>
        <v/>
      </c>
      <c r="AF321" s="52" t="str">
        <f t="shared" si="138"/>
        <v/>
      </c>
      <c r="AG321" s="50" t="str">
        <f t="shared" si="157"/>
        <v/>
      </c>
      <c r="AH321" s="50" t="str">
        <f t="shared" si="158"/>
        <v/>
      </c>
      <c r="AI321" s="52" t="str">
        <f t="shared" si="139"/>
        <v/>
      </c>
      <c r="AJ321" s="52" t="str">
        <f t="shared" si="140"/>
        <v/>
      </c>
      <c r="AK321" s="52" t="str">
        <f t="shared" si="141"/>
        <v/>
      </c>
      <c r="AL321" s="52" t="str">
        <f t="shared" si="142"/>
        <v/>
      </c>
      <c r="AM321" s="52" t="str">
        <f t="shared" si="143"/>
        <v/>
      </c>
      <c r="AN321" s="52" t="str">
        <f t="shared" si="144"/>
        <v/>
      </c>
      <c r="AO321" s="52" t="str">
        <f t="shared" si="145"/>
        <v/>
      </c>
      <c r="AP321" s="52" t="str">
        <f t="shared" si="146"/>
        <v/>
      </c>
      <c r="AQ321" s="52" t="str">
        <f t="shared" si="147"/>
        <v/>
      </c>
      <c r="AR321" s="52" t="str">
        <f t="shared" si="148"/>
        <v/>
      </c>
      <c r="AS321" s="52" t="str">
        <f t="shared" si="149"/>
        <v/>
      </c>
      <c r="AT321" s="52" t="str">
        <f t="shared" si="150"/>
        <v/>
      </c>
      <c r="AU321" s="52" t="str">
        <f t="shared" si="151"/>
        <v/>
      </c>
      <c r="AV321" s="52" t="str">
        <f t="shared" si="152"/>
        <v/>
      </c>
      <c r="AW321" s="52" t="str">
        <f t="shared" si="153"/>
        <v/>
      </c>
      <c r="AX321" s="52" t="str">
        <f t="shared" si="154"/>
        <v/>
      </c>
      <c r="AY321" s="52" t="str">
        <f t="shared" si="159"/>
        <v/>
      </c>
    </row>
    <row r="322" spans="4:51">
      <c r="D322" s="23"/>
      <c r="E322" s="23"/>
      <c r="F322" s="23"/>
      <c r="G322" s="23"/>
      <c r="H322" s="23"/>
      <c r="I322" s="3"/>
      <c r="J322" s="3"/>
      <c r="K322" s="3"/>
      <c r="L322" s="2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26"/>
      <c r="Y322" s="1"/>
      <c r="Z322" s="12">
        <f t="shared" si="155"/>
        <v>0</v>
      </c>
      <c r="AA322" s="14">
        <f t="shared" si="156"/>
        <v>0</v>
      </c>
      <c r="AB322" s="6">
        <f t="shared" si="134"/>
        <v>0</v>
      </c>
      <c r="AC322" s="6">
        <f t="shared" si="135"/>
        <v>0</v>
      </c>
      <c r="AD322" s="6">
        <f t="shared" si="136"/>
        <v>0</v>
      </c>
      <c r="AE322" s="52" t="str">
        <f t="shared" si="137"/>
        <v/>
      </c>
      <c r="AF322" s="52" t="str">
        <f t="shared" si="138"/>
        <v/>
      </c>
      <c r="AG322" s="50" t="str">
        <f t="shared" si="157"/>
        <v/>
      </c>
      <c r="AH322" s="50" t="str">
        <f t="shared" si="158"/>
        <v/>
      </c>
      <c r="AI322" s="52" t="str">
        <f t="shared" si="139"/>
        <v/>
      </c>
      <c r="AJ322" s="52" t="str">
        <f t="shared" si="140"/>
        <v/>
      </c>
      <c r="AK322" s="52" t="str">
        <f t="shared" si="141"/>
        <v/>
      </c>
      <c r="AL322" s="52" t="str">
        <f t="shared" si="142"/>
        <v/>
      </c>
      <c r="AM322" s="52" t="str">
        <f t="shared" si="143"/>
        <v/>
      </c>
      <c r="AN322" s="52" t="str">
        <f t="shared" si="144"/>
        <v/>
      </c>
      <c r="AO322" s="52" t="str">
        <f t="shared" si="145"/>
        <v/>
      </c>
      <c r="AP322" s="52" t="str">
        <f t="shared" si="146"/>
        <v/>
      </c>
      <c r="AQ322" s="52" t="str">
        <f t="shared" si="147"/>
        <v/>
      </c>
      <c r="AR322" s="52" t="str">
        <f t="shared" si="148"/>
        <v/>
      </c>
      <c r="AS322" s="52" t="str">
        <f t="shared" si="149"/>
        <v/>
      </c>
      <c r="AT322" s="52" t="str">
        <f t="shared" si="150"/>
        <v/>
      </c>
      <c r="AU322" s="52" t="str">
        <f t="shared" si="151"/>
        <v/>
      </c>
      <c r="AV322" s="52" t="str">
        <f t="shared" si="152"/>
        <v/>
      </c>
      <c r="AW322" s="52" t="str">
        <f t="shared" si="153"/>
        <v/>
      </c>
      <c r="AX322" s="52" t="str">
        <f t="shared" si="154"/>
        <v/>
      </c>
      <c r="AY322" s="52" t="str">
        <f t="shared" si="159"/>
        <v/>
      </c>
    </row>
    <row r="323" spans="4:51">
      <c r="D323" s="23"/>
      <c r="E323" s="23"/>
      <c r="F323" s="23"/>
      <c r="G323" s="23"/>
      <c r="H323" s="23"/>
      <c r="I323" s="3"/>
      <c r="J323" s="3"/>
      <c r="K323" s="3"/>
      <c r="L323" s="2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26"/>
      <c r="Y323" s="1"/>
      <c r="Z323" s="12">
        <f t="shared" si="155"/>
        <v>0</v>
      </c>
      <c r="AA323" s="14">
        <f t="shared" si="156"/>
        <v>0</v>
      </c>
      <c r="AB323" s="6">
        <f t="shared" si="134"/>
        <v>0</v>
      </c>
      <c r="AC323" s="6">
        <f t="shared" si="135"/>
        <v>0</v>
      </c>
      <c r="AD323" s="6">
        <f t="shared" si="136"/>
        <v>0</v>
      </c>
      <c r="AE323" s="52" t="str">
        <f t="shared" si="137"/>
        <v/>
      </c>
      <c r="AF323" s="52" t="str">
        <f t="shared" si="138"/>
        <v/>
      </c>
      <c r="AG323" s="50" t="str">
        <f t="shared" si="157"/>
        <v/>
      </c>
      <c r="AH323" s="50" t="str">
        <f t="shared" si="158"/>
        <v/>
      </c>
      <c r="AI323" s="52" t="str">
        <f t="shared" si="139"/>
        <v/>
      </c>
      <c r="AJ323" s="52" t="str">
        <f t="shared" si="140"/>
        <v/>
      </c>
      <c r="AK323" s="52" t="str">
        <f t="shared" si="141"/>
        <v/>
      </c>
      <c r="AL323" s="52" t="str">
        <f t="shared" si="142"/>
        <v/>
      </c>
      <c r="AM323" s="52" t="str">
        <f t="shared" si="143"/>
        <v/>
      </c>
      <c r="AN323" s="52" t="str">
        <f t="shared" si="144"/>
        <v/>
      </c>
      <c r="AO323" s="52" t="str">
        <f t="shared" si="145"/>
        <v/>
      </c>
      <c r="AP323" s="52" t="str">
        <f t="shared" si="146"/>
        <v/>
      </c>
      <c r="AQ323" s="52" t="str">
        <f t="shared" si="147"/>
        <v/>
      </c>
      <c r="AR323" s="52" t="str">
        <f t="shared" si="148"/>
        <v/>
      </c>
      <c r="AS323" s="52" t="str">
        <f t="shared" si="149"/>
        <v/>
      </c>
      <c r="AT323" s="52" t="str">
        <f t="shared" si="150"/>
        <v/>
      </c>
      <c r="AU323" s="52" t="str">
        <f t="shared" si="151"/>
        <v/>
      </c>
      <c r="AV323" s="52" t="str">
        <f t="shared" si="152"/>
        <v/>
      </c>
      <c r="AW323" s="52" t="str">
        <f t="shared" si="153"/>
        <v/>
      </c>
      <c r="AX323" s="52" t="str">
        <f t="shared" si="154"/>
        <v/>
      </c>
      <c r="AY323" s="52" t="str">
        <f t="shared" si="159"/>
        <v/>
      </c>
    </row>
    <row r="324" spans="4:51">
      <c r="D324" s="23"/>
      <c r="E324" s="23"/>
      <c r="F324" s="23"/>
      <c r="G324" s="23"/>
      <c r="H324" s="23"/>
      <c r="I324" s="3"/>
      <c r="J324" s="3"/>
      <c r="K324" s="3"/>
      <c r="L324" s="2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26"/>
      <c r="Y324" s="1"/>
      <c r="Z324" s="12">
        <f t="shared" si="155"/>
        <v>0</v>
      </c>
      <c r="AA324" s="14">
        <f t="shared" si="156"/>
        <v>0</v>
      </c>
      <c r="AB324" s="6">
        <f t="shared" si="134"/>
        <v>0</v>
      </c>
      <c r="AC324" s="6">
        <f t="shared" si="135"/>
        <v>0</v>
      </c>
      <c r="AD324" s="6">
        <f t="shared" si="136"/>
        <v>0</v>
      </c>
      <c r="AE324" s="52" t="str">
        <f t="shared" si="137"/>
        <v/>
      </c>
      <c r="AF324" s="52" t="str">
        <f t="shared" si="138"/>
        <v/>
      </c>
      <c r="AG324" s="50" t="str">
        <f t="shared" si="157"/>
        <v/>
      </c>
      <c r="AH324" s="50" t="str">
        <f t="shared" si="158"/>
        <v/>
      </c>
      <c r="AI324" s="52" t="str">
        <f t="shared" si="139"/>
        <v/>
      </c>
      <c r="AJ324" s="52" t="str">
        <f t="shared" si="140"/>
        <v/>
      </c>
      <c r="AK324" s="52" t="str">
        <f t="shared" si="141"/>
        <v/>
      </c>
      <c r="AL324" s="52" t="str">
        <f t="shared" si="142"/>
        <v/>
      </c>
      <c r="AM324" s="52" t="str">
        <f t="shared" si="143"/>
        <v/>
      </c>
      <c r="AN324" s="52" t="str">
        <f t="shared" si="144"/>
        <v/>
      </c>
      <c r="AO324" s="52" t="str">
        <f t="shared" si="145"/>
        <v/>
      </c>
      <c r="AP324" s="52" t="str">
        <f t="shared" si="146"/>
        <v/>
      </c>
      <c r="AQ324" s="52" t="str">
        <f t="shared" si="147"/>
        <v/>
      </c>
      <c r="AR324" s="52" t="str">
        <f t="shared" si="148"/>
        <v/>
      </c>
      <c r="AS324" s="52" t="str">
        <f t="shared" si="149"/>
        <v/>
      </c>
      <c r="AT324" s="52" t="str">
        <f t="shared" si="150"/>
        <v/>
      </c>
      <c r="AU324" s="52" t="str">
        <f t="shared" si="151"/>
        <v/>
      </c>
      <c r="AV324" s="52" t="str">
        <f t="shared" si="152"/>
        <v/>
      </c>
      <c r="AW324" s="52" t="str">
        <f t="shared" si="153"/>
        <v/>
      </c>
      <c r="AX324" s="52" t="str">
        <f t="shared" si="154"/>
        <v/>
      </c>
      <c r="AY324" s="52" t="str">
        <f t="shared" si="159"/>
        <v/>
      </c>
    </row>
    <row r="325" spans="4:51">
      <c r="D325" s="23"/>
      <c r="E325" s="23"/>
      <c r="F325" s="23"/>
      <c r="G325" s="23"/>
      <c r="H325" s="23"/>
      <c r="I325" s="3"/>
      <c r="J325" s="3"/>
      <c r="K325" s="3"/>
      <c r="L325" s="2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26"/>
      <c r="Y325" s="1"/>
      <c r="Z325" s="12">
        <f t="shared" si="155"/>
        <v>0</v>
      </c>
      <c r="AA325" s="14">
        <f t="shared" si="156"/>
        <v>0</v>
      </c>
      <c r="AB325" s="6">
        <f t="shared" si="134"/>
        <v>0</v>
      </c>
      <c r="AC325" s="6">
        <f t="shared" si="135"/>
        <v>0</v>
      </c>
      <c r="AD325" s="6">
        <f t="shared" si="136"/>
        <v>0</v>
      </c>
      <c r="AE325" s="52" t="str">
        <f t="shared" si="137"/>
        <v/>
      </c>
      <c r="AF325" s="52" t="str">
        <f t="shared" si="138"/>
        <v/>
      </c>
      <c r="AG325" s="50" t="str">
        <f t="shared" si="157"/>
        <v/>
      </c>
      <c r="AH325" s="50" t="str">
        <f t="shared" si="158"/>
        <v/>
      </c>
      <c r="AI325" s="52" t="str">
        <f t="shared" si="139"/>
        <v/>
      </c>
      <c r="AJ325" s="52" t="str">
        <f t="shared" si="140"/>
        <v/>
      </c>
      <c r="AK325" s="52" t="str">
        <f t="shared" si="141"/>
        <v/>
      </c>
      <c r="AL325" s="52" t="str">
        <f t="shared" si="142"/>
        <v/>
      </c>
      <c r="AM325" s="52" t="str">
        <f t="shared" si="143"/>
        <v/>
      </c>
      <c r="AN325" s="52" t="str">
        <f t="shared" si="144"/>
        <v/>
      </c>
      <c r="AO325" s="52" t="str">
        <f t="shared" si="145"/>
        <v/>
      </c>
      <c r="AP325" s="52" t="str">
        <f t="shared" si="146"/>
        <v/>
      </c>
      <c r="AQ325" s="52" t="str">
        <f t="shared" si="147"/>
        <v/>
      </c>
      <c r="AR325" s="52" t="str">
        <f t="shared" si="148"/>
        <v/>
      </c>
      <c r="AS325" s="52" t="str">
        <f t="shared" si="149"/>
        <v/>
      </c>
      <c r="AT325" s="52" t="str">
        <f t="shared" si="150"/>
        <v/>
      </c>
      <c r="AU325" s="52" t="str">
        <f t="shared" si="151"/>
        <v/>
      </c>
      <c r="AV325" s="52" t="str">
        <f t="shared" si="152"/>
        <v/>
      </c>
      <c r="AW325" s="52" t="str">
        <f t="shared" si="153"/>
        <v/>
      </c>
      <c r="AX325" s="52" t="str">
        <f t="shared" si="154"/>
        <v/>
      </c>
      <c r="AY325" s="52" t="str">
        <f t="shared" si="159"/>
        <v/>
      </c>
    </row>
    <row r="326" spans="4:51">
      <c r="D326" s="23"/>
      <c r="E326" s="23"/>
      <c r="F326" s="23"/>
      <c r="G326" s="23"/>
      <c r="H326" s="23"/>
      <c r="I326" s="3"/>
      <c r="J326" s="3"/>
      <c r="K326" s="3"/>
      <c r="L326" s="2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26"/>
      <c r="Y326" s="1"/>
      <c r="Z326" s="12">
        <f t="shared" si="155"/>
        <v>0</v>
      </c>
      <c r="AA326" s="14">
        <f t="shared" si="156"/>
        <v>0</v>
      </c>
      <c r="AB326" s="6">
        <f t="shared" si="134"/>
        <v>0</v>
      </c>
      <c r="AC326" s="6">
        <f t="shared" si="135"/>
        <v>0</v>
      </c>
      <c r="AD326" s="6">
        <f t="shared" si="136"/>
        <v>0</v>
      </c>
      <c r="AE326" s="52" t="str">
        <f t="shared" si="137"/>
        <v/>
      </c>
      <c r="AF326" s="52" t="str">
        <f t="shared" si="138"/>
        <v/>
      </c>
      <c r="AG326" s="50" t="str">
        <f t="shared" si="157"/>
        <v/>
      </c>
      <c r="AH326" s="50" t="str">
        <f t="shared" si="158"/>
        <v/>
      </c>
      <c r="AI326" s="52" t="str">
        <f t="shared" si="139"/>
        <v/>
      </c>
      <c r="AJ326" s="52" t="str">
        <f t="shared" si="140"/>
        <v/>
      </c>
      <c r="AK326" s="52" t="str">
        <f t="shared" si="141"/>
        <v/>
      </c>
      <c r="AL326" s="52" t="str">
        <f t="shared" si="142"/>
        <v/>
      </c>
      <c r="AM326" s="52" t="str">
        <f t="shared" si="143"/>
        <v/>
      </c>
      <c r="AN326" s="52" t="str">
        <f t="shared" si="144"/>
        <v/>
      </c>
      <c r="AO326" s="52" t="str">
        <f t="shared" si="145"/>
        <v/>
      </c>
      <c r="AP326" s="52" t="str">
        <f t="shared" si="146"/>
        <v/>
      </c>
      <c r="AQ326" s="52" t="str">
        <f t="shared" si="147"/>
        <v/>
      </c>
      <c r="AR326" s="52" t="str">
        <f t="shared" si="148"/>
        <v/>
      </c>
      <c r="AS326" s="52" t="str">
        <f t="shared" si="149"/>
        <v/>
      </c>
      <c r="AT326" s="52" t="str">
        <f t="shared" si="150"/>
        <v/>
      </c>
      <c r="AU326" s="52" t="str">
        <f t="shared" si="151"/>
        <v/>
      </c>
      <c r="AV326" s="52" t="str">
        <f t="shared" si="152"/>
        <v/>
      </c>
      <c r="AW326" s="52" t="str">
        <f t="shared" si="153"/>
        <v/>
      </c>
      <c r="AX326" s="52" t="str">
        <f t="shared" si="154"/>
        <v/>
      </c>
      <c r="AY326" s="52" t="str">
        <f t="shared" si="159"/>
        <v/>
      </c>
    </row>
    <row r="327" spans="4:51">
      <c r="D327" s="23"/>
      <c r="E327" s="23"/>
      <c r="F327" s="23"/>
      <c r="G327" s="23"/>
      <c r="H327" s="23"/>
      <c r="I327" s="3"/>
      <c r="J327" s="3"/>
      <c r="K327" s="3"/>
      <c r="L327" s="2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26"/>
      <c r="Y327" s="1"/>
      <c r="Z327" s="12">
        <f t="shared" si="155"/>
        <v>0</v>
      </c>
      <c r="AA327" s="14">
        <f t="shared" si="156"/>
        <v>0</v>
      </c>
      <c r="AB327" s="6">
        <f t="shared" si="134"/>
        <v>0</v>
      </c>
      <c r="AC327" s="6">
        <f t="shared" si="135"/>
        <v>0</v>
      </c>
      <c r="AD327" s="6">
        <f t="shared" si="136"/>
        <v>0</v>
      </c>
      <c r="AE327" s="52" t="str">
        <f t="shared" si="137"/>
        <v/>
      </c>
      <c r="AF327" s="52" t="str">
        <f t="shared" si="138"/>
        <v/>
      </c>
      <c r="AG327" s="50" t="str">
        <f t="shared" si="157"/>
        <v/>
      </c>
      <c r="AH327" s="50" t="str">
        <f t="shared" si="158"/>
        <v/>
      </c>
      <c r="AI327" s="52" t="str">
        <f t="shared" si="139"/>
        <v/>
      </c>
      <c r="AJ327" s="52" t="str">
        <f t="shared" si="140"/>
        <v/>
      </c>
      <c r="AK327" s="52" t="str">
        <f t="shared" si="141"/>
        <v/>
      </c>
      <c r="AL327" s="52" t="str">
        <f t="shared" si="142"/>
        <v/>
      </c>
      <c r="AM327" s="52" t="str">
        <f t="shared" si="143"/>
        <v/>
      </c>
      <c r="AN327" s="52" t="str">
        <f t="shared" si="144"/>
        <v/>
      </c>
      <c r="AO327" s="52" t="str">
        <f t="shared" si="145"/>
        <v/>
      </c>
      <c r="AP327" s="52" t="str">
        <f t="shared" si="146"/>
        <v/>
      </c>
      <c r="AQ327" s="52" t="str">
        <f t="shared" si="147"/>
        <v/>
      </c>
      <c r="AR327" s="52" t="str">
        <f t="shared" si="148"/>
        <v/>
      </c>
      <c r="AS327" s="52" t="str">
        <f t="shared" si="149"/>
        <v/>
      </c>
      <c r="AT327" s="52" t="str">
        <f t="shared" si="150"/>
        <v/>
      </c>
      <c r="AU327" s="52" t="str">
        <f t="shared" si="151"/>
        <v/>
      </c>
      <c r="AV327" s="52" t="str">
        <f t="shared" si="152"/>
        <v/>
      </c>
      <c r="AW327" s="52" t="str">
        <f t="shared" si="153"/>
        <v/>
      </c>
      <c r="AX327" s="52" t="str">
        <f t="shared" si="154"/>
        <v/>
      </c>
      <c r="AY327" s="52" t="str">
        <f t="shared" si="159"/>
        <v/>
      </c>
    </row>
    <row r="328" spans="4:51">
      <c r="D328" s="23"/>
      <c r="E328" s="23"/>
      <c r="F328" s="23"/>
      <c r="G328" s="23"/>
      <c r="H328" s="23"/>
      <c r="I328" s="3"/>
      <c r="J328" s="3"/>
      <c r="K328" s="3"/>
      <c r="L328" s="2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26"/>
      <c r="Y328" s="1"/>
      <c r="Z328" s="12">
        <f t="shared" si="155"/>
        <v>0</v>
      </c>
      <c r="AA328" s="14">
        <f t="shared" si="156"/>
        <v>0</v>
      </c>
      <c r="AB328" s="6">
        <f t="shared" si="134"/>
        <v>0</v>
      </c>
      <c r="AC328" s="6">
        <f t="shared" si="135"/>
        <v>0</v>
      </c>
      <c r="AD328" s="6">
        <f t="shared" si="136"/>
        <v>0</v>
      </c>
      <c r="AE328" s="52" t="str">
        <f t="shared" si="137"/>
        <v/>
      </c>
      <c r="AF328" s="52" t="str">
        <f t="shared" si="138"/>
        <v/>
      </c>
      <c r="AG328" s="50" t="str">
        <f t="shared" si="157"/>
        <v/>
      </c>
      <c r="AH328" s="50" t="str">
        <f t="shared" si="158"/>
        <v/>
      </c>
      <c r="AI328" s="52" t="str">
        <f t="shared" si="139"/>
        <v/>
      </c>
      <c r="AJ328" s="52" t="str">
        <f t="shared" si="140"/>
        <v/>
      </c>
      <c r="AK328" s="52" t="str">
        <f t="shared" si="141"/>
        <v/>
      </c>
      <c r="AL328" s="52" t="str">
        <f t="shared" si="142"/>
        <v/>
      </c>
      <c r="AM328" s="52" t="str">
        <f t="shared" si="143"/>
        <v/>
      </c>
      <c r="AN328" s="52" t="str">
        <f t="shared" si="144"/>
        <v/>
      </c>
      <c r="AO328" s="52" t="str">
        <f t="shared" si="145"/>
        <v/>
      </c>
      <c r="AP328" s="52" t="str">
        <f t="shared" si="146"/>
        <v/>
      </c>
      <c r="AQ328" s="52" t="str">
        <f t="shared" si="147"/>
        <v/>
      </c>
      <c r="AR328" s="52" t="str">
        <f t="shared" si="148"/>
        <v/>
      </c>
      <c r="AS328" s="52" t="str">
        <f t="shared" si="149"/>
        <v/>
      </c>
      <c r="AT328" s="52" t="str">
        <f t="shared" si="150"/>
        <v/>
      </c>
      <c r="AU328" s="52" t="str">
        <f t="shared" si="151"/>
        <v/>
      </c>
      <c r="AV328" s="52" t="str">
        <f t="shared" si="152"/>
        <v/>
      </c>
      <c r="AW328" s="52" t="str">
        <f t="shared" si="153"/>
        <v/>
      </c>
      <c r="AX328" s="52" t="str">
        <f t="shared" si="154"/>
        <v/>
      </c>
      <c r="AY328" s="52" t="str">
        <f t="shared" si="159"/>
        <v/>
      </c>
    </row>
    <row r="329" spans="4:51">
      <c r="D329" s="23"/>
      <c r="E329" s="23"/>
      <c r="F329" s="23"/>
      <c r="G329" s="23"/>
      <c r="H329" s="23"/>
      <c r="I329" s="3"/>
      <c r="J329" s="3"/>
      <c r="K329" s="3"/>
      <c r="L329" s="2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26"/>
      <c r="Y329" s="1"/>
      <c r="Z329" s="12">
        <f t="shared" si="155"/>
        <v>0</v>
      </c>
      <c r="AA329" s="14">
        <f t="shared" si="156"/>
        <v>0</v>
      </c>
      <c r="AB329" s="6">
        <f t="shared" si="134"/>
        <v>0</v>
      </c>
      <c r="AC329" s="6">
        <f t="shared" si="135"/>
        <v>0</v>
      </c>
      <c r="AD329" s="6">
        <f t="shared" si="136"/>
        <v>0</v>
      </c>
      <c r="AE329" s="52" t="str">
        <f t="shared" si="137"/>
        <v/>
      </c>
      <c r="AF329" s="52" t="str">
        <f t="shared" si="138"/>
        <v/>
      </c>
      <c r="AG329" s="50" t="str">
        <f t="shared" si="157"/>
        <v/>
      </c>
      <c r="AH329" s="50" t="str">
        <f t="shared" si="158"/>
        <v/>
      </c>
      <c r="AI329" s="52" t="str">
        <f t="shared" si="139"/>
        <v/>
      </c>
      <c r="AJ329" s="52" t="str">
        <f t="shared" si="140"/>
        <v/>
      </c>
      <c r="AK329" s="52" t="str">
        <f t="shared" si="141"/>
        <v/>
      </c>
      <c r="AL329" s="52" t="str">
        <f t="shared" si="142"/>
        <v/>
      </c>
      <c r="AM329" s="52" t="str">
        <f t="shared" si="143"/>
        <v/>
      </c>
      <c r="AN329" s="52" t="str">
        <f t="shared" si="144"/>
        <v/>
      </c>
      <c r="AO329" s="52" t="str">
        <f t="shared" si="145"/>
        <v/>
      </c>
      <c r="AP329" s="52" t="str">
        <f t="shared" si="146"/>
        <v/>
      </c>
      <c r="AQ329" s="52" t="str">
        <f t="shared" si="147"/>
        <v/>
      </c>
      <c r="AR329" s="52" t="str">
        <f t="shared" si="148"/>
        <v/>
      </c>
      <c r="AS329" s="52" t="str">
        <f t="shared" si="149"/>
        <v/>
      </c>
      <c r="AT329" s="52" t="str">
        <f t="shared" si="150"/>
        <v/>
      </c>
      <c r="AU329" s="52" t="str">
        <f t="shared" si="151"/>
        <v/>
      </c>
      <c r="AV329" s="52" t="str">
        <f t="shared" si="152"/>
        <v/>
      </c>
      <c r="AW329" s="52" t="str">
        <f t="shared" si="153"/>
        <v/>
      </c>
      <c r="AX329" s="52" t="str">
        <f t="shared" si="154"/>
        <v/>
      </c>
      <c r="AY329" s="52" t="str">
        <f t="shared" si="159"/>
        <v/>
      </c>
    </row>
    <row r="330" spans="4:51">
      <c r="D330" s="23"/>
      <c r="E330" s="23"/>
      <c r="F330" s="23"/>
      <c r="G330" s="23"/>
      <c r="H330" s="23"/>
      <c r="I330" s="3"/>
      <c r="J330" s="3"/>
      <c r="K330" s="3"/>
      <c r="L330" s="2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26"/>
      <c r="Y330" s="1"/>
      <c r="Z330" s="12">
        <f t="shared" si="155"/>
        <v>0</v>
      </c>
      <c r="AA330" s="14">
        <f t="shared" si="156"/>
        <v>0</v>
      </c>
      <c r="AB330" s="6">
        <f t="shared" si="134"/>
        <v>0</v>
      </c>
      <c r="AC330" s="6">
        <f t="shared" si="135"/>
        <v>0</v>
      </c>
      <c r="AD330" s="6">
        <f t="shared" si="136"/>
        <v>0</v>
      </c>
      <c r="AE330" s="52" t="str">
        <f t="shared" si="137"/>
        <v/>
      </c>
      <c r="AF330" s="52" t="str">
        <f t="shared" si="138"/>
        <v/>
      </c>
      <c r="AG330" s="50" t="str">
        <f t="shared" si="157"/>
        <v/>
      </c>
      <c r="AH330" s="50" t="str">
        <f t="shared" si="158"/>
        <v/>
      </c>
      <c r="AI330" s="52" t="str">
        <f t="shared" si="139"/>
        <v/>
      </c>
      <c r="AJ330" s="52" t="str">
        <f t="shared" si="140"/>
        <v/>
      </c>
      <c r="AK330" s="52" t="str">
        <f t="shared" si="141"/>
        <v/>
      </c>
      <c r="AL330" s="52" t="str">
        <f t="shared" si="142"/>
        <v/>
      </c>
      <c r="AM330" s="52" t="str">
        <f t="shared" si="143"/>
        <v/>
      </c>
      <c r="AN330" s="52" t="str">
        <f t="shared" si="144"/>
        <v/>
      </c>
      <c r="AO330" s="52" t="str">
        <f t="shared" si="145"/>
        <v/>
      </c>
      <c r="AP330" s="52" t="str">
        <f t="shared" si="146"/>
        <v/>
      </c>
      <c r="AQ330" s="52" t="str">
        <f t="shared" si="147"/>
        <v/>
      </c>
      <c r="AR330" s="52" t="str">
        <f t="shared" si="148"/>
        <v/>
      </c>
      <c r="AS330" s="52" t="str">
        <f t="shared" si="149"/>
        <v/>
      </c>
      <c r="AT330" s="52" t="str">
        <f t="shared" si="150"/>
        <v/>
      </c>
      <c r="AU330" s="52" t="str">
        <f t="shared" si="151"/>
        <v/>
      </c>
      <c r="AV330" s="52" t="str">
        <f t="shared" si="152"/>
        <v/>
      </c>
      <c r="AW330" s="52" t="str">
        <f t="shared" si="153"/>
        <v/>
      </c>
      <c r="AX330" s="52" t="str">
        <f t="shared" si="154"/>
        <v/>
      </c>
      <c r="AY330" s="52" t="str">
        <f t="shared" si="159"/>
        <v/>
      </c>
    </row>
    <row r="331" spans="4:51">
      <c r="D331" s="23"/>
      <c r="E331" s="23"/>
      <c r="F331" s="23"/>
      <c r="G331" s="23"/>
      <c r="H331" s="23"/>
      <c r="I331" s="3"/>
      <c r="J331" s="3"/>
      <c r="K331" s="3"/>
      <c r="L331" s="2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26"/>
      <c r="Y331" s="1"/>
      <c r="Z331" s="12">
        <f t="shared" si="155"/>
        <v>0</v>
      </c>
      <c r="AA331" s="14">
        <f t="shared" si="156"/>
        <v>0</v>
      </c>
      <c r="AB331" s="6">
        <f t="shared" si="134"/>
        <v>0</v>
      </c>
      <c r="AC331" s="6">
        <f t="shared" si="135"/>
        <v>0</v>
      </c>
      <c r="AD331" s="6">
        <f t="shared" si="136"/>
        <v>0</v>
      </c>
      <c r="AE331" s="52" t="str">
        <f t="shared" si="137"/>
        <v/>
      </c>
      <c r="AF331" s="52" t="str">
        <f t="shared" si="138"/>
        <v/>
      </c>
      <c r="AG331" s="50" t="str">
        <f t="shared" si="157"/>
        <v/>
      </c>
      <c r="AH331" s="50" t="str">
        <f t="shared" si="158"/>
        <v/>
      </c>
      <c r="AI331" s="52" t="str">
        <f t="shared" si="139"/>
        <v/>
      </c>
      <c r="AJ331" s="52" t="str">
        <f t="shared" si="140"/>
        <v/>
      </c>
      <c r="AK331" s="52" t="str">
        <f t="shared" si="141"/>
        <v/>
      </c>
      <c r="AL331" s="52" t="str">
        <f t="shared" si="142"/>
        <v/>
      </c>
      <c r="AM331" s="52" t="str">
        <f t="shared" si="143"/>
        <v/>
      </c>
      <c r="AN331" s="52" t="str">
        <f t="shared" si="144"/>
        <v/>
      </c>
      <c r="AO331" s="52" t="str">
        <f t="shared" si="145"/>
        <v/>
      </c>
      <c r="AP331" s="52" t="str">
        <f t="shared" si="146"/>
        <v/>
      </c>
      <c r="AQ331" s="52" t="str">
        <f t="shared" si="147"/>
        <v/>
      </c>
      <c r="AR331" s="52" t="str">
        <f t="shared" si="148"/>
        <v/>
      </c>
      <c r="AS331" s="52" t="str">
        <f t="shared" si="149"/>
        <v/>
      </c>
      <c r="AT331" s="52" t="str">
        <f t="shared" si="150"/>
        <v/>
      </c>
      <c r="AU331" s="52" t="str">
        <f t="shared" si="151"/>
        <v/>
      </c>
      <c r="AV331" s="52" t="str">
        <f t="shared" si="152"/>
        <v/>
      </c>
      <c r="AW331" s="52" t="str">
        <f t="shared" si="153"/>
        <v/>
      </c>
      <c r="AX331" s="52" t="str">
        <f t="shared" si="154"/>
        <v/>
      </c>
      <c r="AY331" s="52" t="str">
        <f t="shared" si="159"/>
        <v/>
      </c>
    </row>
    <row r="332" spans="4:51">
      <c r="D332" s="23"/>
      <c r="E332" s="23"/>
      <c r="F332" s="23"/>
      <c r="G332" s="23"/>
      <c r="H332" s="23"/>
      <c r="I332" s="3"/>
      <c r="J332" s="3"/>
      <c r="K332" s="3"/>
      <c r="L332" s="2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26"/>
      <c r="Y332" s="1"/>
      <c r="Z332" s="12">
        <f t="shared" si="155"/>
        <v>0</v>
      </c>
      <c r="AA332" s="14">
        <f t="shared" si="156"/>
        <v>0</v>
      </c>
      <c r="AB332" s="6">
        <f t="shared" si="134"/>
        <v>0</v>
      </c>
      <c r="AC332" s="6">
        <f t="shared" si="135"/>
        <v>0</v>
      </c>
      <c r="AD332" s="6">
        <f t="shared" si="136"/>
        <v>0</v>
      </c>
      <c r="AE332" s="52" t="str">
        <f t="shared" si="137"/>
        <v/>
      </c>
      <c r="AF332" s="52" t="str">
        <f t="shared" si="138"/>
        <v/>
      </c>
      <c r="AG332" s="50" t="str">
        <f t="shared" si="157"/>
        <v/>
      </c>
      <c r="AH332" s="50" t="str">
        <f t="shared" si="158"/>
        <v/>
      </c>
      <c r="AI332" s="52" t="str">
        <f t="shared" si="139"/>
        <v/>
      </c>
      <c r="AJ332" s="52" t="str">
        <f t="shared" si="140"/>
        <v/>
      </c>
      <c r="AK332" s="52" t="str">
        <f t="shared" si="141"/>
        <v/>
      </c>
      <c r="AL332" s="52" t="str">
        <f t="shared" si="142"/>
        <v/>
      </c>
      <c r="AM332" s="52" t="str">
        <f t="shared" si="143"/>
        <v/>
      </c>
      <c r="AN332" s="52" t="str">
        <f t="shared" si="144"/>
        <v/>
      </c>
      <c r="AO332" s="52" t="str">
        <f t="shared" si="145"/>
        <v/>
      </c>
      <c r="AP332" s="52" t="str">
        <f t="shared" si="146"/>
        <v/>
      </c>
      <c r="AQ332" s="52" t="str">
        <f t="shared" si="147"/>
        <v/>
      </c>
      <c r="AR332" s="52" t="str">
        <f t="shared" si="148"/>
        <v/>
      </c>
      <c r="AS332" s="52" t="str">
        <f t="shared" si="149"/>
        <v/>
      </c>
      <c r="AT332" s="52" t="str">
        <f t="shared" si="150"/>
        <v/>
      </c>
      <c r="AU332" s="52" t="str">
        <f t="shared" si="151"/>
        <v/>
      </c>
      <c r="AV332" s="52" t="str">
        <f t="shared" si="152"/>
        <v/>
      </c>
      <c r="AW332" s="52" t="str">
        <f t="shared" si="153"/>
        <v/>
      </c>
      <c r="AX332" s="52" t="str">
        <f t="shared" si="154"/>
        <v/>
      </c>
      <c r="AY332" s="52" t="str">
        <f t="shared" si="159"/>
        <v/>
      </c>
    </row>
    <row r="333" spans="4:51">
      <c r="D333" s="23"/>
      <c r="E333" s="23"/>
      <c r="F333" s="23"/>
      <c r="G333" s="23"/>
      <c r="H333" s="23"/>
      <c r="I333" s="3"/>
      <c r="J333" s="3"/>
      <c r="K333" s="3"/>
      <c r="L333" s="2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26"/>
      <c r="Y333" s="1"/>
      <c r="Z333" s="12">
        <f t="shared" si="155"/>
        <v>0</v>
      </c>
      <c r="AA333" s="14">
        <f t="shared" si="156"/>
        <v>0</v>
      </c>
      <c r="AB333" s="6">
        <f t="shared" si="134"/>
        <v>0</v>
      </c>
      <c r="AC333" s="6">
        <f t="shared" si="135"/>
        <v>0</v>
      </c>
      <c r="AD333" s="6">
        <f t="shared" si="136"/>
        <v>0</v>
      </c>
      <c r="AE333" s="52" t="str">
        <f t="shared" si="137"/>
        <v/>
      </c>
      <c r="AF333" s="52" t="str">
        <f t="shared" si="138"/>
        <v/>
      </c>
      <c r="AG333" s="50" t="str">
        <f t="shared" si="157"/>
        <v/>
      </c>
      <c r="AH333" s="50" t="str">
        <f t="shared" si="158"/>
        <v/>
      </c>
      <c r="AI333" s="52" t="str">
        <f t="shared" si="139"/>
        <v/>
      </c>
      <c r="AJ333" s="52" t="str">
        <f t="shared" si="140"/>
        <v/>
      </c>
      <c r="AK333" s="52" t="str">
        <f t="shared" si="141"/>
        <v/>
      </c>
      <c r="AL333" s="52" t="str">
        <f t="shared" si="142"/>
        <v/>
      </c>
      <c r="AM333" s="52" t="str">
        <f t="shared" si="143"/>
        <v/>
      </c>
      <c r="AN333" s="52" t="str">
        <f t="shared" si="144"/>
        <v/>
      </c>
      <c r="AO333" s="52" t="str">
        <f t="shared" si="145"/>
        <v/>
      </c>
      <c r="AP333" s="52" t="str">
        <f t="shared" si="146"/>
        <v/>
      </c>
      <c r="AQ333" s="52" t="str">
        <f t="shared" si="147"/>
        <v/>
      </c>
      <c r="AR333" s="52" t="str">
        <f t="shared" si="148"/>
        <v/>
      </c>
      <c r="AS333" s="52" t="str">
        <f t="shared" si="149"/>
        <v/>
      </c>
      <c r="AT333" s="52" t="str">
        <f t="shared" si="150"/>
        <v/>
      </c>
      <c r="AU333" s="52" t="str">
        <f t="shared" si="151"/>
        <v/>
      </c>
      <c r="AV333" s="52" t="str">
        <f t="shared" si="152"/>
        <v/>
      </c>
      <c r="AW333" s="52" t="str">
        <f t="shared" si="153"/>
        <v/>
      </c>
      <c r="AX333" s="52" t="str">
        <f t="shared" si="154"/>
        <v/>
      </c>
      <c r="AY333" s="52" t="str">
        <f t="shared" si="159"/>
        <v/>
      </c>
    </row>
    <row r="334" spans="4:51">
      <c r="D334" s="23"/>
      <c r="E334" s="23"/>
      <c r="F334" s="23"/>
      <c r="G334" s="23"/>
      <c r="H334" s="23"/>
      <c r="I334" s="3"/>
      <c r="J334" s="3"/>
      <c r="K334" s="3"/>
      <c r="L334" s="2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26"/>
      <c r="Y334" s="1"/>
      <c r="Z334" s="12">
        <f t="shared" si="155"/>
        <v>0</v>
      </c>
      <c r="AA334" s="14">
        <f t="shared" si="156"/>
        <v>0</v>
      </c>
      <c r="AB334" s="6">
        <f t="shared" si="134"/>
        <v>0</v>
      </c>
      <c r="AC334" s="6">
        <f t="shared" si="135"/>
        <v>0</v>
      </c>
      <c r="AD334" s="6">
        <f t="shared" si="136"/>
        <v>0</v>
      </c>
      <c r="AE334" s="52" t="str">
        <f t="shared" si="137"/>
        <v/>
      </c>
      <c r="AF334" s="52" t="str">
        <f t="shared" si="138"/>
        <v/>
      </c>
      <c r="AG334" s="50" t="str">
        <f t="shared" si="157"/>
        <v/>
      </c>
      <c r="AH334" s="50" t="str">
        <f t="shared" si="158"/>
        <v/>
      </c>
      <c r="AI334" s="52" t="str">
        <f t="shared" si="139"/>
        <v/>
      </c>
      <c r="AJ334" s="52" t="str">
        <f t="shared" si="140"/>
        <v/>
      </c>
      <c r="AK334" s="52" t="str">
        <f t="shared" si="141"/>
        <v/>
      </c>
      <c r="AL334" s="52" t="str">
        <f t="shared" si="142"/>
        <v/>
      </c>
      <c r="AM334" s="52" t="str">
        <f t="shared" si="143"/>
        <v/>
      </c>
      <c r="AN334" s="52" t="str">
        <f t="shared" si="144"/>
        <v/>
      </c>
      <c r="AO334" s="52" t="str">
        <f t="shared" si="145"/>
        <v/>
      </c>
      <c r="AP334" s="52" t="str">
        <f t="shared" si="146"/>
        <v/>
      </c>
      <c r="AQ334" s="52" t="str">
        <f t="shared" si="147"/>
        <v/>
      </c>
      <c r="AR334" s="52" t="str">
        <f t="shared" si="148"/>
        <v/>
      </c>
      <c r="AS334" s="52" t="str">
        <f t="shared" si="149"/>
        <v/>
      </c>
      <c r="AT334" s="52" t="str">
        <f t="shared" si="150"/>
        <v/>
      </c>
      <c r="AU334" s="52" t="str">
        <f t="shared" si="151"/>
        <v/>
      </c>
      <c r="AV334" s="52" t="str">
        <f t="shared" si="152"/>
        <v/>
      </c>
      <c r="AW334" s="52" t="str">
        <f t="shared" si="153"/>
        <v/>
      </c>
      <c r="AX334" s="52" t="str">
        <f t="shared" si="154"/>
        <v/>
      </c>
      <c r="AY334" s="52" t="str">
        <f t="shared" si="159"/>
        <v/>
      </c>
    </row>
    <row r="335" spans="4:51">
      <c r="D335" s="23"/>
      <c r="E335" s="23"/>
      <c r="F335" s="23"/>
      <c r="G335" s="23"/>
      <c r="H335" s="23"/>
      <c r="I335" s="3"/>
      <c r="J335" s="3"/>
      <c r="K335" s="3"/>
      <c r="L335" s="2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26"/>
      <c r="Y335" s="1"/>
      <c r="Z335" s="12">
        <f t="shared" si="155"/>
        <v>0</v>
      </c>
      <c r="AA335" s="14">
        <f t="shared" si="156"/>
        <v>0</v>
      </c>
      <c r="AB335" s="6">
        <f t="shared" si="134"/>
        <v>0</v>
      </c>
      <c r="AC335" s="6">
        <f t="shared" si="135"/>
        <v>0</v>
      </c>
      <c r="AD335" s="6">
        <f t="shared" si="136"/>
        <v>0</v>
      </c>
      <c r="AE335" s="52" t="str">
        <f t="shared" si="137"/>
        <v/>
      </c>
      <c r="AF335" s="52" t="str">
        <f t="shared" si="138"/>
        <v/>
      </c>
      <c r="AG335" s="50" t="str">
        <f t="shared" si="157"/>
        <v/>
      </c>
      <c r="AH335" s="50" t="str">
        <f t="shared" si="158"/>
        <v/>
      </c>
      <c r="AI335" s="52" t="str">
        <f t="shared" si="139"/>
        <v/>
      </c>
      <c r="AJ335" s="52" t="str">
        <f t="shared" si="140"/>
        <v/>
      </c>
      <c r="AK335" s="52" t="str">
        <f t="shared" si="141"/>
        <v/>
      </c>
      <c r="AL335" s="52" t="str">
        <f t="shared" si="142"/>
        <v/>
      </c>
      <c r="AM335" s="52" t="str">
        <f t="shared" si="143"/>
        <v/>
      </c>
      <c r="AN335" s="52" t="str">
        <f t="shared" si="144"/>
        <v/>
      </c>
      <c r="AO335" s="52" t="str">
        <f t="shared" si="145"/>
        <v/>
      </c>
      <c r="AP335" s="52" t="str">
        <f t="shared" si="146"/>
        <v/>
      </c>
      <c r="AQ335" s="52" t="str">
        <f t="shared" si="147"/>
        <v/>
      </c>
      <c r="AR335" s="52" t="str">
        <f t="shared" si="148"/>
        <v/>
      </c>
      <c r="AS335" s="52" t="str">
        <f t="shared" si="149"/>
        <v/>
      </c>
      <c r="AT335" s="52" t="str">
        <f t="shared" si="150"/>
        <v/>
      </c>
      <c r="AU335" s="52" t="str">
        <f t="shared" si="151"/>
        <v/>
      </c>
      <c r="AV335" s="52" t="str">
        <f t="shared" si="152"/>
        <v/>
      </c>
      <c r="AW335" s="52" t="str">
        <f t="shared" si="153"/>
        <v/>
      </c>
      <c r="AX335" s="52" t="str">
        <f t="shared" si="154"/>
        <v/>
      </c>
      <c r="AY335" s="52" t="str">
        <f t="shared" si="159"/>
        <v/>
      </c>
    </row>
    <row r="336" spans="4:51">
      <c r="D336" s="23"/>
      <c r="E336" s="23"/>
      <c r="F336" s="23"/>
      <c r="G336" s="23"/>
      <c r="H336" s="23"/>
      <c r="I336" s="3"/>
      <c r="J336" s="3"/>
      <c r="K336" s="3"/>
      <c r="L336" s="2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26"/>
      <c r="Y336" s="1"/>
      <c r="Z336" s="12">
        <f t="shared" si="155"/>
        <v>0</v>
      </c>
      <c r="AA336" s="14">
        <f t="shared" si="156"/>
        <v>0</v>
      </c>
      <c r="AB336" s="6">
        <f t="shared" si="134"/>
        <v>0</v>
      </c>
      <c r="AC336" s="6">
        <f t="shared" si="135"/>
        <v>0</v>
      </c>
      <c r="AD336" s="6">
        <f t="shared" si="136"/>
        <v>0</v>
      </c>
      <c r="AE336" s="52" t="str">
        <f t="shared" si="137"/>
        <v/>
      </c>
      <c r="AF336" s="52" t="str">
        <f t="shared" si="138"/>
        <v/>
      </c>
      <c r="AG336" s="50" t="str">
        <f t="shared" si="157"/>
        <v/>
      </c>
      <c r="AH336" s="50" t="str">
        <f t="shared" si="158"/>
        <v/>
      </c>
      <c r="AI336" s="52" t="str">
        <f t="shared" si="139"/>
        <v/>
      </c>
      <c r="AJ336" s="52" t="str">
        <f t="shared" si="140"/>
        <v/>
      </c>
      <c r="AK336" s="52" t="str">
        <f t="shared" si="141"/>
        <v/>
      </c>
      <c r="AL336" s="52" t="str">
        <f t="shared" si="142"/>
        <v/>
      </c>
      <c r="AM336" s="52" t="str">
        <f t="shared" si="143"/>
        <v/>
      </c>
      <c r="AN336" s="52" t="str">
        <f t="shared" si="144"/>
        <v/>
      </c>
      <c r="AO336" s="52" t="str">
        <f t="shared" si="145"/>
        <v/>
      </c>
      <c r="AP336" s="52" t="str">
        <f t="shared" si="146"/>
        <v/>
      </c>
      <c r="AQ336" s="52" t="str">
        <f t="shared" si="147"/>
        <v/>
      </c>
      <c r="AR336" s="52" t="str">
        <f t="shared" si="148"/>
        <v/>
      </c>
      <c r="AS336" s="52" t="str">
        <f t="shared" si="149"/>
        <v/>
      </c>
      <c r="AT336" s="52" t="str">
        <f t="shared" si="150"/>
        <v/>
      </c>
      <c r="AU336" s="52" t="str">
        <f t="shared" si="151"/>
        <v/>
      </c>
      <c r="AV336" s="52" t="str">
        <f t="shared" si="152"/>
        <v/>
      </c>
      <c r="AW336" s="52" t="str">
        <f t="shared" si="153"/>
        <v/>
      </c>
      <c r="AX336" s="52" t="str">
        <f t="shared" si="154"/>
        <v/>
      </c>
      <c r="AY336" s="52" t="str">
        <f t="shared" si="159"/>
        <v/>
      </c>
    </row>
    <row r="337" spans="4:51">
      <c r="D337" s="23"/>
      <c r="E337" s="23"/>
      <c r="F337" s="23"/>
      <c r="G337" s="23"/>
      <c r="H337" s="23"/>
      <c r="I337" s="3"/>
      <c r="J337" s="3"/>
      <c r="K337" s="3"/>
      <c r="L337" s="2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26"/>
      <c r="Y337" s="1"/>
      <c r="Z337" s="12">
        <f t="shared" si="155"/>
        <v>0</v>
      </c>
      <c r="AA337" s="14">
        <f t="shared" si="156"/>
        <v>0</v>
      </c>
      <c r="AB337" s="6">
        <f t="shared" si="134"/>
        <v>0</v>
      </c>
      <c r="AC337" s="6">
        <f t="shared" si="135"/>
        <v>0</v>
      </c>
      <c r="AD337" s="6">
        <f t="shared" si="136"/>
        <v>0</v>
      </c>
      <c r="AE337" s="52" t="str">
        <f t="shared" si="137"/>
        <v/>
      </c>
      <c r="AF337" s="52" t="str">
        <f t="shared" si="138"/>
        <v/>
      </c>
      <c r="AG337" s="50" t="str">
        <f t="shared" si="157"/>
        <v/>
      </c>
      <c r="AH337" s="50" t="str">
        <f t="shared" si="158"/>
        <v/>
      </c>
      <c r="AI337" s="52" t="str">
        <f t="shared" si="139"/>
        <v/>
      </c>
      <c r="AJ337" s="52" t="str">
        <f t="shared" si="140"/>
        <v/>
      </c>
      <c r="AK337" s="52" t="str">
        <f t="shared" si="141"/>
        <v/>
      </c>
      <c r="AL337" s="52" t="str">
        <f t="shared" si="142"/>
        <v/>
      </c>
      <c r="AM337" s="52" t="str">
        <f t="shared" si="143"/>
        <v/>
      </c>
      <c r="AN337" s="52" t="str">
        <f t="shared" si="144"/>
        <v/>
      </c>
      <c r="AO337" s="52" t="str">
        <f t="shared" si="145"/>
        <v/>
      </c>
      <c r="AP337" s="52" t="str">
        <f t="shared" si="146"/>
        <v/>
      </c>
      <c r="AQ337" s="52" t="str">
        <f t="shared" si="147"/>
        <v/>
      </c>
      <c r="AR337" s="52" t="str">
        <f t="shared" si="148"/>
        <v/>
      </c>
      <c r="AS337" s="52" t="str">
        <f t="shared" si="149"/>
        <v/>
      </c>
      <c r="AT337" s="52" t="str">
        <f t="shared" si="150"/>
        <v/>
      </c>
      <c r="AU337" s="52" t="str">
        <f t="shared" si="151"/>
        <v/>
      </c>
      <c r="AV337" s="52" t="str">
        <f t="shared" si="152"/>
        <v/>
      </c>
      <c r="AW337" s="52" t="str">
        <f t="shared" si="153"/>
        <v/>
      </c>
      <c r="AX337" s="52" t="str">
        <f t="shared" si="154"/>
        <v/>
      </c>
      <c r="AY337" s="52" t="str">
        <f t="shared" si="159"/>
        <v/>
      </c>
    </row>
    <row r="338" spans="4:51">
      <c r="D338" s="23"/>
      <c r="E338" s="23"/>
      <c r="F338" s="23"/>
      <c r="G338" s="23"/>
      <c r="H338" s="23"/>
      <c r="I338" s="3"/>
      <c r="J338" s="3"/>
      <c r="K338" s="3"/>
      <c r="L338" s="2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26"/>
      <c r="Y338" s="1"/>
      <c r="Z338" s="12">
        <f t="shared" si="155"/>
        <v>0</v>
      </c>
      <c r="AA338" s="14">
        <f t="shared" si="156"/>
        <v>0</v>
      </c>
      <c r="AB338" s="6">
        <f t="shared" si="134"/>
        <v>0</v>
      </c>
      <c r="AC338" s="6">
        <f t="shared" si="135"/>
        <v>0</v>
      </c>
      <c r="AD338" s="6">
        <f t="shared" si="136"/>
        <v>0</v>
      </c>
      <c r="AE338" s="52" t="str">
        <f t="shared" si="137"/>
        <v/>
      </c>
      <c r="AF338" s="52" t="str">
        <f t="shared" si="138"/>
        <v/>
      </c>
      <c r="AG338" s="50" t="str">
        <f t="shared" si="157"/>
        <v/>
      </c>
      <c r="AH338" s="50" t="str">
        <f t="shared" si="158"/>
        <v/>
      </c>
      <c r="AI338" s="52" t="str">
        <f t="shared" si="139"/>
        <v/>
      </c>
      <c r="AJ338" s="52" t="str">
        <f t="shared" si="140"/>
        <v/>
      </c>
      <c r="AK338" s="52" t="str">
        <f t="shared" si="141"/>
        <v/>
      </c>
      <c r="AL338" s="52" t="str">
        <f t="shared" si="142"/>
        <v/>
      </c>
      <c r="AM338" s="52" t="str">
        <f t="shared" si="143"/>
        <v/>
      </c>
      <c r="AN338" s="52" t="str">
        <f t="shared" si="144"/>
        <v/>
      </c>
      <c r="AO338" s="52" t="str">
        <f t="shared" si="145"/>
        <v/>
      </c>
      <c r="AP338" s="52" t="str">
        <f t="shared" si="146"/>
        <v/>
      </c>
      <c r="AQ338" s="52" t="str">
        <f t="shared" si="147"/>
        <v/>
      </c>
      <c r="AR338" s="52" t="str">
        <f t="shared" si="148"/>
        <v/>
      </c>
      <c r="AS338" s="52" t="str">
        <f t="shared" si="149"/>
        <v/>
      </c>
      <c r="AT338" s="52" t="str">
        <f t="shared" si="150"/>
        <v/>
      </c>
      <c r="AU338" s="52" t="str">
        <f t="shared" si="151"/>
        <v/>
      </c>
      <c r="AV338" s="52" t="str">
        <f t="shared" si="152"/>
        <v/>
      </c>
      <c r="AW338" s="52" t="str">
        <f t="shared" si="153"/>
        <v/>
      </c>
      <c r="AX338" s="52" t="str">
        <f t="shared" si="154"/>
        <v/>
      </c>
      <c r="AY338" s="52" t="str">
        <f t="shared" si="159"/>
        <v/>
      </c>
    </row>
    <row r="339" spans="4:51">
      <c r="D339" s="23"/>
      <c r="E339" s="23"/>
      <c r="F339" s="23"/>
      <c r="G339" s="23"/>
      <c r="H339" s="23"/>
      <c r="I339" s="3"/>
      <c r="J339" s="3"/>
      <c r="K339" s="3"/>
      <c r="L339" s="2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26"/>
      <c r="Y339" s="1"/>
      <c r="Z339" s="12">
        <f t="shared" si="155"/>
        <v>0</v>
      </c>
      <c r="AA339" s="14">
        <f t="shared" si="156"/>
        <v>0</v>
      </c>
      <c r="AB339" s="6">
        <f t="shared" si="134"/>
        <v>0</v>
      </c>
      <c r="AC339" s="6">
        <f t="shared" si="135"/>
        <v>0</v>
      </c>
      <c r="AD339" s="6">
        <f t="shared" si="136"/>
        <v>0</v>
      </c>
      <c r="AE339" s="52" t="str">
        <f t="shared" si="137"/>
        <v/>
      </c>
      <c r="AF339" s="52" t="str">
        <f t="shared" si="138"/>
        <v/>
      </c>
      <c r="AG339" s="50" t="str">
        <f t="shared" si="157"/>
        <v/>
      </c>
      <c r="AH339" s="50" t="str">
        <f t="shared" si="158"/>
        <v/>
      </c>
      <c r="AI339" s="52" t="str">
        <f t="shared" si="139"/>
        <v/>
      </c>
      <c r="AJ339" s="52" t="str">
        <f t="shared" si="140"/>
        <v/>
      </c>
      <c r="AK339" s="52" t="str">
        <f t="shared" si="141"/>
        <v/>
      </c>
      <c r="AL339" s="52" t="str">
        <f t="shared" si="142"/>
        <v/>
      </c>
      <c r="AM339" s="52" t="str">
        <f t="shared" si="143"/>
        <v/>
      </c>
      <c r="AN339" s="52" t="str">
        <f t="shared" si="144"/>
        <v/>
      </c>
      <c r="AO339" s="52" t="str">
        <f t="shared" si="145"/>
        <v/>
      </c>
      <c r="AP339" s="52" t="str">
        <f t="shared" si="146"/>
        <v/>
      </c>
      <c r="AQ339" s="52" t="str">
        <f t="shared" si="147"/>
        <v/>
      </c>
      <c r="AR339" s="52" t="str">
        <f t="shared" si="148"/>
        <v/>
      </c>
      <c r="AS339" s="52" t="str">
        <f t="shared" si="149"/>
        <v/>
      </c>
      <c r="AT339" s="52" t="str">
        <f t="shared" si="150"/>
        <v/>
      </c>
      <c r="AU339" s="52" t="str">
        <f t="shared" si="151"/>
        <v/>
      </c>
      <c r="AV339" s="52" t="str">
        <f t="shared" si="152"/>
        <v/>
      </c>
      <c r="AW339" s="52" t="str">
        <f t="shared" si="153"/>
        <v/>
      </c>
      <c r="AX339" s="52" t="str">
        <f t="shared" si="154"/>
        <v/>
      </c>
      <c r="AY339" s="52" t="str">
        <f t="shared" si="159"/>
        <v/>
      </c>
    </row>
    <row r="340" spans="4:51">
      <c r="D340" s="23"/>
      <c r="E340" s="23"/>
      <c r="F340" s="23"/>
      <c r="G340" s="23"/>
      <c r="H340" s="23"/>
      <c r="I340" s="3"/>
      <c r="J340" s="3"/>
      <c r="K340" s="3"/>
      <c r="L340" s="2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26"/>
      <c r="Y340" s="1"/>
      <c r="Z340" s="12">
        <f t="shared" si="155"/>
        <v>0</v>
      </c>
      <c r="AA340" s="14">
        <f t="shared" si="156"/>
        <v>0</v>
      </c>
      <c r="AB340" s="6">
        <f t="shared" si="134"/>
        <v>0</v>
      </c>
      <c r="AC340" s="6">
        <f t="shared" si="135"/>
        <v>0</v>
      </c>
      <c r="AD340" s="6">
        <f t="shared" si="136"/>
        <v>0</v>
      </c>
      <c r="AE340" s="52" t="str">
        <f t="shared" si="137"/>
        <v/>
      </c>
      <c r="AF340" s="52" t="str">
        <f t="shared" si="138"/>
        <v/>
      </c>
      <c r="AG340" s="50" t="str">
        <f t="shared" si="157"/>
        <v/>
      </c>
      <c r="AH340" s="50" t="str">
        <f t="shared" si="158"/>
        <v/>
      </c>
      <c r="AI340" s="52" t="str">
        <f t="shared" si="139"/>
        <v/>
      </c>
      <c r="AJ340" s="52" t="str">
        <f t="shared" si="140"/>
        <v/>
      </c>
      <c r="AK340" s="52" t="str">
        <f t="shared" si="141"/>
        <v/>
      </c>
      <c r="AL340" s="52" t="str">
        <f t="shared" si="142"/>
        <v/>
      </c>
      <c r="AM340" s="52" t="str">
        <f t="shared" si="143"/>
        <v/>
      </c>
      <c r="AN340" s="52" t="str">
        <f t="shared" si="144"/>
        <v/>
      </c>
      <c r="AO340" s="52" t="str">
        <f t="shared" si="145"/>
        <v/>
      </c>
      <c r="AP340" s="52" t="str">
        <f t="shared" si="146"/>
        <v/>
      </c>
      <c r="AQ340" s="52" t="str">
        <f t="shared" si="147"/>
        <v/>
      </c>
      <c r="AR340" s="52" t="str">
        <f t="shared" si="148"/>
        <v/>
      </c>
      <c r="AS340" s="52" t="str">
        <f t="shared" si="149"/>
        <v/>
      </c>
      <c r="AT340" s="52" t="str">
        <f t="shared" si="150"/>
        <v/>
      </c>
      <c r="AU340" s="52" t="str">
        <f t="shared" si="151"/>
        <v/>
      </c>
      <c r="AV340" s="52" t="str">
        <f t="shared" si="152"/>
        <v/>
      </c>
      <c r="AW340" s="52" t="str">
        <f t="shared" si="153"/>
        <v/>
      </c>
      <c r="AX340" s="52" t="str">
        <f t="shared" si="154"/>
        <v/>
      </c>
      <c r="AY340" s="52" t="str">
        <f t="shared" si="159"/>
        <v/>
      </c>
    </row>
    <row r="341" spans="4:51">
      <c r="D341" s="23"/>
      <c r="E341" s="23"/>
      <c r="F341" s="23"/>
      <c r="G341" s="23"/>
      <c r="H341" s="23"/>
      <c r="I341" s="3"/>
      <c r="J341" s="3"/>
      <c r="K341" s="3"/>
      <c r="L341" s="2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26"/>
      <c r="Y341" s="1"/>
      <c r="Z341" s="12">
        <f t="shared" si="155"/>
        <v>0</v>
      </c>
      <c r="AA341" s="14">
        <f t="shared" si="156"/>
        <v>0</v>
      </c>
      <c r="AB341" s="6">
        <f t="shared" si="134"/>
        <v>0</v>
      </c>
      <c r="AC341" s="6">
        <f t="shared" si="135"/>
        <v>0</v>
      </c>
      <c r="AD341" s="6">
        <f t="shared" si="136"/>
        <v>0</v>
      </c>
      <c r="AE341" s="52" t="str">
        <f t="shared" si="137"/>
        <v/>
      </c>
      <c r="AF341" s="52" t="str">
        <f t="shared" si="138"/>
        <v/>
      </c>
      <c r="AG341" s="50" t="str">
        <f t="shared" si="157"/>
        <v/>
      </c>
      <c r="AH341" s="50" t="str">
        <f t="shared" si="158"/>
        <v/>
      </c>
      <c r="AI341" s="52" t="str">
        <f t="shared" si="139"/>
        <v/>
      </c>
      <c r="AJ341" s="52" t="str">
        <f t="shared" si="140"/>
        <v/>
      </c>
      <c r="AK341" s="52" t="str">
        <f t="shared" si="141"/>
        <v/>
      </c>
      <c r="AL341" s="52" t="str">
        <f t="shared" si="142"/>
        <v/>
      </c>
      <c r="AM341" s="52" t="str">
        <f t="shared" si="143"/>
        <v/>
      </c>
      <c r="AN341" s="52" t="str">
        <f t="shared" si="144"/>
        <v/>
      </c>
      <c r="AO341" s="52" t="str">
        <f t="shared" si="145"/>
        <v/>
      </c>
      <c r="AP341" s="52" t="str">
        <f t="shared" si="146"/>
        <v/>
      </c>
      <c r="AQ341" s="52" t="str">
        <f t="shared" si="147"/>
        <v/>
      </c>
      <c r="AR341" s="52" t="str">
        <f t="shared" si="148"/>
        <v/>
      </c>
      <c r="AS341" s="52" t="str">
        <f t="shared" si="149"/>
        <v/>
      </c>
      <c r="AT341" s="52" t="str">
        <f t="shared" si="150"/>
        <v/>
      </c>
      <c r="AU341" s="52" t="str">
        <f t="shared" si="151"/>
        <v/>
      </c>
      <c r="AV341" s="52" t="str">
        <f t="shared" si="152"/>
        <v/>
      </c>
      <c r="AW341" s="52" t="str">
        <f t="shared" si="153"/>
        <v/>
      </c>
      <c r="AX341" s="52" t="str">
        <f t="shared" si="154"/>
        <v/>
      </c>
      <c r="AY341" s="52" t="str">
        <f t="shared" si="159"/>
        <v/>
      </c>
    </row>
    <row r="342" spans="4:51">
      <c r="D342" s="23"/>
      <c r="E342" s="23"/>
      <c r="F342" s="23"/>
      <c r="G342" s="23"/>
      <c r="H342" s="23"/>
      <c r="I342" s="3"/>
      <c r="J342" s="3"/>
      <c r="K342" s="3"/>
      <c r="L342" s="2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26"/>
      <c r="Y342" s="1"/>
      <c r="Z342" s="12">
        <f t="shared" si="155"/>
        <v>0</v>
      </c>
      <c r="AA342" s="14">
        <f t="shared" si="156"/>
        <v>0</v>
      </c>
      <c r="AB342" s="6">
        <f t="shared" si="134"/>
        <v>0</v>
      </c>
      <c r="AC342" s="6">
        <f t="shared" si="135"/>
        <v>0</v>
      </c>
      <c r="AD342" s="6">
        <f t="shared" si="136"/>
        <v>0</v>
      </c>
      <c r="AE342" s="52" t="str">
        <f t="shared" si="137"/>
        <v/>
      </c>
      <c r="AF342" s="52" t="str">
        <f t="shared" si="138"/>
        <v/>
      </c>
      <c r="AG342" s="50" t="str">
        <f t="shared" si="157"/>
        <v/>
      </c>
      <c r="AH342" s="50" t="str">
        <f t="shared" si="158"/>
        <v/>
      </c>
      <c r="AI342" s="52" t="str">
        <f t="shared" si="139"/>
        <v/>
      </c>
      <c r="AJ342" s="52" t="str">
        <f t="shared" si="140"/>
        <v/>
      </c>
      <c r="AK342" s="52" t="str">
        <f t="shared" si="141"/>
        <v/>
      </c>
      <c r="AL342" s="52" t="str">
        <f t="shared" si="142"/>
        <v/>
      </c>
      <c r="AM342" s="52" t="str">
        <f t="shared" si="143"/>
        <v/>
      </c>
      <c r="AN342" s="52" t="str">
        <f t="shared" si="144"/>
        <v/>
      </c>
      <c r="AO342" s="52" t="str">
        <f t="shared" si="145"/>
        <v/>
      </c>
      <c r="AP342" s="52" t="str">
        <f t="shared" si="146"/>
        <v/>
      </c>
      <c r="AQ342" s="52" t="str">
        <f t="shared" si="147"/>
        <v/>
      </c>
      <c r="AR342" s="52" t="str">
        <f t="shared" si="148"/>
        <v/>
      </c>
      <c r="AS342" s="52" t="str">
        <f t="shared" si="149"/>
        <v/>
      </c>
      <c r="AT342" s="52" t="str">
        <f t="shared" si="150"/>
        <v/>
      </c>
      <c r="AU342" s="52" t="str">
        <f t="shared" si="151"/>
        <v/>
      </c>
      <c r="AV342" s="52" t="str">
        <f t="shared" si="152"/>
        <v/>
      </c>
      <c r="AW342" s="52" t="str">
        <f t="shared" si="153"/>
        <v/>
      </c>
      <c r="AX342" s="52" t="str">
        <f t="shared" si="154"/>
        <v/>
      </c>
      <c r="AY342" s="52" t="str">
        <f t="shared" si="159"/>
        <v/>
      </c>
    </row>
    <row r="343" spans="4:51">
      <c r="D343" s="23"/>
      <c r="E343" s="23"/>
      <c r="F343" s="23"/>
      <c r="G343" s="23"/>
      <c r="H343" s="23"/>
      <c r="I343" s="3"/>
      <c r="J343" s="3"/>
      <c r="K343" s="3"/>
      <c r="L343" s="2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26"/>
      <c r="Y343" s="1"/>
      <c r="Z343" s="12">
        <f t="shared" si="155"/>
        <v>0</v>
      </c>
      <c r="AA343" s="14">
        <f t="shared" si="156"/>
        <v>0</v>
      </c>
      <c r="AB343" s="6">
        <f t="shared" si="134"/>
        <v>0</v>
      </c>
      <c r="AC343" s="6">
        <f t="shared" si="135"/>
        <v>0</v>
      </c>
      <c r="AD343" s="6">
        <f t="shared" si="136"/>
        <v>0</v>
      </c>
      <c r="AE343" s="52" t="str">
        <f t="shared" si="137"/>
        <v/>
      </c>
      <c r="AF343" s="52" t="str">
        <f t="shared" si="138"/>
        <v/>
      </c>
      <c r="AG343" s="50" t="str">
        <f t="shared" si="157"/>
        <v/>
      </c>
      <c r="AH343" s="50" t="str">
        <f t="shared" si="158"/>
        <v/>
      </c>
      <c r="AI343" s="52" t="str">
        <f t="shared" si="139"/>
        <v/>
      </c>
      <c r="AJ343" s="52" t="str">
        <f t="shared" si="140"/>
        <v/>
      </c>
      <c r="AK343" s="52" t="str">
        <f t="shared" si="141"/>
        <v/>
      </c>
      <c r="AL343" s="52" t="str">
        <f t="shared" si="142"/>
        <v/>
      </c>
      <c r="AM343" s="52" t="str">
        <f t="shared" si="143"/>
        <v/>
      </c>
      <c r="AN343" s="52" t="str">
        <f t="shared" si="144"/>
        <v/>
      </c>
      <c r="AO343" s="52" t="str">
        <f t="shared" si="145"/>
        <v/>
      </c>
      <c r="AP343" s="52" t="str">
        <f t="shared" si="146"/>
        <v/>
      </c>
      <c r="AQ343" s="52" t="str">
        <f t="shared" si="147"/>
        <v/>
      </c>
      <c r="AR343" s="52" t="str">
        <f t="shared" si="148"/>
        <v/>
      </c>
      <c r="AS343" s="52" t="str">
        <f t="shared" si="149"/>
        <v/>
      </c>
      <c r="AT343" s="52" t="str">
        <f t="shared" si="150"/>
        <v/>
      </c>
      <c r="AU343" s="52" t="str">
        <f t="shared" si="151"/>
        <v/>
      </c>
      <c r="AV343" s="52" t="str">
        <f t="shared" si="152"/>
        <v/>
      </c>
      <c r="AW343" s="52" t="str">
        <f t="shared" si="153"/>
        <v/>
      </c>
      <c r="AX343" s="52" t="str">
        <f t="shared" si="154"/>
        <v/>
      </c>
      <c r="AY343" s="52" t="str">
        <f t="shared" si="159"/>
        <v/>
      </c>
    </row>
    <row r="344" spans="4:51">
      <c r="D344" s="23"/>
      <c r="E344" s="23"/>
      <c r="F344" s="23"/>
      <c r="G344" s="23"/>
      <c r="H344" s="23"/>
      <c r="I344" s="3"/>
      <c r="J344" s="3"/>
      <c r="K344" s="3"/>
      <c r="L344" s="2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26"/>
      <c r="Y344" s="1"/>
      <c r="Z344" s="12">
        <f t="shared" si="155"/>
        <v>0</v>
      </c>
      <c r="AA344" s="14">
        <f t="shared" si="156"/>
        <v>0</v>
      </c>
      <c r="AB344" s="6">
        <f t="shared" si="134"/>
        <v>0</v>
      </c>
      <c r="AC344" s="6">
        <f t="shared" si="135"/>
        <v>0</v>
      </c>
      <c r="AD344" s="6">
        <f t="shared" si="136"/>
        <v>0</v>
      </c>
      <c r="AE344" s="52" t="str">
        <f t="shared" si="137"/>
        <v/>
      </c>
      <c r="AF344" s="52" t="str">
        <f t="shared" si="138"/>
        <v/>
      </c>
      <c r="AG344" s="50" t="str">
        <f t="shared" si="157"/>
        <v/>
      </c>
      <c r="AH344" s="50" t="str">
        <f t="shared" si="158"/>
        <v/>
      </c>
      <c r="AI344" s="52" t="str">
        <f t="shared" si="139"/>
        <v/>
      </c>
      <c r="AJ344" s="52" t="str">
        <f t="shared" si="140"/>
        <v/>
      </c>
      <c r="AK344" s="52" t="str">
        <f t="shared" si="141"/>
        <v/>
      </c>
      <c r="AL344" s="52" t="str">
        <f t="shared" si="142"/>
        <v/>
      </c>
      <c r="AM344" s="52" t="str">
        <f t="shared" si="143"/>
        <v/>
      </c>
      <c r="AN344" s="52" t="str">
        <f t="shared" si="144"/>
        <v/>
      </c>
      <c r="AO344" s="52" t="str">
        <f t="shared" si="145"/>
        <v/>
      </c>
      <c r="AP344" s="52" t="str">
        <f t="shared" si="146"/>
        <v/>
      </c>
      <c r="AQ344" s="52" t="str">
        <f t="shared" si="147"/>
        <v/>
      </c>
      <c r="AR344" s="52" t="str">
        <f t="shared" si="148"/>
        <v/>
      </c>
      <c r="AS344" s="52" t="str">
        <f t="shared" si="149"/>
        <v/>
      </c>
      <c r="AT344" s="52" t="str">
        <f t="shared" si="150"/>
        <v/>
      </c>
      <c r="AU344" s="52" t="str">
        <f t="shared" si="151"/>
        <v/>
      </c>
      <c r="AV344" s="52" t="str">
        <f t="shared" si="152"/>
        <v/>
      </c>
      <c r="AW344" s="52" t="str">
        <f t="shared" si="153"/>
        <v/>
      </c>
      <c r="AX344" s="52" t="str">
        <f t="shared" si="154"/>
        <v/>
      </c>
      <c r="AY344" s="52" t="str">
        <f t="shared" si="159"/>
        <v/>
      </c>
    </row>
    <row r="345" spans="4:51">
      <c r="D345" s="23"/>
      <c r="E345" s="23"/>
      <c r="F345" s="23"/>
      <c r="G345" s="23"/>
      <c r="H345" s="23"/>
      <c r="I345" s="3"/>
      <c r="J345" s="3"/>
      <c r="K345" s="3"/>
      <c r="L345" s="2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26"/>
      <c r="Y345" s="1"/>
      <c r="Z345" s="12">
        <f t="shared" si="155"/>
        <v>0</v>
      </c>
      <c r="AA345" s="14">
        <f t="shared" si="156"/>
        <v>0</v>
      </c>
      <c r="AB345" s="6">
        <f t="shared" si="134"/>
        <v>0</v>
      </c>
      <c r="AC345" s="6">
        <f t="shared" si="135"/>
        <v>0</v>
      </c>
      <c r="AD345" s="6">
        <f t="shared" si="136"/>
        <v>0</v>
      </c>
      <c r="AE345" s="52" t="str">
        <f t="shared" si="137"/>
        <v/>
      </c>
      <c r="AF345" s="52" t="str">
        <f t="shared" si="138"/>
        <v/>
      </c>
      <c r="AG345" s="50" t="str">
        <f t="shared" si="157"/>
        <v/>
      </c>
      <c r="AH345" s="50" t="str">
        <f t="shared" si="158"/>
        <v/>
      </c>
      <c r="AI345" s="52" t="str">
        <f t="shared" si="139"/>
        <v/>
      </c>
      <c r="AJ345" s="52" t="str">
        <f t="shared" si="140"/>
        <v/>
      </c>
      <c r="AK345" s="52" t="str">
        <f t="shared" si="141"/>
        <v/>
      </c>
      <c r="AL345" s="52" t="str">
        <f t="shared" si="142"/>
        <v/>
      </c>
      <c r="AM345" s="52" t="str">
        <f t="shared" si="143"/>
        <v/>
      </c>
      <c r="AN345" s="52" t="str">
        <f t="shared" si="144"/>
        <v/>
      </c>
      <c r="AO345" s="52" t="str">
        <f t="shared" si="145"/>
        <v/>
      </c>
      <c r="AP345" s="52" t="str">
        <f t="shared" si="146"/>
        <v/>
      </c>
      <c r="AQ345" s="52" t="str">
        <f t="shared" si="147"/>
        <v/>
      </c>
      <c r="AR345" s="52" t="str">
        <f t="shared" si="148"/>
        <v/>
      </c>
      <c r="AS345" s="52" t="str">
        <f t="shared" si="149"/>
        <v/>
      </c>
      <c r="AT345" s="52" t="str">
        <f t="shared" si="150"/>
        <v/>
      </c>
      <c r="AU345" s="52" t="str">
        <f t="shared" si="151"/>
        <v/>
      </c>
      <c r="AV345" s="52" t="str">
        <f t="shared" si="152"/>
        <v/>
      </c>
      <c r="AW345" s="52" t="str">
        <f t="shared" si="153"/>
        <v/>
      </c>
      <c r="AX345" s="52" t="str">
        <f t="shared" si="154"/>
        <v/>
      </c>
      <c r="AY345" s="52" t="str">
        <f t="shared" si="159"/>
        <v/>
      </c>
    </row>
    <row r="346" spans="4:51">
      <c r="D346" s="23"/>
      <c r="E346" s="23"/>
      <c r="F346" s="23"/>
      <c r="G346" s="23"/>
      <c r="H346" s="23"/>
      <c r="I346" s="3"/>
      <c r="J346" s="3"/>
      <c r="K346" s="3"/>
      <c r="L346" s="2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26"/>
      <c r="Y346" s="1"/>
      <c r="Z346" s="12">
        <f t="shared" si="155"/>
        <v>0</v>
      </c>
      <c r="AA346" s="14">
        <f t="shared" si="156"/>
        <v>0</v>
      </c>
      <c r="AB346" s="6">
        <f t="shared" si="134"/>
        <v>0</v>
      </c>
      <c r="AC346" s="6">
        <f t="shared" si="135"/>
        <v>0</v>
      </c>
      <c r="AD346" s="6">
        <f t="shared" si="136"/>
        <v>0</v>
      </c>
      <c r="AE346" s="52" t="str">
        <f t="shared" si="137"/>
        <v/>
      </c>
      <c r="AF346" s="52" t="str">
        <f t="shared" si="138"/>
        <v/>
      </c>
      <c r="AG346" s="50" t="str">
        <f t="shared" si="157"/>
        <v/>
      </c>
      <c r="AH346" s="50" t="str">
        <f t="shared" si="158"/>
        <v/>
      </c>
      <c r="AI346" s="52" t="str">
        <f t="shared" si="139"/>
        <v/>
      </c>
      <c r="AJ346" s="52" t="str">
        <f t="shared" si="140"/>
        <v/>
      </c>
      <c r="AK346" s="52" t="str">
        <f t="shared" si="141"/>
        <v/>
      </c>
      <c r="AL346" s="52" t="str">
        <f t="shared" si="142"/>
        <v/>
      </c>
      <c r="AM346" s="52" t="str">
        <f t="shared" si="143"/>
        <v/>
      </c>
      <c r="AN346" s="52" t="str">
        <f t="shared" si="144"/>
        <v/>
      </c>
      <c r="AO346" s="52" t="str">
        <f t="shared" si="145"/>
        <v/>
      </c>
      <c r="AP346" s="52" t="str">
        <f t="shared" si="146"/>
        <v/>
      </c>
      <c r="AQ346" s="52" t="str">
        <f t="shared" si="147"/>
        <v/>
      </c>
      <c r="AR346" s="52" t="str">
        <f t="shared" si="148"/>
        <v/>
      </c>
      <c r="AS346" s="52" t="str">
        <f t="shared" si="149"/>
        <v/>
      </c>
      <c r="AT346" s="52" t="str">
        <f t="shared" si="150"/>
        <v/>
      </c>
      <c r="AU346" s="52" t="str">
        <f t="shared" si="151"/>
        <v/>
      </c>
      <c r="AV346" s="52" t="str">
        <f t="shared" si="152"/>
        <v/>
      </c>
      <c r="AW346" s="52" t="str">
        <f t="shared" si="153"/>
        <v/>
      </c>
      <c r="AX346" s="52" t="str">
        <f t="shared" si="154"/>
        <v/>
      </c>
      <c r="AY346" s="52" t="str">
        <f t="shared" si="159"/>
        <v/>
      </c>
    </row>
    <row r="347" spans="4:51">
      <c r="D347" s="23"/>
      <c r="E347" s="23"/>
      <c r="F347" s="23"/>
      <c r="G347" s="23"/>
      <c r="H347" s="23"/>
      <c r="I347" s="3"/>
      <c r="J347" s="3"/>
      <c r="K347" s="3"/>
      <c r="L347" s="2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26"/>
      <c r="Y347" s="1"/>
      <c r="Z347" s="12">
        <f t="shared" si="155"/>
        <v>0</v>
      </c>
      <c r="AA347" s="14">
        <f t="shared" si="156"/>
        <v>0</v>
      </c>
      <c r="AB347" s="6">
        <f t="shared" si="134"/>
        <v>0</v>
      </c>
      <c r="AC347" s="6">
        <f t="shared" si="135"/>
        <v>0</v>
      </c>
      <c r="AD347" s="6">
        <f t="shared" si="136"/>
        <v>0</v>
      </c>
      <c r="AE347" s="52" t="str">
        <f t="shared" si="137"/>
        <v/>
      </c>
      <c r="AF347" s="52" t="str">
        <f t="shared" si="138"/>
        <v/>
      </c>
      <c r="AG347" s="50" t="str">
        <f t="shared" si="157"/>
        <v/>
      </c>
      <c r="AH347" s="50" t="str">
        <f t="shared" si="158"/>
        <v/>
      </c>
      <c r="AI347" s="52" t="str">
        <f t="shared" si="139"/>
        <v/>
      </c>
      <c r="AJ347" s="52" t="str">
        <f t="shared" si="140"/>
        <v/>
      </c>
      <c r="AK347" s="52" t="str">
        <f t="shared" si="141"/>
        <v/>
      </c>
      <c r="AL347" s="52" t="str">
        <f t="shared" si="142"/>
        <v/>
      </c>
      <c r="AM347" s="52" t="str">
        <f t="shared" si="143"/>
        <v/>
      </c>
      <c r="AN347" s="52" t="str">
        <f t="shared" si="144"/>
        <v/>
      </c>
      <c r="AO347" s="52" t="str">
        <f t="shared" si="145"/>
        <v/>
      </c>
      <c r="AP347" s="52" t="str">
        <f t="shared" si="146"/>
        <v/>
      </c>
      <c r="AQ347" s="52" t="str">
        <f t="shared" si="147"/>
        <v/>
      </c>
      <c r="AR347" s="52" t="str">
        <f t="shared" si="148"/>
        <v/>
      </c>
      <c r="AS347" s="52" t="str">
        <f t="shared" si="149"/>
        <v/>
      </c>
      <c r="AT347" s="52" t="str">
        <f t="shared" si="150"/>
        <v/>
      </c>
      <c r="AU347" s="52" t="str">
        <f t="shared" si="151"/>
        <v/>
      </c>
      <c r="AV347" s="52" t="str">
        <f t="shared" si="152"/>
        <v/>
      </c>
      <c r="AW347" s="52" t="str">
        <f t="shared" si="153"/>
        <v/>
      </c>
      <c r="AX347" s="52" t="str">
        <f t="shared" si="154"/>
        <v/>
      </c>
      <c r="AY347" s="52" t="str">
        <f t="shared" si="159"/>
        <v/>
      </c>
    </row>
    <row r="348" spans="4:51">
      <c r="D348" s="23"/>
      <c r="E348" s="23"/>
      <c r="F348" s="23"/>
      <c r="G348" s="23"/>
      <c r="H348" s="23"/>
      <c r="I348" s="3"/>
      <c r="J348" s="3"/>
      <c r="K348" s="3"/>
      <c r="L348" s="2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26"/>
      <c r="Y348" s="1"/>
      <c r="Z348" s="12">
        <f t="shared" si="155"/>
        <v>0</v>
      </c>
      <c r="AA348" s="14">
        <f t="shared" si="156"/>
        <v>0</v>
      </c>
      <c r="AB348" s="6">
        <f t="shared" si="134"/>
        <v>0</v>
      </c>
      <c r="AC348" s="6">
        <f t="shared" si="135"/>
        <v>0</v>
      </c>
      <c r="AD348" s="6">
        <f t="shared" si="136"/>
        <v>0</v>
      </c>
      <c r="AE348" s="52" t="str">
        <f t="shared" si="137"/>
        <v/>
      </c>
      <c r="AF348" s="52" t="str">
        <f t="shared" si="138"/>
        <v/>
      </c>
      <c r="AG348" s="50" t="str">
        <f t="shared" si="157"/>
        <v/>
      </c>
      <c r="AH348" s="50" t="str">
        <f t="shared" si="158"/>
        <v/>
      </c>
      <c r="AI348" s="52" t="str">
        <f t="shared" si="139"/>
        <v/>
      </c>
      <c r="AJ348" s="52" t="str">
        <f t="shared" si="140"/>
        <v/>
      </c>
      <c r="AK348" s="52" t="str">
        <f t="shared" si="141"/>
        <v/>
      </c>
      <c r="AL348" s="52" t="str">
        <f t="shared" si="142"/>
        <v/>
      </c>
      <c r="AM348" s="52" t="str">
        <f t="shared" si="143"/>
        <v/>
      </c>
      <c r="AN348" s="52" t="str">
        <f t="shared" si="144"/>
        <v/>
      </c>
      <c r="AO348" s="52" t="str">
        <f t="shared" si="145"/>
        <v/>
      </c>
      <c r="AP348" s="52" t="str">
        <f t="shared" si="146"/>
        <v/>
      </c>
      <c r="AQ348" s="52" t="str">
        <f t="shared" si="147"/>
        <v/>
      </c>
      <c r="AR348" s="52" t="str">
        <f t="shared" si="148"/>
        <v/>
      </c>
      <c r="AS348" s="52" t="str">
        <f t="shared" si="149"/>
        <v/>
      </c>
      <c r="AT348" s="52" t="str">
        <f t="shared" si="150"/>
        <v/>
      </c>
      <c r="AU348" s="52" t="str">
        <f t="shared" si="151"/>
        <v/>
      </c>
      <c r="AV348" s="52" t="str">
        <f t="shared" si="152"/>
        <v/>
      </c>
      <c r="AW348" s="52" t="str">
        <f t="shared" si="153"/>
        <v/>
      </c>
      <c r="AX348" s="52" t="str">
        <f t="shared" si="154"/>
        <v/>
      </c>
      <c r="AY348" s="52" t="str">
        <f t="shared" si="159"/>
        <v/>
      </c>
    </row>
    <row r="349" spans="4:51">
      <c r="D349" s="23"/>
      <c r="E349" s="23"/>
      <c r="F349" s="23"/>
      <c r="G349" s="23"/>
      <c r="H349" s="23"/>
      <c r="I349" s="3"/>
      <c r="J349" s="3"/>
      <c r="K349" s="3"/>
      <c r="L349" s="2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26"/>
      <c r="Y349" s="1"/>
      <c r="Z349" s="12">
        <f t="shared" si="155"/>
        <v>0</v>
      </c>
      <c r="AA349" s="14">
        <f t="shared" si="156"/>
        <v>0</v>
      </c>
      <c r="AB349" s="6">
        <f t="shared" si="134"/>
        <v>0</v>
      </c>
      <c r="AC349" s="6">
        <f t="shared" si="135"/>
        <v>0</v>
      </c>
      <c r="AD349" s="6">
        <f t="shared" si="136"/>
        <v>0</v>
      </c>
      <c r="AE349" s="52" t="str">
        <f t="shared" si="137"/>
        <v/>
      </c>
      <c r="AF349" s="52" t="str">
        <f t="shared" si="138"/>
        <v/>
      </c>
      <c r="AG349" s="50" t="str">
        <f t="shared" si="157"/>
        <v/>
      </c>
      <c r="AH349" s="50" t="str">
        <f t="shared" si="158"/>
        <v/>
      </c>
      <c r="AI349" s="52" t="str">
        <f t="shared" si="139"/>
        <v/>
      </c>
      <c r="AJ349" s="52" t="str">
        <f t="shared" si="140"/>
        <v/>
      </c>
      <c r="AK349" s="52" t="str">
        <f t="shared" si="141"/>
        <v/>
      </c>
      <c r="AL349" s="52" t="str">
        <f t="shared" si="142"/>
        <v/>
      </c>
      <c r="AM349" s="52" t="str">
        <f t="shared" si="143"/>
        <v/>
      </c>
      <c r="AN349" s="52" t="str">
        <f t="shared" si="144"/>
        <v/>
      </c>
      <c r="AO349" s="52" t="str">
        <f t="shared" si="145"/>
        <v/>
      </c>
      <c r="AP349" s="52" t="str">
        <f t="shared" si="146"/>
        <v/>
      </c>
      <c r="AQ349" s="52" t="str">
        <f t="shared" si="147"/>
        <v/>
      </c>
      <c r="AR349" s="52" t="str">
        <f t="shared" si="148"/>
        <v/>
      </c>
      <c r="AS349" s="52" t="str">
        <f t="shared" si="149"/>
        <v/>
      </c>
      <c r="AT349" s="52" t="str">
        <f t="shared" si="150"/>
        <v/>
      </c>
      <c r="AU349" s="52" t="str">
        <f t="shared" si="151"/>
        <v/>
      </c>
      <c r="AV349" s="52" t="str">
        <f t="shared" si="152"/>
        <v/>
      </c>
      <c r="AW349" s="52" t="str">
        <f t="shared" si="153"/>
        <v/>
      </c>
      <c r="AX349" s="52" t="str">
        <f t="shared" si="154"/>
        <v/>
      </c>
      <c r="AY349" s="52" t="str">
        <f t="shared" si="159"/>
        <v/>
      </c>
    </row>
    <row r="350" spans="4:51">
      <c r="D350" s="23"/>
      <c r="E350" s="23"/>
      <c r="F350" s="23"/>
      <c r="G350" s="23"/>
      <c r="H350" s="23"/>
      <c r="I350" s="3"/>
      <c r="J350" s="3"/>
      <c r="K350" s="3"/>
      <c r="L350" s="2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26"/>
      <c r="Y350" s="1"/>
      <c r="Z350" s="12">
        <f t="shared" si="155"/>
        <v>0</v>
      </c>
      <c r="AA350" s="14">
        <f t="shared" si="156"/>
        <v>0</v>
      </c>
      <c r="AB350" s="6">
        <f t="shared" si="134"/>
        <v>0</v>
      </c>
      <c r="AC350" s="6">
        <f t="shared" si="135"/>
        <v>0</v>
      </c>
      <c r="AD350" s="6">
        <f t="shared" si="136"/>
        <v>0</v>
      </c>
      <c r="AE350" s="52" t="str">
        <f t="shared" si="137"/>
        <v/>
      </c>
      <c r="AF350" s="52" t="str">
        <f t="shared" si="138"/>
        <v/>
      </c>
      <c r="AG350" s="50" t="str">
        <f t="shared" si="157"/>
        <v/>
      </c>
      <c r="AH350" s="50" t="str">
        <f t="shared" si="158"/>
        <v/>
      </c>
      <c r="AI350" s="52" t="str">
        <f t="shared" si="139"/>
        <v/>
      </c>
      <c r="AJ350" s="52" t="str">
        <f t="shared" si="140"/>
        <v/>
      </c>
      <c r="AK350" s="52" t="str">
        <f t="shared" si="141"/>
        <v/>
      </c>
      <c r="AL350" s="52" t="str">
        <f t="shared" si="142"/>
        <v/>
      </c>
      <c r="AM350" s="52" t="str">
        <f t="shared" si="143"/>
        <v/>
      </c>
      <c r="AN350" s="52" t="str">
        <f t="shared" si="144"/>
        <v/>
      </c>
      <c r="AO350" s="52" t="str">
        <f t="shared" si="145"/>
        <v/>
      </c>
      <c r="AP350" s="52" t="str">
        <f t="shared" si="146"/>
        <v/>
      </c>
      <c r="AQ350" s="52" t="str">
        <f t="shared" si="147"/>
        <v/>
      </c>
      <c r="AR350" s="52" t="str">
        <f t="shared" si="148"/>
        <v/>
      </c>
      <c r="AS350" s="52" t="str">
        <f t="shared" si="149"/>
        <v/>
      </c>
      <c r="AT350" s="52" t="str">
        <f t="shared" si="150"/>
        <v/>
      </c>
      <c r="AU350" s="52" t="str">
        <f t="shared" si="151"/>
        <v/>
      </c>
      <c r="AV350" s="52" t="str">
        <f t="shared" si="152"/>
        <v/>
      </c>
      <c r="AW350" s="52" t="str">
        <f t="shared" si="153"/>
        <v/>
      </c>
      <c r="AX350" s="52" t="str">
        <f t="shared" si="154"/>
        <v/>
      </c>
      <c r="AY350" s="52" t="str">
        <f t="shared" si="159"/>
        <v/>
      </c>
    </row>
    <row r="351" spans="4:51">
      <c r="D351" s="23"/>
      <c r="E351" s="23"/>
      <c r="F351" s="23"/>
      <c r="G351" s="23"/>
      <c r="H351" s="23"/>
      <c r="I351" s="3"/>
      <c r="J351" s="3"/>
      <c r="K351" s="3"/>
      <c r="L351" s="2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26"/>
      <c r="Y351" s="1"/>
      <c r="Z351" s="12">
        <f t="shared" si="155"/>
        <v>0</v>
      </c>
      <c r="AA351" s="14">
        <f t="shared" si="156"/>
        <v>0</v>
      </c>
      <c r="AB351" s="6">
        <f t="shared" si="134"/>
        <v>0</v>
      </c>
      <c r="AC351" s="6">
        <f t="shared" si="135"/>
        <v>0</v>
      </c>
      <c r="AD351" s="6">
        <f t="shared" si="136"/>
        <v>0</v>
      </c>
      <c r="AE351" s="52" t="str">
        <f t="shared" si="137"/>
        <v/>
      </c>
      <c r="AF351" s="52" t="str">
        <f t="shared" si="138"/>
        <v/>
      </c>
      <c r="AG351" s="50" t="str">
        <f t="shared" si="157"/>
        <v/>
      </c>
      <c r="AH351" s="50" t="str">
        <f t="shared" si="158"/>
        <v/>
      </c>
      <c r="AI351" s="52" t="str">
        <f t="shared" si="139"/>
        <v/>
      </c>
      <c r="AJ351" s="52" t="str">
        <f t="shared" si="140"/>
        <v/>
      </c>
      <c r="AK351" s="52" t="str">
        <f t="shared" si="141"/>
        <v/>
      </c>
      <c r="AL351" s="52" t="str">
        <f t="shared" si="142"/>
        <v/>
      </c>
      <c r="AM351" s="52" t="str">
        <f t="shared" si="143"/>
        <v/>
      </c>
      <c r="AN351" s="52" t="str">
        <f t="shared" si="144"/>
        <v/>
      </c>
      <c r="AO351" s="52" t="str">
        <f t="shared" si="145"/>
        <v/>
      </c>
      <c r="AP351" s="52" t="str">
        <f t="shared" si="146"/>
        <v/>
      </c>
      <c r="AQ351" s="52" t="str">
        <f t="shared" si="147"/>
        <v/>
      </c>
      <c r="AR351" s="52" t="str">
        <f t="shared" si="148"/>
        <v/>
      </c>
      <c r="AS351" s="52" t="str">
        <f t="shared" si="149"/>
        <v/>
      </c>
      <c r="AT351" s="52" t="str">
        <f t="shared" si="150"/>
        <v/>
      </c>
      <c r="AU351" s="52" t="str">
        <f t="shared" si="151"/>
        <v/>
      </c>
      <c r="AV351" s="52" t="str">
        <f t="shared" si="152"/>
        <v/>
      </c>
      <c r="AW351" s="52" t="str">
        <f t="shared" si="153"/>
        <v/>
      </c>
      <c r="AX351" s="52" t="str">
        <f t="shared" si="154"/>
        <v/>
      </c>
      <c r="AY351" s="52" t="str">
        <f t="shared" si="159"/>
        <v/>
      </c>
    </row>
    <row r="352" spans="4:51">
      <c r="D352" s="23"/>
      <c r="E352" s="23"/>
      <c r="F352" s="23"/>
      <c r="G352" s="23"/>
      <c r="H352" s="23"/>
      <c r="I352" s="3"/>
      <c r="J352" s="3"/>
      <c r="K352" s="3"/>
      <c r="L352" s="2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26"/>
      <c r="Y352" s="1"/>
      <c r="Z352" s="12">
        <f t="shared" si="155"/>
        <v>0</v>
      </c>
      <c r="AA352" s="14">
        <f t="shared" si="156"/>
        <v>0</v>
      </c>
      <c r="AB352" s="6">
        <f t="shared" si="134"/>
        <v>0</v>
      </c>
      <c r="AC352" s="6">
        <f t="shared" si="135"/>
        <v>0</v>
      </c>
      <c r="AD352" s="6">
        <f t="shared" si="136"/>
        <v>0</v>
      </c>
      <c r="AE352" s="52" t="str">
        <f t="shared" si="137"/>
        <v/>
      </c>
      <c r="AF352" s="52" t="str">
        <f t="shared" si="138"/>
        <v/>
      </c>
      <c r="AG352" s="50" t="str">
        <f t="shared" si="157"/>
        <v/>
      </c>
      <c r="AH352" s="50" t="str">
        <f t="shared" si="158"/>
        <v/>
      </c>
      <c r="AI352" s="52" t="str">
        <f t="shared" si="139"/>
        <v/>
      </c>
      <c r="AJ352" s="52" t="str">
        <f t="shared" si="140"/>
        <v/>
      </c>
      <c r="AK352" s="52" t="str">
        <f t="shared" si="141"/>
        <v/>
      </c>
      <c r="AL352" s="52" t="str">
        <f t="shared" si="142"/>
        <v/>
      </c>
      <c r="AM352" s="52" t="str">
        <f t="shared" si="143"/>
        <v/>
      </c>
      <c r="AN352" s="52" t="str">
        <f t="shared" si="144"/>
        <v/>
      </c>
      <c r="AO352" s="52" t="str">
        <f t="shared" si="145"/>
        <v/>
      </c>
      <c r="AP352" s="52" t="str">
        <f t="shared" si="146"/>
        <v/>
      </c>
      <c r="AQ352" s="52" t="str">
        <f t="shared" si="147"/>
        <v/>
      </c>
      <c r="AR352" s="52" t="str">
        <f t="shared" si="148"/>
        <v/>
      </c>
      <c r="AS352" s="52" t="str">
        <f t="shared" si="149"/>
        <v/>
      </c>
      <c r="AT352" s="52" t="str">
        <f t="shared" si="150"/>
        <v/>
      </c>
      <c r="AU352" s="52" t="str">
        <f t="shared" si="151"/>
        <v/>
      </c>
      <c r="AV352" s="52" t="str">
        <f t="shared" si="152"/>
        <v/>
      </c>
      <c r="AW352" s="52" t="str">
        <f t="shared" si="153"/>
        <v/>
      </c>
      <c r="AX352" s="52" t="str">
        <f t="shared" si="154"/>
        <v/>
      </c>
      <c r="AY352" s="52" t="str">
        <f t="shared" si="159"/>
        <v/>
      </c>
    </row>
    <row r="353" spans="4:51">
      <c r="D353" s="23"/>
      <c r="E353" s="23"/>
      <c r="F353" s="23"/>
      <c r="G353" s="23"/>
      <c r="H353" s="23"/>
      <c r="I353" s="3"/>
      <c r="J353" s="3"/>
      <c r="K353" s="3"/>
      <c r="L353" s="2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26"/>
      <c r="Y353" s="1"/>
      <c r="Z353" s="12">
        <f t="shared" si="155"/>
        <v>0</v>
      </c>
      <c r="AA353" s="14">
        <f t="shared" si="156"/>
        <v>0</v>
      </c>
      <c r="AB353" s="6">
        <f t="shared" si="134"/>
        <v>0</v>
      </c>
      <c r="AC353" s="6">
        <f t="shared" si="135"/>
        <v>0</v>
      </c>
      <c r="AD353" s="6">
        <f t="shared" si="136"/>
        <v>0</v>
      </c>
      <c r="AE353" s="52" t="str">
        <f t="shared" si="137"/>
        <v/>
      </c>
      <c r="AF353" s="52" t="str">
        <f t="shared" si="138"/>
        <v/>
      </c>
      <c r="AG353" s="50" t="str">
        <f t="shared" si="157"/>
        <v/>
      </c>
      <c r="AH353" s="50" t="str">
        <f t="shared" si="158"/>
        <v/>
      </c>
      <c r="AI353" s="52" t="str">
        <f t="shared" si="139"/>
        <v/>
      </c>
      <c r="AJ353" s="52" t="str">
        <f t="shared" si="140"/>
        <v/>
      </c>
      <c r="AK353" s="52" t="str">
        <f t="shared" si="141"/>
        <v/>
      </c>
      <c r="AL353" s="52" t="str">
        <f t="shared" si="142"/>
        <v/>
      </c>
      <c r="AM353" s="52" t="str">
        <f t="shared" si="143"/>
        <v/>
      </c>
      <c r="AN353" s="52" t="str">
        <f t="shared" si="144"/>
        <v/>
      </c>
      <c r="AO353" s="52" t="str">
        <f t="shared" si="145"/>
        <v/>
      </c>
      <c r="AP353" s="52" t="str">
        <f t="shared" si="146"/>
        <v/>
      </c>
      <c r="AQ353" s="52" t="str">
        <f t="shared" si="147"/>
        <v/>
      </c>
      <c r="AR353" s="52" t="str">
        <f t="shared" si="148"/>
        <v/>
      </c>
      <c r="AS353" s="52" t="str">
        <f t="shared" si="149"/>
        <v/>
      </c>
      <c r="AT353" s="52" t="str">
        <f t="shared" si="150"/>
        <v/>
      </c>
      <c r="AU353" s="52" t="str">
        <f t="shared" si="151"/>
        <v/>
      </c>
      <c r="AV353" s="52" t="str">
        <f t="shared" si="152"/>
        <v/>
      </c>
      <c r="AW353" s="52" t="str">
        <f t="shared" si="153"/>
        <v/>
      </c>
      <c r="AX353" s="52" t="str">
        <f t="shared" si="154"/>
        <v/>
      </c>
      <c r="AY353" s="52" t="str">
        <f t="shared" si="159"/>
        <v/>
      </c>
    </row>
    <row r="354" spans="4:51">
      <c r="D354" s="23"/>
      <c r="E354" s="23"/>
      <c r="F354" s="23"/>
      <c r="G354" s="23"/>
      <c r="H354" s="23"/>
      <c r="I354" s="3"/>
      <c r="J354" s="3"/>
      <c r="K354" s="3"/>
      <c r="L354" s="2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26"/>
      <c r="Y354" s="1"/>
      <c r="Z354" s="12">
        <f t="shared" si="155"/>
        <v>0</v>
      </c>
      <c r="AA354" s="14">
        <f t="shared" si="156"/>
        <v>0</v>
      </c>
      <c r="AB354" s="6">
        <f t="shared" si="134"/>
        <v>0</v>
      </c>
      <c r="AC354" s="6">
        <f t="shared" si="135"/>
        <v>0</v>
      </c>
      <c r="AD354" s="6">
        <f t="shared" si="136"/>
        <v>0</v>
      </c>
      <c r="AE354" s="52" t="str">
        <f t="shared" si="137"/>
        <v/>
      </c>
      <c r="AF354" s="52" t="str">
        <f t="shared" si="138"/>
        <v/>
      </c>
      <c r="AG354" s="50" t="str">
        <f t="shared" si="157"/>
        <v/>
      </c>
      <c r="AH354" s="50" t="str">
        <f t="shared" si="158"/>
        <v/>
      </c>
      <c r="AI354" s="52" t="str">
        <f t="shared" si="139"/>
        <v/>
      </c>
      <c r="AJ354" s="52" t="str">
        <f t="shared" si="140"/>
        <v/>
      </c>
      <c r="AK354" s="52" t="str">
        <f t="shared" si="141"/>
        <v/>
      </c>
      <c r="AL354" s="52" t="str">
        <f t="shared" si="142"/>
        <v/>
      </c>
      <c r="AM354" s="52" t="str">
        <f t="shared" si="143"/>
        <v/>
      </c>
      <c r="AN354" s="52" t="str">
        <f t="shared" si="144"/>
        <v/>
      </c>
      <c r="AO354" s="52" t="str">
        <f t="shared" si="145"/>
        <v/>
      </c>
      <c r="AP354" s="52" t="str">
        <f t="shared" si="146"/>
        <v/>
      </c>
      <c r="AQ354" s="52" t="str">
        <f t="shared" si="147"/>
        <v/>
      </c>
      <c r="AR354" s="52" t="str">
        <f t="shared" si="148"/>
        <v/>
      </c>
      <c r="AS354" s="52" t="str">
        <f t="shared" si="149"/>
        <v/>
      </c>
      <c r="AT354" s="52" t="str">
        <f t="shared" si="150"/>
        <v/>
      </c>
      <c r="AU354" s="52" t="str">
        <f t="shared" si="151"/>
        <v/>
      </c>
      <c r="AV354" s="52" t="str">
        <f t="shared" si="152"/>
        <v/>
      </c>
      <c r="AW354" s="52" t="str">
        <f t="shared" si="153"/>
        <v/>
      </c>
      <c r="AX354" s="52" t="str">
        <f t="shared" si="154"/>
        <v/>
      </c>
      <c r="AY354" s="52" t="str">
        <f t="shared" si="159"/>
        <v/>
      </c>
    </row>
    <row r="355" spans="4:51">
      <c r="D355" s="23"/>
      <c r="E355" s="23"/>
      <c r="F355" s="23"/>
      <c r="G355" s="23"/>
      <c r="H355" s="23"/>
      <c r="I355" s="3"/>
      <c r="J355" s="3"/>
      <c r="K355" s="3"/>
      <c r="L355" s="2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26"/>
      <c r="Y355" s="1"/>
      <c r="Z355" s="12">
        <f t="shared" si="155"/>
        <v>0</v>
      </c>
      <c r="AA355" s="14">
        <f t="shared" si="156"/>
        <v>0</v>
      </c>
      <c r="AB355" s="6">
        <f t="shared" si="134"/>
        <v>0</v>
      </c>
      <c r="AC355" s="6">
        <f t="shared" si="135"/>
        <v>0</v>
      </c>
      <c r="AD355" s="6">
        <f t="shared" si="136"/>
        <v>0</v>
      </c>
      <c r="AE355" s="52" t="str">
        <f t="shared" si="137"/>
        <v/>
      </c>
      <c r="AF355" s="52" t="str">
        <f t="shared" si="138"/>
        <v/>
      </c>
      <c r="AG355" s="50" t="str">
        <f t="shared" si="157"/>
        <v/>
      </c>
      <c r="AH355" s="50" t="str">
        <f t="shared" si="158"/>
        <v/>
      </c>
      <c r="AI355" s="52" t="str">
        <f t="shared" si="139"/>
        <v/>
      </c>
      <c r="AJ355" s="52" t="str">
        <f t="shared" si="140"/>
        <v/>
      </c>
      <c r="AK355" s="52" t="str">
        <f t="shared" si="141"/>
        <v/>
      </c>
      <c r="AL355" s="52" t="str">
        <f t="shared" si="142"/>
        <v/>
      </c>
      <c r="AM355" s="52" t="str">
        <f t="shared" si="143"/>
        <v/>
      </c>
      <c r="AN355" s="52" t="str">
        <f t="shared" si="144"/>
        <v/>
      </c>
      <c r="AO355" s="52" t="str">
        <f t="shared" si="145"/>
        <v/>
      </c>
      <c r="AP355" s="52" t="str">
        <f t="shared" si="146"/>
        <v/>
      </c>
      <c r="AQ355" s="52" t="str">
        <f t="shared" si="147"/>
        <v/>
      </c>
      <c r="AR355" s="52" t="str">
        <f t="shared" si="148"/>
        <v/>
      </c>
      <c r="AS355" s="52" t="str">
        <f t="shared" si="149"/>
        <v/>
      </c>
      <c r="AT355" s="52" t="str">
        <f t="shared" si="150"/>
        <v/>
      </c>
      <c r="AU355" s="52" t="str">
        <f t="shared" si="151"/>
        <v/>
      </c>
      <c r="AV355" s="52" t="str">
        <f t="shared" si="152"/>
        <v/>
      </c>
      <c r="AW355" s="52" t="str">
        <f t="shared" si="153"/>
        <v/>
      </c>
      <c r="AX355" s="52" t="str">
        <f t="shared" si="154"/>
        <v/>
      </c>
      <c r="AY355" s="52" t="str">
        <f t="shared" si="159"/>
        <v/>
      </c>
    </row>
    <row r="356" spans="4:51">
      <c r="D356" s="23"/>
      <c r="E356" s="23"/>
      <c r="F356" s="23"/>
      <c r="G356" s="23"/>
      <c r="H356" s="23"/>
      <c r="I356" s="3"/>
      <c r="J356" s="3"/>
      <c r="K356" s="3"/>
      <c r="L356" s="2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26"/>
      <c r="Y356" s="1"/>
      <c r="Z356" s="12">
        <f t="shared" si="155"/>
        <v>0</v>
      </c>
      <c r="AA356" s="14">
        <f t="shared" si="156"/>
        <v>0</v>
      </c>
      <c r="AB356" s="6">
        <f t="shared" si="134"/>
        <v>0</v>
      </c>
      <c r="AC356" s="6">
        <f t="shared" si="135"/>
        <v>0</v>
      </c>
      <c r="AD356" s="6">
        <f t="shared" si="136"/>
        <v>0</v>
      </c>
      <c r="AE356" s="52" t="str">
        <f t="shared" si="137"/>
        <v/>
      </c>
      <c r="AF356" s="52" t="str">
        <f t="shared" si="138"/>
        <v/>
      </c>
      <c r="AG356" s="50" t="str">
        <f t="shared" si="157"/>
        <v/>
      </c>
      <c r="AH356" s="50" t="str">
        <f t="shared" si="158"/>
        <v/>
      </c>
      <c r="AI356" s="52" t="str">
        <f t="shared" si="139"/>
        <v/>
      </c>
      <c r="AJ356" s="52" t="str">
        <f t="shared" si="140"/>
        <v/>
      </c>
      <c r="AK356" s="52" t="str">
        <f t="shared" si="141"/>
        <v/>
      </c>
      <c r="AL356" s="52" t="str">
        <f t="shared" si="142"/>
        <v/>
      </c>
      <c r="AM356" s="52" t="str">
        <f t="shared" si="143"/>
        <v/>
      </c>
      <c r="AN356" s="52" t="str">
        <f t="shared" si="144"/>
        <v/>
      </c>
      <c r="AO356" s="52" t="str">
        <f t="shared" si="145"/>
        <v/>
      </c>
      <c r="AP356" s="52" t="str">
        <f t="shared" si="146"/>
        <v/>
      </c>
      <c r="AQ356" s="52" t="str">
        <f t="shared" si="147"/>
        <v/>
      </c>
      <c r="AR356" s="52" t="str">
        <f t="shared" si="148"/>
        <v/>
      </c>
      <c r="AS356" s="52" t="str">
        <f t="shared" si="149"/>
        <v/>
      </c>
      <c r="AT356" s="52" t="str">
        <f t="shared" si="150"/>
        <v/>
      </c>
      <c r="AU356" s="52" t="str">
        <f t="shared" si="151"/>
        <v/>
      </c>
      <c r="AV356" s="52" t="str">
        <f t="shared" si="152"/>
        <v/>
      </c>
      <c r="AW356" s="52" t="str">
        <f t="shared" si="153"/>
        <v/>
      </c>
      <c r="AX356" s="52" t="str">
        <f t="shared" si="154"/>
        <v/>
      </c>
      <c r="AY356" s="52" t="str">
        <f t="shared" si="159"/>
        <v/>
      </c>
    </row>
    <row r="357" spans="4:51">
      <c r="D357" s="23"/>
      <c r="E357" s="23"/>
      <c r="F357" s="23"/>
      <c r="G357" s="23"/>
      <c r="H357" s="23"/>
      <c r="I357" s="3"/>
      <c r="J357" s="3"/>
      <c r="K357" s="3"/>
      <c r="L357" s="2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26"/>
      <c r="Y357" s="1"/>
      <c r="Z357" s="12">
        <f t="shared" si="155"/>
        <v>0</v>
      </c>
      <c r="AA357" s="14">
        <f t="shared" si="156"/>
        <v>0</v>
      </c>
      <c r="AB357" s="6">
        <f t="shared" si="134"/>
        <v>0</v>
      </c>
      <c r="AC357" s="6">
        <f t="shared" si="135"/>
        <v>0</v>
      </c>
      <c r="AD357" s="6">
        <f t="shared" si="136"/>
        <v>0</v>
      </c>
      <c r="AE357" s="52" t="str">
        <f t="shared" si="137"/>
        <v/>
      </c>
      <c r="AF357" s="52" t="str">
        <f t="shared" si="138"/>
        <v/>
      </c>
      <c r="AG357" s="50" t="str">
        <f t="shared" si="157"/>
        <v/>
      </c>
      <c r="AH357" s="50" t="str">
        <f t="shared" si="158"/>
        <v/>
      </c>
      <c r="AI357" s="52" t="str">
        <f t="shared" si="139"/>
        <v/>
      </c>
      <c r="AJ357" s="52" t="str">
        <f t="shared" si="140"/>
        <v/>
      </c>
      <c r="AK357" s="52" t="str">
        <f t="shared" si="141"/>
        <v/>
      </c>
      <c r="AL357" s="52" t="str">
        <f t="shared" si="142"/>
        <v/>
      </c>
      <c r="AM357" s="52" t="str">
        <f t="shared" si="143"/>
        <v/>
      </c>
      <c r="AN357" s="52" t="str">
        <f t="shared" si="144"/>
        <v/>
      </c>
      <c r="AO357" s="52" t="str">
        <f t="shared" si="145"/>
        <v/>
      </c>
      <c r="AP357" s="52" t="str">
        <f t="shared" si="146"/>
        <v/>
      </c>
      <c r="AQ357" s="52" t="str">
        <f t="shared" si="147"/>
        <v/>
      </c>
      <c r="AR357" s="52" t="str">
        <f t="shared" si="148"/>
        <v/>
      </c>
      <c r="AS357" s="52" t="str">
        <f t="shared" si="149"/>
        <v/>
      </c>
      <c r="AT357" s="52" t="str">
        <f t="shared" si="150"/>
        <v/>
      </c>
      <c r="AU357" s="52" t="str">
        <f t="shared" si="151"/>
        <v/>
      </c>
      <c r="AV357" s="52" t="str">
        <f t="shared" si="152"/>
        <v/>
      </c>
      <c r="AW357" s="52" t="str">
        <f t="shared" si="153"/>
        <v/>
      </c>
      <c r="AX357" s="52" t="str">
        <f t="shared" si="154"/>
        <v/>
      </c>
      <c r="AY357" s="52" t="str">
        <f t="shared" si="159"/>
        <v/>
      </c>
    </row>
    <row r="358" spans="4:51">
      <c r="D358" s="23"/>
      <c r="E358" s="23"/>
      <c r="F358" s="23"/>
      <c r="G358" s="23"/>
      <c r="H358" s="23"/>
      <c r="I358" s="3"/>
      <c r="J358" s="3"/>
      <c r="K358" s="3"/>
      <c r="L358" s="2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26"/>
      <c r="Y358" s="1"/>
      <c r="Z358" s="12">
        <f t="shared" si="155"/>
        <v>0</v>
      </c>
      <c r="AA358" s="14">
        <f t="shared" si="156"/>
        <v>0</v>
      </c>
      <c r="AB358" s="6">
        <f t="shared" si="134"/>
        <v>0</v>
      </c>
      <c r="AC358" s="6">
        <f t="shared" si="135"/>
        <v>0</v>
      </c>
      <c r="AD358" s="6">
        <f t="shared" si="136"/>
        <v>0</v>
      </c>
      <c r="AE358" s="52" t="str">
        <f t="shared" si="137"/>
        <v/>
      </c>
      <c r="AF358" s="52" t="str">
        <f t="shared" si="138"/>
        <v/>
      </c>
      <c r="AG358" s="50" t="str">
        <f t="shared" si="157"/>
        <v/>
      </c>
      <c r="AH358" s="50" t="str">
        <f t="shared" si="158"/>
        <v/>
      </c>
      <c r="AI358" s="52" t="str">
        <f t="shared" si="139"/>
        <v/>
      </c>
      <c r="AJ358" s="52" t="str">
        <f t="shared" si="140"/>
        <v/>
      </c>
      <c r="AK358" s="52" t="str">
        <f t="shared" si="141"/>
        <v/>
      </c>
      <c r="AL358" s="52" t="str">
        <f t="shared" si="142"/>
        <v/>
      </c>
      <c r="AM358" s="52" t="str">
        <f t="shared" si="143"/>
        <v/>
      </c>
      <c r="AN358" s="52" t="str">
        <f t="shared" si="144"/>
        <v/>
      </c>
      <c r="AO358" s="52" t="str">
        <f t="shared" si="145"/>
        <v/>
      </c>
      <c r="AP358" s="52" t="str">
        <f t="shared" si="146"/>
        <v/>
      </c>
      <c r="AQ358" s="52" t="str">
        <f t="shared" si="147"/>
        <v/>
      </c>
      <c r="AR358" s="52" t="str">
        <f t="shared" si="148"/>
        <v/>
      </c>
      <c r="AS358" s="52" t="str">
        <f t="shared" si="149"/>
        <v/>
      </c>
      <c r="AT358" s="52" t="str">
        <f t="shared" si="150"/>
        <v/>
      </c>
      <c r="AU358" s="52" t="str">
        <f t="shared" si="151"/>
        <v/>
      </c>
      <c r="AV358" s="52" t="str">
        <f t="shared" si="152"/>
        <v/>
      </c>
      <c r="AW358" s="52" t="str">
        <f t="shared" si="153"/>
        <v/>
      </c>
      <c r="AX358" s="52" t="str">
        <f t="shared" si="154"/>
        <v/>
      </c>
      <c r="AY358" s="52" t="str">
        <f t="shared" si="159"/>
        <v/>
      </c>
    </row>
    <row r="359" spans="4:51">
      <c r="D359" s="23"/>
      <c r="E359" s="23"/>
      <c r="F359" s="23"/>
      <c r="G359" s="23"/>
      <c r="H359" s="23"/>
      <c r="I359" s="3"/>
      <c r="J359" s="3"/>
      <c r="K359" s="3"/>
      <c r="L359" s="2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26"/>
      <c r="Y359" s="1"/>
      <c r="Z359" s="12">
        <f t="shared" si="155"/>
        <v>0</v>
      </c>
      <c r="AA359" s="14">
        <f t="shared" si="156"/>
        <v>0</v>
      </c>
      <c r="AB359" s="6">
        <f t="shared" si="134"/>
        <v>0</v>
      </c>
      <c r="AC359" s="6">
        <f t="shared" si="135"/>
        <v>0</v>
      </c>
      <c r="AD359" s="6">
        <f t="shared" si="136"/>
        <v>0</v>
      </c>
      <c r="AE359" s="52" t="str">
        <f t="shared" si="137"/>
        <v/>
      </c>
      <c r="AF359" s="52" t="str">
        <f t="shared" si="138"/>
        <v/>
      </c>
      <c r="AG359" s="50" t="str">
        <f t="shared" si="157"/>
        <v/>
      </c>
      <c r="AH359" s="50" t="str">
        <f t="shared" si="158"/>
        <v/>
      </c>
      <c r="AI359" s="52" t="str">
        <f t="shared" si="139"/>
        <v/>
      </c>
      <c r="AJ359" s="52" t="str">
        <f t="shared" si="140"/>
        <v/>
      </c>
      <c r="AK359" s="52" t="str">
        <f t="shared" si="141"/>
        <v/>
      </c>
      <c r="AL359" s="52" t="str">
        <f t="shared" si="142"/>
        <v/>
      </c>
      <c r="AM359" s="52" t="str">
        <f t="shared" si="143"/>
        <v/>
      </c>
      <c r="AN359" s="52" t="str">
        <f t="shared" si="144"/>
        <v/>
      </c>
      <c r="AO359" s="52" t="str">
        <f t="shared" si="145"/>
        <v/>
      </c>
      <c r="AP359" s="52" t="str">
        <f t="shared" si="146"/>
        <v/>
      </c>
      <c r="AQ359" s="52" t="str">
        <f t="shared" si="147"/>
        <v/>
      </c>
      <c r="AR359" s="52" t="str">
        <f t="shared" si="148"/>
        <v/>
      </c>
      <c r="AS359" s="52" t="str">
        <f t="shared" si="149"/>
        <v/>
      </c>
      <c r="AT359" s="52" t="str">
        <f t="shared" si="150"/>
        <v/>
      </c>
      <c r="AU359" s="52" t="str">
        <f t="shared" si="151"/>
        <v/>
      </c>
      <c r="AV359" s="52" t="str">
        <f t="shared" si="152"/>
        <v/>
      </c>
      <c r="AW359" s="52" t="str">
        <f t="shared" si="153"/>
        <v/>
      </c>
      <c r="AX359" s="52" t="str">
        <f t="shared" si="154"/>
        <v/>
      </c>
      <c r="AY359" s="52" t="str">
        <f t="shared" si="159"/>
        <v/>
      </c>
    </row>
    <row r="360" spans="4:51">
      <c r="D360" s="23"/>
      <c r="E360" s="23"/>
      <c r="F360" s="23"/>
      <c r="G360" s="23"/>
      <c r="H360" s="23"/>
      <c r="I360" s="3"/>
      <c r="J360" s="3"/>
      <c r="K360" s="3"/>
      <c r="L360" s="2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26"/>
      <c r="Y360" s="1"/>
      <c r="Z360" s="12">
        <f t="shared" si="155"/>
        <v>0</v>
      </c>
      <c r="AA360" s="14">
        <f t="shared" si="156"/>
        <v>0</v>
      </c>
      <c r="AB360" s="6">
        <f t="shared" si="134"/>
        <v>0</v>
      </c>
      <c r="AC360" s="6">
        <f t="shared" si="135"/>
        <v>0</v>
      </c>
      <c r="AD360" s="6">
        <f t="shared" si="136"/>
        <v>0</v>
      </c>
      <c r="AE360" s="52" t="str">
        <f t="shared" si="137"/>
        <v/>
      </c>
      <c r="AF360" s="52" t="str">
        <f t="shared" si="138"/>
        <v/>
      </c>
      <c r="AG360" s="50" t="str">
        <f t="shared" si="157"/>
        <v/>
      </c>
      <c r="AH360" s="50" t="str">
        <f t="shared" si="158"/>
        <v/>
      </c>
      <c r="AI360" s="52" t="str">
        <f t="shared" si="139"/>
        <v/>
      </c>
      <c r="AJ360" s="52" t="str">
        <f t="shared" si="140"/>
        <v/>
      </c>
      <c r="AK360" s="52" t="str">
        <f t="shared" si="141"/>
        <v/>
      </c>
      <c r="AL360" s="52" t="str">
        <f t="shared" si="142"/>
        <v/>
      </c>
      <c r="AM360" s="52" t="str">
        <f t="shared" si="143"/>
        <v/>
      </c>
      <c r="AN360" s="52" t="str">
        <f t="shared" si="144"/>
        <v/>
      </c>
      <c r="AO360" s="52" t="str">
        <f t="shared" si="145"/>
        <v/>
      </c>
      <c r="AP360" s="52" t="str">
        <f t="shared" si="146"/>
        <v/>
      </c>
      <c r="AQ360" s="52" t="str">
        <f t="shared" si="147"/>
        <v/>
      </c>
      <c r="AR360" s="52" t="str">
        <f t="shared" si="148"/>
        <v/>
      </c>
      <c r="AS360" s="52" t="str">
        <f t="shared" si="149"/>
        <v/>
      </c>
      <c r="AT360" s="52" t="str">
        <f t="shared" si="150"/>
        <v/>
      </c>
      <c r="AU360" s="52" t="str">
        <f t="shared" si="151"/>
        <v/>
      </c>
      <c r="AV360" s="52" t="str">
        <f t="shared" si="152"/>
        <v/>
      </c>
      <c r="AW360" s="52" t="str">
        <f t="shared" si="153"/>
        <v/>
      </c>
      <c r="AX360" s="52" t="str">
        <f t="shared" si="154"/>
        <v/>
      </c>
      <c r="AY360" s="52" t="str">
        <f t="shared" si="159"/>
        <v/>
      </c>
    </row>
    <row r="361" spans="4:51">
      <c r="D361" s="23"/>
      <c r="E361" s="23"/>
      <c r="F361" s="23"/>
      <c r="G361" s="23"/>
      <c r="H361" s="23"/>
      <c r="I361" s="3"/>
      <c r="J361" s="3"/>
      <c r="K361" s="3"/>
      <c r="L361" s="2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26"/>
      <c r="Y361" s="1"/>
      <c r="Z361" s="12">
        <f t="shared" si="155"/>
        <v>0</v>
      </c>
      <c r="AA361" s="14">
        <f t="shared" si="156"/>
        <v>0</v>
      </c>
      <c r="AB361" s="6">
        <f t="shared" si="134"/>
        <v>0</v>
      </c>
      <c r="AC361" s="6">
        <f t="shared" si="135"/>
        <v>0</v>
      </c>
      <c r="AD361" s="6">
        <f t="shared" si="136"/>
        <v>0</v>
      </c>
      <c r="AE361" s="52" t="str">
        <f t="shared" si="137"/>
        <v/>
      </c>
      <c r="AF361" s="52" t="str">
        <f t="shared" si="138"/>
        <v/>
      </c>
      <c r="AG361" s="50" t="str">
        <f t="shared" si="157"/>
        <v/>
      </c>
      <c r="AH361" s="50" t="str">
        <f t="shared" si="158"/>
        <v/>
      </c>
      <c r="AI361" s="52" t="str">
        <f t="shared" si="139"/>
        <v/>
      </c>
      <c r="AJ361" s="52" t="str">
        <f t="shared" si="140"/>
        <v/>
      </c>
      <c r="AK361" s="52" t="str">
        <f t="shared" si="141"/>
        <v/>
      </c>
      <c r="AL361" s="52" t="str">
        <f t="shared" si="142"/>
        <v/>
      </c>
      <c r="AM361" s="52" t="str">
        <f t="shared" si="143"/>
        <v/>
      </c>
      <c r="AN361" s="52" t="str">
        <f t="shared" si="144"/>
        <v/>
      </c>
      <c r="AO361" s="52" t="str">
        <f t="shared" si="145"/>
        <v/>
      </c>
      <c r="AP361" s="52" t="str">
        <f t="shared" si="146"/>
        <v/>
      </c>
      <c r="AQ361" s="52" t="str">
        <f t="shared" si="147"/>
        <v/>
      </c>
      <c r="AR361" s="52" t="str">
        <f t="shared" si="148"/>
        <v/>
      </c>
      <c r="AS361" s="52" t="str">
        <f t="shared" si="149"/>
        <v/>
      </c>
      <c r="AT361" s="52" t="str">
        <f t="shared" si="150"/>
        <v/>
      </c>
      <c r="AU361" s="52" t="str">
        <f t="shared" si="151"/>
        <v/>
      </c>
      <c r="AV361" s="52" t="str">
        <f t="shared" si="152"/>
        <v/>
      </c>
      <c r="AW361" s="52" t="str">
        <f t="shared" si="153"/>
        <v/>
      </c>
      <c r="AX361" s="52" t="str">
        <f t="shared" si="154"/>
        <v/>
      </c>
      <c r="AY361" s="52" t="str">
        <f t="shared" si="159"/>
        <v/>
      </c>
    </row>
    <row r="362" spans="4:51">
      <c r="D362" s="23"/>
      <c r="E362" s="23"/>
      <c r="F362" s="23"/>
      <c r="G362" s="23"/>
      <c r="H362" s="23"/>
      <c r="I362" s="3"/>
      <c r="J362" s="3"/>
      <c r="K362" s="3"/>
      <c r="L362" s="2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26"/>
      <c r="Y362" s="1"/>
      <c r="Z362" s="12">
        <f t="shared" si="155"/>
        <v>0</v>
      </c>
      <c r="AA362" s="14">
        <f t="shared" si="156"/>
        <v>0</v>
      </c>
      <c r="AB362" s="6">
        <f t="shared" ref="AB362:AB425" si="160">COUNTA(L362:W362)</f>
        <v>0</v>
      </c>
      <c r="AC362" s="6">
        <f t="shared" ref="AC362:AC425" si="161">COUNTA(L362:Q362)</f>
        <v>0</v>
      </c>
      <c r="AD362" s="6">
        <f t="shared" ref="AD362:AD425" si="162">COUNTA(R362:V362)</f>
        <v>0</v>
      </c>
      <c r="AE362" s="52" t="str">
        <f t="shared" ref="AE362:AE425" si="163">IF(AND(B362="Feminino",C362&gt;=$BA$2,C362&lt;=$BB$2),$BA$3,IF(AND(B362="Masculino",C362&gt;=$BA$2,C362&lt;=$BB$2),$BB$3,IF(AND(B362="Feminino",C362&gt;=$BC$2,C362&lt;=$BD$2),$BC$3,IF(AND(B362="Masculino",C362&gt;=$BC$2,C362&lt;=$BD$2),$BD$3,IF(AND(B362="Feminino",C362&gt;=$BE$2,C362&lt;=$BF$2),$BE$3,IF(AND(B362="Masculino",C362&gt;=$BE$2,C362&lt;=$BF$2),$BF$3,IF(AND(B362="Feminino",C362&gt;=$BG$2,C362&lt;=$BH$2),$BG$3,IF(AND(B362="Masculino",C362&gt;=$BG$2,C362&lt;=$BH$2),$BH$3,""))))))))</f>
        <v/>
      </c>
      <c r="AF362" s="52" t="str">
        <f t="shared" ref="AF362:AF425" si="164">IF(AND(B362="Feminino",C362&gt;=$BE$2,C362&lt;=$BF$2),$BI$3,IF(AND(B362="Masculino",C362&gt;=$BE$2,C362&lt;=$BF$2),$BJ$3,IF(AND(B362="Feminino",C362&lt;=$BH$2),$BK$3,IF(AND(B362="Masculino",C362&lt;=$BH$2),$BL$3,""))))</f>
        <v/>
      </c>
      <c r="AG362" s="50" t="str">
        <f t="shared" si="157"/>
        <v/>
      </c>
      <c r="AH362" s="50" t="str">
        <f t="shared" si="158"/>
        <v/>
      </c>
      <c r="AI362" s="52" t="str">
        <f t="shared" ref="AI362:AI425" si="165">IF(C362="","",IF(C362&gt;=$BQ$2,$BQ$3,IF(AND(C362&gt;=$BR$1,C362&lt;=$BR$2),$BR$3,IF(AND(C362&gt;=$BS$1,C362&lt;=$BS$2),$BS$3,IF(AND(C362&gt;=$BT$1,C362&lt;=$BT$2),$BT$3,IF(AND(C362&gt;=$BU$1,C362&lt;=$BU$2),$BU$3,IF(C362&lt;=$BV$2,$BV$3,"")))))))</f>
        <v/>
      </c>
      <c r="AJ362" s="52" t="str">
        <f t="shared" ref="AJ362:AJ425" si="166">IF(C362="","",IF(C362&gt;=$BQ$2,$BW$3,IF(AND(C362&gt;=$BR$1,C362&lt;=$BR$2),$BX$3,IF(AND(C362&gt;=$BS$1,C362&lt;=$BS$2),$BY$3,IF(AND(C362&gt;=$BT$1,C362&lt;=$BT$2),$BZ$3,IF(AND(C362&gt;=$BU$1,C362&lt;=$BU$2),$CA$3,IF(C362&lt;=$BV$2,$CB$3,"")))))))</f>
        <v/>
      </c>
      <c r="AK362" s="52" t="str">
        <f t="shared" ref="AK362:AK425" si="167">IF(C362="","",IF(C362&gt;=$BQ$2,$CC$3,IF(AND(C362&gt;=$BR$1,C362&lt;=$BR$2),$CD$3,IF(AND(C362&gt;=$BS$1,C362&lt;=$BS$2),$CE$3,IF(AND(C362&gt;=$BT$1,C362&lt;=$BT$2),$CF$3,IF(AND(C362&gt;=$BU$1,C362&lt;=$BU$2),$CG$3,IF(C362&lt;=$BV$2,$CH$3,"")))))))</f>
        <v/>
      </c>
      <c r="AL362" s="52" t="str">
        <f t="shared" ref="AL362:AL425" si="168">IF(C362="","",IF(AND(C362&gt;=$BT$1,C362&lt;=$BT$2),$CI$3,IF(AND(C362&gt;=$BU$1,C362&lt;=$BU$2),$CJ$3,IF(C362&lt;=$BV$2,$CK$3,""))))</f>
        <v/>
      </c>
      <c r="AM362" s="52" t="str">
        <f t="shared" ref="AM362:AM425" si="169">IF(C362="","",IF(AB362&gt;=3,"",IF(AC362&gt;=2,"",IF(C362&gt;=$CL$2,$CL$3,IF(AND(C362&gt;=$CM$1,C362&lt;=$CM$2),$CM$3,IF(AND(C362&gt;=$CN$1,C362&lt;=$CN$2),$CN$3,IF(AND(C362&gt;=$CO$1,C362&lt;=$CO$2),$CO$3,IF(AND(C362&gt;=$CP$1,C362&lt;=$CP$2),$CP$3,IF(C362&lt;=$CQ$2,$CQ$3,"")))))))))</f>
        <v/>
      </c>
      <c r="AN362" s="52" t="str">
        <f t="shared" ref="AN362:AN425" si="170">IF(C362="","",IF(AB362&gt;=3,"",IF(AC362&gt;=2,"",IF(C362&gt;=$CL$2,$CR$3,IF(AND(C362&gt;=$CM$1,C362&lt;=$CM$2),$CS$3,IF(AND(C362&gt;=$CN$1,C362&lt;=$CN$2),$CT$3,IF(AND(C362&gt;=$CO$1,C362&lt;=$CO$2),$CU$3,IF(AND(C362&gt;=$CP$1,C362&lt;=$CP$2),$CV$3,IF(C362&lt;=$CQ$2,$CW$3,"")))))))))</f>
        <v/>
      </c>
      <c r="AO362" s="52" t="str">
        <f t="shared" ref="AO362:AO425" si="171">IF(C362="","",IF(AB362&gt;=3,"",IF(AC362&gt;=2,"",IF(C362&gt;=$CL$2,$CX$3,IF(AND(C362&gt;=$CM$1,C362&lt;=$CM$2),$CY$3,IF(AND(C362&gt;=$CN$1,C362&lt;=$CN$2),$CZ$3,IF(AND(C362&gt;=$CO$1,C362&lt;=$CO$2),$DA$3,IF(AND(C362&gt;=$CP$1,C362&lt;=$CP$2),$DB$3,IF(C362&lt;=$CQ$2,$DC$3,"")))))))))</f>
        <v/>
      </c>
      <c r="AP362" s="52" t="str">
        <f t="shared" ref="AP362:AP425" si="172">IF(C362="","",IF(AB362&gt;=3,"",IF(AC362&gt;=2,"",IF(C362&gt;=$CL$2,$DD$3,IF(AND(C362&gt;=$CM$1,C362&lt;=$CM$2),$DE$3,IF(AND(C362&gt;=$CN$1,C362&lt;=$CN$2),$DF$3,IF(AND(C362&gt;=$CO$1,C362&lt;=$CO$2),$DG$3,IF(AND(C362&gt;=$CP$1,C362&lt;=$CP$2),$DH$3,IF(C362&lt;=$CQ$2,$DI$3,"")))))))))</f>
        <v/>
      </c>
      <c r="AQ362" s="52" t="str">
        <f t="shared" ref="AQ362:AQ425" si="173">IF(C362="","",IF(AB362&gt;=3,"",IF(AC362&gt;=2,"",IF(C362&gt;=$CL$2,$DJ$3,IF(AND(C362&gt;=$CM$1,C362&lt;=$CM$2),$DK$3,IF(AND(C362&gt;=$CN$1,C362&lt;=$CN$2),$DL$3,IF(AND(C362&gt;=$CO$1,C362&lt;=$CO$2),$DM$3,IF(AND(C362&gt;=$CP$1,C362&lt;=$CP$2),$DN$3,IF(C362&lt;=$CQ$2,$DO$3,"")))))))))</f>
        <v/>
      </c>
      <c r="AR362" s="52" t="str">
        <f t="shared" ref="AR362:AR425" si="174">IF(C362="","",IF(AB362&gt;=3,"",IF(AC362&gt;=2,"",IF(C362&gt;=$CL$2,$DP$3,IF(AND(C362&gt;=$CM$1,C362&lt;=$CM$2),$DQ$3,IF(AND(C362&gt;=$CN$1,C362&lt;=$CN$2),$DR$3,IF(AND(C362&gt;=$CO$1,C362&lt;=$CO$2),$DS$3,IF(AND(C362&gt;=$CP$1,C362&lt;=$CP$2),$DT$3,IF(C362&lt;=$CQ$2,$DU$3,"")))))))))</f>
        <v/>
      </c>
      <c r="AS362" s="52" t="str">
        <f t="shared" ref="AS362:AS425" si="175">IF(C362="","",IF(AB362&gt;=3,"",IF(AD362&gt;=2,"",IF(C362&gt;=$CL$2,$DV$3,IF(AND(C362&gt;=$CM$1,C362&lt;=$CM$2),$DW$3,IF(AND(C362&gt;=$CN$1,C362&lt;=$CN$2),$DX$3,IF(AND(C362&gt;=$CO$1,C362&lt;=$CO$2),$DY$3,IF(AND(C362&gt;=$CP$1,C362&lt;=$CP$2),$DZ$3,IF(C362&lt;=$CQ$2,$EA$3,"")))))))))</f>
        <v/>
      </c>
      <c r="AT362" s="52" t="str">
        <f t="shared" ref="AT362:AT425" si="176">IF(C362="","",IF(AB362&gt;=3,"",IF(AD362&gt;=2,"",IF(C362&gt;=$CL$2,$EB$3,IF(AND(C362&gt;=$CM$1,C362&lt;=$CM$2),$EC$3,IF(AND(C362&gt;=$CN$1,C362&lt;=$CN$2),$ED$3,IF(AND(C362&gt;=$CO$1,C362&lt;=$CO$2),$EE$3,IF(AND(C362&gt;=$CP$1,C362&lt;=$CP$2),$EF$3,IF(C362&lt;=$CQ$2,$EG$3,"")))))))))</f>
        <v/>
      </c>
      <c r="AU362" s="52" t="str">
        <f t="shared" ref="AU362:AU425" si="177">IF(C362="","",IF(AB362&gt;=3,"",IF(AD362&gt;=2,"",IF(C362&gt;=$CL$2,$EH$3,IF(AND(C362&gt;=$CM$1,C362&lt;=$CM$2),$EI$3,IF(AND(C362&gt;=$CN$1,C362&lt;=$CN$2),$EJ$3,IF(AND(C362&gt;=$CO$1,C362&lt;=$CO$2),$EK$3,IF(AND(C362&gt;=$CP$1,C362&lt;=$CP$2),$EL$3,IF(C362&lt;=$CQ$2,$EM$3,"")))))))))</f>
        <v/>
      </c>
      <c r="AV362" s="52" t="str">
        <f t="shared" ref="AV362:AV425" si="178">IF(C362="","",IF(AB362&gt;=3,"",IF(AD362&gt;=2,"",IF(C362&gt;=$CL$2,$EN$3,IF(AND(C362&gt;=$CM$1,C362&lt;=$CM$2),$EO$3,IF(AND(C362&gt;=$CN$1,C362&lt;=$CN$2),$EP$3,IF(AND(C362&gt;=$CO$1,C362&lt;=$CO$2),$EQ$3,IF(AND(C362&gt;=$CP$1,C362&lt;=$CP$2),$ER$3,IF(C362&lt;=$CQ$2,$ES$3,"")))))))))</f>
        <v/>
      </c>
      <c r="AW362" s="52" t="str">
        <f t="shared" ref="AW362:AW425" si="179">IF(C362="","",IF(AB362&gt;=3,"",IF(AD362&gt;=2,"",IF(C362&gt;=$CL$2,$ET$3,IF(AND(C362&gt;=$CM$1,C362&lt;=$CM$2),$EU$3,IF(AND(C362&gt;=$CN$1,C362&lt;=$CN$2),$EV$3,IF(AND(C362&gt;=$CO$1,C362&lt;=$CO$2),$EW$3,IF(AND(C362&gt;=$CP$1,C362&lt;=$CP$2),$EX$3,IF(C362&lt;=$CQ$2,$EY$3,"")))))))))</f>
        <v/>
      </c>
      <c r="AX362" s="52" t="str">
        <f t="shared" ref="AX362:AX425" si="180">IF(C362="","",IF(AB362&gt;=3,"",IF(AD362&gt;=2,"",IF(C362&gt;=$CL$2,$EZ$3,IF(AND(C362&gt;=$CM$1,C362&lt;=$CM$2),$FA$3,IF(AND(C362&gt;=$CN$1,C362&lt;=$CN$2),$FB$3,IF(AND(C362&gt;=$CO$1,C362&lt;=$CO$2),$FC$3,IF(AND(C362&gt;=$CP$1,C362&lt;=$CP$2),$FD$3,IF(C362&lt;=$CQ$2,$FE$3,"")))))))))</f>
        <v/>
      </c>
      <c r="AY362" s="52" t="str">
        <f t="shared" si="159"/>
        <v/>
      </c>
    </row>
    <row r="363" spans="4:51">
      <c r="D363" s="23"/>
      <c r="E363" s="23"/>
      <c r="F363" s="23"/>
      <c r="G363" s="23"/>
      <c r="H363" s="23"/>
      <c r="I363" s="3"/>
      <c r="J363" s="3"/>
      <c r="K363" s="3"/>
      <c r="L363" s="2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26"/>
      <c r="Y363" s="1"/>
      <c r="Z363" s="12">
        <f t="shared" si="155"/>
        <v>0</v>
      </c>
      <c r="AA363" s="14">
        <f t="shared" si="156"/>
        <v>0</v>
      </c>
      <c r="AB363" s="6">
        <f t="shared" si="160"/>
        <v>0</v>
      </c>
      <c r="AC363" s="6">
        <f t="shared" si="161"/>
        <v>0</v>
      </c>
      <c r="AD363" s="6">
        <f t="shared" si="162"/>
        <v>0</v>
      </c>
      <c r="AE363" s="52" t="str">
        <f t="shared" si="163"/>
        <v/>
      </c>
      <c r="AF363" s="52" t="str">
        <f t="shared" si="164"/>
        <v/>
      </c>
      <c r="AG363" s="50" t="str">
        <f t="shared" si="157"/>
        <v/>
      </c>
      <c r="AH363" s="50" t="str">
        <f t="shared" si="158"/>
        <v/>
      </c>
      <c r="AI363" s="52" t="str">
        <f t="shared" si="165"/>
        <v/>
      </c>
      <c r="AJ363" s="52" t="str">
        <f t="shared" si="166"/>
        <v/>
      </c>
      <c r="AK363" s="52" t="str">
        <f t="shared" si="167"/>
        <v/>
      </c>
      <c r="AL363" s="52" t="str">
        <f t="shared" si="168"/>
        <v/>
      </c>
      <c r="AM363" s="52" t="str">
        <f t="shared" si="169"/>
        <v/>
      </c>
      <c r="AN363" s="52" t="str">
        <f t="shared" si="170"/>
        <v/>
      </c>
      <c r="AO363" s="52" t="str">
        <f t="shared" si="171"/>
        <v/>
      </c>
      <c r="AP363" s="52" t="str">
        <f t="shared" si="172"/>
        <v/>
      </c>
      <c r="AQ363" s="52" t="str">
        <f t="shared" si="173"/>
        <v/>
      </c>
      <c r="AR363" s="52" t="str">
        <f t="shared" si="174"/>
        <v/>
      </c>
      <c r="AS363" s="52" t="str">
        <f t="shared" si="175"/>
        <v/>
      </c>
      <c r="AT363" s="52" t="str">
        <f t="shared" si="176"/>
        <v/>
      </c>
      <c r="AU363" s="52" t="str">
        <f t="shared" si="177"/>
        <v/>
      </c>
      <c r="AV363" s="52" t="str">
        <f t="shared" si="178"/>
        <v/>
      </c>
      <c r="AW363" s="52" t="str">
        <f t="shared" si="179"/>
        <v/>
      </c>
      <c r="AX363" s="52" t="str">
        <f t="shared" si="180"/>
        <v/>
      </c>
      <c r="AY363" s="52" t="str">
        <f t="shared" si="159"/>
        <v/>
      </c>
    </row>
    <row r="364" spans="4:51">
      <c r="D364" s="23"/>
      <c r="E364" s="23"/>
      <c r="F364" s="23"/>
      <c r="G364" s="23"/>
      <c r="H364" s="23"/>
      <c r="I364" s="3"/>
      <c r="J364" s="3"/>
      <c r="K364" s="3"/>
      <c r="L364" s="2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26"/>
      <c r="Y364" s="1"/>
      <c r="Z364" s="12">
        <f t="shared" si="155"/>
        <v>0</v>
      </c>
      <c r="AA364" s="14">
        <f t="shared" si="156"/>
        <v>0</v>
      </c>
      <c r="AB364" s="6">
        <f t="shared" si="160"/>
        <v>0</v>
      </c>
      <c r="AC364" s="6">
        <f t="shared" si="161"/>
        <v>0</v>
      </c>
      <c r="AD364" s="6">
        <f t="shared" si="162"/>
        <v>0</v>
      </c>
      <c r="AE364" s="52" t="str">
        <f t="shared" si="163"/>
        <v/>
      </c>
      <c r="AF364" s="52" t="str">
        <f t="shared" si="164"/>
        <v/>
      </c>
      <c r="AG364" s="50" t="str">
        <f t="shared" si="157"/>
        <v/>
      </c>
      <c r="AH364" s="50" t="str">
        <f t="shared" si="158"/>
        <v/>
      </c>
      <c r="AI364" s="52" t="str">
        <f t="shared" si="165"/>
        <v/>
      </c>
      <c r="AJ364" s="52" t="str">
        <f t="shared" si="166"/>
        <v/>
      </c>
      <c r="AK364" s="52" t="str">
        <f t="shared" si="167"/>
        <v/>
      </c>
      <c r="AL364" s="52" t="str">
        <f t="shared" si="168"/>
        <v/>
      </c>
      <c r="AM364" s="52" t="str">
        <f t="shared" si="169"/>
        <v/>
      </c>
      <c r="AN364" s="52" t="str">
        <f t="shared" si="170"/>
        <v/>
      </c>
      <c r="AO364" s="52" t="str">
        <f t="shared" si="171"/>
        <v/>
      </c>
      <c r="AP364" s="52" t="str">
        <f t="shared" si="172"/>
        <v/>
      </c>
      <c r="AQ364" s="52" t="str">
        <f t="shared" si="173"/>
        <v/>
      </c>
      <c r="AR364" s="52" t="str">
        <f t="shared" si="174"/>
        <v/>
      </c>
      <c r="AS364" s="52" t="str">
        <f t="shared" si="175"/>
        <v/>
      </c>
      <c r="AT364" s="52" t="str">
        <f t="shared" si="176"/>
        <v/>
      </c>
      <c r="AU364" s="52" t="str">
        <f t="shared" si="177"/>
        <v/>
      </c>
      <c r="AV364" s="52" t="str">
        <f t="shared" si="178"/>
        <v/>
      </c>
      <c r="AW364" s="52" t="str">
        <f t="shared" si="179"/>
        <v/>
      </c>
      <c r="AX364" s="52" t="str">
        <f t="shared" si="180"/>
        <v/>
      </c>
      <c r="AY364" s="52" t="str">
        <f t="shared" si="159"/>
        <v/>
      </c>
    </row>
    <row r="365" spans="4:51">
      <c r="D365" s="23"/>
      <c r="E365" s="23"/>
      <c r="F365" s="23"/>
      <c r="G365" s="23"/>
      <c r="H365" s="23"/>
      <c r="I365" s="3"/>
      <c r="J365" s="3"/>
      <c r="K365" s="3"/>
      <c r="L365" s="2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26"/>
      <c r="Y365" s="1"/>
      <c r="Z365" s="12">
        <f t="shared" si="155"/>
        <v>0</v>
      </c>
      <c r="AA365" s="14">
        <f t="shared" si="156"/>
        <v>0</v>
      </c>
      <c r="AB365" s="6">
        <f t="shared" si="160"/>
        <v>0</v>
      </c>
      <c r="AC365" s="6">
        <f t="shared" si="161"/>
        <v>0</v>
      </c>
      <c r="AD365" s="6">
        <f t="shared" si="162"/>
        <v>0</v>
      </c>
      <c r="AE365" s="52" t="str">
        <f t="shared" si="163"/>
        <v/>
      </c>
      <c r="AF365" s="52" t="str">
        <f t="shared" si="164"/>
        <v/>
      </c>
      <c r="AG365" s="50" t="str">
        <f t="shared" si="157"/>
        <v/>
      </c>
      <c r="AH365" s="50" t="str">
        <f t="shared" si="158"/>
        <v/>
      </c>
      <c r="AI365" s="52" t="str">
        <f t="shared" si="165"/>
        <v/>
      </c>
      <c r="AJ365" s="52" t="str">
        <f t="shared" si="166"/>
        <v/>
      </c>
      <c r="AK365" s="52" t="str">
        <f t="shared" si="167"/>
        <v/>
      </c>
      <c r="AL365" s="52" t="str">
        <f t="shared" si="168"/>
        <v/>
      </c>
      <c r="AM365" s="52" t="str">
        <f t="shared" si="169"/>
        <v/>
      </c>
      <c r="AN365" s="52" t="str">
        <f t="shared" si="170"/>
        <v/>
      </c>
      <c r="AO365" s="52" t="str">
        <f t="shared" si="171"/>
        <v/>
      </c>
      <c r="AP365" s="52" t="str">
        <f t="shared" si="172"/>
        <v/>
      </c>
      <c r="AQ365" s="52" t="str">
        <f t="shared" si="173"/>
        <v/>
      </c>
      <c r="AR365" s="52" t="str">
        <f t="shared" si="174"/>
        <v/>
      </c>
      <c r="AS365" s="52" t="str">
        <f t="shared" si="175"/>
        <v/>
      </c>
      <c r="AT365" s="52" t="str">
        <f t="shared" si="176"/>
        <v/>
      </c>
      <c r="AU365" s="52" t="str">
        <f t="shared" si="177"/>
        <v/>
      </c>
      <c r="AV365" s="52" t="str">
        <f t="shared" si="178"/>
        <v/>
      </c>
      <c r="AW365" s="52" t="str">
        <f t="shared" si="179"/>
        <v/>
      </c>
      <c r="AX365" s="52" t="str">
        <f t="shared" si="180"/>
        <v/>
      </c>
      <c r="AY365" s="52" t="str">
        <f t="shared" si="159"/>
        <v/>
      </c>
    </row>
    <row r="366" spans="4:51">
      <c r="D366" s="23"/>
      <c r="E366" s="23"/>
      <c r="F366" s="23"/>
      <c r="G366" s="23"/>
      <c r="H366" s="23"/>
      <c r="I366" s="3"/>
      <c r="J366" s="3"/>
      <c r="K366" s="3"/>
      <c r="L366" s="2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26"/>
      <c r="Y366" s="1"/>
      <c r="Z366" s="12">
        <f t="shared" si="155"/>
        <v>0</v>
      </c>
      <c r="AA366" s="14">
        <f t="shared" si="156"/>
        <v>0</v>
      </c>
      <c r="AB366" s="6">
        <f t="shared" si="160"/>
        <v>0</v>
      </c>
      <c r="AC366" s="6">
        <f t="shared" si="161"/>
        <v>0</v>
      </c>
      <c r="AD366" s="6">
        <f t="shared" si="162"/>
        <v>0</v>
      </c>
      <c r="AE366" s="52" t="str">
        <f t="shared" si="163"/>
        <v/>
      </c>
      <c r="AF366" s="52" t="str">
        <f t="shared" si="164"/>
        <v/>
      </c>
      <c r="AG366" s="50" t="str">
        <f t="shared" si="157"/>
        <v/>
      </c>
      <c r="AH366" s="50" t="str">
        <f t="shared" si="158"/>
        <v/>
      </c>
      <c r="AI366" s="52" t="str">
        <f t="shared" si="165"/>
        <v/>
      </c>
      <c r="AJ366" s="52" t="str">
        <f t="shared" si="166"/>
        <v/>
      </c>
      <c r="AK366" s="52" t="str">
        <f t="shared" si="167"/>
        <v/>
      </c>
      <c r="AL366" s="52" t="str">
        <f t="shared" si="168"/>
        <v/>
      </c>
      <c r="AM366" s="52" t="str">
        <f t="shared" si="169"/>
        <v/>
      </c>
      <c r="AN366" s="52" t="str">
        <f t="shared" si="170"/>
        <v/>
      </c>
      <c r="AO366" s="52" t="str">
        <f t="shared" si="171"/>
        <v/>
      </c>
      <c r="AP366" s="52" t="str">
        <f t="shared" si="172"/>
        <v/>
      </c>
      <c r="AQ366" s="52" t="str">
        <f t="shared" si="173"/>
        <v/>
      </c>
      <c r="AR366" s="52" t="str">
        <f t="shared" si="174"/>
        <v/>
      </c>
      <c r="AS366" s="52" t="str">
        <f t="shared" si="175"/>
        <v/>
      </c>
      <c r="AT366" s="52" t="str">
        <f t="shared" si="176"/>
        <v/>
      </c>
      <c r="AU366" s="52" t="str">
        <f t="shared" si="177"/>
        <v/>
      </c>
      <c r="AV366" s="52" t="str">
        <f t="shared" si="178"/>
        <v/>
      </c>
      <c r="AW366" s="52" t="str">
        <f t="shared" si="179"/>
        <v/>
      </c>
      <c r="AX366" s="52" t="str">
        <f t="shared" si="180"/>
        <v/>
      </c>
      <c r="AY366" s="52" t="str">
        <f t="shared" si="159"/>
        <v/>
      </c>
    </row>
    <row r="367" spans="4:51">
      <c r="D367" s="23"/>
      <c r="E367" s="23"/>
      <c r="F367" s="23"/>
      <c r="G367" s="23"/>
      <c r="H367" s="23"/>
      <c r="I367" s="3"/>
      <c r="J367" s="3"/>
      <c r="K367" s="3"/>
      <c r="L367" s="2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26"/>
      <c r="Y367" s="1"/>
      <c r="Z367" s="12">
        <f t="shared" si="155"/>
        <v>0</v>
      </c>
      <c r="AA367" s="14">
        <f t="shared" si="156"/>
        <v>0</v>
      </c>
      <c r="AB367" s="6">
        <f t="shared" si="160"/>
        <v>0</v>
      </c>
      <c r="AC367" s="6">
        <f t="shared" si="161"/>
        <v>0</v>
      </c>
      <c r="AD367" s="6">
        <f t="shared" si="162"/>
        <v>0</v>
      </c>
      <c r="AE367" s="52" t="str">
        <f t="shared" si="163"/>
        <v/>
      </c>
      <c r="AF367" s="52" t="str">
        <f t="shared" si="164"/>
        <v/>
      </c>
      <c r="AG367" s="50" t="str">
        <f t="shared" si="157"/>
        <v/>
      </c>
      <c r="AH367" s="50" t="str">
        <f t="shared" si="158"/>
        <v/>
      </c>
      <c r="AI367" s="52" t="str">
        <f t="shared" si="165"/>
        <v/>
      </c>
      <c r="AJ367" s="52" t="str">
        <f t="shared" si="166"/>
        <v/>
      </c>
      <c r="AK367" s="52" t="str">
        <f t="shared" si="167"/>
        <v/>
      </c>
      <c r="AL367" s="52" t="str">
        <f t="shared" si="168"/>
        <v/>
      </c>
      <c r="AM367" s="52" t="str">
        <f t="shared" si="169"/>
        <v/>
      </c>
      <c r="AN367" s="52" t="str">
        <f t="shared" si="170"/>
        <v/>
      </c>
      <c r="AO367" s="52" t="str">
        <f t="shared" si="171"/>
        <v/>
      </c>
      <c r="AP367" s="52" t="str">
        <f t="shared" si="172"/>
        <v/>
      </c>
      <c r="AQ367" s="52" t="str">
        <f t="shared" si="173"/>
        <v/>
      </c>
      <c r="AR367" s="52" t="str">
        <f t="shared" si="174"/>
        <v/>
      </c>
      <c r="AS367" s="52" t="str">
        <f t="shared" si="175"/>
        <v/>
      </c>
      <c r="AT367" s="52" t="str">
        <f t="shared" si="176"/>
        <v/>
      </c>
      <c r="AU367" s="52" t="str">
        <f t="shared" si="177"/>
        <v/>
      </c>
      <c r="AV367" s="52" t="str">
        <f t="shared" si="178"/>
        <v/>
      </c>
      <c r="AW367" s="52" t="str">
        <f t="shared" si="179"/>
        <v/>
      </c>
      <c r="AX367" s="52" t="str">
        <f t="shared" si="180"/>
        <v/>
      </c>
      <c r="AY367" s="52" t="str">
        <f t="shared" si="159"/>
        <v/>
      </c>
    </row>
    <row r="368" spans="4:51">
      <c r="D368" s="23"/>
      <c r="E368" s="23"/>
      <c r="F368" s="23"/>
      <c r="G368" s="23"/>
      <c r="H368" s="23"/>
      <c r="I368" s="3"/>
      <c r="J368" s="3"/>
      <c r="K368" s="3"/>
      <c r="L368" s="2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26"/>
      <c r="Y368" s="1"/>
      <c r="Z368" s="12">
        <f t="shared" si="155"/>
        <v>0</v>
      </c>
      <c r="AA368" s="14">
        <f t="shared" si="156"/>
        <v>0</v>
      </c>
      <c r="AB368" s="6">
        <f t="shared" si="160"/>
        <v>0</v>
      </c>
      <c r="AC368" s="6">
        <f t="shared" si="161"/>
        <v>0</v>
      </c>
      <c r="AD368" s="6">
        <f t="shared" si="162"/>
        <v>0</v>
      </c>
      <c r="AE368" s="52" t="str">
        <f t="shared" si="163"/>
        <v/>
      </c>
      <c r="AF368" s="52" t="str">
        <f t="shared" si="164"/>
        <v/>
      </c>
      <c r="AG368" s="50" t="str">
        <f t="shared" si="157"/>
        <v/>
      </c>
      <c r="AH368" s="50" t="str">
        <f t="shared" si="158"/>
        <v/>
      </c>
      <c r="AI368" s="52" t="str">
        <f t="shared" si="165"/>
        <v/>
      </c>
      <c r="AJ368" s="52" t="str">
        <f t="shared" si="166"/>
        <v/>
      </c>
      <c r="AK368" s="52" t="str">
        <f t="shared" si="167"/>
        <v/>
      </c>
      <c r="AL368" s="52" t="str">
        <f t="shared" si="168"/>
        <v/>
      </c>
      <c r="AM368" s="52" t="str">
        <f t="shared" si="169"/>
        <v/>
      </c>
      <c r="AN368" s="52" t="str">
        <f t="shared" si="170"/>
        <v/>
      </c>
      <c r="AO368" s="52" t="str">
        <f t="shared" si="171"/>
        <v/>
      </c>
      <c r="AP368" s="52" t="str">
        <f t="shared" si="172"/>
        <v/>
      </c>
      <c r="AQ368" s="52" t="str">
        <f t="shared" si="173"/>
        <v/>
      </c>
      <c r="AR368" s="52" t="str">
        <f t="shared" si="174"/>
        <v/>
      </c>
      <c r="AS368" s="52" t="str">
        <f t="shared" si="175"/>
        <v/>
      </c>
      <c r="AT368" s="52" t="str">
        <f t="shared" si="176"/>
        <v/>
      </c>
      <c r="AU368" s="52" t="str">
        <f t="shared" si="177"/>
        <v/>
      </c>
      <c r="AV368" s="52" t="str">
        <f t="shared" si="178"/>
        <v/>
      </c>
      <c r="AW368" s="52" t="str">
        <f t="shared" si="179"/>
        <v/>
      </c>
      <c r="AX368" s="52" t="str">
        <f t="shared" si="180"/>
        <v/>
      </c>
      <c r="AY368" s="52" t="str">
        <f t="shared" si="159"/>
        <v/>
      </c>
    </row>
    <row r="369" spans="4:51">
      <c r="D369" s="23"/>
      <c r="E369" s="23"/>
      <c r="F369" s="23"/>
      <c r="G369" s="23"/>
      <c r="H369" s="23"/>
      <c r="I369" s="3"/>
      <c r="J369" s="3"/>
      <c r="K369" s="3"/>
      <c r="L369" s="2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26"/>
      <c r="Y369" s="1"/>
      <c r="Z369" s="12">
        <f t="shared" si="155"/>
        <v>0</v>
      </c>
      <c r="AA369" s="14">
        <f t="shared" si="156"/>
        <v>0</v>
      </c>
      <c r="AB369" s="6">
        <f t="shared" si="160"/>
        <v>0</v>
      </c>
      <c r="AC369" s="6">
        <f t="shared" si="161"/>
        <v>0</v>
      </c>
      <c r="AD369" s="6">
        <f t="shared" si="162"/>
        <v>0</v>
      </c>
      <c r="AE369" s="52" t="str">
        <f t="shared" si="163"/>
        <v/>
      </c>
      <c r="AF369" s="52" t="str">
        <f t="shared" si="164"/>
        <v/>
      </c>
      <c r="AG369" s="50" t="str">
        <f t="shared" si="157"/>
        <v/>
      </c>
      <c r="AH369" s="50" t="str">
        <f t="shared" si="158"/>
        <v/>
      </c>
      <c r="AI369" s="52" t="str">
        <f t="shared" si="165"/>
        <v/>
      </c>
      <c r="AJ369" s="52" t="str">
        <f t="shared" si="166"/>
        <v/>
      </c>
      <c r="AK369" s="52" t="str">
        <f t="shared" si="167"/>
        <v/>
      </c>
      <c r="AL369" s="52" t="str">
        <f t="shared" si="168"/>
        <v/>
      </c>
      <c r="AM369" s="52" t="str">
        <f t="shared" si="169"/>
        <v/>
      </c>
      <c r="AN369" s="52" t="str">
        <f t="shared" si="170"/>
        <v/>
      </c>
      <c r="AO369" s="52" t="str">
        <f t="shared" si="171"/>
        <v/>
      </c>
      <c r="AP369" s="52" t="str">
        <f t="shared" si="172"/>
        <v/>
      </c>
      <c r="AQ369" s="52" t="str">
        <f t="shared" si="173"/>
        <v/>
      </c>
      <c r="AR369" s="52" t="str">
        <f t="shared" si="174"/>
        <v/>
      </c>
      <c r="AS369" s="52" t="str">
        <f t="shared" si="175"/>
        <v/>
      </c>
      <c r="AT369" s="52" t="str">
        <f t="shared" si="176"/>
        <v/>
      </c>
      <c r="AU369" s="52" t="str">
        <f t="shared" si="177"/>
        <v/>
      </c>
      <c r="AV369" s="52" t="str">
        <f t="shared" si="178"/>
        <v/>
      </c>
      <c r="AW369" s="52" t="str">
        <f t="shared" si="179"/>
        <v/>
      </c>
      <c r="AX369" s="52" t="str">
        <f t="shared" si="180"/>
        <v/>
      </c>
      <c r="AY369" s="52" t="str">
        <f t="shared" si="159"/>
        <v/>
      </c>
    </row>
    <row r="370" spans="4:51">
      <c r="D370" s="23"/>
      <c r="E370" s="23"/>
      <c r="F370" s="23"/>
      <c r="G370" s="23"/>
      <c r="H370" s="23"/>
      <c r="I370" s="3"/>
      <c r="J370" s="3"/>
      <c r="K370" s="3"/>
      <c r="L370" s="2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26"/>
      <c r="Y370" s="1"/>
      <c r="Z370" s="12">
        <f t="shared" si="155"/>
        <v>0</v>
      </c>
      <c r="AA370" s="14">
        <f t="shared" si="156"/>
        <v>0</v>
      </c>
      <c r="AB370" s="6">
        <f t="shared" si="160"/>
        <v>0</v>
      </c>
      <c r="AC370" s="6">
        <f t="shared" si="161"/>
        <v>0</v>
      </c>
      <c r="AD370" s="6">
        <f t="shared" si="162"/>
        <v>0</v>
      </c>
      <c r="AE370" s="52" t="str">
        <f t="shared" si="163"/>
        <v/>
      </c>
      <c r="AF370" s="52" t="str">
        <f t="shared" si="164"/>
        <v/>
      </c>
      <c r="AG370" s="50" t="str">
        <f t="shared" si="157"/>
        <v/>
      </c>
      <c r="AH370" s="50" t="str">
        <f t="shared" si="158"/>
        <v/>
      </c>
      <c r="AI370" s="52" t="str">
        <f t="shared" si="165"/>
        <v/>
      </c>
      <c r="AJ370" s="52" t="str">
        <f t="shared" si="166"/>
        <v/>
      </c>
      <c r="AK370" s="52" t="str">
        <f t="shared" si="167"/>
        <v/>
      </c>
      <c r="AL370" s="52" t="str">
        <f t="shared" si="168"/>
        <v/>
      </c>
      <c r="AM370" s="52" t="str">
        <f t="shared" si="169"/>
        <v/>
      </c>
      <c r="AN370" s="52" t="str">
        <f t="shared" si="170"/>
        <v/>
      </c>
      <c r="AO370" s="52" t="str">
        <f t="shared" si="171"/>
        <v/>
      </c>
      <c r="AP370" s="52" t="str">
        <f t="shared" si="172"/>
        <v/>
      </c>
      <c r="AQ370" s="52" t="str">
        <f t="shared" si="173"/>
        <v/>
      </c>
      <c r="AR370" s="52" t="str">
        <f t="shared" si="174"/>
        <v/>
      </c>
      <c r="AS370" s="52" t="str">
        <f t="shared" si="175"/>
        <v/>
      </c>
      <c r="AT370" s="52" t="str">
        <f t="shared" si="176"/>
        <v/>
      </c>
      <c r="AU370" s="52" t="str">
        <f t="shared" si="177"/>
        <v/>
      </c>
      <c r="AV370" s="52" t="str">
        <f t="shared" si="178"/>
        <v/>
      </c>
      <c r="AW370" s="52" t="str">
        <f t="shared" si="179"/>
        <v/>
      </c>
      <c r="AX370" s="52" t="str">
        <f t="shared" si="180"/>
        <v/>
      </c>
      <c r="AY370" s="52" t="str">
        <f t="shared" si="159"/>
        <v/>
      </c>
    </row>
    <row r="371" spans="4:51">
      <c r="D371" s="23"/>
      <c r="E371" s="23"/>
      <c r="F371" s="23"/>
      <c r="G371" s="23"/>
      <c r="H371" s="23"/>
      <c r="I371" s="3"/>
      <c r="J371" s="3"/>
      <c r="K371" s="3"/>
      <c r="L371" s="2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26"/>
      <c r="Y371" s="1"/>
      <c r="Z371" s="12">
        <f t="shared" si="155"/>
        <v>0</v>
      </c>
      <c r="AA371" s="14">
        <f t="shared" si="156"/>
        <v>0</v>
      </c>
      <c r="AB371" s="6">
        <f t="shared" si="160"/>
        <v>0</v>
      </c>
      <c r="AC371" s="6">
        <f t="shared" si="161"/>
        <v>0</v>
      </c>
      <c r="AD371" s="6">
        <f t="shared" si="162"/>
        <v>0</v>
      </c>
      <c r="AE371" s="52" t="str">
        <f t="shared" si="163"/>
        <v/>
      </c>
      <c r="AF371" s="52" t="str">
        <f t="shared" si="164"/>
        <v/>
      </c>
      <c r="AG371" s="50" t="str">
        <f t="shared" si="157"/>
        <v/>
      </c>
      <c r="AH371" s="50" t="str">
        <f t="shared" si="158"/>
        <v/>
      </c>
      <c r="AI371" s="52" t="str">
        <f t="shared" si="165"/>
        <v/>
      </c>
      <c r="AJ371" s="52" t="str">
        <f t="shared" si="166"/>
        <v/>
      </c>
      <c r="AK371" s="52" t="str">
        <f t="shared" si="167"/>
        <v/>
      </c>
      <c r="AL371" s="52" t="str">
        <f t="shared" si="168"/>
        <v/>
      </c>
      <c r="AM371" s="52" t="str">
        <f t="shared" si="169"/>
        <v/>
      </c>
      <c r="AN371" s="52" t="str">
        <f t="shared" si="170"/>
        <v/>
      </c>
      <c r="AO371" s="52" t="str">
        <f t="shared" si="171"/>
        <v/>
      </c>
      <c r="AP371" s="52" t="str">
        <f t="shared" si="172"/>
        <v/>
      </c>
      <c r="AQ371" s="52" t="str">
        <f t="shared" si="173"/>
        <v/>
      </c>
      <c r="AR371" s="52" t="str">
        <f t="shared" si="174"/>
        <v/>
      </c>
      <c r="AS371" s="52" t="str">
        <f t="shared" si="175"/>
        <v/>
      </c>
      <c r="AT371" s="52" t="str">
        <f t="shared" si="176"/>
        <v/>
      </c>
      <c r="AU371" s="52" t="str">
        <f t="shared" si="177"/>
        <v/>
      </c>
      <c r="AV371" s="52" t="str">
        <f t="shared" si="178"/>
        <v/>
      </c>
      <c r="AW371" s="52" t="str">
        <f t="shared" si="179"/>
        <v/>
      </c>
      <c r="AX371" s="52" t="str">
        <f t="shared" si="180"/>
        <v/>
      </c>
      <c r="AY371" s="52" t="str">
        <f t="shared" si="159"/>
        <v/>
      </c>
    </row>
    <row r="372" spans="4:51">
      <c r="D372" s="23"/>
      <c r="E372" s="23"/>
      <c r="F372" s="23"/>
      <c r="G372" s="23"/>
      <c r="H372" s="23"/>
      <c r="I372" s="3"/>
      <c r="J372" s="3"/>
      <c r="K372" s="3"/>
      <c r="L372" s="2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26"/>
      <c r="Y372" s="1"/>
      <c r="Z372" s="12">
        <f t="shared" si="155"/>
        <v>0</v>
      </c>
      <c r="AA372" s="14">
        <f t="shared" si="156"/>
        <v>0</v>
      </c>
      <c r="AB372" s="6">
        <f t="shared" si="160"/>
        <v>0</v>
      </c>
      <c r="AC372" s="6">
        <f t="shared" si="161"/>
        <v>0</v>
      </c>
      <c r="AD372" s="6">
        <f t="shared" si="162"/>
        <v>0</v>
      </c>
      <c r="AE372" s="52" t="str">
        <f t="shared" si="163"/>
        <v/>
      </c>
      <c r="AF372" s="52" t="str">
        <f t="shared" si="164"/>
        <v/>
      </c>
      <c r="AG372" s="50" t="str">
        <f t="shared" si="157"/>
        <v/>
      </c>
      <c r="AH372" s="50" t="str">
        <f t="shared" si="158"/>
        <v/>
      </c>
      <c r="AI372" s="52" t="str">
        <f t="shared" si="165"/>
        <v/>
      </c>
      <c r="AJ372" s="52" t="str">
        <f t="shared" si="166"/>
        <v/>
      </c>
      <c r="AK372" s="52" t="str">
        <f t="shared" si="167"/>
        <v/>
      </c>
      <c r="AL372" s="52" t="str">
        <f t="shared" si="168"/>
        <v/>
      </c>
      <c r="AM372" s="52" t="str">
        <f t="shared" si="169"/>
        <v/>
      </c>
      <c r="AN372" s="52" t="str">
        <f t="shared" si="170"/>
        <v/>
      </c>
      <c r="AO372" s="52" t="str">
        <f t="shared" si="171"/>
        <v/>
      </c>
      <c r="AP372" s="52" t="str">
        <f t="shared" si="172"/>
        <v/>
      </c>
      <c r="AQ372" s="52" t="str">
        <f t="shared" si="173"/>
        <v/>
      </c>
      <c r="AR372" s="52" t="str">
        <f t="shared" si="174"/>
        <v/>
      </c>
      <c r="AS372" s="52" t="str">
        <f t="shared" si="175"/>
        <v/>
      </c>
      <c r="AT372" s="52" t="str">
        <f t="shared" si="176"/>
        <v/>
      </c>
      <c r="AU372" s="52" t="str">
        <f t="shared" si="177"/>
        <v/>
      </c>
      <c r="AV372" s="52" t="str">
        <f t="shared" si="178"/>
        <v/>
      </c>
      <c r="AW372" s="52" t="str">
        <f t="shared" si="179"/>
        <v/>
      </c>
      <c r="AX372" s="52" t="str">
        <f t="shared" si="180"/>
        <v/>
      </c>
      <c r="AY372" s="52" t="str">
        <f t="shared" si="159"/>
        <v/>
      </c>
    </row>
    <row r="373" spans="4:51">
      <c r="D373" s="23"/>
      <c r="E373" s="23"/>
      <c r="F373" s="23"/>
      <c r="G373" s="23"/>
      <c r="H373" s="23"/>
      <c r="I373" s="3"/>
      <c r="J373" s="3"/>
      <c r="K373" s="3"/>
      <c r="L373" s="2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26"/>
      <c r="Y373" s="1"/>
      <c r="Z373" s="12">
        <f t="shared" si="155"/>
        <v>0</v>
      </c>
      <c r="AA373" s="14">
        <f t="shared" si="156"/>
        <v>0</v>
      </c>
      <c r="AB373" s="6">
        <f t="shared" si="160"/>
        <v>0</v>
      </c>
      <c r="AC373" s="6">
        <f t="shared" si="161"/>
        <v>0</v>
      </c>
      <c r="AD373" s="6">
        <f t="shared" si="162"/>
        <v>0</v>
      </c>
      <c r="AE373" s="52" t="str">
        <f t="shared" si="163"/>
        <v/>
      </c>
      <c r="AF373" s="52" t="str">
        <f t="shared" si="164"/>
        <v/>
      </c>
      <c r="AG373" s="50" t="str">
        <f t="shared" si="157"/>
        <v/>
      </c>
      <c r="AH373" s="50" t="str">
        <f t="shared" si="158"/>
        <v/>
      </c>
      <c r="AI373" s="52" t="str">
        <f t="shared" si="165"/>
        <v/>
      </c>
      <c r="AJ373" s="52" t="str">
        <f t="shared" si="166"/>
        <v/>
      </c>
      <c r="AK373" s="52" t="str">
        <f t="shared" si="167"/>
        <v/>
      </c>
      <c r="AL373" s="52" t="str">
        <f t="shared" si="168"/>
        <v/>
      </c>
      <c r="AM373" s="52" t="str">
        <f t="shared" si="169"/>
        <v/>
      </c>
      <c r="AN373" s="52" t="str">
        <f t="shared" si="170"/>
        <v/>
      </c>
      <c r="AO373" s="52" t="str">
        <f t="shared" si="171"/>
        <v/>
      </c>
      <c r="AP373" s="52" t="str">
        <f t="shared" si="172"/>
        <v/>
      </c>
      <c r="AQ373" s="52" t="str">
        <f t="shared" si="173"/>
        <v/>
      </c>
      <c r="AR373" s="52" t="str">
        <f t="shared" si="174"/>
        <v/>
      </c>
      <c r="AS373" s="52" t="str">
        <f t="shared" si="175"/>
        <v/>
      </c>
      <c r="AT373" s="52" t="str">
        <f t="shared" si="176"/>
        <v/>
      </c>
      <c r="AU373" s="52" t="str">
        <f t="shared" si="177"/>
        <v/>
      </c>
      <c r="AV373" s="52" t="str">
        <f t="shared" si="178"/>
        <v/>
      </c>
      <c r="AW373" s="52" t="str">
        <f t="shared" si="179"/>
        <v/>
      </c>
      <c r="AX373" s="52" t="str">
        <f t="shared" si="180"/>
        <v/>
      </c>
      <c r="AY373" s="52" t="str">
        <f t="shared" si="159"/>
        <v/>
      </c>
    </row>
    <row r="374" spans="4:51">
      <c r="D374" s="23"/>
      <c r="E374" s="23"/>
      <c r="F374" s="23"/>
      <c r="G374" s="23"/>
      <c r="H374" s="23"/>
      <c r="I374" s="3"/>
      <c r="J374" s="3"/>
      <c r="K374" s="3"/>
      <c r="L374" s="2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26"/>
      <c r="Y374" s="1"/>
      <c r="Z374" s="12">
        <f t="shared" si="155"/>
        <v>0</v>
      </c>
      <c r="AA374" s="14">
        <f t="shared" si="156"/>
        <v>0</v>
      </c>
      <c r="AB374" s="6">
        <f t="shared" si="160"/>
        <v>0</v>
      </c>
      <c r="AC374" s="6">
        <f t="shared" si="161"/>
        <v>0</v>
      </c>
      <c r="AD374" s="6">
        <f t="shared" si="162"/>
        <v>0</v>
      </c>
      <c r="AE374" s="52" t="str">
        <f t="shared" si="163"/>
        <v/>
      </c>
      <c r="AF374" s="52" t="str">
        <f t="shared" si="164"/>
        <v/>
      </c>
      <c r="AG374" s="50" t="str">
        <f t="shared" si="157"/>
        <v/>
      </c>
      <c r="AH374" s="50" t="str">
        <f t="shared" si="158"/>
        <v/>
      </c>
      <c r="AI374" s="52" t="str">
        <f t="shared" si="165"/>
        <v/>
      </c>
      <c r="AJ374" s="52" t="str">
        <f t="shared" si="166"/>
        <v/>
      </c>
      <c r="AK374" s="52" t="str">
        <f t="shared" si="167"/>
        <v/>
      </c>
      <c r="AL374" s="52" t="str">
        <f t="shared" si="168"/>
        <v/>
      </c>
      <c r="AM374" s="52" t="str">
        <f t="shared" si="169"/>
        <v/>
      </c>
      <c r="AN374" s="52" t="str">
        <f t="shared" si="170"/>
        <v/>
      </c>
      <c r="AO374" s="52" t="str">
        <f t="shared" si="171"/>
        <v/>
      </c>
      <c r="AP374" s="52" t="str">
        <f t="shared" si="172"/>
        <v/>
      </c>
      <c r="AQ374" s="52" t="str">
        <f t="shared" si="173"/>
        <v/>
      </c>
      <c r="AR374" s="52" t="str">
        <f t="shared" si="174"/>
        <v/>
      </c>
      <c r="AS374" s="52" t="str">
        <f t="shared" si="175"/>
        <v/>
      </c>
      <c r="AT374" s="52" t="str">
        <f t="shared" si="176"/>
        <v/>
      </c>
      <c r="AU374" s="52" t="str">
        <f t="shared" si="177"/>
        <v/>
      </c>
      <c r="AV374" s="52" t="str">
        <f t="shared" si="178"/>
        <v/>
      </c>
      <c r="AW374" s="52" t="str">
        <f t="shared" si="179"/>
        <v/>
      </c>
      <c r="AX374" s="52" t="str">
        <f t="shared" si="180"/>
        <v/>
      </c>
      <c r="AY374" s="52" t="str">
        <f t="shared" si="159"/>
        <v/>
      </c>
    </row>
    <row r="375" spans="4:51">
      <c r="D375" s="23"/>
      <c r="E375" s="23"/>
      <c r="F375" s="23"/>
      <c r="G375" s="23"/>
      <c r="H375" s="23"/>
      <c r="I375" s="3"/>
      <c r="J375" s="3"/>
      <c r="K375" s="3"/>
      <c r="L375" s="2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26"/>
      <c r="Y375" s="1"/>
      <c r="Z375" s="12">
        <f t="shared" si="155"/>
        <v>0</v>
      </c>
      <c r="AA375" s="14">
        <f t="shared" si="156"/>
        <v>0</v>
      </c>
      <c r="AB375" s="6">
        <f t="shared" si="160"/>
        <v>0</v>
      </c>
      <c r="AC375" s="6">
        <f t="shared" si="161"/>
        <v>0</v>
      </c>
      <c r="AD375" s="6">
        <f t="shared" si="162"/>
        <v>0</v>
      </c>
      <c r="AE375" s="52" t="str">
        <f t="shared" si="163"/>
        <v/>
      </c>
      <c r="AF375" s="52" t="str">
        <f t="shared" si="164"/>
        <v/>
      </c>
      <c r="AG375" s="50" t="str">
        <f t="shared" si="157"/>
        <v/>
      </c>
      <c r="AH375" s="50" t="str">
        <f t="shared" si="158"/>
        <v/>
      </c>
      <c r="AI375" s="52" t="str">
        <f t="shared" si="165"/>
        <v/>
      </c>
      <c r="AJ375" s="52" t="str">
        <f t="shared" si="166"/>
        <v/>
      </c>
      <c r="AK375" s="52" t="str">
        <f t="shared" si="167"/>
        <v/>
      </c>
      <c r="AL375" s="52" t="str">
        <f t="shared" si="168"/>
        <v/>
      </c>
      <c r="AM375" s="52" t="str">
        <f t="shared" si="169"/>
        <v/>
      </c>
      <c r="AN375" s="52" t="str">
        <f t="shared" si="170"/>
        <v/>
      </c>
      <c r="AO375" s="52" t="str">
        <f t="shared" si="171"/>
        <v/>
      </c>
      <c r="AP375" s="52" t="str">
        <f t="shared" si="172"/>
        <v/>
      </c>
      <c r="AQ375" s="52" t="str">
        <f t="shared" si="173"/>
        <v/>
      </c>
      <c r="AR375" s="52" t="str">
        <f t="shared" si="174"/>
        <v/>
      </c>
      <c r="AS375" s="52" t="str">
        <f t="shared" si="175"/>
        <v/>
      </c>
      <c r="AT375" s="52" t="str">
        <f t="shared" si="176"/>
        <v/>
      </c>
      <c r="AU375" s="52" t="str">
        <f t="shared" si="177"/>
        <v/>
      </c>
      <c r="AV375" s="52" t="str">
        <f t="shared" si="178"/>
        <v/>
      </c>
      <c r="AW375" s="52" t="str">
        <f t="shared" si="179"/>
        <v/>
      </c>
      <c r="AX375" s="52" t="str">
        <f t="shared" si="180"/>
        <v/>
      </c>
      <c r="AY375" s="52" t="str">
        <f t="shared" si="159"/>
        <v/>
      </c>
    </row>
    <row r="376" spans="4:51">
      <c r="D376" s="23"/>
      <c r="E376" s="23"/>
      <c r="F376" s="23"/>
      <c r="G376" s="23"/>
      <c r="H376" s="23"/>
      <c r="I376" s="3"/>
      <c r="J376" s="3"/>
      <c r="K376" s="3"/>
      <c r="L376" s="2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26"/>
      <c r="Y376" s="1"/>
      <c r="Z376" s="12">
        <f t="shared" si="155"/>
        <v>0</v>
      </c>
      <c r="AA376" s="14">
        <f t="shared" si="156"/>
        <v>0</v>
      </c>
      <c r="AB376" s="6">
        <f t="shared" si="160"/>
        <v>0</v>
      </c>
      <c r="AC376" s="6">
        <f t="shared" si="161"/>
        <v>0</v>
      </c>
      <c r="AD376" s="6">
        <f t="shared" si="162"/>
        <v>0</v>
      </c>
      <c r="AE376" s="52" t="str">
        <f t="shared" si="163"/>
        <v/>
      </c>
      <c r="AF376" s="52" t="str">
        <f t="shared" si="164"/>
        <v/>
      </c>
      <c r="AG376" s="50" t="str">
        <f t="shared" si="157"/>
        <v/>
      </c>
      <c r="AH376" s="50" t="str">
        <f t="shared" si="158"/>
        <v/>
      </c>
      <c r="AI376" s="52" t="str">
        <f t="shared" si="165"/>
        <v/>
      </c>
      <c r="AJ376" s="52" t="str">
        <f t="shared" si="166"/>
        <v/>
      </c>
      <c r="AK376" s="52" t="str">
        <f t="shared" si="167"/>
        <v/>
      </c>
      <c r="AL376" s="52" t="str">
        <f t="shared" si="168"/>
        <v/>
      </c>
      <c r="AM376" s="52" t="str">
        <f t="shared" si="169"/>
        <v/>
      </c>
      <c r="AN376" s="52" t="str">
        <f t="shared" si="170"/>
        <v/>
      </c>
      <c r="AO376" s="52" t="str">
        <f t="shared" si="171"/>
        <v/>
      </c>
      <c r="AP376" s="52" t="str">
        <f t="shared" si="172"/>
        <v/>
      </c>
      <c r="AQ376" s="52" t="str">
        <f t="shared" si="173"/>
        <v/>
      </c>
      <c r="AR376" s="52" t="str">
        <f t="shared" si="174"/>
        <v/>
      </c>
      <c r="AS376" s="52" t="str">
        <f t="shared" si="175"/>
        <v/>
      </c>
      <c r="AT376" s="52" t="str">
        <f t="shared" si="176"/>
        <v/>
      </c>
      <c r="AU376" s="52" t="str">
        <f t="shared" si="177"/>
        <v/>
      </c>
      <c r="AV376" s="52" t="str">
        <f t="shared" si="178"/>
        <v/>
      </c>
      <c r="AW376" s="52" t="str">
        <f t="shared" si="179"/>
        <v/>
      </c>
      <c r="AX376" s="52" t="str">
        <f t="shared" si="180"/>
        <v/>
      </c>
      <c r="AY376" s="52" t="str">
        <f t="shared" si="159"/>
        <v/>
      </c>
    </row>
    <row r="377" spans="4:51">
      <c r="D377" s="23"/>
      <c r="E377" s="23"/>
      <c r="F377" s="23"/>
      <c r="G377" s="23"/>
      <c r="H377" s="23"/>
      <c r="I377" s="3"/>
      <c r="J377" s="3"/>
      <c r="K377" s="3"/>
      <c r="L377" s="2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26"/>
      <c r="Y377" s="1"/>
      <c r="Z377" s="12">
        <f t="shared" si="155"/>
        <v>0</v>
      </c>
      <c r="AA377" s="14">
        <f t="shared" si="156"/>
        <v>0</v>
      </c>
      <c r="AB377" s="6">
        <f t="shared" si="160"/>
        <v>0</v>
      </c>
      <c r="AC377" s="6">
        <f t="shared" si="161"/>
        <v>0</v>
      </c>
      <c r="AD377" s="6">
        <f t="shared" si="162"/>
        <v>0</v>
      </c>
      <c r="AE377" s="52" t="str">
        <f t="shared" si="163"/>
        <v/>
      </c>
      <c r="AF377" s="52" t="str">
        <f t="shared" si="164"/>
        <v/>
      </c>
      <c r="AG377" s="50" t="str">
        <f t="shared" si="157"/>
        <v/>
      </c>
      <c r="AH377" s="50" t="str">
        <f t="shared" si="158"/>
        <v/>
      </c>
      <c r="AI377" s="52" t="str">
        <f t="shared" si="165"/>
        <v/>
      </c>
      <c r="AJ377" s="52" t="str">
        <f t="shared" si="166"/>
        <v/>
      </c>
      <c r="AK377" s="52" t="str">
        <f t="shared" si="167"/>
        <v/>
      </c>
      <c r="AL377" s="52" t="str">
        <f t="shared" si="168"/>
        <v/>
      </c>
      <c r="AM377" s="52" t="str">
        <f t="shared" si="169"/>
        <v/>
      </c>
      <c r="AN377" s="52" t="str">
        <f t="shared" si="170"/>
        <v/>
      </c>
      <c r="AO377" s="52" t="str">
        <f t="shared" si="171"/>
        <v/>
      </c>
      <c r="AP377" s="52" t="str">
        <f t="shared" si="172"/>
        <v/>
      </c>
      <c r="AQ377" s="52" t="str">
        <f t="shared" si="173"/>
        <v/>
      </c>
      <c r="AR377" s="52" t="str">
        <f t="shared" si="174"/>
        <v/>
      </c>
      <c r="AS377" s="52" t="str">
        <f t="shared" si="175"/>
        <v/>
      </c>
      <c r="AT377" s="52" t="str">
        <f t="shared" si="176"/>
        <v/>
      </c>
      <c r="AU377" s="52" t="str">
        <f t="shared" si="177"/>
        <v/>
      </c>
      <c r="AV377" s="52" t="str">
        <f t="shared" si="178"/>
        <v/>
      </c>
      <c r="AW377" s="52" t="str">
        <f t="shared" si="179"/>
        <v/>
      </c>
      <c r="AX377" s="52" t="str">
        <f t="shared" si="180"/>
        <v/>
      </c>
      <c r="AY377" s="52" t="str">
        <f t="shared" si="159"/>
        <v/>
      </c>
    </row>
    <row r="378" spans="4:51">
      <c r="D378" s="23"/>
      <c r="E378" s="23"/>
      <c r="F378" s="23"/>
      <c r="G378" s="23"/>
      <c r="H378" s="23"/>
      <c r="I378" s="3"/>
      <c r="J378" s="3"/>
      <c r="K378" s="3"/>
      <c r="L378" s="2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26"/>
      <c r="Y378" s="1"/>
      <c r="Z378" s="12">
        <f t="shared" si="155"/>
        <v>0</v>
      </c>
      <c r="AA378" s="14">
        <f t="shared" si="156"/>
        <v>0</v>
      </c>
      <c r="AB378" s="6">
        <f t="shared" si="160"/>
        <v>0</v>
      </c>
      <c r="AC378" s="6">
        <f t="shared" si="161"/>
        <v>0</v>
      </c>
      <c r="AD378" s="6">
        <f t="shared" si="162"/>
        <v>0</v>
      </c>
      <c r="AE378" s="52" t="str">
        <f t="shared" si="163"/>
        <v/>
      </c>
      <c r="AF378" s="52" t="str">
        <f t="shared" si="164"/>
        <v/>
      </c>
      <c r="AG378" s="50" t="str">
        <f t="shared" si="157"/>
        <v/>
      </c>
      <c r="AH378" s="50" t="str">
        <f t="shared" si="158"/>
        <v/>
      </c>
      <c r="AI378" s="52" t="str">
        <f t="shared" si="165"/>
        <v/>
      </c>
      <c r="AJ378" s="52" t="str">
        <f t="shared" si="166"/>
        <v/>
      </c>
      <c r="AK378" s="52" t="str">
        <f t="shared" si="167"/>
        <v/>
      </c>
      <c r="AL378" s="52" t="str">
        <f t="shared" si="168"/>
        <v/>
      </c>
      <c r="AM378" s="52" t="str">
        <f t="shared" si="169"/>
        <v/>
      </c>
      <c r="AN378" s="52" t="str">
        <f t="shared" si="170"/>
        <v/>
      </c>
      <c r="AO378" s="52" t="str">
        <f t="shared" si="171"/>
        <v/>
      </c>
      <c r="AP378" s="52" t="str">
        <f t="shared" si="172"/>
        <v/>
      </c>
      <c r="AQ378" s="52" t="str">
        <f t="shared" si="173"/>
        <v/>
      </c>
      <c r="AR378" s="52" t="str">
        <f t="shared" si="174"/>
        <v/>
      </c>
      <c r="AS378" s="52" t="str">
        <f t="shared" si="175"/>
        <v/>
      </c>
      <c r="AT378" s="52" t="str">
        <f t="shared" si="176"/>
        <v/>
      </c>
      <c r="AU378" s="52" t="str">
        <f t="shared" si="177"/>
        <v/>
      </c>
      <c r="AV378" s="52" t="str">
        <f t="shared" si="178"/>
        <v/>
      </c>
      <c r="AW378" s="52" t="str">
        <f t="shared" si="179"/>
        <v/>
      </c>
      <c r="AX378" s="52" t="str">
        <f t="shared" si="180"/>
        <v/>
      </c>
      <c r="AY378" s="52" t="str">
        <f t="shared" si="159"/>
        <v/>
      </c>
    </row>
    <row r="379" spans="4:51">
      <c r="D379" s="23"/>
      <c r="E379" s="23"/>
      <c r="F379" s="23"/>
      <c r="G379" s="23"/>
      <c r="H379" s="23"/>
      <c r="I379" s="3"/>
      <c r="J379" s="3"/>
      <c r="K379" s="3"/>
      <c r="L379" s="2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26"/>
      <c r="Y379" s="1"/>
      <c r="Z379" s="12">
        <f t="shared" si="155"/>
        <v>0</v>
      </c>
      <c r="AA379" s="14">
        <f t="shared" si="156"/>
        <v>0</v>
      </c>
      <c r="AB379" s="6">
        <f t="shared" si="160"/>
        <v>0</v>
      </c>
      <c r="AC379" s="6">
        <f t="shared" si="161"/>
        <v>0</v>
      </c>
      <c r="AD379" s="6">
        <f t="shared" si="162"/>
        <v>0</v>
      </c>
      <c r="AE379" s="52" t="str">
        <f t="shared" si="163"/>
        <v/>
      </c>
      <c r="AF379" s="52" t="str">
        <f t="shared" si="164"/>
        <v/>
      </c>
      <c r="AG379" s="50" t="str">
        <f t="shared" si="157"/>
        <v/>
      </c>
      <c r="AH379" s="50" t="str">
        <f t="shared" si="158"/>
        <v/>
      </c>
      <c r="AI379" s="52" t="str">
        <f t="shared" si="165"/>
        <v/>
      </c>
      <c r="AJ379" s="52" t="str">
        <f t="shared" si="166"/>
        <v/>
      </c>
      <c r="AK379" s="52" t="str">
        <f t="shared" si="167"/>
        <v/>
      </c>
      <c r="AL379" s="52" t="str">
        <f t="shared" si="168"/>
        <v/>
      </c>
      <c r="AM379" s="52" t="str">
        <f t="shared" si="169"/>
        <v/>
      </c>
      <c r="AN379" s="52" t="str">
        <f t="shared" si="170"/>
        <v/>
      </c>
      <c r="AO379" s="52" t="str">
        <f t="shared" si="171"/>
        <v/>
      </c>
      <c r="AP379" s="52" t="str">
        <f t="shared" si="172"/>
        <v/>
      </c>
      <c r="AQ379" s="52" t="str">
        <f t="shared" si="173"/>
        <v/>
      </c>
      <c r="AR379" s="52" t="str">
        <f t="shared" si="174"/>
        <v/>
      </c>
      <c r="AS379" s="52" t="str">
        <f t="shared" si="175"/>
        <v/>
      </c>
      <c r="AT379" s="52" t="str">
        <f t="shared" si="176"/>
        <v/>
      </c>
      <c r="AU379" s="52" t="str">
        <f t="shared" si="177"/>
        <v/>
      </c>
      <c r="AV379" s="52" t="str">
        <f t="shared" si="178"/>
        <v/>
      </c>
      <c r="AW379" s="52" t="str">
        <f t="shared" si="179"/>
        <v/>
      </c>
      <c r="AX379" s="52" t="str">
        <f t="shared" si="180"/>
        <v/>
      </c>
      <c r="AY379" s="52" t="str">
        <f t="shared" si="159"/>
        <v/>
      </c>
    </row>
    <row r="380" spans="4:51">
      <c r="D380" s="23"/>
      <c r="E380" s="23"/>
      <c r="F380" s="23"/>
      <c r="G380" s="23"/>
      <c r="H380" s="23"/>
      <c r="I380" s="3"/>
      <c r="J380" s="3"/>
      <c r="K380" s="3"/>
      <c r="L380" s="2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26"/>
      <c r="Y380" s="1"/>
      <c r="Z380" s="12">
        <f t="shared" si="155"/>
        <v>0</v>
      </c>
      <c r="AA380" s="14">
        <f t="shared" si="156"/>
        <v>0</v>
      </c>
      <c r="AB380" s="6">
        <f t="shared" si="160"/>
        <v>0</v>
      </c>
      <c r="AC380" s="6">
        <f t="shared" si="161"/>
        <v>0</v>
      </c>
      <c r="AD380" s="6">
        <f t="shared" si="162"/>
        <v>0</v>
      </c>
      <c r="AE380" s="52" t="str">
        <f t="shared" si="163"/>
        <v/>
      </c>
      <c r="AF380" s="52" t="str">
        <f t="shared" si="164"/>
        <v/>
      </c>
      <c r="AG380" s="50" t="str">
        <f t="shared" si="157"/>
        <v/>
      </c>
      <c r="AH380" s="50" t="str">
        <f t="shared" si="158"/>
        <v/>
      </c>
      <c r="AI380" s="52" t="str">
        <f t="shared" si="165"/>
        <v/>
      </c>
      <c r="AJ380" s="52" t="str">
        <f t="shared" si="166"/>
        <v/>
      </c>
      <c r="AK380" s="52" t="str">
        <f t="shared" si="167"/>
        <v/>
      </c>
      <c r="AL380" s="52" t="str">
        <f t="shared" si="168"/>
        <v/>
      </c>
      <c r="AM380" s="52" t="str">
        <f t="shared" si="169"/>
        <v/>
      </c>
      <c r="AN380" s="52" t="str">
        <f t="shared" si="170"/>
        <v/>
      </c>
      <c r="AO380" s="52" t="str">
        <f t="shared" si="171"/>
        <v/>
      </c>
      <c r="AP380" s="52" t="str">
        <f t="shared" si="172"/>
        <v/>
      </c>
      <c r="AQ380" s="52" t="str">
        <f t="shared" si="173"/>
        <v/>
      </c>
      <c r="AR380" s="52" t="str">
        <f t="shared" si="174"/>
        <v/>
      </c>
      <c r="AS380" s="52" t="str">
        <f t="shared" si="175"/>
        <v/>
      </c>
      <c r="AT380" s="52" t="str">
        <f t="shared" si="176"/>
        <v/>
      </c>
      <c r="AU380" s="52" t="str">
        <f t="shared" si="177"/>
        <v/>
      </c>
      <c r="AV380" s="52" t="str">
        <f t="shared" si="178"/>
        <v/>
      </c>
      <c r="AW380" s="52" t="str">
        <f t="shared" si="179"/>
        <v/>
      </c>
      <c r="AX380" s="52" t="str">
        <f t="shared" si="180"/>
        <v/>
      </c>
      <c r="AY380" s="52" t="str">
        <f t="shared" si="159"/>
        <v/>
      </c>
    </row>
    <row r="381" spans="4:51">
      <c r="D381" s="23"/>
      <c r="E381" s="23"/>
      <c r="F381" s="23"/>
      <c r="G381" s="23"/>
      <c r="H381" s="23"/>
      <c r="I381" s="3"/>
      <c r="J381" s="3"/>
      <c r="K381" s="3"/>
      <c r="L381" s="2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26"/>
      <c r="Y381" s="1"/>
      <c r="Z381" s="12">
        <f t="shared" si="155"/>
        <v>0</v>
      </c>
      <c r="AA381" s="14">
        <f t="shared" si="156"/>
        <v>0</v>
      </c>
      <c r="AB381" s="6">
        <f t="shared" si="160"/>
        <v>0</v>
      </c>
      <c r="AC381" s="6">
        <f t="shared" si="161"/>
        <v>0</v>
      </c>
      <c r="AD381" s="6">
        <f t="shared" si="162"/>
        <v>0</v>
      </c>
      <c r="AE381" s="52" t="str">
        <f t="shared" si="163"/>
        <v/>
      </c>
      <c r="AF381" s="52" t="str">
        <f t="shared" si="164"/>
        <v/>
      </c>
      <c r="AG381" s="50" t="str">
        <f t="shared" si="157"/>
        <v/>
      </c>
      <c r="AH381" s="50" t="str">
        <f t="shared" si="158"/>
        <v/>
      </c>
      <c r="AI381" s="52" t="str">
        <f t="shared" si="165"/>
        <v/>
      </c>
      <c r="AJ381" s="52" t="str">
        <f t="shared" si="166"/>
        <v/>
      </c>
      <c r="AK381" s="52" t="str">
        <f t="shared" si="167"/>
        <v/>
      </c>
      <c r="AL381" s="52" t="str">
        <f t="shared" si="168"/>
        <v/>
      </c>
      <c r="AM381" s="52" t="str">
        <f t="shared" si="169"/>
        <v/>
      </c>
      <c r="AN381" s="52" t="str">
        <f t="shared" si="170"/>
        <v/>
      </c>
      <c r="AO381" s="52" t="str">
        <f t="shared" si="171"/>
        <v/>
      </c>
      <c r="AP381" s="52" t="str">
        <f t="shared" si="172"/>
        <v/>
      </c>
      <c r="AQ381" s="52" t="str">
        <f t="shared" si="173"/>
        <v/>
      </c>
      <c r="AR381" s="52" t="str">
        <f t="shared" si="174"/>
        <v/>
      </c>
      <c r="AS381" s="52" t="str">
        <f t="shared" si="175"/>
        <v/>
      </c>
      <c r="AT381" s="52" t="str">
        <f t="shared" si="176"/>
        <v/>
      </c>
      <c r="AU381" s="52" t="str">
        <f t="shared" si="177"/>
        <v/>
      </c>
      <c r="AV381" s="52" t="str">
        <f t="shared" si="178"/>
        <v/>
      </c>
      <c r="AW381" s="52" t="str">
        <f t="shared" si="179"/>
        <v/>
      </c>
      <c r="AX381" s="52" t="str">
        <f t="shared" si="180"/>
        <v/>
      </c>
      <c r="AY381" s="52" t="str">
        <f t="shared" si="159"/>
        <v/>
      </c>
    </row>
    <row r="382" spans="4:51">
      <c r="D382" s="23"/>
      <c r="E382" s="23"/>
      <c r="F382" s="23"/>
      <c r="G382" s="23"/>
      <c r="H382" s="23"/>
      <c r="I382" s="3"/>
      <c r="J382" s="3"/>
      <c r="K382" s="3"/>
      <c r="L382" s="2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26"/>
      <c r="Y382" s="1"/>
      <c r="Z382" s="12">
        <f t="shared" si="155"/>
        <v>0</v>
      </c>
      <c r="AA382" s="14">
        <f t="shared" si="156"/>
        <v>0</v>
      </c>
      <c r="AB382" s="6">
        <f t="shared" si="160"/>
        <v>0</v>
      </c>
      <c r="AC382" s="6">
        <f t="shared" si="161"/>
        <v>0</v>
      </c>
      <c r="AD382" s="6">
        <f t="shared" si="162"/>
        <v>0</v>
      </c>
      <c r="AE382" s="52" t="str">
        <f t="shared" si="163"/>
        <v/>
      </c>
      <c r="AF382" s="52" t="str">
        <f t="shared" si="164"/>
        <v/>
      </c>
      <c r="AG382" s="50" t="str">
        <f t="shared" si="157"/>
        <v/>
      </c>
      <c r="AH382" s="50" t="str">
        <f t="shared" si="158"/>
        <v/>
      </c>
      <c r="AI382" s="52" t="str">
        <f t="shared" si="165"/>
        <v/>
      </c>
      <c r="AJ382" s="52" t="str">
        <f t="shared" si="166"/>
        <v/>
      </c>
      <c r="AK382" s="52" t="str">
        <f t="shared" si="167"/>
        <v/>
      </c>
      <c r="AL382" s="52" t="str">
        <f t="shared" si="168"/>
        <v/>
      </c>
      <c r="AM382" s="52" t="str">
        <f t="shared" si="169"/>
        <v/>
      </c>
      <c r="AN382" s="52" t="str">
        <f t="shared" si="170"/>
        <v/>
      </c>
      <c r="AO382" s="52" t="str">
        <f t="shared" si="171"/>
        <v/>
      </c>
      <c r="AP382" s="52" t="str">
        <f t="shared" si="172"/>
        <v/>
      </c>
      <c r="AQ382" s="52" t="str">
        <f t="shared" si="173"/>
        <v/>
      </c>
      <c r="AR382" s="52" t="str">
        <f t="shared" si="174"/>
        <v/>
      </c>
      <c r="AS382" s="52" t="str">
        <f t="shared" si="175"/>
        <v/>
      </c>
      <c r="AT382" s="52" t="str">
        <f t="shared" si="176"/>
        <v/>
      </c>
      <c r="AU382" s="52" t="str">
        <f t="shared" si="177"/>
        <v/>
      </c>
      <c r="AV382" s="52" t="str">
        <f t="shared" si="178"/>
        <v/>
      </c>
      <c r="AW382" s="52" t="str">
        <f t="shared" si="179"/>
        <v/>
      </c>
      <c r="AX382" s="52" t="str">
        <f t="shared" si="180"/>
        <v/>
      </c>
      <c r="AY382" s="52" t="str">
        <f t="shared" si="159"/>
        <v/>
      </c>
    </row>
    <row r="383" spans="4:51">
      <c r="D383" s="23"/>
      <c r="E383" s="23"/>
      <c r="F383" s="23"/>
      <c r="G383" s="23"/>
      <c r="H383" s="23"/>
      <c r="I383" s="3"/>
      <c r="J383" s="3"/>
      <c r="K383" s="3"/>
      <c r="L383" s="2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26"/>
      <c r="Y383" s="1"/>
      <c r="Z383" s="12">
        <f t="shared" ref="Z383:Z446" si="181">COUNTA(D383:W383)-Y383</f>
        <v>0</v>
      </c>
      <c r="AA383" s="14">
        <f t="shared" ref="AA383:AA446" si="182">IF(X383&lt;&gt;"",0.0001,IF(Y383+Z383=0,0,IF(Y383=0,70+(Z383*50),IF(Y383&gt;0,80+(Z383*50)))))</f>
        <v>0</v>
      </c>
      <c r="AB383" s="6">
        <f t="shared" si="160"/>
        <v>0</v>
      </c>
      <c r="AC383" s="6">
        <f t="shared" si="161"/>
        <v>0</v>
      </c>
      <c r="AD383" s="6">
        <f t="shared" si="162"/>
        <v>0</v>
      </c>
      <c r="AE383" s="52" t="str">
        <f t="shared" si="163"/>
        <v/>
      </c>
      <c r="AF383" s="52" t="str">
        <f t="shared" si="164"/>
        <v/>
      </c>
      <c r="AG383" s="50" t="str">
        <f t="shared" ref="AG383:AG446" si="183">IF(AND(B383="Feminino",C383&gt;=$BM$1,C383&lt;=$BM$2),$BM$3,IF(AND(B383="Masculino",C383&gt;=$BM$1,C383&lt;=$BM$2),$BN$3,""))</f>
        <v/>
      </c>
      <c r="AH383" s="50" t="str">
        <f t="shared" ref="AH383:AH446" si="184">IF(C383="","",IF(AND(C383&gt;=$BO$1,C383&lt;=$BO$2),$BO$3,IF(C383&lt;=$BP$2,$BP$3,"")))</f>
        <v/>
      </c>
      <c r="AI383" s="52" t="str">
        <f t="shared" si="165"/>
        <v/>
      </c>
      <c r="AJ383" s="52" t="str">
        <f t="shared" si="166"/>
        <v/>
      </c>
      <c r="AK383" s="52" t="str">
        <f t="shared" si="167"/>
        <v/>
      </c>
      <c r="AL383" s="52" t="str">
        <f t="shared" si="168"/>
        <v/>
      </c>
      <c r="AM383" s="52" t="str">
        <f t="shared" si="169"/>
        <v/>
      </c>
      <c r="AN383" s="52" t="str">
        <f t="shared" si="170"/>
        <v/>
      </c>
      <c r="AO383" s="52" t="str">
        <f t="shared" si="171"/>
        <v/>
      </c>
      <c r="AP383" s="52" t="str">
        <f t="shared" si="172"/>
        <v/>
      </c>
      <c r="AQ383" s="52" t="str">
        <f t="shared" si="173"/>
        <v/>
      </c>
      <c r="AR383" s="52" t="str">
        <f t="shared" si="174"/>
        <v/>
      </c>
      <c r="AS383" s="52" t="str">
        <f t="shared" si="175"/>
        <v/>
      </c>
      <c r="AT383" s="52" t="str">
        <f t="shared" si="176"/>
        <v/>
      </c>
      <c r="AU383" s="52" t="str">
        <f t="shared" si="177"/>
        <v/>
      </c>
      <c r="AV383" s="52" t="str">
        <f t="shared" si="178"/>
        <v/>
      </c>
      <c r="AW383" s="52" t="str">
        <f t="shared" si="179"/>
        <v/>
      </c>
      <c r="AX383" s="52" t="str">
        <f t="shared" si="180"/>
        <v/>
      </c>
      <c r="AY383" s="52" t="str">
        <f t="shared" ref="AY383:AY446" si="185">IF(C383="","",IF(AND(D383="",E383="",F383="",G383="",H383="",I383="",J383="",K383=""),"ADAPTADO",""))</f>
        <v/>
      </c>
    </row>
    <row r="384" spans="4:51">
      <c r="D384" s="23"/>
      <c r="E384" s="23"/>
      <c r="F384" s="23"/>
      <c r="G384" s="23"/>
      <c r="H384" s="23"/>
      <c r="I384" s="3"/>
      <c r="J384" s="3"/>
      <c r="K384" s="3"/>
      <c r="L384" s="2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26"/>
      <c r="Y384" s="1"/>
      <c r="Z384" s="12">
        <f t="shared" si="181"/>
        <v>0</v>
      </c>
      <c r="AA384" s="14">
        <f t="shared" si="182"/>
        <v>0</v>
      </c>
      <c r="AB384" s="6">
        <f t="shared" si="160"/>
        <v>0</v>
      </c>
      <c r="AC384" s="6">
        <f t="shared" si="161"/>
        <v>0</v>
      </c>
      <c r="AD384" s="6">
        <f t="shared" si="162"/>
        <v>0</v>
      </c>
      <c r="AE384" s="52" t="str">
        <f t="shared" si="163"/>
        <v/>
      </c>
      <c r="AF384" s="52" t="str">
        <f t="shared" si="164"/>
        <v/>
      </c>
      <c r="AG384" s="50" t="str">
        <f t="shared" si="183"/>
        <v/>
      </c>
      <c r="AH384" s="50" t="str">
        <f t="shared" si="184"/>
        <v/>
      </c>
      <c r="AI384" s="52" t="str">
        <f t="shared" si="165"/>
        <v/>
      </c>
      <c r="AJ384" s="52" t="str">
        <f t="shared" si="166"/>
        <v/>
      </c>
      <c r="AK384" s="52" t="str">
        <f t="shared" si="167"/>
        <v/>
      </c>
      <c r="AL384" s="52" t="str">
        <f t="shared" si="168"/>
        <v/>
      </c>
      <c r="AM384" s="52" t="str">
        <f t="shared" si="169"/>
        <v/>
      </c>
      <c r="AN384" s="52" t="str">
        <f t="shared" si="170"/>
        <v/>
      </c>
      <c r="AO384" s="52" t="str">
        <f t="shared" si="171"/>
        <v/>
      </c>
      <c r="AP384" s="52" t="str">
        <f t="shared" si="172"/>
        <v/>
      </c>
      <c r="AQ384" s="52" t="str">
        <f t="shared" si="173"/>
        <v/>
      </c>
      <c r="AR384" s="52" t="str">
        <f t="shared" si="174"/>
        <v/>
      </c>
      <c r="AS384" s="52" t="str">
        <f t="shared" si="175"/>
        <v/>
      </c>
      <c r="AT384" s="52" t="str">
        <f t="shared" si="176"/>
        <v/>
      </c>
      <c r="AU384" s="52" t="str">
        <f t="shared" si="177"/>
        <v/>
      </c>
      <c r="AV384" s="52" t="str">
        <f t="shared" si="178"/>
        <v/>
      </c>
      <c r="AW384" s="52" t="str">
        <f t="shared" si="179"/>
        <v/>
      </c>
      <c r="AX384" s="52" t="str">
        <f t="shared" si="180"/>
        <v/>
      </c>
      <c r="AY384" s="52" t="str">
        <f t="shared" si="185"/>
        <v/>
      </c>
    </row>
    <row r="385" spans="4:51">
      <c r="D385" s="23"/>
      <c r="E385" s="23"/>
      <c r="F385" s="23"/>
      <c r="G385" s="23"/>
      <c r="H385" s="23"/>
      <c r="I385" s="3"/>
      <c r="J385" s="3"/>
      <c r="K385" s="3"/>
      <c r="L385" s="2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26"/>
      <c r="Y385" s="1"/>
      <c r="Z385" s="12">
        <f t="shared" si="181"/>
        <v>0</v>
      </c>
      <c r="AA385" s="14">
        <f t="shared" si="182"/>
        <v>0</v>
      </c>
      <c r="AB385" s="6">
        <f t="shared" si="160"/>
        <v>0</v>
      </c>
      <c r="AC385" s="6">
        <f t="shared" si="161"/>
        <v>0</v>
      </c>
      <c r="AD385" s="6">
        <f t="shared" si="162"/>
        <v>0</v>
      </c>
      <c r="AE385" s="52" t="str">
        <f t="shared" si="163"/>
        <v/>
      </c>
      <c r="AF385" s="52" t="str">
        <f t="shared" si="164"/>
        <v/>
      </c>
      <c r="AG385" s="50" t="str">
        <f t="shared" si="183"/>
        <v/>
      </c>
      <c r="AH385" s="50" t="str">
        <f t="shared" si="184"/>
        <v/>
      </c>
      <c r="AI385" s="52" t="str">
        <f t="shared" si="165"/>
        <v/>
      </c>
      <c r="AJ385" s="52" t="str">
        <f t="shared" si="166"/>
        <v/>
      </c>
      <c r="AK385" s="52" t="str">
        <f t="shared" si="167"/>
        <v/>
      </c>
      <c r="AL385" s="52" t="str">
        <f t="shared" si="168"/>
        <v/>
      </c>
      <c r="AM385" s="52" t="str">
        <f t="shared" si="169"/>
        <v/>
      </c>
      <c r="AN385" s="52" t="str">
        <f t="shared" si="170"/>
        <v/>
      </c>
      <c r="AO385" s="52" t="str">
        <f t="shared" si="171"/>
        <v/>
      </c>
      <c r="AP385" s="52" t="str">
        <f t="shared" si="172"/>
        <v/>
      </c>
      <c r="AQ385" s="52" t="str">
        <f t="shared" si="173"/>
        <v/>
      </c>
      <c r="AR385" s="52" t="str">
        <f t="shared" si="174"/>
        <v/>
      </c>
      <c r="AS385" s="52" t="str">
        <f t="shared" si="175"/>
        <v/>
      </c>
      <c r="AT385" s="52" t="str">
        <f t="shared" si="176"/>
        <v/>
      </c>
      <c r="AU385" s="52" t="str">
        <f t="shared" si="177"/>
        <v/>
      </c>
      <c r="AV385" s="52" t="str">
        <f t="shared" si="178"/>
        <v/>
      </c>
      <c r="AW385" s="52" t="str">
        <f t="shared" si="179"/>
        <v/>
      </c>
      <c r="AX385" s="52" t="str">
        <f t="shared" si="180"/>
        <v/>
      </c>
      <c r="AY385" s="52" t="str">
        <f t="shared" si="185"/>
        <v/>
      </c>
    </row>
    <row r="386" spans="4:51">
      <c r="D386" s="23"/>
      <c r="E386" s="23"/>
      <c r="F386" s="23"/>
      <c r="G386" s="23"/>
      <c r="H386" s="23"/>
      <c r="I386" s="3"/>
      <c r="J386" s="3"/>
      <c r="K386" s="3"/>
      <c r="L386" s="2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26"/>
      <c r="Y386" s="1"/>
      <c r="Z386" s="12">
        <f t="shared" si="181"/>
        <v>0</v>
      </c>
      <c r="AA386" s="14">
        <f t="shared" si="182"/>
        <v>0</v>
      </c>
      <c r="AB386" s="6">
        <f t="shared" si="160"/>
        <v>0</v>
      </c>
      <c r="AC386" s="6">
        <f t="shared" si="161"/>
        <v>0</v>
      </c>
      <c r="AD386" s="6">
        <f t="shared" si="162"/>
        <v>0</v>
      </c>
      <c r="AE386" s="52" t="str">
        <f t="shared" si="163"/>
        <v/>
      </c>
      <c r="AF386" s="52" t="str">
        <f t="shared" si="164"/>
        <v/>
      </c>
      <c r="AG386" s="50" t="str">
        <f t="shared" si="183"/>
        <v/>
      </c>
      <c r="AH386" s="50" t="str">
        <f t="shared" si="184"/>
        <v/>
      </c>
      <c r="AI386" s="52" t="str">
        <f t="shared" si="165"/>
        <v/>
      </c>
      <c r="AJ386" s="52" t="str">
        <f t="shared" si="166"/>
        <v/>
      </c>
      <c r="AK386" s="52" t="str">
        <f t="shared" si="167"/>
        <v/>
      </c>
      <c r="AL386" s="52" t="str">
        <f t="shared" si="168"/>
        <v/>
      </c>
      <c r="AM386" s="52" t="str">
        <f t="shared" si="169"/>
        <v/>
      </c>
      <c r="AN386" s="52" t="str">
        <f t="shared" si="170"/>
        <v/>
      </c>
      <c r="AO386" s="52" t="str">
        <f t="shared" si="171"/>
        <v/>
      </c>
      <c r="AP386" s="52" t="str">
        <f t="shared" si="172"/>
        <v/>
      </c>
      <c r="AQ386" s="52" t="str">
        <f t="shared" si="173"/>
        <v/>
      </c>
      <c r="AR386" s="52" t="str">
        <f t="shared" si="174"/>
        <v/>
      </c>
      <c r="AS386" s="52" t="str">
        <f t="shared" si="175"/>
        <v/>
      </c>
      <c r="AT386" s="52" t="str">
        <f t="shared" si="176"/>
        <v/>
      </c>
      <c r="AU386" s="52" t="str">
        <f t="shared" si="177"/>
        <v/>
      </c>
      <c r="AV386" s="52" t="str">
        <f t="shared" si="178"/>
        <v/>
      </c>
      <c r="AW386" s="52" t="str">
        <f t="shared" si="179"/>
        <v/>
      </c>
      <c r="AX386" s="52" t="str">
        <f t="shared" si="180"/>
        <v/>
      </c>
      <c r="AY386" s="52" t="str">
        <f t="shared" si="185"/>
        <v/>
      </c>
    </row>
    <row r="387" spans="4:51">
      <c r="D387" s="23"/>
      <c r="E387" s="23"/>
      <c r="F387" s="23"/>
      <c r="G387" s="23"/>
      <c r="H387" s="23"/>
      <c r="I387" s="3"/>
      <c r="J387" s="3"/>
      <c r="K387" s="3"/>
      <c r="L387" s="2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26"/>
      <c r="Y387" s="1"/>
      <c r="Z387" s="12">
        <f t="shared" si="181"/>
        <v>0</v>
      </c>
      <c r="AA387" s="14">
        <f t="shared" si="182"/>
        <v>0</v>
      </c>
      <c r="AB387" s="6">
        <f t="shared" si="160"/>
        <v>0</v>
      </c>
      <c r="AC387" s="6">
        <f t="shared" si="161"/>
        <v>0</v>
      </c>
      <c r="AD387" s="6">
        <f t="shared" si="162"/>
        <v>0</v>
      </c>
      <c r="AE387" s="52" t="str">
        <f t="shared" si="163"/>
        <v/>
      </c>
      <c r="AF387" s="52" t="str">
        <f t="shared" si="164"/>
        <v/>
      </c>
      <c r="AG387" s="50" t="str">
        <f t="shared" si="183"/>
        <v/>
      </c>
      <c r="AH387" s="50" t="str">
        <f t="shared" si="184"/>
        <v/>
      </c>
      <c r="AI387" s="52" t="str">
        <f t="shared" si="165"/>
        <v/>
      </c>
      <c r="AJ387" s="52" t="str">
        <f t="shared" si="166"/>
        <v/>
      </c>
      <c r="AK387" s="52" t="str">
        <f t="shared" si="167"/>
        <v/>
      </c>
      <c r="AL387" s="52" t="str">
        <f t="shared" si="168"/>
        <v/>
      </c>
      <c r="AM387" s="52" t="str">
        <f t="shared" si="169"/>
        <v/>
      </c>
      <c r="AN387" s="52" t="str">
        <f t="shared" si="170"/>
        <v/>
      </c>
      <c r="AO387" s="52" t="str">
        <f t="shared" si="171"/>
        <v/>
      </c>
      <c r="AP387" s="52" t="str">
        <f t="shared" si="172"/>
        <v/>
      </c>
      <c r="AQ387" s="52" t="str">
        <f t="shared" si="173"/>
        <v/>
      </c>
      <c r="AR387" s="52" t="str">
        <f t="shared" si="174"/>
        <v/>
      </c>
      <c r="AS387" s="52" t="str">
        <f t="shared" si="175"/>
        <v/>
      </c>
      <c r="AT387" s="52" t="str">
        <f t="shared" si="176"/>
        <v/>
      </c>
      <c r="AU387" s="52" t="str">
        <f t="shared" si="177"/>
        <v/>
      </c>
      <c r="AV387" s="52" t="str">
        <f t="shared" si="178"/>
        <v/>
      </c>
      <c r="AW387" s="52" t="str">
        <f t="shared" si="179"/>
        <v/>
      </c>
      <c r="AX387" s="52" t="str">
        <f t="shared" si="180"/>
        <v/>
      </c>
      <c r="AY387" s="52" t="str">
        <f t="shared" si="185"/>
        <v/>
      </c>
    </row>
    <row r="388" spans="4:51">
      <c r="D388" s="23"/>
      <c r="E388" s="23"/>
      <c r="F388" s="23"/>
      <c r="G388" s="23"/>
      <c r="H388" s="23"/>
      <c r="I388" s="3"/>
      <c r="J388" s="3"/>
      <c r="K388" s="3"/>
      <c r="L388" s="2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26"/>
      <c r="Y388" s="1"/>
      <c r="Z388" s="12">
        <f t="shared" si="181"/>
        <v>0</v>
      </c>
      <c r="AA388" s="14">
        <f t="shared" si="182"/>
        <v>0</v>
      </c>
      <c r="AB388" s="6">
        <f t="shared" si="160"/>
        <v>0</v>
      </c>
      <c r="AC388" s="6">
        <f t="shared" si="161"/>
        <v>0</v>
      </c>
      <c r="AD388" s="6">
        <f t="shared" si="162"/>
        <v>0</v>
      </c>
      <c r="AE388" s="52" t="str">
        <f t="shared" si="163"/>
        <v/>
      </c>
      <c r="AF388" s="52" t="str">
        <f t="shared" si="164"/>
        <v/>
      </c>
      <c r="AG388" s="50" t="str">
        <f t="shared" si="183"/>
        <v/>
      </c>
      <c r="AH388" s="50" t="str">
        <f t="shared" si="184"/>
        <v/>
      </c>
      <c r="AI388" s="52" t="str">
        <f t="shared" si="165"/>
        <v/>
      </c>
      <c r="AJ388" s="52" t="str">
        <f t="shared" si="166"/>
        <v/>
      </c>
      <c r="AK388" s="52" t="str">
        <f t="shared" si="167"/>
        <v/>
      </c>
      <c r="AL388" s="52" t="str">
        <f t="shared" si="168"/>
        <v/>
      </c>
      <c r="AM388" s="52" t="str">
        <f t="shared" si="169"/>
        <v/>
      </c>
      <c r="AN388" s="52" t="str">
        <f t="shared" si="170"/>
        <v/>
      </c>
      <c r="AO388" s="52" t="str">
        <f t="shared" si="171"/>
        <v/>
      </c>
      <c r="AP388" s="52" t="str">
        <f t="shared" si="172"/>
        <v/>
      </c>
      <c r="AQ388" s="52" t="str">
        <f t="shared" si="173"/>
        <v/>
      </c>
      <c r="AR388" s="52" t="str">
        <f t="shared" si="174"/>
        <v/>
      </c>
      <c r="AS388" s="52" t="str">
        <f t="shared" si="175"/>
        <v/>
      </c>
      <c r="AT388" s="52" t="str">
        <f t="shared" si="176"/>
        <v/>
      </c>
      <c r="AU388" s="52" t="str">
        <f t="shared" si="177"/>
        <v/>
      </c>
      <c r="AV388" s="52" t="str">
        <f t="shared" si="178"/>
        <v/>
      </c>
      <c r="AW388" s="52" t="str">
        <f t="shared" si="179"/>
        <v/>
      </c>
      <c r="AX388" s="52" t="str">
        <f t="shared" si="180"/>
        <v/>
      </c>
      <c r="AY388" s="52" t="str">
        <f t="shared" si="185"/>
        <v/>
      </c>
    </row>
    <row r="389" spans="4:51">
      <c r="D389" s="23"/>
      <c r="E389" s="23"/>
      <c r="F389" s="23"/>
      <c r="G389" s="23"/>
      <c r="H389" s="23"/>
      <c r="I389" s="3"/>
      <c r="J389" s="3"/>
      <c r="K389" s="3"/>
      <c r="L389" s="2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26"/>
      <c r="Y389" s="1"/>
      <c r="Z389" s="12">
        <f t="shared" si="181"/>
        <v>0</v>
      </c>
      <c r="AA389" s="14">
        <f t="shared" si="182"/>
        <v>0</v>
      </c>
      <c r="AB389" s="6">
        <f t="shared" si="160"/>
        <v>0</v>
      </c>
      <c r="AC389" s="6">
        <f t="shared" si="161"/>
        <v>0</v>
      </c>
      <c r="AD389" s="6">
        <f t="shared" si="162"/>
        <v>0</v>
      </c>
      <c r="AE389" s="52" t="str">
        <f t="shared" si="163"/>
        <v/>
      </c>
      <c r="AF389" s="52" t="str">
        <f t="shared" si="164"/>
        <v/>
      </c>
      <c r="AG389" s="50" t="str">
        <f t="shared" si="183"/>
        <v/>
      </c>
      <c r="AH389" s="50" t="str">
        <f t="shared" si="184"/>
        <v/>
      </c>
      <c r="AI389" s="52" t="str">
        <f t="shared" si="165"/>
        <v/>
      </c>
      <c r="AJ389" s="52" t="str">
        <f t="shared" si="166"/>
        <v/>
      </c>
      <c r="AK389" s="52" t="str">
        <f t="shared" si="167"/>
        <v/>
      </c>
      <c r="AL389" s="52" t="str">
        <f t="shared" si="168"/>
        <v/>
      </c>
      <c r="AM389" s="52" t="str">
        <f t="shared" si="169"/>
        <v/>
      </c>
      <c r="AN389" s="52" t="str">
        <f t="shared" si="170"/>
        <v/>
      </c>
      <c r="AO389" s="52" t="str">
        <f t="shared" si="171"/>
        <v/>
      </c>
      <c r="AP389" s="52" t="str">
        <f t="shared" si="172"/>
        <v/>
      </c>
      <c r="AQ389" s="52" t="str">
        <f t="shared" si="173"/>
        <v/>
      </c>
      <c r="AR389" s="52" t="str">
        <f t="shared" si="174"/>
        <v/>
      </c>
      <c r="AS389" s="52" t="str">
        <f t="shared" si="175"/>
        <v/>
      </c>
      <c r="AT389" s="52" t="str">
        <f t="shared" si="176"/>
        <v/>
      </c>
      <c r="AU389" s="52" t="str">
        <f t="shared" si="177"/>
        <v/>
      </c>
      <c r="AV389" s="52" t="str">
        <f t="shared" si="178"/>
        <v/>
      </c>
      <c r="AW389" s="52" t="str">
        <f t="shared" si="179"/>
        <v/>
      </c>
      <c r="AX389" s="52" t="str">
        <f t="shared" si="180"/>
        <v/>
      </c>
      <c r="AY389" s="52" t="str">
        <f t="shared" si="185"/>
        <v/>
      </c>
    </row>
    <row r="390" spans="4:51">
      <c r="D390" s="23"/>
      <c r="E390" s="23"/>
      <c r="F390" s="23"/>
      <c r="G390" s="23"/>
      <c r="H390" s="23"/>
      <c r="I390" s="3"/>
      <c r="J390" s="3"/>
      <c r="K390" s="3"/>
      <c r="L390" s="2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26"/>
      <c r="Y390" s="1"/>
      <c r="Z390" s="12">
        <f t="shared" si="181"/>
        <v>0</v>
      </c>
      <c r="AA390" s="14">
        <f t="shared" si="182"/>
        <v>0</v>
      </c>
      <c r="AB390" s="6">
        <f t="shared" si="160"/>
        <v>0</v>
      </c>
      <c r="AC390" s="6">
        <f t="shared" si="161"/>
        <v>0</v>
      </c>
      <c r="AD390" s="6">
        <f t="shared" si="162"/>
        <v>0</v>
      </c>
      <c r="AE390" s="52" t="str">
        <f t="shared" si="163"/>
        <v/>
      </c>
      <c r="AF390" s="52" t="str">
        <f t="shared" si="164"/>
        <v/>
      </c>
      <c r="AG390" s="50" t="str">
        <f t="shared" si="183"/>
        <v/>
      </c>
      <c r="AH390" s="50" t="str">
        <f t="shared" si="184"/>
        <v/>
      </c>
      <c r="AI390" s="52" t="str">
        <f t="shared" si="165"/>
        <v/>
      </c>
      <c r="AJ390" s="52" t="str">
        <f t="shared" si="166"/>
        <v/>
      </c>
      <c r="AK390" s="52" t="str">
        <f t="shared" si="167"/>
        <v/>
      </c>
      <c r="AL390" s="52" t="str">
        <f t="shared" si="168"/>
        <v/>
      </c>
      <c r="AM390" s="52" t="str">
        <f t="shared" si="169"/>
        <v/>
      </c>
      <c r="AN390" s="52" t="str">
        <f t="shared" si="170"/>
        <v/>
      </c>
      <c r="AO390" s="52" t="str">
        <f t="shared" si="171"/>
        <v/>
      </c>
      <c r="AP390" s="52" t="str">
        <f t="shared" si="172"/>
        <v/>
      </c>
      <c r="AQ390" s="52" t="str">
        <f t="shared" si="173"/>
        <v/>
      </c>
      <c r="AR390" s="52" t="str">
        <f t="shared" si="174"/>
        <v/>
      </c>
      <c r="AS390" s="52" t="str">
        <f t="shared" si="175"/>
        <v/>
      </c>
      <c r="AT390" s="52" t="str">
        <f t="shared" si="176"/>
        <v/>
      </c>
      <c r="AU390" s="52" t="str">
        <f t="shared" si="177"/>
        <v/>
      </c>
      <c r="AV390" s="52" t="str">
        <f t="shared" si="178"/>
        <v/>
      </c>
      <c r="AW390" s="52" t="str">
        <f t="shared" si="179"/>
        <v/>
      </c>
      <c r="AX390" s="52" t="str">
        <f t="shared" si="180"/>
        <v/>
      </c>
      <c r="AY390" s="52" t="str">
        <f t="shared" si="185"/>
        <v/>
      </c>
    </row>
    <row r="391" spans="4:51">
      <c r="D391" s="23"/>
      <c r="E391" s="23"/>
      <c r="F391" s="23"/>
      <c r="G391" s="23"/>
      <c r="H391" s="23"/>
      <c r="I391" s="3"/>
      <c r="J391" s="3"/>
      <c r="K391" s="3"/>
      <c r="L391" s="2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26"/>
      <c r="Y391" s="1"/>
      <c r="Z391" s="12">
        <f t="shared" si="181"/>
        <v>0</v>
      </c>
      <c r="AA391" s="14">
        <f t="shared" si="182"/>
        <v>0</v>
      </c>
      <c r="AB391" s="6">
        <f t="shared" si="160"/>
        <v>0</v>
      </c>
      <c r="AC391" s="6">
        <f t="shared" si="161"/>
        <v>0</v>
      </c>
      <c r="AD391" s="6">
        <f t="shared" si="162"/>
        <v>0</v>
      </c>
      <c r="AE391" s="52" t="str">
        <f t="shared" si="163"/>
        <v/>
      </c>
      <c r="AF391" s="52" t="str">
        <f t="shared" si="164"/>
        <v/>
      </c>
      <c r="AG391" s="50" t="str">
        <f t="shared" si="183"/>
        <v/>
      </c>
      <c r="AH391" s="50" t="str">
        <f t="shared" si="184"/>
        <v/>
      </c>
      <c r="AI391" s="52" t="str">
        <f t="shared" si="165"/>
        <v/>
      </c>
      <c r="AJ391" s="52" t="str">
        <f t="shared" si="166"/>
        <v/>
      </c>
      <c r="AK391" s="52" t="str">
        <f t="shared" si="167"/>
        <v/>
      </c>
      <c r="AL391" s="52" t="str">
        <f t="shared" si="168"/>
        <v/>
      </c>
      <c r="AM391" s="52" t="str">
        <f t="shared" si="169"/>
        <v/>
      </c>
      <c r="AN391" s="52" t="str">
        <f t="shared" si="170"/>
        <v/>
      </c>
      <c r="AO391" s="52" t="str">
        <f t="shared" si="171"/>
        <v/>
      </c>
      <c r="AP391" s="52" t="str">
        <f t="shared" si="172"/>
        <v/>
      </c>
      <c r="AQ391" s="52" t="str">
        <f t="shared" si="173"/>
        <v/>
      </c>
      <c r="AR391" s="52" t="str">
        <f t="shared" si="174"/>
        <v/>
      </c>
      <c r="AS391" s="52" t="str">
        <f t="shared" si="175"/>
        <v/>
      </c>
      <c r="AT391" s="52" t="str">
        <f t="shared" si="176"/>
        <v/>
      </c>
      <c r="AU391" s="52" t="str">
        <f t="shared" si="177"/>
        <v/>
      </c>
      <c r="AV391" s="52" t="str">
        <f t="shared" si="178"/>
        <v/>
      </c>
      <c r="AW391" s="52" t="str">
        <f t="shared" si="179"/>
        <v/>
      </c>
      <c r="AX391" s="52" t="str">
        <f t="shared" si="180"/>
        <v/>
      </c>
      <c r="AY391" s="52" t="str">
        <f t="shared" si="185"/>
        <v/>
      </c>
    </row>
    <row r="392" spans="4:51">
      <c r="D392" s="23"/>
      <c r="E392" s="23"/>
      <c r="F392" s="23"/>
      <c r="G392" s="23"/>
      <c r="H392" s="23"/>
      <c r="I392" s="3"/>
      <c r="J392" s="3"/>
      <c r="K392" s="3"/>
      <c r="L392" s="2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26"/>
      <c r="Y392" s="1"/>
      <c r="Z392" s="12">
        <f t="shared" si="181"/>
        <v>0</v>
      </c>
      <c r="AA392" s="14">
        <f t="shared" si="182"/>
        <v>0</v>
      </c>
      <c r="AB392" s="6">
        <f t="shared" si="160"/>
        <v>0</v>
      </c>
      <c r="AC392" s="6">
        <f t="shared" si="161"/>
        <v>0</v>
      </c>
      <c r="AD392" s="6">
        <f t="shared" si="162"/>
        <v>0</v>
      </c>
      <c r="AE392" s="52" t="str">
        <f t="shared" si="163"/>
        <v/>
      </c>
      <c r="AF392" s="52" t="str">
        <f t="shared" si="164"/>
        <v/>
      </c>
      <c r="AG392" s="50" t="str">
        <f t="shared" si="183"/>
        <v/>
      </c>
      <c r="AH392" s="50" t="str">
        <f t="shared" si="184"/>
        <v/>
      </c>
      <c r="AI392" s="52" t="str">
        <f t="shared" si="165"/>
        <v/>
      </c>
      <c r="AJ392" s="52" t="str">
        <f t="shared" si="166"/>
        <v/>
      </c>
      <c r="AK392" s="52" t="str">
        <f t="shared" si="167"/>
        <v/>
      </c>
      <c r="AL392" s="52" t="str">
        <f t="shared" si="168"/>
        <v/>
      </c>
      <c r="AM392" s="52" t="str">
        <f t="shared" si="169"/>
        <v/>
      </c>
      <c r="AN392" s="52" t="str">
        <f t="shared" si="170"/>
        <v/>
      </c>
      <c r="AO392" s="52" t="str">
        <f t="shared" si="171"/>
        <v/>
      </c>
      <c r="AP392" s="52" t="str">
        <f t="shared" si="172"/>
        <v/>
      </c>
      <c r="AQ392" s="52" t="str">
        <f t="shared" si="173"/>
        <v/>
      </c>
      <c r="AR392" s="52" t="str">
        <f t="shared" si="174"/>
        <v/>
      </c>
      <c r="AS392" s="52" t="str">
        <f t="shared" si="175"/>
        <v/>
      </c>
      <c r="AT392" s="52" t="str">
        <f t="shared" si="176"/>
        <v/>
      </c>
      <c r="AU392" s="52" t="str">
        <f t="shared" si="177"/>
        <v/>
      </c>
      <c r="AV392" s="52" t="str">
        <f t="shared" si="178"/>
        <v/>
      </c>
      <c r="AW392" s="52" t="str">
        <f t="shared" si="179"/>
        <v/>
      </c>
      <c r="AX392" s="52" t="str">
        <f t="shared" si="180"/>
        <v/>
      </c>
      <c r="AY392" s="52" t="str">
        <f t="shared" si="185"/>
        <v/>
      </c>
    </row>
    <row r="393" spans="4:51">
      <c r="D393" s="23"/>
      <c r="E393" s="23"/>
      <c r="F393" s="23"/>
      <c r="G393" s="23"/>
      <c r="H393" s="23"/>
      <c r="I393" s="3"/>
      <c r="J393" s="3"/>
      <c r="K393" s="3"/>
      <c r="L393" s="2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26"/>
      <c r="Y393" s="1"/>
      <c r="Z393" s="12">
        <f t="shared" si="181"/>
        <v>0</v>
      </c>
      <c r="AA393" s="14">
        <f t="shared" si="182"/>
        <v>0</v>
      </c>
      <c r="AB393" s="6">
        <f t="shared" si="160"/>
        <v>0</v>
      </c>
      <c r="AC393" s="6">
        <f t="shared" si="161"/>
        <v>0</v>
      </c>
      <c r="AD393" s="6">
        <f t="shared" si="162"/>
        <v>0</v>
      </c>
      <c r="AE393" s="52" t="str">
        <f t="shared" si="163"/>
        <v/>
      </c>
      <c r="AF393" s="52" t="str">
        <f t="shared" si="164"/>
        <v/>
      </c>
      <c r="AG393" s="50" t="str">
        <f t="shared" si="183"/>
        <v/>
      </c>
      <c r="AH393" s="50" t="str">
        <f t="shared" si="184"/>
        <v/>
      </c>
      <c r="AI393" s="52" t="str">
        <f t="shared" si="165"/>
        <v/>
      </c>
      <c r="AJ393" s="52" t="str">
        <f t="shared" si="166"/>
        <v/>
      </c>
      <c r="AK393" s="52" t="str">
        <f t="shared" si="167"/>
        <v/>
      </c>
      <c r="AL393" s="52" t="str">
        <f t="shared" si="168"/>
        <v/>
      </c>
      <c r="AM393" s="52" t="str">
        <f t="shared" si="169"/>
        <v/>
      </c>
      <c r="AN393" s="52" t="str">
        <f t="shared" si="170"/>
        <v/>
      </c>
      <c r="AO393" s="52" t="str">
        <f t="shared" si="171"/>
        <v/>
      </c>
      <c r="AP393" s="52" t="str">
        <f t="shared" si="172"/>
        <v/>
      </c>
      <c r="AQ393" s="52" t="str">
        <f t="shared" si="173"/>
        <v/>
      </c>
      <c r="AR393" s="52" t="str">
        <f t="shared" si="174"/>
        <v/>
      </c>
      <c r="AS393" s="52" t="str">
        <f t="shared" si="175"/>
        <v/>
      </c>
      <c r="AT393" s="52" t="str">
        <f t="shared" si="176"/>
        <v/>
      </c>
      <c r="AU393" s="52" t="str">
        <f t="shared" si="177"/>
        <v/>
      </c>
      <c r="AV393" s="52" t="str">
        <f t="shared" si="178"/>
        <v/>
      </c>
      <c r="AW393" s="52" t="str">
        <f t="shared" si="179"/>
        <v/>
      </c>
      <c r="AX393" s="52" t="str">
        <f t="shared" si="180"/>
        <v/>
      </c>
      <c r="AY393" s="52" t="str">
        <f t="shared" si="185"/>
        <v/>
      </c>
    </row>
    <row r="394" spans="4:51">
      <c r="D394" s="23"/>
      <c r="E394" s="23"/>
      <c r="F394" s="23"/>
      <c r="G394" s="23"/>
      <c r="H394" s="23"/>
      <c r="I394" s="3"/>
      <c r="J394" s="3"/>
      <c r="K394" s="3"/>
      <c r="L394" s="2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26"/>
      <c r="Y394" s="1"/>
      <c r="Z394" s="12">
        <f t="shared" si="181"/>
        <v>0</v>
      </c>
      <c r="AA394" s="14">
        <f t="shared" si="182"/>
        <v>0</v>
      </c>
      <c r="AB394" s="6">
        <f t="shared" si="160"/>
        <v>0</v>
      </c>
      <c r="AC394" s="6">
        <f t="shared" si="161"/>
        <v>0</v>
      </c>
      <c r="AD394" s="6">
        <f t="shared" si="162"/>
        <v>0</v>
      </c>
      <c r="AE394" s="52" t="str">
        <f t="shared" si="163"/>
        <v/>
      </c>
      <c r="AF394" s="52" t="str">
        <f t="shared" si="164"/>
        <v/>
      </c>
      <c r="AG394" s="50" t="str">
        <f t="shared" si="183"/>
        <v/>
      </c>
      <c r="AH394" s="50" t="str">
        <f t="shared" si="184"/>
        <v/>
      </c>
      <c r="AI394" s="52" t="str">
        <f t="shared" si="165"/>
        <v/>
      </c>
      <c r="AJ394" s="52" t="str">
        <f t="shared" si="166"/>
        <v/>
      </c>
      <c r="AK394" s="52" t="str">
        <f t="shared" si="167"/>
        <v/>
      </c>
      <c r="AL394" s="52" t="str">
        <f t="shared" si="168"/>
        <v/>
      </c>
      <c r="AM394" s="52" t="str">
        <f t="shared" si="169"/>
        <v/>
      </c>
      <c r="AN394" s="52" t="str">
        <f t="shared" si="170"/>
        <v/>
      </c>
      <c r="AO394" s="52" t="str">
        <f t="shared" si="171"/>
        <v/>
      </c>
      <c r="AP394" s="52" t="str">
        <f t="shared" si="172"/>
        <v/>
      </c>
      <c r="AQ394" s="52" t="str">
        <f t="shared" si="173"/>
        <v/>
      </c>
      <c r="AR394" s="52" t="str">
        <f t="shared" si="174"/>
        <v/>
      </c>
      <c r="AS394" s="52" t="str">
        <f t="shared" si="175"/>
        <v/>
      </c>
      <c r="AT394" s="52" t="str">
        <f t="shared" si="176"/>
        <v/>
      </c>
      <c r="AU394" s="52" t="str">
        <f t="shared" si="177"/>
        <v/>
      </c>
      <c r="AV394" s="52" t="str">
        <f t="shared" si="178"/>
        <v/>
      </c>
      <c r="AW394" s="52" t="str">
        <f t="shared" si="179"/>
        <v/>
      </c>
      <c r="AX394" s="52" t="str">
        <f t="shared" si="180"/>
        <v/>
      </c>
      <c r="AY394" s="52" t="str">
        <f t="shared" si="185"/>
        <v/>
      </c>
    </row>
    <row r="395" spans="4:51">
      <c r="D395" s="23"/>
      <c r="E395" s="23"/>
      <c r="F395" s="23"/>
      <c r="G395" s="23"/>
      <c r="H395" s="23"/>
      <c r="I395" s="3"/>
      <c r="J395" s="3"/>
      <c r="K395" s="3"/>
      <c r="L395" s="2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26"/>
      <c r="Y395" s="1"/>
      <c r="Z395" s="12">
        <f t="shared" si="181"/>
        <v>0</v>
      </c>
      <c r="AA395" s="14">
        <f t="shared" si="182"/>
        <v>0</v>
      </c>
      <c r="AB395" s="6">
        <f t="shared" si="160"/>
        <v>0</v>
      </c>
      <c r="AC395" s="6">
        <f t="shared" si="161"/>
        <v>0</v>
      </c>
      <c r="AD395" s="6">
        <f t="shared" si="162"/>
        <v>0</v>
      </c>
      <c r="AE395" s="52" t="str">
        <f t="shared" si="163"/>
        <v/>
      </c>
      <c r="AF395" s="52" t="str">
        <f t="shared" si="164"/>
        <v/>
      </c>
      <c r="AG395" s="50" t="str">
        <f t="shared" si="183"/>
        <v/>
      </c>
      <c r="AH395" s="50" t="str">
        <f t="shared" si="184"/>
        <v/>
      </c>
      <c r="AI395" s="52" t="str">
        <f t="shared" si="165"/>
        <v/>
      </c>
      <c r="AJ395" s="52" t="str">
        <f t="shared" si="166"/>
        <v/>
      </c>
      <c r="AK395" s="52" t="str">
        <f t="shared" si="167"/>
        <v/>
      </c>
      <c r="AL395" s="52" t="str">
        <f t="shared" si="168"/>
        <v/>
      </c>
      <c r="AM395" s="52" t="str">
        <f t="shared" si="169"/>
        <v/>
      </c>
      <c r="AN395" s="52" t="str">
        <f t="shared" si="170"/>
        <v/>
      </c>
      <c r="AO395" s="52" t="str">
        <f t="shared" si="171"/>
        <v/>
      </c>
      <c r="AP395" s="52" t="str">
        <f t="shared" si="172"/>
        <v/>
      </c>
      <c r="AQ395" s="52" t="str">
        <f t="shared" si="173"/>
        <v/>
      </c>
      <c r="AR395" s="52" t="str">
        <f t="shared" si="174"/>
        <v/>
      </c>
      <c r="AS395" s="52" t="str">
        <f t="shared" si="175"/>
        <v/>
      </c>
      <c r="AT395" s="52" t="str">
        <f t="shared" si="176"/>
        <v/>
      </c>
      <c r="AU395" s="52" t="str">
        <f t="shared" si="177"/>
        <v/>
      </c>
      <c r="AV395" s="52" t="str">
        <f t="shared" si="178"/>
        <v/>
      </c>
      <c r="AW395" s="52" t="str">
        <f t="shared" si="179"/>
        <v/>
      </c>
      <c r="AX395" s="52" t="str">
        <f t="shared" si="180"/>
        <v/>
      </c>
      <c r="AY395" s="52" t="str">
        <f t="shared" si="185"/>
        <v/>
      </c>
    </row>
    <row r="396" spans="4:51">
      <c r="D396" s="23"/>
      <c r="E396" s="23"/>
      <c r="F396" s="23"/>
      <c r="G396" s="23"/>
      <c r="H396" s="23"/>
      <c r="I396" s="3"/>
      <c r="J396" s="3"/>
      <c r="K396" s="3"/>
      <c r="L396" s="2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26"/>
      <c r="Y396" s="1"/>
      <c r="Z396" s="12">
        <f t="shared" si="181"/>
        <v>0</v>
      </c>
      <c r="AA396" s="14">
        <f t="shared" si="182"/>
        <v>0</v>
      </c>
      <c r="AB396" s="6">
        <f t="shared" si="160"/>
        <v>0</v>
      </c>
      <c r="AC396" s="6">
        <f t="shared" si="161"/>
        <v>0</v>
      </c>
      <c r="AD396" s="6">
        <f t="shared" si="162"/>
        <v>0</v>
      </c>
      <c r="AE396" s="52" t="str">
        <f t="shared" si="163"/>
        <v/>
      </c>
      <c r="AF396" s="52" t="str">
        <f t="shared" si="164"/>
        <v/>
      </c>
      <c r="AG396" s="50" t="str">
        <f t="shared" si="183"/>
        <v/>
      </c>
      <c r="AH396" s="50" t="str">
        <f t="shared" si="184"/>
        <v/>
      </c>
      <c r="AI396" s="52" t="str">
        <f t="shared" si="165"/>
        <v/>
      </c>
      <c r="AJ396" s="52" t="str">
        <f t="shared" si="166"/>
        <v/>
      </c>
      <c r="AK396" s="52" t="str">
        <f t="shared" si="167"/>
        <v/>
      </c>
      <c r="AL396" s="52" t="str">
        <f t="shared" si="168"/>
        <v/>
      </c>
      <c r="AM396" s="52" t="str">
        <f t="shared" si="169"/>
        <v/>
      </c>
      <c r="AN396" s="52" t="str">
        <f t="shared" si="170"/>
        <v/>
      </c>
      <c r="AO396" s="52" t="str">
        <f t="shared" si="171"/>
        <v/>
      </c>
      <c r="AP396" s="52" t="str">
        <f t="shared" si="172"/>
        <v/>
      </c>
      <c r="AQ396" s="52" t="str">
        <f t="shared" si="173"/>
        <v/>
      </c>
      <c r="AR396" s="52" t="str">
        <f t="shared" si="174"/>
        <v/>
      </c>
      <c r="AS396" s="52" t="str">
        <f t="shared" si="175"/>
        <v/>
      </c>
      <c r="AT396" s="52" t="str">
        <f t="shared" si="176"/>
        <v/>
      </c>
      <c r="AU396" s="52" t="str">
        <f t="shared" si="177"/>
        <v/>
      </c>
      <c r="AV396" s="52" t="str">
        <f t="shared" si="178"/>
        <v/>
      </c>
      <c r="AW396" s="52" t="str">
        <f t="shared" si="179"/>
        <v/>
      </c>
      <c r="AX396" s="52" t="str">
        <f t="shared" si="180"/>
        <v/>
      </c>
      <c r="AY396" s="52" t="str">
        <f t="shared" si="185"/>
        <v/>
      </c>
    </row>
    <row r="397" spans="4:51">
      <c r="D397" s="23"/>
      <c r="E397" s="23"/>
      <c r="F397" s="23"/>
      <c r="G397" s="23"/>
      <c r="H397" s="23"/>
      <c r="I397" s="3"/>
      <c r="J397" s="3"/>
      <c r="K397" s="3"/>
      <c r="L397" s="2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26"/>
      <c r="Y397" s="1"/>
      <c r="Z397" s="12">
        <f t="shared" si="181"/>
        <v>0</v>
      </c>
      <c r="AA397" s="14">
        <f t="shared" si="182"/>
        <v>0</v>
      </c>
      <c r="AB397" s="6">
        <f t="shared" si="160"/>
        <v>0</v>
      </c>
      <c r="AC397" s="6">
        <f t="shared" si="161"/>
        <v>0</v>
      </c>
      <c r="AD397" s="6">
        <f t="shared" si="162"/>
        <v>0</v>
      </c>
      <c r="AE397" s="52" t="str">
        <f t="shared" si="163"/>
        <v/>
      </c>
      <c r="AF397" s="52" t="str">
        <f t="shared" si="164"/>
        <v/>
      </c>
      <c r="AG397" s="50" t="str">
        <f t="shared" si="183"/>
        <v/>
      </c>
      <c r="AH397" s="50" t="str">
        <f t="shared" si="184"/>
        <v/>
      </c>
      <c r="AI397" s="52" t="str">
        <f t="shared" si="165"/>
        <v/>
      </c>
      <c r="AJ397" s="52" t="str">
        <f t="shared" si="166"/>
        <v/>
      </c>
      <c r="AK397" s="52" t="str">
        <f t="shared" si="167"/>
        <v/>
      </c>
      <c r="AL397" s="52" t="str">
        <f t="shared" si="168"/>
        <v/>
      </c>
      <c r="AM397" s="52" t="str">
        <f t="shared" si="169"/>
        <v/>
      </c>
      <c r="AN397" s="52" t="str">
        <f t="shared" si="170"/>
        <v/>
      </c>
      <c r="AO397" s="52" t="str">
        <f t="shared" si="171"/>
        <v/>
      </c>
      <c r="AP397" s="52" t="str">
        <f t="shared" si="172"/>
        <v/>
      </c>
      <c r="AQ397" s="52" t="str">
        <f t="shared" si="173"/>
        <v/>
      </c>
      <c r="AR397" s="52" t="str">
        <f t="shared" si="174"/>
        <v/>
      </c>
      <c r="AS397" s="52" t="str">
        <f t="shared" si="175"/>
        <v/>
      </c>
      <c r="AT397" s="52" t="str">
        <f t="shared" si="176"/>
        <v/>
      </c>
      <c r="AU397" s="52" t="str">
        <f t="shared" si="177"/>
        <v/>
      </c>
      <c r="AV397" s="52" t="str">
        <f t="shared" si="178"/>
        <v/>
      </c>
      <c r="AW397" s="52" t="str">
        <f t="shared" si="179"/>
        <v/>
      </c>
      <c r="AX397" s="52" t="str">
        <f t="shared" si="180"/>
        <v/>
      </c>
      <c r="AY397" s="52" t="str">
        <f t="shared" si="185"/>
        <v/>
      </c>
    </row>
    <row r="398" spans="4:51">
      <c r="D398" s="23"/>
      <c r="E398" s="23"/>
      <c r="F398" s="23"/>
      <c r="G398" s="23"/>
      <c r="H398" s="23"/>
      <c r="I398" s="3"/>
      <c r="J398" s="3"/>
      <c r="K398" s="3"/>
      <c r="L398" s="2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26"/>
      <c r="Y398" s="1"/>
      <c r="Z398" s="12">
        <f t="shared" si="181"/>
        <v>0</v>
      </c>
      <c r="AA398" s="14">
        <f t="shared" si="182"/>
        <v>0</v>
      </c>
      <c r="AB398" s="6">
        <f t="shared" si="160"/>
        <v>0</v>
      </c>
      <c r="AC398" s="6">
        <f t="shared" si="161"/>
        <v>0</v>
      </c>
      <c r="AD398" s="6">
        <f t="shared" si="162"/>
        <v>0</v>
      </c>
      <c r="AE398" s="52" t="str">
        <f t="shared" si="163"/>
        <v/>
      </c>
      <c r="AF398" s="52" t="str">
        <f t="shared" si="164"/>
        <v/>
      </c>
      <c r="AG398" s="50" t="str">
        <f t="shared" si="183"/>
        <v/>
      </c>
      <c r="AH398" s="50" t="str">
        <f t="shared" si="184"/>
        <v/>
      </c>
      <c r="AI398" s="52" t="str">
        <f t="shared" si="165"/>
        <v/>
      </c>
      <c r="AJ398" s="52" t="str">
        <f t="shared" si="166"/>
        <v/>
      </c>
      <c r="AK398" s="52" t="str">
        <f t="shared" si="167"/>
        <v/>
      </c>
      <c r="AL398" s="52" t="str">
        <f t="shared" si="168"/>
        <v/>
      </c>
      <c r="AM398" s="52" t="str">
        <f t="shared" si="169"/>
        <v/>
      </c>
      <c r="AN398" s="52" t="str">
        <f t="shared" si="170"/>
        <v/>
      </c>
      <c r="AO398" s="52" t="str">
        <f t="shared" si="171"/>
        <v/>
      </c>
      <c r="AP398" s="52" t="str">
        <f t="shared" si="172"/>
        <v/>
      </c>
      <c r="AQ398" s="52" t="str">
        <f t="shared" si="173"/>
        <v/>
      </c>
      <c r="AR398" s="52" t="str">
        <f t="shared" si="174"/>
        <v/>
      </c>
      <c r="AS398" s="52" t="str">
        <f t="shared" si="175"/>
        <v/>
      </c>
      <c r="AT398" s="52" t="str">
        <f t="shared" si="176"/>
        <v/>
      </c>
      <c r="AU398" s="52" t="str">
        <f t="shared" si="177"/>
        <v/>
      </c>
      <c r="AV398" s="52" t="str">
        <f t="shared" si="178"/>
        <v/>
      </c>
      <c r="AW398" s="52" t="str">
        <f t="shared" si="179"/>
        <v/>
      </c>
      <c r="AX398" s="52" t="str">
        <f t="shared" si="180"/>
        <v/>
      </c>
      <c r="AY398" s="52" t="str">
        <f t="shared" si="185"/>
        <v/>
      </c>
    </row>
    <row r="399" spans="4:51">
      <c r="D399" s="23"/>
      <c r="E399" s="23"/>
      <c r="F399" s="23"/>
      <c r="G399" s="23"/>
      <c r="H399" s="23"/>
      <c r="I399" s="3"/>
      <c r="J399" s="3"/>
      <c r="K399" s="3"/>
      <c r="L399" s="2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26"/>
      <c r="Y399" s="1"/>
      <c r="Z399" s="12">
        <f t="shared" si="181"/>
        <v>0</v>
      </c>
      <c r="AA399" s="14">
        <f t="shared" si="182"/>
        <v>0</v>
      </c>
      <c r="AB399" s="6">
        <f t="shared" si="160"/>
        <v>0</v>
      </c>
      <c r="AC399" s="6">
        <f t="shared" si="161"/>
        <v>0</v>
      </c>
      <c r="AD399" s="6">
        <f t="shared" si="162"/>
        <v>0</v>
      </c>
      <c r="AE399" s="52" t="str">
        <f t="shared" si="163"/>
        <v/>
      </c>
      <c r="AF399" s="52" t="str">
        <f t="shared" si="164"/>
        <v/>
      </c>
      <c r="AG399" s="50" t="str">
        <f t="shared" si="183"/>
        <v/>
      </c>
      <c r="AH399" s="50" t="str">
        <f t="shared" si="184"/>
        <v/>
      </c>
      <c r="AI399" s="52" t="str">
        <f t="shared" si="165"/>
        <v/>
      </c>
      <c r="AJ399" s="52" t="str">
        <f t="shared" si="166"/>
        <v/>
      </c>
      <c r="AK399" s="52" t="str">
        <f t="shared" si="167"/>
        <v/>
      </c>
      <c r="AL399" s="52" t="str">
        <f t="shared" si="168"/>
        <v/>
      </c>
      <c r="AM399" s="52" t="str">
        <f t="shared" si="169"/>
        <v/>
      </c>
      <c r="AN399" s="52" t="str">
        <f t="shared" si="170"/>
        <v/>
      </c>
      <c r="AO399" s="52" t="str">
        <f t="shared" si="171"/>
        <v/>
      </c>
      <c r="AP399" s="52" t="str">
        <f t="shared" si="172"/>
        <v/>
      </c>
      <c r="AQ399" s="52" t="str">
        <f t="shared" si="173"/>
        <v/>
      </c>
      <c r="AR399" s="52" t="str">
        <f t="shared" si="174"/>
        <v/>
      </c>
      <c r="AS399" s="52" t="str">
        <f t="shared" si="175"/>
        <v/>
      </c>
      <c r="AT399" s="52" t="str">
        <f t="shared" si="176"/>
        <v/>
      </c>
      <c r="AU399" s="52" t="str">
        <f t="shared" si="177"/>
        <v/>
      </c>
      <c r="AV399" s="52" t="str">
        <f t="shared" si="178"/>
        <v/>
      </c>
      <c r="AW399" s="52" t="str">
        <f t="shared" si="179"/>
        <v/>
      </c>
      <c r="AX399" s="52" t="str">
        <f t="shared" si="180"/>
        <v/>
      </c>
      <c r="AY399" s="52" t="str">
        <f t="shared" si="185"/>
        <v/>
      </c>
    </row>
    <row r="400" spans="4:51">
      <c r="D400" s="23"/>
      <c r="E400" s="23"/>
      <c r="F400" s="23"/>
      <c r="G400" s="23"/>
      <c r="H400" s="23"/>
      <c r="I400" s="3"/>
      <c r="J400" s="3"/>
      <c r="K400" s="3"/>
      <c r="L400" s="2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26"/>
      <c r="Y400" s="1"/>
      <c r="Z400" s="12">
        <f t="shared" si="181"/>
        <v>0</v>
      </c>
      <c r="AA400" s="14">
        <f t="shared" si="182"/>
        <v>0</v>
      </c>
      <c r="AB400" s="6">
        <f t="shared" si="160"/>
        <v>0</v>
      </c>
      <c r="AC400" s="6">
        <f t="shared" si="161"/>
        <v>0</v>
      </c>
      <c r="AD400" s="6">
        <f t="shared" si="162"/>
        <v>0</v>
      </c>
      <c r="AE400" s="52" t="str">
        <f t="shared" si="163"/>
        <v/>
      </c>
      <c r="AF400" s="52" t="str">
        <f t="shared" si="164"/>
        <v/>
      </c>
      <c r="AG400" s="50" t="str">
        <f t="shared" si="183"/>
        <v/>
      </c>
      <c r="AH400" s="50" t="str">
        <f t="shared" si="184"/>
        <v/>
      </c>
      <c r="AI400" s="52" t="str">
        <f t="shared" si="165"/>
        <v/>
      </c>
      <c r="AJ400" s="52" t="str">
        <f t="shared" si="166"/>
        <v/>
      </c>
      <c r="AK400" s="52" t="str">
        <f t="shared" si="167"/>
        <v/>
      </c>
      <c r="AL400" s="52" t="str">
        <f t="shared" si="168"/>
        <v/>
      </c>
      <c r="AM400" s="52" t="str">
        <f t="shared" si="169"/>
        <v/>
      </c>
      <c r="AN400" s="52" t="str">
        <f t="shared" si="170"/>
        <v/>
      </c>
      <c r="AO400" s="52" t="str">
        <f t="shared" si="171"/>
        <v/>
      </c>
      <c r="AP400" s="52" t="str">
        <f t="shared" si="172"/>
        <v/>
      </c>
      <c r="AQ400" s="52" t="str">
        <f t="shared" si="173"/>
        <v/>
      </c>
      <c r="AR400" s="52" t="str">
        <f t="shared" si="174"/>
        <v/>
      </c>
      <c r="AS400" s="52" t="str">
        <f t="shared" si="175"/>
        <v/>
      </c>
      <c r="AT400" s="52" t="str">
        <f t="shared" si="176"/>
        <v/>
      </c>
      <c r="AU400" s="52" t="str">
        <f t="shared" si="177"/>
        <v/>
      </c>
      <c r="AV400" s="52" t="str">
        <f t="shared" si="178"/>
        <v/>
      </c>
      <c r="AW400" s="52" t="str">
        <f t="shared" si="179"/>
        <v/>
      </c>
      <c r="AX400" s="52" t="str">
        <f t="shared" si="180"/>
        <v/>
      </c>
      <c r="AY400" s="52" t="str">
        <f t="shared" si="185"/>
        <v/>
      </c>
    </row>
    <row r="401" spans="4:51">
      <c r="D401" s="23"/>
      <c r="E401" s="23"/>
      <c r="F401" s="23"/>
      <c r="G401" s="23"/>
      <c r="H401" s="23"/>
      <c r="I401" s="3"/>
      <c r="J401" s="3"/>
      <c r="K401" s="3"/>
      <c r="L401" s="2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26"/>
      <c r="Y401" s="1"/>
      <c r="Z401" s="12">
        <f t="shared" si="181"/>
        <v>0</v>
      </c>
      <c r="AA401" s="14">
        <f t="shared" si="182"/>
        <v>0</v>
      </c>
      <c r="AB401" s="6">
        <f t="shared" si="160"/>
        <v>0</v>
      </c>
      <c r="AC401" s="6">
        <f t="shared" si="161"/>
        <v>0</v>
      </c>
      <c r="AD401" s="6">
        <f t="shared" si="162"/>
        <v>0</v>
      </c>
      <c r="AE401" s="52" t="str">
        <f t="shared" si="163"/>
        <v/>
      </c>
      <c r="AF401" s="52" t="str">
        <f t="shared" si="164"/>
        <v/>
      </c>
      <c r="AG401" s="50" t="str">
        <f t="shared" si="183"/>
        <v/>
      </c>
      <c r="AH401" s="50" t="str">
        <f t="shared" si="184"/>
        <v/>
      </c>
      <c r="AI401" s="52" t="str">
        <f t="shared" si="165"/>
        <v/>
      </c>
      <c r="AJ401" s="52" t="str">
        <f t="shared" si="166"/>
        <v/>
      </c>
      <c r="AK401" s="52" t="str">
        <f t="shared" si="167"/>
        <v/>
      </c>
      <c r="AL401" s="52" t="str">
        <f t="shared" si="168"/>
        <v/>
      </c>
      <c r="AM401" s="52" t="str">
        <f t="shared" si="169"/>
        <v/>
      </c>
      <c r="AN401" s="52" t="str">
        <f t="shared" si="170"/>
        <v/>
      </c>
      <c r="AO401" s="52" t="str">
        <f t="shared" si="171"/>
        <v/>
      </c>
      <c r="AP401" s="52" t="str">
        <f t="shared" si="172"/>
        <v/>
      </c>
      <c r="AQ401" s="52" t="str">
        <f t="shared" si="173"/>
        <v/>
      </c>
      <c r="AR401" s="52" t="str">
        <f t="shared" si="174"/>
        <v/>
      </c>
      <c r="AS401" s="52" t="str">
        <f t="shared" si="175"/>
        <v/>
      </c>
      <c r="AT401" s="52" t="str">
        <f t="shared" si="176"/>
        <v/>
      </c>
      <c r="AU401" s="52" t="str">
        <f t="shared" si="177"/>
        <v/>
      </c>
      <c r="AV401" s="52" t="str">
        <f t="shared" si="178"/>
        <v/>
      </c>
      <c r="AW401" s="52" t="str">
        <f t="shared" si="179"/>
        <v/>
      </c>
      <c r="AX401" s="52" t="str">
        <f t="shared" si="180"/>
        <v/>
      </c>
      <c r="AY401" s="52" t="str">
        <f t="shared" si="185"/>
        <v/>
      </c>
    </row>
    <row r="402" spans="4:51">
      <c r="D402" s="23"/>
      <c r="E402" s="23"/>
      <c r="F402" s="23"/>
      <c r="G402" s="23"/>
      <c r="H402" s="23"/>
      <c r="I402" s="3"/>
      <c r="J402" s="3"/>
      <c r="K402" s="3"/>
      <c r="L402" s="2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26"/>
      <c r="Y402" s="1"/>
      <c r="Z402" s="12">
        <f t="shared" si="181"/>
        <v>0</v>
      </c>
      <c r="AA402" s="14">
        <f t="shared" si="182"/>
        <v>0</v>
      </c>
      <c r="AB402" s="6">
        <f t="shared" si="160"/>
        <v>0</v>
      </c>
      <c r="AC402" s="6">
        <f t="shared" si="161"/>
        <v>0</v>
      </c>
      <c r="AD402" s="6">
        <f t="shared" si="162"/>
        <v>0</v>
      </c>
      <c r="AE402" s="52" t="str">
        <f t="shared" si="163"/>
        <v/>
      </c>
      <c r="AF402" s="52" t="str">
        <f t="shared" si="164"/>
        <v/>
      </c>
      <c r="AG402" s="50" t="str">
        <f t="shared" si="183"/>
        <v/>
      </c>
      <c r="AH402" s="50" t="str">
        <f t="shared" si="184"/>
        <v/>
      </c>
      <c r="AI402" s="52" t="str">
        <f t="shared" si="165"/>
        <v/>
      </c>
      <c r="AJ402" s="52" t="str">
        <f t="shared" si="166"/>
        <v/>
      </c>
      <c r="AK402" s="52" t="str">
        <f t="shared" si="167"/>
        <v/>
      </c>
      <c r="AL402" s="52" t="str">
        <f t="shared" si="168"/>
        <v/>
      </c>
      <c r="AM402" s="52" t="str">
        <f t="shared" si="169"/>
        <v/>
      </c>
      <c r="AN402" s="52" t="str">
        <f t="shared" si="170"/>
        <v/>
      </c>
      <c r="AO402" s="52" t="str">
        <f t="shared" si="171"/>
        <v/>
      </c>
      <c r="AP402" s="52" t="str">
        <f t="shared" si="172"/>
        <v/>
      </c>
      <c r="AQ402" s="52" t="str">
        <f t="shared" si="173"/>
        <v/>
      </c>
      <c r="AR402" s="52" t="str">
        <f t="shared" si="174"/>
        <v/>
      </c>
      <c r="AS402" s="52" t="str">
        <f t="shared" si="175"/>
        <v/>
      </c>
      <c r="AT402" s="52" t="str">
        <f t="shared" si="176"/>
        <v/>
      </c>
      <c r="AU402" s="52" t="str">
        <f t="shared" si="177"/>
        <v/>
      </c>
      <c r="AV402" s="52" t="str">
        <f t="shared" si="178"/>
        <v/>
      </c>
      <c r="AW402" s="52" t="str">
        <f t="shared" si="179"/>
        <v/>
      </c>
      <c r="AX402" s="52" t="str">
        <f t="shared" si="180"/>
        <v/>
      </c>
      <c r="AY402" s="52" t="str">
        <f t="shared" si="185"/>
        <v/>
      </c>
    </row>
    <row r="403" spans="4:51">
      <c r="D403" s="23"/>
      <c r="E403" s="23"/>
      <c r="F403" s="23"/>
      <c r="G403" s="23"/>
      <c r="H403" s="23"/>
      <c r="I403" s="3"/>
      <c r="J403" s="3"/>
      <c r="K403" s="3"/>
      <c r="L403" s="2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26"/>
      <c r="Y403" s="1"/>
      <c r="Z403" s="12">
        <f t="shared" si="181"/>
        <v>0</v>
      </c>
      <c r="AA403" s="14">
        <f t="shared" si="182"/>
        <v>0</v>
      </c>
      <c r="AB403" s="6">
        <f t="shared" si="160"/>
        <v>0</v>
      </c>
      <c r="AC403" s="6">
        <f t="shared" si="161"/>
        <v>0</v>
      </c>
      <c r="AD403" s="6">
        <f t="shared" si="162"/>
        <v>0</v>
      </c>
      <c r="AE403" s="52" t="str">
        <f t="shared" si="163"/>
        <v/>
      </c>
      <c r="AF403" s="52" t="str">
        <f t="shared" si="164"/>
        <v/>
      </c>
      <c r="AG403" s="50" t="str">
        <f t="shared" si="183"/>
        <v/>
      </c>
      <c r="AH403" s="50" t="str">
        <f t="shared" si="184"/>
        <v/>
      </c>
      <c r="AI403" s="52" t="str">
        <f t="shared" si="165"/>
        <v/>
      </c>
      <c r="AJ403" s="52" t="str">
        <f t="shared" si="166"/>
        <v/>
      </c>
      <c r="AK403" s="52" t="str">
        <f t="shared" si="167"/>
        <v/>
      </c>
      <c r="AL403" s="52" t="str">
        <f t="shared" si="168"/>
        <v/>
      </c>
      <c r="AM403" s="52" t="str">
        <f t="shared" si="169"/>
        <v/>
      </c>
      <c r="AN403" s="52" t="str">
        <f t="shared" si="170"/>
        <v/>
      </c>
      <c r="AO403" s="52" t="str">
        <f t="shared" si="171"/>
        <v/>
      </c>
      <c r="AP403" s="52" t="str">
        <f t="shared" si="172"/>
        <v/>
      </c>
      <c r="AQ403" s="52" t="str">
        <f t="shared" si="173"/>
        <v/>
      </c>
      <c r="AR403" s="52" t="str">
        <f t="shared" si="174"/>
        <v/>
      </c>
      <c r="AS403" s="52" t="str">
        <f t="shared" si="175"/>
        <v/>
      </c>
      <c r="AT403" s="52" t="str">
        <f t="shared" si="176"/>
        <v/>
      </c>
      <c r="AU403" s="52" t="str">
        <f t="shared" si="177"/>
        <v/>
      </c>
      <c r="AV403" s="52" t="str">
        <f t="shared" si="178"/>
        <v/>
      </c>
      <c r="AW403" s="52" t="str">
        <f t="shared" si="179"/>
        <v/>
      </c>
      <c r="AX403" s="52" t="str">
        <f t="shared" si="180"/>
        <v/>
      </c>
      <c r="AY403" s="52" t="str">
        <f t="shared" si="185"/>
        <v/>
      </c>
    </row>
    <row r="404" spans="4:51">
      <c r="D404" s="23"/>
      <c r="E404" s="23"/>
      <c r="F404" s="23"/>
      <c r="G404" s="23"/>
      <c r="H404" s="23"/>
      <c r="I404" s="3"/>
      <c r="J404" s="3"/>
      <c r="K404" s="3"/>
      <c r="L404" s="2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26"/>
      <c r="Y404" s="1"/>
      <c r="Z404" s="12">
        <f t="shared" si="181"/>
        <v>0</v>
      </c>
      <c r="AA404" s="14">
        <f t="shared" si="182"/>
        <v>0</v>
      </c>
      <c r="AB404" s="6">
        <f t="shared" si="160"/>
        <v>0</v>
      </c>
      <c r="AC404" s="6">
        <f t="shared" si="161"/>
        <v>0</v>
      </c>
      <c r="AD404" s="6">
        <f t="shared" si="162"/>
        <v>0</v>
      </c>
      <c r="AE404" s="52" t="str">
        <f t="shared" si="163"/>
        <v/>
      </c>
      <c r="AF404" s="52" t="str">
        <f t="shared" si="164"/>
        <v/>
      </c>
      <c r="AG404" s="50" t="str">
        <f t="shared" si="183"/>
        <v/>
      </c>
      <c r="AH404" s="50" t="str">
        <f t="shared" si="184"/>
        <v/>
      </c>
      <c r="AI404" s="52" t="str">
        <f t="shared" si="165"/>
        <v/>
      </c>
      <c r="AJ404" s="52" t="str">
        <f t="shared" si="166"/>
        <v/>
      </c>
      <c r="AK404" s="52" t="str">
        <f t="shared" si="167"/>
        <v/>
      </c>
      <c r="AL404" s="52" t="str">
        <f t="shared" si="168"/>
        <v/>
      </c>
      <c r="AM404" s="52" t="str">
        <f t="shared" si="169"/>
        <v/>
      </c>
      <c r="AN404" s="52" t="str">
        <f t="shared" si="170"/>
        <v/>
      </c>
      <c r="AO404" s="52" t="str">
        <f t="shared" si="171"/>
        <v/>
      </c>
      <c r="AP404" s="52" t="str">
        <f t="shared" si="172"/>
        <v/>
      </c>
      <c r="AQ404" s="52" t="str">
        <f t="shared" si="173"/>
        <v/>
      </c>
      <c r="AR404" s="52" t="str">
        <f t="shared" si="174"/>
        <v/>
      </c>
      <c r="AS404" s="52" t="str">
        <f t="shared" si="175"/>
        <v/>
      </c>
      <c r="AT404" s="52" t="str">
        <f t="shared" si="176"/>
        <v/>
      </c>
      <c r="AU404" s="52" t="str">
        <f t="shared" si="177"/>
        <v/>
      </c>
      <c r="AV404" s="52" t="str">
        <f t="shared" si="178"/>
        <v/>
      </c>
      <c r="AW404" s="52" t="str">
        <f t="shared" si="179"/>
        <v/>
      </c>
      <c r="AX404" s="52" t="str">
        <f t="shared" si="180"/>
        <v/>
      </c>
      <c r="AY404" s="52" t="str">
        <f t="shared" si="185"/>
        <v/>
      </c>
    </row>
    <row r="405" spans="4:51">
      <c r="D405" s="23"/>
      <c r="E405" s="23"/>
      <c r="F405" s="23"/>
      <c r="G405" s="23"/>
      <c r="H405" s="23"/>
      <c r="I405" s="3"/>
      <c r="J405" s="3"/>
      <c r="K405" s="3"/>
      <c r="L405" s="2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26"/>
      <c r="Y405" s="1"/>
      <c r="Z405" s="12">
        <f t="shared" si="181"/>
        <v>0</v>
      </c>
      <c r="AA405" s="14">
        <f t="shared" si="182"/>
        <v>0</v>
      </c>
      <c r="AB405" s="6">
        <f t="shared" si="160"/>
        <v>0</v>
      </c>
      <c r="AC405" s="6">
        <f t="shared" si="161"/>
        <v>0</v>
      </c>
      <c r="AD405" s="6">
        <f t="shared" si="162"/>
        <v>0</v>
      </c>
      <c r="AE405" s="52" t="str">
        <f t="shared" si="163"/>
        <v/>
      </c>
      <c r="AF405" s="52" t="str">
        <f t="shared" si="164"/>
        <v/>
      </c>
      <c r="AG405" s="50" t="str">
        <f t="shared" si="183"/>
        <v/>
      </c>
      <c r="AH405" s="50" t="str">
        <f t="shared" si="184"/>
        <v/>
      </c>
      <c r="AI405" s="52" t="str">
        <f t="shared" si="165"/>
        <v/>
      </c>
      <c r="AJ405" s="52" t="str">
        <f t="shared" si="166"/>
        <v/>
      </c>
      <c r="AK405" s="52" t="str">
        <f t="shared" si="167"/>
        <v/>
      </c>
      <c r="AL405" s="52" t="str">
        <f t="shared" si="168"/>
        <v/>
      </c>
      <c r="AM405" s="52" t="str">
        <f t="shared" si="169"/>
        <v/>
      </c>
      <c r="AN405" s="52" t="str">
        <f t="shared" si="170"/>
        <v/>
      </c>
      <c r="AO405" s="52" t="str">
        <f t="shared" si="171"/>
        <v/>
      </c>
      <c r="AP405" s="52" t="str">
        <f t="shared" si="172"/>
        <v/>
      </c>
      <c r="AQ405" s="52" t="str">
        <f t="shared" si="173"/>
        <v/>
      </c>
      <c r="AR405" s="52" t="str">
        <f t="shared" si="174"/>
        <v/>
      </c>
      <c r="AS405" s="52" t="str">
        <f t="shared" si="175"/>
        <v/>
      </c>
      <c r="AT405" s="52" t="str">
        <f t="shared" si="176"/>
        <v/>
      </c>
      <c r="AU405" s="52" t="str">
        <f t="shared" si="177"/>
        <v/>
      </c>
      <c r="AV405" s="52" t="str">
        <f t="shared" si="178"/>
        <v/>
      </c>
      <c r="AW405" s="52" t="str">
        <f t="shared" si="179"/>
        <v/>
      </c>
      <c r="AX405" s="52" t="str">
        <f t="shared" si="180"/>
        <v/>
      </c>
      <c r="AY405" s="52" t="str">
        <f t="shared" si="185"/>
        <v/>
      </c>
    </row>
    <row r="406" spans="4:51">
      <c r="D406" s="23"/>
      <c r="E406" s="23"/>
      <c r="F406" s="23"/>
      <c r="G406" s="23"/>
      <c r="H406" s="23"/>
      <c r="I406" s="3"/>
      <c r="J406" s="3"/>
      <c r="K406" s="3"/>
      <c r="L406" s="2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26"/>
      <c r="Y406" s="1"/>
      <c r="Z406" s="12">
        <f t="shared" si="181"/>
        <v>0</v>
      </c>
      <c r="AA406" s="14">
        <f t="shared" si="182"/>
        <v>0</v>
      </c>
      <c r="AB406" s="6">
        <f t="shared" si="160"/>
        <v>0</v>
      </c>
      <c r="AC406" s="6">
        <f t="shared" si="161"/>
        <v>0</v>
      </c>
      <c r="AD406" s="6">
        <f t="shared" si="162"/>
        <v>0</v>
      </c>
      <c r="AE406" s="52" t="str">
        <f t="shared" si="163"/>
        <v/>
      </c>
      <c r="AF406" s="52" t="str">
        <f t="shared" si="164"/>
        <v/>
      </c>
      <c r="AG406" s="50" t="str">
        <f t="shared" si="183"/>
        <v/>
      </c>
      <c r="AH406" s="50" t="str">
        <f t="shared" si="184"/>
        <v/>
      </c>
      <c r="AI406" s="52" t="str">
        <f t="shared" si="165"/>
        <v/>
      </c>
      <c r="AJ406" s="52" t="str">
        <f t="shared" si="166"/>
        <v/>
      </c>
      <c r="AK406" s="52" t="str">
        <f t="shared" si="167"/>
        <v/>
      </c>
      <c r="AL406" s="52" t="str">
        <f t="shared" si="168"/>
        <v/>
      </c>
      <c r="AM406" s="52" t="str">
        <f t="shared" si="169"/>
        <v/>
      </c>
      <c r="AN406" s="52" t="str">
        <f t="shared" si="170"/>
        <v/>
      </c>
      <c r="AO406" s="52" t="str">
        <f t="shared" si="171"/>
        <v/>
      </c>
      <c r="AP406" s="52" t="str">
        <f t="shared" si="172"/>
        <v/>
      </c>
      <c r="AQ406" s="52" t="str">
        <f t="shared" si="173"/>
        <v/>
      </c>
      <c r="AR406" s="52" t="str">
        <f t="shared" si="174"/>
        <v/>
      </c>
      <c r="AS406" s="52" t="str">
        <f t="shared" si="175"/>
        <v/>
      </c>
      <c r="AT406" s="52" t="str">
        <f t="shared" si="176"/>
        <v/>
      </c>
      <c r="AU406" s="52" t="str">
        <f t="shared" si="177"/>
        <v/>
      </c>
      <c r="AV406" s="52" t="str">
        <f t="shared" si="178"/>
        <v/>
      </c>
      <c r="AW406" s="52" t="str">
        <f t="shared" si="179"/>
        <v/>
      </c>
      <c r="AX406" s="52" t="str">
        <f t="shared" si="180"/>
        <v/>
      </c>
      <c r="AY406" s="52" t="str">
        <f t="shared" si="185"/>
        <v/>
      </c>
    </row>
    <row r="407" spans="4:51">
      <c r="D407" s="23"/>
      <c r="E407" s="23"/>
      <c r="F407" s="23"/>
      <c r="G407" s="23"/>
      <c r="H407" s="23"/>
      <c r="I407" s="3"/>
      <c r="J407" s="3"/>
      <c r="K407" s="3"/>
      <c r="L407" s="2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26"/>
      <c r="Y407" s="1"/>
      <c r="Z407" s="12">
        <f t="shared" si="181"/>
        <v>0</v>
      </c>
      <c r="AA407" s="14">
        <f t="shared" si="182"/>
        <v>0</v>
      </c>
      <c r="AB407" s="6">
        <f t="shared" si="160"/>
        <v>0</v>
      </c>
      <c r="AC407" s="6">
        <f t="shared" si="161"/>
        <v>0</v>
      </c>
      <c r="AD407" s="6">
        <f t="shared" si="162"/>
        <v>0</v>
      </c>
      <c r="AE407" s="52" t="str">
        <f t="shared" si="163"/>
        <v/>
      </c>
      <c r="AF407" s="52" t="str">
        <f t="shared" si="164"/>
        <v/>
      </c>
      <c r="AG407" s="50" t="str">
        <f t="shared" si="183"/>
        <v/>
      </c>
      <c r="AH407" s="50" t="str">
        <f t="shared" si="184"/>
        <v/>
      </c>
      <c r="AI407" s="52" t="str">
        <f t="shared" si="165"/>
        <v/>
      </c>
      <c r="AJ407" s="52" t="str">
        <f t="shared" si="166"/>
        <v/>
      </c>
      <c r="AK407" s="52" t="str">
        <f t="shared" si="167"/>
        <v/>
      </c>
      <c r="AL407" s="52" t="str">
        <f t="shared" si="168"/>
        <v/>
      </c>
      <c r="AM407" s="52" t="str">
        <f t="shared" si="169"/>
        <v/>
      </c>
      <c r="AN407" s="52" t="str">
        <f t="shared" si="170"/>
        <v/>
      </c>
      <c r="AO407" s="52" t="str">
        <f t="shared" si="171"/>
        <v/>
      </c>
      <c r="AP407" s="52" t="str">
        <f t="shared" si="172"/>
        <v/>
      </c>
      <c r="AQ407" s="52" t="str">
        <f t="shared" si="173"/>
        <v/>
      </c>
      <c r="AR407" s="52" t="str">
        <f t="shared" si="174"/>
        <v/>
      </c>
      <c r="AS407" s="52" t="str">
        <f t="shared" si="175"/>
        <v/>
      </c>
      <c r="AT407" s="52" t="str">
        <f t="shared" si="176"/>
        <v/>
      </c>
      <c r="AU407" s="52" t="str">
        <f t="shared" si="177"/>
        <v/>
      </c>
      <c r="AV407" s="52" t="str">
        <f t="shared" si="178"/>
        <v/>
      </c>
      <c r="AW407" s="52" t="str">
        <f t="shared" si="179"/>
        <v/>
      </c>
      <c r="AX407" s="52" t="str">
        <f t="shared" si="180"/>
        <v/>
      </c>
      <c r="AY407" s="52" t="str">
        <f t="shared" si="185"/>
        <v/>
      </c>
    </row>
    <row r="408" spans="4:51">
      <c r="D408" s="23"/>
      <c r="E408" s="23"/>
      <c r="F408" s="23"/>
      <c r="G408" s="23"/>
      <c r="H408" s="23"/>
      <c r="I408" s="3"/>
      <c r="J408" s="3"/>
      <c r="K408" s="3"/>
      <c r="L408" s="2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26"/>
      <c r="Y408" s="1"/>
      <c r="Z408" s="12">
        <f t="shared" si="181"/>
        <v>0</v>
      </c>
      <c r="AA408" s="14">
        <f t="shared" si="182"/>
        <v>0</v>
      </c>
      <c r="AB408" s="6">
        <f t="shared" si="160"/>
        <v>0</v>
      </c>
      <c r="AC408" s="6">
        <f t="shared" si="161"/>
        <v>0</v>
      </c>
      <c r="AD408" s="6">
        <f t="shared" si="162"/>
        <v>0</v>
      </c>
      <c r="AE408" s="52" t="str">
        <f t="shared" si="163"/>
        <v/>
      </c>
      <c r="AF408" s="52" t="str">
        <f t="shared" si="164"/>
        <v/>
      </c>
      <c r="AG408" s="50" t="str">
        <f t="shared" si="183"/>
        <v/>
      </c>
      <c r="AH408" s="50" t="str">
        <f t="shared" si="184"/>
        <v/>
      </c>
      <c r="AI408" s="52" t="str">
        <f t="shared" si="165"/>
        <v/>
      </c>
      <c r="AJ408" s="52" t="str">
        <f t="shared" si="166"/>
        <v/>
      </c>
      <c r="AK408" s="52" t="str">
        <f t="shared" si="167"/>
        <v/>
      </c>
      <c r="AL408" s="52" t="str">
        <f t="shared" si="168"/>
        <v/>
      </c>
      <c r="AM408" s="52" t="str">
        <f t="shared" si="169"/>
        <v/>
      </c>
      <c r="AN408" s="52" t="str">
        <f t="shared" si="170"/>
        <v/>
      </c>
      <c r="AO408" s="52" t="str">
        <f t="shared" si="171"/>
        <v/>
      </c>
      <c r="AP408" s="52" t="str">
        <f t="shared" si="172"/>
        <v/>
      </c>
      <c r="AQ408" s="52" t="str">
        <f t="shared" si="173"/>
        <v/>
      </c>
      <c r="AR408" s="52" t="str">
        <f t="shared" si="174"/>
        <v/>
      </c>
      <c r="AS408" s="52" t="str">
        <f t="shared" si="175"/>
        <v/>
      </c>
      <c r="AT408" s="52" t="str">
        <f t="shared" si="176"/>
        <v/>
      </c>
      <c r="AU408" s="52" t="str">
        <f t="shared" si="177"/>
        <v/>
      </c>
      <c r="AV408" s="52" t="str">
        <f t="shared" si="178"/>
        <v/>
      </c>
      <c r="AW408" s="52" t="str">
        <f t="shared" si="179"/>
        <v/>
      </c>
      <c r="AX408" s="52" t="str">
        <f t="shared" si="180"/>
        <v/>
      </c>
      <c r="AY408" s="52" t="str">
        <f t="shared" si="185"/>
        <v/>
      </c>
    </row>
    <row r="409" spans="4:51">
      <c r="D409" s="23"/>
      <c r="E409" s="23"/>
      <c r="F409" s="23"/>
      <c r="G409" s="23"/>
      <c r="H409" s="23"/>
      <c r="I409" s="3"/>
      <c r="J409" s="3"/>
      <c r="K409" s="3"/>
      <c r="L409" s="2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26"/>
      <c r="Y409" s="1"/>
      <c r="Z409" s="12">
        <f t="shared" si="181"/>
        <v>0</v>
      </c>
      <c r="AA409" s="14">
        <f t="shared" si="182"/>
        <v>0</v>
      </c>
      <c r="AB409" s="6">
        <f t="shared" si="160"/>
        <v>0</v>
      </c>
      <c r="AC409" s="6">
        <f t="shared" si="161"/>
        <v>0</v>
      </c>
      <c r="AD409" s="6">
        <f t="shared" si="162"/>
        <v>0</v>
      </c>
      <c r="AE409" s="52" t="str">
        <f t="shared" si="163"/>
        <v/>
      </c>
      <c r="AF409" s="52" t="str">
        <f t="shared" si="164"/>
        <v/>
      </c>
      <c r="AG409" s="50" t="str">
        <f t="shared" si="183"/>
        <v/>
      </c>
      <c r="AH409" s="50" t="str">
        <f t="shared" si="184"/>
        <v/>
      </c>
      <c r="AI409" s="52" t="str">
        <f t="shared" si="165"/>
        <v/>
      </c>
      <c r="AJ409" s="52" t="str">
        <f t="shared" si="166"/>
        <v/>
      </c>
      <c r="AK409" s="52" t="str">
        <f t="shared" si="167"/>
        <v/>
      </c>
      <c r="AL409" s="52" t="str">
        <f t="shared" si="168"/>
        <v/>
      </c>
      <c r="AM409" s="52" t="str">
        <f t="shared" si="169"/>
        <v/>
      </c>
      <c r="AN409" s="52" t="str">
        <f t="shared" si="170"/>
        <v/>
      </c>
      <c r="AO409" s="52" t="str">
        <f t="shared" si="171"/>
        <v/>
      </c>
      <c r="AP409" s="52" t="str">
        <f t="shared" si="172"/>
        <v/>
      </c>
      <c r="AQ409" s="52" t="str">
        <f t="shared" si="173"/>
        <v/>
      </c>
      <c r="AR409" s="52" t="str">
        <f t="shared" si="174"/>
        <v/>
      </c>
      <c r="AS409" s="52" t="str">
        <f t="shared" si="175"/>
        <v/>
      </c>
      <c r="AT409" s="52" t="str">
        <f t="shared" si="176"/>
        <v/>
      </c>
      <c r="AU409" s="52" t="str">
        <f t="shared" si="177"/>
        <v/>
      </c>
      <c r="AV409" s="52" t="str">
        <f t="shared" si="178"/>
        <v/>
      </c>
      <c r="AW409" s="52" t="str">
        <f t="shared" si="179"/>
        <v/>
      </c>
      <c r="AX409" s="52" t="str">
        <f t="shared" si="180"/>
        <v/>
      </c>
      <c r="AY409" s="52" t="str">
        <f t="shared" si="185"/>
        <v/>
      </c>
    </row>
    <row r="410" spans="4:51">
      <c r="D410" s="23"/>
      <c r="E410" s="23"/>
      <c r="F410" s="23"/>
      <c r="G410" s="23"/>
      <c r="H410" s="23"/>
      <c r="I410" s="3"/>
      <c r="J410" s="3"/>
      <c r="K410" s="3"/>
      <c r="L410" s="2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26"/>
      <c r="Y410" s="1"/>
      <c r="Z410" s="12">
        <f t="shared" si="181"/>
        <v>0</v>
      </c>
      <c r="AA410" s="14">
        <f t="shared" si="182"/>
        <v>0</v>
      </c>
      <c r="AB410" s="6">
        <f t="shared" si="160"/>
        <v>0</v>
      </c>
      <c r="AC410" s="6">
        <f t="shared" si="161"/>
        <v>0</v>
      </c>
      <c r="AD410" s="6">
        <f t="shared" si="162"/>
        <v>0</v>
      </c>
      <c r="AE410" s="52" t="str">
        <f t="shared" si="163"/>
        <v/>
      </c>
      <c r="AF410" s="52" t="str">
        <f t="shared" si="164"/>
        <v/>
      </c>
      <c r="AG410" s="50" t="str">
        <f t="shared" si="183"/>
        <v/>
      </c>
      <c r="AH410" s="50" t="str">
        <f t="shared" si="184"/>
        <v/>
      </c>
      <c r="AI410" s="52" t="str">
        <f t="shared" si="165"/>
        <v/>
      </c>
      <c r="AJ410" s="52" t="str">
        <f t="shared" si="166"/>
        <v/>
      </c>
      <c r="AK410" s="52" t="str">
        <f t="shared" si="167"/>
        <v/>
      </c>
      <c r="AL410" s="52" t="str">
        <f t="shared" si="168"/>
        <v/>
      </c>
      <c r="AM410" s="52" t="str">
        <f t="shared" si="169"/>
        <v/>
      </c>
      <c r="AN410" s="52" t="str">
        <f t="shared" si="170"/>
        <v/>
      </c>
      <c r="AO410" s="52" t="str">
        <f t="shared" si="171"/>
        <v/>
      </c>
      <c r="AP410" s="52" t="str">
        <f t="shared" si="172"/>
        <v/>
      </c>
      <c r="AQ410" s="52" t="str">
        <f t="shared" si="173"/>
        <v/>
      </c>
      <c r="AR410" s="52" t="str">
        <f t="shared" si="174"/>
        <v/>
      </c>
      <c r="AS410" s="52" t="str">
        <f t="shared" si="175"/>
        <v/>
      </c>
      <c r="AT410" s="52" t="str">
        <f t="shared" si="176"/>
        <v/>
      </c>
      <c r="AU410" s="52" t="str">
        <f t="shared" si="177"/>
        <v/>
      </c>
      <c r="AV410" s="52" t="str">
        <f t="shared" si="178"/>
        <v/>
      </c>
      <c r="AW410" s="52" t="str">
        <f t="shared" si="179"/>
        <v/>
      </c>
      <c r="AX410" s="52" t="str">
        <f t="shared" si="180"/>
        <v/>
      </c>
      <c r="AY410" s="52" t="str">
        <f t="shared" si="185"/>
        <v/>
      </c>
    </row>
    <row r="411" spans="4:51">
      <c r="D411" s="23"/>
      <c r="E411" s="23"/>
      <c r="F411" s="23"/>
      <c r="G411" s="23"/>
      <c r="H411" s="23"/>
      <c r="I411" s="3"/>
      <c r="J411" s="3"/>
      <c r="K411" s="3"/>
      <c r="L411" s="2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26"/>
      <c r="Y411" s="1"/>
      <c r="Z411" s="12">
        <f t="shared" si="181"/>
        <v>0</v>
      </c>
      <c r="AA411" s="14">
        <f t="shared" si="182"/>
        <v>0</v>
      </c>
      <c r="AB411" s="6">
        <f t="shared" si="160"/>
        <v>0</v>
      </c>
      <c r="AC411" s="6">
        <f t="shared" si="161"/>
        <v>0</v>
      </c>
      <c r="AD411" s="6">
        <f t="shared" si="162"/>
        <v>0</v>
      </c>
      <c r="AE411" s="52" t="str">
        <f t="shared" si="163"/>
        <v/>
      </c>
      <c r="AF411" s="52" t="str">
        <f t="shared" si="164"/>
        <v/>
      </c>
      <c r="AG411" s="50" t="str">
        <f t="shared" si="183"/>
        <v/>
      </c>
      <c r="AH411" s="50" t="str">
        <f t="shared" si="184"/>
        <v/>
      </c>
      <c r="AI411" s="52" t="str">
        <f t="shared" si="165"/>
        <v/>
      </c>
      <c r="AJ411" s="52" t="str">
        <f t="shared" si="166"/>
        <v/>
      </c>
      <c r="AK411" s="52" t="str">
        <f t="shared" si="167"/>
        <v/>
      </c>
      <c r="AL411" s="52" t="str">
        <f t="shared" si="168"/>
        <v/>
      </c>
      <c r="AM411" s="52" t="str">
        <f t="shared" si="169"/>
        <v/>
      </c>
      <c r="AN411" s="52" t="str">
        <f t="shared" si="170"/>
        <v/>
      </c>
      <c r="AO411" s="52" t="str">
        <f t="shared" si="171"/>
        <v/>
      </c>
      <c r="AP411" s="52" t="str">
        <f t="shared" si="172"/>
        <v/>
      </c>
      <c r="AQ411" s="52" t="str">
        <f t="shared" si="173"/>
        <v/>
      </c>
      <c r="AR411" s="52" t="str">
        <f t="shared" si="174"/>
        <v/>
      </c>
      <c r="AS411" s="52" t="str">
        <f t="shared" si="175"/>
        <v/>
      </c>
      <c r="AT411" s="52" t="str">
        <f t="shared" si="176"/>
        <v/>
      </c>
      <c r="AU411" s="52" t="str">
        <f t="shared" si="177"/>
        <v/>
      </c>
      <c r="AV411" s="52" t="str">
        <f t="shared" si="178"/>
        <v/>
      </c>
      <c r="AW411" s="52" t="str">
        <f t="shared" si="179"/>
        <v/>
      </c>
      <c r="AX411" s="52" t="str">
        <f t="shared" si="180"/>
        <v/>
      </c>
      <c r="AY411" s="52" t="str">
        <f t="shared" si="185"/>
        <v/>
      </c>
    </row>
    <row r="412" spans="4:51">
      <c r="D412" s="23"/>
      <c r="E412" s="23"/>
      <c r="F412" s="23"/>
      <c r="G412" s="23"/>
      <c r="H412" s="23"/>
      <c r="I412" s="3"/>
      <c r="J412" s="3"/>
      <c r="K412" s="3"/>
      <c r="L412" s="2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26"/>
      <c r="Y412" s="1"/>
      <c r="Z412" s="12">
        <f t="shared" si="181"/>
        <v>0</v>
      </c>
      <c r="AA412" s="14">
        <f t="shared" si="182"/>
        <v>0</v>
      </c>
      <c r="AB412" s="6">
        <f t="shared" si="160"/>
        <v>0</v>
      </c>
      <c r="AC412" s="6">
        <f t="shared" si="161"/>
        <v>0</v>
      </c>
      <c r="AD412" s="6">
        <f t="shared" si="162"/>
        <v>0</v>
      </c>
      <c r="AE412" s="52" t="str">
        <f t="shared" si="163"/>
        <v/>
      </c>
      <c r="AF412" s="52" t="str">
        <f t="shared" si="164"/>
        <v/>
      </c>
      <c r="AG412" s="50" t="str">
        <f t="shared" si="183"/>
        <v/>
      </c>
      <c r="AH412" s="50" t="str">
        <f t="shared" si="184"/>
        <v/>
      </c>
      <c r="AI412" s="52" t="str">
        <f t="shared" si="165"/>
        <v/>
      </c>
      <c r="AJ412" s="52" t="str">
        <f t="shared" si="166"/>
        <v/>
      </c>
      <c r="AK412" s="52" t="str">
        <f t="shared" si="167"/>
        <v/>
      </c>
      <c r="AL412" s="52" t="str">
        <f t="shared" si="168"/>
        <v/>
      </c>
      <c r="AM412" s="52" t="str">
        <f t="shared" si="169"/>
        <v/>
      </c>
      <c r="AN412" s="52" t="str">
        <f t="shared" si="170"/>
        <v/>
      </c>
      <c r="AO412" s="52" t="str">
        <f t="shared" si="171"/>
        <v/>
      </c>
      <c r="AP412" s="52" t="str">
        <f t="shared" si="172"/>
        <v/>
      </c>
      <c r="AQ412" s="52" t="str">
        <f t="shared" si="173"/>
        <v/>
      </c>
      <c r="AR412" s="52" t="str">
        <f t="shared" si="174"/>
        <v/>
      </c>
      <c r="AS412" s="52" t="str">
        <f t="shared" si="175"/>
        <v/>
      </c>
      <c r="AT412" s="52" t="str">
        <f t="shared" si="176"/>
        <v/>
      </c>
      <c r="AU412" s="52" t="str">
        <f t="shared" si="177"/>
        <v/>
      </c>
      <c r="AV412" s="52" t="str">
        <f t="shared" si="178"/>
        <v/>
      </c>
      <c r="AW412" s="52" t="str">
        <f t="shared" si="179"/>
        <v/>
      </c>
      <c r="AX412" s="52" t="str">
        <f t="shared" si="180"/>
        <v/>
      </c>
      <c r="AY412" s="52" t="str">
        <f t="shared" si="185"/>
        <v/>
      </c>
    </row>
    <row r="413" spans="4:51">
      <c r="D413" s="23"/>
      <c r="E413" s="23"/>
      <c r="F413" s="23"/>
      <c r="G413" s="23"/>
      <c r="H413" s="23"/>
      <c r="I413" s="3"/>
      <c r="J413" s="3"/>
      <c r="K413" s="3"/>
      <c r="L413" s="2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26"/>
      <c r="Y413" s="1"/>
      <c r="Z413" s="12">
        <f t="shared" si="181"/>
        <v>0</v>
      </c>
      <c r="AA413" s="14">
        <f t="shared" si="182"/>
        <v>0</v>
      </c>
      <c r="AB413" s="6">
        <f t="shared" si="160"/>
        <v>0</v>
      </c>
      <c r="AC413" s="6">
        <f t="shared" si="161"/>
        <v>0</v>
      </c>
      <c r="AD413" s="6">
        <f t="shared" si="162"/>
        <v>0</v>
      </c>
      <c r="AE413" s="52" t="str">
        <f t="shared" si="163"/>
        <v/>
      </c>
      <c r="AF413" s="52" t="str">
        <f t="shared" si="164"/>
        <v/>
      </c>
      <c r="AG413" s="50" t="str">
        <f t="shared" si="183"/>
        <v/>
      </c>
      <c r="AH413" s="50" t="str">
        <f t="shared" si="184"/>
        <v/>
      </c>
      <c r="AI413" s="52" t="str">
        <f t="shared" si="165"/>
        <v/>
      </c>
      <c r="AJ413" s="52" t="str">
        <f t="shared" si="166"/>
        <v/>
      </c>
      <c r="AK413" s="52" t="str">
        <f t="shared" si="167"/>
        <v/>
      </c>
      <c r="AL413" s="52" t="str">
        <f t="shared" si="168"/>
        <v/>
      </c>
      <c r="AM413" s="52" t="str">
        <f t="shared" si="169"/>
        <v/>
      </c>
      <c r="AN413" s="52" t="str">
        <f t="shared" si="170"/>
        <v/>
      </c>
      <c r="AO413" s="52" t="str">
        <f t="shared" si="171"/>
        <v/>
      </c>
      <c r="AP413" s="52" t="str">
        <f t="shared" si="172"/>
        <v/>
      </c>
      <c r="AQ413" s="52" t="str">
        <f t="shared" si="173"/>
        <v/>
      </c>
      <c r="AR413" s="52" t="str">
        <f t="shared" si="174"/>
        <v/>
      </c>
      <c r="AS413" s="52" t="str">
        <f t="shared" si="175"/>
        <v/>
      </c>
      <c r="AT413" s="52" t="str">
        <f t="shared" si="176"/>
        <v/>
      </c>
      <c r="AU413" s="52" t="str">
        <f t="shared" si="177"/>
        <v/>
      </c>
      <c r="AV413" s="52" t="str">
        <f t="shared" si="178"/>
        <v/>
      </c>
      <c r="AW413" s="52" t="str">
        <f t="shared" si="179"/>
        <v/>
      </c>
      <c r="AX413" s="52" t="str">
        <f t="shared" si="180"/>
        <v/>
      </c>
      <c r="AY413" s="52" t="str">
        <f t="shared" si="185"/>
        <v/>
      </c>
    </row>
    <row r="414" spans="4:51">
      <c r="D414" s="23"/>
      <c r="E414" s="23"/>
      <c r="F414" s="23"/>
      <c r="G414" s="23"/>
      <c r="H414" s="23"/>
      <c r="I414" s="3"/>
      <c r="J414" s="3"/>
      <c r="K414" s="3"/>
      <c r="L414" s="2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26"/>
      <c r="Y414" s="1"/>
      <c r="Z414" s="12">
        <f t="shared" si="181"/>
        <v>0</v>
      </c>
      <c r="AA414" s="14">
        <f t="shared" si="182"/>
        <v>0</v>
      </c>
      <c r="AB414" s="6">
        <f t="shared" si="160"/>
        <v>0</v>
      </c>
      <c r="AC414" s="6">
        <f t="shared" si="161"/>
        <v>0</v>
      </c>
      <c r="AD414" s="6">
        <f t="shared" si="162"/>
        <v>0</v>
      </c>
      <c r="AE414" s="52" t="str">
        <f t="shared" si="163"/>
        <v/>
      </c>
      <c r="AF414" s="52" t="str">
        <f t="shared" si="164"/>
        <v/>
      </c>
      <c r="AG414" s="50" t="str">
        <f t="shared" si="183"/>
        <v/>
      </c>
      <c r="AH414" s="50" t="str">
        <f t="shared" si="184"/>
        <v/>
      </c>
      <c r="AI414" s="52" t="str">
        <f t="shared" si="165"/>
        <v/>
      </c>
      <c r="AJ414" s="52" t="str">
        <f t="shared" si="166"/>
        <v/>
      </c>
      <c r="AK414" s="52" t="str">
        <f t="shared" si="167"/>
        <v/>
      </c>
      <c r="AL414" s="52" t="str">
        <f t="shared" si="168"/>
        <v/>
      </c>
      <c r="AM414" s="52" t="str">
        <f t="shared" si="169"/>
        <v/>
      </c>
      <c r="AN414" s="52" t="str">
        <f t="shared" si="170"/>
        <v/>
      </c>
      <c r="AO414" s="52" t="str">
        <f t="shared" si="171"/>
        <v/>
      </c>
      <c r="AP414" s="52" t="str">
        <f t="shared" si="172"/>
        <v/>
      </c>
      <c r="AQ414" s="52" t="str">
        <f t="shared" si="173"/>
        <v/>
      </c>
      <c r="AR414" s="52" t="str">
        <f t="shared" si="174"/>
        <v/>
      </c>
      <c r="AS414" s="52" t="str">
        <f t="shared" si="175"/>
        <v/>
      </c>
      <c r="AT414" s="52" t="str">
        <f t="shared" si="176"/>
        <v/>
      </c>
      <c r="AU414" s="52" t="str">
        <f t="shared" si="177"/>
        <v/>
      </c>
      <c r="AV414" s="52" t="str">
        <f t="shared" si="178"/>
        <v/>
      </c>
      <c r="AW414" s="52" t="str">
        <f t="shared" si="179"/>
        <v/>
      </c>
      <c r="AX414" s="52" t="str">
        <f t="shared" si="180"/>
        <v/>
      </c>
      <c r="AY414" s="52" t="str">
        <f t="shared" si="185"/>
        <v/>
      </c>
    </row>
    <row r="415" spans="4:51">
      <c r="D415" s="23"/>
      <c r="E415" s="23"/>
      <c r="F415" s="23"/>
      <c r="G415" s="23"/>
      <c r="H415" s="23"/>
      <c r="I415" s="3"/>
      <c r="J415" s="3"/>
      <c r="K415" s="3"/>
      <c r="L415" s="2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26"/>
      <c r="Y415" s="1"/>
      <c r="Z415" s="12">
        <f t="shared" si="181"/>
        <v>0</v>
      </c>
      <c r="AA415" s="14">
        <f t="shared" si="182"/>
        <v>0</v>
      </c>
      <c r="AB415" s="6">
        <f t="shared" si="160"/>
        <v>0</v>
      </c>
      <c r="AC415" s="6">
        <f t="shared" si="161"/>
        <v>0</v>
      </c>
      <c r="AD415" s="6">
        <f t="shared" si="162"/>
        <v>0</v>
      </c>
      <c r="AE415" s="52" t="str">
        <f t="shared" si="163"/>
        <v/>
      </c>
      <c r="AF415" s="52" t="str">
        <f t="shared" si="164"/>
        <v/>
      </c>
      <c r="AG415" s="50" t="str">
        <f t="shared" si="183"/>
        <v/>
      </c>
      <c r="AH415" s="50" t="str">
        <f t="shared" si="184"/>
        <v/>
      </c>
      <c r="AI415" s="52" t="str">
        <f t="shared" si="165"/>
        <v/>
      </c>
      <c r="AJ415" s="52" t="str">
        <f t="shared" si="166"/>
        <v/>
      </c>
      <c r="AK415" s="52" t="str">
        <f t="shared" si="167"/>
        <v/>
      </c>
      <c r="AL415" s="52" t="str">
        <f t="shared" si="168"/>
        <v/>
      </c>
      <c r="AM415" s="52" t="str">
        <f t="shared" si="169"/>
        <v/>
      </c>
      <c r="AN415" s="52" t="str">
        <f t="shared" si="170"/>
        <v/>
      </c>
      <c r="AO415" s="52" t="str">
        <f t="shared" si="171"/>
        <v/>
      </c>
      <c r="AP415" s="52" t="str">
        <f t="shared" si="172"/>
        <v/>
      </c>
      <c r="AQ415" s="52" t="str">
        <f t="shared" si="173"/>
        <v/>
      </c>
      <c r="AR415" s="52" t="str">
        <f t="shared" si="174"/>
        <v/>
      </c>
      <c r="AS415" s="52" t="str">
        <f t="shared" si="175"/>
        <v/>
      </c>
      <c r="AT415" s="52" t="str">
        <f t="shared" si="176"/>
        <v/>
      </c>
      <c r="AU415" s="52" t="str">
        <f t="shared" si="177"/>
        <v/>
      </c>
      <c r="AV415" s="52" t="str">
        <f t="shared" si="178"/>
        <v/>
      </c>
      <c r="AW415" s="52" t="str">
        <f t="shared" si="179"/>
        <v/>
      </c>
      <c r="AX415" s="52" t="str">
        <f t="shared" si="180"/>
        <v/>
      </c>
      <c r="AY415" s="52" t="str">
        <f t="shared" si="185"/>
        <v/>
      </c>
    </row>
    <row r="416" spans="4:51">
      <c r="D416" s="23"/>
      <c r="E416" s="23"/>
      <c r="F416" s="23"/>
      <c r="G416" s="23"/>
      <c r="H416" s="23"/>
      <c r="I416" s="3"/>
      <c r="J416" s="3"/>
      <c r="K416" s="3"/>
      <c r="L416" s="2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26"/>
      <c r="Y416" s="1"/>
      <c r="Z416" s="12">
        <f t="shared" si="181"/>
        <v>0</v>
      </c>
      <c r="AA416" s="14">
        <f t="shared" si="182"/>
        <v>0</v>
      </c>
      <c r="AB416" s="6">
        <f t="shared" si="160"/>
        <v>0</v>
      </c>
      <c r="AC416" s="6">
        <f t="shared" si="161"/>
        <v>0</v>
      </c>
      <c r="AD416" s="6">
        <f t="shared" si="162"/>
        <v>0</v>
      </c>
      <c r="AE416" s="52" t="str">
        <f t="shared" si="163"/>
        <v/>
      </c>
      <c r="AF416" s="52" t="str">
        <f t="shared" si="164"/>
        <v/>
      </c>
      <c r="AG416" s="50" t="str">
        <f t="shared" si="183"/>
        <v/>
      </c>
      <c r="AH416" s="50" t="str">
        <f t="shared" si="184"/>
        <v/>
      </c>
      <c r="AI416" s="52" t="str">
        <f t="shared" si="165"/>
        <v/>
      </c>
      <c r="AJ416" s="52" t="str">
        <f t="shared" si="166"/>
        <v/>
      </c>
      <c r="AK416" s="52" t="str">
        <f t="shared" si="167"/>
        <v/>
      </c>
      <c r="AL416" s="52" t="str">
        <f t="shared" si="168"/>
        <v/>
      </c>
      <c r="AM416" s="52" t="str">
        <f t="shared" si="169"/>
        <v/>
      </c>
      <c r="AN416" s="52" t="str">
        <f t="shared" si="170"/>
        <v/>
      </c>
      <c r="AO416" s="52" t="str">
        <f t="shared" si="171"/>
        <v/>
      </c>
      <c r="AP416" s="52" t="str">
        <f t="shared" si="172"/>
        <v/>
      </c>
      <c r="AQ416" s="52" t="str">
        <f t="shared" si="173"/>
        <v/>
      </c>
      <c r="AR416" s="52" t="str">
        <f t="shared" si="174"/>
        <v/>
      </c>
      <c r="AS416" s="52" t="str">
        <f t="shared" si="175"/>
        <v/>
      </c>
      <c r="AT416" s="52" t="str">
        <f t="shared" si="176"/>
        <v/>
      </c>
      <c r="AU416" s="52" t="str">
        <f t="shared" si="177"/>
        <v/>
      </c>
      <c r="AV416" s="52" t="str">
        <f t="shared" si="178"/>
        <v/>
      </c>
      <c r="AW416" s="52" t="str">
        <f t="shared" si="179"/>
        <v/>
      </c>
      <c r="AX416" s="52" t="str">
        <f t="shared" si="180"/>
        <v/>
      </c>
      <c r="AY416" s="52" t="str">
        <f t="shared" si="185"/>
        <v/>
      </c>
    </row>
    <row r="417" spans="4:51">
      <c r="D417" s="23"/>
      <c r="E417" s="23"/>
      <c r="F417" s="23"/>
      <c r="G417" s="23"/>
      <c r="H417" s="23"/>
      <c r="I417" s="3"/>
      <c r="J417" s="3"/>
      <c r="K417" s="3"/>
      <c r="L417" s="2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26"/>
      <c r="Y417" s="1"/>
      <c r="Z417" s="12">
        <f t="shared" si="181"/>
        <v>0</v>
      </c>
      <c r="AA417" s="14">
        <f t="shared" si="182"/>
        <v>0</v>
      </c>
      <c r="AB417" s="6">
        <f t="shared" si="160"/>
        <v>0</v>
      </c>
      <c r="AC417" s="6">
        <f t="shared" si="161"/>
        <v>0</v>
      </c>
      <c r="AD417" s="6">
        <f t="shared" si="162"/>
        <v>0</v>
      </c>
      <c r="AE417" s="52" t="str">
        <f t="shared" si="163"/>
        <v/>
      </c>
      <c r="AF417" s="52" t="str">
        <f t="shared" si="164"/>
        <v/>
      </c>
      <c r="AG417" s="50" t="str">
        <f t="shared" si="183"/>
        <v/>
      </c>
      <c r="AH417" s="50" t="str">
        <f t="shared" si="184"/>
        <v/>
      </c>
      <c r="AI417" s="52" t="str">
        <f t="shared" si="165"/>
        <v/>
      </c>
      <c r="AJ417" s="52" t="str">
        <f t="shared" si="166"/>
        <v/>
      </c>
      <c r="AK417" s="52" t="str">
        <f t="shared" si="167"/>
        <v/>
      </c>
      <c r="AL417" s="52" t="str">
        <f t="shared" si="168"/>
        <v/>
      </c>
      <c r="AM417" s="52" t="str">
        <f t="shared" si="169"/>
        <v/>
      </c>
      <c r="AN417" s="52" t="str">
        <f t="shared" si="170"/>
        <v/>
      </c>
      <c r="AO417" s="52" t="str">
        <f t="shared" si="171"/>
        <v/>
      </c>
      <c r="AP417" s="52" t="str">
        <f t="shared" si="172"/>
        <v/>
      </c>
      <c r="AQ417" s="52" t="str">
        <f t="shared" si="173"/>
        <v/>
      </c>
      <c r="AR417" s="52" t="str">
        <f t="shared" si="174"/>
        <v/>
      </c>
      <c r="AS417" s="52" t="str">
        <f t="shared" si="175"/>
        <v/>
      </c>
      <c r="AT417" s="52" t="str">
        <f t="shared" si="176"/>
        <v/>
      </c>
      <c r="AU417" s="52" t="str">
        <f t="shared" si="177"/>
        <v/>
      </c>
      <c r="AV417" s="52" t="str">
        <f t="shared" si="178"/>
        <v/>
      </c>
      <c r="AW417" s="52" t="str">
        <f t="shared" si="179"/>
        <v/>
      </c>
      <c r="AX417" s="52" t="str">
        <f t="shared" si="180"/>
        <v/>
      </c>
      <c r="AY417" s="52" t="str">
        <f t="shared" si="185"/>
        <v/>
      </c>
    </row>
    <row r="418" spans="4:51">
      <c r="D418" s="23"/>
      <c r="E418" s="23"/>
      <c r="F418" s="23"/>
      <c r="G418" s="23"/>
      <c r="H418" s="23"/>
      <c r="I418" s="3"/>
      <c r="J418" s="3"/>
      <c r="K418" s="3"/>
      <c r="L418" s="2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26"/>
      <c r="Y418" s="1"/>
      <c r="Z418" s="12">
        <f t="shared" si="181"/>
        <v>0</v>
      </c>
      <c r="AA418" s="14">
        <f t="shared" si="182"/>
        <v>0</v>
      </c>
      <c r="AB418" s="6">
        <f t="shared" si="160"/>
        <v>0</v>
      </c>
      <c r="AC418" s="6">
        <f t="shared" si="161"/>
        <v>0</v>
      </c>
      <c r="AD418" s="6">
        <f t="shared" si="162"/>
        <v>0</v>
      </c>
      <c r="AE418" s="52" t="str">
        <f t="shared" si="163"/>
        <v/>
      </c>
      <c r="AF418" s="52" t="str">
        <f t="shared" si="164"/>
        <v/>
      </c>
      <c r="AG418" s="50" t="str">
        <f t="shared" si="183"/>
        <v/>
      </c>
      <c r="AH418" s="50" t="str">
        <f t="shared" si="184"/>
        <v/>
      </c>
      <c r="AI418" s="52" t="str">
        <f t="shared" si="165"/>
        <v/>
      </c>
      <c r="AJ418" s="52" t="str">
        <f t="shared" si="166"/>
        <v/>
      </c>
      <c r="AK418" s="52" t="str">
        <f t="shared" si="167"/>
        <v/>
      </c>
      <c r="AL418" s="52" t="str">
        <f t="shared" si="168"/>
        <v/>
      </c>
      <c r="AM418" s="52" t="str">
        <f t="shared" si="169"/>
        <v/>
      </c>
      <c r="AN418" s="52" t="str">
        <f t="shared" si="170"/>
        <v/>
      </c>
      <c r="AO418" s="52" t="str">
        <f t="shared" si="171"/>
        <v/>
      </c>
      <c r="AP418" s="52" t="str">
        <f t="shared" si="172"/>
        <v/>
      </c>
      <c r="AQ418" s="52" t="str">
        <f t="shared" si="173"/>
        <v/>
      </c>
      <c r="AR418" s="52" t="str">
        <f t="shared" si="174"/>
        <v/>
      </c>
      <c r="AS418" s="52" t="str">
        <f t="shared" si="175"/>
        <v/>
      </c>
      <c r="AT418" s="52" t="str">
        <f t="shared" si="176"/>
        <v/>
      </c>
      <c r="AU418" s="52" t="str">
        <f t="shared" si="177"/>
        <v/>
      </c>
      <c r="AV418" s="52" t="str">
        <f t="shared" si="178"/>
        <v/>
      </c>
      <c r="AW418" s="52" t="str">
        <f t="shared" si="179"/>
        <v/>
      </c>
      <c r="AX418" s="52" t="str">
        <f t="shared" si="180"/>
        <v/>
      </c>
      <c r="AY418" s="52" t="str">
        <f t="shared" si="185"/>
        <v/>
      </c>
    </row>
    <row r="419" spans="4:51">
      <c r="D419" s="23"/>
      <c r="E419" s="23"/>
      <c r="F419" s="23"/>
      <c r="G419" s="23"/>
      <c r="H419" s="23"/>
      <c r="I419" s="3"/>
      <c r="J419" s="3"/>
      <c r="K419" s="3"/>
      <c r="L419" s="2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26"/>
      <c r="Y419" s="1"/>
      <c r="Z419" s="12">
        <f t="shared" si="181"/>
        <v>0</v>
      </c>
      <c r="AA419" s="14">
        <f t="shared" si="182"/>
        <v>0</v>
      </c>
      <c r="AB419" s="6">
        <f t="shared" si="160"/>
        <v>0</v>
      </c>
      <c r="AC419" s="6">
        <f t="shared" si="161"/>
        <v>0</v>
      </c>
      <c r="AD419" s="6">
        <f t="shared" si="162"/>
        <v>0</v>
      </c>
      <c r="AE419" s="52" t="str">
        <f t="shared" si="163"/>
        <v/>
      </c>
      <c r="AF419" s="52" t="str">
        <f t="shared" si="164"/>
        <v/>
      </c>
      <c r="AG419" s="50" t="str">
        <f t="shared" si="183"/>
        <v/>
      </c>
      <c r="AH419" s="50" t="str">
        <f t="shared" si="184"/>
        <v/>
      </c>
      <c r="AI419" s="52" t="str">
        <f t="shared" si="165"/>
        <v/>
      </c>
      <c r="AJ419" s="52" t="str">
        <f t="shared" si="166"/>
        <v/>
      </c>
      <c r="AK419" s="52" t="str">
        <f t="shared" si="167"/>
        <v/>
      </c>
      <c r="AL419" s="52" t="str">
        <f t="shared" si="168"/>
        <v/>
      </c>
      <c r="AM419" s="52" t="str">
        <f t="shared" si="169"/>
        <v/>
      </c>
      <c r="AN419" s="52" t="str">
        <f t="shared" si="170"/>
        <v/>
      </c>
      <c r="AO419" s="52" t="str">
        <f t="shared" si="171"/>
        <v/>
      </c>
      <c r="AP419" s="52" t="str">
        <f t="shared" si="172"/>
        <v/>
      </c>
      <c r="AQ419" s="52" t="str">
        <f t="shared" si="173"/>
        <v/>
      </c>
      <c r="AR419" s="52" t="str">
        <f t="shared" si="174"/>
        <v/>
      </c>
      <c r="AS419" s="52" t="str">
        <f t="shared" si="175"/>
        <v/>
      </c>
      <c r="AT419" s="52" t="str">
        <f t="shared" si="176"/>
        <v/>
      </c>
      <c r="AU419" s="52" t="str">
        <f t="shared" si="177"/>
        <v/>
      </c>
      <c r="AV419" s="52" t="str">
        <f t="shared" si="178"/>
        <v/>
      </c>
      <c r="AW419" s="52" t="str">
        <f t="shared" si="179"/>
        <v/>
      </c>
      <c r="AX419" s="52" t="str">
        <f t="shared" si="180"/>
        <v/>
      </c>
      <c r="AY419" s="52" t="str">
        <f t="shared" si="185"/>
        <v/>
      </c>
    </row>
    <row r="420" spans="4:51">
      <c r="D420" s="23"/>
      <c r="E420" s="23"/>
      <c r="F420" s="23"/>
      <c r="G420" s="23"/>
      <c r="H420" s="23"/>
      <c r="I420" s="3"/>
      <c r="J420" s="3"/>
      <c r="K420" s="3"/>
      <c r="L420" s="2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26"/>
      <c r="Y420" s="1"/>
      <c r="Z420" s="12">
        <f t="shared" si="181"/>
        <v>0</v>
      </c>
      <c r="AA420" s="14">
        <f t="shared" si="182"/>
        <v>0</v>
      </c>
      <c r="AB420" s="6">
        <f t="shared" si="160"/>
        <v>0</v>
      </c>
      <c r="AC420" s="6">
        <f t="shared" si="161"/>
        <v>0</v>
      </c>
      <c r="AD420" s="6">
        <f t="shared" si="162"/>
        <v>0</v>
      </c>
      <c r="AE420" s="52" t="str">
        <f t="shared" si="163"/>
        <v/>
      </c>
      <c r="AF420" s="52" t="str">
        <f t="shared" si="164"/>
        <v/>
      </c>
      <c r="AG420" s="50" t="str">
        <f t="shared" si="183"/>
        <v/>
      </c>
      <c r="AH420" s="50" t="str">
        <f t="shared" si="184"/>
        <v/>
      </c>
      <c r="AI420" s="52" t="str">
        <f t="shared" si="165"/>
        <v/>
      </c>
      <c r="AJ420" s="52" t="str">
        <f t="shared" si="166"/>
        <v/>
      </c>
      <c r="AK420" s="52" t="str">
        <f t="shared" si="167"/>
        <v/>
      </c>
      <c r="AL420" s="52" t="str">
        <f t="shared" si="168"/>
        <v/>
      </c>
      <c r="AM420" s="52" t="str">
        <f t="shared" si="169"/>
        <v/>
      </c>
      <c r="AN420" s="52" t="str">
        <f t="shared" si="170"/>
        <v/>
      </c>
      <c r="AO420" s="52" t="str">
        <f t="shared" si="171"/>
        <v/>
      </c>
      <c r="AP420" s="52" t="str">
        <f t="shared" si="172"/>
        <v/>
      </c>
      <c r="AQ420" s="52" t="str">
        <f t="shared" si="173"/>
        <v/>
      </c>
      <c r="AR420" s="52" t="str">
        <f t="shared" si="174"/>
        <v/>
      </c>
      <c r="AS420" s="52" t="str">
        <f t="shared" si="175"/>
        <v/>
      </c>
      <c r="AT420" s="52" t="str">
        <f t="shared" si="176"/>
        <v/>
      </c>
      <c r="AU420" s="52" t="str">
        <f t="shared" si="177"/>
        <v/>
      </c>
      <c r="AV420" s="52" t="str">
        <f t="shared" si="178"/>
        <v/>
      </c>
      <c r="AW420" s="52" t="str">
        <f t="shared" si="179"/>
        <v/>
      </c>
      <c r="AX420" s="52" t="str">
        <f t="shared" si="180"/>
        <v/>
      </c>
      <c r="AY420" s="52" t="str">
        <f t="shared" si="185"/>
        <v/>
      </c>
    </row>
    <row r="421" spans="4:51">
      <c r="D421" s="23"/>
      <c r="E421" s="23"/>
      <c r="F421" s="23"/>
      <c r="G421" s="23"/>
      <c r="H421" s="23"/>
      <c r="I421" s="3"/>
      <c r="J421" s="3"/>
      <c r="K421" s="3"/>
      <c r="L421" s="2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26"/>
      <c r="Y421" s="1"/>
      <c r="Z421" s="12">
        <f t="shared" si="181"/>
        <v>0</v>
      </c>
      <c r="AA421" s="14">
        <f t="shared" si="182"/>
        <v>0</v>
      </c>
      <c r="AB421" s="6">
        <f t="shared" si="160"/>
        <v>0</v>
      </c>
      <c r="AC421" s="6">
        <f t="shared" si="161"/>
        <v>0</v>
      </c>
      <c r="AD421" s="6">
        <f t="shared" si="162"/>
        <v>0</v>
      </c>
      <c r="AE421" s="52" t="str">
        <f t="shared" si="163"/>
        <v/>
      </c>
      <c r="AF421" s="52" t="str">
        <f t="shared" si="164"/>
        <v/>
      </c>
      <c r="AG421" s="50" t="str">
        <f t="shared" si="183"/>
        <v/>
      </c>
      <c r="AH421" s="50" t="str">
        <f t="shared" si="184"/>
        <v/>
      </c>
      <c r="AI421" s="52" t="str">
        <f t="shared" si="165"/>
        <v/>
      </c>
      <c r="AJ421" s="52" t="str">
        <f t="shared" si="166"/>
        <v/>
      </c>
      <c r="AK421" s="52" t="str">
        <f t="shared" si="167"/>
        <v/>
      </c>
      <c r="AL421" s="52" t="str">
        <f t="shared" si="168"/>
        <v/>
      </c>
      <c r="AM421" s="52" t="str">
        <f t="shared" si="169"/>
        <v/>
      </c>
      <c r="AN421" s="52" t="str">
        <f t="shared" si="170"/>
        <v/>
      </c>
      <c r="AO421" s="52" t="str">
        <f t="shared" si="171"/>
        <v/>
      </c>
      <c r="AP421" s="52" t="str">
        <f t="shared" si="172"/>
        <v/>
      </c>
      <c r="AQ421" s="52" t="str">
        <f t="shared" si="173"/>
        <v/>
      </c>
      <c r="AR421" s="52" t="str">
        <f t="shared" si="174"/>
        <v/>
      </c>
      <c r="AS421" s="52" t="str">
        <f t="shared" si="175"/>
        <v/>
      </c>
      <c r="AT421" s="52" t="str">
        <f t="shared" si="176"/>
        <v/>
      </c>
      <c r="AU421" s="52" t="str">
        <f t="shared" si="177"/>
        <v/>
      </c>
      <c r="AV421" s="52" t="str">
        <f t="shared" si="178"/>
        <v/>
      </c>
      <c r="AW421" s="52" t="str">
        <f t="shared" si="179"/>
        <v/>
      </c>
      <c r="AX421" s="52" t="str">
        <f t="shared" si="180"/>
        <v/>
      </c>
      <c r="AY421" s="52" t="str">
        <f t="shared" si="185"/>
        <v/>
      </c>
    </row>
    <row r="422" spans="4:51">
      <c r="D422" s="23"/>
      <c r="E422" s="23"/>
      <c r="F422" s="23"/>
      <c r="G422" s="23"/>
      <c r="H422" s="23"/>
      <c r="I422" s="3"/>
      <c r="J422" s="3"/>
      <c r="K422" s="3"/>
      <c r="L422" s="2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26"/>
      <c r="Y422" s="1"/>
      <c r="Z422" s="12">
        <f t="shared" si="181"/>
        <v>0</v>
      </c>
      <c r="AA422" s="14">
        <f t="shared" si="182"/>
        <v>0</v>
      </c>
      <c r="AB422" s="6">
        <f t="shared" si="160"/>
        <v>0</v>
      </c>
      <c r="AC422" s="6">
        <f t="shared" si="161"/>
        <v>0</v>
      </c>
      <c r="AD422" s="6">
        <f t="shared" si="162"/>
        <v>0</v>
      </c>
      <c r="AE422" s="52" t="str">
        <f t="shared" si="163"/>
        <v/>
      </c>
      <c r="AF422" s="52" t="str">
        <f t="shared" si="164"/>
        <v/>
      </c>
      <c r="AG422" s="50" t="str">
        <f t="shared" si="183"/>
        <v/>
      </c>
      <c r="AH422" s="50" t="str">
        <f t="shared" si="184"/>
        <v/>
      </c>
      <c r="AI422" s="52" t="str">
        <f t="shared" si="165"/>
        <v/>
      </c>
      <c r="AJ422" s="52" t="str">
        <f t="shared" si="166"/>
        <v/>
      </c>
      <c r="AK422" s="52" t="str">
        <f t="shared" si="167"/>
        <v/>
      </c>
      <c r="AL422" s="52" t="str">
        <f t="shared" si="168"/>
        <v/>
      </c>
      <c r="AM422" s="52" t="str">
        <f t="shared" si="169"/>
        <v/>
      </c>
      <c r="AN422" s="52" t="str">
        <f t="shared" si="170"/>
        <v/>
      </c>
      <c r="AO422" s="52" t="str">
        <f t="shared" si="171"/>
        <v/>
      </c>
      <c r="AP422" s="52" t="str">
        <f t="shared" si="172"/>
        <v/>
      </c>
      <c r="AQ422" s="52" t="str">
        <f t="shared" si="173"/>
        <v/>
      </c>
      <c r="AR422" s="52" t="str">
        <f t="shared" si="174"/>
        <v/>
      </c>
      <c r="AS422" s="52" t="str">
        <f t="shared" si="175"/>
        <v/>
      </c>
      <c r="AT422" s="52" t="str">
        <f t="shared" si="176"/>
        <v/>
      </c>
      <c r="AU422" s="52" t="str">
        <f t="shared" si="177"/>
        <v/>
      </c>
      <c r="AV422" s="52" t="str">
        <f t="shared" si="178"/>
        <v/>
      </c>
      <c r="AW422" s="52" t="str">
        <f t="shared" si="179"/>
        <v/>
      </c>
      <c r="AX422" s="52" t="str">
        <f t="shared" si="180"/>
        <v/>
      </c>
      <c r="AY422" s="52" t="str">
        <f t="shared" si="185"/>
        <v/>
      </c>
    </row>
    <row r="423" spans="4:51">
      <c r="D423" s="23"/>
      <c r="E423" s="23"/>
      <c r="F423" s="23"/>
      <c r="G423" s="23"/>
      <c r="H423" s="23"/>
      <c r="I423" s="3"/>
      <c r="J423" s="3"/>
      <c r="K423" s="3"/>
      <c r="L423" s="2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26"/>
      <c r="Y423" s="1"/>
      <c r="Z423" s="12">
        <f t="shared" si="181"/>
        <v>0</v>
      </c>
      <c r="AA423" s="14">
        <f t="shared" si="182"/>
        <v>0</v>
      </c>
      <c r="AB423" s="6">
        <f t="shared" si="160"/>
        <v>0</v>
      </c>
      <c r="AC423" s="6">
        <f t="shared" si="161"/>
        <v>0</v>
      </c>
      <c r="AD423" s="6">
        <f t="shared" si="162"/>
        <v>0</v>
      </c>
      <c r="AE423" s="52" t="str">
        <f t="shared" si="163"/>
        <v/>
      </c>
      <c r="AF423" s="52" t="str">
        <f t="shared" si="164"/>
        <v/>
      </c>
      <c r="AG423" s="50" t="str">
        <f t="shared" si="183"/>
        <v/>
      </c>
      <c r="AH423" s="50" t="str">
        <f t="shared" si="184"/>
        <v/>
      </c>
      <c r="AI423" s="52" t="str">
        <f t="shared" si="165"/>
        <v/>
      </c>
      <c r="AJ423" s="52" t="str">
        <f t="shared" si="166"/>
        <v/>
      </c>
      <c r="AK423" s="52" t="str">
        <f t="shared" si="167"/>
        <v/>
      </c>
      <c r="AL423" s="52" t="str">
        <f t="shared" si="168"/>
        <v/>
      </c>
      <c r="AM423" s="52" t="str">
        <f t="shared" si="169"/>
        <v/>
      </c>
      <c r="AN423" s="52" t="str">
        <f t="shared" si="170"/>
        <v/>
      </c>
      <c r="AO423" s="52" t="str">
        <f t="shared" si="171"/>
        <v/>
      </c>
      <c r="AP423" s="52" t="str">
        <f t="shared" si="172"/>
        <v/>
      </c>
      <c r="AQ423" s="52" t="str">
        <f t="shared" si="173"/>
        <v/>
      </c>
      <c r="AR423" s="52" t="str">
        <f t="shared" si="174"/>
        <v/>
      </c>
      <c r="AS423" s="52" t="str">
        <f t="shared" si="175"/>
        <v/>
      </c>
      <c r="AT423" s="52" t="str">
        <f t="shared" si="176"/>
        <v/>
      </c>
      <c r="AU423" s="52" t="str">
        <f t="shared" si="177"/>
        <v/>
      </c>
      <c r="AV423" s="52" t="str">
        <f t="shared" si="178"/>
        <v/>
      </c>
      <c r="AW423" s="52" t="str">
        <f t="shared" si="179"/>
        <v/>
      </c>
      <c r="AX423" s="52" t="str">
        <f t="shared" si="180"/>
        <v/>
      </c>
      <c r="AY423" s="52" t="str">
        <f t="shared" si="185"/>
        <v/>
      </c>
    </row>
    <row r="424" spans="4:51">
      <c r="D424" s="23"/>
      <c r="E424" s="23"/>
      <c r="F424" s="23"/>
      <c r="G424" s="23"/>
      <c r="H424" s="23"/>
      <c r="I424" s="3"/>
      <c r="J424" s="3"/>
      <c r="K424" s="3"/>
      <c r="L424" s="2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26"/>
      <c r="Y424" s="1"/>
      <c r="Z424" s="12">
        <f t="shared" si="181"/>
        <v>0</v>
      </c>
      <c r="AA424" s="14">
        <f t="shared" si="182"/>
        <v>0</v>
      </c>
      <c r="AB424" s="6">
        <f t="shared" si="160"/>
        <v>0</v>
      </c>
      <c r="AC424" s="6">
        <f t="shared" si="161"/>
        <v>0</v>
      </c>
      <c r="AD424" s="6">
        <f t="shared" si="162"/>
        <v>0</v>
      </c>
      <c r="AE424" s="52" t="str">
        <f t="shared" si="163"/>
        <v/>
      </c>
      <c r="AF424" s="52" t="str">
        <f t="shared" si="164"/>
        <v/>
      </c>
      <c r="AG424" s="50" t="str">
        <f t="shared" si="183"/>
        <v/>
      </c>
      <c r="AH424" s="50" t="str">
        <f t="shared" si="184"/>
        <v/>
      </c>
      <c r="AI424" s="52" t="str">
        <f t="shared" si="165"/>
        <v/>
      </c>
      <c r="AJ424" s="52" t="str">
        <f t="shared" si="166"/>
        <v/>
      </c>
      <c r="AK424" s="52" t="str">
        <f t="shared" si="167"/>
        <v/>
      </c>
      <c r="AL424" s="52" t="str">
        <f t="shared" si="168"/>
        <v/>
      </c>
      <c r="AM424" s="52" t="str">
        <f t="shared" si="169"/>
        <v/>
      </c>
      <c r="AN424" s="52" t="str">
        <f t="shared" si="170"/>
        <v/>
      </c>
      <c r="AO424" s="52" t="str">
        <f t="shared" si="171"/>
        <v/>
      </c>
      <c r="AP424" s="52" t="str">
        <f t="shared" si="172"/>
        <v/>
      </c>
      <c r="AQ424" s="52" t="str">
        <f t="shared" si="173"/>
        <v/>
      </c>
      <c r="AR424" s="52" t="str">
        <f t="shared" si="174"/>
        <v/>
      </c>
      <c r="AS424" s="52" t="str">
        <f t="shared" si="175"/>
        <v/>
      </c>
      <c r="AT424" s="52" t="str">
        <f t="shared" si="176"/>
        <v/>
      </c>
      <c r="AU424" s="52" t="str">
        <f t="shared" si="177"/>
        <v/>
      </c>
      <c r="AV424" s="52" t="str">
        <f t="shared" si="178"/>
        <v/>
      </c>
      <c r="AW424" s="52" t="str">
        <f t="shared" si="179"/>
        <v/>
      </c>
      <c r="AX424" s="52" t="str">
        <f t="shared" si="180"/>
        <v/>
      </c>
      <c r="AY424" s="52" t="str">
        <f t="shared" si="185"/>
        <v/>
      </c>
    </row>
    <row r="425" spans="4:51">
      <c r="D425" s="23"/>
      <c r="E425" s="23"/>
      <c r="F425" s="23"/>
      <c r="G425" s="23"/>
      <c r="H425" s="23"/>
      <c r="I425" s="3"/>
      <c r="J425" s="3"/>
      <c r="K425" s="3"/>
      <c r="L425" s="2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26"/>
      <c r="Y425" s="1"/>
      <c r="Z425" s="12">
        <f t="shared" si="181"/>
        <v>0</v>
      </c>
      <c r="AA425" s="14">
        <f t="shared" si="182"/>
        <v>0</v>
      </c>
      <c r="AB425" s="6">
        <f t="shared" si="160"/>
        <v>0</v>
      </c>
      <c r="AC425" s="6">
        <f t="shared" si="161"/>
        <v>0</v>
      </c>
      <c r="AD425" s="6">
        <f t="shared" si="162"/>
        <v>0</v>
      </c>
      <c r="AE425" s="52" t="str">
        <f t="shared" si="163"/>
        <v/>
      </c>
      <c r="AF425" s="52" t="str">
        <f t="shared" si="164"/>
        <v/>
      </c>
      <c r="AG425" s="50" t="str">
        <f t="shared" si="183"/>
        <v/>
      </c>
      <c r="AH425" s="50" t="str">
        <f t="shared" si="184"/>
        <v/>
      </c>
      <c r="AI425" s="52" t="str">
        <f t="shared" si="165"/>
        <v/>
      </c>
      <c r="AJ425" s="52" t="str">
        <f t="shared" si="166"/>
        <v/>
      </c>
      <c r="AK425" s="52" t="str">
        <f t="shared" si="167"/>
        <v/>
      </c>
      <c r="AL425" s="52" t="str">
        <f t="shared" si="168"/>
        <v/>
      </c>
      <c r="AM425" s="52" t="str">
        <f t="shared" si="169"/>
        <v/>
      </c>
      <c r="AN425" s="52" t="str">
        <f t="shared" si="170"/>
        <v/>
      </c>
      <c r="AO425" s="52" t="str">
        <f t="shared" si="171"/>
        <v/>
      </c>
      <c r="AP425" s="52" t="str">
        <f t="shared" si="172"/>
        <v/>
      </c>
      <c r="AQ425" s="52" t="str">
        <f t="shared" si="173"/>
        <v/>
      </c>
      <c r="AR425" s="52" t="str">
        <f t="shared" si="174"/>
        <v/>
      </c>
      <c r="AS425" s="52" t="str">
        <f t="shared" si="175"/>
        <v/>
      </c>
      <c r="AT425" s="52" t="str">
        <f t="shared" si="176"/>
        <v/>
      </c>
      <c r="AU425" s="52" t="str">
        <f t="shared" si="177"/>
        <v/>
      </c>
      <c r="AV425" s="52" t="str">
        <f t="shared" si="178"/>
        <v/>
      </c>
      <c r="AW425" s="52" t="str">
        <f t="shared" si="179"/>
        <v/>
      </c>
      <c r="AX425" s="52" t="str">
        <f t="shared" si="180"/>
        <v/>
      </c>
      <c r="AY425" s="52" t="str">
        <f t="shared" si="185"/>
        <v/>
      </c>
    </row>
    <row r="426" spans="4:51">
      <c r="D426" s="23"/>
      <c r="E426" s="23"/>
      <c r="F426" s="23"/>
      <c r="G426" s="23"/>
      <c r="H426" s="23"/>
      <c r="I426" s="3"/>
      <c r="J426" s="3"/>
      <c r="K426" s="3"/>
      <c r="L426" s="2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26"/>
      <c r="Y426" s="1"/>
      <c r="Z426" s="12">
        <f t="shared" si="181"/>
        <v>0</v>
      </c>
      <c r="AA426" s="14">
        <f t="shared" si="182"/>
        <v>0</v>
      </c>
      <c r="AB426" s="6">
        <f t="shared" ref="AB426:AB489" si="186">COUNTA(L426:W426)</f>
        <v>0</v>
      </c>
      <c r="AC426" s="6">
        <f t="shared" ref="AC426:AC489" si="187">COUNTA(L426:Q426)</f>
        <v>0</v>
      </c>
      <c r="AD426" s="6">
        <f t="shared" ref="AD426:AD489" si="188">COUNTA(R426:V426)</f>
        <v>0</v>
      </c>
      <c r="AE426" s="52" t="str">
        <f t="shared" ref="AE426:AE489" si="189">IF(AND(B426="Feminino",C426&gt;=$BA$2,C426&lt;=$BB$2),$BA$3,IF(AND(B426="Masculino",C426&gt;=$BA$2,C426&lt;=$BB$2),$BB$3,IF(AND(B426="Feminino",C426&gt;=$BC$2,C426&lt;=$BD$2),$BC$3,IF(AND(B426="Masculino",C426&gt;=$BC$2,C426&lt;=$BD$2),$BD$3,IF(AND(B426="Feminino",C426&gt;=$BE$2,C426&lt;=$BF$2),$BE$3,IF(AND(B426="Masculino",C426&gt;=$BE$2,C426&lt;=$BF$2),$BF$3,IF(AND(B426="Feminino",C426&gt;=$BG$2,C426&lt;=$BH$2),$BG$3,IF(AND(B426="Masculino",C426&gt;=$BG$2,C426&lt;=$BH$2),$BH$3,""))))))))</f>
        <v/>
      </c>
      <c r="AF426" s="52" t="str">
        <f t="shared" ref="AF426:AF489" si="190">IF(AND(B426="Feminino",C426&gt;=$BE$2,C426&lt;=$BF$2),$BI$3,IF(AND(B426="Masculino",C426&gt;=$BE$2,C426&lt;=$BF$2),$BJ$3,IF(AND(B426="Feminino",C426&lt;=$BH$2),$BK$3,IF(AND(B426="Masculino",C426&lt;=$BH$2),$BL$3,""))))</f>
        <v/>
      </c>
      <c r="AG426" s="50" t="str">
        <f t="shared" si="183"/>
        <v/>
      </c>
      <c r="AH426" s="50" t="str">
        <f t="shared" si="184"/>
        <v/>
      </c>
      <c r="AI426" s="52" t="str">
        <f t="shared" ref="AI426:AI489" si="191">IF(C426="","",IF(C426&gt;=$BQ$2,$BQ$3,IF(AND(C426&gt;=$BR$1,C426&lt;=$BR$2),$BR$3,IF(AND(C426&gt;=$BS$1,C426&lt;=$BS$2),$BS$3,IF(AND(C426&gt;=$BT$1,C426&lt;=$BT$2),$BT$3,IF(AND(C426&gt;=$BU$1,C426&lt;=$BU$2),$BU$3,IF(C426&lt;=$BV$2,$BV$3,"")))))))</f>
        <v/>
      </c>
      <c r="AJ426" s="52" t="str">
        <f t="shared" ref="AJ426:AJ489" si="192">IF(C426="","",IF(C426&gt;=$BQ$2,$BW$3,IF(AND(C426&gt;=$BR$1,C426&lt;=$BR$2),$BX$3,IF(AND(C426&gt;=$BS$1,C426&lt;=$BS$2),$BY$3,IF(AND(C426&gt;=$BT$1,C426&lt;=$BT$2),$BZ$3,IF(AND(C426&gt;=$BU$1,C426&lt;=$BU$2),$CA$3,IF(C426&lt;=$BV$2,$CB$3,"")))))))</f>
        <v/>
      </c>
      <c r="AK426" s="52" t="str">
        <f t="shared" ref="AK426:AK489" si="193">IF(C426="","",IF(C426&gt;=$BQ$2,$CC$3,IF(AND(C426&gt;=$BR$1,C426&lt;=$BR$2),$CD$3,IF(AND(C426&gt;=$BS$1,C426&lt;=$BS$2),$CE$3,IF(AND(C426&gt;=$BT$1,C426&lt;=$BT$2),$CF$3,IF(AND(C426&gt;=$BU$1,C426&lt;=$BU$2),$CG$3,IF(C426&lt;=$BV$2,$CH$3,"")))))))</f>
        <v/>
      </c>
      <c r="AL426" s="52" t="str">
        <f t="shared" ref="AL426:AL489" si="194">IF(C426="","",IF(AND(C426&gt;=$BT$1,C426&lt;=$BT$2),$CI$3,IF(AND(C426&gt;=$BU$1,C426&lt;=$BU$2),$CJ$3,IF(C426&lt;=$BV$2,$CK$3,""))))</f>
        <v/>
      </c>
      <c r="AM426" s="52" t="str">
        <f t="shared" ref="AM426:AM489" si="195">IF(C426="","",IF(AB426&gt;=3,"",IF(AC426&gt;=2,"",IF(C426&gt;=$CL$2,$CL$3,IF(AND(C426&gt;=$CM$1,C426&lt;=$CM$2),$CM$3,IF(AND(C426&gt;=$CN$1,C426&lt;=$CN$2),$CN$3,IF(AND(C426&gt;=$CO$1,C426&lt;=$CO$2),$CO$3,IF(AND(C426&gt;=$CP$1,C426&lt;=$CP$2),$CP$3,IF(C426&lt;=$CQ$2,$CQ$3,"")))))))))</f>
        <v/>
      </c>
      <c r="AN426" s="52" t="str">
        <f t="shared" ref="AN426:AN489" si="196">IF(C426="","",IF(AB426&gt;=3,"",IF(AC426&gt;=2,"",IF(C426&gt;=$CL$2,$CR$3,IF(AND(C426&gt;=$CM$1,C426&lt;=$CM$2),$CS$3,IF(AND(C426&gt;=$CN$1,C426&lt;=$CN$2),$CT$3,IF(AND(C426&gt;=$CO$1,C426&lt;=$CO$2),$CU$3,IF(AND(C426&gt;=$CP$1,C426&lt;=$CP$2),$CV$3,IF(C426&lt;=$CQ$2,$CW$3,"")))))))))</f>
        <v/>
      </c>
      <c r="AO426" s="52" t="str">
        <f t="shared" ref="AO426:AO489" si="197">IF(C426="","",IF(AB426&gt;=3,"",IF(AC426&gt;=2,"",IF(C426&gt;=$CL$2,$CX$3,IF(AND(C426&gt;=$CM$1,C426&lt;=$CM$2),$CY$3,IF(AND(C426&gt;=$CN$1,C426&lt;=$CN$2),$CZ$3,IF(AND(C426&gt;=$CO$1,C426&lt;=$CO$2),$DA$3,IF(AND(C426&gt;=$CP$1,C426&lt;=$CP$2),$DB$3,IF(C426&lt;=$CQ$2,$DC$3,"")))))))))</f>
        <v/>
      </c>
      <c r="AP426" s="52" t="str">
        <f t="shared" ref="AP426:AP489" si="198">IF(C426="","",IF(AB426&gt;=3,"",IF(AC426&gt;=2,"",IF(C426&gt;=$CL$2,$DD$3,IF(AND(C426&gt;=$CM$1,C426&lt;=$CM$2),$DE$3,IF(AND(C426&gt;=$CN$1,C426&lt;=$CN$2),$DF$3,IF(AND(C426&gt;=$CO$1,C426&lt;=$CO$2),$DG$3,IF(AND(C426&gt;=$CP$1,C426&lt;=$CP$2),$DH$3,IF(C426&lt;=$CQ$2,$DI$3,"")))))))))</f>
        <v/>
      </c>
      <c r="AQ426" s="52" t="str">
        <f t="shared" ref="AQ426:AQ489" si="199">IF(C426="","",IF(AB426&gt;=3,"",IF(AC426&gt;=2,"",IF(C426&gt;=$CL$2,$DJ$3,IF(AND(C426&gt;=$CM$1,C426&lt;=$CM$2),$DK$3,IF(AND(C426&gt;=$CN$1,C426&lt;=$CN$2),$DL$3,IF(AND(C426&gt;=$CO$1,C426&lt;=$CO$2),$DM$3,IF(AND(C426&gt;=$CP$1,C426&lt;=$CP$2),$DN$3,IF(C426&lt;=$CQ$2,$DO$3,"")))))))))</f>
        <v/>
      </c>
      <c r="AR426" s="52" t="str">
        <f t="shared" ref="AR426:AR489" si="200">IF(C426="","",IF(AB426&gt;=3,"",IF(AC426&gt;=2,"",IF(C426&gt;=$CL$2,$DP$3,IF(AND(C426&gt;=$CM$1,C426&lt;=$CM$2),$DQ$3,IF(AND(C426&gt;=$CN$1,C426&lt;=$CN$2),$DR$3,IF(AND(C426&gt;=$CO$1,C426&lt;=$CO$2),$DS$3,IF(AND(C426&gt;=$CP$1,C426&lt;=$CP$2),$DT$3,IF(C426&lt;=$CQ$2,$DU$3,"")))))))))</f>
        <v/>
      </c>
      <c r="AS426" s="52" t="str">
        <f t="shared" ref="AS426:AS489" si="201">IF(C426="","",IF(AB426&gt;=3,"",IF(AD426&gt;=2,"",IF(C426&gt;=$CL$2,$DV$3,IF(AND(C426&gt;=$CM$1,C426&lt;=$CM$2),$DW$3,IF(AND(C426&gt;=$CN$1,C426&lt;=$CN$2),$DX$3,IF(AND(C426&gt;=$CO$1,C426&lt;=$CO$2),$DY$3,IF(AND(C426&gt;=$CP$1,C426&lt;=$CP$2),$DZ$3,IF(C426&lt;=$CQ$2,$EA$3,"")))))))))</f>
        <v/>
      </c>
      <c r="AT426" s="52" t="str">
        <f t="shared" ref="AT426:AT489" si="202">IF(C426="","",IF(AB426&gt;=3,"",IF(AD426&gt;=2,"",IF(C426&gt;=$CL$2,$EB$3,IF(AND(C426&gt;=$CM$1,C426&lt;=$CM$2),$EC$3,IF(AND(C426&gt;=$CN$1,C426&lt;=$CN$2),$ED$3,IF(AND(C426&gt;=$CO$1,C426&lt;=$CO$2),$EE$3,IF(AND(C426&gt;=$CP$1,C426&lt;=$CP$2),$EF$3,IF(C426&lt;=$CQ$2,$EG$3,"")))))))))</f>
        <v/>
      </c>
      <c r="AU426" s="52" t="str">
        <f t="shared" ref="AU426:AU489" si="203">IF(C426="","",IF(AB426&gt;=3,"",IF(AD426&gt;=2,"",IF(C426&gt;=$CL$2,$EH$3,IF(AND(C426&gt;=$CM$1,C426&lt;=$CM$2),$EI$3,IF(AND(C426&gt;=$CN$1,C426&lt;=$CN$2),$EJ$3,IF(AND(C426&gt;=$CO$1,C426&lt;=$CO$2),$EK$3,IF(AND(C426&gt;=$CP$1,C426&lt;=$CP$2),$EL$3,IF(C426&lt;=$CQ$2,$EM$3,"")))))))))</f>
        <v/>
      </c>
      <c r="AV426" s="52" t="str">
        <f t="shared" ref="AV426:AV489" si="204">IF(C426="","",IF(AB426&gt;=3,"",IF(AD426&gt;=2,"",IF(C426&gt;=$CL$2,$EN$3,IF(AND(C426&gt;=$CM$1,C426&lt;=$CM$2),$EO$3,IF(AND(C426&gt;=$CN$1,C426&lt;=$CN$2),$EP$3,IF(AND(C426&gt;=$CO$1,C426&lt;=$CO$2),$EQ$3,IF(AND(C426&gt;=$CP$1,C426&lt;=$CP$2),$ER$3,IF(C426&lt;=$CQ$2,$ES$3,"")))))))))</f>
        <v/>
      </c>
      <c r="AW426" s="52" t="str">
        <f t="shared" ref="AW426:AW489" si="205">IF(C426="","",IF(AB426&gt;=3,"",IF(AD426&gt;=2,"",IF(C426&gt;=$CL$2,$ET$3,IF(AND(C426&gt;=$CM$1,C426&lt;=$CM$2),$EU$3,IF(AND(C426&gt;=$CN$1,C426&lt;=$CN$2),$EV$3,IF(AND(C426&gt;=$CO$1,C426&lt;=$CO$2),$EW$3,IF(AND(C426&gt;=$CP$1,C426&lt;=$CP$2),$EX$3,IF(C426&lt;=$CQ$2,$EY$3,"")))))))))</f>
        <v/>
      </c>
      <c r="AX426" s="52" t="str">
        <f t="shared" ref="AX426:AX489" si="206">IF(C426="","",IF(AB426&gt;=3,"",IF(AD426&gt;=2,"",IF(C426&gt;=$CL$2,$EZ$3,IF(AND(C426&gt;=$CM$1,C426&lt;=$CM$2),$FA$3,IF(AND(C426&gt;=$CN$1,C426&lt;=$CN$2),$FB$3,IF(AND(C426&gt;=$CO$1,C426&lt;=$CO$2),$FC$3,IF(AND(C426&gt;=$CP$1,C426&lt;=$CP$2),$FD$3,IF(C426&lt;=$CQ$2,$FE$3,"")))))))))</f>
        <v/>
      </c>
      <c r="AY426" s="52" t="str">
        <f t="shared" si="185"/>
        <v/>
      </c>
    </row>
    <row r="427" spans="4:51">
      <c r="D427" s="23"/>
      <c r="E427" s="23"/>
      <c r="F427" s="23"/>
      <c r="G427" s="23"/>
      <c r="H427" s="23"/>
      <c r="I427" s="3"/>
      <c r="J427" s="3"/>
      <c r="K427" s="3"/>
      <c r="L427" s="2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26"/>
      <c r="Y427" s="1"/>
      <c r="Z427" s="12">
        <f t="shared" si="181"/>
        <v>0</v>
      </c>
      <c r="AA427" s="14">
        <f t="shared" si="182"/>
        <v>0</v>
      </c>
      <c r="AB427" s="6">
        <f t="shared" si="186"/>
        <v>0</v>
      </c>
      <c r="AC427" s="6">
        <f t="shared" si="187"/>
        <v>0</v>
      </c>
      <c r="AD427" s="6">
        <f t="shared" si="188"/>
        <v>0</v>
      </c>
      <c r="AE427" s="52" t="str">
        <f t="shared" si="189"/>
        <v/>
      </c>
      <c r="AF427" s="52" t="str">
        <f t="shared" si="190"/>
        <v/>
      </c>
      <c r="AG427" s="50" t="str">
        <f t="shared" si="183"/>
        <v/>
      </c>
      <c r="AH427" s="50" t="str">
        <f t="shared" si="184"/>
        <v/>
      </c>
      <c r="AI427" s="52" t="str">
        <f t="shared" si="191"/>
        <v/>
      </c>
      <c r="AJ427" s="52" t="str">
        <f t="shared" si="192"/>
        <v/>
      </c>
      <c r="AK427" s="52" t="str">
        <f t="shared" si="193"/>
        <v/>
      </c>
      <c r="AL427" s="52" t="str">
        <f t="shared" si="194"/>
        <v/>
      </c>
      <c r="AM427" s="52" t="str">
        <f t="shared" si="195"/>
        <v/>
      </c>
      <c r="AN427" s="52" t="str">
        <f t="shared" si="196"/>
        <v/>
      </c>
      <c r="AO427" s="52" t="str">
        <f t="shared" si="197"/>
        <v/>
      </c>
      <c r="AP427" s="52" t="str">
        <f t="shared" si="198"/>
        <v/>
      </c>
      <c r="AQ427" s="52" t="str">
        <f t="shared" si="199"/>
        <v/>
      </c>
      <c r="AR427" s="52" t="str">
        <f t="shared" si="200"/>
        <v/>
      </c>
      <c r="AS427" s="52" t="str">
        <f t="shared" si="201"/>
        <v/>
      </c>
      <c r="AT427" s="52" t="str">
        <f t="shared" si="202"/>
        <v/>
      </c>
      <c r="AU427" s="52" t="str">
        <f t="shared" si="203"/>
        <v/>
      </c>
      <c r="AV427" s="52" t="str">
        <f t="shared" si="204"/>
        <v/>
      </c>
      <c r="AW427" s="52" t="str">
        <f t="shared" si="205"/>
        <v/>
      </c>
      <c r="AX427" s="52" t="str">
        <f t="shared" si="206"/>
        <v/>
      </c>
      <c r="AY427" s="52" t="str">
        <f t="shared" si="185"/>
        <v/>
      </c>
    </row>
    <row r="428" spans="4:51">
      <c r="D428" s="23"/>
      <c r="E428" s="23"/>
      <c r="F428" s="23"/>
      <c r="G428" s="23"/>
      <c r="H428" s="23"/>
      <c r="I428" s="3"/>
      <c r="J428" s="3"/>
      <c r="K428" s="3"/>
      <c r="L428" s="2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26"/>
      <c r="Y428" s="1"/>
      <c r="Z428" s="12">
        <f t="shared" si="181"/>
        <v>0</v>
      </c>
      <c r="AA428" s="14">
        <f t="shared" si="182"/>
        <v>0</v>
      </c>
      <c r="AB428" s="6">
        <f t="shared" si="186"/>
        <v>0</v>
      </c>
      <c r="AC428" s="6">
        <f t="shared" si="187"/>
        <v>0</v>
      </c>
      <c r="AD428" s="6">
        <f t="shared" si="188"/>
        <v>0</v>
      </c>
      <c r="AE428" s="52" t="str">
        <f t="shared" si="189"/>
        <v/>
      </c>
      <c r="AF428" s="52" t="str">
        <f t="shared" si="190"/>
        <v/>
      </c>
      <c r="AG428" s="50" t="str">
        <f t="shared" si="183"/>
        <v/>
      </c>
      <c r="AH428" s="50" t="str">
        <f t="shared" si="184"/>
        <v/>
      </c>
      <c r="AI428" s="52" t="str">
        <f t="shared" si="191"/>
        <v/>
      </c>
      <c r="AJ428" s="52" t="str">
        <f t="shared" si="192"/>
        <v/>
      </c>
      <c r="AK428" s="52" t="str">
        <f t="shared" si="193"/>
        <v/>
      </c>
      <c r="AL428" s="52" t="str">
        <f t="shared" si="194"/>
        <v/>
      </c>
      <c r="AM428" s="52" t="str">
        <f t="shared" si="195"/>
        <v/>
      </c>
      <c r="AN428" s="52" t="str">
        <f t="shared" si="196"/>
        <v/>
      </c>
      <c r="AO428" s="52" t="str">
        <f t="shared" si="197"/>
        <v/>
      </c>
      <c r="AP428" s="52" t="str">
        <f t="shared" si="198"/>
        <v/>
      </c>
      <c r="AQ428" s="52" t="str">
        <f t="shared" si="199"/>
        <v/>
      </c>
      <c r="AR428" s="52" t="str">
        <f t="shared" si="200"/>
        <v/>
      </c>
      <c r="AS428" s="52" t="str">
        <f t="shared" si="201"/>
        <v/>
      </c>
      <c r="AT428" s="52" t="str">
        <f t="shared" si="202"/>
        <v/>
      </c>
      <c r="AU428" s="52" t="str">
        <f t="shared" si="203"/>
        <v/>
      </c>
      <c r="AV428" s="52" t="str">
        <f t="shared" si="204"/>
        <v/>
      </c>
      <c r="AW428" s="52" t="str">
        <f t="shared" si="205"/>
        <v/>
      </c>
      <c r="AX428" s="52" t="str">
        <f t="shared" si="206"/>
        <v/>
      </c>
      <c r="AY428" s="52" t="str">
        <f t="shared" si="185"/>
        <v/>
      </c>
    </row>
    <row r="429" spans="4:51">
      <c r="D429" s="23"/>
      <c r="E429" s="23"/>
      <c r="F429" s="23"/>
      <c r="G429" s="23"/>
      <c r="H429" s="23"/>
      <c r="I429" s="3"/>
      <c r="J429" s="3"/>
      <c r="K429" s="3"/>
      <c r="L429" s="2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26"/>
      <c r="Y429" s="1"/>
      <c r="Z429" s="12">
        <f t="shared" si="181"/>
        <v>0</v>
      </c>
      <c r="AA429" s="14">
        <f t="shared" si="182"/>
        <v>0</v>
      </c>
      <c r="AB429" s="6">
        <f t="shared" si="186"/>
        <v>0</v>
      </c>
      <c r="AC429" s="6">
        <f t="shared" si="187"/>
        <v>0</v>
      </c>
      <c r="AD429" s="6">
        <f t="shared" si="188"/>
        <v>0</v>
      </c>
      <c r="AE429" s="52" t="str">
        <f t="shared" si="189"/>
        <v/>
      </c>
      <c r="AF429" s="52" t="str">
        <f t="shared" si="190"/>
        <v/>
      </c>
      <c r="AG429" s="50" t="str">
        <f t="shared" si="183"/>
        <v/>
      </c>
      <c r="AH429" s="50" t="str">
        <f t="shared" si="184"/>
        <v/>
      </c>
      <c r="AI429" s="52" t="str">
        <f t="shared" si="191"/>
        <v/>
      </c>
      <c r="AJ429" s="52" t="str">
        <f t="shared" si="192"/>
        <v/>
      </c>
      <c r="AK429" s="52" t="str">
        <f t="shared" si="193"/>
        <v/>
      </c>
      <c r="AL429" s="52" t="str">
        <f t="shared" si="194"/>
        <v/>
      </c>
      <c r="AM429" s="52" t="str">
        <f t="shared" si="195"/>
        <v/>
      </c>
      <c r="AN429" s="52" t="str">
        <f t="shared" si="196"/>
        <v/>
      </c>
      <c r="AO429" s="52" t="str">
        <f t="shared" si="197"/>
        <v/>
      </c>
      <c r="AP429" s="52" t="str">
        <f t="shared" si="198"/>
        <v/>
      </c>
      <c r="AQ429" s="52" t="str">
        <f t="shared" si="199"/>
        <v/>
      </c>
      <c r="AR429" s="52" t="str">
        <f t="shared" si="200"/>
        <v/>
      </c>
      <c r="AS429" s="52" t="str">
        <f t="shared" si="201"/>
        <v/>
      </c>
      <c r="AT429" s="52" t="str">
        <f t="shared" si="202"/>
        <v/>
      </c>
      <c r="AU429" s="52" t="str">
        <f t="shared" si="203"/>
        <v/>
      </c>
      <c r="AV429" s="52" t="str">
        <f t="shared" si="204"/>
        <v/>
      </c>
      <c r="AW429" s="52" t="str">
        <f t="shared" si="205"/>
        <v/>
      </c>
      <c r="AX429" s="52" t="str">
        <f t="shared" si="206"/>
        <v/>
      </c>
      <c r="AY429" s="52" t="str">
        <f t="shared" si="185"/>
        <v/>
      </c>
    </row>
    <row r="430" spans="4:51">
      <c r="D430" s="23"/>
      <c r="E430" s="23"/>
      <c r="F430" s="23"/>
      <c r="G430" s="23"/>
      <c r="H430" s="23"/>
      <c r="I430" s="3"/>
      <c r="J430" s="3"/>
      <c r="K430" s="3"/>
      <c r="L430" s="2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26"/>
      <c r="Y430" s="1"/>
      <c r="Z430" s="12">
        <f t="shared" si="181"/>
        <v>0</v>
      </c>
      <c r="AA430" s="14">
        <f t="shared" si="182"/>
        <v>0</v>
      </c>
      <c r="AB430" s="6">
        <f t="shared" si="186"/>
        <v>0</v>
      </c>
      <c r="AC430" s="6">
        <f t="shared" si="187"/>
        <v>0</v>
      </c>
      <c r="AD430" s="6">
        <f t="shared" si="188"/>
        <v>0</v>
      </c>
      <c r="AE430" s="52" t="str">
        <f t="shared" si="189"/>
        <v/>
      </c>
      <c r="AF430" s="52" t="str">
        <f t="shared" si="190"/>
        <v/>
      </c>
      <c r="AG430" s="50" t="str">
        <f t="shared" si="183"/>
        <v/>
      </c>
      <c r="AH430" s="50" t="str">
        <f t="shared" si="184"/>
        <v/>
      </c>
      <c r="AI430" s="52" t="str">
        <f t="shared" si="191"/>
        <v/>
      </c>
      <c r="AJ430" s="52" t="str">
        <f t="shared" si="192"/>
        <v/>
      </c>
      <c r="AK430" s="52" t="str">
        <f t="shared" si="193"/>
        <v/>
      </c>
      <c r="AL430" s="52" t="str">
        <f t="shared" si="194"/>
        <v/>
      </c>
      <c r="AM430" s="52" t="str">
        <f t="shared" si="195"/>
        <v/>
      </c>
      <c r="AN430" s="52" t="str">
        <f t="shared" si="196"/>
        <v/>
      </c>
      <c r="AO430" s="52" t="str">
        <f t="shared" si="197"/>
        <v/>
      </c>
      <c r="AP430" s="52" t="str">
        <f t="shared" si="198"/>
        <v/>
      </c>
      <c r="AQ430" s="52" t="str">
        <f t="shared" si="199"/>
        <v/>
      </c>
      <c r="AR430" s="52" t="str">
        <f t="shared" si="200"/>
        <v/>
      </c>
      <c r="AS430" s="52" t="str">
        <f t="shared" si="201"/>
        <v/>
      </c>
      <c r="AT430" s="52" t="str">
        <f t="shared" si="202"/>
        <v/>
      </c>
      <c r="AU430" s="52" t="str">
        <f t="shared" si="203"/>
        <v/>
      </c>
      <c r="AV430" s="52" t="str">
        <f t="shared" si="204"/>
        <v/>
      </c>
      <c r="AW430" s="52" t="str">
        <f t="shared" si="205"/>
        <v/>
      </c>
      <c r="AX430" s="52" t="str">
        <f t="shared" si="206"/>
        <v/>
      </c>
      <c r="AY430" s="52" t="str">
        <f t="shared" si="185"/>
        <v/>
      </c>
    </row>
    <row r="431" spans="4:51">
      <c r="D431" s="23"/>
      <c r="E431" s="23"/>
      <c r="F431" s="23"/>
      <c r="G431" s="23"/>
      <c r="H431" s="23"/>
      <c r="I431" s="3"/>
      <c r="J431" s="3"/>
      <c r="K431" s="3"/>
      <c r="L431" s="2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26"/>
      <c r="Y431" s="1"/>
      <c r="Z431" s="12">
        <f t="shared" si="181"/>
        <v>0</v>
      </c>
      <c r="AA431" s="14">
        <f t="shared" si="182"/>
        <v>0</v>
      </c>
      <c r="AB431" s="6">
        <f t="shared" si="186"/>
        <v>0</v>
      </c>
      <c r="AC431" s="6">
        <f t="shared" si="187"/>
        <v>0</v>
      </c>
      <c r="AD431" s="6">
        <f t="shared" si="188"/>
        <v>0</v>
      </c>
      <c r="AE431" s="52" t="str">
        <f t="shared" si="189"/>
        <v/>
      </c>
      <c r="AF431" s="52" t="str">
        <f t="shared" si="190"/>
        <v/>
      </c>
      <c r="AG431" s="50" t="str">
        <f t="shared" si="183"/>
        <v/>
      </c>
      <c r="AH431" s="50" t="str">
        <f t="shared" si="184"/>
        <v/>
      </c>
      <c r="AI431" s="52" t="str">
        <f t="shared" si="191"/>
        <v/>
      </c>
      <c r="AJ431" s="52" t="str">
        <f t="shared" si="192"/>
        <v/>
      </c>
      <c r="AK431" s="52" t="str">
        <f t="shared" si="193"/>
        <v/>
      </c>
      <c r="AL431" s="52" t="str">
        <f t="shared" si="194"/>
        <v/>
      </c>
      <c r="AM431" s="52" t="str">
        <f t="shared" si="195"/>
        <v/>
      </c>
      <c r="AN431" s="52" t="str">
        <f t="shared" si="196"/>
        <v/>
      </c>
      <c r="AO431" s="52" t="str">
        <f t="shared" si="197"/>
        <v/>
      </c>
      <c r="AP431" s="52" t="str">
        <f t="shared" si="198"/>
        <v/>
      </c>
      <c r="AQ431" s="52" t="str">
        <f t="shared" si="199"/>
        <v/>
      </c>
      <c r="AR431" s="52" t="str">
        <f t="shared" si="200"/>
        <v/>
      </c>
      <c r="AS431" s="52" t="str">
        <f t="shared" si="201"/>
        <v/>
      </c>
      <c r="AT431" s="52" t="str">
        <f t="shared" si="202"/>
        <v/>
      </c>
      <c r="AU431" s="52" t="str">
        <f t="shared" si="203"/>
        <v/>
      </c>
      <c r="AV431" s="52" t="str">
        <f t="shared" si="204"/>
        <v/>
      </c>
      <c r="AW431" s="52" t="str">
        <f t="shared" si="205"/>
        <v/>
      </c>
      <c r="AX431" s="52" t="str">
        <f t="shared" si="206"/>
        <v/>
      </c>
      <c r="AY431" s="52" t="str">
        <f t="shared" si="185"/>
        <v/>
      </c>
    </row>
    <row r="432" spans="4:51">
      <c r="D432" s="23"/>
      <c r="E432" s="23"/>
      <c r="F432" s="23"/>
      <c r="G432" s="23"/>
      <c r="H432" s="23"/>
      <c r="I432" s="3"/>
      <c r="J432" s="3"/>
      <c r="K432" s="3"/>
      <c r="L432" s="2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26"/>
      <c r="Y432" s="1"/>
      <c r="Z432" s="12">
        <f t="shared" si="181"/>
        <v>0</v>
      </c>
      <c r="AA432" s="14">
        <f t="shared" si="182"/>
        <v>0</v>
      </c>
      <c r="AB432" s="6">
        <f t="shared" si="186"/>
        <v>0</v>
      </c>
      <c r="AC432" s="6">
        <f t="shared" si="187"/>
        <v>0</v>
      </c>
      <c r="AD432" s="6">
        <f t="shared" si="188"/>
        <v>0</v>
      </c>
      <c r="AE432" s="52" t="str">
        <f t="shared" si="189"/>
        <v/>
      </c>
      <c r="AF432" s="52" t="str">
        <f t="shared" si="190"/>
        <v/>
      </c>
      <c r="AG432" s="50" t="str">
        <f t="shared" si="183"/>
        <v/>
      </c>
      <c r="AH432" s="50" t="str">
        <f t="shared" si="184"/>
        <v/>
      </c>
      <c r="AI432" s="52" t="str">
        <f t="shared" si="191"/>
        <v/>
      </c>
      <c r="AJ432" s="52" t="str">
        <f t="shared" si="192"/>
        <v/>
      </c>
      <c r="AK432" s="52" t="str">
        <f t="shared" si="193"/>
        <v/>
      </c>
      <c r="AL432" s="52" t="str">
        <f t="shared" si="194"/>
        <v/>
      </c>
      <c r="AM432" s="52" t="str">
        <f t="shared" si="195"/>
        <v/>
      </c>
      <c r="AN432" s="52" t="str">
        <f t="shared" si="196"/>
        <v/>
      </c>
      <c r="AO432" s="52" t="str">
        <f t="shared" si="197"/>
        <v/>
      </c>
      <c r="AP432" s="52" t="str">
        <f t="shared" si="198"/>
        <v/>
      </c>
      <c r="AQ432" s="52" t="str">
        <f t="shared" si="199"/>
        <v/>
      </c>
      <c r="AR432" s="52" t="str">
        <f t="shared" si="200"/>
        <v/>
      </c>
      <c r="AS432" s="52" t="str">
        <f t="shared" si="201"/>
        <v/>
      </c>
      <c r="AT432" s="52" t="str">
        <f t="shared" si="202"/>
        <v/>
      </c>
      <c r="AU432" s="52" t="str">
        <f t="shared" si="203"/>
        <v/>
      </c>
      <c r="AV432" s="52" t="str">
        <f t="shared" si="204"/>
        <v/>
      </c>
      <c r="AW432" s="52" t="str">
        <f t="shared" si="205"/>
        <v/>
      </c>
      <c r="AX432" s="52" t="str">
        <f t="shared" si="206"/>
        <v/>
      </c>
      <c r="AY432" s="52" t="str">
        <f t="shared" si="185"/>
        <v/>
      </c>
    </row>
    <row r="433" spans="4:51">
      <c r="D433" s="23"/>
      <c r="E433" s="23"/>
      <c r="F433" s="23"/>
      <c r="G433" s="23"/>
      <c r="H433" s="23"/>
      <c r="I433" s="3"/>
      <c r="J433" s="3"/>
      <c r="K433" s="3"/>
      <c r="L433" s="2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26"/>
      <c r="Y433" s="1"/>
      <c r="Z433" s="12">
        <f t="shared" si="181"/>
        <v>0</v>
      </c>
      <c r="AA433" s="14">
        <f t="shared" si="182"/>
        <v>0</v>
      </c>
      <c r="AB433" s="6">
        <f t="shared" si="186"/>
        <v>0</v>
      </c>
      <c r="AC433" s="6">
        <f t="shared" si="187"/>
        <v>0</v>
      </c>
      <c r="AD433" s="6">
        <f t="shared" si="188"/>
        <v>0</v>
      </c>
      <c r="AE433" s="52" t="str">
        <f t="shared" si="189"/>
        <v/>
      </c>
      <c r="AF433" s="52" t="str">
        <f t="shared" si="190"/>
        <v/>
      </c>
      <c r="AG433" s="50" t="str">
        <f t="shared" si="183"/>
        <v/>
      </c>
      <c r="AH433" s="50" t="str">
        <f t="shared" si="184"/>
        <v/>
      </c>
      <c r="AI433" s="52" t="str">
        <f t="shared" si="191"/>
        <v/>
      </c>
      <c r="AJ433" s="52" t="str">
        <f t="shared" si="192"/>
        <v/>
      </c>
      <c r="AK433" s="52" t="str">
        <f t="shared" si="193"/>
        <v/>
      </c>
      <c r="AL433" s="52" t="str">
        <f t="shared" si="194"/>
        <v/>
      </c>
      <c r="AM433" s="52" t="str">
        <f t="shared" si="195"/>
        <v/>
      </c>
      <c r="AN433" s="52" t="str">
        <f t="shared" si="196"/>
        <v/>
      </c>
      <c r="AO433" s="52" t="str">
        <f t="shared" si="197"/>
        <v/>
      </c>
      <c r="AP433" s="52" t="str">
        <f t="shared" si="198"/>
        <v/>
      </c>
      <c r="AQ433" s="52" t="str">
        <f t="shared" si="199"/>
        <v/>
      </c>
      <c r="AR433" s="52" t="str">
        <f t="shared" si="200"/>
        <v/>
      </c>
      <c r="AS433" s="52" t="str">
        <f t="shared" si="201"/>
        <v/>
      </c>
      <c r="AT433" s="52" t="str">
        <f t="shared" si="202"/>
        <v/>
      </c>
      <c r="AU433" s="52" t="str">
        <f t="shared" si="203"/>
        <v/>
      </c>
      <c r="AV433" s="52" t="str">
        <f t="shared" si="204"/>
        <v/>
      </c>
      <c r="AW433" s="52" t="str">
        <f t="shared" si="205"/>
        <v/>
      </c>
      <c r="AX433" s="52" t="str">
        <f t="shared" si="206"/>
        <v/>
      </c>
      <c r="AY433" s="52" t="str">
        <f t="shared" si="185"/>
        <v/>
      </c>
    </row>
    <row r="434" spans="4:51">
      <c r="D434" s="23"/>
      <c r="E434" s="23"/>
      <c r="F434" s="23"/>
      <c r="G434" s="23"/>
      <c r="H434" s="23"/>
      <c r="I434" s="3"/>
      <c r="J434" s="3"/>
      <c r="K434" s="3"/>
      <c r="L434" s="2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26"/>
      <c r="Y434" s="1"/>
      <c r="Z434" s="12">
        <f t="shared" si="181"/>
        <v>0</v>
      </c>
      <c r="AA434" s="14">
        <f t="shared" si="182"/>
        <v>0</v>
      </c>
      <c r="AB434" s="6">
        <f t="shared" si="186"/>
        <v>0</v>
      </c>
      <c r="AC434" s="6">
        <f t="shared" si="187"/>
        <v>0</v>
      </c>
      <c r="AD434" s="6">
        <f t="shared" si="188"/>
        <v>0</v>
      </c>
      <c r="AE434" s="52" t="str">
        <f t="shared" si="189"/>
        <v/>
      </c>
      <c r="AF434" s="52" t="str">
        <f t="shared" si="190"/>
        <v/>
      </c>
      <c r="AG434" s="50" t="str">
        <f t="shared" si="183"/>
        <v/>
      </c>
      <c r="AH434" s="50" t="str">
        <f t="shared" si="184"/>
        <v/>
      </c>
      <c r="AI434" s="52" t="str">
        <f t="shared" si="191"/>
        <v/>
      </c>
      <c r="AJ434" s="52" t="str">
        <f t="shared" si="192"/>
        <v/>
      </c>
      <c r="AK434" s="52" t="str">
        <f t="shared" si="193"/>
        <v/>
      </c>
      <c r="AL434" s="52" t="str">
        <f t="shared" si="194"/>
        <v/>
      </c>
      <c r="AM434" s="52" t="str">
        <f t="shared" si="195"/>
        <v/>
      </c>
      <c r="AN434" s="52" t="str">
        <f t="shared" si="196"/>
        <v/>
      </c>
      <c r="AO434" s="52" t="str">
        <f t="shared" si="197"/>
        <v/>
      </c>
      <c r="AP434" s="52" t="str">
        <f t="shared" si="198"/>
        <v/>
      </c>
      <c r="AQ434" s="52" t="str">
        <f t="shared" si="199"/>
        <v/>
      </c>
      <c r="AR434" s="52" t="str">
        <f t="shared" si="200"/>
        <v/>
      </c>
      <c r="AS434" s="52" t="str">
        <f t="shared" si="201"/>
        <v/>
      </c>
      <c r="AT434" s="52" t="str">
        <f t="shared" si="202"/>
        <v/>
      </c>
      <c r="AU434" s="52" t="str">
        <f t="shared" si="203"/>
        <v/>
      </c>
      <c r="AV434" s="52" t="str">
        <f t="shared" si="204"/>
        <v/>
      </c>
      <c r="AW434" s="52" t="str">
        <f t="shared" si="205"/>
        <v/>
      </c>
      <c r="AX434" s="52" t="str">
        <f t="shared" si="206"/>
        <v/>
      </c>
      <c r="AY434" s="52" t="str">
        <f t="shared" si="185"/>
        <v/>
      </c>
    </row>
    <row r="435" spans="4:51">
      <c r="D435" s="23"/>
      <c r="E435" s="23"/>
      <c r="F435" s="23"/>
      <c r="G435" s="23"/>
      <c r="H435" s="23"/>
      <c r="I435" s="3"/>
      <c r="J435" s="3"/>
      <c r="K435" s="3"/>
      <c r="L435" s="2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26"/>
      <c r="Y435" s="1"/>
      <c r="Z435" s="12">
        <f t="shared" si="181"/>
        <v>0</v>
      </c>
      <c r="AA435" s="14">
        <f t="shared" si="182"/>
        <v>0</v>
      </c>
      <c r="AB435" s="6">
        <f t="shared" si="186"/>
        <v>0</v>
      </c>
      <c r="AC435" s="6">
        <f t="shared" si="187"/>
        <v>0</v>
      </c>
      <c r="AD435" s="6">
        <f t="shared" si="188"/>
        <v>0</v>
      </c>
      <c r="AE435" s="52" t="str">
        <f t="shared" si="189"/>
        <v/>
      </c>
      <c r="AF435" s="52" t="str">
        <f t="shared" si="190"/>
        <v/>
      </c>
      <c r="AG435" s="50" t="str">
        <f t="shared" si="183"/>
        <v/>
      </c>
      <c r="AH435" s="50" t="str">
        <f t="shared" si="184"/>
        <v/>
      </c>
      <c r="AI435" s="52" t="str">
        <f t="shared" si="191"/>
        <v/>
      </c>
      <c r="AJ435" s="52" t="str">
        <f t="shared" si="192"/>
        <v/>
      </c>
      <c r="AK435" s="52" t="str">
        <f t="shared" si="193"/>
        <v/>
      </c>
      <c r="AL435" s="52" t="str">
        <f t="shared" si="194"/>
        <v/>
      </c>
      <c r="AM435" s="52" t="str">
        <f t="shared" si="195"/>
        <v/>
      </c>
      <c r="AN435" s="52" t="str">
        <f t="shared" si="196"/>
        <v/>
      </c>
      <c r="AO435" s="52" t="str">
        <f t="shared" si="197"/>
        <v/>
      </c>
      <c r="AP435" s="52" t="str">
        <f t="shared" si="198"/>
        <v/>
      </c>
      <c r="AQ435" s="52" t="str">
        <f t="shared" si="199"/>
        <v/>
      </c>
      <c r="AR435" s="52" t="str">
        <f t="shared" si="200"/>
        <v/>
      </c>
      <c r="AS435" s="52" t="str">
        <f t="shared" si="201"/>
        <v/>
      </c>
      <c r="AT435" s="52" t="str">
        <f t="shared" si="202"/>
        <v/>
      </c>
      <c r="AU435" s="52" t="str">
        <f t="shared" si="203"/>
        <v/>
      </c>
      <c r="AV435" s="52" t="str">
        <f t="shared" si="204"/>
        <v/>
      </c>
      <c r="AW435" s="52" t="str">
        <f t="shared" si="205"/>
        <v/>
      </c>
      <c r="AX435" s="52" t="str">
        <f t="shared" si="206"/>
        <v/>
      </c>
      <c r="AY435" s="52" t="str">
        <f t="shared" si="185"/>
        <v/>
      </c>
    </row>
    <row r="436" spans="4:51">
      <c r="D436" s="23"/>
      <c r="E436" s="23"/>
      <c r="F436" s="23"/>
      <c r="G436" s="23"/>
      <c r="H436" s="23"/>
      <c r="I436" s="3"/>
      <c r="J436" s="3"/>
      <c r="K436" s="3"/>
      <c r="L436" s="2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26"/>
      <c r="Y436" s="1"/>
      <c r="Z436" s="12">
        <f t="shared" si="181"/>
        <v>0</v>
      </c>
      <c r="AA436" s="14">
        <f t="shared" si="182"/>
        <v>0</v>
      </c>
      <c r="AB436" s="6">
        <f t="shared" si="186"/>
        <v>0</v>
      </c>
      <c r="AC436" s="6">
        <f t="shared" si="187"/>
        <v>0</v>
      </c>
      <c r="AD436" s="6">
        <f t="shared" si="188"/>
        <v>0</v>
      </c>
      <c r="AE436" s="52" t="str">
        <f t="shared" si="189"/>
        <v/>
      </c>
      <c r="AF436" s="52" t="str">
        <f t="shared" si="190"/>
        <v/>
      </c>
      <c r="AG436" s="50" t="str">
        <f t="shared" si="183"/>
        <v/>
      </c>
      <c r="AH436" s="50" t="str">
        <f t="shared" si="184"/>
        <v/>
      </c>
      <c r="AI436" s="52" t="str">
        <f t="shared" si="191"/>
        <v/>
      </c>
      <c r="AJ436" s="52" t="str">
        <f t="shared" si="192"/>
        <v/>
      </c>
      <c r="AK436" s="52" t="str">
        <f t="shared" si="193"/>
        <v/>
      </c>
      <c r="AL436" s="52" t="str">
        <f t="shared" si="194"/>
        <v/>
      </c>
      <c r="AM436" s="52" t="str">
        <f t="shared" si="195"/>
        <v/>
      </c>
      <c r="AN436" s="52" t="str">
        <f t="shared" si="196"/>
        <v/>
      </c>
      <c r="AO436" s="52" t="str">
        <f t="shared" si="197"/>
        <v/>
      </c>
      <c r="AP436" s="52" t="str">
        <f t="shared" si="198"/>
        <v/>
      </c>
      <c r="AQ436" s="52" t="str">
        <f t="shared" si="199"/>
        <v/>
      </c>
      <c r="AR436" s="52" t="str">
        <f t="shared" si="200"/>
        <v/>
      </c>
      <c r="AS436" s="52" t="str">
        <f t="shared" si="201"/>
        <v/>
      </c>
      <c r="AT436" s="52" t="str">
        <f t="shared" si="202"/>
        <v/>
      </c>
      <c r="AU436" s="52" t="str">
        <f t="shared" si="203"/>
        <v/>
      </c>
      <c r="AV436" s="52" t="str">
        <f t="shared" si="204"/>
        <v/>
      </c>
      <c r="AW436" s="52" t="str">
        <f t="shared" si="205"/>
        <v/>
      </c>
      <c r="AX436" s="52" t="str">
        <f t="shared" si="206"/>
        <v/>
      </c>
      <c r="AY436" s="52" t="str">
        <f t="shared" si="185"/>
        <v/>
      </c>
    </row>
    <row r="437" spans="4:51">
      <c r="D437" s="23"/>
      <c r="E437" s="23"/>
      <c r="F437" s="23"/>
      <c r="G437" s="23"/>
      <c r="H437" s="23"/>
      <c r="I437" s="3"/>
      <c r="J437" s="3"/>
      <c r="K437" s="3"/>
      <c r="L437" s="2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26"/>
      <c r="Y437" s="1"/>
      <c r="Z437" s="12">
        <f t="shared" si="181"/>
        <v>0</v>
      </c>
      <c r="AA437" s="14">
        <f t="shared" si="182"/>
        <v>0</v>
      </c>
      <c r="AB437" s="6">
        <f t="shared" si="186"/>
        <v>0</v>
      </c>
      <c r="AC437" s="6">
        <f t="shared" si="187"/>
        <v>0</v>
      </c>
      <c r="AD437" s="6">
        <f t="shared" si="188"/>
        <v>0</v>
      </c>
      <c r="AE437" s="52" t="str">
        <f t="shared" si="189"/>
        <v/>
      </c>
      <c r="AF437" s="52" t="str">
        <f t="shared" si="190"/>
        <v/>
      </c>
      <c r="AG437" s="50" t="str">
        <f t="shared" si="183"/>
        <v/>
      </c>
      <c r="AH437" s="50" t="str">
        <f t="shared" si="184"/>
        <v/>
      </c>
      <c r="AI437" s="52" t="str">
        <f t="shared" si="191"/>
        <v/>
      </c>
      <c r="AJ437" s="52" t="str">
        <f t="shared" si="192"/>
        <v/>
      </c>
      <c r="AK437" s="52" t="str">
        <f t="shared" si="193"/>
        <v/>
      </c>
      <c r="AL437" s="52" t="str">
        <f t="shared" si="194"/>
        <v/>
      </c>
      <c r="AM437" s="52" t="str">
        <f t="shared" si="195"/>
        <v/>
      </c>
      <c r="AN437" s="52" t="str">
        <f t="shared" si="196"/>
        <v/>
      </c>
      <c r="AO437" s="52" t="str">
        <f t="shared" si="197"/>
        <v/>
      </c>
      <c r="AP437" s="52" t="str">
        <f t="shared" si="198"/>
        <v/>
      </c>
      <c r="AQ437" s="52" t="str">
        <f t="shared" si="199"/>
        <v/>
      </c>
      <c r="AR437" s="52" t="str">
        <f t="shared" si="200"/>
        <v/>
      </c>
      <c r="AS437" s="52" t="str">
        <f t="shared" si="201"/>
        <v/>
      </c>
      <c r="AT437" s="52" t="str">
        <f t="shared" si="202"/>
        <v/>
      </c>
      <c r="AU437" s="52" t="str">
        <f t="shared" si="203"/>
        <v/>
      </c>
      <c r="AV437" s="52" t="str">
        <f t="shared" si="204"/>
        <v/>
      </c>
      <c r="AW437" s="52" t="str">
        <f t="shared" si="205"/>
        <v/>
      </c>
      <c r="AX437" s="52" t="str">
        <f t="shared" si="206"/>
        <v/>
      </c>
      <c r="AY437" s="52" t="str">
        <f t="shared" si="185"/>
        <v/>
      </c>
    </row>
    <row r="438" spans="4:51">
      <c r="D438" s="23"/>
      <c r="E438" s="23"/>
      <c r="F438" s="23"/>
      <c r="G438" s="23"/>
      <c r="H438" s="23"/>
      <c r="I438" s="3"/>
      <c r="J438" s="3"/>
      <c r="K438" s="3"/>
      <c r="L438" s="2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26"/>
      <c r="Y438" s="1"/>
      <c r="Z438" s="12">
        <f t="shared" si="181"/>
        <v>0</v>
      </c>
      <c r="AA438" s="14">
        <f t="shared" si="182"/>
        <v>0</v>
      </c>
      <c r="AB438" s="6">
        <f t="shared" si="186"/>
        <v>0</v>
      </c>
      <c r="AC438" s="6">
        <f t="shared" si="187"/>
        <v>0</v>
      </c>
      <c r="AD438" s="6">
        <f t="shared" si="188"/>
        <v>0</v>
      </c>
      <c r="AE438" s="52" t="str">
        <f t="shared" si="189"/>
        <v/>
      </c>
      <c r="AF438" s="52" t="str">
        <f t="shared" si="190"/>
        <v/>
      </c>
      <c r="AG438" s="50" t="str">
        <f t="shared" si="183"/>
        <v/>
      </c>
      <c r="AH438" s="50" t="str">
        <f t="shared" si="184"/>
        <v/>
      </c>
      <c r="AI438" s="52" t="str">
        <f t="shared" si="191"/>
        <v/>
      </c>
      <c r="AJ438" s="52" t="str">
        <f t="shared" si="192"/>
        <v/>
      </c>
      <c r="AK438" s="52" t="str">
        <f t="shared" si="193"/>
        <v/>
      </c>
      <c r="AL438" s="52" t="str">
        <f t="shared" si="194"/>
        <v/>
      </c>
      <c r="AM438" s="52" t="str">
        <f t="shared" si="195"/>
        <v/>
      </c>
      <c r="AN438" s="52" t="str">
        <f t="shared" si="196"/>
        <v/>
      </c>
      <c r="AO438" s="52" t="str">
        <f t="shared" si="197"/>
        <v/>
      </c>
      <c r="AP438" s="52" t="str">
        <f t="shared" si="198"/>
        <v/>
      </c>
      <c r="AQ438" s="52" t="str">
        <f t="shared" si="199"/>
        <v/>
      </c>
      <c r="AR438" s="52" t="str">
        <f t="shared" si="200"/>
        <v/>
      </c>
      <c r="AS438" s="52" t="str">
        <f t="shared" si="201"/>
        <v/>
      </c>
      <c r="AT438" s="52" t="str">
        <f t="shared" si="202"/>
        <v/>
      </c>
      <c r="AU438" s="52" t="str">
        <f t="shared" si="203"/>
        <v/>
      </c>
      <c r="AV438" s="52" t="str">
        <f t="shared" si="204"/>
        <v/>
      </c>
      <c r="AW438" s="52" t="str">
        <f t="shared" si="205"/>
        <v/>
      </c>
      <c r="AX438" s="52" t="str">
        <f t="shared" si="206"/>
        <v/>
      </c>
      <c r="AY438" s="52" t="str">
        <f t="shared" si="185"/>
        <v/>
      </c>
    </row>
    <row r="439" spans="4:51">
      <c r="D439" s="23"/>
      <c r="E439" s="23"/>
      <c r="F439" s="23"/>
      <c r="G439" s="23"/>
      <c r="H439" s="23"/>
      <c r="I439" s="3"/>
      <c r="J439" s="3"/>
      <c r="K439" s="3"/>
      <c r="L439" s="2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26"/>
      <c r="Y439" s="1"/>
      <c r="Z439" s="12">
        <f t="shared" si="181"/>
        <v>0</v>
      </c>
      <c r="AA439" s="14">
        <f t="shared" si="182"/>
        <v>0</v>
      </c>
      <c r="AB439" s="6">
        <f t="shared" si="186"/>
        <v>0</v>
      </c>
      <c r="AC439" s="6">
        <f t="shared" si="187"/>
        <v>0</v>
      </c>
      <c r="AD439" s="6">
        <f t="shared" si="188"/>
        <v>0</v>
      </c>
      <c r="AE439" s="52" t="str">
        <f t="shared" si="189"/>
        <v/>
      </c>
      <c r="AF439" s="52" t="str">
        <f t="shared" si="190"/>
        <v/>
      </c>
      <c r="AG439" s="50" t="str">
        <f t="shared" si="183"/>
        <v/>
      </c>
      <c r="AH439" s="50" t="str">
        <f t="shared" si="184"/>
        <v/>
      </c>
      <c r="AI439" s="52" t="str">
        <f t="shared" si="191"/>
        <v/>
      </c>
      <c r="AJ439" s="52" t="str">
        <f t="shared" si="192"/>
        <v/>
      </c>
      <c r="AK439" s="52" t="str">
        <f t="shared" si="193"/>
        <v/>
      </c>
      <c r="AL439" s="52" t="str">
        <f t="shared" si="194"/>
        <v/>
      </c>
      <c r="AM439" s="52" t="str">
        <f t="shared" si="195"/>
        <v/>
      </c>
      <c r="AN439" s="52" t="str">
        <f t="shared" si="196"/>
        <v/>
      </c>
      <c r="AO439" s="52" t="str">
        <f t="shared" si="197"/>
        <v/>
      </c>
      <c r="AP439" s="52" t="str">
        <f t="shared" si="198"/>
        <v/>
      </c>
      <c r="AQ439" s="52" t="str">
        <f t="shared" si="199"/>
        <v/>
      </c>
      <c r="AR439" s="52" t="str">
        <f t="shared" si="200"/>
        <v/>
      </c>
      <c r="AS439" s="52" t="str">
        <f t="shared" si="201"/>
        <v/>
      </c>
      <c r="AT439" s="52" t="str">
        <f t="shared" si="202"/>
        <v/>
      </c>
      <c r="AU439" s="52" t="str">
        <f t="shared" si="203"/>
        <v/>
      </c>
      <c r="AV439" s="52" t="str">
        <f t="shared" si="204"/>
        <v/>
      </c>
      <c r="AW439" s="52" t="str">
        <f t="shared" si="205"/>
        <v/>
      </c>
      <c r="AX439" s="52" t="str">
        <f t="shared" si="206"/>
        <v/>
      </c>
      <c r="AY439" s="52" t="str">
        <f t="shared" si="185"/>
        <v/>
      </c>
    </row>
    <row r="440" spans="4:51">
      <c r="D440" s="23"/>
      <c r="E440" s="23"/>
      <c r="F440" s="23"/>
      <c r="G440" s="23"/>
      <c r="H440" s="23"/>
      <c r="I440" s="3"/>
      <c r="J440" s="3"/>
      <c r="K440" s="3"/>
      <c r="L440" s="2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26"/>
      <c r="Y440" s="1"/>
      <c r="Z440" s="12">
        <f t="shared" si="181"/>
        <v>0</v>
      </c>
      <c r="AA440" s="14">
        <f t="shared" si="182"/>
        <v>0</v>
      </c>
      <c r="AB440" s="6">
        <f t="shared" si="186"/>
        <v>0</v>
      </c>
      <c r="AC440" s="6">
        <f t="shared" si="187"/>
        <v>0</v>
      </c>
      <c r="AD440" s="6">
        <f t="shared" si="188"/>
        <v>0</v>
      </c>
      <c r="AE440" s="52" t="str">
        <f t="shared" si="189"/>
        <v/>
      </c>
      <c r="AF440" s="52" t="str">
        <f t="shared" si="190"/>
        <v/>
      </c>
      <c r="AG440" s="50" t="str">
        <f t="shared" si="183"/>
        <v/>
      </c>
      <c r="AH440" s="50" t="str">
        <f t="shared" si="184"/>
        <v/>
      </c>
      <c r="AI440" s="52" t="str">
        <f t="shared" si="191"/>
        <v/>
      </c>
      <c r="AJ440" s="52" t="str">
        <f t="shared" si="192"/>
        <v/>
      </c>
      <c r="AK440" s="52" t="str">
        <f t="shared" si="193"/>
        <v/>
      </c>
      <c r="AL440" s="52" t="str">
        <f t="shared" si="194"/>
        <v/>
      </c>
      <c r="AM440" s="52" t="str">
        <f t="shared" si="195"/>
        <v/>
      </c>
      <c r="AN440" s="52" t="str">
        <f t="shared" si="196"/>
        <v/>
      </c>
      <c r="AO440" s="52" t="str">
        <f t="shared" si="197"/>
        <v/>
      </c>
      <c r="AP440" s="52" t="str">
        <f t="shared" si="198"/>
        <v/>
      </c>
      <c r="AQ440" s="52" t="str">
        <f t="shared" si="199"/>
        <v/>
      </c>
      <c r="AR440" s="52" t="str">
        <f t="shared" si="200"/>
        <v/>
      </c>
      <c r="AS440" s="52" t="str">
        <f t="shared" si="201"/>
        <v/>
      </c>
      <c r="AT440" s="52" t="str">
        <f t="shared" si="202"/>
        <v/>
      </c>
      <c r="AU440" s="52" t="str">
        <f t="shared" si="203"/>
        <v/>
      </c>
      <c r="AV440" s="52" t="str">
        <f t="shared" si="204"/>
        <v/>
      </c>
      <c r="AW440" s="52" t="str">
        <f t="shared" si="205"/>
        <v/>
      </c>
      <c r="AX440" s="52" t="str">
        <f t="shared" si="206"/>
        <v/>
      </c>
      <c r="AY440" s="52" t="str">
        <f t="shared" si="185"/>
        <v/>
      </c>
    </row>
    <row r="441" spans="4:51">
      <c r="D441" s="23"/>
      <c r="E441" s="23"/>
      <c r="F441" s="23"/>
      <c r="G441" s="23"/>
      <c r="H441" s="23"/>
      <c r="I441" s="3"/>
      <c r="J441" s="3"/>
      <c r="K441" s="3"/>
      <c r="L441" s="2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26"/>
      <c r="Y441" s="1"/>
      <c r="Z441" s="12">
        <f t="shared" si="181"/>
        <v>0</v>
      </c>
      <c r="AA441" s="14">
        <f t="shared" si="182"/>
        <v>0</v>
      </c>
      <c r="AB441" s="6">
        <f t="shared" si="186"/>
        <v>0</v>
      </c>
      <c r="AC441" s="6">
        <f t="shared" si="187"/>
        <v>0</v>
      </c>
      <c r="AD441" s="6">
        <f t="shared" si="188"/>
        <v>0</v>
      </c>
      <c r="AE441" s="52" t="str">
        <f t="shared" si="189"/>
        <v/>
      </c>
      <c r="AF441" s="52" t="str">
        <f t="shared" si="190"/>
        <v/>
      </c>
      <c r="AG441" s="50" t="str">
        <f t="shared" si="183"/>
        <v/>
      </c>
      <c r="AH441" s="50" t="str">
        <f t="shared" si="184"/>
        <v/>
      </c>
      <c r="AI441" s="52" t="str">
        <f t="shared" si="191"/>
        <v/>
      </c>
      <c r="AJ441" s="52" t="str">
        <f t="shared" si="192"/>
        <v/>
      </c>
      <c r="AK441" s="52" t="str">
        <f t="shared" si="193"/>
        <v/>
      </c>
      <c r="AL441" s="52" t="str">
        <f t="shared" si="194"/>
        <v/>
      </c>
      <c r="AM441" s="52" t="str">
        <f t="shared" si="195"/>
        <v/>
      </c>
      <c r="AN441" s="52" t="str">
        <f t="shared" si="196"/>
        <v/>
      </c>
      <c r="AO441" s="52" t="str">
        <f t="shared" si="197"/>
        <v/>
      </c>
      <c r="AP441" s="52" t="str">
        <f t="shared" si="198"/>
        <v/>
      </c>
      <c r="AQ441" s="52" t="str">
        <f t="shared" si="199"/>
        <v/>
      </c>
      <c r="AR441" s="52" t="str">
        <f t="shared" si="200"/>
        <v/>
      </c>
      <c r="AS441" s="52" t="str">
        <f t="shared" si="201"/>
        <v/>
      </c>
      <c r="AT441" s="52" t="str">
        <f t="shared" si="202"/>
        <v/>
      </c>
      <c r="AU441" s="52" t="str">
        <f t="shared" si="203"/>
        <v/>
      </c>
      <c r="AV441" s="52" t="str">
        <f t="shared" si="204"/>
        <v/>
      </c>
      <c r="AW441" s="52" t="str">
        <f t="shared" si="205"/>
        <v/>
      </c>
      <c r="AX441" s="52" t="str">
        <f t="shared" si="206"/>
        <v/>
      </c>
      <c r="AY441" s="52" t="str">
        <f t="shared" si="185"/>
        <v/>
      </c>
    </row>
    <row r="442" spans="4:51">
      <c r="D442" s="23"/>
      <c r="E442" s="23"/>
      <c r="F442" s="23"/>
      <c r="G442" s="23"/>
      <c r="H442" s="23"/>
      <c r="I442" s="3"/>
      <c r="J442" s="3"/>
      <c r="K442" s="3"/>
      <c r="L442" s="2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26"/>
      <c r="Y442" s="1"/>
      <c r="Z442" s="12">
        <f t="shared" si="181"/>
        <v>0</v>
      </c>
      <c r="AA442" s="14">
        <f t="shared" si="182"/>
        <v>0</v>
      </c>
      <c r="AB442" s="6">
        <f t="shared" si="186"/>
        <v>0</v>
      </c>
      <c r="AC442" s="6">
        <f t="shared" si="187"/>
        <v>0</v>
      </c>
      <c r="AD442" s="6">
        <f t="shared" si="188"/>
        <v>0</v>
      </c>
      <c r="AE442" s="52" t="str">
        <f t="shared" si="189"/>
        <v/>
      </c>
      <c r="AF442" s="52" t="str">
        <f t="shared" si="190"/>
        <v/>
      </c>
      <c r="AG442" s="50" t="str">
        <f t="shared" si="183"/>
        <v/>
      </c>
      <c r="AH442" s="50" t="str">
        <f t="shared" si="184"/>
        <v/>
      </c>
      <c r="AI442" s="52" t="str">
        <f t="shared" si="191"/>
        <v/>
      </c>
      <c r="AJ442" s="52" t="str">
        <f t="shared" si="192"/>
        <v/>
      </c>
      <c r="AK442" s="52" t="str">
        <f t="shared" si="193"/>
        <v/>
      </c>
      <c r="AL442" s="52" t="str">
        <f t="shared" si="194"/>
        <v/>
      </c>
      <c r="AM442" s="52" t="str">
        <f t="shared" si="195"/>
        <v/>
      </c>
      <c r="AN442" s="52" t="str">
        <f t="shared" si="196"/>
        <v/>
      </c>
      <c r="AO442" s="52" t="str">
        <f t="shared" si="197"/>
        <v/>
      </c>
      <c r="AP442" s="52" t="str">
        <f t="shared" si="198"/>
        <v/>
      </c>
      <c r="AQ442" s="52" t="str">
        <f t="shared" si="199"/>
        <v/>
      </c>
      <c r="AR442" s="52" t="str">
        <f t="shared" si="200"/>
        <v/>
      </c>
      <c r="AS442" s="52" t="str">
        <f t="shared" si="201"/>
        <v/>
      </c>
      <c r="AT442" s="52" t="str">
        <f t="shared" si="202"/>
        <v/>
      </c>
      <c r="AU442" s="52" t="str">
        <f t="shared" si="203"/>
        <v/>
      </c>
      <c r="AV442" s="52" t="str">
        <f t="shared" si="204"/>
        <v/>
      </c>
      <c r="AW442" s="52" t="str">
        <f t="shared" si="205"/>
        <v/>
      </c>
      <c r="AX442" s="52" t="str">
        <f t="shared" si="206"/>
        <v/>
      </c>
      <c r="AY442" s="52" t="str">
        <f t="shared" si="185"/>
        <v/>
      </c>
    </row>
    <row r="443" spans="4:51">
      <c r="D443" s="23"/>
      <c r="E443" s="23"/>
      <c r="F443" s="23"/>
      <c r="G443" s="23"/>
      <c r="H443" s="23"/>
      <c r="I443" s="3"/>
      <c r="J443" s="3"/>
      <c r="K443" s="3"/>
      <c r="L443" s="2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26"/>
      <c r="Y443" s="1"/>
      <c r="Z443" s="12">
        <f t="shared" si="181"/>
        <v>0</v>
      </c>
      <c r="AA443" s="14">
        <f t="shared" si="182"/>
        <v>0</v>
      </c>
      <c r="AB443" s="6">
        <f t="shared" si="186"/>
        <v>0</v>
      </c>
      <c r="AC443" s="6">
        <f t="shared" si="187"/>
        <v>0</v>
      </c>
      <c r="AD443" s="6">
        <f t="shared" si="188"/>
        <v>0</v>
      </c>
      <c r="AE443" s="52" t="str">
        <f t="shared" si="189"/>
        <v/>
      </c>
      <c r="AF443" s="52" t="str">
        <f t="shared" si="190"/>
        <v/>
      </c>
      <c r="AG443" s="50" t="str">
        <f t="shared" si="183"/>
        <v/>
      </c>
      <c r="AH443" s="50" t="str">
        <f t="shared" si="184"/>
        <v/>
      </c>
      <c r="AI443" s="52" t="str">
        <f t="shared" si="191"/>
        <v/>
      </c>
      <c r="AJ443" s="52" t="str">
        <f t="shared" si="192"/>
        <v/>
      </c>
      <c r="AK443" s="52" t="str">
        <f t="shared" si="193"/>
        <v/>
      </c>
      <c r="AL443" s="52" t="str">
        <f t="shared" si="194"/>
        <v/>
      </c>
      <c r="AM443" s="52" t="str">
        <f t="shared" si="195"/>
        <v/>
      </c>
      <c r="AN443" s="52" t="str">
        <f t="shared" si="196"/>
        <v/>
      </c>
      <c r="AO443" s="52" t="str">
        <f t="shared" si="197"/>
        <v/>
      </c>
      <c r="AP443" s="52" t="str">
        <f t="shared" si="198"/>
        <v/>
      </c>
      <c r="AQ443" s="52" t="str">
        <f t="shared" si="199"/>
        <v/>
      </c>
      <c r="AR443" s="52" t="str">
        <f t="shared" si="200"/>
        <v/>
      </c>
      <c r="AS443" s="52" t="str">
        <f t="shared" si="201"/>
        <v/>
      </c>
      <c r="AT443" s="52" t="str">
        <f t="shared" si="202"/>
        <v/>
      </c>
      <c r="AU443" s="52" t="str">
        <f t="shared" si="203"/>
        <v/>
      </c>
      <c r="AV443" s="52" t="str">
        <f t="shared" si="204"/>
        <v/>
      </c>
      <c r="AW443" s="52" t="str">
        <f t="shared" si="205"/>
        <v/>
      </c>
      <c r="AX443" s="52" t="str">
        <f t="shared" si="206"/>
        <v/>
      </c>
      <c r="AY443" s="52" t="str">
        <f t="shared" si="185"/>
        <v/>
      </c>
    </row>
    <row r="444" spans="4:51">
      <c r="D444" s="23"/>
      <c r="E444" s="23"/>
      <c r="F444" s="23"/>
      <c r="G444" s="23"/>
      <c r="H444" s="23"/>
      <c r="I444" s="3"/>
      <c r="J444" s="3"/>
      <c r="K444" s="3"/>
      <c r="L444" s="2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26"/>
      <c r="Y444" s="1"/>
      <c r="Z444" s="12">
        <f t="shared" si="181"/>
        <v>0</v>
      </c>
      <c r="AA444" s="14">
        <f t="shared" si="182"/>
        <v>0</v>
      </c>
      <c r="AB444" s="6">
        <f t="shared" si="186"/>
        <v>0</v>
      </c>
      <c r="AC444" s="6">
        <f t="shared" si="187"/>
        <v>0</v>
      </c>
      <c r="AD444" s="6">
        <f t="shared" si="188"/>
        <v>0</v>
      </c>
      <c r="AE444" s="52" t="str">
        <f t="shared" si="189"/>
        <v/>
      </c>
      <c r="AF444" s="52" t="str">
        <f t="shared" si="190"/>
        <v/>
      </c>
      <c r="AG444" s="50" t="str">
        <f t="shared" si="183"/>
        <v/>
      </c>
      <c r="AH444" s="50" t="str">
        <f t="shared" si="184"/>
        <v/>
      </c>
      <c r="AI444" s="52" t="str">
        <f t="shared" si="191"/>
        <v/>
      </c>
      <c r="AJ444" s="52" t="str">
        <f t="shared" si="192"/>
        <v/>
      </c>
      <c r="AK444" s="52" t="str">
        <f t="shared" si="193"/>
        <v/>
      </c>
      <c r="AL444" s="52" t="str">
        <f t="shared" si="194"/>
        <v/>
      </c>
      <c r="AM444" s="52" t="str">
        <f t="shared" si="195"/>
        <v/>
      </c>
      <c r="AN444" s="52" t="str">
        <f t="shared" si="196"/>
        <v/>
      </c>
      <c r="AO444" s="52" t="str">
        <f t="shared" si="197"/>
        <v/>
      </c>
      <c r="AP444" s="52" t="str">
        <f t="shared" si="198"/>
        <v/>
      </c>
      <c r="AQ444" s="52" t="str">
        <f t="shared" si="199"/>
        <v/>
      </c>
      <c r="AR444" s="52" t="str">
        <f t="shared" si="200"/>
        <v/>
      </c>
      <c r="AS444" s="52" t="str">
        <f t="shared" si="201"/>
        <v/>
      </c>
      <c r="AT444" s="52" t="str">
        <f t="shared" si="202"/>
        <v/>
      </c>
      <c r="AU444" s="52" t="str">
        <f t="shared" si="203"/>
        <v/>
      </c>
      <c r="AV444" s="52" t="str">
        <f t="shared" si="204"/>
        <v/>
      </c>
      <c r="AW444" s="52" t="str">
        <f t="shared" si="205"/>
        <v/>
      </c>
      <c r="AX444" s="52" t="str">
        <f t="shared" si="206"/>
        <v/>
      </c>
      <c r="AY444" s="52" t="str">
        <f t="shared" si="185"/>
        <v/>
      </c>
    </row>
    <row r="445" spans="4:51">
      <c r="D445" s="23"/>
      <c r="E445" s="23"/>
      <c r="F445" s="23"/>
      <c r="G445" s="23"/>
      <c r="H445" s="23"/>
      <c r="I445" s="3"/>
      <c r="J445" s="3"/>
      <c r="K445" s="3"/>
      <c r="L445" s="2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26"/>
      <c r="Y445" s="1"/>
      <c r="Z445" s="12">
        <f t="shared" si="181"/>
        <v>0</v>
      </c>
      <c r="AA445" s="14">
        <f t="shared" si="182"/>
        <v>0</v>
      </c>
      <c r="AB445" s="6">
        <f t="shared" si="186"/>
        <v>0</v>
      </c>
      <c r="AC445" s="6">
        <f t="shared" si="187"/>
        <v>0</v>
      </c>
      <c r="AD445" s="6">
        <f t="shared" si="188"/>
        <v>0</v>
      </c>
      <c r="AE445" s="52" t="str">
        <f t="shared" si="189"/>
        <v/>
      </c>
      <c r="AF445" s="52" t="str">
        <f t="shared" si="190"/>
        <v/>
      </c>
      <c r="AG445" s="50" t="str">
        <f t="shared" si="183"/>
        <v/>
      </c>
      <c r="AH445" s="50" t="str">
        <f t="shared" si="184"/>
        <v/>
      </c>
      <c r="AI445" s="52" t="str">
        <f t="shared" si="191"/>
        <v/>
      </c>
      <c r="AJ445" s="52" t="str">
        <f t="shared" si="192"/>
        <v/>
      </c>
      <c r="AK445" s="52" t="str">
        <f t="shared" si="193"/>
        <v/>
      </c>
      <c r="AL445" s="52" t="str">
        <f t="shared" si="194"/>
        <v/>
      </c>
      <c r="AM445" s="52" t="str">
        <f t="shared" si="195"/>
        <v/>
      </c>
      <c r="AN445" s="52" t="str">
        <f t="shared" si="196"/>
        <v/>
      </c>
      <c r="AO445" s="52" t="str">
        <f t="shared" si="197"/>
        <v/>
      </c>
      <c r="AP445" s="52" t="str">
        <f t="shared" si="198"/>
        <v/>
      </c>
      <c r="AQ445" s="52" t="str">
        <f t="shared" si="199"/>
        <v/>
      </c>
      <c r="AR445" s="52" t="str">
        <f t="shared" si="200"/>
        <v/>
      </c>
      <c r="AS445" s="52" t="str">
        <f t="shared" si="201"/>
        <v/>
      </c>
      <c r="AT445" s="52" t="str">
        <f t="shared" si="202"/>
        <v/>
      </c>
      <c r="AU445" s="52" t="str">
        <f t="shared" si="203"/>
        <v/>
      </c>
      <c r="AV445" s="52" t="str">
        <f t="shared" si="204"/>
        <v/>
      </c>
      <c r="AW445" s="52" t="str">
        <f t="shared" si="205"/>
        <v/>
      </c>
      <c r="AX445" s="52" t="str">
        <f t="shared" si="206"/>
        <v/>
      </c>
      <c r="AY445" s="52" t="str">
        <f t="shared" si="185"/>
        <v/>
      </c>
    </row>
    <row r="446" spans="4:51">
      <c r="D446" s="23"/>
      <c r="E446" s="23"/>
      <c r="F446" s="23"/>
      <c r="G446" s="23"/>
      <c r="H446" s="23"/>
      <c r="I446" s="3"/>
      <c r="J446" s="3"/>
      <c r="K446" s="3"/>
      <c r="L446" s="2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26"/>
      <c r="Y446" s="1"/>
      <c r="Z446" s="12">
        <f t="shared" si="181"/>
        <v>0</v>
      </c>
      <c r="AA446" s="14">
        <f t="shared" si="182"/>
        <v>0</v>
      </c>
      <c r="AB446" s="6">
        <f t="shared" si="186"/>
        <v>0</v>
      </c>
      <c r="AC446" s="6">
        <f t="shared" si="187"/>
        <v>0</v>
      </c>
      <c r="AD446" s="6">
        <f t="shared" si="188"/>
        <v>0</v>
      </c>
      <c r="AE446" s="52" t="str">
        <f t="shared" si="189"/>
        <v/>
      </c>
      <c r="AF446" s="52" t="str">
        <f t="shared" si="190"/>
        <v/>
      </c>
      <c r="AG446" s="50" t="str">
        <f t="shared" si="183"/>
        <v/>
      </c>
      <c r="AH446" s="50" t="str">
        <f t="shared" si="184"/>
        <v/>
      </c>
      <c r="AI446" s="52" t="str">
        <f t="shared" si="191"/>
        <v/>
      </c>
      <c r="AJ446" s="52" t="str">
        <f t="shared" si="192"/>
        <v/>
      </c>
      <c r="AK446" s="52" t="str">
        <f t="shared" si="193"/>
        <v/>
      </c>
      <c r="AL446" s="52" t="str">
        <f t="shared" si="194"/>
        <v/>
      </c>
      <c r="AM446" s="52" t="str">
        <f t="shared" si="195"/>
        <v/>
      </c>
      <c r="AN446" s="52" t="str">
        <f t="shared" si="196"/>
        <v/>
      </c>
      <c r="AO446" s="52" t="str">
        <f t="shared" si="197"/>
        <v/>
      </c>
      <c r="AP446" s="52" t="str">
        <f t="shared" si="198"/>
        <v/>
      </c>
      <c r="AQ446" s="52" t="str">
        <f t="shared" si="199"/>
        <v/>
      </c>
      <c r="AR446" s="52" t="str">
        <f t="shared" si="200"/>
        <v/>
      </c>
      <c r="AS446" s="52" t="str">
        <f t="shared" si="201"/>
        <v/>
      </c>
      <c r="AT446" s="52" t="str">
        <f t="shared" si="202"/>
        <v/>
      </c>
      <c r="AU446" s="52" t="str">
        <f t="shared" si="203"/>
        <v/>
      </c>
      <c r="AV446" s="52" t="str">
        <f t="shared" si="204"/>
        <v/>
      </c>
      <c r="AW446" s="52" t="str">
        <f t="shared" si="205"/>
        <v/>
      </c>
      <c r="AX446" s="52" t="str">
        <f t="shared" si="206"/>
        <v/>
      </c>
      <c r="AY446" s="52" t="str">
        <f t="shared" si="185"/>
        <v/>
      </c>
    </row>
    <row r="447" spans="4:51">
      <c r="D447" s="23"/>
      <c r="E447" s="23"/>
      <c r="F447" s="23"/>
      <c r="G447" s="23"/>
      <c r="H447" s="23"/>
      <c r="I447" s="3"/>
      <c r="J447" s="3"/>
      <c r="K447" s="3"/>
      <c r="L447" s="2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26"/>
      <c r="Y447" s="1"/>
      <c r="Z447" s="12">
        <f t="shared" ref="Z447:Z510" si="207">COUNTA(D447:W447)-Y447</f>
        <v>0</v>
      </c>
      <c r="AA447" s="14">
        <f t="shared" ref="AA447:AA510" si="208">IF(X447&lt;&gt;"",0.0001,IF(Y447+Z447=0,0,IF(Y447=0,70+(Z447*50),IF(Y447&gt;0,80+(Z447*50)))))</f>
        <v>0</v>
      </c>
      <c r="AB447" s="6">
        <f t="shared" si="186"/>
        <v>0</v>
      </c>
      <c r="AC447" s="6">
        <f t="shared" si="187"/>
        <v>0</v>
      </c>
      <c r="AD447" s="6">
        <f t="shared" si="188"/>
        <v>0</v>
      </c>
      <c r="AE447" s="52" t="str">
        <f t="shared" si="189"/>
        <v/>
      </c>
      <c r="AF447" s="52" t="str">
        <f t="shared" si="190"/>
        <v/>
      </c>
      <c r="AG447" s="50" t="str">
        <f t="shared" ref="AG447:AG510" si="209">IF(AND(B447="Feminino",C447&gt;=$BM$1,C447&lt;=$BM$2),$BM$3,IF(AND(B447="Masculino",C447&gt;=$BM$1,C447&lt;=$BM$2),$BN$3,""))</f>
        <v/>
      </c>
      <c r="AH447" s="50" t="str">
        <f t="shared" ref="AH447:AH510" si="210">IF(C447="","",IF(AND(C447&gt;=$BO$1,C447&lt;=$BO$2),$BO$3,IF(C447&lt;=$BP$2,$BP$3,"")))</f>
        <v/>
      </c>
      <c r="AI447" s="52" t="str">
        <f t="shared" si="191"/>
        <v/>
      </c>
      <c r="AJ447" s="52" t="str">
        <f t="shared" si="192"/>
        <v/>
      </c>
      <c r="AK447" s="52" t="str">
        <f t="shared" si="193"/>
        <v/>
      </c>
      <c r="AL447" s="52" t="str">
        <f t="shared" si="194"/>
        <v/>
      </c>
      <c r="AM447" s="52" t="str">
        <f t="shared" si="195"/>
        <v/>
      </c>
      <c r="AN447" s="52" t="str">
        <f t="shared" si="196"/>
        <v/>
      </c>
      <c r="AO447" s="52" t="str">
        <f t="shared" si="197"/>
        <v/>
      </c>
      <c r="AP447" s="52" t="str">
        <f t="shared" si="198"/>
        <v/>
      </c>
      <c r="AQ447" s="52" t="str">
        <f t="shared" si="199"/>
        <v/>
      </c>
      <c r="AR447" s="52" t="str">
        <f t="shared" si="200"/>
        <v/>
      </c>
      <c r="AS447" s="52" t="str">
        <f t="shared" si="201"/>
        <v/>
      </c>
      <c r="AT447" s="52" t="str">
        <f t="shared" si="202"/>
        <v/>
      </c>
      <c r="AU447" s="52" t="str">
        <f t="shared" si="203"/>
        <v/>
      </c>
      <c r="AV447" s="52" t="str">
        <f t="shared" si="204"/>
        <v/>
      </c>
      <c r="AW447" s="52" t="str">
        <f t="shared" si="205"/>
        <v/>
      </c>
      <c r="AX447" s="52" t="str">
        <f t="shared" si="206"/>
        <v/>
      </c>
      <c r="AY447" s="52" t="str">
        <f t="shared" ref="AY447:AY510" si="211">IF(C447="","",IF(AND(D447="",E447="",F447="",G447="",H447="",I447="",J447="",K447=""),"ADAPTADO",""))</f>
        <v/>
      </c>
    </row>
    <row r="448" spans="4:51">
      <c r="D448" s="23"/>
      <c r="E448" s="23"/>
      <c r="F448" s="23"/>
      <c r="G448" s="23"/>
      <c r="H448" s="23"/>
      <c r="I448" s="3"/>
      <c r="J448" s="3"/>
      <c r="K448" s="3"/>
      <c r="L448" s="2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26"/>
      <c r="Y448" s="1"/>
      <c r="Z448" s="12">
        <f t="shared" si="207"/>
        <v>0</v>
      </c>
      <c r="AA448" s="14">
        <f t="shared" si="208"/>
        <v>0</v>
      </c>
      <c r="AB448" s="6">
        <f t="shared" si="186"/>
        <v>0</v>
      </c>
      <c r="AC448" s="6">
        <f t="shared" si="187"/>
        <v>0</v>
      </c>
      <c r="AD448" s="6">
        <f t="shared" si="188"/>
        <v>0</v>
      </c>
      <c r="AE448" s="52" t="str">
        <f t="shared" si="189"/>
        <v/>
      </c>
      <c r="AF448" s="52" t="str">
        <f t="shared" si="190"/>
        <v/>
      </c>
      <c r="AG448" s="50" t="str">
        <f t="shared" si="209"/>
        <v/>
      </c>
      <c r="AH448" s="50" t="str">
        <f t="shared" si="210"/>
        <v/>
      </c>
      <c r="AI448" s="52" t="str">
        <f t="shared" si="191"/>
        <v/>
      </c>
      <c r="AJ448" s="52" t="str">
        <f t="shared" si="192"/>
        <v/>
      </c>
      <c r="AK448" s="52" t="str">
        <f t="shared" si="193"/>
        <v/>
      </c>
      <c r="AL448" s="52" t="str">
        <f t="shared" si="194"/>
        <v/>
      </c>
      <c r="AM448" s="52" t="str">
        <f t="shared" si="195"/>
        <v/>
      </c>
      <c r="AN448" s="52" t="str">
        <f t="shared" si="196"/>
        <v/>
      </c>
      <c r="AO448" s="52" t="str">
        <f t="shared" si="197"/>
        <v/>
      </c>
      <c r="AP448" s="52" t="str">
        <f t="shared" si="198"/>
        <v/>
      </c>
      <c r="AQ448" s="52" t="str">
        <f t="shared" si="199"/>
        <v/>
      </c>
      <c r="AR448" s="52" t="str">
        <f t="shared" si="200"/>
        <v/>
      </c>
      <c r="AS448" s="52" t="str">
        <f t="shared" si="201"/>
        <v/>
      </c>
      <c r="AT448" s="52" t="str">
        <f t="shared" si="202"/>
        <v/>
      </c>
      <c r="AU448" s="52" t="str">
        <f t="shared" si="203"/>
        <v/>
      </c>
      <c r="AV448" s="52" t="str">
        <f t="shared" si="204"/>
        <v/>
      </c>
      <c r="AW448" s="52" t="str">
        <f t="shared" si="205"/>
        <v/>
      </c>
      <c r="AX448" s="52" t="str">
        <f t="shared" si="206"/>
        <v/>
      </c>
      <c r="AY448" s="52" t="str">
        <f t="shared" si="211"/>
        <v/>
      </c>
    </row>
    <row r="449" spans="4:51">
      <c r="D449" s="23"/>
      <c r="E449" s="23"/>
      <c r="F449" s="23"/>
      <c r="G449" s="23"/>
      <c r="H449" s="23"/>
      <c r="I449" s="3"/>
      <c r="J449" s="3"/>
      <c r="K449" s="3"/>
      <c r="L449" s="2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26"/>
      <c r="Y449" s="1"/>
      <c r="Z449" s="12">
        <f t="shared" si="207"/>
        <v>0</v>
      </c>
      <c r="AA449" s="14">
        <f t="shared" si="208"/>
        <v>0</v>
      </c>
      <c r="AB449" s="6">
        <f t="shared" si="186"/>
        <v>0</v>
      </c>
      <c r="AC449" s="6">
        <f t="shared" si="187"/>
        <v>0</v>
      </c>
      <c r="AD449" s="6">
        <f t="shared" si="188"/>
        <v>0</v>
      </c>
      <c r="AE449" s="52" t="str">
        <f t="shared" si="189"/>
        <v/>
      </c>
      <c r="AF449" s="52" t="str">
        <f t="shared" si="190"/>
        <v/>
      </c>
      <c r="AG449" s="50" t="str">
        <f t="shared" si="209"/>
        <v/>
      </c>
      <c r="AH449" s="50" t="str">
        <f t="shared" si="210"/>
        <v/>
      </c>
      <c r="AI449" s="52" t="str">
        <f t="shared" si="191"/>
        <v/>
      </c>
      <c r="AJ449" s="52" t="str">
        <f t="shared" si="192"/>
        <v/>
      </c>
      <c r="AK449" s="52" t="str">
        <f t="shared" si="193"/>
        <v/>
      </c>
      <c r="AL449" s="52" t="str">
        <f t="shared" si="194"/>
        <v/>
      </c>
      <c r="AM449" s="52" t="str">
        <f t="shared" si="195"/>
        <v/>
      </c>
      <c r="AN449" s="52" t="str">
        <f t="shared" si="196"/>
        <v/>
      </c>
      <c r="AO449" s="52" t="str">
        <f t="shared" si="197"/>
        <v/>
      </c>
      <c r="AP449" s="52" t="str">
        <f t="shared" si="198"/>
        <v/>
      </c>
      <c r="AQ449" s="52" t="str">
        <f t="shared" si="199"/>
        <v/>
      </c>
      <c r="AR449" s="52" t="str">
        <f t="shared" si="200"/>
        <v/>
      </c>
      <c r="AS449" s="52" t="str">
        <f t="shared" si="201"/>
        <v/>
      </c>
      <c r="AT449" s="52" t="str">
        <f t="shared" si="202"/>
        <v/>
      </c>
      <c r="AU449" s="52" t="str">
        <f t="shared" si="203"/>
        <v/>
      </c>
      <c r="AV449" s="52" t="str">
        <f t="shared" si="204"/>
        <v/>
      </c>
      <c r="AW449" s="52" t="str">
        <f t="shared" si="205"/>
        <v/>
      </c>
      <c r="AX449" s="52" t="str">
        <f t="shared" si="206"/>
        <v/>
      </c>
      <c r="AY449" s="52" t="str">
        <f t="shared" si="211"/>
        <v/>
      </c>
    </row>
    <row r="450" spans="4:51">
      <c r="D450" s="23"/>
      <c r="E450" s="23"/>
      <c r="F450" s="23"/>
      <c r="G450" s="23"/>
      <c r="H450" s="23"/>
      <c r="I450" s="3"/>
      <c r="J450" s="3"/>
      <c r="K450" s="3"/>
      <c r="L450" s="2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26"/>
      <c r="Y450" s="1"/>
      <c r="Z450" s="12">
        <f t="shared" si="207"/>
        <v>0</v>
      </c>
      <c r="AA450" s="14">
        <f t="shared" si="208"/>
        <v>0</v>
      </c>
      <c r="AB450" s="6">
        <f t="shared" si="186"/>
        <v>0</v>
      </c>
      <c r="AC450" s="6">
        <f t="shared" si="187"/>
        <v>0</v>
      </c>
      <c r="AD450" s="6">
        <f t="shared" si="188"/>
        <v>0</v>
      </c>
      <c r="AE450" s="52" t="str">
        <f t="shared" si="189"/>
        <v/>
      </c>
      <c r="AF450" s="52" t="str">
        <f t="shared" si="190"/>
        <v/>
      </c>
      <c r="AG450" s="50" t="str">
        <f t="shared" si="209"/>
        <v/>
      </c>
      <c r="AH450" s="50" t="str">
        <f t="shared" si="210"/>
        <v/>
      </c>
      <c r="AI450" s="52" t="str">
        <f t="shared" si="191"/>
        <v/>
      </c>
      <c r="AJ450" s="52" t="str">
        <f t="shared" si="192"/>
        <v/>
      </c>
      <c r="AK450" s="52" t="str">
        <f t="shared" si="193"/>
        <v/>
      </c>
      <c r="AL450" s="52" t="str">
        <f t="shared" si="194"/>
        <v/>
      </c>
      <c r="AM450" s="52" t="str">
        <f t="shared" si="195"/>
        <v/>
      </c>
      <c r="AN450" s="52" t="str">
        <f t="shared" si="196"/>
        <v/>
      </c>
      <c r="AO450" s="52" t="str">
        <f t="shared" si="197"/>
        <v/>
      </c>
      <c r="AP450" s="52" t="str">
        <f t="shared" si="198"/>
        <v/>
      </c>
      <c r="AQ450" s="52" t="str">
        <f t="shared" si="199"/>
        <v/>
      </c>
      <c r="AR450" s="52" t="str">
        <f t="shared" si="200"/>
        <v/>
      </c>
      <c r="AS450" s="52" t="str">
        <f t="shared" si="201"/>
        <v/>
      </c>
      <c r="AT450" s="52" t="str">
        <f t="shared" si="202"/>
        <v/>
      </c>
      <c r="AU450" s="52" t="str">
        <f t="shared" si="203"/>
        <v/>
      </c>
      <c r="AV450" s="52" t="str">
        <f t="shared" si="204"/>
        <v/>
      </c>
      <c r="AW450" s="52" t="str">
        <f t="shared" si="205"/>
        <v/>
      </c>
      <c r="AX450" s="52" t="str">
        <f t="shared" si="206"/>
        <v/>
      </c>
      <c r="AY450" s="52" t="str">
        <f t="shared" si="211"/>
        <v/>
      </c>
    </row>
    <row r="451" spans="4:51">
      <c r="D451" s="23"/>
      <c r="E451" s="23"/>
      <c r="F451" s="23"/>
      <c r="G451" s="23"/>
      <c r="H451" s="23"/>
      <c r="I451" s="3"/>
      <c r="J451" s="3"/>
      <c r="K451" s="3"/>
      <c r="L451" s="2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26"/>
      <c r="Y451" s="1"/>
      <c r="Z451" s="12">
        <f t="shared" si="207"/>
        <v>0</v>
      </c>
      <c r="AA451" s="14">
        <f t="shared" si="208"/>
        <v>0</v>
      </c>
      <c r="AB451" s="6">
        <f t="shared" si="186"/>
        <v>0</v>
      </c>
      <c r="AC451" s="6">
        <f t="shared" si="187"/>
        <v>0</v>
      </c>
      <c r="AD451" s="6">
        <f t="shared" si="188"/>
        <v>0</v>
      </c>
      <c r="AE451" s="52" t="str">
        <f t="shared" si="189"/>
        <v/>
      </c>
      <c r="AF451" s="52" t="str">
        <f t="shared" si="190"/>
        <v/>
      </c>
      <c r="AG451" s="50" t="str">
        <f t="shared" si="209"/>
        <v/>
      </c>
      <c r="AH451" s="50" t="str">
        <f t="shared" si="210"/>
        <v/>
      </c>
      <c r="AI451" s="52" t="str">
        <f t="shared" si="191"/>
        <v/>
      </c>
      <c r="AJ451" s="52" t="str">
        <f t="shared" si="192"/>
        <v/>
      </c>
      <c r="AK451" s="52" t="str">
        <f t="shared" si="193"/>
        <v/>
      </c>
      <c r="AL451" s="52" t="str">
        <f t="shared" si="194"/>
        <v/>
      </c>
      <c r="AM451" s="52" t="str">
        <f t="shared" si="195"/>
        <v/>
      </c>
      <c r="AN451" s="52" t="str">
        <f t="shared" si="196"/>
        <v/>
      </c>
      <c r="AO451" s="52" t="str">
        <f t="shared" si="197"/>
        <v/>
      </c>
      <c r="AP451" s="52" t="str">
        <f t="shared" si="198"/>
        <v/>
      </c>
      <c r="AQ451" s="52" t="str">
        <f t="shared" si="199"/>
        <v/>
      </c>
      <c r="AR451" s="52" t="str">
        <f t="shared" si="200"/>
        <v/>
      </c>
      <c r="AS451" s="52" t="str">
        <f t="shared" si="201"/>
        <v/>
      </c>
      <c r="AT451" s="52" t="str">
        <f t="shared" si="202"/>
        <v/>
      </c>
      <c r="AU451" s="52" t="str">
        <f t="shared" si="203"/>
        <v/>
      </c>
      <c r="AV451" s="52" t="str">
        <f t="shared" si="204"/>
        <v/>
      </c>
      <c r="AW451" s="52" t="str">
        <f t="shared" si="205"/>
        <v/>
      </c>
      <c r="AX451" s="52" t="str">
        <f t="shared" si="206"/>
        <v/>
      </c>
      <c r="AY451" s="52" t="str">
        <f t="shared" si="211"/>
        <v/>
      </c>
    </row>
    <row r="452" spans="4:51">
      <c r="D452" s="23"/>
      <c r="E452" s="23"/>
      <c r="F452" s="23"/>
      <c r="G452" s="23"/>
      <c r="H452" s="23"/>
      <c r="I452" s="3"/>
      <c r="J452" s="3"/>
      <c r="K452" s="3"/>
      <c r="L452" s="2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26"/>
      <c r="Y452" s="1"/>
      <c r="Z452" s="12">
        <f t="shared" si="207"/>
        <v>0</v>
      </c>
      <c r="AA452" s="14">
        <f t="shared" si="208"/>
        <v>0</v>
      </c>
      <c r="AB452" s="6">
        <f t="shared" si="186"/>
        <v>0</v>
      </c>
      <c r="AC452" s="6">
        <f t="shared" si="187"/>
        <v>0</v>
      </c>
      <c r="AD452" s="6">
        <f t="shared" si="188"/>
        <v>0</v>
      </c>
      <c r="AE452" s="52" t="str">
        <f t="shared" si="189"/>
        <v/>
      </c>
      <c r="AF452" s="52" t="str">
        <f t="shared" si="190"/>
        <v/>
      </c>
      <c r="AG452" s="50" t="str">
        <f t="shared" si="209"/>
        <v/>
      </c>
      <c r="AH452" s="50" t="str">
        <f t="shared" si="210"/>
        <v/>
      </c>
      <c r="AI452" s="52" t="str">
        <f t="shared" si="191"/>
        <v/>
      </c>
      <c r="AJ452" s="52" t="str">
        <f t="shared" si="192"/>
        <v/>
      </c>
      <c r="AK452" s="52" t="str">
        <f t="shared" si="193"/>
        <v/>
      </c>
      <c r="AL452" s="52" t="str">
        <f t="shared" si="194"/>
        <v/>
      </c>
      <c r="AM452" s="52" t="str">
        <f t="shared" si="195"/>
        <v/>
      </c>
      <c r="AN452" s="52" t="str">
        <f t="shared" si="196"/>
        <v/>
      </c>
      <c r="AO452" s="52" t="str">
        <f t="shared" si="197"/>
        <v/>
      </c>
      <c r="AP452" s="52" t="str">
        <f t="shared" si="198"/>
        <v/>
      </c>
      <c r="AQ452" s="52" t="str">
        <f t="shared" si="199"/>
        <v/>
      </c>
      <c r="AR452" s="52" t="str">
        <f t="shared" si="200"/>
        <v/>
      </c>
      <c r="AS452" s="52" t="str">
        <f t="shared" si="201"/>
        <v/>
      </c>
      <c r="AT452" s="52" t="str">
        <f t="shared" si="202"/>
        <v/>
      </c>
      <c r="AU452" s="52" t="str">
        <f t="shared" si="203"/>
        <v/>
      </c>
      <c r="AV452" s="52" t="str">
        <f t="shared" si="204"/>
        <v/>
      </c>
      <c r="AW452" s="52" t="str">
        <f t="shared" si="205"/>
        <v/>
      </c>
      <c r="AX452" s="52" t="str">
        <f t="shared" si="206"/>
        <v/>
      </c>
      <c r="AY452" s="52" t="str">
        <f t="shared" si="211"/>
        <v/>
      </c>
    </row>
    <row r="453" spans="4:51">
      <c r="D453" s="23"/>
      <c r="E453" s="23"/>
      <c r="F453" s="23"/>
      <c r="G453" s="23"/>
      <c r="H453" s="23"/>
      <c r="I453" s="3"/>
      <c r="J453" s="3"/>
      <c r="K453" s="3"/>
      <c r="L453" s="2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26"/>
      <c r="Y453" s="1"/>
      <c r="Z453" s="12">
        <f t="shared" si="207"/>
        <v>0</v>
      </c>
      <c r="AA453" s="14">
        <f t="shared" si="208"/>
        <v>0</v>
      </c>
      <c r="AB453" s="6">
        <f t="shared" si="186"/>
        <v>0</v>
      </c>
      <c r="AC453" s="6">
        <f t="shared" si="187"/>
        <v>0</v>
      </c>
      <c r="AD453" s="6">
        <f t="shared" si="188"/>
        <v>0</v>
      </c>
      <c r="AE453" s="52" t="str">
        <f t="shared" si="189"/>
        <v/>
      </c>
      <c r="AF453" s="52" t="str">
        <f t="shared" si="190"/>
        <v/>
      </c>
      <c r="AG453" s="50" t="str">
        <f t="shared" si="209"/>
        <v/>
      </c>
      <c r="AH453" s="50" t="str">
        <f t="shared" si="210"/>
        <v/>
      </c>
      <c r="AI453" s="52" t="str">
        <f t="shared" si="191"/>
        <v/>
      </c>
      <c r="AJ453" s="52" t="str">
        <f t="shared" si="192"/>
        <v/>
      </c>
      <c r="AK453" s="52" t="str">
        <f t="shared" si="193"/>
        <v/>
      </c>
      <c r="AL453" s="52" t="str">
        <f t="shared" si="194"/>
        <v/>
      </c>
      <c r="AM453" s="52" t="str">
        <f t="shared" si="195"/>
        <v/>
      </c>
      <c r="AN453" s="52" t="str">
        <f t="shared" si="196"/>
        <v/>
      </c>
      <c r="AO453" s="52" t="str">
        <f t="shared" si="197"/>
        <v/>
      </c>
      <c r="AP453" s="52" t="str">
        <f t="shared" si="198"/>
        <v/>
      </c>
      <c r="AQ453" s="52" t="str">
        <f t="shared" si="199"/>
        <v/>
      </c>
      <c r="AR453" s="52" t="str">
        <f t="shared" si="200"/>
        <v/>
      </c>
      <c r="AS453" s="52" t="str">
        <f t="shared" si="201"/>
        <v/>
      </c>
      <c r="AT453" s="52" t="str">
        <f t="shared" si="202"/>
        <v/>
      </c>
      <c r="AU453" s="52" t="str">
        <f t="shared" si="203"/>
        <v/>
      </c>
      <c r="AV453" s="52" t="str">
        <f t="shared" si="204"/>
        <v/>
      </c>
      <c r="AW453" s="52" t="str">
        <f t="shared" si="205"/>
        <v/>
      </c>
      <c r="AX453" s="52" t="str">
        <f t="shared" si="206"/>
        <v/>
      </c>
      <c r="AY453" s="52" t="str">
        <f t="shared" si="211"/>
        <v/>
      </c>
    </row>
    <row r="454" spans="4:51">
      <c r="D454" s="23"/>
      <c r="E454" s="23"/>
      <c r="F454" s="23"/>
      <c r="G454" s="23"/>
      <c r="H454" s="23"/>
      <c r="I454" s="3"/>
      <c r="J454" s="3"/>
      <c r="K454" s="3"/>
      <c r="L454" s="2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26"/>
      <c r="Y454" s="1"/>
      <c r="Z454" s="12">
        <f t="shared" si="207"/>
        <v>0</v>
      </c>
      <c r="AA454" s="14">
        <f t="shared" si="208"/>
        <v>0</v>
      </c>
      <c r="AB454" s="6">
        <f t="shared" si="186"/>
        <v>0</v>
      </c>
      <c r="AC454" s="6">
        <f t="shared" si="187"/>
        <v>0</v>
      </c>
      <c r="AD454" s="6">
        <f t="shared" si="188"/>
        <v>0</v>
      </c>
      <c r="AE454" s="52" t="str">
        <f t="shared" si="189"/>
        <v/>
      </c>
      <c r="AF454" s="52" t="str">
        <f t="shared" si="190"/>
        <v/>
      </c>
      <c r="AG454" s="50" t="str">
        <f t="shared" si="209"/>
        <v/>
      </c>
      <c r="AH454" s="50" t="str">
        <f t="shared" si="210"/>
        <v/>
      </c>
      <c r="AI454" s="52" t="str">
        <f t="shared" si="191"/>
        <v/>
      </c>
      <c r="AJ454" s="52" t="str">
        <f t="shared" si="192"/>
        <v/>
      </c>
      <c r="AK454" s="52" t="str">
        <f t="shared" si="193"/>
        <v/>
      </c>
      <c r="AL454" s="52" t="str">
        <f t="shared" si="194"/>
        <v/>
      </c>
      <c r="AM454" s="52" t="str">
        <f t="shared" si="195"/>
        <v/>
      </c>
      <c r="AN454" s="52" t="str">
        <f t="shared" si="196"/>
        <v/>
      </c>
      <c r="AO454" s="52" t="str">
        <f t="shared" si="197"/>
        <v/>
      </c>
      <c r="AP454" s="52" t="str">
        <f t="shared" si="198"/>
        <v/>
      </c>
      <c r="AQ454" s="52" t="str">
        <f t="shared" si="199"/>
        <v/>
      </c>
      <c r="AR454" s="52" t="str">
        <f t="shared" si="200"/>
        <v/>
      </c>
      <c r="AS454" s="52" t="str">
        <f t="shared" si="201"/>
        <v/>
      </c>
      <c r="AT454" s="52" t="str">
        <f t="shared" si="202"/>
        <v/>
      </c>
      <c r="AU454" s="52" t="str">
        <f t="shared" si="203"/>
        <v/>
      </c>
      <c r="AV454" s="52" t="str">
        <f t="shared" si="204"/>
        <v/>
      </c>
      <c r="AW454" s="52" t="str">
        <f t="shared" si="205"/>
        <v/>
      </c>
      <c r="AX454" s="52" t="str">
        <f t="shared" si="206"/>
        <v/>
      </c>
      <c r="AY454" s="52" t="str">
        <f t="shared" si="211"/>
        <v/>
      </c>
    </row>
    <row r="455" spans="4:51">
      <c r="D455" s="23"/>
      <c r="E455" s="23"/>
      <c r="F455" s="23"/>
      <c r="G455" s="23"/>
      <c r="H455" s="23"/>
      <c r="I455" s="3"/>
      <c r="J455" s="3"/>
      <c r="K455" s="3"/>
      <c r="L455" s="2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26"/>
      <c r="Y455" s="1"/>
      <c r="Z455" s="12">
        <f t="shared" si="207"/>
        <v>0</v>
      </c>
      <c r="AA455" s="14">
        <f t="shared" si="208"/>
        <v>0</v>
      </c>
      <c r="AB455" s="6">
        <f t="shared" si="186"/>
        <v>0</v>
      </c>
      <c r="AC455" s="6">
        <f t="shared" si="187"/>
        <v>0</v>
      </c>
      <c r="AD455" s="6">
        <f t="shared" si="188"/>
        <v>0</v>
      </c>
      <c r="AE455" s="52" t="str">
        <f t="shared" si="189"/>
        <v/>
      </c>
      <c r="AF455" s="52" t="str">
        <f t="shared" si="190"/>
        <v/>
      </c>
      <c r="AG455" s="50" t="str">
        <f t="shared" si="209"/>
        <v/>
      </c>
      <c r="AH455" s="50" t="str">
        <f t="shared" si="210"/>
        <v/>
      </c>
      <c r="AI455" s="52" t="str">
        <f t="shared" si="191"/>
        <v/>
      </c>
      <c r="AJ455" s="52" t="str">
        <f t="shared" si="192"/>
        <v/>
      </c>
      <c r="AK455" s="52" t="str">
        <f t="shared" si="193"/>
        <v/>
      </c>
      <c r="AL455" s="52" t="str">
        <f t="shared" si="194"/>
        <v/>
      </c>
      <c r="AM455" s="52" t="str">
        <f t="shared" si="195"/>
        <v/>
      </c>
      <c r="AN455" s="52" t="str">
        <f t="shared" si="196"/>
        <v/>
      </c>
      <c r="AO455" s="52" t="str">
        <f t="shared" si="197"/>
        <v/>
      </c>
      <c r="AP455" s="52" t="str">
        <f t="shared" si="198"/>
        <v/>
      </c>
      <c r="AQ455" s="52" t="str">
        <f t="shared" si="199"/>
        <v/>
      </c>
      <c r="AR455" s="52" t="str">
        <f t="shared" si="200"/>
        <v/>
      </c>
      <c r="AS455" s="52" t="str">
        <f t="shared" si="201"/>
        <v/>
      </c>
      <c r="AT455" s="52" t="str">
        <f t="shared" si="202"/>
        <v/>
      </c>
      <c r="AU455" s="52" t="str">
        <f t="shared" si="203"/>
        <v/>
      </c>
      <c r="AV455" s="52" t="str">
        <f t="shared" si="204"/>
        <v/>
      </c>
      <c r="AW455" s="52" t="str">
        <f t="shared" si="205"/>
        <v/>
      </c>
      <c r="AX455" s="52" t="str">
        <f t="shared" si="206"/>
        <v/>
      </c>
      <c r="AY455" s="52" t="str">
        <f t="shared" si="211"/>
        <v/>
      </c>
    </row>
    <row r="456" spans="4:51">
      <c r="D456" s="23"/>
      <c r="E456" s="23"/>
      <c r="F456" s="23"/>
      <c r="G456" s="23"/>
      <c r="H456" s="23"/>
      <c r="I456" s="3"/>
      <c r="J456" s="3"/>
      <c r="K456" s="3"/>
      <c r="L456" s="2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26"/>
      <c r="Y456" s="1"/>
      <c r="Z456" s="12">
        <f t="shared" si="207"/>
        <v>0</v>
      </c>
      <c r="AA456" s="14">
        <f t="shared" si="208"/>
        <v>0</v>
      </c>
      <c r="AB456" s="6">
        <f t="shared" si="186"/>
        <v>0</v>
      </c>
      <c r="AC456" s="6">
        <f t="shared" si="187"/>
        <v>0</v>
      </c>
      <c r="AD456" s="6">
        <f t="shared" si="188"/>
        <v>0</v>
      </c>
      <c r="AE456" s="52" t="str">
        <f t="shared" si="189"/>
        <v/>
      </c>
      <c r="AF456" s="52" t="str">
        <f t="shared" si="190"/>
        <v/>
      </c>
      <c r="AG456" s="50" t="str">
        <f t="shared" si="209"/>
        <v/>
      </c>
      <c r="AH456" s="50" t="str">
        <f t="shared" si="210"/>
        <v/>
      </c>
      <c r="AI456" s="52" t="str">
        <f t="shared" si="191"/>
        <v/>
      </c>
      <c r="AJ456" s="52" t="str">
        <f t="shared" si="192"/>
        <v/>
      </c>
      <c r="AK456" s="52" t="str">
        <f t="shared" si="193"/>
        <v/>
      </c>
      <c r="AL456" s="52" t="str">
        <f t="shared" si="194"/>
        <v/>
      </c>
      <c r="AM456" s="52" t="str">
        <f t="shared" si="195"/>
        <v/>
      </c>
      <c r="AN456" s="52" t="str">
        <f t="shared" si="196"/>
        <v/>
      </c>
      <c r="AO456" s="52" t="str">
        <f t="shared" si="197"/>
        <v/>
      </c>
      <c r="AP456" s="52" t="str">
        <f t="shared" si="198"/>
        <v/>
      </c>
      <c r="AQ456" s="52" t="str">
        <f t="shared" si="199"/>
        <v/>
      </c>
      <c r="AR456" s="52" t="str">
        <f t="shared" si="200"/>
        <v/>
      </c>
      <c r="AS456" s="52" t="str">
        <f t="shared" si="201"/>
        <v/>
      </c>
      <c r="AT456" s="52" t="str">
        <f t="shared" si="202"/>
        <v/>
      </c>
      <c r="AU456" s="52" t="str">
        <f t="shared" si="203"/>
        <v/>
      </c>
      <c r="AV456" s="52" t="str">
        <f t="shared" si="204"/>
        <v/>
      </c>
      <c r="AW456" s="52" t="str">
        <f t="shared" si="205"/>
        <v/>
      </c>
      <c r="AX456" s="52" t="str">
        <f t="shared" si="206"/>
        <v/>
      </c>
      <c r="AY456" s="52" t="str">
        <f t="shared" si="211"/>
        <v/>
      </c>
    </row>
    <row r="457" spans="4:51">
      <c r="D457" s="23"/>
      <c r="E457" s="23"/>
      <c r="F457" s="23"/>
      <c r="G457" s="23"/>
      <c r="H457" s="23"/>
      <c r="I457" s="3"/>
      <c r="J457" s="3"/>
      <c r="K457" s="3"/>
      <c r="L457" s="2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26"/>
      <c r="Y457" s="1"/>
      <c r="Z457" s="12">
        <f t="shared" si="207"/>
        <v>0</v>
      </c>
      <c r="AA457" s="14">
        <f t="shared" si="208"/>
        <v>0</v>
      </c>
      <c r="AB457" s="6">
        <f t="shared" si="186"/>
        <v>0</v>
      </c>
      <c r="AC457" s="6">
        <f t="shared" si="187"/>
        <v>0</v>
      </c>
      <c r="AD457" s="6">
        <f t="shared" si="188"/>
        <v>0</v>
      </c>
      <c r="AE457" s="52" t="str">
        <f t="shared" si="189"/>
        <v/>
      </c>
      <c r="AF457" s="52" t="str">
        <f t="shared" si="190"/>
        <v/>
      </c>
      <c r="AG457" s="50" t="str">
        <f t="shared" si="209"/>
        <v/>
      </c>
      <c r="AH457" s="50" t="str">
        <f t="shared" si="210"/>
        <v/>
      </c>
      <c r="AI457" s="52" t="str">
        <f t="shared" si="191"/>
        <v/>
      </c>
      <c r="AJ457" s="52" t="str">
        <f t="shared" si="192"/>
        <v/>
      </c>
      <c r="AK457" s="52" t="str">
        <f t="shared" si="193"/>
        <v/>
      </c>
      <c r="AL457" s="52" t="str">
        <f t="shared" si="194"/>
        <v/>
      </c>
      <c r="AM457" s="52" t="str">
        <f t="shared" si="195"/>
        <v/>
      </c>
      <c r="AN457" s="52" t="str">
        <f t="shared" si="196"/>
        <v/>
      </c>
      <c r="AO457" s="52" t="str">
        <f t="shared" si="197"/>
        <v/>
      </c>
      <c r="AP457" s="52" t="str">
        <f t="shared" si="198"/>
        <v/>
      </c>
      <c r="AQ457" s="52" t="str">
        <f t="shared" si="199"/>
        <v/>
      </c>
      <c r="AR457" s="52" t="str">
        <f t="shared" si="200"/>
        <v/>
      </c>
      <c r="AS457" s="52" t="str">
        <f t="shared" si="201"/>
        <v/>
      </c>
      <c r="AT457" s="52" t="str">
        <f t="shared" si="202"/>
        <v/>
      </c>
      <c r="AU457" s="52" t="str">
        <f t="shared" si="203"/>
        <v/>
      </c>
      <c r="AV457" s="52" t="str">
        <f t="shared" si="204"/>
        <v/>
      </c>
      <c r="AW457" s="52" t="str">
        <f t="shared" si="205"/>
        <v/>
      </c>
      <c r="AX457" s="52" t="str">
        <f t="shared" si="206"/>
        <v/>
      </c>
      <c r="AY457" s="52" t="str">
        <f t="shared" si="211"/>
        <v/>
      </c>
    </row>
    <row r="458" spans="4:51">
      <c r="D458" s="23"/>
      <c r="E458" s="23"/>
      <c r="F458" s="23"/>
      <c r="G458" s="23"/>
      <c r="H458" s="23"/>
      <c r="I458" s="3"/>
      <c r="J458" s="3"/>
      <c r="K458" s="3"/>
      <c r="L458" s="2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26"/>
      <c r="Y458" s="1"/>
      <c r="Z458" s="12">
        <f t="shared" si="207"/>
        <v>0</v>
      </c>
      <c r="AA458" s="14">
        <f t="shared" si="208"/>
        <v>0</v>
      </c>
      <c r="AB458" s="6">
        <f t="shared" si="186"/>
        <v>0</v>
      </c>
      <c r="AC458" s="6">
        <f t="shared" si="187"/>
        <v>0</v>
      </c>
      <c r="AD458" s="6">
        <f t="shared" si="188"/>
        <v>0</v>
      </c>
      <c r="AE458" s="52" t="str">
        <f t="shared" si="189"/>
        <v/>
      </c>
      <c r="AF458" s="52" t="str">
        <f t="shared" si="190"/>
        <v/>
      </c>
      <c r="AG458" s="50" t="str">
        <f t="shared" si="209"/>
        <v/>
      </c>
      <c r="AH458" s="50" t="str">
        <f t="shared" si="210"/>
        <v/>
      </c>
      <c r="AI458" s="52" t="str">
        <f t="shared" si="191"/>
        <v/>
      </c>
      <c r="AJ458" s="52" t="str">
        <f t="shared" si="192"/>
        <v/>
      </c>
      <c r="AK458" s="52" t="str">
        <f t="shared" si="193"/>
        <v/>
      </c>
      <c r="AL458" s="52" t="str">
        <f t="shared" si="194"/>
        <v/>
      </c>
      <c r="AM458" s="52" t="str">
        <f t="shared" si="195"/>
        <v/>
      </c>
      <c r="AN458" s="52" t="str">
        <f t="shared" si="196"/>
        <v/>
      </c>
      <c r="AO458" s="52" t="str">
        <f t="shared" si="197"/>
        <v/>
      </c>
      <c r="AP458" s="52" t="str">
        <f t="shared" si="198"/>
        <v/>
      </c>
      <c r="AQ458" s="52" t="str">
        <f t="shared" si="199"/>
        <v/>
      </c>
      <c r="AR458" s="52" t="str">
        <f t="shared" si="200"/>
        <v/>
      </c>
      <c r="AS458" s="52" t="str">
        <f t="shared" si="201"/>
        <v/>
      </c>
      <c r="AT458" s="52" t="str">
        <f t="shared" si="202"/>
        <v/>
      </c>
      <c r="AU458" s="52" t="str">
        <f t="shared" si="203"/>
        <v/>
      </c>
      <c r="AV458" s="52" t="str">
        <f t="shared" si="204"/>
        <v/>
      </c>
      <c r="AW458" s="52" t="str">
        <f t="shared" si="205"/>
        <v/>
      </c>
      <c r="AX458" s="52" t="str">
        <f t="shared" si="206"/>
        <v/>
      </c>
      <c r="AY458" s="52" t="str">
        <f t="shared" si="211"/>
        <v/>
      </c>
    </row>
    <row r="459" spans="4:51">
      <c r="D459" s="23"/>
      <c r="E459" s="23"/>
      <c r="F459" s="23"/>
      <c r="G459" s="23"/>
      <c r="H459" s="23"/>
      <c r="I459" s="3"/>
      <c r="J459" s="3"/>
      <c r="K459" s="3"/>
      <c r="L459" s="2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26"/>
      <c r="Y459" s="1"/>
      <c r="Z459" s="12">
        <f t="shared" si="207"/>
        <v>0</v>
      </c>
      <c r="AA459" s="14">
        <f t="shared" si="208"/>
        <v>0</v>
      </c>
      <c r="AB459" s="6">
        <f t="shared" si="186"/>
        <v>0</v>
      </c>
      <c r="AC459" s="6">
        <f t="shared" si="187"/>
        <v>0</v>
      </c>
      <c r="AD459" s="6">
        <f t="shared" si="188"/>
        <v>0</v>
      </c>
      <c r="AE459" s="52" t="str">
        <f t="shared" si="189"/>
        <v/>
      </c>
      <c r="AF459" s="52" t="str">
        <f t="shared" si="190"/>
        <v/>
      </c>
      <c r="AG459" s="50" t="str">
        <f t="shared" si="209"/>
        <v/>
      </c>
      <c r="AH459" s="50" t="str">
        <f t="shared" si="210"/>
        <v/>
      </c>
      <c r="AI459" s="52" t="str">
        <f t="shared" si="191"/>
        <v/>
      </c>
      <c r="AJ459" s="52" t="str">
        <f t="shared" si="192"/>
        <v/>
      </c>
      <c r="AK459" s="52" t="str">
        <f t="shared" si="193"/>
        <v/>
      </c>
      <c r="AL459" s="52" t="str">
        <f t="shared" si="194"/>
        <v/>
      </c>
      <c r="AM459" s="52" t="str">
        <f t="shared" si="195"/>
        <v/>
      </c>
      <c r="AN459" s="52" t="str">
        <f t="shared" si="196"/>
        <v/>
      </c>
      <c r="AO459" s="52" t="str">
        <f t="shared" si="197"/>
        <v/>
      </c>
      <c r="AP459" s="52" t="str">
        <f t="shared" si="198"/>
        <v/>
      </c>
      <c r="AQ459" s="52" t="str">
        <f t="shared" si="199"/>
        <v/>
      </c>
      <c r="AR459" s="52" t="str">
        <f t="shared" si="200"/>
        <v/>
      </c>
      <c r="AS459" s="52" t="str">
        <f t="shared" si="201"/>
        <v/>
      </c>
      <c r="AT459" s="52" t="str">
        <f t="shared" si="202"/>
        <v/>
      </c>
      <c r="AU459" s="52" t="str">
        <f t="shared" si="203"/>
        <v/>
      </c>
      <c r="AV459" s="52" t="str">
        <f t="shared" si="204"/>
        <v/>
      </c>
      <c r="AW459" s="52" t="str">
        <f t="shared" si="205"/>
        <v/>
      </c>
      <c r="AX459" s="52" t="str">
        <f t="shared" si="206"/>
        <v/>
      </c>
      <c r="AY459" s="52" t="str">
        <f t="shared" si="211"/>
        <v/>
      </c>
    </row>
    <row r="460" spans="4:51">
      <c r="D460" s="23"/>
      <c r="E460" s="23"/>
      <c r="F460" s="23"/>
      <c r="G460" s="23"/>
      <c r="H460" s="23"/>
      <c r="I460" s="3"/>
      <c r="J460" s="3"/>
      <c r="K460" s="3"/>
      <c r="L460" s="2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26"/>
      <c r="Y460" s="1"/>
      <c r="Z460" s="12">
        <f t="shared" si="207"/>
        <v>0</v>
      </c>
      <c r="AA460" s="14">
        <f t="shared" si="208"/>
        <v>0</v>
      </c>
      <c r="AB460" s="6">
        <f t="shared" si="186"/>
        <v>0</v>
      </c>
      <c r="AC460" s="6">
        <f t="shared" si="187"/>
        <v>0</v>
      </c>
      <c r="AD460" s="6">
        <f t="shared" si="188"/>
        <v>0</v>
      </c>
      <c r="AE460" s="52" t="str">
        <f t="shared" si="189"/>
        <v/>
      </c>
      <c r="AF460" s="52" t="str">
        <f t="shared" si="190"/>
        <v/>
      </c>
      <c r="AG460" s="50" t="str">
        <f t="shared" si="209"/>
        <v/>
      </c>
      <c r="AH460" s="50" t="str">
        <f t="shared" si="210"/>
        <v/>
      </c>
      <c r="AI460" s="52" t="str">
        <f t="shared" si="191"/>
        <v/>
      </c>
      <c r="AJ460" s="52" t="str">
        <f t="shared" si="192"/>
        <v/>
      </c>
      <c r="AK460" s="52" t="str">
        <f t="shared" si="193"/>
        <v/>
      </c>
      <c r="AL460" s="52" t="str">
        <f t="shared" si="194"/>
        <v/>
      </c>
      <c r="AM460" s="52" t="str">
        <f t="shared" si="195"/>
        <v/>
      </c>
      <c r="AN460" s="52" t="str">
        <f t="shared" si="196"/>
        <v/>
      </c>
      <c r="AO460" s="52" t="str">
        <f t="shared" si="197"/>
        <v/>
      </c>
      <c r="AP460" s="52" t="str">
        <f t="shared" si="198"/>
        <v/>
      </c>
      <c r="AQ460" s="52" t="str">
        <f t="shared" si="199"/>
        <v/>
      </c>
      <c r="AR460" s="52" t="str">
        <f t="shared" si="200"/>
        <v/>
      </c>
      <c r="AS460" s="52" t="str">
        <f t="shared" si="201"/>
        <v/>
      </c>
      <c r="AT460" s="52" t="str">
        <f t="shared" si="202"/>
        <v/>
      </c>
      <c r="AU460" s="52" t="str">
        <f t="shared" si="203"/>
        <v/>
      </c>
      <c r="AV460" s="52" t="str">
        <f t="shared" si="204"/>
        <v/>
      </c>
      <c r="AW460" s="52" t="str">
        <f t="shared" si="205"/>
        <v/>
      </c>
      <c r="AX460" s="52" t="str">
        <f t="shared" si="206"/>
        <v/>
      </c>
      <c r="AY460" s="52" t="str">
        <f t="shared" si="211"/>
        <v/>
      </c>
    </row>
    <row r="461" spans="4:51">
      <c r="D461" s="23"/>
      <c r="E461" s="23"/>
      <c r="F461" s="23"/>
      <c r="G461" s="23"/>
      <c r="H461" s="23"/>
      <c r="I461" s="3"/>
      <c r="J461" s="3"/>
      <c r="K461" s="3"/>
      <c r="L461" s="2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26"/>
      <c r="Y461" s="1"/>
      <c r="Z461" s="12">
        <f t="shared" si="207"/>
        <v>0</v>
      </c>
      <c r="AA461" s="14">
        <f t="shared" si="208"/>
        <v>0</v>
      </c>
      <c r="AB461" s="6">
        <f t="shared" si="186"/>
        <v>0</v>
      </c>
      <c r="AC461" s="6">
        <f t="shared" si="187"/>
        <v>0</v>
      </c>
      <c r="AD461" s="6">
        <f t="shared" si="188"/>
        <v>0</v>
      </c>
      <c r="AE461" s="52" t="str">
        <f t="shared" si="189"/>
        <v/>
      </c>
      <c r="AF461" s="52" t="str">
        <f t="shared" si="190"/>
        <v/>
      </c>
      <c r="AG461" s="50" t="str">
        <f t="shared" si="209"/>
        <v/>
      </c>
      <c r="AH461" s="50" t="str">
        <f t="shared" si="210"/>
        <v/>
      </c>
      <c r="AI461" s="52" t="str">
        <f t="shared" si="191"/>
        <v/>
      </c>
      <c r="AJ461" s="52" t="str">
        <f t="shared" si="192"/>
        <v/>
      </c>
      <c r="AK461" s="52" t="str">
        <f t="shared" si="193"/>
        <v/>
      </c>
      <c r="AL461" s="52" t="str">
        <f t="shared" si="194"/>
        <v/>
      </c>
      <c r="AM461" s="52" t="str">
        <f t="shared" si="195"/>
        <v/>
      </c>
      <c r="AN461" s="52" t="str">
        <f t="shared" si="196"/>
        <v/>
      </c>
      <c r="AO461" s="52" t="str">
        <f t="shared" si="197"/>
        <v/>
      </c>
      <c r="AP461" s="52" t="str">
        <f t="shared" si="198"/>
        <v/>
      </c>
      <c r="AQ461" s="52" t="str">
        <f t="shared" si="199"/>
        <v/>
      </c>
      <c r="AR461" s="52" t="str">
        <f t="shared" si="200"/>
        <v/>
      </c>
      <c r="AS461" s="52" t="str">
        <f t="shared" si="201"/>
        <v/>
      </c>
      <c r="AT461" s="52" t="str">
        <f t="shared" si="202"/>
        <v/>
      </c>
      <c r="AU461" s="52" t="str">
        <f t="shared" si="203"/>
        <v/>
      </c>
      <c r="AV461" s="52" t="str">
        <f t="shared" si="204"/>
        <v/>
      </c>
      <c r="AW461" s="52" t="str">
        <f t="shared" si="205"/>
        <v/>
      </c>
      <c r="AX461" s="52" t="str">
        <f t="shared" si="206"/>
        <v/>
      </c>
      <c r="AY461" s="52" t="str">
        <f t="shared" si="211"/>
        <v/>
      </c>
    </row>
    <row r="462" spans="4:51">
      <c r="D462" s="23"/>
      <c r="E462" s="23"/>
      <c r="F462" s="23"/>
      <c r="G462" s="23"/>
      <c r="H462" s="23"/>
      <c r="I462" s="3"/>
      <c r="J462" s="3"/>
      <c r="K462" s="3"/>
      <c r="L462" s="2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26"/>
      <c r="Y462" s="1"/>
      <c r="Z462" s="12">
        <f t="shared" si="207"/>
        <v>0</v>
      </c>
      <c r="AA462" s="14">
        <f t="shared" si="208"/>
        <v>0</v>
      </c>
      <c r="AB462" s="6">
        <f t="shared" si="186"/>
        <v>0</v>
      </c>
      <c r="AC462" s="6">
        <f t="shared" si="187"/>
        <v>0</v>
      </c>
      <c r="AD462" s="6">
        <f t="shared" si="188"/>
        <v>0</v>
      </c>
      <c r="AE462" s="52" t="str">
        <f t="shared" si="189"/>
        <v/>
      </c>
      <c r="AF462" s="52" t="str">
        <f t="shared" si="190"/>
        <v/>
      </c>
      <c r="AG462" s="50" t="str">
        <f t="shared" si="209"/>
        <v/>
      </c>
      <c r="AH462" s="50" t="str">
        <f t="shared" si="210"/>
        <v/>
      </c>
      <c r="AI462" s="52" t="str">
        <f t="shared" si="191"/>
        <v/>
      </c>
      <c r="AJ462" s="52" t="str">
        <f t="shared" si="192"/>
        <v/>
      </c>
      <c r="AK462" s="52" t="str">
        <f t="shared" si="193"/>
        <v/>
      </c>
      <c r="AL462" s="52" t="str">
        <f t="shared" si="194"/>
        <v/>
      </c>
      <c r="AM462" s="52" t="str">
        <f t="shared" si="195"/>
        <v/>
      </c>
      <c r="AN462" s="52" t="str">
        <f t="shared" si="196"/>
        <v/>
      </c>
      <c r="AO462" s="52" t="str">
        <f t="shared" si="197"/>
        <v/>
      </c>
      <c r="AP462" s="52" t="str">
        <f t="shared" si="198"/>
        <v/>
      </c>
      <c r="AQ462" s="52" t="str">
        <f t="shared" si="199"/>
        <v/>
      </c>
      <c r="AR462" s="52" t="str">
        <f t="shared" si="200"/>
        <v/>
      </c>
      <c r="AS462" s="52" t="str">
        <f t="shared" si="201"/>
        <v/>
      </c>
      <c r="AT462" s="52" t="str">
        <f t="shared" si="202"/>
        <v/>
      </c>
      <c r="AU462" s="52" t="str">
        <f t="shared" si="203"/>
        <v/>
      </c>
      <c r="AV462" s="52" t="str">
        <f t="shared" si="204"/>
        <v/>
      </c>
      <c r="AW462" s="52" t="str">
        <f t="shared" si="205"/>
        <v/>
      </c>
      <c r="AX462" s="52" t="str">
        <f t="shared" si="206"/>
        <v/>
      </c>
      <c r="AY462" s="52" t="str">
        <f t="shared" si="211"/>
        <v/>
      </c>
    </row>
    <row r="463" spans="4:51">
      <c r="D463" s="23"/>
      <c r="E463" s="23"/>
      <c r="F463" s="23"/>
      <c r="G463" s="23"/>
      <c r="H463" s="23"/>
      <c r="I463" s="3"/>
      <c r="J463" s="3"/>
      <c r="K463" s="3"/>
      <c r="L463" s="2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26"/>
      <c r="Y463" s="1"/>
      <c r="Z463" s="12">
        <f t="shared" si="207"/>
        <v>0</v>
      </c>
      <c r="AA463" s="14">
        <f t="shared" si="208"/>
        <v>0</v>
      </c>
      <c r="AB463" s="6">
        <f t="shared" si="186"/>
        <v>0</v>
      </c>
      <c r="AC463" s="6">
        <f t="shared" si="187"/>
        <v>0</v>
      </c>
      <c r="AD463" s="6">
        <f t="shared" si="188"/>
        <v>0</v>
      </c>
      <c r="AE463" s="52" t="str">
        <f t="shared" si="189"/>
        <v/>
      </c>
      <c r="AF463" s="52" t="str">
        <f t="shared" si="190"/>
        <v/>
      </c>
      <c r="AG463" s="50" t="str">
        <f t="shared" si="209"/>
        <v/>
      </c>
      <c r="AH463" s="50" t="str">
        <f t="shared" si="210"/>
        <v/>
      </c>
      <c r="AI463" s="52" t="str">
        <f t="shared" si="191"/>
        <v/>
      </c>
      <c r="AJ463" s="52" t="str">
        <f t="shared" si="192"/>
        <v/>
      </c>
      <c r="AK463" s="52" t="str">
        <f t="shared" si="193"/>
        <v/>
      </c>
      <c r="AL463" s="52" t="str">
        <f t="shared" si="194"/>
        <v/>
      </c>
      <c r="AM463" s="52" t="str">
        <f t="shared" si="195"/>
        <v/>
      </c>
      <c r="AN463" s="52" t="str">
        <f t="shared" si="196"/>
        <v/>
      </c>
      <c r="AO463" s="52" t="str">
        <f t="shared" si="197"/>
        <v/>
      </c>
      <c r="AP463" s="52" t="str">
        <f t="shared" si="198"/>
        <v/>
      </c>
      <c r="AQ463" s="52" t="str">
        <f t="shared" si="199"/>
        <v/>
      </c>
      <c r="AR463" s="52" t="str">
        <f t="shared" si="200"/>
        <v/>
      </c>
      <c r="AS463" s="52" t="str">
        <f t="shared" si="201"/>
        <v/>
      </c>
      <c r="AT463" s="52" t="str">
        <f t="shared" si="202"/>
        <v/>
      </c>
      <c r="AU463" s="52" t="str">
        <f t="shared" si="203"/>
        <v/>
      </c>
      <c r="AV463" s="52" t="str">
        <f t="shared" si="204"/>
        <v/>
      </c>
      <c r="AW463" s="52" t="str">
        <f t="shared" si="205"/>
        <v/>
      </c>
      <c r="AX463" s="52" t="str">
        <f t="shared" si="206"/>
        <v/>
      </c>
      <c r="AY463" s="52" t="str">
        <f t="shared" si="211"/>
        <v/>
      </c>
    </row>
    <row r="464" spans="4:51">
      <c r="D464" s="23"/>
      <c r="E464" s="23"/>
      <c r="F464" s="23"/>
      <c r="G464" s="23"/>
      <c r="H464" s="23"/>
      <c r="I464" s="3"/>
      <c r="J464" s="3"/>
      <c r="K464" s="3"/>
      <c r="L464" s="2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26"/>
      <c r="Y464" s="1"/>
      <c r="Z464" s="12">
        <f t="shared" si="207"/>
        <v>0</v>
      </c>
      <c r="AA464" s="14">
        <f t="shared" si="208"/>
        <v>0</v>
      </c>
      <c r="AB464" s="6">
        <f t="shared" si="186"/>
        <v>0</v>
      </c>
      <c r="AC464" s="6">
        <f t="shared" si="187"/>
        <v>0</v>
      </c>
      <c r="AD464" s="6">
        <f t="shared" si="188"/>
        <v>0</v>
      </c>
      <c r="AE464" s="52" t="str">
        <f t="shared" si="189"/>
        <v/>
      </c>
      <c r="AF464" s="52" t="str">
        <f t="shared" si="190"/>
        <v/>
      </c>
      <c r="AG464" s="50" t="str">
        <f t="shared" si="209"/>
        <v/>
      </c>
      <c r="AH464" s="50" t="str">
        <f t="shared" si="210"/>
        <v/>
      </c>
      <c r="AI464" s="52" t="str">
        <f t="shared" si="191"/>
        <v/>
      </c>
      <c r="AJ464" s="52" t="str">
        <f t="shared" si="192"/>
        <v/>
      </c>
      <c r="AK464" s="52" t="str">
        <f t="shared" si="193"/>
        <v/>
      </c>
      <c r="AL464" s="52" t="str">
        <f t="shared" si="194"/>
        <v/>
      </c>
      <c r="AM464" s="52" t="str">
        <f t="shared" si="195"/>
        <v/>
      </c>
      <c r="AN464" s="52" t="str">
        <f t="shared" si="196"/>
        <v/>
      </c>
      <c r="AO464" s="52" t="str">
        <f t="shared" si="197"/>
        <v/>
      </c>
      <c r="AP464" s="52" t="str">
        <f t="shared" si="198"/>
        <v/>
      </c>
      <c r="AQ464" s="52" t="str">
        <f t="shared" si="199"/>
        <v/>
      </c>
      <c r="AR464" s="52" t="str">
        <f t="shared" si="200"/>
        <v/>
      </c>
      <c r="AS464" s="52" t="str">
        <f t="shared" si="201"/>
        <v/>
      </c>
      <c r="AT464" s="52" t="str">
        <f t="shared" si="202"/>
        <v/>
      </c>
      <c r="AU464" s="52" t="str">
        <f t="shared" si="203"/>
        <v/>
      </c>
      <c r="AV464" s="52" t="str">
        <f t="shared" si="204"/>
        <v/>
      </c>
      <c r="AW464" s="52" t="str">
        <f t="shared" si="205"/>
        <v/>
      </c>
      <c r="AX464" s="52" t="str">
        <f t="shared" si="206"/>
        <v/>
      </c>
      <c r="AY464" s="52" t="str">
        <f t="shared" si="211"/>
        <v/>
      </c>
    </row>
    <row r="465" spans="4:51">
      <c r="D465" s="23"/>
      <c r="E465" s="23"/>
      <c r="F465" s="23"/>
      <c r="G465" s="23"/>
      <c r="H465" s="23"/>
      <c r="I465" s="3"/>
      <c r="J465" s="3"/>
      <c r="K465" s="3"/>
      <c r="L465" s="2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26"/>
      <c r="Y465" s="1"/>
      <c r="Z465" s="12">
        <f t="shared" si="207"/>
        <v>0</v>
      </c>
      <c r="AA465" s="14">
        <f t="shared" si="208"/>
        <v>0</v>
      </c>
      <c r="AB465" s="6">
        <f t="shared" si="186"/>
        <v>0</v>
      </c>
      <c r="AC465" s="6">
        <f t="shared" si="187"/>
        <v>0</v>
      </c>
      <c r="AD465" s="6">
        <f t="shared" si="188"/>
        <v>0</v>
      </c>
      <c r="AE465" s="52" t="str">
        <f t="shared" si="189"/>
        <v/>
      </c>
      <c r="AF465" s="52" t="str">
        <f t="shared" si="190"/>
        <v/>
      </c>
      <c r="AG465" s="50" t="str">
        <f t="shared" si="209"/>
        <v/>
      </c>
      <c r="AH465" s="50" t="str">
        <f t="shared" si="210"/>
        <v/>
      </c>
      <c r="AI465" s="52" t="str">
        <f t="shared" si="191"/>
        <v/>
      </c>
      <c r="AJ465" s="52" t="str">
        <f t="shared" si="192"/>
        <v/>
      </c>
      <c r="AK465" s="52" t="str">
        <f t="shared" si="193"/>
        <v/>
      </c>
      <c r="AL465" s="52" t="str">
        <f t="shared" si="194"/>
        <v/>
      </c>
      <c r="AM465" s="52" t="str">
        <f t="shared" si="195"/>
        <v/>
      </c>
      <c r="AN465" s="52" t="str">
        <f t="shared" si="196"/>
        <v/>
      </c>
      <c r="AO465" s="52" t="str">
        <f t="shared" si="197"/>
        <v/>
      </c>
      <c r="AP465" s="52" t="str">
        <f t="shared" si="198"/>
        <v/>
      </c>
      <c r="AQ465" s="52" t="str">
        <f t="shared" si="199"/>
        <v/>
      </c>
      <c r="AR465" s="52" t="str">
        <f t="shared" si="200"/>
        <v/>
      </c>
      <c r="AS465" s="52" t="str">
        <f t="shared" si="201"/>
        <v/>
      </c>
      <c r="AT465" s="52" t="str">
        <f t="shared" si="202"/>
        <v/>
      </c>
      <c r="AU465" s="52" t="str">
        <f t="shared" si="203"/>
        <v/>
      </c>
      <c r="AV465" s="52" t="str">
        <f t="shared" si="204"/>
        <v/>
      </c>
      <c r="AW465" s="52" t="str">
        <f t="shared" si="205"/>
        <v/>
      </c>
      <c r="AX465" s="52" t="str">
        <f t="shared" si="206"/>
        <v/>
      </c>
      <c r="AY465" s="52" t="str">
        <f t="shared" si="211"/>
        <v/>
      </c>
    </row>
    <row r="466" spans="4:51">
      <c r="D466" s="23"/>
      <c r="E466" s="23"/>
      <c r="F466" s="23"/>
      <c r="G466" s="23"/>
      <c r="H466" s="23"/>
      <c r="I466" s="3"/>
      <c r="J466" s="3"/>
      <c r="K466" s="3"/>
      <c r="L466" s="2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26"/>
      <c r="Y466" s="1"/>
      <c r="Z466" s="12">
        <f t="shared" si="207"/>
        <v>0</v>
      </c>
      <c r="AA466" s="14">
        <f t="shared" si="208"/>
        <v>0</v>
      </c>
      <c r="AB466" s="6">
        <f t="shared" si="186"/>
        <v>0</v>
      </c>
      <c r="AC466" s="6">
        <f t="shared" si="187"/>
        <v>0</v>
      </c>
      <c r="AD466" s="6">
        <f t="shared" si="188"/>
        <v>0</v>
      </c>
      <c r="AE466" s="52" t="str">
        <f t="shared" si="189"/>
        <v/>
      </c>
      <c r="AF466" s="52" t="str">
        <f t="shared" si="190"/>
        <v/>
      </c>
      <c r="AG466" s="50" t="str">
        <f t="shared" si="209"/>
        <v/>
      </c>
      <c r="AH466" s="50" t="str">
        <f t="shared" si="210"/>
        <v/>
      </c>
      <c r="AI466" s="52" t="str">
        <f t="shared" si="191"/>
        <v/>
      </c>
      <c r="AJ466" s="52" t="str">
        <f t="shared" si="192"/>
        <v/>
      </c>
      <c r="AK466" s="52" t="str">
        <f t="shared" si="193"/>
        <v/>
      </c>
      <c r="AL466" s="52" t="str">
        <f t="shared" si="194"/>
        <v/>
      </c>
      <c r="AM466" s="52" t="str">
        <f t="shared" si="195"/>
        <v/>
      </c>
      <c r="AN466" s="52" t="str">
        <f t="shared" si="196"/>
        <v/>
      </c>
      <c r="AO466" s="52" t="str">
        <f t="shared" si="197"/>
        <v/>
      </c>
      <c r="AP466" s="52" t="str">
        <f t="shared" si="198"/>
        <v/>
      </c>
      <c r="AQ466" s="52" t="str">
        <f t="shared" si="199"/>
        <v/>
      </c>
      <c r="AR466" s="52" t="str">
        <f t="shared" si="200"/>
        <v/>
      </c>
      <c r="AS466" s="52" t="str">
        <f t="shared" si="201"/>
        <v/>
      </c>
      <c r="AT466" s="52" t="str">
        <f t="shared" si="202"/>
        <v/>
      </c>
      <c r="AU466" s="52" t="str">
        <f t="shared" si="203"/>
        <v/>
      </c>
      <c r="AV466" s="52" t="str">
        <f t="shared" si="204"/>
        <v/>
      </c>
      <c r="AW466" s="52" t="str">
        <f t="shared" si="205"/>
        <v/>
      </c>
      <c r="AX466" s="52" t="str">
        <f t="shared" si="206"/>
        <v/>
      </c>
      <c r="AY466" s="52" t="str">
        <f t="shared" si="211"/>
        <v/>
      </c>
    </row>
    <row r="467" spans="4:51">
      <c r="D467" s="23"/>
      <c r="E467" s="23"/>
      <c r="F467" s="23"/>
      <c r="G467" s="23"/>
      <c r="H467" s="23"/>
      <c r="I467" s="3"/>
      <c r="J467" s="3"/>
      <c r="K467" s="3"/>
      <c r="L467" s="2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26"/>
      <c r="Y467" s="1"/>
      <c r="Z467" s="12">
        <f t="shared" si="207"/>
        <v>0</v>
      </c>
      <c r="AA467" s="14">
        <f t="shared" si="208"/>
        <v>0</v>
      </c>
      <c r="AB467" s="6">
        <f t="shared" si="186"/>
        <v>0</v>
      </c>
      <c r="AC467" s="6">
        <f t="shared" si="187"/>
        <v>0</v>
      </c>
      <c r="AD467" s="6">
        <f t="shared" si="188"/>
        <v>0</v>
      </c>
      <c r="AE467" s="52" t="str">
        <f t="shared" si="189"/>
        <v/>
      </c>
      <c r="AF467" s="52" t="str">
        <f t="shared" si="190"/>
        <v/>
      </c>
      <c r="AG467" s="50" t="str">
        <f t="shared" si="209"/>
        <v/>
      </c>
      <c r="AH467" s="50" t="str">
        <f t="shared" si="210"/>
        <v/>
      </c>
      <c r="AI467" s="52" t="str">
        <f t="shared" si="191"/>
        <v/>
      </c>
      <c r="AJ467" s="52" t="str">
        <f t="shared" si="192"/>
        <v/>
      </c>
      <c r="AK467" s="52" t="str">
        <f t="shared" si="193"/>
        <v/>
      </c>
      <c r="AL467" s="52" t="str">
        <f t="shared" si="194"/>
        <v/>
      </c>
      <c r="AM467" s="52" t="str">
        <f t="shared" si="195"/>
        <v/>
      </c>
      <c r="AN467" s="52" t="str">
        <f t="shared" si="196"/>
        <v/>
      </c>
      <c r="AO467" s="52" t="str">
        <f t="shared" si="197"/>
        <v/>
      </c>
      <c r="AP467" s="52" t="str">
        <f t="shared" si="198"/>
        <v/>
      </c>
      <c r="AQ467" s="52" t="str">
        <f t="shared" si="199"/>
        <v/>
      </c>
      <c r="AR467" s="52" t="str">
        <f t="shared" si="200"/>
        <v/>
      </c>
      <c r="AS467" s="52" t="str">
        <f t="shared" si="201"/>
        <v/>
      </c>
      <c r="AT467" s="52" t="str">
        <f t="shared" si="202"/>
        <v/>
      </c>
      <c r="AU467" s="52" t="str">
        <f t="shared" si="203"/>
        <v/>
      </c>
      <c r="AV467" s="52" t="str">
        <f t="shared" si="204"/>
        <v/>
      </c>
      <c r="AW467" s="52" t="str">
        <f t="shared" si="205"/>
        <v/>
      </c>
      <c r="AX467" s="52" t="str">
        <f t="shared" si="206"/>
        <v/>
      </c>
      <c r="AY467" s="52" t="str">
        <f t="shared" si="211"/>
        <v/>
      </c>
    </row>
    <row r="468" spans="4:51">
      <c r="D468" s="23"/>
      <c r="E468" s="23"/>
      <c r="F468" s="23"/>
      <c r="G468" s="23"/>
      <c r="H468" s="23"/>
      <c r="I468" s="3"/>
      <c r="J468" s="3"/>
      <c r="K468" s="3"/>
      <c r="L468" s="2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26"/>
      <c r="Y468" s="1"/>
      <c r="Z468" s="12">
        <f t="shared" si="207"/>
        <v>0</v>
      </c>
      <c r="AA468" s="14">
        <f t="shared" si="208"/>
        <v>0</v>
      </c>
      <c r="AB468" s="6">
        <f t="shared" si="186"/>
        <v>0</v>
      </c>
      <c r="AC468" s="6">
        <f t="shared" si="187"/>
        <v>0</v>
      </c>
      <c r="AD468" s="6">
        <f t="shared" si="188"/>
        <v>0</v>
      </c>
      <c r="AE468" s="52" t="str">
        <f t="shared" si="189"/>
        <v/>
      </c>
      <c r="AF468" s="52" t="str">
        <f t="shared" si="190"/>
        <v/>
      </c>
      <c r="AG468" s="50" t="str">
        <f t="shared" si="209"/>
        <v/>
      </c>
      <c r="AH468" s="50" t="str">
        <f t="shared" si="210"/>
        <v/>
      </c>
      <c r="AI468" s="52" t="str">
        <f t="shared" si="191"/>
        <v/>
      </c>
      <c r="AJ468" s="52" t="str">
        <f t="shared" si="192"/>
        <v/>
      </c>
      <c r="AK468" s="52" t="str">
        <f t="shared" si="193"/>
        <v/>
      </c>
      <c r="AL468" s="52" t="str">
        <f t="shared" si="194"/>
        <v/>
      </c>
      <c r="AM468" s="52" t="str">
        <f t="shared" si="195"/>
        <v/>
      </c>
      <c r="AN468" s="52" t="str">
        <f t="shared" si="196"/>
        <v/>
      </c>
      <c r="AO468" s="52" t="str">
        <f t="shared" si="197"/>
        <v/>
      </c>
      <c r="AP468" s="52" t="str">
        <f t="shared" si="198"/>
        <v/>
      </c>
      <c r="AQ468" s="52" t="str">
        <f t="shared" si="199"/>
        <v/>
      </c>
      <c r="AR468" s="52" t="str">
        <f t="shared" si="200"/>
        <v/>
      </c>
      <c r="AS468" s="52" t="str">
        <f t="shared" si="201"/>
        <v/>
      </c>
      <c r="AT468" s="52" t="str">
        <f t="shared" si="202"/>
        <v/>
      </c>
      <c r="AU468" s="52" t="str">
        <f t="shared" si="203"/>
        <v/>
      </c>
      <c r="AV468" s="52" t="str">
        <f t="shared" si="204"/>
        <v/>
      </c>
      <c r="AW468" s="52" t="str">
        <f t="shared" si="205"/>
        <v/>
      </c>
      <c r="AX468" s="52" t="str">
        <f t="shared" si="206"/>
        <v/>
      </c>
      <c r="AY468" s="52" t="str">
        <f t="shared" si="211"/>
        <v/>
      </c>
    </row>
    <row r="469" spans="4:51">
      <c r="D469" s="23"/>
      <c r="E469" s="23"/>
      <c r="F469" s="23"/>
      <c r="G469" s="23"/>
      <c r="H469" s="23"/>
      <c r="I469" s="3"/>
      <c r="J469" s="3"/>
      <c r="K469" s="3"/>
      <c r="L469" s="2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26"/>
      <c r="Y469" s="1"/>
      <c r="Z469" s="12">
        <f t="shared" si="207"/>
        <v>0</v>
      </c>
      <c r="AA469" s="14">
        <f t="shared" si="208"/>
        <v>0</v>
      </c>
      <c r="AB469" s="6">
        <f t="shared" si="186"/>
        <v>0</v>
      </c>
      <c r="AC469" s="6">
        <f t="shared" si="187"/>
        <v>0</v>
      </c>
      <c r="AD469" s="6">
        <f t="shared" si="188"/>
        <v>0</v>
      </c>
      <c r="AE469" s="52" t="str">
        <f t="shared" si="189"/>
        <v/>
      </c>
      <c r="AF469" s="52" t="str">
        <f t="shared" si="190"/>
        <v/>
      </c>
      <c r="AG469" s="50" t="str">
        <f t="shared" si="209"/>
        <v/>
      </c>
      <c r="AH469" s="50" t="str">
        <f t="shared" si="210"/>
        <v/>
      </c>
      <c r="AI469" s="52" t="str">
        <f t="shared" si="191"/>
        <v/>
      </c>
      <c r="AJ469" s="52" t="str">
        <f t="shared" si="192"/>
        <v/>
      </c>
      <c r="AK469" s="52" t="str">
        <f t="shared" si="193"/>
        <v/>
      </c>
      <c r="AL469" s="52" t="str">
        <f t="shared" si="194"/>
        <v/>
      </c>
      <c r="AM469" s="52" t="str">
        <f t="shared" si="195"/>
        <v/>
      </c>
      <c r="AN469" s="52" t="str">
        <f t="shared" si="196"/>
        <v/>
      </c>
      <c r="AO469" s="52" t="str">
        <f t="shared" si="197"/>
        <v/>
      </c>
      <c r="AP469" s="52" t="str">
        <f t="shared" si="198"/>
        <v/>
      </c>
      <c r="AQ469" s="52" t="str">
        <f t="shared" si="199"/>
        <v/>
      </c>
      <c r="AR469" s="52" t="str">
        <f t="shared" si="200"/>
        <v/>
      </c>
      <c r="AS469" s="52" t="str">
        <f t="shared" si="201"/>
        <v/>
      </c>
      <c r="AT469" s="52" t="str">
        <f t="shared" si="202"/>
        <v/>
      </c>
      <c r="AU469" s="52" t="str">
        <f t="shared" si="203"/>
        <v/>
      </c>
      <c r="AV469" s="52" t="str">
        <f t="shared" si="204"/>
        <v/>
      </c>
      <c r="AW469" s="52" t="str">
        <f t="shared" si="205"/>
        <v/>
      </c>
      <c r="AX469" s="52" t="str">
        <f t="shared" si="206"/>
        <v/>
      </c>
      <c r="AY469" s="52" t="str">
        <f t="shared" si="211"/>
        <v/>
      </c>
    </row>
    <row r="470" spans="4:51">
      <c r="D470" s="23"/>
      <c r="E470" s="23"/>
      <c r="F470" s="23"/>
      <c r="G470" s="23"/>
      <c r="H470" s="23"/>
      <c r="I470" s="3"/>
      <c r="J470" s="3"/>
      <c r="K470" s="3"/>
      <c r="L470" s="2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26"/>
      <c r="Y470" s="1"/>
      <c r="Z470" s="12">
        <f t="shared" si="207"/>
        <v>0</v>
      </c>
      <c r="AA470" s="14">
        <f t="shared" si="208"/>
        <v>0</v>
      </c>
      <c r="AB470" s="6">
        <f t="shared" si="186"/>
        <v>0</v>
      </c>
      <c r="AC470" s="6">
        <f t="shared" si="187"/>
        <v>0</v>
      </c>
      <c r="AD470" s="6">
        <f t="shared" si="188"/>
        <v>0</v>
      </c>
      <c r="AE470" s="52" t="str">
        <f t="shared" si="189"/>
        <v/>
      </c>
      <c r="AF470" s="52" t="str">
        <f t="shared" si="190"/>
        <v/>
      </c>
      <c r="AG470" s="50" t="str">
        <f t="shared" si="209"/>
        <v/>
      </c>
      <c r="AH470" s="50" t="str">
        <f t="shared" si="210"/>
        <v/>
      </c>
      <c r="AI470" s="52" t="str">
        <f t="shared" si="191"/>
        <v/>
      </c>
      <c r="AJ470" s="52" t="str">
        <f t="shared" si="192"/>
        <v/>
      </c>
      <c r="AK470" s="52" t="str">
        <f t="shared" si="193"/>
        <v/>
      </c>
      <c r="AL470" s="52" t="str">
        <f t="shared" si="194"/>
        <v/>
      </c>
      <c r="AM470" s="52" t="str">
        <f t="shared" si="195"/>
        <v/>
      </c>
      <c r="AN470" s="52" t="str">
        <f t="shared" si="196"/>
        <v/>
      </c>
      <c r="AO470" s="52" t="str">
        <f t="shared" si="197"/>
        <v/>
      </c>
      <c r="AP470" s="52" t="str">
        <f t="shared" si="198"/>
        <v/>
      </c>
      <c r="AQ470" s="52" t="str">
        <f t="shared" si="199"/>
        <v/>
      </c>
      <c r="AR470" s="52" t="str">
        <f t="shared" si="200"/>
        <v/>
      </c>
      <c r="AS470" s="52" t="str">
        <f t="shared" si="201"/>
        <v/>
      </c>
      <c r="AT470" s="52" t="str">
        <f t="shared" si="202"/>
        <v/>
      </c>
      <c r="AU470" s="52" t="str">
        <f t="shared" si="203"/>
        <v/>
      </c>
      <c r="AV470" s="52" t="str">
        <f t="shared" si="204"/>
        <v/>
      </c>
      <c r="AW470" s="52" t="str">
        <f t="shared" si="205"/>
        <v/>
      </c>
      <c r="AX470" s="52" t="str">
        <f t="shared" si="206"/>
        <v/>
      </c>
      <c r="AY470" s="52" t="str">
        <f t="shared" si="211"/>
        <v/>
      </c>
    </row>
    <row r="471" spans="4:51">
      <c r="D471" s="23"/>
      <c r="E471" s="23"/>
      <c r="F471" s="23"/>
      <c r="G471" s="23"/>
      <c r="H471" s="23"/>
      <c r="I471" s="3"/>
      <c r="J471" s="3"/>
      <c r="K471" s="3"/>
      <c r="L471" s="2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26"/>
      <c r="Y471" s="1"/>
      <c r="Z471" s="12">
        <f t="shared" si="207"/>
        <v>0</v>
      </c>
      <c r="AA471" s="14">
        <f t="shared" si="208"/>
        <v>0</v>
      </c>
      <c r="AB471" s="6">
        <f t="shared" si="186"/>
        <v>0</v>
      </c>
      <c r="AC471" s="6">
        <f t="shared" si="187"/>
        <v>0</v>
      </c>
      <c r="AD471" s="6">
        <f t="shared" si="188"/>
        <v>0</v>
      </c>
      <c r="AE471" s="52" t="str">
        <f t="shared" si="189"/>
        <v/>
      </c>
      <c r="AF471" s="52" t="str">
        <f t="shared" si="190"/>
        <v/>
      </c>
      <c r="AG471" s="50" t="str">
        <f t="shared" si="209"/>
        <v/>
      </c>
      <c r="AH471" s="50" t="str">
        <f t="shared" si="210"/>
        <v/>
      </c>
      <c r="AI471" s="52" t="str">
        <f t="shared" si="191"/>
        <v/>
      </c>
      <c r="AJ471" s="52" t="str">
        <f t="shared" si="192"/>
        <v/>
      </c>
      <c r="AK471" s="52" t="str">
        <f t="shared" si="193"/>
        <v/>
      </c>
      <c r="AL471" s="52" t="str">
        <f t="shared" si="194"/>
        <v/>
      </c>
      <c r="AM471" s="52" t="str">
        <f t="shared" si="195"/>
        <v/>
      </c>
      <c r="AN471" s="52" t="str">
        <f t="shared" si="196"/>
        <v/>
      </c>
      <c r="AO471" s="52" t="str">
        <f t="shared" si="197"/>
        <v/>
      </c>
      <c r="AP471" s="52" t="str">
        <f t="shared" si="198"/>
        <v/>
      </c>
      <c r="AQ471" s="52" t="str">
        <f t="shared" si="199"/>
        <v/>
      </c>
      <c r="AR471" s="52" t="str">
        <f t="shared" si="200"/>
        <v/>
      </c>
      <c r="AS471" s="52" t="str">
        <f t="shared" si="201"/>
        <v/>
      </c>
      <c r="AT471" s="52" t="str">
        <f t="shared" si="202"/>
        <v/>
      </c>
      <c r="AU471" s="52" t="str">
        <f t="shared" si="203"/>
        <v/>
      </c>
      <c r="AV471" s="52" t="str">
        <f t="shared" si="204"/>
        <v/>
      </c>
      <c r="AW471" s="52" t="str">
        <f t="shared" si="205"/>
        <v/>
      </c>
      <c r="AX471" s="52" t="str">
        <f t="shared" si="206"/>
        <v/>
      </c>
      <c r="AY471" s="52" t="str">
        <f t="shared" si="211"/>
        <v/>
      </c>
    </row>
    <row r="472" spans="4:51">
      <c r="D472" s="23"/>
      <c r="E472" s="23"/>
      <c r="F472" s="23"/>
      <c r="G472" s="23"/>
      <c r="H472" s="23"/>
      <c r="I472" s="3"/>
      <c r="J472" s="3"/>
      <c r="K472" s="3"/>
      <c r="L472" s="2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26"/>
      <c r="Y472" s="1"/>
      <c r="Z472" s="12">
        <f t="shared" si="207"/>
        <v>0</v>
      </c>
      <c r="AA472" s="14">
        <f t="shared" si="208"/>
        <v>0</v>
      </c>
      <c r="AB472" s="6">
        <f t="shared" si="186"/>
        <v>0</v>
      </c>
      <c r="AC472" s="6">
        <f t="shared" si="187"/>
        <v>0</v>
      </c>
      <c r="AD472" s="6">
        <f t="shared" si="188"/>
        <v>0</v>
      </c>
      <c r="AE472" s="52" t="str">
        <f t="shared" si="189"/>
        <v/>
      </c>
      <c r="AF472" s="52" t="str">
        <f t="shared" si="190"/>
        <v/>
      </c>
      <c r="AG472" s="50" t="str">
        <f t="shared" si="209"/>
        <v/>
      </c>
      <c r="AH472" s="50" t="str">
        <f t="shared" si="210"/>
        <v/>
      </c>
      <c r="AI472" s="52" t="str">
        <f t="shared" si="191"/>
        <v/>
      </c>
      <c r="AJ472" s="52" t="str">
        <f t="shared" si="192"/>
        <v/>
      </c>
      <c r="AK472" s="52" t="str">
        <f t="shared" si="193"/>
        <v/>
      </c>
      <c r="AL472" s="52" t="str">
        <f t="shared" si="194"/>
        <v/>
      </c>
      <c r="AM472" s="52" t="str">
        <f t="shared" si="195"/>
        <v/>
      </c>
      <c r="AN472" s="52" t="str">
        <f t="shared" si="196"/>
        <v/>
      </c>
      <c r="AO472" s="52" t="str">
        <f t="shared" si="197"/>
        <v/>
      </c>
      <c r="AP472" s="52" t="str">
        <f t="shared" si="198"/>
        <v/>
      </c>
      <c r="AQ472" s="52" t="str">
        <f t="shared" si="199"/>
        <v/>
      </c>
      <c r="AR472" s="52" t="str">
        <f t="shared" si="200"/>
        <v/>
      </c>
      <c r="AS472" s="52" t="str">
        <f t="shared" si="201"/>
        <v/>
      </c>
      <c r="AT472" s="52" t="str">
        <f t="shared" si="202"/>
        <v/>
      </c>
      <c r="AU472" s="52" t="str">
        <f t="shared" si="203"/>
        <v/>
      </c>
      <c r="AV472" s="52" t="str">
        <f t="shared" si="204"/>
        <v/>
      </c>
      <c r="AW472" s="52" t="str">
        <f t="shared" si="205"/>
        <v/>
      </c>
      <c r="AX472" s="52" t="str">
        <f t="shared" si="206"/>
        <v/>
      </c>
      <c r="AY472" s="52" t="str">
        <f t="shared" si="211"/>
        <v/>
      </c>
    </row>
    <row r="473" spans="4:51">
      <c r="D473" s="23"/>
      <c r="E473" s="23"/>
      <c r="F473" s="23"/>
      <c r="G473" s="23"/>
      <c r="H473" s="23"/>
      <c r="I473" s="3"/>
      <c r="J473" s="3"/>
      <c r="K473" s="3"/>
      <c r="L473" s="2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26"/>
      <c r="Y473" s="1"/>
      <c r="Z473" s="12">
        <f t="shared" si="207"/>
        <v>0</v>
      </c>
      <c r="AA473" s="14">
        <f t="shared" si="208"/>
        <v>0</v>
      </c>
      <c r="AB473" s="6">
        <f t="shared" si="186"/>
        <v>0</v>
      </c>
      <c r="AC473" s="6">
        <f t="shared" si="187"/>
        <v>0</v>
      </c>
      <c r="AD473" s="6">
        <f t="shared" si="188"/>
        <v>0</v>
      </c>
      <c r="AE473" s="52" t="str">
        <f t="shared" si="189"/>
        <v/>
      </c>
      <c r="AF473" s="52" t="str">
        <f t="shared" si="190"/>
        <v/>
      </c>
      <c r="AG473" s="50" t="str">
        <f t="shared" si="209"/>
        <v/>
      </c>
      <c r="AH473" s="50" t="str">
        <f t="shared" si="210"/>
        <v/>
      </c>
      <c r="AI473" s="52" t="str">
        <f t="shared" si="191"/>
        <v/>
      </c>
      <c r="AJ473" s="52" t="str">
        <f t="shared" si="192"/>
        <v/>
      </c>
      <c r="AK473" s="52" t="str">
        <f t="shared" si="193"/>
        <v/>
      </c>
      <c r="AL473" s="52" t="str">
        <f t="shared" si="194"/>
        <v/>
      </c>
      <c r="AM473" s="52" t="str">
        <f t="shared" si="195"/>
        <v/>
      </c>
      <c r="AN473" s="52" t="str">
        <f t="shared" si="196"/>
        <v/>
      </c>
      <c r="AO473" s="52" t="str">
        <f t="shared" si="197"/>
        <v/>
      </c>
      <c r="AP473" s="52" t="str">
        <f t="shared" si="198"/>
        <v/>
      </c>
      <c r="AQ473" s="52" t="str">
        <f t="shared" si="199"/>
        <v/>
      </c>
      <c r="AR473" s="52" t="str">
        <f t="shared" si="200"/>
        <v/>
      </c>
      <c r="AS473" s="52" t="str">
        <f t="shared" si="201"/>
        <v/>
      </c>
      <c r="AT473" s="52" t="str">
        <f t="shared" si="202"/>
        <v/>
      </c>
      <c r="AU473" s="52" t="str">
        <f t="shared" si="203"/>
        <v/>
      </c>
      <c r="AV473" s="52" t="str">
        <f t="shared" si="204"/>
        <v/>
      </c>
      <c r="AW473" s="52" t="str">
        <f t="shared" si="205"/>
        <v/>
      </c>
      <c r="AX473" s="52" t="str">
        <f t="shared" si="206"/>
        <v/>
      </c>
      <c r="AY473" s="52" t="str">
        <f t="shared" si="211"/>
        <v/>
      </c>
    </row>
    <row r="474" spans="4:51">
      <c r="D474" s="23"/>
      <c r="E474" s="23"/>
      <c r="F474" s="23"/>
      <c r="G474" s="23"/>
      <c r="H474" s="23"/>
      <c r="I474" s="3"/>
      <c r="J474" s="3"/>
      <c r="K474" s="3"/>
      <c r="L474" s="2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26"/>
      <c r="Y474" s="1"/>
      <c r="Z474" s="12">
        <f t="shared" si="207"/>
        <v>0</v>
      </c>
      <c r="AA474" s="14">
        <f t="shared" si="208"/>
        <v>0</v>
      </c>
      <c r="AB474" s="6">
        <f t="shared" si="186"/>
        <v>0</v>
      </c>
      <c r="AC474" s="6">
        <f t="shared" si="187"/>
        <v>0</v>
      </c>
      <c r="AD474" s="6">
        <f t="shared" si="188"/>
        <v>0</v>
      </c>
      <c r="AE474" s="52" t="str">
        <f t="shared" si="189"/>
        <v/>
      </c>
      <c r="AF474" s="52" t="str">
        <f t="shared" si="190"/>
        <v/>
      </c>
      <c r="AG474" s="50" t="str">
        <f t="shared" si="209"/>
        <v/>
      </c>
      <c r="AH474" s="50" t="str">
        <f t="shared" si="210"/>
        <v/>
      </c>
      <c r="AI474" s="52" t="str">
        <f t="shared" si="191"/>
        <v/>
      </c>
      <c r="AJ474" s="52" t="str">
        <f t="shared" si="192"/>
        <v/>
      </c>
      <c r="AK474" s="52" t="str">
        <f t="shared" si="193"/>
        <v/>
      </c>
      <c r="AL474" s="52" t="str">
        <f t="shared" si="194"/>
        <v/>
      </c>
      <c r="AM474" s="52" t="str">
        <f t="shared" si="195"/>
        <v/>
      </c>
      <c r="AN474" s="52" t="str">
        <f t="shared" si="196"/>
        <v/>
      </c>
      <c r="AO474" s="52" t="str">
        <f t="shared" si="197"/>
        <v/>
      </c>
      <c r="AP474" s="52" t="str">
        <f t="shared" si="198"/>
        <v/>
      </c>
      <c r="AQ474" s="52" t="str">
        <f t="shared" si="199"/>
        <v/>
      </c>
      <c r="AR474" s="52" t="str">
        <f t="shared" si="200"/>
        <v/>
      </c>
      <c r="AS474" s="52" t="str">
        <f t="shared" si="201"/>
        <v/>
      </c>
      <c r="AT474" s="52" t="str">
        <f t="shared" si="202"/>
        <v/>
      </c>
      <c r="AU474" s="52" t="str">
        <f t="shared" si="203"/>
        <v/>
      </c>
      <c r="AV474" s="52" t="str">
        <f t="shared" si="204"/>
        <v/>
      </c>
      <c r="AW474" s="52" t="str">
        <f t="shared" si="205"/>
        <v/>
      </c>
      <c r="AX474" s="52" t="str">
        <f t="shared" si="206"/>
        <v/>
      </c>
      <c r="AY474" s="52" t="str">
        <f t="shared" si="211"/>
        <v/>
      </c>
    </row>
    <row r="475" spans="4:51">
      <c r="D475" s="23"/>
      <c r="E475" s="23"/>
      <c r="F475" s="23"/>
      <c r="G475" s="23"/>
      <c r="H475" s="23"/>
      <c r="I475" s="3"/>
      <c r="J475" s="3"/>
      <c r="K475" s="3"/>
      <c r="L475" s="2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26"/>
      <c r="Y475" s="1"/>
      <c r="Z475" s="12">
        <f t="shared" si="207"/>
        <v>0</v>
      </c>
      <c r="AA475" s="14">
        <f t="shared" si="208"/>
        <v>0</v>
      </c>
      <c r="AB475" s="6">
        <f t="shared" si="186"/>
        <v>0</v>
      </c>
      <c r="AC475" s="6">
        <f t="shared" si="187"/>
        <v>0</v>
      </c>
      <c r="AD475" s="6">
        <f t="shared" si="188"/>
        <v>0</v>
      </c>
      <c r="AE475" s="52" t="str">
        <f t="shared" si="189"/>
        <v/>
      </c>
      <c r="AF475" s="52" t="str">
        <f t="shared" si="190"/>
        <v/>
      </c>
      <c r="AG475" s="50" t="str">
        <f t="shared" si="209"/>
        <v/>
      </c>
      <c r="AH475" s="50" t="str">
        <f t="shared" si="210"/>
        <v/>
      </c>
      <c r="AI475" s="52" t="str">
        <f t="shared" si="191"/>
        <v/>
      </c>
      <c r="AJ475" s="52" t="str">
        <f t="shared" si="192"/>
        <v/>
      </c>
      <c r="AK475" s="52" t="str">
        <f t="shared" si="193"/>
        <v/>
      </c>
      <c r="AL475" s="52" t="str">
        <f t="shared" si="194"/>
        <v/>
      </c>
      <c r="AM475" s="52" t="str">
        <f t="shared" si="195"/>
        <v/>
      </c>
      <c r="AN475" s="52" t="str">
        <f t="shared" si="196"/>
        <v/>
      </c>
      <c r="AO475" s="52" t="str">
        <f t="shared" si="197"/>
        <v/>
      </c>
      <c r="AP475" s="52" t="str">
        <f t="shared" si="198"/>
        <v/>
      </c>
      <c r="AQ475" s="52" t="str">
        <f t="shared" si="199"/>
        <v/>
      </c>
      <c r="AR475" s="52" t="str">
        <f t="shared" si="200"/>
        <v/>
      </c>
      <c r="AS475" s="52" t="str">
        <f t="shared" si="201"/>
        <v/>
      </c>
      <c r="AT475" s="52" t="str">
        <f t="shared" si="202"/>
        <v/>
      </c>
      <c r="AU475" s="52" t="str">
        <f t="shared" si="203"/>
        <v/>
      </c>
      <c r="AV475" s="52" t="str">
        <f t="shared" si="204"/>
        <v/>
      </c>
      <c r="AW475" s="52" t="str">
        <f t="shared" si="205"/>
        <v/>
      </c>
      <c r="AX475" s="52" t="str">
        <f t="shared" si="206"/>
        <v/>
      </c>
      <c r="AY475" s="52" t="str">
        <f t="shared" si="211"/>
        <v/>
      </c>
    </row>
    <row r="476" spans="4:51">
      <c r="D476" s="23"/>
      <c r="E476" s="23"/>
      <c r="F476" s="23"/>
      <c r="G476" s="23"/>
      <c r="H476" s="23"/>
      <c r="I476" s="3"/>
      <c r="J476" s="3"/>
      <c r="K476" s="3"/>
      <c r="L476" s="2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26"/>
      <c r="Y476" s="1"/>
      <c r="Z476" s="12">
        <f t="shared" si="207"/>
        <v>0</v>
      </c>
      <c r="AA476" s="14">
        <f t="shared" si="208"/>
        <v>0</v>
      </c>
      <c r="AB476" s="6">
        <f t="shared" si="186"/>
        <v>0</v>
      </c>
      <c r="AC476" s="6">
        <f t="shared" si="187"/>
        <v>0</v>
      </c>
      <c r="AD476" s="6">
        <f t="shared" si="188"/>
        <v>0</v>
      </c>
      <c r="AE476" s="52" t="str">
        <f t="shared" si="189"/>
        <v/>
      </c>
      <c r="AF476" s="52" t="str">
        <f t="shared" si="190"/>
        <v/>
      </c>
      <c r="AG476" s="50" t="str">
        <f t="shared" si="209"/>
        <v/>
      </c>
      <c r="AH476" s="50" t="str">
        <f t="shared" si="210"/>
        <v/>
      </c>
      <c r="AI476" s="52" t="str">
        <f t="shared" si="191"/>
        <v/>
      </c>
      <c r="AJ476" s="52" t="str">
        <f t="shared" si="192"/>
        <v/>
      </c>
      <c r="AK476" s="52" t="str">
        <f t="shared" si="193"/>
        <v/>
      </c>
      <c r="AL476" s="52" t="str">
        <f t="shared" si="194"/>
        <v/>
      </c>
      <c r="AM476" s="52" t="str">
        <f t="shared" si="195"/>
        <v/>
      </c>
      <c r="AN476" s="52" t="str">
        <f t="shared" si="196"/>
        <v/>
      </c>
      <c r="AO476" s="52" t="str">
        <f t="shared" si="197"/>
        <v/>
      </c>
      <c r="AP476" s="52" t="str">
        <f t="shared" si="198"/>
        <v/>
      </c>
      <c r="AQ476" s="52" t="str">
        <f t="shared" si="199"/>
        <v/>
      </c>
      <c r="AR476" s="52" t="str">
        <f t="shared" si="200"/>
        <v/>
      </c>
      <c r="AS476" s="52" t="str">
        <f t="shared" si="201"/>
        <v/>
      </c>
      <c r="AT476" s="52" t="str">
        <f t="shared" si="202"/>
        <v/>
      </c>
      <c r="AU476" s="52" t="str">
        <f t="shared" si="203"/>
        <v/>
      </c>
      <c r="AV476" s="52" t="str">
        <f t="shared" si="204"/>
        <v/>
      </c>
      <c r="AW476" s="52" t="str">
        <f t="shared" si="205"/>
        <v/>
      </c>
      <c r="AX476" s="52" t="str">
        <f t="shared" si="206"/>
        <v/>
      </c>
      <c r="AY476" s="52" t="str">
        <f t="shared" si="211"/>
        <v/>
      </c>
    </row>
    <row r="477" spans="4:51">
      <c r="D477" s="23"/>
      <c r="E477" s="23"/>
      <c r="F477" s="23"/>
      <c r="G477" s="23"/>
      <c r="H477" s="23"/>
      <c r="I477" s="3"/>
      <c r="J477" s="3"/>
      <c r="K477" s="3"/>
      <c r="L477" s="2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26"/>
      <c r="Y477" s="1"/>
      <c r="Z477" s="12">
        <f t="shared" si="207"/>
        <v>0</v>
      </c>
      <c r="AA477" s="14">
        <f t="shared" si="208"/>
        <v>0</v>
      </c>
      <c r="AB477" s="6">
        <f t="shared" si="186"/>
        <v>0</v>
      </c>
      <c r="AC477" s="6">
        <f t="shared" si="187"/>
        <v>0</v>
      </c>
      <c r="AD477" s="6">
        <f t="shared" si="188"/>
        <v>0</v>
      </c>
      <c r="AE477" s="52" t="str">
        <f t="shared" si="189"/>
        <v/>
      </c>
      <c r="AF477" s="52" t="str">
        <f t="shared" si="190"/>
        <v/>
      </c>
      <c r="AG477" s="50" t="str">
        <f t="shared" si="209"/>
        <v/>
      </c>
      <c r="AH477" s="50" t="str">
        <f t="shared" si="210"/>
        <v/>
      </c>
      <c r="AI477" s="52" t="str">
        <f t="shared" si="191"/>
        <v/>
      </c>
      <c r="AJ477" s="52" t="str">
        <f t="shared" si="192"/>
        <v/>
      </c>
      <c r="AK477" s="52" t="str">
        <f t="shared" si="193"/>
        <v/>
      </c>
      <c r="AL477" s="52" t="str">
        <f t="shared" si="194"/>
        <v/>
      </c>
      <c r="AM477" s="52" t="str">
        <f t="shared" si="195"/>
        <v/>
      </c>
      <c r="AN477" s="52" t="str">
        <f t="shared" si="196"/>
        <v/>
      </c>
      <c r="AO477" s="52" t="str">
        <f t="shared" si="197"/>
        <v/>
      </c>
      <c r="AP477" s="52" t="str">
        <f t="shared" si="198"/>
        <v/>
      </c>
      <c r="AQ477" s="52" t="str">
        <f t="shared" si="199"/>
        <v/>
      </c>
      <c r="AR477" s="52" t="str">
        <f t="shared" si="200"/>
        <v/>
      </c>
      <c r="AS477" s="52" t="str">
        <f t="shared" si="201"/>
        <v/>
      </c>
      <c r="AT477" s="52" t="str">
        <f t="shared" si="202"/>
        <v/>
      </c>
      <c r="AU477" s="52" t="str">
        <f t="shared" si="203"/>
        <v/>
      </c>
      <c r="AV477" s="52" t="str">
        <f t="shared" si="204"/>
        <v/>
      </c>
      <c r="AW477" s="52" t="str">
        <f t="shared" si="205"/>
        <v/>
      </c>
      <c r="AX477" s="52" t="str">
        <f t="shared" si="206"/>
        <v/>
      </c>
      <c r="AY477" s="52" t="str">
        <f t="shared" si="211"/>
        <v/>
      </c>
    </row>
    <row r="478" spans="4:51">
      <c r="D478" s="23"/>
      <c r="E478" s="23"/>
      <c r="F478" s="23"/>
      <c r="G478" s="23"/>
      <c r="H478" s="23"/>
      <c r="I478" s="3"/>
      <c r="J478" s="3"/>
      <c r="K478" s="3"/>
      <c r="L478" s="2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26"/>
      <c r="Y478" s="1"/>
      <c r="Z478" s="12">
        <f t="shared" si="207"/>
        <v>0</v>
      </c>
      <c r="AA478" s="14">
        <f t="shared" si="208"/>
        <v>0</v>
      </c>
      <c r="AB478" s="6">
        <f t="shared" si="186"/>
        <v>0</v>
      </c>
      <c r="AC478" s="6">
        <f t="shared" si="187"/>
        <v>0</v>
      </c>
      <c r="AD478" s="6">
        <f t="shared" si="188"/>
        <v>0</v>
      </c>
      <c r="AE478" s="52" t="str">
        <f t="shared" si="189"/>
        <v/>
      </c>
      <c r="AF478" s="52" t="str">
        <f t="shared" si="190"/>
        <v/>
      </c>
      <c r="AG478" s="50" t="str">
        <f t="shared" si="209"/>
        <v/>
      </c>
      <c r="AH478" s="50" t="str">
        <f t="shared" si="210"/>
        <v/>
      </c>
      <c r="AI478" s="52" t="str">
        <f t="shared" si="191"/>
        <v/>
      </c>
      <c r="AJ478" s="52" t="str">
        <f t="shared" si="192"/>
        <v/>
      </c>
      <c r="AK478" s="52" t="str">
        <f t="shared" si="193"/>
        <v/>
      </c>
      <c r="AL478" s="52" t="str">
        <f t="shared" si="194"/>
        <v/>
      </c>
      <c r="AM478" s="52" t="str">
        <f t="shared" si="195"/>
        <v/>
      </c>
      <c r="AN478" s="52" t="str">
        <f t="shared" si="196"/>
        <v/>
      </c>
      <c r="AO478" s="52" t="str">
        <f t="shared" si="197"/>
        <v/>
      </c>
      <c r="AP478" s="52" t="str">
        <f t="shared" si="198"/>
        <v/>
      </c>
      <c r="AQ478" s="52" t="str">
        <f t="shared" si="199"/>
        <v/>
      </c>
      <c r="AR478" s="52" t="str">
        <f t="shared" si="200"/>
        <v/>
      </c>
      <c r="AS478" s="52" t="str">
        <f t="shared" si="201"/>
        <v/>
      </c>
      <c r="AT478" s="52" t="str">
        <f t="shared" si="202"/>
        <v/>
      </c>
      <c r="AU478" s="52" t="str">
        <f t="shared" si="203"/>
        <v/>
      </c>
      <c r="AV478" s="52" t="str">
        <f t="shared" si="204"/>
        <v/>
      </c>
      <c r="AW478" s="52" t="str">
        <f t="shared" si="205"/>
        <v/>
      </c>
      <c r="AX478" s="52" t="str">
        <f t="shared" si="206"/>
        <v/>
      </c>
      <c r="AY478" s="52" t="str">
        <f t="shared" si="211"/>
        <v/>
      </c>
    </row>
    <row r="479" spans="4:51">
      <c r="D479" s="23"/>
      <c r="E479" s="23"/>
      <c r="F479" s="23"/>
      <c r="G479" s="23"/>
      <c r="H479" s="23"/>
      <c r="I479" s="3"/>
      <c r="J479" s="3"/>
      <c r="K479" s="3"/>
      <c r="L479" s="2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26"/>
      <c r="Y479" s="1"/>
      <c r="Z479" s="12">
        <f t="shared" si="207"/>
        <v>0</v>
      </c>
      <c r="AA479" s="14">
        <f t="shared" si="208"/>
        <v>0</v>
      </c>
      <c r="AB479" s="6">
        <f t="shared" si="186"/>
        <v>0</v>
      </c>
      <c r="AC479" s="6">
        <f t="shared" si="187"/>
        <v>0</v>
      </c>
      <c r="AD479" s="6">
        <f t="shared" si="188"/>
        <v>0</v>
      </c>
      <c r="AE479" s="52" t="str">
        <f t="shared" si="189"/>
        <v/>
      </c>
      <c r="AF479" s="52" t="str">
        <f t="shared" si="190"/>
        <v/>
      </c>
      <c r="AG479" s="50" t="str">
        <f t="shared" si="209"/>
        <v/>
      </c>
      <c r="AH479" s="50" t="str">
        <f t="shared" si="210"/>
        <v/>
      </c>
      <c r="AI479" s="52" t="str">
        <f t="shared" si="191"/>
        <v/>
      </c>
      <c r="AJ479" s="52" t="str">
        <f t="shared" si="192"/>
        <v/>
      </c>
      <c r="AK479" s="52" t="str">
        <f t="shared" si="193"/>
        <v/>
      </c>
      <c r="AL479" s="52" t="str">
        <f t="shared" si="194"/>
        <v/>
      </c>
      <c r="AM479" s="52" t="str">
        <f t="shared" si="195"/>
        <v/>
      </c>
      <c r="AN479" s="52" t="str">
        <f t="shared" si="196"/>
        <v/>
      </c>
      <c r="AO479" s="52" t="str">
        <f t="shared" si="197"/>
        <v/>
      </c>
      <c r="AP479" s="52" t="str">
        <f t="shared" si="198"/>
        <v/>
      </c>
      <c r="AQ479" s="52" t="str">
        <f t="shared" si="199"/>
        <v/>
      </c>
      <c r="AR479" s="52" t="str">
        <f t="shared" si="200"/>
        <v/>
      </c>
      <c r="AS479" s="52" t="str">
        <f t="shared" si="201"/>
        <v/>
      </c>
      <c r="AT479" s="52" t="str">
        <f t="shared" si="202"/>
        <v/>
      </c>
      <c r="AU479" s="52" t="str">
        <f t="shared" si="203"/>
        <v/>
      </c>
      <c r="AV479" s="52" t="str">
        <f t="shared" si="204"/>
        <v/>
      </c>
      <c r="AW479" s="52" t="str">
        <f t="shared" si="205"/>
        <v/>
      </c>
      <c r="AX479" s="52" t="str">
        <f t="shared" si="206"/>
        <v/>
      </c>
      <c r="AY479" s="52" t="str">
        <f t="shared" si="211"/>
        <v/>
      </c>
    </row>
    <row r="480" spans="4:51">
      <c r="D480" s="23"/>
      <c r="E480" s="23"/>
      <c r="F480" s="23"/>
      <c r="G480" s="23"/>
      <c r="H480" s="23"/>
      <c r="I480" s="3"/>
      <c r="J480" s="3"/>
      <c r="K480" s="3"/>
      <c r="L480" s="2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26"/>
      <c r="Y480" s="1"/>
      <c r="Z480" s="12">
        <f t="shared" si="207"/>
        <v>0</v>
      </c>
      <c r="AA480" s="14">
        <f t="shared" si="208"/>
        <v>0</v>
      </c>
      <c r="AB480" s="6">
        <f t="shared" si="186"/>
        <v>0</v>
      </c>
      <c r="AC480" s="6">
        <f t="shared" si="187"/>
        <v>0</v>
      </c>
      <c r="AD480" s="6">
        <f t="shared" si="188"/>
        <v>0</v>
      </c>
      <c r="AE480" s="52" t="str">
        <f t="shared" si="189"/>
        <v/>
      </c>
      <c r="AF480" s="52" t="str">
        <f t="shared" si="190"/>
        <v/>
      </c>
      <c r="AG480" s="50" t="str">
        <f t="shared" si="209"/>
        <v/>
      </c>
      <c r="AH480" s="50" t="str">
        <f t="shared" si="210"/>
        <v/>
      </c>
      <c r="AI480" s="52" t="str">
        <f t="shared" si="191"/>
        <v/>
      </c>
      <c r="AJ480" s="52" t="str">
        <f t="shared" si="192"/>
        <v/>
      </c>
      <c r="AK480" s="52" t="str">
        <f t="shared" si="193"/>
        <v/>
      </c>
      <c r="AL480" s="52" t="str">
        <f t="shared" si="194"/>
        <v/>
      </c>
      <c r="AM480" s="52" t="str">
        <f t="shared" si="195"/>
        <v/>
      </c>
      <c r="AN480" s="52" t="str">
        <f t="shared" si="196"/>
        <v/>
      </c>
      <c r="AO480" s="52" t="str">
        <f t="shared" si="197"/>
        <v/>
      </c>
      <c r="AP480" s="52" t="str">
        <f t="shared" si="198"/>
        <v/>
      </c>
      <c r="AQ480" s="52" t="str">
        <f t="shared" si="199"/>
        <v/>
      </c>
      <c r="AR480" s="52" t="str">
        <f t="shared" si="200"/>
        <v/>
      </c>
      <c r="AS480" s="52" t="str">
        <f t="shared" si="201"/>
        <v/>
      </c>
      <c r="AT480" s="52" t="str">
        <f t="shared" si="202"/>
        <v/>
      </c>
      <c r="AU480" s="52" t="str">
        <f t="shared" si="203"/>
        <v/>
      </c>
      <c r="AV480" s="52" t="str">
        <f t="shared" si="204"/>
        <v/>
      </c>
      <c r="AW480" s="52" t="str">
        <f t="shared" si="205"/>
        <v/>
      </c>
      <c r="AX480" s="52" t="str">
        <f t="shared" si="206"/>
        <v/>
      </c>
      <c r="AY480" s="52" t="str">
        <f t="shared" si="211"/>
        <v/>
      </c>
    </row>
    <row r="481" spans="4:51">
      <c r="D481" s="23"/>
      <c r="E481" s="23"/>
      <c r="F481" s="23"/>
      <c r="G481" s="23"/>
      <c r="H481" s="23"/>
      <c r="I481" s="3"/>
      <c r="J481" s="3"/>
      <c r="K481" s="3"/>
      <c r="L481" s="2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26"/>
      <c r="Y481" s="1"/>
      <c r="Z481" s="12">
        <f t="shared" si="207"/>
        <v>0</v>
      </c>
      <c r="AA481" s="14">
        <f t="shared" si="208"/>
        <v>0</v>
      </c>
      <c r="AB481" s="6">
        <f t="shared" si="186"/>
        <v>0</v>
      </c>
      <c r="AC481" s="6">
        <f t="shared" si="187"/>
        <v>0</v>
      </c>
      <c r="AD481" s="6">
        <f t="shared" si="188"/>
        <v>0</v>
      </c>
      <c r="AE481" s="52" t="str">
        <f t="shared" si="189"/>
        <v/>
      </c>
      <c r="AF481" s="52" t="str">
        <f t="shared" si="190"/>
        <v/>
      </c>
      <c r="AG481" s="50" t="str">
        <f t="shared" si="209"/>
        <v/>
      </c>
      <c r="AH481" s="50" t="str">
        <f t="shared" si="210"/>
        <v/>
      </c>
      <c r="AI481" s="52" t="str">
        <f t="shared" si="191"/>
        <v/>
      </c>
      <c r="AJ481" s="52" t="str">
        <f t="shared" si="192"/>
        <v/>
      </c>
      <c r="AK481" s="52" t="str">
        <f t="shared" si="193"/>
        <v/>
      </c>
      <c r="AL481" s="52" t="str">
        <f t="shared" si="194"/>
        <v/>
      </c>
      <c r="AM481" s="52" t="str">
        <f t="shared" si="195"/>
        <v/>
      </c>
      <c r="AN481" s="52" t="str">
        <f t="shared" si="196"/>
        <v/>
      </c>
      <c r="AO481" s="52" t="str">
        <f t="shared" si="197"/>
        <v/>
      </c>
      <c r="AP481" s="52" t="str">
        <f t="shared" si="198"/>
        <v/>
      </c>
      <c r="AQ481" s="52" t="str">
        <f t="shared" si="199"/>
        <v/>
      </c>
      <c r="AR481" s="52" t="str">
        <f t="shared" si="200"/>
        <v/>
      </c>
      <c r="AS481" s="52" t="str">
        <f t="shared" si="201"/>
        <v/>
      </c>
      <c r="AT481" s="52" t="str">
        <f t="shared" si="202"/>
        <v/>
      </c>
      <c r="AU481" s="52" t="str">
        <f t="shared" si="203"/>
        <v/>
      </c>
      <c r="AV481" s="52" t="str">
        <f t="shared" si="204"/>
        <v/>
      </c>
      <c r="AW481" s="52" t="str">
        <f t="shared" si="205"/>
        <v/>
      </c>
      <c r="AX481" s="52" t="str">
        <f t="shared" si="206"/>
        <v/>
      </c>
      <c r="AY481" s="52" t="str">
        <f t="shared" si="211"/>
        <v/>
      </c>
    </row>
    <row r="482" spans="4:51">
      <c r="D482" s="23"/>
      <c r="E482" s="23"/>
      <c r="F482" s="23"/>
      <c r="G482" s="23"/>
      <c r="H482" s="23"/>
      <c r="I482" s="3"/>
      <c r="J482" s="3"/>
      <c r="K482" s="3"/>
      <c r="L482" s="2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26"/>
      <c r="Y482" s="1"/>
      <c r="Z482" s="12">
        <f t="shared" si="207"/>
        <v>0</v>
      </c>
      <c r="AA482" s="14">
        <f t="shared" si="208"/>
        <v>0</v>
      </c>
      <c r="AB482" s="6">
        <f t="shared" si="186"/>
        <v>0</v>
      </c>
      <c r="AC482" s="6">
        <f t="shared" si="187"/>
        <v>0</v>
      </c>
      <c r="AD482" s="6">
        <f t="shared" si="188"/>
        <v>0</v>
      </c>
      <c r="AE482" s="52" t="str">
        <f t="shared" si="189"/>
        <v/>
      </c>
      <c r="AF482" s="52" t="str">
        <f t="shared" si="190"/>
        <v/>
      </c>
      <c r="AG482" s="50" t="str">
        <f t="shared" si="209"/>
        <v/>
      </c>
      <c r="AH482" s="50" t="str">
        <f t="shared" si="210"/>
        <v/>
      </c>
      <c r="AI482" s="52" t="str">
        <f t="shared" si="191"/>
        <v/>
      </c>
      <c r="AJ482" s="52" t="str">
        <f t="shared" si="192"/>
        <v/>
      </c>
      <c r="AK482" s="52" t="str">
        <f t="shared" si="193"/>
        <v/>
      </c>
      <c r="AL482" s="52" t="str">
        <f t="shared" si="194"/>
        <v/>
      </c>
      <c r="AM482" s="52" t="str">
        <f t="shared" si="195"/>
        <v/>
      </c>
      <c r="AN482" s="52" t="str">
        <f t="shared" si="196"/>
        <v/>
      </c>
      <c r="AO482" s="52" t="str">
        <f t="shared" si="197"/>
        <v/>
      </c>
      <c r="AP482" s="52" t="str">
        <f t="shared" si="198"/>
        <v/>
      </c>
      <c r="AQ482" s="52" t="str">
        <f t="shared" si="199"/>
        <v/>
      </c>
      <c r="AR482" s="52" t="str">
        <f t="shared" si="200"/>
        <v/>
      </c>
      <c r="AS482" s="52" t="str">
        <f t="shared" si="201"/>
        <v/>
      </c>
      <c r="AT482" s="52" t="str">
        <f t="shared" si="202"/>
        <v/>
      </c>
      <c r="AU482" s="52" t="str">
        <f t="shared" si="203"/>
        <v/>
      </c>
      <c r="AV482" s="52" t="str">
        <f t="shared" si="204"/>
        <v/>
      </c>
      <c r="AW482" s="52" t="str">
        <f t="shared" si="205"/>
        <v/>
      </c>
      <c r="AX482" s="52" t="str">
        <f t="shared" si="206"/>
        <v/>
      </c>
      <c r="AY482" s="52" t="str">
        <f t="shared" si="211"/>
        <v/>
      </c>
    </row>
    <row r="483" spans="4:51">
      <c r="D483" s="23"/>
      <c r="E483" s="23"/>
      <c r="F483" s="23"/>
      <c r="G483" s="23"/>
      <c r="H483" s="23"/>
      <c r="I483" s="3"/>
      <c r="J483" s="3"/>
      <c r="K483" s="3"/>
      <c r="L483" s="2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26"/>
      <c r="Y483" s="1"/>
      <c r="Z483" s="12">
        <f t="shared" si="207"/>
        <v>0</v>
      </c>
      <c r="AA483" s="14">
        <f t="shared" si="208"/>
        <v>0</v>
      </c>
      <c r="AB483" s="6">
        <f t="shared" si="186"/>
        <v>0</v>
      </c>
      <c r="AC483" s="6">
        <f t="shared" si="187"/>
        <v>0</v>
      </c>
      <c r="AD483" s="6">
        <f t="shared" si="188"/>
        <v>0</v>
      </c>
      <c r="AE483" s="52" t="str">
        <f t="shared" si="189"/>
        <v/>
      </c>
      <c r="AF483" s="52" t="str">
        <f t="shared" si="190"/>
        <v/>
      </c>
      <c r="AG483" s="50" t="str">
        <f t="shared" si="209"/>
        <v/>
      </c>
      <c r="AH483" s="50" t="str">
        <f t="shared" si="210"/>
        <v/>
      </c>
      <c r="AI483" s="52" t="str">
        <f t="shared" si="191"/>
        <v/>
      </c>
      <c r="AJ483" s="52" t="str">
        <f t="shared" si="192"/>
        <v/>
      </c>
      <c r="AK483" s="52" t="str">
        <f t="shared" si="193"/>
        <v/>
      </c>
      <c r="AL483" s="52" t="str">
        <f t="shared" si="194"/>
        <v/>
      </c>
      <c r="AM483" s="52" t="str">
        <f t="shared" si="195"/>
        <v/>
      </c>
      <c r="AN483" s="52" t="str">
        <f t="shared" si="196"/>
        <v/>
      </c>
      <c r="AO483" s="52" t="str">
        <f t="shared" si="197"/>
        <v/>
      </c>
      <c r="AP483" s="52" t="str">
        <f t="shared" si="198"/>
        <v/>
      </c>
      <c r="AQ483" s="52" t="str">
        <f t="shared" si="199"/>
        <v/>
      </c>
      <c r="AR483" s="52" t="str">
        <f t="shared" si="200"/>
        <v/>
      </c>
      <c r="AS483" s="52" t="str">
        <f t="shared" si="201"/>
        <v/>
      </c>
      <c r="AT483" s="52" t="str">
        <f t="shared" si="202"/>
        <v/>
      </c>
      <c r="AU483" s="52" t="str">
        <f t="shared" si="203"/>
        <v/>
      </c>
      <c r="AV483" s="52" t="str">
        <f t="shared" si="204"/>
        <v/>
      </c>
      <c r="AW483" s="52" t="str">
        <f t="shared" si="205"/>
        <v/>
      </c>
      <c r="AX483" s="52" t="str">
        <f t="shared" si="206"/>
        <v/>
      </c>
      <c r="AY483" s="52" t="str">
        <f t="shared" si="211"/>
        <v/>
      </c>
    </row>
    <row r="484" spans="4:51">
      <c r="D484" s="23"/>
      <c r="E484" s="23"/>
      <c r="F484" s="23"/>
      <c r="G484" s="23"/>
      <c r="H484" s="23"/>
      <c r="I484" s="3"/>
      <c r="J484" s="3"/>
      <c r="K484" s="3"/>
      <c r="L484" s="2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26"/>
      <c r="Y484" s="1"/>
      <c r="Z484" s="12">
        <f t="shared" si="207"/>
        <v>0</v>
      </c>
      <c r="AA484" s="14">
        <f t="shared" si="208"/>
        <v>0</v>
      </c>
      <c r="AB484" s="6">
        <f t="shared" si="186"/>
        <v>0</v>
      </c>
      <c r="AC484" s="6">
        <f t="shared" si="187"/>
        <v>0</v>
      </c>
      <c r="AD484" s="6">
        <f t="shared" si="188"/>
        <v>0</v>
      </c>
      <c r="AE484" s="52" t="str">
        <f t="shared" si="189"/>
        <v/>
      </c>
      <c r="AF484" s="52" t="str">
        <f t="shared" si="190"/>
        <v/>
      </c>
      <c r="AG484" s="50" t="str">
        <f t="shared" si="209"/>
        <v/>
      </c>
      <c r="AH484" s="50" t="str">
        <f t="shared" si="210"/>
        <v/>
      </c>
      <c r="AI484" s="52" t="str">
        <f t="shared" si="191"/>
        <v/>
      </c>
      <c r="AJ484" s="52" t="str">
        <f t="shared" si="192"/>
        <v/>
      </c>
      <c r="AK484" s="52" t="str">
        <f t="shared" si="193"/>
        <v/>
      </c>
      <c r="AL484" s="52" t="str">
        <f t="shared" si="194"/>
        <v/>
      </c>
      <c r="AM484" s="52" t="str">
        <f t="shared" si="195"/>
        <v/>
      </c>
      <c r="AN484" s="52" t="str">
        <f t="shared" si="196"/>
        <v/>
      </c>
      <c r="AO484" s="52" t="str">
        <f t="shared" si="197"/>
        <v/>
      </c>
      <c r="AP484" s="52" t="str">
        <f t="shared" si="198"/>
        <v/>
      </c>
      <c r="AQ484" s="52" t="str">
        <f t="shared" si="199"/>
        <v/>
      </c>
      <c r="AR484" s="52" t="str">
        <f t="shared" si="200"/>
        <v/>
      </c>
      <c r="AS484" s="52" t="str">
        <f t="shared" si="201"/>
        <v/>
      </c>
      <c r="AT484" s="52" t="str">
        <f t="shared" si="202"/>
        <v/>
      </c>
      <c r="AU484" s="52" t="str">
        <f t="shared" si="203"/>
        <v/>
      </c>
      <c r="AV484" s="52" t="str">
        <f t="shared" si="204"/>
        <v/>
      </c>
      <c r="AW484" s="52" t="str">
        <f t="shared" si="205"/>
        <v/>
      </c>
      <c r="AX484" s="52" t="str">
        <f t="shared" si="206"/>
        <v/>
      </c>
      <c r="AY484" s="52" t="str">
        <f t="shared" si="211"/>
        <v/>
      </c>
    </row>
    <row r="485" spans="4:51">
      <c r="D485" s="23"/>
      <c r="E485" s="23"/>
      <c r="F485" s="23"/>
      <c r="G485" s="23"/>
      <c r="H485" s="23"/>
      <c r="I485" s="3"/>
      <c r="J485" s="3"/>
      <c r="K485" s="3"/>
      <c r="L485" s="2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26"/>
      <c r="Y485" s="1"/>
      <c r="Z485" s="12">
        <f t="shared" si="207"/>
        <v>0</v>
      </c>
      <c r="AA485" s="14">
        <f t="shared" si="208"/>
        <v>0</v>
      </c>
      <c r="AB485" s="6">
        <f t="shared" si="186"/>
        <v>0</v>
      </c>
      <c r="AC485" s="6">
        <f t="shared" si="187"/>
        <v>0</v>
      </c>
      <c r="AD485" s="6">
        <f t="shared" si="188"/>
        <v>0</v>
      </c>
      <c r="AE485" s="52" t="str">
        <f t="shared" si="189"/>
        <v/>
      </c>
      <c r="AF485" s="52" t="str">
        <f t="shared" si="190"/>
        <v/>
      </c>
      <c r="AG485" s="50" t="str">
        <f t="shared" si="209"/>
        <v/>
      </c>
      <c r="AH485" s="50" t="str">
        <f t="shared" si="210"/>
        <v/>
      </c>
      <c r="AI485" s="52" t="str">
        <f t="shared" si="191"/>
        <v/>
      </c>
      <c r="AJ485" s="52" t="str">
        <f t="shared" si="192"/>
        <v/>
      </c>
      <c r="AK485" s="52" t="str">
        <f t="shared" si="193"/>
        <v/>
      </c>
      <c r="AL485" s="52" t="str">
        <f t="shared" si="194"/>
        <v/>
      </c>
      <c r="AM485" s="52" t="str">
        <f t="shared" si="195"/>
        <v/>
      </c>
      <c r="AN485" s="52" t="str">
        <f t="shared" si="196"/>
        <v/>
      </c>
      <c r="AO485" s="52" t="str">
        <f t="shared" si="197"/>
        <v/>
      </c>
      <c r="AP485" s="52" t="str">
        <f t="shared" si="198"/>
        <v/>
      </c>
      <c r="AQ485" s="52" t="str">
        <f t="shared" si="199"/>
        <v/>
      </c>
      <c r="AR485" s="52" t="str">
        <f t="shared" si="200"/>
        <v/>
      </c>
      <c r="AS485" s="52" t="str">
        <f t="shared" si="201"/>
        <v/>
      </c>
      <c r="AT485" s="52" t="str">
        <f t="shared" si="202"/>
        <v/>
      </c>
      <c r="AU485" s="52" t="str">
        <f t="shared" si="203"/>
        <v/>
      </c>
      <c r="AV485" s="52" t="str">
        <f t="shared" si="204"/>
        <v/>
      </c>
      <c r="AW485" s="52" t="str">
        <f t="shared" si="205"/>
        <v/>
      </c>
      <c r="AX485" s="52" t="str">
        <f t="shared" si="206"/>
        <v/>
      </c>
      <c r="AY485" s="52" t="str">
        <f t="shared" si="211"/>
        <v/>
      </c>
    </row>
    <row r="486" spans="4:51">
      <c r="D486" s="23"/>
      <c r="E486" s="23"/>
      <c r="F486" s="23"/>
      <c r="G486" s="23"/>
      <c r="H486" s="23"/>
      <c r="I486" s="3"/>
      <c r="J486" s="3"/>
      <c r="K486" s="3"/>
      <c r="L486" s="2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26"/>
      <c r="Y486" s="1"/>
      <c r="Z486" s="12">
        <f t="shared" si="207"/>
        <v>0</v>
      </c>
      <c r="AA486" s="14">
        <f t="shared" si="208"/>
        <v>0</v>
      </c>
      <c r="AB486" s="6">
        <f t="shared" si="186"/>
        <v>0</v>
      </c>
      <c r="AC486" s="6">
        <f t="shared" si="187"/>
        <v>0</v>
      </c>
      <c r="AD486" s="6">
        <f t="shared" si="188"/>
        <v>0</v>
      </c>
      <c r="AE486" s="52" t="str">
        <f t="shared" si="189"/>
        <v/>
      </c>
      <c r="AF486" s="52" t="str">
        <f t="shared" si="190"/>
        <v/>
      </c>
      <c r="AG486" s="50" t="str">
        <f t="shared" si="209"/>
        <v/>
      </c>
      <c r="AH486" s="50" t="str">
        <f t="shared" si="210"/>
        <v/>
      </c>
      <c r="AI486" s="52" t="str">
        <f t="shared" si="191"/>
        <v/>
      </c>
      <c r="AJ486" s="52" t="str">
        <f t="shared" si="192"/>
        <v/>
      </c>
      <c r="AK486" s="52" t="str">
        <f t="shared" si="193"/>
        <v/>
      </c>
      <c r="AL486" s="52" t="str">
        <f t="shared" si="194"/>
        <v/>
      </c>
      <c r="AM486" s="52" t="str">
        <f t="shared" si="195"/>
        <v/>
      </c>
      <c r="AN486" s="52" t="str">
        <f t="shared" si="196"/>
        <v/>
      </c>
      <c r="AO486" s="52" t="str">
        <f t="shared" si="197"/>
        <v/>
      </c>
      <c r="AP486" s="52" t="str">
        <f t="shared" si="198"/>
        <v/>
      </c>
      <c r="AQ486" s="52" t="str">
        <f t="shared" si="199"/>
        <v/>
      </c>
      <c r="AR486" s="52" t="str">
        <f t="shared" si="200"/>
        <v/>
      </c>
      <c r="AS486" s="52" t="str">
        <f t="shared" si="201"/>
        <v/>
      </c>
      <c r="AT486" s="52" t="str">
        <f t="shared" si="202"/>
        <v/>
      </c>
      <c r="AU486" s="52" t="str">
        <f t="shared" si="203"/>
        <v/>
      </c>
      <c r="AV486" s="52" t="str">
        <f t="shared" si="204"/>
        <v/>
      </c>
      <c r="AW486" s="52" t="str">
        <f t="shared" si="205"/>
        <v/>
      </c>
      <c r="AX486" s="52" t="str">
        <f t="shared" si="206"/>
        <v/>
      </c>
      <c r="AY486" s="52" t="str">
        <f t="shared" si="211"/>
        <v/>
      </c>
    </row>
    <row r="487" spans="4:51">
      <c r="D487" s="23"/>
      <c r="E487" s="23"/>
      <c r="F487" s="23"/>
      <c r="G487" s="23"/>
      <c r="H487" s="23"/>
      <c r="I487" s="3"/>
      <c r="J487" s="3"/>
      <c r="K487" s="3"/>
      <c r="L487" s="2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26"/>
      <c r="Y487" s="1"/>
      <c r="Z487" s="12">
        <f t="shared" si="207"/>
        <v>0</v>
      </c>
      <c r="AA487" s="14">
        <f t="shared" si="208"/>
        <v>0</v>
      </c>
      <c r="AB487" s="6">
        <f t="shared" si="186"/>
        <v>0</v>
      </c>
      <c r="AC487" s="6">
        <f t="shared" si="187"/>
        <v>0</v>
      </c>
      <c r="AD487" s="6">
        <f t="shared" si="188"/>
        <v>0</v>
      </c>
      <c r="AE487" s="52" t="str">
        <f t="shared" si="189"/>
        <v/>
      </c>
      <c r="AF487" s="52" t="str">
        <f t="shared" si="190"/>
        <v/>
      </c>
      <c r="AG487" s="50" t="str">
        <f t="shared" si="209"/>
        <v/>
      </c>
      <c r="AH487" s="50" t="str">
        <f t="shared" si="210"/>
        <v/>
      </c>
      <c r="AI487" s="52" t="str">
        <f t="shared" si="191"/>
        <v/>
      </c>
      <c r="AJ487" s="52" t="str">
        <f t="shared" si="192"/>
        <v/>
      </c>
      <c r="AK487" s="52" t="str">
        <f t="shared" si="193"/>
        <v/>
      </c>
      <c r="AL487" s="52" t="str">
        <f t="shared" si="194"/>
        <v/>
      </c>
      <c r="AM487" s="52" t="str">
        <f t="shared" si="195"/>
        <v/>
      </c>
      <c r="AN487" s="52" t="str">
        <f t="shared" si="196"/>
        <v/>
      </c>
      <c r="AO487" s="52" t="str">
        <f t="shared" si="197"/>
        <v/>
      </c>
      <c r="AP487" s="52" t="str">
        <f t="shared" si="198"/>
        <v/>
      </c>
      <c r="AQ487" s="52" t="str">
        <f t="shared" si="199"/>
        <v/>
      </c>
      <c r="AR487" s="52" t="str">
        <f t="shared" si="200"/>
        <v/>
      </c>
      <c r="AS487" s="52" t="str">
        <f t="shared" si="201"/>
        <v/>
      </c>
      <c r="AT487" s="52" t="str">
        <f t="shared" si="202"/>
        <v/>
      </c>
      <c r="AU487" s="52" t="str">
        <f t="shared" si="203"/>
        <v/>
      </c>
      <c r="AV487" s="52" t="str">
        <f t="shared" si="204"/>
        <v/>
      </c>
      <c r="AW487" s="52" t="str">
        <f t="shared" si="205"/>
        <v/>
      </c>
      <c r="AX487" s="52" t="str">
        <f t="shared" si="206"/>
        <v/>
      </c>
      <c r="AY487" s="52" t="str">
        <f t="shared" si="211"/>
        <v/>
      </c>
    </row>
    <row r="488" spans="4:51">
      <c r="D488" s="23"/>
      <c r="E488" s="23"/>
      <c r="F488" s="23"/>
      <c r="G488" s="23"/>
      <c r="H488" s="23"/>
      <c r="I488" s="3"/>
      <c r="J488" s="3"/>
      <c r="K488" s="3"/>
      <c r="L488" s="2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26"/>
      <c r="Y488" s="1"/>
      <c r="Z488" s="12">
        <f t="shared" si="207"/>
        <v>0</v>
      </c>
      <c r="AA488" s="14">
        <f t="shared" si="208"/>
        <v>0</v>
      </c>
      <c r="AB488" s="6">
        <f t="shared" si="186"/>
        <v>0</v>
      </c>
      <c r="AC488" s="6">
        <f t="shared" si="187"/>
        <v>0</v>
      </c>
      <c r="AD488" s="6">
        <f t="shared" si="188"/>
        <v>0</v>
      </c>
      <c r="AE488" s="52" t="str">
        <f t="shared" si="189"/>
        <v/>
      </c>
      <c r="AF488" s="52" t="str">
        <f t="shared" si="190"/>
        <v/>
      </c>
      <c r="AG488" s="50" t="str">
        <f t="shared" si="209"/>
        <v/>
      </c>
      <c r="AH488" s="50" t="str">
        <f t="shared" si="210"/>
        <v/>
      </c>
      <c r="AI488" s="52" t="str">
        <f t="shared" si="191"/>
        <v/>
      </c>
      <c r="AJ488" s="52" t="str">
        <f t="shared" si="192"/>
        <v/>
      </c>
      <c r="AK488" s="52" t="str">
        <f t="shared" si="193"/>
        <v/>
      </c>
      <c r="AL488" s="52" t="str">
        <f t="shared" si="194"/>
        <v/>
      </c>
      <c r="AM488" s="52" t="str">
        <f t="shared" si="195"/>
        <v/>
      </c>
      <c r="AN488" s="52" t="str">
        <f t="shared" si="196"/>
        <v/>
      </c>
      <c r="AO488" s="52" t="str">
        <f t="shared" si="197"/>
        <v/>
      </c>
      <c r="AP488" s="52" t="str">
        <f t="shared" si="198"/>
        <v/>
      </c>
      <c r="AQ488" s="52" t="str">
        <f t="shared" si="199"/>
        <v/>
      </c>
      <c r="AR488" s="52" t="str">
        <f t="shared" si="200"/>
        <v/>
      </c>
      <c r="AS488" s="52" t="str">
        <f t="shared" si="201"/>
        <v/>
      </c>
      <c r="AT488" s="52" t="str">
        <f t="shared" si="202"/>
        <v/>
      </c>
      <c r="AU488" s="52" t="str">
        <f t="shared" si="203"/>
        <v/>
      </c>
      <c r="AV488" s="52" t="str">
        <f t="shared" si="204"/>
        <v/>
      </c>
      <c r="AW488" s="52" t="str">
        <f t="shared" si="205"/>
        <v/>
      </c>
      <c r="AX488" s="52" t="str">
        <f t="shared" si="206"/>
        <v/>
      </c>
      <c r="AY488" s="52" t="str">
        <f t="shared" si="211"/>
        <v/>
      </c>
    </row>
    <row r="489" spans="4:51">
      <c r="D489" s="23"/>
      <c r="E489" s="23"/>
      <c r="F489" s="23"/>
      <c r="G489" s="23"/>
      <c r="H489" s="23"/>
      <c r="I489" s="3"/>
      <c r="J489" s="3"/>
      <c r="K489" s="3"/>
      <c r="L489" s="2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26"/>
      <c r="Y489" s="1"/>
      <c r="Z489" s="12">
        <f t="shared" si="207"/>
        <v>0</v>
      </c>
      <c r="AA489" s="14">
        <f t="shared" si="208"/>
        <v>0</v>
      </c>
      <c r="AB489" s="6">
        <f t="shared" si="186"/>
        <v>0</v>
      </c>
      <c r="AC489" s="6">
        <f t="shared" si="187"/>
        <v>0</v>
      </c>
      <c r="AD489" s="6">
        <f t="shared" si="188"/>
        <v>0</v>
      </c>
      <c r="AE489" s="52" t="str">
        <f t="shared" si="189"/>
        <v/>
      </c>
      <c r="AF489" s="52" t="str">
        <f t="shared" si="190"/>
        <v/>
      </c>
      <c r="AG489" s="50" t="str">
        <f t="shared" si="209"/>
        <v/>
      </c>
      <c r="AH489" s="50" t="str">
        <f t="shared" si="210"/>
        <v/>
      </c>
      <c r="AI489" s="52" t="str">
        <f t="shared" si="191"/>
        <v/>
      </c>
      <c r="AJ489" s="52" t="str">
        <f t="shared" si="192"/>
        <v/>
      </c>
      <c r="AK489" s="52" t="str">
        <f t="shared" si="193"/>
        <v/>
      </c>
      <c r="AL489" s="52" t="str">
        <f t="shared" si="194"/>
        <v/>
      </c>
      <c r="AM489" s="52" t="str">
        <f t="shared" si="195"/>
        <v/>
      </c>
      <c r="AN489" s="52" t="str">
        <f t="shared" si="196"/>
        <v/>
      </c>
      <c r="AO489" s="52" t="str">
        <f t="shared" si="197"/>
        <v/>
      </c>
      <c r="AP489" s="52" t="str">
        <f t="shared" si="198"/>
        <v/>
      </c>
      <c r="AQ489" s="52" t="str">
        <f t="shared" si="199"/>
        <v/>
      </c>
      <c r="AR489" s="52" t="str">
        <f t="shared" si="200"/>
        <v/>
      </c>
      <c r="AS489" s="52" t="str">
        <f t="shared" si="201"/>
        <v/>
      </c>
      <c r="AT489" s="52" t="str">
        <f t="shared" si="202"/>
        <v/>
      </c>
      <c r="AU489" s="52" t="str">
        <f t="shared" si="203"/>
        <v/>
      </c>
      <c r="AV489" s="52" t="str">
        <f t="shared" si="204"/>
        <v/>
      </c>
      <c r="AW489" s="52" t="str">
        <f t="shared" si="205"/>
        <v/>
      </c>
      <c r="AX489" s="52" t="str">
        <f t="shared" si="206"/>
        <v/>
      </c>
      <c r="AY489" s="52" t="str">
        <f t="shared" si="211"/>
        <v/>
      </c>
    </row>
    <row r="490" spans="4:51">
      <c r="D490" s="23"/>
      <c r="E490" s="23"/>
      <c r="F490" s="23"/>
      <c r="G490" s="23"/>
      <c r="H490" s="23"/>
      <c r="I490" s="3"/>
      <c r="J490" s="3"/>
      <c r="K490" s="3"/>
      <c r="L490" s="2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26"/>
      <c r="Y490" s="1"/>
      <c r="Z490" s="12">
        <f t="shared" si="207"/>
        <v>0</v>
      </c>
      <c r="AA490" s="14">
        <f t="shared" si="208"/>
        <v>0</v>
      </c>
      <c r="AB490" s="6">
        <f t="shared" ref="AB490:AB553" si="212">COUNTA(L490:W490)</f>
        <v>0</v>
      </c>
      <c r="AC490" s="6">
        <f t="shared" ref="AC490:AC553" si="213">COUNTA(L490:Q490)</f>
        <v>0</v>
      </c>
      <c r="AD490" s="6">
        <f t="shared" ref="AD490:AD553" si="214">COUNTA(R490:V490)</f>
        <v>0</v>
      </c>
      <c r="AE490" s="52" t="str">
        <f t="shared" ref="AE490:AE553" si="215">IF(AND(B490="Feminino",C490&gt;=$BA$2,C490&lt;=$BB$2),$BA$3,IF(AND(B490="Masculino",C490&gt;=$BA$2,C490&lt;=$BB$2),$BB$3,IF(AND(B490="Feminino",C490&gt;=$BC$2,C490&lt;=$BD$2),$BC$3,IF(AND(B490="Masculino",C490&gt;=$BC$2,C490&lt;=$BD$2),$BD$3,IF(AND(B490="Feminino",C490&gt;=$BE$2,C490&lt;=$BF$2),$BE$3,IF(AND(B490="Masculino",C490&gt;=$BE$2,C490&lt;=$BF$2),$BF$3,IF(AND(B490="Feminino",C490&gt;=$BG$2,C490&lt;=$BH$2),$BG$3,IF(AND(B490="Masculino",C490&gt;=$BG$2,C490&lt;=$BH$2),$BH$3,""))))))))</f>
        <v/>
      </c>
      <c r="AF490" s="52" t="str">
        <f t="shared" ref="AF490:AF553" si="216">IF(AND(B490="Feminino",C490&gt;=$BE$2,C490&lt;=$BF$2),$BI$3,IF(AND(B490="Masculino",C490&gt;=$BE$2,C490&lt;=$BF$2),$BJ$3,IF(AND(B490="Feminino",C490&lt;=$BH$2),$BK$3,IF(AND(B490="Masculino",C490&lt;=$BH$2),$BL$3,""))))</f>
        <v/>
      </c>
      <c r="AG490" s="50" t="str">
        <f t="shared" si="209"/>
        <v/>
      </c>
      <c r="AH490" s="50" t="str">
        <f t="shared" si="210"/>
        <v/>
      </c>
      <c r="AI490" s="52" t="str">
        <f t="shared" ref="AI490:AI553" si="217">IF(C490="","",IF(C490&gt;=$BQ$2,$BQ$3,IF(AND(C490&gt;=$BR$1,C490&lt;=$BR$2),$BR$3,IF(AND(C490&gt;=$BS$1,C490&lt;=$BS$2),$BS$3,IF(AND(C490&gt;=$BT$1,C490&lt;=$BT$2),$BT$3,IF(AND(C490&gt;=$BU$1,C490&lt;=$BU$2),$BU$3,IF(C490&lt;=$BV$2,$BV$3,"")))))))</f>
        <v/>
      </c>
      <c r="AJ490" s="52" t="str">
        <f t="shared" ref="AJ490:AJ553" si="218">IF(C490="","",IF(C490&gt;=$BQ$2,$BW$3,IF(AND(C490&gt;=$BR$1,C490&lt;=$BR$2),$BX$3,IF(AND(C490&gt;=$BS$1,C490&lt;=$BS$2),$BY$3,IF(AND(C490&gt;=$BT$1,C490&lt;=$BT$2),$BZ$3,IF(AND(C490&gt;=$BU$1,C490&lt;=$BU$2),$CA$3,IF(C490&lt;=$BV$2,$CB$3,"")))))))</f>
        <v/>
      </c>
      <c r="AK490" s="52" t="str">
        <f t="shared" ref="AK490:AK553" si="219">IF(C490="","",IF(C490&gt;=$BQ$2,$CC$3,IF(AND(C490&gt;=$BR$1,C490&lt;=$BR$2),$CD$3,IF(AND(C490&gt;=$BS$1,C490&lt;=$BS$2),$CE$3,IF(AND(C490&gt;=$BT$1,C490&lt;=$BT$2),$CF$3,IF(AND(C490&gt;=$BU$1,C490&lt;=$BU$2),$CG$3,IF(C490&lt;=$BV$2,$CH$3,"")))))))</f>
        <v/>
      </c>
      <c r="AL490" s="52" t="str">
        <f t="shared" ref="AL490:AL553" si="220">IF(C490="","",IF(AND(C490&gt;=$BT$1,C490&lt;=$BT$2),$CI$3,IF(AND(C490&gt;=$BU$1,C490&lt;=$BU$2),$CJ$3,IF(C490&lt;=$BV$2,$CK$3,""))))</f>
        <v/>
      </c>
      <c r="AM490" s="52" t="str">
        <f t="shared" ref="AM490:AM553" si="221">IF(C490="","",IF(AB490&gt;=3,"",IF(AC490&gt;=2,"",IF(C490&gt;=$CL$2,$CL$3,IF(AND(C490&gt;=$CM$1,C490&lt;=$CM$2),$CM$3,IF(AND(C490&gt;=$CN$1,C490&lt;=$CN$2),$CN$3,IF(AND(C490&gt;=$CO$1,C490&lt;=$CO$2),$CO$3,IF(AND(C490&gt;=$CP$1,C490&lt;=$CP$2),$CP$3,IF(C490&lt;=$CQ$2,$CQ$3,"")))))))))</f>
        <v/>
      </c>
      <c r="AN490" s="52" t="str">
        <f t="shared" ref="AN490:AN553" si="222">IF(C490="","",IF(AB490&gt;=3,"",IF(AC490&gt;=2,"",IF(C490&gt;=$CL$2,$CR$3,IF(AND(C490&gt;=$CM$1,C490&lt;=$CM$2),$CS$3,IF(AND(C490&gt;=$CN$1,C490&lt;=$CN$2),$CT$3,IF(AND(C490&gt;=$CO$1,C490&lt;=$CO$2),$CU$3,IF(AND(C490&gt;=$CP$1,C490&lt;=$CP$2),$CV$3,IF(C490&lt;=$CQ$2,$CW$3,"")))))))))</f>
        <v/>
      </c>
      <c r="AO490" s="52" t="str">
        <f t="shared" ref="AO490:AO553" si="223">IF(C490="","",IF(AB490&gt;=3,"",IF(AC490&gt;=2,"",IF(C490&gt;=$CL$2,$CX$3,IF(AND(C490&gt;=$CM$1,C490&lt;=$CM$2),$CY$3,IF(AND(C490&gt;=$CN$1,C490&lt;=$CN$2),$CZ$3,IF(AND(C490&gt;=$CO$1,C490&lt;=$CO$2),$DA$3,IF(AND(C490&gt;=$CP$1,C490&lt;=$CP$2),$DB$3,IF(C490&lt;=$CQ$2,$DC$3,"")))))))))</f>
        <v/>
      </c>
      <c r="AP490" s="52" t="str">
        <f t="shared" ref="AP490:AP553" si="224">IF(C490="","",IF(AB490&gt;=3,"",IF(AC490&gt;=2,"",IF(C490&gt;=$CL$2,$DD$3,IF(AND(C490&gt;=$CM$1,C490&lt;=$CM$2),$DE$3,IF(AND(C490&gt;=$CN$1,C490&lt;=$CN$2),$DF$3,IF(AND(C490&gt;=$CO$1,C490&lt;=$CO$2),$DG$3,IF(AND(C490&gt;=$CP$1,C490&lt;=$CP$2),$DH$3,IF(C490&lt;=$CQ$2,$DI$3,"")))))))))</f>
        <v/>
      </c>
      <c r="AQ490" s="52" t="str">
        <f t="shared" ref="AQ490:AQ553" si="225">IF(C490="","",IF(AB490&gt;=3,"",IF(AC490&gt;=2,"",IF(C490&gt;=$CL$2,$DJ$3,IF(AND(C490&gt;=$CM$1,C490&lt;=$CM$2),$DK$3,IF(AND(C490&gt;=$CN$1,C490&lt;=$CN$2),$DL$3,IF(AND(C490&gt;=$CO$1,C490&lt;=$CO$2),$DM$3,IF(AND(C490&gt;=$CP$1,C490&lt;=$CP$2),$DN$3,IF(C490&lt;=$CQ$2,$DO$3,"")))))))))</f>
        <v/>
      </c>
      <c r="AR490" s="52" t="str">
        <f t="shared" ref="AR490:AR553" si="226">IF(C490="","",IF(AB490&gt;=3,"",IF(AC490&gt;=2,"",IF(C490&gt;=$CL$2,$DP$3,IF(AND(C490&gt;=$CM$1,C490&lt;=$CM$2),$DQ$3,IF(AND(C490&gt;=$CN$1,C490&lt;=$CN$2),$DR$3,IF(AND(C490&gt;=$CO$1,C490&lt;=$CO$2),$DS$3,IF(AND(C490&gt;=$CP$1,C490&lt;=$CP$2),$DT$3,IF(C490&lt;=$CQ$2,$DU$3,"")))))))))</f>
        <v/>
      </c>
      <c r="AS490" s="52" t="str">
        <f t="shared" ref="AS490:AS553" si="227">IF(C490="","",IF(AB490&gt;=3,"",IF(AD490&gt;=2,"",IF(C490&gt;=$CL$2,$DV$3,IF(AND(C490&gt;=$CM$1,C490&lt;=$CM$2),$DW$3,IF(AND(C490&gt;=$CN$1,C490&lt;=$CN$2),$DX$3,IF(AND(C490&gt;=$CO$1,C490&lt;=$CO$2),$DY$3,IF(AND(C490&gt;=$CP$1,C490&lt;=$CP$2),$DZ$3,IF(C490&lt;=$CQ$2,$EA$3,"")))))))))</f>
        <v/>
      </c>
      <c r="AT490" s="52" t="str">
        <f t="shared" ref="AT490:AT553" si="228">IF(C490="","",IF(AB490&gt;=3,"",IF(AD490&gt;=2,"",IF(C490&gt;=$CL$2,$EB$3,IF(AND(C490&gt;=$CM$1,C490&lt;=$CM$2),$EC$3,IF(AND(C490&gt;=$CN$1,C490&lt;=$CN$2),$ED$3,IF(AND(C490&gt;=$CO$1,C490&lt;=$CO$2),$EE$3,IF(AND(C490&gt;=$CP$1,C490&lt;=$CP$2),$EF$3,IF(C490&lt;=$CQ$2,$EG$3,"")))))))))</f>
        <v/>
      </c>
      <c r="AU490" s="52" t="str">
        <f t="shared" ref="AU490:AU553" si="229">IF(C490="","",IF(AB490&gt;=3,"",IF(AD490&gt;=2,"",IF(C490&gt;=$CL$2,$EH$3,IF(AND(C490&gt;=$CM$1,C490&lt;=$CM$2),$EI$3,IF(AND(C490&gt;=$CN$1,C490&lt;=$CN$2),$EJ$3,IF(AND(C490&gt;=$CO$1,C490&lt;=$CO$2),$EK$3,IF(AND(C490&gt;=$CP$1,C490&lt;=$CP$2),$EL$3,IF(C490&lt;=$CQ$2,$EM$3,"")))))))))</f>
        <v/>
      </c>
      <c r="AV490" s="52" t="str">
        <f t="shared" ref="AV490:AV553" si="230">IF(C490="","",IF(AB490&gt;=3,"",IF(AD490&gt;=2,"",IF(C490&gt;=$CL$2,$EN$3,IF(AND(C490&gt;=$CM$1,C490&lt;=$CM$2),$EO$3,IF(AND(C490&gt;=$CN$1,C490&lt;=$CN$2),$EP$3,IF(AND(C490&gt;=$CO$1,C490&lt;=$CO$2),$EQ$3,IF(AND(C490&gt;=$CP$1,C490&lt;=$CP$2),$ER$3,IF(C490&lt;=$CQ$2,$ES$3,"")))))))))</f>
        <v/>
      </c>
      <c r="AW490" s="52" t="str">
        <f t="shared" ref="AW490:AW553" si="231">IF(C490="","",IF(AB490&gt;=3,"",IF(AD490&gt;=2,"",IF(C490&gt;=$CL$2,$ET$3,IF(AND(C490&gt;=$CM$1,C490&lt;=$CM$2),$EU$3,IF(AND(C490&gt;=$CN$1,C490&lt;=$CN$2),$EV$3,IF(AND(C490&gt;=$CO$1,C490&lt;=$CO$2),$EW$3,IF(AND(C490&gt;=$CP$1,C490&lt;=$CP$2),$EX$3,IF(C490&lt;=$CQ$2,$EY$3,"")))))))))</f>
        <v/>
      </c>
      <c r="AX490" s="52" t="str">
        <f t="shared" ref="AX490:AX553" si="232">IF(C490="","",IF(AB490&gt;=3,"",IF(AD490&gt;=2,"",IF(C490&gt;=$CL$2,$EZ$3,IF(AND(C490&gt;=$CM$1,C490&lt;=$CM$2),$FA$3,IF(AND(C490&gt;=$CN$1,C490&lt;=$CN$2),$FB$3,IF(AND(C490&gt;=$CO$1,C490&lt;=$CO$2),$FC$3,IF(AND(C490&gt;=$CP$1,C490&lt;=$CP$2),$FD$3,IF(C490&lt;=$CQ$2,$FE$3,"")))))))))</f>
        <v/>
      </c>
      <c r="AY490" s="52" t="str">
        <f t="shared" si="211"/>
        <v/>
      </c>
    </row>
    <row r="491" spans="4:51">
      <c r="D491" s="23"/>
      <c r="E491" s="23"/>
      <c r="F491" s="23"/>
      <c r="G491" s="23"/>
      <c r="H491" s="23"/>
      <c r="I491" s="3"/>
      <c r="J491" s="3"/>
      <c r="K491" s="3"/>
      <c r="L491" s="2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26"/>
      <c r="Y491" s="1"/>
      <c r="Z491" s="12">
        <f t="shared" si="207"/>
        <v>0</v>
      </c>
      <c r="AA491" s="14">
        <f t="shared" si="208"/>
        <v>0</v>
      </c>
      <c r="AB491" s="6">
        <f t="shared" si="212"/>
        <v>0</v>
      </c>
      <c r="AC491" s="6">
        <f t="shared" si="213"/>
        <v>0</v>
      </c>
      <c r="AD491" s="6">
        <f t="shared" si="214"/>
        <v>0</v>
      </c>
      <c r="AE491" s="52" t="str">
        <f t="shared" si="215"/>
        <v/>
      </c>
      <c r="AF491" s="52" t="str">
        <f t="shared" si="216"/>
        <v/>
      </c>
      <c r="AG491" s="50" t="str">
        <f t="shared" si="209"/>
        <v/>
      </c>
      <c r="AH491" s="50" t="str">
        <f t="shared" si="210"/>
        <v/>
      </c>
      <c r="AI491" s="52" t="str">
        <f t="shared" si="217"/>
        <v/>
      </c>
      <c r="AJ491" s="52" t="str">
        <f t="shared" si="218"/>
        <v/>
      </c>
      <c r="AK491" s="52" t="str">
        <f t="shared" si="219"/>
        <v/>
      </c>
      <c r="AL491" s="52" t="str">
        <f t="shared" si="220"/>
        <v/>
      </c>
      <c r="AM491" s="52" t="str">
        <f t="shared" si="221"/>
        <v/>
      </c>
      <c r="AN491" s="52" t="str">
        <f t="shared" si="222"/>
        <v/>
      </c>
      <c r="AO491" s="52" t="str">
        <f t="shared" si="223"/>
        <v/>
      </c>
      <c r="AP491" s="52" t="str">
        <f t="shared" si="224"/>
        <v/>
      </c>
      <c r="AQ491" s="52" t="str">
        <f t="shared" si="225"/>
        <v/>
      </c>
      <c r="AR491" s="52" t="str">
        <f t="shared" si="226"/>
        <v/>
      </c>
      <c r="AS491" s="52" t="str">
        <f t="shared" si="227"/>
        <v/>
      </c>
      <c r="AT491" s="52" t="str">
        <f t="shared" si="228"/>
        <v/>
      </c>
      <c r="AU491" s="52" t="str">
        <f t="shared" si="229"/>
        <v/>
      </c>
      <c r="AV491" s="52" t="str">
        <f t="shared" si="230"/>
        <v/>
      </c>
      <c r="AW491" s="52" t="str">
        <f t="shared" si="231"/>
        <v/>
      </c>
      <c r="AX491" s="52" t="str">
        <f t="shared" si="232"/>
        <v/>
      </c>
      <c r="AY491" s="52" t="str">
        <f t="shared" si="211"/>
        <v/>
      </c>
    </row>
    <row r="492" spans="4:51">
      <c r="D492" s="23"/>
      <c r="E492" s="23"/>
      <c r="F492" s="23"/>
      <c r="G492" s="23"/>
      <c r="H492" s="23"/>
      <c r="I492" s="3"/>
      <c r="J492" s="3"/>
      <c r="K492" s="3"/>
      <c r="L492" s="2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26"/>
      <c r="Y492" s="1"/>
      <c r="Z492" s="12">
        <f t="shared" si="207"/>
        <v>0</v>
      </c>
      <c r="AA492" s="14">
        <f t="shared" si="208"/>
        <v>0</v>
      </c>
      <c r="AB492" s="6">
        <f t="shared" si="212"/>
        <v>0</v>
      </c>
      <c r="AC492" s="6">
        <f t="shared" si="213"/>
        <v>0</v>
      </c>
      <c r="AD492" s="6">
        <f t="shared" si="214"/>
        <v>0</v>
      </c>
      <c r="AE492" s="52" t="str">
        <f t="shared" si="215"/>
        <v/>
      </c>
      <c r="AF492" s="52" t="str">
        <f t="shared" si="216"/>
        <v/>
      </c>
      <c r="AG492" s="50" t="str">
        <f t="shared" si="209"/>
        <v/>
      </c>
      <c r="AH492" s="50" t="str">
        <f t="shared" si="210"/>
        <v/>
      </c>
      <c r="AI492" s="52" t="str">
        <f t="shared" si="217"/>
        <v/>
      </c>
      <c r="AJ492" s="52" t="str">
        <f t="shared" si="218"/>
        <v/>
      </c>
      <c r="AK492" s="52" t="str">
        <f t="shared" si="219"/>
        <v/>
      </c>
      <c r="AL492" s="52" t="str">
        <f t="shared" si="220"/>
        <v/>
      </c>
      <c r="AM492" s="52" t="str">
        <f t="shared" si="221"/>
        <v/>
      </c>
      <c r="AN492" s="52" t="str">
        <f t="shared" si="222"/>
        <v/>
      </c>
      <c r="AO492" s="52" t="str">
        <f t="shared" si="223"/>
        <v/>
      </c>
      <c r="AP492" s="52" t="str">
        <f t="shared" si="224"/>
        <v/>
      </c>
      <c r="AQ492" s="52" t="str">
        <f t="shared" si="225"/>
        <v/>
      </c>
      <c r="AR492" s="52" t="str">
        <f t="shared" si="226"/>
        <v/>
      </c>
      <c r="AS492" s="52" t="str">
        <f t="shared" si="227"/>
        <v/>
      </c>
      <c r="AT492" s="52" t="str">
        <f t="shared" si="228"/>
        <v/>
      </c>
      <c r="AU492" s="52" t="str">
        <f t="shared" si="229"/>
        <v/>
      </c>
      <c r="AV492" s="52" t="str">
        <f t="shared" si="230"/>
        <v/>
      </c>
      <c r="AW492" s="52" t="str">
        <f t="shared" si="231"/>
        <v/>
      </c>
      <c r="AX492" s="52" t="str">
        <f t="shared" si="232"/>
        <v/>
      </c>
      <c r="AY492" s="52" t="str">
        <f t="shared" si="211"/>
        <v/>
      </c>
    </row>
    <row r="493" spans="4:51">
      <c r="D493" s="23"/>
      <c r="E493" s="23"/>
      <c r="F493" s="23"/>
      <c r="G493" s="23"/>
      <c r="H493" s="23"/>
      <c r="I493" s="3"/>
      <c r="J493" s="3"/>
      <c r="K493" s="3"/>
      <c r="L493" s="2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26"/>
      <c r="Y493" s="1"/>
      <c r="Z493" s="12">
        <f t="shared" si="207"/>
        <v>0</v>
      </c>
      <c r="AA493" s="14">
        <f t="shared" si="208"/>
        <v>0</v>
      </c>
      <c r="AB493" s="6">
        <f t="shared" si="212"/>
        <v>0</v>
      </c>
      <c r="AC493" s="6">
        <f t="shared" si="213"/>
        <v>0</v>
      </c>
      <c r="AD493" s="6">
        <f t="shared" si="214"/>
        <v>0</v>
      </c>
      <c r="AE493" s="52" t="str">
        <f t="shared" si="215"/>
        <v/>
      </c>
      <c r="AF493" s="52" t="str">
        <f t="shared" si="216"/>
        <v/>
      </c>
      <c r="AG493" s="50" t="str">
        <f t="shared" si="209"/>
        <v/>
      </c>
      <c r="AH493" s="50" t="str">
        <f t="shared" si="210"/>
        <v/>
      </c>
      <c r="AI493" s="52" t="str">
        <f t="shared" si="217"/>
        <v/>
      </c>
      <c r="AJ493" s="52" t="str">
        <f t="shared" si="218"/>
        <v/>
      </c>
      <c r="AK493" s="52" t="str">
        <f t="shared" si="219"/>
        <v/>
      </c>
      <c r="AL493" s="52" t="str">
        <f t="shared" si="220"/>
        <v/>
      </c>
      <c r="AM493" s="52" t="str">
        <f t="shared" si="221"/>
        <v/>
      </c>
      <c r="AN493" s="52" t="str">
        <f t="shared" si="222"/>
        <v/>
      </c>
      <c r="AO493" s="52" t="str">
        <f t="shared" si="223"/>
        <v/>
      </c>
      <c r="AP493" s="52" t="str">
        <f t="shared" si="224"/>
        <v/>
      </c>
      <c r="AQ493" s="52" t="str">
        <f t="shared" si="225"/>
        <v/>
      </c>
      <c r="AR493" s="52" t="str">
        <f t="shared" si="226"/>
        <v/>
      </c>
      <c r="AS493" s="52" t="str">
        <f t="shared" si="227"/>
        <v/>
      </c>
      <c r="AT493" s="52" t="str">
        <f t="shared" si="228"/>
        <v/>
      </c>
      <c r="AU493" s="52" t="str">
        <f t="shared" si="229"/>
        <v/>
      </c>
      <c r="AV493" s="52" t="str">
        <f t="shared" si="230"/>
        <v/>
      </c>
      <c r="AW493" s="52" t="str">
        <f t="shared" si="231"/>
        <v/>
      </c>
      <c r="AX493" s="52" t="str">
        <f t="shared" si="232"/>
        <v/>
      </c>
      <c r="AY493" s="52" t="str">
        <f t="shared" si="211"/>
        <v/>
      </c>
    </row>
    <row r="494" spans="4:51">
      <c r="D494" s="23"/>
      <c r="E494" s="23"/>
      <c r="F494" s="23"/>
      <c r="G494" s="23"/>
      <c r="H494" s="23"/>
      <c r="I494" s="3"/>
      <c r="J494" s="3"/>
      <c r="K494" s="3"/>
      <c r="L494" s="2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26"/>
      <c r="Y494" s="1"/>
      <c r="Z494" s="12">
        <f t="shared" si="207"/>
        <v>0</v>
      </c>
      <c r="AA494" s="14">
        <f t="shared" si="208"/>
        <v>0</v>
      </c>
      <c r="AB494" s="6">
        <f t="shared" si="212"/>
        <v>0</v>
      </c>
      <c r="AC494" s="6">
        <f t="shared" si="213"/>
        <v>0</v>
      </c>
      <c r="AD494" s="6">
        <f t="shared" si="214"/>
        <v>0</v>
      </c>
      <c r="AE494" s="52" t="str">
        <f t="shared" si="215"/>
        <v/>
      </c>
      <c r="AF494" s="52" t="str">
        <f t="shared" si="216"/>
        <v/>
      </c>
      <c r="AG494" s="50" t="str">
        <f t="shared" si="209"/>
        <v/>
      </c>
      <c r="AH494" s="50" t="str">
        <f t="shared" si="210"/>
        <v/>
      </c>
      <c r="AI494" s="52" t="str">
        <f t="shared" si="217"/>
        <v/>
      </c>
      <c r="AJ494" s="52" t="str">
        <f t="shared" si="218"/>
        <v/>
      </c>
      <c r="AK494" s="52" t="str">
        <f t="shared" si="219"/>
        <v/>
      </c>
      <c r="AL494" s="52" t="str">
        <f t="shared" si="220"/>
        <v/>
      </c>
      <c r="AM494" s="52" t="str">
        <f t="shared" si="221"/>
        <v/>
      </c>
      <c r="AN494" s="52" t="str">
        <f t="shared" si="222"/>
        <v/>
      </c>
      <c r="AO494" s="52" t="str">
        <f t="shared" si="223"/>
        <v/>
      </c>
      <c r="AP494" s="52" t="str">
        <f t="shared" si="224"/>
        <v/>
      </c>
      <c r="AQ494" s="52" t="str">
        <f t="shared" si="225"/>
        <v/>
      </c>
      <c r="AR494" s="52" t="str">
        <f t="shared" si="226"/>
        <v/>
      </c>
      <c r="AS494" s="52" t="str">
        <f t="shared" si="227"/>
        <v/>
      </c>
      <c r="AT494" s="52" t="str">
        <f t="shared" si="228"/>
        <v/>
      </c>
      <c r="AU494" s="52" t="str">
        <f t="shared" si="229"/>
        <v/>
      </c>
      <c r="AV494" s="52" t="str">
        <f t="shared" si="230"/>
        <v/>
      </c>
      <c r="AW494" s="52" t="str">
        <f t="shared" si="231"/>
        <v/>
      </c>
      <c r="AX494" s="52" t="str">
        <f t="shared" si="232"/>
        <v/>
      </c>
      <c r="AY494" s="52" t="str">
        <f t="shared" si="211"/>
        <v/>
      </c>
    </row>
    <row r="495" spans="4:51">
      <c r="D495" s="23"/>
      <c r="E495" s="23"/>
      <c r="F495" s="23"/>
      <c r="G495" s="23"/>
      <c r="H495" s="23"/>
      <c r="I495" s="3"/>
      <c r="J495" s="3"/>
      <c r="K495" s="3"/>
      <c r="L495" s="2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26"/>
      <c r="Y495" s="1"/>
      <c r="Z495" s="12">
        <f t="shared" si="207"/>
        <v>0</v>
      </c>
      <c r="AA495" s="14">
        <f t="shared" si="208"/>
        <v>0</v>
      </c>
      <c r="AB495" s="6">
        <f t="shared" si="212"/>
        <v>0</v>
      </c>
      <c r="AC495" s="6">
        <f t="shared" si="213"/>
        <v>0</v>
      </c>
      <c r="AD495" s="6">
        <f t="shared" si="214"/>
        <v>0</v>
      </c>
      <c r="AE495" s="52" t="str">
        <f t="shared" si="215"/>
        <v/>
      </c>
      <c r="AF495" s="52" t="str">
        <f t="shared" si="216"/>
        <v/>
      </c>
      <c r="AG495" s="50" t="str">
        <f t="shared" si="209"/>
        <v/>
      </c>
      <c r="AH495" s="50" t="str">
        <f t="shared" si="210"/>
        <v/>
      </c>
      <c r="AI495" s="52" t="str">
        <f t="shared" si="217"/>
        <v/>
      </c>
      <c r="AJ495" s="52" t="str">
        <f t="shared" si="218"/>
        <v/>
      </c>
      <c r="AK495" s="52" t="str">
        <f t="shared" si="219"/>
        <v/>
      </c>
      <c r="AL495" s="52" t="str">
        <f t="shared" si="220"/>
        <v/>
      </c>
      <c r="AM495" s="52" t="str">
        <f t="shared" si="221"/>
        <v/>
      </c>
      <c r="AN495" s="52" t="str">
        <f t="shared" si="222"/>
        <v/>
      </c>
      <c r="AO495" s="52" t="str">
        <f t="shared" si="223"/>
        <v/>
      </c>
      <c r="AP495" s="52" t="str">
        <f t="shared" si="224"/>
        <v/>
      </c>
      <c r="AQ495" s="52" t="str">
        <f t="shared" si="225"/>
        <v/>
      </c>
      <c r="AR495" s="52" t="str">
        <f t="shared" si="226"/>
        <v/>
      </c>
      <c r="AS495" s="52" t="str">
        <f t="shared" si="227"/>
        <v/>
      </c>
      <c r="AT495" s="52" t="str">
        <f t="shared" si="228"/>
        <v/>
      </c>
      <c r="AU495" s="52" t="str">
        <f t="shared" si="229"/>
        <v/>
      </c>
      <c r="AV495" s="52" t="str">
        <f t="shared" si="230"/>
        <v/>
      </c>
      <c r="AW495" s="52" t="str">
        <f t="shared" si="231"/>
        <v/>
      </c>
      <c r="AX495" s="52" t="str">
        <f t="shared" si="232"/>
        <v/>
      </c>
      <c r="AY495" s="52" t="str">
        <f t="shared" si="211"/>
        <v/>
      </c>
    </row>
    <row r="496" spans="4:51">
      <c r="D496" s="23"/>
      <c r="E496" s="23"/>
      <c r="F496" s="23"/>
      <c r="G496" s="23"/>
      <c r="H496" s="23"/>
      <c r="I496" s="3"/>
      <c r="J496" s="3"/>
      <c r="K496" s="3"/>
      <c r="L496" s="2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26"/>
      <c r="Y496" s="1"/>
      <c r="Z496" s="12">
        <f t="shared" si="207"/>
        <v>0</v>
      </c>
      <c r="AA496" s="14">
        <f t="shared" si="208"/>
        <v>0</v>
      </c>
      <c r="AB496" s="6">
        <f t="shared" si="212"/>
        <v>0</v>
      </c>
      <c r="AC496" s="6">
        <f t="shared" si="213"/>
        <v>0</v>
      </c>
      <c r="AD496" s="6">
        <f t="shared" si="214"/>
        <v>0</v>
      </c>
      <c r="AE496" s="52" t="str">
        <f t="shared" si="215"/>
        <v/>
      </c>
      <c r="AF496" s="52" t="str">
        <f t="shared" si="216"/>
        <v/>
      </c>
      <c r="AG496" s="50" t="str">
        <f t="shared" si="209"/>
        <v/>
      </c>
      <c r="AH496" s="50" t="str">
        <f t="shared" si="210"/>
        <v/>
      </c>
      <c r="AI496" s="52" t="str">
        <f t="shared" si="217"/>
        <v/>
      </c>
      <c r="AJ496" s="52" t="str">
        <f t="shared" si="218"/>
        <v/>
      </c>
      <c r="AK496" s="52" t="str">
        <f t="shared" si="219"/>
        <v/>
      </c>
      <c r="AL496" s="52" t="str">
        <f t="shared" si="220"/>
        <v/>
      </c>
      <c r="AM496" s="52" t="str">
        <f t="shared" si="221"/>
        <v/>
      </c>
      <c r="AN496" s="52" t="str">
        <f t="shared" si="222"/>
        <v/>
      </c>
      <c r="AO496" s="52" t="str">
        <f t="shared" si="223"/>
        <v/>
      </c>
      <c r="AP496" s="52" t="str">
        <f t="shared" si="224"/>
        <v/>
      </c>
      <c r="AQ496" s="52" t="str">
        <f t="shared" si="225"/>
        <v/>
      </c>
      <c r="AR496" s="52" t="str">
        <f t="shared" si="226"/>
        <v/>
      </c>
      <c r="AS496" s="52" t="str">
        <f t="shared" si="227"/>
        <v/>
      </c>
      <c r="AT496" s="52" t="str">
        <f t="shared" si="228"/>
        <v/>
      </c>
      <c r="AU496" s="52" t="str">
        <f t="shared" si="229"/>
        <v/>
      </c>
      <c r="AV496" s="52" t="str">
        <f t="shared" si="230"/>
        <v/>
      </c>
      <c r="AW496" s="52" t="str">
        <f t="shared" si="231"/>
        <v/>
      </c>
      <c r="AX496" s="52" t="str">
        <f t="shared" si="232"/>
        <v/>
      </c>
      <c r="AY496" s="52" t="str">
        <f t="shared" si="211"/>
        <v/>
      </c>
    </row>
    <row r="497" spans="4:51">
      <c r="D497" s="23"/>
      <c r="E497" s="23"/>
      <c r="F497" s="23"/>
      <c r="G497" s="23"/>
      <c r="H497" s="23"/>
      <c r="I497" s="3"/>
      <c r="J497" s="3"/>
      <c r="K497" s="3"/>
      <c r="L497" s="2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26"/>
      <c r="Y497" s="1"/>
      <c r="Z497" s="12">
        <f t="shared" si="207"/>
        <v>0</v>
      </c>
      <c r="AA497" s="14">
        <f t="shared" si="208"/>
        <v>0</v>
      </c>
      <c r="AB497" s="6">
        <f t="shared" si="212"/>
        <v>0</v>
      </c>
      <c r="AC497" s="6">
        <f t="shared" si="213"/>
        <v>0</v>
      </c>
      <c r="AD497" s="6">
        <f t="shared" si="214"/>
        <v>0</v>
      </c>
      <c r="AE497" s="52" t="str">
        <f t="shared" si="215"/>
        <v/>
      </c>
      <c r="AF497" s="52" t="str">
        <f t="shared" si="216"/>
        <v/>
      </c>
      <c r="AG497" s="50" t="str">
        <f t="shared" si="209"/>
        <v/>
      </c>
      <c r="AH497" s="50" t="str">
        <f t="shared" si="210"/>
        <v/>
      </c>
      <c r="AI497" s="52" t="str">
        <f t="shared" si="217"/>
        <v/>
      </c>
      <c r="AJ497" s="52" t="str">
        <f t="shared" si="218"/>
        <v/>
      </c>
      <c r="AK497" s="52" t="str">
        <f t="shared" si="219"/>
        <v/>
      </c>
      <c r="AL497" s="52" t="str">
        <f t="shared" si="220"/>
        <v/>
      </c>
      <c r="AM497" s="52" t="str">
        <f t="shared" si="221"/>
        <v/>
      </c>
      <c r="AN497" s="52" t="str">
        <f t="shared" si="222"/>
        <v/>
      </c>
      <c r="AO497" s="52" t="str">
        <f t="shared" si="223"/>
        <v/>
      </c>
      <c r="AP497" s="52" t="str">
        <f t="shared" si="224"/>
        <v/>
      </c>
      <c r="AQ497" s="52" t="str">
        <f t="shared" si="225"/>
        <v/>
      </c>
      <c r="AR497" s="52" t="str">
        <f t="shared" si="226"/>
        <v/>
      </c>
      <c r="AS497" s="52" t="str">
        <f t="shared" si="227"/>
        <v/>
      </c>
      <c r="AT497" s="52" t="str">
        <f t="shared" si="228"/>
        <v/>
      </c>
      <c r="AU497" s="52" t="str">
        <f t="shared" si="229"/>
        <v/>
      </c>
      <c r="AV497" s="52" t="str">
        <f t="shared" si="230"/>
        <v/>
      </c>
      <c r="AW497" s="52" t="str">
        <f t="shared" si="231"/>
        <v/>
      </c>
      <c r="AX497" s="52" t="str">
        <f t="shared" si="232"/>
        <v/>
      </c>
      <c r="AY497" s="52" t="str">
        <f t="shared" si="211"/>
        <v/>
      </c>
    </row>
    <row r="498" spans="4:51">
      <c r="D498" s="23"/>
      <c r="E498" s="23"/>
      <c r="F498" s="23"/>
      <c r="G498" s="23"/>
      <c r="H498" s="23"/>
      <c r="I498" s="3"/>
      <c r="J498" s="3"/>
      <c r="K498" s="3"/>
      <c r="L498" s="2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26"/>
      <c r="Y498" s="1"/>
      <c r="Z498" s="12">
        <f t="shared" si="207"/>
        <v>0</v>
      </c>
      <c r="AA498" s="14">
        <f t="shared" si="208"/>
        <v>0</v>
      </c>
      <c r="AB498" s="6">
        <f t="shared" si="212"/>
        <v>0</v>
      </c>
      <c r="AC498" s="6">
        <f t="shared" si="213"/>
        <v>0</v>
      </c>
      <c r="AD498" s="6">
        <f t="shared" si="214"/>
        <v>0</v>
      </c>
      <c r="AE498" s="52" t="str">
        <f t="shared" si="215"/>
        <v/>
      </c>
      <c r="AF498" s="52" t="str">
        <f t="shared" si="216"/>
        <v/>
      </c>
      <c r="AG498" s="50" t="str">
        <f t="shared" si="209"/>
        <v/>
      </c>
      <c r="AH498" s="50" t="str">
        <f t="shared" si="210"/>
        <v/>
      </c>
      <c r="AI498" s="52" t="str">
        <f t="shared" si="217"/>
        <v/>
      </c>
      <c r="AJ498" s="52" t="str">
        <f t="shared" si="218"/>
        <v/>
      </c>
      <c r="AK498" s="52" t="str">
        <f t="shared" si="219"/>
        <v/>
      </c>
      <c r="AL498" s="52" t="str">
        <f t="shared" si="220"/>
        <v/>
      </c>
      <c r="AM498" s="52" t="str">
        <f t="shared" si="221"/>
        <v/>
      </c>
      <c r="AN498" s="52" t="str">
        <f t="shared" si="222"/>
        <v/>
      </c>
      <c r="AO498" s="52" t="str">
        <f t="shared" si="223"/>
        <v/>
      </c>
      <c r="AP498" s="52" t="str">
        <f t="shared" si="224"/>
        <v/>
      </c>
      <c r="AQ498" s="52" t="str">
        <f t="shared" si="225"/>
        <v/>
      </c>
      <c r="AR498" s="52" t="str">
        <f t="shared" si="226"/>
        <v/>
      </c>
      <c r="AS498" s="52" t="str">
        <f t="shared" si="227"/>
        <v/>
      </c>
      <c r="AT498" s="52" t="str">
        <f t="shared" si="228"/>
        <v/>
      </c>
      <c r="AU498" s="52" t="str">
        <f t="shared" si="229"/>
        <v/>
      </c>
      <c r="AV498" s="52" t="str">
        <f t="shared" si="230"/>
        <v/>
      </c>
      <c r="AW498" s="52" t="str">
        <f t="shared" si="231"/>
        <v/>
      </c>
      <c r="AX498" s="52" t="str">
        <f t="shared" si="232"/>
        <v/>
      </c>
      <c r="AY498" s="52" t="str">
        <f t="shared" si="211"/>
        <v/>
      </c>
    </row>
    <row r="499" spans="4:51">
      <c r="D499" s="23"/>
      <c r="E499" s="23"/>
      <c r="F499" s="23"/>
      <c r="G499" s="23"/>
      <c r="H499" s="23"/>
      <c r="I499" s="3"/>
      <c r="J499" s="3"/>
      <c r="K499" s="3"/>
      <c r="L499" s="2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26"/>
      <c r="Y499" s="1"/>
      <c r="Z499" s="12">
        <f t="shared" si="207"/>
        <v>0</v>
      </c>
      <c r="AA499" s="14">
        <f t="shared" si="208"/>
        <v>0</v>
      </c>
      <c r="AB499" s="6">
        <f t="shared" si="212"/>
        <v>0</v>
      </c>
      <c r="AC499" s="6">
        <f t="shared" si="213"/>
        <v>0</v>
      </c>
      <c r="AD499" s="6">
        <f t="shared" si="214"/>
        <v>0</v>
      </c>
      <c r="AE499" s="52" t="str">
        <f t="shared" si="215"/>
        <v/>
      </c>
      <c r="AF499" s="52" t="str">
        <f t="shared" si="216"/>
        <v/>
      </c>
      <c r="AG499" s="50" t="str">
        <f t="shared" si="209"/>
        <v/>
      </c>
      <c r="AH499" s="50" t="str">
        <f t="shared" si="210"/>
        <v/>
      </c>
      <c r="AI499" s="52" t="str">
        <f t="shared" si="217"/>
        <v/>
      </c>
      <c r="AJ499" s="52" t="str">
        <f t="shared" si="218"/>
        <v/>
      </c>
      <c r="AK499" s="52" t="str">
        <f t="shared" si="219"/>
        <v/>
      </c>
      <c r="AL499" s="52" t="str">
        <f t="shared" si="220"/>
        <v/>
      </c>
      <c r="AM499" s="52" t="str">
        <f t="shared" si="221"/>
        <v/>
      </c>
      <c r="AN499" s="52" t="str">
        <f t="shared" si="222"/>
        <v/>
      </c>
      <c r="AO499" s="52" t="str">
        <f t="shared" si="223"/>
        <v/>
      </c>
      <c r="AP499" s="52" t="str">
        <f t="shared" si="224"/>
        <v/>
      </c>
      <c r="AQ499" s="52" t="str">
        <f t="shared" si="225"/>
        <v/>
      </c>
      <c r="AR499" s="52" t="str">
        <f t="shared" si="226"/>
        <v/>
      </c>
      <c r="AS499" s="52" t="str">
        <f t="shared" si="227"/>
        <v/>
      </c>
      <c r="AT499" s="52" t="str">
        <f t="shared" si="228"/>
        <v/>
      </c>
      <c r="AU499" s="52" t="str">
        <f t="shared" si="229"/>
        <v/>
      </c>
      <c r="AV499" s="52" t="str">
        <f t="shared" si="230"/>
        <v/>
      </c>
      <c r="AW499" s="52" t="str">
        <f t="shared" si="231"/>
        <v/>
      </c>
      <c r="AX499" s="52" t="str">
        <f t="shared" si="232"/>
        <v/>
      </c>
      <c r="AY499" s="52" t="str">
        <f t="shared" si="211"/>
        <v/>
      </c>
    </row>
    <row r="500" spans="4:51">
      <c r="D500" s="23"/>
      <c r="E500" s="23"/>
      <c r="F500" s="23"/>
      <c r="G500" s="23"/>
      <c r="H500" s="23"/>
      <c r="I500" s="3"/>
      <c r="J500" s="3"/>
      <c r="K500" s="3"/>
      <c r="L500" s="2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26"/>
      <c r="Y500" s="1"/>
      <c r="Z500" s="12">
        <f t="shared" si="207"/>
        <v>0</v>
      </c>
      <c r="AA500" s="14">
        <f t="shared" si="208"/>
        <v>0</v>
      </c>
      <c r="AB500" s="6">
        <f t="shared" si="212"/>
        <v>0</v>
      </c>
      <c r="AC500" s="6">
        <f t="shared" si="213"/>
        <v>0</v>
      </c>
      <c r="AD500" s="6">
        <f t="shared" si="214"/>
        <v>0</v>
      </c>
      <c r="AE500" s="52" t="str">
        <f t="shared" si="215"/>
        <v/>
      </c>
      <c r="AF500" s="52" t="str">
        <f t="shared" si="216"/>
        <v/>
      </c>
      <c r="AG500" s="50" t="str">
        <f t="shared" si="209"/>
        <v/>
      </c>
      <c r="AH500" s="50" t="str">
        <f t="shared" si="210"/>
        <v/>
      </c>
      <c r="AI500" s="52" t="str">
        <f t="shared" si="217"/>
        <v/>
      </c>
      <c r="AJ500" s="52" t="str">
        <f t="shared" si="218"/>
        <v/>
      </c>
      <c r="AK500" s="52" t="str">
        <f t="shared" si="219"/>
        <v/>
      </c>
      <c r="AL500" s="52" t="str">
        <f t="shared" si="220"/>
        <v/>
      </c>
      <c r="AM500" s="52" t="str">
        <f t="shared" si="221"/>
        <v/>
      </c>
      <c r="AN500" s="52" t="str">
        <f t="shared" si="222"/>
        <v/>
      </c>
      <c r="AO500" s="52" t="str">
        <f t="shared" si="223"/>
        <v/>
      </c>
      <c r="AP500" s="52" t="str">
        <f t="shared" si="224"/>
        <v/>
      </c>
      <c r="AQ500" s="52" t="str">
        <f t="shared" si="225"/>
        <v/>
      </c>
      <c r="AR500" s="52" t="str">
        <f t="shared" si="226"/>
        <v/>
      </c>
      <c r="AS500" s="52" t="str">
        <f t="shared" si="227"/>
        <v/>
      </c>
      <c r="AT500" s="52" t="str">
        <f t="shared" si="228"/>
        <v/>
      </c>
      <c r="AU500" s="52" t="str">
        <f t="shared" si="229"/>
        <v/>
      </c>
      <c r="AV500" s="52" t="str">
        <f t="shared" si="230"/>
        <v/>
      </c>
      <c r="AW500" s="52" t="str">
        <f t="shared" si="231"/>
        <v/>
      </c>
      <c r="AX500" s="52" t="str">
        <f t="shared" si="232"/>
        <v/>
      </c>
      <c r="AY500" s="52" t="str">
        <f t="shared" si="211"/>
        <v/>
      </c>
    </row>
    <row r="501" spans="4:51">
      <c r="D501" s="23"/>
      <c r="E501" s="23"/>
      <c r="F501" s="23"/>
      <c r="G501" s="23"/>
      <c r="H501" s="23"/>
      <c r="I501" s="3"/>
      <c r="J501" s="3"/>
      <c r="K501" s="3"/>
      <c r="L501" s="2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26"/>
      <c r="Y501" s="1"/>
      <c r="Z501" s="12">
        <f t="shared" si="207"/>
        <v>0</v>
      </c>
      <c r="AA501" s="14">
        <f t="shared" si="208"/>
        <v>0</v>
      </c>
      <c r="AB501" s="6">
        <f t="shared" si="212"/>
        <v>0</v>
      </c>
      <c r="AC501" s="6">
        <f t="shared" si="213"/>
        <v>0</v>
      </c>
      <c r="AD501" s="6">
        <f t="shared" si="214"/>
        <v>0</v>
      </c>
      <c r="AE501" s="52" t="str">
        <f t="shared" si="215"/>
        <v/>
      </c>
      <c r="AF501" s="52" t="str">
        <f t="shared" si="216"/>
        <v/>
      </c>
      <c r="AG501" s="50" t="str">
        <f t="shared" si="209"/>
        <v/>
      </c>
      <c r="AH501" s="50" t="str">
        <f t="shared" si="210"/>
        <v/>
      </c>
      <c r="AI501" s="52" t="str">
        <f t="shared" si="217"/>
        <v/>
      </c>
      <c r="AJ501" s="52" t="str">
        <f t="shared" si="218"/>
        <v/>
      </c>
      <c r="AK501" s="52" t="str">
        <f t="shared" si="219"/>
        <v/>
      </c>
      <c r="AL501" s="52" t="str">
        <f t="shared" si="220"/>
        <v/>
      </c>
      <c r="AM501" s="52" t="str">
        <f t="shared" si="221"/>
        <v/>
      </c>
      <c r="AN501" s="52" t="str">
        <f t="shared" si="222"/>
        <v/>
      </c>
      <c r="AO501" s="52" t="str">
        <f t="shared" si="223"/>
        <v/>
      </c>
      <c r="AP501" s="52" t="str">
        <f t="shared" si="224"/>
        <v/>
      </c>
      <c r="AQ501" s="52" t="str">
        <f t="shared" si="225"/>
        <v/>
      </c>
      <c r="AR501" s="52" t="str">
        <f t="shared" si="226"/>
        <v/>
      </c>
      <c r="AS501" s="52" t="str">
        <f t="shared" si="227"/>
        <v/>
      </c>
      <c r="AT501" s="52" t="str">
        <f t="shared" si="228"/>
        <v/>
      </c>
      <c r="AU501" s="52" t="str">
        <f t="shared" si="229"/>
        <v/>
      </c>
      <c r="AV501" s="52" t="str">
        <f t="shared" si="230"/>
        <v/>
      </c>
      <c r="AW501" s="52" t="str">
        <f t="shared" si="231"/>
        <v/>
      </c>
      <c r="AX501" s="52" t="str">
        <f t="shared" si="232"/>
        <v/>
      </c>
      <c r="AY501" s="52" t="str">
        <f t="shared" si="211"/>
        <v/>
      </c>
    </row>
    <row r="502" spans="4:51">
      <c r="D502" s="23"/>
      <c r="E502" s="23"/>
      <c r="F502" s="23"/>
      <c r="G502" s="23"/>
      <c r="H502" s="23"/>
      <c r="I502" s="3"/>
      <c r="J502" s="3"/>
      <c r="K502" s="3"/>
      <c r="L502" s="2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26"/>
      <c r="Y502" s="1"/>
      <c r="Z502" s="12">
        <f t="shared" si="207"/>
        <v>0</v>
      </c>
      <c r="AA502" s="14">
        <f t="shared" si="208"/>
        <v>0</v>
      </c>
      <c r="AB502" s="6">
        <f t="shared" si="212"/>
        <v>0</v>
      </c>
      <c r="AC502" s="6">
        <f t="shared" si="213"/>
        <v>0</v>
      </c>
      <c r="AD502" s="6">
        <f t="shared" si="214"/>
        <v>0</v>
      </c>
      <c r="AE502" s="52" t="str">
        <f t="shared" si="215"/>
        <v/>
      </c>
      <c r="AF502" s="52" t="str">
        <f t="shared" si="216"/>
        <v/>
      </c>
      <c r="AG502" s="50" t="str">
        <f t="shared" si="209"/>
        <v/>
      </c>
      <c r="AH502" s="50" t="str">
        <f t="shared" si="210"/>
        <v/>
      </c>
      <c r="AI502" s="52" t="str">
        <f t="shared" si="217"/>
        <v/>
      </c>
      <c r="AJ502" s="52" t="str">
        <f t="shared" si="218"/>
        <v/>
      </c>
      <c r="AK502" s="52" t="str">
        <f t="shared" si="219"/>
        <v/>
      </c>
      <c r="AL502" s="52" t="str">
        <f t="shared" si="220"/>
        <v/>
      </c>
      <c r="AM502" s="52" t="str">
        <f t="shared" si="221"/>
        <v/>
      </c>
      <c r="AN502" s="52" t="str">
        <f t="shared" si="222"/>
        <v/>
      </c>
      <c r="AO502" s="52" t="str">
        <f t="shared" si="223"/>
        <v/>
      </c>
      <c r="AP502" s="52" t="str">
        <f t="shared" si="224"/>
        <v/>
      </c>
      <c r="AQ502" s="52" t="str">
        <f t="shared" si="225"/>
        <v/>
      </c>
      <c r="AR502" s="52" t="str">
        <f t="shared" si="226"/>
        <v/>
      </c>
      <c r="AS502" s="52" t="str">
        <f t="shared" si="227"/>
        <v/>
      </c>
      <c r="AT502" s="52" t="str">
        <f t="shared" si="228"/>
        <v/>
      </c>
      <c r="AU502" s="52" t="str">
        <f t="shared" si="229"/>
        <v/>
      </c>
      <c r="AV502" s="52" t="str">
        <f t="shared" si="230"/>
        <v/>
      </c>
      <c r="AW502" s="52" t="str">
        <f t="shared" si="231"/>
        <v/>
      </c>
      <c r="AX502" s="52" t="str">
        <f t="shared" si="232"/>
        <v/>
      </c>
      <c r="AY502" s="52" t="str">
        <f t="shared" si="211"/>
        <v/>
      </c>
    </row>
    <row r="503" spans="4:51">
      <c r="D503" s="23"/>
      <c r="E503" s="23"/>
      <c r="F503" s="23"/>
      <c r="G503" s="23"/>
      <c r="H503" s="23"/>
      <c r="I503" s="3"/>
      <c r="J503" s="3"/>
      <c r="K503" s="3"/>
      <c r="L503" s="2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26"/>
      <c r="Y503" s="1"/>
      <c r="Z503" s="12">
        <f t="shared" si="207"/>
        <v>0</v>
      </c>
      <c r="AA503" s="14">
        <f t="shared" si="208"/>
        <v>0</v>
      </c>
      <c r="AB503" s="6">
        <f t="shared" si="212"/>
        <v>0</v>
      </c>
      <c r="AC503" s="6">
        <f t="shared" si="213"/>
        <v>0</v>
      </c>
      <c r="AD503" s="6">
        <f t="shared" si="214"/>
        <v>0</v>
      </c>
      <c r="AE503" s="52" t="str">
        <f t="shared" si="215"/>
        <v/>
      </c>
      <c r="AF503" s="52" t="str">
        <f t="shared" si="216"/>
        <v/>
      </c>
      <c r="AG503" s="50" t="str">
        <f t="shared" si="209"/>
        <v/>
      </c>
      <c r="AH503" s="50" t="str">
        <f t="shared" si="210"/>
        <v/>
      </c>
      <c r="AI503" s="52" t="str">
        <f t="shared" si="217"/>
        <v/>
      </c>
      <c r="AJ503" s="52" t="str">
        <f t="shared" si="218"/>
        <v/>
      </c>
      <c r="AK503" s="52" t="str">
        <f t="shared" si="219"/>
        <v/>
      </c>
      <c r="AL503" s="52" t="str">
        <f t="shared" si="220"/>
        <v/>
      </c>
      <c r="AM503" s="52" t="str">
        <f t="shared" si="221"/>
        <v/>
      </c>
      <c r="AN503" s="52" t="str">
        <f t="shared" si="222"/>
        <v/>
      </c>
      <c r="AO503" s="52" t="str">
        <f t="shared" si="223"/>
        <v/>
      </c>
      <c r="AP503" s="52" t="str">
        <f t="shared" si="224"/>
        <v/>
      </c>
      <c r="AQ503" s="52" t="str">
        <f t="shared" si="225"/>
        <v/>
      </c>
      <c r="AR503" s="52" t="str">
        <f t="shared" si="226"/>
        <v/>
      </c>
      <c r="AS503" s="52" t="str">
        <f t="shared" si="227"/>
        <v/>
      </c>
      <c r="AT503" s="52" t="str">
        <f t="shared" si="228"/>
        <v/>
      </c>
      <c r="AU503" s="52" t="str">
        <f t="shared" si="229"/>
        <v/>
      </c>
      <c r="AV503" s="52" t="str">
        <f t="shared" si="230"/>
        <v/>
      </c>
      <c r="AW503" s="52" t="str">
        <f t="shared" si="231"/>
        <v/>
      </c>
      <c r="AX503" s="52" t="str">
        <f t="shared" si="232"/>
        <v/>
      </c>
      <c r="AY503" s="52" t="str">
        <f t="shared" si="211"/>
        <v/>
      </c>
    </row>
    <row r="504" spans="4:51">
      <c r="D504" s="23"/>
      <c r="E504" s="23"/>
      <c r="F504" s="23"/>
      <c r="G504" s="23"/>
      <c r="H504" s="23"/>
      <c r="I504" s="3"/>
      <c r="J504" s="3"/>
      <c r="K504" s="3"/>
      <c r="L504" s="2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26"/>
      <c r="Y504" s="1"/>
      <c r="Z504" s="12">
        <f t="shared" si="207"/>
        <v>0</v>
      </c>
      <c r="AA504" s="14">
        <f t="shared" si="208"/>
        <v>0</v>
      </c>
      <c r="AB504" s="6">
        <f t="shared" si="212"/>
        <v>0</v>
      </c>
      <c r="AC504" s="6">
        <f t="shared" si="213"/>
        <v>0</v>
      </c>
      <c r="AD504" s="6">
        <f t="shared" si="214"/>
        <v>0</v>
      </c>
      <c r="AE504" s="52" t="str">
        <f t="shared" si="215"/>
        <v/>
      </c>
      <c r="AF504" s="52" t="str">
        <f t="shared" si="216"/>
        <v/>
      </c>
      <c r="AG504" s="50" t="str">
        <f t="shared" si="209"/>
        <v/>
      </c>
      <c r="AH504" s="50" t="str">
        <f t="shared" si="210"/>
        <v/>
      </c>
      <c r="AI504" s="52" t="str">
        <f t="shared" si="217"/>
        <v/>
      </c>
      <c r="AJ504" s="52" t="str">
        <f t="shared" si="218"/>
        <v/>
      </c>
      <c r="AK504" s="52" t="str">
        <f t="shared" si="219"/>
        <v/>
      </c>
      <c r="AL504" s="52" t="str">
        <f t="shared" si="220"/>
        <v/>
      </c>
      <c r="AM504" s="52" t="str">
        <f t="shared" si="221"/>
        <v/>
      </c>
      <c r="AN504" s="52" t="str">
        <f t="shared" si="222"/>
        <v/>
      </c>
      <c r="AO504" s="52" t="str">
        <f t="shared" si="223"/>
        <v/>
      </c>
      <c r="AP504" s="52" t="str">
        <f t="shared" si="224"/>
        <v/>
      </c>
      <c r="AQ504" s="52" t="str">
        <f t="shared" si="225"/>
        <v/>
      </c>
      <c r="AR504" s="52" t="str">
        <f t="shared" si="226"/>
        <v/>
      </c>
      <c r="AS504" s="52" t="str">
        <f t="shared" si="227"/>
        <v/>
      </c>
      <c r="AT504" s="52" t="str">
        <f t="shared" si="228"/>
        <v/>
      </c>
      <c r="AU504" s="52" t="str">
        <f t="shared" si="229"/>
        <v/>
      </c>
      <c r="AV504" s="52" t="str">
        <f t="shared" si="230"/>
        <v/>
      </c>
      <c r="AW504" s="52" t="str">
        <f t="shared" si="231"/>
        <v/>
      </c>
      <c r="AX504" s="52" t="str">
        <f t="shared" si="232"/>
        <v/>
      </c>
      <c r="AY504" s="52" t="str">
        <f t="shared" si="211"/>
        <v/>
      </c>
    </row>
    <row r="505" spans="4:51">
      <c r="D505" s="23"/>
      <c r="E505" s="23"/>
      <c r="F505" s="23"/>
      <c r="G505" s="23"/>
      <c r="H505" s="23"/>
      <c r="I505" s="3"/>
      <c r="J505" s="3"/>
      <c r="K505" s="3"/>
      <c r="L505" s="2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26"/>
      <c r="Y505" s="1"/>
      <c r="Z505" s="12">
        <f t="shared" si="207"/>
        <v>0</v>
      </c>
      <c r="AA505" s="14">
        <f t="shared" si="208"/>
        <v>0</v>
      </c>
      <c r="AB505" s="6">
        <f t="shared" si="212"/>
        <v>0</v>
      </c>
      <c r="AC505" s="6">
        <f t="shared" si="213"/>
        <v>0</v>
      </c>
      <c r="AD505" s="6">
        <f t="shared" si="214"/>
        <v>0</v>
      </c>
      <c r="AE505" s="52" t="str">
        <f t="shared" si="215"/>
        <v/>
      </c>
      <c r="AF505" s="52" t="str">
        <f t="shared" si="216"/>
        <v/>
      </c>
      <c r="AG505" s="50" t="str">
        <f t="shared" si="209"/>
        <v/>
      </c>
      <c r="AH505" s="50" t="str">
        <f t="shared" si="210"/>
        <v/>
      </c>
      <c r="AI505" s="52" t="str">
        <f t="shared" si="217"/>
        <v/>
      </c>
      <c r="AJ505" s="52" t="str">
        <f t="shared" si="218"/>
        <v/>
      </c>
      <c r="AK505" s="52" t="str">
        <f t="shared" si="219"/>
        <v/>
      </c>
      <c r="AL505" s="52" t="str">
        <f t="shared" si="220"/>
        <v/>
      </c>
      <c r="AM505" s="52" t="str">
        <f t="shared" si="221"/>
        <v/>
      </c>
      <c r="AN505" s="52" t="str">
        <f t="shared" si="222"/>
        <v/>
      </c>
      <c r="AO505" s="52" t="str">
        <f t="shared" si="223"/>
        <v/>
      </c>
      <c r="AP505" s="52" t="str">
        <f t="shared" si="224"/>
        <v/>
      </c>
      <c r="AQ505" s="52" t="str">
        <f t="shared" si="225"/>
        <v/>
      </c>
      <c r="AR505" s="52" t="str">
        <f t="shared" si="226"/>
        <v/>
      </c>
      <c r="AS505" s="52" t="str">
        <f t="shared" si="227"/>
        <v/>
      </c>
      <c r="AT505" s="52" t="str">
        <f t="shared" si="228"/>
        <v/>
      </c>
      <c r="AU505" s="52" t="str">
        <f t="shared" si="229"/>
        <v/>
      </c>
      <c r="AV505" s="52" t="str">
        <f t="shared" si="230"/>
        <v/>
      </c>
      <c r="AW505" s="52" t="str">
        <f t="shared" si="231"/>
        <v/>
      </c>
      <c r="AX505" s="52" t="str">
        <f t="shared" si="232"/>
        <v/>
      </c>
      <c r="AY505" s="52" t="str">
        <f t="shared" si="211"/>
        <v/>
      </c>
    </row>
    <row r="506" spans="4:51">
      <c r="D506" s="23"/>
      <c r="E506" s="23"/>
      <c r="F506" s="23"/>
      <c r="G506" s="23"/>
      <c r="H506" s="23"/>
      <c r="I506" s="3"/>
      <c r="J506" s="3"/>
      <c r="K506" s="3"/>
      <c r="L506" s="2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26"/>
      <c r="Y506" s="1"/>
      <c r="Z506" s="12">
        <f t="shared" si="207"/>
        <v>0</v>
      </c>
      <c r="AA506" s="14">
        <f t="shared" si="208"/>
        <v>0</v>
      </c>
      <c r="AB506" s="6">
        <f t="shared" si="212"/>
        <v>0</v>
      </c>
      <c r="AC506" s="6">
        <f t="shared" si="213"/>
        <v>0</v>
      </c>
      <c r="AD506" s="6">
        <f t="shared" si="214"/>
        <v>0</v>
      </c>
      <c r="AE506" s="52" t="str">
        <f t="shared" si="215"/>
        <v/>
      </c>
      <c r="AF506" s="52" t="str">
        <f t="shared" si="216"/>
        <v/>
      </c>
      <c r="AG506" s="50" t="str">
        <f t="shared" si="209"/>
        <v/>
      </c>
      <c r="AH506" s="50" t="str">
        <f t="shared" si="210"/>
        <v/>
      </c>
      <c r="AI506" s="52" t="str">
        <f t="shared" si="217"/>
        <v/>
      </c>
      <c r="AJ506" s="52" t="str">
        <f t="shared" si="218"/>
        <v/>
      </c>
      <c r="AK506" s="52" t="str">
        <f t="shared" si="219"/>
        <v/>
      </c>
      <c r="AL506" s="52" t="str">
        <f t="shared" si="220"/>
        <v/>
      </c>
      <c r="AM506" s="52" t="str">
        <f t="shared" si="221"/>
        <v/>
      </c>
      <c r="AN506" s="52" t="str">
        <f t="shared" si="222"/>
        <v/>
      </c>
      <c r="AO506" s="52" t="str">
        <f t="shared" si="223"/>
        <v/>
      </c>
      <c r="AP506" s="52" t="str">
        <f t="shared" si="224"/>
        <v/>
      </c>
      <c r="AQ506" s="52" t="str">
        <f t="shared" si="225"/>
        <v/>
      </c>
      <c r="AR506" s="52" t="str">
        <f t="shared" si="226"/>
        <v/>
      </c>
      <c r="AS506" s="52" t="str">
        <f t="shared" si="227"/>
        <v/>
      </c>
      <c r="AT506" s="52" t="str">
        <f t="shared" si="228"/>
        <v/>
      </c>
      <c r="AU506" s="52" t="str">
        <f t="shared" si="229"/>
        <v/>
      </c>
      <c r="AV506" s="52" t="str">
        <f t="shared" si="230"/>
        <v/>
      </c>
      <c r="AW506" s="52" t="str">
        <f t="shared" si="231"/>
        <v/>
      </c>
      <c r="AX506" s="52" t="str">
        <f t="shared" si="232"/>
        <v/>
      </c>
      <c r="AY506" s="52" t="str">
        <f t="shared" si="211"/>
        <v/>
      </c>
    </row>
    <row r="507" spans="4:51">
      <c r="D507" s="23"/>
      <c r="E507" s="23"/>
      <c r="F507" s="23"/>
      <c r="G507" s="23"/>
      <c r="H507" s="23"/>
      <c r="I507" s="3"/>
      <c r="J507" s="3"/>
      <c r="K507" s="3"/>
      <c r="L507" s="2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26"/>
      <c r="Y507" s="1"/>
      <c r="Z507" s="12">
        <f t="shared" si="207"/>
        <v>0</v>
      </c>
      <c r="AA507" s="14">
        <f t="shared" si="208"/>
        <v>0</v>
      </c>
      <c r="AB507" s="6">
        <f t="shared" si="212"/>
        <v>0</v>
      </c>
      <c r="AC507" s="6">
        <f t="shared" si="213"/>
        <v>0</v>
      </c>
      <c r="AD507" s="6">
        <f t="shared" si="214"/>
        <v>0</v>
      </c>
      <c r="AE507" s="52" t="str">
        <f t="shared" si="215"/>
        <v/>
      </c>
      <c r="AF507" s="52" t="str">
        <f t="shared" si="216"/>
        <v/>
      </c>
      <c r="AG507" s="50" t="str">
        <f t="shared" si="209"/>
        <v/>
      </c>
      <c r="AH507" s="50" t="str">
        <f t="shared" si="210"/>
        <v/>
      </c>
      <c r="AI507" s="52" t="str">
        <f t="shared" si="217"/>
        <v/>
      </c>
      <c r="AJ507" s="52" t="str">
        <f t="shared" si="218"/>
        <v/>
      </c>
      <c r="AK507" s="52" t="str">
        <f t="shared" si="219"/>
        <v/>
      </c>
      <c r="AL507" s="52" t="str">
        <f t="shared" si="220"/>
        <v/>
      </c>
      <c r="AM507" s="52" t="str">
        <f t="shared" si="221"/>
        <v/>
      </c>
      <c r="AN507" s="52" t="str">
        <f t="shared" si="222"/>
        <v/>
      </c>
      <c r="AO507" s="52" t="str">
        <f t="shared" si="223"/>
        <v/>
      </c>
      <c r="AP507" s="52" t="str">
        <f t="shared" si="224"/>
        <v/>
      </c>
      <c r="AQ507" s="52" t="str">
        <f t="shared" si="225"/>
        <v/>
      </c>
      <c r="AR507" s="52" t="str">
        <f t="shared" si="226"/>
        <v/>
      </c>
      <c r="AS507" s="52" t="str">
        <f t="shared" si="227"/>
        <v/>
      </c>
      <c r="AT507" s="52" t="str">
        <f t="shared" si="228"/>
        <v/>
      </c>
      <c r="AU507" s="52" t="str">
        <f t="shared" si="229"/>
        <v/>
      </c>
      <c r="AV507" s="52" t="str">
        <f t="shared" si="230"/>
        <v/>
      </c>
      <c r="AW507" s="52" t="str">
        <f t="shared" si="231"/>
        <v/>
      </c>
      <c r="AX507" s="52" t="str">
        <f t="shared" si="232"/>
        <v/>
      </c>
      <c r="AY507" s="52" t="str">
        <f t="shared" si="211"/>
        <v/>
      </c>
    </row>
    <row r="508" spans="4:51">
      <c r="D508" s="23"/>
      <c r="E508" s="23"/>
      <c r="F508" s="23"/>
      <c r="G508" s="23"/>
      <c r="H508" s="23"/>
      <c r="I508" s="3"/>
      <c r="J508" s="3"/>
      <c r="K508" s="3"/>
      <c r="L508" s="2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26"/>
      <c r="Y508" s="1"/>
      <c r="Z508" s="12">
        <f t="shared" si="207"/>
        <v>0</v>
      </c>
      <c r="AA508" s="14">
        <f t="shared" si="208"/>
        <v>0</v>
      </c>
      <c r="AB508" s="6">
        <f t="shared" si="212"/>
        <v>0</v>
      </c>
      <c r="AC508" s="6">
        <f t="shared" si="213"/>
        <v>0</v>
      </c>
      <c r="AD508" s="6">
        <f t="shared" si="214"/>
        <v>0</v>
      </c>
      <c r="AE508" s="52" t="str">
        <f t="shared" si="215"/>
        <v/>
      </c>
      <c r="AF508" s="52" t="str">
        <f t="shared" si="216"/>
        <v/>
      </c>
      <c r="AG508" s="50" t="str">
        <f t="shared" si="209"/>
        <v/>
      </c>
      <c r="AH508" s="50" t="str">
        <f t="shared" si="210"/>
        <v/>
      </c>
      <c r="AI508" s="52" t="str">
        <f t="shared" si="217"/>
        <v/>
      </c>
      <c r="AJ508" s="52" t="str">
        <f t="shared" si="218"/>
        <v/>
      </c>
      <c r="AK508" s="52" t="str">
        <f t="shared" si="219"/>
        <v/>
      </c>
      <c r="AL508" s="52" t="str">
        <f t="shared" si="220"/>
        <v/>
      </c>
      <c r="AM508" s="52" t="str">
        <f t="shared" si="221"/>
        <v/>
      </c>
      <c r="AN508" s="52" t="str">
        <f t="shared" si="222"/>
        <v/>
      </c>
      <c r="AO508" s="52" t="str">
        <f t="shared" si="223"/>
        <v/>
      </c>
      <c r="AP508" s="52" t="str">
        <f t="shared" si="224"/>
        <v/>
      </c>
      <c r="AQ508" s="52" t="str">
        <f t="shared" si="225"/>
        <v/>
      </c>
      <c r="AR508" s="52" t="str">
        <f t="shared" si="226"/>
        <v/>
      </c>
      <c r="AS508" s="52" t="str">
        <f t="shared" si="227"/>
        <v/>
      </c>
      <c r="AT508" s="52" t="str">
        <f t="shared" si="228"/>
        <v/>
      </c>
      <c r="AU508" s="52" t="str">
        <f t="shared" si="229"/>
        <v/>
      </c>
      <c r="AV508" s="52" t="str">
        <f t="shared" si="230"/>
        <v/>
      </c>
      <c r="AW508" s="52" t="str">
        <f t="shared" si="231"/>
        <v/>
      </c>
      <c r="AX508" s="52" t="str">
        <f t="shared" si="232"/>
        <v/>
      </c>
      <c r="AY508" s="52" t="str">
        <f t="shared" si="211"/>
        <v/>
      </c>
    </row>
    <row r="509" spans="4:51">
      <c r="D509" s="23"/>
      <c r="E509" s="23"/>
      <c r="F509" s="23"/>
      <c r="G509" s="23"/>
      <c r="H509" s="23"/>
      <c r="I509" s="3"/>
      <c r="J509" s="3"/>
      <c r="K509" s="3"/>
      <c r="L509" s="2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26"/>
      <c r="Y509" s="1"/>
      <c r="Z509" s="12">
        <f t="shared" si="207"/>
        <v>0</v>
      </c>
      <c r="AA509" s="14">
        <f t="shared" si="208"/>
        <v>0</v>
      </c>
      <c r="AB509" s="6">
        <f t="shared" si="212"/>
        <v>0</v>
      </c>
      <c r="AC509" s="6">
        <f t="shared" si="213"/>
        <v>0</v>
      </c>
      <c r="AD509" s="6">
        <f t="shared" si="214"/>
        <v>0</v>
      </c>
      <c r="AE509" s="52" t="str">
        <f t="shared" si="215"/>
        <v/>
      </c>
      <c r="AF509" s="52" t="str">
        <f t="shared" si="216"/>
        <v/>
      </c>
      <c r="AG509" s="50" t="str">
        <f t="shared" si="209"/>
        <v/>
      </c>
      <c r="AH509" s="50" t="str">
        <f t="shared" si="210"/>
        <v/>
      </c>
      <c r="AI509" s="52" t="str">
        <f t="shared" si="217"/>
        <v/>
      </c>
      <c r="AJ509" s="52" t="str">
        <f t="shared" si="218"/>
        <v/>
      </c>
      <c r="AK509" s="52" t="str">
        <f t="shared" si="219"/>
        <v/>
      </c>
      <c r="AL509" s="52" t="str">
        <f t="shared" si="220"/>
        <v/>
      </c>
      <c r="AM509" s="52" t="str">
        <f t="shared" si="221"/>
        <v/>
      </c>
      <c r="AN509" s="52" t="str">
        <f t="shared" si="222"/>
        <v/>
      </c>
      <c r="AO509" s="52" t="str">
        <f t="shared" si="223"/>
        <v/>
      </c>
      <c r="AP509" s="52" t="str">
        <f t="shared" si="224"/>
        <v/>
      </c>
      <c r="AQ509" s="52" t="str">
        <f t="shared" si="225"/>
        <v/>
      </c>
      <c r="AR509" s="52" t="str">
        <f t="shared" si="226"/>
        <v/>
      </c>
      <c r="AS509" s="52" t="str">
        <f t="shared" si="227"/>
        <v/>
      </c>
      <c r="AT509" s="52" t="str">
        <f t="shared" si="228"/>
        <v/>
      </c>
      <c r="AU509" s="52" t="str">
        <f t="shared" si="229"/>
        <v/>
      </c>
      <c r="AV509" s="52" t="str">
        <f t="shared" si="230"/>
        <v/>
      </c>
      <c r="AW509" s="52" t="str">
        <f t="shared" si="231"/>
        <v/>
      </c>
      <c r="AX509" s="52" t="str">
        <f t="shared" si="232"/>
        <v/>
      </c>
      <c r="AY509" s="52" t="str">
        <f t="shared" si="211"/>
        <v/>
      </c>
    </row>
    <row r="510" spans="4:51">
      <c r="D510" s="23"/>
      <c r="E510" s="23"/>
      <c r="F510" s="23"/>
      <c r="G510" s="23"/>
      <c r="H510" s="23"/>
      <c r="I510" s="3"/>
      <c r="J510" s="3"/>
      <c r="K510" s="3"/>
      <c r="L510" s="2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26"/>
      <c r="Y510" s="1"/>
      <c r="Z510" s="12">
        <f t="shared" si="207"/>
        <v>0</v>
      </c>
      <c r="AA510" s="14">
        <f t="shared" si="208"/>
        <v>0</v>
      </c>
      <c r="AB510" s="6">
        <f t="shared" si="212"/>
        <v>0</v>
      </c>
      <c r="AC510" s="6">
        <f t="shared" si="213"/>
        <v>0</v>
      </c>
      <c r="AD510" s="6">
        <f t="shared" si="214"/>
        <v>0</v>
      </c>
      <c r="AE510" s="52" t="str">
        <f t="shared" si="215"/>
        <v/>
      </c>
      <c r="AF510" s="52" t="str">
        <f t="shared" si="216"/>
        <v/>
      </c>
      <c r="AG510" s="50" t="str">
        <f t="shared" si="209"/>
        <v/>
      </c>
      <c r="AH510" s="50" t="str">
        <f t="shared" si="210"/>
        <v/>
      </c>
      <c r="AI510" s="52" t="str">
        <f t="shared" si="217"/>
        <v/>
      </c>
      <c r="AJ510" s="52" t="str">
        <f t="shared" si="218"/>
        <v/>
      </c>
      <c r="AK510" s="52" t="str">
        <f t="shared" si="219"/>
        <v/>
      </c>
      <c r="AL510" s="52" t="str">
        <f t="shared" si="220"/>
        <v/>
      </c>
      <c r="AM510" s="52" t="str">
        <f t="shared" si="221"/>
        <v/>
      </c>
      <c r="AN510" s="52" t="str">
        <f t="shared" si="222"/>
        <v/>
      </c>
      <c r="AO510" s="52" t="str">
        <f t="shared" si="223"/>
        <v/>
      </c>
      <c r="AP510" s="52" t="str">
        <f t="shared" si="224"/>
        <v/>
      </c>
      <c r="AQ510" s="52" t="str">
        <f t="shared" si="225"/>
        <v/>
      </c>
      <c r="AR510" s="52" t="str">
        <f t="shared" si="226"/>
        <v/>
      </c>
      <c r="AS510" s="52" t="str">
        <f t="shared" si="227"/>
        <v/>
      </c>
      <c r="AT510" s="52" t="str">
        <f t="shared" si="228"/>
        <v/>
      </c>
      <c r="AU510" s="52" t="str">
        <f t="shared" si="229"/>
        <v/>
      </c>
      <c r="AV510" s="52" t="str">
        <f t="shared" si="230"/>
        <v/>
      </c>
      <c r="AW510" s="52" t="str">
        <f t="shared" si="231"/>
        <v/>
      </c>
      <c r="AX510" s="52" t="str">
        <f t="shared" si="232"/>
        <v/>
      </c>
      <c r="AY510" s="52" t="str">
        <f t="shared" si="211"/>
        <v/>
      </c>
    </row>
    <row r="511" spans="4:51">
      <c r="D511" s="23"/>
      <c r="E511" s="23"/>
      <c r="F511" s="23"/>
      <c r="G511" s="23"/>
      <c r="H511" s="23"/>
      <c r="I511" s="3"/>
      <c r="J511" s="3"/>
      <c r="K511" s="3"/>
      <c r="L511" s="2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26"/>
      <c r="Y511" s="1"/>
      <c r="Z511" s="12">
        <f t="shared" ref="Z511:Z574" si="233">COUNTA(D511:W511)-Y511</f>
        <v>0</v>
      </c>
      <c r="AA511" s="14">
        <f t="shared" ref="AA511:AA574" si="234">IF(X511&lt;&gt;"",0.0001,IF(Y511+Z511=0,0,IF(Y511=0,70+(Z511*50),IF(Y511&gt;0,80+(Z511*50)))))</f>
        <v>0</v>
      </c>
      <c r="AB511" s="6">
        <f t="shared" si="212"/>
        <v>0</v>
      </c>
      <c r="AC511" s="6">
        <f t="shared" si="213"/>
        <v>0</v>
      </c>
      <c r="AD511" s="6">
        <f t="shared" si="214"/>
        <v>0</v>
      </c>
      <c r="AE511" s="52" t="str">
        <f t="shared" si="215"/>
        <v/>
      </c>
      <c r="AF511" s="52" t="str">
        <f t="shared" si="216"/>
        <v/>
      </c>
      <c r="AG511" s="50" t="str">
        <f t="shared" ref="AG511:AG574" si="235">IF(AND(B511="Feminino",C511&gt;=$BM$1,C511&lt;=$BM$2),$BM$3,IF(AND(B511="Masculino",C511&gt;=$BM$1,C511&lt;=$BM$2),$BN$3,""))</f>
        <v/>
      </c>
      <c r="AH511" s="50" t="str">
        <f t="shared" ref="AH511:AH574" si="236">IF(C511="","",IF(AND(C511&gt;=$BO$1,C511&lt;=$BO$2),$BO$3,IF(C511&lt;=$BP$2,$BP$3,"")))</f>
        <v/>
      </c>
      <c r="AI511" s="52" t="str">
        <f t="shared" si="217"/>
        <v/>
      </c>
      <c r="AJ511" s="52" t="str">
        <f t="shared" si="218"/>
        <v/>
      </c>
      <c r="AK511" s="52" t="str">
        <f t="shared" si="219"/>
        <v/>
      </c>
      <c r="AL511" s="52" t="str">
        <f t="shared" si="220"/>
        <v/>
      </c>
      <c r="AM511" s="52" t="str">
        <f t="shared" si="221"/>
        <v/>
      </c>
      <c r="AN511" s="52" t="str">
        <f t="shared" si="222"/>
        <v/>
      </c>
      <c r="AO511" s="52" t="str">
        <f t="shared" si="223"/>
        <v/>
      </c>
      <c r="AP511" s="52" t="str">
        <f t="shared" si="224"/>
        <v/>
      </c>
      <c r="AQ511" s="52" t="str">
        <f t="shared" si="225"/>
        <v/>
      </c>
      <c r="AR511" s="52" t="str">
        <f t="shared" si="226"/>
        <v/>
      </c>
      <c r="AS511" s="52" t="str">
        <f t="shared" si="227"/>
        <v/>
      </c>
      <c r="AT511" s="52" t="str">
        <f t="shared" si="228"/>
        <v/>
      </c>
      <c r="AU511" s="52" t="str">
        <f t="shared" si="229"/>
        <v/>
      </c>
      <c r="AV511" s="52" t="str">
        <f t="shared" si="230"/>
        <v/>
      </c>
      <c r="AW511" s="52" t="str">
        <f t="shared" si="231"/>
        <v/>
      </c>
      <c r="AX511" s="52" t="str">
        <f t="shared" si="232"/>
        <v/>
      </c>
      <c r="AY511" s="52" t="str">
        <f t="shared" ref="AY511:AY574" si="237">IF(C511="","",IF(AND(D511="",E511="",F511="",G511="",H511="",I511="",J511="",K511=""),"ADAPTADO",""))</f>
        <v/>
      </c>
    </row>
    <row r="512" spans="4:51">
      <c r="D512" s="23"/>
      <c r="E512" s="23"/>
      <c r="F512" s="23"/>
      <c r="G512" s="23"/>
      <c r="H512" s="23"/>
      <c r="I512" s="3"/>
      <c r="J512" s="3"/>
      <c r="K512" s="3"/>
      <c r="L512" s="2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26"/>
      <c r="Y512" s="1"/>
      <c r="Z512" s="12">
        <f t="shared" si="233"/>
        <v>0</v>
      </c>
      <c r="AA512" s="14">
        <f t="shared" si="234"/>
        <v>0</v>
      </c>
      <c r="AB512" s="6">
        <f t="shared" si="212"/>
        <v>0</v>
      </c>
      <c r="AC512" s="6">
        <f t="shared" si="213"/>
        <v>0</v>
      </c>
      <c r="AD512" s="6">
        <f t="shared" si="214"/>
        <v>0</v>
      </c>
      <c r="AE512" s="52" t="str">
        <f t="shared" si="215"/>
        <v/>
      </c>
      <c r="AF512" s="52" t="str">
        <f t="shared" si="216"/>
        <v/>
      </c>
      <c r="AG512" s="50" t="str">
        <f t="shared" si="235"/>
        <v/>
      </c>
      <c r="AH512" s="50" t="str">
        <f t="shared" si="236"/>
        <v/>
      </c>
      <c r="AI512" s="52" t="str">
        <f t="shared" si="217"/>
        <v/>
      </c>
      <c r="AJ512" s="52" t="str">
        <f t="shared" si="218"/>
        <v/>
      </c>
      <c r="AK512" s="52" t="str">
        <f t="shared" si="219"/>
        <v/>
      </c>
      <c r="AL512" s="52" t="str">
        <f t="shared" si="220"/>
        <v/>
      </c>
      <c r="AM512" s="52" t="str">
        <f t="shared" si="221"/>
        <v/>
      </c>
      <c r="AN512" s="52" t="str">
        <f t="shared" si="222"/>
        <v/>
      </c>
      <c r="AO512" s="52" t="str">
        <f t="shared" si="223"/>
        <v/>
      </c>
      <c r="AP512" s="52" t="str">
        <f t="shared" si="224"/>
        <v/>
      </c>
      <c r="AQ512" s="52" t="str">
        <f t="shared" si="225"/>
        <v/>
      </c>
      <c r="AR512" s="52" t="str">
        <f t="shared" si="226"/>
        <v/>
      </c>
      <c r="AS512" s="52" t="str">
        <f t="shared" si="227"/>
        <v/>
      </c>
      <c r="AT512" s="52" t="str">
        <f t="shared" si="228"/>
        <v/>
      </c>
      <c r="AU512" s="52" t="str">
        <f t="shared" si="229"/>
        <v/>
      </c>
      <c r="AV512" s="52" t="str">
        <f t="shared" si="230"/>
        <v/>
      </c>
      <c r="AW512" s="52" t="str">
        <f t="shared" si="231"/>
        <v/>
      </c>
      <c r="AX512" s="52" t="str">
        <f t="shared" si="232"/>
        <v/>
      </c>
      <c r="AY512" s="52" t="str">
        <f t="shared" si="237"/>
        <v/>
      </c>
    </row>
    <row r="513" spans="4:51">
      <c r="D513" s="23"/>
      <c r="E513" s="23"/>
      <c r="F513" s="23"/>
      <c r="G513" s="23"/>
      <c r="H513" s="23"/>
      <c r="I513" s="3"/>
      <c r="J513" s="3"/>
      <c r="K513" s="3"/>
      <c r="L513" s="2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26"/>
      <c r="Y513" s="1"/>
      <c r="Z513" s="12">
        <f t="shared" si="233"/>
        <v>0</v>
      </c>
      <c r="AA513" s="14">
        <f t="shared" si="234"/>
        <v>0</v>
      </c>
      <c r="AB513" s="6">
        <f t="shared" si="212"/>
        <v>0</v>
      </c>
      <c r="AC513" s="6">
        <f t="shared" si="213"/>
        <v>0</v>
      </c>
      <c r="AD513" s="6">
        <f t="shared" si="214"/>
        <v>0</v>
      </c>
      <c r="AE513" s="52" t="str">
        <f t="shared" si="215"/>
        <v/>
      </c>
      <c r="AF513" s="52" t="str">
        <f t="shared" si="216"/>
        <v/>
      </c>
      <c r="AG513" s="50" t="str">
        <f t="shared" si="235"/>
        <v/>
      </c>
      <c r="AH513" s="50" t="str">
        <f t="shared" si="236"/>
        <v/>
      </c>
      <c r="AI513" s="52" t="str">
        <f t="shared" si="217"/>
        <v/>
      </c>
      <c r="AJ513" s="52" t="str">
        <f t="shared" si="218"/>
        <v/>
      </c>
      <c r="AK513" s="52" t="str">
        <f t="shared" si="219"/>
        <v/>
      </c>
      <c r="AL513" s="52" t="str">
        <f t="shared" si="220"/>
        <v/>
      </c>
      <c r="AM513" s="52" t="str">
        <f t="shared" si="221"/>
        <v/>
      </c>
      <c r="AN513" s="52" t="str">
        <f t="shared" si="222"/>
        <v/>
      </c>
      <c r="AO513" s="52" t="str">
        <f t="shared" si="223"/>
        <v/>
      </c>
      <c r="AP513" s="52" t="str">
        <f t="shared" si="224"/>
        <v/>
      </c>
      <c r="AQ513" s="52" t="str">
        <f t="shared" si="225"/>
        <v/>
      </c>
      <c r="AR513" s="52" t="str">
        <f t="shared" si="226"/>
        <v/>
      </c>
      <c r="AS513" s="52" t="str">
        <f t="shared" si="227"/>
        <v/>
      </c>
      <c r="AT513" s="52" t="str">
        <f t="shared" si="228"/>
        <v/>
      </c>
      <c r="AU513" s="52" t="str">
        <f t="shared" si="229"/>
        <v/>
      </c>
      <c r="AV513" s="52" t="str">
        <f t="shared" si="230"/>
        <v/>
      </c>
      <c r="AW513" s="52" t="str">
        <f t="shared" si="231"/>
        <v/>
      </c>
      <c r="AX513" s="52" t="str">
        <f t="shared" si="232"/>
        <v/>
      </c>
      <c r="AY513" s="52" t="str">
        <f t="shared" si="237"/>
        <v/>
      </c>
    </row>
    <row r="514" spans="4:51">
      <c r="D514" s="23"/>
      <c r="E514" s="23"/>
      <c r="F514" s="23"/>
      <c r="G514" s="23"/>
      <c r="H514" s="23"/>
      <c r="I514" s="3"/>
      <c r="J514" s="3"/>
      <c r="K514" s="3"/>
      <c r="L514" s="2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26"/>
      <c r="Y514" s="1"/>
      <c r="Z514" s="12">
        <f t="shared" si="233"/>
        <v>0</v>
      </c>
      <c r="AA514" s="14">
        <f t="shared" si="234"/>
        <v>0</v>
      </c>
      <c r="AB514" s="6">
        <f t="shared" si="212"/>
        <v>0</v>
      </c>
      <c r="AC514" s="6">
        <f t="shared" si="213"/>
        <v>0</v>
      </c>
      <c r="AD514" s="6">
        <f t="shared" si="214"/>
        <v>0</v>
      </c>
      <c r="AE514" s="52" t="str">
        <f t="shared" si="215"/>
        <v/>
      </c>
      <c r="AF514" s="52" t="str">
        <f t="shared" si="216"/>
        <v/>
      </c>
      <c r="AG514" s="50" t="str">
        <f t="shared" si="235"/>
        <v/>
      </c>
      <c r="AH514" s="50" t="str">
        <f t="shared" si="236"/>
        <v/>
      </c>
      <c r="AI514" s="52" t="str">
        <f t="shared" si="217"/>
        <v/>
      </c>
      <c r="AJ514" s="52" t="str">
        <f t="shared" si="218"/>
        <v/>
      </c>
      <c r="AK514" s="52" t="str">
        <f t="shared" si="219"/>
        <v/>
      </c>
      <c r="AL514" s="52" t="str">
        <f t="shared" si="220"/>
        <v/>
      </c>
      <c r="AM514" s="52" t="str">
        <f t="shared" si="221"/>
        <v/>
      </c>
      <c r="AN514" s="52" t="str">
        <f t="shared" si="222"/>
        <v/>
      </c>
      <c r="AO514" s="52" t="str">
        <f t="shared" si="223"/>
        <v/>
      </c>
      <c r="AP514" s="52" t="str">
        <f t="shared" si="224"/>
        <v/>
      </c>
      <c r="AQ514" s="52" t="str">
        <f t="shared" si="225"/>
        <v/>
      </c>
      <c r="AR514" s="52" t="str">
        <f t="shared" si="226"/>
        <v/>
      </c>
      <c r="AS514" s="52" t="str">
        <f t="shared" si="227"/>
        <v/>
      </c>
      <c r="AT514" s="52" t="str">
        <f t="shared" si="228"/>
        <v/>
      </c>
      <c r="AU514" s="52" t="str">
        <f t="shared" si="229"/>
        <v/>
      </c>
      <c r="AV514" s="52" t="str">
        <f t="shared" si="230"/>
        <v/>
      </c>
      <c r="AW514" s="52" t="str">
        <f t="shared" si="231"/>
        <v/>
      </c>
      <c r="AX514" s="52" t="str">
        <f t="shared" si="232"/>
        <v/>
      </c>
      <c r="AY514" s="52" t="str">
        <f t="shared" si="237"/>
        <v/>
      </c>
    </row>
    <row r="515" spans="4:51">
      <c r="D515" s="23"/>
      <c r="E515" s="23"/>
      <c r="F515" s="23"/>
      <c r="G515" s="23"/>
      <c r="H515" s="23"/>
      <c r="I515" s="3"/>
      <c r="J515" s="3"/>
      <c r="K515" s="3"/>
      <c r="L515" s="2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26"/>
      <c r="Y515" s="1"/>
      <c r="Z515" s="12">
        <f t="shared" si="233"/>
        <v>0</v>
      </c>
      <c r="AA515" s="14">
        <f t="shared" si="234"/>
        <v>0</v>
      </c>
      <c r="AB515" s="6">
        <f t="shared" si="212"/>
        <v>0</v>
      </c>
      <c r="AC515" s="6">
        <f t="shared" si="213"/>
        <v>0</v>
      </c>
      <c r="AD515" s="6">
        <f t="shared" si="214"/>
        <v>0</v>
      </c>
      <c r="AE515" s="52" t="str">
        <f t="shared" si="215"/>
        <v/>
      </c>
      <c r="AF515" s="52" t="str">
        <f t="shared" si="216"/>
        <v/>
      </c>
      <c r="AG515" s="50" t="str">
        <f t="shared" si="235"/>
        <v/>
      </c>
      <c r="AH515" s="50" t="str">
        <f t="shared" si="236"/>
        <v/>
      </c>
      <c r="AI515" s="52" t="str">
        <f t="shared" si="217"/>
        <v/>
      </c>
      <c r="AJ515" s="52" t="str">
        <f t="shared" si="218"/>
        <v/>
      </c>
      <c r="AK515" s="52" t="str">
        <f t="shared" si="219"/>
        <v/>
      </c>
      <c r="AL515" s="52" t="str">
        <f t="shared" si="220"/>
        <v/>
      </c>
      <c r="AM515" s="52" t="str">
        <f t="shared" si="221"/>
        <v/>
      </c>
      <c r="AN515" s="52" t="str">
        <f t="shared" si="222"/>
        <v/>
      </c>
      <c r="AO515" s="52" t="str">
        <f t="shared" si="223"/>
        <v/>
      </c>
      <c r="AP515" s="52" t="str">
        <f t="shared" si="224"/>
        <v/>
      </c>
      <c r="AQ515" s="52" t="str">
        <f t="shared" si="225"/>
        <v/>
      </c>
      <c r="AR515" s="52" t="str">
        <f t="shared" si="226"/>
        <v/>
      </c>
      <c r="AS515" s="52" t="str">
        <f t="shared" si="227"/>
        <v/>
      </c>
      <c r="AT515" s="52" t="str">
        <f t="shared" si="228"/>
        <v/>
      </c>
      <c r="AU515" s="52" t="str">
        <f t="shared" si="229"/>
        <v/>
      </c>
      <c r="AV515" s="52" t="str">
        <f t="shared" si="230"/>
        <v/>
      </c>
      <c r="AW515" s="52" t="str">
        <f t="shared" si="231"/>
        <v/>
      </c>
      <c r="AX515" s="52" t="str">
        <f t="shared" si="232"/>
        <v/>
      </c>
      <c r="AY515" s="52" t="str">
        <f t="shared" si="237"/>
        <v/>
      </c>
    </row>
    <row r="516" spans="4:51">
      <c r="D516" s="23"/>
      <c r="E516" s="23"/>
      <c r="F516" s="23"/>
      <c r="G516" s="23"/>
      <c r="H516" s="23"/>
      <c r="I516" s="3"/>
      <c r="J516" s="3"/>
      <c r="K516" s="3"/>
      <c r="L516" s="2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26"/>
      <c r="Y516" s="1"/>
      <c r="Z516" s="12">
        <f t="shared" si="233"/>
        <v>0</v>
      </c>
      <c r="AA516" s="14">
        <f t="shared" si="234"/>
        <v>0</v>
      </c>
      <c r="AB516" s="6">
        <f t="shared" si="212"/>
        <v>0</v>
      </c>
      <c r="AC516" s="6">
        <f t="shared" si="213"/>
        <v>0</v>
      </c>
      <c r="AD516" s="6">
        <f t="shared" si="214"/>
        <v>0</v>
      </c>
      <c r="AE516" s="52" t="str">
        <f t="shared" si="215"/>
        <v/>
      </c>
      <c r="AF516" s="52" t="str">
        <f t="shared" si="216"/>
        <v/>
      </c>
      <c r="AG516" s="50" t="str">
        <f t="shared" si="235"/>
        <v/>
      </c>
      <c r="AH516" s="50" t="str">
        <f t="shared" si="236"/>
        <v/>
      </c>
      <c r="AI516" s="52" t="str">
        <f t="shared" si="217"/>
        <v/>
      </c>
      <c r="AJ516" s="52" t="str">
        <f t="shared" si="218"/>
        <v/>
      </c>
      <c r="AK516" s="52" t="str">
        <f t="shared" si="219"/>
        <v/>
      </c>
      <c r="AL516" s="52" t="str">
        <f t="shared" si="220"/>
        <v/>
      </c>
      <c r="AM516" s="52" t="str">
        <f t="shared" si="221"/>
        <v/>
      </c>
      <c r="AN516" s="52" t="str">
        <f t="shared" si="222"/>
        <v/>
      </c>
      <c r="AO516" s="52" t="str">
        <f t="shared" si="223"/>
        <v/>
      </c>
      <c r="AP516" s="52" t="str">
        <f t="shared" si="224"/>
        <v/>
      </c>
      <c r="AQ516" s="52" t="str">
        <f t="shared" si="225"/>
        <v/>
      </c>
      <c r="AR516" s="52" t="str">
        <f t="shared" si="226"/>
        <v/>
      </c>
      <c r="AS516" s="52" t="str">
        <f t="shared" si="227"/>
        <v/>
      </c>
      <c r="AT516" s="52" t="str">
        <f t="shared" si="228"/>
        <v/>
      </c>
      <c r="AU516" s="52" t="str">
        <f t="shared" si="229"/>
        <v/>
      </c>
      <c r="AV516" s="52" t="str">
        <f t="shared" si="230"/>
        <v/>
      </c>
      <c r="AW516" s="52" t="str">
        <f t="shared" si="231"/>
        <v/>
      </c>
      <c r="AX516" s="52" t="str">
        <f t="shared" si="232"/>
        <v/>
      </c>
      <c r="AY516" s="52" t="str">
        <f t="shared" si="237"/>
        <v/>
      </c>
    </row>
    <row r="517" spans="4:51">
      <c r="D517" s="23"/>
      <c r="E517" s="23"/>
      <c r="F517" s="23"/>
      <c r="G517" s="23"/>
      <c r="H517" s="23"/>
      <c r="I517" s="3"/>
      <c r="J517" s="3"/>
      <c r="K517" s="3"/>
      <c r="L517" s="2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26"/>
      <c r="Y517" s="1"/>
      <c r="Z517" s="12">
        <f t="shared" si="233"/>
        <v>0</v>
      </c>
      <c r="AA517" s="14">
        <f t="shared" si="234"/>
        <v>0</v>
      </c>
      <c r="AB517" s="6">
        <f t="shared" si="212"/>
        <v>0</v>
      </c>
      <c r="AC517" s="6">
        <f t="shared" si="213"/>
        <v>0</v>
      </c>
      <c r="AD517" s="6">
        <f t="shared" si="214"/>
        <v>0</v>
      </c>
      <c r="AE517" s="52" t="str">
        <f t="shared" si="215"/>
        <v/>
      </c>
      <c r="AF517" s="52" t="str">
        <f t="shared" si="216"/>
        <v/>
      </c>
      <c r="AG517" s="50" t="str">
        <f t="shared" si="235"/>
        <v/>
      </c>
      <c r="AH517" s="50" t="str">
        <f t="shared" si="236"/>
        <v/>
      </c>
      <c r="AI517" s="52" t="str">
        <f t="shared" si="217"/>
        <v/>
      </c>
      <c r="AJ517" s="52" t="str">
        <f t="shared" si="218"/>
        <v/>
      </c>
      <c r="AK517" s="52" t="str">
        <f t="shared" si="219"/>
        <v/>
      </c>
      <c r="AL517" s="52" t="str">
        <f t="shared" si="220"/>
        <v/>
      </c>
      <c r="AM517" s="52" t="str">
        <f t="shared" si="221"/>
        <v/>
      </c>
      <c r="AN517" s="52" t="str">
        <f t="shared" si="222"/>
        <v/>
      </c>
      <c r="AO517" s="52" t="str">
        <f t="shared" si="223"/>
        <v/>
      </c>
      <c r="AP517" s="52" t="str">
        <f t="shared" si="224"/>
        <v/>
      </c>
      <c r="AQ517" s="52" t="str">
        <f t="shared" si="225"/>
        <v/>
      </c>
      <c r="AR517" s="52" t="str">
        <f t="shared" si="226"/>
        <v/>
      </c>
      <c r="AS517" s="52" t="str">
        <f t="shared" si="227"/>
        <v/>
      </c>
      <c r="AT517" s="52" t="str">
        <f t="shared" si="228"/>
        <v/>
      </c>
      <c r="AU517" s="52" t="str">
        <f t="shared" si="229"/>
        <v/>
      </c>
      <c r="AV517" s="52" t="str">
        <f t="shared" si="230"/>
        <v/>
      </c>
      <c r="AW517" s="52" t="str">
        <f t="shared" si="231"/>
        <v/>
      </c>
      <c r="AX517" s="52" t="str">
        <f t="shared" si="232"/>
        <v/>
      </c>
      <c r="AY517" s="52" t="str">
        <f t="shared" si="237"/>
        <v/>
      </c>
    </row>
    <row r="518" spans="4:51">
      <c r="D518" s="23"/>
      <c r="E518" s="23"/>
      <c r="F518" s="23"/>
      <c r="G518" s="23"/>
      <c r="H518" s="23"/>
      <c r="I518" s="3"/>
      <c r="J518" s="3"/>
      <c r="K518" s="3"/>
      <c r="L518" s="2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26"/>
      <c r="Y518" s="1"/>
      <c r="Z518" s="12">
        <f t="shared" si="233"/>
        <v>0</v>
      </c>
      <c r="AA518" s="14">
        <f t="shared" si="234"/>
        <v>0</v>
      </c>
      <c r="AB518" s="6">
        <f t="shared" si="212"/>
        <v>0</v>
      </c>
      <c r="AC518" s="6">
        <f t="shared" si="213"/>
        <v>0</v>
      </c>
      <c r="AD518" s="6">
        <f t="shared" si="214"/>
        <v>0</v>
      </c>
      <c r="AE518" s="52" t="str">
        <f t="shared" si="215"/>
        <v/>
      </c>
      <c r="AF518" s="52" t="str">
        <f t="shared" si="216"/>
        <v/>
      </c>
      <c r="AG518" s="50" t="str">
        <f t="shared" si="235"/>
        <v/>
      </c>
      <c r="AH518" s="50" t="str">
        <f t="shared" si="236"/>
        <v/>
      </c>
      <c r="AI518" s="52" t="str">
        <f t="shared" si="217"/>
        <v/>
      </c>
      <c r="AJ518" s="52" t="str">
        <f t="shared" si="218"/>
        <v/>
      </c>
      <c r="AK518" s="52" t="str">
        <f t="shared" si="219"/>
        <v/>
      </c>
      <c r="AL518" s="52" t="str">
        <f t="shared" si="220"/>
        <v/>
      </c>
      <c r="AM518" s="52" t="str">
        <f t="shared" si="221"/>
        <v/>
      </c>
      <c r="AN518" s="52" t="str">
        <f t="shared" si="222"/>
        <v/>
      </c>
      <c r="AO518" s="52" t="str">
        <f t="shared" si="223"/>
        <v/>
      </c>
      <c r="AP518" s="52" t="str">
        <f t="shared" si="224"/>
        <v/>
      </c>
      <c r="AQ518" s="52" t="str">
        <f t="shared" si="225"/>
        <v/>
      </c>
      <c r="AR518" s="52" t="str">
        <f t="shared" si="226"/>
        <v/>
      </c>
      <c r="AS518" s="52" t="str">
        <f t="shared" si="227"/>
        <v/>
      </c>
      <c r="AT518" s="52" t="str">
        <f t="shared" si="228"/>
        <v/>
      </c>
      <c r="AU518" s="52" t="str">
        <f t="shared" si="229"/>
        <v/>
      </c>
      <c r="AV518" s="52" t="str">
        <f t="shared" si="230"/>
        <v/>
      </c>
      <c r="AW518" s="52" t="str">
        <f t="shared" si="231"/>
        <v/>
      </c>
      <c r="AX518" s="52" t="str">
        <f t="shared" si="232"/>
        <v/>
      </c>
      <c r="AY518" s="52" t="str">
        <f t="shared" si="237"/>
        <v/>
      </c>
    </row>
    <row r="519" spans="4:51">
      <c r="D519" s="23"/>
      <c r="E519" s="23"/>
      <c r="F519" s="23"/>
      <c r="G519" s="23"/>
      <c r="H519" s="23"/>
      <c r="I519" s="3"/>
      <c r="J519" s="3"/>
      <c r="K519" s="3"/>
      <c r="L519" s="2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26"/>
      <c r="Y519" s="1"/>
      <c r="Z519" s="12">
        <f t="shared" si="233"/>
        <v>0</v>
      </c>
      <c r="AA519" s="14">
        <f t="shared" si="234"/>
        <v>0</v>
      </c>
      <c r="AB519" s="6">
        <f t="shared" si="212"/>
        <v>0</v>
      </c>
      <c r="AC519" s="6">
        <f t="shared" si="213"/>
        <v>0</v>
      </c>
      <c r="AD519" s="6">
        <f t="shared" si="214"/>
        <v>0</v>
      </c>
      <c r="AE519" s="52" t="str">
        <f t="shared" si="215"/>
        <v/>
      </c>
      <c r="AF519" s="52" t="str">
        <f t="shared" si="216"/>
        <v/>
      </c>
      <c r="AG519" s="50" t="str">
        <f t="shared" si="235"/>
        <v/>
      </c>
      <c r="AH519" s="50" t="str">
        <f t="shared" si="236"/>
        <v/>
      </c>
      <c r="AI519" s="52" t="str">
        <f t="shared" si="217"/>
        <v/>
      </c>
      <c r="AJ519" s="52" t="str">
        <f t="shared" si="218"/>
        <v/>
      </c>
      <c r="AK519" s="52" t="str">
        <f t="shared" si="219"/>
        <v/>
      </c>
      <c r="AL519" s="52" t="str">
        <f t="shared" si="220"/>
        <v/>
      </c>
      <c r="AM519" s="52" t="str">
        <f t="shared" si="221"/>
        <v/>
      </c>
      <c r="AN519" s="52" t="str">
        <f t="shared" si="222"/>
        <v/>
      </c>
      <c r="AO519" s="52" t="str">
        <f t="shared" si="223"/>
        <v/>
      </c>
      <c r="AP519" s="52" t="str">
        <f t="shared" si="224"/>
        <v/>
      </c>
      <c r="AQ519" s="52" t="str">
        <f t="shared" si="225"/>
        <v/>
      </c>
      <c r="AR519" s="52" t="str">
        <f t="shared" si="226"/>
        <v/>
      </c>
      <c r="AS519" s="52" t="str">
        <f t="shared" si="227"/>
        <v/>
      </c>
      <c r="AT519" s="52" t="str">
        <f t="shared" si="228"/>
        <v/>
      </c>
      <c r="AU519" s="52" t="str">
        <f t="shared" si="229"/>
        <v/>
      </c>
      <c r="AV519" s="52" t="str">
        <f t="shared" si="230"/>
        <v/>
      </c>
      <c r="AW519" s="52" t="str">
        <f t="shared" si="231"/>
        <v/>
      </c>
      <c r="AX519" s="52" t="str">
        <f t="shared" si="232"/>
        <v/>
      </c>
      <c r="AY519" s="52" t="str">
        <f t="shared" si="237"/>
        <v/>
      </c>
    </row>
    <row r="520" spans="4:51">
      <c r="D520" s="23"/>
      <c r="E520" s="23"/>
      <c r="F520" s="23"/>
      <c r="G520" s="23"/>
      <c r="H520" s="23"/>
      <c r="I520" s="3"/>
      <c r="J520" s="3"/>
      <c r="K520" s="3"/>
      <c r="L520" s="2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26"/>
      <c r="Y520" s="1"/>
      <c r="Z520" s="12">
        <f t="shared" si="233"/>
        <v>0</v>
      </c>
      <c r="AA520" s="14">
        <f t="shared" si="234"/>
        <v>0</v>
      </c>
      <c r="AB520" s="6">
        <f t="shared" si="212"/>
        <v>0</v>
      </c>
      <c r="AC520" s="6">
        <f t="shared" si="213"/>
        <v>0</v>
      </c>
      <c r="AD520" s="6">
        <f t="shared" si="214"/>
        <v>0</v>
      </c>
      <c r="AE520" s="52" t="str">
        <f t="shared" si="215"/>
        <v/>
      </c>
      <c r="AF520" s="52" t="str">
        <f t="shared" si="216"/>
        <v/>
      </c>
      <c r="AG520" s="50" t="str">
        <f t="shared" si="235"/>
        <v/>
      </c>
      <c r="AH520" s="50" t="str">
        <f t="shared" si="236"/>
        <v/>
      </c>
      <c r="AI520" s="52" t="str">
        <f t="shared" si="217"/>
        <v/>
      </c>
      <c r="AJ520" s="52" t="str">
        <f t="shared" si="218"/>
        <v/>
      </c>
      <c r="AK520" s="52" t="str">
        <f t="shared" si="219"/>
        <v/>
      </c>
      <c r="AL520" s="52" t="str">
        <f t="shared" si="220"/>
        <v/>
      </c>
      <c r="AM520" s="52" t="str">
        <f t="shared" si="221"/>
        <v/>
      </c>
      <c r="AN520" s="52" t="str">
        <f t="shared" si="222"/>
        <v/>
      </c>
      <c r="AO520" s="52" t="str">
        <f t="shared" si="223"/>
        <v/>
      </c>
      <c r="AP520" s="52" t="str">
        <f t="shared" si="224"/>
        <v/>
      </c>
      <c r="AQ520" s="52" t="str">
        <f t="shared" si="225"/>
        <v/>
      </c>
      <c r="AR520" s="52" t="str">
        <f t="shared" si="226"/>
        <v/>
      </c>
      <c r="AS520" s="52" t="str">
        <f t="shared" si="227"/>
        <v/>
      </c>
      <c r="AT520" s="52" t="str">
        <f t="shared" si="228"/>
        <v/>
      </c>
      <c r="AU520" s="52" t="str">
        <f t="shared" si="229"/>
        <v/>
      </c>
      <c r="AV520" s="52" t="str">
        <f t="shared" si="230"/>
        <v/>
      </c>
      <c r="AW520" s="52" t="str">
        <f t="shared" si="231"/>
        <v/>
      </c>
      <c r="AX520" s="52" t="str">
        <f t="shared" si="232"/>
        <v/>
      </c>
      <c r="AY520" s="52" t="str">
        <f t="shared" si="237"/>
        <v/>
      </c>
    </row>
    <row r="521" spans="4:51">
      <c r="D521" s="23"/>
      <c r="E521" s="23"/>
      <c r="F521" s="23"/>
      <c r="G521" s="23"/>
      <c r="H521" s="23"/>
      <c r="I521" s="3"/>
      <c r="J521" s="3"/>
      <c r="K521" s="3"/>
      <c r="L521" s="2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26"/>
      <c r="Y521" s="1"/>
      <c r="Z521" s="12">
        <f t="shared" si="233"/>
        <v>0</v>
      </c>
      <c r="AA521" s="14">
        <f t="shared" si="234"/>
        <v>0</v>
      </c>
      <c r="AB521" s="6">
        <f t="shared" si="212"/>
        <v>0</v>
      </c>
      <c r="AC521" s="6">
        <f t="shared" si="213"/>
        <v>0</v>
      </c>
      <c r="AD521" s="6">
        <f t="shared" si="214"/>
        <v>0</v>
      </c>
      <c r="AE521" s="52" t="str">
        <f t="shared" si="215"/>
        <v/>
      </c>
      <c r="AF521" s="52" t="str">
        <f t="shared" si="216"/>
        <v/>
      </c>
      <c r="AG521" s="50" t="str">
        <f t="shared" si="235"/>
        <v/>
      </c>
      <c r="AH521" s="50" t="str">
        <f t="shared" si="236"/>
        <v/>
      </c>
      <c r="AI521" s="52" t="str">
        <f t="shared" si="217"/>
        <v/>
      </c>
      <c r="AJ521" s="52" t="str">
        <f t="shared" si="218"/>
        <v/>
      </c>
      <c r="AK521" s="52" t="str">
        <f t="shared" si="219"/>
        <v/>
      </c>
      <c r="AL521" s="52" t="str">
        <f t="shared" si="220"/>
        <v/>
      </c>
      <c r="AM521" s="52" t="str">
        <f t="shared" si="221"/>
        <v/>
      </c>
      <c r="AN521" s="52" t="str">
        <f t="shared" si="222"/>
        <v/>
      </c>
      <c r="AO521" s="52" t="str">
        <f t="shared" si="223"/>
        <v/>
      </c>
      <c r="AP521" s="52" t="str">
        <f t="shared" si="224"/>
        <v/>
      </c>
      <c r="AQ521" s="52" t="str">
        <f t="shared" si="225"/>
        <v/>
      </c>
      <c r="AR521" s="52" t="str">
        <f t="shared" si="226"/>
        <v/>
      </c>
      <c r="AS521" s="52" t="str">
        <f t="shared" si="227"/>
        <v/>
      </c>
      <c r="AT521" s="52" t="str">
        <f t="shared" si="228"/>
        <v/>
      </c>
      <c r="AU521" s="52" t="str">
        <f t="shared" si="229"/>
        <v/>
      </c>
      <c r="AV521" s="52" t="str">
        <f t="shared" si="230"/>
        <v/>
      </c>
      <c r="AW521" s="52" t="str">
        <f t="shared" si="231"/>
        <v/>
      </c>
      <c r="AX521" s="52" t="str">
        <f t="shared" si="232"/>
        <v/>
      </c>
      <c r="AY521" s="52" t="str">
        <f t="shared" si="237"/>
        <v/>
      </c>
    </row>
    <row r="522" spans="4:51">
      <c r="D522" s="23"/>
      <c r="E522" s="23"/>
      <c r="F522" s="23"/>
      <c r="G522" s="23"/>
      <c r="H522" s="23"/>
      <c r="I522" s="3"/>
      <c r="J522" s="3"/>
      <c r="K522" s="3"/>
      <c r="L522" s="2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26"/>
      <c r="Y522" s="1"/>
      <c r="Z522" s="12">
        <f t="shared" si="233"/>
        <v>0</v>
      </c>
      <c r="AA522" s="14">
        <f t="shared" si="234"/>
        <v>0</v>
      </c>
      <c r="AB522" s="6">
        <f t="shared" si="212"/>
        <v>0</v>
      </c>
      <c r="AC522" s="6">
        <f t="shared" si="213"/>
        <v>0</v>
      </c>
      <c r="AD522" s="6">
        <f t="shared" si="214"/>
        <v>0</v>
      </c>
      <c r="AE522" s="52" t="str">
        <f t="shared" si="215"/>
        <v/>
      </c>
      <c r="AF522" s="52" t="str">
        <f t="shared" si="216"/>
        <v/>
      </c>
      <c r="AG522" s="50" t="str">
        <f t="shared" si="235"/>
        <v/>
      </c>
      <c r="AH522" s="50" t="str">
        <f t="shared" si="236"/>
        <v/>
      </c>
      <c r="AI522" s="52" t="str">
        <f t="shared" si="217"/>
        <v/>
      </c>
      <c r="AJ522" s="52" t="str">
        <f t="shared" si="218"/>
        <v/>
      </c>
      <c r="AK522" s="52" t="str">
        <f t="shared" si="219"/>
        <v/>
      </c>
      <c r="AL522" s="52" t="str">
        <f t="shared" si="220"/>
        <v/>
      </c>
      <c r="AM522" s="52" t="str">
        <f t="shared" si="221"/>
        <v/>
      </c>
      <c r="AN522" s="52" t="str">
        <f t="shared" si="222"/>
        <v/>
      </c>
      <c r="AO522" s="52" t="str">
        <f t="shared" si="223"/>
        <v/>
      </c>
      <c r="AP522" s="52" t="str">
        <f t="shared" si="224"/>
        <v/>
      </c>
      <c r="AQ522" s="52" t="str">
        <f t="shared" si="225"/>
        <v/>
      </c>
      <c r="AR522" s="52" t="str">
        <f t="shared" si="226"/>
        <v/>
      </c>
      <c r="AS522" s="52" t="str">
        <f t="shared" si="227"/>
        <v/>
      </c>
      <c r="AT522" s="52" t="str">
        <f t="shared" si="228"/>
        <v/>
      </c>
      <c r="AU522" s="52" t="str">
        <f t="shared" si="229"/>
        <v/>
      </c>
      <c r="AV522" s="52" t="str">
        <f t="shared" si="230"/>
        <v/>
      </c>
      <c r="AW522" s="52" t="str">
        <f t="shared" si="231"/>
        <v/>
      </c>
      <c r="AX522" s="52" t="str">
        <f t="shared" si="232"/>
        <v/>
      </c>
      <c r="AY522" s="52" t="str">
        <f t="shared" si="237"/>
        <v/>
      </c>
    </row>
    <row r="523" spans="4:51">
      <c r="D523" s="23"/>
      <c r="E523" s="23"/>
      <c r="F523" s="23"/>
      <c r="G523" s="23"/>
      <c r="H523" s="23"/>
      <c r="I523" s="3"/>
      <c r="J523" s="3"/>
      <c r="K523" s="3"/>
      <c r="L523" s="2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26"/>
      <c r="Y523" s="1"/>
      <c r="Z523" s="12">
        <f t="shared" si="233"/>
        <v>0</v>
      </c>
      <c r="AA523" s="14">
        <f t="shared" si="234"/>
        <v>0</v>
      </c>
      <c r="AB523" s="6">
        <f t="shared" si="212"/>
        <v>0</v>
      </c>
      <c r="AC523" s="6">
        <f t="shared" si="213"/>
        <v>0</v>
      </c>
      <c r="AD523" s="6">
        <f t="shared" si="214"/>
        <v>0</v>
      </c>
      <c r="AE523" s="52" t="str">
        <f t="shared" si="215"/>
        <v/>
      </c>
      <c r="AF523" s="52" t="str">
        <f t="shared" si="216"/>
        <v/>
      </c>
      <c r="AG523" s="50" t="str">
        <f t="shared" si="235"/>
        <v/>
      </c>
      <c r="AH523" s="50" t="str">
        <f t="shared" si="236"/>
        <v/>
      </c>
      <c r="AI523" s="52" t="str">
        <f t="shared" si="217"/>
        <v/>
      </c>
      <c r="AJ523" s="52" t="str">
        <f t="shared" si="218"/>
        <v/>
      </c>
      <c r="AK523" s="52" t="str">
        <f t="shared" si="219"/>
        <v/>
      </c>
      <c r="AL523" s="52" t="str">
        <f t="shared" si="220"/>
        <v/>
      </c>
      <c r="AM523" s="52" t="str">
        <f t="shared" si="221"/>
        <v/>
      </c>
      <c r="AN523" s="52" t="str">
        <f t="shared" si="222"/>
        <v/>
      </c>
      <c r="AO523" s="52" t="str">
        <f t="shared" si="223"/>
        <v/>
      </c>
      <c r="AP523" s="52" t="str">
        <f t="shared" si="224"/>
        <v/>
      </c>
      <c r="AQ523" s="52" t="str">
        <f t="shared" si="225"/>
        <v/>
      </c>
      <c r="AR523" s="52" t="str">
        <f t="shared" si="226"/>
        <v/>
      </c>
      <c r="AS523" s="52" t="str">
        <f t="shared" si="227"/>
        <v/>
      </c>
      <c r="AT523" s="52" t="str">
        <f t="shared" si="228"/>
        <v/>
      </c>
      <c r="AU523" s="52" t="str">
        <f t="shared" si="229"/>
        <v/>
      </c>
      <c r="AV523" s="52" t="str">
        <f t="shared" si="230"/>
        <v/>
      </c>
      <c r="AW523" s="52" t="str">
        <f t="shared" si="231"/>
        <v/>
      </c>
      <c r="AX523" s="52" t="str">
        <f t="shared" si="232"/>
        <v/>
      </c>
      <c r="AY523" s="52" t="str">
        <f t="shared" si="237"/>
        <v/>
      </c>
    </row>
    <row r="524" spans="4:51">
      <c r="D524" s="23"/>
      <c r="E524" s="23"/>
      <c r="F524" s="23"/>
      <c r="G524" s="23"/>
      <c r="H524" s="23"/>
      <c r="I524" s="3"/>
      <c r="J524" s="3"/>
      <c r="K524" s="3"/>
      <c r="L524" s="2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26"/>
      <c r="Y524" s="1"/>
      <c r="Z524" s="12">
        <f t="shared" si="233"/>
        <v>0</v>
      </c>
      <c r="AA524" s="14">
        <f t="shared" si="234"/>
        <v>0</v>
      </c>
      <c r="AB524" s="6">
        <f t="shared" si="212"/>
        <v>0</v>
      </c>
      <c r="AC524" s="6">
        <f t="shared" si="213"/>
        <v>0</v>
      </c>
      <c r="AD524" s="6">
        <f t="shared" si="214"/>
        <v>0</v>
      </c>
      <c r="AE524" s="52" t="str">
        <f t="shared" si="215"/>
        <v/>
      </c>
      <c r="AF524" s="52" t="str">
        <f t="shared" si="216"/>
        <v/>
      </c>
      <c r="AG524" s="50" t="str">
        <f t="shared" si="235"/>
        <v/>
      </c>
      <c r="AH524" s="50" t="str">
        <f t="shared" si="236"/>
        <v/>
      </c>
      <c r="AI524" s="52" t="str">
        <f t="shared" si="217"/>
        <v/>
      </c>
      <c r="AJ524" s="52" t="str">
        <f t="shared" si="218"/>
        <v/>
      </c>
      <c r="AK524" s="52" t="str">
        <f t="shared" si="219"/>
        <v/>
      </c>
      <c r="AL524" s="52" t="str">
        <f t="shared" si="220"/>
        <v/>
      </c>
      <c r="AM524" s="52" t="str">
        <f t="shared" si="221"/>
        <v/>
      </c>
      <c r="AN524" s="52" t="str">
        <f t="shared" si="222"/>
        <v/>
      </c>
      <c r="AO524" s="52" t="str">
        <f t="shared" si="223"/>
        <v/>
      </c>
      <c r="AP524" s="52" t="str">
        <f t="shared" si="224"/>
        <v/>
      </c>
      <c r="AQ524" s="52" t="str">
        <f t="shared" si="225"/>
        <v/>
      </c>
      <c r="AR524" s="52" t="str">
        <f t="shared" si="226"/>
        <v/>
      </c>
      <c r="AS524" s="52" t="str">
        <f t="shared" si="227"/>
        <v/>
      </c>
      <c r="AT524" s="52" t="str">
        <f t="shared" si="228"/>
        <v/>
      </c>
      <c r="AU524" s="52" t="str">
        <f t="shared" si="229"/>
        <v/>
      </c>
      <c r="AV524" s="52" t="str">
        <f t="shared" si="230"/>
        <v/>
      </c>
      <c r="AW524" s="52" t="str">
        <f t="shared" si="231"/>
        <v/>
      </c>
      <c r="AX524" s="52" t="str">
        <f t="shared" si="232"/>
        <v/>
      </c>
      <c r="AY524" s="52" t="str">
        <f t="shared" si="237"/>
        <v/>
      </c>
    </row>
    <row r="525" spans="4:51">
      <c r="D525" s="23"/>
      <c r="E525" s="23"/>
      <c r="F525" s="23"/>
      <c r="G525" s="23"/>
      <c r="H525" s="23"/>
      <c r="I525" s="3"/>
      <c r="J525" s="3"/>
      <c r="K525" s="3"/>
      <c r="L525" s="2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26"/>
      <c r="Y525" s="1"/>
      <c r="Z525" s="12">
        <f t="shared" si="233"/>
        <v>0</v>
      </c>
      <c r="AA525" s="14">
        <f t="shared" si="234"/>
        <v>0</v>
      </c>
      <c r="AB525" s="6">
        <f t="shared" si="212"/>
        <v>0</v>
      </c>
      <c r="AC525" s="6">
        <f t="shared" si="213"/>
        <v>0</v>
      </c>
      <c r="AD525" s="6">
        <f t="shared" si="214"/>
        <v>0</v>
      </c>
      <c r="AE525" s="52" t="str">
        <f t="shared" si="215"/>
        <v/>
      </c>
      <c r="AF525" s="52" t="str">
        <f t="shared" si="216"/>
        <v/>
      </c>
      <c r="AG525" s="50" t="str">
        <f t="shared" si="235"/>
        <v/>
      </c>
      <c r="AH525" s="50" t="str">
        <f t="shared" si="236"/>
        <v/>
      </c>
      <c r="AI525" s="52" t="str">
        <f t="shared" si="217"/>
        <v/>
      </c>
      <c r="AJ525" s="52" t="str">
        <f t="shared" si="218"/>
        <v/>
      </c>
      <c r="AK525" s="52" t="str">
        <f t="shared" si="219"/>
        <v/>
      </c>
      <c r="AL525" s="52" t="str">
        <f t="shared" si="220"/>
        <v/>
      </c>
      <c r="AM525" s="52" t="str">
        <f t="shared" si="221"/>
        <v/>
      </c>
      <c r="AN525" s="52" t="str">
        <f t="shared" si="222"/>
        <v/>
      </c>
      <c r="AO525" s="52" t="str">
        <f t="shared" si="223"/>
        <v/>
      </c>
      <c r="AP525" s="52" t="str">
        <f t="shared" si="224"/>
        <v/>
      </c>
      <c r="AQ525" s="52" t="str">
        <f t="shared" si="225"/>
        <v/>
      </c>
      <c r="AR525" s="52" t="str">
        <f t="shared" si="226"/>
        <v/>
      </c>
      <c r="AS525" s="52" t="str">
        <f t="shared" si="227"/>
        <v/>
      </c>
      <c r="AT525" s="52" t="str">
        <f t="shared" si="228"/>
        <v/>
      </c>
      <c r="AU525" s="52" t="str">
        <f t="shared" si="229"/>
        <v/>
      </c>
      <c r="AV525" s="52" t="str">
        <f t="shared" si="230"/>
        <v/>
      </c>
      <c r="AW525" s="52" t="str">
        <f t="shared" si="231"/>
        <v/>
      </c>
      <c r="AX525" s="52" t="str">
        <f t="shared" si="232"/>
        <v/>
      </c>
      <c r="AY525" s="52" t="str">
        <f t="shared" si="237"/>
        <v/>
      </c>
    </row>
    <row r="526" spans="4:51">
      <c r="D526" s="23"/>
      <c r="E526" s="23"/>
      <c r="F526" s="23"/>
      <c r="G526" s="23"/>
      <c r="H526" s="23"/>
      <c r="I526" s="3"/>
      <c r="J526" s="3"/>
      <c r="K526" s="3"/>
      <c r="L526" s="2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26"/>
      <c r="Y526" s="1"/>
      <c r="Z526" s="12">
        <f t="shared" si="233"/>
        <v>0</v>
      </c>
      <c r="AA526" s="14">
        <f t="shared" si="234"/>
        <v>0</v>
      </c>
      <c r="AB526" s="6">
        <f t="shared" si="212"/>
        <v>0</v>
      </c>
      <c r="AC526" s="6">
        <f t="shared" si="213"/>
        <v>0</v>
      </c>
      <c r="AD526" s="6">
        <f t="shared" si="214"/>
        <v>0</v>
      </c>
      <c r="AE526" s="52" t="str">
        <f t="shared" si="215"/>
        <v/>
      </c>
      <c r="AF526" s="52" t="str">
        <f t="shared" si="216"/>
        <v/>
      </c>
      <c r="AG526" s="50" t="str">
        <f t="shared" si="235"/>
        <v/>
      </c>
      <c r="AH526" s="50" t="str">
        <f t="shared" si="236"/>
        <v/>
      </c>
      <c r="AI526" s="52" t="str">
        <f t="shared" si="217"/>
        <v/>
      </c>
      <c r="AJ526" s="52" t="str">
        <f t="shared" si="218"/>
        <v/>
      </c>
      <c r="AK526" s="52" t="str">
        <f t="shared" si="219"/>
        <v/>
      </c>
      <c r="AL526" s="52" t="str">
        <f t="shared" si="220"/>
        <v/>
      </c>
      <c r="AM526" s="52" t="str">
        <f t="shared" si="221"/>
        <v/>
      </c>
      <c r="AN526" s="52" t="str">
        <f t="shared" si="222"/>
        <v/>
      </c>
      <c r="AO526" s="52" t="str">
        <f t="shared" si="223"/>
        <v/>
      </c>
      <c r="AP526" s="52" t="str">
        <f t="shared" si="224"/>
        <v/>
      </c>
      <c r="AQ526" s="52" t="str">
        <f t="shared" si="225"/>
        <v/>
      </c>
      <c r="AR526" s="52" t="str">
        <f t="shared" si="226"/>
        <v/>
      </c>
      <c r="AS526" s="52" t="str">
        <f t="shared" si="227"/>
        <v/>
      </c>
      <c r="AT526" s="52" t="str">
        <f t="shared" si="228"/>
        <v/>
      </c>
      <c r="AU526" s="52" t="str">
        <f t="shared" si="229"/>
        <v/>
      </c>
      <c r="AV526" s="52" t="str">
        <f t="shared" si="230"/>
        <v/>
      </c>
      <c r="AW526" s="52" t="str">
        <f t="shared" si="231"/>
        <v/>
      </c>
      <c r="AX526" s="52" t="str">
        <f t="shared" si="232"/>
        <v/>
      </c>
      <c r="AY526" s="52" t="str">
        <f t="shared" si="237"/>
        <v/>
      </c>
    </row>
    <row r="527" spans="4:51">
      <c r="D527" s="23"/>
      <c r="E527" s="23"/>
      <c r="F527" s="23"/>
      <c r="G527" s="23"/>
      <c r="H527" s="23"/>
      <c r="I527" s="3"/>
      <c r="J527" s="3"/>
      <c r="K527" s="3"/>
      <c r="L527" s="2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26"/>
      <c r="Y527" s="1"/>
      <c r="Z527" s="12">
        <f t="shared" si="233"/>
        <v>0</v>
      </c>
      <c r="AA527" s="14">
        <f t="shared" si="234"/>
        <v>0</v>
      </c>
      <c r="AB527" s="6">
        <f t="shared" si="212"/>
        <v>0</v>
      </c>
      <c r="AC527" s="6">
        <f t="shared" si="213"/>
        <v>0</v>
      </c>
      <c r="AD527" s="6">
        <f t="shared" si="214"/>
        <v>0</v>
      </c>
      <c r="AE527" s="52" t="str">
        <f t="shared" si="215"/>
        <v/>
      </c>
      <c r="AF527" s="52" t="str">
        <f t="shared" si="216"/>
        <v/>
      </c>
      <c r="AG527" s="50" t="str">
        <f t="shared" si="235"/>
        <v/>
      </c>
      <c r="AH527" s="50" t="str">
        <f t="shared" si="236"/>
        <v/>
      </c>
      <c r="AI527" s="52" t="str">
        <f t="shared" si="217"/>
        <v/>
      </c>
      <c r="AJ527" s="52" t="str">
        <f t="shared" si="218"/>
        <v/>
      </c>
      <c r="AK527" s="52" t="str">
        <f t="shared" si="219"/>
        <v/>
      </c>
      <c r="AL527" s="52" t="str">
        <f t="shared" si="220"/>
        <v/>
      </c>
      <c r="AM527" s="52" t="str">
        <f t="shared" si="221"/>
        <v/>
      </c>
      <c r="AN527" s="52" t="str">
        <f t="shared" si="222"/>
        <v/>
      </c>
      <c r="AO527" s="52" t="str">
        <f t="shared" si="223"/>
        <v/>
      </c>
      <c r="AP527" s="52" t="str">
        <f t="shared" si="224"/>
        <v/>
      </c>
      <c r="AQ527" s="52" t="str">
        <f t="shared" si="225"/>
        <v/>
      </c>
      <c r="AR527" s="52" t="str">
        <f t="shared" si="226"/>
        <v/>
      </c>
      <c r="AS527" s="52" t="str">
        <f t="shared" si="227"/>
        <v/>
      </c>
      <c r="AT527" s="52" t="str">
        <f t="shared" si="228"/>
        <v/>
      </c>
      <c r="AU527" s="52" t="str">
        <f t="shared" si="229"/>
        <v/>
      </c>
      <c r="AV527" s="52" t="str">
        <f t="shared" si="230"/>
        <v/>
      </c>
      <c r="AW527" s="52" t="str">
        <f t="shared" si="231"/>
        <v/>
      </c>
      <c r="AX527" s="52" t="str">
        <f t="shared" si="232"/>
        <v/>
      </c>
      <c r="AY527" s="52" t="str">
        <f t="shared" si="237"/>
        <v/>
      </c>
    </row>
    <row r="528" spans="4:51">
      <c r="D528" s="23"/>
      <c r="E528" s="23"/>
      <c r="F528" s="23"/>
      <c r="G528" s="23"/>
      <c r="H528" s="23"/>
      <c r="I528" s="3"/>
      <c r="J528" s="3"/>
      <c r="K528" s="3"/>
      <c r="L528" s="2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26"/>
      <c r="Y528" s="1"/>
      <c r="Z528" s="12">
        <f t="shared" si="233"/>
        <v>0</v>
      </c>
      <c r="AA528" s="14">
        <f t="shared" si="234"/>
        <v>0</v>
      </c>
      <c r="AB528" s="6">
        <f t="shared" si="212"/>
        <v>0</v>
      </c>
      <c r="AC528" s="6">
        <f t="shared" si="213"/>
        <v>0</v>
      </c>
      <c r="AD528" s="6">
        <f t="shared" si="214"/>
        <v>0</v>
      </c>
      <c r="AE528" s="52" t="str">
        <f t="shared" si="215"/>
        <v/>
      </c>
      <c r="AF528" s="52" t="str">
        <f t="shared" si="216"/>
        <v/>
      </c>
      <c r="AG528" s="50" t="str">
        <f t="shared" si="235"/>
        <v/>
      </c>
      <c r="AH528" s="50" t="str">
        <f t="shared" si="236"/>
        <v/>
      </c>
      <c r="AI528" s="52" t="str">
        <f t="shared" si="217"/>
        <v/>
      </c>
      <c r="AJ528" s="52" t="str">
        <f t="shared" si="218"/>
        <v/>
      </c>
      <c r="AK528" s="52" t="str">
        <f t="shared" si="219"/>
        <v/>
      </c>
      <c r="AL528" s="52" t="str">
        <f t="shared" si="220"/>
        <v/>
      </c>
      <c r="AM528" s="52" t="str">
        <f t="shared" si="221"/>
        <v/>
      </c>
      <c r="AN528" s="52" t="str">
        <f t="shared" si="222"/>
        <v/>
      </c>
      <c r="AO528" s="52" t="str">
        <f t="shared" si="223"/>
        <v/>
      </c>
      <c r="AP528" s="52" t="str">
        <f t="shared" si="224"/>
        <v/>
      </c>
      <c r="AQ528" s="52" t="str">
        <f t="shared" si="225"/>
        <v/>
      </c>
      <c r="AR528" s="52" t="str">
        <f t="shared" si="226"/>
        <v/>
      </c>
      <c r="AS528" s="52" t="str">
        <f t="shared" si="227"/>
        <v/>
      </c>
      <c r="AT528" s="52" t="str">
        <f t="shared" si="228"/>
        <v/>
      </c>
      <c r="AU528" s="52" t="str">
        <f t="shared" si="229"/>
        <v/>
      </c>
      <c r="AV528" s="52" t="str">
        <f t="shared" si="230"/>
        <v/>
      </c>
      <c r="AW528" s="52" t="str">
        <f t="shared" si="231"/>
        <v/>
      </c>
      <c r="AX528" s="52" t="str">
        <f t="shared" si="232"/>
        <v/>
      </c>
      <c r="AY528" s="52" t="str">
        <f t="shared" si="237"/>
        <v/>
      </c>
    </row>
    <row r="529" spans="4:51">
      <c r="D529" s="23"/>
      <c r="E529" s="23"/>
      <c r="F529" s="23"/>
      <c r="G529" s="23"/>
      <c r="H529" s="23"/>
      <c r="I529" s="3"/>
      <c r="J529" s="3"/>
      <c r="K529" s="3"/>
      <c r="L529" s="2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26"/>
      <c r="Y529" s="1"/>
      <c r="Z529" s="12">
        <f t="shared" si="233"/>
        <v>0</v>
      </c>
      <c r="AA529" s="14">
        <f t="shared" si="234"/>
        <v>0</v>
      </c>
      <c r="AB529" s="6">
        <f t="shared" si="212"/>
        <v>0</v>
      </c>
      <c r="AC529" s="6">
        <f t="shared" si="213"/>
        <v>0</v>
      </c>
      <c r="AD529" s="6">
        <f t="shared" si="214"/>
        <v>0</v>
      </c>
      <c r="AE529" s="52" t="str">
        <f t="shared" si="215"/>
        <v/>
      </c>
      <c r="AF529" s="52" t="str">
        <f t="shared" si="216"/>
        <v/>
      </c>
      <c r="AG529" s="50" t="str">
        <f t="shared" si="235"/>
        <v/>
      </c>
      <c r="AH529" s="50" t="str">
        <f t="shared" si="236"/>
        <v/>
      </c>
      <c r="AI529" s="52" t="str">
        <f t="shared" si="217"/>
        <v/>
      </c>
      <c r="AJ529" s="52" t="str">
        <f t="shared" si="218"/>
        <v/>
      </c>
      <c r="AK529" s="52" t="str">
        <f t="shared" si="219"/>
        <v/>
      </c>
      <c r="AL529" s="52" t="str">
        <f t="shared" si="220"/>
        <v/>
      </c>
      <c r="AM529" s="52" t="str">
        <f t="shared" si="221"/>
        <v/>
      </c>
      <c r="AN529" s="52" t="str">
        <f t="shared" si="222"/>
        <v/>
      </c>
      <c r="AO529" s="52" t="str">
        <f t="shared" si="223"/>
        <v/>
      </c>
      <c r="AP529" s="52" t="str">
        <f t="shared" si="224"/>
        <v/>
      </c>
      <c r="AQ529" s="52" t="str">
        <f t="shared" si="225"/>
        <v/>
      </c>
      <c r="AR529" s="52" t="str">
        <f t="shared" si="226"/>
        <v/>
      </c>
      <c r="AS529" s="52" t="str">
        <f t="shared" si="227"/>
        <v/>
      </c>
      <c r="AT529" s="52" t="str">
        <f t="shared" si="228"/>
        <v/>
      </c>
      <c r="AU529" s="52" t="str">
        <f t="shared" si="229"/>
        <v/>
      </c>
      <c r="AV529" s="52" t="str">
        <f t="shared" si="230"/>
        <v/>
      </c>
      <c r="AW529" s="52" t="str">
        <f t="shared" si="231"/>
        <v/>
      </c>
      <c r="AX529" s="52" t="str">
        <f t="shared" si="232"/>
        <v/>
      </c>
      <c r="AY529" s="52" t="str">
        <f t="shared" si="237"/>
        <v/>
      </c>
    </row>
    <row r="530" spans="4:51">
      <c r="D530" s="23"/>
      <c r="E530" s="23"/>
      <c r="F530" s="23"/>
      <c r="G530" s="23"/>
      <c r="H530" s="23"/>
      <c r="I530" s="3"/>
      <c r="J530" s="3"/>
      <c r="K530" s="3"/>
      <c r="L530" s="2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26"/>
      <c r="Y530" s="1"/>
      <c r="Z530" s="12">
        <f t="shared" si="233"/>
        <v>0</v>
      </c>
      <c r="AA530" s="14">
        <f t="shared" si="234"/>
        <v>0</v>
      </c>
      <c r="AB530" s="6">
        <f t="shared" si="212"/>
        <v>0</v>
      </c>
      <c r="AC530" s="6">
        <f t="shared" si="213"/>
        <v>0</v>
      </c>
      <c r="AD530" s="6">
        <f t="shared" si="214"/>
        <v>0</v>
      </c>
      <c r="AE530" s="52" t="str">
        <f t="shared" si="215"/>
        <v/>
      </c>
      <c r="AF530" s="52" t="str">
        <f t="shared" si="216"/>
        <v/>
      </c>
      <c r="AG530" s="50" t="str">
        <f t="shared" si="235"/>
        <v/>
      </c>
      <c r="AH530" s="50" t="str">
        <f t="shared" si="236"/>
        <v/>
      </c>
      <c r="AI530" s="52" t="str">
        <f t="shared" si="217"/>
        <v/>
      </c>
      <c r="AJ530" s="52" t="str">
        <f t="shared" si="218"/>
        <v/>
      </c>
      <c r="AK530" s="52" t="str">
        <f t="shared" si="219"/>
        <v/>
      </c>
      <c r="AL530" s="52" t="str">
        <f t="shared" si="220"/>
        <v/>
      </c>
      <c r="AM530" s="52" t="str">
        <f t="shared" si="221"/>
        <v/>
      </c>
      <c r="AN530" s="52" t="str">
        <f t="shared" si="222"/>
        <v/>
      </c>
      <c r="AO530" s="52" t="str">
        <f t="shared" si="223"/>
        <v/>
      </c>
      <c r="AP530" s="52" t="str">
        <f t="shared" si="224"/>
        <v/>
      </c>
      <c r="AQ530" s="52" t="str">
        <f t="shared" si="225"/>
        <v/>
      </c>
      <c r="AR530" s="52" t="str">
        <f t="shared" si="226"/>
        <v/>
      </c>
      <c r="AS530" s="52" t="str">
        <f t="shared" si="227"/>
        <v/>
      </c>
      <c r="AT530" s="52" t="str">
        <f t="shared" si="228"/>
        <v/>
      </c>
      <c r="AU530" s="52" t="str">
        <f t="shared" si="229"/>
        <v/>
      </c>
      <c r="AV530" s="52" t="str">
        <f t="shared" si="230"/>
        <v/>
      </c>
      <c r="AW530" s="52" t="str">
        <f t="shared" si="231"/>
        <v/>
      </c>
      <c r="AX530" s="52" t="str">
        <f t="shared" si="232"/>
        <v/>
      </c>
      <c r="AY530" s="52" t="str">
        <f t="shared" si="237"/>
        <v/>
      </c>
    </row>
    <row r="531" spans="4:51">
      <c r="D531" s="23"/>
      <c r="E531" s="23"/>
      <c r="F531" s="23"/>
      <c r="G531" s="23"/>
      <c r="H531" s="23"/>
      <c r="I531" s="3"/>
      <c r="J531" s="3"/>
      <c r="K531" s="3"/>
      <c r="L531" s="2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26"/>
      <c r="Y531" s="1"/>
      <c r="Z531" s="12">
        <f t="shared" si="233"/>
        <v>0</v>
      </c>
      <c r="AA531" s="14">
        <f t="shared" si="234"/>
        <v>0</v>
      </c>
      <c r="AB531" s="6">
        <f t="shared" si="212"/>
        <v>0</v>
      </c>
      <c r="AC531" s="6">
        <f t="shared" si="213"/>
        <v>0</v>
      </c>
      <c r="AD531" s="6">
        <f t="shared" si="214"/>
        <v>0</v>
      </c>
      <c r="AE531" s="52" t="str">
        <f t="shared" si="215"/>
        <v/>
      </c>
      <c r="AF531" s="52" t="str">
        <f t="shared" si="216"/>
        <v/>
      </c>
      <c r="AG531" s="50" t="str">
        <f t="shared" si="235"/>
        <v/>
      </c>
      <c r="AH531" s="50" t="str">
        <f t="shared" si="236"/>
        <v/>
      </c>
      <c r="AI531" s="52" t="str">
        <f t="shared" si="217"/>
        <v/>
      </c>
      <c r="AJ531" s="52" t="str">
        <f t="shared" si="218"/>
        <v/>
      </c>
      <c r="AK531" s="52" t="str">
        <f t="shared" si="219"/>
        <v/>
      </c>
      <c r="AL531" s="52" t="str">
        <f t="shared" si="220"/>
        <v/>
      </c>
      <c r="AM531" s="52" t="str">
        <f t="shared" si="221"/>
        <v/>
      </c>
      <c r="AN531" s="52" t="str">
        <f t="shared" si="222"/>
        <v/>
      </c>
      <c r="AO531" s="52" t="str">
        <f t="shared" si="223"/>
        <v/>
      </c>
      <c r="AP531" s="52" t="str">
        <f t="shared" si="224"/>
        <v/>
      </c>
      <c r="AQ531" s="52" t="str">
        <f t="shared" si="225"/>
        <v/>
      </c>
      <c r="AR531" s="52" t="str">
        <f t="shared" si="226"/>
        <v/>
      </c>
      <c r="AS531" s="52" t="str">
        <f t="shared" si="227"/>
        <v/>
      </c>
      <c r="AT531" s="52" t="str">
        <f t="shared" si="228"/>
        <v/>
      </c>
      <c r="AU531" s="52" t="str">
        <f t="shared" si="229"/>
        <v/>
      </c>
      <c r="AV531" s="52" t="str">
        <f t="shared" si="230"/>
        <v/>
      </c>
      <c r="AW531" s="52" t="str">
        <f t="shared" si="231"/>
        <v/>
      </c>
      <c r="AX531" s="52" t="str">
        <f t="shared" si="232"/>
        <v/>
      </c>
      <c r="AY531" s="52" t="str">
        <f t="shared" si="237"/>
        <v/>
      </c>
    </row>
    <row r="532" spans="4:51">
      <c r="D532" s="23"/>
      <c r="E532" s="23"/>
      <c r="F532" s="23"/>
      <c r="G532" s="23"/>
      <c r="H532" s="23"/>
      <c r="I532" s="3"/>
      <c r="J532" s="3"/>
      <c r="K532" s="3"/>
      <c r="L532" s="2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26"/>
      <c r="Y532" s="1"/>
      <c r="Z532" s="12">
        <f t="shared" si="233"/>
        <v>0</v>
      </c>
      <c r="AA532" s="14">
        <f t="shared" si="234"/>
        <v>0</v>
      </c>
      <c r="AB532" s="6">
        <f t="shared" si="212"/>
        <v>0</v>
      </c>
      <c r="AC532" s="6">
        <f t="shared" si="213"/>
        <v>0</v>
      </c>
      <c r="AD532" s="6">
        <f t="shared" si="214"/>
        <v>0</v>
      </c>
      <c r="AE532" s="52" t="str">
        <f t="shared" si="215"/>
        <v/>
      </c>
      <c r="AF532" s="52" t="str">
        <f t="shared" si="216"/>
        <v/>
      </c>
      <c r="AG532" s="50" t="str">
        <f t="shared" si="235"/>
        <v/>
      </c>
      <c r="AH532" s="50" t="str">
        <f t="shared" si="236"/>
        <v/>
      </c>
      <c r="AI532" s="52" t="str">
        <f t="shared" si="217"/>
        <v/>
      </c>
      <c r="AJ532" s="52" t="str">
        <f t="shared" si="218"/>
        <v/>
      </c>
      <c r="AK532" s="52" t="str">
        <f t="shared" si="219"/>
        <v/>
      </c>
      <c r="AL532" s="52" t="str">
        <f t="shared" si="220"/>
        <v/>
      </c>
      <c r="AM532" s="52" t="str">
        <f t="shared" si="221"/>
        <v/>
      </c>
      <c r="AN532" s="52" t="str">
        <f t="shared" si="222"/>
        <v/>
      </c>
      <c r="AO532" s="52" t="str">
        <f t="shared" si="223"/>
        <v/>
      </c>
      <c r="AP532" s="52" t="str">
        <f t="shared" si="224"/>
        <v/>
      </c>
      <c r="AQ532" s="52" t="str">
        <f t="shared" si="225"/>
        <v/>
      </c>
      <c r="AR532" s="52" t="str">
        <f t="shared" si="226"/>
        <v/>
      </c>
      <c r="AS532" s="52" t="str">
        <f t="shared" si="227"/>
        <v/>
      </c>
      <c r="AT532" s="52" t="str">
        <f t="shared" si="228"/>
        <v/>
      </c>
      <c r="AU532" s="52" t="str">
        <f t="shared" si="229"/>
        <v/>
      </c>
      <c r="AV532" s="52" t="str">
        <f t="shared" si="230"/>
        <v/>
      </c>
      <c r="AW532" s="52" t="str">
        <f t="shared" si="231"/>
        <v/>
      </c>
      <c r="AX532" s="52" t="str">
        <f t="shared" si="232"/>
        <v/>
      </c>
      <c r="AY532" s="52" t="str">
        <f t="shared" si="237"/>
        <v/>
      </c>
    </row>
    <row r="533" spans="4:51">
      <c r="D533" s="23"/>
      <c r="E533" s="23"/>
      <c r="F533" s="23"/>
      <c r="G533" s="23"/>
      <c r="H533" s="23"/>
      <c r="I533" s="3"/>
      <c r="J533" s="3"/>
      <c r="K533" s="3"/>
      <c r="L533" s="2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26"/>
      <c r="Y533" s="1"/>
      <c r="Z533" s="12">
        <f t="shared" si="233"/>
        <v>0</v>
      </c>
      <c r="AA533" s="14">
        <f t="shared" si="234"/>
        <v>0</v>
      </c>
      <c r="AB533" s="6">
        <f t="shared" si="212"/>
        <v>0</v>
      </c>
      <c r="AC533" s="6">
        <f t="shared" si="213"/>
        <v>0</v>
      </c>
      <c r="AD533" s="6">
        <f t="shared" si="214"/>
        <v>0</v>
      </c>
      <c r="AE533" s="52" t="str">
        <f t="shared" si="215"/>
        <v/>
      </c>
      <c r="AF533" s="52" t="str">
        <f t="shared" si="216"/>
        <v/>
      </c>
      <c r="AG533" s="50" t="str">
        <f t="shared" si="235"/>
        <v/>
      </c>
      <c r="AH533" s="50" t="str">
        <f t="shared" si="236"/>
        <v/>
      </c>
      <c r="AI533" s="52" t="str">
        <f t="shared" si="217"/>
        <v/>
      </c>
      <c r="AJ533" s="52" t="str">
        <f t="shared" si="218"/>
        <v/>
      </c>
      <c r="AK533" s="52" t="str">
        <f t="shared" si="219"/>
        <v/>
      </c>
      <c r="AL533" s="52" t="str">
        <f t="shared" si="220"/>
        <v/>
      </c>
      <c r="AM533" s="52" t="str">
        <f t="shared" si="221"/>
        <v/>
      </c>
      <c r="AN533" s="52" t="str">
        <f t="shared" si="222"/>
        <v/>
      </c>
      <c r="AO533" s="52" t="str">
        <f t="shared" si="223"/>
        <v/>
      </c>
      <c r="AP533" s="52" t="str">
        <f t="shared" si="224"/>
        <v/>
      </c>
      <c r="AQ533" s="52" t="str">
        <f t="shared" si="225"/>
        <v/>
      </c>
      <c r="AR533" s="52" t="str">
        <f t="shared" si="226"/>
        <v/>
      </c>
      <c r="AS533" s="52" t="str">
        <f t="shared" si="227"/>
        <v/>
      </c>
      <c r="AT533" s="52" t="str">
        <f t="shared" si="228"/>
        <v/>
      </c>
      <c r="AU533" s="52" t="str">
        <f t="shared" si="229"/>
        <v/>
      </c>
      <c r="AV533" s="52" t="str">
        <f t="shared" si="230"/>
        <v/>
      </c>
      <c r="AW533" s="52" t="str">
        <f t="shared" si="231"/>
        <v/>
      </c>
      <c r="AX533" s="52" t="str">
        <f t="shared" si="232"/>
        <v/>
      </c>
      <c r="AY533" s="52" t="str">
        <f t="shared" si="237"/>
        <v/>
      </c>
    </row>
    <row r="534" spans="4:51">
      <c r="D534" s="23"/>
      <c r="E534" s="23"/>
      <c r="F534" s="23"/>
      <c r="G534" s="23"/>
      <c r="H534" s="23"/>
      <c r="I534" s="3"/>
      <c r="J534" s="3"/>
      <c r="K534" s="3"/>
      <c r="L534" s="2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26"/>
      <c r="Y534" s="1"/>
      <c r="Z534" s="12">
        <f t="shared" si="233"/>
        <v>0</v>
      </c>
      <c r="AA534" s="14">
        <f t="shared" si="234"/>
        <v>0</v>
      </c>
      <c r="AB534" s="6">
        <f t="shared" si="212"/>
        <v>0</v>
      </c>
      <c r="AC534" s="6">
        <f t="shared" si="213"/>
        <v>0</v>
      </c>
      <c r="AD534" s="6">
        <f t="shared" si="214"/>
        <v>0</v>
      </c>
      <c r="AE534" s="52" t="str">
        <f t="shared" si="215"/>
        <v/>
      </c>
      <c r="AF534" s="52" t="str">
        <f t="shared" si="216"/>
        <v/>
      </c>
      <c r="AG534" s="50" t="str">
        <f t="shared" si="235"/>
        <v/>
      </c>
      <c r="AH534" s="50" t="str">
        <f t="shared" si="236"/>
        <v/>
      </c>
      <c r="AI534" s="52" t="str">
        <f t="shared" si="217"/>
        <v/>
      </c>
      <c r="AJ534" s="52" t="str">
        <f t="shared" si="218"/>
        <v/>
      </c>
      <c r="AK534" s="52" t="str">
        <f t="shared" si="219"/>
        <v/>
      </c>
      <c r="AL534" s="52" t="str">
        <f t="shared" si="220"/>
        <v/>
      </c>
      <c r="AM534" s="52" t="str">
        <f t="shared" si="221"/>
        <v/>
      </c>
      <c r="AN534" s="52" t="str">
        <f t="shared" si="222"/>
        <v/>
      </c>
      <c r="AO534" s="52" t="str">
        <f t="shared" si="223"/>
        <v/>
      </c>
      <c r="AP534" s="52" t="str">
        <f t="shared" si="224"/>
        <v/>
      </c>
      <c r="AQ534" s="52" t="str">
        <f t="shared" si="225"/>
        <v/>
      </c>
      <c r="AR534" s="52" t="str">
        <f t="shared" si="226"/>
        <v/>
      </c>
      <c r="AS534" s="52" t="str">
        <f t="shared" si="227"/>
        <v/>
      </c>
      <c r="AT534" s="52" t="str">
        <f t="shared" si="228"/>
        <v/>
      </c>
      <c r="AU534" s="52" t="str">
        <f t="shared" si="229"/>
        <v/>
      </c>
      <c r="AV534" s="52" t="str">
        <f t="shared" si="230"/>
        <v/>
      </c>
      <c r="AW534" s="52" t="str">
        <f t="shared" si="231"/>
        <v/>
      </c>
      <c r="AX534" s="52" t="str">
        <f t="shared" si="232"/>
        <v/>
      </c>
      <c r="AY534" s="52" t="str">
        <f t="shared" si="237"/>
        <v/>
      </c>
    </row>
    <row r="535" spans="4:51">
      <c r="D535" s="23"/>
      <c r="E535" s="23"/>
      <c r="F535" s="23"/>
      <c r="G535" s="23"/>
      <c r="H535" s="23"/>
      <c r="I535" s="3"/>
      <c r="J535" s="3"/>
      <c r="K535" s="3"/>
      <c r="L535" s="2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26"/>
      <c r="Y535" s="1"/>
      <c r="Z535" s="12">
        <f t="shared" si="233"/>
        <v>0</v>
      </c>
      <c r="AA535" s="14">
        <f t="shared" si="234"/>
        <v>0</v>
      </c>
      <c r="AB535" s="6">
        <f t="shared" si="212"/>
        <v>0</v>
      </c>
      <c r="AC535" s="6">
        <f t="shared" si="213"/>
        <v>0</v>
      </c>
      <c r="AD535" s="6">
        <f t="shared" si="214"/>
        <v>0</v>
      </c>
      <c r="AE535" s="52" t="str">
        <f t="shared" si="215"/>
        <v/>
      </c>
      <c r="AF535" s="52" t="str">
        <f t="shared" si="216"/>
        <v/>
      </c>
      <c r="AG535" s="50" t="str">
        <f t="shared" si="235"/>
        <v/>
      </c>
      <c r="AH535" s="50" t="str">
        <f t="shared" si="236"/>
        <v/>
      </c>
      <c r="AI535" s="52" t="str">
        <f t="shared" si="217"/>
        <v/>
      </c>
      <c r="AJ535" s="52" t="str">
        <f t="shared" si="218"/>
        <v/>
      </c>
      <c r="AK535" s="52" t="str">
        <f t="shared" si="219"/>
        <v/>
      </c>
      <c r="AL535" s="52" t="str">
        <f t="shared" si="220"/>
        <v/>
      </c>
      <c r="AM535" s="52" t="str">
        <f t="shared" si="221"/>
        <v/>
      </c>
      <c r="AN535" s="52" t="str">
        <f t="shared" si="222"/>
        <v/>
      </c>
      <c r="AO535" s="52" t="str">
        <f t="shared" si="223"/>
        <v/>
      </c>
      <c r="AP535" s="52" t="str">
        <f t="shared" si="224"/>
        <v/>
      </c>
      <c r="AQ535" s="52" t="str">
        <f t="shared" si="225"/>
        <v/>
      </c>
      <c r="AR535" s="52" t="str">
        <f t="shared" si="226"/>
        <v/>
      </c>
      <c r="AS535" s="52" t="str">
        <f t="shared" si="227"/>
        <v/>
      </c>
      <c r="AT535" s="52" t="str">
        <f t="shared" si="228"/>
        <v/>
      </c>
      <c r="AU535" s="52" t="str">
        <f t="shared" si="229"/>
        <v/>
      </c>
      <c r="AV535" s="52" t="str">
        <f t="shared" si="230"/>
        <v/>
      </c>
      <c r="AW535" s="52" t="str">
        <f t="shared" si="231"/>
        <v/>
      </c>
      <c r="AX535" s="52" t="str">
        <f t="shared" si="232"/>
        <v/>
      </c>
      <c r="AY535" s="52" t="str">
        <f t="shared" si="237"/>
        <v/>
      </c>
    </row>
    <row r="536" spans="4:51">
      <c r="D536" s="23"/>
      <c r="E536" s="23"/>
      <c r="F536" s="23"/>
      <c r="G536" s="23"/>
      <c r="H536" s="23"/>
      <c r="I536" s="3"/>
      <c r="J536" s="3"/>
      <c r="K536" s="3"/>
      <c r="L536" s="2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26"/>
      <c r="Y536" s="1"/>
      <c r="Z536" s="12">
        <f t="shared" si="233"/>
        <v>0</v>
      </c>
      <c r="AA536" s="14">
        <f t="shared" si="234"/>
        <v>0</v>
      </c>
      <c r="AB536" s="6">
        <f t="shared" si="212"/>
        <v>0</v>
      </c>
      <c r="AC536" s="6">
        <f t="shared" si="213"/>
        <v>0</v>
      </c>
      <c r="AD536" s="6">
        <f t="shared" si="214"/>
        <v>0</v>
      </c>
      <c r="AE536" s="52" t="str">
        <f t="shared" si="215"/>
        <v/>
      </c>
      <c r="AF536" s="52" t="str">
        <f t="shared" si="216"/>
        <v/>
      </c>
      <c r="AG536" s="50" t="str">
        <f t="shared" si="235"/>
        <v/>
      </c>
      <c r="AH536" s="50" t="str">
        <f t="shared" si="236"/>
        <v/>
      </c>
      <c r="AI536" s="52" t="str">
        <f t="shared" si="217"/>
        <v/>
      </c>
      <c r="AJ536" s="52" t="str">
        <f t="shared" si="218"/>
        <v/>
      </c>
      <c r="AK536" s="52" t="str">
        <f t="shared" si="219"/>
        <v/>
      </c>
      <c r="AL536" s="52" t="str">
        <f t="shared" si="220"/>
        <v/>
      </c>
      <c r="AM536" s="52" t="str">
        <f t="shared" si="221"/>
        <v/>
      </c>
      <c r="AN536" s="52" t="str">
        <f t="shared" si="222"/>
        <v/>
      </c>
      <c r="AO536" s="52" t="str">
        <f t="shared" si="223"/>
        <v/>
      </c>
      <c r="AP536" s="52" t="str">
        <f t="shared" si="224"/>
        <v/>
      </c>
      <c r="AQ536" s="52" t="str">
        <f t="shared" si="225"/>
        <v/>
      </c>
      <c r="AR536" s="52" t="str">
        <f t="shared" si="226"/>
        <v/>
      </c>
      <c r="AS536" s="52" t="str">
        <f t="shared" si="227"/>
        <v/>
      </c>
      <c r="AT536" s="52" t="str">
        <f t="shared" si="228"/>
        <v/>
      </c>
      <c r="AU536" s="52" t="str">
        <f t="shared" si="229"/>
        <v/>
      </c>
      <c r="AV536" s="52" t="str">
        <f t="shared" si="230"/>
        <v/>
      </c>
      <c r="AW536" s="52" t="str">
        <f t="shared" si="231"/>
        <v/>
      </c>
      <c r="AX536" s="52" t="str">
        <f t="shared" si="232"/>
        <v/>
      </c>
      <c r="AY536" s="52" t="str">
        <f t="shared" si="237"/>
        <v/>
      </c>
    </row>
    <row r="537" spans="4:51">
      <c r="D537" s="23"/>
      <c r="E537" s="23"/>
      <c r="F537" s="23"/>
      <c r="G537" s="23"/>
      <c r="H537" s="23"/>
      <c r="I537" s="3"/>
      <c r="J537" s="3"/>
      <c r="K537" s="3"/>
      <c r="L537" s="2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26"/>
      <c r="Y537" s="1"/>
      <c r="Z537" s="12">
        <f t="shared" si="233"/>
        <v>0</v>
      </c>
      <c r="AA537" s="14">
        <f t="shared" si="234"/>
        <v>0</v>
      </c>
      <c r="AB537" s="6">
        <f t="shared" si="212"/>
        <v>0</v>
      </c>
      <c r="AC537" s="6">
        <f t="shared" si="213"/>
        <v>0</v>
      </c>
      <c r="AD537" s="6">
        <f t="shared" si="214"/>
        <v>0</v>
      </c>
      <c r="AE537" s="52" t="str">
        <f t="shared" si="215"/>
        <v/>
      </c>
      <c r="AF537" s="52" t="str">
        <f t="shared" si="216"/>
        <v/>
      </c>
      <c r="AG537" s="50" t="str">
        <f t="shared" si="235"/>
        <v/>
      </c>
      <c r="AH537" s="50" t="str">
        <f t="shared" si="236"/>
        <v/>
      </c>
      <c r="AI537" s="52" t="str">
        <f t="shared" si="217"/>
        <v/>
      </c>
      <c r="AJ537" s="52" t="str">
        <f t="shared" si="218"/>
        <v/>
      </c>
      <c r="AK537" s="52" t="str">
        <f t="shared" si="219"/>
        <v/>
      </c>
      <c r="AL537" s="52" t="str">
        <f t="shared" si="220"/>
        <v/>
      </c>
      <c r="AM537" s="52" t="str">
        <f t="shared" si="221"/>
        <v/>
      </c>
      <c r="AN537" s="52" t="str">
        <f t="shared" si="222"/>
        <v/>
      </c>
      <c r="AO537" s="52" t="str">
        <f t="shared" si="223"/>
        <v/>
      </c>
      <c r="AP537" s="52" t="str">
        <f t="shared" si="224"/>
        <v/>
      </c>
      <c r="AQ537" s="52" t="str">
        <f t="shared" si="225"/>
        <v/>
      </c>
      <c r="AR537" s="52" t="str">
        <f t="shared" si="226"/>
        <v/>
      </c>
      <c r="AS537" s="52" t="str">
        <f t="shared" si="227"/>
        <v/>
      </c>
      <c r="AT537" s="52" t="str">
        <f t="shared" si="228"/>
        <v/>
      </c>
      <c r="AU537" s="52" t="str">
        <f t="shared" si="229"/>
        <v/>
      </c>
      <c r="AV537" s="52" t="str">
        <f t="shared" si="230"/>
        <v/>
      </c>
      <c r="AW537" s="52" t="str">
        <f t="shared" si="231"/>
        <v/>
      </c>
      <c r="AX537" s="52" t="str">
        <f t="shared" si="232"/>
        <v/>
      </c>
      <c r="AY537" s="52" t="str">
        <f t="shared" si="237"/>
        <v/>
      </c>
    </row>
    <row r="538" spans="4:51">
      <c r="D538" s="23"/>
      <c r="E538" s="23"/>
      <c r="F538" s="23"/>
      <c r="G538" s="23"/>
      <c r="H538" s="23"/>
      <c r="I538" s="3"/>
      <c r="J538" s="3"/>
      <c r="K538" s="3"/>
      <c r="L538" s="2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26"/>
      <c r="Y538" s="1"/>
      <c r="Z538" s="12">
        <f t="shared" si="233"/>
        <v>0</v>
      </c>
      <c r="AA538" s="14">
        <f t="shared" si="234"/>
        <v>0</v>
      </c>
      <c r="AB538" s="6">
        <f t="shared" si="212"/>
        <v>0</v>
      </c>
      <c r="AC538" s="6">
        <f t="shared" si="213"/>
        <v>0</v>
      </c>
      <c r="AD538" s="6">
        <f t="shared" si="214"/>
        <v>0</v>
      </c>
      <c r="AE538" s="52" t="str">
        <f t="shared" si="215"/>
        <v/>
      </c>
      <c r="AF538" s="52" t="str">
        <f t="shared" si="216"/>
        <v/>
      </c>
      <c r="AG538" s="50" t="str">
        <f t="shared" si="235"/>
        <v/>
      </c>
      <c r="AH538" s="50" t="str">
        <f t="shared" si="236"/>
        <v/>
      </c>
      <c r="AI538" s="52" t="str">
        <f t="shared" si="217"/>
        <v/>
      </c>
      <c r="AJ538" s="52" t="str">
        <f t="shared" si="218"/>
        <v/>
      </c>
      <c r="AK538" s="52" t="str">
        <f t="shared" si="219"/>
        <v/>
      </c>
      <c r="AL538" s="52" t="str">
        <f t="shared" si="220"/>
        <v/>
      </c>
      <c r="AM538" s="52" t="str">
        <f t="shared" si="221"/>
        <v/>
      </c>
      <c r="AN538" s="52" t="str">
        <f t="shared" si="222"/>
        <v/>
      </c>
      <c r="AO538" s="52" t="str">
        <f t="shared" si="223"/>
        <v/>
      </c>
      <c r="AP538" s="52" t="str">
        <f t="shared" si="224"/>
        <v/>
      </c>
      <c r="AQ538" s="52" t="str">
        <f t="shared" si="225"/>
        <v/>
      </c>
      <c r="AR538" s="52" t="str">
        <f t="shared" si="226"/>
        <v/>
      </c>
      <c r="AS538" s="52" t="str">
        <f t="shared" si="227"/>
        <v/>
      </c>
      <c r="AT538" s="52" t="str">
        <f t="shared" si="228"/>
        <v/>
      </c>
      <c r="AU538" s="52" t="str">
        <f t="shared" si="229"/>
        <v/>
      </c>
      <c r="AV538" s="52" t="str">
        <f t="shared" si="230"/>
        <v/>
      </c>
      <c r="AW538" s="52" t="str">
        <f t="shared" si="231"/>
        <v/>
      </c>
      <c r="AX538" s="52" t="str">
        <f t="shared" si="232"/>
        <v/>
      </c>
      <c r="AY538" s="52" t="str">
        <f t="shared" si="237"/>
        <v/>
      </c>
    </row>
    <row r="539" spans="4:51">
      <c r="D539" s="23"/>
      <c r="E539" s="23"/>
      <c r="F539" s="23"/>
      <c r="G539" s="23"/>
      <c r="H539" s="23"/>
      <c r="I539" s="3"/>
      <c r="J539" s="3"/>
      <c r="K539" s="3"/>
      <c r="L539" s="2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26"/>
      <c r="Y539" s="1"/>
      <c r="Z539" s="12">
        <f t="shared" si="233"/>
        <v>0</v>
      </c>
      <c r="AA539" s="14">
        <f t="shared" si="234"/>
        <v>0</v>
      </c>
      <c r="AB539" s="6">
        <f t="shared" si="212"/>
        <v>0</v>
      </c>
      <c r="AC539" s="6">
        <f t="shared" si="213"/>
        <v>0</v>
      </c>
      <c r="AD539" s="6">
        <f t="shared" si="214"/>
        <v>0</v>
      </c>
      <c r="AE539" s="52" t="str">
        <f t="shared" si="215"/>
        <v/>
      </c>
      <c r="AF539" s="52" t="str">
        <f t="shared" si="216"/>
        <v/>
      </c>
      <c r="AG539" s="50" t="str">
        <f t="shared" si="235"/>
        <v/>
      </c>
      <c r="AH539" s="50" t="str">
        <f t="shared" si="236"/>
        <v/>
      </c>
      <c r="AI539" s="52" t="str">
        <f t="shared" si="217"/>
        <v/>
      </c>
      <c r="AJ539" s="52" t="str">
        <f t="shared" si="218"/>
        <v/>
      </c>
      <c r="AK539" s="52" t="str">
        <f t="shared" si="219"/>
        <v/>
      </c>
      <c r="AL539" s="52" t="str">
        <f t="shared" si="220"/>
        <v/>
      </c>
      <c r="AM539" s="52" t="str">
        <f t="shared" si="221"/>
        <v/>
      </c>
      <c r="AN539" s="52" t="str">
        <f t="shared" si="222"/>
        <v/>
      </c>
      <c r="AO539" s="52" t="str">
        <f t="shared" si="223"/>
        <v/>
      </c>
      <c r="AP539" s="52" t="str">
        <f t="shared" si="224"/>
        <v/>
      </c>
      <c r="AQ539" s="52" t="str">
        <f t="shared" si="225"/>
        <v/>
      </c>
      <c r="AR539" s="52" t="str">
        <f t="shared" si="226"/>
        <v/>
      </c>
      <c r="AS539" s="52" t="str">
        <f t="shared" si="227"/>
        <v/>
      </c>
      <c r="AT539" s="52" t="str">
        <f t="shared" si="228"/>
        <v/>
      </c>
      <c r="AU539" s="52" t="str">
        <f t="shared" si="229"/>
        <v/>
      </c>
      <c r="AV539" s="52" t="str">
        <f t="shared" si="230"/>
        <v/>
      </c>
      <c r="AW539" s="52" t="str">
        <f t="shared" si="231"/>
        <v/>
      </c>
      <c r="AX539" s="52" t="str">
        <f t="shared" si="232"/>
        <v/>
      </c>
      <c r="AY539" s="52" t="str">
        <f t="shared" si="237"/>
        <v/>
      </c>
    </row>
    <row r="540" spans="4:51">
      <c r="D540" s="23"/>
      <c r="E540" s="23"/>
      <c r="F540" s="23"/>
      <c r="G540" s="23"/>
      <c r="H540" s="23"/>
      <c r="I540" s="3"/>
      <c r="J540" s="3"/>
      <c r="K540" s="3"/>
      <c r="L540" s="2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26"/>
      <c r="Y540" s="1"/>
      <c r="Z540" s="12">
        <f t="shared" si="233"/>
        <v>0</v>
      </c>
      <c r="AA540" s="14">
        <f t="shared" si="234"/>
        <v>0</v>
      </c>
      <c r="AB540" s="6">
        <f t="shared" si="212"/>
        <v>0</v>
      </c>
      <c r="AC540" s="6">
        <f t="shared" si="213"/>
        <v>0</v>
      </c>
      <c r="AD540" s="6">
        <f t="shared" si="214"/>
        <v>0</v>
      </c>
      <c r="AE540" s="52" t="str">
        <f t="shared" si="215"/>
        <v/>
      </c>
      <c r="AF540" s="52" t="str">
        <f t="shared" si="216"/>
        <v/>
      </c>
      <c r="AG540" s="50" t="str">
        <f t="shared" si="235"/>
        <v/>
      </c>
      <c r="AH540" s="50" t="str">
        <f t="shared" si="236"/>
        <v/>
      </c>
      <c r="AI540" s="52" t="str">
        <f t="shared" si="217"/>
        <v/>
      </c>
      <c r="AJ540" s="52" t="str">
        <f t="shared" si="218"/>
        <v/>
      </c>
      <c r="AK540" s="52" t="str">
        <f t="shared" si="219"/>
        <v/>
      </c>
      <c r="AL540" s="52" t="str">
        <f t="shared" si="220"/>
        <v/>
      </c>
      <c r="AM540" s="52" t="str">
        <f t="shared" si="221"/>
        <v/>
      </c>
      <c r="AN540" s="52" t="str">
        <f t="shared" si="222"/>
        <v/>
      </c>
      <c r="AO540" s="52" t="str">
        <f t="shared" si="223"/>
        <v/>
      </c>
      <c r="AP540" s="52" t="str">
        <f t="shared" si="224"/>
        <v/>
      </c>
      <c r="AQ540" s="52" t="str">
        <f t="shared" si="225"/>
        <v/>
      </c>
      <c r="AR540" s="52" t="str">
        <f t="shared" si="226"/>
        <v/>
      </c>
      <c r="AS540" s="52" t="str">
        <f t="shared" si="227"/>
        <v/>
      </c>
      <c r="AT540" s="52" t="str">
        <f t="shared" si="228"/>
        <v/>
      </c>
      <c r="AU540" s="52" t="str">
        <f t="shared" si="229"/>
        <v/>
      </c>
      <c r="AV540" s="52" t="str">
        <f t="shared" si="230"/>
        <v/>
      </c>
      <c r="AW540" s="52" t="str">
        <f t="shared" si="231"/>
        <v/>
      </c>
      <c r="AX540" s="52" t="str">
        <f t="shared" si="232"/>
        <v/>
      </c>
      <c r="AY540" s="52" t="str">
        <f t="shared" si="237"/>
        <v/>
      </c>
    </row>
    <row r="541" spans="4:51">
      <c r="D541" s="23"/>
      <c r="E541" s="23"/>
      <c r="F541" s="23"/>
      <c r="G541" s="23"/>
      <c r="H541" s="23"/>
      <c r="I541" s="3"/>
      <c r="J541" s="3"/>
      <c r="K541" s="3"/>
      <c r="L541" s="2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26"/>
      <c r="Y541" s="1"/>
      <c r="Z541" s="12">
        <f t="shared" si="233"/>
        <v>0</v>
      </c>
      <c r="AA541" s="14">
        <f t="shared" si="234"/>
        <v>0</v>
      </c>
      <c r="AB541" s="6">
        <f t="shared" si="212"/>
        <v>0</v>
      </c>
      <c r="AC541" s="6">
        <f t="shared" si="213"/>
        <v>0</v>
      </c>
      <c r="AD541" s="6">
        <f t="shared" si="214"/>
        <v>0</v>
      </c>
      <c r="AE541" s="52" t="str">
        <f t="shared" si="215"/>
        <v/>
      </c>
      <c r="AF541" s="52" t="str">
        <f t="shared" si="216"/>
        <v/>
      </c>
      <c r="AG541" s="50" t="str">
        <f t="shared" si="235"/>
        <v/>
      </c>
      <c r="AH541" s="50" t="str">
        <f t="shared" si="236"/>
        <v/>
      </c>
      <c r="AI541" s="52" t="str">
        <f t="shared" si="217"/>
        <v/>
      </c>
      <c r="AJ541" s="52" t="str">
        <f t="shared" si="218"/>
        <v/>
      </c>
      <c r="AK541" s="52" t="str">
        <f t="shared" si="219"/>
        <v/>
      </c>
      <c r="AL541" s="52" t="str">
        <f t="shared" si="220"/>
        <v/>
      </c>
      <c r="AM541" s="52" t="str">
        <f t="shared" si="221"/>
        <v/>
      </c>
      <c r="AN541" s="52" t="str">
        <f t="shared" si="222"/>
        <v/>
      </c>
      <c r="AO541" s="52" t="str">
        <f t="shared" si="223"/>
        <v/>
      </c>
      <c r="AP541" s="52" t="str">
        <f t="shared" si="224"/>
        <v/>
      </c>
      <c r="AQ541" s="52" t="str">
        <f t="shared" si="225"/>
        <v/>
      </c>
      <c r="AR541" s="52" t="str">
        <f t="shared" si="226"/>
        <v/>
      </c>
      <c r="AS541" s="52" t="str">
        <f t="shared" si="227"/>
        <v/>
      </c>
      <c r="AT541" s="52" t="str">
        <f t="shared" si="228"/>
        <v/>
      </c>
      <c r="AU541" s="52" t="str">
        <f t="shared" si="229"/>
        <v/>
      </c>
      <c r="AV541" s="52" t="str">
        <f t="shared" si="230"/>
        <v/>
      </c>
      <c r="AW541" s="52" t="str">
        <f t="shared" si="231"/>
        <v/>
      </c>
      <c r="AX541" s="52" t="str">
        <f t="shared" si="232"/>
        <v/>
      </c>
      <c r="AY541" s="52" t="str">
        <f t="shared" si="237"/>
        <v/>
      </c>
    </row>
    <row r="542" spans="4:51">
      <c r="D542" s="23"/>
      <c r="E542" s="23"/>
      <c r="F542" s="23"/>
      <c r="G542" s="23"/>
      <c r="H542" s="23"/>
      <c r="I542" s="3"/>
      <c r="J542" s="3"/>
      <c r="K542" s="3"/>
      <c r="L542" s="2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26"/>
      <c r="Y542" s="1"/>
      <c r="Z542" s="12">
        <f t="shared" si="233"/>
        <v>0</v>
      </c>
      <c r="AA542" s="14">
        <f t="shared" si="234"/>
        <v>0</v>
      </c>
      <c r="AB542" s="6">
        <f t="shared" si="212"/>
        <v>0</v>
      </c>
      <c r="AC542" s="6">
        <f t="shared" si="213"/>
        <v>0</v>
      </c>
      <c r="AD542" s="6">
        <f t="shared" si="214"/>
        <v>0</v>
      </c>
      <c r="AE542" s="52" t="str">
        <f t="shared" si="215"/>
        <v/>
      </c>
      <c r="AF542" s="52" t="str">
        <f t="shared" si="216"/>
        <v/>
      </c>
      <c r="AG542" s="50" t="str">
        <f t="shared" si="235"/>
        <v/>
      </c>
      <c r="AH542" s="50" t="str">
        <f t="shared" si="236"/>
        <v/>
      </c>
      <c r="AI542" s="52" t="str">
        <f t="shared" si="217"/>
        <v/>
      </c>
      <c r="AJ542" s="52" t="str">
        <f t="shared" si="218"/>
        <v/>
      </c>
      <c r="AK542" s="52" t="str">
        <f t="shared" si="219"/>
        <v/>
      </c>
      <c r="AL542" s="52" t="str">
        <f t="shared" si="220"/>
        <v/>
      </c>
      <c r="AM542" s="52" t="str">
        <f t="shared" si="221"/>
        <v/>
      </c>
      <c r="AN542" s="52" t="str">
        <f t="shared" si="222"/>
        <v/>
      </c>
      <c r="AO542" s="52" t="str">
        <f t="shared" si="223"/>
        <v/>
      </c>
      <c r="AP542" s="52" t="str">
        <f t="shared" si="224"/>
        <v/>
      </c>
      <c r="AQ542" s="52" t="str">
        <f t="shared" si="225"/>
        <v/>
      </c>
      <c r="AR542" s="52" t="str">
        <f t="shared" si="226"/>
        <v/>
      </c>
      <c r="AS542" s="52" t="str">
        <f t="shared" si="227"/>
        <v/>
      </c>
      <c r="AT542" s="52" t="str">
        <f t="shared" si="228"/>
        <v/>
      </c>
      <c r="AU542" s="52" t="str">
        <f t="shared" si="229"/>
        <v/>
      </c>
      <c r="AV542" s="52" t="str">
        <f t="shared" si="230"/>
        <v/>
      </c>
      <c r="AW542" s="52" t="str">
        <f t="shared" si="231"/>
        <v/>
      </c>
      <c r="AX542" s="52" t="str">
        <f t="shared" si="232"/>
        <v/>
      </c>
      <c r="AY542" s="52" t="str">
        <f t="shared" si="237"/>
        <v/>
      </c>
    </row>
    <row r="543" spans="4:51">
      <c r="D543" s="23"/>
      <c r="E543" s="23"/>
      <c r="F543" s="23"/>
      <c r="G543" s="23"/>
      <c r="H543" s="23"/>
      <c r="I543" s="3"/>
      <c r="J543" s="3"/>
      <c r="K543" s="3"/>
      <c r="L543" s="2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26"/>
      <c r="Y543" s="1"/>
      <c r="Z543" s="12">
        <f t="shared" si="233"/>
        <v>0</v>
      </c>
      <c r="AA543" s="14">
        <f t="shared" si="234"/>
        <v>0</v>
      </c>
      <c r="AB543" s="6">
        <f t="shared" si="212"/>
        <v>0</v>
      </c>
      <c r="AC543" s="6">
        <f t="shared" si="213"/>
        <v>0</v>
      </c>
      <c r="AD543" s="6">
        <f t="shared" si="214"/>
        <v>0</v>
      </c>
      <c r="AE543" s="52" t="str">
        <f t="shared" si="215"/>
        <v/>
      </c>
      <c r="AF543" s="52" t="str">
        <f t="shared" si="216"/>
        <v/>
      </c>
      <c r="AG543" s="50" t="str">
        <f t="shared" si="235"/>
        <v/>
      </c>
      <c r="AH543" s="50" t="str">
        <f t="shared" si="236"/>
        <v/>
      </c>
      <c r="AI543" s="52" t="str">
        <f t="shared" si="217"/>
        <v/>
      </c>
      <c r="AJ543" s="52" t="str">
        <f t="shared" si="218"/>
        <v/>
      </c>
      <c r="AK543" s="52" t="str">
        <f t="shared" si="219"/>
        <v/>
      </c>
      <c r="AL543" s="52" t="str">
        <f t="shared" si="220"/>
        <v/>
      </c>
      <c r="AM543" s="52" t="str">
        <f t="shared" si="221"/>
        <v/>
      </c>
      <c r="AN543" s="52" t="str">
        <f t="shared" si="222"/>
        <v/>
      </c>
      <c r="AO543" s="52" t="str">
        <f t="shared" si="223"/>
        <v/>
      </c>
      <c r="AP543" s="52" t="str">
        <f t="shared" si="224"/>
        <v/>
      </c>
      <c r="AQ543" s="52" t="str">
        <f t="shared" si="225"/>
        <v/>
      </c>
      <c r="AR543" s="52" t="str">
        <f t="shared" si="226"/>
        <v/>
      </c>
      <c r="AS543" s="52" t="str">
        <f t="shared" si="227"/>
        <v/>
      </c>
      <c r="AT543" s="52" t="str">
        <f t="shared" si="228"/>
        <v/>
      </c>
      <c r="AU543" s="52" t="str">
        <f t="shared" si="229"/>
        <v/>
      </c>
      <c r="AV543" s="52" t="str">
        <f t="shared" si="230"/>
        <v/>
      </c>
      <c r="AW543" s="52" t="str">
        <f t="shared" si="231"/>
        <v/>
      </c>
      <c r="AX543" s="52" t="str">
        <f t="shared" si="232"/>
        <v/>
      </c>
      <c r="AY543" s="52" t="str">
        <f t="shared" si="237"/>
        <v/>
      </c>
    </row>
    <row r="544" spans="4:51">
      <c r="D544" s="23"/>
      <c r="E544" s="23"/>
      <c r="F544" s="23"/>
      <c r="G544" s="23"/>
      <c r="H544" s="23"/>
      <c r="I544" s="3"/>
      <c r="J544" s="3"/>
      <c r="K544" s="3"/>
      <c r="L544" s="2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26"/>
      <c r="Y544" s="1"/>
      <c r="Z544" s="12">
        <f t="shared" si="233"/>
        <v>0</v>
      </c>
      <c r="AA544" s="14">
        <f t="shared" si="234"/>
        <v>0</v>
      </c>
      <c r="AB544" s="6">
        <f t="shared" si="212"/>
        <v>0</v>
      </c>
      <c r="AC544" s="6">
        <f t="shared" si="213"/>
        <v>0</v>
      </c>
      <c r="AD544" s="6">
        <f t="shared" si="214"/>
        <v>0</v>
      </c>
      <c r="AE544" s="52" t="str">
        <f t="shared" si="215"/>
        <v/>
      </c>
      <c r="AF544" s="52" t="str">
        <f t="shared" si="216"/>
        <v/>
      </c>
      <c r="AG544" s="50" t="str">
        <f t="shared" si="235"/>
        <v/>
      </c>
      <c r="AH544" s="50" t="str">
        <f t="shared" si="236"/>
        <v/>
      </c>
      <c r="AI544" s="52" t="str">
        <f t="shared" si="217"/>
        <v/>
      </c>
      <c r="AJ544" s="52" t="str">
        <f t="shared" si="218"/>
        <v/>
      </c>
      <c r="AK544" s="52" t="str">
        <f t="shared" si="219"/>
        <v/>
      </c>
      <c r="AL544" s="52" t="str">
        <f t="shared" si="220"/>
        <v/>
      </c>
      <c r="AM544" s="52" t="str">
        <f t="shared" si="221"/>
        <v/>
      </c>
      <c r="AN544" s="52" t="str">
        <f t="shared" si="222"/>
        <v/>
      </c>
      <c r="AO544" s="52" t="str">
        <f t="shared" si="223"/>
        <v/>
      </c>
      <c r="AP544" s="52" t="str">
        <f t="shared" si="224"/>
        <v/>
      </c>
      <c r="AQ544" s="52" t="str">
        <f t="shared" si="225"/>
        <v/>
      </c>
      <c r="AR544" s="52" t="str">
        <f t="shared" si="226"/>
        <v/>
      </c>
      <c r="AS544" s="52" t="str">
        <f t="shared" si="227"/>
        <v/>
      </c>
      <c r="AT544" s="52" t="str">
        <f t="shared" si="228"/>
        <v/>
      </c>
      <c r="AU544" s="52" t="str">
        <f t="shared" si="229"/>
        <v/>
      </c>
      <c r="AV544" s="52" t="str">
        <f t="shared" si="230"/>
        <v/>
      </c>
      <c r="AW544" s="52" t="str">
        <f t="shared" si="231"/>
        <v/>
      </c>
      <c r="AX544" s="52" t="str">
        <f t="shared" si="232"/>
        <v/>
      </c>
      <c r="AY544" s="52" t="str">
        <f t="shared" si="237"/>
        <v/>
      </c>
    </row>
    <row r="545" spans="4:51">
      <c r="D545" s="23"/>
      <c r="E545" s="23"/>
      <c r="F545" s="23"/>
      <c r="G545" s="23"/>
      <c r="H545" s="23"/>
      <c r="I545" s="3"/>
      <c r="J545" s="3"/>
      <c r="K545" s="3"/>
      <c r="L545" s="2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26"/>
      <c r="Y545" s="1"/>
      <c r="Z545" s="12">
        <f t="shared" si="233"/>
        <v>0</v>
      </c>
      <c r="AA545" s="14">
        <f t="shared" si="234"/>
        <v>0</v>
      </c>
      <c r="AB545" s="6">
        <f t="shared" si="212"/>
        <v>0</v>
      </c>
      <c r="AC545" s="6">
        <f t="shared" si="213"/>
        <v>0</v>
      </c>
      <c r="AD545" s="6">
        <f t="shared" si="214"/>
        <v>0</v>
      </c>
      <c r="AE545" s="52" t="str">
        <f t="shared" si="215"/>
        <v/>
      </c>
      <c r="AF545" s="52" t="str">
        <f t="shared" si="216"/>
        <v/>
      </c>
      <c r="AG545" s="50" t="str">
        <f t="shared" si="235"/>
        <v/>
      </c>
      <c r="AH545" s="50" t="str">
        <f t="shared" si="236"/>
        <v/>
      </c>
      <c r="AI545" s="52" t="str">
        <f t="shared" si="217"/>
        <v/>
      </c>
      <c r="AJ545" s="52" t="str">
        <f t="shared" si="218"/>
        <v/>
      </c>
      <c r="AK545" s="52" t="str">
        <f t="shared" si="219"/>
        <v/>
      </c>
      <c r="AL545" s="52" t="str">
        <f t="shared" si="220"/>
        <v/>
      </c>
      <c r="AM545" s="52" t="str">
        <f t="shared" si="221"/>
        <v/>
      </c>
      <c r="AN545" s="52" t="str">
        <f t="shared" si="222"/>
        <v/>
      </c>
      <c r="AO545" s="52" t="str">
        <f t="shared" si="223"/>
        <v/>
      </c>
      <c r="AP545" s="52" t="str">
        <f t="shared" si="224"/>
        <v/>
      </c>
      <c r="AQ545" s="52" t="str">
        <f t="shared" si="225"/>
        <v/>
      </c>
      <c r="AR545" s="52" t="str">
        <f t="shared" si="226"/>
        <v/>
      </c>
      <c r="AS545" s="52" t="str">
        <f t="shared" si="227"/>
        <v/>
      </c>
      <c r="AT545" s="52" t="str">
        <f t="shared" si="228"/>
        <v/>
      </c>
      <c r="AU545" s="52" t="str">
        <f t="shared" si="229"/>
        <v/>
      </c>
      <c r="AV545" s="52" t="str">
        <f t="shared" si="230"/>
        <v/>
      </c>
      <c r="AW545" s="52" t="str">
        <f t="shared" si="231"/>
        <v/>
      </c>
      <c r="AX545" s="52" t="str">
        <f t="shared" si="232"/>
        <v/>
      </c>
      <c r="AY545" s="52" t="str">
        <f t="shared" si="237"/>
        <v/>
      </c>
    </row>
    <row r="546" spans="4:51">
      <c r="D546" s="23"/>
      <c r="E546" s="23"/>
      <c r="F546" s="23"/>
      <c r="G546" s="23"/>
      <c r="H546" s="23"/>
      <c r="I546" s="3"/>
      <c r="J546" s="3"/>
      <c r="K546" s="3"/>
      <c r="L546" s="2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26"/>
      <c r="Y546" s="1"/>
      <c r="Z546" s="12">
        <f t="shared" si="233"/>
        <v>0</v>
      </c>
      <c r="AA546" s="14">
        <f t="shared" si="234"/>
        <v>0</v>
      </c>
      <c r="AB546" s="6">
        <f t="shared" si="212"/>
        <v>0</v>
      </c>
      <c r="AC546" s="6">
        <f t="shared" si="213"/>
        <v>0</v>
      </c>
      <c r="AD546" s="6">
        <f t="shared" si="214"/>
        <v>0</v>
      </c>
      <c r="AE546" s="52" t="str">
        <f t="shared" si="215"/>
        <v/>
      </c>
      <c r="AF546" s="52" t="str">
        <f t="shared" si="216"/>
        <v/>
      </c>
      <c r="AG546" s="50" t="str">
        <f t="shared" si="235"/>
        <v/>
      </c>
      <c r="AH546" s="50" t="str">
        <f t="shared" si="236"/>
        <v/>
      </c>
      <c r="AI546" s="52" t="str">
        <f t="shared" si="217"/>
        <v/>
      </c>
      <c r="AJ546" s="52" t="str">
        <f t="shared" si="218"/>
        <v/>
      </c>
      <c r="AK546" s="52" t="str">
        <f t="shared" si="219"/>
        <v/>
      </c>
      <c r="AL546" s="52" t="str">
        <f t="shared" si="220"/>
        <v/>
      </c>
      <c r="AM546" s="52" t="str">
        <f t="shared" si="221"/>
        <v/>
      </c>
      <c r="AN546" s="52" t="str">
        <f t="shared" si="222"/>
        <v/>
      </c>
      <c r="AO546" s="52" t="str">
        <f t="shared" si="223"/>
        <v/>
      </c>
      <c r="AP546" s="52" t="str">
        <f t="shared" si="224"/>
        <v/>
      </c>
      <c r="AQ546" s="52" t="str">
        <f t="shared" si="225"/>
        <v/>
      </c>
      <c r="AR546" s="52" t="str">
        <f t="shared" si="226"/>
        <v/>
      </c>
      <c r="AS546" s="52" t="str">
        <f t="shared" si="227"/>
        <v/>
      </c>
      <c r="AT546" s="52" t="str">
        <f t="shared" si="228"/>
        <v/>
      </c>
      <c r="AU546" s="52" t="str">
        <f t="shared" si="229"/>
        <v/>
      </c>
      <c r="AV546" s="52" t="str">
        <f t="shared" si="230"/>
        <v/>
      </c>
      <c r="AW546" s="52" t="str">
        <f t="shared" si="231"/>
        <v/>
      </c>
      <c r="AX546" s="52" t="str">
        <f t="shared" si="232"/>
        <v/>
      </c>
      <c r="AY546" s="52" t="str">
        <f t="shared" si="237"/>
        <v/>
      </c>
    </row>
    <row r="547" spans="4:51">
      <c r="D547" s="23"/>
      <c r="E547" s="23"/>
      <c r="F547" s="23"/>
      <c r="G547" s="23"/>
      <c r="H547" s="23"/>
      <c r="I547" s="3"/>
      <c r="J547" s="3"/>
      <c r="K547" s="3"/>
      <c r="L547" s="2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26"/>
      <c r="Y547" s="1"/>
      <c r="Z547" s="12">
        <f t="shared" si="233"/>
        <v>0</v>
      </c>
      <c r="AA547" s="14">
        <f t="shared" si="234"/>
        <v>0</v>
      </c>
      <c r="AB547" s="6">
        <f t="shared" si="212"/>
        <v>0</v>
      </c>
      <c r="AC547" s="6">
        <f t="shared" si="213"/>
        <v>0</v>
      </c>
      <c r="AD547" s="6">
        <f t="shared" si="214"/>
        <v>0</v>
      </c>
      <c r="AE547" s="52" t="str">
        <f t="shared" si="215"/>
        <v/>
      </c>
      <c r="AF547" s="52" t="str">
        <f t="shared" si="216"/>
        <v/>
      </c>
      <c r="AG547" s="50" t="str">
        <f t="shared" si="235"/>
        <v/>
      </c>
      <c r="AH547" s="50" t="str">
        <f t="shared" si="236"/>
        <v/>
      </c>
      <c r="AI547" s="52" t="str">
        <f t="shared" si="217"/>
        <v/>
      </c>
      <c r="AJ547" s="52" t="str">
        <f t="shared" si="218"/>
        <v/>
      </c>
      <c r="AK547" s="52" t="str">
        <f t="shared" si="219"/>
        <v/>
      </c>
      <c r="AL547" s="52" t="str">
        <f t="shared" si="220"/>
        <v/>
      </c>
      <c r="AM547" s="52" t="str">
        <f t="shared" si="221"/>
        <v/>
      </c>
      <c r="AN547" s="52" t="str">
        <f t="shared" si="222"/>
        <v/>
      </c>
      <c r="AO547" s="52" t="str">
        <f t="shared" si="223"/>
        <v/>
      </c>
      <c r="AP547" s="52" t="str">
        <f t="shared" si="224"/>
        <v/>
      </c>
      <c r="AQ547" s="52" t="str">
        <f t="shared" si="225"/>
        <v/>
      </c>
      <c r="AR547" s="52" t="str">
        <f t="shared" si="226"/>
        <v/>
      </c>
      <c r="AS547" s="52" t="str">
        <f t="shared" si="227"/>
        <v/>
      </c>
      <c r="AT547" s="52" t="str">
        <f t="shared" si="228"/>
        <v/>
      </c>
      <c r="AU547" s="52" t="str">
        <f t="shared" si="229"/>
        <v/>
      </c>
      <c r="AV547" s="52" t="str">
        <f t="shared" si="230"/>
        <v/>
      </c>
      <c r="AW547" s="52" t="str">
        <f t="shared" si="231"/>
        <v/>
      </c>
      <c r="AX547" s="52" t="str">
        <f t="shared" si="232"/>
        <v/>
      </c>
      <c r="AY547" s="52" t="str">
        <f t="shared" si="237"/>
        <v/>
      </c>
    </row>
    <row r="548" spans="4:51">
      <c r="D548" s="23"/>
      <c r="E548" s="23"/>
      <c r="F548" s="23"/>
      <c r="G548" s="23"/>
      <c r="H548" s="23"/>
      <c r="I548" s="3"/>
      <c r="J548" s="3"/>
      <c r="K548" s="3"/>
      <c r="L548" s="2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26"/>
      <c r="Y548" s="1"/>
      <c r="Z548" s="12">
        <f t="shared" si="233"/>
        <v>0</v>
      </c>
      <c r="AA548" s="14">
        <f t="shared" si="234"/>
        <v>0</v>
      </c>
      <c r="AB548" s="6">
        <f t="shared" si="212"/>
        <v>0</v>
      </c>
      <c r="AC548" s="6">
        <f t="shared" si="213"/>
        <v>0</v>
      </c>
      <c r="AD548" s="6">
        <f t="shared" si="214"/>
        <v>0</v>
      </c>
      <c r="AE548" s="52" t="str">
        <f t="shared" si="215"/>
        <v/>
      </c>
      <c r="AF548" s="52" t="str">
        <f t="shared" si="216"/>
        <v/>
      </c>
      <c r="AG548" s="50" t="str">
        <f t="shared" si="235"/>
        <v/>
      </c>
      <c r="AH548" s="50" t="str">
        <f t="shared" si="236"/>
        <v/>
      </c>
      <c r="AI548" s="52" t="str">
        <f t="shared" si="217"/>
        <v/>
      </c>
      <c r="AJ548" s="52" t="str">
        <f t="shared" si="218"/>
        <v/>
      </c>
      <c r="AK548" s="52" t="str">
        <f t="shared" si="219"/>
        <v/>
      </c>
      <c r="AL548" s="52" t="str">
        <f t="shared" si="220"/>
        <v/>
      </c>
      <c r="AM548" s="52" t="str">
        <f t="shared" si="221"/>
        <v/>
      </c>
      <c r="AN548" s="52" t="str">
        <f t="shared" si="222"/>
        <v/>
      </c>
      <c r="AO548" s="52" t="str">
        <f t="shared" si="223"/>
        <v/>
      </c>
      <c r="AP548" s="52" t="str">
        <f t="shared" si="224"/>
        <v/>
      </c>
      <c r="AQ548" s="52" t="str">
        <f t="shared" si="225"/>
        <v/>
      </c>
      <c r="AR548" s="52" t="str">
        <f t="shared" si="226"/>
        <v/>
      </c>
      <c r="AS548" s="52" t="str">
        <f t="shared" si="227"/>
        <v/>
      </c>
      <c r="AT548" s="52" t="str">
        <f t="shared" si="228"/>
        <v/>
      </c>
      <c r="AU548" s="52" t="str">
        <f t="shared" si="229"/>
        <v/>
      </c>
      <c r="AV548" s="52" t="str">
        <f t="shared" si="230"/>
        <v/>
      </c>
      <c r="AW548" s="52" t="str">
        <f t="shared" si="231"/>
        <v/>
      </c>
      <c r="AX548" s="52" t="str">
        <f t="shared" si="232"/>
        <v/>
      </c>
      <c r="AY548" s="52" t="str">
        <f t="shared" si="237"/>
        <v/>
      </c>
    </row>
    <row r="549" spans="4:51">
      <c r="D549" s="23"/>
      <c r="E549" s="23"/>
      <c r="F549" s="23"/>
      <c r="G549" s="23"/>
      <c r="H549" s="23"/>
      <c r="I549" s="3"/>
      <c r="J549" s="3"/>
      <c r="K549" s="3"/>
      <c r="L549" s="2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26"/>
      <c r="Y549" s="1"/>
      <c r="Z549" s="12">
        <f t="shared" si="233"/>
        <v>0</v>
      </c>
      <c r="AA549" s="14">
        <f t="shared" si="234"/>
        <v>0</v>
      </c>
      <c r="AB549" s="6">
        <f t="shared" si="212"/>
        <v>0</v>
      </c>
      <c r="AC549" s="6">
        <f t="shared" si="213"/>
        <v>0</v>
      </c>
      <c r="AD549" s="6">
        <f t="shared" si="214"/>
        <v>0</v>
      </c>
      <c r="AE549" s="52" t="str">
        <f t="shared" si="215"/>
        <v/>
      </c>
      <c r="AF549" s="52" t="str">
        <f t="shared" si="216"/>
        <v/>
      </c>
      <c r="AG549" s="50" t="str">
        <f t="shared" si="235"/>
        <v/>
      </c>
      <c r="AH549" s="50" t="str">
        <f t="shared" si="236"/>
        <v/>
      </c>
      <c r="AI549" s="52" t="str">
        <f t="shared" si="217"/>
        <v/>
      </c>
      <c r="AJ549" s="52" t="str">
        <f t="shared" si="218"/>
        <v/>
      </c>
      <c r="AK549" s="52" t="str">
        <f t="shared" si="219"/>
        <v/>
      </c>
      <c r="AL549" s="52" t="str">
        <f t="shared" si="220"/>
        <v/>
      </c>
      <c r="AM549" s="52" t="str">
        <f t="shared" si="221"/>
        <v/>
      </c>
      <c r="AN549" s="52" t="str">
        <f t="shared" si="222"/>
        <v/>
      </c>
      <c r="AO549" s="52" t="str">
        <f t="shared" si="223"/>
        <v/>
      </c>
      <c r="AP549" s="52" t="str">
        <f t="shared" si="224"/>
        <v/>
      </c>
      <c r="AQ549" s="52" t="str">
        <f t="shared" si="225"/>
        <v/>
      </c>
      <c r="AR549" s="52" t="str">
        <f t="shared" si="226"/>
        <v/>
      </c>
      <c r="AS549" s="52" t="str">
        <f t="shared" si="227"/>
        <v/>
      </c>
      <c r="AT549" s="52" t="str">
        <f t="shared" si="228"/>
        <v/>
      </c>
      <c r="AU549" s="52" t="str">
        <f t="shared" si="229"/>
        <v/>
      </c>
      <c r="AV549" s="52" t="str">
        <f t="shared" si="230"/>
        <v/>
      </c>
      <c r="AW549" s="52" t="str">
        <f t="shared" si="231"/>
        <v/>
      </c>
      <c r="AX549" s="52" t="str">
        <f t="shared" si="232"/>
        <v/>
      </c>
      <c r="AY549" s="52" t="str">
        <f t="shared" si="237"/>
        <v/>
      </c>
    </row>
    <row r="550" spans="4:51">
      <c r="D550" s="23"/>
      <c r="E550" s="23"/>
      <c r="F550" s="23"/>
      <c r="G550" s="23"/>
      <c r="H550" s="23"/>
      <c r="I550" s="3"/>
      <c r="J550" s="3"/>
      <c r="K550" s="3"/>
      <c r="L550" s="2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26"/>
      <c r="Y550" s="1"/>
      <c r="Z550" s="12">
        <f t="shared" si="233"/>
        <v>0</v>
      </c>
      <c r="AA550" s="14">
        <f t="shared" si="234"/>
        <v>0</v>
      </c>
      <c r="AB550" s="6">
        <f t="shared" si="212"/>
        <v>0</v>
      </c>
      <c r="AC550" s="6">
        <f t="shared" si="213"/>
        <v>0</v>
      </c>
      <c r="AD550" s="6">
        <f t="shared" si="214"/>
        <v>0</v>
      </c>
      <c r="AE550" s="52" t="str">
        <f t="shared" si="215"/>
        <v/>
      </c>
      <c r="AF550" s="52" t="str">
        <f t="shared" si="216"/>
        <v/>
      </c>
      <c r="AG550" s="50" t="str">
        <f t="shared" si="235"/>
        <v/>
      </c>
      <c r="AH550" s="50" t="str">
        <f t="shared" si="236"/>
        <v/>
      </c>
      <c r="AI550" s="52" t="str">
        <f t="shared" si="217"/>
        <v/>
      </c>
      <c r="AJ550" s="52" t="str">
        <f t="shared" si="218"/>
        <v/>
      </c>
      <c r="AK550" s="52" t="str">
        <f t="shared" si="219"/>
        <v/>
      </c>
      <c r="AL550" s="52" t="str">
        <f t="shared" si="220"/>
        <v/>
      </c>
      <c r="AM550" s="52" t="str">
        <f t="shared" si="221"/>
        <v/>
      </c>
      <c r="AN550" s="52" t="str">
        <f t="shared" si="222"/>
        <v/>
      </c>
      <c r="AO550" s="52" t="str">
        <f t="shared" si="223"/>
        <v/>
      </c>
      <c r="AP550" s="52" t="str">
        <f t="shared" si="224"/>
        <v/>
      </c>
      <c r="AQ550" s="52" t="str">
        <f t="shared" si="225"/>
        <v/>
      </c>
      <c r="AR550" s="52" t="str">
        <f t="shared" si="226"/>
        <v/>
      </c>
      <c r="AS550" s="52" t="str">
        <f t="shared" si="227"/>
        <v/>
      </c>
      <c r="AT550" s="52" t="str">
        <f t="shared" si="228"/>
        <v/>
      </c>
      <c r="AU550" s="52" t="str">
        <f t="shared" si="229"/>
        <v/>
      </c>
      <c r="AV550" s="52" t="str">
        <f t="shared" si="230"/>
        <v/>
      </c>
      <c r="AW550" s="52" t="str">
        <f t="shared" si="231"/>
        <v/>
      </c>
      <c r="AX550" s="52" t="str">
        <f t="shared" si="232"/>
        <v/>
      </c>
      <c r="AY550" s="52" t="str">
        <f t="shared" si="237"/>
        <v/>
      </c>
    </row>
    <row r="551" spans="4:51">
      <c r="D551" s="23"/>
      <c r="E551" s="23"/>
      <c r="F551" s="23"/>
      <c r="G551" s="23"/>
      <c r="H551" s="23"/>
      <c r="I551" s="3"/>
      <c r="J551" s="3"/>
      <c r="K551" s="3"/>
      <c r="L551" s="2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26"/>
      <c r="Y551" s="1"/>
      <c r="Z551" s="12">
        <f t="shared" si="233"/>
        <v>0</v>
      </c>
      <c r="AA551" s="14">
        <f t="shared" si="234"/>
        <v>0</v>
      </c>
      <c r="AB551" s="6">
        <f t="shared" si="212"/>
        <v>0</v>
      </c>
      <c r="AC551" s="6">
        <f t="shared" si="213"/>
        <v>0</v>
      </c>
      <c r="AD551" s="6">
        <f t="shared" si="214"/>
        <v>0</v>
      </c>
      <c r="AE551" s="52" t="str">
        <f t="shared" si="215"/>
        <v/>
      </c>
      <c r="AF551" s="52" t="str">
        <f t="shared" si="216"/>
        <v/>
      </c>
      <c r="AG551" s="50" t="str">
        <f t="shared" si="235"/>
        <v/>
      </c>
      <c r="AH551" s="50" t="str">
        <f t="shared" si="236"/>
        <v/>
      </c>
      <c r="AI551" s="52" t="str">
        <f t="shared" si="217"/>
        <v/>
      </c>
      <c r="AJ551" s="52" t="str">
        <f t="shared" si="218"/>
        <v/>
      </c>
      <c r="AK551" s="52" t="str">
        <f t="shared" si="219"/>
        <v/>
      </c>
      <c r="AL551" s="52" t="str">
        <f t="shared" si="220"/>
        <v/>
      </c>
      <c r="AM551" s="52" t="str">
        <f t="shared" si="221"/>
        <v/>
      </c>
      <c r="AN551" s="52" t="str">
        <f t="shared" si="222"/>
        <v/>
      </c>
      <c r="AO551" s="52" t="str">
        <f t="shared" si="223"/>
        <v/>
      </c>
      <c r="AP551" s="52" t="str">
        <f t="shared" si="224"/>
        <v/>
      </c>
      <c r="AQ551" s="52" t="str">
        <f t="shared" si="225"/>
        <v/>
      </c>
      <c r="AR551" s="52" t="str">
        <f t="shared" si="226"/>
        <v/>
      </c>
      <c r="AS551" s="52" t="str">
        <f t="shared" si="227"/>
        <v/>
      </c>
      <c r="AT551" s="52" t="str">
        <f t="shared" si="228"/>
        <v/>
      </c>
      <c r="AU551" s="52" t="str">
        <f t="shared" si="229"/>
        <v/>
      </c>
      <c r="AV551" s="52" t="str">
        <f t="shared" si="230"/>
        <v/>
      </c>
      <c r="AW551" s="52" t="str">
        <f t="shared" si="231"/>
        <v/>
      </c>
      <c r="AX551" s="52" t="str">
        <f t="shared" si="232"/>
        <v/>
      </c>
      <c r="AY551" s="52" t="str">
        <f t="shared" si="237"/>
        <v/>
      </c>
    </row>
    <row r="552" spans="4:51">
      <c r="D552" s="23"/>
      <c r="E552" s="23"/>
      <c r="F552" s="23"/>
      <c r="G552" s="23"/>
      <c r="H552" s="23"/>
      <c r="I552" s="3"/>
      <c r="J552" s="3"/>
      <c r="K552" s="3"/>
      <c r="L552" s="2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26"/>
      <c r="Y552" s="1"/>
      <c r="Z552" s="12">
        <f t="shared" si="233"/>
        <v>0</v>
      </c>
      <c r="AA552" s="14">
        <f t="shared" si="234"/>
        <v>0</v>
      </c>
      <c r="AB552" s="6">
        <f t="shared" si="212"/>
        <v>0</v>
      </c>
      <c r="AC552" s="6">
        <f t="shared" si="213"/>
        <v>0</v>
      </c>
      <c r="AD552" s="6">
        <f t="shared" si="214"/>
        <v>0</v>
      </c>
      <c r="AE552" s="52" t="str">
        <f t="shared" si="215"/>
        <v/>
      </c>
      <c r="AF552" s="52" t="str">
        <f t="shared" si="216"/>
        <v/>
      </c>
      <c r="AG552" s="50" t="str">
        <f t="shared" si="235"/>
        <v/>
      </c>
      <c r="AH552" s="50" t="str">
        <f t="shared" si="236"/>
        <v/>
      </c>
      <c r="AI552" s="52" t="str">
        <f t="shared" si="217"/>
        <v/>
      </c>
      <c r="AJ552" s="52" t="str">
        <f t="shared" si="218"/>
        <v/>
      </c>
      <c r="AK552" s="52" t="str">
        <f t="shared" si="219"/>
        <v/>
      </c>
      <c r="AL552" s="52" t="str">
        <f t="shared" si="220"/>
        <v/>
      </c>
      <c r="AM552" s="52" t="str">
        <f t="shared" si="221"/>
        <v/>
      </c>
      <c r="AN552" s="52" t="str">
        <f t="shared" si="222"/>
        <v/>
      </c>
      <c r="AO552" s="52" t="str">
        <f t="shared" si="223"/>
        <v/>
      </c>
      <c r="AP552" s="52" t="str">
        <f t="shared" si="224"/>
        <v/>
      </c>
      <c r="AQ552" s="52" t="str">
        <f t="shared" si="225"/>
        <v/>
      </c>
      <c r="AR552" s="52" t="str">
        <f t="shared" si="226"/>
        <v/>
      </c>
      <c r="AS552" s="52" t="str">
        <f t="shared" si="227"/>
        <v/>
      </c>
      <c r="AT552" s="52" t="str">
        <f t="shared" si="228"/>
        <v/>
      </c>
      <c r="AU552" s="52" t="str">
        <f t="shared" si="229"/>
        <v/>
      </c>
      <c r="AV552" s="52" t="str">
        <f t="shared" si="230"/>
        <v/>
      </c>
      <c r="AW552" s="52" t="str">
        <f t="shared" si="231"/>
        <v/>
      </c>
      <c r="AX552" s="52" t="str">
        <f t="shared" si="232"/>
        <v/>
      </c>
      <c r="AY552" s="52" t="str">
        <f t="shared" si="237"/>
        <v/>
      </c>
    </row>
    <row r="553" spans="4:51">
      <c r="D553" s="23"/>
      <c r="E553" s="23"/>
      <c r="F553" s="23"/>
      <c r="G553" s="23"/>
      <c r="H553" s="23"/>
      <c r="I553" s="3"/>
      <c r="J553" s="3"/>
      <c r="K553" s="3"/>
      <c r="L553" s="2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26"/>
      <c r="Y553" s="1"/>
      <c r="Z553" s="12">
        <f t="shared" si="233"/>
        <v>0</v>
      </c>
      <c r="AA553" s="14">
        <f t="shared" si="234"/>
        <v>0</v>
      </c>
      <c r="AB553" s="6">
        <f t="shared" si="212"/>
        <v>0</v>
      </c>
      <c r="AC553" s="6">
        <f t="shared" si="213"/>
        <v>0</v>
      </c>
      <c r="AD553" s="6">
        <f t="shared" si="214"/>
        <v>0</v>
      </c>
      <c r="AE553" s="52" t="str">
        <f t="shared" si="215"/>
        <v/>
      </c>
      <c r="AF553" s="52" t="str">
        <f t="shared" si="216"/>
        <v/>
      </c>
      <c r="AG553" s="50" t="str">
        <f t="shared" si="235"/>
        <v/>
      </c>
      <c r="AH553" s="50" t="str">
        <f t="shared" si="236"/>
        <v/>
      </c>
      <c r="AI553" s="52" t="str">
        <f t="shared" si="217"/>
        <v/>
      </c>
      <c r="AJ553" s="52" t="str">
        <f t="shared" si="218"/>
        <v/>
      </c>
      <c r="AK553" s="52" t="str">
        <f t="shared" si="219"/>
        <v/>
      </c>
      <c r="AL553" s="52" t="str">
        <f t="shared" si="220"/>
        <v/>
      </c>
      <c r="AM553" s="52" t="str">
        <f t="shared" si="221"/>
        <v/>
      </c>
      <c r="AN553" s="52" t="str">
        <f t="shared" si="222"/>
        <v/>
      </c>
      <c r="AO553" s="52" t="str">
        <f t="shared" si="223"/>
        <v/>
      </c>
      <c r="AP553" s="52" t="str">
        <f t="shared" si="224"/>
        <v/>
      </c>
      <c r="AQ553" s="52" t="str">
        <f t="shared" si="225"/>
        <v/>
      </c>
      <c r="AR553" s="52" t="str">
        <f t="shared" si="226"/>
        <v/>
      </c>
      <c r="AS553" s="52" t="str">
        <f t="shared" si="227"/>
        <v/>
      </c>
      <c r="AT553" s="52" t="str">
        <f t="shared" si="228"/>
        <v/>
      </c>
      <c r="AU553" s="52" t="str">
        <f t="shared" si="229"/>
        <v/>
      </c>
      <c r="AV553" s="52" t="str">
        <f t="shared" si="230"/>
        <v/>
      </c>
      <c r="AW553" s="52" t="str">
        <f t="shared" si="231"/>
        <v/>
      </c>
      <c r="AX553" s="52" t="str">
        <f t="shared" si="232"/>
        <v/>
      </c>
      <c r="AY553" s="52" t="str">
        <f t="shared" si="237"/>
        <v/>
      </c>
    </row>
    <row r="554" spans="4:51">
      <c r="D554" s="23"/>
      <c r="E554" s="23"/>
      <c r="F554" s="23"/>
      <c r="G554" s="23"/>
      <c r="H554" s="23"/>
      <c r="I554" s="3"/>
      <c r="J554" s="3"/>
      <c r="K554" s="3"/>
      <c r="L554" s="2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26"/>
      <c r="Y554" s="1"/>
      <c r="Z554" s="12">
        <f t="shared" si="233"/>
        <v>0</v>
      </c>
      <c r="AA554" s="14">
        <f t="shared" si="234"/>
        <v>0</v>
      </c>
      <c r="AB554" s="6">
        <f t="shared" ref="AB554:AB597" si="238">COUNTA(L554:W554)</f>
        <v>0</v>
      </c>
      <c r="AC554" s="6">
        <f t="shared" ref="AC554:AC597" si="239">COUNTA(L554:Q554)</f>
        <v>0</v>
      </c>
      <c r="AD554" s="6">
        <f t="shared" ref="AD554:AD597" si="240">COUNTA(R554:V554)</f>
        <v>0</v>
      </c>
      <c r="AE554" s="52" t="str">
        <f t="shared" ref="AE554:AE597" si="241">IF(AND(B554="Feminino",C554&gt;=$BA$2,C554&lt;=$BB$2),$BA$3,IF(AND(B554="Masculino",C554&gt;=$BA$2,C554&lt;=$BB$2),$BB$3,IF(AND(B554="Feminino",C554&gt;=$BC$2,C554&lt;=$BD$2),$BC$3,IF(AND(B554="Masculino",C554&gt;=$BC$2,C554&lt;=$BD$2),$BD$3,IF(AND(B554="Feminino",C554&gt;=$BE$2,C554&lt;=$BF$2),$BE$3,IF(AND(B554="Masculino",C554&gt;=$BE$2,C554&lt;=$BF$2),$BF$3,IF(AND(B554="Feminino",C554&gt;=$BG$2,C554&lt;=$BH$2),$BG$3,IF(AND(B554="Masculino",C554&gt;=$BG$2,C554&lt;=$BH$2),$BH$3,""))))))))</f>
        <v/>
      </c>
      <c r="AF554" s="52" t="str">
        <f t="shared" ref="AF554:AF597" si="242">IF(AND(B554="Feminino",C554&gt;=$BE$2,C554&lt;=$BF$2),$BI$3,IF(AND(B554="Masculino",C554&gt;=$BE$2,C554&lt;=$BF$2),$BJ$3,IF(AND(B554="Feminino",C554&lt;=$BH$2),$BK$3,IF(AND(B554="Masculino",C554&lt;=$BH$2),$BL$3,""))))</f>
        <v/>
      </c>
      <c r="AG554" s="50" t="str">
        <f t="shared" si="235"/>
        <v/>
      </c>
      <c r="AH554" s="50" t="str">
        <f t="shared" si="236"/>
        <v/>
      </c>
      <c r="AI554" s="52" t="str">
        <f t="shared" ref="AI554:AI597" si="243">IF(C554="","",IF(C554&gt;=$BQ$2,$BQ$3,IF(AND(C554&gt;=$BR$1,C554&lt;=$BR$2),$BR$3,IF(AND(C554&gt;=$BS$1,C554&lt;=$BS$2),$BS$3,IF(AND(C554&gt;=$BT$1,C554&lt;=$BT$2),$BT$3,IF(AND(C554&gt;=$BU$1,C554&lt;=$BU$2),$BU$3,IF(C554&lt;=$BV$2,$BV$3,"")))))))</f>
        <v/>
      </c>
      <c r="AJ554" s="52" t="str">
        <f t="shared" ref="AJ554:AJ597" si="244">IF(C554="","",IF(C554&gt;=$BQ$2,$BW$3,IF(AND(C554&gt;=$BR$1,C554&lt;=$BR$2),$BX$3,IF(AND(C554&gt;=$BS$1,C554&lt;=$BS$2),$BY$3,IF(AND(C554&gt;=$BT$1,C554&lt;=$BT$2),$BZ$3,IF(AND(C554&gt;=$BU$1,C554&lt;=$BU$2),$CA$3,IF(C554&lt;=$BV$2,$CB$3,"")))))))</f>
        <v/>
      </c>
      <c r="AK554" s="52" t="str">
        <f t="shared" ref="AK554:AK597" si="245">IF(C554="","",IF(C554&gt;=$BQ$2,$CC$3,IF(AND(C554&gt;=$BR$1,C554&lt;=$BR$2),$CD$3,IF(AND(C554&gt;=$BS$1,C554&lt;=$BS$2),$CE$3,IF(AND(C554&gt;=$BT$1,C554&lt;=$BT$2),$CF$3,IF(AND(C554&gt;=$BU$1,C554&lt;=$BU$2),$CG$3,IF(C554&lt;=$BV$2,$CH$3,"")))))))</f>
        <v/>
      </c>
      <c r="AL554" s="52" t="str">
        <f t="shared" ref="AL554:AL597" si="246">IF(C554="","",IF(AND(C554&gt;=$BT$1,C554&lt;=$BT$2),$CI$3,IF(AND(C554&gt;=$BU$1,C554&lt;=$BU$2),$CJ$3,IF(C554&lt;=$BV$2,$CK$3,""))))</f>
        <v/>
      </c>
      <c r="AM554" s="52" t="str">
        <f t="shared" ref="AM554:AM597" si="247">IF(C554="","",IF(AB554&gt;=3,"",IF(AC554&gt;=2,"",IF(C554&gt;=$CL$2,$CL$3,IF(AND(C554&gt;=$CM$1,C554&lt;=$CM$2),$CM$3,IF(AND(C554&gt;=$CN$1,C554&lt;=$CN$2),$CN$3,IF(AND(C554&gt;=$CO$1,C554&lt;=$CO$2),$CO$3,IF(AND(C554&gt;=$CP$1,C554&lt;=$CP$2),$CP$3,IF(C554&lt;=$CQ$2,$CQ$3,"")))))))))</f>
        <v/>
      </c>
      <c r="AN554" s="52" t="str">
        <f t="shared" ref="AN554:AN597" si="248">IF(C554="","",IF(AB554&gt;=3,"",IF(AC554&gt;=2,"",IF(C554&gt;=$CL$2,$CR$3,IF(AND(C554&gt;=$CM$1,C554&lt;=$CM$2),$CS$3,IF(AND(C554&gt;=$CN$1,C554&lt;=$CN$2),$CT$3,IF(AND(C554&gt;=$CO$1,C554&lt;=$CO$2),$CU$3,IF(AND(C554&gt;=$CP$1,C554&lt;=$CP$2),$CV$3,IF(C554&lt;=$CQ$2,$CW$3,"")))))))))</f>
        <v/>
      </c>
      <c r="AO554" s="52" t="str">
        <f t="shared" ref="AO554:AO597" si="249">IF(C554="","",IF(AB554&gt;=3,"",IF(AC554&gt;=2,"",IF(C554&gt;=$CL$2,$CX$3,IF(AND(C554&gt;=$CM$1,C554&lt;=$CM$2),$CY$3,IF(AND(C554&gt;=$CN$1,C554&lt;=$CN$2),$CZ$3,IF(AND(C554&gt;=$CO$1,C554&lt;=$CO$2),$DA$3,IF(AND(C554&gt;=$CP$1,C554&lt;=$CP$2),$DB$3,IF(C554&lt;=$CQ$2,$DC$3,"")))))))))</f>
        <v/>
      </c>
      <c r="AP554" s="52" t="str">
        <f t="shared" ref="AP554:AP597" si="250">IF(C554="","",IF(AB554&gt;=3,"",IF(AC554&gt;=2,"",IF(C554&gt;=$CL$2,$DD$3,IF(AND(C554&gt;=$CM$1,C554&lt;=$CM$2),$DE$3,IF(AND(C554&gt;=$CN$1,C554&lt;=$CN$2),$DF$3,IF(AND(C554&gt;=$CO$1,C554&lt;=$CO$2),$DG$3,IF(AND(C554&gt;=$CP$1,C554&lt;=$CP$2),$DH$3,IF(C554&lt;=$CQ$2,$DI$3,"")))))))))</f>
        <v/>
      </c>
      <c r="AQ554" s="52" t="str">
        <f t="shared" ref="AQ554:AQ597" si="251">IF(C554="","",IF(AB554&gt;=3,"",IF(AC554&gt;=2,"",IF(C554&gt;=$CL$2,$DJ$3,IF(AND(C554&gt;=$CM$1,C554&lt;=$CM$2),$DK$3,IF(AND(C554&gt;=$CN$1,C554&lt;=$CN$2),$DL$3,IF(AND(C554&gt;=$CO$1,C554&lt;=$CO$2),$DM$3,IF(AND(C554&gt;=$CP$1,C554&lt;=$CP$2),$DN$3,IF(C554&lt;=$CQ$2,$DO$3,"")))))))))</f>
        <v/>
      </c>
      <c r="AR554" s="52" t="str">
        <f t="shared" ref="AR554:AR597" si="252">IF(C554="","",IF(AB554&gt;=3,"",IF(AC554&gt;=2,"",IF(C554&gt;=$CL$2,$DP$3,IF(AND(C554&gt;=$CM$1,C554&lt;=$CM$2),$DQ$3,IF(AND(C554&gt;=$CN$1,C554&lt;=$CN$2),$DR$3,IF(AND(C554&gt;=$CO$1,C554&lt;=$CO$2),$DS$3,IF(AND(C554&gt;=$CP$1,C554&lt;=$CP$2),$DT$3,IF(C554&lt;=$CQ$2,$DU$3,"")))))))))</f>
        <v/>
      </c>
      <c r="AS554" s="52" t="str">
        <f t="shared" ref="AS554:AS597" si="253">IF(C554="","",IF(AB554&gt;=3,"",IF(AD554&gt;=2,"",IF(C554&gt;=$CL$2,$DV$3,IF(AND(C554&gt;=$CM$1,C554&lt;=$CM$2),$DW$3,IF(AND(C554&gt;=$CN$1,C554&lt;=$CN$2),$DX$3,IF(AND(C554&gt;=$CO$1,C554&lt;=$CO$2),$DY$3,IF(AND(C554&gt;=$CP$1,C554&lt;=$CP$2),$DZ$3,IF(C554&lt;=$CQ$2,$EA$3,"")))))))))</f>
        <v/>
      </c>
      <c r="AT554" s="52" t="str">
        <f t="shared" ref="AT554:AT597" si="254">IF(C554="","",IF(AB554&gt;=3,"",IF(AD554&gt;=2,"",IF(C554&gt;=$CL$2,$EB$3,IF(AND(C554&gt;=$CM$1,C554&lt;=$CM$2),$EC$3,IF(AND(C554&gt;=$CN$1,C554&lt;=$CN$2),$ED$3,IF(AND(C554&gt;=$CO$1,C554&lt;=$CO$2),$EE$3,IF(AND(C554&gt;=$CP$1,C554&lt;=$CP$2),$EF$3,IF(C554&lt;=$CQ$2,$EG$3,"")))))))))</f>
        <v/>
      </c>
      <c r="AU554" s="52" t="str">
        <f t="shared" ref="AU554:AU597" si="255">IF(C554="","",IF(AB554&gt;=3,"",IF(AD554&gt;=2,"",IF(C554&gt;=$CL$2,$EH$3,IF(AND(C554&gt;=$CM$1,C554&lt;=$CM$2),$EI$3,IF(AND(C554&gt;=$CN$1,C554&lt;=$CN$2),$EJ$3,IF(AND(C554&gt;=$CO$1,C554&lt;=$CO$2),$EK$3,IF(AND(C554&gt;=$CP$1,C554&lt;=$CP$2),$EL$3,IF(C554&lt;=$CQ$2,$EM$3,"")))))))))</f>
        <v/>
      </c>
      <c r="AV554" s="52" t="str">
        <f t="shared" ref="AV554:AV597" si="256">IF(C554="","",IF(AB554&gt;=3,"",IF(AD554&gt;=2,"",IF(C554&gt;=$CL$2,$EN$3,IF(AND(C554&gt;=$CM$1,C554&lt;=$CM$2),$EO$3,IF(AND(C554&gt;=$CN$1,C554&lt;=$CN$2),$EP$3,IF(AND(C554&gt;=$CO$1,C554&lt;=$CO$2),$EQ$3,IF(AND(C554&gt;=$CP$1,C554&lt;=$CP$2),$ER$3,IF(C554&lt;=$CQ$2,$ES$3,"")))))))))</f>
        <v/>
      </c>
      <c r="AW554" s="52" t="str">
        <f t="shared" ref="AW554:AW597" si="257">IF(C554="","",IF(AB554&gt;=3,"",IF(AD554&gt;=2,"",IF(C554&gt;=$CL$2,$ET$3,IF(AND(C554&gt;=$CM$1,C554&lt;=$CM$2),$EU$3,IF(AND(C554&gt;=$CN$1,C554&lt;=$CN$2),$EV$3,IF(AND(C554&gt;=$CO$1,C554&lt;=$CO$2),$EW$3,IF(AND(C554&gt;=$CP$1,C554&lt;=$CP$2),$EX$3,IF(C554&lt;=$CQ$2,$EY$3,"")))))))))</f>
        <v/>
      </c>
      <c r="AX554" s="52" t="str">
        <f t="shared" ref="AX554:AX597" si="258">IF(C554="","",IF(AB554&gt;=3,"",IF(AD554&gt;=2,"",IF(C554&gt;=$CL$2,$EZ$3,IF(AND(C554&gt;=$CM$1,C554&lt;=$CM$2),$FA$3,IF(AND(C554&gt;=$CN$1,C554&lt;=$CN$2),$FB$3,IF(AND(C554&gt;=$CO$1,C554&lt;=$CO$2),$FC$3,IF(AND(C554&gt;=$CP$1,C554&lt;=$CP$2),$FD$3,IF(C554&lt;=$CQ$2,$FE$3,"")))))))))</f>
        <v/>
      </c>
      <c r="AY554" s="52" t="str">
        <f t="shared" si="237"/>
        <v/>
      </c>
    </row>
    <row r="555" spans="4:51">
      <c r="D555" s="23"/>
      <c r="E555" s="23"/>
      <c r="F555" s="23"/>
      <c r="G555" s="23"/>
      <c r="H555" s="23"/>
      <c r="I555" s="3"/>
      <c r="J555" s="3"/>
      <c r="K555" s="3"/>
      <c r="L555" s="2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26"/>
      <c r="Y555" s="1"/>
      <c r="Z555" s="12">
        <f t="shared" si="233"/>
        <v>0</v>
      </c>
      <c r="AA555" s="14">
        <f t="shared" si="234"/>
        <v>0</v>
      </c>
      <c r="AB555" s="6">
        <f t="shared" si="238"/>
        <v>0</v>
      </c>
      <c r="AC555" s="6">
        <f t="shared" si="239"/>
        <v>0</v>
      </c>
      <c r="AD555" s="6">
        <f t="shared" si="240"/>
        <v>0</v>
      </c>
      <c r="AE555" s="52" t="str">
        <f t="shared" si="241"/>
        <v/>
      </c>
      <c r="AF555" s="52" t="str">
        <f t="shared" si="242"/>
        <v/>
      </c>
      <c r="AG555" s="50" t="str">
        <f t="shared" si="235"/>
        <v/>
      </c>
      <c r="AH555" s="50" t="str">
        <f t="shared" si="236"/>
        <v/>
      </c>
      <c r="AI555" s="52" t="str">
        <f t="shared" si="243"/>
        <v/>
      </c>
      <c r="AJ555" s="52" t="str">
        <f t="shared" si="244"/>
        <v/>
      </c>
      <c r="AK555" s="52" t="str">
        <f t="shared" si="245"/>
        <v/>
      </c>
      <c r="AL555" s="52" t="str">
        <f t="shared" si="246"/>
        <v/>
      </c>
      <c r="AM555" s="52" t="str">
        <f t="shared" si="247"/>
        <v/>
      </c>
      <c r="AN555" s="52" t="str">
        <f t="shared" si="248"/>
        <v/>
      </c>
      <c r="AO555" s="52" t="str">
        <f t="shared" si="249"/>
        <v/>
      </c>
      <c r="AP555" s="52" t="str">
        <f t="shared" si="250"/>
        <v/>
      </c>
      <c r="AQ555" s="52" t="str">
        <f t="shared" si="251"/>
        <v/>
      </c>
      <c r="AR555" s="52" t="str">
        <f t="shared" si="252"/>
        <v/>
      </c>
      <c r="AS555" s="52" t="str">
        <f t="shared" si="253"/>
        <v/>
      </c>
      <c r="AT555" s="52" t="str">
        <f t="shared" si="254"/>
        <v/>
      </c>
      <c r="AU555" s="52" t="str">
        <f t="shared" si="255"/>
        <v/>
      </c>
      <c r="AV555" s="52" t="str">
        <f t="shared" si="256"/>
        <v/>
      </c>
      <c r="AW555" s="52" t="str">
        <f t="shared" si="257"/>
        <v/>
      </c>
      <c r="AX555" s="52" t="str">
        <f t="shared" si="258"/>
        <v/>
      </c>
      <c r="AY555" s="52" t="str">
        <f t="shared" si="237"/>
        <v/>
      </c>
    </row>
    <row r="556" spans="4:51">
      <c r="D556" s="23"/>
      <c r="E556" s="23"/>
      <c r="F556" s="23"/>
      <c r="G556" s="23"/>
      <c r="H556" s="23"/>
      <c r="I556" s="3"/>
      <c r="J556" s="3"/>
      <c r="K556" s="3"/>
      <c r="L556" s="2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26"/>
      <c r="Y556" s="1"/>
      <c r="Z556" s="12">
        <f t="shared" si="233"/>
        <v>0</v>
      </c>
      <c r="AA556" s="14">
        <f t="shared" si="234"/>
        <v>0</v>
      </c>
      <c r="AB556" s="6">
        <f t="shared" si="238"/>
        <v>0</v>
      </c>
      <c r="AC556" s="6">
        <f t="shared" si="239"/>
        <v>0</v>
      </c>
      <c r="AD556" s="6">
        <f t="shared" si="240"/>
        <v>0</v>
      </c>
      <c r="AE556" s="52" t="str">
        <f t="shared" si="241"/>
        <v/>
      </c>
      <c r="AF556" s="52" t="str">
        <f t="shared" si="242"/>
        <v/>
      </c>
      <c r="AG556" s="50" t="str">
        <f t="shared" si="235"/>
        <v/>
      </c>
      <c r="AH556" s="50" t="str">
        <f t="shared" si="236"/>
        <v/>
      </c>
      <c r="AI556" s="52" t="str">
        <f t="shared" si="243"/>
        <v/>
      </c>
      <c r="AJ556" s="52" t="str">
        <f t="shared" si="244"/>
        <v/>
      </c>
      <c r="AK556" s="52" t="str">
        <f t="shared" si="245"/>
        <v/>
      </c>
      <c r="AL556" s="52" t="str">
        <f t="shared" si="246"/>
        <v/>
      </c>
      <c r="AM556" s="52" t="str">
        <f t="shared" si="247"/>
        <v/>
      </c>
      <c r="AN556" s="52" t="str">
        <f t="shared" si="248"/>
        <v/>
      </c>
      <c r="AO556" s="52" t="str">
        <f t="shared" si="249"/>
        <v/>
      </c>
      <c r="AP556" s="52" t="str">
        <f t="shared" si="250"/>
        <v/>
      </c>
      <c r="AQ556" s="52" t="str">
        <f t="shared" si="251"/>
        <v/>
      </c>
      <c r="AR556" s="52" t="str">
        <f t="shared" si="252"/>
        <v/>
      </c>
      <c r="AS556" s="52" t="str">
        <f t="shared" si="253"/>
        <v/>
      </c>
      <c r="AT556" s="52" t="str">
        <f t="shared" si="254"/>
        <v/>
      </c>
      <c r="AU556" s="52" t="str">
        <f t="shared" si="255"/>
        <v/>
      </c>
      <c r="AV556" s="52" t="str">
        <f t="shared" si="256"/>
        <v/>
      </c>
      <c r="AW556" s="52" t="str">
        <f t="shared" si="257"/>
        <v/>
      </c>
      <c r="AX556" s="52" t="str">
        <f t="shared" si="258"/>
        <v/>
      </c>
      <c r="AY556" s="52" t="str">
        <f t="shared" si="237"/>
        <v/>
      </c>
    </row>
    <row r="557" spans="4:51">
      <c r="D557" s="23"/>
      <c r="E557" s="23"/>
      <c r="F557" s="23"/>
      <c r="G557" s="23"/>
      <c r="H557" s="23"/>
      <c r="I557" s="3"/>
      <c r="J557" s="3"/>
      <c r="K557" s="3"/>
      <c r="L557" s="2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26"/>
      <c r="Y557" s="1"/>
      <c r="Z557" s="12">
        <f t="shared" si="233"/>
        <v>0</v>
      </c>
      <c r="AA557" s="14">
        <f t="shared" si="234"/>
        <v>0</v>
      </c>
      <c r="AB557" s="6">
        <f t="shared" si="238"/>
        <v>0</v>
      </c>
      <c r="AC557" s="6">
        <f t="shared" si="239"/>
        <v>0</v>
      </c>
      <c r="AD557" s="6">
        <f t="shared" si="240"/>
        <v>0</v>
      </c>
      <c r="AE557" s="52" t="str">
        <f t="shared" si="241"/>
        <v/>
      </c>
      <c r="AF557" s="52" t="str">
        <f t="shared" si="242"/>
        <v/>
      </c>
      <c r="AG557" s="50" t="str">
        <f t="shared" si="235"/>
        <v/>
      </c>
      <c r="AH557" s="50" t="str">
        <f t="shared" si="236"/>
        <v/>
      </c>
      <c r="AI557" s="52" t="str">
        <f t="shared" si="243"/>
        <v/>
      </c>
      <c r="AJ557" s="52" t="str">
        <f t="shared" si="244"/>
        <v/>
      </c>
      <c r="AK557" s="52" t="str">
        <f t="shared" si="245"/>
        <v/>
      </c>
      <c r="AL557" s="52" t="str">
        <f t="shared" si="246"/>
        <v/>
      </c>
      <c r="AM557" s="52" t="str">
        <f t="shared" si="247"/>
        <v/>
      </c>
      <c r="AN557" s="52" t="str">
        <f t="shared" si="248"/>
        <v/>
      </c>
      <c r="AO557" s="52" t="str">
        <f t="shared" si="249"/>
        <v/>
      </c>
      <c r="AP557" s="52" t="str">
        <f t="shared" si="250"/>
        <v/>
      </c>
      <c r="AQ557" s="52" t="str">
        <f t="shared" si="251"/>
        <v/>
      </c>
      <c r="AR557" s="52" t="str">
        <f t="shared" si="252"/>
        <v/>
      </c>
      <c r="AS557" s="52" t="str">
        <f t="shared" si="253"/>
        <v/>
      </c>
      <c r="AT557" s="52" t="str">
        <f t="shared" si="254"/>
        <v/>
      </c>
      <c r="AU557" s="52" t="str">
        <f t="shared" si="255"/>
        <v/>
      </c>
      <c r="AV557" s="52" t="str">
        <f t="shared" si="256"/>
        <v/>
      </c>
      <c r="AW557" s="52" t="str">
        <f t="shared" si="257"/>
        <v/>
      </c>
      <c r="AX557" s="52" t="str">
        <f t="shared" si="258"/>
        <v/>
      </c>
      <c r="AY557" s="52" t="str">
        <f t="shared" si="237"/>
        <v/>
      </c>
    </row>
    <row r="558" spans="4:51">
      <c r="D558" s="23"/>
      <c r="E558" s="23"/>
      <c r="F558" s="23"/>
      <c r="G558" s="23"/>
      <c r="H558" s="23"/>
      <c r="I558" s="3"/>
      <c r="J558" s="3"/>
      <c r="K558" s="3"/>
      <c r="L558" s="2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26"/>
      <c r="Y558" s="1"/>
      <c r="Z558" s="12">
        <f t="shared" si="233"/>
        <v>0</v>
      </c>
      <c r="AA558" s="14">
        <f t="shared" si="234"/>
        <v>0</v>
      </c>
      <c r="AB558" s="6">
        <f t="shared" si="238"/>
        <v>0</v>
      </c>
      <c r="AC558" s="6">
        <f t="shared" si="239"/>
        <v>0</v>
      </c>
      <c r="AD558" s="6">
        <f t="shared" si="240"/>
        <v>0</v>
      </c>
      <c r="AE558" s="52" t="str">
        <f t="shared" si="241"/>
        <v/>
      </c>
      <c r="AF558" s="52" t="str">
        <f t="shared" si="242"/>
        <v/>
      </c>
      <c r="AG558" s="50" t="str">
        <f t="shared" si="235"/>
        <v/>
      </c>
      <c r="AH558" s="50" t="str">
        <f t="shared" si="236"/>
        <v/>
      </c>
      <c r="AI558" s="52" t="str">
        <f t="shared" si="243"/>
        <v/>
      </c>
      <c r="AJ558" s="52" t="str">
        <f t="shared" si="244"/>
        <v/>
      </c>
      <c r="AK558" s="52" t="str">
        <f t="shared" si="245"/>
        <v/>
      </c>
      <c r="AL558" s="52" t="str">
        <f t="shared" si="246"/>
        <v/>
      </c>
      <c r="AM558" s="52" t="str">
        <f t="shared" si="247"/>
        <v/>
      </c>
      <c r="AN558" s="52" t="str">
        <f t="shared" si="248"/>
        <v/>
      </c>
      <c r="AO558" s="52" t="str">
        <f t="shared" si="249"/>
        <v/>
      </c>
      <c r="AP558" s="52" t="str">
        <f t="shared" si="250"/>
        <v/>
      </c>
      <c r="AQ558" s="52" t="str">
        <f t="shared" si="251"/>
        <v/>
      </c>
      <c r="AR558" s="52" t="str">
        <f t="shared" si="252"/>
        <v/>
      </c>
      <c r="AS558" s="52" t="str">
        <f t="shared" si="253"/>
        <v/>
      </c>
      <c r="AT558" s="52" t="str">
        <f t="shared" si="254"/>
        <v/>
      </c>
      <c r="AU558" s="52" t="str">
        <f t="shared" si="255"/>
        <v/>
      </c>
      <c r="AV558" s="52" t="str">
        <f t="shared" si="256"/>
        <v/>
      </c>
      <c r="AW558" s="52" t="str">
        <f t="shared" si="257"/>
        <v/>
      </c>
      <c r="AX558" s="52" t="str">
        <f t="shared" si="258"/>
        <v/>
      </c>
      <c r="AY558" s="52" t="str">
        <f t="shared" si="237"/>
        <v/>
      </c>
    </row>
    <row r="559" spans="4:51">
      <c r="D559" s="23"/>
      <c r="E559" s="23"/>
      <c r="F559" s="23"/>
      <c r="G559" s="23"/>
      <c r="H559" s="23"/>
      <c r="I559" s="3"/>
      <c r="J559" s="3"/>
      <c r="K559" s="3"/>
      <c r="L559" s="2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26"/>
      <c r="Y559" s="1"/>
      <c r="Z559" s="12">
        <f t="shared" si="233"/>
        <v>0</v>
      </c>
      <c r="AA559" s="14">
        <f t="shared" si="234"/>
        <v>0</v>
      </c>
      <c r="AB559" s="6">
        <f t="shared" si="238"/>
        <v>0</v>
      </c>
      <c r="AC559" s="6">
        <f t="shared" si="239"/>
        <v>0</v>
      </c>
      <c r="AD559" s="6">
        <f t="shared" si="240"/>
        <v>0</v>
      </c>
      <c r="AE559" s="52" t="str">
        <f t="shared" si="241"/>
        <v/>
      </c>
      <c r="AF559" s="52" t="str">
        <f t="shared" si="242"/>
        <v/>
      </c>
      <c r="AG559" s="50" t="str">
        <f t="shared" si="235"/>
        <v/>
      </c>
      <c r="AH559" s="50" t="str">
        <f t="shared" si="236"/>
        <v/>
      </c>
      <c r="AI559" s="52" t="str">
        <f t="shared" si="243"/>
        <v/>
      </c>
      <c r="AJ559" s="52" t="str">
        <f t="shared" si="244"/>
        <v/>
      </c>
      <c r="AK559" s="52" t="str">
        <f t="shared" si="245"/>
        <v/>
      </c>
      <c r="AL559" s="52" t="str">
        <f t="shared" si="246"/>
        <v/>
      </c>
      <c r="AM559" s="52" t="str">
        <f t="shared" si="247"/>
        <v/>
      </c>
      <c r="AN559" s="52" t="str">
        <f t="shared" si="248"/>
        <v/>
      </c>
      <c r="AO559" s="52" t="str">
        <f t="shared" si="249"/>
        <v/>
      </c>
      <c r="AP559" s="52" t="str">
        <f t="shared" si="250"/>
        <v/>
      </c>
      <c r="AQ559" s="52" t="str">
        <f t="shared" si="251"/>
        <v/>
      </c>
      <c r="AR559" s="52" t="str">
        <f t="shared" si="252"/>
        <v/>
      </c>
      <c r="AS559" s="52" t="str">
        <f t="shared" si="253"/>
        <v/>
      </c>
      <c r="AT559" s="52" t="str">
        <f t="shared" si="254"/>
        <v/>
      </c>
      <c r="AU559" s="52" t="str">
        <f t="shared" si="255"/>
        <v/>
      </c>
      <c r="AV559" s="52" t="str">
        <f t="shared" si="256"/>
        <v/>
      </c>
      <c r="AW559" s="52" t="str">
        <f t="shared" si="257"/>
        <v/>
      </c>
      <c r="AX559" s="52" t="str">
        <f t="shared" si="258"/>
        <v/>
      </c>
      <c r="AY559" s="52" t="str">
        <f t="shared" si="237"/>
        <v/>
      </c>
    </row>
    <row r="560" spans="4:51">
      <c r="D560" s="23"/>
      <c r="E560" s="23"/>
      <c r="F560" s="23"/>
      <c r="G560" s="23"/>
      <c r="H560" s="23"/>
      <c r="I560" s="3"/>
      <c r="J560" s="3"/>
      <c r="K560" s="3"/>
      <c r="L560" s="2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26"/>
      <c r="Y560" s="1"/>
      <c r="Z560" s="12">
        <f t="shared" si="233"/>
        <v>0</v>
      </c>
      <c r="AA560" s="14">
        <f t="shared" si="234"/>
        <v>0</v>
      </c>
      <c r="AB560" s="6">
        <f t="shared" si="238"/>
        <v>0</v>
      </c>
      <c r="AC560" s="6">
        <f t="shared" si="239"/>
        <v>0</v>
      </c>
      <c r="AD560" s="6">
        <f t="shared" si="240"/>
        <v>0</v>
      </c>
      <c r="AE560" s="52" t="str">
        <f t="shared" si="241"/>
        <v/>
      </c>
      <c r="AF560" s="52" t="str">
        <f t="shared" si="242"/>
        <v/>
      </c>
      <c r="AG560" s="50" t="str">
        <f t="shared" si="235"/>
        <v/>
      </c>
      <c r="AH560" s="50" t="str">
        <f t="shared" si="236"/>
        <v/>
      </c>
      <c r="AI560" s="52" t="str">
        <f t="shared" si="243"/>
        <v/>
      </c>
      <c r="AJ560" s="52" t="str">
        <f t="shared" si="244"/>
        <v/>
      </c>
      <c r="AK560" s="52" t="str">
        <f t="shared" si="245"/>
        <v/>
      </c>
      <c r="AL560" s="52" t="str">
        <f t="shared" si="246"/>
        <v/>
      </c>
      <c r="AM560" s="52" t="str">
        <f t="shared" si="247"/>
        <v/>
      </c>
      <c r="AN560" s="52" t="str">
        <f t="shared" si="248"/>
        <v/>
      </c>
      <c r="AO560" s="52" t="str">
        <f t="shared" si="249"/>
        <v/>
      </c>
      <c r="AP560" s="52" t="str">
        <f t="shared" si="250"/>
        <v/>
      </c>
      <c r="AQ560" s="52" t="str">
        <f t="shared" si="251"/>
        <v/>
      </c>
      <c r="AR560" s="52" t="str">
        <f t="shared" si="252"/>
        <v/>
      </c>
      <c r="AS560" s="52" t="str">
        <f t="shared" si="253"/>
        <v/>
      </c>
      <c r="AT560" s="52" t="str">
        <f t="shared" si="254"/>
        <v/>
      </c>
      <c r="AU560" s="52" t="str">
        <f t="shared" si="255"/>
        <v/>
      </c>
      <c r="AV560" s="52" t="str">
        <f t="shared" si="256"/>
        <v/>
      </c>
      <c r="AW560" s="52" t="str">
        <f t="shared" si="257"/>
        <v/>
      </c>
      <c r="AX560" s="52" t="str">
        <f t="shared" si="258"/>
        <v/>
      </c>
      <c r="AY560" s="52" t="str">
        <f t="shared" si="237"/>
        <v/>
      </c>
    </row>
    <row r="561" spans="4:51">
      <c r="D561" s="23"/>
      <c r="E561" s="23"/>
      <c r="F561" s="23"/>
      <c r="G561" s="23"/>
      <c r="H561" s="23"/>
      <c r="I561" s="3"/>
      <c r="J561" s="3"/>
      <c r="K561" s="3"/>
      <c r="L561" s="2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26"/>
      <c r="Y561" s="1"/>
      <c r="Z561" s="12">
        <f t="shared" si="233"/>
        <v>0</v>
      </c>
      <c r="AA561" s="14">
        <f t="shared" si="234"/>
        <v>0</v>
      </c>
      <c r="AB561" s="6">
        <f t="shared" si="238"/>
        <v>0</v>
      </c>
      <c r="AC561" s="6">
        <f t="shared" si="239"/>
        <v>0</v>
      </c>
      <c r="AD561" s="6">
        <f t="shared" si="240"/>
        <v>0</v>
      </c>
      <c r="AE561" s="52" t="str">
        <f t="shared" si="241"/>
        <v/>
      </c>
      <c r="AF561" s="52" t="str">
        <f t="shared" si="242"/>
        <v/>
      </c>
      <c r="AG561" s="50" t="str">
        <f t="shared" si="235"/>
        <v/>
      </c>
      <c r="AH561" s="50" t="str">
        <f t="shared" si="236"/>
        <v/>
      </c>
      <c r="AI561" s="52" t="str">
        <f t="shared" si="243"/>
        <v/>
      </c>
      <c r="AJ561" s="52" t="str">
        <f t="shared" si="244"/>
        <v/>
      </c>
      <c r="AK561" s="52" t="str">
        <f t="shared" si="245"/>
        <v/>
      </c>
      <c r="AL561" s="52" t="str">
        <f t="shared" si="246"/>
        <v/>
      </c>
      <c r="AM561" s="52" t="str">
        <f t="shared" si="247"/>
        <v/>
      </c>
      <c r="AN561" s="52" t="str">
        <f t="shared" si="248"/>
        <v/>
      </c>
      <c r="AO561" s="52" t="str">
        <f t="shared" si="249"/>
        <v/>
      </c>
      <c r="AP561" s="52" t="str">
        <f t="shared" si="250"/>
        <v/>
      </c>
      <c r="AQ561" s="52" t="str">
        <f t="shared" si="251"/>
        <v/>
      </c>
      <c r="AR561" s="52" t="str">
        <f t="shared" si="252"/>
        <v/>
      </c>
      <c r="AS561" s="52" t="str">
        <f t="shared" si="253"/>
        <v/>
      </c>
      <c r="AT561" s="52" t="str">
        <f t="shared" si="254"/>
        <v/>
      </c>
      <c r="AU561" s="52" t="str">
        <f t="shared" si="255"/>
        <v/>
      </c>
      <c r="AV561" s="52" t="str">
        <f t="shared" si="256"/>
        <v/>
      </c>
      <c r="AW561" s="52" t="str">
        <f t="shared" si="257"/>
        <v/>
      </c>
      <c r="AX561" s="52" t="str">
        <f t="shared" si="258"/>
        <v/>
      </c>
      <c r="AY561" s="52" t="str">
        <f t="shared" si="237"/>
        <v/>
      </c>
    </row>
    <row r="562" spans="4:51">
      <c r="D562" s="23"/>
      <c r="E562" s="23"/>
      <c r="F562" s="23"/>
      <c r="G562" s="23"/>
      <c r="H562" s="23"/>
      <c r="I562" s="3"/>
      <c r="J562" s="3"/>
      <c r="K562" s="3"/>
      <c r="L562" s="2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26"/>
      <c r="Y562" s="1"/>
      <c r="Z562" s="12">
        <f t="shared" si="233"/>
        <v>0</v>
      </c>
      <c r="AA562" s="14">
        <f t="shared" si="234"/>
        <v>0</v>
      </c>
      <c r="AB562" s="6">
        <f t="shared" si="238"/>
        <v>0</v>
      </c>
      <c r="AC562" s="6">
        <f t="shared" si="239"/>
        <v>0</v>
      </c>
      <c r="AD562" s="6">
        <f t="shared" si="240"/>
        <v>0</v>
      </c>
      <c r="AE562" s="52" t="str">
        <f t="shared" si="241"/>
        <v/>
      </c>
      <c r="AF562" s="52" t="str">
        <f t="shared" si="242"/>
        <v/>
      </c>
      <c r="AG562" s="50" t="str">
        <f t="shared" si="235"/>
        <v/>
      </c>
      <c r="AH562" s="50" t="str">
        <f t="shared" si="236"/>
        <v/>
      </c>
      <c r="AI562" s="52" t="str">
        <f t="shared" si="243"/>
        <v/>
      </c>
      <c r="AJ562" s="52" t="str">
        <f t="shared" si="244"/>
        <v/>
      </c>
      <c r="AK562" s="52" t="str">
        <f t="shared" si="245"/>
        <v/>
      </c>
      <c r="AL562" s="52" t="str">
        <f t="shared" si="246"/>
        <v/>
      </c>
      <c r="AM562" s="52" t="str">
        <f t="shared" si="247"/>
        <v/>
      </c>
      <c r="AN562" s="52" t="str">
        <f t="shared" si="248"/>
        <v/>
      </c>
      <c r="AO562" s="52" t="str">
        <f t="shared" si="249"/>
        <v/>
      </c>
      <c r="AP562" s="52" t="str">
        <f t="shared" si="250"/>
        <v/>
      </c>
      <c r="AQ562" s="52" t="str">
        <f t="shared" si="251"/>
        <v/>
      </c>
      <c r="AR562" s="52" t="str">
        <f t="shared" si="252"/>
        <v/>
      </c>
      <c r="AS562" s="52" t="str">
        <f t="shared" si="253"/>
        <v/>
      </c>
      <c r="AT562" s="52" t="str">
        <f t="shared" si="254"/>
        <v/>
      </c>
      <c r="AU562" s="52" t="str">
        <f t="shared" si="255"/>
        <v/>
      </c>
      <c r="AV562" s="52" t="str">
        <f t="shared" si="256"/>
        <v/>
      </c>
      <c r="AW562" s="52" t="str">
        <f t="shared" si="257"/>
        <v/>
      </c>
      <c r="AX562" s="52" t="str">
        <f t="shared" si="258"/>
        <v/>
      </c>
      <c r="AY562" s="52" t="str">
        <f t="shared" si="237"/>
        <v/>
      </c>
    </row>
    <row r="563" spans="4:51">
      <c r="D563" s="23"/>
      <c r="E563" s="23"/>
      <c r="F563" s="23"/>
      <c r="G563" s="23"/>
      <c r="H563" s="23"/>
      <c r="I563" s="3"/>
      <c r="J563" s="3"/>
      <c r="K563" s="3"/>
      <c r="L563" s="2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26"/>
      <c r="Y563" s="1"/>
      <c r="Z563" s="12">
        <f t="shared" si="233"/>
        <v>0</v>
      </c>
      <c r="AA563" s="14">
        <f t="shared" si="234"/>
        <v>0</v>
      </c>
      <c r="AB563" s="6">
        <f t="shared" si="238"/>
        <v>0</v>
      </c>
      <c r="AC563" s="6">
        <f t="shared" si="239"/>
        <v>0</v>
      </c>
      <c r="AD563" s="6">
        <f t="shared" si="240"/>
        <v>0</v>
      </c>
      <c r="AE563" s="52" t="str">
        <f t="shared" si="241"/>
        <v/>
      </c>
      <c r="AF563" s="52" t="str">
        <f t="shared" si="242"/>
        <v/>
      </c>
      <c r="AG563" s="50" t="str">
        <f t="shared" si="235"/>
        <v/>
      </c>
      <c r="AH563" s="50" t="str">
        <f t="shared" si="236"/>
        <v/>
      </c>
      <c r="AI563" s="52" t="str">
        <f t="shared" si="243"/>
        <v/>
      </c>
      <c r="AJ563" s="52" t="str">
        <f t="shared" si="244"/>
        <v/>
      </c>
      <c r="AK563" s="52" t="str">
        <f t="shared" si="245"/>
        <v/>
      </c>
      <c r="AL563" s="52" t="str">
        <f t="shared" si="246"/>
        <v/>
      </c>
      <c r="AM563" s="52" t="str">
        <f t="shared" si="247"/>
        <v/>
      </c>
      <c r="AN563" s="52" t="str">
        <f t="shared" si="248"/>
        <v/>
      </c>
      <c r="AO563" s="52" t="str">
        <f t="shared" si="249"/>
        <v/>
      </c>
      <c r="AP563" s="52" t="str">
        <f t="shared" si="250"/>
        <v/>
      </c>
      <c r="AQ563" s="52" t="str">
        <f t="shared" si="251"/>
        <v/>
      </c>
      <c r="AR563" s="52" t="str">
        <f t="shared" si="252"/>
        <v/>
      </c>
      <c r="AS563" s="52" t="str">
        <f t="shared" si="253"/>
        <v/>
      </c>
      <c r="AT563" s="52" t="str">
        <f t="shared" si="254"/>
        <v/>
      </c>
      <c r="AU563" s="52" t="str">
        <f t="shared" si="255"/>
        <v/>
      </c>
      <c r="AV563" s="52" t="str">
        <f t="shared" si="256"/>
        <v/>
      </c>
      <c r="AW563" s="52" t="str">
        <f t="shared" si="257"/>
        <v/>
      </c>
      <c r="AX563" s="52" t="str">
        <f t="shared" si="258"/>
        <v/>
      </c>
      <c r="AY563" s="52" t="str">
        <f t="shared" si="237"/>
        <v/>
      </c>
    </row>
    <row r="564" spans="4:51">
      <c r="D564" s="23"/>
      <c r="E564" s="23"/>
      <c r="F564" s="23"/>
      <c r="G564" s="23"/>
      <c r="H564" s="23"/>
      <c r="I564" s="3"/>
      <c r="J564" s="3"/>
      <c r="K564" s="3"/>
      <c r="L564" s="2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26"/>
      <c r="Y564" s="1"/>
      <c r="Z564" s="12">
        <f t="shared" si="233"/>
        <v>0</v>
      </c>
      <c r="AA564" s="14">
        <f t="shared" si="234"/>
        <v>0</v>
      </c>
      <c r="AB564" s="6">
        <f t="shared" si="238"/>
        <v>0</v>
      </c>
      <c r="AC564" s="6">
        <f t="shared" si="239"/>
        <v>0</v>
      </c>
      <c r="AD564" s="6">
        <f t="shared" si="240"/>
        <v>0</v>
      </c>
      <c r="AE564" s="52" t="str">
        <f t="shared" si="241"/>
        <v/>
      </c>
      <c r="AF564" s="52" t="str">
        <f t="shared" si="242"/>
        <v/>
      </c>
      <c r="AG564" s="50" t="str">
        <f t="shared" si="235"/>
        <v/>
      </c>
      <c r="AH564" s="50" t="str">
        <f t="shared" si="236"/>
        <v/>
      </c>
      <c r="AI564" s="52" t="str">
        <f t="shared" si="243"/>
        <v/>
      </c>
      <c r="AJ564" s="52" t="str">
        <f t="shared" si="244"/>
        <v/>
      </c>
      <c r="AK564" s="52" t="str">
        <f t="shared" si="245"/>
        <v/>
      </c>
      <c r="AL564" s="52" t="str">
        <f t="shared" si="246"/>
        <v/>
      </c>
      <c r="AM564" s="52" t="str">
        <f t="shared" si="247"/>
        <v/>
      </c>
      <c r="AN564" s="52" t="str">
        <f t="shared" si="248"/>
        <v/>
      </c>
      <c r="AO564" s="52" t="str">
        <f t="shared" si="249"/>
        <v/>
      </c>
      <c r="AP564" s="52" t="str">
        <f t="shared" si="250"/>
        <v/>
      </c>
      <c r="AQ564" s="52" t="str">
        <f t="shared" si="251"/>
        <v/>
      </c>
      <c r="AR564" s="52" t="str">
        <f t="shared" si="252"/>
        <v/>
      </c>
      <c r="AS564" s="52" t="str">
        <f t="shared" si="253"/>
        <v/>
      </c>
      <c r="AT564" s="52" t="str">
        <f t="shared" si="254"/>
        <v/>
      </c>
      <c r="AU564" s="52" t="str">
        <f t="shared" si="255"/>
        <v/>
      </c>
      <c r="AV564" s="52" t="str">
        <f t="shared" si="256"/>
        <v/>
      </c>
      <c r="AW564" s="52" t="str">
        <f t="shared" si="257"/>
        <v/>
      </c>
      <c r="AX564" s="52" t="str">
        <f t="shared" si="258"/>
        <v/>
      </c>
      <c r="AY564" s="52" t="str">
        <f t="shared" si="237"/>
        <v/>
      </c>
    </row>
    <row r="565" spans="4:51">
      <c r="D565" s="23"/>
      <c r="E565" s="23"/>
      <c r="F565" s="23"/>
      <c r="G565" s="23"/>
      <c r="H565" s="23"/>
      <c r="I565" s="3"/>
      <c r="J565" s="3"/>
      <c r="K565" s="3"/>
      <c r="L565" s="2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26"/>
      <c r="Y565" s="1"/>
      <c r="Z565" s="12">
        <f t="shared" si="233"/>
        <v>0</v>
      </c>
      <c r="AA565" s="14">
        <f t="shared" si="234"/>
        <v>0</v>
      </c>
      <c r="AB565" s="6">
        <f t="shared" si="238"/>
        <v>0</v>
      </c>
      <c r="AC565" s="6">
        <f t="shared" si="239"/>
        <v>0</v>
      </c>
      <c r="AD565" s="6">
        <f t="shared" si="240"/>
        <v>0</v>
      </c>
      <c r="AE565" s="52" t="str">
        <f t="shared" si="241"/>
        <v/>
      </c>
      <c r="AF565" s="52" t="str">
        <f t="shared" si="242"/>
        <v/>
      </c>
      <c r="AG565" s="50" t="str">
        <f t="shared" si="235"/>
        <v/>
      </c>
      <c r="AH565" s="50" t="str">
        <f t="shared" si="236"/>
        <v/>
      </c>
      <c r="AI565" s="52" t="str">
        <f t="shared" si="243"/>
        <v/>
      </c>
      <c r="AJ565" s="52" t="str">
        <f t="shared" si="244"/>
        <v/>
      </c>
      <c r="AK565" s="52" t="str">
        <f t="shared" si="245"/>
        <v/>
      </c>
      <c r="AL565" s="52" t="str">
        <f t="shared" si="246"/>
        <v/>
      </c>
      <c r="AM565" s="52" t="str">
        <f t="shared" si="247"/>
        <v/>
      </c>
      <c r="AN565" s="52" t="str">
        <f t="shared" si="248"/>
        <v/>
      </c>
      <c r="AO565" s="52" t="str">
        <f t="shared" si="249"/>
        <v/>
      </c>
      <c r="AP565" s="52" t="str">
        <f t="shared" si="250"/>
        <v/>
      </c>
      <c r="AQ565" s="52" t="str">
        <f t="shared" si="251"/>
        <v/>
      </c>
      <c r="AR565" s="52" t="str">
        <f t="shared" si="252"/>
        <v/>
      </c>
      <c r="AS565" s="52" t="str">
        <f t="shared" si="253"/>
        <v/>
      </c>
      <c r="AT565" s="52" t="str">
        <f t="shared" si="254"/>
        <v/>
      </c>
      <c r="AU565" s="52" t="str">
        <f t="shared" si="255"/>
        <v/>
      </c>
      <c r="AV565" s="52" t="str">
        <f t="shared" si="256"/>
        <v/>
      </c>
      <c r="AW565" s="52" t="str">
        <f t="shared" si="257"/>
        <v/>
      </c>
      <c r="AX565" s="52" t="str">
        <f t="shared" si="258"/>
        <v/>
      </c>
      <c r="AY565" s="52" t="str">
        <f t="shared" si="237"/>
        <v/>
      </c>
    </row>
    <row r="566" spans="4:51">
      <c r="D566" s="23"/>
      <c r="E566" s="23"/>
      <c r="F566" s="23"/>
      <c r="G566" s="23"/>
      <c r="H566" s="23"/>
      <c r="I566" s="3"/>
      <c r="J566" s="3"/>
      <c r="K566" s="3"/>
      <c r="L566" s="2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26"/>
      <c r="Y566" s="1"/>
      <c r="Z566" s="12">
        <f t="shared" si="233"/>
        <v>0</v>
      </c>
      <c r="AA566" s="14">
        <f t="shared" si="234"/>
        <v>0</v>
      </c>
      <c r="AB566" s="6">
        <f t="shared" si="238"/>
        <v>0</v>
      </c>
      <c r="AC566" s="6">
        <f t="shared" si="239"/>
        <v>0</v>
      </c>
      <c r="AD566" s="6">
        <f t="shared" si="240"/>
        <v>0</v>
      </c>
      <c r="AE566" s="52" t="str">
        <f t="shared" si="241"/>
        <v/>
      </c>
      <c r="AF566" s="52" t="str">
        <f t="shared" si="242"/>
        <v/>
      </c>
      <c r="AG566" s="50" t="str">
        <f t="shared" si="235"/>
        <v/>
      </c>
      <c r="AH566" s="50" t="str">
        <f t="shared" si="236"/>
        <v/>
      </c>
      <c r="AI566" s="52" t="str">
        <f t="shared" si="243"/>
        <v/>
      </c>
      <c r="AJ566" s="52" t="str">
        <f t="shared" si="244"/>
        <v/>
      </c>
      <c r="AK566" s="52" t="str">
        <f t="shared" si="245"/>
        <v/>
      </c>
      <c r="AL566" s="52" t="str">
        <f t="shared" si="246"/>
        <v/>
      </c>
      <c r="AM566" s="52" t="str">
        <f t="shared" si="247"/>
        <v/>
      </c>
      <c r="AN566" s="52" t="str">
        <f t="shared" si="248"/>
        <v/>
      </c>
      <c r="AO566" s="52" t="str">
        <f t="shared" si="249"/>
        <v/>
      </c>
      <c r="AP566" s="52" t="str">
        <f t="shared" si="250"/>
        <v/>
      </c>
      <c r="AQ566" s="52" t="str">
        <f t="shared" si="251"/>
        <v/>
      </c>
      <c r="AR566" s="52" t="str">
        <f t="shared" si="252"/>
        <v/>
      </c>
      <c r="AS566" s="52" t="str">
        <f t="shared" si="253"/>
        <v/>
      </c>
      <c r="AT566" s="52" t="str">
        <f t="shared" si="254"/>
        <v/>
      </c>
      <c r="AU566" s="52" t="str">
        <f t="shared" si="255"/>
        <v/>
      </c>
      <c r="AV566" s="52" t="str">
        <f t="shared" si="256"/>
        <v/>
      </c>
      <c r="AW566" s="52" t="str">
        <f t="shared" si="257"/>
        <v/>
      </c>
      <c r="AX566" s="52" t="str">
        <f t="shared" si="258"/>
        <v/>
      </c>
      <c r="AY566" s="52" t="str">
        <f t="shared" si="237"/>
        <v/>
      </c>
    </row>
    <row r="567" spans="4:51">
      <c r="D567" s="23"/>
      <c r="E567" s="23"/>
      <c r="F567" s="23"/>
      <c r="G567" s="23"/>
      <c r="H567" s="23"/>
      <c r="I567" s="3"/>
      <c r="J567" s="3"/>
      <c r="K567" s="3"/>
      <c r="L567" s="2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26"/>
      <c r="Y567" s="1"/>
      <c r="Z567" s="12">
        <f t="shared" si="233"/>
        <v>0</v>
      </c>
      <c r="AA567" s="14">
        <f t="shared" si="234"/>
        <v>0</v>
      </c>
      <c r="AB567" s="6">
        <f t="shared" si="238"/>
        <v>0</v>
      </c>
      <c r="AC567" s="6">
        <f t="shared" si="239"/>
        <v>0</v>
      </c>
      <c r="AD567" s="6">
        <f t="shared" si="240"/>
        <v>0</v>
      </c>
      <c r="AE567" s="52" t="str">
        <f t="shared" si="241"/>
        <v/>
      </c>
      <c r="AF567" s="52" t="str">
        <f t="shared" si="242"/>
        <v/>
      </c>
      <c r="AG567" s="50" t="str">
        <f t="shared" si="235"/>
        <v/>
      </c>
      <c r="AH567" s="50" t="str">
        <f t="shared" si="236"/>
        <v/>
      </c>
      <c r="AI567" s="52" t="str">
        <f t="shared" si="243"/>
        <v/>
      </c>
      <c r="AJ567" s="52" t="str">
        <f t="shared" si="244"/>
        <v/>
      </c>
      <c r="AK567" s="52" t="str">
        <f t="shared" si="245"/>
        <v/>
      </c>
      <c r="AL567" s="52" t="str">
        <f t="shared" si="246"/>
        <v/>
      </c>
      <c r="AM567" s="52" t="str">
        <f t="shared" si="247"/>
        <v/>
      </c>
      <c r="AN567" s="52" t="str">
        <f t="shared" si="248"/>
        <v/>
      </c>
      <c r="AO567" s="52" t="str">
        <f t="shared" si="249"/>
        <v/>
      </c>
      <c r="AP567" s="52" t="str">
        <f t="shared" si="250"/>
        <v/>
      </c>
      <c r="AQ567" s="52" t="str">
        <f t="shared" si="251"/>
        <v/>
      </c>
      <c r="AR567" s="52" t="str">
        <f t="shared" si="252"/>
        <v/>
      </c>
      <c r="AS567" s="52" t="str">
        <f t="shared" si="253"/>
        <v/>
      </c>
      <c r="AT567" s="52" t="str">
        <f t="shared" si="254"/>
        <v/>
      </c>
      <c r="AU567" s="52" t="str">
        <f t="shared" si="255"/>
        <v/>
      </c>
      <c r="AV567" s="52" t="str">
        <f t="shared" si="256"/>
        <v/>
      </c>
      <c r="AW567" s="52" t="str">
        <f t="shared" si="257"/>
        <v/>
      </c>
      <c r="AX567" s="52" t="str">
        <f t="shared" si="258"/>
        <v/>
      </c>
      <c r="AY567" s="52" t="str">
        <f t="shared" si="237"/>
        <v/>
      </c>
    </row>
    <row r="568" spans="4:51">
      <c r="D568" s="23"/>
      <c r="E568" s="23"/>
      <c r="F568" s="23"/>
      <c r="G568" s="23"/>
      <c r="H568" s="23"/>
      <c r="I568" s="3"/>
      <c r="J568" s="3"/>
      <c r="K568" s="3"/>
      <c r="L568" s="2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26"/>
      <c r="Y568" s="1"/>
      <c r="Z568" s="12">
        <f t="shared" si="233"/>
        <v>0</v>
      </c>
      <c r="AA568" s="14">
        <f t="shared" si="234"/>
        <v>0</v>
      </c>
      <c r="AB568" s="6">
        <f t="shared" si="238"/>
        <v>0</v>
      </c>
      <c r="AC568" s="6">
        <f t="shared" si="239"/>
        <v>0</v>
      </c>
      <c r="AD568" s="6">
        <f t="shared" si="240"/>
        <v>0</v>
      </c>
      <c r="AE568" s="52" t="str">
        <f t="shared" si="241"/>
        <v/>
      </c>
      <c r="AF568" s="52" t="str">
        <f t="shared" si="242"/>
        <v/>
      </c>
      <c r="AG568" s="50" t="str">
        <f t="shared" si="235"/>
        <v/>
      </c>
      <c r="AH568" s="50" t="str">
        <f t="shared" si="236"/>
        <v/>
      </c>
      <c r="AI568" s="52" t="str">
        <f t="shared" si="243"/>
        <v/>
      </c>
      <c r="AJ568" s="52" t="str">
        <f t="shared" si="244"/>
        <v/>
      </c>
      <c r="AK568" s="52" t="str">
        <f t="shared" si="245"/>
        <v/>
      </c>
      <c r="AL568" s="52" t="str">
        <f t="shared" si="246"/>
        <v/>
      </c>
      <c r="AM568" s="52" t="str">
        <f t="shared" si="247"/>
        <v/>
      </c>
      <c r="AN568" s="52" t="str">
        <f t="shared" si="248"/>
        <v/>
      </c>
      <c r="AO568" s="52" t="str">
        <f t="shared" si="249"/>
        <v/>
      </c>
      <c r="AP568" s="52" t="str">
        <f t="shared" si="250"/>
        <v/>
      </c>
      <c r="AQ568" s="52" t="str">
        <f t="shared" si="251"/>
        <v/>
      </c>
      <c r="AR568" s="52" t="str">
        <f t="shared" si="252"/>
        <v/>
      </c>
      <c r="AS568" s="52" t="str">
        <f t="shared" si="253"/>
        <v/>
      </c>
      <c r="AT568" s="52" t="str">
        <f t="shared" si="254"/>
        <v/>
      </c>
      <c r="AU568" s="52" t="str">
        <f t="shared" si="255"/>
        <v/>
      </c>
      <c r="AV568" s="52" t="str">
        <f t="shared" si="256"/>
        <v/>
      </c>
      <c r="AW568" s="52" t="str">
        <f t="shared" si="257"/>
        <v/>
      </c>
      <c r="AX568" s="52" t="str">
        <f t="shared" si="258"/>
        <v/>
      </c>
      <c r="AY568" s="52" t="str">
        <f t="shared" si="237"/>
        <v/>
      </c>
    </row>
    <row r="569" spans="4:51">
      <c r="D569" s="23"/>
      <c r="E569" s="23"/>
      <c r="F569" s="23"/>
      <c r="G569" s="23"/>
      <c r="H569" s="23"/>
      <c r="I569" s="3"/>
      <c r="J569" s="3"/>
      <c r="K569" s="3"/>
      <c r="L569" s="2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26"/>
      <c r="Y569" s="1"/>
      <c r="Z569" s="12">
        <f t="shared" si="233"/>
        <v>0</v>
      </c>
      <c r="AA569" s="14">
        <f t="shared" si="234"/>
        <v>0</v>
      </c>
      <c r="AB569" s="6">
        <f t="shared" si="238"/>
        <v>0</v>
      </c>
      <c r="AC569" s="6">
        <f t="shared" si="239"/>
        <v>0</v>
      </c>
      <c r="AD569" s="6">
        <f t="shared" si="240"/>
        <v>0</v>
      </c>
      <c r="AE569" s="52" t="str">
        <f t="shared" si="241"/>
        <v/>
      </c>
      <c r="AF569" s="52" t="str">
        <f t="shared" si="242"/>
        <v/>
      </c>
      <c r="AG569" s="50" t="str">
        <f t="shared" si="235"/>
        <v/>
      </c>
      <c r="AH569" s="50" t="str">
        <f t="shared" si="236"/>
        <v/>
      </c>
      <c r="AI569" s="52" t="str">
        <f t="shared" si="243"/>
        <v/>
      </c>
      <c r="AJ569" s="52" t="str">
        <f t="shared" si="244"/>
        <v/>
      </c>
      <c r="AK569" s="52" t="str">
        <f t="shared" si="245"/>
        <v/>
      </c>
      <c r="AL569" s="52" t="str">
        <f t="shared" si="246"/>
        <v/>
      </c>
      <c r="AM569" s="52" t="str">
        <f t="shared" si="247"/>
        <v/>
      </c>
      <c r="AN569" s="52" t="str">
        <f t="shared" si="248"/>
        <v/>
      </c>
      <c r="AO569" s="52" t="str">
        <f t="shared" si="249"/>
        <v/>
      </c>
      <c r="AP569" s="52" t="str">
        <f t="shared" si="250"/>
        <v/>
      </c>
      <c r="AQ569" s="52" t="str">
        <f t="shared" si="251"/>
        <v/>
      </c>
      <c r="AR569" s="52" t="str">
        <f t="shared" si="252"/>
        <v/>
      </c>
      <c r="AS569" s="52" t="str">
        <f t="shared" si="253"/>
        <v/>
      </c>
      <c r="AT569" s="52" t="str">
        <f t="shared" si="254"/>
        <v/>
      </c>
      <c r="AU569" s="52" t="str">
        <f t="shared" si="255"/>
        <v/>
      </c>
      <c r="AV569" s="52" t="str">
        <f t="shared" si="256"/>
        <v/>
      </c>
      <c r="AW569" s="52" t="str">
        <f t="shared" si="257"/>
        <v/>
      </c>
      <c r="AX569" s="52" t="str">
        <f t="shared" si="258"/>
        <v/>
      </c>
      <c r="AY569" s="52" t="str">
        <f t="shared" si="237"/>
        <v/>
      </c>
    </row>
    <row r="570" spans="4:51">
      <c r="D570" s="23"/>
      <c r="E570" s="23"/>
      <c r="F570" s="23"/>
      <c r="G570" s="23"/>
      <c r="H570" s="23"/>
      <c r="I570" s="3"/>
      <c r="J570" s="3"/>
      <c r="K570" s="3"/>
      <c r="L570" s="2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26"/>
      <c r="Y570" s="1"/>
      <c r="Z570" s="12">
        <f t="shared" si="233"/>
        <v>0</v>
      </c>
      <c r="AA570" s="14">
        <f t="shared" si="234"/>
        <v>0</v>
      </c>
      <c r="AB570" s="6">
        <f t="shared" si="238"/>
        <v>0</v>
      </c>
      <c r="AC570" s="6">
        <f t="shared" si="239"/>
        <v>0</v>
      </c>
      <c r="AD570" s="6">
        <f t="shared" si="240"/>
        <v>0</v>
      </c>
      <c r="AE570" s="52" t="str">
        <f t="shared" si="241"/>
        <v/>
      </c>
      <c r="AF570" s="52" t="str">
        <f t="shared" si="242"/>
        <v/>
      </c>
      <c r="AG570" s="50" t="str">
        <f t="shared" si="235"/>
        <v/>
      </c>
      <c r="AH570" s="50" t="str">
        <f t="shared" si="236"/>
        <v/>
      </c>
      <c r="AI570" s="52" t="str">
        <f t="shared" si="243"/>
        <v/>
      </c>
      <c r="AJ570" s="52" t="str">
        <f t="shared" si="244"/>
        <v/>
      </c>
      <c r="AK570" s="52" t="str">
        <f t="shared" si="245"/>
        <v/>
      </c>
      <c r="AL570" s="52" t="str">
        <f t="shared" si="246"/>
        <v/>
      </c>
      <c r="AM570" s="52" t="str">
        <f t="shared" si="247"/>
        <v/>
      </c>
      <c r="AN570" s="52" t="str">
        <f t="shared" si="248"/>
        <v/>
      </c>
      <c r="AO570" s="52" t="str">
        <f t="shared" si="249"/>
        <v/>
      </c>
      <c r="AP570" s="52" t="str">
        <f t="shared" si="250"/>
        <v/>
      </c>
      <c r="AQ570" s="52" t="str">
        <f t="shared" si="251"/>
        <v/>
      </c>
      <c r="AR570" s="52" t="str">
        <f t="shared" si="252"/>
        <v/>
      </c>
      <c r="AS570" s="52" t="str">
        <f t="shared" si="253"/>
        <v/>
      </c>
      <c r="AT570" s="52" t="str">
        <f t="shared" si="254"/>
        <v/>
      </c>
      <c r="AU570" s="52" t="str">
        <f t="shared" si="255"/>
        <v/>
      </c>
      <c r="AV570" s="52" t="str">
        <f t="shared" si="256"/>
        <v/>
      </c>
      <c r="AW570" s="52" t="str">
        <f t="shared" si="257"/>
        <v/>
      </c>
      <c r="AX570" s="52" t="str">
        <f t="shared" si="258"/>
        <v/>
      </c>
      <c r="AY570" s="52" t="str">
        <f t="shared" si="237"/>
        <v/>
      </c>
    </row>
    <row r="571" spans="4:51">
      <c r="D571" s="23"/>
      <c r="E571" s="23"/>
      <c r="F571" s="23"/>
      <c r="G571" s="23"/>
      <c r="H571" s="23"/>
      <c r="I571" s="3"/>
      <c r="J571" s="3"/>
      <c r="K571" s="3"/>
      <c r="L571" s="2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26"/>
      <c r="Y571" s="1"/>
      <c r="Z571" s="12">
        <f t="shared" si="233"/>
        <v>0</v>
      </c>
      <c r="AA571" s="14">
        <f t="shared" si="234"/>
        <v>0</v>
      </c>
      <c r="AB571" s="6">
        <f t="shared" si="238"/>
        <v>0</v>
      </c>
      <c r="AC571" s="6">
        <f t="shared" si="239"/>
        <v>0</v>
      </c>
      <c r="AD571" s="6">
        <f t="shared" si="240"/>
        <v>0</v>
      </c>
      <c r="AE571" s="52" t="str">
        <f t="shared" si="241"/>
        <v/>
      </c>
      <c r="AF571" s="52" t="str">
        <f t="shared" si="242"/>
        <v/>
      </c>
      <c r="AG571" s="50" t="str">
        <f t="shared" si="235"/>
        <v/>
      </c>
      <c r="AH571" s="50" t="str">
        <f t="shared" si="236"/>
        <v/>
      </c>
      <c r="AI571" s="52" t="str">
        <f t="shared" si="243"/>
        <v/>
      </c>
      <c r="AJ571" s="52" t="str">
        <f t="shared" si="244"/>
        <v/>
      </c>
      <c r="AK571" s="52" t="str">
        <f t="shared" si="245"/>
        <v/>
      </c>
      <c r="AL571" s="52" t="str">
        <f t="shared" si="246"/>
        <v/>
      </c>
      <c r="AM571" s="52" t="str">
        <f t="shared" si="247"/>
        <v/>
      </c>
      <c r="AN571" s="52" t="str">
        <f t="shared" si="248"/>
        <v/>
      </c>
      <c r="AO571" s="52" t="str">
        <f t="shared" si="249"/>
        <v/>
      </c>
      <c r="AP571" s="52" t="str">
        <f t="shared" si="250"/>
        <v/>
      </c>
      <c r="AQ571" s="52" t="str">
        <f t="shared" si="251"/>
        <v/>
      </c>
      <c r="AR571" s="52" t="str">
        <f t="shared" si="252"/>
        <v/>
      </c>
      <c r="AS571" s="52" t="str">
        <f t="shared" si="253"/>
        <v/>
      </c>
      <c r="AT571" s="52" t="str">
        <f t="shared" si="254"/>
        <v/>
      </c>
      <c r="AU571" s="52" t="str">
        <f t="shared" si="255"/>
        <v/>
      </c>
      <c r="AV571" s="52" t="str">
        <f t="shared" si="256"/>
        <v/>
      </c>
      <c r="AW571" s="52" t="str">
        <f t="shared" si="257"/>
        <v/>
      </c>
      <c r="AX571" s="52" t="str">
        <f t="shared" si="258"/>
        <v/>
      </c>
      <c r="AY571" s="52" t="str">
        <f t="shared" si="237"/>
        <v/>
      </c>
    </row>
    <row r="572" spans="4:51">
      <c r="D572" s="23"/>
      <c r="E572" s="23"/>
      <c r="F572" s="23"/>
      <c r="G572" s="23"/>
      <c r="H572" s="23"/>
      <c r="I572" s="3"/>
      <c r="J572" s="3"/>
      <c r="K572" s="3"/>
      <c r="L572" s="2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26"/>
      <c r="Y572" s="1"/>
      <c r="Z572" s="12">
        <f t="shared" si="233"/>
        <v>0</v>
      </c>
      <c r="AA572" s="14">
        <f t="shared" si="234"/>
        <v>0</v>
      </c>
      <c r="AB572" s="6">
        <f t="shared" si="238"/>
        <v>0</v>
      </c>
      <c r="AC572" s="6">
        <f t="shared" si="239"/>
        <v>0</v>
      </c>
      <c r="AD572" s="6">
        <f t="shared" si="240"/>
        <v>0</v>
      </c>
      <c r="AE572" s="52" t="str">
        <f t="shared" si="241"/>
        <v/>
      </c>
      <c r="AF572" s="52" t="str">
        <f t="shared" si="242"/>
        <v/>
      </c>
      <c r="AG572" s="50" t="str">
        <f t="shared" si="235"/>
        <v/>
      </c>
      <c r="AH572" s="50" t="str">
        <f t="shared" si="236"/>
        <v/>
      </c>
      <c r="AI572" s="52" t="str">
        <f t="shared" si="243"/>
        <v/>
      </c>
      <c r="AJ572" s="52" t="str">
        <f t="shared" si="244"/>
        <v/>
      </c>
      <c r="AK572" s="52" t="str">
        <f t="shared" si="245"/>
        <v/>
      </c>
      <c r="AL572" s="52" t="str">
        <f t="shared" si="246"/>
        <v/>
      </c>
      <c r="AM572" s="52" t="str">
        <f t="shared" si="247"/>
        <v/>
      </c>
      <c r="AN572" s="52" t="str">
        <f t="shared" si="248"/>
        <v/>
      </c>
      <c r="AO572" s="52" t="str">
        <f t="shared" si="249"/>
        <v/>
      </c>
      <c r="AP572" s="52" t="str">
        <f t="shared" si="250"/>
        <v/>
      </c>
      <c r="AQ572" s="52" t="str">
        <f t="shared" si="251"/>
        <v/>
      </c>
      <c r="AR572" s="52" t="str">
        <f t="shared" si="252"/>
        <v/>
      </c>
      <c r="AS572" s="52" t="str">
        <f t="shared" si="253"/>
        <v/>
      </c>
      <c r="AT572" s="52" t="str">
        <f t="shared" si="254"/>
        <v/>
      </c>
      <c r="AU572" s="52" t="str">
        <f t="shared" si="255"/>
        <v/>
      </c>
      <c r="AV572" s="52" t="str">
        <f t="shared" si="256"/>
        <v/>
      </c>
      <c r="AW572" s="52" t="str">
        <f t="shared" si="257"/>
        <v/>
      </c>
      <c r="AX572" s="52" t="str">
        <f t="shared" si="258"/>
        <v/>
      </c>
      <c r="AY572" s="52" t="str">
        <f t="shared" si="237"/>
        <v/>
      </c>
    </row>
    <row r="573" spans="4:51">
      <c r="D573" s="23"/>
      <c r="E573" s="23"/>
      <c r="F573" s="23"/>
      <c r="G573" s="23"/>
      <c r="H573" s="23"/>
      <c r="I573" s="3"/>
      <c r="J573" s="3"/>
      <c r="K573" s="3"/>
      <c r="L573" s="2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26"/>
      <c r="Y573" s="1"/>
      <c r="Z573" s="12">
        <f t="shared" si="233"/>
        <v>0</v>
      </c>
      <c r="AA573" s="14">
        <f t="shared" si="234"/>
        <v>0</v>
      </c>
      <c r="AB573" s="6">
        <f t="shared" si="238"/>
        <v>0</v>
      </c>
      <c r="AC573" s="6">
        <f t="shared" si="239"/>
        <v>0</v>
      </c>
      <c r="AD573" s="6">
        <f t="shared" si="240"/>
        <v>0</v>
      </c>
      <c r="AE573" s="52" t="str">
        <f t="shared" si="241"/>
        <v/>
      </c>
      <c r="AF573" s="52" t="str">
        <f t="shared" si="242"/>
        <v/>
      </c>
      <c r="AG573" s="50" t="str">
        <f t="shared" si="235"/>
        <v/>
      </c>
      <c r="AH573" s="50" t="str">
        <f t="shared" si="236"/>
        <v/>
      </c>
      <c r="AI573" s="52" t="str">
        <f t="shared" si="243"/>
        <v/>
      </c>
      <c r="AJ573" s="52" t="str">
        <f t="shared" si="244"/>
        <v/>
      </c>
      <c r="AK573" s="52" t="str">
        <f t="shared" si="245"/>
        <v/>
      </c>
      <c r="AL573" s="52" t="str">
        <f t="shared" si="246"/>
        <v/>
      </c>
      <c r="AM573" s="52" t="str">
        <f t="shared" si="247"/>
        <v/>
      </c>
      <c r="AN573" s="52" t="str">
        <f t="shared" si="248"/>
        <v/>
      </c>
      <c r="AO573" s="52" t="str">
        <f t="shared" si="249"/>
        <v/>
      </c>
      <c r="AP573" s="52" t="str">
        <f t="shared" si="250"/>
        <v/>
      </c>
      <c r="AQ573" s="52" t="str">
        <f t="shared" si="251"/>
        <v/>
      </c>
      <c r="AR573" s="52" t="str">
        <f t="shared" si="252"/>
        <v/>
      </c>
      <c r="AS573" s="52" t="str">
        <f t="shared" si="253"/>
        <v/>
      </c>
      <c r="AT573" s="52" t="str">
        <f t="shared" si="254"/>
        <v/>
      </c>
      <c r="AU573" s="52" t="str">
        <f t="shared" si="255"/>
        <v/>
      </c>
      <c r="AV573" s="52" t="str">
        <f t="shared" si="256"/>
        <v/>
      </c>
      <c r="AW573" s="52" t="str">
        <f t="shared" si="257"/>
        <v/>
      </c>
      <c r="AX573" s="52" t="str">
        <f t="shared" si="258"/>
        <v/>
      </c>
      <c r="AY573" s="52" t="str">
        <f t="shared" si="237"/>
        <v/>
      </c>
    </row>
    <row r="574" spans="4:51">
      <c r="D574" s="23"/>
      <c r="E574" s="23"/>
      <c r="F574" s="23"/>
      <c r="G574" s="23"/>
      <c r="H574" s="23"/>
      <c r="I574" s="3"/>
      <c r="J574" s="3"/>
      <c r="K574" s="3"/>
      <c r="L574" s="2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26"/>
      <c r="Y574" s="1"/>
      <c r="Z574" s="12">
        <f t="shared" si="233"/>
        <v>0</v>
      </c>
      <c r="AA574" s="14">
        <f t="shared" si="234"/>
        <v>0</v>
      </c>
      <c r="AB574" s="6">
        <f t="shared" si="238"/>
        <v>0</v>
      </c>
      <c r="AC574" s="6">
        <f t="shared" si="239"/>
        <v>0</v>
      </c>
      <c r="AD574" s="6">
        <f t="shared" si="240"/>
        <v>0</v>
      </c>
      <c r="AE574" s="52" t="str">
        <f t="shared" si="241"/>
        <v/>
      </c>
      <c r="AF574" s="52" t="str">
        <f t="shared" si="242"/>
        <v/>
      </c>
      <c r="AG574" s="50" t="str">
        <f t="shared" si="235"/>
        <v/>
      </c>
      <c r="AH574" s="50" t="str">
        <f t="shared" si="236"/>
        <v/>
      </c>
      <c r="AI574" s="52" t="str">
        <f t="shared" si="243"/>
        <v/>
      </c>
      <c r="AJ574" s="52" t="str">
        <f t="shared" si="244"/>
        <v/>
      </c>
      <c r="AK574" s="52" t="str">
        <f t="shared" si="245"/>
        <v/>
      </c>
      <c r="AL574" s="52" t="str">
        <f t="shared" si="246"/>
        <v/>
      </c>
      <c r="AM574" s="52" t="str">
        <f t="shared" si="247"/>
        <v/>
      </c>
      <c r="AN574" s="52" t="str">
        <f t="shared" si="248"/>
        <v/>
      </c>
      <c r="AO574" s="52" t="str">
        <f t="shared" si="249"/>
        <v/>
      </c>
      <c r="AP574" s="52" t="str">
        <f t="shared" si="250"/>
        <v/>
      </c>
      <c r="AQ574" s="52" t="str">
        <f t="shared" si="251"/>
        <v/>
      </c>
      <c r="AR574" s="52" t="str">
        <f t="shared" si="252"/>
        <v/>
      </c>
      <c r="AS574" s="52" t="str">
        <f t="shared" si="253"/>
        <v/>
      </c>
      <c r="AT574" s="52" t="str">
        <f t="shared" si="254"/>
        <v/>
      </c>
      <c r="AU574" s="52" t="str">
        <f t="shared" si="255"/>
        <v/>
      </c>
      <c r="AV574" s="52" t="str">
        <f t="shared" si="256"/>
        <v/>
      </c>
      <c r="AW574" s="52" t="str">
        <f t="shared" si="257"/>
        <v/>
      </c>
      <c r="AX574" s="52" t="str">
        <f t="shared" si="258"/>
        <v/>
      </c>
      <c r="AY574" s="52" t="str">
        <f t="shared" si="237"/>
        <v/>
      </c>
    </row>
    <row r="575" spans="4:51">
      <c r="D575" s="23"/>
      <c r="E575" s="23"/>
      <c r="F575" s="23"/>
      <c r="G575" s="23"/>
      <c r="H575" s="23"/>
      <c r="I575" s="3"/>
      <c r="J575" s="3"/>
      <c r="K575" s="3"/>
      <c r="L575" s="2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26"/>
      <c r="Y575" s="1"/>
      <c r="Z575" s="12">
        <f t="shared" ref="Z575:Z597" si="259">COUNTA(D575:W575)-Y575</f>
        <v>0</v>
      </c>
      <c r="AA575" s="14">
        <f t="shared" ref="AA575:AA597" si="260">IF(X575&lt;&gt;"",0.0001,IF(Y575+Z575=0,0,IF(Y575=0,70+(Z575*50),IF(Y575&gt;0,80+(Z575*50)))))</f>
        <v>0</v>
      </c>
      <c r="AB575" s="6">
        <f t="shared" si="238"/>
        <v>0</v>
      </c>
      <c r="AC575" s="6">
        <f t="shared" si="239"/>
        <v>0</v>
      </c>
      <c r="AD575" s="6">
        <f t="shared" si="240"/>
        <v>0</v>
      </c>
      <c r="AE575" s="52" t="str">
        <f t="shared" si="241"/>
        <v/>
      </c>
      <c r="AF575" s="52" t="str">
        <f t="shared" si="242"/>
        <v/>
      </c>
      <c r="AG575" s="50" t="str">
        <f t="shared" ref="AG575:AG597" si="261">IF(AND(B575="Feminino",C575&gt;=$BM$1,C575&lt;=$BM$2),$BM$3,IF(AND(B575="Masculino",C575&gt;=$BM$1,C575&lt;=$BM$2),$BN$3,""))</f>
        <v/>
      </c>
      <c r="AH575" s="50" t="str">
        <f t="shared" ref="AH575:AH597" si="262">IF(C575="","",IF(AND(C575&gt;=$BO$1,C575&lt;=$BO$2),$BO$3,IF(C575&lt;=$BP$2,$BP$3,"")))</f>
        <v/>
      </c>
      <c r="AI575" s="52" t="str">
        <f t="shared" si="243"/>
        <v/>
      </c>
      <c r="AJ575" s="52" t="str">
        <f t="shared" si="244"/>
        <v/>
      </c>
      <c r="AK575" s="52" t="str">
        <f t="shared" si="245"/>
        <v/>
      </c>
      <c r="AL575" s="52" t="str">
        <f t="shared" si="246"/>
        <v/>
      </c>
      <c r="AM575" s="52" t="str">
        <f t="shared" si="247"/>
        <v/>
      </c>
      <c r="AN575" s="52" t="str">
        <f t="shared" si="248"/>
        <v/>
      </c>
      <c r="AO575" s="52" t="str">
        <f t="shared" si="249"/>
        <v/>
      </c>
      <c r="AP575" s="52" t="str">
        <f t="shared" si="250"/>
        <v/>
      </c>
      <c r="AQ575" s="52" t="str">
        <f t="shared" si="251"/>
        <v/>
      </c>
      <c r="AR575" s="52" t="str">
        <f t="shared" si="252"/>
        <v/>
      </c>
      <c r="AS575" s="52" t="str">
        <f t="shared" si="253"/>
        <v/>
      </c>
      <c r="AT575" s="52" t="str">
        <f t="shared" si="254"/>
        <v/>
      </c>
      <c r="AU575" s="52" t="str">
        <f t="shared" si="255"/>
        <v/>
      </c>
      <c r="AV575" s="52" t="str">
        <f t="shared" si="256"/>
        <v/>
      </c>
      <c r="AW575" s="52" t="str">
        <f t="shared" si="257"/>
        <v/>
      </c>
      <c r="AX575" s="52" t="str">
        <f t="shared" si="258"/>
        <v/>
      </c>
      <c r="AY575" s="52" t="str">
        <f t="shared" ref="AY575:AY597" si="263">IF(C575="","",IF(AND(D575="",E575="",F575="",G575="",H575="",I575="",J575="",K575=""),"ADAPTADO",""))</f>
        <v/>
      </c>
    </row>
    <row r="576" spans="4:51">
      <c r="D576" s="23"/>
      <c r="E576" s="23"/>
      <c r="F576" s="23"/>
      <c r="G576" s="23"/>
      <c r="H576" s="23"/>
      <c r="I576" s="3"/>
      <c r="J576" s="3"/>
      <c r="K576" s="3"/>
      <c r="L576" s="2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26"/>
      <c r="Y576" s="1"/>
      <c r="Z576" s="12">
        <f t="shared" si="259"/>
        <v>0</v>
      </c>
      <c r="AA576" s="14">
        <f t="shared" si="260"/>
        <v>0</v>
      </c>
      <c r="AB576" s="6">
        <f t="shared" si="238"/>
        <v>0</v>
      </c>
      <c r="AC576" s="6">
        <f t="shared" si="239"/>
        <v>0</v>
      </c>
      <c r="AD576" s="6">
        <f t="shared" si="240"/>
        <v>0</v>
      </c>
      <c r="AE576" s="52" t="str">
        <f t="shared" si="241"/>
        <v/>
      </c>
      <c r="AF576" s="52" t="str">
        <f t="shared" si="242"/>
        <v/>
      </c>
      <c r="AG576" s="50" t="str">
        <f t="shared" si="261"/>
        <v/>
      </c>
      <c r="AH576" s="50" t="str">
        <f t="shared" si="262"/>
        <v/>
      </c>
      <c r="AI576" s="52" t="str">
        <f t="shared" si="243"/>
        <v/>
      </c>
      <c r="AJ576" s="52" t="str">
        <f t="shared" si="244"/>
        <v/>
      </c>
      <c r="AK576" s="52" t="str">
        <f t="shared" si="245"/>
        <v/>
      </c>
      <c r="AL576" s="52" t="str">
        <f t="shared" si="246"/>
        <v/>
      </c>
      <c r="AM576" s="52" t="str">
        <f t="shared" si="247"/>
        <v/>
      </c>
      <c r="AN576" s="52" t="str">
        <f t="shared" si="248"/>
        <v/>
      </c>
      <c r="AO576" s="52" t="str">
        <f t="shared" si="249"/>
        <v/>
      </c>
      <c r="AP576" s="52" t="str">
        <f t="shared" si="250"/>
        <v/>
      </c>
      <c r="AQ576" s="52" t="str">
        <f t="shared" si="251"/>
        <v/>
      </c>
      <c r="AR576" s="52" t="str">
        <f t="shared" si="252"/>
        <v/>
      </c>
      <c r="AS576" s="52" t="str">
        <f t="shared" si="253"/>
        <v/>
      </c>
      <c r="AT576" s="52" t="str">
        <f t="shared" si="254"/>
        <v/>
      </c>
      <c r="AU576" s="52" t="str">
        <f t="shared" si="255"/>
        <v/>
      </c>
      <c r="AV576" s="52" t="str">
        <f t="shared" si="256"/>
        <v/>
      </c>
      <c r="AW576" s="52" t="str">
        <f t="shared" si="257"/>
        <v/>
      </c>
      <c r="AX576" s="52" t="str">
        <f t="shared" si="258"/>
        <v/>
      </c>
      <c r="AY576" s="52" t="str">
        <f t="shared" si="263"/>
        <v/>
      </c>
    </row>
    <row r="577" spans="4:51">
      <c r="D577" s="23"/>
      <c r="E577" s="23"/>
      <c r="F577" s="23"/>
      <c r="G577" s="23"/>
      <c r="H577" s="23"/>
      <c r="I577" s="3"/>
      <c r="J577" s="3"/>
      <c r="K577" s="3"/>
      <c r="L577" s="2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26"/>
      <c r="Y577" s="1"/>
      <c r="Z577" s="12">
        <f t="shared" si="259"/>
        <v>0</v>
      </c>
      <c r="AA577" s="14">
        <f t="shared" si="260"/>
        <v>0</v>
      </c>
      <c r="AB577" s="6">
        <f t="shared" si="238"/>
        <v>0</v>
      </c>
      <c r="AC577" s="6">
        <f t="shared" si="239"/>
        <v>0</v>
      </c>
      <c r="AD577" s="6">
        <f t="shared" si="240"/>
        <v>0</v>
      </c>
      <c r="AE577" s="52" t="str">
        <f t="shared" si="241"/>
        <v/>
      </c>
      <c r="AF577" s="52" t="str">
        <f t="shared" si="242"/>
        <v/>
      </c>
      <c r="AG577" s="50" t="str">
        <f t="shared" si="261"/>
        <v/>
      </c>
      <c r="AH577" s="50" t="str">
        <f t="shared" si="262"/>
        <v/>
      </c>
      <c r="AI577" s="52" t="str">
        <f t="shared" si="243"/>
        <v/>
      </c>
      <c r="AJ577" s="52" t="str">
        <f t="shared" si="244"/>
        <v/>
      </c>
      <c r="AK577" s="52" t="str">
        <f t="shared" si="245"/>
        <v/>
      </c>
      <c r="AL577" s="52" t="str">
        <f t="shared" si="246"/>
        <v/>
      </c>
      <c r="AM577" s="52" t="str">
        <f t="shared" si="247"/>
        <v/>
      </c>
      <c r="AN577" s="52" t="str">
        <f t="shared" si="248"/>
        <v/>
      </c>
      <c r="AO577" s="52" t="str">
        <f t="shared" si="249"/>
        <v/>
      </c>
      <c r="AP577" s="52" t="str">
        <f t="shared" si="250"/>
        <v/>
      </c>
      <c r="AQ577" s="52" t="str">
        <f t="shared" si="251"/>
        <v/>
      </c>
      <c r="AR577" s="52" t="str">
        <f t="shared" si="252"/>
        <v/>
      </c>
      <c r="AS577" s="52" t="str">
        <f t="shared" si="253"/>
        <v/>
      </c>
      <c r="AT577" s="52" t="str">
        <f t="shared" si="254"/>
        <v/>
      </c>
      <c r="AU577" s="52" t="str">
        <f t="shared" si="255"/>
        <v/>
      </c>
      <c r="AV577" s="52" t="str">
        <f t="shared" si="256"/>
        <v/>
      </c>
      <c r="AW577" s="52" t="str">
        <f t="shared" si="257"/>
        <v/>
      </c>
      <c r="AX577" s="52" t="str">
        <f t="shared" si="258"/>
        <v/>
      </c>
      <c r="AY577" s="52" t="str">
        <f t="shared" si="263"/>
        <v/>
      </c>
    </row>
    <row r="578" spans="4:51">
      <c r="D578" s="23"/>
      <c r="E578" s="23"/>
      <c r="F578" s="23"/>
      <c r="G578" s="23"/>
      <c r="H578" s="23"/>
      <c r="I578" s="3"/>
      <c r="J578" s="3"/>
      <c r="K578" s="3"/>
      <c r="L578" s="2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26"/>
      <c r="Y578" s="1"/>
      <c r="Z578" s="12">
        <f t="shared" si="259"/>
        <v>0</v>
      </c>
      <c r="AA578" s="14">
        <f t="shared" si="260"/>
        <v>0</v>
      </c>
      <c r="AB578" s="6">
        <f t="shared" si="238"/>
        <v>0</v>
      </c>
      <c r="AC578" s="6">
        <f t="shared" si="239"/>
        <v>0</v>
      </c>
      <c r="AD578" s="6">
        <f t="shared" si="240"/>
        <v>0</v>
      </c>
      <c r="AE578" s="52" t="str">
        <f t="shared" si="241"/>
        <v/>
      </c>
      <c r="AF578" s="52" t="str">
        <f t="shared" si="242"/>
        <v/>
      </c>
      <c r="AG578" s="50" t="str">
        <f t="shared" si="261"/>
        <v/>
      </c>
      <c r="AH578" s="50" t="str">
        <f t="shared" si="262"/>
        <v/>
      </c>
      <c r="AI578" s="52" t="str">
        <f t="shared" si="243"/>
        <v/>
      </c>
      <c r="AJ578" s="52" t="str">
        <f t="shared" si="244"/>
        <v/>
      </c>
      <c r="AK578" s="52" t="str">
        <f t="shared" si="245"/>
        <v/>
      </c>
      <c r="AL578" s="52" t="str">
        <f t="shared" si="246"/>
        <v/>
      </c>
      <c r="AM578" s="52" t="str">
        <f t="shared" si="247"/>
        <v/>
      </c>
      <c r="AN578" s="52" t="str">
        <f t="shared" si="248"/>
        <v/>
      </c>
      <c r="AO578" s="52" t="str">
        <f t="shared" si="249"/>
        <v/>
      </c>
      <c r="AP578" s="52" t="str">
        <f t="shared" si="250"/>
        <v/>
      </c>
      <c r="AQ578" s="52" t="str">
        <f t="shared" si="251"/>
        <v/>
      </c>
      <c r="AR578" s="52" t="str">
        <f t="shared" si="252"/>
        <v/>
      </c>
      <c r="AS578" s="52" t="str">
        <f t="shared" si="253"/>
        <v/>
      </c>
      <c r="AT578" s="52" t="str">
        <f t="shared" si="254"/>
        <v/>
      </c>
      <c r="AU578" s="52" t="str">
        <f t="shared" si="255"/>
        <v/>
      </c>
      <c r="AV578" s="52" t="str">
        <f t="shared" si="256"/>
        <v/>
      </c>
      <c r="AW578" s="52" t="str">
        <f t="shared" si="257"/>
        <v/>
      </c>
      <c r="AX578" s="52" t="str">
        <f t="shared" si="258"/>
        <v/>
      </c>
      <c r="AY578" s="52" t="str">
        <f t="shared" si="263"/>
        <v/>
      </c>
    </row>
    <row r="579" spans="4:51">
      <c r="D579" s="23"/>
      <c r="E579" s="23"/>
      <c r="F579" s="23"/>
      <c r="G579" s="23"/>
      <c r="H579" s="23"/>
      <c r="I579" s="3"/>
      <c r="J579" s="3"/>
      <c r="K579" s="3"/>
      <c r="L579" s="2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26"/>
      <c r="Y579" s="1"/>
      <c r="Z579" s="12">
        <f t="shared" si="259"/>
        <v>0</v>
      </c>
      <c r="AA579" s="14">
        <f t="shared" si="260"/>
        <v>0</v>
      </c>
      <c r="AB579" s="6">
        <f t="shared" si="238"/>
        <v>0</v>
      </c>
      <c r="AC579" s="6">
        <f t="shared" si="239"/>
        <v>0</v>
      </c>
      <c r="AD579" s="6">
        <f t="shared" si="240"/>
        <v>0</v>
      </c>
      <c r="AE579" s="52" t="str">
        <f t="shared" si="241"/>
        <v/>
      </c>
      <c r="AF579" s="52" t="str">
        <f t="shared" si="242"/>
        <v/>
      </c>
      <c r="AG579" s="50" t="str">
        <f t="shared" si="261"/>
        <v/>
      </c>
      <c r="AH579" s="50" t="str">
        <f t="shared" si="262"/>
        <v/>
      </c>
      <c r="AI579" s="52" t="str">
        <f t="shared" si="243"/>
        <v/>
      </c>
      <c r="AJ579" s="52" t="str">
        <f t="shared" si="244"/>
        <v/>
      </c>
      <c r="AK579" s="52" t="str">
        <f t="shared" si="245"/>
        <v/>
      </c>
      <c r="AL579" s="52" t="str">
        <f t="shared" si="246"/>
        <v/>
      </c>
      <c r="AM579" s="52" t="str">
        <f t="shared" si="247"/>
        <v/>
      </c>
      <c r="AN579" s="52" t="str">
        <f t="shared" si="248"/>
        <v/>
      </c>
      <c r="AO579" s="52" t="str">
        <f t="shared" si="249"/>
        <v/>
      </c>
      <c r="AP579" s="52" t="str">
        <f t="shared" si="250"/>
        <v/>
      </c>
      <c r="AQ579" s="52" t="str">
        <f t="shared" si="251"/>
        <v/>
      </c>
      <c r="AR579" s="52" t="str">
        <f t="shared" si="252"/>
        <v/>
      </c>
      <c r="AS579" s="52" t="str">
        <f t="shared" si="253"/>
        <v/>
      </c>
      <c r="AT579" s="52" t="str">
        <f t="shared" si="254"/>
        <v/>
      </c>
      <c r="AU579" s="52" t="str">
        <f t="shared" si="255"/>
        <v/>
      </c>
      <c r="AV579" s="52" t="str">
        <f t="shared" si="256"/>
        <v/>
      </c>
      <c r="AW579" s="52" t="str">
        <f t="shared" si="257"/>
        <v/>
      </c>
      <c r="AX579" s="52" t="str">
        <f t="shared" si="258"/>
        <v/>
      </c>
      <c r="AY579" s="52" t="str">
        <f t="shared" si="263"/>
        <v/>
      </c>
    </row>
    <row r="580" spans="4:51">
      <c r="D580" s="23"/>
      <c r="E580" s="23"/>
      <c r="F580" s="23"/>
      <c r="G580" s="23"/>
      <c r="H580" s="23"/>
      <c r="I580" s="3"/>
      <c r="J580" s="3"/>
      <c r="K580" s="3"/>
      <c r="L580" s="2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26"/>
      <c r="Y580" s="1"/>
      <c r="Z580" s="12">
        <f t="shared" si="259"/>
        <v>0</v>
      </c>
      <c r="AA580" s="14">
        <f t="shared" si="260"/>
        <v>0</v>
      </c>
      <c r="AB580" s="6">
        <f t="shared" si="238"/>
        <v>0</v>
      </c>
      <c r="AC580" s="6">
        <f t="shared" si="239"/>
        <v>0</v>
      </c>
      <c r="AD580" s="6">
        <f t="shared" si="240"/>
        <v>0</v>
      </c>
      <c r="AE580" s="52" t="str">
        <f t="shared" si="241"/>
        <v/>
      </c>
      <c r="AF580" s="52" t="str">
        <f t="shared" si="242"/>
        <v/>
      </c>
      <c r="AG580" s="50" t="str">
        <f t="shared" si="261"/>
        <v/>
      </c>
      <c r="AH580" s="50" t="str">
        <f t="shared" si="262"/>
        <v/>
      </c>
      <c r="AI580" s="52" t="str">
        <f t="shared" si="243"/>
        <v/>
      </c>
      <c r="AJ580" s="52" t="str">
        <f t="shared" si="244"/>
        <v/>
      </c>
      <c r="AK580" s="52" t="str">
        <f t="shared" si="245"/>
        <v/>
      </c>
      <c r="AL580" s="52" t="str">
        <f t="shared" si="246"/>
        <v/>
      </c>
      <c r="AM580" s="52" t="str">
        <f t="shared" si="247"/>
        <v/>
      </c>
      <c r="AN580" s="52" t="str">
        <f t="shared" si="248"/>
        <v/>
      </c>
      <c r="AO580" s="52" t="str">
        <f t="shared" si="249"/>
        <v/>
      </c>
      <c r="AP580" s="52" t="str">
        <f t="shared" si="250"/>
        <v/>
      </c>
      <c r="AQ580" s="52" t="str">
        <f t="shared" si="251"/>
        <v/>
      </c>
      <c r="AR580" s="52" t="str">
        <f t="shared" si="252"/>
        <v/>
      </c>
      <c r="AS580" s="52" t="str">
        <f t="shared" si="253"/>
        <v/>
      </c>
      <c r="AT580" s="52" t="str">
        <f t="shared" si="254"/>
        <v/>
      </c>
      <c r="AU580" s="52" t="str">
        <f t="shared" si="255"/>
        <v/>
      </c>
      <c r="AV580" s="52" t="str">
        <f t="shared" si="256"/>
        <v/>
      </c>
      <c r="AW580" s="52" t="str">
        <f t="shared" si="257"/>
        <v/>
      </c>
      <c r="AX580" s="52" t="str">
        <f t="shared" si="258"/>
        <v/>
      </c>
      <c r="AY580" s="52" t="str">
        <f t="shared" si="263"/>
        <v/>
      </c>
    </row>
    <row r="581" spans="4:51">
      <c r="D581" s="23"/>
      <c r="E581" s="23"/>
      <c r="F581" s="23"/>
      <c r="G581" s="23"/>
      <c r="H581" s="23"/>
      <c r="I581" s="3"/>
      <c r="J581" s="3"/>
      <c r="K581" s="3"/>
      <c r="L581" s="2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26"/>
      <c r="Y581" s="1"/>
      <c r="Z581" s="12">
        <f t="shared" si="259"/>
        <v>0</v>
      </c>
      <c r="AA581" s="14">
        <f t="shared" si="260"/>
        <v>0</v>
      </c>
      <c r="AB581" s="6">
        <f t="shared" si="238"/>
        <v>0</v>
      </c>
      <c r="AC581" s="6">
        <f t="shared" si="239"/>
        <v>0</v>
      </c>
      <c r="AD581" s="6">
        <f t="shared" si="240"/>
        <v>0</v>
      </c>
      <c r="AE581" s="52" t="str">
        <f t="shared" si="241"/>
        <v/>
      </c>
      <c r="AF581" s="52" t="str">
        <f t="shared" si="242"/>
        <v/>
      </c>
      <c r="AG581" s="50" t="str">
        <f t="shared" si="261"/>
        <v/>
      </c>
      <c r="AH581" s="50" t="str">
        <f t="shared" si="262"/>
        <v/>
      </c>
      <c r="AI581" s="52" t="str">
        <f t="shared" si="243"/>
        <v/>
      </c>
      <c r="AJ581" s="52" t="str">
        <f t="shared" si="244"/>
        <v/>
      </c>
      <c r="AK581" s="52" t="str">
        <f t="shared" si="245"/>
        <v/>
      </c>
      <c r="AL581" s="52" t="str">
        <f t="shared" si="246"/>
        <v/>
      </c>
      <c r="AM581" s="52" t="str">
        <f t="shared" si="247"/>
        <v/>
      </c>
      <c r="AN581" s="52" t="str">
        <f t="shared" si="248"/>
        <v/>
      </c>
      <c r="AO581" s="52" t="str">
        <f t="shared" si="249"/>
        <v/>
      </c>
      <c r="AP581" s="52" t="str">
        <f t="shared" si="250"/>
        <v/>
      </c>
      <c r="AQ581" s="52" t="str">
        <f t="shared" si="251"/>
        <v/>
      </c>
      <c r="AR581" s="52" t="str">
        <f t="shared" si="252"/>
        <v/>
      </c>
      <c r="AS581" s="52" t="str">
        <f t="shared" si="253"/>
        <v/>
      </c>
      <c r="AT581" s="52" t="str">
        <f t="shared" si="254"/>
        <v/>
      </c>
      <c r="AU581" s="52" t="str">
        <f t="shared" si="255"/>
        <v/>
      </c>
      <c r="AV581" s="52" t="str">
        <f t="shared" si="256"/>
        <v/>
      </c>
      <c r="AW581" s="52" t="str">
        <f t="shared" si="257"/>
        <v/>
      </c>
      <c r="AX581" s="52" t="str">
        <f t="shared" si="258"/>
        <v/>
      </c>
      <c r="AY581" s="52" t="str">
        <f t="shared" si="263"/>
        <v/>
      </c>
    </row>
    <row r="582" spans="4:51">
      <c r="D582" s="23"/>
      <c r="E582" s="23"/>
      <c r="F582" s="23"/>
      <c r="G582" s="23"/>
      <c r="H582" s="23"/>
      <c r="I582" s="3"/>
      <c r="J582" s="3"/>
      <c r="K582" s="3"/>
      <c r="L582" s="2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26"/>
      <c r="Y582" s="1"/>
      <c r="Z582" s="12">
        <f t="shared" si="259"/>
        <v>0</v>
      </c>
      <c r="AA582" s="14">
        <f t="shared" si="260"/>
        <v>0</v>
      </c>
      <c r="AB582" s="6">
        <f t="shared" si="238"/>
        <v>0</v>
      </c>
      <c r="AC582" s="6">
        <f t="shared" si="239"/>
        <v>0</v>
      </c>
      <c r="AD582" s="6">
        <f t="shared" si="240"/>
        <v>0</v>
      </c>
      <c r="AE582" s="52" t="str">
        <f t="shared" si="241"/>
        <v/>
      </c>
      <c r="AF582" s="52" t="str">
        <f t="shared" si="242"/>
        <v/>
      </c>
      <c r="AG582" s="50" t="str">
        <f t="shared" si="261"/>
        <v/>
      </c>
      <c r="AH582" s="50" t="str">
        <f t="shared" si="262"/>
        <v/>
      </c>
      <c r="AI582" s="52" t="str">
        <f t="shared" si="243"/>
        <v/>
      </c>
      <c r="AJ582" s="52" t="str">
        <f t="shared" si="244"/>
        <v/>
      </c>
      <c r="AK582" s="52" t="str">
        <f t="shared" si="245"/>
        <v/>
      </c>
      <c r="AL582" s="52" t="str">
        <f t="shared" si="246"/>
        <v/>
      </c>
      <c r="AM582" s="52" t="str">
        <f t="shared" si="247"/>
        <v/>
      </c>
      <c r="AN582" s="52" t="str">
        <f t="shared" si="248"/>
        <v/>
      </c>
      <c r="AO582" s="52" t="str">
        <f t="shared" si="249"/>
        <v/>
      </c>
      <c r="AP582" s="52" t="str">
        <f t="shared" si="250"/>
        <v/>
      </c>
      <c r="AQ582" s="52" t="str">
        <f t="shared" si="251"/>
        <v/>
      </c>
      <c r="AR582" s="52" t="str">
        <f t="shared" si="252"/>
        <v/>
      </c>
      <c r="AS582" s="52" t="str">
        <f t="shared" si="253"/>
        <v/>
      </c>
      <c r="AT582" s="52" t="str">
        <f t="shared" si="254"/>
        <v/>
      </c>
      <c r="AU582" s="52" t="str">
        <f t="shared" si="255"/>
        <v/>
      </c>
      <c r="AV582" s="52" t="str">
        <f t="shared" si="256"/>
        <v/>
      </c>
      <c r="AW582" s="52" t="str">
        <f t="shared" si="257"/>
        <v/>
      </c>
      <c r="AX582" s="52" t="str">
        <f t="shared" si="258"/>
        <v/>
      </c>
      <c r="AY582" s="52" t="str">
        <f t="shared" si="263"/>
        <v/>
      </c>
    </row>
    <row r="583" spans="4:51">
      <c r="D583" s="23"/>
      <c r="E583" s="23"/>
      <c r="F583" s="23"/>
      <c r="G583" s="23"/>
      <c r="H583" s="23"/>
      <c r="I583" s="3"/>
      <c r="J583" s="3"/>
      <c r="K583" s="3"/>
      <c r="L583" s="2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26"/>
      <c r="Y583" s="1"/>
      <c r="Z583" s="12">
        <f t="shared" si="259"/>
        <v>0</v>
      </c>
      <c r="AA583" s="14">
        <f t="shared" si="260"/>
        <v>0</v>
      </c>
      <c r="AB583" s="6">
        <f t="shared" si="238"/>
        <v>0</v>
      </c>
      <c r="AC583" s="6">
        <f t="shared" si="239"/>
        <v>0</v>
      </c>
      <c r="AD583" s="6">
        <f t="shared" si="240"/>
        <v>0</v>
      </c>
      <c r="AE583" s="52" t="str">
        <f t="shared" si="241"/>
        <v/>
      </c>
      <c r="AF583" s="52" t="str">
        <f t="shared" si="242"/>
        <v/>
      </c>
      <c r="AG583" s="50" t="str">
        <f t="shared" si="261"/>
        <v/>
      </c>
      <c r="AH583" s="50" t="str">
        <f t="shared" si="262"/>
        <v/>
      </c>
      <c r="AI583" s="52" t="str">
        <f t="shared" si="243"/>
        <v/>
      </c>
      <c r="AJ583" s="52" t="str">
        <f t="shared" si="244"/>
        <v/>
      </c>
      <c r="AK583" s="52" t="str">
        <f t="shared" si="245"/>
        <v/>
      </c>
      <c r="AL583" s="52" t="str">
        <f t="shared" si="246"/>
        <v/>
      </c>
      <c r="AM583" s="52" t="str">
        <f t="shared" si="247"/>
        <v/>
      </c>
      <c r="AN583" s="52" t="str">
        <f t="shared" si="248"/>
        <v/>
      </c>
      <c r="AO583" s="52" t="str">
        <f t="shared" si="249"/>
        <v/>
      </c>
      <c r="AP583" s="52" t="str">
        <f t="shared" si="250"/>
        <v/>
      </c>
      <c r="AQ583" s="52" t="str">
        <f t="shared" si="251"/>
        <v/>
      </c>
      <c r="AR583" s="52" t="str">
        <f t="shared" si="252"/>
        <v/>
      </c>
      <c r="AS583" s="52" t="str">
        <f t="shared" si="253"/>
        <v/>
      </c>
      <c r="AT583" s="52" t="str">
        <f t="shared" si="254"/>
        <v/>
      </c>
      <c r="AU583" s="52" t="str">
        <f t="shared" si="255"/>
        <v/>
      </c>
      <c r="AV583" s="52" t="str">
        <f t="shared" si="256"/>
        <v/>
      </c>
      <c r="AW583" s="52" t="str">
        <f t="shared" si="257"/>
        <v/>
      </c>
      <c r="AX583" s="52" t="str">
        <f t="shared" si="258"/>
        <v/>
      </c>
      <c r="AY583" s="52" t="str">
        <f t="shared" si="263"/>
        <v/>
      </c>
    </row>
    <row r="584" spans="4:51">
      <c r="D584" s="23"/>
      <c r="E584" s="23"/>
      <c r="F584" s="23"/>
      <c r="G584" s="23"/>
      <c r="H584" s="23"/>
      <c r="I584" s="3"/>
      <c r="J584" s="3"/>
      <c r="K584" s="3"/>
      <c r="L584" s="2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26"/>
      <c r="Y584" s="1"/>
      <c r="Z584" s="12">
        <f t="shared" si="259"/>
        <v>0</v>
      </c>
      <c r="AA584" s="14">
        <f t="shared" si="260"/>
        <v>0</v>
      </c>
      <c r="AB584" s="6">
        <f t="shared" si="238"/>
        <v>0</v>
      </c>
      <c r="AC584" s="6">
        <f t="shared" si="239"/>
        <v>0</v>
      </c>
      <c r="AD584" s="6">
        <f t="shared" si="240"/>
        <v>0</v>
      </c>
      <c r="AE584" s="52" t="str">
        <f t="shared" si="241"/>
        <v/>
      </c>
      <c r="AF584" s="52" t="str">
        <f t="shared" si="242"/>
        <v/>
      </c>
      <c r="AG584" s="50" t="str">
        <f t="shared" si="261"/>
        <v/>
      </c>
      <c r="AH584" s="50" t="str">
        <f t="shared" si="262"/>
        <v/>
      </c>
      <c r="AI584" s="52" t="str">
        <f t="shared" si="243"/>
        <v/>
      </c>
      <c r="AJ584" s="52" t="str">
        <f t="shared" si="244"/>
        <v/>
      </c>
      <c r="AK584" s="52" t="str">
        <f t="shared" si="245"/>
        <v/>
      </c>
      <c r="AL584" s="52" t="str">
        <f t="shared" si="246"/>
        <v/>
      </c>
      <c r="AM584" s="52" t="str">
        <f t="shared" si="247"/>
        <v/>
      </c>
      <c r="AN584" s="52" t="str">
        <f t="shared" si="248"/>
        <v/>
      </c>
      <c r="AO584" s="52" t="str">
        <f t="shared" si="249"/>
        <v/>
      </c>
      <c r="AP584" s="52" t="str">
        <f t="shared" si="250"/>
        <v/>
      </c>
      <c r="AQ584" s="52" t="str">
        <f t="shared" si="251"/>
        <v/>
      </c>
      <c r="AR584" s="52" t="str">
        <f t="shared" si="252"/>
        <v/>
      </c>
      <c r="AS584" s="52" t="str">
        <f t="shared" si="253"/>
        <v/>
      </c>
      <c r="AT584" s="52" t="str">
        <f t="shared" si="254"/>
        <v/>
      </c>
      <c r="AU584" s="52" t="str">
        <f t="shared" si="255"/>
        <v/>
      </c>
      <c r="AV584" s="52" t="str">
        <f t="shared" si="256"/>
        <v/>
      </c>
      <c r="AW584" s="52" t="str">
        <f t="shared" si="257"/>
        <v/>
      </c>
      <c r="AX584" s="52" t="str">
        <f t="shared" si="258"/>
        <v/>
      </c>
      <c r="AY584" s="52" t="str">
        <f t="shared" si="263"/>
        <v/>
      </c>
    </row>
    <row r="585" spans="4:51">
      <c r="D585" s="23"/>
      <c r="E585" s="23"/>
      <c r="F585" s="23"/>
      <c r="G585" s="23"/>
      <c r="H585" s="23"/>
      <c r="I585" s="3"/>
      <c r="J585" s="3"/>
      <c r="K585" s="3"/>
      <c r="L585" s="2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26"/>
      <c r="Y585" s="1"/>
      <c r="Z585" s="12">
        <f t="shared" si="259"/>
        <v>0</v>
      </c>
      <c r="AA585" s="14">
        <f t="shared" si="260"/>
        <v>0</v>
      </c>
      <c r="AB585" s="6">
        <f t="shared" si="238"/>
        <v>0</v>
      </c>
      <c r="AC585" s="6">
        <f t="shared" si="239"/>
        <v>0</v>
      </c>
      <c r="AD585" s="6">
        <f t="shared" si="240"/>
        <v>0</v>
      </c>
      <c r="AE585" s="52" t="str">
        <f t="shared" si="241"/>
        <v/>
      </c>
      <c r="AF585" s="52" t="str">
        <f t="shared" si="242"/>
        <v/>
      </c>
      <c r="AG585" s="50" t="str">
        <f t="shared" si="261"/>
        <v/>
      </c>
      <c r="AH585" s="50" t="str">
        <f t="shared" si="262"/>
        <v/>
      </c>
      <c r="AI585" s="52" t="str">
        <f t="shared" si="243"/>
        <v/>
      </c>
      <c r="AJ585" s="52" t="str">
        <f t="shared" si="244"/>
        <v/>
      </c>
      <c r="AK585" s="52" t="str">
        <f t="shared" si="245"/>
        <v/>
      </c>
      <c r="AL585" s="52" t="str">
        <f t="shared" si="246"/>
        <v/>
      </c>
      <c r="AM585" s="52" t="str">
        <f t="shared" si="247"/>
        <v/>
      </c>
      <c r="AN585" s="52" t="str">
        <f t="shared" si="248"/>
        <v/>
      </c>
      <c r="AO585" s="52" t="str">
        <f t="shared" si="249"/>
        <v/>
      </c>
      <c r="AP585" s="52" t="str">
        <f t="shared" si="250"/>
        <v/>
      </c>
      <c r="AQ585" s="52" t="str">
        <f t="shared" si="251"/>
        <v/>
      </c>
      <c r="AR585" s="52" t="str">
        <f t="shared" si="252"/>
        <v/>
      </c>
      <c r="AS585" s="52" t="str">
        <f t="shared" si="253"/>
        <v/>
      </c>
      <c r="AT585" s="52" t="str">
        <f t="shared" si="254"/>
        <v/>
      </c>
      <c r="AU585" s="52" t="str">
        <f t="shared" si="255"/>
        <v/>
      </c>
      <c r="AV585" s="52" t="str">
        <f t="shared" si="256"/>
        <v/>
      </c>
      <c r="AW585" s="52" t="str">
        <f t="shared" si="257"/>
        <v/>
      </c>
      <c r="AX585" s="52" t="str">
        <f t="shared" si="258"/>
        <v/>
      </c>
      <c r="AY585" s="52" t="str">
        <f t="shared" si="263"/>
        <v/>
      </c>
    </row>
    <row r="586" spans="4:51">
      <c r="D586" s="23"/>
      <c r="E586" s="23"/>
      <c r="F586" s="23"/>
      <c r="G586" s="23"/>
      <c r="H586" s="23"/>
      <c r="I586" s="3"/>
      <c r="J586" s="3"/>
      <c r="K586" s="3"/>
      <c r="L586" s="2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26"/>
      <c r="Y586" s="1"/>
      <c r="Z586" s="12">
        <f t="shared" si="259"/>
        <v>0</v>
      </c>
      <c r="AA586" s="14">
        <f t="shared" si="260"/>
        <v>0</v>
      </c>
      <c r="AB586" s="6">
        <f t="shared" si="238"/>
        <v>0</v>
      </c>
      <c r="AC586" s="6">
        <f t="shared" si="239"/>
        <v>0</v>
      </c>
      <c r="AD586" s="6">
        <f t="shared" si="240"/>
        <v>0</v>
      </c>
      <c r="AE586" s="52" t="str">
        <f t="shared" si="241"/>
        <v/>
      </c>
      <c r="AF586" s="52" t="str">
        <f t="shared" si="242"/>
        <v/>
      </c>
      <c r="AG586" s="50" t="str">
        <f t="shared" si="261"/>
        <v/>
      </c>
      <c r="AH586" s="50" t="str">
        <f t="shared" si="262"/>
        <v/>
      </c>
      <c r="AI586" s="52" t="str">
        <f t="shared" si="243"/>
        <v/>
      </c>
      <c r="AJ586" s="52" t="str">
        <f t="shared" si="244"/>
        <v/>
      </c>
      <c r="AK586" s="52" t="str">
        <f t="shared" si="245"/>
        <v/>
      </c>
      <c r="AL586" s="52" t="str">
        <f t="shared" si="246"/>
        <v/>
      </c>
      <c r="AM586" s="52" t="str">
        <f t="shared" si="247"/>
        <v/>
      </c>
      <c r="AN586" s="52" t="str">
        <f t="shared" si="248"/>
        <v/>
      </c>
      <c r="AO586" s="52" t="str">
        <f t="shared" si="249"/>
        <v/>
      </c>
      <c r="AP586" s="52" t="str">
        <f t="shared" si="250"/>
        <v/>
      </c>
      <c r="AQ586" s="52" t="str">
        <f t="shared" si="251"/>
        <v/>
      </c>
      <c r="AR586" s="52" t="str">
        <f t="shared" si="252"/>
        <v/>
      </c>
      <c r="AS586" s="52" t="str">
        <f t="shared" si="253"/>
        <v/>
      </c>
      <c r="AT586" s="52" t="str">
        <f t="shared" si="254"/>
        <v/>
      </c>
      <c r="AU586" s="52" t="str">
        <f t="shared" si="255"/>
        <v/>
      </c>
      <c r="AV586" s="52" t="str">
        <f t="shared" si="256"/>
        <v/>
      </c>
      <c r="AW586" s="52" t="str">
        <f t="shared" si="257"/>
        <v/>
      </c>
      <c r="AX586" s="52" t="str">
        <f t="shared" si="258"/>
        <v/>
      </c>
      <c r="AY586" s="52" t="str">
        <f t="shared" si="263"/>
        <v/>
      </c>
    </row>
    <row r="587" spans="4:51">
      <c r="D587" s="23"/>
      <c r="E587" s="23"/>
      <c r="F587" s="23"/>
      <c r="G587" s="23"/>
      <c r="H587" s="23"/>
      <c r="I587" s="3"/>
      <c r="J587" s="3"/>
      <c r="K587" s="3"/>
      <c r="L587" s="2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26"/>
      <c r="Y587" s="1"/>
      <c r="Z587" s="12">
        <f t="shared" si="259"/>
        <v>0</v>
      </c>
      <c r="AA587" s="14">
        <f t="shared" si="260"/>
        <v>0</v>
      </c>
      <c r="AB587" s="6">
        <f t="shared" si="238"/>
        <v>0</v>
      </c>
      <c r="AC587" s="6">
        <f t="shared" si="239"/>
        <v>0</v>
      </c>
      <c r="AD587" s="6">
        <f t="shared" si="240"/>
        <v>0</v>
      </c>
      <c r="AE587" s="52" t="str">
        <f t="shared" si="241"/>
        <v/>
      </c>
      <c r="AF587" s="52" t="str">
        <f t="shared" si="242"/>
        <v/>
      </c>
      <c r="AG587" s="50" t="str">
        <f t="shared" si="261"/>
        <v/>
      </c>
      <c r="AH587" s="50" t="str">
        <f t="shared" si="262"/>
        <v/>
      </c>
      <c r="AI587" s="52" t="str">
        <f t="shared" si="243"/>
        <v/>
      </c>
      <c r="AJ587" s="52" t="str">
        <f t="shared" si="244"/>
        <v/>
      </c>
      <c r="AK587" s="52" t="str">
        <f t="shared" si="245"/>
        <v/>
      </c>
      <c r="AL587" s="52" t="str">
        <f t="shared" si="246"/>
        <v/>
      </c>
      <c r="AM587" s="52" t="str">
        <f t="shared" si="247"/>
        <v/>
      </c>
      <c r="AN587" s="52" t="str">
        <f t="shared" si="248"/>
        <v/>
      </c>
      <c r="AO587" s="52" t="str">
        <f t="shared" si="249"/>
        <v/>
      </c>
      <c r="AP587" s="52" t="str">
        <f t="shared" si="250"/>
        <v/>
      </c>
      <c r="AQ587" s="52" t="str">
        <f t="shared" si="251"/>
        <v/>
      </c>
      <c r="AR587" s="52" t="str">
        <f t="shared" si="252"/>
        <v/>
      </c>
      <c r="AS587" s="52" t="str">
        <f t="shared" si="253"/>
        <v/>
      </c>
      <c r="AT587" s="52" t="str">
        <f t="shared" si="254"/>
        <v/>
      </c>
      <c r="AU587" s="52" t="str">
        <f t="shared" si="255"/>
        <v/>
      </c>
      <c r="AV587" s="52" t="str">
        <f t="shared" si="256"/>
        <v/>
      </c>
      <c r="AW587" s="52" t="str">
        <f t="shared" si="257"/>
        <v/>
      </c>
      <c r="AX587" s="52" t="str">
        <f t="shared" si="258"/>
        <v/>
      </c>
      <c r="AY587" s="52" t="str">
        <f t="shared" si="263"/>
        <v/>
      </c>
    </row>
    <row r="588" spans="4:51">
      <c r="D588" s="23"/>
      <c r="E588" s="23"/>
      <c r="F588" s="23"/>
      <c r="G588" s="23"/>
      <c r="H588" s="23"/>
      <c r="I588" s="3"/>
      <c r="J588" s="3"/>
      <c r="K588" s="3"/>
      <c r="L588" s="2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26"/>
      <c r="Y588" s="1"/>
      <c r="Z588" s="12">
        <f t="shared" si="259"/>
        <v>0</v>
      </c>
      <c r="AA588" s="14">
        <f t="shared" si="260"/>
        <v>0</v>
      </c>
      <c r="AB588" s="6">
        <f t="shared" si="238"/>
        <v>0</v>
      </c>
      <c r="AC588" s="6">
        <f t="shared" si="239"/>
        <v>0</v>
      </c>
      <c r="AD588" s="6">
        <f t="shared" si="240"/>
        <v>0</v>
      </c>
      <c r="AE588" s="52" t="str">
        <f t="shared" si="241"/>
        <v/>
      </c>
      <c r="AF588" s="52" t="str">
        <f t="shared" si="242"/>
        <v/>
      </c>
      <c r="AG588" s="50" t="str">
        <f t="shared" si="261"/>
        <v/>
      </c>
      <c r="AH588" s="50" t="str">
        <f t="shared" si="262"/>
        <v/>
      </c>
      <c r="AI588" s="52" t="str">
        <f t="shared" si="243"/>
        <v/>
      </c>
      <c r="AJ588" s="52" t="str">
        <f t="shared" si="244"/>
        <v/>
      </c>
      <c r="AK588" s="52" t="str">
        <f t="shared" si="245"/>
        <v/>
      </c>
      <c r="AL588" s="52" t="str">
        <f t="shared" si="246"/>
        <v/>
      </c>
      <c r="AM588" s="52" t="str">
        <f t="shared" si="247"/>
        <v/>
      </c>
      <c r="AN588" s="52" t="str">
        <f t="shared" si="248"/>
        <v/>
      </c>
      <c r="AO588" s="52" t="str">
        <f t="shared" si="249"/>
        <v/>
      </c>
      <c r="AP588" s="52" t="str">
        <f t="shared" si="250"/>
        <v/>
      </c>
      <c r="AQ588" s="52" t="str">
        <f t="shared" si="251"/>
        <v/>
      </c>
      <c r="AR588" s="52" t="str">
        <f t="shared" si="252"/>
        <v/>
      </c>
      <c r="AS588" s="52" t="str">
        <f t="shared" si="253"/>
        <v/>
      </c>
      <c r="AT588" s="52" t="str">
        <f t="shared" si="254"/>
        <v/>
      </c>
      <c r="AU588" s="52" t="str">
        <f t="shared" si="255"/>
        <v/>
      </c>
      <c r="AV588" s="52" t="str">
        <f t="shared" si="256"/>
        <v/>
      </c>
      <c r="AW588" s="52" t="str">
        <f t="shared" si="257"/>
        <v/>
      </c>
      <c r="AX588" s="52" t="str">
        <f t="shared" si="258"/>
        <v/>
      </c>
      <c r="AY588" s="52" t="str">
        <f t="shared" si="263"/>
        <v/>
      </c>
    </row>
    <row r="589" spans="4:51">
      <c r="D589" s="23"/>
      <c r="E589" s="23"/>
      <c r="F589" s="23"/>
      <c r="G589" s="23"/>
      <c r="H589" s="23"/>
      <c r="I589" s="3"/>
      <c r="J589" s="3"/>
      <c r="K589" s="3"/>
      <c r="L589" s="2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26"/>
      <c r="Y589" s="1"/>
      <c r="Z589" s="12">
        <f t="shared" si="259"/>
        <v>0</v>
      </c>
      <c r="AA589" s="14">
        <f t="shared" si="260"/>
        <v>0</v>
      </c>
      <c r="AB589" s="6">
        <f t="shared" si="238"/>
        <v>0</v>
      </c>
      <c r="AC589" s="6">
        <f t="shared" si="239"/>
        <v>0</v>
      </c>
      <c r="AD589" s="6">
        <f t="shared" si="240"/>
        <v>0</v>
      </c>
      <c r="AE589" s="52" t="str">
        <f t="shared" si="241"/>
        <v/>
      </c>
      <c r="AF589" s="52" t="str">
        <f t="shared" si="242"/>
        <v/>
      </c>
      <c r="AG589" s="50" t="str">
        <f t="shared" si="261"/>
        <v/>
      </c>
      <c r="AH589" s="50" t="str">
        <f t="shared" si="262"/>
        <v/>
      </c>
      <c r="AI589" s="52" t="str">
        <f t="shared" si="243"/>
        <v/>
      </c>
      <c r="AJ589" s="52" t="str">
        <f t="shared" si="244"/>
        <v/>
      </c>
      <c r="AK589" s="52" t="str">
        <f t="shared" si="245"/>
        <v/>
      </c>
      <c r="AL589" s="52" t="str">
        <f t="shared" si="246"/>
        <v/>
      </c>
      <c r="AM589" s="52" t="str">
        <f t="shared" si="247"/>
        <v/>
      </c>
      <c r="AN589" s="52" t="str">
        <f t="shared" si="248"/>
        <v/>
      </c>
      <c r="AO589" s="52" t="str">
        <f t="shared" si="249"/>
        <v/>
      </c>
      <c r="AP589" s="52" t="str">
        <f t="shared" si="250"/>
        <v/>
      </c>
      <c r="AQ589" s="52" t="str">
        <f t="shared" si="251"/>
        <v/>
      </c>
      <c r="AR589" s="52" t="str">
        <f t="shared" si="252"/>
        <v/>
      </c>
      <c r="AS589" s="52" t="str">
        <f t="shared" si="253"/>
        <v/>
      </c>
      <c r="AT589" s="52" t="str">
        <f t="shared" si="254"/>
        <v/>
      </c>
      <c r="AU589" s="52" t="str">
        <f t="shared" si="255"/>
        <v/>
      </c>
      <c r="AV589" s="52" t="str">
        <f t="shared" si="256"/>
        <v/>
      </c>
      <c r="AW589" s="52" t="str">
        <f t="shared" si="257"/>
        <v/>
      </c>
      <c r="AX589" s="52" t="str">
        <f t="shared" si="258"/>
        <v/>
      </c>
      <c r="AY589" s="52" t="str">
        <f t="shared" si="263"/>
        <v/>
      </c>
    </row>
    <row r="590" spans="4:51">
      <c r="D590" s="23"/>
      <c r="E590" s="23"/>
      <c r="F590" s="23"/>
      <c r="G590" s="23"/>
      <c r="H590" s="23"/>
      <c r="I590" s="3"/>
      <c r="J590" s="3"/>
      <c r="K590" s="3"/>
      <c r="L590" s="2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26"/>
      <c r="Y590" s="1"/>
      <c r="Z590" s="12">
        <f t="shared" si="259"/>
        <v>0</v>
      </c>
      <c r="AA590" s="14">
        <f t="shared" si="260"/>
        <v>0</v>
      </c>
      <c r="AB590" s="6">
        <f t="shared" si="238"/>
        <v>0</v>
      </c>
      <c r="AC590" s="6">
        <f t="shared" si="239"/>
        <v>0</v>
      </c>
      <c r="AD590" s="6">
        <f t="shared" si="240"/>
        <v>0</v>
      </c>
      <c r="AE590" s="52" t="str">
        <f t="shared" si="241"/>
        <v/>
      </c>
      <c r="AF590" s="52" t="str">
        <f t="shared" si="242"/>
        <v/>
      </c>
      <c r="AG590" s="50" t="str">
        <f t="shared" si="261"/>
        <v/>
      </c>
      <c r="AH590" s="50" t="str">
        <f t="shared" si="262"/>
        <v/>
      </c>
      <c r="AI590" s="52" t="str">
        <f t="shared" si="243"/>
        <v/>
      </c>
      <c r="AJ590" s="52" t="str">
        <f t="shared" si="244"/>
        <v/>
      </c>
      <c r="AK590" s="52" t="str">
        <f t="shared" si="245"/>
        <v/>
      </c>
      <c r="AL590" s="52" t="str">
        <f t="shared" si="246"/>
        <v/>
      </c>
      <c r="AM590" s="52" t="str">
        <f t="shared" si="247"/>
        <v/>
      </c>
      <c r="AN590" s="52" t="str">
        <f t="shared" si="248"/>
        <v/>
      </c>
      <c r="AO590" s="52" t="str">
        <f t="shared" si="249"/>
        <v/>
      </c>
      <c r="AP590" s="52" t="str">
        <f t="shared" si="250"/>
        <v/>
      </c>
      <c r="AQ590" s="52" t="str">
        <f t="shared" si="251"/>
        <v/>
      </c>
      <c r="AR590" s="52" t="str">
        <f t="shared" si="252"/>
        <v/>
      </c>
      <c r="AS590" s="52" t="str">
        <f t="shared" si="253"/>
        <v/>
      </c>
      <c r="AT590" s="52" t="str">
        <f t="shared" si="254"/>
        <v/>
      </c>
      <c r="AU590" s="52" t="str">
        <f t="shared" si="255"/>
        <v/>
      </c>
      <c r="AV590" s="52" t="str">
        <f t="shared" si="256"/>
        <v/>
      </c>
      <c r="AW590" s="52" t="str">
        <f t="shared" si="257"/>
        <v/>
      </c>
      <c r="AX590" s="52" t="str">
        <f t="shared" si="258"/>
        <v/>
      </c>
      <c r="AY590" s="52" t="str">
        <f t="shared" si="263"/>
        <v/>
      </c>
    </row>
    <row r="591" spans="4:51">
      <c r="D591" s="23"/>
      <c r="E591" s="23"/>
      <c r="F591" s="23"/>
      <c r="G591" s="23"/>
      <c r="H591" s="23"/>
      <c r="I591" s="3"/>
      <c r="J591" s="3"/>
      <c r="K591" s="3"/>
      <c r="L591" s="2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26"/>
      <c r="Y591" s="1"/>
      <c r="Z591" s="12">
        <f t="shared" si="259"/>
        <v>0</v>
      </c>
      <c r="AA591" s="14">
        <f t="shared" si="260"/>
        <v>0</v>
      </c>
      <c r="AB591" s="6">
        <f t="shared" si="238"/>
        <v>0</v>
      </c>
      <c r="AC591" s="6">
        <f t="shared" si="239"/>
        <v>0</v>
      </c>
      <c r="AD591" s="6">
        <f t="shared" si="240"/>
        <v>0</v>
      </c>
      <c r="AE591" s="52" t="str">
        <f t="shared" si="241"/>
        <v/>
      </c>
      <c r="AF591" s="52" t="str">
        <f t="shared" si="242"/>
        <v/>
      </c>
      <c r="AG591" s="50" t="str">
        <f t="shared" si="261"/>
        <v/>
      </c>
      <c r="AH591" s="50" t="str">
        <f t="shared" si="262"/>
        <v/>
      </c>
      <c r="AI591" s="52" t="str">
        <f t="shared" si="243"/>
        <v/>
      </c>
      <c r="AJ591" s="52" t="str">
        <f t="shared" si="244"/>
        <v/>
      </c>
      <c r="AK591" s="52" t="str">
        <f t="shared" si="245"/>
        <v/>
      </c>
      <c r="AL591" s="52" t="str">
        <f t="shared" si="246"/>
        <v/>
      </c>
      <c r="AM591" s="52" t="str">
        <f t="shared" si="247"/>
        <v/>
      </c>
      <c r="AN591" s="52" t="str">
        <f t="shared" si="248"/>
        <v/>
      </c>
      <c r="AO591" s="52" t="str">
        <f t="shared" si="249"/>
        <v/>
      </c>
      <c r="AP591" s="52" t="str">
        <f t="shared" si="250"/>
        <v/>
      </c>
      <c r="AQ591" s="52" t="str">
        <f t="shared" si="251"/>
        <v/>
      </c>
      <c r="AR591" s="52" t="str">
        <f t="shared" si="252"/>
        <v/>
      </c>
      <c r="AS591" s="52" t="str">
        <f t="shared" si="253"/>
        <v/>
      </c>
      <c r="AT591" s="52" t="str">
        <f t="shared" si="254"/>
        <v/>
      </c>
      <c r="AU591" s="52" t="str">
        <f t="shared" si="255"/>
        <v/>
      </c>
      <c r="AV591" s="52" t="str">
        <f t="shared" si="256"/>
        <v/>
      </c>
      <c r="AW591" s="52" t="str">
        <f t="shared" si="257"/>
        <v/>
      </c>
      <c r="AX591" s="52" t="str">
        <f t="shared" si="258"/>
        <v/>
      </c>
      <c r="AY591" s="52" t="str">
        <f t="shared" si="263"/>
        <v/>
      </c>
    </row>
    <row r="592" spans="4:51">
      <c r="D592" s="23"/>
      <c r="E592" s="23"/>
      <c r="F592" s="23"/>
      <c r="G592" s="23"/>
      <c r="H592" s="23"/>
      <c r="I592" s="3"/>
      <c r="J592" s="3"/>
      <c r="K592" s="3"/>
      <c r="L592" s="2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26"/>
      <c r="Y592" s="1"/>
      <c r="Z592" s="12">
        <f t="shared" si="259"/>
        <v>0</v>
      </c>
      <c r="AA592" s="14">
        <f t="shared" si="260"/>
        <v>0</v>
      </c>
      <c r="AB592" s="6">
        <f t="shared" si="238"/>
        <v>0</v>
      </c>
      <c r="AC592" s="6">
        <f t="shared" si="239"/>
        <v>0</v>
      </c>
      <c r="AD592" s="6">
        <f t="shared" si="240"/>
        <v>0</v>
      </c>
      <c r="AE592" s="52" t="str">
        <f t="shared" si="241"/>
        <v/>
      </c>
      <c r="AF592" s="52" t="str">
        <f t="shared" si="242"/>
        <v/>
      </c>
      <c r="AG592" s="50" t="str">
        <f t="shared" si="261"/>
        <v/>
      </c>
      <c r="AH592" s="50" t="str">
        <f t="shared" si="262"/>
        <v/>
      </c>
      <c r="AI592" s="52" t="str">
        <f t="shared" si="243"/>
        <v/>
      </c>
      <c r="AJ592" s="52" t="str">
        <f t="shared" si="244"/>
        <v/>
      </c>
      <c r="AK592" s="52" t="str">
        <f t="shared" si="245"/>
        <v/>
      </c>
      <c r="AL592" s="52" t="str">
        <f t="shared" si="246"/>
        <v/>
      </c>
      <c r="AM592" s="52" t="str">
        <f t="shared" si="247"/>
        <v/>
      </c>
      <c r="AN592" s="52" t="str">
        <f t="shared" si="248"/>
        <v/>
      </c>
      <c r="AO592" s="52" t="str">
        <f t="shared" si="249"/>
        <v/>
      </c>
      <c r="AP592" s="52" t="str">
        <f t="shared" si="250"/>
        <v/>
      </c>
      <c r="AQ592" s="52" t="str">
        <f t="shared" si="251"/>
        <v/>
      </c>
      <c r="AR592" s="52" t="str">
        <f t="shared" si="252"/>
        <v/>
      </c>
      <c r="AS592" s="52" t="str">
        <f t="shared" si="253"/>
        <v/>
      </c>
      <c r="AT592" s="52" t="str">
        <f t="shared" si="254"/>
        <v/>
      </c>
      <c r="AU592" s="52" t="str">
        <f t="shared" si="255"/>
        <v/>
      </c>
      <c r="AV592" s="52" t="str">
        <f t="shared" si="256"/>
        <v/>
      </c>
      <c r="AW592" s="52" t="str">
        <f t="shared" si="257"/>
        <v/>
      </c>
      <c r="AX592" s="52" t="str">
        <f t="shared" si="258"/>
        <v/>
      </c>
      <c r="AY592" s="52" t="str">
        <f t="shared" si="263"/>
        <v/>
      </c>
    </row>
    <row r="593" spans="3:51">
      <c r="D593" s="23"/>
      <c r="E593" s="23"/>
      <c r="F593" s="23"/>
      <c r="G593" s="23"/>
      <c r="H593" s="23"/>
      <c r="I593" s="3"/>
      <c r="J593" s="3"/>
      <c r="K593" s="3"/>
      <c r="L593" s="2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26"/>
      <c r="Y593" s="1"/>
      <c r="Z593" s="12">
        <f t="shared" si="259"/>
        <v>0</v>
      </c>
      <c r="AA593" s="14">
        <f t="shared" si="260"/>
        <v>0</v>
      </c>
      <c r="AB593" s="6">
        <f t="shared" si="238"/>
        <v>0</v>
      </c>
      <c r="AC593" s="6">
        <f t="shared" si="239"/>
        <v>0</v>
      </c>
      <c r="AD593" s="6">
        <f t="shared" si="240"/>
        <v>0</v>
      </c>
      <c r="AE593" s="52" t="str">
        <f t="shared" si="241"/>
        <v/>
      </c>
      <c r="AF593" s="52" t="str">
        <f t="shared" si="242"/>
        <v/>
      </c>
      <c r="AG593" s="50" t="str">
        <f t="shared" si="261"/>
        <v/>
      </c>
      <c r="AH593" s="50" t="str">
        <f t="shared" si="262"/>
        <v/>
      </c>
      <c r="AI593" s="52" t="str">
        <f t="shared" si="243"/>
        <v/>
      </c>
      <c r="AJ593" s="52" t="str">
        <f t="shared" si="244"/>
        <v/>
      </c>
      <c r="AK593" s="52" t="str">
        <f t="shared" si="245"/>
        <v/>
      </c>
      <c r="AL593" s="52" t="str">
        <f t="shared" si="246"/>
        <v/>
      </c>
      <c r="AM593" s="52" t="str">
        <f t="shared" si="247"/>
        <v/>
      </c>
      <c r="AN593" s="52" t="str">
        <f t="shared" si="248"/>
        <v/>
      </c>
      <c r="AO593" s="52" t="str">
        <f t="shared" si="249"/>
        <v/>
      </c>
      <c r="AP593" s="52" t="str">
        <f t="shared" si="250"/>
        <v/>
      </c>
      <c r="AQ593" s="52" t="str">
        <f t="shared" si="251"/>
        <v/>
      </c>
      <c r="AR593" s="52" t="str">
        <f t="shared" si="252"/>
        <v/>
      </c>
      <c r="AS593" s="52" t="str">
        <f t="shared" si="253"/>
        <v/>
      </c>
      <c r="AT593" s="52" t="str">
        <f t="shared" si="254"/>
        <v/>
      </c>
      <c r="AU593" s="52" t="str">
        <f t="shared" si="255"/>
        <v/>
      </c>
      <c r="AV593" s="52" t="str">
        <f t="shared" si="256"/>
        <v/>
      </c>
      <c r="AW593" s="52" t="str">
        <f t="shared" si="257"/>
        <v/>
      </c>
      <c r="AX593" s="52" t="str">
        <f t="shared" si="258"/>
        <v/>
      </c>
      <c r="AY593" s="52" t="str">
        <f t="shared" si="263"/>
        <v/>
      </c>
    </row>
    <row r="594" spans="3:51">
      <c r="D594" s="23"/>
      <c r="E594" s="23"/>
      <c r="F594" s="23"/>
      <c r="G594" s="23"/>
      <c r="H594" s="23"/>
      <c r="I594" s="3"/>
      <c r="J594" s="3"/>
      <c r="K594" s="3"/>
      <c r="L594" s="2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26"/>
      <c r="Y594" s="1"/>
      <c r="Z594" s="12">
        <f t="shared" si="259"/>
        <v>0</v>
      </c>
      <c r="AA594" s="14">
        <f t="shared" si="260"/>
        <v>0</v>
      </c>
      <c r="AB594" s="6">
        <f t="shared" si="238"/>
        <v>0</v>
      </c>
      <c r="AC594" s="6">
        <f t="shared" si="239"/>
        <v>0</v>
      </c>
      <c r="AD594" s="6">
        <f t="shared" si="240"/>
        <v>0</v>
      </c>
      <c r="AE594" s="52" t="str">
        <f t="shared" si="241"/>
        <v/>
      </c>
      <c r="AF594" s="52" t="str">
        <f t="shared" si="242"/>
        <v/>
      </c>
      <c r="AG594" s="50" t="str">
        <f t="shared" si="261"/>
        <v/>
      </c>
      <c r="AH594" s="50" t="str">
        <f t="shared" si="262"/>
        <v/>
      </c>
      <c r="AI594" s="52" t="str">
        <f t="shared" si="243"/>
        <v/>
      </c>
      <c r="AJ594" s="52" t="str">
        <f t="shared" si="244"/>
        <v/>
      </c>
      <c r="AK594" s="52" t="str">
        <f t="shared" si="245"/>
        <v/>
      </c>
      <c r="AL594" s="52" t="str">
        <f t="shared" si="246"/>
        <v/>
      </c>
      <c r="AM594" s="52" t="str">
        <f t="shared" si="247"/>
        <v/>
      </c>
      <c r="AN594" s="52" t="str">
        <f t="shared" si="248"/>
        <v/>
      </c>
      <c r="AO594" s="52" t="str">
        <f t="shared" si="249"/>
        <v/>
      </c>
      <c r="AP594" s="52" t="str">
        <f t="shared" si="250"/>
        <v/>
      </c>
      <c r="AQ594" s="52" t="str">
        <f t="shared" si="251"/>
        <v/>
      </c>
      <c r="AR594" s="52" t="str">
        <f t="shared" si="252"/>
        <v/>
      </c>
      <c r="AS594" s="52" t="str">
        <f t="shared" si="253"/>
        <v/>
      </c>
      <c r="AT594" s="52" t="str">
        <f t="shared" si="254"/>
        <v/>
      </c>
      <c r="AU594" s="52" t="str">
        <f t="shared" si="255"/>
        <v/>
      </c>
      <c r="AV594" s="52" t="str">
        <f t="shared" si="256"/>
        <v/>
      </c>
      <c r="AW594" s="52" t="str">
        <f t="shared" si="257"/>
        <v/>
      </c>
      <c r="AX594" s="52" t="str">
        <f t="shared" si="258"/>
        <v/>
      </c>
      <c r="AY594" s="52" t="str">
        <f t="shared" si="263"/>
        <v/>
      </c>
    </row>
    <row r="595" spans="3:51">
      <c r="D595" s="23"/>
      <c r="E595" s="23"/>
      <c r="F595" s="23"/>
      <c r="G595" s="23"/>
      <c r="H595" s="23"/>
      <c r="I595" s="3"/>
      <c r="J595" s="3"/>
      <c r="K595" s="3"/>
      <c r="L595" s="2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26"/>
      <c r="Y595" s="1"/>
      <c r="Z595" s="12">
        <f t="shared" si="259"/>
        <v>0</v>
      </c>
      <c r="AA595" s="14">
        <f t="shared" si="260"/>
        <v>0</v>
      </c>
      <c r="AB595" s="6">
        <f t="shared" si="238"/>
        <v>0</v>
      </c>
      <c r="AC595" s="6">
        <f t="shared" si="239"/>
        <v>0</v>
      </c>
      <c r="AD595" s="6">
        <f t="shared" si="240"/>
        <v>0</v>
      </c>
      <c r="AE595" s="52" t="str">
        <f t="shared" si="241"/>
        <v/>
      </c>
      <c r="AF595" s="52" t="str">
        <f t="shared" si="242"/>
        <v/>
      </c>
      <c r="AG595" s="50" t="str">
        <f t="shared" si="261"/>
        <v/>
      </c>
      <c r="AH595" s="50" t="str">
        <f t="shared" si="262"/>
        <v/>
      </c>
      <c r="AI595" s="52" t="str">
        <f t="shared" si="243"/>
        <v/>
      </c>
      <c r="AJ595" s="52" t="str">
        <f t="shared" si="244"/>
        <v/>
      </c>
      <c r="AK595" s="52" t="str">
        <f t="shared" si="245"/>
        <v/>
      </c>
      <c r="AL595" s="52" t="str">
        <f t="shared" si="246"/>
        <v/>
      </c>
      <c r="AM595" s="52" t="str">
        <f t="shared" si="247"/>
        <v/>
      </c>
      <c r="AN595" s="52" t="str">
        <f t="shared" si="248"/>
        <v/>
      </c>
      <c r="AO595" s="52" t="str">
        <f t="shared" si="249"/>
        <v/>
      </c>
      <c r="AP595" s="52" t="str">
        <f t="shared" si="250"/>
        <v/>
      </c>
      <c r="AQ595" s="52" t="str">
        <f t="shared" si="251"/>
        <v/>
      </c>
      <c r="AR595" s="52" t="str">
        <f t="shared" si="252"/>
        <v/>
      </c>
      <c r="AS595" s="52" t="str">
        <f t="shared" si="253"/>
        <v/>
      </c>
      <c r="AT595" s="52" t="str">
        <f t="shared" si="254"/>
        <v/>
      </c>
      <c r="AU595" s="52" t="str">
        <f t="shared" si="255"/>
        <v/>
      </c>
      <c r="AV595" s="52" t="str">
        <f t="shared" si="256"/>
        <v/>
      </c>
      <c r="AW595" s="52" t="str">
        <f t="shared" si="257"/>
        <v/>
      </c>
      <c r="AX595" s="52" t="str">
        <f t="shared" si="258"/>
        <v/>
      </c>
      <c r="AY595" s="52" t="str">
        <f t="shared" si="263"/>
        <v/>
      </c>
    </row>
    <row r="596" spans="3:51">
      <c r="D596" s="23"/>
      <c r="E596" s="23"/>
      <c r="F596" s="23"/>
      <c r="G596" s="23"/>
      <c r="H596" s="23"/>
      <c r="I596" s="3"/>
      <c r="J596" s="3"/>
      <c r="K596" s="3"/>
      <c r="L596" s="2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26"/>
      <c r="Y596" s="1"/>
      <c r="Z596" s="12">
        <f t="shared" si="259"/>
        <v>0</v>
      </c>
      <c r="AA596" s="14">
        <f t="shared" si="260"/>
        <v>0</v>
      </c>
      <c r="AB596" s="6">
        <f t="shared" si="238"/>
        <v>0</v>
      </c>
      <c r="AC596" s="6">
        <f t="shared" si="239"/>
        <v>0</v>
      </c>
      <c r="AD596" s="6">
        <f t="shared" si="240"/>
        <v>0</v>
      </c>
      <c r="AE596" s="52" t="str">
        <f t="shared" si="241"/>
        <v/>
      </c>
      <c r="AF596" s="52" t="str">
        <f t="shared" si="242"/>
        <v/>
      </c>
      <c r="AG596" s="50" t="str">
        <f t="shared" si="261"/>
        <v/>
      </c>
      <c r="AH596" s="50" t="str">
        <f t="shared" si="262"/>
        <v/>
      </c>
      <c r="AI596" s="52" t="str">
        <f t="shared" si="243"/>
        <v/>
      </c>
      <c r="AJ596" s="52" t="str">
        <f t="shared" si="244"/>
        <v/>
      </c>
      <c r="AK596" s="52" t="str">
        <f t="shared" si="245"/>
        <v/>
      </c>
      <c r="AL596" s="52" t="str">
        <f t="shared" si="246"/>
        <v/>
      </c>
      <c r="AM596" s="52" t="str">
        <f t="shared" si="247"/>
        <v/>
      </c>
      <c r="AN596" s="52" t="str">
        <f t="shared" si="248"/>
        <v/>
      </c>
      <c r="AO596" s="52" t="str">
        <f t="shared" si="249"/>
        <v/>
      </c>
      <c r="AP596" s="52" t="str">
        <f t="shared" si="250"/>
        <v/>
      </c>
      <c r="AQ596" s="52" t="str">
        <f t="shared" si="251"/>
        <v/>
      </c>
      <c r="AR596" s="52" t="str">
        <f t="shared" si="252"/>
        <v/>
      </c>
      <c r="AS596" s="52" t="str">
        <f t="shared" si="253"/>
        <v/>
      </c>
      <c r="AT596" s="52" t="str">
        <f t="shared" si="254"/>
        <v/>
      </c>
      <c r="AU596" s="52" t="str">
        <f t="shared" si="255"/>
        <v/>
      </c>
      <c r="AV596" s="52" t="str">
        <f t="shared" si="256"/>
        <v/>
      </c>
      <c r="AW596" s="52" t="str">
        <f t="shared" si="257"/>
        <v/>
      </c>
      <c r="AX596" s="52" t="str">
        <f t="shared" si="258"/>
        <v/>
      </c>
      <c r="AY596" s="52" t="str">
        <f t="shared" si="263"/>
        <v/>
      </c>
    </row>
    <row r="597" spans="3:51">
      <c r="C597" s="2"/>
      <c r="D597" s="23"/>
      <c r="E597" s="23"/>
      <c r="F597" s="23"/>
      <c r="G597" s="23"/>
      <c r="H597" s="23"/>
      <c r="I597" s="3"/>
      <c r="J597" s="3"/>
      <c r="K597" s="3"/>
      <c r="L597" s="2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26"/>
      <c r="Y597" s="1"/>
      <c r="Z597" s="12">
        <f t="shared" si="259"/>
        <v>0</v>
      </c>
      <c r="AA597" s="14">
        <f t="shared" si="260"/>
        <v>0</v>
      </c>
      <c r="AB597" s="6">
        <f t="shared" si="238"/>
        <v>0</v>
      </c>
      <c r="AC597" s="6">
        <f t="shared" si="239"/>
        <v>0</v>
      </c>
      <c r="AD597" s="6">
        <f t="shared" si="240"/>
        <v>0</v>
      </c>
      <c r="AE597" s="52" t="str">
        <f t="shared" si="241"/>
        <v/>
      </c>
      <c r="AF597" s="52" t="str">
        <f t="shared" si="242"/>
        <v/>
      </c>
      <c r="AG597" s="50" t="str">
        <f t="shared" si="261"/>
        <v/>
      </c>
      <c r="AH597" s="50" t="str">
        <f t="shared" si="262"/>
        <v/>
      </c>
      <c r="AI597" s="52" t="str">
        <f t="shared" si="243"/>
        <v/>
      </c>
      <c r="AJ597" s="52" t="str">
        <f t="shared" si="244"/>
        <v/>
      </c>
      <c r="AK597" s="52" t="str">
        <f t="shared" si="245"/>
        <v/>
      </c>
      <c r="AL597" s="52" t="str">
        <f t="shared" si="246"/>
        <v/>
      </c>
      <c r="AM597" s="52" t="str">
        <f t="shared" si="247"/>
        <v/>
      </c>
      <c r="AN597" s="52" t="str">
        <f t="shared" si="248"/>
        <v/>
      </c>
      <c r="AO597" s="52" t="str">
        <f t="shared" si="249"/>
        <v/>
      </c>
      <c r="AP597" s="52" t="str">
        <f t="shared" si="250"/>
        <v/>
      </c>
      <c r="AQ597" s="52" t="str">
        <f t="shared" si="251"/>
        <v/>
      </c>
      <c r="AR597" s="52" t="str">
        <f t="shared" si="252"/>
        <v/>
      </c>
      <c r="AS597" s="52" t="str">
        <f t="shared" si="253"/>
        <v/>
      </c>
      <c r="AT597" s="52" t="str">
        <f t="shared" si="254"/>
        <v/>
      </c>
      <c r="AU597" s="52" t="str">
        <f t="shared" si="255"/>
        <v/>
      </c>
      <c r="AV597" s="52" t="str">
        <f t="shared" si="256"/>
        <v/>
      </c>
      <c r="AW597" s="52" t="str">
        <f t="shared" si="257"/>
        <v/>
      </c>
      <c r="AX597" s="52" t="str">
        <f t="shared" si="258"/>
        <v/>
      </c>
      <c r="AY597" s="52" t="str">
        <f t="shared" si="263"/>
        <v/>
      </c>
    </row>
    <row r="598" spans="3:51">
      <c r="D598" s="24"/>
      <c r="E598" s="24"/>
      <c r="F598" s="23"/>
      <c r="G598" s="23"/>
      <c r="H598" s="24"/>
      <c r="I598" s="4"/>
      <c r="J598" s="4"/>
      <c r="K598" s="4"/>
      <c r="L598" s="24"/>
      <c r="M598" s="4"/>
      <c r="N598" s="4"/>
      <c r="O598" s="4"/>
      <c r="P598" s="4"/>
      <c r="Q598" s="4"/>
      <c r="R598" s="4"/>
      <c r="S598" s="4"/>
      <c r="T598" s="4"/>
      <c r="V598" s="3"/>
      <c r="Z598" s="42">
        <f t="shared" ref="Z598" si="264">COUNTA(D598:W598)-Y598</f>
        <v>0</v>
      </c>
      <c r="AA598" s="43">
        <f t="shared" ref="AA598" si="265">IF(X598&lt;&gt;"",0.0001,IF(Y598+Z598=0,0,IF(Y598=0,70+(Z598*50),IF(Y598&gt;0,80+(Z598*50)))))</f>
        <v>0</v>
      </c>
    </row>
    <row r="599" spans="3:51">
      <c r="D599" s="24"/>
      <c r="E599" s="24"/>
      <c r="F599" s="24"/>
      <c r="G599" s="24"/>
      <c r="H599" s="24"/>
      <c r="I599" s="4"/>
      <c r="J599" s="4"/>
      <c r="K599" s="4"/>
      <c r="L599" s="24"/>
      <c r="M599" s="4"/>
      <c r="N599" s="4"/>
      <c r="O599" s="4"/>
      <c r="P599" s="4"/>
      <c r="Q599" s="4"/>
      <c r="R599" s="4"/>
      <c r="S599" s="4"/>
      <c r="T599" s="4"/>
    </row>
    <row r="600" spans="3:51">
      <c r="D600" s="24"/>
      <c r="E600" s="24"/>
      <c r="F600" s="24"/>
      <c r="G600" s="24"/>
      <c r="H600" s="24"/>
      <c r="I600" s="4"/>
      <c r="J600" s="4"/>
      <c r="K600" s="4"/>
      <c r="L600" s="24"/>
      <c r="M600" s="4"/>
      <c r="N600" s="4"/>
      <c r="O600" s="4"/>
      <c r="P600" s="4"/>
      <c r="Q600" s="4"/>
      <c r="R600" s="4"/>
      <c r="S600" s="4"/>
      <c r="T600" s="4"/>
    </row>
    <row r="601" spans="3:51">
      <c r="D601" s="24"/>
      <c r="E601" s="24"/>
      <c r="F601" s="24"/>
      <c r="G601" s="24"/>
      <c r="H601" s="24"/>
      <c r="I601" s="4"/>
      <c r="J601" s="4"/>
      <c r="K601" s="4"/>
      <c r="L601" s="24"/>
      <c r="M601" s="4"/>
      <c r="N601" s="4"/>
      <c r="O601" s="4"/>
      <c r="P601" s="4"/>
      <c r="Q601" s="4"/>
      <c r="R601" s="4"/>
      <c r="S601" s="4"/>
      <c r="T601" s="4"/>
    </row>
    <row r="602" spans="3:51">
      <c r="D602" s="24"/>
      <c r="E602" s="24"/>
      <c r="F602" s="24"/>
      <c r="G602" s="24"/>
      <c r="H602" s="24"/>
      <c r="I602" s="4"/>
      <c r="J602" s="4"/>
      <c r="K602" s="4"/>
      <c r="L602" s="24"/>
      <c r="M602" s="4"/>
      <c r="N602" s="4"/>
      <c r="O602" s="4"/>
      <c r="P602" s="4"/>
      <c r="Q602" s="4"/>
      <c r="R602" s="4"/>
      <c r="S602" s="4"/>
      <c r="T602" s="4"/>
    </row>
    <row r="603" spans="3:51">
      <c r="D603" s="24"/>
      <c r="E603" s="24"/>
      <c r="F603" s="24"/>
      <c r="G603" s="24"/>
      <c r="H603" s="24"/>
      <c r="I603" s="4"/>
      <c r="J603" s="4"/>
      <c r="K603" s="4"/>
      <c r="L603" s="24"/>
      <c r="M603" s="4"/>
      <c r="N603" s="4"/>
      <c r="O603" s="4"/>
      <c r="P603" s="4"/>
      <c r="Q603" s="4"/>
      <c r="R603" s="4"/>
      <c r="S603" s="4"/>
      <c r="T603" s="4"/>
    </row>
    <row r="604" spans="3:51">
      <c r="D604" s="24"/>
      <c r="E604" s="24"/>
      <c r="F604" s="24"/>
      <c r="G604" s="24"/>
      <c r="H604" s="24"/>
      <c r="I604" s="4"/>
      <c r="J604" s="4"/>
      <c r="K604" s="4"/>
      <c r="L604" s="24"/>
      <c r="M604" s="4"/>
      <c r="N604" s="4"/>
      <c r="O604" s="4"/>
      <c r="P604" s="4"/>
      <c r="Q604" s="4"/>
      <c r="R604" s="4"/>
      <c r="S604" s="4"/>
      <c r="T604" s="4"/>
    </row>
    <row r="605" spans="3:51">
      <c r="D605" s="24"/>
      <c r="E605" s="24"/>
      <c r="F605" s="24"/>
      <c r="G605" s="24"/>
      <c r="H605" s="24"/>
      <c r="I605" s="4"/>
      <c r="J605" s="4"/>
      <c r="K605" s="4"/>
      <c r="L605" s="24"/>
      <c r="M605" s="4"/>
      <c r="N605" s="4"/>
      <c r="O605" s="4"/>
      <c r="P605" s="4"/>
      <c r="Q605" s="4"/>
      <c r="R605" s="4"/>
      <c r="S605" s="4"/>
      <c r="T605" s="4"/>
    </row>
    <row r="606" spans="3:51">
      <c r="D606" s="24"/>
      <c r="E606" s="24"/>
      <c r="F606" s="24"/>
      <c r="G606" s="24"/>
      <c r="H606" s="24"/>
      <c r="I606" s="4"/>
      <c r="J606" s="4"/>
      <c r="K606" s="4"/>
      <c r="L606" s="24"/>
      <c r="M606" s="4"/>
      <c r="N606" s="4"/>
      <c r="O606" s="4"/>
      <c r="P606" s="4"/>
      <c r="Q606" s="4"/>
      <c r="R606" s="4"/>
      <c r="S606" s="4"/>
      <c r="T606" s="4"/>
    </row>
    <row r="607" spans="3:51">
      <c r="D607" s="24"/>
      <c r="E607" s="24"/>
      <c r="F607" s="24"/>
      <c r="G607" s="24"/>
      <c r="H607" s="24"/>
      <c r="I607" s="4"/>
      <c r="J607" s="4"/>
      <c r="K607" s="4"/>
      <c r="L607" s="24"/>
      <c r="M607" s="4"/>
      <c r="N607" s="4"/>
      <c r="O607" s="4"/>
      <c r="P607" s="4"/>
      <c r="Q607" s="4"/>
      <c r="R607" s="4"/>
      <c r="S607" s="4"/>
      <c r="T607" s="4"/>
    </row>
    <row r="608" spans="3:51">
      <c r="D608" s="24"/>
      <c r="E608" s="24"/>
      <c r="F608" s="24"/>
      <c r="G608" s="24"/>
      <c r="H608" s="24"/>
      <c r="I608" s="4"/>
      <c r="J608" s="4"/>
      <c r="K608" s="4"/>
      <c r="L608" s="24"/>
      <c r="M608" s="4"/>
      <c r="N608" s="4"/>
      <c r="O608" s="4"/>
      <c r="P608" s="4"/>
      <c r="Q608" s="4"/>
      <c r="R608" s="4"/>
      <c r="S608" s="4"/>
      <c r="T608" s="4"/>
    </row>
    <row r="609" spans="4:20">
      <c r="D609" s="24"/>
      <c r="E609" s="24"/>
      <c r="F609" s="24"/>
      <c r="G609" s="24"/>
      <c r="H609" s="24"/>
      <c r="I609" s="4"/>
      <c r="J609" s="4"/>
      <c r="K609" s="4"/>
      <c r="L609" s="24"/>
      <c r="M609" s="4"/>
      <c r="N609" s="4"/>
      <c r="O609" s="4"/>
      <c r="P609" s="4"/>
      <c r="Q609" s="4"/>
      <c r="R609" s="4"/>
      <c r="S609" s="4"/>
      <c r="T609" s="4"/>
    </row>
    <row r="610" spans="4:20">
      <c r="D610" s="24"/>
      <c r="E610" s="24"/>
      <c r="F610" s="24"/>
      <c r="G610" s="24"/>
      <c r="H610" s="24"/>
      <c r="I610" s="4"/>
      <c r="J610" s="4"/>
      <c r="K610" s="4"/>
      <c r="L610" s="24"/>
      <c r="M610" s="4"/>
      <c r="N610" s="4"/>
      <c r="O610" s="4"/>
      <c r="P610" s="4"/>
      <c r="Q610" s="4"/>
      <c r="R610" s="4"/>
      <c r="S610" s="4"/>
      <c r="T610" s="4"/>
    </row>
    <row r="611" spans="4:20">
      <c r="D611" s="24"/>
      <c r="E611" s="24"/>
      <c r="F611" s="24"/>
      <c r="G611" s="24"/>
      <c r="H611" s="24"/>
      <c r="I611" s="4"/>
      <c r="J611" s="4"/>
      <c r="K611" s="4"/>
      <c r="L611" s="24"/>
      <c r="M611" s="4"/>
      <c r="N611" s="4"/>
      <c r="O611" s="4"/>
      <c r="P611" s="4"/>
      <c r="Q611" s="4"/>
      <c r="R611" s="4"/>
      <c r="S611" s="4"/>
      <c r="T611" s="4"/>
    </row>
    <row r="612" spans="4:20">
      <c r="D612" s="24"/>
      <c r="E612" s="24"/>
      <c r="F612" s="24"/>
      <c r="G612" s="24"/>
      <c r="H612" s="24"/>
      <c r="I612" s="4"/>
      <c r="J612" s="4"/>
      <c r="K612" s="4"/>
      <c r="L612" s="24"/>
      <c r="M612" s="4"/>
      <c r="N612" s="4"/>
      <c r="O612" s="4"/>
      <c r="P612" s="4"/>
      <c r="Q612" s="4"/>
      <c r="R612" s="4"/>
      <c r="S612" s="4"/>
      <c r="T612" s="4"/>
    </row>
    <row r="613" spans="4:20">
      <c r="D613" s="24"/>
      <c r="E613" s="24"/>
      <c r="F613" s="24"/>
      <c r="G613" s="24"/>
      <c r="H613" s="24"/>
      <c r="I613" s="4"/>
      <c r="J613" s="4"/>
      <c r="K613" s="4"/>
      <c r="L613" s="24"/>
      <c r="M613" s="4"/>
      <c r="N613" s="4"/>
      <c r="O613" s="4"/>
      <c r="P613" s="4"/>
      <c r="Q613" s="4"/>
      <c r="R613" s="4"/>
      <c r="S613" s="4"/>
      <c r="T613" s="4"/>
    </row>
    <row r="614" spans="4:20">
      <c r="D614" s="24"/>
      <c r="E614" s="24"/>
      <c r="F614" s="24"/>
      <c r="G614" s="24"/>
      <c r="H614" s="24"/>
      <c r="I614" s="4"/>
      <c r="J614" s="4"/>
      <c r="K614" s="4"/>
      <c r="L614" s="24"/>
      <c r="M614" s="4"/>
      <c r="N614" s="4"/>
      <c r="O614" s="4"/>
      <c r="P614" s="4"/>
      <c r="Q614" s="4"/>
      <c r="R614" s="4"/>
      <c r="S614" s="4"/>
      <c r="T614" s="4"/>
    </row>
    <row r="615" spans="4:20">
      <c r="D615" s="24"/>
      <c r="E615" s="24"/>
      <c r="F615" s="24"/>
      <c r="G615" s="24"/>
      <c r="H615" s="24"/>
      <c r="I615" s="4"/>
      <c r="J615" s="4"/>
      <c r="K615" s="4"/>
      <c r="L615" s="24"/>
      <c r="M615" s="4"/>
      <c r="N615" s="4"/>
      <c r="O615" s="4"/>
      <c r="P615" s="4"/>
      <c r="Q615" s="4"/>
      <c r="R615" s="4"/>
      <c r="S615" s="4"/>
      <c r="T615" s="4"/>
    </row>
    <row r="616" spans="4:20">
      <c r="D616" s="24"/>
      <c r="E616" s="24"/>
      <c r="F616" s="24"/>
      <c r="G616" s="24"/>
      <c r="H616" s="24"/>
      <c r="I616" s="4"/>
      <c r="J616" s="4"/>
      <c r="K616" s="4"/>
      <c r="L616" s="24"/>
      <c r="M616" s="4"/>
      <c r="N616" s="4"/>
      <c r="O616" s="4"/>
      <c r="P616" s="4"/>
      <c r="Q616" s="4"/>
      <c r="R616" s="4"/>
      <c r="S616" s="4"/>
      <c r="T616" s="4"/>
    </row>
    <row r="617" spans="4:20">
      <c r="D617" s="24"/>
      <c r="E617" s="24"/>
      <c r="F617" s="24"/>
      <c r="G617" s="24"/>
      <c r="H617" s="24"/>
      <c r="I617" s="4"/>
      <c r="J617" s="4"/>
      <c r="K617" s="4"/>
      <c r="L617" s="24"/>
      <c r="M617" s="4"/>
      <c r="N617" s="4"/>
      <c r="O617" s="4"/>
      <c r="P617" s="4"/>
      <c r="Q617" s="4"/>
      <c r="R617" s="4"/>
      <c r="S617" s="4"/>
      <c r="T617" s="4"/>
    </row>
    <row r="618" spans="4:20">
      <c r="D618" s="24"/>
      <c r="E618" s="24"/>
      <c r="F618" s="24"/>
      <c r="G618" s="24"/>
      <c r="H618" s="24"/>
      <c r="I618" s="4"/>
      <c r="J618" s="4"/>
      <c r="K618" s="4"/>
      <c r="L618" s="24"/>
      <c r="M618" s="4"/>
      <c r="N618" s="4"/>
      <c r="O618" s="4"/>
      <c r="P618" s="4"/>
      <c r="Q618" s="4"/>
      <c r="R618" s="4"/>
      <c r="S618" s="4"/>
      <c r="T618" s="4"/>
    </row>
    <row r="619" spans="4:20">
      <c r="D619" s="24"/>
      <c r="E619" s="24"/>
      <c r="F619" s="24"/>
      <c r="G619" s="24"/>
      <c r="H619" s="24"/>
      <c r="I619" s="4"/>
      <c r="J619" s="4"/>
      <c r="K619" s="4"/>
      <c r="L619" s="24"/>
      <c r="M619" s="4"/>
      <c r="N619" s="4"/>
      <c r="O619" s="4"/>
      <c r="P619" s="4"/>
      <c r="Q619" s="4"/>
      <c r="R619" s="4"/>
      <c r="S619" s="4"/>
      <c r="T619" s="4"/>
    </row>
    <row r="620" spans="4:20">
      <c r="D620" s="24"/>
      <c r="E620" s="24"/>
      <c r="F620" s="24"/>
      <c r="G620" s="24"/>
      <c r="H620" s="24"/>
      <c r="I620" s="4"/>
      <c r="J620" s="4"/>
      <c r="K620" s="4"/>
      <c r="L620" s="24"/>
      <c r="M620" s="4"/>
      <c r="N620" s="4"/>
      <c r="O620" s="4"/>
      <c r="P620" s="4"/>
      <c r="Q620" s="4"/>
      <c r="R620" s="4"/>
      <c r="S620" s="4"/>
      <c r="T620" s="4"/>
    </row>
    <row r="621" spans="4:20">
      <c r="D621" s="24"/>
      <c r="E621" s="24"/>
      <c r="F621" s="24"/>
      <c r="G621" s="24"/>
      <c r="H621" s="24"/>
      <c r="I621" s="4"/>
      <c r="J621" s="4"/>
      <c r="K621" s="4"/>
      <c r="L621" s="24"/>
      <c r="M621" s="4"/>
      <c r="N621" s="4"/>
      <c r="O621" s="4"/>
      <c r="P621" s="4"/>
      <c r="Q621" s="4"/>
      <c r="R621" s="4"/>
      <c r="S621" s="4"/>
      <c r="T621" s="4"/>
    </row>
    <row r="622" spans="4:20">
      <c r="D622" s="24"/>
      <c r="E622" s="24"/>
      <c r="F622" s="24"/>
      <c r="G622" s="24"/>
      <c r="H622" s="24"/>
      <c r="I622" s="4"/>
      <c r="J622" s="4"/>
      <c r="K622" s="4"/>
      <c r="L622" s="24"/>
      <c r="M622" s="4"/>
      <c r="N622" s="4"/>
      <c r="O622" s="4"/>
      <c r="P622" s="4"/>
      <c r="Q622" s="4"/>
      <c r="R622" s="4"/>
      <c r="S622" s="4"/>
      <c r="T622" s="4"/>
    </row>
    <row r="623" spans="4:20">
      <c r="D623" s="24"/>
      <c r="E623" s="24"/>
      <c r="F623" s="24"/>
      <c r="G623" s="24"/>
      <c r="H623" s="24"/>
      <c r="I623" s="4"/>
      <c r="J623" s="4"/>
      <c r="K623" s="4"/>
      <c r="L623" s="24"/>
      <c r="M623" s="4"/>
      <c r="N623" s="4"/>
      <c r="O623" s="4"/>
      <c r="P623" s="4"/>
      <c r="Q623" s="4"/>
      <c r="R623" s="4"/>
      <c r="S623" s="4"/>
      <c r="T623" s="4"/>
    </row>
    <row r="624" spans="4:20">
      <c r="D624" s="24"/>
      <c r="E624" s="24"/>
      <c r="F624" s="24"/>
      <c r="G624" s="24"/>
      <c r="H624" s="24"/>
      <c r="I624" s="4"/>
      <c r="J624" s="4"/>
      <c r="K624" s="4"/>
      <c r="L624" s="24"/>
      <c r="M624" s="4"/>
      <c r="N624" s="4"/>
      <c r="O624" s="4"/>
      <c r="P624" s="4"/>
      <c r="Q624" s="4"/>
      <c r="R624" s="4"/>
      <c r="S624" s="4"/>
      <c r="T624" s="4"/>
    </row>
    <row r="625" spans="4:20">
      <c r="D625" s="24"/>
      <c r="E625" s="24"/>
      <c r="F625" s="24"/>
      <c r="G625" s="24"/>
      <c r="H625" s="24"/>
      <c r="I625" s="4"/>
      <c r="J625" s="4"/>
      <c r="K625" s="4"/>
      <c r="L625" s="24"/>
      <c r="M625" s="4"/>
      <c r="N625" s="4"/>
      <c r="O625" s="4"/>
      <c r="P625" s="4"/>
      <c r="Q625" s="4"/>
      <c r="R625" s="4"/>
      <c r="S625" s="4"/>
      <c r="T625" s="4"/>
    </row>
    <row r="626" spans="4:20">
      <c r="D626" s="24"/>
      <c r="E626" s="24"/>
      <c r="F626" s="24"/>
      <c r="G626" s="24"/>
      <c r="H626" s="24"/>
      <c r="I626" s="4"/>
      <c r="J626" s="4"/>
      <c r="K626" s="4"/>
      <c r="L626" s="24"/>
      <c r="M626" s="4"/>
      <c r="N626" s="4"/>
      <c r="O626" s="4"/>
      <c r="P626" s="4"/>
      <c r="Q626" s="4"/>
      <c r="R626" s="4"/>
      <c r="S626" s="4"/>
      <c r="T626" s="4"/>
    </row>
    <row r="627" spans="4:20">
      <c r="D627" s="24"/>
      <c r="E627" s="24"/>
      <c r="F627" s="24"/>
      <c r="G627" s="24"/>
      <c r="H627" s="24"/>
      <c r="I627" s="4"/>
      <c r="J627" s="4"/>
      <c r="K627" s="4"/>
      <c r="L627" s="24"/>
      <c r="M627" s="4"/>
      <c r="N627" s="4"/>
      <c r="O627" s="4"/>
      <c r="P627" s="4"/>
      <c r="Q627" s="4"/>
      <c r="R627" s="4"/>
      <c r="S627" s="4"/>
      <c r="T627" s="4"/>
    </row>
    <row r="628" spans="4:20">
      <c r="D628" s="24"/>
      <c r="E628" s="24"/>
      <c r="F628" s="24"/>
      <c r="G628" s="24"/>
      <c r="H628" s="24"/>
      <c r="I628" s="4"/>
      <c r="J628" s="4"/>
      <c r="K628" s="4"/>
      <c r="L628" s="24"/>
      <c r="M628" s="4"/>
      <c r="N628" s="4"/>
      <c r="O628" s="4"/>
      <c r="P628" s="4"/>
      <c r="Q628" s="4"/>
      <c r="R628" s="4"/>
      <c r="S628" s="4"/>
      <c r="T628" s="4"/>
    </row>
    <row r="629" spans="4:20">
      <c r="D629" s="24"/>
      <c r="E629" s="24"/>
      <c r="F629" s="24"/>
      <c r="G629" s="24"/>
      <c r="H629" s="24"/>
      <c r="I629" s="4"/>
      <c r="J629" s="4"/>
      <c r="K629" s="4"/>
      <c r="L629" s="24"/>
      <c r="M629" s="4"/>
      <c r="N629" s="4"/>
      <c r="O629" s="4"/>
      <c r="P629" s="4"/>
      <c r="Q629" s="4"/>
      <c r="R629" s="4"/>
      <c r="S629" s="4"/>
      <c r="T629" s="4"/>
    </row>
    <row r="630" spans="4:20">
      <c r="D630" s="24"/>
      <c r="E630" s="24"/>
      <c r="F630" s="24"/>
      <c r="G630" s="24"/>
      <c r="H630" s="24"/>
      <c r="I630" s="4"/>
      <c r="J630" s="4"/>
      <c r="K630" s="4"/>
      <c r="L630" s="24"/>
      <c r="M630" s="4"/>
      <c r="N630" s="4"/>
      <c r="O630" s="4"/>
      <c r="P630" s="4"/>
      <c r="Q630" s="4"/>
      <c r="R630" s="4"/>
      <c r="S630" s="4"/>
      <c r="T630" s="4"/>
    </row>
    <row r="631" spans="4:20">
      <c r="D631" s="24"/>
      <c r="E631" s="24"/>
      <c r="F631" s="24"/>
      <c r="G631" s="24"/>
      <c r="H631" s="24"/>
      <c r="I631" s="4"/>
      <c r="J631" s="4"/>
      <c r="K631" s="4"/>
      <c r="L631" s="24"/>
      <c r="M631" s="4"/>
      <c r="N631" s="4"/>
      <c r="O631" s="4"/>
      <c r="P631" s="4"/>
      <c r="Q631" s="4"/>
      <c r="R631" s="4"/>
      <c r="S631" s="4"/>
      <c r="T631" s="4"/>
    </row>
    <row r="632" spans="4:20">
      <c r="D632" s="24"/>
      <c r="E632" s="24"/>
      <c r="F632" s="24"/>
      <c r="G632" s="24"/>
      <c r="H632" s="24"/>
      <c r="I632" s="4"/>
      <c r="J632" s="4"/>
      <c r="K632" s="4"/>
      <c r="L632" s="24"/>
      <c r="M632" s="4"/>
      <c r="N632" s="4"/>
      <c r="O632" s="4"/>
      <c r="P632" s="4"/>
      <c r="Q632" s="4"/>
      <c r="R632" s="4"/>
      <c r="S632" s="4"/>
      <c r="T632" s="4"/>
    </row>
    <row r="633" spans="4:20">
      <c r="D633" s="24"/>
      <c r="E633" s="24"/>
      <c r="F633" s="24"/>
      <c r="G633" s="24"/>
      <c r="H633" s="24"/>
      <c r="I633" s="4"/>
      <c r="J633" s="4"/>
      <c r="K633" s="4"/>
      <c r="L633" s="24"/>
      <c r="M633" s="4"/>
      <c r="N633" s="4"/>
      <c r="O633" s="4"/>
      <c r="P633" s="4"/>
      <c r="Q633" s="4"/>
      <c r="R633" s="4"/>
      <c r="S633" s="4"/>
      <c r="T633" s="4"/>
    </row>
    <row r="634" spans="4:20">
      <c r="D634" s="24"/>
      <c r="E634" s="24"/>
      <c r="F634" s="24"/>
      <c r="G634" s="24"/>
      <c r="H634" s="24"/>
      <c r="I634" s="4"/>
      <c r="J634" s="4"/>
      <c r="K634" s="4"/>
      <c r="L634" s="24"/>
      <c r="M634" s="4"/>
      <c r="N634" s="4"/>
      <c r="O634" s="4"/>
      <c r="P634" s="4"/>
      <c r="Q634" s="4"/>
      <c r="R634" s="4"/>
      <c r="S634" s="4"/>
      <c r="T634" s="4"/>
    </row>
    <row r="635" spans="4:20">
      <c r="D635" s="24"/>
      <c r="E635" s="24"/>
      <c r="F635" s="24"/>
      <c r="G635" s="24"/>
      <c r="H635" s="24"/>
      <c r="I635" s="4"/>
      <c r="J635" s="4"/>
      <c r="K635" s="4"/>
      <c r="L635" s="24"/>
      <c r="M635" s="4"/>
      <c r="N635" s="4"/>
      <c r="O635" s="4"/>
      <c r="P635" s="4"/>
      <c r="Q635" s="4"/>
      <c r="R635" s="4"/>
      <c r="S635" s="4"/>
      <c r="T635" s="4"/>
    </row>
    <row r="636" spans="4:20">
      <c r="D636" s="24"/>
      <c r="E636" s="24"/>
      <c r="F636" s="24"/>
      <c r="G636" s="24"/>
      <c r="H636" s="24"/>
      <c r="I636" s="4"/>
      <c r="J636" s="4"/>
      <c r="K636" s="4"/>
      <c r="L636" s="24"/>
      <c r="M636" s="4"/>
      <c r="N636" s="4"/>
      <c r="O636" s="4"/>
      <c r="P636" s="4"/>
      <c r="Q636" s="4"/>
      <c r="R636" s="4"/>
      <c r="S636" s="4"/>
      <c r="T636" s="4"/>
    </row>
    <row r="637" spans="4:20">
      <c r="D637" s="24"/>
      <c r="E637" s="24"/>
      <c r="F637" s="24"/>
      <c r="G637" s="24"/>
      <c r="H637" s="24"/>
      <c r="I637" s="4"/>
      <c r="J637" s="4"/>
      <c r="K637" s="4"/>
      <c r="L637" s="24"/>
      <c r="M637" s="4"/>
      <c r="N637" s="4"/>
      <c r="O637" s="4"/>
      <c r="P637" s="4"/>
      <c r="Q637" s="4"/>
      <c r="R637" s="4"/>
      <c r="S637" s="4"/>
      <c r="T637" s="4"/>
    </row>
    <row r="638" spans="4:20">
      <c r="D638" s="24"/>
      <c r="E638" s="24"/>
      <c r="F638" s="24"/>
      <c r="G638" s="24"/>
      <c r="H638" s="24"/>
      <c r="I638" s="4"/>
      <c r="J638" s="4"/>
      <c r="K638" s="4"/>
      <c r="L638" s="24"/>
      <c r="M638" s="4"/>
      <c r="N638" s="4"/>
      <c r="O638" s="4"/>
      <c r="P638" s="4"/>
      <c r="Q638" s="4"/>
      <c r="R638" s="4"/>
      <c r="S638" s="4"/>
      <c r="T638" s="4"/>
    </row>
    <row r="639" spans="4:20">
      <c r="D639" s="24"/>
      <c r="E639" s="24"/>
      <c r="F639" s="24"/>
      <c r="G639" s="24"/>
      <c r="H639" s="24"/>
      <c r="I639" s="4"/>
      <c r="J639" s="4"/>
      <c r="K639" s="4"/>
      <c r="L639" s="24"/>
      <c r="M639" s="4"/>
      <c r="N639" s="4"/>
      <c r="O639" s="4"/>
      <c r="P639" s="4"/>
      <c r="Q639" s="4"/>
      <c r="R639" s="4"/>
      <c r="S639" s="4"/>
      <c r="T639" s="4"/>
    </row>
    <row r="640" spans="4:20">
      <c r="D640" s="24"/>
      <c r="E640" s="24"/>
      <c r="F640" s="24"/>
      <c r="G640" s="24"/>
      <c r="H640" s="24"/>
      <c r="I640" s="4"/>
      <c r="J640" s="4"/>
      <c r="K640" s="4"/>
      <c r="L640" s="24"/>
      <c r="M640" s="4"/>
      <c r="N640" s="4"/>
      <c r="O640" s="4"/>
      <c r="P640" s="4"/>
      <c r="Q640" s="4"/>
      <c r="R640" s="4"/>
      <c r="S640" s="4"/>
      <c r="T640" s="4"/>
    </row>
    <row r="641" spans="4:20">
      <c r="D641" s="24"/>
      <c r="E641" s="24"/>
      <c r="F641" s="24"/>
      <c r="G641" s="24"/>
      <c r="H641" s="24"/>
      <c r="I641" s="4"/>
      <c r="J641" s="4"/>
      <c r="K641" s="4"/>
      <c r="L641" s="24"/>
      <c r="M641" s="4"/>
      <c r="N641" s="4"/>
      <c r="O641" s="4"/>
      <c r="P641" s="4"/>
      <c r="Q641" s="4"/>
      <c r="R641" s="4"/>
      <c r="S641" s="4"/>
      <c r="T641" s="4"/>
    </row>
    <row r="642" spans="4:20">
      <c r="D642" s="24"/>
      <c r="E642" s="24"/>
      <c r="F642" s="24"/>
      <c r="G642" s="24"/>
      <c r="H642" s="24"/>
      <c r="I642" s="4"/>
      <c r="J642" s="4"/>
      <c r="K642" s="4"/>
      <c r="L642" s="24"/>
      <c r="M642" s="4"/>
      <c r="N642" s="4"/>
      <c r="O642" s="4"/>
      <c r="P642" s="4"/>
      <c r="Q642" s="4"/>
      <c r="R642" s="4"/>
      <c r="S642" s="4"/>
      <c r="T642" s="4"/>
    </row>
    <row r="643" spans="4:20">
      <c r="D643" s="24"/>
      <c r="E643" s="24"/>
      <c r="F643" s="24"/>
      <c r="G643" s="24"/>
      <c r="H643" s="24"/>
      <c r="I643" s="4"/>
      <c r="J643" s="4"/>
      <c r="K643" s="4"/>
      <c r="L643" s="24"/>
      <c r="M643" s="4"/>
      <c r="N643" s="4"/>
      <c r="O643" s="4"/>
      <c r="P643" s="4"/>
      <c r="Q643" s="4"/>
      <c r="R643" s="4"/>
      <c r="S643" s="4"/>
      <c r="T643" s="4"/>
    </row>
    <row r="644" spans="4:20">
      <c r="D644" s="24"/>
      <c r="E644" s="24"/>
      <c r="F644" s="24"/>
      <c r="G644" s="24"/>
      <c r="H644" s="24"/>
      <c r="I644" s="4"/>
      <c r="J644" s="4"/>
      <c r="K644" s="4"/>
      <c r="L644" s="24"/>
      <c r="M644" s="4"/>
      <c r="N644" s="4"/>
      <c r="O644" s="4"/>
      <c r="P644" s="4"/>
      <c r="Q644" s="4"/>
      <c r="R644" s="4"/>
      <c r="S644" s="4"/>
      <c r="T644" s="4"/>
    </row>
    <row r="645" spans="4:20">
      <c r="D645" s="24"/>
      <c r="E645" s="24"/>
      <c r="F645" s="24"/>
      <c r="G645" s="24"/>
      <c r="H645" s="24"/>
      <c r="I645" s="4"/>
      <c r="J645" s="4"/>
      <c r="K645" s="4"/>
      <c r="L645" s="24"/>
      <c r="M645" s="4"/>
      <c r="N645" s="4"/>
      <c r="O645" s="4"/>
      <c r="P645" s="4"/>
      <c r="Q645" s="4"/>
      <c r="R645" s="4"/>
      <c r="S645" s="4"/>
      <c r="T645" s="4"/>
    </row>
    <row r="646" spans="4:20">
      <c r="D646" s="24"/>
      <c r="E646" s="24"/>
      <c r="F646" s="24"/>
      <c r="G646" s="24"/>
      <c r="H646" s="24"/>
      <c r="I646" s="4"/>
      <c r="J646" s="4"/>
      <c r="K646" s="4"/>
      <c r="L646" s="24"/>
      <c r="M646" s="4"/>
      <c r="N646" s="4"/>
      <c r="O646" s="4"/>
      <c r="P646" s="4"/>
      <c r="Q646" s="4"/>
      <c r="R646" s="4"/>
      <c r="S646" s="4"/>
      <c r="T646" s="4"/>
    </row>
    <row r="647" spans="4:20">
      <c r="D647" s="24"/>
      <c r="E647" s="24"/>
      <c r="F647" s="24"/>
      <c r="G647" s="24"/>
      <c r="H647" s="24"/>
      <c r="I647" s="4"/>
      <c r="J647" s="4"/>
      <c r="K647" s="4"/>
      <c r="L647" s="24"/>
      <c r="M647" s="4"/>
      <c r="N647" s="4"/>
      <c r="O647" s="4"/>
      <c r="P647" s="4"/>
      <c r="Q647" s="4"/>
      <c r="R647" s="4"/>
      <c r="S647" s="4"/>
      <c r="T647" s="4"/>
    </row>
    <row r="648" spans="4:20">
      <c r="D648" s="24"/>
      <c r="E648" s="24"/>
      <c r="F648" s="24"/>
      <c r="G648" s="24"/>
      <c r="H648" s="24"/>
      <c r="I648" s="4"/>
      <c r="J648" s="4"/>
      <c r="K648" s="4"/>
      <c r="L648" s="24"/>
      <c r="M648" s="4"/>
      <c r="N648" s="4"/>
      <c r="O648" s="4"/>
      <c r="P648" s="4"/>
      <c r="Q648" s="4"/>
      <c r="R648" s="4"/>
      <c r="S648" s="4"/>
      <c r="T648" s="4"/>
    </row>
    <row r="649" spans="4:20">
      <c r="D649" s="24"/>
      <c r="E649" s="24"/>
      <c r="F649" s="24"/>
      <c r="G649" s="24"/>
      <c r="H649" s="24"/>
      <c r="I649" s="4"/>
      <c r="J649" s="4"/>
      <c r="K649" s="4"/>
      <c r="L649" s="24"/>
      <c r="M649" s="4"/>
      <c r="N649" s="4"/>
      <c r="O649" s="4"/>
      <c r="P649" s="4"/>
      <c r="Q649" s="4"/>
      <c r="R649" s="4"/>
      <c r="S649" s="4"/>
      <c r="T649" s="4"/>
    </row>
    <row r="650" spans="4:20">
      <c r="D650" s="24"/>
      <c r="E650" s="24"/>
      <c r="F650" s="24"/>
      <c r="G650" s="24"/>
      <c r="H650" s="24"/>
      <c r="I650" s="4"/>
      <c r="J650" s="4"/>
      <c r="K650" s="4"/>
      <c r="L650" s="24"/>
      <c r="M650" s="4"/>
      <c r="N650" s="4"/>
      <c r="O650" s="4"/>
      <c r="P650" s="4"/>
      <c r="Q650" s="4"/>
      <c r="R650" s="4"/>
      <c r="S650" s="4"/>
      <c r="T650" s="4"/>
    </row>
    <row r="651" spans="4:20">
      <c r="D651" s="24"/>
      <c r="E651" s="24"/>
      <c r="F651" s="24"/>
      <c r="G651" s="24"/>
      <c r="H651" s="24"/>
      <c r="I651" s="4"/>
      <c r="J651" s="4"/>
      <c r="K651" s="4"/>
      <c r="L651" s="24"/>
      <c r="M651" s="4"/>
      <c r="N651" s="4"/>
      <c r="O651" s="4"/>
      <c r="P651" s="4"/>
      <c r="Q651" s="4"/>
      <c r="R651" s="4"/>
      <c r="S651" s="4"/>
      <c r="T651" s="4"/>
    </row>
    <row r="652" spans="4:20">
      <c r="D652" s="24"/>
      <c r="E652" s="24"/>
      <c r="F652" s="24"/>
      <c r="G652" s="24"/>
      <c r="H652" s="24"/>
      <c r="I652" s="4"/>
      <c r="J652" s="4"/>
      <c r="K652" s="4"/>
      <c r="L652" s="24"/>
      <c r="M652" s="4"/>
      <c r="N652" s="4"/>
      <c r="O652" s="4"/>
      <c r="P652" s="4"/>
      <c r="Q652" s="4"/>
      <c r="R652" s="4"/>
      <c r="S652" s="4"/>
      <c r="T652" s="4"/>
    </row>
    <row r="653" spans="4:20">
      <c r="D653" s="24"/>
      <c r="E653" s="24"/>
      <c r="F653" s="24"/>
      <c r="G653" s="24"/>
      <c r="H653" s="24"/>
      <c r="I653" s="4"/>
      <c r="J653" s="4"/>
      <c r="K653" s="4"/>
      <c r="L653" s="24"/>
      <c r="M653" s="4"/>
      <c r="N653" s="4"/>
      <c r="O653" s="4"/>
      <c r="P653" s="4"/>
      <c r="Q653" s="4"/>
      <c r="R653" s="4"/>
      <c r="S653" s="4"/>
      <c r="T653" s="4"/>
    </row>
    <row r="654" spans="4:20">
      <c r="D654" s="24"/>
      <c r="E654" s="24"/>
      <c r="F654" s="24"/>
      <c r="G654" s="24"/>
      <c r="H654" s="24"/>
      <c r="I654" s="4"/>
      <c r="J654" s="4"/>
      <c r="K654" s="4"/>
      <c r="L654" s="24"/>
      <c r="M654" s="4"/>
      <c r="N654" s="4"/>
      <c r="O654" s="4"/>
      <c r="P654" s="4"/>
      <c r="Q654" s="4"/>
      <c r="R654" s="4"/>
      <c r="S654" s="4"/>
      <c r="T654" s="4"/>
    </row>
    <row r="655" spans="4:20">
      <c r="D655" s="24"/>
      <c r="E655" s="24"/>
      <c r="F655" s="24"/>
      <c r="G655" s="24"/>
      <c r="H655" s="24"/>
      <c r="I655" s="4"/>
      <c r="J655" s="4"/>
      <c r="K655" s="4"/>
      <c r="L655" s="24"/>
      <c r="M655" s="4"/>
      <c r="N655" s="4"/>
      <c r="O655" s="4"/>
      <c r="P655" s="4"/>
      <c r="Q655" s="4"/>
      <c r="R655" s="4"/>
      <c r="S655" s="4"/>
      <c r="T655" s="4"/>
    </row>
    <row r="656" spans="4:20">
      <c r="D656" s="24"/>
      <c r="E656" s="24"/>
      <c r="F656" s="24"/>
      <c r="G656" s="24"/>
      <c r="H656" s="24"/>
      <c r="I656" s="4"/>
      <c r="J656" s="4"/>
      <c r="K656" s="4"/>
      <c r="L656" s="24"/>
      <c r="M656" s="4"/>
      <c r="N656" s="4"/>
      <c r="O656" s="4"/>
      <c r="P656" s="4"/>
      <c r="Q656" s="4"/>
      <c r="R656" s="4"/>
      <c r="S656" s="4"/>
      <c r="T656" s="4"/>
    </row>
    <row r="657" spans="4:20">
      <c r="D657" s="24"/>
      <c r="E657" s="24"/>
      <c r="F657" s="24"/>
      <c r="G657" s="24"/>
      <c r="H657" s="24"/>
      <c r="I657" s="4"/>
      <c r="J657" s="4"/>
      <c r="K657" s="4"/>
      <c r="L657" s="24"/>
      <c r="M657" s="4"/>
      <c r="N657" s="4"/>
      <c r="O657" s="4"/>
      <c r="P657" s="4"/>
      <c r="Q657" s="4"/>
      <c r="R657" s="4"/>
      <c r="S657" s="4"/>
      <c r="T657" s="4"/>
    </row>
    <row r="658" spans="4:20">
      <c r="D658" s="24"/>
      <c r="E658" s="24"/>
      <c r="F658" s="24"/>
      <c r="G658" s="24"/>
      <c r="H658" s="24"/>
      <c r="I658" s="4"/>
      <c r="J658" s="4"/>
      <c r="K658" s="4"/>
      <c r="L658" s="24"/>
      <c r="M658" s="4"/>
      <c r="N658" s="4"/>
      <c r="O658" s="4"/>
      <c r="P658" s="4"/>
      <c r="Q658" s="4"/>
      <c r="R658" s="4"/>
      <c r="S658" s="4"/>
      <c r="T658" s="4"/>
    </row>
    <row r="659" spans="4:20">
      <c r="D659" s="24"/>
      <c r="E659" s="24"/>
      <c r="F659" s="24"/>
      <c r="G659" s="24"/>
      <c r="H659" s="24"/>
      <c r="I659" s="4"/>
      <c r="J659" s="4"/>
      <c r="K659" s="4"/>
      <c r="L659" s="24"/>
      <c r="M659" s="4"/>
      <c r="N659" s="4"/>
      <c r="O659" s="4"/>
      <c r="P659" s="4"/>
      <c r="Q659" s="4"/>
      <c r="R659" s="4"/>
      <c r="S659" s="4"/>
      <c r="T659" s="4"/>
    </row>
    <row r="660" spans="4:20">
      <c r="D660" s="24"/>
      <c r="E660" s="24"/>
      <c r="F660" s="24"/>
      <c r="G660" s="24"/>
      <c r="H660" s="24"/>
      <c r="I660" s="4"/>
      <c r="J660" s="4"/>
      <c r="K660" s="4"/>
      <c r="L660" s="24"/>
      <c r="M660" s="4"/>
      <c r="N660" s="4"/>
      <c r="O660" s="4"/>
      <c r="P660" s="4"/>
      <c r="Q660" s="4"/>
      <c r="R660" s="4"/>
      <c r="S660" s="4"/>
      <c r="T660" s="4"/>
    </row>
    <row r="661" spans="4:20">
      <c r="D661" s="24"/>
      <c r="E661" s="24"/>
      <c r="F661" s="24"/>
      <c r="G661" s="24"/>
      <c r="H661" s="24"/>
      <c r="I661" s="4"/>
      <c r="J661" s="4"/>
      <c r="K661" s="4"/>
      <c r="L661" s="24"/>
      <c r="M661" s="4"/>
      <c r="N661" s="4"/>
      <c r="O661" s="4"/>
      <c r="P661" s="4"/>
      <c r="Q661" s="4"/>
      <c r="R661" s="4"/>
      <c r="S661" s="4"/>
      <c r="T661" s="4"/>
    </row>
    <row r="662" spans="4:20">
      <c r="D662" s="24"/>
      <c r="E662" s="24"/>
      <c r="F662" s="24"/>
      <c r="G662" s="24"/>
      <c r="H662" s="24"/>
      <c r="I662" s="4"/>
      <c r="J662" s="4"/>
      <c r="K662" s="4"/>
      <c r="L662" s="24"/>
      <c r="M662" s="4"/>
      <c r="N662" s="4"/>
      <c r="O662" s="4"/>
      <c r="P662" s="4"/>
      <c r="Q662" s="4"/>
      <c r="R662" s="4"/>
      <c r="S662" s="4"/>
      <c r="T662" s="4"/>
    </row>
    <row r="663" spans="4:20">
      <c r="D663" s="24"/>
      <c r="E663" s="24"/>
      <c r="F663" s="24"/>
      <c r="G663" s="24"/>
      <c r="H663" s="24"/>
      <c r="I663" s="4"/>
      <c r="J663" s="4"/>
      <c r="K663" s="4"/>
      <c r="L663" s="24"/>
      <c r="M663" s="4"/>
      <c r="N663" s="4"/>
      <c r="O663" s="4"/>
      <c r="P663" s="4"/>
      <c r="Q663" s="4"/>
      <c r="R663" s="4"/>
      <c r="S663" s="4"/>
      <c r="T663" s="4"/>
    </row>
    <row r="664" spans="4:20">
      <c r="D664" s="24"/>
      <c r="E664" s="24"/>
      <c r="F664" s="24"/>
      <c r="G664" s="24"/>
      <c r="H664" s="24"/>
      <c r="I664" s="4"/>
      <c r="J664" s="4"/>
      <c r="K664" s="4"/>
      <c r="L664" s="24"/>
      <c r="M664" s="4"/>
      <c r="N664" s="4"/>
      <c r="O664" s="4"/>
      <c r="P664" s="4"/>
      <c r="Q664" s="4"/>
      <c r="R664" s="4"/>
      <c r="S664" s="4"/>
      <c r="T664" s="4"/>
    </row>
    <row r="665" spans="4:20">
      <c r="D665" s="24"/>
      <c r="E665" s="24"/>
      <c r="F665" s="24"/>
      <c r="G665" s="24"/>
      <c r="H665" s="24"/>
      <c r="I665" s="4"/>
      <c r="J665" s="4"/>
      <c r="K665" s="4"/>
      <c r="L665" s="24"/>
      <c r="M665" s="4"/>
      <c r="N665" s="4"/>
      <c r="O665" s="4"/>
      <c r="P665" s="4"/>
      <c r="Q665" s="4"/>
      <c r="R665" s="4"/>
      <c r="S665" s="4"/>
      <c r="T665" s="4"/>
    </row>
    <row r="666" spans="4:20">
      <c r="D666" s="24"/>
      <c r="E666" s="24"/>
      <c r="F666" s="24"/>
      <c r="G666" s="24"/>
      <c r="H666" s="24"/>
      <c r="I666" s="4"/>
      <c r="J666" s="4"/>
      <c r="K666" s="4"/>
      <c r="L666" s="24"/>
      <c r="M666" s="4"/>
      <c r="N666" s="4"/>
      <c r="O666" s="4"/>
      <c r="P666" s="4"/>
      <c r="Q666" s="4"/>
      <c r="R666" s="4"/>
      <c r="S666" s="4"/>
      <c r="T666" s="4"/>
    </row>
    <row r="667" spans="4:20">
      <c r="D667" s="24"/>
      <c r="E667" s="24"/>
      <c r="F667" s="24"/>
      <c r="G667" s="24"/>
      <c r="H667" s="24"/>
      <c r="I667" s="4"/>
      <c r="J667" s="4"/>
      <c r="K667" s="4"/>
      <c r="L667" s="24"/>
      <c r="M667" s="4"/>
      <c r="N667" s="4"/>
      <c r="O667" s="4"/>
      <c r="P667" s="4"/>
      <c r="Q667" s="4"/>
      <c r="R667" s="4"/>
      <c r="S667" s="4"/>
      <c r="T667" s="4"/>
    </row>
    <row r="668" spans="4:20">
      <c r="D668" s="24"/>
      <c r="E668" s="24"/>
      <c r="F668" s="24"/>
      <c r="G668" s="24"/>
      <c r="H668" s="24"/>
      <c r="I668" s="4"/>
      <c r="J668" s="4"/>
      <c r="K668" s="4"/>
      <c r="L668" s="24"/>
      <c r="M668" s="4"/>
      <c r="N668" s="4"/>
      <c r="O668" s="4"/>
      <c r="P668" s="4"/>
      <c r="Q668" s="4"/>
      <c r="R668" s="4"/>
      <c r="S668" s="4"/>
      <c r="T668" s="4"/>
    </row>
    <row r="669" spans="4:20">
      <c r="D669" s="24"/>
      <c r="E669" s="24"/>
      <c r="F669" s="24"/>
      <c r="G669" s="24"/>
      <c r="H669" s="24"/>
      <c r="I669" s="4"/>
      <c r="J669" s="4"/>
      <c r="K669" s="4"/>
      <c r="L669" s="24"/>
      <c r="M669" s="4"/>
      <c r="N669" s="4"/>
      <c r="O669" s="4"/>
      <c r="P669" s="4"/>
      <c r="Q669" s="4"/>
      <c r="R669" s="4"/>
      <c r="S669" s="4"/>
      <c r="T669" s="4"/>
    </row>
    <row r="670" spans="4:20">
      <c r="D670" s="24"/>
      <c r="E670" s="24"/>
      <c r="F670" s="24"/>
      <c r="G670" s="24"/>
      <c r="H670" s="24"/>
      <c r="I670" s="4"/>
      <c r="J670" s="4"/>
      <c r="K670" s="4"/>
      <c r="L670" s="24"/>
      <c r="M670" s="4"/>
      <c r="N670" s="4"/>
      <c r="O670" s="4"/>
      <c r="P670" s="4"/>
      <c r="Q670" s="4"/>
      <c r="R670" s="4"/>
      <c r="S670" s="4"/>
      <c r="T670" s="4"/>
    </row>
    <row r="671" spans="4:20">
      <c r="D671" s="24"/>
      <c r="E671" s="24"/>
      <c r="F671" s="24"/>
      <c r="G671" s="24"/>
      <c r="H671" s="24"/>
      <c r="I671" s="4"/>
      <c r="J671" s="4"/>
      <c r="K671" s="4"/>
      <c r="L671" s="24"/>
      <c r="M671" s="4"/>
      <c r="N671" s="4"/>
      <c r="O671" s="4"/>
      <c r="P671" s="4"/>
      <c r="Q671" s="4"/>
      <c r="R671" s="4"/>
      <c r="S671" s="4"/>
      <c r="T671" s="4"/>
    </row>
    <row r="672" spans="4:20">
      <c r="D672" s="24"/>
      <c r="E672" s="24"/>
      <c r="F672" s="24"/>
      <c r="G672" s="24"/>
      <c r="H672" s="24"/>
      <c r="I672" s="4"/>
      <c r="J672" s="4"/>
      <c r="K672" s="4"/>
      <c r="L672" s="24"/>
      <c r="M672" s="4"/>
      <c r="N672" s="4"/>
      <c r="O672" s="4"/>
      <c r="P672" s="4"/>
      <c r="Q672" s="4"/>
      <c r="R672" s="4"/>
      <c r="S672" s="4"/>
      <c r="T672" s="4"/>
    </row>
    <row r="673" spans="4:20">
      <c r="D673" s="24"/>
      <c r="E673" s="24"/>
      <c r="F673" s="24"/>
      <c r="G673" s="24"/>
      <c r="H673" s="24"/>
      <c r="I673" s="4"/>
      <c r="J673" s="4"/>
      <c r="K673" s="4"/>
      <c r="L673" s="24"/>
      <c r="M673" s="4"/>
      <c r="N673" s="4"/>
      <c r="O673" s="4"/>
      <c r="P673" s="4"/>
      <c r="Q673" s="4"/>
      <c r="R673" s="4"/>
      <c r="S673" s="4"/>
      <c r="T673" s="4"/>
    </row>
    <row r="674" spans="4:20">
      <c r="D674" s="24"/>
      <c r="E674" s="24"/>
      <c r="F674" s="24"/>
      <c r="G674" s="24"/>
      <c r="H674" s="24"/>
      <c r="I674" s="4"/>
      <c r="J674" s="4"/>
      <c r="K674" s="4"/>
      <c r="L674" s="24"/>
      <c r="M674" s="4"/>
      <c r="N674" s="4"/>
      <c r="O674" s="4"/>
      <c r="P674" s="4"/>
      <c r="Q674" s="4"/>
      <c r="R674" s="4"/>
      <c r="S674" s="4"/>
      <c r="T674" s="4"/>
    </row>
    <row r="675" spans="4:20">
      <c r="D675" s="24"/>
      <c r="E675" s="24"/>
      <c r="F675" s="24"/>
      <c r="G675" s="24"/>
      <c r="H675" s="24"/>
      <c r="I675" s="4"/>
      <c r="J675" s="4"/>
      <c r="K675" s="4"/>
      <c r="L675" s="24"/>
      <c r="M675" s="4"/>
      <c r="N675" s="4"/>
      <c r="O675" s="4"/>
      <c r="P675" s="4"/>
      <c r="Q675" s="4"/>
      <c r="R675" s="4"/>
      <c r="S675" s="4"/>
      <c r="T675" s="4"/>
    </row>
    <row r="676" spans="4:20">
      <c r="D676" s="24"/>
      <c r="E676" s="24"/>
      <c r="F676" s="24"/>
      <c r="G676" s="24"/>
      <c r="H676" s="24"/>
      <c r="I676" s="4"/>
      <c r="J676" s="4"/>
      <c r="K676" s="4"/>
      <c r="L676" s="24"/>
      <c r="M676" s="4"/>
      <c r="N676" s="4"/>
      <c r="O676" s="4"/>
      <c r="P676" s="4"/>
      <c r="Q676" s="4"/>
      <c r="R676" s="4"/>
      <c r="S676" s="4"/>
      <c r="T676" s="4"/>
    </row>
    <row r="677" spans="4:20">
      <c r="D677" s="24"/>
      <c r="E677" s="24"/>
      <c r="F677" s="24"/>
      <c r="G677" s="24"/>
      <c r="H677" s="24"/>
      <c r="I677" s="4"/>
      <c r="J677" s="4"/>
      <c r="K677" s="4"/>
      <c r="L677" s="24"/>
      <c r="M677" s="4"/>
      <c r="N677" s="4"/>
      <c r="O677" s="4"/>
      <c r="P677" s="4"/>
      <c r="Q677" s="4"/>
      <c r="R677" s="4"/>
      <c r="S677" s="4"/>
      <c r="T677" s="4"/>
    </row>
    <row r="678" spans="4:20">
      <c r="D678" s="24"/>
      <c r="E678" s="24"/>
      <c r="F678" s="24"/>
      <c r="G678" s="24"/>
      <c r="H678" s="24"/>
      <c r="I678" s="4"/>
      <c r="J678" s="4"/>
      <c r="K678" s="4"/>
      <c r="L678" s="24"/>
      <c r="M678" s="4"/>
      <c r="N678" s="4"/>
      <c r="O678" s="4"/>
      <c r="P678" s="4"/>
      <c r="Q678" s="4"/>
      <c r="R678" s="4"/>
      <c r="S678" s="4"/>
      <c r="T678" s="4"/>
    </row>
    <row r="679" spans="4:20">
      <c r="D679" s="24"/>
      <c r="E679" s="24"/>
      <c r="F679" s="24"/>
      <c r="G679" s="24"/>
      <c r="H679" s="24"/>
      <c r="I679" s="4"/>
      <c r="J679" s="4"/>
      <c r="K679" s="4"/>
      <c r="L679" s="24"/>
      <c r="M679" s="4"/>
      <c r="N679" s="4"/>
      <c r="O679" s="4"/>
      <c r="P679" s="4"/>
      <c r="Q679" s="4"/>
      <c r="R679" s="4"/>
      <c r="S679" s="4"/>
      <c r="T679" s="4"/>
    </row>
    <row r="680" spans="4:20">
      <c r="D680" s="24"/>
      <c r="E680" s="24"/>
      <c r="F680" s="24"/>
      <c r="G680" s="24"/>
      <c r="H680" s="24"/>
      <c r="I680" s="4"/>
      <c r="J680" s="4"/>
      <c r="K680" s="4"/>
      <c r="L680" s="24"/>
      <c r="M680" s="4"/>
      <c r="N680" s="4"/>
      <c r="O680" s="4"/>
      <c r="P680" s="4"/>
      <c r="Q680" s="4"/>
      <c r="R680" s="4"/>
      <c r="S680" s="4"/>
      <c r="T680" s="4"/>
    </row>
    <row r="681" spans="4:20">
      <c r="D681" s="24"/>
      <c r="E681" s="24"/>
      <c r="F681" s="24"/>
      <c r="G681" s="24"/>
      <c r="H681" s="24"/>
      <c r="I681" s="4"/>
      <c r="J681" s="4"/>
      <c r="K681" s="4"/>
      <c r="L681" s="24"/>
      <c r="M681" s="4"/>
      <c r="N681" s="4"/>
      <c r="O681" s="4"/>
      <c r="P681" s="4"/>
      <c r="Q681" s="4"/>
      <c r="R681" s="4"/>
      <c r="S681" s="4"/>
      <c r="T681" s="4"/>
    </row>
    <row r="682" spans="4:20">
      <c r="D682" s="24"/>
      <c r="E682" s="24"/>
      <c r="F682" s="24"/>
      <c r="G682" s="24"/>
      <c r="H682" s="24"/>
      <c r="I682" s="4"/>
      <c r="J682" s="4"/>
      <c r="K682" s="4"/>
      <c r="L682" s="24"/>
      <c r="M682" s="4"/>
      <c r="N682" s="4"/>
      <c r="O682" s="4"/>
      <c r="P682" s="4"/>
      <c r="Q682" s="4"/>
      <c r="R682" s="4"/>
      <c r="S682" s="4"/>
      <c r="T682" s="4"/>
    </row>
    <row r="683" spans="4:20">
      <c r="D683" s="24"/>
      <c r="E683" s="24"/>
      <c r="F683" s="24"/>
      <c r="G683" s="24"/>
      <c r="H683" s="24"/>
      <c r="I683" s="4"/>
      <c r="J683" s="4"/>
      <c r="K683" s="4"/>
      <c r="L683" s="24"/>
      <c r="M683" s="4"/>
      <c r="N683" s="4"/>
      <c r="O683" s="4"/>
      <c r="P683" s="4"/>
      <c r="Q683" s="4"/>
      <c r="R683" s="4"/>
      <c r="S683" s="4"/>
      <c r="T683" s="4"/>
    </row>
    <row r="684" spans="4:20">
      <c r="D684" s="24"/>
      <c r="E684" s="24"/>
      <c r="F684" s="24"/>
      <c r="G684" s="24"/>
      <c r="H684" s="24"/>
      <c r="I684" s="4"/>
      <c r="J684" s="4"/>
      <c r="K684" s="4"/>
      <c r="L684" s="24"/>
      <c r="M684" s="4"/>
      <c r="N684" s="4"/>
      <c r="O684" s="4"/>
      <c r="P684" s="4"/>
      <c r="Q684" s="4"/>
      <c r="R684" s="4"/>
      <c r="S684" s="4"/>
      <c r="T684" s="4"/>
    </row>
    <row r="685" spans="4:20">
      <c r="D685" s="24"/>
      <c r="E685" s="24"/>
      <c r="F685" s="24"/>
      <c r="G685" s="24"/>
      <c r="H685" s="24"/>
      <c r="I685" s="4"/>
      <c r="J685" s="4"/>
      <c r="K685" s="4"/>
      <c r="L685" s="24"/>
      <c r="M685" s="4"/>
      <c r="N685" s="4"/>
      <c r="O685" s="4"/>
      <c r="P685" s="4"/>
      <c r="Q685" s="4"/>
      <c r="R685" s="4"/>
      <c r="S685" s="4"/>
      <c r="T685" s="4"/>
    </row>
    <row r="686" spans="4:20">
      <c r="D686" s="24"/>
      <c r="E686" s="24"/>
      <c r="F686" s="24"/>
      <c r="G686" s="24"/>
      <c r="H686" s="24"/>
      <c r="I686" s="4"/>
      <c r="J686" s="4"/>
      <c r="K686" s="4"/>
      <c r="L686" s="24"/>
      <c r="M686" s="4"/>
      <c r="N686" s="4"/>
      <c r="O686" s="4"/>
      <c r="P686" s="4"/>
      <c r="Q686" s="4"/>
      <c r="R686" s="4"/>
      <c r="S686" s="4"/>
      <c r="T686" s="4"/>
    </row>
    <row r="687" spans="4:20">
      <c r="D687" s="24"/>
      <c r="E687" s="24"/>
      <c r="F687" s="24"/>
      <c r="G687" s="24"/>
      <c r="H687" s="24"/>
      <c r="I687" s="4"/>
      <c r="J687" s="4"/>
      <c r="K687" s="4"/>
      <c r="L687" s="24"/>
      <c r="M687" s="4"/>
      <c r="N687" s="4"/>
      <c r="O687" s="4"/>
      <c r="P687" s="4"/>
      <c r="Q687" s="4"/>
      <c r="R687" s="4"/>
      <c r="S687" s="4"/>
      <c r="T687" s="4"/>
    </row>
    <row r="688" spans="4:20">
      <c r="D688" s="24"/>
      <c r="E688" s="24"/>
      <c r="F688" s="24"/>
      <c r="G688" s="24"/>
      <c r="H688" s="24"/>
      <c r="I688" s="4"/>
      <c r="J688" s="4"/>
      <c r="K688" s="4"/>
      <c r="L688" s="24"/>
      <c r="M688" s="4"/>
      <c r="N688" s="4"/>
      <c r="O688" s="4"/>
      <c r="P688" s="4"/>
      <c r="Q688" s="4"/>
      <c r="R688" s="4"/>
      <c r="S688" s="4"/>
      <c r="T688" s="4"/>
    </row>
    <row r="689" spans="4:20">
      <c r="D689" s="24"/>
      <c r="E689" s="24"/>
      <c r="F689" s="24"/>
      <c r="G689" s="24"/>
      <c r="H689" s="24"/>
      <c r="I689" s="4"/>
      <c r="J689" s="4"/>
      <c r="K689" s="4"/>
      <c r="L689" s="24"/>
      <c r="M689" s="4"/>
      <c r="N689" s="4"/>
      <c r="O689" s="4"/>
      <c r="P689" s="4"/>
      <c r="Q689" s="4"/>
      <c r="R689" s="4"/>
      <c r="S689" s="4"/>
      <c r="T689" s="4"/>
    </row>
    <row r="690" spans="4:20">
      <c r="D690" s="24"/>
      <c r="E690" s="24"/>
      <c r="F690" s="24"/>
      <c r="G690" s="24"/>
      <c r="H690" s="24"/>
      <c r="I690" s="4"/>
      <c r="J690" s="4"/>
      <c r="K690" s="4"/>
      <c r="L690" s="24"/>
      <c r="M690" s="4"/>
      <c r="N690" s="4"/>
      <c r="O690" s="4"/>
      <c r="P690" s="4"/>
      <c r="Q690" s="4"/>
      <c r="R690" s="4"/>
      <c r="S690" s="4"/>
      <c r="T690" s="4"/>
    </row>
    <row r="691" spans="4:20">
      <c r="D691" s="24"/>
      <c r="E691" s="24"/>
      <c r="F691" s="24"/>
      <c r="G691" s="24"/>
      <c r="H691" s="24"/>
      <c r="I691" s="4"/>
      <c r="J691" s="4"/>
      <c r="K691" s="4"/>
      <c r="L691" s="24"/>
      <c r="M691" s="4"/>
      <c r="N691" s="4"/>
      <c r="O691" s="4"/>
      <c r="P691" s="4"/>
      <c r="Q691" s="4"/>
      <c r="R691" s="4"/>
      <c r="S691" s="4"/>
      <c r="T691" s="4"/>
    </row>
    <row r="692" spans="4:20">
      <c r="D692" s="24"/>
      <c r="E692" s="24"/>
      <c r="F692" s="24"/>
      <c r="G692" s="24"/>
      <c r="H692" s="24"/>
      <c r="I692" s="4"/>
      <c r="J692" s="4"/>
      <c r="K692" s="4"/>
      <c r="L692" s="24"/>
      <c r="M692" s="4"/>
      <c r="N692" s="4"/>
      <c r="O692" s="4"/>
      <c r="P692" s="4"/>
      <c r="Q692" s="4"/>
      <c r="R692" s="4"/>
      <c r="S692" s="4"/>
      <c r="T692" s="4"/>
    </row>
    <row r="693" spans="4:20">
      <c r="D693" s="24"/>
      <c r="E693" s="24"/>
      <c r="F693" s="24"/>
      <c r="G693" s="24"/>
      <c r="H693" s="24"/>
      <c r="I693" s="4"/>
      <c r="J693" s="4"/>
      <c r="K693" s="4"/>
      <c r="L693" s="24"/>
      <c r="M693" s="4"/>
      <c r="N693" s="4"/>
      <c r="O693" s="4"/>
      <c r="P693" s="4"/>
      <c r="Q693" s="4"/>
      <c r="R693" s="4"/>
      <c r="S693" s="4"/>
      <c r="T693" s="4"/>
    </row>
    <row r="694" spans="4:20">
      <c r="D694" s="24"/>
      <c r="E694" s="24"/>
      <c r="F694" s="24"/>
      <c r="G694" s="24"/>
      <c r="H694" s="24"/>
      <c r="I694" s="4"/>
      <c r="J694" s="4"/>
      <c r="K694" s="4"/>
      <c r="L694" s="24"/>
      <c r="M694" s="4"/>
      <c r="N694" s="4"/>
      <c r="O694" s="4"/>
      <c r="P694" s="4"/>
      <c r="Q694" s="4"/>
      <c r="R694" s="4"/>
      <c r="S694" s="4"/>
      <c r="T694" s="4"/>
    </row>
    <row r="695" spans="4:20">
      <c r="D695" s="24"/>
      <c r="E695" s="24"/>
      <c r="F695" s="24"/>
      <c r="G695" s="24"/>
      <c r="H695" s="24"/>
      <c r="I695" s="4"/>
      <c r="J695" s="4"/>
      <c r="K695" s="4"/>
      <c r="L695" s="24"/>
      <c r="M695" s="4"/>
      <c r="N695" s="4"/>
      <c r="O695" s="4"/>
      <c r="P695" s="4"/>
      <c r="Q695" s="4"/>
      <c r="R695" s="4"/>
      <c r="S695" s="4"/>
      <c r="T695" s="4"/>
    </row>
    <row r="696" spans="4:20">
      <c r="D696" s="24"/>
      <c r="E696" s="24"/>
      <c r="F696" s="24"/>
      <c r="G696" s="24"/>
      <c r="H696" s="24"/>
      <c r="I696" s="4"/>
      <c r="J696" s="4"/>
      <c r="K696" s="4"/>
      <c r="L696" s="24"/>
      <c r="M696" s="4"/>
      <c r="N696" s="4"/>
      <c r="O696" s="4"/>
      <c r="P696" s="4"/>
      <c r="Q696" s="4"/>
      <c r="R696" s="4"/>
      <c r="S696" s="4"/>
      <c r="T696" s="4"/>
    </row>
    <row r="697" spans="4:20">
      <c r="D697" s="24"/>
      <c r="E697" s="24"/>
      <c r="F697" s="24"/>
      <c r="G697" s="24"/>
      <c r="H697" s="24"/>
      <c r="I697" s="4"/>
      <c r="J697" s="4"/>
      <c r="K697" s="4"/>
      <c r="L697" s="24"/>
      <c r="M697" s="4"/>
      <c r="N697" s="4"/>
      <c r="O697" s="4"/>
      <c r="P697" s="4"/>
      <c r="Q697" s="4"/>
      <c r="R697" s="4"/>
      <c r="S697" s="4"/>
      <c r="T697" s="4"/>
    </row>
    <row r="698" spans="4:20">
      <c r="D698" s="24"/>
      <c r="E698" s="24"/>
      <c r="F698" s="24"/>
      <c r="G698" s="24"/>
      <c r="H698" s="24"/>
      <c r="I698" s="4"/>
      <c r="J698" s="4"/>
      <c r="K698" s="4"/>
      <c r="L698" s="24"/>
      <c r="M698" s="4"/>
      <c r="N698" s="4"/>
      <c r="O698" s="4"/>
      <c r="P698" s="4"/>
      <c r="Q698" s="4"/>
      <c r="R698" s="4"/>
      <c r="S698" s="4"/>
      <c r="T698" s="4"/>
    </row>
    <row r="699" spans="4:20">
      <c r="D699" s="24"/>
      <c r="E699" s="24"/>
      <c r="F699" s="24"/>
      <c r="G699" s="24"/>
      <c r="H699" s="24"/>
      <c r="I699" s="4"/>
      <c r="J699" s="4"/>
      <c r="K699" s="4"/>
      <c r="L699" s="24"/>
      <c r="M699" s="4"/>
      <c r="N699" s="4"/>
      <c r="O699" s="4"/>
      <c r="P699" s="4"/>
      <c r="Q699" s="4"/>
      <c r="R699" s="4"/>
      <c r="S699" s="4"/>
      <c r="T699" s="4"/>
    </row>
    <row r="700" spans="4:20">
      <c r="D700" s="24"/>
      <c r="E700" s="24"/>
      <c r="F700" s="24"/>
      <c r="G700" s="24"/>
      <c r="H700" s="24"/>
      <c r="I700" s="4"/>
      <c r="J700" s="4"/>
      <c r="K700" s="4"/>
      <c r="L700" s="24"/>
      <c r="M700" s="4"/>
      <c r="N700" s="4"/>
      <c r="O700" s="4"/>
      <c r="P700" s="4"/>
      <c r="Q700" s="4"/>
      <c r="R700" s="4"/>
      <c r="S700" s="4"/>
      <c r="T700" s="4"/>
    </row>
    <row r="701" spans="4:20">
      <c r="D701" s="24"/>
      <c r="E701" s="24"/>
      <c r="F701" s="24"/>
      <c r="G701" s="24"/>
      <c r="H701" s="24"/>
      <c r="I701" s="4"/>
      <c r="J701" s="4"/>
      <c r="K701" s="4"/>
      <c r="L701" s="24"/>
      <c r="M701" s="4"/>
      <c r="N701" s="4"/>
      <c r="O701" s="4"/>
      <c r="P701" s="4"/>
      <c r="Q701" s="4"/>
      <c r="R701" s="4"/>
      <c r="S701" s="4"/>
      <c r="T701" s="4"/>
    </row>
    <row r="702" spans="4:20">
      <c r="D702" s="24"/>
      <c r="E702" s="24"/>
      <c r="F702" s="24"/>
      <c r="G702" s="24"/>
      <c r="H702" s="24"/>
      <c r="I702" s="4"/>
      <c r="J702" s="4"/>
      <c r="K702" s="4"/>
      <c r="L702" s="24"/>
      <c r="M702" s="4"/>
      <c r="N702" s="4"/>
      <c r="O702" s="4"/>
      <c r="P702" s="4"/>
      <c r="Q702" s="4"/>
      <c r="R702" s="4"/>
      <c r="S702" s="4"/>
      <c r="T702" s="4"/>
    </row>
    <row r="703" spans="4:20">
      <c r="D703" s="24"/>
      <c r="E703" s="24"/>
      <c r="F703" s="24"/>
      <c r="G703" s="24"/>
      <c r="H703" s="24"/>
      <c r="I703" s="4"/>
      <c r="J703" s="4"/>
      <c r="K703" s="4"/>
      <c r="L703" s="24"/>
      <c r="M703" s="4"/>
      <c r="N703" s="4"/>
      <c r="O703" s="4"/>
      <c r="P703" s="4"/>
      <c r="Q703" s="4"/>
      <c r="R703" s="4"/>
      <c r="S703" s="4"/>
      <c r="T703" s="4"/>
    </row>
    <row r="704" spans="4:20">
      <c r="D704" s="24"/>
      <c r="E704" s="24"/>
      <c r="F704" s="24"/>
      <c r="G704" s="24"/>
      <c r="H704" s="24"/>
      <c r="I704" s="4"/>
      <c r="J704" s="4"/>
      <c r="K704" s="4"/>
      <c r="L704" s="24"/>
      <c r="M704" s="4"/>
      <c r="N704" s="4"/>
      <c r="O704" s="4"/>
      <c r="P704" s="4"/>
      <c r="Q704" s="4"/>
      <c r="R704" s="4"/>
      <c r="S704" s="4"/>
      <c r="T704" s="4"/>
    </row>
    <row r="705" spans="4:20">
      <c r="D705" s="24"/>
      <c r="E705" s="24"/>
      <c r="F705" s="24"/>
      <c r="G705" s="24"/>
      <c r="H705" s="24"/>
      <c r="I705" s="4"/>
      <c r="J705" s="4"/>
      <c r="K705" s="4"/>
      <c r="L705" s="24"/>
      <c r="M705" s="4"/>
      <c r="N705" s="4"/>
      <c r="O705" s="4"/>
      <c r="P705" s="4"/>
      <c r="Q705" s="4"/>
      <c r="R705" s="4"/>
      <c r="S705" s="4"/>
      <c r="T705" s="4"/>
    </row>
    <row r="706" spans="4:20">
      <c r="D706" s="24"/>
      <c r="E706" s="24"/>
      <c r="F706" s="24"/>
      <c r="G706" s="24"/>
      <c r="H706" s="24"/>
      <c r="I706" s="4"/>
      <c r="J706" s="4"/>
      <c r="K706" s="4"/>
      <c r="L706" s="24"/>
      <c r="M706" s="4"/>
      <c r="N706" s="4"/>
      <c r="O706" s="4"/>
      <c r="P706" s="4"/>
      <c r="Q706" s="4"/>
      <c r="R706" s="4"/>
      <c r="S706" s="4"/>
      <c r="T706" s="4"/>
    </row>
    <row r="707" spans="4:20">
      <c r="D707" s="24"/>
      <c r="E707" s="24"/>
      <c r="F707" s="24"/>
      <c r="G707" s="24"/>
      <c r="H707" s="24"/>
      <c r="I707" s="4"/>
      <c r="J707" s="4"/>
      <c r="K707" s="4"/>
      <c r="L707" s="24"/>
      <c r="M707" s="4"/>
      <c r="N707" s="4"/>
      <c r="O707" s="4"/>
      <c r="P707" s="4"/>
      <c r="Q707" s="4"/>
      <c r="R707" s="4"/>
      <c r="S707" s="4"/>
      <c r="T707" s="4"/>
    </row>
    <row r="708" spans="4:20">
      <c r="D708" s="24"/>
      <c r="E708" s="24"/>
      <c r="F708" s="24"/>
      <c r="G708" s="24"/>
      <c r="H708" s="24"/>
      <c r="I708" s="4"/>
      <c r="J708" s="4"/>
      <c r="K708" s="4"/>
      <c r="L708" s="24"/>
      <c r="M708" s="4"/>
      <c r="N708" s="4"/>
      <c r="O708" s="4"/>
      <c r="P708" s="4"/>
      <c r="Q708" s="4"/>
      <c r="R708" s="4"/>
      <c r="S708" s="4"/>
      <c r="T708" s="4"/>
    </row>
    <row r="709" spans="4:20">
      <c r="D709" s="24"/>
      <c r="E709" s="24"/>
      <c r="F709" s="24"/>
      <c r="G709" s="24"/>
      <c r="H709" s="24"/>
      <c r="I709" s="4"/>
      <c r="J709" s="4"/>
      <c r="K709" s="4"/>
      <c r="L709" s="24"/>
      <c r="M709" s="4"/>
      <c r="N709" s="4"/>
      <c r="O709" s="4"/>
      <c r="P709" s="4"/>
      <c r="Q709" s="4"/>
      <c r="R709" s="4"/>
      <c r="S709" s="4"/>
      <c r="T709" s="4"/>
    </row>
    <row r="710" spans="4:20">
      <c r="D710" s="24"/>
      <c r="E710" s="24"/>
      <c r="F710" s="24"/>
      <c r="G710" s="24"/>
      <c r="H710" s="24"/>
      <c r="I710" s="4"/>
      <c r="J710" s="4"/>
      <c r="K710" s="4"/>
      <c r="L710" s="24"/>
      <c r="M710" s="4"/>
      <c r="N710" s="4"/>
      <c r="O710" s="4"/>
      <c r="P710" s="4"/>
      <c r="Q710" s="4"/>
      <c r="R710" s="4"/>
      <c r="S710" s="4"/>
      <c r="T710" s="4"/>
    </row>
    <row r="711" spans="4:20">
      <c r="D711" s="24"/>
      <c r="E711" s="24"/>
      <c r="F711" s="24"/>
      <c r="G711" s="24"/>
      <c r="H711" s="24"/>
      <c r="I711" s="4"/>
      <c r="J711" s="4"/>
      <c r="K711" s="4"/>
      <c r="L711" s="24"/>
      <c r="M711" s="4"/>
      <c r="N711" s="4"/>
      <c r="O711" s="4"/>
      <c r="P711" s="4"/>
      <c r="Q711" s="4"/>
      <c r="R711" s="4"/>
      <c r="S711" s="4"/>
      <c r="T711" s="4"/>
    </row>
    <row r="712" spans="4:20">
      <c r="D712" s="24"/>
      <c r="E712" s="24"/>
      <c r="F712" s="24"/>
      <c r="G712" s="24"/>
      <c r="H712" s="24"/>
      <c r="I712" s="4"/>
      <c r="J712" s="4"/>
      <c r="K712" s="4"/>
      <c r="L712" s="24"/>
      <c r="M712" s="4"/>
      <c r="N712" s="4"/>
      <c r="O712" s="4"/>
      <c r="P712" s="4"/>
      <c r="Q712" s="4"/>
      <c r="R712" s="4"/>
      <c r="S712" s="4"/>
      <c r="T712" s="4"/>
    </row>
    <row r="713" spans="4:20">
      <c r="D713" s="24"/>
      <c r="E713" s="24"/>
      <c r="F713" s="24"/>
      <c r="G713" s="24"/>
      <c r="H713" s="24"/>
      <c r="I713" s="4"/>
      <c r="J713" s="4"/>
      <c r="K713" s="4"/>
      <c r="L713" s="24"/>
      <c r="M713" s="4"/>
      <c r="N713" s="4"/>
      <c r="O713" s="4"/>
      <c r="P713" s="4"/>
      <c r="Q713" s="4"/>
      <c r="R713" s="4"/>
      <c r="S713" s="4"/>
      <c r="T713" s="4"/>
    </row>
    <row r="714" spans="4:20">
      <c r="D714" s="24"/>
      <c r="E714" s="24"/>
      <c r="F714" s="24"/>
      <c r="G714" s="24"/>
      <c r="H714" s="24"/>
      <c r="I714" s="4"/>
      <c r="J714" s="4"/>
      <c r="K714" s="4"/>
      <c r="L714" s="24"/>
      <c r="M714" s="4"/>
      <c r="N714" s="4"/>
      <c r="O714" s="4"/>
      <c r="P714" s="4"/>
      <c r="Q714" s="4"/>
      <c r="R714" s="4"/>
      <c r="S714" s="4"/>
      <c r="T714" s="4"/>
    </row>
    <row r="715" spans="4:20">
      <c r="D715" s="24"/>
      <c r="E715" s="24"/>
      <c r="F715" s="24"/>
      <c r="G715" s="24"/>
      <c r="H715" s="24"/>
      <c r="I715" s="4"/>
      <c r="J715" s="4"/>
      <c r="K715" s="4"/>
      <c r="L715" s="24"/>
      <c r="M715" s="4"/>
      <c r="N715" s="4"/>
      <c r="O715" s="4"/>
      <c r="P715" s="4"/>
      <c r="Q715" s="4"/>
      <c r="R715" s="4"/>
      <c r="S715" s="4"/>
      <c r="T715" s="4"/>
    </row>
    <row r="716" spans="4:20">
      <c r="D716" s="24"/>
      <c r="E716" s="24"/>
      <c r="F716" s="24"/>
      <c r="G716" s="24"/>
      <c r="H716" s="24"/>
      <c r="I716" s="4"/>
      <c r="J716" s="4"/>
      <c r="K716" s="4"/>
      <c r="L716" s="24"/>
      <c r="M716" s="4"/>
      <c r="N716" s="4"/>
      <c r="O716" s="4"/>
      <c r="P716" s="4"/>
      <c r="Q716" s="4"/>
      <c r="R716" s="4"/>
      <c r="S716" s="4"/>
      <c r="T716" s="4"/>
    </row>
    <row r="717" spans="4:20">
      <c r="D717" s="24"/>
      <c r="E717" s="24"/>
      <c r="F717" s="24"/>
      <c r="G717" s="24"/>
      <c r="H717" s="24"/>
      <c r="I717" s="4"/>
      <c r="J717" s="4"/>
      <c r="K717" s="4"/>
      <c r="L717" s="24"/>
      <c r="M717" s="4"/>
      <c r="N717" s="4"/>
      <c r="O717" s="4"/>
      <c r="P717" s="4"/>
      <c r="Q717" s="4"/>
      <c r="R717" s="4"/>
      <c r="S717" s="4"/>
      <c r="T717" s="4"/>
    </row>
    <row r="718" spans="4:20">
      <c r="D718" s="24"/>
      <c r="E718" s="24"/>
      <c r="F718" s="24"/>
      <c r="G718" s="24"/>
      <c r="H718" s="24"/>
      <c r="I718" s="4"/>
      <c r="J718" s="4"/>
      <c r="K718" s="4"/>
      <c r="L718" s="24"/>
      <c r="M718" s="4"/>
      <c r="N718" s="4"/>
      <c r="O718" s="4"/>
      <c r="P718" s="4"/>
      <c r="Q718" s="4"/>
      <c r="R718" s="4"/>
      <c r="S718" s="4"/>
      <c r="T718" s="4"/>
    </row>
    <row r="719" spans="4:20">
      <c r="D719" s="24"/>
      <c r="E719" s="24"/>
      <c r="F719" s="24"/>
      <c r="G719" s="24"/>
      <c r="H719" s="24"/>
      <c r="I719" s="4"/>
      <c r="J719" s="4"/>
      <c r="K719" s="4"/>
      <c r="L719" s="24"/>
      <c r="M719" s="4"/>
      <c r="N719" s="4"/>
      <c r="O719" s="4"/>
      <c r="P719" s="4"/>
      <c r="Q719" s="4"/>
      <c r="R719" s="4"/>
      <c r="S719" s="4"/>
      <c r="T719" s="4"/>
    </row>
    <row r="720" spans="4:20">
      <c r="D720" s="24"/>
      <c r="E720" s="24"/>
      <c r="F720" s="24"/>
      <c r="G720" s="24"/>
      <c r="H720" s="24"/>
      <c r="I720" s="4"/>
      <c r="J720" s="4"/>
      <c r="K720" s="4"/>
      <c r="L720" s="24"/>
      <c r="M720" s="4"/>
      <c r="N720" s="4"/>
      <c r="O720" s="4"/>
      <c r="P720" s="4"/>
      <c r="Q720" s="4"/>
      <c r="R720" s="4"/>
      <c r="S720" s="4"/>
      <c r="T720" s="4"/>
    </row>
    <row r="721" spans="4:20">
      <c r="D721" s="24"/>
      <c r="E721" s="24"/>
      <c r="F721" s="24"/>
      <c r="G721" s="24"/>
      <c r="H721" s="24"/>
      <c r="I721" s="4"/>
      <c r="J721" s="4"/>
      <c r="K721" s="4"/>
      <c r="L721" s="24"/>
      <c r="M721" s="4"/>
      <c r="N721" s="4"/>
      <c r="O721" s="4"/>
      <c r="P721" s="4"/>
      <c r="Q721" s="4"/>
      <c r="R721" s="4"/>
      <c r="S721" s="4"/>
      <c r="T721" s="4"/>
    </row>
    <row r="722" spans="4:20">
      <c r="D722" s="24"/>
      <c r="E722" s="24"/>
      <c r="F722" s="24"/>
      <c r="G722" s="24"/>
      <c r="H722" s="24"/>
      <c r="I722" s="4"/>
      <c r="J722" s="4"/>
      <c r="K722" s="4"/>
      <c r="L722" s="24"/>
      <c r="M722" s="4"/>
      <c r="N722" s="4"/>
      <c r="O722" s="4"/>
      <c r="P722" s="4"/>
      <c r="Q722" s="4"/>
      <c r="R722" s="4"/>
      <c r="S722" s="4"/>
      <c r="T722" s="4"/>
    </row>
    <row r="723" spans="4:20">
      <c r="D723" s="24"/>
      <c r="E723" s="24"/>
      <c r="F723" s="24"/>
      <c r="G723" s="24"/>
      <c r="H723" s="24"/>
      <c r="I723" s="4"/>
      <c r="J723" s="4"/>
      <c r="K723" s="4"/>
      <c r="L723" s="24"/>
      <c r="M723" s="4"/>
      <c r="N723" s="4"/>
      <c r="O723" s="4"/>
      <c r="P723" s="4"/>
      <c r="Q723" s="4"/>
      <c r="R723" s="4"/>
      <c r="S723" s="4"/>
      <c r="T723" s="4"/>
    </row>
    <row r="724" spans="4:20">
      <c r="D724" s="24"/>
      <c r="E724" s="24"/>
      <c r="F724" s="24"/>
      <c r="G724" s="24"/>
      <c r="H724" s="24"/>
      <c r="I724" s="4"/>
      <c r="J724" s="4"/>
      <c r="K724" s="4"/>
      <c r="L724" s="24"/>
      <c r="M724" s="4"/>
      <c r="N724" s="4"/>
      <c r="O724" s="4"/>
      <c r="P724" s="4"/>
      <c r="Q724" s="4"/>
      <c r="R724" s="4"/>
      <c r="S724" s="4"/>
      <c r="T724" s="4"/>
    </row>
    <row r="725" spans="4:20">
      <c r="D725" s="24"/>
      <c r="E725" s="24"/>
      <c r="F725" s="24"/>
      <c r="G725" s="24"/>
      <c r="H725" s="24"/>
      <c r="I725" s="4"/>
      <c r="J725" s="4"/>
      <c r="K725" s="4"/>
      <c r="L725" s="24"/>
      <c r="M725" s="4"/>
      <c r="N725" s="4"/>
      <c r="O725" s="4"/>
      <c r="P725" s="4"/>
      <c r="Q725" s="4"/>
      <c r="R725" s="4"/>
      <c r="S725" s="4"/>
      <c r="T725" s="4"/>
    </row>
    <row r="726" spans="4:20">
      <c r="D726" s="24"/>
      <c r="E726" s="24"/>
      <c r="F726" s="24"/>
      <c r="G726" s="24"/>
      <c r="H726" s="24"/>
      <c r="I726" s="4"/>
      <c r="J726" s="4"/>
      <c r="K726" s="4"/>
      <c r="L726" s="24"/>
      <c r="M726" s="4"/>
      <c r="N726" s="4"/>
      <c r="O726" s="4"/>
      <c r="P726" s="4"/>
      <c r="Q726" s="4"/>
      <c r="R726" s="4"/>
      <c r="S726" s="4"/>
      <c r="T726" s="4"/>
    </row>
    <row r="727" spans="4:20">
      <c r="D727" s="24"/>
      <c r="E727" s="24"/>
      <c r="F727" s="24"/>
      <c r="G727" s="24"/>
      <c r="H727" s="24"/>
      <c r="I727" s="4"/>
      <c r="J727" s="4"/>
      <c r="K727" s="4"/>
      <c r="L727" s="24"/>
      <c r="M727" s="4"/>
      <c r="N727" s="4"/>
      <c r="O727" s="4"/>
      <c r="P727" s="4"/>
      <c r="Q727" s="4"/>
      <c r="R727" s="4"/>
      <c r="S727" s="4"/>
      <c r="T727" s="4"/>
    </row>
    <row r="728" spans="4:20">
      <c r="D728" s="24"/>
      <c r="E728" s="24"/>
      <c r="F728" s="24"/>
      <c r="G728" s="24"/>
      <c r="H728" s="24"/>
      <c r="I728" s="4"/>
      <c r="J728" s="4"/>
      <c r="K728" s="4"/>
      <c r="L728" s="24"/>
      <c r="M728" s="4"/>
      <c r="N728" s="4"/>
      <c r="O728" s="4"/>
      <c r="P728" s="4"/>
      <c r="Q728" s="4"/>
      <c r="R728" s="4"/>
      <c r="S728" s="4"/>
      <c r="T728" s="4"/>
    </row>
    <row r="729" spans="4:20">
      <c r="D729" s="24"/>
      <c r="E729" s="24"/>
      <c r="F729" s="24"/>
      <c r="G729" s="24"/>
      <c r="H729" s="24"/>
      <c r="I729" s="4"/>
      <c r="J729" s="4"/>
      <c r="K729" s="4"/>
      <c r="L729" s="24"/>
      <c r="M729" s="4"/>
      <c r="N729" s="4"/>
      <c r="O729" s="4"/>
      <c r="P729" s="4"/>
      <c r="Q729" s="4"/>
      <c r="R729" s="4"/>
      <c r="S729" s="4"/>
      <c r="T729" s="4"/>
    </row>
    <row r="730" spans="4:20">
      <c r="D730" s="24"/>
      <c r="E730" s="24"/>
      <c r="F730" s="24"/>
      <c r="G730" s="24"/>
      <c r="H730" s="24"/>
      <c r="I730" s="4"/>
      <c r="J730" s="4"/>
      <c r="K730" s="4"/>
      <c r="L730" s="24"/>
      <c r="M730" s="4"/>
      <c r="N730" s="4"/>
      <c r="O730" s="4"/>
      <c r="P730" s="4"/>
      <c r="Q730" s="4"/>
      <c r="R730" s="4"/>
      <c r="S730" s="4"/>
      <c r="T730" s="4"/>
    </row>
    <row r="731" spans="4:20">
      <c r="D731" s="24"/>
      <c r="E731" s="24"/>
      <c r="F731" s="24"/>
      <c r="G731" s="24"/>
      <c r="H731" s="24"/>
      <c r="I731" s="4"/>
      <c r="J731" s="4"/>
      <c r="K731" s="4"/>
      <c r="L731" s="24"/>
      <c r="M731" s="4"/>
      <c r="N731" s="4"/>
      <c r="O731" s="4"/>
      <c r="P731" s="4"/>
      <c r="Q731" s="4"/>
      <c r="R731" s="4"/>
      <c r="S731" s="4"/>
      <c r="T731" s="4"/>
    </row>
    <row r="732" spans="4:20">
      <c r="D732" s="24"/>
      <c r="E732" s="24"/>
      <c r="F732" s="24"/>
      <c r="G732" s="24"/>
      <c r="H732" s="24"/>
      <c r="I732" s="4"/>
      <c r="J732" s="4"/>
      <c r="K732" s="4"/>
      <c r="L732" s="24"/>
      <c r="M732" s="4"/>
      <c r="N732" s="4"/>
      <c r="O732" s="4"/>
      <c r="P732" s="4"/>
      <c r="Q732" s="4"/>
      <c r="R732" s="4"/>
      <c r="S732" s="4"/>
      <c r="T732" s="4"/>
    </row>
    <row r="733" spans="4:20">
      <c r="D733" s="24"/>
      <c r="E733" s="24"/>
      <c r="F733" s="24"/>
      <c r="G733" s="24"/>
      <c r="H733" s="24"/>
      <c r="I733" s="4"/>
      <c r="J733" s="4"/>
      <c r="K733" s="4"/>
      <c r="L733" s="24"/>
      <c r="M733" s="4"/>
      <c r="N733" s="4"/>
      <c r="O733" s="4"/>
      <c r="P733" s="4"/>
      <c r="Q733" s="4"/>
      <c r="R733" s="4"/>
      <c r="S733" s="4"/>
      <c r="T733" s="4"/>
    </row>
    <row r="734" spans="4:20">
      <c r="D734" s="24"/>
      <c r="E734" s="24"/>
      <c r="F734" s="24"/>
      <c r="G734" s="24"/>
      <c r="H734" s="24"/>
      <c r="I734" s="4"/>
      <c r="J734" s="4"/>
      <c r="K734" s="4"/>
      <c r="L734" s="24"/>
      <c r="M734" s="4"/>
      <c r="N734" s="4"/>
      <c r="O734" s="4"/>
      <c r="P734" s="4"/>
      <c r="Q734" s="4"/>
      <c r="R734" s="4"/>
      <c r="S734" s="4"/>
      <c r="T734" s="4"/>
    </row>
    <row r="735" spans="4:20">
      <c r="D735" s="24"/>
      <c r="E735" s="24"/>
      <c r="F735" s="24"/>
      <c r="G735" s="24"/>
      <c r="H735" s="24"/>
      <c r="I735" s="4"/>
      <c r="J735" s="4"/>
      <c r="K735" s="4"/>
      <c r="L735" s="24"/>
      <c r="M735" s="4"/>
      <c r="N735" s="4"/>
      <c r="O735" s="4"/>
      <c r="P735" s="4"/>
      <c r="Q735" s="4"/>
      <c r="R735" s="4"/>
      <c r="S735" s="4"/>
      <c r="T735" s="4"/>
    </row>
    <row r="736" spans="4:20">
      <c r="D736" s="24"/>
      <c r="E736" s="24"/>
      <c r="F736" s="24"/>
      <c r="G736" s="24"/>
      <c r="H736" s="24"/>
      <c r="I736" s="4"/>
      <c r="J736" s="4"/>
      <c r="K736" s="4"/>
      <c r="L736" s="24"/>
      <c r="M736" s="4"/>
      <c r="N736" s="4"/>
      <c r="O736" s="4"/>
      <c r="P736" s="4"/>
      <c r="Q736" s="4"/>
      <c r="R736" s="4"/>
      <c r="S736" s="4"/>
      <c r="T736" s="4"/>
    </row>
    <row r="737" spans="4:20">
      <c r="D737" s="24"/>
      <c r="E737" s="24"/>
      <c r="F737" s="24"/>
      <c r="G737" s="24"/>
      <c r="H737" s="24"/>
      <c r="I737" s="4"/>
      <c r="J737" s="4"/>
      <c r="K737" s="4"/>
      <c r="L737" s="24"/>
      <c r="M737" s="4"/>
      <c r="N737" s="4"/>
      <c r="O737" s="4"/>
      <c r="P737" s="4"/>
      <c r="Q737" s="4"/>
      <c r="R737" s="4"/>
      <c r="S737" s="4"/>
      <c r="T737" s="4"/>
    </row>
    <row r="738" spans="4:20">
      <c r="D738" s="24"/>
      <c r="E738" s="24"/>
      <c r="F738" s="24"/>
      <c r="G738" s="24"/>
      <c r="H738" s="24"/>
      <c r="I738" s="4"/>
      <c r="J738" s="4"/>
      <c r="K738" s="4"/>
      <c r="L738" s="24"/>
      <c r="M738" s="4"/>
      <c r="N738" s="4"/>
      <c r="O738" s="4"/>
      <c r="P738" s="4"/>
      <c r="Q738" s="4"/>
      <c r="R738" s="4"/>
      <c r="S738" s="4"/>
      <c r="T738" s="4"/>
    </row>
    <row r="739" spans="4:20">
      <c r="D739" s="24"/>
      <c r="E739" s="24"/>
      <c r="F739" s="24"/>
      <c r="G739" s="24"/>
      <c r="H739" s="24"/>
      <c r="I739" s="4"/>
      <c r="J739" s="4"/>
      <c r="K739" s="4"/>
      <c r="L739" s="24"/>
      <c r="M739" s="4"/>
      <c r="N739" s="4"/>
      <c r="O739" s="4"/>
      <c r="P739" s="4"/>
      <c r="Q739" s="4"/>
      <c r="R739" s="4"/>
      <c r="S739" s="4"/>
      <c r="T739" s="4"/>
    </row>
    <row r="740" spans="4:20">
      <c r="D740" s="24"/>
      <c r="E740" s="24"/>
      <c r="F740" s="24"/>
      <c r="G740" s="24"/>
      <c r="H740" s="24"/>
      <c r="I740" s="4"/>
      <c r="J740" s="4"/>
      <c r="K740" s="4"/>
      <c r="L740" s="24"/>
      <c r="M740" s="4"/>
      <c r="N740" s="4"/>
      <c r="O740" s="4"/>
      <c r="P740" s="4"/>
      <c r="Q740" s="4"/>
      <c r="R740" s="4"/>
      <c r="S740" s="4"/>
      <c r="T740" s="4"/>
    </row>
    <row r="741" spans="4:20">
      <c r="D741" s="24"/>
      <c r="E741" s="24"/>
      <c r="F741" s="24"/>
      <c r="G741" s="24"/>
      <c r="H741" s="24"/>
      <c r="I741" s="4"/>
      <c r="J741" s="4"/>
      <c r="K741" s="4"/>
      <c r="L741" s="24"/>
      <c r="M741" s="4"/>
      <c r="N741" s="4"/>
      <c r="O741" s="4"/>
      <c r="P741" s="4"/>
      <c r="Q741" s="4"/>
      <c r="R741" s="4"/>
      <c r="S741" s="4"/>
      <c r="T741" s="4"/>
    </row>
    <row r="742" spans="4:20">
      <c r="D742" s="24"/>
      <c r="E742" s="24"/>
      <c r="F742" s="24"/>
      <c r="G742" s="24"/>
      <c r="H742" s="24"/>
      <c r="I742" s="4"/>
      <c r="J742" s="4"/>
      <c r="K742" s="4"/>
      <c r="L742" s="24"/>
      <c r="M742" s="4"/>
      <c r="N742" s="4"/>
      <c r="O742" s="4"/>
      <c r="P742" s="4"/>
      <c r="Q742" s="4"/>
      <c r="R742" s="4"/>
      <c r="S742" s="4"/>
      <c r="T742" s="4"/>
    </row>
    <row r="743" spans="4:20">
      <c r="D743" s="24"/>
      <c r="E743" s="24"/>
      <c r="F743" s="24"/>
      <c r="G743" s="24"/>
      <c r="H743" s="24"/>
      <c r="I743" s="4"/>
      <c r="J743" s="4"/>
      <c r="K743" s="4"/>
      <c r="L743" s="24"/>
      <c r="M743" s="4"/>
      <c r="N743" s="4"/>
      <c r="O743" s="4"/>
      <c r="P743" s="4"/>
      <c r="Q743" s="4"/>
      <c r="R743" s="4"/>
      <c r="S743" s="4"/>
      <c r="T743" s="4"/>
    </row>
    <row r="744" spans="4:20">
      <c r="D744" s="24"/>
      <c r="E744" s="24"/>
      <c r="F744" s="24"/>
      <c r="G744" s="24"/>
      <c r="H744" s="24"/>
      <c r="I744" s="4"/>
      <c r="J744" s="4"/>
      <c r="K744" s="4"/>
      <c r="L744" s="24"/>
      <c r="M744" s="4"/>
      <c r="N744" s="4"/>
      <c r="O744" s="4"/>
      <c r="P744" s="4"/>
      <c r="Q744" s="4"/>
      <c r="R744" s="4"/>
      <c r="S744" s="4"/>
      <c r="T744" s="4"/>
    </row>
    <row r="745" spans="4:20">
      <c r="D745" s="24"/>
      <c r="E745" s="24"/>
      <c r="F745" s="24"/>
      <c r="G745" s="24"/>
      <c r="H745" s="24"/>
      <c r="I745" s="4"/>
      <c r="J745" s="4"/>
      <c r="K745" s="4"/>
      <c r="L745" s="24"/>
      <c r="M745" s="4"/>
      <c r="N745" s="4"/>
      <c r="O745" s="4"/>
      <c r="P745" s="4"/>
      <c r="Q745" s="4"/>
      <c r="R745" s="4"/>
      <c r="S745" s="4"/>
      <c r="T745" s="4"/>
    </row>
    <row r="746" spans="4:20">
      <c r="D746" s="24"/>
      <c r="E746" s="24"/>
      <c r="F746" s="24"/>
      <c r="G746" s="24"/>
      <c r="H746" s="24"/>
      <c r="I746" s="4"/>
      <c r="J746" s="4"/>
      <c r="K746" s="4"/>
      <c r="L746" s="24"/>
      <c r="M746" s="4"/>
      <c r="N746" s="4"/>
      <c r="O746" s="4"/>
      <c r="P746" s="4"/>
      <c r="Q746" s="4"/>
      <c r="R746" s="4"/>
      <c r="S746" s="4"/>
      <c r="T746" s="4"/>
    </row>
    <row r="747" spans="4:20">
      <c r="D747" s="24"/>
      <c r="E747" s="24"/>
      <c r="F747" s="24"/>
      <c r="G747" s="24"/>
      <c r="H747" s="24"/>
      <c r="I747" s="4"/>
      <c r="J747" s="4"/>
      <c r="K747" s="4"/>
      <c r="L747" s="24"/>
      <c r="M747" s="4"/>
      <c r="N747" s="4"/>
      <c r="O747" s="4"/>
      <c r="P747" s="4"/>
      <c r="Q747" s="4"/>
      <c r="R747" s="4"/>
      <c r="S747" s="4"/>
      <c r="T747" s="4"/>
    </row>
    <row r="748" spans="4:20">
      <c r="D748" s="24"/>
      <c r="E748" s="24"/>
      <c r="F748" s="24"/>
      <c r="G748" s="24"/>
      <c r="H748" s="24"/>
      <c r="I748" s="4"/>
      <c r="J748" s="4"/>
      <c r="K748" s="4"/>
      <c r="L748" s="24"/>
      <c r="M748" s="4"/>
      <c r="N748" s="4"/>
      <c r="O748" s="4"/>
      <c r="P748" s="4"/>
      <c r="Q748" s="4"/>
      <c r="R748" s="4"/>
      <c r="S748" s="4"/>
      <c r="T748" s="4"/>
    </row>
    <row r="749" spans="4:20">
      <c r="D749" s="24"/>
      <c r="E749" s="24"/>
      <c r="F749" s="24"/>
      <c r="G749" s="24"/>
      <c r="H749" s="24"/>
      <c r="I749" s="4"/>
      <c r="J749" s="4"/>
      <c r="K749" s="4"/>
      <c r="L749" s="24"/>
      <c r="M749" s="4"/>
      <c r="N749" s="4"/>
      <c r="O749" s="4"/>
      <c r="P749" s="4"/>
      <c r="Q749" s="4"/>
      <c r="R749" s="4"/>
      <c r="S749" s="4"/>
      <c r="T749" s="4"/>
    </row>
    <row r="750" spans="4:20">
      <c r="D750" s="24"/>
      <c r="E750" s="24"/>
      <c r="F750" s="24"/>
      <c r="G750" s="24"/>
      <c r="H750" s="24"/>
      <c r="I750" s="4"/>
      <c r="J750" s="4"/>
      <c r="K750" s="4"/>
      <c r="L750" s="24"/>
      <c r="M750" s="4"/>
      <c r="N750" s="4"/>
      <c r="O750" s="4"/>
      <c r="P750" s="4"/>
      <c r="Q750" s="4"/>
      <c r="R750" s="4"/>
      <c r="S750" s="4"/>
      <c r="T750" s="4"/>
    </row>
    <row r="751" spans="4:20">
      <c r="D751" s="24"/>
      <c r="E751" s="24"/>
      <c r="F751" s="24"/>
      <c r="G751" s="24"/>
      <c r="H751" s="24"/>
      <c r="I751" s="4"/>
      <c r="J751" s="4"/>
      <c r="K751" s="4"/>
      <c r="L751" s="24"/>
      <c r="M751" s="4"/>
      <c r="N751" s="4"/>
      <c r="O751" s="4"/>
      <c r="P751" s="4"/>
      <c r="Q751" s="4"/>
      <c r="R751" s="4"/>
      <c r="S751" s="4"/>
      <c r="T751" s="4"/>
    </row>
    <row r="752" spans="4:20">
      <c r="D752" s="24"/>
      <c r="E752" s="24"/>
      <c r="F752" s="24"/>
      <c r="G752" s="24"/>
      <c r="H752" s="24"/>
      <c r="I752" s="4"/>
      <c r="J752" s="4"/>
      <c r="K752" s="4"/>
      <c r="L752" s="24"/>
      <c r="M752" s="4"/>
      <c r="N752" s="4"/>
      <c r="O752" s="4"/>
      <c r="P752" s="4"/>
      <c r="Q752" s="4"/>
      <c r="R752" s="4"/>
      <c r="S752" s="4"/>
      <c r="T752" s="4"/>
    </row>
    <row r="753" spans="4:20">
      <c r="D753" s="24"/>
      <c r="E753" s="24"/>
      <c r="F753" s="24"/>
      <c r="G753" s="24"/>
      <c r="H753" s="24"/>
      <c r="I753" s="4"/>
      <c r="J753" s="4"/>
      <c r="K753" s="4"/>
      <c r="L753" s="24"/>
      <c r="M753" s="4"/>
      <c r="N753" s="4"/>
      <c r="O753" s="4"/>
      <c r="P753" s="4"/>
      <c r="Q753" s="4"/>
      <c r="R753" s="4"/>
      <c r="S753" s="4"/>
      <c r="T753" s="4"/>
    </row>
    <row r="754" spans="4:20">
      <c r="D754" s="24"/>
      <c r="E754" s="24"/>
      <c r="F754" s="24"/>
      <c r="G754" s="24"/>
      <c r="H754" s="24"/>
      <c r="I754" s="4"/>
      <c r="J754" s="4"/>
      <c r="K754" s="4"/>
      <c r="L754" s="24"/>
      <c r="M754" s="4"/>
      <c r="N754" s="4"/>
      <c r="O754" s="4"/>
      <c r="P754" s="4"/>
      <c r="Q754" s="4"/>
      <c r="R754" s="4"/>
      <c r="S754" s="4"/>
      <c r="T754" s="4"/>
    </row>
    <row r="755" spans="4:20">
      <c r="D755" s="24"/>
      <c r="E755" s="24"/>
      <c r="F755" s="24"/>
      <c r="G755" s="24"/>
      <c r="H755" s="24"/>
      <c r="I755" s="4"/>
      <c r="J755" s="4"/>
      <c r="K755" s="4"/>
      <c r="L755" s="24"/>
      <c r="M755" s="4"/>
      <c r="N755" s="4"/>
      <c r="O755" s="4"/>
      <c r="P755" s="4"/>
      <c r="Q755" s="4"/>
      <c r="R755" s="4"/>
      <c r="S755" s="4"/>
      <c r="T755" s="4"/>
    </row>
    <row r="756" spans="4:20">
      <c r="D756" s="24"/>
      <c r="E756" s="24"/>
      <c r="F756" s="24"/>
      <c r="G756" s="24"/>
      <c r="H756" s="24"/>
      <c r="I756" s="4"/>
      <c r="J756" s="4"/>
      <c r="K756" s="4"/>
      <c r="L756" s="24"/>
      <c r="M756" s="4"/>
      <c r="N756" s="4"/>
      <c r="O756" s="4"/>
      <c r="P756" s="4"/>
      <c r="Q756" s="4"/>
      <c r="R756" s="4"/>
      <c r="S756" s="4"/>
      <c r="T756" s="4"/>
    </row>
    <row r="757" spans="4:20">
      <c r="D757" s="24"/>
      <c r="E757" s="24"/>
      <c r="F757" s="24"/>
      <c r="G757" s="24"/>
      <c r="H757" s="24"/>
      <c r="I757" s="4"/>
      <c r="J757" s="4"/>
      <c r="K757" s="4"/>
      <c r="L757" s="24"/>
      <c r="M757" s="4"/>
      <c r="N757" s="4"/>
      <c r="O757" s="4"/>
      <c r="P757" s="4"/>
      <c r="Q757" s="4"/>
      <c r="R757" s="4"/>
      <c r="S757" s="4"/>
      <c r="T757" s="4"/>
    </row>
    <row r="758" spans="4:20">
      <c r="D758" s="24"/>
      <c r="E758" s="24"/>
      <c r="F758" s="24"/>
      <c r="G758" s="24"/>
      <c r="H758" s="24"/>
      <c r="I758" s="4"/>
      <c r="J758" s="4"/>
      <c r="K758" s="4"/>
      <c r="L758" s="24"/>
      <c r="M758" s="4"/>
      <c r="N758" s="4"/>
      <c r="O758" s="4"/>
      <c r="P758" s="4"/>
      <c r="Q758" s="4"/>
      <c r="R758" s="4"/>
      <c r="S758" s="4"/>
      <c r="T758" s="4"/>
    </row>
    <row r="759" spans="4:20">
      <c r="D759" s="24"/>
      <c r="E759" s="24"/>
      <c r="F759" s="24"/>
      <c r="G759" s="24"/>
      <c r="H759" s="24"/>
      <c r="I759" s="4"/>
      <c r="J759" s="4"/>
      <c r="K759" s="4"/>
      <c r="L759" s="24"/>
      <c r="M759" s="4"/>
      <c r="N759" s="4"/>
      <c r="O759" s="4"/>
      <c r="P759" s="4"/>
      <c r="Q759" s="4"/>
      <c r="R759" s="4"/>
      <c r="S759" s="4"/>
      <c r="T759" s="4"/>
    </row>
    <row r="760" spans="4:20">
      <c r="D760" s="24"/>
      <c r="E760" s="24"/>
      <c r="F760" s="24"/>
      <c r="G760" s="24"/>
      <c r="H760" s="24"/>
      <c r="I760" s="4"/>
      <c r="J760" s="4"/>
      <c r="K760" s="4"/>
      <c r="L760" s="24"/>
      <c r="M760" s="4"/>
      <c r="N760" s="4"/>
      <c r="O760" s="4"/>
      <c r="P760" s="4"/>
      <c r="Q760" s="4"/>
      <c r="R760" s="4"/>
      <c r="S760" s="4"/>
      <c r="T760" s="4"/>
    </row>
    <row r="761" spans="4:20">
      <c r="D761" s="24"/>
      <c r="E761" s="24"/>
      <c r="F761" s="24"/>
      <c r="G761" s="24"/>
      <c r="H761" s="24"/>
      <c r="I761" s="4"/>
      <c r="J761" s="4"/>
      <c r="K761" s="4"/>
      <c r="L761" s="24"/>
      <c r="M761" s="4"/>
      <c r="N761" s="4"/>
      <c r="O761" s="4"/>
      <c r="P761" s="4"/>
      <c r="Q761" s="4"/>
      <c r="R761" s="4"/>
      <c r="S761" s="4"/>
      <c r="T761" s="4"/>
    </row>
    <row r="762" spans="4:20">
      <c r="D762" s="24"/>
      <c r="E762" s="24"/>
      <c r="F762" s="24"/>
      <c r="G762" s="24"/>
      <c r="H762" s="24"/>
      <c r="I762" s="4"/>
      <c r="J762" s="4"/>
      <c r="K762" s="4"/>
      <c r="L762" s="24"/>
      <c r="M762" s="4"/>
      <c r="N762" s="4"/>
      <c r="O762" s="4"/>
      <c r="P762" s="4"/>
      <c r="Q762" s="4"/>
      <c r="R762" s="4"/>
      <c r="S762" s="4"/>
      <c r="T762" s="4"/>
    </row>
    <row r="763" spans="4:20">
      <c r="D763" s="24"/>
      <c r="E763" s="24"/>
      <c r="F763" s="24"/>
      <c r="G763" s="24"/>
      <c r="H763" s="24"/>
      <c r="I763" s="4"/>
      <c r="J763" s="4"/>
      <c r="K763" s="4"/>
      <c r="L763" s="24"/>
      <c r="M763" s="4"/>
      <c r="N763" s="4"/>
      <c r="O763" s="4"/>
      <c r="P763" s="4"/>
      <c r="Q763" s="4"/>
      <c r="R763" s="4"/>
      <c r="S763" s="4"/>
      <c r="T763" s="4"/>
    </row>
    <row r="764" spans="4:20">
      <c r="D764" s="24"/>
      <c r="E764" s="24"/>
      <c r="F764" s="24"/>
      <c r="G764" s="24"/>
      <c r="H764" s="24"/>
      <c r="I764" s="4"/>
      <c r="J764" s="4"/>
      <c r="K764" s="4"/>
      <c r="L764" s="24"/>
      <c r="M764" s="4"/>
      <c r="N764" s="4"/>
      <c r="O764" s="4"/>
      <c r="P764" s="4"/>
      <c r="Q764" s="4"/>
      <c r="R764" s="4"/>
      <c r="S764" s="4"/>
      <c r="T764" s="4"/>
    </row>
    <row r="765" spans="4:20">
      <c r="D765" s="24"/>
      <c r="E765" s="24"/>
      <c r="F765" s="24"/>
      <c r="G765" s="24"/>
      <c r="H765" s="24"/>
      <c r="I765" s="4"/>
      <c r="J765" s="4"/>
      <c r="K765" s="4"/>
      <c r="L765" s="24"/>
      <c r="M765" s="4"/>
      <c r="N765" s="4"/>
      <c r="O765" s="4"/>
      <c r="P765" s="4"/>
      <c r="Q765" s="4"/>
      <c r="R765" s="4"/>
      <c r="S765" s="4"/>
      <c r="T765" s="4"/>
    </row>
    <row r="766" spans="4:20">
      <c r="D766" s="24"/>
      <c r="E766" s="24"/>
      <c r="F766" s="24"/>
      <c r="G766" s="24"/>
      <c r="H766" s="24"/>
      <c r="I766" s="4"/>
      <c r="J766" s="4"/>
      <c r="K766" s="4"/>
      <c r="L766" s="24"/>
      <c r="M766" s="4"/>
      <c r="N766" s="4"/>
      <c r="O766" s="4"/>
      <c r="P766" s="4"/>
      <c r="Q766" s="4"/>
      <c r="R766" s="4"/>
      <c r="S766" s="4"/>
      <c r="T766" s="4"/>
    </row>
    <row r="767" spans="4:20">
      <c r="D767" s="24"/>
      <c r="E767" s="24"/>
      <c r="F767" s="24"/>
      <c r="G767" s="24"/>
      <c r="H767" s="24"/>
      <c r="I767" s="4"/>
      <c r="J767" s="4"/>
      <c r="K767" s="4"/>
      <c r="L767" s="24"/>
      <c r="M767" s="4"/>
      <c r="N767" s="4"/>
      <c r="O767" s="4"/>
      <c r="P767" s="4"/>
      <c r="Q767" s="4"/>
      <c r="R767" s="4"/>
      <c r="S767" s="4"/>
      <c r="T767" s="4"/>
    </row>
    <row r="768" spans="4:20">
      <c r="D768" s="24"/>
      <c r="E768" s="24"/>
      <c r="F768" s="24"/>
      <c r="G768" s="24"/>
      <c r="H768" s="24"/>
      <c r="I768" s="4"/>
      <c r="J768" s="4"/>
      <c r="K768" s="4"/>
      <c r="L768" s="24"/>
      <c r="M768" s="4"/>
      <c r="N768" s="4"/>
      <c r="O768" s="4"/>
      <c r="P768" s="4"/>
      <c r="Q768" s="4"/>
      <c r="R768" s="4"/>
      <c r="S768" s="4"/>
      <c r="T768" s="4"/>
    </row>
    <row r="769" spans="4:20">
      <c r="D769" s="24"/>
      <c r="E769" s="24"/>
      <c r="F769" s="24"/>
      <c r="G769" s="24"/>
      <c r="H769" s="24"/>
      <c r="I769" s="4"/>
      <c r="J769" s="4"/>
      <c r="K769" s="4"/>
      <c r="L769" s="24"/>
      <c r="M769" s="4"/>
      <c r="N769" s="4"/>
      <c r="O769" s="4"/>
      <c r="P769" s="4"/>
      <c r="Q769" s="4"/>
      <c r="R769" s="4"/>
      <c r="S769" s="4"/>
      <c r="T769" s="4"/>
    </row>
    <row r="770" spans="4:20">
      <c r="D770" s="24"/>
      <c r="E770" s="24"/>
      <c r="F770" s="24"/>
      <c r="G770" s="24"/>
      <c r="H770" s="24"/>
      <c r="I770" s="4"/>
      <c r="J770" s="4"/>
      <c r="K770" s="4"/>
      <c r="L770" s="24"/>
      <c r="M770" s="4"/>
      <c r="N770" s="4"/>
      <c r="O770" s="4"/>
      <c r="P770" s="4"/>
      <c r="Q770" s="4"/>
      <c r="R770" s="4"/>
      <c r="S770" s="4"/>
      <c r="T770" s="4"/>
    </row>
    <row r="771" spans="4:20">
      <c r="D771" s="24"/>
      <c r="E771" s="24"/>
      <c r="F771" s="24"/>
      <c r="G771" s="24"/>
      <c r="H771" s="24"/>
      <c r="I771" s="4"/>
      <c r="J771" s="4"/>
      <c r="K771" s="4"/>
      <c r="L771" s="24"/>
      <c r="M771" s="4"/>
      <c r="N771" s="4"/>
      <c r="O771" s="4"/>
      <c r="P771" s="4"/>
      <c r="Q771" s="4"/>
      <c r="R771" s="4"/>
      <c r="S771" s="4"/>
      <c r="T771" s="4"/>
    </row>
    <row r="772" spans="4:20">
      <c r="D772" s="24"/>
      <c r="E772" s="24"/>
      <c r="F772" s="24"/>
      <c r="G772" s="24"/>
      <c r="H772" s="24"/>
      <c r="I772" s="4"/>
      <c r="J772" s="4"/>
      <c r="K772" s="4"/>
      <c r="L772" s="24"/>
      <c r="M772" s="4"/>
      <c r="N772" s="4"/>
      <c r="O772" s="4"/>
      <c r="P772" s="4"/>
      <c r="Q772" s="4"/>
      <c r="R772" s="4"/>
      <c r="S772" s="4"/>
      <c r="T772" s="4"/>
    </row>
    <row r="773" spans="4:20">
      <c r="D773" s="24"/>
      <c r="E773" s="24"/>
      <c r="F773" s="24"/>
      <c r="G773" s="24"/>
      <c r="H773" s="24"/>
      <c r="I773" s="4"/>
      <c r="J773" s="4"/>
      <c r="K773" s="4"/>
      <c r="L773" s="24"/>
      <c r="M773" s="4"/>
      <c r="N773" s="4"/>
      <c r="O773" s="4"/>
      <c r="P773" s="4"/>
      <c r="Q773" s="4"/>
      <c r="R773" s="4"/>
      <c r="S773" s="4"/>
      <c r="T773" s="4"/>
    </row>
    <row r="774" spans="4:20">
      <c r="D774" s="24"/>
      <c r="E774" s="24"/>
      <c r="F774" s="24"/>
      <c r="G774" s="24"/>
      <c r="H774" s="24"/>
      <c r="I774" s="4"/>
      <c r="J774" s="4"/>
      <c r="K774" s="4"/>
      <c r="L774" s="24"/>
      <c r="M774" s="4"/>
      <c r="N774" s="4"/>
      <c r="O774" s="4"/>
      <c r="P774" s="4"/>
      <c r="Q774" s="4"/>
      <c r="R774" s="4"/>
      <c r="S774" s="4"/>
      <c r="T774" s="4"/>
    </row>
    <row r="775" spans="4:20">
      <c r="D775" s="24"/>
      <c r="E775" s="24"/>
      <c r="F775" s="24"/>
      <c r="G775" s="24"/>
      <c r="H775" s="24"/>
      <c r="I775" s="4"/>
      <c r="J775" s="4"/>
      <c r="K775" s="4"/>
      <c r="L775" s="24"/>
      <c r="M775" s="4"/>
      <c r="N775" s="4"/>
      <c r="O775" s="4"/>
      <c r="P775" s="4"/>
      <c r="Q775" s="4"/>
      <c r="R775" s="4"/>
      <c r="S775" s="4"/>
      <c r="T775" s="4"/>
    </row>
    <row r="776" spans="4:20">
      <c r="D776" s="24"/>
      <c r="E776" s="24"/>
      <c r="F776" s="24"/>
      <c r="G776" s="24"/>
      <c r="H776" s="24"/>
      <c r="I776" s="4"/>
      <c r="J776" s="4"/>
      <c r="K776" s="4"/>
      <c r="L776" s="24"/>
      <c r="M776" s="4"/>
      <c r="N776" s="4"/>
      <c r="O776" s="4"/>
      <c r="P776" s="4"/>
      <c r="Q776" s="4"/>
      <c r="R776" s="4"/>
      <c r="S776" s="4"/>
      <c r="T776" s="4"/>
    </row>
    <row r="777" spans="4:20">
      <c r="D777" s="24"/>
      <c r="E777" s="24"/>
      <c r="F777" s="24"/>
      <c r="G777" s="24"/>
      <c r="H777" s="24"/>
      <c r="I777" s="4"/>
      <c r="J777" s="4"/>
      <c r="K777" s="4"/>
      <c r="L777" s="24"/>
      <c r="M777" s="4"/>
      <c r="N777" s="4"/>
      <c r="O777" s="4"/>
      <c r="P777" s="4"/>
      <c r="Q777" s="4"/>
      <c r="R777" s="4"/>
      <c r="S777" s="4"/>
      <c r="T777" s="4"/>
    </row>
    <row r="778" spans="4:20">
      <c r="D778" s="24"/>
      <c r="E778" s="24"/>
      <c r="F778" s="24"/>
      <c r="G778" s="24"/>
      <c r="H778" s="24"/>
      <c r="I778" s="4"/>
      <c r="J778" s="4"/>
      <c r="K778" s="4"/>
      <c r="L778" s="24"/>
      <c r="M778" s="4"/>
      <c r="N778" s="4"/>
      <c r="O778" s="4"/>
      <c r="P778" s="4"/>
      <c r="Q778" s="4"/>
      <c r="R778" s="4"/>
      <c r="S778" s="4"/>
      <c r="T778" s="4"/>
    </row>
    <row r="779" spans="4:20">
      <c r="D779" s="24"/>
      <c r="E779" s="24"/>
      <c r="F779" s="24"/>
      <c r="G779" s="24"/>
      <c r="H779" s="24"/>
      <c r="I779" s="4"/>
      <c r="J779" s="4"/>
      <c r="K779" s="4"/>
      <c r="L779" s="24"/>
      <c r="M779" s="4"/>
      <c r="N779" s="4"/>
      <c r="O779" s="4"/>
      <c r="P779" s="4"/>
      <c r="Q779" s="4"/>
      <c r="R779" s="4"/>
      <c r="S779" s="4"/>
      <c r="T779" s="4"/>
    </row>
    <row r="780" spans="4:20">
      <c r="D780" s="24"/>
      <c r="E780" s="24"/>
      <c r="F780" s="24"/>
      <c r="G780" s="24"/>
      <c r="H780" s="24"/>
      <c r="I780" s="4"/>
      <c r="J780" s="4"/>
      <c r="K780" s="4"/>
      <c r="L780" s="24"/>
      <c r="M780" s="4"/>
      <c r="N780" s="4"/>
      <c r="O780" s="4"/>
      <c r="P780" s="4"/>
      <c r="Q780" s="4"/>
      <c r="R780" s="4"/>
      <c r="S780" s="4"/>
      <c r="T780" s="4"/>
    </row>
    <row r="781" spans="4:20">
      <c r="D781" s="24"/>
      <c r="E781" s="24"/>
      <c r="F781" s="24"/>
      <c r="G781" s="24"/>
      <c r="H781" s="24"/>
      <c r="I781" s="4"/>
      <c r="J781" s="4"/>
      <c r="K781" s="4"/>
      <c r="L781" s="24"/>
      <c r="M781" s="4"/>
      <c r="N781" s="4"/>
      <c r="O781" s="4"/>
      <c r="P781" s="4"/>
      <c r="Q781" s="4"/>
      <c r="R781" s="4"/>
      <c r="S781" s="4"/>
      <c r="T781" s="4"/>
    </row>
    <row r="782" spans="4:20">
      <c r="D782" s="24"/>
      <c r="E782" s="24"/>
      <c r="F782" s="24"/>
      <c r="G782" s="24"/>
      <c r="H782" s="24"/>
      <c r="I782" s="4"/>
      <c r="J782" s="4"/>
      <c r="K782" s="4"/>
      <c r="L782" s="24"/>
      <c r="M782" s="4"/>
      <c r="N782" s="4"/>
      <c r="O782" s="4"/>
      <c r="P782" s="4"/>
      <c r="Q782" s="4"/>
      <c r="R782" s="4"/>
      <c r="S782" s="4"/>
      <c r="T782" s="4"/>
    </row>
    <row r="783" spans="4:20">
      <c r="D783" s="24"/>
      <c r="E783" s="24"/>
      <c r="F783" s="24"/>
      <c r="G783" s="24"/>
      <c r="H783" s="24"/>
      <c r="I783" s="4"/>
      <c r="J783" s="4"/>
      <c r="K783" s="4"/>
      <c r="L783" s="24"/>
      <c r="M783" s="4"/>
      <c r="N783" s="4"/>
      <c r="O783" s="4"/>
      <c r="P783" s="4"/>
      <c r="Q783" s="4"/>
      <c r="R783" s="4"/>
      <c r="S783" s="4"/>
      <c r="T783" s="4"/>
    </row>
    <row r="784" spans="4:20">
      <c r="D784" s="24"/>
      <c r="E784" s="24"/>
      <c r="F784" s="24"/>
      <c r="G784" s="24"/>
      <c r="H784" s="24"/>
      <c r="I784" s="4"/>
      <c r="J784" s="4"/>
      <c r="K784" s="4"/>
      <c r="L784" s="24"/>
      <c r="M784" s="4"/>
      <c r="N784" s="4"/>
      <c r="O784" s="4"/>
      <c r="P784" s="4"/>
      <c r="Q784" s="4"/>
      <c r="R784" s="4"/>
      <c r="S784" s="4"/>
      <c r="T784" s="4"/>
    </row>
    <row r="785" spans="4:20">
      <c r="D785" s="24"/>
      <c r="E785" s="24"/>
      <c r="F785" s="24"/>
      <c r="G785" s="24"/>
      <c r="H785" s="24"/>
      <c r="I785" s="4"/>
      <c r="J785" s="4"/>
      <c r="K785" s="4"/>
      <c r="L785" s="24"/>
      <c r="M785" s="4"/>
      <c r="N785" s="4"/>
      <c r="O785" s="4"/>
      <c r="P785" s="4"/>
      <c r="Q785" s="4"/>
      <c r="R785" s="4"/>
      <c r="S785" s="4"/>
      <c r="T785" s="4"/>
    </row>
    <row r="786" spans="4:20">
      <c r="D786" s="24"/>
      <c r="E786" s="24"/>
      <c r="F786" s="24"/>
      <c r="G786" s="24"/>
      <c r="H786" s="24"/>
      <c r="I786" s="4"/>
      <c r="J786" s="4"/>
      <c r="K786" s="4"/>
      <c r="L786" s="24"/>
      <c r="M786" s="4"/>
      <c r="N786" s="4"/>
      <c r="O786" s="4"/>
      <c r="P786" s="4"/>
      <c r="Q786" s="4"/>
      <c r="R786" s="4"/>
      <c r="S786" s="4"/>
      <c r="T786" s="4"/>
    </row>
    <row r="787" spans="4:20">
      <c r="D787" s="24"/>
      <c r="E787" s="24"/>
      <c r="F787" s="24"/>
      <c r="G787" s="24"/>
      <c r="H787" s="24"/>
      <c r="I787" s="4"/>
      <c r="J787" s="4"/>
      <c r="K787" s="4"/>
      <c r="L787" s="24"/>
      <c r="M787" s="4"/>
      <c r="N787" s="4"/>
      <c r="O787" s="4"/>
      <c r="P787" s="4"/>
      <c r="Q787" s="4"/>
      <c r="R787" s="4"/>
      <c r="S787" s="4"/>
      <c r="T787" s="4"/>
    </row>
    <row r="788" spans="4:20">
      <c r="D788" s="24"/>
      <c r="E788" s="24"/>
      <c r="F788" s="24"/>
      <c r="G788" s="24"/>
      <c r="H788" s="24"/>
      <c r="I788" s="4"/>
      <c r="J788" s="4"/>
      <c r="K788" s="4"/>
      <c r="L788" s="24"/>
      <c r="M788" s="4"/>
      <c r="N788" s="4"/>
      <c r="O788" s="4"/>
      <c r="P788" s="4"/>
      <c r="Q788" s="4"/>
      <c r="R788" s="4"/>
      <c r="S788" s="4"/>
      <c r="T788" s="4"/>
    </row>
    <row r="789" spans="4:20">
      <c r="D789" s="24"/>
      <c r="E789" s="24"/>
      <c r="F789" s="24"/>
      <c r="G789" s="24"/>
      <c r="H789" s="24"/>
      <c r="I789" s="4"/>
      <c r="J789" s="4"/>
      <c r="K789" s="4"/>
      <c r="L789" s="24"/>
      <c r="M789" s="4"/>
      <c r="N789" s="4"/>
      <c r="O789" s="4"/>
      <c r="P789" s="4"/>
      <c r="Q789" s="4"/>
      <c r="R789" s="4"/>
      <c r="S789" s="4"/>
      <c r="T789" s="4"/>
    </row>
    <row r="790" spans="4:20">
      <c r="D790" s="24"/>
      <c r="E790" s="24"/>
      <c r="F790" s="24"/>
      <c r="G790" s="24"/>
      <c r="H790" s="24"/>
      <c r="I790" s="4"/>
      <c r="J790" s="4"/>
      <c r="K790" s="4"/>
      <c r="L790" s="24"/>
      <c r="M790" s="4"/>
      <c r="N790" s="4"/>
      <c r="O790" s="4"/>
      <c r="P790" s="4"/>
      <c r="Q790" s="4"/>
      <c r="R790" s="4"/>
      <c r="S790" s="4"/>
      <c r="T790" s="4"/>
    </row>
    <row r="791" spans="4:20">
      <c r="D791" s="24"/>
      <c r="E791" s="24"/>
      <c r="F791" s="24"/>
      <c r="G791" s="24"/>
      <c r="H791" s="24"/>
      <c r="I791" s="4"/>
      <c r="J791" s="4"/>
      <c r="K791" s="4"/>
      <c r="L791" s="24"/>
      <c r="M791" s="4"/>
      <c r="N791" s="4"/>
      <c r="O791" s="4"/>
      <c r="P791" s="4"/>
      <c r="Q791" s="4"/>
      <c r="R791" s="4"/>
      <c r="S791" s="4"/>
      <c r="T791" s="4"/>
    </row>
    <row r="792" spans="4:20">
      <c r="D792" s="24"/>
      <c r="E792" s="24"/>
      <c r="F792" s="24"/>
      <c r="G792" s="24"/>
      <c r="H792" s="24"/>
      <c r="I792" s="4"/>
      <c r="J792" s="4"/>
      <c r="K792" s="4"/>
      <c r="L792" s="24"/>
      <c r="M792" s="4"/>
      <c r="N792" s="4"/>
      <c r="O792" s="4"/>
      <c r="P792" s="4"/>
      <c r="Q792" s="4"/>
      <c r="R792" s="4"/>
      <c r="S792" s="4"/>
      <c r="T792" s="4"/>
    </row>
    <row r="793" spans="4:20">
      <c r="D793" s="24"/>
      <c r="E793" s="24"/>
      <c r="F793" s="24"/>
      <c r="G793" s="24"/>
      <c r="H793" s="24"/>
      <c r="I793" s="4"/>
      <c r="J793" s="4"/>
      <c r="K793" s="4"/>
      <c r="L793" s="24"/>
      <c r="M793" s="4"/>
      <c r="N793" s="4"/>
      <c r="O793" s="4"/>
      <c r="P793" s="4"/>
      <c r="Q793" s="4"/>
      <c r="R793" s="4"/>
      <c r="S793" s="4"/>
      <c r="T793" s="4"/>
    </row>
    <row r="794" spans="4:20">
      <c r="D794" s="24"/>
      <c r="E794" s="24"/>
      <c r="F794" s="24"/>
      <c r="G794" s="24"/>
      <c r="H794" s="24"/>
      <c r="I794" s="4"/>
      <c r="J794" s="4"/>
      <c r="K794" s="4"/>
      <c r="L794" s="24"/>
      <c r="M794" s="4"/>
      <c r="N794" s="4"/>
      <c r="O794" s="4"/>
      <c r="P794" s="4"/>
      <c r="Q794" s="4"/>
      <c r="R794" s="4"/>
      <c r="S794" s="4"/>
      <c r="T794" s="4"/>
    </row>
    <row r="795" spans="4:20">
      <c r="D795" s="24"/>
      <c r="E795" s="24"/>
      <c r="F795" s="24"/>
      <c r="G795" s="24"/>
      <c r="H795" s="24"/>
      <c r="I795" s="4"/>
      <c r="J795" s="4"/>
      <c r="K795" s="4"/>
      <c r="L795" s="24"/>
      <c r="M795" s="4"/>
      <c r="N795" s="4"/>
      <c r="O795" s="4"/>
      <c r="P795" s="4"/>
      <c r="Q795" s="4"/>
      <c r="R795" s="4"/>
      <c r="S795" s="4"/>
      <c r="T795" s="4"/>
    </row>
    <row r="796" spans="4:20">
      <c r="D796" s="24"/>
      <c r="E796" s="24"/>
      <c r="F796" s="24"/>
      <c r="G796" s="24"/>
      <c r="H796" s="24"/>
      <c r="I796" s="4"/>
      <c r="J796" s="4"/>
      <c r="K796" s="4"/>
      <c r="L796" s="24"/>
      <c r="M796" s="4"/>
      <c r="N796" s="4"/>
      <c r="O796" s="4"/>
      <c r="P796" s="4"/>
      <c r="Q796" s="4"/>
      <c r="R796" s="4"/>
      <c r="S796" s="4"/>
      <c r="T796" s="4"/>
    </row>
    <row r="797" spans="4:20">
      <c r="D797" s="24"/>
      <c r="E797" s="24"/>
      <c r="F797" s="24"/>
      <c r="G797" s="24"/>
      <c r="H797" s="24"/>
      <c r="I797" s="4"/>
      <c r="J797" s="4"/>
      <c r="K797" s="4"/>
      <c r="L797" s="24"/>
      <c r="M797" s="4"/>
      <c r="N797" s="4"/>
      <c r="O797" s="4"/>
      <c r="P797" s="4"/>
      <c r="Q797" s="4"/>
      <c r="R797" s="4"/>
      <c r="S797" s="4"/>
      <c r="T797" s="4"/>
    </row>
    <row r="798" spans="4:20">
      <c r="D798" s="24"/>
      <c r="E798" s="24"/>
      <c r="F798" s="24"/>
      <c r="G798" s="24"/>
      <c r="H798" s="24"/>
      <c r="I798" s="4"/>
      <c r="J798" s="4"/>
      <c r="K798" s="4"/>
      <c r="L798" s="24"/>
      <c r="M798" s="4"/>
      <c r="N798" s="4"/>
      <c r="O798" s="4"/>
      <c r="P798" s="4"/>
      <c r="Q798" s="4"/>
      <c r="R798" s="4"/>
      <c r="S798" s="4"/>
      <c r="T798" s="4"/>
    </row>
    <row r="799" spans="4:20">
      <c r="D799" s="24"/>
      <c r="E799" s="24"/>
      <c r="F799" s="24"/>
      <c r="G799" s="24"/>
      <c r="H799" s="24"/>
      <c r="I799" s="4"/>
      <c r="J799" s="4"/>
      <c r="K799" s="4"/>
      <c r="L799" s="24"/>
      <c r="M799" s="4"/>
      <c r="N799" s="4"/>
      <c r="O799" s="4"/>
      <c r="P799" s="4"/>
      <c r="Q799" s="4"/>
      <c r="R799" s="4"/>
      <c r="S799" s="4"/>
      <c r="T799" s="4"/>
    </row>
    <row r="800" spans="4:20">
      <c r="D800" s="24"/>
      <c r="E800" s="24"/>
      <c r="F800" s="24"/>
      <c r="G800" s="24"/>
      <c r="H800" s="24"/>
      <c r="I800" s="4"/>
      <c r="J800" s="4"/>
      <c r="K800" s="4"/>
      <c r="L800" s="24"/>
      <c r="M800" s="4"/>
      <c r="N800" s="4"/>
      <c r="O800" s="4"/>
      <c r="P800" s="4"/>
      <c r="Q800" s="4"/>
      <c r="R800" s="4"/>
      <c r="S800" s="4"/>
      <c r="T800" s="4"/>
    </row>
    <row r="801" spans="4:20">
      <c r="D801" s="24"/>
      <c r="E801" s="24"/>
      <c r="F801" s="24"/>
      <c r="G801" s="24"/>
      <c r="H801" s="24"/>
      <c r="I801" s="4"/>
      <c r="J801" s="4"/>
      <c r="K801" s="4"/>
      <c r="L801" s="24"/>
      <c r="M801" s="4"/>
      <c r="N801" s="4"/>
      <c r="O801" s="4"/>
      <c r="P801" s="4"/>
      <c r="Q801" s="4"/>
      <c r="R801" s="4"/>
      <c r="S801" s="4"/>
      <c r="T801" s="4"/>
    </row>
    <row r="802" spans="4:20">
      <c r="D802" s="24"/>
      <c r="E802" s="24"/>
      <c r="F802" s="24"/>
      <c r="G802" s="24"/>
      <c r="H802" s="24"/>
      <c r="I802" s="4"/>
      <c r="J802" s="4"/>
      <c r="K802" s="4"/>
      <c r="L802" s="24"/>
      <c r="M802" s="4"/>
      <c r="N802" s="4"/>
      <c r="O802" s="4"/>
      <c r="P802" s="4"/>
      <c r="Q802" s="4"/>
      <c r="R802" s="4"/>
      <c r="S802" s="4"/>
      <c r="T802" s="4"/>
    </row>
    <row r="803" spans="4:20">
      <c r="D803" s="24"/>
      <c r="E803" s="24"/>
      <c r="F803" s="24"/>
      <c r="G803" s="24"/>
      <c r="H803" s="24"/>
      <c r="I803" s="4"/>
      <c r="J803" s="4"/>
      <c r="K803" s="4"/>
      <c r="L803" s="24"/>
      <c r="M803" s="4"/>
      <c r="N803" s="4"/>
      <c r="O803" s="4"/>
      <c r="P803" s="4"/>
      <c r="Q803" s="4"/>
      <c r="R803" s="4"/>
      <c r="S803" s="4"/>
      <c r="T803" s="4"/>
    </row>
    <row r="804" spans="4:20">
      <c r="D804" s="24"/>
      <c r="E804" s="24"/>
      <c r="F804" s="24"/>
      <c r="G804" s="24"/>
      <c r="H804" s="24"/>
      <c r="I804" s="4"/>
      <c r="J804" s="4"/>
      <c r="K804" s="4"/>
      <c r="L804" s="24"/>
      <c r="M804" s="4"/>
      <c r="N804" s="4"/>
      <c r="O804" s="4"/>
      <c r="P804" s="4"/>
      <c r="Q804" s="4"/>
      <c r="R804" s="4"/>
      <c r="S804" s="4"/>
      <c r="T804" s="4"/>
    </row>
    <row r="805" spans="4:20">
      <c r="D805" s="24"/>
      <c r="E805" s="24"/>
      <c r="F805" s="24"/>
      <c r="G805" s="24"/>
      <c r="H805" s="24"/>
      <c r="I805" s="4"/>
      <c r="J805" s="4"/>
      <c r="K805" s="4"/>
      <c r="L805" s="24"/>
      <c r="M805" s="4"/>
      <c r="N805" s="4"/>
      <c r="O805" s="4"/>
      <c r="P805" s="4"/>
      <c r="Q805" s="4"/>
      <c r="R805" s="4"/>
      <c r="S805" s="4"/>
      <c r="T805" s="4"/>
    </row>
    <row r="806" spans="4:20">
      <c r="D806" s="24"/>
      <c r="E806" s="24"/>
      <c r="F806" s="24"/>
      <c r="G806" s="24"/>
      <c r="H806" s="24"/>
      <c r="I806" s="4"/>
      <c r="J806" s="4"/>
      <c r="K806" s="4"/>
      <c r="L806" s="24"/>
      <c r="M806" s="4"/>
      <c r="N806" s="4"/>
      <c r="O806" s="4"/>
      <c r="P806" s="4"/>
      <c r="Q806" s="4"/>
      <c r="R806" s="4"/>
      <c r="S806" s="4"/>
      <c r="T806" s="4"/>
    </row>
    <row r="807" spans="4:20">
      <c r="D807" s="24"/>
      <c r="E807" s="24"/>
      <c r="F807" s="24"/>
      <c r="G807" s="24"/>
      <c r="H807" s="24"/>
      <c r="I807" s="4"/>
      <c r="J807" s="4"/>
      <c r="K807" s="4"/>
      <c r="L807" s="24"/>
      <c r="M807" s="4"/>
      <c r="N807" s="4"/>
      <c r="O807" s="4"/>
      <c r="P807" s="4"/>
      <c r="Q807" s="4"/>
      <c r="R807" s="4"/>
      <c r="S807" s="4"/>
      <c r="T807" s="4"/>
    </row>
    <row r="808" spans="4:20">
      <c r="D808" s="24"/>
      <c r="E808" s="24"/>
      <c r="F808" s="24"/>
      <c r="G808" s="24"/>
      <c r="H808" s="24"/>
      <c r="I808" s="4"/>
      <c r="J808" s="4"/>
      <c r="K808" s="4"/>
      <c r="L808" s="24"/>
      <c r="M808" s="4"/>
      <c r="N808" s="4"/>
      <c r="O808" s="4"/>
      <c r="P808" s="4"/>
      <c r="Q808" s="4"/>
      <c r="R808" s="4"/>
      <c r="S808" s="4"/>
      <c r="T808" s="4"/>
    </row>
    <row r="809" spans="4:20">
      <c r="D809" s="24"/>
      <c r="E809" s="24"/>
      <c r="F809" s="24"/>
      <c r="G809" s="24"/>
      <c r="H809" s="24"/>
      <c r="I809" s="4"/>
      <c r="J809" s="4"/>
      <c r="K809" s="4"/>
      <c r="L809" s="24"/>
      <c r="M809" s="4"/>
      <c r="N809" s="4"/>
      <c r="O809" s="4"/>
      <c r="P809" s="4"/>
      <c r="Q809" s="4"/>
      <c r="R809" s="4"/>
      <c r="S809" s="4"/>
      <c r="T809" s="4"/>
    </row>
    <row r="810" spans="4:20">
      <c r="D810" s="24"/>
      <c r="E810" s="24"/>
      <c r="F810" s="24"/>
      <c r="G810" s="24"/>
      <c r="H810" s="24"/>
      <c r="I810" s="4"/>
      <c r="J810" s="4"/>
      <c r="K810" s="4"/>
      <c r="L810" s="24"/>
      <c r="M810" s="4"/>
      <c r="N810" s="4"/>
      <c r="O810" s="4"/>
      <c r="P810" s="4"/>
      <c r="Q810" s="4"/>
      <c r="R810" s="4"/>
      <c r="S810" s="4"/>
      <c r="T810" s="4"/>
    </row>
    <row r="811" spans="4:20">
      <c r="D811" s="24"/>
      <c r="E811" s="24"/>
      <c r="F811" s="24"/>
      <c r="G811" s="24"/>
      <c r="H811" s="24"/>
      <c r="I811" s="4"/>
      <c r="J811" s="4"/>
      <c r="K811" s="4"/>
      <c r="L811" s="24"/>
      <c r="M811" s="4"/>
      <c r="N811" s="4"/>
      <c r="O811" s="4"/>
      <c r="P811" s="4"/>
      <c r="Q811" s="4"/>
      <c r="R811" s="4"/>
      <c r="S811" s="4"/>
      <c r="T811" s="4"/>
    </row>
    <row r="812" spans="4:20">
      <c r="D812" s="24"/>
      <c r="E812" s="24"/>
      <c r="F812" s="24"/>
      <c r="G812" s="24"/>
      <c r="H812" s="24"/>
      <c r="I812" s="4"/>
      <c r="J812" s="4"/>
      <c r="K812" s="4"/>
      <c r="L812" s="24"/>
      <c r="M812" s="4"/>
      <c r="N812" s="4"/>
      <c r="O812" s="4"/>
      <c r="P812" s="4"/>
      <c r="Q812" s="4"/>
      <c r="R812" s="4"/>
      <c r="S812" s="4"/>
      <c r="T812" s="4"/>
    </row>
    <row r="813" spans="4:20">
      <c r="D813" s="24"/>
      <c r="E813" s="24"/>
      <c r="F813" s="24"/>
      <c r="G813" s="24"/>
      <c r="H813" s="24"/>
      <c r="I813" s="4"/>
      <c r="J813" s="4"/>
      <c r="K813" s="4"/>
      <c r="L813" s="24"/>
      <c r="M813" s="4"/>
      <c r="N813" s="4"/>
      <c r="O813" s="4"/>
      <c r="P813" s="4"/>
      <c r="Q813" s="4"/>
      <c r="R813" s="4"/>
      <c r="S813" s="4"/>
      <c r="T813" s="4"/>
    </row>
    <row r="814" spans="4:20">
      <c r="D814" s="24"/>
      <c r="E814" s="24"/>
      <c r="F814" s="24"/>
      <c r="G814" s="24"/>
      <c r="H814" s="24"/>
      <c r="I814" s="4"/>
      <c r="J814" s="4"/>
      <c r="K814" s="4"/>
      <c r="L814" s="24"/>
      <c r="M814" s="4"/>
      <c r="N814" s="4"/>
      <c r="O814" s="4"/>
      <c r="P814" s="4"/>
      <c r="Q814" s="4"/>
      <c r="R814" s="4"/>
      <c r="S814" s="4"/>
      <c r="T814" s="4"/>
    </row>
    <row r="815" spans="4:20">
      <c r="D815" s="24"/>
      <c r="E815" s="24"/>
      <c r="F815" s="24"/>
      <c r="G815" s="24"/>
      <c r="H815" s="24"/>
      <c r="I815" s="4"/>
      <c r="J815" s="4"/>
      <c r="K815" s="4"/>
      <c r="L815" s="24"/>
      <c r="M815" s="4"/>
      <c r="N815" s="4"/>
      <c r="O815" s="4"/>
      <c r="P815" s="4"/>
      <c r="Q815" s="4"/>
      <c r="R815" s="4"/>
      <c r="S815" s="4"/>
      <c r="T815" s="4"/>
    </row>
    <row r="816" spans="4:20">
      <c r="D816" s="24"/>
      <c r="E816" s="24"/>
      <c r="F816" s="24"/>
      <c r="G816" s="24"/>
      <c r="H816" s="24"/>
      <c r="I816" s="4"/>
      <c r="J816" s="4"/>
      <c r="K816" s="4"/>
      <c r="L816" s="24"/>
      <c r="M816" s="4"/>
      <c r="N816" s="4"/>
      <c r="O816" s="4"/>
      <c r="P816" s="4"/>
      <c r="Q816" s="4"/>
      <c r="R816" s="4"/>
      <c r="S816" s="4"/>
      <c r="T816" s="4"/>
    </row>
    <row r="817" spans="4:20">
      <c r="D817" s="24"/>
      <c r="E817" s="24"/>
      <c r="F817" s="24"/>
      <c r="G817" s="24"/>
      <c r="H817" s="24"/>
      <c r="I817" s="4"/>
      <c r="J817" s="4"/>
      <c r="K817" s="4"/>
      <c r="L817" s="24"/>
      <c r="M817" s="4"/>
      <c r="N817" s="4"/>
      <c r="O817" s="4"/>
      <c r="P817" s="4"/>
      <c r="Q817" s="4"/>
      <c r="R817" s="4"/>
      <c r="S817" s="4"/>
      <c r="T817" s="4"/>
    </row>
    <row r="818" spans="4:20">
      <c r="D818" s="24"/>
      <c r="E818" s="24"/>
      <c r="F818" s="24"/>
      <c r="G818" s="24"/>
      <c r="H818" s="24"/>
      <c r="I818" s="4"/>
      <c r="J818" s="4"/>
      <c r="K818" s="4"/>
      <c r="L818" s="24"/>
      <c r="M818" s="4"/>
      <c r="N818" s="4"/>
      <c r="O818" s="4"/>
      <c r="P818" s="4"/>
      <c r="Q818" s="4"/>
      <c r="R818" s="4"/>
      <c r="S818" s="4"/>
      <c r="T818" s="4"/>
    </row>
    <row r="819" spans="4:20">
      <c r="D819" s="24"/>
      <c r="E819" s="24"/>
      <c r="F819" s="24"/>
      <c r="G819" s="24"/>
      <c r="H819" s="24"/>
      <c r="I819" s="4"/>
      <c r="J819" s="4"/>
      <c r="K819" s="4"/>
      <c r="L819" s="24"/>
      <c r="M819" s="4"/>
      <c r="N819" s="4"/>
      <c r="O819" s="4"/>
      <c r="P819" s="4"/>
      <c r="Q819" s="4"/>
      <c r="R819" s="4"/>
      <c r="S819" s="4"/>
      <c r="T819" s="4"/>
    </row>
    <row r="820" spans="4:20">
      <c r="D820" s="24"/>
      <c r="E820" s="24"/>
      <c r="F820" s="24"/>
      <c r="G820" s="24"/>
      <c r="H820" s="24"/>
      <c r="I820" s="4"/>
      <c r="J820" s="4"/>
      <c r="K820" s="4"/>
      <c r="L820" s="24"/>
      <c r="M820" s="4"/>
      <c r="N820" s="4"/>
      <c r="O820" s="4"/>
      <c r="P820" s="4"/>
      <c r="Q820" s="4"/>
      <c r="R820" s="4"/>
      <c r="S820" s="4"/>
      <c r="T820" s="4"/>
    </row>
    <row r="821" spans="4:20">
      <c r="D821" s="24"/>
      <c r="E821" s="24"/>
      <c r="F821" s="24"/>
      <c r="G821" s="24"/>
      <c r="H821" s="24"/>
      <c r="I821" s="4"/>
      <c r="J821" s="4"/>
      <c r="K821" s="4"/>
      <c r="L821" s="24"/>
      <c r="M821" s="4"/>
      <c r="N821" s="4"/>
      <c r="O821" s="4"/>
      <c r="P821" s="4"/>
      <c r="Q821" s="4"/>
      <c r="R821" s="4"/>
      <c r="S821" s="4"/>
      <c r="T821" s="4"/>
    </row>
    <row r="822" spans="4:20">
      <c r="D822" s="24"/>
      <c r="E822" s="24"/>
      <c r="F822" s="24"/>
      <c r="G822" s="24"/>
      <c r="H822" s="24"/>
      <c r="I822" s="4"/>
      <c r="J822" s="4"/>
      <c r="K822" s="4"/>
      <c r="L822" s="24"/>
      <c r="M822" s="4"/>
      <c r="N822" s="4"/>
      <c r="O822" s="4"/>
      <c r="P822" s="4"/>
      <c r="Q822" s="4"/>
      <c r="R822" s="4"/>
      <c r="S822" s="4"/>
      <c r="T822" s="4"/>
    </row>
    <row r="823" spans="4:20">
      <c r="D823" s="24"/>
      <c r="E823" s="24"/>
      <c r="F823" s="24"/>
      <c r="G823" s="24"/>
      <c r="H823" s="24"/>
      <c r="I823" s="4"/>
      <c r="J823" s="4"/>
      <c r="K823" s="4"/>
      <c r="L823" s="24"/>
      <c r="M823" s="4"/>
      <c r="N823" s="4"/>
      <c r="O823" s="4"/>
      <c r="P823" s="4"/>
      <c r="Q823" s="4"/>
      <c r="R823" s="4"/>
      <c r="S823" s="4"/>
      <c r="T823" s="4"/>
    </row>
    <row r="824" spans="4:20">
      <c r="D824" s="24"/>
      <c r="E824" s="24"/>
      <c r="F824" s="24"/>
      <c r="G824" s="24"/>
      <c r="H824" s="24"/>
      <c r="I824" s="4"/>
      <c r="J824" s="4"/>
      <c r="K824" s="4"/>
      <c r="L824" s="24"/>
      <c r="M824" s="4"/>
      <c r="N824" s="4"/>
      <c r="O824" s="4"/>
      <c r="P824" s="4"/>
      <c r="Q824" s="4"/>
      <c r="R824" s="4"/>
      <c r="S824" s="4"/>
      <c r="T824" s="4"/>
    </row>
    <row r="825" spans="4:20">
      <c r="D825" s="24"/>
      <c r="E825" s="24"/>
      <c r="F825" s="24"/>
      <c r="G825" s="24"/>
      <c r="H825" s="24"/>
      <c r="I825" s="4"/>
      <c r="J825" s="4"/>
      <c r="K825" s="4"/>
      <c r="L825" s="24"/>
      <c r="M825" s="4"/>
      <c r="N825" s="4"/>
      <c r="O825" s="4"/>
      <c r="P825" s="4"/>
      <c r="Q825" s="4"/>
      <c r="R825" s="4"/>
      <c r="S825" s="4"/>
      <c r="T825" s="4"/>
    </row>
    <row r="826" spans="4:20">
      <c r="D826" s="24"/>
      <c r="E826" s="24"/>
      <c r="F826" s="24"/>
      <c r="G826" s="24"/>
      <c r="H826" s="24"/>
      <c r="I826" s="4"/>
      <c r="J826" s="4"/>
      <c r="K826" s="4"/>
      <c r="L826" s="24"/>
      <c r="M826" s="4"/>
      <c r="N826" s="4"/>
      <c r="O826" s="4"/>
      <c r="P826" s="4"/>
      <c r="Q826" s="4"/>
      <c r="R826" s="4"/>
      <c r="S826" s="4"/>
      <c r="T826" s="4"/>
    </row>
    <row r="827" spans="4:20">
      <c r="D827" s="24"/>
      <c r="E827" s="24"/>
      <c r="F827" s="24"/>
      <c r="G827" s="24"/>
      <c r="H827" s="24"/>
      <c r="I827" s="4"/>
      <c r="J827" s="4"/>
      <c r="K827" s="4"/>
      <c r="L827" s="24"/>
      <c r="M827" s="4"/>
      <c r="N827" s="4"/>
      <c r="O827" s="4"/>
      <c r="P827" s="4"/>
      <c r="Q827" s="4"/>
      <c r="R827" s="4"/>
      <c r="S827" s="4"/>
      <c r="T827" s="4"/>
    </row>
    <row r="828" spans="4:20">
      <c r="D828" s="24"/>
      <c r="E828" s="24"/>
      <c r="F828" s="24"/>
      <c r="G828" s="24"/>
      <c r="H828" s="24"/>
      <c r="I828" s="4"/>
      <c r="J828" s="4"/>
      <c r="K828" s="4"/>
      <c r="L828" s="24"/>
      <c r="M828" s="4"/>
      <c r="N828" s="4"/>
      <c r="O828" s="4"/>
      <c r="P828" s="4"/>
      <c r="Q828" s="4"/>
      <c r="R828" s="4"/>
      <c r="S828" s="4"/>
      <c r="T828" s="4"/>
    </row>
    <row r="829" spans="4:20">
      <c r="D829" s="24"/>
      <c r="E829" s="24"/>
      <c r="F829" s="24"/>
      <c r="G829" s="24"/>
      <c r="H829" s="24"/>
      <c r="I829" s="4"/>
      <c r="J829" s="4"/>
      <c r="K829" s="4"/>
      <c r="L829" s="24"/>
      <c r="M829" s="4"/>
      <c r="N829" s="4"/>
      <c r="O829" s="4"/>
      <c r="P829" s="4"/>
      <c r="Q829" s="4"/>
      <c r="R829" s="4"/>
      <c r="S829" s="4"/>
      <c r="T829" s="4"/>
    </row>
    <row r="830" spans="4:20">
      <c r="D830" s="24"/>
      <c r="E830" s="24"/>
      <c r="F830" s="24"/>
      <c r="G830" s="24"/>
      <c r="H830" s="24"/>
      <c r="I830" s="4"/>
      <c r="J830" s="4"/>
      <c r="K830" s="4"/>
      <c r="L830" s="24"/>
      <c r="M830" s="4"/>
      <c r="N830" s="4"/>
      <c r="O830" s="4"/>
      <c r="P830" s="4"/>
      <c r="Q830" s="4"/>
      <c r="R830" s="4"/>
      <c r="S830" s="4"/>
      <c r="T830" s="4"/>
    </row>
    <row r="831" spans="4:20">
      <c r="D831" s="24"/>
      <c r="E831" s="24"/>
      <c r="F831" s="24"/>
      <c r="G831" s="24"/>
      <c r="H831" s="24"/>
      <c r="I831" s="4"/>
      <c r="J831" s="4"/>
      <c r="K831" s="4"/>
      <c r="L831" s="24"/>
      <c r="M831" s="4"/>
      <c r="N831" s="4"/>
      <c r="O831" s="4"/>
      <c r="P831" s="4"/>
      <c r="Q831" s="4"/>
      <c r="R831" s="4"/>
      <c r="S831" s="4"/>
      <c r="T831" s="4"/>
    </row>
    <row r="832" spans="4:20">
      <c r="D832" s="24"/>
      <c r="E832" s="24"/>
      <c r="F832" s="24"/>
      <c r="G832" s="24"/>
      <c r="H832" s="24"/>
      <c r="I832" s="4"/>
      <c r="J832" s="4"/>
      <c r="K832" s="4"/>
      <c r="L832" s="24"/>
      <c r="M832" s="4"/>
      <c r="N832" s="4"/>
      <c r="O832" s="4"/>
      <c r="P832" s="4"/>
      <c r="Q832" s="4"/>
      <c r="R832" s="4"/>
      <c r="S832" s="4"/>
      <c r="T832" s="4"/>
    </row>
    <row r="833" spans="4:20">
      <c r="D833" s="24"/>
      <c r="E833" s="24"/>
      <c r="F833" s="24"/>
      <c r="G833" s="24"/>
      <c r="H833" s="24"/>
      <c r="I833" s="4"/>
      <c r="J833" s="4"/>
      <c r="K833" s="4"/>
      <c r="L833" s="24"/>
      <c r="M833" s="4"/>
      <c r="N833" s="4"/>
      <c r="O833" s="4"/>
      <c r="P833" s="4"/>
      <c r="Q833" s="4"/>
      <c r="R833" s="4"/>
      <c r="S833" s="4"/>
      <c r="T833" s="4"/>
    </row>
    <row r="834" spans="4:20">
      <c r="D834" s="24"/>
      <c r="E834" s="24"/>
      <c r="F834" s="24"/>
      <c r="G834" s="24"/>
      <c r="H834" s="24"/>
      <c r="I834" s="4"/>
      <c r="J834" s="4"/>
      <c r="K834" s="4"/>
      <c r="L834" s="24"/>
      <c r="M834" s="4"/>
      <c r="N834" s="4"/>
      <c r="O834" s="4"/>
      <c r="P834" s="4"/>
      <c r="Q834" s="4"/>
      <c r="R834" s="4"/>
      <c r="S834" s="4"/>
      <c r="T834" s="4"/>
    </row>
    <row r="835" spans="4:20">
      <c r="D835" s="24"/>
      <c r="E835" s="24"/>
      <c r="F835" s="24"/>
      <c r="G835" s="24"/>
      <c r="H835" s="24"/>
      <c r="I835" s="4"/>
      <c r="J835" s="4"/>
      <c r="K835" s="4"/>
      <c r="L835" s="24"/>
      <c r="M835" s="4"/>
      <c r="N835" s="4"/>
      <c r="O835" s="4"/>
      <c r="P835" s="4"/>
      <c r="Q835" s="4"/>
      <c r="R835" s="4"/>
      <c r="S835" s="4"/>
      <c r="T835" s="4"/>
    </row>
    <row r="836" spans="4:20">
      <c r="D836" s="24"/>
      <c r="E836" s="24"/>
      <c r="F836" s="24"/>
      <c r="G836" s="24"/>
      <c r="H836" s="24"/>
      <c r="I836" s="4"/>
      <c r="J836" s="4"/>
      <c r="K836" s="4"/>
      <c r="L836" s="24"/>
      <c r="M836" s="4"/>
      <c r="N836" s="4"/>
      <c r="O836" s="4"/>
      <c r="P836" s="4"/>
      <c r="Q836" s="4"/>
      <c r="R836" s="4"/>
      <c r="S836" s="4"/>
      <c r="T836" s="4"/>
    </row>
    <row r="837" spans="4:20">
      <c r="D837" s="24"/>
      <c r="E837" s="24"/>
      <c r="F837" s="24"/>
      <c r="G837" s="24"/>
      <c r="H837" s="24"/>
      <c r="I837" s="4"/>
      <c r="J837" s="4"/>
      <c r="K837" s="4"/>
      <c r="L837" s="24"/>
      <c r="M837" s="4"/>
      <c r="N837" s="4"/>
      <c r="O837" s="4"/>
      <c r="P837" s="4"/>
      <c r="Q837" s="4"/>
      <c r="R837" s="4"/>
      <c r="S837" s="4"/>
      <c r="T837" s="4"/>
    </row>
    <row r="838" spans="4:20">
      <c r="D838" s="24"/>
      <c r="E838" s="24"/>
      <c r="F838" s="24"/>
      <c r="G838" s="24"/>
      <c r="H838" s="24"/>
      <c r="I838" s="4"/>
      <c r="J838" s="4"/>
      <c r="K838" s="4"/>
      <c r="L838" s="24"/>
      <c r="M838" s="4"/>
      <c r="N838" s="4"/>
      <c r="O838" s="4"/>
      <c r="P838" s="4"/>
      <c r="Q838" s="4"/>
      <c r="R838" s="4"/>
      <c r="S838" s="4"/>
      <c r="T838" s="4"/>
    </row>
    <row r="839" spans="4:20">
      <c r="D839" s="24"/>
      <c r="E839" s="24"/>
      <c r="F839" s="24"/>
      <c r="G839" s="24"/>
      <c r="H839" s="24"/>
      <c r="I839" s="4"/>
      <c r="J839" s="4"/>
      <c r="K839" s="4"/>
      <c r="L839" s="24"/>
      <c r="M839" s="4"/>
      <c r="N839" s="4"/>
      <c r="O839" s="4"/>
      <c r="P839" s="4"/>
      <c r="Q839" s="4"/>
      <c r="R839" s="4"/>
      <c r="S839" s="4"/>
      <c r="T839" s="4"/>
    </row>
    <row r="840" spans="4:20">
      <c r="D840" s="24"/>
      <c r="E840" s="24"/>
      <c r="F840" s="24"/>
      <c r="G840" s="24"/>
      <c r="H840" s="24"/>
      <c r="I840" s="4"/>
      <c r="J840" s="4"/>
      <c r="K840" s="4"/>
      <c r="L840" s="24"/>
      <c r="M840" s="4"/>
      <c r="N840" s="4"/>
      <c r="O840" s="4"/>
      <c r="P840" s="4"/>
      <c r="Q840" s="4"/>
      <c r="R840" s="4"/>
      <c r="S840" s="4"/>
      <c r="T840" s="4"/>
    </row>
    <row r="841" spans="4:20">
      <c r="D841" s="24"/>
      <c r="E841" s="24"/>
      <c r="F841" s="24"/>
      <c r="G841" s="24"/>
      <c r="H841" s="24"/>
      <c r="I841" s="4"/>
      <c r="J841" s="4"/>
      <c r="K841" s="4"/>
      <c r="L841" s="24"/>
      <c r="M841" s="4"/>
      <c r="N841" s="4"/>
      <c r="O841" s="4"/>
      <c r="P841" s="4"/>
      <c r="Q841" s="4"/>
      <c r="R841" s="4"/>
      <c r="S841" s="4"/>
      <c r="T841" s="4"/>
    </row>
    <row r="842" spans="4:20">
      <c r="D842" s="24"/>
      <c r="E842" s="24"/>
      <c r="F842" s="24"/>
      <c r="G842" s="24"/>
      <c r="H842" s="24"/>
      <c r="I842" s="4"/>
      <c r="J842" s="4"/>
      <c r="K842" s="4"/>
      <c r="L842" s="24"/>
      <c r="M842" s="4"/>
      <c r="N842" s="4"/>
      <c r="O842" s="4"/>
      <c r="P842" s="4"/>
      <c r="Q842" s="4"/>
      <c r="R842" s="4"/>
      <c r="S842" s="4"/>
      <c r="T842" s="4"/>
    </row>
    <row r="843" spans="4:20">
      <c r="D843" s="24"/>
      <c r="E843" s="24"/>
      <c r="F843" s="24"/>
      <c r="G843" s="24"/>
      <c r="H843" s="24"/>
      <c r="I843" s="4"/>
      <c r="J843" s="4"/>
      <c r="K843" s="4"/>
      <c r="L843" s="24"/>
      <c r="M843" s="4"/>
      <c r="N843" s="4"/>
      <c r="O843" s="4"/>
      <c r="P843" s="4"/>
      <c r="Q843" s="4"/>
      <c r="R843" s="4"/>
      <c r="S843" s="4"/>
      <c r="T843" s="4"/>
    </row>
    <row r="844" spans="4:20">
      <c r="D844" s="24"/>
      <c r="E844" s="24"/>
      <c r="F844" s="24"/>
      <c r="G844" s="24"/>
      <c r="H844" s="24"/>
      <c r="I844" s="4"/>
      <c r="J844" s="4"/>
      <c r="K844" s="4"/>
      <c r="L844" s="24"/>
      <c r="M844" s="4"/>
      <c r="N844" s="4"/>
      <c r="O844" s="4"/>
      <c r="P844" s="4"/>
      <c r="Q844" s="4"/>
      <c r="R844" s="4"/>
      <c r="S844" s="4"/>
      <c r="T844" s="4"/>
    </row>
    <row r="845" spans="4:20">
      <c r="D845" s="24"/>
      <c r="E845" s="24"/>
      <c r="F845" s="24"/>
      <c r="G845" s="24"/>
      <c r="H845" s="24"/>
      <c r="I845" s="4"/>
      <c r="J845" s="4"/>
      <c r="K845" s="4"/>
      <c r="L845" s="24"/>
      <c r="M845" s="4"/>
      <c r="N845" s="4"/>
      <c r="O845" s="4"/>
      <c r="P845" s="4"/>
      <c r="Q845" s="4"/>
      <c r="R845" s="4"/>
      <c r="S845" s="4"/>
      <c r="T845" s="4"/>
    </row>
    <row r="846" spans="4:20">
      <c r="D846" s="24"/>
      <c r="E846" s="24"/>
      <c r="F846" s="24"/>
      <c r="G846" s="24"/>
      <c r="H846" s="24"/>
      <c r="I846" s="4"/>
      <c r="J846" s="4"/>
      <c r="K846" s="4"/>
      <c r="L846" s="24"/>
      <c r="M846" s="4"/>
      <c r="N846" s="4"/>
      <c r="O846" s="4"/>
      <c r="P846" s="4"/>
      <c r="Q846" s="4"/>
      <c r="R846" s="4"/>
      <c r="S846" s="4"/>
      <c r="T846" s="4"/>
    </row>
    <row r="847" spans="4:20">
      <c r="D847" s="24"/>
      <c r="E847" s="24"/>
      <c r="F847" s="24"/>
      <c r="G847" s="24"/>
      <c r="H847" s="24"/>
      <c r="I847" s="4"/>
      <c r="J847" s="4"/>
      <c r="K847" s="4"/>
      <c r="L847" s="24"/>
      <c r="M847" s="4"/>
      <c r="N847" s="4"/>
      <c r="O847" s="4"/>
      <c r="P847" s="4"/>
      <c r="Q847" s="4"/>
      <c r="R847" s="4"/>
      <c r="S847" s="4"/>
      <c r="T847" s="4"/>
    </row>
    <row r="848" spans="4:20">
      <c r="D848" s="24"/>
      <c r="E848" s="24"/>
      <c r="F848" s="24"/>
      <c r="G848" s="24"/>
      <c r="H848" s="24"/>
      <c r="I848" s="4"/>
      <c r="J848" s="4"/>
      <c r="K848" s="4"/>
      <c r="L848" s="24"/>
      <c r="M848" s="4"/>
      <c r="N848" s="4"/>
      <c r="O848" s="4"/>
      <c r="P848" s="4"/>
      <c r="Q848" s="4"/>
      <c r="R848" s="4"/>
      <c r="S848" s="4"/>
      <c r="T848" s="4"/>
    </row>
    <row r="849" spans="4:20">
      <c r="D849" s="24"/>
      <c r="E849" s="24"/>
      <c r="F849" s="24"/>
      <c r="G849" s="24"/>
      <c r="H849" s="24"/>
      <c r="I849" s="4"/>
      <c r="J849" s="4"/>
      <c r="K849" s="4"/>
      <c r="L849" s="24"/>
      <c r="M849" s="4"/>
      <c r="N849" s="4"/>
      <c r="O849" s="4"/>
      <c r="P849" s="4"/>
      <c r="Q849" s="4"/>
      <c r="R849" s="4"/>
      <c r="S849" s="4"/>
      <c r="T849" s="4"/>
    </row>
    <row r="850" spans="4:20">
      <c r="D850" s="24"/>
      <c r="E850" s="24"/>
      <c r="F850" s="24"/>
      <c r="G850" s="24"/>
      <c r="H850" s="24"/>
      <c r="I850" s="4"/>
      <c r="J850" s="4"/>
      <c r="K850" s="4"/>
      <c r="L850" s="24"/>
      <c r="M850" s="4"/>
      <c r="N850" s="4"/>
      <c r="O850" s="4"/>
      <c r="P850" s="4"/>
      <c r="Q850" s="4"/>
      <c r="R850" s="4"/>
      <c r="S850" s="4"/>
      <c r="T850" s="4"/>
    </row>
    <row r="851" spans="4:20">
      <c r="D851" s="24"/>
      <c r="E851" s="24"/>
      <c r="F851" s="24"/>
      <c r="G851" s="24"/>
      <c r="H851" s="24"/>
      <c r="I851" s="4"/>
      <c r="J851" s="4"/>
      <c r="K851" s="4"/>
      <c r="L851" s="24"/>
      <c r="M851" s="4"/>
      <c r="N851" s="4"/>
      <c r="O851" s="4"/>
      <c r="P851" s="4"/>
      <c r="Q851" s="4"/>
      <c r="R851" s="4"/>
      <c r="S851" s="4"/>
      <c r="T851" s="4"/>
    </row>
    <row r="852" spans="4:20">
      <c r="D852" s="24"/>
      <c r="E852" s="24"/>
      <c r="F852" s="24"/>
      <c r="G852" s="24"/>
      <c r="H852" s="24"/>
      <c r="I852" s="4"/>
      <c r="J852" s="4"/>
      <c r="K852" s="4"/>
      <c r="L852" s="24"/>
      <c r="M852" s="4"/>
      <c r="N852" s="4"/>
      <c r="O852" s="4"/>
      <c r="P852" s="4"/>
      <c r="Q852" s="4"/>
      <c r="R852" s="4"/>
      <c r="S852" s="4"/>
      <c r="T852" s="4"/>
    </row>
    <row r="853" spans="4:20">
      <c r="D853" s="24"/>
      <c r="E853" s="24"/>
      <c r="F853" s="24"/>
      <c r="G853" s="24"/>
      <c r="H853" s="24"/>
      <c r="I853" s="4"/>
      <c r="J853" s="4"/>
      <c r="K853" s="4"/>
      <c r="L853" s="24"/>
      <c r="M853" s="4"/>
      <c r="N853" s="4"/>
      <c r="O853" s="4"/>
      <c r="P853" s="4"/>
      <c r="Q853" s="4"/>
      <c r="R853" s="4"/>
      <c r="S853" s="4"/>
      <c r="T853" s="4"/>
    </row>
    <row r="854" spans="4:20">
      <c r="D854" s="24"/>
      <c r="E854" s="24"/>
      <c r="F854" s="24"/>
      <c r="G854" s="24"/>
      <c r="H854" s="24"/>
      <c r="I854" s="4"/>
      <c r="J854" s="4"/>
      <c r="K854" s="4"/>
      <c r="L854" s="24"/>
      <c r="M854" s="4"/>
      <c r="N854" s="4"/>
      <c r="O854" s="4"/>
      <c r="P854" s="4"/>
      <c r="Q854" s="4"/>
      <c r="R854" s="4"/>
      <c r="S854" s="4"/>
      <c r="T854" s="4"/>
    </row>
    <row r="855" spans="4:20">
      <c r="D855" s="24"/>
      <c r="E855" s="24"/>
      <c r="F855" s="24"/>
      <c r="G855" s="24"/>
      <c r="H855" s="24"/>
      <c r="I855" s="4"/>
      <c r="J855" s="4"/>
      <c r="K855" s="4"/>
      <c r="L855" s="24"/>
      <c r="M855" s="4"/>
      <c r="N855" s="4"/>
      <c r="O855" s="4"/>
      <c r="P855" s="4"/>
      <c r="Q855" s="4"/>
      <c r="R855" s="4"/>
      <c r="S855" s="4"/>
      <c r="T855" s="4"/>
    </row>
    <row r="856" spans="4:20">
      <c r="D856" s="24"/>
      <c r="E856" s="24"/>
      <c r="F856" s="24"/>
      <c r="G856" s="24"/>
      <c r="H856" s="24"/>
      <c r="I856" s="4"/>
      <c r="J856" s="4"/>
      <c r="K856" s="4"/>
      <c r="L856" s="24"/>
      <c r="M856" s="4"/>
      <c r="N856" s="4"/>
      <c r="O856" s="4"/>
      <c r="P856" s="4"/>
      <c r="Q856" s="4"/>
      <c r="R856" s="4"/>
      <c r="S856" s="4"/>
      <c r="T856" s="4"/>
    </row>
    <row r="857" spans="4:20">
      <c r="D857" s="24"/>
      <c r="E857" s="24"/>
      <c r="F857" s="24"/>
      <c r="G857" s="24"/>
      <c r="H857" s="24"/>
      <c r="I857" s="4"/>
      <c r="J857" s="4"/>
      <c r="K857" s="4"/>
      <c r="L857" s="24"/>
      <c r="M857" s="4"/>
      <c r="N857" s="4"/>
      <c r="O857" s="4"/>
      <c r="P857" s="4"/>
      <c r="Q857" s="4"/>
      <c r="R857" s="4"/>
      <c r="S857" s="4"/>
      <c r="T857" s="4"/>
    </row>
    <row r="858" spans="4:20">
      <c r="D858" s="24"/>
      <c r="E858" s="24"/>
      <c r="F858" s="24"/>
      <c r="G858" s="24"/>
      <c r="H858" s="24"/>
      <c r="I858" s="4"/>
      <c r="J858" s="4"/>
      <c r="K858" s="4"/>
      <c r="L858" s="24"/>
      <c r="M858" s="4"/>
      <c r="N858" s="4"/>
      <c r="O858" s="4"/>
      <c r="P858" s="4"/>
      <c r="Q858" s="4"/>
      <c r="R858" s="4"/>
      <c r="S858" s="4"/>
      <c r="T858" s="4"/>
    </row>
    <row r="859" spans="4:20">
      <c r="D859" s="24"/>
      <c r="E859" s="24"/>
      <c r="F859" s="24"/>
      <c r="G859" s="24"/>
      <c r="H859" s="24"/>
      <c r="I859" s="4"/>
      <c r="J859" s="4"/>
      <c r="K859" s="4"/>
      <c r="L859" s="24"/>
      <c r="M859" s="4"/>
      <c r="N859" s="4"/>
      <c r="O859" s="4"/>
      <c r="P859" s="4"/>
      <c r="Q859" s="4"/>
      <c r="R859" s="4"/>
      <c r="S859" s="4"/>
      <c r="T859" s="4"/>
    </row>
    <row r="860" spans="4:20">
      <c r="D860" s="24"/>
      <c r="E860" s="24"/>
      <c r="F860" s="24"/>
      <c r="G860" s="24"/>
      <c r="H860" s="24"/>
      <c r="I860" s="4"/>
      <c r="J860" s="4"/>
      <c r="K860" s="4"/>
      <c r="L860" s="24"/>
      <c r="M860" s="4"/>
      <c r="N860" s="4"/>
      <c r="O860" s="4"/>
      <c r="P860" s="4"/>
      <c r="Q860" s="4"/>
      <c r="R860" s="4"/>
      <c r="S860" s="4"/>
      <c r="T860" s="4"/>
    </row>
    <row r="861" spans="4:20">
      <c r="D861" s="24"/>
      <c r="E861" s="24"/>
      <c r="F861" s="24"/>
      <c r="G861" s="24"/>
      <c r="H861" s="24"/>
      <c r="I861" s="4"/>
      <c r="J861" s="4"/>
      <c r="K861" s="4"/>
      <c r="L861" s="24"/>
      <c r="M861" s="4"/>
      <c r="N861" s="4"/>
      <c r="O861" s="4"/>
      <c r="P861" s="4"/>
      <c r="Q861" s="4"/>
      <c r="R861" s="4"/>
      <c r="S861" s="4"/>
      <c r="T861" s="4"/>
    </row>
    <row r="862" spans="4:20">
      <c r="D862" s="24"/>
      <c r="E862" s="24"/>
      <c r="F862" s="24"/>
      <c r="G862" s="24"/>
      <c r="H862" s="24"/>
      <c r="I862" s="4"/>
      <c r="J862" s="4"/>
      <c r="K862" s="4"/>
      <c r="L862" s="24"/>
      <c r="M862" s="4"/>
      <c r="N862" s="4"/>
      <c r="O862" s="4"/>
      <c r="P862" s="4"/>
      <c r="Q862" s="4"/>
      <c r="R862" s="4"/>
      <c r="S862" s="4"/>
      <c r="T862" s="4"/>
    </row>
    <row r="863" spans="4:20">
      <c r="D863" s="24"/>
      <c r="E863" s="24"/>
      <c r="F863" s="24"/>
      <c r="G863" s="24"/>
      <c r="H863" s="24"/>
      <c r="I863" s="4"/>
      <c r="J863" s="4"/>
      <c r="K863" s="4"/>
      <c r="L863" s="24"/>
      <c r="M863" s="4"/>
      <c r="N863" s="4"/>
      <c r="O863" s="4"/>
      <c r="P863" s="4"/>
      <c r="Q863" s="4"/>
      <c r="R863" s="4"/>
      <c r="S863" s="4"/>
      <c r="T863" s="4"/>
    </row>
    <row r="864" spans="4:20">
      <c r="D864" s="24"/>
      <c r="E864" s="24"/>
      <c r="F864" s="24"/>
      <c r="G864" s="24"/>
      <c r="H864" s="24"/>
      <c r="I864" s="4"/>
      <c r="J864" s="4"/>
      <c r="K864" s="4"/>
      <c r="L864" s="24"/>
      <c r="M864" s="4"/>
      <c r="N864" s="4"/>
      <c r="O864" s="4"/>
      <c r="P864" s="4"/>
      <c r="Q864" s="4"/>
      <c r="R864" s="4"/>
      <c r="S864" s="4"/>
      <c r="T864" s="4"/>
    </row>
    <row r="865" spans="4:20">
      <c r="D865" s="24"/>
      <c r="E865" s="24"/>
      <c r="F865" s="24"/>
      <c r="G865" s="24"/>
      <c r="H865" s="24"/>
      <c r="I865" s="4"/>
      <c r="J865" s="4"/>
      <c r="K865" s="4"/>
      <c r="L865" s="24"/>
      <c r="M865" s="4"/>
      <c r="N865" s="4"/>
      <c r="O865" s="4"/>
      <c r="P865" s="4"/>
      <c r="Q865" s="4"/>
      <c r="R865" s="4"/>
      <c r="S865" s="4"/>
      <c r="T865" s="4"/>
    </row>
    <row r="866" spans="4:20">
      <c r="D866" s="24"/>
      <c r="E866" s="24"/>
      <c r="F866" s="24"/>
      <c r="G866" s="24"/>
      <c r="H866" s="24"/>
      <c r="I866" s="4"/>
      <c r="J866" s="4"/>
      <c r="K866" s="4"/>
      <c r="L866" s="24"/>
      <c r="M866" s="4"/>
      <c r="N866" s="4"/>
      <c r="O866" s="4"/>
      <c r="P866" s="4"/>
      <c r="Q866" s="4"/>
      <c r="R866" s="4"/>
      <c r="S866" s="4"/>
      <c r="T866" s="4"/>
    </row>
    <row r="867" spans="4:20">
      <c r="D867" s="24"/>
      <c r="E867" s="24"/>
      <c r="F867" s="24"/>
      <c r="G867" s="24"/>
      <c r="H867" s="24"/>
      <c r="I867" s="4"/>
      <c r="J867" s="4"/>
      <c r="K867" s="4"/>
      <c r="L867" s="24"/>
      <c r="M867" s="4"/>
      <c r="N867" s="4"/>
      <c r="O867" s="4"/>
      <c r="P867" s="4"/>
      <c r="Q867" s="4"/>
      <c r="R867" s="4"/>
      <c r="S867" s="4"/>
      <c r="T867" s="4"/>
    </row>
    <row r="868" spans="4:20">
      <c r="D868" s="24"/>
      <c r="E868" s="24"/>
      <c r="F868" s="24"/>
      <c r="G868" s="24"/>
      <c r="H868" s="24"/>
      <c r="I868" s="4"/>
      <c r="J868" s="4"/>
      <c r="K868" s="4"/>
      <c r="L868" s="24"/>
      <c r="M868" s="4"/>
      <c r="N868" s="4"/>
      <c r="O868" s="4"/>
      <c r="P868" s="4"/>
      <c r="Q868" s="4"/>
      <c r="R868" s="4"/>
      <c r="S868" s="4"/>
      <c r="T868" s="4"/>
    </row>
    <row r="869" spans="4:20">
      <c r="D869" s="24"/>
      <c r="E869" s="24"/>
      <c r="F869" s="24"/>
      <c r="G869" s="24"/>
      <c r="H869" s="24"/>
      <c r="I869" s="4"/>
      <c r="J869" s="4"/>
      <c r="K869" s="4"/>
      <c r="L869" s="24"/>
      <c r="M869" s="4"/>
      <c r="N869" s="4"/>
      <c r="O869" s="4"/>
      <c r="P869" s="4"/>
      <c r="Q869" s="4"/>
      <c r="R869" s="4"/>
      <c r="S869" s="4"/>
      <c r="T869" s="4"/>
    </row>
    <row r="870" spans="4:20">
      <c r="D870" s="24"/>
      <c r="E870" s="24"/>
      <c r="F870" s="24"/>
      <c r="G870" s="24"/>
      <c r="H870" s="24"/>
      <c r="I870" s="4"/>
      <c r="J870" s="4"/>
      <c r="K870" s="4"/>
      <c r="L870" s="24"/>
      <c r="M870" s="4"/>
      <c r="N870" s="4"/>
      <c r="O870" s="4"/>
      <c r="P870" s="4"/>
      <c r="Q870" s="4"/>
      <c r="R870" s="4"/>
      <c r="S870" s="4"/>
      <c r="T870" s="4"/>
    </row>
    <row r="871" spans="4:20">
      <c r="D871" s="24"/>
      <c r="E871" s="24"/>
      <c r="F871" s="24"/>
      <c r="G871" s="24"/>
      <c r="H871" s="24"/>
      <c r="I871" s="4"/>
      <c r="J871" s="4"/>
      <c r="K871" s="4"/>
      <c r="L871" s="24"/>
      <c r="M871" s="4"/>
      <c r="N871" s="4"/>
      <c r="O871" s="4"/>
      <c r="P871" s="4"/>
      <c r="Q871" s="4"/>
      <c r="R871" s="4"/>
      <c r="S871" s="4"/>
      <c r="T871" s="4"/>
    </row>
    <row r="872" spans="4:20">
      <c r="D872" s="24"/>
      <c r="E872" s="24"/>
      <c r="F872" s="24"/>
      <c r="G872" s="24"/>
      <c r="H872" s="24"/>
      <c r="I872" s="4"/>
      <c r="J872" s="4"/>
      <c r="K872" s="4"/>
      <c r="L872" s="24"/>
      <c r="M872" s="4"/>
      <c r="N872" s="4"/>
      <c r="O872" s="4"/>
      <c r="P872" s="4"/>
      <c r="Q872" s="4"/>
      <c r="R872" s="4"/>
      <c r="S872" s="4"/>
      <c r="T872" s="4"/>
    </row>
    <row r="873" spans="4:20">
      <c r="D873" s="24"/>
      <c r="E873" s="24"/>
      <c r="F873" s="24"/>
      <c r="G873" s="24"/>
      <c r="H873" s="24"/>
      <c r="I873" s="4"/>
      <c r="J873" s="4"/>
      <c r="K873" s="4"/>
      <c r="L873" s="24"/>
      <c r="M873" s="4"/>
      <c r="N873" s="4"/>
      <c r="O873" s="4"/>
      <c r="P873" s="4"/>
      <c r="Q873" s="4"/>
      <c r="R873" s="4"/>
      <c r="S873" s="4"/>
      <c r="T873" s="4"/>
    </row>
    <row r="874" spans="4:20">
      <c r="D874" s="24"/>
      <c r="E874" s="24"/>
      <c r="F874" s="24"/>
      <c r="G874" s="24"/>
      <c r="H874" s="24"/>
      <c r="I874" s="4"/>
      <c r="J874" s="4"/>
      <c r="K874" s="4"/>
      <c r="L874" s="24"/>
      <c r="M874" s="4"/>
      <c r="N874" s="4"/>
      <c r="O874" s="4"/>
      <c r="P874" s="4"/>
      <c r="Q874" s="4"/>
      <c r="R874" s="4"/>
      <c r="S874" s="4"/>
      <c r="T874" s="4"/>
    </row>
    <row r="875" spans="4:20">
      <c r="D875" s="24"/>
      <c r="E875" s="24"/>
      <c r="F875" s="24"/>
      <c r="G875" s="24"/>
      <c r="H875" s="24"/>
      <c r="I875" s="4"/>
      <c r="J875" s="4"/>
      <c r="K875" s="4"/>
      <c r="L875" s="24"/>
      <c r="M875" s="4"/>
      <c r="N875" s="4"/>
      <c r="O875" s="4"/>
      <c r="P875" s="4"/>
      <c r="Q875" s="4"/>
      <c r="R875" s="4"/>
      <c r="S875" s="4"/>
      <c r="T875" s="4"/>
    </row>
    <row r="876" spans="4:20">
      <c r="D876" s="24"/>
      <c r="E876" s="24"/>
      <c r="F876" s="24"/>
      <c r="G876" s="24"/>
      <c r="H876" s="24"/>
      <c r="I876" s="4"/>
      <c r="J876" s="4"/>
      <c r="K876" s="4"/>
      <c r="L876" s="24"/>
      <c r="M876" s="4"/>
      <c r="N876" s="4"/>
      <c r="O876" s="4"/>
      <c r="P876" s="4"/>
      <c r="Q876" s="4"/>
      <c r="R876" s="4"/>
      <c r="S876" s="4"/>
      <c r="T876" s="4"/>
    </row>
    <row r="877" spans="4:20">
      <c r="D877" s="24"/>
      <c r="E877" s="24"/>
      <c r="F877" s="24"/>
      <c r="G877" s="24"/>
      <c r="H877" s="24"/>
      <c r="I877" s="4"/>
      <c r="J877" s="4"/>
      <c r="K877" s="4"/>
      <c r="L877" s="24"/>
      <c r="M877" s="4"/>
      <c r="N877" s="4"/>
      <c r="O877" s="4"/>
      <c r="P877" s="4"/>
      <c r="Q877" s="4"/>
      <c r="R877" s="4"/>
      <c r="S877" s="4"/>
      <c r="T877" s="4"/>
    </row>
    <row r="878" spans="4:20">
      <c r="D878" s="24"/>
      <c r="E878" s="24"/>
      <c r="F878" s="24"/>
      <c r="G878" s="24"/>
      <c r="H878" s="24"/>
      <c r="I878" s="4"/>
      <c r="J878" s="4"/>
      <c r="K878" s="4"/>
      <c r="L878" s="24"/>
      <c r="M878" s="4"/>
      <c r="N878" s="4"/>
      <c r="O878" s="4"/>
      <c r="P878" s="4"/>
      <c r="Q878" s="4"/>
      <c r="R878" s="4"/>
      <c r="S878" s="4"/>
      <c r="T878" s="4"/>
    </row>
    <row r="879" spans="4:20">
      <c r="D879" s="24"/>
      <c r="E879" s="24"/>
      <c r="F879" s="24"/>
      <c r="G879" s="24"/>
      <c r="H879" s="24"/>
      <c r="I879" s="4"/>
      <c r="J879" s="4"/>
      <c r="K879" s="4"/>
      <c r="L879" s="24"/>
      <c r="M879" s="4"/>
      <c r="N879" s="4"/>
      <c r="O879" s="4"/>
      <c r="P879" s="4"/>
      <c r="Q879" s="4"/>
      <c r="R879" s="4"/>
      <c r="S879" s="4"/>
      <c r="T879" s="4"/>
    </row>
    <row r="880" spans="4:20">
      <c r="D880" s="24"/>
      <c r="E880" s="24"/>
      <c r="F880" s="24"/>
      <c r="G880" s="24"/>
      <c r="H880" s="24"/>
      <c r="I880" s="4"/>
      <c r="J880" s="4"/>
      <c r="K880" s="4"/>
      <c r="L880" s="24"/>
      <c r="M880" s="4"/>
      <c r="N880" s="4"/>
      <c r="O880" s="4"/>
      <c r="P880" s="4"/>
      <c r="Q880" s="4"/>
      <c r="R880" s="4"/>
      <c r="S880" s="4"/>
      <c r="T880" s="4"/>
    </row>
    <row r="881" spans="4:20">
      <c r="D881" s="24"/>
      <c r="E881" s="24"/>
      <c r="F881" s="24"/>
      <c r="G881" s="24"/>
      <c r="H881" s="24"/>
      <c r="I881" s="4"/>
      <c r="J881" s="4"/>
      <c r="K881" s="4"/>
      <c r="L881" s="24"/>
      <c r="M881" s="4"/>
      <c r="N881" s="4"/>
      <c r="O881" s="4"/>
      <c r="P881" s="4"/>
      <c r="Q881" s="4"/>
      <c r="R881" s="4"/>
      <c r="S881" s="4"/>
      <c r="T881" s="4"/>
    </row>
    <row r="882" spans="4:20">
      <c r="D882" s="24"/>
      <c r="E882" s="24"/>
      <c r="F882" s="24"/>
      <c r="G882" s="24"/>
      <c r="H882" s="24"/>
      <c r="I882" s="4"/>
      <c r="J882" s="4"/>
      <c r="K882" s="4"/>
      <c r="L882" s="24"/>
      <c r="M882" s="4"/>
      <c r="N882" s="4"/>
      <c r="O882" s="4"/>
      <c r="P882" s="4"/>
      <c r="Q882" s="4"/>
      <c r="R882" s="4"/>
      <c r="S882" s="4"/>
      <c r="T882" s="4"/>
    </row>
    <row r="883" spans="4:20">
      <c r="D883" s="24"/>
      <c r="E883" s="24"/>
      <c r="F883" s="24"/>
      <c r="G883" s="24"/>
      <c r="H883" s="24"/>
      <c r="I883" s="4"/>
      <c r="J883" s="4"/>
      <c r="K883" s="4"/>
      <c r="L883" s="24"/>
      <c r="M883" s="4"/>
      <c r="N883" s="4"/>
      <c r="O883" s="4"/>
      <c r="P883" s="4"/>
      <c r="Q883" s="4"/>
      <c r="R883" s="4"/>
      <c r="S883" s="4"/>
      <c r="T883" s="4"/>
    </row>
    <row r="884" spans="4:20">
      <c r="D884" s="24"/>
      <c r="E884" s="24"/>
      <c r="F884" s="24"/>
      <c r="G884" s="24"/>
      <c r="H884" s="24"/>
      <c r="I884" s="4"/>
      <c r="J884" s="4"/>
      <c r="K884" s="4"/>
      <c r="L884" s="24"/>
      <c r="M884" s="4"/>
      <c r="N884" s="4"/>
      <c r="O884" s="4"/>
      <c r="P884" s="4"/>
      <c r="Q884" s="4"/>
      <c r="R884" s="4"/>
      <c r="S884" s="4"/>
      <c r="T884" s="4"/>
    </row>
    <row r="885" spans="4:20">
      <c r="D885" s="24"/>
      <c r="E885" s="24"/>
      <c r="F885" s="24"/>
      <c r="G885" s="24"/>
      <c r="H885" s="24"/>
      <c r="I885" s="4"/>
      <c r="J885" s="4"/>
      <c r="K885" s="4"/>
      <c r="L885" s="24"/>
      <c r="M885" s="4"/>
      <c r="N885" s="4"/>
      <c r="O885" s="4"/>
      <c r="P885" s="4"/>
      <c r="Q885" s="4"/>
      <c r="R885" s="4"/>
      <c r="S885" s="4"/>
      <c r="T885" s="4"/>
    </row>
    <row r="886" spans="4:20">
      <c r="D886" s="24"/>
      <c r="E886" s="24"/>
      <c r="F886" s="24"/>
      <c r="G886" s="24"/>
      <c r="H886" s="24"/>
      <c r="I886" s="4"/>
      <c r="J886" s="4"/>
      <c r="K886" s="4"/>
      <c r="L886" s="24"/>
      <c r="M886" s="4"/>
      <c r="N886" s="4"/>
      <c r="O886" s="4"/>
      <c r="P886" s="4"/>
      <c r="Q886" s="4"/>
      <c r="R886" s="4"/>
      <c r="S886" s="4"/>
      <c r="T886" s="4"/>
    </row>
    <row r="887" spans="4:20">
      <c r="D887" s="24"/>
      <c r="E887" s="24"/>
      <c r="F887" s="24"/>
      <c r="G887" s="24"/>
      <c r="H887" s="24"/>
      <c r="I887" s="4"/>
      <c r="J887" s="4"/>
      <c r="K887" s="4"/>
      <c r="L887" s="24"/>
      <c r="M887" s="4"/>
      <c r="N887" s="4"/>
      <c r="O887" s="4"/>
      <c r="P887" s="4"/>
      <c r="Q887" s="4"/>
      <c r="R887" s="4"/>
      <c r="S887" s="4"/>
      <c r="T887" s="4"/>
    </row>
    <row r="888" spans="4:20">
      <c r="D888" s="24"/>
      <c r="E888" s="24"/>
      <c r="F888" s="24"/>
      <c r="G888" s="24"/>
      <c r="H888" s="24"/>
      <c r="I888" s="4"/>
      <c r="J888" s="4"/>
      <c r="K888" s="4"/>
      <c r="L888" s="24"/>
      <c r="M888" s="4"/>
      <c r="N888" s="4"/>
      <c r="O888" s="4"/>
      <c r="P888" s="4"/>
      <c r="Q888" s="4"/>
      <c r="R888" s="4"/>
      <c r="S888" s="4"/>
      <c r="T888" s="4"/>
    </row>
    <row r="889" spans="4:20">
      <c r="D889" s="24"/>
      <c r="E889" s="24"/>
      <c r="F889" s="24"/>
      <c r="G889" s="24"/>
      <c r="H889" s="24"/>
      <c r="I889" s="4"/>
      <c r="J889" s="4"/>
      <c r="K889" s="4"/>
      <c r="L889" s="24"/>
      <c r="M889" s="4"/>
      <c r="N889" s="4"/>
      <c r="O889" s="4"/>
      <c r="P889" s="4"/>
      <c r="Q889" s="4"/>
      <c r="R889" s="4"/>
      <c r="S889" s="4"/>
      <c r="T889" s="4"/>
    </row>
    <row r="890" spans="4:20">
      <c r="D890" s="24"/>
      <c r="E890" s="24"/>
      <c r="F890" s="24"/>
      <c r="G890" s="24"/>
      <c r="H890" s="24"/>
      <c r="I890" s="4"/>
      <c r="J890" s="4"/>
      <c r="K890" s="4"/>
      <c r="L890" s="24"/>
      <c r="M890" s="4"/>
      <c r="N890" s="4"/>
      <c r="O890" s="4"/>
      <c r="P890" s="4"/>
      <c r="Q890" s="4"/>
      <c r="R890" s="4"/>
      <c r="S890" s="4"/>
      <c r="T890" s="4"/>
    </row>
    <row r="891" spans="4:20">
      <c r="D891" s="24"/>
      <c r="E891" s="24"/>
      <c r="F891" s="24"/>
      <c r="G891" s="24"/>
      <c r="H891" s="24"/>
      <c r="I891" s="4"/>
      <c r="J891" s="4"/>
      <c r="K891" s="4"/>
      <c r="L891" s="24"/>
      <c r="M891" s="4"/>
      <c r="N891" s="4"/>
      <c r="O891" s="4"/>
      <c r="P891" s="4"/>
      <c r="Q891" s="4"/>
      <c r="R891" s="4"/>
      <c r="S891" s="4"/>
      <c r="T891" s="4"/>
    </row>
    <row r="892" spans="4:20">
      <c r="D892" s="24"/>
      <c r="E892" s="24"/>
      <c r="F892" s="24"/>
      <c r="G892" s="24"/>
      <c r="H892" s="24"/>
      <c r="I892" s="4"/>
      <c r="J892" s="4"/>
      <c r="K892" s="4"/>
      <c r="L892" s="24"/>
      <c r="M892" s="4"/>
      <c r="N892" s="4"/>
      <c r="O892" s="4"/>
      <c r="P892" s="4"/>
      <c r="Q892" s="4"/>
      <c r="R892" s="4"/>
      <c r="S892" s="4"/>
      <c r="T892" s="4"/>
    </row>
    <row r="893" spans="4:20">
      <c r="D893" s="24"/>
      <c r="E893" s="24"/>
      <c r="F893" s="24"/>
      <c r="G893" s="24"/>
      <c r="H893" s="24"/>
      <c r="I893" s="4"/>
      <c r="J893" s="4"/>
      <c r="K893" s="4"/>
      <c r="L893" s="24"/>
      <c r="M893" s="4"/>
      <c r="N893" s="4"/>
      <c r="O893" s="4"/>
      <c r="P893" s="4"/>
      <c r="Q893" s="4"/>
      <c r="R893" s="4"/>
      <c r="S893" s="4"/>
      <c r="T893" s="4"/>
    </row>
    <row r="894" spans="4:20">
      <c r="D894" s="24"/>
      <c r="E894" s="24"/>
      <c r="F894" s="24"/>
      <c r="G894" s="24"/>
      <c r="H894" s="24"/>
      <c r="I894" s="4"/>
      <c r="J894" s="4"/>
      <c r="K894" s="4"/>
      <c r="L894" s="24"/>
      <c r="M894" s="4"/>
      <c r="N894" s="4"/>
      <c r="O894" s="4"/>
      <c r="P894" s="4"/>
      <c r="Q894" s="4"/>
      <c r="R894" s="4"/>
      <c r="S894" s="4"/>
      <c r="T894" s="4"/>
    </row>
    <row r="895" spans="4:20">
      <c r="D895" s="24"/>
      <c r="E895" s="24"/>
      <c r="F895" s="24"/>
      <c r="G895" s="24"/>
      <c r="H895" s="24"/>
      <c r="I895" s="4"/>
      <c r="J895" s="4"/>
      <c r="K895" s="4"/>
      <c r="L895" s="24"/>
      <c r="M895" s="4"/>
      <c r="N895" s="4"/>
      <c r="O895" s="4"/>
      <c r="P895" s="4"/>
      <c r="Q895" s="4"/>
      <c r="R895" s="4"/>
      <c r="S895" s="4"/>
      <c r="T895" s="4"/>
    </row>
    <row r="896" spans="4:20">
      <c r="D896" s="24"/>
      <c r="E896" s="24"/>
      <c r="F896" s="24"/>
      <c r="G896" s="24"/>
      <c r="H896" s="24"/>
      <c r="I896" s="4"/>
      <c r="J896" s="4"/>
      <c r="K896" s="4"/>
      <c r="L896" s="24"/>
      <c r="M896" s="4"/>
      <c r="N896" s="4"/>
      <c r="O896" s="4"/>
      <c r="P896" s="4"/>
      <c r="Q896" s="4"/>
      <c r="R896" s="4"/>
      <c r="S896" s="4"/>
      <c r="T896" s="4"/>
    </row>
    <row r="897" spans="4:20">
      <c r="D897" s="24"/>
      <c r="E897" s="24"/>
      <c r="F897" s="24"/>
      <c r="G897" s="24"/>
      <c r="H897" s="24"/>
      <c r="I897" s="4"/>
      <c r="J897" s="4"/>
      <c r="K897" s="4"/>
      <c r="L897" s="24"/>
      <c r="M897" s="4"/>
      <c r="N897" s="4"/>
      <c r="O897" s="4"/>
      <c r="P897" s="4"/>
      <c r="Q897" s="4"/>
      <c r="R897" s="4"/>
      <c r="S897" s="4"/>
      <c r="T897" s="4"/>
    </row>
    <row r="898" spans="4:20">
      <c r="D898" s="24"/>
      <c r="E898" s="24"/>
      <c r="F898" s="24"/>
      <c r="G898" s="24"/>
      <c r="H898" s="24"/>
      <c r="I898" s="4"/>
      <c r="J898" s="4"/>
      <c r="K898" s="4"/>
      <c r="L898" s="24"/>
      <c r="M898" s="4"/>
      <c r="N898" s="4"/>
      <c r="O898" s="4"/>
      <c r="P898" s="4"/>
      <c r="Q898" s="4"/>
      <c r="R898" s="4"/>
      <c r="S898" s="4"/>
      <c r="T898" s="4"/>
    </row>
    <row r="899" spans="4:20">
      <c r="D899" s="24"/>
      <c r="E899" s="24"/>
      <c r="F899" s="24"/>
      <c r="G899" s="24"/>
      <c r="H899" s="24"/>
      <c r="I899" s="4"/>
      <c r="J899" s="4"/>
      <c r="K899" s="4"/>
      <c r="L899" s="24"/>
      <c r="M899" s="4"/>
      <c r="N899" s="4"/>
      <c r="O899" s="4"/>
      <c r="P899" s="4"/>
      <c r="Q899" s="4"/>
      <c r="R899" s="4"/>
      <c r="S899" s="4"/>
      <c r="T899" s="4"/>
    </row>
    <row r="900" spans="4:20">
      <c r="D900" s="24"/>
      <c r="E900" s="24"/>
      <c r="F900" s="24"/>
      <c r="G900" s="24"/>
      <c r="H900" s="24"/>
      <c r="I900" s="4"/>
      <c r="J900" s="4"/>
      <c r="K900" s="4"/>
      <c r="L900" s="24"/>
      <c r="M900" s="4"/>
      <c r="N900" s="4"/>
      <c r="O900" s="4"/>
      <c r="P900" s="4"/>
      <c r="Q900" s="4"/>
      <c r="R900" s="4"/>
      <c r="S900" s="4"/>
      <c r="T900" s="4"/>
    </row>
    <row r="901" spans="4:20">
      <c r="D901" s="24"/>
      <c r="E901" s="24"/>
      <c r="F901" s="24"/>
      <c r="G901" s="24"/>
      <c r="H901" s="24"/>
      <c r="I901" s="4"/>
      <c r="J901" s="4"/>
      <c r="K901" s="4"/>
      <c r="L901" s="24"/>
      <c r="M901" s="4"/>
      <c r="N901" s="4"/>
      <c r="O901" s="4"/>
      <c r="P901" s="4"/>
      <c r="Q901" s="4"/>
      <c r="R901" s="4"/>
      <c r="S901" s="4"/>
      <c r="T901" s="4"/>
    </row>
    <row r="902" spans="4:20">
      <c r="D902" s="24"/>
      <c r="E902" s="24"/>
      <c r="F902" s="24"/>
      <c r="G902" s="24"/>
      <c r="H902" s="24"/>
      <c r="I902" s="4"/>
      <c r="J902" s="4"/>
      <c r="K902" s="4"/>
      <c r="L902" s="24"/>
      <c r="M902" s="4"/>
      <c r="N902" s="4"/>
      <c r="O902" s="4"/>
      <c r="P902" s="4"/>
      <c r="Q902" s="4"/>
      <c r="R902" s="4"/>
      <c r="S902" s="4"/>
      <c r="T902" s="4"/>
    </row>
    <row r="903" spans="4:20">
      <c r="D903" s="24"/>
      <c r="E903" s="24"/>
      <c r="F903" s="24"/>
      <c r="G903" s="24"/>
      <c r="H903" s="24"/>
      <c r="I903" s="4"/>
      <c r="J903" s="4"/>
      <c r="K903" s="4"/>
      <c r="L903" s="24"/>
      <c r="M903" s="4"/>
      <c r="N903" s="4"/>
      <c r="O903" s="4"/>
      <c r="P903" s="4"/>
      <c r="Q903" s="4"/>
      <c r="R903" s="4"/>
      <c r="S903" s="4"/>
      <c r="T903" s="4"/>
    </row>
    <row r="904" spans="4:20">
      <c r="D904" s="24"/>
      <c r="E904" s="24"/>
      <c r="F904" s="24"/>
      <c r="G904" s="24"/>
      <c r="H904" s="24"/>
      <c r="I904" s="4"/>
      <c r="J904" s="4"/>
      <c r="K904" s="4"/>
      <c r="L904" s="24"/>
      <c r="M904" s="4"/>
      <c r="N904" s="4"/>
      <c r="O904" s="4"/>
      <c r="P904" s="4"/>
      <c r="Q904" s="4"/>
      <c r="R904" s="4"/>
      <c r="S904" s="4"/>
      <c r="T904" s="4"/>
    </row>
    <row r="905" spans="4:20">
      <c r="D905" s="24"/>
      <c r="E905" s="24"/>
      <c r="F905" s="24"/>
      <c r="G905" s="24"/>
      <c r="H905" s="24"/>
      <c r="I905" s="4"/>
      <c r="J905" s="4"/>
      <c r="K905" s="4"/>
      <c r="L905" s="24"/>
      <c r="M905" s="4"/>
      <c r="N905" s="4"/>
      <c r="O905" s="4"/>
      <c r="P905" s="4"/>
      <c r="Q905" s="4"/>
      <c r="R905" s="4"/>
      <c r="S905" s="4"/>
      <c r="T905" s="4"/>
    </row>
    <row r="906" spans="4:20">
      <c r="D906" s="24"/>
      <c r="E906" s="24"/>
      <c r="F906" s="24"/>
      <c r="G906" s="24"/>
      <c r="H906" s="24"/>
      <c r="I906" s="4"/>
      <c r="J906" s="4"/>
      <c r="K906" s="4"/>
      <c r="L906" s="24"/>
      <c r="M906" s="4"/>
      <c r="N906" s="4"/>
      <c r="O906" s="4"/>
      <c r="P906" s="4"/>
      <c r="Q906" s="4"/>
      <c r="R906" s="4"/>
      <c r="S906" s="4"/>
      <c r="T906" s="4"/>
    </row>
    <row r="907" spans="4:20">
      <c r="D907" s="24"/>
      <c r="E907" s="24"/>
      <c r="F907" s="24"/>
      <c r="G907" s="24"/>
      <c r="H907" s="24"/>
      <c r="I907" s="4"/>
      <c r="J907" s="4"/>
      <c r="K907" s="4"/>
      <c r="L907" s="24"/>
      <c r="M907" s="4"/>
      <c r="N907" s="4"/>
      <c r="O907" s="4"/>
      <c r="P907" s="4"/>
      <c r="Q907" s="4"/>
      <c r="R907" s="4"/>
      <c r="S907" s="4"/>
      <c r="T907" s="4"/>
    </row>
    <row r="908" spans="4:20">
      <c r="D908" s="24"/>
      <c r="E908" s="24"/>
      <c r="F908" s="24"/>
      <c r="G908" s="24"/>
      <c r="H908" s="24"/>
      <c r="I908" s="4"/>
      <c r="J908" s="4"/>
      <c r="K908" s="4"/>
      <c r="L908" s="24"/>
      <c r="M908" s="4"/>
      <c r="N908" s="4"/>
      <c r="O908" s="4"/>
      <c r="P908" s="4"/>
      <c r="Q908" s="4"/>
      <c r="R908" s="4"/>
      <c r="S908" s="4"/>
      <c r="T908" s="4"/>
    </row>
    <row r="909" spans="4:20">
      <c r="D909" s="24"/>
      <c r="E909" s="24"/>
      <c r="F909" s="24"/>
      <c r="G909" s="24"/>
      <c r="H909" s="24"/>
      <c r="I909" s="4"/>
      <c r="J909" s="4"/>
      <c r="K909" s="4"/>
      <c r="L909" s="24"/>
      <c r="M909" s="4"/>
      <c r="N909" s="4"/>
      <c r="O909" s="4"/>
      <c r="P909" s="4"/>
      <c r="Q909" s="4"/>
      <c r="R909" s="4"/>
      <c r="S909" s="4"/>
      <c r="T909" s="4"/>
    </row>
    <row r="910" spans="4:20">
      <c r="D910" s="24"/>
      <c r="E910" s="24"/>
      <c r="F910" s="24"/>
      <c r="G910" s="24"/>
      <c r="H910" s="24"/>
      <c r="I910" s="4"/>
      <c r="J910" s="4"/>
      <c r="K910" s="4"/>
      <c r="L910" s="24"/>
      <c r="M910" s="4"/>
      <c r="N910" s="4"/>
      <c r="O910" s="4"/>
      <c r="P910" s="4"/>
      <c r="Q910" s="4"/>
      <c r="R910" s="4"/>
      <c r="S910" s="4"/>
      <c r="T910" s="4"/>
    </row>
    <row r="911" spans="4:20">
      <c r="D911" s="24"/>
      <c r="E911" s="24"/>
      <c r="F911" s="24"/>
      <c r="G911" s="24"/>
      <c r="H911" s="24"/>
      <c r="I911" s="4"/>
      <c r="J911" s="4"/>
      <c r="K911" s="4"/>
      <c r="L911" s="24"/>
      <c r="M911" s="4"/>
      <c r="N911" s="4"/>
      <c r="O911" s="4"/>
      <c r="P911" s="4"/>
      <c r="Q911" s="4"/>
      <c r="R911" s="4"/>
      <c r="S911" s="4"/>
      <c r="T911" s="4"/>
    </row>
    <row r="912" spans="4:20">
      <c r="D912" s="24"/>
      <c r="E912" s="24"/>
      <c r="F912" s="24"/>
      <c r="G912" s="24"/>
      <c r="H912" s="24"/>
      <c r="I912" s="4"/>
      <c r="J912" s="4"/>
      <c r="K912" s="4"/>
      <c r="L912" s="24"/>
      <c r="M912" s="4"/>
      <c r="N912" s="4"/>
      <c r="O912" s="4"/>
      <c r="P912" s="4"/>
      <c r="Q912" s="4"/>
      <c r="R912" s="4"/>
      <c r="S912" s="4"/>
      <c r="T912" s="4"/>
    </row>
    <row r="913" spans="4:20">
      <c r="D913" s="24"/>
      <c r="E913" s="24"/>
      <c r="F913" s="24"/>
      <c r="G913" s="24"/>
      <c r="H913" s="24"/>
      <c r="I913" s="4"/>
      <c r="J913" s="4"/>
      <c r="K913" s="4"/>
      <c r="L913" s="24"/>
      <c r="M913" s="4"/>
      <c r="N913" s="4"/>
      <c r="O913" s="4"/>
      <c r="P913" s="4"/>
      <c r="Q913" s="4"/>
      <c r="R913" s="4"/>
      <c r="S913" s="4"/>
      <c r="T913" s="4"/>
    </row>
    <row r="914" spans="4:20">
      <c r="D914" s="24"/>
      <c r="E914" s="24"/>
      <c r="F914" s="24"/>
      <c r="G914" s="24"/>
      <c r="H914" s="24"/>
      <c r="I914" s="4"/>
      <c r="J914" s="4"/>
      <c r="K914" s="4"/>
      <c r="L914" s="24"/>
      <c r="M914" s="4"/>
      <c r="N914" s="4"/>
      <c r="O914" s="4"/>
      <c r="P914" s="4"/>
      <c r="Q914" s="4"/>
      <c r="R914" s="4"/>
      <c r="S914" s="4"/>
      <c r="T914" s="4"/>
    </row>
    <row r="915" spans="4:20">
      <c r="D915" s="24"/>
      <c r="E915" s="24"/>
      <c r="F915" s="24"/>
      <c r="G915" s="24"/>
      <c r="H915" s="24"/>
      <c r="I915" s="4"/>
      <c r="J915" s="4"/>
      <c r="K915" s="4"/>
      <c r="L915" s="24"/>
      <c r="M915" s="4"/>
      <c r="N915" s="4"/>
      <c r="O915" s="4"/>
      <c r="P915" s="4"/>
      <c r="Q915" s="4"/>
      <c r="R915" s="4"/>
      <c r="S915" s="4"/>
      <c r="T915" s="4"/>
    </row>
    <row r="916" spans="4:20">
      <c r="D916" s="24"/>
      <c r="E916" s="24"/>
      <c r="F916" s="24"/>
      <c r="G916" s="24"/>
      <c r="H916" s="24"/>
      <c r="I916" s="4"/>
      <c r="J916" s="4"/>
      <c r="K916" s="4"/>
      <c r="L916" s="24"/>
      <c r="M916" s="4"/>
      <c r="N916" s="4"/>
      <c r="O916" s="4"/>
      <c r="P916" s="4"/>
      <c r="Q916" s="4"/>
      <c r="R916" s="4"/>
      <c r="S916" s="4"/>
      <c r="T916" s="4"/>
    </row>
    <row r="917" spans="4:20">
      <c r="D917" s="24"/>
      <c r="E917" s="24"/>
      <c r="F917" s="24"/>
      <c r="G917" s="24"/>
      <c r="H917" s="24"/>
      <c r="I917" s="4"/>
      <c r="J917" s="4"/>
      <c r="K917" s="4"/>
      <c r="L917" s="24"/>
      <c r="M917" s="4"/>
      <c r="N917" s="4"/>
      <c r="O917" s="4"/>
      <c r="P917" s="4"/>
      <c r="Q917" s="4"/>
      <c r="R917" s="4"/>
      <c r="S917" s="4"/>
      <c r="T917" s="4"/>
    </row>
    <row r="918" spans="4:20">
      <c r="D918" s="24"/>
      <c r="E918" s="24"/>
      <c r="F918" s="24"/>
      <c r="G918" s="24"/>
      <c r="H918" s="24"/>
      <c r="I918" s="4"/>
      <c r="J918" s="4"/>
      <c r="K918" s="4"/>
      <c r="L918" s="24"/>
      <c r="M918" s="4"/>
      <c r="N918" s="4"/>
      <c r="O918" s="4"/>
      <c r="P918" s="4"/>
      <c r="Q918" s="4"/>
      <c r="R918" s="4"/>
      <c r="S918" s="4"/>
      <c r="T918" s="4"/>
    </row>
    <row r="919" spans="4:20">
      <c r="D919" s="24"/>
      <c r="E919" s="24"/>
      <c r="F919" s="24"/>
      <c r="G919" s="24"/>
      <c r="H919" s="24"/>
      <c r="I919" s="4"/>
      <c r="J919" s="4"/>
      <c r="K919" s="4"/>
      <c r="L919" s="24"/>
      <c r="M919" s="4"/>
      <c r="N919" s="4"/>
      <c r="O919" s="4"/>
      <c r="P919" s="4"/>
      <c r="Q919" s="4"/>
      <c r="R919" s="4"/>
      <c r="S919" s="4"/>
      <c r="T919" s="4"/>
    </row>
    <row r="920" spans="4:20">
      <c r="D920" s="24"/>
      <c r="E920" s="24"/>
      <c r="F920" s="24"/>
      <c r="G920" s="24"/>
      <c r="H920" s="24"/>
      <c r="I920" s="4"/>
      <c r="J920" s="4"/>
      <c r="K920" s="4"/>
      <c r="L920" s="24"/>
      <c r="M920" s="4"/>
      <c r="N920" s="4"/>
      <c r="O920" s="4"/>
      <c r="P920" s="4"/>
      <c r="Q920" s="4"/>
      <c r="R920" s="4"/>
      <c r="S920" s="4"/>
      <c r="T920" s="4"/>
    </row>
    <row r="921" spans="4:20">
      <c r="D921" s="24"/>
      <c r="E921" s="24"/>
      <c r="F921" s="24"/>
      <c r="G921" s="24"/>
      <c r="H921" s="24"/>
      <c r="I921" s="4"/>
      <c r="J921" s="4"/>
      <c r="K921" s="4"/>
      <c r="L921" s="24"/>
      <c r="M921" s="4"/>
      <c r="N921" s="4"/>
      <c r="O921" s="4"/>
      <c r="P921" s="4"/>
      <c r="Q921" s="4"/>
      <c r="R921" s="4"/>
      <c r="S921" s="4"/>
      <c r="T921" s="4"/>
    </row>
    <row r="922" spans="4:20">
      <c r="D922" s="24"/>
      <c r="E922" s="24"/>
      <c r="F922" s="24"/>
      <c r="G922" s="24"/>
      <c r="H922" s="24"/>
      <c r="I922" s="4"/>
      <c r="J922" s="4"/>
      <c r="K922" s="4"/>
      <c r="L922" s="24"/>
      <c r="M922" s="4"/>
      <c r="N922" s="4"/>
      <c r="O922" s="4"/>
      <c r="P922" s="4"/>
      <c r="Q922" s="4"/>
      <c r="R922" s="4"/>
      <c r="S922" s="4"/>
      <c r="T922" s="4"/>
    </row>
    <row r="923" spans="4:20">
      <c r="D923" s="24"/>
      <c r="E923" s="24"/>
      <c r="F923" s="24"/>
      <c r="G923" s="24"/>
      <c r="H923" s="24"/>
      <c r="I923" s="4"/>
      <c r="J923" s="4"/>
      <c r="K923" s="4"/>
      <c r="L923" s="24"/>
      <c r="M923" s="4"/>
      <c r="N923" s="4"/>
      <c r="O923" s="4"/>
      <c r="P923" s="4"/>
      <c r="Q923" s="4"/>
      <c r="R923" s="4"/>
      <c r="S923" s="4"/>
      <c r="T923" s="4"/>
    </row>
    <row r="924" spans="4:20">
      <c r="D924" s="24"/>
      <c r="E924" s="24"/>
      <c r="F924" s="24"/>
      <c r="G924" s="24"/>
      <c r="H924" s="24"/>
      <c r="I924" s="4"/>
      <c r="J924" s="4"/>
      <c r="K924" s="4"/>
      <c r="L924" s="24"/>
      <c r="M924" s="4"/>
      <c r="N924" s="4"/>
      <c r="O924" s="4"/>
      <c r="P924" s="4"/>
      <c r="Q924" s="4"/>
      <c r="R924" s="4"/>
      <c r="S924" s="4"/>
      <c r="T924" s="4"/>
    </row>
    <row r="925" spans="4:20">
      <c r="D925" s="24"/>
      <c r="E925" s="24"/>
      <c r="F925" s="24"/>
      <c r="G925" s="24"/>
      <c r="H925" s="24"/>
      <c r="I925" s="4"/>
      <c r="J925" s="4"/>
      <c r="K925" s="4"/>
      <c r="L925" s="24"/>
      <c r="M925" s="4"/>
      <c r="N925" s="4"/>
      <c r="O925" s="4"/>
      <c r="P925" s="4"/>
      <c r="Q925" s="4"/>
      <c r="R925" s="4"/>
      <c r="S925" s="4"/>
      <c r="T925" s="4"/>
    </row>
    <row r="926" spans="4:20">
      <c r="D926" s="24"/>
      <c r="E926" s="24"/>
      <c r="F926" s="24"/>
      <c r="G926" s="24"/>
      <c r="H926" s="24"/>
      <c r="I926" s="4"/>
      <c r="J926" s="4"/>
      <c r="K926" s="4"/>
      <c r="L926" s="24"/>
      <c r="M926" s="4"/>
      <c r="N926" s="4"/>
      <c r="O926" s="4"/>
      <c r="P926" s="4"/>
      <c r="Q926" s="4"/>
      <c r="R926" s="4"/>
      <c r="S926" s="4"/>
      <c r="T926" s="4"/>
    </row>
    <row r="927" spans="4:20">
      <c r="D927" s="24"/>
      <c r="E927" s="24"/>
      <c r="F927" s="24"/>
      <c r="G927" s="24"/>
      <c r="H927" s="24"/>
      <c r="I927" s="4"/>
      <c r="J927" s="4"/>
      <c r="K927" s="4"/>
      <c r="L927" s="24"/>
      <c r="M927" s="4"/>
      <c r="N927" s="4"/>
      <c r="O927" s="4"/>
      <c r="P927" s="4"/>
      <c r="Q927" s="4"/>
      <c r="R927" s="4"/>
      <c r="S927" s="4"/>
      <c r="T927" s="4"/>
    </row>
    <row r="928" spans="4:20">
      <c r="D928" s="24"/>
      <c r="E928" s="24"/>
      <c r="F928" s="24"/>
      <c r="G928" s="24"/>
      <c r="H928" s="24"/>
      <c r="I928" s="4"/>
      <c r="J928" s="4"/>
      <c r="K928" s="4"/>
      <c r="L928" s="24"/>
      <c r="M928" s="4"/>
      <c r="N928" s="4"/>
      <c r="O928" s="4"/>
      <c r="P928" s="4"/>
      <c r="Q928" s="4"/>
      <c r="R928" s="4"/>
      <c r="S928" s="4"/>
      <c r="T928" s="4"/>
    </row>
    <row r="929" spans="4:20">
      <c r="D929" s="24"/>
      <c r="E929" s="24"/>
      <c r="F929" s="24"/>
      <c r="G929" s="24"/>
      <c r="H929" s="24"/>
      <c r="I929" s="4"/>
      <c r="J929" s="4"/>
      <c r="K929" s="4"/>
      <c r="L929" s="24"/>
      <c r="M929" s="4"/>
      <c r="N929" s="4"/>
      <c r="O929" s="4"/>
      <c r="P929" s="4"/>
      <c r="Q929" s="4"/>
      <c r="R929" s="4"/>
      <c r="S929" s="4"/>
      <c r="T929" s="4"/>
    </row>
    <row r="930" spans="4:20">
      <c r="D930" s="24"/>
      <c r="E930" s="24"/>
      <c r="F930" s="24"/>
      <c r="G930" s="24"/>
      <c r="H930" s="24"/>
      <c r="I930" s="4"/>
      <c r="J930" s="4"/>
      <c r="K930" s="4"/>
      <c r="L930" s="24"/>
      <c r="M930" s="4"/>
      <c r="N930" s="4"/>
      <c r="O930" s="4"/>
      <c r="P930" s="4"/>
      <c r="Q930" s="4"/>
      <c r="R930" s="4"/>
      <c r="S930" s="4"/>
      <c r="T930" s="4"/>
    </row>
    <row r="931" spans="4:20">
      <c r="D931" s="24"/>
      <c r="E931" s="24"/>
      <c r="F931" s="24"/>
      <c r="G931" s="24"/>
      <c r="H931" s="24"/>
      <c r="I931" s="4"/>
      <c r="J931" s="4"/>
      <c r="K931" s="4"/>
      <c r="L931" s="24"/>
      <c r="M931" s="4"/>
      <c r="N931" s="4"/>
      <c r="O931" s="4"/>
      <c r="P931" s="4"/>
      <c r="Q931" s="4"/>
      <c r="R931" s="4"/>
      <c r="S931" s="4"/>
      <c r="T931" s="4"/>
    </row>
    <row r="932" spans="4:20">
      <c r="D932" s="24"/>
      <c r="E932" s="24"/>
      <c r="F932" s="24"/>
      <c r="G932" s="24"/>
      <c r="H932" s="24"/>
      <c r="I932" s="4"/>
      <c r="J932" s="4"/>
      <c r="K932" s="4"/>
      <c r="L932" s="24"/>
      <c r="M932" s="4"/>
      <c r="N932" s="4"/>
      <c r="O932" s="4"/>
      <c r="P932" s="4"/>
      <c r="Q932" s="4"/>
      <c r="R932" s="4"/>
      <c r="S932" s="4"/>
      <c r="T932" s="4"/>
    </row>
    <row r="933" spans="4:20">
      <c r="D933" s="24"/>
      <c r="E933" s="24"/>
      <c r="F933" s="24"/>
      <c r="G933" s="24"/>
      <c r="H933" s="24"/>
      <c r="I933" s="4"/>
      <c r="J933" s="4"/>
      <c r="K933" s="4"/>
      <c r="L933" s="24"/>
      <c r="M933" s="4"/>
      <c r="N933" s="4"/>
      <c r="O933" s="4"/>
      <c r="P933" s="4"/>
      <c r="Q933" s="4"/>
      <c r="R933" s="4"/>
      <c r="S933" s="4"/>
      <c r="T933" s="4"/>
    </row>
    <row r="934" spans="4:20">
      <c r="D934" s="24"/>
      <c r="E934" s="24"/>
      <c r="F934" s="24"/>
      <c r="G934" s="24"/>
      <c r="H934" s="24"/>
      <c r="I934" s="4"/>
      <c r="J934" s="4"/>
      <c r="K934" s="4"/>
      <c r="L934" s="24"/>
      <c r="M934" s="4"/>
      <c r="N934" s="4"/>
      <c r="O934" s="4"/>
      <c r="P934" s="4"/>
      <c r="Q934" s="4"/>
      <c r="R934" s="4"/>
      <c r="S934" s="4"/>
      <c r="T934" s="4"/>
    </row>
    <row r="935" spans="4:20">
      <c r="D935" s="24"/>
      <c r="E935" s="24"/>
      <c r="F935" s="24"/>
      <c r="G935" s="24"/>
      <c r="H935" s="24"/>
      <c r="I935" s="4"/>
      <c r="J935" s="4"/>
      <c r="K935" s="4"/>
      <c r="L935" s="24"/>
      <c r="M935" s="4"/>
      <c r="N935" s="4"/>
      <c r="O935" s="4"/>
      <c r="P935" s="4"/>
      <c r="Q935" s="4"/>
      <c r="R935" s="4"/>
      <c r="S935" s="4"/>
      <c r="T935" s="4"/>
    </row>
    <row r="936" spans="4:20">
      <c r="D936" s="24"/>
      <c r="E936" s="24"/>
      <c r="F936" s="24"/>
      <c r="G936" s="24"/>
      <c r="H936" s="24"/>
      <c r="I936" s="4"/>
      <c r="J936" s="4"/>
      <c r="K936" s="4"/>
      <c r="L936" s="24"/>
      <c r="M936" s="4"/>
      <c r="N936" s="4"/>
      <c r="O936" s="4"/>
      <c r="P936" s="4"/>
      <c r="Q936" s="4"/>
      <c r="R936" s="4"/>
      <c r="S936" s="4"/>
      <c r="T936" s="4"/>
    </row>
    <row r="937" spans="4:20">
      <c r="D937" s="24"/>
      <c r="E937" s="24"/>
      <c r="F937" s="24"/>
      <c r="G937" s="24"/>
      <c r="H937" s="24"/>
      <c r="I937" s="4"/>
      <c r="J937" s="4"/>
      <c r="K937" s="4"/>
      <c r="L937" s="24"/>
      <c r="M937" s="4"/>
      <c r="N937" s="4"/>
      <c r="O937" s="4"/>
      <c r="P937" s="4"/>
      <c r="Q937" s="4"/>
      <c r="R937" s="4"/>
      <c r="S937" s="4"/>
      <c r="T937" s="4"/>
    </row>
    <row r="938" spans="4:20">
      <c r="D938" s="24"/>
      <c r="E938" s="24"/>
      <c r="F938" s="24"/>
      <c r="G938" s="24"/>
      <c r="H938" s="24"/>
      <c r="I938" s="4"/>
      <c r="J938" s="4"/>
      <c r="K938" s="4"/>
      <c r="L938" s="24"/>
      <c r="M938" s="4"/>
      <c r="N938" s="4"/>
      <c r="O938" s="4"/>
      <c r="P938" s="4"/>
      <c r="Q938" s="4"/>
      <c r="R938" s="4"/>
      <c r="S938" s="4"/>
      <c r="T938" s="4"/>
    </row>
    <row r="939" spans="4:20">
      <c r="D939" s="24"/>
      <c r="E939" s="24"/>
      <c r="F939" s="24"/>
      <c r="G939" s="24"/>
      <c r="H939" s="24"/>
      <c r="I939" s="4"/>
      <c r="J939" s="4"/>
      <c r="K939" s="4"/>
      <c r="L939" s="24"/>
      <c r="M939" s="4"/>
      <c r="N939" s="4"/>
      <c r="O939" s="4"/>
      <c r="P939" s="4"/>
      <c r="Q939" s="4"/>
      <c r="R939" s="4"/>
      <c r="S939" s="4"/>
      <c r="T939" s="4"/>
    </row>
    <row r="940" spans="4:20">
      <c r="D940" s="24"/>
      <c r="E940" s="24"/>
      <c r="F940" s="24"/>
      <c r="G940" s="24"/>
      <c r="H940" s="24"/>
      <c r="I940" s="4"/>
      <c r="J940" s="4"/>
      <c r="K940" s="4"/>
      <c r="L940" s="24"/>
      <c r="M940" s="4"/>
      <c r="N940" s="4"/>
      <c r="O940" s="4"/>
      <c r="P940" s="4"/>
      <c r="Q940" s="4"/>
      <c r="R940" s="4"/>
      <c r="S940" s="4"/>
      <c r="T940" s="4"/>
    </row>
    <row r="941" spans="4:20">
      <c r="D941" s="24"/>
      <c r="E941" s="24"/>
      <c r="F941" s="24"/>
      <c r="G941" s="24"/>
      <c r="H941" s="24"/>
      <c r="I941" s="4"/>
      <c r="J941" s="4"/>
      <c r="K941" s="4"/>
      <c r="L941" s="24"/>
      <c r="M941" s="4"/>
      <c r="N941" s="4"/>
      <c r="O941" s="4"/>
      <c r="P941" s="4"/>
      <c r="Q941" s="4"/>
      <c r="R941" s="4"/>
      <c r="S941" s="4"/>
      <c r="T941" s="4"/>
    </row>
    <row r="942" spans="4:20">
      <c r="D942" s="24"/>
      <c r="E942" s="24"/>
      <c r="F942" s="24"/>
      <c r="G942" s="24"/>
      <c r="H942" s="24"/>
      <c r="I942" s="4"/>
      <c r="J942" s="4"/>
      <c r="K942" s="4"/>
      <c r="L942" s="24"/>
      <c r="M942" s="4"/>
      <c r="N942" s="4"/>
      <c r="O942" s="4"/>
      <c r="P942" s="4"/>
      <c r="Q942" s="4"/>
      <c r="R942" s="4"/>
      <c r="S942" s="4"/>
      <c r="T942" s="4"/>
    </row>
    <row r="943" spans="4:20">
      <c r="D943" s="24"/>
      <c r="E943" s="24"/>
      <c r="F943" s="24"/>
      <c r="G943" s="24"/>
      <c r="H943" s="24"/>
      <c r="I943" s="4"/>
      <c r="J943" s="4"/>
      <c r="K943" s="4"/>
      <c r="L943" s="24"/>
      <c r="M943" s="4"/>
      <c r="N943" s="4"/>
      <c r="O943" s="4"/>
      <c r="P943" s="4"/>
      <c r="Q943" s="4"/>
      <c r="R943" s="4"/>
      <c r="S943" s="4"/>
      <c r="T943" s="4"/>
    </row>
    <row r="944" spans="4:20">
      <c r="D944" s="24"/>
      <c r="E944" s="24"/>
      <c r="F944" s="24"/>
      <c r="G944" s="24"/>
      <c r="H944" s="24"/>
      <c r="I944" s="4"/>
      <c r="J944" s="4"/>
      <c r="K944" s="4"/>
      <c r="L944" s="24"/>
      <c r="M944" s="4"/>
      <c r="N944" s="4"/>
      <c r="O944" s="4"/>
      <c r="P944" s="4"/>
      <c r="Q944" s="4"/>
      <c r="R944" s="4"/>
      <c r="S944" s="4"/>
      <c r="T944" s="4"/>
    </row>
    <row r="945" spans="4:20">
      <c r="D945" s="24"/>
      <c r="E945" s="24"/>
      <c r="F945" s="24"/>
      <c r="G945" s="24"/>
      <c r="H945" s="24"/>
      <c r="I945" s="4"/>
      <c r="J945" s="4"/>
      <c r="K945" s="4"/>
      <c r="L945" s="24"/>
      <c r="M945" s="4"/>
      <c r="N945" s="4"/>
      <c r="O945" s="4"/>
      <c r="P945" s="4"/>
      <c r="Q945" s="4"/>
      <c r="R945" s="4"/>
      <c r="S945" s="4"/>
      <c r="T945" s="4"/>
    </row>
    <row r="946" spans="4:20">
      <c r="D946" s="24"/>
      <c r="E946" s="24"/>
      <c r="F946" s="24"/>
      <c r="G946" s="24"/>
      <c r="H946" s="24"/>
      <c r="I946" s="4"/>
      <c r="J946" s="4"/>
      <c r="K946" s="4"/>
      <c r="L946" s="24"/>
      <c r="M946" s="4"/>
      <c r="N946" s="4"/>
      <c r="O946" s="4"/>
      <c r="P946" s="4"/>
      <c r="Q946" s="4"/>
      <c r="R946" s="4"/>
      <c r="S946" s="4"/>
      <c r="T946" s="4"/>
    </row>
    <row r="947" spans="4:20">
      <c r="D947" s="24"/>
      <c r="E947" s="24"/>
      <c r="F947" s="24"/>
      <c r="G947" s="24"/>
      <c r="H947" s="24"/>
      <c r="I947" s="4"/>
      <c r="J947" s="4"/>
      <c r="K947" s="4"/>
      <c r="L947" s="24"/>
      <c r="M947" s="4"/>
      <c r="N947" s="4"/>
      <c r="O947" s="4"/>
      <c r="P947" s="4"/>
      <c r="Q947" s="4"/>
      <c r="R947" s="4"/>
      <c r="S947" s="4"/>
      <c r="T947" s="4"/>
    </row>
    <row r="948" spans="4:20">
      <c r="D948" s="24"/>
      <c r="E948" s="24"/>
      <c r="F948" s="24"/>
      <c r="G948" s="24"/>
      <c r="H948" s="24"/>
      <c r="I948" s="4"/>
      <c r="J948" s="4"/>
      <c r="K948" s="4"/>
      <c r="L948" s="24"/>
      <c r="M948" s="4"/>
      <c r="N948" s="4"/>
      <c r="O948" s="4"/>
      <c r="P948" s="4"/>
      <c r="Q948" s="4"/>
      <c r="R948" s="4"/>
      <c r="S948" s="4"/>
      <c r="T948" s="4"/>
    </row>
    <row r="949" spans="4:20">
      <c r="D949" s="24"/>
      <c r="E949" s="24"/>
      <c r="F949" s="24"/>
      <c r="G949" s="24"/>
      <c r="H949" s="24"/>
      <c r="I949" s="4"/>
      <c r="J949" s="4"/>
      <c r="K949" s="4"/>
      <c r="L949" s="24"/>
      <c r="M949" s="4"/>
      <c r="N949" s="4"/>
      <c r="O949" s="4"/>
      <c r="P949" s="4"/>
      <c r="Q949" s="4"/>
      <c r="R949" s="4"/>
      <c r="S949" s="4"/>
      <c r="T949" s="4"/>
    </row>
    <row r="950" spans="4:20">
      <c r="D950" s="24"/>
      <c r="E950" s="24"/>
      <c r="F950" s="24"/>
      <c r="G950" s="24"/>
      <c r="H950" s="24"/>
      <c r="I950" s="4"/>
      <c r="J950" s="4"/>
      <c r="K950" s="4"/>
      <c r="L950" s="24"/>
      <c r="M950" s="4"/>
      <c r="N950" s="4"/>
      <c r="O950" s="4"/>
      <c r="P950" s="4"/>
      <c r="Q950" s="4"/>
      <c r="R950" s="4"/>
      <c r="S950" s="4"/>
      <c r="T950" s="4"/>
    </row>
    <row r="951" spans="4:20">
      <c r="D951" s="24"/>
      <c r="E951" s="24"/>
      <c r="F951" s="24"/>
      <c r="G951" s="24"/>
      <c r="H951" s="24"/>
      <c r="I951" s="4"/>
      <c r="J951" s="4"/>
      <c r="K951" s="4"/>
      <c r="L951" s="24"/>
      <c r="M951" s="4"/>
      <c r="N951" s="4"/>
      <c r="O951" s="4"/>
      <c r="P951" s="4"/>
      <c r="Q951" s="4"/>
      <c r="R951" s="4"/>
      <c r="S951" s="4"/>
      <c r="T951" s="4"/>
    </row>
    <row r="952" spans="4:20">
      <c r="D952" s="24"/>
      <c r="E952" s="24"/>
      <c r="F952" s="24"/>
      <c r="G952" s="24"/>
      <c r="H952" s="24"/>
      <c r="I952" s="4"/>
      <c r="J952" s="4"/>
      <c r="K952" s="4"/>
      <c r="L952" s="24"/>
      <c r="M952" s="4"/>
      <c r="N952" s="4"/>
      <c r="O952" s="4"/>
      <c r="P952" s="4"/>
      <c r="Q952" s="4"/>
      <c r="R952" s="4"/>
      <c r="S952" s="4"/>
      <c r="T952" s="4"/>
    </row>
    <row r="953" spans="4:20">
      <c r="D953" s="24"/>
      <c r="E953" s="24"/>
      <c r="F953" s="24"/>
      <c r="G953" s="24"/>
      <c r="H953" s="24"/>
      <c r="I953" s="4"/>
      <c r="J953" s="4"/>
      <c r="K953" s="4"/>
      <c r="L953" s="24"/>
      <c r="M953" s="4"/>
      <c r="N953" s="4"/>
      <c r="O953" s="4"/>
      <c r="P953" s="4"/>
      <c r="Q953" s="4"/>
      <c r="R953" s="4"/>
      <c r="S953" s="4"/>
      <c r="T953" s="4"/>
    </row>
    <row r="954" spans="4:20">
      <c r="D954" s="24"/>
      <c r="E954" s="24"/>
      <c r="F954" s="24"/>
      <c r="G954" s="24"/>
      <c r="H954" s="24"/>
      <c r="I954" s="4"/>
      <c r="J954" s="4"/>
      <c r="K954" s="4"/>
      <c r="L954" s="24"/>
      <c r="M954" s="4"/>
      <c r="N954" s="4"/>
      <c r="O954" s="4"/>
      <c r="P954" s="4"/>
      <c r="Q954" s="4"/>
      <c r="R954" s="4"/>
      <c r="S954" s="4"/>
      <c r="T954" s="4"/>
    </row>
    <row r="955" spans="4:20">
      <c r="D955" s="24"/>
      <c r="E955" s="24"/>
      <c r="F955" s="24"/>
      <c r="G955" s="24"/>
      <c r="H955" s="24"/>
      <c r="I955" s="4"/>
      <c r="J955" s="4"/>
      <c r="K955" s="4"/>
      <c r="L955" s="24"/>
      <c r="M955" s="4"/>
      <c r="N955" s="4"/>
      <c r="O955" s="4"/>
      <c r="P955" s="4"/>
      <c r="Q955" s="4"/>
      <c r="R955" s="4"/>
      <c r="S955" s="4"/>
      <c r="T955" s="4"/>
    </row>
    <row r="956" spans="4:20">
      <c r="D956" s="24"/>
      <c r="E956" s="24"/>
      <c r="F956" s="24"/>
      <c r="G956" s="24"/>
      <c r="H956" s="24"/>
      <c r="I956" s="4"/>
      <c r="J956" s="4"/>
      <c r="K956" s="4"/>
      <c r="L956" s="24"/>
      <c r="M956" s="4"/>
      <c r="N956" s="4"/>
      <c r="O956" s="4"/>
      <c r="P956" s="4"/>
      <c r="Q956" s="4"/>
      <c r="R956" s="4"/>
      <c r="S956" s="4"/>
      <c r="T956" s="4"/>
    </row>
    <row r="957" spans="4:20">
      <c r="D957" s="24"/>
      <c r="E957" s="24"/>
      <c r="F957" s="24"/>
      <c r="G957" s="24"/>
      <c r="H957" s="24"/>
      <c r="I957" s="4"/>
      <c r="J957" s="4"/>
      <c r="K957" s="4"/>
      <c r="L957" s="24"/>
      <c r="M957" s="4"/>
      <c r="N957" s="4"/>
      <c r="O957" s="4"/>
      <c r="P957" s="4"/>
      <c r="Q957" s="4"/>
      <c r="R957" s="4"/>
      <c r="S957" s="4"/>
      <c r="T957" s="4"/>
    </row>
    <row r="958" spans="4:20">
      <c r="D958" s="24"/>
      <c r="E958" s="24"/>
      <c r="F958" s="24"/>
      <c r="G958" s="24"/>
      <c r="H958" s="24"/>
      <c r="I958" s="4"/>
      <c r="J958" s="4"/>
      <c r="K958" s="4"/>
      <c r="L958" s="24"/>
      <c r="M958" s="4"/>
      <c r="N958" s="4"/>
      <c r="O958" s="4"/>
      <c r="P958" s="4"/>
      <c r="Q958" s="4"/>
      <c r="R958" s="4"/>
      <c r="S958" s="4"/>
      <c r="T958" s="4"/>
    </row>
    <row r="959" spans="4:20">
      <c r="D959" s="24"/>
      <c r="E959" s="24"/>
      <c r="F959" s="24"/>
      <c r="G959" s="24"/>
      <c r="H959" s="24"/>
      <c r="I959" s="4"/>
      <c r="J959" s="4"/>
      <c r="K959" s="4"/>
      <c r="L959" s="24"/>
      <c r="M959" s="4"/>
      <c r="N959" s="4"/>
      <c r="O959" s="4"/>
      <c r="P959" s="4"/>
      <c r="Q959" s="4"/>
      <c r="R959" s="4"/>
      <c r="S959" s="4"/>
      <c r="T959" s="4"/>
    </row>
    <row r="960" spans="4:20">
      <c r="D960" s="24"/>
      <c r="E960" s="24"/>
      <c r="F960" s="24"/>
      <c r="G960" s="24"/>
      <c r="H960" s="24"/>
      <c r="I960" s="4"/>
      <c r="J960" s="4"/>
      <c r="K960" s="4"/>
      <c r="L960" s="24"/>
      <c r="M960" s="4"/>
      <c r="N960" s="4"/>
      <c r="O960" s="4"/>
      <c r="P960" s="4"/>
      <c r="Q960" s="4"/>
      <c r="R960" s="4"/>
      <c r="S960" s="4"/>
      <c r="T960" s="4"/>
    </row>
    <row r="961" spans="4:20">
      <c r="D961" s="24"/>
      <c r="E961" s="24"/>
      <c r="F961" s="24"/>
      <c r="G961" s="24"/>
      <c r="H961" s="24"/>
      <c r="I961" s="4"/>
      <c r="J961" s="4"/>
      <c r="K961" s="4"/>
      <c r="L961" s="24"/>
      <c r="M961" s="4"/>
      <c r="N961" s="4"/>
      <c r="O961" s="4"/>
      <c r="P961" s="4"/>
      <c r="Q961" s="4"/>
      <c r="R961" s="4"/>
      <c r="S961" s="4"/>
      <c r="T961" s="4"/>
    </row>
    <row r="962" spans="4:20">
      <c r="D962" s="24"/>
      <c r="E962" s="24"/>
      <c r="F962" s="24"/>
      <c r="G962" s="24"/>
      <c r="H962" s="24"/>
      <c r="I962" s="4"/>
      <c r="J962" s="4"/>
      <c r="K962" s="4"/>
      <c r="L962" s="24"/>
      <c r="M962" s="4"/>
      <c r="N962" s="4"/>
      <c r="O962" s="4"/>
      <c r="P962" s="4"/>
      <c r="Q962" s="4"/>
      <c r="R962" s="4"/>
      <c r="S962" s="4"/>
      <c r="T962" s="4"/>
    </row>
    <row r="963" spans="4:20">
      <c r="D963" s="24"/>
      <c r="E963" s="24"/>
      <c r="F963" s="24"/>
      <c r="G963" s="24"/>
      <c r="H963" s="24"/>
      <c r="I963" s="4"/>
      <c r="J963" s="4"/>
      <c r="K963" s="4"/>
      <c r="L963" s="24"/>
      <c r="M963" s="4"/>
      <c r="N963" s="4"/>
      <c r="O963" s="4"/>
      <c r="P963" s="4"/>
      <c r="Q963" s="4"/>
      <c r="R963" s="4"/>
      <c r="S963" s="4"/>
      <c r="T963" s="4"/>
    </row>
    <row r="964" spans="4:20">
      <c r="D964" s="24"/>
      <c r="E964" s="24"/>
      <c r="F964" s="24"/>
      <c r="G964" s="24"/>
      <c r="H964" s="24"/>
      <c r="I964" s="4"/>
      <c r="J964" s="4"/>
      <c r="K964" s="4"/>
      <c r="L964" s="24"/>
      <c r="M964" s="4"/>
      <c r="N964" s="4"/>
      <c r="O964" s="4"/>
      <c r="P964" s="4"/>
      <c r="Q964" s="4"/>
      <c r="R964" s="4"/>
      <c r="S964" s="4"/>
      <c r="T964" s="4"/>
    </row>
    <row r="965" spans="4:20">
      <c r="D965" s="24"/>
      <c r="E965" s="24"/>
      <c r="F965" s="24"/>
      <c r="G965" s="24"/>
      <c r="H965" s="24"/>
      <c r="I965" s="4"/>
      <c r="J965" s="4"/>
      <c r="K965" s="4"/>
      <c r="L965" s="24"/>
      <c r="M965" s="4"/>
      <c r="N965" s="4"/>
      <c r="O965" s="4"/>
      <c r="P965" s="4"/>
      <c r="Q965" s="4"/>
      <c r="R965" s="4"/>
      <c r="S965" s="4"/>
      <c r="T965" s="4"/>
    </row>
    <row r="966" spans="4:20">
      <c r="D966" s="24"/>
      <c r="E966" s="24"/>
      <c r="F966" s="24"/>
      <c r="G966" s="24"/>
      <c r="H966" s="24"/>
      <c r="I966" s="4"/>
      <c r="J966" s="4"/>
      <c r="K966" s="4"/>
      <c r="L966" s="24"/>
      <c r="M966" s="4"/>
      <c r="N966" s="4"/>
      <c r="O966" s="4"/>
      <c r="P966" s="4"/>
      <c r="Q966" s="4"/>
      <c r="R966" s="4"/>
      <c r="S966" s="4"/>
      <c r="T966" s="4"/>
    </row>
    <row r="967" spans="4:20">
      <c r="D967" s="24"/>
      <c r="E967" s="24"/>
      <c r="F967" s="24"/>
      <c r="G967" s="24"/>
      <c r="H967" s="24"/>
      <c r="I967" s="4"/>
      <c r="J967" s="4"/>
      <c r="K967" s="4"/>
      <c r="L967" s="24"/>
      <c r="M967" s="4"/>
      <c r="N967" s="4"/>
      <c r="O967" s="4"/>
      <c r="P967" s="4"/>
      <c r="Q967" s="4"/>
      <c r="R967" s="4"/>
      <c r="S967" s="4"/>
      <c r="T967" s="4"/>
    </row>
    <row r="968" spans="4:20">
      <c r="D968" s="24"/>
      <c r="E968" s="24"/>
      <c r="F968" s="24"/>
      <c r="G968" s="24"/>
      <c r="H968" s="24"/>
      <c r="I968" s="4"/>
      <c r="J968" s="4"/>
      <c r="K968" s="4"/>
      <c r="L968" s="24"/>
      <c r="M968" s="4"/>
      <c r="N968" s="4"/>
      <c r="O968" s="4"/>
      <c r="P968" s="4"/>
      <c r="Q968" s="4"/>
      <c r="R968" s="4"/>
      <c r="S968" s="4"/>
      <c r="T968" s="4"/>
    </row>
    <row r="969" spans="4:20">
      <c r="D969" s="24"/>
      <c r="E969" s="24"/>
      <c r="F969" s="24"/>
      <c r="G969" s="24"/>
      <c r="H969" s="24"/>
      <c r="I969" s="4"/>
      <c r="J969" s="4"/>
      <c r="K969" s="4"/>
      <c r="L969" s="24"/>
      <c r="M969" s="4"/>
      <c r="N969" s="4"/>
      <c r="O969" s="4"/>
      <c r="P969" s="4"/>
      <c r="Q969" s="4"/>
      <c r="R969" s="4"/>
      <c r="S969" s="4"/>
      <c r="T969" s="4"/>
    </row>
    <row r="970" spans="4:20">
      <c r="D970" s="24"/>
      <c r="E970" s="24"/>
      <c r="F970" s="24"/>
      <c r="G970" s="24"/>
      <c r="H970" s="24"/>
      <c r="I970" s="4"/>
      <c r="J970" s="4"/>
      <c r="K970" s="4"/>
      <c r="L970" s="24"/>
      <c r="M970" s="4"/>
      <c r="N970" s="4"/>
      <c r="O970" s="4"/>
      <c r="P970" s="4"/>
      <c r="Q970" s="4"/>
      <c r="R970" s="4"/>
      <c r="S970" s="4"/>
      <c r="T970" s="4"/>
    </row>
    <row r="971" spans="4:20">
      <c r="D971" s="24"/>
      <c r="E971" s="24"/>
      <c r="F971" s="24"/>
      <c r="G971" s="24"/>
      <c r="H971" s="24"/>
      <c r="I971" s="4"/>
      <c r="J971" s="4"/>
      <c r="K971" s="4"/>
      <c r="L971" s="24"/>
      <c r="M971" s="4"/>
      <c r="N971" s="4"/>
      <c r="O971" s="4"/>
      <c r="P971" s="4"/>
      <c r="Q971" s="4"/>
      <c r="R971" s="4"/>
      <c r="S971" s="4"/>
      <c r="T971" s="4"/>
    </row>
    <row r="972" spans="4:20">
      <c r="D972" s="24"/>
      <c r="E972" s="24"/>
      <c r="F972" s="24"/>
      <c r="G972" s="24"/>
      <c r="H972" s="24"/>
      <c r="I972" s="4"/>
      <c r="J972" s="4"/>
      <c r="K972" s="4"/>
      <c r="L972" s="24"/>
      <c r="M972" s="4"/>
      <c r="N972" s="4"/>
      <c r="O972" s="4"/>
      <c r="P972" s="4"/>
      <c r="Q972" s="4"/>
      <c r="R972" s="4"/>
      <c r="S972" s="4"/>
      <c r="T972" s="4"/>
    </row>
    <row r="973" spans="4:20">
      <c r="D973" s="24"/>
      <c r="E973" s="24"/>
      <c r="F973" s="24"/>
      <c r="G973" s="24"/>
      <c r="H973" s="24"/>
      <c r="I973" s="4"/>
      <c r="J973" s="4"/>
      <c r="K973" s="4"/>
      <c r="L973" s="24"/>
      <c r="M973" s="4"/>
      <c r="N973" s="4"/>
      <c r="O973" s="4"/>
      <c r="P973" s="4"/>
      <c r="Q973" s="4"/>
      <c r="R973" s="4"/>
      <c r="S973" s="4"/>
      <c r="T973" s="4"/>
    </row>
    <row r="974" spans="4:20">
      <c r="D974" s="24"/>
      <c r="E974" s="24"/>
      <c r="F974" s="24"/>
      <c r="G974" s="24"/>
      <c r="H974" s="24"/>
      <c r="I974" s="4"/>
      <c r="J974" s="4"/>
      <c r="K974" s="4"/>
      <c r="L974" s="24"/>
      <c r="M974" s="4"/>
      <c r="N974" s="4"/>
      <c r="O974" s="4"/>
      <c r="P974" s="4"/>
      <c r="Q974" s="4"/>
      <c r="R974" s="4"/>
      <c r="S974" s="4"/>
      <c r="T974" s="4"/>
    </row>
    <row r="975" spans="4:20">
      <c r="D975" s="24"/>
      <c r="E975" s="24"/>
      <c r="F975" s="24"/>
      <c r="G975" s="24"/>
      <c r="H975" s="24"/>
      <c r="I975" s="4"/>
      <c r="J975" s="4"/>
      <c r="K975" s="4"/>
      <c r="L975" s="24"/>
      <c r="M975" s="4"/>
      <c r="N975" s="4"/>
      <c r="O975" s="4"/>
      <c r="P975" s="4"/>
      <c r="Q975" s="4"/>
      <c r="R975" s="4"/>
      <c r="S975" s="4"/>
      <c r="T975" s="4"/>
    </row>
    <row r="976" spans="4:20">
      <c r="D976" s="24"/>
      <c r="E976" s="24"/>
      <c r="F976" s="24"/>
      <c r="G976" s="24"/>
      <c r="H976" s="24"/>
      <c r="I976" s="4"/>
      <c r="J976" s="4"/>
      <c r="K976" s="4"/>
      <c r="L976" s="24"/>
      <c r="M976" s="4"/>
      <c r="N976" s="4"/>
      <c r="O976" s="4"/>
      <c r="P976" s="4"/>
      <c r="Q976" s="4"/>
      <c r="R976" s="4"/>
      <c r="S976" s="4"/>
      <c r="T976" s="4"/>
    </row>
    <row r="977" spans="4:20">
      <c r="D977" s="24"/>
      <c r="E977" s="24"/>
      <c r="F977" s="24"/>
      <c r="G977" s="24"/>
      <c r="H977" s="24"/>
      <c r="I977" s="4"/>
      <c r="J977" s="4"/>
      <c r="K977" s="4"/>
      <c r="L977" s="24"/>
      <c r="M977" s="4"/>
      <c r="N977" s="4"/>
      <c r="O977" s="4"/>
      <c r="P977" s="4"/>
      <c r="Q977" s="4"/>
      <c r="R977" s="4"/>
      <c r="S977" s="4"/>
      <c r="T977" s="4"/>
    </row>
    <row r="978" spans="4:20">
      <c r="D978" s="24"/>
      <c r="E978" s="24"/>
      <c r="F978" s="24"/>
      <c r="G978" s="24"/>
      <c r="H978" s="24"/>
      <c r="I978" s="4"/>
      <c r="J978" s="4"/>
      <c r="K978" s="4"/>
      <c r="L978" s="24"/>
      <c r="M978" s="4"/>
      <c r="N978" s="4"/>
      <c r="O978" s="4"/>
      <c r="P978" s="4"/>
      <c r="Q978" s="4"/>
      <c r="R978" s="4"/>
      <c r="S978" s="4"/>
      <c r="T978" s="4"/>
    </row>
    <row r="979" spans="4:20">
      <c r="D979" s="24"/>
      <c r="E979" s="24"/>
      <c r="F979" s="24"/>
      <c r="G979" s="24"/>
      <c r="H979" s="24"/>
      <c r="I979" s="4"/>
      <c r="J979" s="4"/>
      <c r="K979" s="4"/>
      <c r="L979" s="24"/>
      <c r="M979" s="4"/>
      <c r="N979" s="4"/>
      <c r="O979" s="4"/>
      <c r="P979" s="4"/>
      <c r="Q979" s="4"/>
      <c r="R979" s="4"/>
      <c r="S979" s="4"/>
      <c r="T979" s="4"/>
    </row>
    <row r="980" spans="4:20">
      <c r="D980" s="24"/>
      <c r="E980" s="24"/>
      <c r="F980" s="24"/>
      <c r="G980" s="24"/>
      <c r="H980" s="24"/>
      <c r="I980" s="4"/>
      <c r="J980" s="4"/>
      <c r="K980" s="4"/>
      <c r="L980" s="24"/>
      <c r="M980" s="4"/>
      <c r="N980" s="4"/>
      <c r="O980" s="4"/>
      <c r="P980" s="4"/>
      <c r="Q980" s="4"/>
      <c r="R980" s="4"/>
      <c r="S980" s="4"/>
      <c r="T980" s="4"/>
    </row>
    <row r="981" spans="4:20">
      <c r="D981" s="24"/>
      <c r="E981" s="24"/>
      <c r="F981" s="24"/>
      <c r="G981" s="24"/>
      <c r="H981" s="24"/>
      <c r="I981" s="4"/>
      <c r="J981" s="4"/>
      <c r="K981" s="4"/>
      <c r="L981" s="24"/>
      <c r="M981" s="4"/>
      <c r="N981" s="4"/>
      <c r="O981" s="4"/>
      <c r="P981" s="4"/>
      <c r="Q981" s="4"/>
      <c r="R981" s="4"/>
      <c r="S981" s="4"/>
      <c r="T981" s="4"/>
    </row>
    <row r="982" spans="4:20">
      <c r="D982" s="24"/>
      <c r="E982" s="24"/>
      <c r="F982" s="24"/>
      <c r="G982" s="24"/>
      <c r="H982" s="24"/>
      <c r="I982" s="4"/>
      <c r="J982" s="4"/>
      <c r="K982" s="4"/>
      <c r="L982" s="24"/>
      <c r="M982" s="4"/>
      <c r="N982" s="4"/>
      <c r="O982" s="4"/>
      <c r="P982" s="4"/>
      <c r="Q982" s="4"/>
      <c r="R982" s="4"/>
      <c r="S982" s="4"/>
      <c r="T982" s="4"/>
    </row>
    <row r="983" spans="4:20">
      <c r="D983" s="24"/>
      <c r="E983" s="24"/>
      <c r="F983" s="24"/>
      <c r="G983" s="24"/>
      <c r="H983" s="24"/>
      <c r="I983" s="4"/>
      <c r="J983" s="4"/>
      <c r="K983" s="4"/>
      <c r="L983" s="24"/>
      <c r="M983" s="4"/>
      <c r="N983" s="4"/>
      <c r="O983" s="4"/>
      <c r="P983" s="4"/>
      <c r="Q983" s="4"/>
      <c r="R983" s="4"/>
      <c r="S983" s="4"/>
      <c r="T983" s="4"/>
    </row>
    <row r="984" spans="4:20">
      <c r="D984" s="24"/>
      <c r="E984" s="24"/>
      <c r="F984" s="24"/>
      <c r="G984" s="24"/>
      <c r="H984" s="24"/>
      <c r="I984" s="4"/>
      <c r="J984" s="4"/>
      <c r="K984" s="4"/>
      <c r="L984" s="24"/>
      <c r="M984" s="4"/>
      <c r="N984" s="4"/>
      <c r="O984" s="4"/>
      <c r="P984" s="4"/>
      <c r="Q984" s="4"/>
      <c r="R984" s="4"/>
      <c r="S984" s="4"/>
      <c r="T984" s="4"/>
    </row>
    <row r="985" spans="4:20">
      <c r="D985" s="24"/>
      <c r="E985" s="24"/>
      <c r="F985" s="24"/>
      <c r="G985" s="24"/>
      <c r="H985" s="24"/>
      <c r="I985" s="4"/>
      <c r="J985" s="4"/>
      <c r="K985" s="4"/>
      <c r="L985" s="24"/>
      <c r="M985" s="4"/>
      <c r="N985" s="4"/>
      <c r="O985" s="4"/>
      <c r="P985" s="4"/>
      <c r="Q985" s="4"/>
      <c r="R985" s="4"/>
      <c r="S985" s="4"/>
      <c r="T985" s="4"/>
    </row>
    <row r="986" spans="4:20">
      <c r="D986" s="24"/>
      <c r="E986" s="24"/>
      <c r="F986" s="24"/>
      <c r="G986" s="24"/>
      <c r="H986" s="24"/>
      <c r="I986" s="4"/>
      <c r="J986" s="4"/>
      <c r="K986" s="4"/>
      <c r="L986" s="24"/>
      <c r="M986" s="4"/>
      <c r="N986" s="4"/>
      <c r="O986" s="4"/>
      <c r="P986" s="4"/>
      <c r="Q986" s="4"/>
      <c r="R986" s="4"/>
      <c r="S986" s="4"/>
      <c r="T986" s="4"/>
    </row>
    <row r="987" spans="4:20">
      <c r="D987" s="24"/>
      <c r="E987" s="24"/>
      <c r="F987" s="24"/>
      <c r="G987" s="24"/>
      <c r="H987" s="24"/>
      <c r="I987" s="4"/>
      <c r="J987" s="4"/>
      <c r="K987" s="4"/>
      <c r="L987" s="24"/>
      <c r="M987" s="4"/>
      <c r="N987" s="4"/>
      <c r="O987" s="4"/>
      <c r="P987" s="4"/>
      <c r="Q987" s="4"/>
      <c r="R987" s="4"/>
      <c r="S987" s="4"/>
      <c r="T987" s="4"/>
    </row>
    <row r="988" spans="4:20">
      <c r="D988" s="24"/>
      <c r="E988" s="24"/>
      <c r="F988" s="24"/>
      <c r="G988" s="24"/>
      <c r="H988" s="24"/>
      <c r="I988" s="4"/>
      <c r="J988" s="4"/>
      <c r="K988" s="4"/>
      <c r="L988" s="24"/>
      <c r="M988" s="4"/>
      <c r="N988" s="4"/>
      <c r="O988" s="4"/>
      <c r="P988" s="4"/>
      <c r="Q988" s="4"/>
      <c r="R988" s="4"/>
      <c r="S988" s="4"/>
      <c r="T988" s="4"/>
    </row>
    <row r="989" spans="4:20">
      <c r="D989" s="24"/>
      <c r="E989" s="24"/>
      <c r="F989" s="24"/>
      <c r="G989" s="24"/>
      <c r="H989" s="24"/>
      <c r="I989" s="4"/>
      <c r="J989" s="4"/>
      <c r="K989" s="4"/>
      <c r="L989" s="24"/>
      <c r="M989" s="4"/>
      <c r="N989" s="4"/>
      <c r="O989" s="4"/>
      <c r="P989" s="4"/>
      <c r="Q989" s="4"/>
      <c r="R989" s="4"/>
      <c r="S989" s="4"/>
      <c r="T989" s="4"/>
    </row>
    <row r="990" spans="4:20">
      <c r="D990" s="24"/>
      <c r="E990" s="24"/>
      <c r="F990" s="24"/>
      <c r="G990" s="24"/>
      <c r="H990" s="24"/>
      <c r="I990" s="4"/>
      <c r="J990" s="4"/>
      <c r="K990" s="4"/>
      <c r="L990" s="24"/>
      <c r="M990" s="4"/>
      <c r="N990" s="4"/>
      <c r="O990" s="4"/>
      <c r="P990" s="4"/>
      <c r="Q990" s="4"/>
      <c r="R990" s="4"/>
      <c r="S990" s="4"/>
      <c r="T990" s="4"/>
    </row>
    <row r="991" spans="4:20">
      <c r="D991" s="24"/>
      <c r="E991" s="24"/>
      <c r="F991" s="24"/>
      <c r="G991" s="24"/>
      <c r="H991" s="24"/>
      <c r="I991" s="4"/>
      <c r="J991" s="4"/>
      <c r="K991" s="4"/>
      <c r="L991" s="24"/>
      <c r="M991" s="4"/>
      <c r="N991" s="4"/>
      <c r="O991" s="4"/>
      <c r="P991" s="4"/>
      <c r="Q991" s="4"/>
      <c r="R991" s="4"/>
      <c r="S991" s="4"/>
      <c r="T991" s="4"/>
    </row>
    <row r="992" spans="4:20">
      <c r="D992" s="24"/>
      <c r="E992" s="24"/>
      <c r="F992" s="24"/>
      <c r="G992" s="24"/>
      <c r="H992" s="24"/>
      <c r="I992" s="4"/>
      <c r="J992" s="4"/>
      <c r="K992" s="4"/>
      <c r="L992" s="24"/>
      <c r="M992" s="4"/>
      <c r="N992" s="4"/>
      <c r="O992" s="4"/>
      <c r="P992" s="4"/>
      <c r="Q992" s="4"/>
      <c r="R992" s="4"/>
      <c r="S992" s="4"/>
      <c r="T992" s="4"/>
    </row>
  </sheetData>
  <mergeCells count="4">
    <mergeCell ref="X1:AA1"/>
    <mergeCell ref="L1:W1"/>
    <mergeCell ref="H1:K1"/>
    <mergeCell ref="A1:C1"/>
  </mergeCells>
  <phoneticPr fontId="7" type="noConversion"/>
  <conditionalFormatting sqref="L3:W297">
    <cfRule type="cellIs" dxfId="19" priority="1" operator="greaterThan">
      <formula>$AB3&gt;3</formula>
    </cfRule>
  </conditionalFormatting>
  <dataValidations count="3">
    <dataValidation type="list" allowBlank="1" showInputMessage="1" showErrorMessage="1" sqref="B3:B297" xr:uid="{8898BF91-F858-E94A-AC78-93B58C18FEE4}">
      <formula1>$AZ$4:$AZ$6</formula1>
    </dataValidation>
    <dataValidation type="date" operator="lessThan" allowBlank="1" showInputMessage="1" showErrorMessage="1" sqref="C3:C297" xr:uid="{2EC76B1A-ED45-8F42-AACA-03B89DA1968C}">
      <formula1>43830</formula1>
    </dataValidation>
    <dataValidation type="list" allowBlank="1" showInputMessage="1" showErrorMessage="1" sqref="D3:X297" xr:uid="{A2D48968-1ADC-6347-8EF1-736CF9CAC2A1}">
      <formula1>INDIRECT(AE3)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2B4A2-E6D8-584E-A36C-BF5DBD573466}">
  <dimension ref="A2:CY607"/>
  <sheetViews>
    <sheetView showGridLines="0" zoomScale="150" zoomScaleNormal="100" workbookViewId="0"/>
  </sheetViews>
  <sheetFormatPr defaultColWidth="11" defaultRowHeight="15.75"/>
  <cols>
    <col min="2" max="2" width="16" style="1" customWidth="1"/>
    <col min="3" max="3" width="5.625" style="1" customWidth="1"/>
    <col min="4" max="4" width="16" style="1" customWidth="1"/>
    <col min="5" max="5" width="5.625" style="1" customWidth="1"/>
    <col min="6" max="6" width="16" style="1" customWidth="1"/>
    <col min="7" max="7" width="5.625" style="1" customWidth="1"/>
    <col min="8" max="8" width="16" style="1" customWidth="1"/>
    <col min="9" max="9" width="5.625" style="1" customWidth="1"/>
    <col min="10" max="10" width="15.875" style="1" customWidth="1"/>
    <col min="11" max="11" width="5.625" style="1" customWidth="1"/>
    <col min="12" max="12" width="16" style="1" customWidth="1"/>
    <col min="13" max="13" width="5.625" style="1" customWidth="1"/>
    <col min="14" max="14" width="16.125" style="1" customWidth="1"/>
    <col min="15" max="15" width="5.625" style="1" customWidth="1"/>
    <col min="16" max="16" width="16.125" style="1" customWidth="1"/>
    <col min="17" max="17" width="5.625" style="1" customWidth="1"/>
    <col min="18" max="18" width="15.875" style="1" customWidth="1"/>
    <col min="19" max="19" width="5.625" style="1" customWidth="1"/>
    <col min="20" max="22" width="16" style="1" customWidth="1"/>
    <col min="23" max="23" width="5.625" style="1" customWidth="1"/>
    <col min="24" max="24" width="16" style="1" customWidth="1"/>
    <col min="25" max="25" width="5.625" style="1" customWidth="1"/>
    <col min="26" max="26" width="16" style="1" customWidth="1"/>
    <col min="27" max="27" width="5.625" style="1" customWidth="1"/>
    <col min="28" max="28" width="16" style="1" customWidth="1"/>
    <col min="29" max="29" width="5.625" style="1" customWidth="1"/>
    <col min="30" max="30" width="16" style="1" customWidth="1"/>
    <col min="31" max="31" width="5.625" style="1" customWidth="1"/>
    <col min="32" max="32" width="16" style="1" customWidth="1"/>
    <col min="33" max="33" width="5.625" style="1" customWidth="1"/>
    <col min="34" max="34" width="16" style="1" customWidth="1"/>
    <col min="35" max="35" width="5.5" style="1" customWidth="1"/>
    <col min="36" max="36" width="16" style="1" customWidth="1"/>
    <col min="37" max="37" width="5.5" style="1" customWidth="1"/>
    <col min="38" max="38" width="16" style="1" customWidth="1"/>
    <col min="39" max="39" width="5.5" style="1" customWidth="1"/>
    <col min="40" max="92" width="10.875" style="6" hidden="1" customWidth="1"/>
    <col min="93" max="93" width="10.875" style="62" hidden="1" customWidth="1"/>
    <col min="94" max="94" width="10.875" style="6" hidden="1" customWidth="1"/>
    <col min="95" max="95" width="10.875" style="62" hidden="1" customWidth="1"/>
    <col min="96" max="96" width="10.875" style="63" hidden="1" customWidth="1"/>
    <col min="97" max="97" width="10.875" style="62" hidden="1" customWidth="1"/>
    <col min="98" max="99" width="10.875" customWidth="1"/>
  </cols>
  <sheetData>
    <row r="2" spans="1:103">
      <c r="B2" s="84" t="s">
        <v>538</v>
      </c>
      <c r="C2" s="85"/>
      <c r="D2" s="85"/>
      <c r="E2" s="85"/>
      <c r="F2" s="85"/>
      <c r="G2" s="85"/>
      <c r="H2" s="85"/>
      <c r="I2" s="8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</row>
    <row r="3" spans="1:103">
      <c r="B3" s="82" t="s">
        <v>524</v>
      </c>
      <c r="C3" s="82"/>
      <c r="D3" s="81" t="s">
        <v>522</v>
      </c>
      <c r="E3" s="81"/>
      <c r="F3" s="80" t="s">
        <v>523</v>
      </c>
      <c r="G3" s="80"/>
      <c r="H3" s="83" t="s">
        <v>528</v>
      </c>
      <c r="I3" s="83"/>
      <c r="J3" s="34"/>
      <c r="K3" s="34"/>
      <c r="L3" s="34"/>
      <c r="M3" s="34"/>
      <c r="N3" s="34"/>
      <c r="O3" s="34"/>
      <c r="P3" s="34"/>
      <c r="Q3" s="34"/>
    </row>
    <row r="4" spans="1:103">
      <c r="A4" s="1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2"/>
      <c r="CO4" s="64"/>
      <c r="CP4" s="52"/>
      <c r="CQ4" s="64"/>
      <c r="CR4" s="65"/>
      <c r="CS4" s="64"/>
    </row>
    <row r="5" spans="1:103">
      <c r="A5" s="16"/>
      <c r="B5" s="78" t="s">
        <v>11</v>
      </c>
      <c r="C5" s="78"/>
      <c r="D5" s="78"/>
      <c r="E5" s="78"/>
      <c r="F5" s="79" t="s">
        <v>12</v>
      </c>
      <c r="G5" s="79"/>
      <c r="H5" s="79"/>
      <c r="I5" s="79"/>
      <c r="J5" s="78" t="s">
        <v>619</v>
      </c>
      <c r="K5" s="78"/>
      <c r="L5" s="78"/>
      <c r="M5" s="78"/>
      <c r="N5" s="79" t="s">
        <v>696</v>
      </c>
      <c r="O5" s="79"/>
      <c r="P5" s="79"/>
      <c r="Q5" s="79"/>
      <c r="R5" s="78" t="s">
        <v>529</v>
      </c>
      <c r="S5" s="78"/>
      <c r="T5" s="78"/>
      <c r="U5" s="78"/>
      <c r="V5" s="79" t="s">
        <v>536</v>
      </c>
      <c r="W5" s="79"/>
      <c r="X5" s="79"/>
      <c r="Y5" s="79"/>
      <c r="Z5" s="78" t="s">
        <v>633</v>
      </c>
      <c r="AA5" s="78"/>
      <c r="AB5" s="78"/>
      <c r="AC5" s="78"/>
      <c r="AD5" s="79" t="s">
        <v>695</v>
      </c>
      <c r="AE5" s="79"/>
      <c r="AF5" s="79"/>
      <c r="AG5" s="79"/>
      <c r="AH5" s="78" t="s">
        <v>537</v>
      </c>
      <c r="AI5" s="78"/>
      <c r="AJ5" s="78"/>
      <c r="AK5" s="78"/>
      <c r="AL5" s="78"/>
      <c r="AM5" s="78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2"/>
      <c r="CO5" s="64"/>
      <c r="CP5" s="52"/>
      <c r="CQ5" s="64"/>
      <c r="CR5" s="65"/>
      <c r="CS5" s="64"/>
    </row>
    <row r="6" spans="1:103">
      <c r="A6" s="16"/>
      <c r="B6" s="38" t="s">
        <v>634</v>
      </c>
      <c r="C6" s="38">
        <f>SUM(C8:C39)</f>
        <v>0</v>
      </c>
      <c r="D6" s="38" t="s">
        <v>634</v>
      </c>
      <c r="E6" s="38">
        <f>SUM(E8:E39)</f>
        <v>0</v>
      </c>
      <c r="F6" s="39" t="s">
        <v>634</v>
      </c>
      <c r="G6" s="39">
        <f>SUM(G8:G37)</f>
        <v>0</v>
      </c>
      <c r="H6" s="39" t="s">
        <v>634</v>
      </c>
      <c r="I6" s="39">
        <f>SUM(I8:I37)</f>
        <v>0</v>
      </c>
      <c r="J6" s="38" t="s">
        <v>634</v>
      </c>
      <c r="K6" s="38">
        <f>SUM(K8:K37)</f>
        <v>0</v>
      </c>
      <c r="L6" s="38" t="s">
        <v>634</v>
      </c>
      <c r="M6" s="38">
        <f>SUM(M8:M37)</f>
        <v>0</v>
      </c>
      <c r="N6" s="39" t="s">
        <v>634</v>
      </c>
      <c r="O6" s="39">
        <f>SUM(O8:O37)</f>
        <v>0</v>
      </c>
      <c r="P6" s="39" t="s">
        <v>634</v>
      </c>
      <c r="Q6" s="39">
        <f>SUM(Q8:Q37)</f>
        <v>0</v>
      </c>
      <c r="R6" s="38" t="s">
        <v>635</v>
      </c>
      <c r="S6" s="38">
        <f>SUM(S8:S37)</f>
        <v>0</v>
      </c>
      <c r="T6" s="38" t="s">
        <v>635</v>
      </c>
      <c r="U6" s="38">
        <f>SUM(U8:U37)</f>
        <v>0</v>
      </c>
      <c r="V6" s="39" t="s">
        <v>635</v>
      </c>
      <c r="W6" s="39">
        <f>COUNTIF(W8:W37,"&gt;0")</f>
        <v>0</v>
      </c>
      <c r="X6" s="39" t="s">
        <v>635</v>
      </c>
      <c r="Y6" s="39">
        <f>COUNTIF(Y8:Y37,"&gt;0")</f>
        <v>0</v>
      </c>
      <c r="Z6" s="38" t="s">
        <v>635</v>
      </c>
      <c r="AA6" s="38">
        <f>SUM(AA8:AA37)</f>
        <v>0</v>
      </c>
      <c r="AB6" s="38" t="s">
        <v>635</v>
      </c>
      <c r="AC6" s="38">
        <f>SUM(AC8:AC37)</f>
        <v>0</v>
      </c>
      <c r="AD6" s="39" t="s">
        <v>635</v>
      </c>
      <c r="AE6" s="39">
        <f>SUM(AE8:AE37)</f>
        <v>0</v>
      </c>
      <c r="AF6" s="39" t="s">
        <v>635</v>
      </c>
      <c r="AG6" s="39">
        <f>SUM(AG8:AG37)</f>
        <v>0</v>
      </c>
      <c r="AH6" s="38" t="s">
        <v>635</v>
      </c>
      <c r="AI6" s="38">
        <f>COUNTIF(AI8:AI37,"&gt;0")</f>
        <v>0</v>
      </c>
      <c r="AJ6" s="38" t="s">
        <v>635</v>
      </c>
      <c r="AK6" s="38">
        <f>COUNTIF(AK8:AK37,"&gt;0")</f>
        <v>0</v>
      </c>
      <c r="AL6" s="38" t="s">
        <v>635</v>
      </c>
      <c r="AM6" s="38">
        <f>COUNTIF(AM8:AM37,"&gt;0")</f>
        <v>0</v>
      </c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2"/>
      <c r="CO6" s="64"/>
      <c r="CP6" s="52"/>
      <c r="CQ6" s="64"/>
      <c r="CR6" s="65"/>
      <c r="CS6" s="64"/>
    </row>
    <row r="7" spans="1:103">
      <c r="A7" s="16"/>
      <c r="B7" s="16" t="s">
        <v>43</v>
      </c>
      <c r="C7" s="16" t="s">
        <v>525</v>
      </c>
      <c r="D7" s="16" t="s">
        <v>44</v>
      </c>
      <c r="E7" s="16" t="s">
        <v>526</v>
      </c>
      <c r="F7" s="16" t="s">
        <v>43</v>
      </c>
      <c r="G7" s="17" t="s">
        <v>525</v>
      </c>
      <c r="H7" s="17" t="s">
        <v>44</v>
      </c>
      <c r="I7" s="18" t="s">
        <v>527</v>
      </c>
      <c r="J7" s="16" t="s">
        <v>43</v>
      </c>
      <c r="K7" s="16" t="s">
        <v>525</v>
      </c>
      <c r="L7" s="16" t="s">
        <v>44</v>
      </c>
      <c r="M7" s="16" t="s">
        <v>526</v>
      </c>
      <c r="N7" s="50" t="s">
        <v>43</v>
      </c>
      <c r="O7" s="17" t="s">
        <v>525</v>
      </c>
      <c r="P7" s="17" t="s">
        <v>44</v>
      </c>
      <c r="Q7" s="18" t="s">
        <v>527</v>
      </c>
      <c r="R7" s="16" t="s">
        <v>43</v>
      </c>
      <c r="S7" s="17" t="s">
        <v>525</v>
      </c>
      <c r="T7" s="17" t="s">
        <v>44</v>
      </c>
      <c r="U7" s="18" t="s">
        <v>526</v>
      </c>
      <c r="V7" s="19" t="s">
        <v>43</v>
      </c>
      <c r="W7" s="17" t="s">
        <v>525</v>
      </c>
      <c r="X7" s="17" t="s">
        <v>44</v>
      </c>
      <c r="Y7" s="16" t="s">
        <v>527</v>
      </c>
      <c r="Z7" s="19" t="s">
        <v>43</v>
      </c>
      <c r="AA7" s="17" t="s">
        <v>525</v>
      </c>
      <c r="AB7" s="17" t="s">
        <v>44</v>
      </c>
      <c r="AC7" s="21" t="s">
        <v>697</v>
      </c>
      <c r="AD7" s="16" t="s">
        <v>43</v>
      </c>
      <c r="AE7" s="16" t="s">
        <v>525</v>
      </c>
      <c r="AF7" s="16" t="s">
        <v>44</v>
      </c>
      <c r="AG7" s="16" t="s">
        <v>527</v>
      </c>
      <c r="AH7" s="22" t="s">
        <v>15</v>
      </c>
      <c r="AI7" s="17" t="s">
        <v>525</v>
      </c>
      <c r="AJ7" s="17" t="s">
        <v>626</v>
      </c>
      <c r="AK7" s="17" t="s">
        <v>697</v>
      </c>
      <c r="AL7" s="17" t="s">
        <v>625</v>
      </c>
      <c r="AM7" s="16" t="s">
        <v>698</v>
      </c>
      <c r="AN7" s="52" t="str">
        <f>IF(Atletas!D3="","",IF(Atletas!B3="Feminino",100,IF(Atletas!B3="Masculino",200,""))+(IF(Atletas!D3="Kids 30kg",1,IF(Atletas!D3="Kids 32kg",2, IF(Atletas!D3="Kids 34kg",3,IF(Atletas!D3="Kids 36kg",4,IF(Atletas!D3="Kids 39kg",5,IF(Atletas!D3="Kids 42kg",6,IF(Atletas!D3="Kids 45kg",7, IF(Atletas!D3="Infantil 39kg",8,IF(Atletas!D3="Infantil 42kg",9,IF(Atletas!D3="Infantil 45kg",10,IF(Atletas!D3="Infantil 48kg",11,IF(Atletas!D3="Infantil 52kg",12,IF(Atletas!D3="Infantil 56kg",13,IF(Atletas!D3="Infantil 60kg",14,IF(Atletas!D3="Juvenil 48kg",15,IF(Atletas!D3="Juvenil 52kg",16,IF(Atletas!D3="Juvenil 56kg",17,IF(Atletas!D3="Juvenil 60kg",18,IF(Atletas!D3="Juvenil 65kg",19,IF(Atletas!D3="Juvenil 70kg",20,IF(Atletas!D3="Juvenil 75kg",21,IF(Atletas!D3="Juvenil 80kg",22, IF(Atletas!D3="Juvenil 85kg",23,IF(Atletas!D3="Adulto 48kg",24,IF(Atletas!D3="Adulto 52kg",25,IF(Atletas!D3="Adulto 56kg",26,IF(Atletas!D3="Adulto 60kg",27,IF(Atletas!D3="Adulto 65kg",28,IF(Atletas!D3="Adulto 70kg",29,IF(Atletas!D3="Adulto 75kg",30,IF(Atletas!D3="Adulto 80kg",31,IF(Atletas!D3="Adulto 85kg",32,IF(Atletas!D3="Adulto 90kg",33,IF(Atletas!D3="Adulto 100kg",34, IF(Atletas!D3="Adulto +100kg",35,"")))))))))))))))))))))))))))))))))))))</f>
        <v/>
      </c>
      <c r="AO7" s="50" t="str">
        <f>IF(AP7&lt;&gt;"","Kids 30kg","")</f>
        <v/>
      </c>
      <c r="AP7" s="6" t="str">
        <f>IF(COUNTIF(AN:AN,101)&gt;0,COUNTIF(AN:AN,101),"")</f>
        <v/>
      </c>
      <c r="AQ7" s="50" t="str">
        <f>IF(AR7&lt;&gt;"","Kids 30kg","")</f>
        <v/>
      </c>
      <c r="AR7" s="6" t="str">
        <f>IF(COUNTIF(AN:AN,201)&gt;0,COUNTIF(AN:AN,201),"")</f>
        <v/>
      </c>
      <c r="AS7" s="6" t="str">
        <f>IF(Atletas!E3="","",IF(Atletas!B3="Feminino",100,IF(Atletas!B3="Masculino",200,""))+(IF(Atletas!E3="Juvenil 44kg",1,IF(Atletas!E3="Juvenil 48kg",2,IF(Atletas!E3="Juvenil 52kg",3,IF(Atletas!E3="Juvenil 56kg",4,IF(Atletas!E3="Juvenil 60kg",5,IF(Atletas!E3="Juvenil 65kg",6,IF(Atletas!E3="Juvenil 70kg",7,IF(Atletas!E3="Juvenil 75kg",8,IF(Atletas!E3="Juvenil 82kg",9,IF(Atletas!E3="Juvenil 90kg",10,IF(Atletas!E3="Juvenil 100kg",11,IF(Atletas!E3="Adulto 48kg",12,IF(Atletas!E3="Adulto 52kg",13,IF(Atletas!E3="Adulto 56kg",14,IF(Atletas!E3="Adulto 60kg",15,IF(Atletas!E3="Adulto 65kg",16,IF(Atletas!E3="Adulto 70kg",17,IF(Atletas!E3="Adulto 75kg",18,IF(Atletas!E3="Adulto 82kg",19,IF(Atletas!E3="Adulto 90kg",20,IF(Atletas!E3="Adulto 100kg",21,IF(Atletas!E3="Adulto +100kg",22,""))))))))))))))))))))))))</f>
        <v/>
      </c>
      <c r="AT7" s="50" t="str">
        <f>IF(AU7&lt;&gt;"","Juvenil 44kg","")</f>
        <v/>
      </c>
      <c r="AU7" s="6" t="str">
        <f>IF(COUNTIF(AS:AS,101)&gt;0,COUNTIF(AS:AS,101),"")</f>
        <v/>
      </c>
      <c r="AV7" s="50" t="str">
        <f>IF(AW7&lt;&gt;"","Juvenil 48kg","")</f>
        <v/>
      </c>
      <c r="AW7" s="6" t="str">
        <f>IF(COUNTIF(AS:AS,202)&gt;0,COUNTIF(AS:AS,202),"")</f>
        <v/>
      </c>
      <c r="AX7" s="6" t="str">
        <f>IF(Atletas!F3="","",IF(Atletas!B3="Feminino",100,IF(Atletas!B3="Masculino",200,""))+(IF(Atletas!F3="Adulto 48kg",1,IF(Atletas!F3="Adulto 56kg",2,IF(Atletas!F3="Adulto 65kg",3,IF(Atletas!F3="Adulto 75kg",4,IF(Atletas!F3="Adulto +75kg",5,IF(Atletas!F3="Adulto 52kg",6,IF(Atletas!F3="Adulto 60kg",7,IF(Atletas!F3="Adulto 70kg",8,IF(Atletas!F3="Adulto 80kg",9,IF(Atletas!F3="Adulto 90kg",10,IF(Atletas!F3="Adulto +90kg",11,"")))))))))))))</f>
        <v/>
      </c>
      <c r="AY7" s="50" t="str">
        <f>IF(AZ7&lt;&gt;"","Adulto 48kg","")</f>
        <v/>
      </c>
      <c r="AZ7" s="6" t="str">
        <f>IF(COUNTIF(AX:AX,101)&gt;0,COUNTIF(AX:AX,101),"")</f>
        <v/>
      </c>
      <c r="BA7" s="50" t="str">
        <f>IF(BB7&lt;&gt;"","Adulto 52kg","")</f>
        <v/>
      </c>
      <c r="BB7" s="6" t="str">
        <f>IF(COUNTIF(AX:AX,206)&gt;0,COUNTIF(AX:AX,206),"")</f>
        <v/>
      </c>
      <c r="BC7" s="6" t="str">
        <f>IF(Atletas!G3="","",IF(Atletas!B3="Feminino",10,IF(Atletas!B3="Masculino",20,""))+(IF(Atletas!G3="Baduanjin A",1,IF(Atletas!G3="Baduanjin B",2))))</f>
        <v/>
      </c>
      <c r="BD7" s="50" t="str">
        <f>IF(BE7&lt;&gt;"","Baduanjin A","")</f>
        <v/>
      </c>
      <c r="BE7" s="6" t="str">
        <f>IF(COUNTIF(BC:BC,11)&gt;0,COUNTIF(BC:BC,11),"")</f>
        <v/>
      </c>
      <c r="BF7" s="52" t="str">
        <f>IF(Atletas!H3="","",IF(Atletas!B3="Feminino",100,IF(Atletas!B3="Masculino",200,""))+(IF(Atletas!H3="Changquan Mirim",1,IF(Atletas!H3="Nanquan Mirim",2,IF(Atletas!H3="Taijiquan Mirim",3,IF(Atletas!H3="Changquan Grupo C",4,IF(Atletas!H3="Nanquan Grupo C",5,IF(Atletas!H3="Taijiquan Grupo C",6,IF(Atletas!H3="Changquan Grupo B",7,IF(Atletas!H3="Nanquan Grupo B",8,IF(Atletas!H3="Taijiquan Grupo B",9,IF(Atletas!H3="Changquan Grupo A",10,IF(Atletas!H3="Nanquan Grupo A",11,IF(Atletas!H3="Taijiquan Grupo A",12,IF(Atletas!H3="Changquan Opcional",13,IF(Atletas!H3="Nanquan Opcional",14,IF(Atletas!H3="Taijiquan Opcional",15,IF(Atletas!H3="Changquan Adulto",16,IF(Atletas!H3="Nanquan Adulto",17,IF(Atletas!H3="Taijiquan Adulto",18,""))))))))))))))))))))</f>
        <v/>
      </c>
      <c r="BG7" s="52" t="str">
        <f>IF(Atletas!I3="","",IF(Atletas!B3="Feminino",100,IF(Atletas!B3="Masculino",200,""))+(IF(Atletas!I3="Daoshu Mirim",19,IF(Atletas!I3="Jianshu Mirim",20,IF(Atletas!I3="Nandao Mirim",21,IF(Atletas!I3="Taijijian Mirim",22,IF(Atletas!I3="Daoshu Grupo C",23,IF(Atletas!I3="Jianshu Grupo C",24,IF(Atletas!I3="Nandao Grupo C",25,IF(Atletas!I3="Taijijian Grupo C",26,IF(Atletas!I3="Daoshu Grupo B",27,IF(Atletas!I3="Jianshu Grupo B",28,IF(Atletas!I3="Nandao Grupo B",29,IF(Atletas!I3="Taijijian Grupo B",30,IF(Atletas!I3="Daoshu Grupo A",31,IF(Atletas!I3="Jianshu Grupo A",32,IF(Atletas!I3="Nandao Grupo A",33,IF(Atletas!I3="Taijijian Grupo A",34,IF(Atletas!I3="Daoshu Opcional",35,IF(Atletas!I3="Jianshu Opcional",36,IF(Atletas!I3="Nandao Opcional",37,IF(Atletas!I3="Taijijian Opcional",38,IF(Atletas!I3="Daoshu Adulto",39,IF(Atletas!I3="Jianshu Adulto",40,IF(Atletas!I3="Nandao Adulto",41,IF(Atletas!I3="Taijijian Adulto",42,""))))))))))))))))))))))))))</f>
        <v/>
      </c>
      <c r="BH7" s="52" t="str">
        <f>IF(Atletas!J3="","",IF(Atletas!B3="Feminino",100,IF(Atletas!B3="Masculino",200,""))+(IF(Atletas!J3="Gunshu Mirim",43,IF(Atletas!J3="Qiangshu Mirim",44,IF(Atletas!J3="Nangun Mirim",45,IF(Atletas!J3="Gunshu Grupo C",46,IF(Atletas!J3="Qiangshu Grupo C",47,IF(Atletas!J3="Nangun Grupo C",48,IF(Atletas!J3="Gunshu Grupo B",49,IF(Atletas!J3="Qiangshu Grupo B",50,IF(Atletas!J3="Nangun Grupo B",51,IF(Atletas!J3="Gunshu Grupo A",52,IF(Atletas!J3="Qiangshu Grupo A",53,IF(Atletas!J3="Nangun Grupo A",54,IF(Atletas!J3="Gunshu Opcional",55,IF(Atletas!J3="Qiangshu Opcional",56,IF(Atletas!J3="Nangun Opcional",57,IF(Atletas!J3="Gunshu Adulto",58,IF(Atletas!J3="Qiangshu Adulto",59,IF(Atletas!J3="Nangun Adulto",60,IF(Atletas!J3="Taijishan Grupo B",61,IF(Atletas!J3="Taijishan Grupo A",62,""))))))))))))))))))))))</f>
        <v/>
      </c>
      <c r="BI7" s="50" t="str">
        <f>IF(BJ7&lt;&gt;"","Changquan Mirim","")</f>
        <v/>
      </c>
      <c r="BJ7" s="50" t="str">
        <f>IF(COUNTIF(BF:BH,101)&gt;0,COUNTIF(BF:BH,101),"")</f>
        <v/>
      </c>
      <c r="BK7" s="50" t="str">
        <f>IF(BL7&lt;&gt;"","Changquan Mirim","")</f>
        <v/>
      </c>
      <c r="BL7" s="50" t="str">
        <f>IF(COUNTIF(BF:BH,201)&gt;0,COUNTIF(BF:BH,201),"")</f>
        <v/>
      </c>
      <c r="BM7" s="50" t="str">
        <f>IF(Atletas!K3="","",IF(Atletas!B3="Feminino",100,IF(Atletas!B3="Masculino",200,""))+(IF(Atletas!K3="Equipe 1 Grupo B",1,IF(Atletas!K3="Equipe 2 Grupo B",2,IF(Atletas!K3="Equipe 1 Grupo A",3,IF(Atletas!K3="Equipe 2 Grupo A",4,IF(Atletas!K3="Equipe 1 Adulto",5,IF(Atletas!K3="Equipe 2 Adulto",6,""))))))))</f>
        <v/>
      </c>
      <c r="BN7" s="50" t="str">
        <f>IF(BO7&lt;&gt;"","Equipe 1 Grupo B","")</f>
        <v/>
      </c>
      <c r="BO7" s="50" t="str">
        <f>IF(COUNTIF(BM:BM,101)&gt;0,COUNTIF(BM:BM,101),"")</f>
        <v/>
      </c>
      <c r="BP7" s="50" t="str">
        <f>IF(BQ7&lt;&gt;"","Equipe 1 Grupo B","")</f>
        <v/>
      </c>
      <c r="BQ7" s="50" t="str">
        <f>IF(COUNTIF(BM:BM,201)&gt;0,COUNTIF(BM:BM,201),"")</f>
        <v/>
      </c>
      <c r="BR7" s="50" t="str">
        <f>IF(Atletas!L3="","",IF(Atletas!X3&lt;&gt;"",10000,0)+(IF(Atletas!B3="Feminino",1000,IF(Atletas!B3="Masculino",2000,""))+IF(Atletas!L3="Choylayfut A",1,IF(Atletas!L3="Hunggar A",2,IF(Atletas!L3="Wuzuquan A",3,IF(Atletas!L3="Wingchun A",4,IF(Atletas!L3="Outra Mão de Sul A",5,IF(Atletas!L3="Choylayfut B",6,IF(Atletas!L3="Hunggar B",7,IF(Atletas!L3="Wuzuquan B",8,IF(Atletas!L3="Wingchun B",9,IF(Atletas!L3="Outra Mão de Sul B",10,IF(Atletas!L3="Choylayfut C",11,IF(Atletas!L3="Hunggar C",12,IF(Atletas!L3="Wuzuquan C",13,IF(Atletas!L3="Wingchun C",14,IF(Atletas!L3="Outra Mão de Sul C",15,IF(Atletas!L3="Choylayfut D",16,IF(Atletas!L3="Hunggar D",17,IF(Atletas!L3="Wuzuquan D",18,IF(Atletas!L3="Wingchun D",19,IF(Atletas!L3="Outra Mão de Sul D",20,IF(Atletas!L3="Choylayfut E",21,IF(Atletas!L3="Hunggar E",22,IF(Atletas!L3="Wuzuquan E",23,IF(Atletas!L3="Wingchun E",24,IF(Atletas!L3="Outra Mão de Sul E",25,IF(Atletas!L3="Choylayfut F",26,IF(Atletas!L3="Hunggar F",27,IF(Atletas!L3="Wuzuquan F",28,IF(Atletas!L3="Wingchun F",29,IF(Atletas!L3="Outra Mão de Sul F",30,IF(Atletas!L3="Dishuquan A",31,IF(Atletas!L3="Dishuquan B",32,IF(Atletas!L3="Dishuquan C",33,IF(Atletas!L3="Dishuquan D",34,IF(Atletas!L3="Dishuquan E",35,IF(Atletas!L3="Dishuquan F",36,""))))))))))))))))))))))))))))))))))))))</f>
        <v/>
      </c>
      <c r="BS7" s="50" t="str">
        <f>IF(Atletas!M3="","",IF(Atletas!X3&lt;&gt;"",10000,0)+(IF(Atletas!B3="Feminino",1000,IF(Atletas!B3="Masculino",2000,""))+(IF(Atletas!M3="Chaquan A",101,IF(Atletas!M3="Emeiquan A",102,IF(Atletas!M3="Fanziquan A",103,IF(Atletas!M3="Huaquan A",104,IF(Atletas!M3="Hongquan A",105,IF(Atletas!M3="Paoquan A",106,IF(Atletas!M3="Piguaquan A",107,IF(Atletas!M3="Shaolinquan A",108,IF(Atletas!M3="Tanglangquan A",109,IF(Atletas!M3="Yingzhaoquan A",110,IF(Atletas!M3="Tongbeiquan A",111,IF(Atletas!M3="Wudangquan A",112,IF(Atletas!M3="Outros Estilos A",113,IF(Atletas!M3="Chaquan B",114,IF(Atletas!M3="Emeiquan B",115,IF(Atletas!M3="Fanziquan B",116,IF(Atletas!M3="Huaquan B",117,IF(Atletas!M3="Hongquan B",118,IF(Atletas!M3="Paoquan B",119,IF(Atletas!M3="Piguaquan B",120,IF(Atletas!M3="Shaolinquan B",121,IF(Atletas!M3="Tanglangquan B",122,IF(Atletas!M3="Yingzhaoquan B",123,IF(Atletas!M3="Tongbeiquan B",124,IF(Atletas!M3="Wudangquan B",125,IF(Atletas!M3="Outros Estilos B",126,IF(Atletas!M3="Chaquan C",127,IF(Atletas!M3="Emeiquan C",128,IF(Atletas!M3="Fanziquan C",129,IF(Atletas!M3="Huaquan C",130,IF(Atletas!M3="Hongquan C",131,IF(Atletas!M3="Paoquan C",132,IF(Atletas!M3="Piguaquan C",133,IF(Atletas!M3="Shaolinquan C",134,IF(Atletas!M3="Tanglangquan C",135,IF(Atletas!M3="Yingzhaoquan C",136,IF(Atletas!M3="Tongbeiquan C",137,IF(Atletas!M3="Wudangquan C",138,IF(Atletas!M3="Outros Estilos C",139,0))))))))))))))))))))))))))))))))))))))))))</f>
        <v/>
      </c>
      <c r="BT7" s="50" t="str">
        <f>IF(Atletas!M3="","",IF(Atletas!X3&lt;&gt;"",10000,0)+(IF(Atletas!B3="Feminino",1000,IF(Atletas!B3="Masculino",2000,""))+(IF(Atletas!M3="Chaquan D",140,IF(Atletas!M3="Emeiquan D",141,IF(Atletas!M3="Fanziquan D",142,IF(Atletas!M3="Huaquan D",143,IF(Atletas!M3="Hongquan D",144,IF(Atletas!M3="Paoquan D",145,IF(Atletas!M3="Piguaquan D",146,IF(Atletas!M3="Shaolinquan D",147,IF(Atletas!M3="Tanglangquan D",148,IF(Atletas!M3="Yingzhaoquan D",149,IF(Atletas!M3="Tongbeiquan D",150,IF(Atletas!M3="Wudangquan D",151,IF(Atletas!M3="Outros Estilos D",152,IF(Atletas!M3="Chaquan E",153,IF(Atletas!M3="Emeiquan E",154,IF(Atletas!M3="Fanziquan E",155,IF(Atletas!M3="Huaquan E",156,IF(Atletas!M3="Hongquan E",157,IF(Atletas!M3="Paoquan E",158,IF(Atletas!M3="Piguaquan E",159,IF(Atletas!M3="Shaolinquan E",160,IF(Atletas!M3="Tanglangquan E",161,IF(Atletas!M3="Yingzhaoquan E",162,IF(Atletas!M3="Tongbeiquan E",163,IF(Atletas!M3="Wudangquan E",164,IF(Atletas!M3="Outros Estilos E",165,IF(Atletas!M3="Chaquan F",166,IF(Atletas!M3="Emeiquan F",167,IF(Atletas!M3="Fanziquan F",168,IF(Atletas!M3="Huaquan F",169,IF(Atletas!M3="Hongquan F",170,IF(Atletas!M3="Paoquan F",171,IF(Atletas!M3="Piguaquan F",172,IF(Atletas!M3="Shaolinquan F",173,IF(Atletas!M3="Tanglangquan F",174,IF(Atletas!M3="Yingzhaoquan F",175,IF(Atletas!M3="Tongbeiquan F",176,IF(Atletas!M3="Wudangquan F",177,IF(Atletas!M3="Outros Estilos F",178,0))))))))))))))))))))))))))))))))))))))))))</f>
        <v/>
      </c>
      <c r="BU7" s="50" t="str">
        <f>IF(Atletas!N3="","",IF(Atletas!X3&lt;&gt;"",10000,0)+(IF(Atletas!B3="Feminino",1000,IF(Atletas!B3="Masculino",2000,""))+(IF(Atletas!N3="Ditangquan A",201,IF(Atletas!N3="Houquan A",202,IF(Atletas!N3="Zuiquan A",203,IF(Atletas!N3="Ditangquan B",204,IF(Atletas!N3="Houquan B",205,IF(Atletas!N3="Zuiquan B",206,IF(Atletas!N3="Ditangquan C",207,IF(Atletas!N3="Houquan C",208,IF(Atletas!N3="Zuiquan C",209,IF(Atletas!N3="Ditangquan D",210,IF(Atletas!N3="Houquan D",211,IF(Atletas!N3="Zuiquan D",212,IF(Atletas!N3="Ditangquan E",213,IF(Atletas!N3="Houquan E",214,IF(Atletas!N3="Zuiquan E",215,IF(Atletas!N3="Ditangquan F",216,IF(Atletas!N3="Houquan F",217,IF(Atletas!N3="Zuiquan F",218,"")))))))))))))))))))))</f>
        <v/>
      </c>
      <c r="BV7" s="50" t="str">
        <f>IF(Atletas!O3="","",IF(Atletas!X3&lt;&gt;"",10000,0)+IF(Atletas!B3="Feminino",1000,IF(Atletas!B3="Masculino",2000,""))+IF(Atletas!O3="Yang A",301,IF(Atletas!O3="Chen A",302,IF(Atletas!O3="Sun A",303,IF(Atletas!O3="Wu A",304,IF(Atletas!O3="Wu-Hao A",305,IF(Atletas!O3="Outro Taijiquan A",306,IF(Atletas!O3="Yang B",307,IF(Atletas!O3="Chen B",308,IF(Atletas!O3="Sun B",309,IF(Atletas!O3="Wu B",310,IF(Atletas!O3="Wu-Hao B",311,IF(Atletas!O3="Outro Taijiquan B",312,IF(Atletas!O3="Yang C",313,IF(Atletas!O3="Chen C",314,IF(Atletas!O3="Sun C",315,IF(Atletas!O3="Wu C",316,IF(Atletas!O3="Wu-Hao C",317,IF(Atletas!O3="Outro Taijiquan C",318,IF(Atletas!O3="Yang D",319,IF(Atletas!O3="Chen D",320,IF(Atletas!O3="Sun D",321,IF(Atletas!O3="Wu D",322,IF(Atletas!O3="Wu-Hao D",323,IF(Atletas!O3="Outro Taijiquan D",324,IF(Atletas!O3="Yang E",325,IF(Atletas!O3="Chen E",326,IF(Atletas!O3="Sun E",327,IF(Atletas!O3="Wu E",328,IF(Atletas!O3="Wu-Hao E",329,IF(Atletas!O3="Outro Taijiquan E",330,IF(Atletas!O3="Yang F",331,IF(Atletas!O3="Chen F",332,IF(Atletas!O3="Sun F",333,IF(Atletas!O3="Wu F",334,IF(Atletas!O3="Wu-Hao F",335,IF(Atletas!O3="Outro Taijiquan F",336,"")))))))))))))))))))))))))))))))))))))</f>
        <v/>
      </c>
      <c r="BW7" s="50" t="str">
        <f>IF(Atletas!P3="","",IF(Atletas!X3&lt;&gt;"",10000,0)+IF(Atletas!B3="Feminino",1000,IF(Atletas!B3="Masculino",2000,""))+IF(OR(Atletas!P3="Yang 26 A",Atletas!P3="Yang 40 A"),401,IF(OR(Atletas!P3="Chen 25 A",Atletas!P3="Chen 36 A",Atletas!P3="Chen 56 A"),402,IF(Atletas!P3="Sun 73 A",403,IF(Atletas!P3="Wu 45 A",404,IF(Atletas!P3="Wu-Hao 46 A",405,IF(OR(Atletas!P3="Taijiquan 16 A",Atletas!P3="Taijiquan 24 A",Atletas!P3="Taijiquan 32 A",Atletas!P3="Taijiquan 42 A"),406,IF(OR(Atletas!P3="Yang 26 B",Atletas!P3="Yang 40 B"),407,IF(OR(Atletas!P3="Chen 25 B",Atletas!P3="Chen 36 B",Atletas!P3="Chen 56 B"),408,IF(Atletas!P3="Sun 73 B",409,IF(Atletas!P3="Wu 45 B",410,IF(Atletas!P3="Wu-Hao 46 B",411,IF(OR(Atletas!P3="Taijiquan 16 B",Atletas!P3="Taijiquan 24 B",Atletas!P3="Taijiquan 32 B",Atletas!P3="Taijiquan 42 B"),412,IF(OR(Atletas!P3="Yang 26 C",Atletas!P3="Yang 40 C"),413,IF(OR(Atletas!P3="Chen 25 C",Atletas!P3="Chen 36 C",Atletas!P3="Chen 56 C"),414,IF(Atletas!P3="Sun 73 C",415,IF(Atletas!P3="Wu 45 C",416,IF(Atletas!P3="Wu-Hao 46 C",417,IF(OR(Atletas!P3="Taijiquan 16 C",Atletas!P3="Taijiquan 24 C",Atletas!P3="Taijiquan 32 C",Atletas!P3="Taijiquan 42 C"),418,0)))))))))))))))))))</f>
        <v/>
      </c>
      <c r="BX7" s="50" t="str">
        <f>IF(Atletas!P3="","",IF(Atletas!X3&lt;&gt;"",10000,0)+IF(Atletas!B3="Feminino",1000,IF(Atletas!B3="Masculino",2000,""))+IF(OR(Atletas!P3="Yang 26 D",Atletas!P3="Yang 40 D"),419,IF(OR(Atletas!P3="Chen 25 D",Atletas!P3="Chen 36 D",Atletas!P3="Chen 56 D"),420,IF(Atletas!P3="Sun 73 D",421,IF(Atletas!P3="Wu 45 D",422,IF(Atletas!P3="Wu-Hao 46 D",423,IF(OR(Atletas!P3="Taijiquan 16 D",Atletas!P3="Taijiquan 24 D",Atletas!P3="Taijiquan 32 D",Atletas!P3="Taijiquan 42 D"),424,IF(OR(Atletas!P3="Yang 26 E",Atletas!P3="Yang 40 E"),425,IF(OR(Atletas!P3="Chen 25 E",Atletas!P3="Chen 36 E",Atletas!P3="Chen 56 E"),426,IF(Atletas!P3="Sun 73 E",427,IF(Atletas!P3="Wu 45 E",428,IF(Atletas!P3="Wu-Hao 46 E",429,IF(OR(Atletas!P3="Taijiquan 16 E",Atletas!P3="Taijiquan 24 E",Atletas!P3="Taijiquan 32 E",Atletas!P3="Taijiquan 42 E"),430,IF(OR(Atletas!P3="Yang 26 F",Atletas!P3="Yang 40 F"),431,IF(OR(Atletas!P3="Chen 25 F",Atletas!P3="Chen 36 F",Atletas!P3="Chen 56 F"),432,IF(Atletas!P3="Sun 73 F",433,IF(Atletas!P3="Wu 45 F",434,IF(Atletas!P3="Wu-Hao 46 F",435,IF(OR(Atletas!P3="Taijiquan 16 F",Atletas!P3="Taijiquan 24 F",Atletas!P3="Taijiquan 32 F",Atletas!P3="Taijiquan 42 F"),436,0)))))))))))))))))))</f>
        <v/>
      </c>
      <c r="BY7" s="50" t="str">
        <f>IF(Atletas!Q3="","",IF(Atletas!X3&lt;&gt;"",10000,0)+IF(Atletas!B3="Feminino",1000,IF(Atletas!B3="Masculino",2000,""))+IF(Atletas!Q3="Xingyiquan A",501,IF(Atletas!Q3="Baguazhang A",502,IF(Atletas!Q3="Outro Estilo Interno A",503,IF(Atletas!Q3="Xingyiquan B",504,IF(Atletas!Q3="Baguazhang B",505,IF(Atletas!Q3="Outro Estilo Interno B",506,IF(Atletas!Q3="Xingyiquan C",507,IF(Atletas!Q3="Baguazhang C",508,IF(Atletas!Q3="Outro Estilo Interno C",509,IF(Atletas!Q3="Xingyiquan D",510,IF(Atletas!Q3="Baguazhang D",511,IF(Atletas!Q3="Outro Estilo Interno D",512,IF(Atletas!Q3="Xingyiquan E",513,IF(Atletas!Q3="Baguazhang E",514,IF(Atletas!Q3="Outro Estilo Interno E",515,IF(Atletas!Q3="Xingyiquan F",516,IF(Atletas!Q3="Baguazhang F",517,IF(Atletas!Q3="Outro Estilo Interno F",518, "")))))))))))))))))))</f>
        <v/>
      </c>
      <c r="BZ7" s="50" t="str">
        <f>IF(Atletas!R3="","",IF(Atletas!X3&lt;&gt;"",10000,0)+IF(Atletas!B3="Feminino",1000,IF(Atletas!B3="Masculino",2000,""))+IF(Atletas!R3="Dao A",601,IF(Atletas!R3="Jian A",602,IF(Atletas!R3="Bishou A",603,IF(Atletas!R3="Shanzi A",604,IF(Atletas!R3="Outra Arma Curta A",605,IF(Atletas!R3="Dao B",606,IF(Atletas!R3="Jian B",607,IF(Atletas!R3="Bishou B",608,IF(Atletas!R3="Shanzi B",609,IF(Atletas!R3="Outra Arma Curta B",610,IF(Atletas!R3="Dao C",611,IF(Atletas!R3="Jian C",612,IF(Atletas!R3="Bishou C",613,IF(Atletas!R3="Shanzi C",614,IF(Atletas!R3="Outra Arma Curta C",615,IF(Atletas!R3="Dao D",616,IF(Atletas!R3="Jian D",617,IF(Atletas!R3="Bishou D",618,IF(Atletas!R3="Shanzi D",619,IF(Atletas!R3="Outra Arma Curta D",620,IF(Atletas!R3="Dao E",621,IF(Atletas!R3="Jian E",622,IF(Atletas!R3="Bishou E",623,IF(Atletas!R3="Shanzi E",624,IF(Atletas!R3="Outra Arma Curta E",625,IF(Atletas!R3="Dao F",626,IF(Atletas!R3="Jian F",627,IF(Atletas!R3="Bishou F",628,IF(Atletas!R3="Shanzi F",629,IF(Atletas!R3="Outra Arma Curta F",630, "")))))))))))))))))))))))))))))))</f>
        <v/>
      </c>
      <c r="CA7" s="50" t="str">
        <f>IF(Atletas!S3="","",IF(Atletas!X3&lt;&gt;"",10000,0)+IF(Atletas!B3="Feminino",1000,IF(Atletas!B3="Masculino",2000,""))+IF(Atletas!S3="Gun A",701,IF(Atletas!S3="Qiang A",702,IF(Atletas!S3="Pudao / Guandao A",703,IF(Atletas!S3="Outra Arma Longa A",704,IF(Atletas!S3="Gun B",705,IF(Atletas!S3="Qiang B",706,IF(Atletas!S3="Pudao / Guandao B",707,IF(Atletas!S3="Outra Arma Longa B",708,IF(Atletas!S3="Gun C",709,IF(Atletas!S3="Qiang C",710,IF(Atletas!S3="Pudao / Guandao C",711,IF(Atletas!S3="Outra Arma Longa C",712,IF(Atletas!S3="Gun D",713,IF(Atletas!S3="Qiang D",714,IF(Atletas!S3="Pudao / Guandao D",715,IF(Atletas!S3="Outra Arma Longa D",716,IF(Atletas!S3="Gun E",717,IF(Atletas!S3="Qiang E",718,IF(Atletas!S3="Pudao / Guandao E",719,IF(Atletas!S3="Outra Arma Longa E",720,IF(Atletas!S3="Gun F",721,IF(Atletas!S3="Qiang F",722,IF(Atletas!S3="Pudao / Guandao F",723,IF(Atletas!S3="Outra Arma Longa F",724,"")))))))))))))))))))))))))</f>
        <v/>
      </c>
      <c r="CB7" s="50" t="str">
        <f>IF(Atletas!T3="","",IF(Atletas!X3&lt;&gt;"",10000,0)+IF(Atletas!B3="Feminino",1000,IF(Atletas!B3="Masculino",2000,""))+IF(Atletas!T3="Outra Arma Dupla A",801,IF(Atletas!T3="Arma Maleável A",802,IF(Atletas!T3="Outra Arma Dupla B",803,IF(Atletas!T3="Arma Maleável B",804,IF(Atletas!T3="Outra Arma Dupla C",805,IF(Atletas!T3="Arma Maleável C",806,IF(Atletas!T3="Outra Arma Dupla D",807,IF(Atletas!T3="Arma Maleável D",808,IF(Atletas!T3="Outra Arma Dupla E",809,IF(Atletas!T3="Arma Maleável E",810,IF(Atletas!T3="Outra Arma Dupla F",811,IF(Atletas!T3="Arma Maleável F",812,IF(Atletas!T3="Shuangdao A",813,IF(Atletas!T3="Shuangdao B",814,IF(Atletas!T3="Shuangdao C",815,IF(Atletas!T3="Shuangdao D",816,IF(Atletas!T3="Shuangdao E",817,IF(Atletas!T3="Shuangdao F",818,"")))))))))))))))))))</f>
        <v/>
      </c>
      <c r="CC7" s="50" t="str">
        <f>IF(Atletas!U3="","",IF(Atletas!X3&lt;&gt;"",10000,0)+IF(Atletas!B3="Feminino",1000,IF(Atletas!B3="Masculino",2000,""))+IF(OR(Atletas!U3="Taijijian Yang A",Atletas!U3="Taijijian Yang Standard A"),901,IF(OR(Atletas!U3="Taijijian Chen A", Atletas!U3="Taijijian Chen Standard A"),902,IF(Atletas!U3="Taijijian Sun A",903,IF(Atletas!U3="Taijijian Wu A",904,IF(Atletas!U3="Taijijian Wu-Hao A",905,IF(OR(Atletas!U3="Taijijian 32 A",Atletas!U3="Taijijian 42 A"),906,IF(OR(Atletas!U3="Taijijian Yang B",Atletas!U3="Taijijian Yang Standard B"),907,IF(OR(Atletas!U3="Taijijian Chen B", Atletas!U3="Taijijian Chen Standard B"),908,IF(Atletas!U3="Taijijian Sun B",909,IF(Atletas!U3="Taijijian Wu B",910,IF(Atletas!U3="Taijijian Wu-Hao B",911,IF(OR(Atletas!U3="Taijijian 32 B",Atletas!U3="Taijijian 42 B"),912,IF(OR(Atletas!U3="Taijijian Yang C",Atletas!U3="Taijijian Yang Standard C"),913,IF(OR(Atletas!U3="Taijijian Chen C", Atletas!U3="Taijijian Chen Standard C"),914,IF(Atletas!U3="Taijijian Sun C",915,IF(Atletas!U3="Taijijian Wu C",916,IF(Atletas!U3="Taijijian Wu-Hao C",917,IF(OR(Atletas!U3="Taijijian 32 C",Atletas!U3="Taijijian 42 C"),918,IF(OR(Atletas!U3="Taijijian Yang D",Atletas!U3="Taijijian Yang Standard D"),919,IF(OR(Atletas!U3="Taijijian Chen D", Atletas!U3="Taijijian Chen Standard D"),920,IF(Atletas!U3="Taijijian Sun D",921,IF(Atletas!U3="Taijijian Wu D",922,IF(Atletas!U3="Taijijian Wu-Hao D",923,IF(OR(Atletas!U3="Taijijian 32 D",Atletas!U3="Taijijian 42 D"),924,IF(OR(Atletas!U3="Taijijian Yang E",Atletas!U3="Taijijian Yang Standard E"),925,IF(OR(Atletas!U3="Taijijian Chen E", Atletas!U3="Taijijian Chen Standard E"),926,IF(Atletas!U3="Taijijian Sun E",927,IF(Atletas!U3="Taijijian Wu E",928,IF(Atletas!U3="Taijijian Wu-Hao E",929,IF(OR(Atletas!U3="Taijijian 32 E",Atletas!U3="Taijijian 42 E"),930,IF(OR(Atletas!U3="Taijijian Yang F",Atletas!U3="Taijijian Yang Standard F"),931,IF(OR(Atletas!U3="Taijijian Chen F", Atletas!U3="Taijijian Chen Standard F"),932,IF(Atletas!U3="Taijijian Sun F",933,IF(Atletas!U3="Taijijian Wu F",934,IF(Atletas!U3="Taijijian Wu-Hao F",935,IF(OR(Atletas!U3="Taijijian 32 F",Atletas!U3="Taijijian 42 F"),936,"")))))))))))))))))))))))))))))))))))))</f>
        <v/>
      </c>
      <c r="CD7" s="50" t="str">
        <f>IF(Atletas!V3="","",IF(Atletas!X3&lt;&gt;"",10000,0)+IF(Atletas!B3="Feminino",1000,IF(Atletas!B3="Masculino",2000,""))+IF(Atletas!V3="Taijidao A",937,IF(Atletas!V3="TaijiShanzi A",938,IF(Atletas!V3="Taijiqiang A",939,IF(Atletas!V3="Bagua de Arma A",940,IF(Atletas!V3="Xingyi de Arma A",941,IF(Atletas!V3="Taijidao B",942,IF(Atletas!V3="TaijiShanzi B",943,IF(Atletas!V3="Taijiqiang B",944,IF(Atletas!V3="Bagua de Arma B",945,IF(Atletas!V3="Xingyi de Arma B",946,IF(Atletas!V3="Taijidao C",947,IF(Atletas!V3="TaijiShanzi C",948,IF(Atletas!V3="Taijiqiang C",949,IF(Atletas!V3="Bagua de Arma C",950,IF(Atletas!V3="Xingyi de Arma C",951,IF(Atletas!V3="Taijidao D",952,IF(Atletas!V3="TaijiShanzi D",953,IF(Atletas!V3="Taijiqiang D",954,IF(Atletas!V3="Bagua de Arma D",955,IF(Atletas!V3="Xingyi de Arma D",956,IF(Atletas!V3="Taijidao E",957,IF(Atletas!V3="TaijiShanzi E",958,IF(Atletas!V3="Taijiqiang E",959,IF(Atletas!V3="Bagua de Arma E",960,IF(Atletas!V3="Xingyi de Arma E",961,IF(Atletas!V3="Taijidao F",962,IF(Atletas!V3="TaijiShanzi F",963,IF(Atletas!V3="Taijiqiang F",964,IF(Atletas!V3="Bagua de Arma F",965,IF(Atletas!V3="Xingyi de Arma F",966,"")))))))))))))))))))))))))))))))</f>
        <v/>
      </c>
      <c r="CE7" s="66" t="str">
        <f>IF(CF7&lt;&gt;"","Choylayfut A","")</f>
        <v/>
      </c>
      <c r="CF7" s="66" t="str">
        <f>IF(COUNTIF(BR:CD,1001)&gt;0,COUNTIF(BR:CD,1001),"")</f>
        <v/>
      </c>
      <c r="CG7" s="66" t="str">
        <f>IF(CH7&lt;&gt;"","Choylayfut A","")</f>
        <v/>
      </c>
      <c r="CH7" s="66" t="str">
        <f>IF(COUNTIF(BR:CD,2001)&gt;0,COUNTIF(BR:CD,2001),"")</f>
        <v/>
      </c>
      <c r="CI7" s="66" t="str">
        <f>IF(CJ7&lt;&gt;"","Choylayfut A","")</f>
        <v/>
      </c>
      <c r="CJ7" s="66" t="str">
        <f>IF(COUNTIF(BR:CD,11001)&gt;0,COUNTIF(BR:CD,11001),"")</f>
        <v/>
      </c>
      <c r="CK7" s="66" t="str">
        <f>IF(CL7&lt;&gt;"","Choylayfut A","")</f>
        <v/>
      </c>
      <c r="CL7" s="66" t="str">
        <f>IF(COUNTIF(BR:CD,12001)&gt;0,COUNTIF(BR:CD,12001),"")</f>
        <v/>
      </c>
      <c r="CM7" s="50" t="str">
        <f xml:space="preserve"> IF(Atletas!W3="","",IF(Atletas!W3="Duilian de Mãos BC - Equipe 1",1,IF(Atletas!W3="Duilian de Mãos BC - Equipe 2",2,IF(Atletas!W3="Duilian de Armas BC - Equipe 1",3,IF(Atletas!W3="Duilian de Armas BC - Equipe 2",4,IF(Atletas!W3="Duilian de Mãos DE - Equipe 1",5,IF(Atletas!W3="Duilian de Mãos DE - Equipe 2",6,IF(Atletas!W3="Duilian de Armas DE - Equipe 1",7,IF(Atletas!W3="Duilian de Armas DE - Equipe 2",8,IF(Atletas!W3="Duilian de Tuishou - Equipe 1",9,IF(Atletas!W3="Duilian de Tuishou - Equipe 2",10,IF(Atletas!W3="Grupo Externo ABC - Equipe 1",11,IF(Atletas!W3="Grupo Externo ABC - Equipe 2",12,IF(Atletas!W3="Grupo Interno ABC - Equipe 1",13,IF(Atletas!W3="Grupo Interno ABC - Equipe 2",14,IF(Atletas!W3="Grupo Externo DEF - Equipe 1",15,IF(Atletas!W3="Grupo Externo DEF - Equipe 2",16,IF(Atletas!W3="Grupo Interno DEF - Equipe 1",17,IF(Atletas!W3="Grupo Interno DEF - Equipe 2",18,"")))))))))))))))))))</f>
        <v/>
      </c>
      <c r="CN7" s="52" t="str">
        <f>IF(CO7&lt;&gt;"","Duilian de Mãos BC - Equipe 1","")</f>
        <v/>
      </c>
      <c r="CO7" s="64" t="str">
        <f>IF(COUNTIF(CM:CM,1)&gt;0,COUNTIF(CM:CM,1),"")</f>
        <v/>
      </c>
      <c r="CP7" s="52" t="str">
        <f>IF(CQ7&lt;&gt;"","Duilian de Tuishou - Equipe 1","")</f>
        <v/>
      </c>
      <c r="CQ7" s="64" t="str">
        <f>IF(COUNTIF(CM:CM,9)&gt;0,COUNTIF(CM:CM,9),"")</f>
        <v/>
      </c>
      <c r="CR7" s="65" t="str">
        <f>IF(CS7&lt;&gt;"","Grupo Externo ABC - Equipe 1","")</f>
        <v/>
      </c>
      <c r="CS7" s="64" t="str">
        <f>IF(COUNTIF(CM:CM,11)&gt;0,COUNTIF(CM:CM,11),"")</f>
        <v/>
      </c>
    </row>
    <row r="8" spans="1:103">
      <c r="A8" s="16"/>
      <c r="B8" s="3" t="str">
        <f t="array" ref="B8">IFERROR(INDEX(AO$7:AO$38,SMALL(IF(AO$7:AO$38&lt;&gt;"",ROW(AO$7:AO$38)-ROW(AO$7)+1),ROWS(AO$7:AO7))),"")</f>
        <v/>
      </c>
      <c r="C8" s="3" t="str">
        <f t="array" ref="C8">IFERROR(INDEX(AP$7:AP$38,SMALL(IF(AP$7:AP$38&lt;&gt;"",ROW(AP$7:AP$38)-ROW(AP$7)+1),ROWS(AP$7:AP7))),"")</f>
        <v/>
      </c>
      <c r="D8" s="3" t="str">
        <f t="array" ref="D8">IFERROR(INDEX(AQ$7:AQ$38,SMALL(IF(AQ$7:AQ$38&lt;&gt;"",ROW(AQ$7:AQ$38)-ROW(AQ$7)+1),ROWS(AQ$7:AQ7))),"")</f>
        <v/>
      </c>
      <c r="E8" s="3" t="str">
        <f t="array" ref="E8">IFERROR(INDEX(AR$7:AR$38,SMALL(IF(AR$7:AR$38&lt;&gt;"",ROW(AR$7:AR$38)-ROW(AR$7)+1),ROWS(AR$7:AR7))),"")</f>
        <v/>
      </c>
      <c r="F8" s="3" t="str">
        <f t="array" ref="F8">IFERROR(INDEX(AT$7:AT$36,SMALL(IF(AT$7:AT$36&lt;&gt;"",ROW(AT$7:AT$36)-ROW(AT$7)+1),ROWS(AT$7:AT7))),"")</f>
        <v/>
      </c>
      <c r="G8" s="3" t="str">
        <f t="array" ref="G8">IFERROR(INDEX(AU$7:AU$36,SMALL(IF(AU$7:AU$36&lt;&gt;"",ROW(AU$7:AU$36)-ROW(AU$7)+1),ROWS(AU$7:AU7))),"")</f>
        <v/>
      </c>
      <c r="H8" s="3" t="str">
        <f t="array" ref="H8">IFERROR(INDEX(AV$7:AV$36,SMALL(IF(AV$7:AV$36&lt;&gt;"",ROW(AV$7:AV$36)-ROW(AV$7)+1),ROWS(AV$7:AV7))),"")</f>
        <v/>
      </c>
      <c r="I8" s="3" t="str">
        <f t="array" ref="I8">IFERROR(INDEX(AW$7:AW$36,SMALL(IF(AW$7:AW$36&lt;&gt;"",ROW(AW$7:AW$36)-ROW(AW$7)+1),ROWS(AW$7:AW7))),"")</f>
        <v/>
      </c>
      <c r="J8" s="3" t="str">
        <f t="array" ref="J8">IFERROR(INDEX(AY$7:AY$36,SMALL(IF(AY$7:AY$36&lt;&gt;"",ROW(AY$7:AY$36)-ROW(AY$7)+1),ROWS(AY$7:AY7))),"")</f>
        <v/>
      </c>
      <c r="K8" s="3" t="str">
        <f t="array" ref="K8">IFERROR(INDEX(AZ$7:AZ$36,SMALL(IF(AZ$7:AZ$36&lt;&gt;"",ROW(AZ$7:AZ$36)-ROW(AZ$7)+1),ROWS(AZ$7:AZ7))),"")</f>
        <v/>
      </c>
      <c r="L8" s="3" t="str" cm="1">
        <f t="array" ref="L8">IFERROR(INDEX(BA$7:BA$36,SMALL(IF(BA$7:BA$36&lt;&gt;"",ROW(BA$7:BA$36)-ROW(BA$7)+1),ROWS(BA$7:BA7))),"")</f>
        <v/>
      </c>
      <c r="M8" s="3" t="str">
        <f t="array" ref="M8">IFERROR(INDEX(BB$7:BB$36,SMALL(IF(BB$7:BB$36&lt;&gt;"",ROW(BB$7:BB$36)-ROW(BB$7)+1),ROWS(BB$7:BB7))),"")</f>
        <v/>
      </c>
      <c r="N8" s="3" t="str" cm="1">
        <f t="array" ref="N8">IFERROR(INDEX(BD$7:BD$8,SMALL(IF(BD$7:BD$8&lt;&gt;"",ROW(BD$7:BD$8)-ROW(BD$7)+1),ROWS(BD$7:BD7))),"")</f>
        <v/>
      </c>
      <c r="O8" s="3" t="str" cm="1">
        <f t="array" ref="O8">IFERROR(INDEX(BE$7:BE$8,SMALL(IF(BE$7:BE$8&lt;&gt;"",ROW(BE$7:BE$8)-ROW(BE$7)+1),ROWS(BE$7:BE7))),"")</f>
        <v/>
      </c>
      <c r="P8" s="3" t="str" cm="1">
        <f t="array" ref="P8">IFERROR(INDEX(BD$9:BD$10,SMALL(IF(BD$9:BD$10&lt;&gt;"",ROW(BD$9:BD$10)-ROW(BD$9)+1),ROWS(BD$9:BD9))),"")</f>
        <v/>
      </c>
      <c r="Q8" s="3" t="str" cm="1">
        <f t="array" ref="Q8">IFERROR(INDEX(BE$9:BE$10,SMALL(IF(BE$9:BE$10&lt;&gt;"",ROW(BE$9:BE$10)-ROW(BE$9)+1),ROWS(BE$9:BE9))),"")</f>
        <v/>
      </c>
      <c r="R8" s="3" t="str">
        <f t="array" ref="R8">IFERROR(INDEX(BI$7:BI$68,SMALL(IF(BI$7:BI$68&lt;&gt;"",ROW(BI$7:BI$68)-ROW(BI$7)+1),ROWS(BI$7:BI7))),"")</f>
        <v/>
      </c>
      <c r="S8" s="3" t="str">
        <f t="array" ref="S8">IFERROR(INDEX(BJ$7:BJ$68,SMALL(IF(BJ$7:BJ$68&lt;&gt;"",ROW(BJ$7:BJ$68)-ROW(BJ$7)+1),ROWS(BJ$7:BJ7))),"")</f>
        <v/>
      </c>
      <c r="T8" s="3" t="str">
        <f t="array" ref="T8">IFERROR(INDEX(BK$7:BK$68,SMALL(IF(BK$7:BK$68&lt;&gt;"",ROW(BK$7:BK$68)-ROW(BK$7)+1),ROWS(BK$7:BK7))),"")</f>
        <v/>
      </c>
      <c r="U8" s="3" t="str">
        <f t="array" ref="U8">IFERROR(INDEX(BL$7:BL$68,SMALL(IF(BL$7:BL$68&lt;&gt;"",ROW(BL$7:BL$68)-ROW(BL$7)+1),ROWS(BL$7:BL7))),"")</f>
        <v/>
      </c>
      <c r="V8" s="3" t="str">
        <f t="array" ref="V8">IFERROR(INDEX(BN$7:BN$12,SMALL(IF(BN$7:BN$12&lt;&gt;"",ROW(BN$7:BN$12)-ROW(BN$7)+1),ROWS(BN$7:BN7))),"")</f>
        <v/>
      </c>
      <c r="W8" s="3" t="str">
        <f t="array" ref="W8">IFERROR(INDEX(BO$7:BO$12,SMALL(IF(BO$7:BO$12&lt;&gt;"",ROW(BO$7:BO$12)-ROW(BO$7)+1),ROWS(BO$7:BO7))),"")</f>
        <v/>
      </c>
      <c r="X8" s="3" t="str">
        <f t="array" ref="X8">IFERROR(INDEX(BP$7:BP$12,SMALL(IF(BP$7:BP$12&lt;&gt;"",ROW(BP$7:BP$12)-ROW(BP$7)+1),ROWS(BP$7:BP7))),"")</f>
        <v/>
      </c>
      <c r="Y8" s="3" t="str">
        <f t="array" ref="Y8">IFERROR(INDEX(BQ$7:BQ$12,SMALL(IF(BQ$7:BQ$12&lt;&gt;"",ROW(BQ$7:BQ$12)-ROW(BQ$7)+1),ROWS(BQ$7:BQ7))),"")</f>
        <v/>
      </c>
      <c r="Z8" s="3" t="str">
        <f t="array" ref="Z8">IFERROR(INDEX(CE$7:CE$348,SMALL(IF(CE$7:CE$348&lt;&gt;"",ROW(CE$7:CE$348)-ROW(CE$7)+1),ROWS(CE$7:CE7))),"")</f>
        <v/>
      </c>
      <c r="AA8" s="3" t="str">
        <f t="array" ref="AA8">IFERROR(INDEX(CF$7:CF$348,SMALL(IF(CF$7:CF$348&lt;&gt;"",ROW(CF$7:CF$348)-ROW(CF$7)+1),ROWS(CF$7:CF7))),"")</f>
        <v/>
      </c>
      <c r="AB8" s="3" t="str">
        <f t="array" ref="AB8">IFERROR(INDEX(CG$7:CG$348,SMALL(IF(CG$7:CG$348&lt;&gt;"",ROW(CG$7:CG$348)-ROW(CG$7)+1),ROWS(CG$7:CG7))),"")</f>
        <v/>
      </c>
      <c r="AC8" s="3" t="str">
        <f t="array" ref="AC8">IFERROR(INDEX(CH$7:CH$348,SMALL(IF(CH$7:CH$348&lt;&gt;"",ROW(CH$7:CH$348)-ROW(CH$7)+1),ROWS(CH$7:CH7))),"")</f>
        <v/>
      </c>
      <c r="AD8" s="3" t="str">
        <f t="array" ref="AD8">IFERROR(INDEX(CI$7:CI$377,SMALL(IF(CI$7:CI$377&lt;&gt;"",ROW(CI$7:CI$377)-ROW(CI$7)+1),ROWS(CI$7:CI7))),"")</f>
        <v/>
      </c>
      <c r="AE8" s="3" t="str">
        <f t="array" ref="AE8">IFERROR(INDEX(CJ$7:CJ$378,SMALL(IF(CJ$7:CJ$378&lt;&gt;"",ROW(CJ$7:CJ$378)-ROW(CJ$7)+1),ROWS(CJ$7:CJ7))),"")</f>
        <v/>
      </c>
      <c r="AF8" s="3" t="str" cm="1">
        <f t="array" ref="AF8">IFERROR(INDEX(CK$7:CK$378,SMALL(IF(CK$7:CK$378&lt;&gt;"",ROW(CK$7:CK$378)-ROW(CK$7)+1),ROWS(CK$7:CK7))),"")</f>
        <v/>
      </c>
      <c r="AG8" s="3" t="str">
        <f t="array" ref="AG8">IFERROR(INDEX(CL$7:CL$378,SMALL(IF(CL$7:CL$378&lt;&gt;"",ROW(CL$7:CL$378)-ROW(CL$7)+1),ROWS(CL$7:CL7))),"")</f>
        <v/>
      </c>
      <c r="AH8" s="40" t="str">
        <f t="array" ref="AH8">IFERROR(INDEX(CN$7:CN$18,SMALL(IF(CN$7:CN$18&lt;&gt;"",ROW(CN$7:CN$18)-ROW(CN$7)+1),ROWS(CN$7:CN7))),"")</f>
        <v/>
      </c>
      <c r="AI8" s="40" t="str">
        <f t="array" ref="AI8">IFERROR(INDEX(CO$7:CO$18,SMALL(IF(CO$7:CO$18&lt;&gt;"",ROW(CO$7:CO$18)-ROW(CO$7)+1),ROWS(CO$7:CO7))),"")</f>
        <v/>
      </c>
      <c r="AJ8" s="40" t="str">
        <f t="array" ref="AJ8">IFERROR(INDEX(CP$7:CP$8,SMALL(IF(CP$7:CP$8&lt;&gt;"",ROW(CP$7:CP$8)-ROW(CP$7)+1),ROWS(CP$7:CP7))),"")</f>
        <v/>
      </c>
      <c r="AK8" s="40" t="str">
        <f t="array" ref="AK8">IFERROR(INDEX(CQ$7:CQ$8,SMALL(IF(CQ$7:CQ$8&lt;&gt;"",ROW(CQ$7:CQ$8)-ROW(CQ$7)+1),ROWS(CQ$7:CQ7))),"")</f>
        <v/>
      </c>
      <c r="AL8" s="40" t="str">
        <f t="array" ref="AL8">IFERROR(INDEX(CR$7:CR$14,SMALL(IF(CR$7:CR$14&lt;&gt;"",ROW(CR$7:CR$14)-ROW(CR$7)+1),ROWS(CR$7:CR7))),"")</f>
        <v/>
      </c>
      <c r="AM8" s="40" t="str">
        <f t="array" ref="AM8">IFERROR(INDEX(CS$7:CS$14,SMALL(IF(CS$7:CS$14&lt;&gt;"",ROW(CS$7:CS$14)-ROW(CS$7)+1),ROWS(CS$7:CS7))),"")</f>
        <v/>
      </c>
      <c r="AN8" s="52" t="str">
        <f>IF(Atletas!D4="","",IF(Atletas!B4="Feminino",100,IF(Atletas!B4="Masculino",200,""))+(IF(Atletas!D4="Kids 30kg",1,IF(Atletas!D4="Kids 32kg",2, IF(Atletas!D4="Kids 34kg",3,IF(Atletas!D4="Kids 36kg",4,IF(Atletas!D4="Kids 39kg",5,IF(Atletas!D4="Kids 42kg",6,IF(Atletas!D4="Kids 45kg",7, IF(Atletas!D4="Infantil 39kg",8,IF(Atletas!D4="Infantil 42kg",9,IF(Atletas!D4="Infantil 45kg",10,IF(Atletas!D4="Infantil 48kg",11,IF(Atletas!D4="Infantil 52kg",12,IF(Atletas!D4="Infantil 56kg",13,IF(Atletas!D4="Infantil 60kg",14,IF(Atletas!D4="Juvenil 48kg",15,IF(Atletas!D4="Juvenil 52kg",16,IF(Atletas!D4="Juvenil 56kg",17,IF(Atletas!D4="Juvenil 60kg",18,IF(Atletas!D4="Juvenil 65kg",19,IF(Atletas!D4="Juvenil 70kg",20,IF(Atletas!D4="Juvenil 75kg",21,IF(Atletas!D4="Juvenil 80kg",22, IF(Atletas!D4="Juvenil 85kg",23,IF(Atletas!D4="Adulto 48kg",24,IF(Atletas!D4="Adulto 52kg",25,IF(Atletas!D4="Adulto 56kg",26,IF(Atletas!D4="Adulto 60kg",27,IF(Atletas!D4="Adulto 65kg",28,IF(Atletas!D4="Adulto 70kg",29,IF(Atletas!D4="Adulto 75kg",30,IF(Atletas!D4="Adulto 80kg",31,IF(Atletas!D4="Adulto 85kg",32,IF(Atletas!D4="Adulto 90kg",33,IF(Atletas!D4="Adulto 100kg",34, IF(Atletas!D4="Adulto +100kg",35,"")))))))))))))))))))))))))))))))))))))</f>
        <v/>
      </c>
      <c r="AO8" s="50" t="str">
        <f>IF(AP8&lt;&gt;"","Kids 32kg","")</f>
        <v/>
      </c>
      <c r="AP8" s="6" t="str">
        <f>IF(COUNTIF(AN:AN,102)&gt;0,COUNTIF(AN:AN,102),"")</f>
        <v/>
      </c>
      <c r="AQ8" s="50" t="str">
        <f>IF(AR8&lt;&gt;"","Kids 32kg","")</f>
        <v/>
      </c>
      <c r="AR8" s="6" t="str">
        <f>IF(COUNTIF(AN:AN,202)&gt;0,COUNTIF(AN:AN,202),"")</f>
        <v/>
      </c>
      <c r="AS8" s="6" t="str">
        <f>IF(Atletas!E4="","",IF(Atletas!B4="Feminino",100,IF(Atletas!B4="Masculino",200,""))+(IF(Atletas!E4="Juvenil 44kg",1,IF(Atletas!E4="Juvenil 48kg",2,IF(Atletas!E4="Juvenil 52kg",3,IF(Atletas!E4="Juvenil 56kg",4,IF(Atletas!E4="Juvenil 60kg",5,IF(Atletas!E4="Juvenil 65kg",6,IF(Atletas!E4="Juvenil 70kg",7,IF(Atletas!E4="Juvenil 75kg",8,IF(Atletas!E4="Juvenil 82kg",9,IF(Atletas!E4="Juvenil 90kg",10,IF(Atletas!E4="Juvenil 100kg",11,IF(Atletas!E4="Adulto 48kg",12,IF(Atletas!E4="Adulto 52kg",13,IF(Atletas!E4="Adulto 56kg",14,IF(Atletas!E4="Adulto 60kg",15,IF(Atletas!E4="Adulto 65kg",16,IF(Atletas!E4="Adulto 70kg",17,IF(Atletas!E4="Adulto 75kg",18,IF(Atletas!E4="Adulto 82kg",19,IF(Atletas!E4="Adulto 90kg",20,IF(Atletas!E4="Adulto 100kg",21,IF(Atletas!E4="Adulto +100kg",22,""))))))))))))))))))))))))</f>
        <v/>
      </c>
      <c r="AT8" s="50" t="str">
        <f>IF(AU8&lt;&gt;"","Juvenil 48kg","")</f>
        <v/>
      </c>
      <c r="AU8" s="6" t="str">
        <f>IF(COUNTIF(AS:AS,102)&gt;0,COUNTIF(AS:AS,102),"")</f>
        <v/>
      </c>
      <c r="AV8" s="50" t="str">
        <f>IF(AW8&lt;&gt;"","Juvenil 52kg","")</f>
        <v/>
      </c>
      <c r="AW8" s="6" t="str">
        <f>IF(COUNTIF(AS:AS,203)&gt;0,COUNTIF(AS:AS,203),"")</f>
        <v/>
      </c>
      <c r="AX8" s="6" t="str">
        <f>IF(Atletas!F4="","",IF(Atletas!B4="Feminino",100,IF(Atletas!B4="Masculino",200,""))+(IF(Atletas!F4="Adulto 48kg",1,IF(Atletas!F4="Adulto 56kg",2,IF(Atletas!F4="Adulto 65kg",3,IF(Atletas!F4="Adulto 75kg",4,IF(Atletas!F4="Adulto +75kg",5,IF(Atletas!F4="Adulto 52kg",6,IF(Atletas!F4="Adulto 60kg",7,IF(Atletas!F4="Adulto 70kg",8,IF(Atletas!F4="Adulto 80kg",9,IF(Atletas!F4="Adulto 90kg",10,IF(Atletas!F4="Adulto +90kg",11,"")))))))))))))</f>
        <v/>
      </c>
      <c r="AY8" s="50" t="str">
        <f>IF(AZ8&lt;&gt;"","Adulto 56kg","")</f>
        <v/>
      </c>
      <c r="AZ8" s="6" t="str">
        <f>IF(COUNTIF(AX:AX,102)&gt;0,COUNTIF(AX:AX,102),"")</f>
        <v/>
      </c>
      <c r="BA8" s="50" t="str">
        <f>IF(BB8&lt;&gt;"","Adulto 60kg","")</f>
        <v/>
      </c>
      <c r="BB8" s="6" t="str">
        <f>IF(COUNTIF(AX:AX,207)&gt;0,COUNTIF(AX:AX,207),"")</f>
        <v/>
      </c>
      <c r="BC8" s="6" t="str">
        <f>IF(Atletas!G4="","",IF(Atletas!B4="Feminino",10,IF(Atletas!B4="Masculino",20,""))+(IF(Atletas!G4="Baduanjin A",1,IF(Atletas!G4="Baduanjin B",2))))</f>
        <v/>
      </c>
      <c r="BD8" s="50" t="str">
        <f>IF(BE8&lt;&gt;"","Baduanjin B","")</f>
        <v/>
      </c>
      <c r="BE8" s="6" t="str">
        <f>IF(COUNTIF(BC:BC,12)&gt;0,COUNTIF(BC:BC,12),"")</f>
        <v/>
      </c>
      <c r="BF8" s="52" t="str">
        <f>IF(Atletas!H4="","",IF(Atletas!B4="Feminino",100,IF(Atletas!B4="Masculino",200,""))+(IF(Atletas!H4="Changquan Mirim",1,IF(Atletas!H4="Nanquan Mirim",2,IF(Atletas!H4="Taijiquan Mirim",3,IF(Atletas!H4="Changquan Grupo C",4,IF(Atletas!H4="Nanquan Grupo C",5,IF(Atletas!H4="Taijiquan Grupo C",6,IF(Atletas!H4="Changquan Grupo B",7,IF(Atletas!H4="Nanquan Grupo B",8,IF(Atletas!H4="Taijiquan Grupo B",9,IF(Atletas!H4="Changquan Grupo A",10,IF(Atletas!H4="Nanquan Grupo A",11,IF(Atletas!H4="Taijiquan Grupo A",12,IF(Atletas!H4="Changquan Opcional",13,IF(Atletas!H4="Nanquan Opcional",14,IF(Atletas!H4="Taijiquan Opcional",15,IF(Atletas!H4="Changquan Adulto",16,IF(Atletas!H4="Nanquan Adulto",17,IF(Atletas!H4="Taijiquan Adulto",18,""))))))))))))))))))))</f>
        <v/>
      </c>
      <c r="BG8" s="52" t="str">
        <f>IF(Atletas!I4="","",IF(Atletas!B4="Feminino",100,IF(Atletas!B4="Masculino",200,""))+(IF(Atletas!I4="Daoshu Mirim",19,IF(Atletas!I4="Jianshu Mirim",20,IF(Atletas!I4="Nandao Mirim",21,IF(Atletas!I4="Taijijian Mirim",22,IF(Atletas!I4="Daoshu Grupo C",23,IF(Atletas!I4="Jianshu Grupo C",24,IF(Atletas!I4="Nandao Grupo C",25,IF(Atletas!I4="Taijijian Grupo C",26,IF(Atletas!I4="Daoshu Grupo B",27,IF(Atletas!I4="Jianshu Grupo B",28,IF(Atletas!I4="Nandao Grupo B",29,IF(Atletas!I4="Taijijian Grupo B",30,IF(Atletas!I4="Daoshu Grupo A",31,IF(Atletas!I4="Jianshu Grupo A",32,IF(Atletas!I4="Nandao Grupo A",33,IF(Atletas!I4="Taijijian Grupo A",34,IF(Atletas!I4="Daoshu Opcional",35,IF(Atletas!I4="Jianshu Opcional",36,IF(Atletas!I4="Nandao Opcional",37,IF(Atletas!I4="Taijijian Opcional",38,IF(Atletas!I4="Daoshu Adulto",39,IF(Atletas!I4="Jianshu Adulto",40,IF(Atletas!I4="Nandao Adulto",41,IF(Atletas!I4="Taijijian Adulto",42,""))))))))))))))))))))))))))</f>
        <v/>
      </c>
      <c r="BH8" s="52" t="str">
        <f>IF(Atletas!J4="","",IF(Atletas!B4="Feminino",100,IF(Atletas!B4="Masculino",200,""))+(IF(Atletas!J4="Gunshu Mirim",43,IF(Atletas!J4="Qiangshu Mirim",44,IF(Atletas!J4="Nangun Mirim",45,IF(Atletas!J4="Gunshu Grupo C",46,IF(Atletas!J4="Qiangshu Grupo C",47,IF(Atletas!J4="Nangun Grupo C",48,IF(Atletas!J4="Gunshu Grupo B",49,IF(Atletas!J4="Qiangshu Grupo B",50,IF(Atletas!J4="Nangun Grupo B",51,IF(Atletas!J4="Gunshu Grupo A",52,IF(Atletas!J4="Qiangshu Grupo A",53,IF(Atletas!J4="Nangun Grupo A",54,IF(Atletas!J4="Gunshu Opcional",55,IF(Atletas!J4="Qiangshu Opcional",56,IF(Atletas!J4="Nangun Opcional",57,IF(Atletas!J4="Gunshu Adulto",58,IF(Atletas!J4="Qiangshu Adulto",59,IF(Atletas!J4="Nangun Adulto",60,IF(Atletas!J4="Taijishan Grupo B",61,IF(Atletas!J4="Taijishan Grupo A",62,""))))))))))))))))))))))</f>
        <v/>
      </c>
      <c r="BI8" s="50" t="str">
        <f>IF(BJ8&lt;&gt;"","Nanquan Mirim","")</f>
        <v/>
      </c>
      <c r="BJ8" s="50" t="str">
        <f>IF(COUNTIF(BF:BH,102)&gt;0,COUNTIF(BF:BH,102),"")</f>
        <v/>
      </c>
      <c r="BK8" s="50" t="str">
        <f>IF(BL8&lt;&gt;"","Nanquan Mirim","")</f>
        <v/>
      </c>
      <c r="BL8" s="50" t="str">
        <f>IF(COUNTIF(BF:BH,202)&gt;0,COUNTIF(BF:BH,202),"")</f>
        <v/>
      </c>
      <c r="BM8" s="50" t="str">
        <f>IF(Atletas!K4="","",IF(Atletas!B4="Feminino",100,IF(Atletas!B4="Masculino",200,""))+(IF(Atletas!K4="Equipe 1 Grupo B",1,IF(Atletas!K4="Equipe 2 Grupo B",2,IF(Atletas!K4="Equipe 1 Grupo A",3,IF(Atletas!K4="Equipe 2 Grupo A",4,IF(Atletas!K4="Equipe 1 Adulto",5,IF(Atletas!K4="Equipe 2 Adulto",6,""))))))))</f>
        <v/>
      </c>
      <c r="BN8" s="50" t="str">
        <f>IF(BO8&lt;&gt;"","Equipe 2 Grupo B","")</f>
        <v/>
      </c>
      <c r="BO8" s="50" t="str">
        <f>IF(COUNTIF(BM:BM,102)&gt;0,COUNTIF(BM:BM,102),"")</f>
        <v/>
      </c>
      <c r="BP8" s="50" t="str">
        <f>IF(BQ8&lt;&gt;"","Equipe 2 Grupo B","")</f>
        <v/>
      </c>
      <c r="BQ8" s="50" t="str">
        <f>IF(COUNTIF(BM:BM,202)&gt;0,COUNTIF(BM:BM,202),"")</f>
        <v/>
      </c>
      <c r="BR8" s="50" t="str">
        <f>IF(Atletas!L4="","",IF(Atletas!X4&lt;&gt;"",10000,0)+(IF(Atletas!B4="Feminino",1000,IF(Atletas!B4="Masculino",2000,""))+IF(Atletas!L4="Choylayfut A",1,IF(Atletas!L4="Hunggar A",2,IF(Atletas!L4="Wuzuquan A",3,IF(Atletas!L4="Wingchun A",4,IF(Atletas!L4="Outra Mão de Sul A",5,IF(Atletas!L4="Choylayfut B",6,IF(Atletas!L4="Hunggar B",7,IF(Atletas!L4="Wuzuquan B",8,IF(Atletas!L4="Wingchun B",9,IF(Atletas!L4="Outra Mão de Sul B",10,IF(Atletas!L4="Choylayfut C",11,IF(Atletas!L4="Hunggar C",12,IF(Atletas!L4="Wuzuquan C",13,IF(Atletas!L4="Wingchun C",14,IF(Atletas!L4="Outra Mão de Sul C",15,IF(Atletas!L4="Choylayfut D",16,IF(Atletas!L4="Hunggar D",17,IF(Atletas!L4="Wuzuquan D",18,IF(Atletas!L4="Wingchun D",19,IF(Atletas!L4="Outra Mão de Sul D",20,IF(Atletas!L4="Choylayfut E",21,IF(Atletas!L4="Hunggar E",22,IF(Atletas!L4="Wuzuquan E",23,IF(Atletas!L4="Wingchun E",24,IF(Atletas!L4="Outra Mão de Sul E",25,IF(Atletas!L4="Choylayfut F",26,IF(Atletas!L4="Hunggar F",27,IF(Atletas!L4="Wuzuquan F",28,IF(Atletas!L4="Wingchun F",29,IF(Atletas!L4="Outra Mão de Sul F",30,IF(Atletas!L4="Dishuquan A",31,IF(Atletas!L4="Dishuquan B",32,IF(Atletas!L4="Dishuquan C",33,IF(Atletas!L4="Dishuquan D",34,IF(Atletas!L4="Dishuquan E",35,IF(Atletas!L4="Dishuquan F",36,""))))))))))))))))))))))))))))))))))))))</f>
        <v/>
      </c>
      <c r="BS8" s="50" t="str">
        <f>IF(Atletas!M4="","",IF(Atletas!X4&lt;&gt;"",10000,0)+(IF(Atletas!B4="Feminino",1000,IF(Atletas!B4="Masculino",2000,""))+(IF(Atletas!M4="Chaquan A",101,IF(Atletas!M4="Emeiquan A",102,IF(Atletas!M4="Fanziquan A",103,IF(Atletas!M4="Huaquan A",104,IF(Atletas!M4="Hongquan A",105,IF(Atletas!M4="Paoquan A",106,IF(Atletas!M4="Piguaquan A",107,IF(Atletas!M4="Shaolinquan A",108,IF(Atletas!M4="Tanglangquan A",109,IF(Atletas!M4="Yingzhaoquan A",110,IF(Atletas!M4="Tongbeiquan A",111,IF(Atletas!M4="Wudangquan A",112,IF(Atletas!M4="Outros Estilos A",113,IF(Atletas!M4="Chaquan B",114,IF(Atletas!M4="Emeiquan B",115,IF(Atletas!M4="Fanziquan B",116,IF(Atletas!M4="Huaquan B",117,IF(Atletas!M4="Hongquan B",118,IF(Atletas!M4="Paoquan B",119,IF(Atletas!M4="Piguaquan B",120,IF(Atletas!M4="Shaolinquan B",121,IF(Atletas!M4="Tanglangquan B",122,IF(Atletas!M4="Yingzhaoquan B",123,IF(Atletas!M4="Tongbeiquan B",124,IF(Atletas!M4="Wudangquan B",125,IF(Atletas!M4="Outros Estilos B",126,IF(Atletas!M4="Chaquan C",127,IF(Atletas!M4="Emeiquan C",128,IF(Atletas!M4="Fanziquan C",129,IF(Atletas!M4="Huaquan C",130,IF(Atletas!M4="Hongquan C",131,IF(Atletas!M4="Paoquan C",132,IF(Atletas!M4="Piguaquan C",133,IF(Atletas!M4="Shaolinquan C",134,IF(Atletas!M4="Tanglangquan C",135,IF(Atletas!M4="Yingzhaoquan C",136,IF(Atletas!M4="Tongbeiquan C",137,IF(Atletas!M4="Wudangquan C",138,IF(Atletas!M4="Outros Estilos C",139,0))))))))))))))))))))))))))))))))))))))))))</f>
        <v/>
      </c>
      <c r="BT8" s="50" t="str">
        <f>IF(Atletas!M4="","",IF(Atletas!X4&lt;&gt;"",10000,0)+(IF(Atletas!B4="Feminino",1000,IF(Atletas!B4="Masculino",2000,""))+(IF(Atletas!M4="Chaquan D",140,IF(Atletas!M4="Emeiquan D",141,IF(Atletas!M4="Fanziquan D",142,IF(Atletas!M4="Huaquan D",143,IF(Atletas!M4="Hongquan D",144,IF(Atletas!M4="Paoquan D",145,IF(Atletas!M4="Piguaquan D",146,IF(Atletas!M4="Shaolinquan D",147,IF(Atletas!M4="Tanglangquan D",148,IF(Atletas!M4="Yingzhaoquan D",149,IF(Atletas!M4="Tongbeiquan D",150,IF(Atletas!M4="Wudangquan D",151,IF(Atletas!M4="Outros Estilos D",152,IF(Atletas!M4="Chaquan E",153,IF(Atletas!M4="Emeiquan E",154,IF(Atletas!M4="Fanziquan E",155,IF(Atletas!M4="Huaquan E",156,IF(Atletas!M4="Hongquan E",157,IF(Atletas!M4="Paoquan E",158,IF(Atletas!M4="Piguaquan E",159,IF(Atletas!M4="Shaolinquan E",160,IF(Atletas!M4="Tanglangquan E",161,IF(Atletas!M4="Yingzhaoquan E",162,IF(Atletas!M4="Tongbeiquan E",163,IF(Atletas!M4="Wudangquan E",164,IF(Atletas!M4="Outros Estilos E",165,IF(Atletas!M4="Chaquan F",166,IF(Atletas!M4="Emeiquan F",167,IF(Atletas!M4="Fanziquan F",168,IF(Atletas!M4="Huaquan F",169,IF(Atletas!M4="Hongquan F",170,IF(Atletas!M4="Paoquan F",171,IF(Atletas!M4="Piguaquan F",172,IF(Atletas!M4="Shaolinquan F",173,IF(Atletas!M4="Tanglangquan F",174,IF(Atletas!M4="Yingzhaoquan F",175,IF(Atletas!M4="Tongbeiquan F",176,IF(Atletas!M4="Wudangquan F",177,IF(Atletas!M4="Outros Estilos F",178,0))))))))))))))))))))))))))))))))))))))))))</f>
        <v/>
      </c>
      <c r="BU8" s="50" t="str">
        <f>IF(Atletas!N4="","",IF(Atletas!X4&lt;&gt;"",10000,0)+(IF(Atletas!B4="Feminino",1000,IF(Atletas!B4="Masculino",2000,""))+(IF(Atletas!N4="Ditangquan A",201,IF(Atletas!N4="Houquan A",202,IF(Atletas!N4="Zuiquan A",203,IF(Atletas!N4="Ditangquan B",204,IF(Atletas!N4="Houquan B",205,IF(Atletas!N4="Zuiquan B",206,IF(Atletas!N4="Ditangquan C",207,IF(Atletas!N4="Houquan C",208,IF(Atletas!N4="Zuiquan C",209,IF(Atletas!N4="Ditangquan D",210,IF(Atletas!N4="Houquan D",211,IF(Atletas!N4="Zuiquan D",212,IF(Atletas!N4="Ditangquan E",213,IF(Atletas!N4="Houquan E",214,IF(Atletas!N4="Zuiquan E",215,IF(Atletas!N4="Ditangquan F",216,IF(Atletas!N4="Houquan F",217,IF(Atletas!N4="Zuiquan F",218,"")))))))))))))))))))))</f>
        <v/>
      </c>
      <c r="BV8" s="50" t="str">
        <f>IF(Atletas!O4="","",IF(Atletas!X4&lt;&gt;"",10000,0)+IF(Atletas!B4="Feminino",1000,IF(Atletas!B4="Masculino",2000,""))+IF(Atletas!O4="Yang A",301,IF(Atletas!O4="Chen A",302,IF(Atletas!O4="Sun A",303,IF(Atletas!O4="Wu A",304,IF(Atletas!O4="Wu-Hao A",305,IF(Atletas!O4="Outro Taijiquan A",306,IF(Atletas!O4="Yang B",307,IF(Atletas!O4="Chen B",308,IF(Atletas!O4="Sun B",309,IF(Atletas!O4="Wu B",310,IF(Atletas!O4="Wu-Hao B",311,IF(Atletas!O4="Outro Taijiquan B",312,IF(Atletas!O4="Yang C",313,IF(Atletas!O4="Chen C",314,IF(Atletas!O4="Sun C",315,IF(Atletas!O4="Wu C",316,IF(Atletas!O4="Wu-Hao C",317,IF(Atletas!O4="Outro Taijiquan C",318,IF(Atletas!O4="Yang D",319,IF(Atletas!O4="Chen D",320,IF(Atletas!O4="Sun D",321,IF(Atletas!O4="Wu D",322,IF(Atletas!O4="Wu-Hao D",323,IF(Atletas!O4="Outro Taijiquan D",324,IF(Atletas!O4="Yang E",325,IF(Atletas!O4="Chen E",326,IF(Atletas!O4="Sun E",327,IF(Atletas!O4="Wu E",328,IF(Atletas!O4="Wu-Hao E",329,IF(Atletas!O4="Outro Taijiquan E",330,IF(Atletas!O4="Yang F",331,IF(Atletas!O4="Chen F",332,IF(Atletas!O4="Sun F",333,IF(Atletas!O4="Wu F",334,IF(Atletas!O4="Wu-Hao F",335,IF(Atletas!O4="Outro Taijiquan F",336,"")))))))))))))))))))))))))))))))))))))</f>
        <v/>
      </c>
      <c r="BW8" s="50" t="str">
        <f>IF(Atletas!P4="","",IF(Atletas!X4&lt;&gt;"",10000,0)+IF(Atletas!B4="Feminino",1000,IF(Atletas!B4="Masculino",2000,""))+IF(OR(Atletas!P4="Yang 26 A",Atletas!P4="Yang 40 A"),401,IF(OR(Atletas!P4="Chen 25 A",Atletas!P4="Chen 36 A",Atletas!P4="Chen 56 A"),402,IF(Atletas!P4="Sun 73 A",403,IF(Atletas!P4="Wu 45 A",404,IF(Atletas!P4="Wu-Hao 46 A",405,IF(OR(Atletas!P4="Taijiquan 16 A",Atletas!P4="Taijiquan 24 A",Atletas!P4="Taijiquan 32 A",Atletas!P4="Taijiquan 42 A"),406,IF(OR(Atletas!P4="Yang 26 B",Atletas!P4="Yang 40 B"),407,IF(OR(Atletas!P4="Chen 25 B",Atletas!P4="Chen 36 B",Atletas!P4="Chen 56 B"),408,IF(Atletas!P4="Sun 73 B",409,IF(Atletas!P4="Wu 45 B",410,IF(Atletas!P4="Wu-Hao 46 B",411,IF(OR(Atletas!P4="Taijiquan 16 B",Atletas!P4="Taijiquan 24 B",Atletas!P4="Taijiquan 32 B",Atletas!P4="Taijiquan 42 B"),412,IF(OR(Atletas!P4="Yang 26 C",Atletas!P4="Yang 40 C"),413,IF(OR(Atletas!P4="Chen 25 C",Atletas!P4="Chen 36 C",Atletas!P4="Chen 56 C"),414,IF(Atletas!P4="Sun 73 C",415,IF(Atletas!P4="Wu 45 C",416,IF(Atletas!P4="Wu-Hao 46 C",417,IF(OR(Atletas!P4="Taijiquan 16 C",Atletas!P4="Taijiquan 24 C",Atletas!P4="Taijiquan 32 C",Atletas!P4="Taijiquan 42 C"),418,0)))))))))))))))))))</f>
        <v/>
      </c>
      <c r="BX8" s="50" t="str">
        <f>IF(Atletas!P4="","",IF(Atletas!X4&lt;&gt;"",10000,0)+IF(Atletas!B4="Feminino",1000,IF(Atletas!B4="Masculino",2000,""))+IF(OR(Atletas!P4="Yang 26 D",Atletas!P4="Yang 40 D"),419,IF(OR(Atletas!P4="Chen 25 D",Atletas!P4="Chen 36 D",Atletas!P4="Chen 56 D"),420,IF(Atletas!P4="Sun 73 D",421,IF(Atletas!P4="Wu 45 D",422,IF(Atletas!P4="Wu-Hao 46 D",423,IF(OR(Atletas!P4="Taijiquan 16 D",Atletas!P4="Taijiquan 24 D",Atletas!P4="Taijiquan 32 D",Atletas!P4="Taijiquan 42 D"),424,IF(OR(Atletas!P4="Yang 26 E",Atletas!P4="Yang 40 E"),425,IF(OR(Atletas!P4="Chen 25 E",Atletas!P4="Chen 36 E",Atletas!P4="Chen 56 E"),426,IF(Atletas!P4="Sun 73 E",427,IF(Atletas!P4="Wu 45 E",428,IF(Atletas!P4="Wu-Hao 46 E",429,IF(OR(Atletas!P4="Taijiquan 16 E",Atletas!P4="Taijiquan 24 E",Atletas!P4="Taijiquan 32 E",Atletas!P4="Taijiquan 42 E"),430,IF(OR(Atletas!P4="Yang 26 F",Atletas!P4="Yang 40 F"),431,IF(OR(Atletas!P4="Chen 25 F",Atletas!P4="Chen 36 F",Atletas!P4="Chen 56 F"),432,IF(Atletas!P4="Sun 73 F",433,IF(Atletas!P4="Wu 45 F",434,IF(Atletas!P4="Wu-Hao 46 F",435,IF(OR(Atletas!P4="Taijiquan 16 F",Atletas!P4="Taijiquan 24 F",Atletas!P4="Taijiquan 32 F",Atletas!P4="Taijiquan 42 F"),436,0)))))))))))))))))))</f>
        <v/>
      </c>
      <c r="BY8" s="50" t="str">
        <f>IF(Atletas!Q4="","",IF(Atletas!X4&lt;&gt;"",10000,0)+IF(Atletas!B4="Feminino",1000,IF(Atletas!B4="Masculino",2000,""))+IF(Atletas!Q4="Xingyiquan A",501,IF(Atletas!Q4="Baguazhang A",502,IF(Atletas!Q4="Outro Estilo Interno A",503,IF(Atletas!Q4="Xingyiquan B",504,IF(Atletas!Q4="Baguazhang B",505,IF(Atletas!Q4="Outro Estilo Interno B",506,IF(Atletas!Q4="Xingyiquan C",507,IF(Atletas!Q4="Baguazhang C",508,IF(Atletas!Q4="Outro Estilo Interno C",509,IF(Atletas!Q4="Xingyiquan D",510,IF(Atletas!Q4="Baguazhang D",511,IF(Atletas!Q4="Outro Estilo Interno D",512,IF(Atletas!Q4="Xingyiquan E",513,IF(Atletas!Q4="Baguazhang E",514,IF(Atletas!Q4="Outro Estilo Interno E",515,IF(Atletas!Q4="Xingyiquan F",516,IF(Atletas!Q4="Baguazhang F",517,IF(Atletas!Q4="Outro Estilo Interno F",518, "")))))))))))))))))))</f>
        <v/>
      </c>
      <c r="BZ8" s="50" t="str">
        <f>IF(Atletas!R4="","",IF(Atletas!X4&lt;&gt;"",10000,0)+IF(Atletas!B4="Feminino",1000,IF(Atletas!B4="Masculino",2000,""))+IF(Atletas!R4="Dao A",601,IF(Atletas!R4="Jian A",602,IF(Atletas!R4="Bishou A",603,IF(Atletas!R4="Shanzi A",604,IF(Atletas!R4="Outra Arma Curta A",605,IF(Atletas!R4="Dao B",606,IF(Atletas!R4="Jian B",607,IF(Atletas!R4="Bishou B",608,IF(Atletas!R4="Shanzi B",609,IF(Atletas!R4="Outra Arma Curta B",610,IF(Atletas!R4="Dao C",611,IF(Atletas!R4="Jian C",612,IF(Atletas!R4="Bishou C",613,IF(Atletas!R4="Shanzi C",614,IF(Atletas!R4="Outra Arma Curta C",615,IF(Atletas!R4="Dao D",616,IF(Atletas!R4="Jian D",617,IF(Atletas!R4="Bishou D",618,IF(Atletas!R4="Shanzi D",619,IF(Atletas!R4="Outra Arma Curta D",620,IF(Atletas!R4="Dao E",621,IF(Atletas!R4="Jian E",622,IF(Atletas!R4="Bishou E",623,IF(Atletas!R4="Shanzi E",624,IF(Atletas!R4="Outra Arma Curta E",625,IF(Atletas!R4="Dao F",626,IF(Atletas!R4="Jian F",627,IF(Atletas!R4="Bishou F",628,IF(Atletas!R4="Shanzi F",629,IF(Atletas!R4="Outra Arma Curta F",630, "")))))))))))))))))))))))))))))))</f>
        <v/>
      </c>
      <c r="CA8" s="50" t="str">
        <f>IF(Atletas!S4="","",IF(Atletas!X4&lt;&gt;"",10000,0)+IF(Atletas!B4="Feminino",1000,IF(Atletas!B4="Masculino",2000,""))+IF(Atletas!S4="Gun A",701,IF(Atletas!S4="Qiang A",702,IF(Atletas!S4="Pudao / Guandao A",703,IF(Atletas!S4="Outra Arma Longa A",704,IF(Atletas!S4="Gun B",705,IF(Atletas!S4="Qiang B",706,IF(Atletas!S4="Pudao / Guandao B",707,IF(Atletas!S4="Outra Arma Longa B",708,IF(Atletas!S4="Gun C",709,IF(Atletas!S4="Qiang C",710,IF(Atletas!S4="Pudao / Guandao C",711,IF(Atletas!S4="Outra Arma Longa C",712,IF(Atletas!S4="Gun D",713,IF(Atletas!S4="Qiang D",714,IF(Atletas!S4="Pudao / Guandao D",715,IF(Atletas!S4="Outra Arma Longa D",716,IF(Atletas!S4="Gun E",717,IF(Atletas!S4="Qiang E",718,IF(Atletas!S4="Pudao / Guandao E",719,IF(Atletas!S4="Outra Arma Longa E",720,IF(Atletas!S4="Gun F",721,IF(Atletas!S4="Qiang F",722,IF(Atletas!S4="Pudao / Guandao F",723,IF(Atletas!S4="Outra Arma Longa F",724,"")))))))))))))))))))))))))</f>
        <v/>
      </c>
      <c r="CB8" s="50" t="str">
        <f>IF(Atletas!T4="","",IF(Atletas!X4&lt;&gt;"",10000,0)+IF(Atletas!B4="Feminino",1000,IF(Atletas!B4="Masculino",2000,""))+IF(Atletas!T4="Outra Arma Dupla A",801,IF(Atletas!T4="Arma Maleável A",802,IF(Atletas!T4="Outra Arma Dupla B",803,IF(Atletas!T4="Arma Maleável B",804,IF(Atletas!T4="Outra Arma Dupla C",805,IF(Atletas!T4="Arma Maleável C",806,IF(Atletas!T4="Outra Arma Dupla D",807,IF(Atletas!T4="Arma Maleável D",808,IF(Atletas!T4="Outra Arma Dupla E",809,IF(Atletas!T4="Arma Maleável E",810,IF(Atletas!T4="Outra Arma Dupla F",811,IF(Atletas!T4="Arma Maleável F",812,IF(Atletas!T4="Shuangdao A",813,IF(Atletas!T4="Shuangdao B",814,IF(Atletas!T4="Shuangdao C",815,IF(Atletas!T4="Shuangdao D",816,IF(Atletas!T4="Shuangdao E",817,IF(Atletas!T4="Shuangdao F",818,"")))))))))))))))))))</f>
        <v/>
      </c>
      <c r="CC8" s="50" t="str">
        <f>IF(Atletas!U4="","",IF(Atletas!X4&lt;&gt;"",10000,0)+IF(Atletas!B4="Feminino",1000,IF(Atletas!B4="Masculino",2000,""))+IF(OR(Atletas!U4="Taijijian Yang A",Atletas!U4="Taijijian Yang Standard A"),901,IF(OR(Atletas!U4="Taijijian Chen A", Atletas!U4="Taijijian Chen Standard A"),902,IF(Atletas!U4="Taijijian Sun A",903,IF(Atletas!U4="Taijijian Wu A",904,IF(Atletas!U4="Taijijian Wu-Hao A",905,IF(OR(Atletas!U4="Taijijian 32 A",Atletas!U4="Taijijian 42 A"),906,IF(OR(Atletas!U4="Taijijian Yang B",Atletas!U4="Taijijian Yang Standard B"),907,IF(OR(Atletas!U4="Taijijian Chen B", Atletas!U4="Taijijian Chen Standard B"),908,IF(Atletas!U4="Taijijian Sun B",909,IF(Atletas!U4="Taijijian Wu B",910,IF(Atletas!U4="Taijijian Wu-Hao B",911,IF(OR(Atletas!U4="Taijijian 32 B",Atletas!U4="Taijijian 42 B"),912,IF(OR(Atletas!U4="Taijijian Yang C",Atletas!U4="Taijijian Yang Standard C"),913,IF(OR(Atletas!U4="Taijijian Chen C", Atletas!U4="Taijijian Chen Standard C"),914,IF(Atletas!U4="Taijijian Sun C",915,IF(Atletas!U4="Taijijian Wu C",916,IF(Atletas!U4="Taijijian Wu-Hao C",917,IF(OR(Atletas!U4="Taijijian 32 C",Atletas!U4="Taijijian 42 C"),918,IF(OR(Atletas!U4="Taijijian Yang D",Atletas!U4="Taijijian Yang Standard D"),919,IF(OR(Atletas!U4="Taijijian Chen D", Atletas!U4="Taijijian Chen Standard D"),920,IF(Atletas!U4="Taijijian Sun D",921,IF(Atletas!U4="Taijijian Wu D",922,IF(Atletas!U4="Taijijian Wu-Hao D",923,IF(OR(Atletas!U4="Taijijian 32 D",Atletas!U4="Taijijian 42 D"),924,IF(OR(Atletas!U4="Taijijian Yang E",Atletas!U4="Taijijian Yang Standard E"),925,IF(OR(Atletas!U4="Taijijian Chen E", Atletas!U4="Taijijian Chen Standard E"),926,IF(Atletas!U4="Taijijian Sun E",927,IF(Atletas!U4="Taijijian Wu E",928,IF(Atletas!U4="Taijijian Wu-Hao E",929,IF(OR(Atletas!U4="Taijijian 32 E",Atletas!U4="Taijijian 42 E"),930,IF(OR(Atletas!U4="Taijijian Yang F",Atletas!U4="Taijijian Yang Standard F"),931,IF(OR(Atletas!U4="Taijijian Chen F", Atletas!U4="Taijijian Chen Standard F"),932,IF(Atletas!U4="Taijijian Sun F",933,IF(Atletas!U4="Taijijian Wu F",934,IF(Atletas!U4="Taijijian Wu-Hao F",935,IF(OR(Atletas!U4="Taijijian 32 F",Atletas!U4="Taijijian 42 F"),936,"")))))))))))))))))))))))))))))))))))))</f>
        <v/>
      </c>
      <c r="CD8" s="50" t="str">
        <f>IF(Atletas!V4="","",IF(Atletas!X4&lt;&gt;"",10000,0)+IF(Atletas!B4="Feminino",1000,IF(Atletas!B4="Masculino",2000,""))+IF(Atletas!V4="Taijidao A",937,IF(Atletas!V4="TaijiShanzi A",938,IF(Atletas!V4="Taijiqiang A",939,IF(Atletas!V4="Bagua de Arma A",940,IF(Atletas!V4="Xingyi de Arma A",941,IF(Atletas!V4="Taijidao B",942,IF(Atletas!V4="TaijiShanzi B",943,IF(Atletas!V4="Taijiqiang B",944,IF(Atletas!V4="Bagua de Arma B",945,IF(Atletas!V4="Xingyi de Arma B",946,IF(Atletas!V4="Taijidao C",947,IF(Atletas!V4="TaijiShanzi C",948,IF(Atletas!V4="Taijiqiang C",949,IF(Atletas!V4="Bagua de Arma C",950,IF(Atletas!V4="Xingyi de Arma C",951,IF(Atletas!V4="Taijidao D",952,IF(Atletas!V4="TaijiShanzi D",953,IF(Atletas!V4="Taijiqiang D",954,IF(Atletas!V4="Bagua de Arma D",955,IF(Atletas!V4="Xingyi de Arma D",956,IF(Atletas!V4="Taijidao E",957,IF(Atletas!V4="TaijiShanzi E",958,IF(Atletas!V4="Taijiqiang E",959,IF(Atletas!V4="Bagua de Arma E",960,IF(Atletas!V4="Xingyi de Arma E",961,IF(Atletas!V4="Taijidao F",962,IF(Atletas!V4="TaijiShanzi F",963,IF(Atletas!V4="Taijiqiang F",964,IF(Atletas!V4="Bagua de Arma F",965,IF(Atletas!V4="Xingyi de Arma F",966,"")))))))))))))))))))))))))))))))</f>
        <v/>
      </c>
      <c r="CE8" s="66" t="str">
        <f>IF(CF8&lt;&gt;"","Hunggar A","")</f>
        <v/>
      </c>
      <c r="CF8" s="66" t="str">
        <f>IF(COUNTIF(BR:CD,1002)&gt;0,COUNTIF(BR:CD,1002),"")</f>
        <v/>
      </c>
      <c r="CG8" s="66" t="str">
        <f>IF(CH8&lt;&gt;"","Hunggar A","")</f>
        <v/>
      </c>
      <c r="CH8" s="66" t="str">
        <f>IF(COUNTIF(BR:CD,2002)&gt;0,COUNTIF(BR:CD,2002),"")</f>
        <v/>
      </c>
      <c r="CI8" s="66" t="str">
        <f>IF(CJ8&lt;&gt;"","Hunggar A","")</f>
        <v/>
      </c>
      <c r="CJ8" s="66" t="str">
        <f>IF(COUNTIF(BR:CD,11002)&gt;0,COUNTIF(BR:CD,11002),"")</f>
        <v/>
      </c>
      <c r="CK8" s="66" t="str">
        <f>IF(CL8&lt;&gt;"","Hunggar A","")</f>
        <v/>
      </c>
      <c r="CL8" s="66" t="str">
        <f>IF(COUNTIF(BR:CD,12002)&gt;0,COUNTIF(BR:CD,12002),"")</f>
        <v/>
      </c>
      <c r="CM8" s="50" t="str">
        <f xml:space="preserve"> IF(Atletas!W4="","",IF(Atletas!W4="Duilian de Mãos BC - Equipe 1",1,IF(Atletas!W4="Duilian de Mãos BC - Equipe 2",2,IF(Atletas!W4="Duilian de Armas BC - Equipe 1",3,IF(Atletas!W4="Duilian de Armas BC - Equipe 2",4,IF(Atletas!W4="Duilian de Mãos DE - Equipe 1",5,IF(Atletas!W4="Duilian de Mãos DE - Equipe 2",6,IF(Atletas!W4="Duilian de Armas DE - Equipe 1",7,IF(Atletas!W4="Duilian de Armas DE - Equipe 2",8,IF(Atletas!W4="Duilian de Tuishou - Equipe 1",9,IF(Atletas!W4="Duilian de Tuishou - Equipe 2",10,IF(Atletas!W4="Grupo Externo ABC - Equipe 1",11,IF(Atletas!W4="Grupo Externo ABC - Equipe 2",12,IF(Atletas!W4="Grupo Interno ABC - Equipe 1",13,IF(Atletas!W4="Grupo Interno ABC - Equipe 2",14,IF(Atletas!W4="Grupo Externo DEF - Equipe 1",15,IF(Atletas!W4="Grupo Externo DEF - Equipe 2",16,IF(Atletas!W4="Grupo Interno DEF - Equipe 1",17,IF(Atletas!W4="Grupo Interno DEF - Equipe 2",18,"")))))))))))))))))))</f>
        <v/>
      </c>
      <c r="CN8" s="52" t="str">
        <f>IF(CO8&lt;&gt;"","Duilian de Mãos BC - Equipe 2","")</f>
        <v/>
      </c>
      <c r="CO8" s="64" t="str">
        <f>IF(COUNTIF(CM:CM,2)&gt;0,COUNTIF(CM:CM,2),"")</f>
        <v/>
      </c>
      <c r="CP8" s="52" t="str">
        <f>IF(CQ8&lt;&gt;"","Duilian de Tuishou - Equipe 2","")</f>
        <v/>
      </c>
      <c r="CQ8" s="64" t="str">
        <f>IF(COUNTIF(CM:CM,10)&gt;0,COUNTIF(CM:CM,10),"")</f>
        <v/>
      </c>
      <c r="CR8" s="67" t="str">
        <f>IF(CS8&lt;&gt;"","Grupo Externo ABC - Equipe 2","")</f>
        <v/>
      </c>
      <c r="CS8" s="68" t="str">
        <f>IF(COUNTIF(CM:CM,12)&gt;0,COUNTIF(CM:CM,12),"")</f>
        <v/>
      </c>
      <c r="CY8" s="41"/>
    </row>
    <row r="9" spans="1:103">
      <c r="A9" s="16"/>
      <c r="B9" s="3" t="str">
        <f t="array" ref="B9">IFERROR(INDEX(AO$7:AO$38,SMALL(IF(AO$7:AO$38&lt;&gt;"",ROW(AO$7:AO$38)-ROW(AO$7)+1),ROWS(AO$7:AO8))),"")</f>
        <v/>
      </c>
      <c r="C9" s="3" t="str">
        <f t="array" ref="C9">IFERROR(INDEX(AP$7:AP$38,SMALL(IF(AP$7:AP$38&lt;&gt;"",ROW(AP$7:AP$38)-ROW(AP$7)+1),ROWS(AP$7:AP8))),"")</f>
        <v/>
      </c>
      <c r="D9" s="3" t="str">
        <f t="array" ref="D9">IFERROR(INDEX(AQ$7:AQ$38,SMALL(IF(AQ$7:AQ$38&lt;&gt;"",ROW(AQ$7:AQ$38)-ROW(AQ$7)+1),ROWS(AQ$7:AQ8))),"")</f>
        <v/>
      </c>
      <c r="E9" s="3" t="str">
        <f t="array" ref="E9">IFERROR(INDEX(AR$7:AR$38,SMALL(IF(AR$7:AR$38&lt;&gt;"",ROW(AR$7:AR$38)-ROW(AR$7)+1),ROWS(AR$7:AR8))),"")</f>
        <v/>
      </c>
      <c r="F9" s="3" t="str">
        <f t="array" ref="F9">IFERROR(INDEX(AT$7:AT$36,SMALL(IF(AT$7:AT$36&lt;&gt;"",ROW(AT$7:AT$36)-ROW(AT$7)+1),ROWS(AT$7:AT8))),"")</f>
        <v/>
      </c>
      <c r="G9" s="3" t="str">
        <f t="array" ref="G9">IFERROR(INDEX(AU$7:AU$36,SMALL(IF(AU$7:AU$36&lt;&gt;"",ROW(AU$7:AU$36)-ROW(AU$7)+1),ROWS(AU$7:AU8))),"")</f>
        <v/>
      </c>
      <c r="H9" s="3" t="str">
        <f t="array" ref="H9">IFERROR(INDEX(AV$7:AV$36,SMALL(IF(AV$7:AV$36&lt;&gt;"",ROW(AV$7:AV$36)-ROW(AV$7)+1),ROWS(AV$7:AV8))),"")</f>
        <v/>
      </c>
      <c r="I9" s="3" t="str">
        <f t="array" ref="I9">IFERROR(INDEX(AW$7:AW$36,SMALL(IF(AW$7:AW$36&lt;&gt;"",ROW(AW$7:AW$36)-ROW(AW$7)+1),ROWS(AW$7:AW8))),"")</f>
        <v/>
      </c>
      <c r="J9" s="3" t="str">
        <f t="array" ref="J9">IFERROR(INDEX(AY$7:AY$36,SMALL(IF(AY$7:AY$36&lt;&gt;"",ROW(AY$7:AY$36)-ROW(AY$7)+1),ROWS(AY$7:AY8))),"")</f>
        <v/>
      </c>
      <c r="K9" s="3" t="str">
        <f t="array" ref="K9">IFERROR(INDEX(AZ$7:AZ$36,SMALL(IF(AZ$7:AZ$36&lt;&gt;"",ROW(AZ$7:AZ$36)-ROW(AZ$7)+1),ROWS(AZ$7:AZ8))),"")</f>
        <v/>
      </c>
      <c r="L9" s="3" t="str">
        <f t="array" ref="L9">IFERROR(INDEX(BA$7:BA$36,SMALL(IF(BA$7:BA$36&lt;&gt;"",ROW(BA$7:BA$36)-ROW(BA$7)+1),ROWS(BA$7:BA8))),"")</f>
        <v/>
      </c>
      <c r="M9" s="3" t="str">
        <f t="array" ref="M9">IFERROR(INDEX(BB$7:BB$36,SMALL(IF(BB$7:BB$36&lt;&gt;"",ROW(BB$7:BB$36)-ROW(BB$7)+1),ROWS(BB$7:BB8))),"")</f>
        <v/>
      </c>
      <c r="N9" s="3" t="str">
        <f t="array" ref="N9">IFERROR(INDEX(BD$7:BD$8,SMALL(IF(BD$7:BD$8&lt;&gt;"",ROW(BD$7:BD$8)-ROW(BD$7)+1),ROWS(BD$7:BD8))),"")</f>
        <v/>
      </c>
      <c r="O9" s="3" t="str" cm="1">
        <f t="array" ref="O9">IFERROR(INDEX(BE$7:BE$8,SMALL(IF(BE$7:BE$8&lt;&gt;"",ROW(BE$7:BE$8)-ROW(BE$7)+1),ROWS(BE$7:BE8))),"")</f>
        <v/>
      </c>
      <c r="P9" s="3" t="str" cm="1">
        <f t="array" ref="P9">IFERROR(INDEX(BD$9:BD$10,SMALL(IF(BD$9:BD$10&lt;&gt;"",ROW(BD$9:BD$10)-ROW(BD$9)+1),ROWS(BD$9:BD10))),"")</f>
        <v/>
      </c>
      <c r="Q9" s="3" t="str" cm="1">
        <f t="array" ref="Q9">IFERROR(INDEX(BE$9:BE$10,SMALL(IF(BE$9:BE$10&lt;&gt;"",ROW(BE$9:BE$10)-ROW(BE$9)+1),ROWS(BE$9:BE10))),"")</f>
        <v/>
      </c>
      <c r="R9" s="3" t="str">
        <f t="array" ref="R9">IFERROR(INDEX(BI$7:BI$68,SMALL(IF(BI$7:BI$68&lt;&gt;"",ROW(BI$7:BI$68)-ROW(BI$7)+1),ROWS(BI$7:BI8))),"")</f>
        <v/>
      </c>
      <c r="S9" s="3" t="str">
        <f t="array" ref="S9">IFERROR(INDEX(BJ$7:BJ$68,SMALL(IF(BJ$7:BJ$68&lt;&gt;"",ROW(BJ$7:BJ$68)-ROW(BJ$7)+1),ROWS(BJ$7:BJ8))),"")</f>
        <v/>
      </c>
      <c r="T9" s="3" t="str">
        <f t="array" ref="T9">IFERROR(INDEX(BK$7:BK$68,SMALL(IF(BK$7:BK$68&lt;&gt;"",ROW(BK$7:BK$68)-ROW(BK$7)+1),ROWS(BK$7:BK8))),"")</f>
        <v/>
      </c>
      <c r="U9" s="3" t="str">
        <f t="array" ref="U9">IFERROR(INDEX(BL$7:BL$68,SMALL(IF(BL$7:BL$68&lt;&gt;"",ROW(BL$7:BL$68)-ROW(BL$7)+1),ROWS(BL$7:BL8))),"")</f>
        <v/>
      </c>
      <c r="V9" s="3" t="str">
        <f t="array" ref="V9">IFERROR(INDEX(BN$7:BN$12,SMALL(IF(BN$7:BN$12&lt;&gt;"",ROW(BN$7:BN$12)-ROW(BN$7)+1),ROWS(BN$7:BN8))),"")</f>
        <v/>
      </c>
      <c r="W9" s="3" t="str">
        <f t="array" ref="W9">IFERROR(INDEX(BO$7:BO$12,SMALL(IF(BO$7:BO$12&lt;&gt;"",ROW(BO$7:BO$12)-ROW(BO$7)+1),ROWS(BO$7:BO8))),"")</f>
        <v/>
      </c>
      <c r="X9" s="3" t="str">
        <f t="array" ref="X9">IFERROR(INDEX(BP$7:BP$12,SMALL(IF(BP$7:BP$12&lt;&gt;"",ROW(BP$7:BP$12)-ROW(BP$7)+1),ROWS(BP$7:BP8))),"")</f>
        <v/>
      </c>
      <c r="Y9" s="3" t="str">
        <f t="array" ref="Y9">IFERROR(INDEX(BQ$7:BQ$12,SMALL(IF(BQ$7:BQ$12&lt;&gt;"",ROW(BQ$7:BQ$12)-ROW(BQ$7)+1),ROWS(BQ$7:BQ8))),"")</f>
        <v/>
      </c>
      <c r="Z9" s="3" t="str">
        <f t="array" ref="Z9">IFERROR(INDEX(CE$7:CE$348,SMALL(IF(CE$7:CE$348&lt;&gt;"",ROW(CE$7:CE$348)-ROW(CE$7)+1),ROWS(CE$7:CE8))),"")</f>
        <v/>
      </c>
      <c r="AA9" s="3" t="str">
        <f t="array" ref="AA9">IFERROR(INDEX(CF$7:CF$348,SMALL(IF(CF$7:CF$348&lt;&gt;"",ROW(CF$7:CF$348)-ROW(CF$7)+1),ROWS(CF$7:CF8))),"")</f>
        <v/>
      </c>
      <c r="AB9" s="3" t="str">
        <f t="array" ref="AB9">IFERROR(INDEX(CG$7:CG$348,SMALL(IF(CG$7:CG$348&lt;&gt;"",ROW(CG$7:CG$348)-ROW(CG$7)+1),ROWS(CG$7:CG8))),"")</f>
        <v/>
      </c>
      <c r="AC9" s="3" t="str">
        <f t="array" ref="AC9">IFERROR(INDEX(CH$7:CH$348,SMALL(IF(CH$7:CH$348&lt;&gt;"",ROW(CH$7:CH$348)-ROW(CH$7)+1),ROWS(CH$7:CH8))),"")</f>
        <v/>
      </c>
      <c r="AD9" s="3" t="str">
        <f t="array" ref="AD9">IFERROR(INDEX(CI$7:CI$377,SMALL(IF(CI$7:CI$377&lt;&gt;"",ROW(CI$7:CI$377)-ROW(CI$7)+1),ROWS(CI$7:CI8))),"")</f>
        <v/>
      </c>
      <c r="AE9" s="3" t="str">
        <f t="array" ref="AE9">IFERROR(INDEX(CJ$7:CJ$378,SMALL(IF(CJ$7:CJ$378&lt;&gt;"",ROW(CJ$7:CJ$378)-ROW(CJ$7)+1),ROWS(CJ$7:CJ8))),"")</f>
        <v/>
      </c>
      <c r="AF9" s="3" t="str">
        <f t="array" ref="AF9">IFERROR(INDEX(CK$7:CK$378,SMALL(IF(CK$7:CK$378&lt;&gt;"",ROW(CK$7:CK$378)-ROW(CK$7)+1),ROWS(CK$7:CK8))),"")</f>
        <v/>
      </c>
      <c r="AG9" s="3" t="str">
        <f t="array" ref="AG9">IFERROR(INDEX(CL$7:CL$378,SMALL(IF(CL$7:CL$378&lt;&gt;"",ROW(CL$7:CL$378)-ROW(CL$7)+1),ROWS(CL$7:CL8))),"")</f>
        <v/>
      </c>
      <c r="AH9" s="40" t="str">
        <f t="array" ref="AH9">IFERROR(INDEX(CN$7:CN$18,SMALL(IF(CN$7:CN$18&lt;&gt;"",ROW(CN$7:CN$18)-ROW(CN$7)+1),ROWS(CN$7:CN8))),"")</f>
        <v/>
      </c>
      <c r="AI9" s="40" t="str">
        <f t="array" ref="AI9">IFERROR(INDEX(CO$7:CO$18,SMALL(IF(CO$7:CO$18&lt;&gt;"",ROW(CO$7:CO$18)-ROW(CO$7)+1),ROWS(CO$7:CO8))),"")</f>
        <v/>
      </c>
      <c r="AJ9" s="40" t="str">
        <f t="array" ref="AJ9">IFERROR(INDEX(CP$7:CP$8,SMALL(IF(CP$7:CP$8&lt;&gt;"",ROW(CP$7:CP$8)-ROW(CP$7)+1),ROWS(CP$7:CP8))),"")</f>
        <v/>
      </c>
      <c r="AK9" s="40" t="str">
        <f t="array" ref="AK9">IFERROR(INDEX(CQ$7:CQ$8,SMALL(IF(CQ$7:CQ$8&lt;&gt;"",ROW(CQ$7:CQ$8)-ROW(CQ$7)+1),ROWS(CQ$7:CQ8))),"")</f>
        <v/>
      </c>
      <c r="AL9" s="40" t="str">
        <f t="array" ref="AL9">IFERROR(INDEX(CR$7:CR$14,SMALL(IF(CR$7:CR$14&lt;&gt;"",ROW(CR$7:CR$14)-ROW(CR$7)+1),ROWS(CR$7:CR8))),"")</f>
        <v/>
      </c>
      <c r="AM9" s="40" t="str">
        <f t="array" ref="AM9">IFERROR(INDEX(CS$7:CS$14,SMALL(IF(CS$7:CS$14&lt;&gt;"",ROW(CS$7:CS$14)-ROW(CS$7)+1),ROWS(CS$7:CS8))),"")</f>
        <v/>
      </c>
      <c r="AN9" s="52" t="str">
        <f>IF(Atletas!D5="","",IF(Atletas!B5="Feminino",100,IF(Atletas!B5="Masculino",200,""))+(IF(Atletas!D5="Kids 30kg",1,IF(Atletas!D5="Kids 32kg",2, IF(Atletas!D5="Kids 34kg",3,IF(Atletas!D5="Kids 36kg",4,IF(Atletas!D5="Kids 39kg",5,IF(Atletas!D5="Kids 42kg",6,IF(Atletas!D5="Kids 45kg",7, IF(Atletas!D5="Infantil 39kg",8,IF(Atletas!D5="Infantil 42kg",9,IF(Atletas!D5="Infantil 45kg",10,IF(Atletas!D5="Infantil 48kg",11,IF(Atletas!D5="Infantil 52kg",12,IF(Atletas!D5="Infantil 56kg",13,IF(Atletas!D5="Infantil 60kg",14,IF(Atletas!D5="Juvenil 48kg",15,IF(Atletas!D5="Juvenil 52kg",16,IF(Atletas!D5="Juvenil 56kg",17,IF(Atletas!D5="Juvenil 60kg",18,IF(Atletas!D5="Juvenil 65kg",19,IF(Atletas!D5="Juvenil 70kg",20,IF(Atletas!D5="Juvenil 75kg",21,IF(Atletas!D5="Juvenil 80kg",22, IF(Atletas!D5="Juvenil 85kg",23,IF(Atletas!D5="Adulto 48kg",24,IF(Atletas!D5="Adulto 52kg",25,IF(Atletas!D5="Adulto 56kg",26,IF(Atletas!D5="Adulto 60kg",27,IF(Atletas!D5="Adulto 65kg",28,IF(Atletas!D5="Adulto 70kg",29,IF(Atletas!D5="Adulto 75kg",30,IF(Atletas!D5="Adulto 80kg",31,IF(Atletas!D5="Adulto 85kg",32,IF(Atletas!D5="Adulto 90kg",33,IF(Atletas!D5="Adulto 100kg",34, IF(Atletas!D5="Adulto +100kg",35,"")))))))))))))))))))))))))))))))))))))</f>
        <v/>
      </c>
      <c r="AO9" s="50" t="str">
        <f>IF(AP9&lt;&gt;"","Kids 34kg","")</f>
        <v/>
      </c>
      <c r="AP9" s="6" t="str">
        <f>IF(COUNTIF(AN:AN,103)&gt;0,COUNTIF(AN:AN,103),"")</f>
        <v/>
      </c>
      <c r="AQ9" s="50" t="str">
        <f>IF(AR9&lt;&gt;"","Kids 34kg","")</f>
        <v/>
      </c>
      <c r="AR9" s="6" t="str">
        <f>IF(COUNTIF(AN:AN,203)&gt;0,COUNTIF(AN:AN,203),"")</f>
        <v/>
      </c>
      <c r="AS9" s="6" t="str">
        <f>IF(Atletas!E5="","",IF(Atletas!B5="Feminino",100,IF(Atletas!B5="Masculino",200,""))+(IF(Atletas!E5="Juvenil 44kg",1,IF(Atletas!E5="Juvenil 48kg",2,IF(Atletas!E5="Juvenil 52kg",3,IF(Atletas!E5="Juvenil 56kg",4,IF(Atletas!E5="Juvenil 60kg",5,IF(Atletas!E5="Juvenil 65kg",6,IF(Atletas!E5="Juvenil 70kg",7,IF(Atletas!E5="Juvenil 75kg",8,IF(Atletas!E5="Juvenil 82kg",9,IF(Atletas!E5="Juvenil 90kg",10,IF(Atletas!E5="Juvenil 100kg",11,IF(Atletas!E5="Adulto 48kg",12,IF(Atletas!E5="Adulto 52kg",13,IF(Atletas!E5="Adulto 56kg",14,IF(Atletas!E5="Adulto 60kg",15,IF(Atletas!E5="Adulto 65kg",16,IF(Atletas!E5="Adulto 70kg",17,IF(Atletas!E5="Adulto 75kg",18,IF(Atletas!E5="Adulto 82kg",19,IF(Atletas!E5="Adulto 90kg",20,IF(Atletas!E5="Adulto 100kg",21,IF(Atletas!E5="Adulto +100kg",22,""))))))))))))))))))))))))</f>
        <v/>
      </c>
      <c r="AT9" s="50" t="str">
        <f>IF(AU9&lt;&gt;"","Juvenil 52kg","")</f>
        <v/>
      </c>
      <c r="AU9" s="6" t="str">
        <f>IF(COUNTIF(AS:AS,103)&gt;0,COUNTIF(AS:AS,103),"")</f>
        <v/>
      </c>
      <c r="AV9" s="50" t="str">
        <f>IF(AW9&lt;&gt;"","Juvenil 56kg","")</f>
        <v/>
      </c>
      <c r="AW9" s="6" t="str">
        <f>IF(COUNTIF(AS:AS,204)&gt;0,COUNTIF(AS:AS,204),"")</f>
        <v/>
      </c>
      <c r="AX9" s="6" t="str">
        <f>IF(Atletas!F5="","",IF(Atletas!B5="Feminino",100,IF(Atletas!B5="Masculino",200,""))+(IF(Atletas!F5="Adulto 48kg",1,IF(Atletas!F5="Adulto 56kg",2,IF(Atletas!F5="Adulto 65kg",3,IF(Atletas!F5="Adulto 75kg",4,IF(Atletas!F5="Adulto +75kg",5,IF(Atletas!F5="Adulto 52kg",6,IF(Atletas!F5="Adulto 60kg",7,IF(Atletas!F5="Adulto 70kg",8,IF(Atletas!F5="Adulto 80kg",9,IF(Atletas!F5="Adulto 90kg",10,IF(Atletas!F5="Adulto +90kg",11,"")))))))))))))</f>
        <v/>
      </c>
      <c r="AY9" s="50" t="str">
        <f>IF(AZ9&lt;&gt;"","Adulto 65kg","")</f>
        <v/>
      </c>
      <c r="AZ9" s="6" t="str">
        <f>IF(COUNTIF(AX:AX,103)&gt;0,COUNTIF(AX:AX,103),"")</f>
        <v/>
      </c>
      <c r="BA9" s="50" t="str">
        <f>IF(BB9&lt;&gt;"","Adulto 70kg","")</f>
        <v/>
      </c>
      <c r="BB9" s="6" t="str">
        <f>IF(COUNTIF(AX:AX,208)&gt;0,COUNTIF(AX:AX,208),"")</f>
        <v/>
      </c>
      <c r="BC9" s="6" t="str">
        <f>IF(Atletas!G5="","",IF(Atletas!B5="Feminino",10,IF(Atletas!B5="Masculino",20,""))+(IF(Atletas!G5="Baduanjin A",1,IF(Atletas!G5="Baduanjin B",2))))</f>
        <v/>
      </c>
      <c r="BD9" s="50" t="str">
        <f>IF(BE9&lt;&gt;"","Baduanjin A","")</f>
        <v/>
      </c>
      <c r="BE9" s="6" t="str">
        <f>IF(COUNTIF(BC:BC,21)&gt;0,COUNTIF(BC:BC,21),"")</f>
        <v/>
      </c>
      <c r="BF9" s="52" t="str">
        <f>IF(Atletas!H5="","",IF(Atletas!B5="Feminino",100,IF(Atletas!B5="Masculino",200,""))+(IF(Atletas!H5="Changquan Mirim",1,IF(Atletas!H5="Nanquan Mirim",2,IF(Atletas!H5="Taijiquan Mirim",3,IF(Atletas!H5="Changquan Grupo C",4,IF(Atletas!H5="Nanquan Grupo C",5,IF(Atletas!H5="Taijiquan Grupo C",6,IF(Atletas!H5="Changquan Grupo B",7,IF(Atletas!H5="Nanquan Grupo B",8,IF(Atletas!H5="Taijiquan Grupo B",9,IF(Atletas!H5="Changquan Grupo A",10,IF(Atletas!H5="Nanquan Grupo A",11,IF(Atletas!H5="Taijiquan Grupo A",12,IF(Atletas!H5="Changquan Opcional",13,IF(Atletas!H5="Nanquan Opcional",14,IF(Atletas!H5="Taijiquan Opcional",15,IF(Atletas!H5="Changquan Adulto",16,IF(Atletas!H5="Nanquan Adulto",17,IF(Atletas!H5="Taijiquan Adulto",18,""))))))))))))))))))))</f>
        <v/>
      </c>
      <c r="BG9" s="52" t="str">
        <f>IF(Atletas!I5="","",IF(Atletas!B5="Feminino",100,IF(Atletas!B5="Masculino",200,""))+(IF(Atletas!I5="Daoshu Mirim",19,IF(Atletas!I5="Jianshu Mirim",20,IF(Atletas!I5="Nandao Mirim",21,IF(Atletas!I5="Taijijian Mirim",22,IF(Atletas!I5="Daoshu Grupo C",23,IF(Atletas!I5="Jianshu Grupo C",24,IF(Atletas!I5="Nandao Grupo C",25,IF(Atletas!I5="Taijijian Grupo C",26,IF(Atletas!I5="Daoshu Grupo B",27,IF(Atletas!I5="Jianshu Grupo B",28,IF(Atletas!I5="Nandao Grupo B",29,IF(Atletas!I5="Taijijian Grupo B",30,IF(Atletas!I5="Daoshu Grupo A",31,IF(Atletas!I5="Jianshu Grupo A",32,IF(Atletas!I5="Nandao Grupo A",33,IF(Atletas!I5="Taijijian Grupo A",34,IF(Atletas!I5="Daoshu Opcional",35,IF(Atletas!I5="Jianshu Opcional",36,IF(Atletas!I5="Nandao Opcional",37,IF(Atletas!I5="Taijijian Opcional",38,IF(Atletas!I5="Daoshu Adulto",39,IF(Atletas!I5="Jianshu Adulto",40,IF(Atletas!I5="Nandao Adulto",41,IF(Atletas!I5="Taijijian Adulto",42,""))))))))))))))))))))))))))</f>
        <v/>
      </c>
      <c r="BH9" s="52" t="str">
        <f>IF(Atletas!J5="","",IF(Atletas!B5="Feminino",100,IF(Atletas!B5="Masculino",200,""))+(IF(Atletas!J5="Gunshu Mirim",43,IF(Atletas!J5="Qiangshu Mirim",44,IF(Atletas!J5="Nangun Mirim",45,IF(Atletas!J5="Gunshu Grupo C",46,IF(Atletas!J5="Qiangshu Grupo C",47,IF(Atletas!J5="Nangun Grupo C",48,IF(Atletas!J5="Gunshu Grupo B",49,IF(Atletas!J5="Qiangshu Grupo B",50,IF(Atletas!J5="Nangun Grupo B",51,IF(Atletas!J5="Gunshu Grupo A",52,IF(Atletas!J5="Qiangshu Grupo A",53,IF(Atletas!J5="Nangun Grupo A",54,IF(Atletas!J5="Gunshu Opcional",55,IF(Atletas!J5="Qiangshu Opcional",56,IF(Atletas!J5="Nangun Opcional",57,IF(Atletas!J5="Gunshu Adulto",58,IF(Atletas!J5="Qiangshu Adulto",59,IF(Atletas!J5="Nangun Adulto",60,IF(Atletas!J5="Taijishan Grupo B",61,IF(Atletas!J5="Taijishan Grupo A",62,""))))))))))))))))))))))</f>
        <v/>
      </c>
      <c r="BI9" s="52" t="str">
        <f>IF(BJ9&lt;&gt;"","Taijiquan Mirim","")</f>
        <v/>
      </c>
      <c r="BJ9" s="50" t="str">
        <f>IF(COUNTIF(BF:BH,103)&gt;0,COUNTIF(BF:BH,103),"")</f>
        <v/>
      </c>
      <c r="BK9" s="52" t="str">
        <f>IF(BL9&lt;&gt;"","Taijiquan Mirim","")</f>
        <v/>
      </c>
      <c r="BL9" s="50" t="str">
        <f>IF(COUNTIF(BF:BH,203)&gt;0,COUNTIF(BF:BH,203),"")</f>
        <v/>
      </c>
      <c r="BM9" s="50" t="str">
        <f>IF(Atletas!K5="","",IF(Atletas!B5="Feminino",100,IF(Atletas!B5="Masculino",200,""))+(IF(Atletas!K5="Equipe 1 Grupo B",1,IF(Atletas!K5="Equipe 2 Grupo B",2,IF(Atletas!K5="Equipe 1 Grupo A",3,IF(Atletas!K5="Equipe 2 Grupo A",4,IF(Atletas!K5="Equipe 1 Adulto",5,IF(Atletas!K5="Equipe 2 Adulto",6,""))))))))</f>
        <v/>
      </c>
      <c r="BN9" s="52" t="str">
        <f>IF(BO9&lt;&gt;"","Equipe 1 Grupo A","")</f>
        <v/>
      </c>
      <c r="BO9" s="50" t="str">
        <f>IF(COUNTIF(BM:BM,103)&gt;0,COUNTIF(BM:BM,103),"")</f>
        <v/>
      </c>
      <c r="BP9" s="52" t="str">
        <f>IF(BQ9&lt;&gt;"","Equipe 1 Grupo A","")</f>
        <v/>
      </c>
      <c r="BQ9" s="50" t="str">
        <f>IF(COUNTIF(BM:BM,203)&gt;0,COUNTIF(BM:BM,203),"")</f>
        <v/>
      </c>
      <c r="BR9" s="50" t="str">
        <f>IF(Atletas!L5="","",IF(Atletas!X5&lt;&gt;"",10000,0)+(IF(Atletas!B5="Feminino",1000,IF(Atletas!B5="Masculino",2000,""))+IF(Atletas!L5="Choylayfut A",1,IF(Atletas!L5="Hunggar A",2,IF(Atletas!L5="Wuzuquan A",3,IF(Atletas!L5="Wingchun A",4,IF(Atletas!L5="Outra Mão de Sul A",5,IF(Atletas!L5="Choylayfut B",6,IF(Atletas!L5="Hunggar B",7,IF(Atletas!L5="Wuzuquan B",8,IF(Atletas!L5="Wingchun B",9,IF(Atletas!L5="Outra Mão de Sul B",10,IF(Atletas!L5="Choylayfut C",11,IF(Atletas!L5="Hunggar C",12,IF(Atletas!L5="Wuzuquan C",13,IF(Atletas!L5="Wingchun C",14,IF(Atletas!L5="Outra Mão de Sul C",15,IF(Atletas!L5="Choylayfut D",16,IF(Atletas!L5="Hunggar D",17,IF(Atletas!L5="Wuzuquan D",18,IF(Atletas!L5="Wingchun D",19,IF(Atletas!L5="Outra Mão de Sul D",20,IF(Atletas!L5="Choylayfut E",21,IF(Atletas!L5="Hunggar E",22,IF(Atletas!L5="Wuzuquan E",23,IF(Atletas!L5="Wingchun E",24,IF(Atletas!L5="Outra Mão de Sul E",25,IF(Atletas!L5="Choylayfut F",26,IF(Atletas!L5="Hunggar F",27,IF(Atletas!L5="Wuzuquan F",28,IF(Atletas!L5="Wingchun F",29,IF(Atletas!L5="Outra Mão de Sul F",30,IF(Atletas!L5="Dishuquan A",31,IF(Atletas!L5="Dishuquan B",32,IF(Atletas!L5="Dishuquan C",33,IF(Atletas!L5="Dishuquan D",34,IF(Atletas!L5="Dishuquan E",35,IF(Atletas!L5="Dishuquan F",36,""))))))))))))))))))))))))))))))))))))))</f>
        <v/>
      </c>
      <c r="BS9" s="50" t="str">
        <f>IF(Atletas!M5="","",IF(Atletas!X5&lt;&gt;"",10000,0)+(IF(Atletas!B5="Feminino",1000,IF(Atletas!B5="Masculino",2000,""))+(IF(Atletas!M5="Chaquan A",101,IF(Atletas!M5="Emeiquan A",102,IF(Atletas!M5="Fanziquan A",103,IF(Atletas!M5="Huaquan A",104,IF(Atletas!M5="Hongquan A",105,IF(Atletas!M5="Paoquan A",106,IF(Atletas!M5="Piguaquan A",107,IF(Atletas!M5="Shaolinquan A",108,IF(Atletas!M5="Tanglangquan A",109,IF(Atletas!M5="Yingzhaoquan A",110,IF(Atletas!M5="Tongbeiquan A",111,IF(Atletas!M5="Wudangquan A",112,IF(Atletas!M5="Outros Estilos A",113,IF(Atletas!M5="Chaquan B",114,IF(Atletas!M5="Emeiquan B",115,IF(Atletas!M5="Fanziquan B",116,IF(Atletas!M5="Huaquan B",117,IF(Atletas!M5="Hongquan B",118,IF(Atletas!M5="Paoquan B",119,IF(Atletas!M5="Piguaquan B",120,IF(Atletas!M5="Shaolinquan B",121,IF(Atletas!M5="Tanglangquan B",122,IF(Atletas!M5="Yingzhaoquan B",123,IF(Atletas!M5="Tongbeiquan B",124,IF(Atletas!M5="Wudangquan B",125,IF(Atletas!M5="Outros Estilos B",126,IF(Atletas!M5="Chaquan C",127,IF(Atletas!M5="Emeiquan C",128,IF(Atletas!M5="Fanziquan C",129,IF(Atletas!M5="Huaquan C",130,IF(Atletas!M5="Hongquan C",131,IF(Atletas!M5="Paoquan C",132,IF(Atletas!M5="Piguaquan C",133,IF(Atletas!M5="Shaolinquan C",134,IF(Atletas!M5="Tanglangquan C",135,IF(Atletas!M5="Yingzhaoquan C",136,IF(Atletas!M5="Tongbeiquan C",137,IF(Atletas!M5="Wudangquan C",138,IF(Atletas!M5="Outros Estilos C",139,0))))))))))))))))))))))))))))))))))))))))))</f>
        <v/>
      </c>
      <c r="BT9" s="50" t="str">
        <f>IF(Atletas!M5="","",IF(Atletas!X5&lt;&gt;"",10000,0)+(IF(Atletas!B5="Feminino",1000,IF(Atletas!B5="Masculino",2000,""))+(IF(Atletas!M5="Chaquan D",140,IF(Atletas!M5="Emeiquan D",141,IF(Atletas!M5="Fanziquan D",142,IF(Atletas!M5="Huaquan D",143,IF(Atletas!M5="Hongquan D",144,IF(Atletas!M5="Paoquan D",145,IF(Atletas!M5="Piguaquan D",146,IF(Atletas!M5="Shaolinquan D",147,IF(Atletas!M5="Tanglangquan D",148,IF(Atletas!M5="Yingzhaoquan D",149,IF(Atletas!M5="Tongbeiquan D",150,IF(Atletas!M5="Wudangquan D",151,IF(Atletas!M5="Outros Estilos D",152,IF(Atletas!M5="Chaquan E",153,IF(Atletas!M5="Emeiquan E",154,IF(Atletas!M5="Fanziquan E",155,IF(Atletas!M5="Huaquan E",156,IF(Atletas!M5="Hongquan E",157,IF(Atletas!M5="Paoquan E",158,IF(Atletas!M5="Piguaquan E",159,IF(Atletas!M5="Shaolinquan E",160,IF(Atletas!M5="Tanglangquan E",161,IF(Atletas!M5="Yingzhaoquan E",162,IF(Atletas!M5="Tongbeiquan E",163,IF(Atletas!M5="Wudangquan E",164,IF(Atletas!M5="Outros Estilos E",165,IF(Atletas!M5="Chaquan F",166,IF(Atletas!M5="Emeiquan F",167,IF(Atletas!M5="Fanziquan F",168,IF(Atletas!M5="Huaquan F",169,IF(Atletas!M5="Hongquan F",170,IF(Atletas!M5="Paoquan F",171,IF(Atletas!M5="Piguaquan F",172,IF(Atletas!M5="Shaolinquan F",173,IF(Atletas!M5="Tanglangquan F",174,IF(Atletas!M5="Yingzhaoquan F",175,IF(Atletas!M5="Tongbeiquan F",176,IF(Atletas!M5="Wudangquan F",177,IF(Atletas!M5="Outros Estilos F",178,0))))))))))))))))))))))))))))))))))))))))))</f>
        <v/>
      </c>
      <c r="BU9" s="50" t="str">
        <f>IF(Atletas!N5="","",IF(Atletas!X5&lt;&gt;"",10000,0)+(IF(Atletas!B5="Feminino",1000,IF(Atletas!B5="Masculino",2000,""))+(IF(Atletas!N5="Ditangquan A",201,IF(Atletas!N5="Houquan A",202,IF(Atletas!N5="Zuiquan A",203,IF(Atletas!N5="Ditangquan B",204,IF(Atletas!N5="Houquan B",205,IF(Atletas!N5="Zuiquan B",206,IF(Atletas!N5="Ditangquan C",207,IF(Atletas!N5="Houquan C",208,IF(Atletas!N5="Zuiquan C",209,IF(Atletas!N5="Ditangquan D",210,IF(Atletas!N5="Houquan D",211,IF(Atletas!N5="Zuiquan D",212,IF(Atletas!N5="Ditangquan E",213,IF(Atletas!N5="Houquan E",214,IF(Atletas!N5="Zuiquan E",215,IF(Atletas!N5="Ditangquan F",216,IF(Atletas!N5="Houquan F",217,IF(Atletas!N5="Zuiquan F",218,"")))))))))))))))))))))</f>
        <v/>
      </c>
      <c r="BV9" s="50" t="str">
        <f>IF(Atletas!O5="","",IF(Atletas!X5&lt;&gt;"",10000,0)+IF(Atletas!B5="Feminino",1000,IF(Atletas!B5="Masculino",2000,""))+IF(Atletas!O5="Yang A",301,IF(Atletas!O5="Chen A",302,IF(Atletas!O5="Sun A",303,IF(Atletas!O5="Wu A",304,IF(Atletas!O5="Wu-Hao A",305,IF(Atletas!O5="Outro Taijiquan A",306,IF(Atletas!O5="Yang B",307,IF(Atletas!O5="Chen B",308,IF(Atletas!O5="Sun B",309,IF(Atletas!O5="Wu B",310,IF(Atletas!O5="Wu-Hao B",311,IF(Atletas!O5="Outro Taijiquan B",312,IF(Atletas!O5="Yang C",313,IF(Atletas!O5="Chen C",314,IF(Atletas!O5="Sun C",315,IF(Atletas!O5="Wu C",316,IF(Atletas!O5="Wu-Hao C",317,IF(Atletas!O5="Outro Taijiquan C",318,IF(Atletas!O5="Yang D",319,IF(Atletas!O5="Chen D",320,IF(Atletas!O5="Sun D",321,IF(Atletas!O5="Wu D",322,IF(Atletas!O5="Wu-Hao D",323,IF(Atletas!O5="Outro Taijiquan D",324,IF(Atletas!O5="Yang E",325,IF(Atletas!O5="Chen E",326,IF(Atletas!O5="Sun E",327,IF(Atletas!O5="Wu E",328,IF(Atletas!O5="Wu-Hao E",329,IF(Atletas!O5="Outro Taijiquan E",330,IF(Atletas!O5="Yang F",331,IF(Atletas!O5="Chen F",332,IF(Atletas!O5="Sun F",333,IF(Atletas!O5="Wu F",334,IF(Atletas!O5="Wu-Hao F",335,IF(Atletas!O5="Outro Taijiquan F",336,"")))))))))))))))))))))))))))))))))))))</f>
        <v/>
      </c>
      <c r="BW9" s="50" t="str">
        <f>IF(Atletas!P5="","",IF(Atletas!X5&lt;&gt;"",10000,0)+IF(Atletas!B5="Feminino",1000,IF(Atletas!B5="Masculino",2000,""))+IF(OR(Atletas!P5="Yang 26 A",Atletas!P5="Yang 40 A"),401,IF(OR(Atletas!P5="Chen 25 A",Atletas!P5="Chen 36 A",Atletas!P5="Chen 56 A"),402,IF(Atletas!P5="Sun 73 A",403,IF(Atletas!P5="Wu 45 A",404,IF(Atletas!P5="Wu-Hao 46 A",405,IF(OR(Atletas!P5="Taijiquan 16 A",Atletas!P5="Taijiquan 24 A",Atletas!P5="Taijiquan 32 A",Atletas!P5="Taijiquan 42 A"),406,IF(OR(Atletas!P5="Yang 26 B",Atletas!P5="Yang 40 B"),407,IF(OR(Atletas!P5="Chen 25 B",Atletas!P5="Chen 36 B",Atletas!P5="Chen 56 B"),408,IF(Atletas!P5="Sun 73 B",409,IF(Atletas!P5="Wu 45 B",410,IF(Atletas!P5="Wu-Hao 46 B",411,IF(OR(Atletas!P5="Taijiquan 16 B",Atletas!P5="Taijiquan 24 B",Atletas!P5="Taijiquan 32 B",Atletas!P5="Taijiquan 42 B"),412,IF(OR(Atletas!P5="Yang 26 C",Atletas!P5="Yang 40 C"),413,IF(OR(Atletas!P5="Chen 25 C",Atletas!P5="Chen 36 C",Atletas!P5="Chen 56 C"),414,IF(Atletas!P5="Sun 73 C",415,IF(Atletas!P5="Wu 45 C",416,IF(Atletas!P5="Wu-Hao 46 C",417,IF(OR(Atletas!P5="Taijiquan 16 C",Atletas!P5="Taijiquan 24 C",Atletas!P5="Taijiquan 32 C",Atletas!P5="Taijiquan 42 C"),418,0)))))))))))))))))))</f>
        <v/>
      </c>
      <c r="BX9" s="50" t="str">
        <f>IF(Atletas!P5="","",IF(Atletas!X5&lt;&gt;"",10000,0)+IF(Atletas!B5="Feminino",1000,IF(Atletas!B5="Masculino",2000,""))+IF(OR(Atletas!P5="Yang 26 D",Atletas!P5="Yang 40 D"),419,IF(OR(Atletas!P5="Chen 25 D",Atletas!P5="Chen 36 D",Atletas!P5="Chen 56 D"),420,IF(Atletas!P5="Sun 73 D",421,IF(Atletas!P5="Wu 45 D",422,IF(Atletas!P5="Wu-Hao 46 D",423,IF(OR(Atletas!P5="Taijiquan 16 D",Atletas!P5="Taijiquan 24 D",Atletas!P5="Taijiquan 32 D",Atletas!P5="Taijiquan 42 D"),424,IF(OR(Atletas!P5="Yang 26 E",Atletas!P5="Yang 40 E"),425,IF(OR(Atletas!P5="Chen 25 E",Atletas!P5="Chen 36 E",Atletas!P5="Chen 56 E"),426,IF(Atletas!P5="Sun 73 E",427,IF(Atletas!P5="Wu 45 E",428,IF(Atletas!P5="Wu-Hao 46 E",429,IF(OR(Atletas!P5="Taijiquan 16 E",Atletas!P5="Taijiquan 24 E",Atletas!P5="Taijiquan 32 E",Atletas!P5="Taijiquan 42 E"),430,IF(OR(Atletas!P5="Yang 26 F",Atletas!P5="Yang 40 F"),431,IF(OR(Atletas!P5="Chen 25 F",Atletas!P5="Chen 36 F",Atletas!P5="Chen 56 F"),432,IF(Atletas!P5="Sun 73 F",433,IF(Atletas!P5="Wu 45 F",434,IF(Atletas!P5="Wu-Hao 46 F",435,IF(OR(Atletas!P5="Taijiquan 16 F",Atletas!P5="Taijiquan 24 F",Atletas!P5="Taijiquan 32 F",Atletas!P5="Taijiquan 42 F"),436,0)))))))))))))))))))</f>
        <v/>
      </c>
      <c r="BY9" s="50" t="str">
        <f>IF(Atletas!Q5="","",IF(Atletas!X5&lt;&gt;"",10000,0)+IF(Atletas!B5="Feminino",1000,IF(Atletas!B5="Masculino",2000,""))+IF(Atletas!Q5="Xingyiquan A",501,IF(Atletas!Q5="Baguazhang A",502,IF(Atletas!Q5="Outro Estilo Interno A",503,IF(Atletas!Q5="Xingyiquan B",504,IF(Atletas!Q5="Baguazhang B",505,IF(Atletas!Q5="Outro Estilo Interno B",506,IF(Atletas!Q5="Xingyiquan C",507,IF(Atletas!Q5="Baguazhang C",508,IF(Atletas!Q5="Outro Estilo Interno C",509,IF(Atletas!Q5="Xingyiquan D",510,IF(Atletas!Q5="Baguazhang D",511,IF(Atletas!Q5="Outro Estilo Interno D",512,IF(Atletas!Q5="Xingyiquan E",513,IF(Atletas!Q5="Baguazhang E",514,IF(Atletas!Q5="Outro Estilo Interno E",515,IF(Atletas!Q5="Xingyiquan F",516,IF(Atletas!Q5="Baguazhang F",517,IF(Atletas!Q5="Outro Estilo Interno F",518, "")))))))))))))))))))</f>
        <v/>
      </c>
      <c r="BZ9" s="50" t="str">
        <f>IF(Atletas!R5="","",IF(Atletas!X5&lt;&gt;"",10000,0)+IF(Atletas!B5="Feminino",1000,IF(Atletas!B5="Masculino",2000,""))+IF(Atletas!R5="Dao A",601,IF(Atletas!R5="Jian A",602,IF(Atletas!R5="Bishou A",603,IF(Atletas!R5="Shanzi A",604,IF(Atletas!R5="Outra Arma Curta A",605,IF(Atletas!R5="Dao B",606,IF(Atletas!R5="Jian B",607,IF(Atletas!R5="Bishou B",608,IF(Atletas!R5="Shanzi B",609,IF(Atletas!R5="Outra Arma Curta B",610,IF(Atletas!R5="Dao C",611,IF(Atletas!R5="Jian C",612,IF(Atletas!R5="Bishou C",613,IF(Atletas!R5="Shanzi C",614,IF(Atletas!R5="Outra Arma Curta C",615,IF(Atletas!R5="Dao D",616,IF(Atletas!R5="Jian D",617,IF(Atletas!R5="Bishou D",618,IF(Atletas!R5="Shanzi D",619,IF(Atletas!R5="Outra Arma Curta D",620,IF(Atletas!R5="Dao E",621,IF(Atletas!R5="Jian E",622,IF(Atletas!R5="Bishou E",623,IF(Atletas!R5="Shanzi E",624,IF(Atletas!R5="Outra Arma Curta E",625,IF(Atletas!R5="Dao F",626,IF(Atletas!R5="Jian F",627,IF(Atletas!R5="Bishou F",628,IF(Atletas!R5="Shanzi F",629,IF(Atletas!R5="Outra Arma Curta F",630, "")))))))))))))))))))))))))))))))</f>
        <v/>
      </c>
      <c r="CA9" s="50" t="str">
        <f>IF(Atletas!S5="","",IF(Atletas!X5&lt;&gt;"",10000,0)+IF(Atletas!B5="Feminino",1000,IF(Atletas!B5="Masculino",2000,""))+IF(Atletas!S5="Gun A",701,IF(Atletas!S5="Qiang A",702,IF(Atletas!S5="Pudao / Guandao A",703,IF(Atletas!S5="Outra Arma Longa A",704,IF(Atletas!S5="Gun B",705,IF(Atletas!S5="Qiang B",706,IF(Atletas!S5="Pudao / Guandao B",707,IF(Atletas!S5="Outra Arma Longa B",708,IF(Atletas!S5="Gun C",709,IF(Atletas!S5="Qiang C",710,IF(Atletas!S5="Pudao / Guandao C",711,IF(Atletas!S5="Outra Arma Longa C",712,IF(Atletas!S5="Gun D",713,IF(Atletas!S5="Qiang D",714,IF(Atletas!S5="Pudao / Guandao D",715,IF(Atletas!S5="Outra Arma Longa D",716,IF(Atletas!S5="Gun E",717,IF(Atletas!S5="Qiang E",718,IF(Atletas!S5="Pudao / Guandao E",719,IF(Atletas!S5="Outra Arma Longa E",720,IF(Atletas!S5="Gun F",721,IF(Atletas!S5="Qiang F",722,IF(Atletas!S5="Pudao / Guandao F",723,IF(Atletas!S5="Outra Arma Longa F",724,"")))))))))))))))))))))))))</f>
        <v/>
      </c>
      <c r="CB9" s="50" t="str">
        <f>IF(Atletas!T5="","",IF(Atletas!X5&lt;&gt;"",10000,0)+IF(Atletas!B5="Feminino",1000,IF(Atletas!B5="Masculino",2000,""))+IF(Atletas!T5="Outra Arma Dupla A",801,IF(Atletas!T5="Arma Maleável A",802,IF(Atletas!T5="Outra Arma Dupla B",803,IF(Atletas!T5="Arma Maleável B",804,IF(Atletas!T5="Outra Arma Dupla C",805,IF(Atletas!T5="Arma Maleável C",806,IF(Atletas!T5="Outra Arma Dupla D",807,IF(Atletas!T5="Arma Maleável D",808,IF(Atletas!T5="Outra Arma Dupla E",809,IF(Atletas!T5="Arma Maleável E",810,IF(Atletas!T5="Outra Arma Dupla F",811,IF(Atletas!T5="Arma Maleável F",812,IF(Atletas!T5="Shuangdao A",813,IF(Atletas!T5="Shuangdao B",814,IF(Atletas!T5="Shuangdao C",815,IF(Atletas!T5="Shuangdao D",816,IF(Atletas!T5="Shuangdao E",817,IF(Atletas!T5="Shuangdao F",818,"")))))))))))))))))))</f>
        <v/>
      </c>
      <c r="CC9" s="50" t="str">
        <f>IF(Atletas!U5="","",IF(Atletas!X5&lt;&gt;"",10000,0)+IF(Atletas!B5="Feminino",1000,IF(Atletas!B5="Masculino",2000,""))+IF(OR(Atletas!U5="Taijijian Yang A",Atletas!U5="Taijijian Yang Standard A"),901,IF(OR(Atletas!U5="Taijijian Chen A", Atletas!U5="Taijijian Chen Standard A"),902,IF(Atletas!U5="Taijijian Sun A",903,IF(Atletas!U5="Taijijian Wu A",904,IF(Atletas!U5="Taijijian Wu-Hao A",905,IF(OR(Atletas!U5="Taijijian 32 A",Atletas!U5="Taijijian 42 A"),906,IF(OR(Atletas!U5="Taijijian Yang B",Atletas!U5="Taijijian Yang Standard B"),907,IF(OR(Atletas!U5="Taijijian Chen B", Atletas!U5="Taijijian Chen Standard B"),908,IF(Atletas!U5="Taijijian Sun B",909,IF(Atletas!U5="Taijijian Wu B",910,IF(Atletas!U5="Taijijian Wu-Hao B",911,IF(OR(Atletas!U5="Taijijian 32 B",Atletas!U5="Taijijian 42 B"),912,IF(OR(Atletas!U5="Taijijian Yang C",Atletas!U5="Taijijian Yang Standard C"),913,IF(OR(Atletas!U5="Taijijian Chen C", Atletas!U5="Taijijian Chen Standard C"),914,IF(Atletas!U5="Taijijian Sun C",915,IF(Atletas!U5="Taijijian Wu C",916,IF(Atletas!U5="Taijijian Wu-Hao C",917,IF(OR(Atletas!U5="Taijijian 32 C",Atletas!U5="Taijijian 42 C"),918,IF(OR(Atletas!U5="Taijijian Yang D",Atletas!U5="Taijijian Yang Standard D"),919,IF(OR(Atletas!U5="Taijijian Chen D", Atletas!U5="Taijijian Chen Standard D"),920,IF(Atletas!U5="Taijijian Sun D",921,IF(Atletas!U5="Taijijian Wu D",922,IF(Atletas!U5="Taijijian Wu-Hao D",923,IF(OR(Atletas!U5="Taijijian 32 D",Atletas!U5="Taijijian 42 D"),924,IF(OR(Atletas!U5="Taijijian Yang E",Atletas!U5="Taijijian Yang Standard E"),925,IF(OR(Atletas!U5="Taijijian Chen E", Atletas!U5="Taijijian Chen Standard E"),926,IF(Atletas!U5="Taijijian Sun E",927,IF(Atletas!U5="Taijijian Wu E",928,IF(Atletas!U5="Taijijian Wu-Hao E",929,IF(OR(Atletas!U5="Taijijian 32 E",Atletas!U5="Taijijian 42 E"),930,IF(OR(Atletas!U5="Taijijian Yang F",Atletas!U5="Taijijian Yang Standard F"),931,IF(OR(Atletas!U5="Taijijian Chen F", Atletas!U5="Taijijian Chen Standard F"),932,IF(Atletas!U5="Taijijian Sun F",933,IF(Atletas!U5="Taijijian Wu F",934,IF(Atletas!U5="Taijijian Wu-Hao F",935,IF(OR(Atletas!U5="Taijijian 32 F",Atletas!U5="Taijijian 42 F"),936,"")))))))))))))))))))))))))))))))))))))</f>
        <v/>
      </c>
      <c r="CD9" s="50" t="str">
        <f>IF(Atletas!V5="","",IF(Atletas!X5&lt;&gt;"",10000,0)+IF(Atletas!B5="Feminino",1000,IF(Atletas!B5="Masculino",2000,""))+IF(Atletas!V5="Taijidao A",937,IF(Atletas!V5="TaijiShanzi A",938,IF(Atletas!V5="Taijiqiang A",939,IF(Atletas!V5="Bagua de Arma A",940,IF(Atletas!V5="Xingyi de Arma A",941,IF(Atletas!V5="Taijidao B",942,IF(Atletas!V5="TaijiShanzi B",943,IF(Atletas!V5="Taijiqiang B",944,IF(Atletas!V5="Bagua de Arma B",945,IF(Atletas!V5="Xingyi de Arma B",946,IF(Atletas!V5="Taijidao C",947,IF(Atletas!V5="TaijiShanzi C",948,IF(Atletas!V5="Taijiqiang C",949,IF(Atletas!V5="Bagua de Arma C",950,IF(Atletas!V5="Xingyi de Arma C",951,IF(Atletas!V5="Taijidao D",952,IF(Atletas!V5="TaijiShanzi D",953,IF(Atletas!V5="Taijiqiang D",954,IF(Atletas!V5="Bagua de Arma D",955,IF(Atletas!V5="Xingyi de Arma D",956,IF(Atletas!V5="Taijidao E",957,IF(Atletas!V5="TaijiShanzi E",958,IF(Atletas!V5="Taijiqiang E",959,IF(Atletas!V5="Bagua de Arma E",960,IF(Atletas!V5="Xingyi de Arma E",961,IF(Atletas!V5="Taijidao F",962,IF(Atletas!V5="TaijiShanzi F",963,IF(Atletas!V5="Taijiqiang F",964,IF(Atletas!V5="Bagua de Arma F",965,IF(Atletas!V5="Xingyi de Arma F",966,"")))))))))))))))))))))))))))))))</f>
        <v/>
      </c>
      <c r="CE9" s="66" t="str">
        <f>IF(CF9&lt;&gt;"","Dishuquan A","")</f>
        <v/>
      </c>
      <c r="CF9" s="66" t="str">
        <f>IF(COUNTIF(BR:CD,1031)&gt;0,COUNTIF(BR:CD,1031),"")</f>
        <v/>
      </c>
      <c r="CG9" s="66" t="str">
        <f>IF(CH9&lt;&gt;"","Dishuquan A","")</f>
        <v/>
      </c>
      <c r="CH9" s="66" t="str">
        <f>IF(COUNTIF(BR:CD,2031)&gt;0,COUNTIF(BR:CD,2031),"")</f>
        <v/>
      </c>
      <c r="CI9" s="66" t="str">
        <f>IF(CJ9&lt;&gt;"","Wuzuquan A","")</f>
        <v/>
      </c>
      <c r="CJ9" s="66" t="str">
        <f>IF(COUNTIF(BR:CD,11003)&gt;0,COUNTIF(BR:CD,11003),"")</f>
        <v/>
      </c>
      <c r="CK9" s="66" t="str">
        <f>IF(CL9&lt;&gt;"","Wuzuquan A","")</f>
        <v/>
      </c>
      <c r="CL9" s="66" t="str">
        <f>IF(COUNTIF(BR:CD,12003)&gt;0,COUNTIF(BR:CD,12003),"")</f>
        <v/>
      </c>
      <c r="CM9" s="50" t="str">
        <f xml:space="preserve"> IF(Atletas!W5="","",IF(Atletas!W5="Duilian de Mãos BC - Equipe 1",1,IF(Atletas!W5="Duilian de Mãos BC - Equipe 2",2,IF(Atletas!W5="Duilian de Armas BC - Equipe 1",3,IF(Atletas!W5="Duilian de Armas BC - Equipe 2",4,IF(Atletas!W5="Duilian de Mãos DE - Equipe 1",5,IF(Atletas!W5="Duilian de Mãos DE - Equipe 2",6,IF(Atletas!W5="Duilian de Armas DE - Equipe 1",7,IF(Atletas!W5="Duilian de Armas DE - Equipe 2",8,IF(Atletas!W5="Duilian de Tuishou - Equipe 1",9,IF(Atletas!W5="Duilian de Tuishou - Equipe 2",10,IF(Atletas!W5="Grupo Externo ABC - Equipe 1",11,IF(Atletas!W5="Grupo Externo ABC - Equipe 2",12,IF(Atletas!W5="Grupo Interno ABC - Equipe 1",13,IF(Atletas!W5="Grupo Interno ABC - Equipe 2",14,IF(Atletas!W5="Grupo Externo DEF - Equipe 1",15,IF(Atletas!W5="Grupo Externo DEF - Equipe 2",16,IF(Atletas!W5="Grupo Interno DEF - Equipe 1",17,IF(Atletas!W5="Grupo Interno DEF - Equipe 2",18,"")))))))))))))))))))</f>
        <v/>
      </c>
      <c r="CN9" s="52" t="str">
        <f>IF(CO9&lt;&gt;"","Duilian de Armas BC - Equipe 1","")</f>
        <v/>
      </c>
      <c r="CO9" s="64" t="str">
        <f>IF(COUNTIF(CM:CM,3)&gt;0,COUNTIF(CM:CM,3),"")</f>
        <v/>
      </c>
      <c r="CP9" s="52"/>
      <c r="CQ9" s="64"/>
      <c r="CR9" s="67" t="str">
        <f>IF(CS9&lt;&gt;"","Grupo Interno ABC - Equipe 1","")</f>
        <v/>
      </c>
      <c r="CS9" s="68" t="str">
        <f>IF(COUNTIF(CM:CM,13)&gt;0,COUNTIF(CM:CM,13),"")</f>
        <v/>
      </c>
      <c r="CY9" s="41"/>
    </row>
    <row r="10" spans="1:103">
      <c r="A10" s="16"/>
      <c r="B10" s="3" t="str">
        <f t="array" ref="B10">IFERROR(INDEX(AO$7:AO$38,SMALL(IF(AO$7:AO$38&lt;&gt;"",ROW(AO$7:AO$38)-ROW(AO$7)+1),ROWS(AO$7:AO9))),"")</f>
        <v/>
      </c>
      <c r="C10" s="3" t="str">
        <f t="array" ref="C10">IFERROR(INDEX(AP$7:AP$38,SMALL(IF(AP$7:AP$38&lt;&gt;"",ROW(AP$7:AP$38)-ROW(AP$7)+1),ROWS(AP$7:AP9))),"")</f>
        <v/>
      </c>
      <c r="D10" s="3" t="str">
        <f t="array" ref="D10">IFERROR(INDEX(AQ$7:AQ$38,SMALL(IF(AQ$7:AQ$38&lt;&gt;"",ROW(AQ$7:AQ$38)-ROW(AQ$7)+1),ROWS(AQ$7:AQ9))),"")</f>
        <v/>
      </c>
      <c r="E10" s="3" t="str">
        <f t="array" ref="E10">IFERROR(INDEX(AR$7:AR$38,SMALL(IF(AR$7:AR$38&lt;&gt;"",ROW(AR$7:AR$38)-ROW(AR$7)+1),ROWS(AR$7:AR9))),"")</f>
        <v/>
      </c>
      <c r="F10" s="3" t="str">
        <f t="array" ref="F10">IFERROR(INDEX(AT$7:AT$36,SMALL(IF(AT$7:AT$36&lt;&gt;"",ROW(AT$7:AT$36)-ROW(AT$7)+1),ROWS(AT$7:AT9))),"")</f>
        <v/>
      </c>
      <c r="G10" s="3" t="str">
        <f t="array" ref="G10">IFERROR(INDEX(AU$7:AU$36,SMALL(IF(AU$7:AU$36&lt;&gt;"",ROW(AU$7:AU$36)-ROW(AU$7)+1),ROWS(AU$7:AU9))),"")</f>
        <v/>
      </c>
      <c r="H10" s="3" t="str">
        <f t="array" ref="H10">IFERROR(INDEX(AV$7:AV$36,SMALL(IF(AV$7:AV$36&lt;&gt;"",ROW(AV$7:AV$36)-ROW(AV$7)+1),ROWS(AV$7:AV9))),"")</f>
        <v/>
      </c>
      <c r="I10" s="3" t="str">
        <f t="array" ref="I10">IFERROR(INDEX(AW$7:AW$36,SMALL(IF(AW$7:AW$36&lt;&gt;"",ROW(AW$7:AW$36)-ROW(AW$7)+1),ROWS(AW$7:AW9))),"")</f>
        <v/>
      </c>
      <c r="J10" s="3" t="str">
        <f t="array" ref="J10">IFERROR(INDEX(AY$7:AY$36,SMALL(IF(AY$7:AY$36&lt;&gt;"",ROW(AY$7:AY$36)-ROW(AY$7)+1),ROWS(AY$7:AY9))),"")</f>
        <v/>
      </c>
      <c r="K10" s="3" t="str">
        <f t="array" ref="K10">IFERROR(INDEX(AZ$7:AZ$36,SMALL(IF(AZ$7:AZ$36&lt;&gt;"",ROW(AZ$7:AZ$36)-ROW(AZ$7)+1),ROWS(AZ$7:AZ9))),"")</f>
        <v/>
      </c>
      <c r="L10" s="3" t="str">
        <f t="array" ref="L10">IFERROR(INDEX(BA$7:BA$36,SMALL(IF(BA$7:BA$36&lt;&gt;"",ROW(BA$7:BA$36)-ROW(BA$7)+1),ROWS(BA$7:BA9))),"")</f>
        <v/>
      </c>
      <c r="M10" s="3" t="str">
        <f t="array" ref="M10">IFERROR(INDEX(BB$7:BB$36,SMALL(IF(BB$7:BB$36&lt;&gt;"",ROW(BB$7:BB$36)-ROW(BB$7)+1),ROWS(BB$7:BB9))),"")</f>
        <v/>
      </c>
      <c r="N10" s="3" t="str" cm="1">
        <f t="array" ref="N10">IFERROR(INDEX(BD$7:BD$8,SMALL(IF(BD$7:BD$8&lt;&gt;"",ROW(BD$7:BD$8)-ROW(BD$7)+1),ROWS(BD$7:BD9))),"")</f>
        <v/>
      </c>
      <c r="O10" s="3" t="str" cm="1">
        <f t="array" ref="O10">IFERROR(INDEX(BE$7:BE$8,SMALL(IF(BE$7:BE$8&lt;&gt;"",ROW(BE$7:BE$8)-ROW(BE$7)+1),ROWS(BE$7:BE9))),"")</f>
        <v/>
      </c>
      <c r="P10" s="3" t="str" cm="1">
        <f t="array" ref="P10">IFERROR(INDEX(BD$9:BD$10,SMALL(IF(BD$9:BD$10&lt;&gt;"",ROW(BD$9:BD$10)-ROW(BD$9)+1),ROWS(BD$9:BD11))),"")</f>
        <v/>
      </c>
      <c r="Q10" s="3" t="str">
        <f t="array" ref="Q10">IFERROR(INDEX(BH$7:BH$36,SMALL(IF(BH$7:BH$36&lt;&gt;"",ROW(BH$7:BH$36)-ROW(BH$7)+1),ROWS(BH$7:BH9))),"")</f>
        <v/>
      </c>
      <c r="R10" s="3" t="str">
        <f t="array" ref="R10">IFERROR(INDEX(BI$7:BI$68,SMALL(IF(BI$7:BI$68&lt;&gt;"",ROW(BI$7:BI$68)-ROW(BI$7)+1),ROWS(BI$7:BI9))),"")</f>
        <v/>
      </c>
      <c r="S10" s="3" t="str">
        <f t="array" ref="S10">IFERROR(INDEX(BJ$7:BJ$68,SMALL(IF(BJ$7:BJ$68&lt;&gt;"",ROW(BJ$7:BJ$68)-ROW(BJ$7)+1),ROWS(BJ$7:BJ9))),"")</f>
        <v/>
      </c>
      <c r="T10" s="3" t="str">
        <f t="array" ref="T10">IFERROR(INDEX(BK$7:BK$68,SMALL(IF(BK$7:BK$68&lt;&gt;"",ROW(BK$7:BK$68)-ROW(BK$7)+1),ROWS(BK$7:BK9))),"")</f>
        <v/>
      </c>
      <c r="U10" s="3" t="str">
        <f t="array" ref="U10">IFERROR(INDEX(BL$7:BL$68,SMALL(IF(BL$7:BL$68&lt;&gt;"",ROW(BL$7:BL$68)-ROW(BL$7)+1),ROWS(BL$7:BL9))),"")</f>
        <v/>
      </c>
      <c r="V10" s="3" t="str">
        <f t="array" ref="V10">IFERROR(INDEX(BN$7:BN$12,SMALL(IF(BN$7:BN$12&lt;&gt;"",ROW(BN$7:BN$12)-ROW(BN$7)+1),ROWS(BN$7:BN9))),"")</f>
        <v/>
      </c>
      <c r="W10" s="3" t="str">
        <f t="array" ref="W10">IFERROR(INDEX(BO$7:BO$12,SMALL(IF(BO$7:BO$12&lt;&gt;"",ROW(BO$7:BO$12)-ROW(BO$7)+1),ROWS(BO$7:BO9))),"")</f>
        <v/>
      </c>
      <c r="X10" s="3" t="str">
        <f t="array" ref="X10">IFERROR(INDEX(BP$7:BP$12,SMALL(IF(BP$7:BP$12&lt;&gt;"",ROW(BP$7:BP$12)-ROW(BP$7)+1),ROWS(BP$7:BP9))),"")</f>
        <v/>
      </c>
      <c r="Y10" s="3" t="str">
        <f t="array" ref="Y10">IFERROR(INDEX(BQ$7:BQ$12,SMALL(IF(BQ$7:BQ$12&lt;&gt;"",ROW(BQ$7:BQ$12)-ROW(BQ$7)+1),ROWS(BQ$7:BQ9))),"")</f>
        <v/>
      </c>
      <c r="Z10" s="3" t="str">
        <f t="array" ref="Z10">IFERROR(INDEX(CE$7:CE$348,SMALL(IF(CE$7:CE$348&lt;&gt;"",ROW(CE$7:CE$348)-ROW(CE$7)+1),ROWS(CE$7:CE9))),"")</f>
        <v/>
      </c>
      <c r="AA10" s="3" t="str">
        <f t="array" ref="AA10">IFERROR(INDEX(CF$7:CF$348,SMALL(IF(CF$7:CF$348&lt;&gt;"",ROW(CF$7:CF$348)-ROW(CF$7)+1),ROWS(CF$7:CF9))),"")</f>
        <v/>
      </c>
      <c r="AB10" s="3" t="str">
        <f t="array" ref="AB10">IFERROR(INDEX(CG$7:CG$348,SMALL(IF(CG$7:CG$348&lt;&gt;"",ROW(CG$7:CG$348)-ROW(CG$7)+1),ROWS(CG$7:CG9))),"")</f>
        <v/>
      </c>
      <c r="AC10" s="3" t="str">
        <f t="array" ref="AC10">IFERROR(INDEX(CH$7:CH$348,SMALL(IF(CH$7:CH$348&lt;&gt;"",ROW(CH$7:CH$348)-ROW(CH$7)+1),ROWS(CH$7:CH9))),"")</f>
        <v/>
      </c>
      <c r="AD10" s="3" t="str">
        <f t="array" ref="AD10">IFERROR(INDEX(CI$7:CI$377,SMALL(IF(CI$7:CI$377&lt;&gt;"",ROW(CI$7:CI$377)-ROW(CI$7)+1),ROWS(CI$7:CI9))),"")</f>
        <v/>
      </c>
      <c r="AE10" s="3" t="str">
        <f t="array" ref="AE10">IFERROR(INDEX(CJ$7:CJ$378,SMALL(IF(CJ$7:CJ$378&lt;&gt;"",ROW(CJ$7:CJ$378)-ROW(CJ$7)+1),ROWS(CJ$7:CJ9))),"")</f>
        <v/>
      </c>
      <c r="AF10" s="3" t="str">
        <f t="array" ref="AF10">IFERROR(INDEX(CK$7:CK$378,SMALL(IF(CK$7:CK$378&lt;&gt;"",ROW(CK$7:CK$378)-ROW(CK$7)+1),ROWS(CK$7:CK9))),"")</f>
        <v/>
      </c>
      <c r="AG10" s="3" t="str">
        <f t="array" ref="AG10">IFERROR(INDEX(CL$7:CL$378,SMALL(IF(CL$7:CL$378&lt;&gt;"",ROW(CL$7:CL$378)-ROW(CL$7)+1),ROWS(CL$7:CL9))),"")</f>
        <v/>
      </c>
      <c r="AH10" s="40" t="str">
        <f t="array" ref="AH10">IFERROR(INDEX(CN$7:CN$18,SMALL(IF(CN$7:CN$18&lt;&gt;"",ROW(CN$7:CN$18)-ROW(CN$7)+1),ROWS(CN$7:CN9))),"")</f>
        <v/>
      </c>
      <c r="AI10" s="40" t="str">
        <f t="array" ref="AI10">IFERROR(INDEX(CO$7:CO$18,SMALL(IF(CO$7:CO$18&lt;&gt;"",ROW(CO$7:CO$18)-ROW(CO$7)+1),ROWS(CO$7:CO9))),"")</f>
        <v/>
      </c>
      <c r="AJ10" s="40"/>
      <c r="AK10" s="40"/>
      <c r="AL10" s="40" t="str">
        <f t="array" ref="AL10">IFERROR(INDEX(CR$7:CR$14,SMALL(IF(CR$7:CR$14&lt;&gt;"",ROW(CR$7:CR$14)-ROW(CR$7)+1),ROWS(CR$7:CR9))),"")</f>
        <v/>
      </c>
      <c r="AM10" s="40" t="str">
        <f t="array" ref="AM10">IFERROR(INDEX(CS$7:CS$14,SMALL(IF(CS$7:CS$14&lt;&gt;"",ROW(CS$7:CS$14)-ROW(CS$7)+1),ROWS(CS$7:CS9))),"")</f>
        <v/>
      </c>
      <c r="AN10" s="52" t="str">
        <f>IF(Atletas!D6="","",IF(Atletas!B6="Feminino",100,IF(Atletas!B6="Masculino",200,""))+(IF(Atletas!D6="Kids 30kg",1,IF(Atletas!D6="Kids 32kg",2, IF(Atletas!D6="Kids 34kg",3,IF(Atletas!D6="Kids 36kg",4,IF(Atletas!D6="Kids 39kg",5,IF(Atletas!D6="Kids 42kg",6,IF(Atletas!D6="Kids 45kg",7, IF(Atletas!D6="Infantil 39kg",8,IF(Atletas!D6="Infantil 42kg",9,IF(Atletas!D6="Infantil 45kg",10,IF(Atletas!D6="Infantil 48kg",11,IF(Atletas!D6="Infantil 52kg",12,IF(Atletas!D6="Infantil 56kg",13,IF(Atletas!D6="Infantil 60kg",14,IF(Atletas!D6="Juvenil 48kg",15,IF(Atletas!D6="Juvenil 52kg",16,IF(Atletas!D6="Juvenil 56kg",17,IF(Atletas!D6="Juvenil 60kg",18,IF(Atletas!D6="Juvenil 65kg",19,IF(Atletas!D6="Juvenil 70kg",20,IF(Atletas!D6="Juvenil 75kg",21,IF(Atletas!D6="Juvenil 80kg",22, IF(Atletas!D6="Juvenil 85kg",23,IF(Atletas!D6="Adulto 48kg",24,IF(Atletas!D6="Adulto 52kg",25,IF(Atletas!D6="Adulto 56kg",26,IF(Atletas!D6="Adulto 60kg",27,IF(Atletas!D6="Adulto 65kg",28,IF(Atletas!D6="Adulto 70kg",29,IF(Atletas!D6="Adulto 75kg",30,IF(Atletas!D6="Adulto 80kg",31,IF(Atletas!D6="Adulto 85kg",32,IF(Atletas!D6="Adulto 90kg",33,IF(Atletas!D6="Adulto 100kg",34, IF(Atletas!D6="Adulto +100kg",35,"")))))))))))))))))))))))))))))))))))))</f>
        <v/>
      </c>
      <c r="AO10" s="50" t="str">
        <f>IF(AP10&lt;&gt;"","Kids 36kg","")</f>
        <v/>
      </c>
      <c r="AP10" s="6" t="str">
        <f>IF(COUNTIF(AN:AN,104)&gt;0,COUNTIF(AN:AN,104),"")</f>
        <v/>
      </c>
      <c r="AQ10" s="50" t="str">
        <f>IF(AR10&lt;&gt;"","Kids 36kg","")</f>
        <v/>
      </c>
      <c r="AR10" s="6" t="str">
        <f>IF(COUNTIF(AN:AN,204)&gt;0,COUNTIF(AN:AN,204),"")</f>
        <v/>
      </c>
      <c r="AS10" s="6" t="str">
        <f>IF(Atletas!E6="","",IF(Atletas!B6="Feminino",100,IF(Atletas!B6="Masculino",200,""))+(IF(Atletas!E6="Juvenil 44kg",1,IF(Atletas!E6="Juvenil 48kg",2,IF(Atletas!E6="Juvenil 52kg",3,IF(Atletas!E6="Juvenil 56kg",4,IF(Atletas!E6="Juvenil 60kg",5,IF(Atletas!E6="Juvenil 65kg",6,IF(Atletas!E6="Juvenil 70kg",7,IF(Atletas!E6="Juvenil 75kg",8,IF(Atletas!E6="Juvenil 82kg",9,IF(Atletas!E6="Juvenil 90kg",10,IF(Atletas!E6="Juvenil 100kg",11,IF(Atletas!E6="Adulto 48kg",12,IF(Atletas!E6="Adulto 52kg",13,IF(Atletas!E6="Adulto 56kg",14,IF(Atletas!E6="Adulto 60kg",15,IF(Atletas!E6="Adulto 65kg",16,IF(Atletas!E6="Adulto 70kg",17,IF(Atletas!E6="Adulto 75kg",18,IF(Atletas!E6="Adulto 82kg",19,IF(Atletas!E6="Adulto 90kg",20,IF(Atletas!E6="Adulto 100kg",21,IF(Atletas!E6="Adulto +100kg",22,""))))))))))))))))))))))))</f>
        <v/>
      </c>
      <c r="AT10" s="50" t="str">
        <f>IF(AU10&lt;&gt;"","Juvenil 56kg","")</f>
        <v/>
      </c>
      <c r="AU10" s="6" t="str">
        <f>IF(COUNTIF(AS:AS,104)&gt;0,COUNTIF(AS:AS,104),"")</f>
        <v/>
      </c>
      <c r="AV10" s="50" t="str">
        <f>IF(AW10&lt;&gt;"","Juvenil 60kg","")</f>
        <v/>
      </c>
      <c r="AW10" s="6" t="str">
        <f>IF(COUNTIF(AS:AS,205)&gt;0,COUNTIF(AS:AS,205),"")</f>
        <v/>
      </c>
      <c r="AX10" s="6" t="str">
        <f>IF(Atletas!F6="","",IF(Atletas!B6="Feminino",100,IF(Atletas!B6="Masculino",200,""))+(IF(Atletas!F6="Adulto 48kg",1,IF(Atletas!F6="Adulto 56kg",2,IF(Atletas!F6="Adulto 65kg",3,IF(Atletas!F6="Adulto 75kg",4,IF(Atletas!F6="Adulto +75kg",5,IF(Atletas!F6="Adulto 52kg",6,IF(Atletas!F6="Adulto 60kg",7,IF(Atletas!F6="Adulto 70kg",8,IF(Atletas!F6="Adulto 80kg",9,IF(Atletas!F6="Adulto 90kg",10,IF(Atletas!F6="Adulto +90kg",11,"")))))))))))))</f>
        <v/>
      </c>
      <c r="AY10" s="50" t="str">
        <f>IF(AZ10&lt;&gt;"","Adulto 75kg","")</f>
        <v/>
      </c>
      <c r="AZ10" s="6" t="str">
        <f>IF(COUNTIF(AX:AX,104)&gt;0,COUNTIF(AX:AX,104),"")</f>
        <v/>
      </c>
      <c r="BA10" s="50" t="str">
        <f>IF(BB10&lt;&gt;"","Adulto 80kg","")</f>
        <v/>
      </c>
      <c r="BB10" s="6" t="str">
        <f>IF(COUNTIF(AX:AX,209)&gt;0,COUNTIF(AX:AX,209),"")</f>
        <v/>
      </c>
      <c r="BC10" s="6" t="str">
        <f>IF(Atletas!G6="","",IF(Atletas!B6="Feminino",10,IF(Atletas!B6="Masculino",20,""))+(IF(Atletas!G6="Baduanjin A",1,IF(Atletas!G6="Baduanjin B",2))))</f>
        <v/>
      </c>
      <c r="BD10" s="50" t="str">
        <f>IF(BE10&lt;&gt;"","Baduanjin B","")</f>
        <v/>
      </c>
      <c r="BE10" s="6" t="str">
        <f>IF(COUNTIF(BC:BC,22)&gt;0,COUNTIF(BC:BC,22),"")</f>
        <v/>
      </c>
      <c r="BF10" s="52" t="str">
        <f>IF(Atletas!H6="","",IF(Atletas!B6="Feminino",100,IF(Atletas!B6="Masculino",200,""))+(IF(Atletas!H6="Changquan Mirim",1,IF(Atletas!H6="Nanquan Mirim",2,IF(Atletas!H6="Taijiquan Mirim",3,IF(Atletas!H6="Changquan Grupo C",4,IF(Atletas!H6="Nanquan Grupo C",5,IF(Atletas!H6="Taijiquan Grupo C",6,IF(Atletas!H6="Changquan Grupo B",7,IF(Atletas!H6="Nanquan Grupo B",8,IF(Atletas!H6="Taijiquan Grupo B",9,IF(Atletas!H6="Changquan Grupo A",10,IF(Atletas!H6="Nanquan Grupo A",11,IF(Atletas!H6="Taijiquan Grupo A",12,IF(Atletas!H6="Changquan Opcional",13,IF(Atletas!H6="Nanquan Opcional",14,IF(Atletas!H6="Taijiquan Opcional",15,IF(Atletas!H6="Changquan Adulto",16,IF(Atletas!H6="Nanquan Adulto",17,IF(Atletas!H6="Taijiquan Adulto",18,""))))))))))))))))))))</f>
        <v/>
      </c>
      <c r="BG10" s="52" t="str">
        <f>IF(Atletas!I6="","",IF(Atletas!B6="Feminino",100,IF(Atletas!B6="Masculino",200,""))+(IF(Atletas!I6="Daoshu Mirim",19,IF(Atletas!I6="Jianshu Mirim",20,IF(Atletas!I6="Nandao Mirim",21,IF(Atletas!I6="Taijijian Mirim",22,IF(Atletas!I6="Daoshu Grupo C",23,IF(Atletas!I6="Jianshu Grupo C",24,IF(Atletas!I6="Nandao Grupo C",25,IF(Atletas!I6="Taijijian Grupo C",26,IF(Atletas!I6="Daoshu Grupo B",27,IF(Atletas!I6="Jianshu Grupo B",28,IF(Atletas!I6="Nandao Grupo B",29,IF(Atletas!I6="Taijijian Grupo B",30,IF(Atletas!I6="Daoshu Grupo A",31,IF(Atletas!I6="Jianshu Grupo A",32,IF(Atletas!I6="Nandao Grupo A",33,IF(Atletas!I6="Taijijian Grupo A",34,IF(Atletas!I6="Daoshu Opcional",35,IF(Atletas!I6="Jianshu Opcional",36,IF(Atletas!I6="Nandao Opcional",37,IF(Atletas!I6="Taijijian Opcional",38,IF(Atletas!I6="Daoshu Adulto",39,IF(Atletas!I6="Jianshu Adulto",40,IF(Atletas!I6="Nandao Adulto",41,IF(Atletas!I6="Taijijian Adulto",42,""))))))))))))))))))))))))))</f>
        <v/>
      </c>
      <c r="BH10" s="52" t="str">
        <f>IF(Atletas!J6="","",IF(Atletas!B6="Feminino",100,IF(Atletas!B6="Masculino",200,""))+(IF(Atletas!J6="Gunshu Mirim",43,IF(Atletas!J6="Qiangshu Mirim",44,IF(Atletas!J6="Nangun Mirim",45,IF(Atletas!J6="Gunshu Grupo C",46,IF(Atletas!J6="Qiangshu Grupo C",47,IF(Atletas!J6="Nangun Grupo C",48,IF(Atletas!J6="Gunshu Grupo B",49,IF(Atletas!J6="Qiangshu Grupo B",50,IF(Atletas!J6="Nangun Grupo B",51,IF(Atletas!J6="Gunshu Grupo A",52,IF(Atletas!J6="Qiangshu Grupo A",53,IF(Atletas!J6="Nangun Grupo A",54,IF(Atletas!J6="Gunshu Opcional",55,IF(Atletas!J6="Qiangshu Opcional",56,IF(Atletas!J6="Nangun Opcional",57,IF(Atletas!J6="Gunshu Adulto",58,IF(Atletas!J6="Qiangshu Adulto",59,IF(Atletas!J6="Nangun Adulto",60,IF(Atletas!J6="Taijishan Grupo B",61,IF(Atletas!J6="Taijishan Grupo A",62,""))))))))))))))))))))))</f>
        <v/>
      </c>
      <c r="BI10" s="52" t="str">
        <f>IF(BJ10&lt;&gt;"","Daoshu Mirim","")</f>
        <v/>
      </c>
      <c r="BJ10" s="50" t="str">
        <f>IF(COUNTIF(BF:BH,119)&gt;0,COUNTIF(BF:BH,119),"")</f>
        <v/>
      </c>
      <c r="BK10" s="52" t="str">
        <f>IF(BL10&lt;&gt;"","Daoshu Mirim","")</f>
        <v/>
      </c>
      <c r="BL10" s="50" t="str">
        <f>IF(COUNTIF(BF:BH,219)&gt;0,COUNTIF(BF:BH,219),"")</f>
        <v/>
      </c>
      <c r="BM10" s="50" t="str">
        <f>IF(Atletas!K6="","",IF(Atletas!B6="Feminino",100,IF(Atletas!B6="Masculino",200,""))+(IF(Atletas!K6="Equipe 1 Grupo B",1,IF(Atletas!K6="Equipe 2 Grupo B",2,IF(Atletas!K6="Equipe 1 Grupo A",3,IF(Atletas!K6="Equipe 2 Grupo A",4,IF(Atletas!K6="Equipe 1 Adulto",5,IF(Atletas!K6="Equipe 2 Adulto",6,""))))))))</f>
        <v/>
      </c>
      <c r="BN10" s="52" t="str">
        <f>IF(BO10&lt;&gt;"","Equipe 2 Grupo A","")</f>
        <v/>
      </c>
      <c r="BO10" s="50" t="str">
        <f>IF(COUNTIF(BM:BM,104)&gt;0,COUNTIF(BM:BM,104),"")</f>
        <v/>
      </c>
      <c r="BP10" s="52" t="str">
        <f>IF(BQ10&lt;&gt;"","Equipe 2 Grupo A","")</f>
        <v/>
      </c>
      <c r="BQ10" s="50" t="str">
        <f>IF(COUNTIF(BM:BM,204)&gt;0,COUNTIF(BM:BM,204),"")</f>
        <v/>
      </c>
      <c r="BR10" s="50" t="str">
        <f>IF(Atletas!L6="","",IF(Atletas!X6&lt;&gt;"",10000,0)+(IF(Atletas!B6="Feminino",1000,IF(Atletas!B6="Masculino",2000,""))+IF(Atletas!L6="Choylayfut A",1,IF(Atletas!L6="Hunggar A",2,IF(Atletas!L6="Wuzuquan A",3,IF(Atletas!L6="Wingchun A",4,IF(Atletas!L6="Outra Mão de Sul A",5,IF(Atletas!L6="Choylayfut B",6,IF(Atletas!L6="Hunggar B",7,IF(Atletas!L6="Wuzuquan B",8,IF(Atletas!L6="Wingchun B",9,IF(Atletas!L6="Outra Mão de Sul B",10,IF(Atletas!L6="Choylayfut C",11,IF(Atletas!L6="Hunggar C",12,IF(Atletas!L6="Wuzuquan C",13,IF(Atletas!L6="Wingchun C",14,IF(Atletas!L6="Outra Mão de Sul C",15,IF(Atletas!L6="Choylayfut D",16,IF(Atletas!L6="Hunggar D",17,IF(Atletas!L6="Wuzuquan D",18,IF(Atletas!L6="Wingchun D",19,IF(Atletas!L6="Outra Mão de Sul D",20,IF(Atletas!L6="Choylayfut E",21,IF(Atletas!L6="Hunggar E",22,IF(Atletas!L6="Wuzuquan E",23,IF(Atletas!L6="Wingchun E",24,IF(Atletas!L6="Outra Mão de Sul E",25,IF(Atletas!L6="Choylayfut F",26,IF(Atletas!L6="Hunggar F",27,IF(Atletas!L6="Wuzuquan F",28,IF(Atletas!L6="Wingchun F",29,IF(Atletas!L6="Outra Mão de Sul F",30,IF(Atletas!L6="Dishuquan A",31,IF(Atletas!L6="Dishuquan B",32,IF(Atletas!L6="Dishuquan C",33,IF(Atletas!L6="Dishuquan D",34,IF(Atletas!L6="Dishuquan E",35,IF(Atletas!L6="Dishuquan F",36,""))))))))))))))))))))))))))))))))))))))</f>
        <v/>
      </c>
      <c r="BS10" s="50" t="str">
        <f>IF(Atletas!M6="","",IF(Atletas!X6&lt;&gt;"",10000,0)+(IF(Atletas!B6="Feminino",1000,IF(Atletas!B6="Masculino",2000,""))+(IF(Atletas!M6="Chaquan A",101,IF(Atletas!M6="Emeiquan A",102,IF(Atletas!M6="Fanziquan A",103,IF(Atletas!M6="Huaquan A",104,IF(Atletas!M6="Hongquan A",105,IF(Atletas!M6="Paoquan A",106,IF(Atletas!M6="Piguaquan A",107,IF(Atletas!M6="Shaolinquan A",108,IF(Atletas!M6="Tanglangquan A",109,IF(Atletas!M6="Yingzhaoquan A",110,IF(Atletas!M6="Tongbeiquan A",111,IF(Atletas!M6="Wudangquan A",112,IF(Atletas!M6="Outros Estilos A",113,IF(Atletas!M6="Chaquan B",114,IF(Atletas!M6="Emeiquan B",115,IF(Atletas!M6="Fanziquan B",116,IF(Atletas!M6="Huaquan B",117,IF(Atletas!M6="Hongquan B",118,IF(Atletas!M6="Paoquan B",119,IF(Atletas!M6="Piguaquan B",120,IF(Atletas!M6="Shaolinquan B",121,IF(Atletas!M6="Tanglangquan B",122,IF(Atletas!M6="Yingzhaoquan B",123,IF(Atletas!M6="Tongbeiquan B",124,IF(Atletas!M6="Wudangquan B",125,IF(Atletas!M6="Outros Estilos B",126,IF(Atletas!M6="Chaquan C",127,IF(Atletas!M6="Emeiquan C",128,IF(Atletas!M6="Fanziquan C",129,IF(Atletas!M6="Huaquan C",130,IF(Atletas!M6="Hongquan C",131,IF(Atletas!M6="Paoquan C",132,IF(Atletas!M6="Piguaquan C",133,IF(Atletas!M6="Shaolinquan C",134,IF(Atletas!M6="Tanglangquan C",135,IF(Atletas!M6="Yingzhaoquan C",136,IF(Atletas!M6="Tongbeiquan C",137,IF(Atletas!M6="Wudangquan C",138,IF(Atletas!M6="Outros Estilos C",139,0))))))))))))))))))))))))))))))))))))))))))</f>
        <v/>
      </c>
      <c r="BT10" s="50" t="str">
        <f>IF(Atletas!M6="","",IF(Atletas!X6&lt;&gt;"",10000,0)+(IF(Atletas!B6="Feminino",1000,IF(Atletas!B6="Masculino",2000,""))+(IF(Atletas!M6="Chaquan D",140,IF(Atletas!M6="Emeiquan D",141,IF(Atletas!M6="Fanziquan D",142,IF(Atletas!M6="Huaquan D",143,IF(Atletas!M6="Hongquan D",144,IF(Atletas!M6="Paoquan D",145,IF(Atletas!M6="Piguaquan D",146,IF(Atletas!M6="Shaolinquan D",147,IF(Atletas!M6="Tanglangquan D",148,IF(Atletas!M6="Yingzhaoquan D",149,IF(Atletas!M6="Tongbeiquan D",150,IF(Atletas!M6="Wudangquan D",151,IF(Atletas!M6="Outros Estilos D",152,IF(Atletas!M6="Chaquan E",153,IF(Atletas!M6="Emeiquan E",154,IF(Atletas!M6="Fanziquan E",155,IF(Atletas!M6="Huaquan E",156,IF(Atletas!M6="Hongquan E",157,IF(Atletas!M6="Paoquan E",158,IF(Atletas!M6="Piguaquan E",159,IF(Atletas!M6="Shaolinquan E",160,IF(Atletas!M6="Tanglangquan E",161,IF(Atletas!M6="Yingzhaoquan E",162,IF(Atletas!M6="Tongbeiquan E",163,IF(Atletas!M6="Wudangquan E",164,IF(Atletas!M6="Outros Estilos E",165,IF(Atletas!M6="Chaquan F",166,IF(Atletas!M6="Emeiquan F",167,IF(Atletas!M6="Fanziquan F",168,IF(Atletas!M6="Huaquan F",169,IF(Atletas!M6="Hongquan F",170,IF(Atletas!M6="Paoquan F",171,IF(Atletas!M6="Piguaquan F",172,IF(Atletas!M6="Shaolinquan F",173,IF(Atletas!M6="Tanglangquan F",174,IF(Atletas!M6="Yingzhaoquan F",175,IF(Atletas!M6="Tongbeiquan F",176,IF(Atletas!M6="Wudangquan F",177,IF(Atletas!M6="Outros Estilos F",178,0))))))))))))))))))))))))))))))))))))))))))</f>
        <v/>
      </c>
      <c r="BU10" s="50" t="str">
        <f>IF(Atletas!N6="","",IF(Atletas!X6&lt;&gt;"",10000,0)+(IF(Atletas!B6="Feminino",1000,IF(Atletas!B6="Masculino",2000,""))+(IF(Atletas!N6="Ditangquan A",201,IF(Atletas!N6="Houquan A",202,IF(Atletas!N6="Zuiquan A",203,IF(Atletas!N6="Ditangquan B",204,IF(Atletas!N6="Houquan B",205,IF(Atletas!N6="Zuiquan B",206,IF(Atletas!N6="Ditangquan C",207,IF(Atletas!N6="Houquan C",208,IF(Atletas!N6="Zuiquan C",209,IF(Atletas!N6="Ditangquan D",210,IF(Atletas!N6="Houquan D",211,IF(Atletas!N6="Zuiquan D",212,IF(Atletas!N6="Ditangquan E",213,IF(Atletas!N6="Houquan E",214,IF(Atletas!N6="Zuiquan E",215,IF(Atletas!N6="Ditangquan F",216,IF(Atletas!N6="Houquan F",217,IF(Atletas!N6="Zuiquan F",218,"")))))))))))))))))))))</f>
        <v/>
      </c>
      <c r="BV10" s="50" t="str">
        <f>IF(Atletas!O6="","",IF(Atletas!X6&lt;&gt;"",10000,0)+IF(Atletas!B6="Feminino",1000,IF(Atletas!B6="Masculino",2000,""))+IF(Atletas!O6="Yang A",301,IF(Atletas!O6="Chen A",302,IF(Atletas!O6="Sun A",303,IF(Atletas!O6="Wu A",304,IF(Atletas!O6="Wu-Hao A",305,IF(Atletas!O6="Outro Taijiquan A",306,IF(Atletas!O6="Yang B",307,IF(Atletas!O6="Chen B",308,IF(Atletas!O6="Sun B",309,IF(Atletas!O6="Wu B",310,IF(Atletas!O6="Wu-Hao B",311,IF(Atletas!O6="Outro Taijiquan B",312,IF(Atletas!O6="Yang C",313,IF(Atletas!O6="Chen C",314,IF(Atletas!O6="Sun C",315,IF(Atletas!O6="Wu C",316,IF(Atletas!O6="Wu-Hao C",317,IF(Atletas!O6="Outro Taijiquan C",318,IF(Atletas!O6="Yang D",319,IF(Atletas!O6="Chen D",320,IF(Atletas!O6="Sun D",321,IF(Atletas!O6="Wu D",322,IF(Atletas!O6="Wu-Hao D",323,IF(Atletas!O6="Outro Taijiquan D",324,IF(Atletas!O6="Yang E",325,IF(Atletas!O6="Chen E",326,IF(Atletas!O6="Sun E",327,IF(Atletas!O6="Wu E",328,IF(Atletas!O6="Wu-Hao E",329,IF(Atletas!O6="Outro Taijiquan E",330,IF(Atletas!O6="Yang F",331,IF(Atletas!O6="Chen F",332,IF(Atletas!O6="Sun F",333,IF(Atletas!O6="Wu F",334,IF(Atletas!O6="Wu-Hao F",335,IF(Atletas!O6="Outro Taijiquan F",336,"")))))))))))))))))))))))))))))))))))))</f>
        <v/>
      </c>
      <c r="BW10" s="50" t="str">
        <f>IF(Atletas!P6="","",IF(Atletas!X6&lt;&gt;"",10000,0)+IF(Atletas!B6="Feminino",1000,IF(Atletas!B6="Masculino",2000,""))+IF(OR(Atletas!P6="Yang 26 A",Atletas!P6="Yang 40 A"),401,IF(OR(Atletas!P6="Chen 25 A",Atletas!P6="Chen 36 A",Atletas!P6="Chen 56 A"),402,IF(Atletas!P6="Sun 73 A",403,IF(Atletas!P6="Wu 45 A",404,IF(Atletas!P6="Wu-Hao 46 A",405,IF(OR(Atletas!P6="Taijiquan 16 A",Atletas!P6="Taijiquan 24 A",Atletas!P6="Taijiquan 32 A",Atletas!P6="Taijiquan 42 A"),406,IF(OR(Atletas!P6="Yang 26 B",Atletas!P6="Yang 40 B"),407,IF(OR(Atletas!P6="Chen 25 B",Atletas!P6="Chen 36 B",Atletas!P6="Chen 56 B"),408,IF(Atletas!P6="Sun 73 B",409,IF(Atletas!P6="Wu 45 B",410,IF(Atletas!P6="Wu-Hao 46 B",411,IF(OR(Atletas!P6="Taijiquan 16 B",Atletas!P6="Taijiquan 24 B",Atletas!P6="Taijiquan 32 B",Atletas!P6="Taijiquan 42 B"),412,IF(OR(Atletas!P6="Yang 26 C",Atletas!P6="Yang 40 C"),413,IF(OR(Atletas!P6="Chen 25 C",Atletas!P6="Chen 36 C",Atletas!P6="Chen 56 C"),414,IF(Atletas!P6="Sun 73 C",415,IF(Atletas!P6="Wu 45 C",416,IF(Atletas!P6="Wu-Hao 46 C",417,IF(OR(Atletas!P6="Taijiquan 16 C",Atletas!P6="Taijiquan 24 C",Atletas!P6="Taijiquan 32 C",Atletas!P6="Taijiquan 42 C"),418,0)))))))))))))))))))</f>
        <v/>
      </c>
      <c r="BX10" s="50" t="str">
        <f>IF(Atletas!P6="","",IF(Atletas!X6&lt;&gt;"",10000,0)+IF(Atletas!B6="Feminino",1000,IF(Atletas!B6="Masculino",2000,""))+IF(OR(Atletas!P6="Yang 26 D",Atletas!P6="Yang 40 D"),419,IF(OR(Atletas!P6="Chen 25 D",Atletas!P6="Chen 36 D",Atletas!P6="Chen 56 D"),420,IF(Atletas!P6="Sun 73 D",421,IF(Atletas!P6="Wu 45 D",422,IF(Atletas!P6="Wu-Hao 46 D",423,IF(OR(Atletas!P6="Taijiquan 16 D",Atletas!P6="Taijiquan 24 D",Atletas!P6="Taijiquan 32 D",Atletas!P6="Taijiquan 42 D"),424,IF(OR(Atletas!P6="Yang 26 E",Atletas!P6="Yang 40 E"),425,IF(OR(Atletas!P6="Chen 25 E",Atletas!P6="Chen 36 E",Atletas!P6="Chen 56 E"),426,IF(Atletas!P6="Sun 73 E",427,IF(Atletas!P6="Wu 45 E",428,IF(Atletas!P6="Wu-Hao 46 E",429,IF(OR(Atletas!P6="Taijiquan 16 E",Atletas!P6="Taijiquan 24 E",Atletas!P6="Taijiquan 32 E",Atletas!P6="Taijiquan 42 E"),430,IF(OR(Atletas!P6="Yang 26 F",Atletas!P6="Yang 40 F"),431,IF(OR(Atletas!P6="Chen 25 F",Atletas!P6="Chen 36 F",Atletas!P6="Chen 56 F"),432,IF(Atletas!P6="Sun 73 F",433,IF(Atletas!P6="Wu 45 F",434,IF(Atletas!P6="Wu-Hao 46 F",435,IF(OR(Atletas!P6="Taijiquan 16 F",Atletas!P6="Taijiquan 24 F",Atletas!P6="Taijiquan 32 F",Atletas!P6="Taijiquan 42 F"),436,0)))))))))))))))))))</f>
        <v/>
      </c>
      <c r="BY10" s="50" t="str">
        <f>IF(Atletas!Q6="","",IF(Atletas!X6&lt;&gt;"",10000,0)+IF(Atletas!B6="Feminino",1000,IF(Atletas!B6="Masculino",2000,""))+IF(Atletas!Q6="Xingyiquan A",501,IF(Atletas!Q6="Baguazhang A",502,IF(Atletas!Q6="Outro Estilo Interno A",503,IF(Atletas!Q6="Xingyiquan B",504,IF(Atletas!Q6="Baguazhang B",505,IF(Atletas!Q6="Outro Estilo Interno B",506,IF(Atletas!Q6="Xingyiquan C",507,IF(Atletas!Q6="Baguazhang C",508,IF(Atletas!Q6="Outro Estilo Interno C",509,IF(Atletas!Q6="Xingyiquan D",510,IF(Atletas!Q6="Baguazhang D",511,IF(Atletas!Q6="Outro Estilo Interno D",512,IF(Atletas!Q6="Xingyiquan E",513,IF(Atletas!Q6="Baguazhang E",514,IF(Atletas!Q6="Outro Estilo Interno E",515,IF(Atletas!Q6="Xingyiquan F",516,IF(Atletas!Q6="Baguazhang F",517,IF(Atletas!Q6="Outro Estilo Interno F",518, "")))))))))))))))))))</f>
        <v/>
      </c>
      <c r="BZ10" s="50" t="str">
        <f>IF(Atletas!R6="","",IF(Atletas!X6&lt;&gt;"",10000,0)+IF(Atletas!B6="Feminino",1000,IF(Atletas!B6="Masculino",2000,""))+IF(Atletas!R6="Dao A",601,IF(Atletas!R6="Jian A",602,IF(Atletas!R6="Bishou A",603,IF(Atletas!R6="Shanzi A",604,IF(Atletas!R6="Outra Arma Curta A",605,IF(Atletas!R6="Dao B",606,IF(Atletas!R6="Jian B",607,IF(Atletas!R6="Bishou B",608,IF(Atletas!R6="Shanzi B",609,IF(Atletas!R6="Outra Arma Curta B",610,IF(Atletas!R6="Dao C",611,IF(Atletas!R6="Jian C",612,IF(Atletas!R6="Bishou C",613,IF(Atletas!R6="Shanzi C",614,IF(Atletas!R6="Outra Arma Curta C",615,IF(Atletas!R6="Dao D",616,IF(Atletas!R6="Jian D",617,IF(Atletas!R6="Bishou D",618,IF(Atletas!R6="Shanzi D",619,IF(Atletas!R6="Outra Arma Curta D",620,IF(Atletas!R6="Dao E",621,IF(Atletas!R6="Jian E",622,IF(Atletas!R6="Bishou E",623,IF(Atletas!R6="Shanzi E",624,IF(Atletas!R6="Outra Arma Curta E",625,IF(Atletas!R6="Dao F",626,IF(Atletas!R6="Jian F",627,IF(Atletas!R6="Bishou F",628,IF(Atletas!R6="Shanzi F",629,IF(Atletas!R6="Outra Arma Curta F",630, "")))))))))))))))))))))))))))))))</f>
        <v/>
      </c>
      <c r="CA10" s="50" t="str">
        <f>IF(Atletas!S6="","",IF(Atletas!X6&lt;&gt;"",10000,0)+IF(Atletas!B6="Feminino",1000,IF(Atletas!B6="Masculino",2000,""))+IF(Atletas!S6="Gun A",701,IF(Atletas!S6="Qiang A",702,IF(Atletas!S6="Pudao / Guandao A",703,IF(Atletas!S6="Outra Arma Longa A",704,IF(Atletas!S6="Gun B",705,IF(Atletas!S6="Qiang B",706,IF(Atletas!S6="Pudao / Guandao B",707,IF(Atletas!S6="Outra Arma Longa B",708,IF(Atletas!S6="Gun C",709,IF(Atletas!S6="Qiang C",710,IF(Atletas!S6="Pudao / Guandao C",711,IF(Atletas!S6="Outra Arma Longa C",712,IF(Atletas!S6="Gun D",713,IF(Atletas!S6="Qiang D",714,IF(Atletas!S6="Pudao / Guandao D",715,IF(Atletas!S6="Outra Arma Longa D",716,IF(Atletas!S6="Gun E",717,IF(Atletas!S6="Qiang E",718,IF(Atletas!S6="Pudao / Guandao E",719,IF(Atletas!S6="Outra Arma Longa E",720,IF(Atletas!S6="Gun F",721,IF(Atletas!S6="Qiang F",722,IF(Atletas!S6="Pudao / Guandao F",723,IF(Atletas!S6="Outra Arma Longa F",724,"")))))))))))))))))))))))))</f>
        <v/>
      </c>
      <c r="CB10" s="50" t="str">
        <f>IF(Atletas!T6="","",IF(Atletas!X6&lt;&gt;"",10000,0)+IF(Atletas!B6="Feminino",1000,IF(Atletas!B6="Masculino",2000,""))+IF(Atletas!T6="Outra Arma Dupla A",801,IF(Atletas!T6="Arma Maleável A",802,IF(Atletas!T6="Outra Arma Dupla B",803,IF(Atletas!T6="Arma Maleável B",804,IF(Atletas!T6="Outra Arma Dupla C",805,IF(Atletas!T6="Arma Maleável C",806,IF(Atletas!T6="Outra Arma Dupla D",807,IF(Atletas!T6="Arma Maleável D",808,IF(Atletas!T6="Outra Arma Dupla E",809,IF(Atletas!T6="Arma Maleável E",810,IF(Atletas!T6="Outra Arma Dupla F",811,IF(Atletas!T6="Arma Maleável F",812,IF(Atletas!T6="Shuangdao A",813,IF(Atletas!T6="Shuangdao B",814,IF(Atletas!T6="Shuangdao C",815,IF(Atletas!T6="Shuangdao D",816,IF(Atletas!T6="Shuangdao E",817,IF(Atletas!T6="Shuangdao F",818,"")))))))))))))))))))</f>
        <v/>
      </c>
      <c r="CC10" s="50" t="str">
        <f>IF(Atletas!U6="","",IF(Atletas!X6&lt;&gt;"",10000,0)+IF(Atletas!B6="Feminino",1000,IF(Atletas!B6="Masculino",2000,""))+IF(OR(Atletas!U6="Taijijian Yang A",Atletas!U6="Taijijian Yang Standard A"),901,IF(OR(Atletas!U6="Taijijian Chen A", Atletas!U6="Taijijian Chen Standard A"),902,IF(Atletas!U6="Taijijian Sun A",903,IF(Atletas!U6="Taijijian Wu A",904,IF(Atletas!U6="Taijijian Wu-Hao A",905,IF(OR(Atletas!U6="Taijijian 32 A",Atletas!U6="Taijijian 42 A"),906,IF(OR(Atletas!U6="Taijijian Yang B",Atletas!U6="Taijijian Yang Standard B"),907,IF(OR(Atletas!U6="Taijijian Chen B", Atletas!U6="Taijijian Chen Standard B"),908,IF(Atletas!U6="Taijijian Sun B",909,IF(Atletas!U6="Taijijian Wu B",910,IF(Atletas!U6="Taijijian Wu-Hao B",911,IF(OR(Atletas!U6="Taijijian 32 B",Atletas!U6="Taijijian 42 B"),912,IF(OR(Atletas!U6="Taijijian Yang C",Atletas!U6="Taijijian Yang Standard C"),913,IF(OR(Atletas!U6="Taijijian Chen C", Atletas!U6="Taijijian Chen Standard C"),914,IF(Atletas!U6="Taijijian Sun C",915,IF(Atletas!U6="Taijijian Wu C",916,IF(Atletas!U6="Taijijian Wu-Hao C",917,IF(OR(Atletas!U6="Taijijian 32 C",Atletas!U6="Taijijian 42 C"),918,IF(OR(Atletas!U6="Taijijian Yang D",Atletas!U6="Taijijian Yang Standard D"),919,IF(OR(Atletas!U6="Taijijian Chen D", Atletas!U6="Taijijian Chen Standard D"),920,IF(Atletas!U6="Taijijian Sun D",921,IF(Atletas!U6="Taijijian Wu D",922,IF(Atletas!U6="Taijijian Wu-Hao D",923,IF(OR(Atletas!U6="Taijijian 32 D",Atletas!U6="Taijijian 42 D"),924,IF(OR(Atletas!U6="Taijijian Yang E",Atletas!U6="Taijijian Yang Standard E"),925,IF(OR(Atletas!U6="Taijijian Chen E", Atletas!U6="Taijijian Chen Standard E"),926,IF(Atletas!U6="Taijijian Sun E",927,IF(Atletas!U6="Taijijian Wu E",928,IF(Atletas!U6="Taijijian Wu-Hao E",929,IF(OR(Atletas!U6="Taijijian 32 E",Atletas!U6="Taijijian 42 E"),930,IF(OR(Atletas!U6="Taijijian Yang F",Atletas!U6="Taijijian Yang Standard F"),931,IF(OR(Atletas!U6="Taijijian Chen F", Atletas!U6="Taijijian Chen Standard F"),932,IF(Atletas!U6="Taijijian Sun F",933,IF(Atletas!U6="Taijijian Wu F",934,IF(Atletas!U6="Taijijian Wu-Hao F",935,IF(OR(Atletas!U6="Taijijian 32 F",Atletas!U6="Taijijian 42 F"),936,"")))))))))))))))))))))))))))))))))))))</f>
        <v/>
      </c>
      <c r="CD10" s="50" t="str">
        <f>IF(Atletas!V6="","",IF(Atletas!X6&lt;&gt;"",10000,0)+IF(Atletas!B6="Feminino",1000,IF(Atletas!B6="Masculino",2000,""))+IF(Atletas!V6="Taijidao A",937,IF(Atletas!V6="TaijiShanzi A",938,IF(Atletas!V6="Taijiqiang A",939,IF(Atletas!V6="Bagua de Arma A",940,IF(Atletas!V6="Xingyi de Arma A",941,IF(Atletas!V6="Taijidao B",942,IF(Atletas!V6="TaijiShanzi B",943,IF(Atletas!V6="Taijiqiang B",944,IF(Atletas!V6="Bagua de Arma B",945,IF(Atletas!V6="Xingyi de Arma B",946,IF(Atletas!V6="Taijidao C",947,IF(Atletas!V6="TaijiShanzi C",948,IF(Atletas!V6="Taijiqiang C",949,IF(Atletas!V6="Bagua de Arma C",950,IF(Atletas!V6="Xingyi de Arma C",951,IF(Atletas!V6="Taijidao D",952,IF(Atletas!V6="TaijiShanzi D",953,IF(Atletas!V6="Taijiqiang D",954,IF(Atletas!V6="Bagua de Arma D",955,IF(Atletas!V6="Xingyi de Arma D",956,IF(Atletas!V6="Taijidao E",957,IF(Atletas!V6="TaijiShanzi E",958,IF(Atletas!V6="Taijiqiang E",959,IF(Atletas!V6="Bagua de Arma E",960,IF(Atletas!V6="Xingyi de Arma E",961,IF(Atletas!V6="Taijidao F",962,IF(Atletas!V6="TaijiShanzi F",963,IF(Atletas!V6="Taijiqiang F",964,IF(Atletas!V6="Bagua de Arma F",965,IF(Atletas!V6="Xingyi de Arma F",966,"")))))))))))))))))))))))))))))))</f>
        <v/>
      </c>
      <c r="CE10" s="66" t="str">
        <f>IF(CF10&lt;&gt;"","Wuzuquan A","")</f>
        <v/>
      </c>
      <c r="CF10" s="66" t="str">
        <f>IF(COUNTIF(BR:CD,1003)&gt;0,COUNTIF(BR:CD,1003),"")</f>
        <v/>
      </c>
      <c r="CG10" s="66" t="str">
        <f>IF(CH10&lt;&gt;"","Wuzuquan A","")</f>
        <v/>
      </c>
      <c r="CH10" s="66" t="str">
        <f>IF(COUNTIF(BR:CD,2003)&gt;0,COUNTIF(BR:CD,2003),"")</f>
        <v/>
      </c>
      <c r="CI10" s="66" t="str">
        <f>IF(CJ10&lt;&gt;"","Wingchun A","")</f>
        <v/>
      </c>
      <c r="CJ10" s="66" t="str">
        <f>IF(COUNTIF(BR:CD,11004)&gt;0,COUNTIF(BR:CD,11004),"")</f>
        <v/>
      </c>
      <c r="CK10" s="66" t="str">
        <f>IF(CL10&lt;&gt;"","Wingchun A","")</f>
        <v/>
      </c>
      <c r="CL10" s="66" t="str">
        <f>IF(COUNTIF(BR:CD,12004)&gt;0,COUNTIF(BR:CD,12004),"")</f>
        <v/>
      </c>
      <c r="CM10" s="50" t="str">
        <f xml:space="preserve"> IF(Atletas!W6="","",IF(Atletas!W6="Duilian de Mãos BC - Equipe 1",1,IF(Atletas!W6="Duilian de Mãos BC - Equipe 2",2,IF(Atletas!W6="Duilian de Armas BC - Equipe 1",3,IF(Atletas!W6="Duilian de Armas BC - Equipe 2",4,IF(Atletas!W6="Duilian de Mãos DE - Equipe 1",5,IF(Atletas!W6="Duilian de Mãos DE - Equipe 2",6,IF(Atletas!W6="Duilian de Armas DE - Equipe 1",7,IF(Atletas!W6="Duilian de Armas DE - Equipe 2",8,IF(Atletas!W6="Duilian de Tuishou - Equipe 1",9,IF(Atletas!W6="Duilian de Tuishou - Equipe 2",10,IF(Atletas!W6="Grupo Externo ABC - Equipe 1",11,IF(Atletas!W6="Grupo Externo ABC - Equipe 2",12,IF(Atletas!W6="Grupo Interno ABC - Equipe 1",13,IF(Atletas!W6="Grupo Interno ABC - Equipe 2",14,IF(Atletas!W6="Grupo Externo DEF - Equipe 1",15,IF(Atletas!W6="Grupo Externo DEF - Equipe 2",16,IF(Atletas!W6="Grupo Interno DEF - Equipe 1",17,IF(Atletas!W6="Grupo Interno DEF - Equipe 2",18,"")))))))))))))))))))</f>
        <v/>
      </c>
      <c r="CN10" s="52" t="str">
        <f>IF(CO10&lt;&gt;"","Duilian de Armas BC - Equipe 2","")</f>
        <v/>
      </c>
      <c r="CO10" s="64" t="str">
        <f>IF(COUNTIF(CM:CM,4)&gt;0,COUNTIF(CM:CM,4),"")</f>
        <v/>
      </c>
      <c r="CP10" s="52"/>
      <c r="CQ10" s="64"/>
      <c r="CR10" s="67" t="str">
        <f>IF(CS10&lt;&gt;"","Grupo Interno ABC - Equipe 2","")</f>
        <v/>
      </c>
      <c r="CS10" s="68" t="str">
        <f>IF(COUNTIF(CM:CM,14)&gt;0,COUNTIF(CM:CM,14),"")</f>
        <v/>
      </c>
      <c r="CY10" s="41"/>
    </row>
    <row r="11" spans="1:103">
      <c r="A11" s="16"/>
      <c r="B11" s="3" t="str">
        <f t="array" ref="B11">IFERROR(INDEX(AO$7:AO$38,SMALL(IF(AO$7:AO$38&lt;&gt;"",ROW(AO$7:AO$38)-ROW(AO$7)+1),ROWS(AO$7:AO10))),"")</f>
        <v/>
      </c>
      <c r="C11" s="3" t="str">
        <f t="array" ref="C11">IFERROR(INDEX(AP$7:AP$38,SMALL(IF(AP$7:AP$38&lt;&gt;"",ROW(AP$7:AP$38)-ROW(AP$7)+1),ROWS(AP$7:AP10))),"")</f>
        <v/>
      </c>
      <c r="D11" s="3" t="str">
        <f t="array" ref="D11">IFERROR(INDEX(AQ$7:AQ$38,SMALL(IF(AQ$7:AQ$38&lt;&gt;"",ROW(AQ$7:AQ$38)-ROW(AQ$7)+1),ROWS(AQ$7:AQ10))),"")</f>
        <v/>
      </c>
      <c r="E11" s="3" t="str">
        <f t="array" ref="E11">IFERROR(INDEX(AR$7:AR$38,SMALL(IF(AR$7:AR$38&lt;&gt;"",ROW(AR$7:AR$38)-ROW(AR$7)+1),ROWS(AR$7:AR10))),"")</f>
        <v/>
      </c>
      <c r="F11" s="3" t="str">
        <f t="array" ref="F11">IFERROR(INDEX(AT$7:AT$36,SMALL(IF(AT$7:AT$36&lt;&gt;"",ROW(AT$7:AT$36)-ROW(AT$7)+1),ROWS(AT$7:AT10))),"")</f>
        <v/>
      </c>
      <c r="G11" s="3" t="str">
        <f t="array" ref="G11">IFERROR(INDEX(AU$7:AU$36,SMALL(IF(AU$7:AU$36&lt;&gt;"",ROW(AU$7:AU$36)-ROW(AU$7)+1),ROWS(AU$7:AU10))),"")</f>
        <v/>
      </c>
      <c r="H11" s="3" t="str">
        <f t="array" ref="H11">IFERROR(INDEX(AV$7:AV$36,SMALL(IF(AV$7:AV$36&lt;&gt;"",ROW(AV$7:AV$36)-ROW(AV$7)+1),ROWS(AV$7:AV10))),"")</f>
        <v/>
      </c>
      <c r="I11" s="3" t="str">
        <f t="array" ref="I11">IFERROR(INDEX(AW$7:AW$36,SMALL(IF(AW$7:AW$36&lt;&gt;"",ROW(AW$7:AW$36)-ROW(AW$7)+1),ROWS(AW$7:AW10))),"")</f>
        <v/>
      </c>
      <c r="J11" s="3" t="str">
        <f t="array" ref="J11">IFERROR(INDEX(AY$7:AY$36,SMALL(IF(AY$7:AY$36&lt;&gt;"",ROW(AY$7:AY$36)-ROW(AY$7)+1),ROWS(AY$7:AY10))),"")</f>
        <v/>
      </c>
      <c r="K11" s="3" t="str">
        <f t="array" ref="K11">IFERROR(INDEX(AZ$7:AZ$36,SMALL(IF(AZ$7:AZ$36&lt;&gt;"",ROW(AZ$7:AZ$36)-ROW(AZ$7)+1),ROWS(AZ$7:AZ10))),"")</f>
        <v/>
      </c>
      <c r="L11" s="3" t="str">
        <f t="array" ref="L11">IFERROR(INDEX(BA$7:BA$36,SMALL(IF(BA$7:BA$36&lt;&gt;"",ROW(BA$7:BA$36)-ROW(BA$7)+1),ROWS(BA$7:BA10))),"")</f>
        <v/>
      </c>
      <c r="M11" s="3" t="str">
        <f t="array" ref="M11">IFERROR(INDEX(BB$7:BB$36,SMALL(IF(BB$7:BB$36&lt;&gt;"",ROW(BB$7:BB$36)-ROW(BB$7)+1),ROWS(BB$7:BB10))),"")</f>
        <v/>
      </c>
      <c r="N11" s="3" t="str" cm="1">
        <f t="array" ref="N11">IFERROR(INDEX(BD$7:BD$8,SMALL(IF(BD$7:BD$8&lt;&gt;"",ROW(BD$7:BD$8)-ROW(BD$7)+1),ROWS(BD$7:BD10))),"")</f>
        <v/>
      </c>
      <c r="O11" s="3" t="str" cm="1">
        <f t="array" ref="O11">IFERROR(INDEX(BE$7:BE$8,SMALL(IF(BE$7:BE$8&lt;&gt;"",ROW(BE$7:BE$8)-ROW(BE$7)+1),ROWS(BE$7:BE10))),"")</f>
        <v/>
      </c>
      <c r="P11" s="3" t="str" cm="1">
        <f t="array" ref="P11">IFERROR(INDEX(BD$9:BD$10,SMALL(IF(BD$9:BD$10&lt;&gt;"",ROW(BD$9:BD$10)-ROW(BD$9)+1),ROWS(BD$9:BD12))),"")</f>
        <v/>
      </c>
      <c r="Q11" s="3" t="str">
        <f t="array" ref="Q11">IFERROR(INDEX(BH$7:BH$36,SMALL(IF(BH$7:BH$36&lt;&gt;"",ROW(BH$7:BH$36)-ROW(BH$7)+1),ROWS(BH$7:BH10))),"")</f>
        <v/>
      </c>
      <c r="R11" s="3" t="str">
        <f t="array" ref="R11">IFERROR(INDEX(BI$7:BI$68,SMALL(IF(BI$7:BI$68&lt;&gt;"",ROW(BI$7:BI$68)-ROW(BI$7)+1),ROWS(BI$7:BI10))),"")</f>
        <v/>
      </c>
      <c r="S11" s="3" t="str">
        <f t="array" ref="S11">IFERROR(INDEX(BJ$7:BJ$68,SMALL(IF(BJ$7:BJ$68&lt;&gt;"",ROW(BJ$7:BJ$68)-ROW(BJ$7)+1),ROWS(BJ$7:BJ10))),"")</f>
        <v/>
      </c>
      <c r="T11" s="3" t="str">
        <f t="array" ref="T11">IFERROR(INDEX(BK$7:BK$68,SMALL(IF(BK$7:BK$68&lt;&gt;"",ROW(BK$7:BK$68)-ROW(BK$7)+1),ROWS(BK$7:BK10))),"")</f>
        <v/>
      </c>
      <c r="U11" s="3" t="str">
        <f t="array" ref="U11">IFERROR(INDEX(BL$7:BL$68,SMALL(IF(BL$7:BL$68&lt;&gt;"",ROW(BL$7:BL$68)-ROW(BL$7)+1),ROWS(BL$7:BL10))),"")</f>
        <v/>
      </c>
      <c r="V11" s="3" t="str">
        <f t="array" ref="V11">IFERROR(INDEX(BN$7:BN$12,SMALL(IF(BN$7:BN$12&lt;&gt;"",ROW(BN$7:BN$12)-ROW(BN$7)+1),ROWS(BN$7:BN10))),"")</f>
        <v/>
      </c>
      <c r="W11" s="3" t="str">
        <f t="array" ref="W11">IFERROR(INDEX(BO$7:BO$12,SMALL(IF(BO$7:BO$12&lt;&gt;"",ROW(BO$7:BO$12)-ROW(BO$7)+1),ROWS(BO$7:BO10))),"")</f>
        <v/>
      </c>
      <c r="X11" s="3" t="str">
        <f t="array" ref="X11">IFERROR(INDEX(BP$7:BP$12,SMALL(IF(BP$7:BP$12&lt;&gt;"",ROW(BP$7:BP$12)-ROW(BP$7)+1),ROWS(BP$7:BP10))),"")</f>
        <v/>
      </c>
      <c r="Y11" s="3" t="str">
        <f t="array" ref="Y11">IFERROR(INDEX(BQ$7:BQ$12,SMALL(IF(BQ$7:BQ$12&lt;&gt;"",ROW(BQ$7:BQ$12)-ROW(BQ$7)+1),ROWS(BQ$7:BQ10))),"")</f>
        <v/>
      </c>
      <c r="Z11" s="3" t="str">
        <f t="array" ref="Z11">IFERROR(INDEX(CE$7:CE$348,SMALL(IF(CE$7:CE$348&lt;&gt;"",ROW(CE$7:CE$348)-ROW(CE$7)+1),ROWS(CE$7:CE10))),"")</f>
        <v/>
      </c>
      <c r="AA11" s="3" t="str">
        <f t="array" ref="AA11">IFERROR(INDEX(CF$7:CF$348,SMALL(IF(CF$7:CF$348&lt;&gt;"",ROW(CF$7:CF$348)-ROW(CF$7)+1),ROWS(CF$7:CF10))),"")</f>
        <v/>
      </c>
      <c r="AB11" s="3" t="str">
        <f t="array" ref="AB11">IFERROR(INDEX(CG$7:CG$348,SMALL(IF(CG$7:CG$348&lt;&gt;"",ROW(CG$7:CG$348)-ROW(CG$7)+1),ROWS(CG$7:CG10))),"")</f>
        <v/>
      </c>
      <c r="AC11" s="3" t="str">
        <f t="array" ref="AC11">IFERROR(INDEX(CH$7:CH$348,SMALL(IF(CH$7:CH$348&lt;&gt;"",ROW(CH$7:CH$348)-ROW(CH$7)+1),ROWS(CH$7:CH10))),"")</f>
        <v/>
      </c>
      <c r="AD11" s="3" t="str">
        <f t="array" ref="AD11">IFERROR(INDEX(CI$7:CI$377,SMALL(IF(CI$7:CI$377&lt;&gt;"",ROW(CI$7:CI$377)-ROW(CI$7)+1),ROWS(CI$7:CI10))),"")</f>
        <v/>
      </c>
      <c r="AE11" s="3" t="str">
        <f t="array" ref="AE11">IFERROR(INDEX(CJ$7:CJ$378,SMALL(IF(CJ$7:CJ$378&lt;&gt;"",ROW(CJ$7:CJ$378)-ROW(CJ$7)+1),ROWS(CJ$7:CJ10))),"")</f>
        <v/>
      </c>
      <c r="AF11" s="3" t="str">
        <f t="array" ref="AF11">IFERROR(INDEX(CK$7:CK$378,SMALL(IF(CK$7:CK$378&lt;&gt;"",ROW(CK$7:CK$378)-ROW(CK$7)+1),ROWS(CK$7:CK10))),"")</f>
        <v/>
      </c>
      <c r="AG11" s="3" t="str">
        <f t="array" ref="AG11">IFERROR(INDEX(CL$7:CL$378,SMALL(IF(CL$7:CL$378&lt;&gt;"",ROW(CL$7:CL$378)-ROW(CL$7)+1),ROWS(CL$7:CL10))),"")</f>
        <v/>
      </c>
      <c r="AH11" s="40" t="str">
        <f t="array" ref="AH11">IFERROR(INDEX(CN$7:CN$18,SMALL(IF(CN$7:CN$18&lt;&gt;"",ROW(CN$7:CN$18)-ROW(CN$7)+1),ROWS(CN$7:CN10))),"")</f>
        <v/>
      </c>
      <c r="AI11" s="40" t="str">
        <f t="array" ref="AI11">IFERROR(INDEX(CO$7:CO$18,SMALL(IF(CO$7:CO$18&lt;&gt;"",ROW(CO$7:CO$18)-ROW(CO$7)+1),ROWS(CO$7:CO10))),"")</f>
        <v/>
      </c>
      <c r="AJ11" s="40"/>
      <c r="AK11" s="40"/>
      <c r="AL11" s="40" t="str">
        <f t="array" ref="AL11">IFERROR(INDEX(CR$7:CR$14,SMALL(IF(CR$7:CR$14&lt;&gt;"",ROW(CR$7:CR$14)-ROW(CR$7)+1),ROWS(CR$7:CR10))),"")</f>
        <v/>
      </c>
      <c r="AM11" s="40" t="str">
        <f t="array" ref="AM11">IFERROR(INDEX(CS$7:CS$14,SMALL(IF(CS$7:CS$14&lt;&gt;"",ROW(CS$7:CS$14)-ROW(CS$7)+1),ROWS(CS$7:CS10))),"")</f>
        <v/>
      </c>
      <c r="AN11" s="52" t="str">
        <f>IF(Atletas!D7="","",IF(Atletas!B7="Feminino",100,IF(Atletas!B7="Masculino",200,""))+(IF(Atletas!D7="Kids 30kg",1,IF(Atletas!D7="Kids 32kg",2, IF(Atletas!D7="Kids 34kg",3,IF(Atletas!D7="Kids 36kg",4,IF(Atletas!D7="Kids 39kg",5,IF(Atletas!D7="Kids 42kg",6,IF(Atletas!D7="Kids 45kg",7, IF(Atletas!D7="Infantil 39kg",8,IF(Atletas!D7="Infantil 42kg",9,IF(Atletas!D7="Infantil 45kg",10,IF(Atletas!D7="Infantil 48kg",11,IF(Atletas!D7="Infantil 52kg",12,IF(Atletas!D7="Infantil 56kg",13,IF(Atletas!D7="Infantil 60kg",14,IF(Atletas!D7="Juvenil 48kg",15,IF(Atletas!D7="Juvenil 52kg",16,IF(Atletas!D7="Juvenil 56kg",17,IF(Atletas!D7="Juvenil 60kg",18,IF(Atletas!D7="Juvenil 65kg",19,IF(Atletas!D7="Juvenil 70kg",20,IF(Atletas!D7="Juvenil 75kg",21,IF(Atletas!D7="Juvenil 80kg",22, IF(Atletas!D7="Juvenil 85kg",23,IF(Atletas!D7="Adulto 48kg",24,IF(Atletas!D7="Adulto 52kg",25,IF(Atletas!D7="Adulto 56kg",26,IF(Atletas!D7="Adulto 60kg",27,IF(Atletas!D7="Adulto 65kg",28,IF(Atletas!D7="Adulto 70kg",29,IF(Atletas!D7="Adulto 75kg",30,IF(Atletas!D7="Adulto 80kg",31,IF(Atletas!D7="Adulto 85kg",32,IF(Atletas!D7="Adulto 90kg",33,IF(Atletas!D7="Adulto 100kg",34, IF(Atletas!D7="Adulto +100kg",35,"")))))))))))))))))))))))))))))))))))))</f>
        <v/>
      </c>
      <c r="AO11" s="50" t="str">
        <f>IF(AP11&lt;&gt;"","Kids 39kg","")</f>
        <v/>
      </c>
      <c r="AP11" s="6" t="str">
        <f>IF(COUNTIF(AN:AN,105)&gt;0,COUNTIF(AN:AN,105),"")</f>
        <v/>
      </c>
      <c r="AQ11" s="50" t="str">
        <f>IF(AR11&lt;&gt;"","Kids 39kg","")</f>
        <v/>
      </c>
      <c r="AR11" s="6" t="str">
        <f>IF(COUNTIF(AN:AN,205)&gt;0,COUNTIF(AN:AN,205),"")</f>
        <v/>
      </c>
      <c r="AS11" s="6" t="str">
        <f>IF(Atletas!E7="","",IF(Atletas!B7="Feminino",100,IF(Atletas!B7="Masculino",200,""))+(IF(Atletas!E7="Juvenil 44kg",1,IF(Atletas!E7="Juvenil 48kg",2,IF(Atletas!E7="Juvenil 52kg",3,IF(Atletas!E7="Juvenil 56kg",4,IF(Atletas!E7="Juvenil 60kg",5,IF(Atletas!E7="Juvenil 65kg",6,IF(Atletas!E7="Juvenil 70kg",7,IF(Atletas!E7="Juvenil 75kg",8,IF(Atletas!E7="Juvenil 82kg",9,IF(Atletas!E7="Juvenil 90kg",10,IF(Atletas!E7="Juvenil 100kg",11,IF(Atletas!E7="Adulto 48kg",12,IF(Atletas!E7="Adulto 52kg",13,IF(Atletas!E7="Adulto 56kg",14,IF(Atletas!E7="Adulto 60kg",15,IF(Atletas!E7="Adulto 65kg",16,IF(Atletas!E7="Adulto 70kg",17,IF(Atletas!E7="Adulto 75kg",18,IF(Atletas!E7="Adulto 82kg",19,IF(Atletas!E7="Adulto 90kg",20,IF(Atletas!E7="Adulto 100kg",21,IF(Atletas!E7="Adulto +100kg",22,""))))))))))))))))))))))))</f>
        <v/>
      </c>
      <c r="AT11" s="50" t="str">
        <f>IF(AU11&lt;&gt;"","Juvenil 60kg","")</f>
        <v/>
      </c>
      <c r="AU11" s="6" t="str">
        <f>IF(COUNTIF(AS:AS,105)&gt;0,COUNTIF(AS:AS,105),"")</f>
        <v/>
      </c>
      <c r="AV11" s="50" t="str">
        <f>IF(AW11&lt;&gt;"","Juvenil 65kg","")</f>
        <v/>
      </c>
      <c r="AW11" s="6" t="str">
        <f>IF(COUNTIF(AS:AS,206)&gt;0,COUNTIF(AS:AS,206),"")</f>
        <v/>
      </c>
      <c r="AX11" s="6" t="str">
        <f>IF(Atletas!F7="","",IF(Atletas!B7="Feminino",100,IF(Atletas!B7="Masculino",200,""))+(IF(Atletas!F7="Adulto 48kg",1,IF(Atletas!F7="Adulto 56kg",2,IF(Atletas!F7="Adulto 65kg",3,IF(Atletas!F7="Adulto 75kg",4,IF(Atletas!F7="Adulto +75kg",5,IF(Atletas!F7="Adulto 52kg",6,IF(Atletas!F7="Adulto 60kg",7,IF(Atletas!F7="Adulto 70kg",8,IF(Atletas!F7="Adulto 80kg",9,IF(Atletas!F7="Adulto 90kg",10,IF(Atletas!F7="Adulto +90kg",11,"")))))))))))))</f>
        <v/>
      </c>
      <c r="AY11" s="50" t="str">
        <f>IF(AZ11&lt;&gt;"","Adulto +75kg","")</f>
        <v/>
      </c>
      <c r="AZ11" s="6" t="str">
        <f>IF(COUNTIF(AX:AX,105)&gt;0,COUNTIF(AX:AX,105),"")</f>
        <v/>
      </c>
      <c r="BA11" s="50" t="str">
        <f>IF(BB11&lt;&gt;"","Adulto 90kg","")</f>
        <v/>
      </c>
      <c r="BB11" s="6" t="str">
        <f>IF(COUNTIF(AX:AX,210)&gt;0,COUNTIF(AX:AX,210),"")</f>
        <v/>
      </c>
      <c r="BC11" s="6" t="str">
        <f>IF(Atletas!G7="","",IF(Atletas!B7="Feminino",10,IF(Atletas!B7="Masculino",20,""))+(IF(Atletas!G7="Baduanjin A",1,IF(Atletas!G7="Baduanjin B",2))))</f>
        <v/>
      </c>
      <c r="BF11" s="52" t="str">
        <f>IF(Atletas!H7="","",IF(Atletas!B7="Feminino",100,IF(Atletas!B7="Masculino",200,""))+(IF(Atletas!H7="Changquan Mirim",1,IF(Atletas!H7="Nanquan Mirim",2,IF(Atletas!H7="Taijiquan Mirim",3,IF(Atletas!H7="Changquan Grupo C",4,IF(Atletas!H7="Nanquan Grupo C",5,IF(Atletas!H7="Taijiquan Grupo C",6,IF(Atletas!H7="Changquan Grupo B",7,IF(Atletas!H7="Nanquan Grupo B",8,IF(Atletas!H7="Taijiquan Grupo B",9,IF(Atletas!H7="Changquan Grupo A",10,IF(Atletas!H7="Nanquan Grupo A",11,IF(Atletas!H7="Taijiquan Grupo A",12,IF(Atletas!H7="Changquan Opcional",13,IF(Atletas!H7="Nanquan Opcional",14,IF(Atletas!H7="Taijiquan Opcional",15,IF(Atletas!H7="Changquan Adulto",16,IF(Atletas!H7="Nanquan Adulto",17,IF(Atletas!H7="Taijiquan Adulto",18,""))))))))))))))))))))</f>
        <v/>
      </c>
      <c r="BG11" s="52" t="str">
        <f>IF(Atletas!I7="","",IF(Atletas!B7="Feminino",100,IF(Atletas!B7="Masculino",200,""))+(IF(Atletas!I7="Daoshu Mirim",19,IF(Atletas!I7="Jianshu Mirim",20,IF(Atletas!I7="Nandao Mirim",21,IF(Atletas!I7="Taijijian Mirim",22,IF(Atletas!I7="Daoshu Grupo C",23,IF(Atletas!I7="Jianshu Grupo C",24,IF(Atletas!I7="Nandao Grupo C",25,IF(Atletas!I7="Taijijian Grupo C",26,IF(Atletas!I7="Daoshu Grupo B",27,IF(Atletas!I7="Jianshu Grupo B",28,IF(Atletas!I7="Nandao Grupo B",29,IF(Atletas!I7="Taijijian Grupo B",30,IF(Atletas!I7="Daoshu Grupo A",31,IF(Atletas!I7="Jianshu Grupo A",32,IF(Atletas!I7="Nandao Grupo A",33,IF(Atletas!I7="Taijijian Grupo A",34,IF(Atletas!I7="Daoshu Opcional",35,IF(Atletas!I7="Jianshu Opcional",36,IF(Atletas!I7="Nandao Opcional",37,IF(Atletas!I7="Taijijian Opcional",38,IF(Atletas!I7="Daoshu Adulto",39,IF(Atletas!I7="Jianshu Adulto",40,IF(Atletas!I7="Nandao Adulto",41,IF(Atletas!I7="Taijijian Adulto",42,""))))))))))))))))))))))))))</f>
        <v/>
      </c>
      <c r="BH11" s="52" t="str">
        <f>IF(Atletas!J7="","",IF(Atletas!B7="Feminino",100,IF(Atletas!B7="Masculino",200,""))+(IF(Atletas!J7="Gunshu Mirim",43,IF(Atletas!J7="Qiangshu Mirim",44,IF(Atletas!J7="Nangun Mirim",45,IF(Atletas!J7="Gunshu Grupo C",46,IF(Atletas!J7="Qiangshu Grupo C",47,IF(Atletas!J7="Nangun Grupo C",48,IF(Atletas!J7="Gunshu Grupo B",49,IF(Atletas!J7="Qiangshu Grupo B",50,IF(Atletas!J7="Nangun Grupo B",51,IF(Atletas!J7="Gunshu Grupo A",52,IF(Atletas!J7="Qiangshu Grupo A",53,IF(Atletas!J7="Nangun Grupo A",54,IF(Atletas!J7="Gunshu Opcional",55,IF(Atletas!J7="Qiangshu Opcional",56,IF(Atletas!J7="Nangun Opcional",57,IF(Atletas!J7="Gunshu Adulto",58,IF(Atletas!J7="Qiangshu Adulto",59,IF(Atletas!J7="Nangun Adulto",60,IF(Atletas!J7="Taijishan Grupo B",61,IF(Atletas!J7="Taijishan Grupo A",62,""))))))))))))))))))))))</f>
        <v/>
      </c>
      <c r="BI11" s="52" t="str">
        <f>IF(BJ11&lt;&gt;"","Jianshu Mirim","")</f>
        <v/>
      </c>
      <c r="BJ11" s="50" t="str">
        <f>IF(COUNTIF(BF:BH,120)&gt;0,COUNTIF(BF:BH,120),"")</f>
        <v/>
      </c>
      <c r="BK11" s="52" t="str">
        <f>IF(BL11&lt;&gt;"","Jianshu Mirim","")</f>
        <v/>
      </c>
      <c r="BL11" s="50" t="str">
        <f>IF(COUNTIF(BF:BH,220)&gt;0,COUNTIF(BF:BH,220),"")</f>
        <v/>
      </c>
      <c r="BM11" s="50" t="str">
        <f>IF(Atletas!K7="","",IF(Atletas!B7="Feminino",100,IF(Atletas!B7="Masculino",200,""))+(IF(Atletas!K7="Equipe 1 Grupo B",1,IF(Atletas!K7="Equipe 2 Grupo B",2,IF(Atletas!K7="Equipe 1 Grupo A",3,IF(Atletas!K7="Equipe 2 Grupo A",4,IF(Atletas!K7="Equipe 1 Adulto",5,IF(Atletas!K7="Equipe 2 Adulto",6,""))))))))</f>
        <v/>
      </c>
      <c r="BN11" s="52" t="str">
        <f>IF(BO11&lt;&gt;"","Equipe 1 Adulto","")</f>
        <v/>
      </c>
      <c r="BO11" s="50" t="str">
        <f>IF(COUNTIF(BM:BM,105)&gt;0,COUNTIF(BM:BM,105),"")</f>
        <v/>
      </c>
      <c r="BP11" s="52" t="str">
        <f>IF(BQ11&lt;&gt;"","Equipe 1 Adulto","")</f>
        <v/>
      </c>
      <c r="BQ11" s="50" t="str">
        <f>IF(COUNTIF(BM:BM,205)&gt;0,COUNTIF(BM:BM,205),"")</f>
        <v/>
      </c>
      <c r="BR11" s="50" t="str">
        <f>IF(Atletas!L7="","",IF(Atletas!X7&lt;&gt;"",10000,0)+(IF(Atletas!B7="Feminino",1000,IF(Atletas!B7="Masculino",2000,""))+IF(Atletas!L7="Choylayfut A",1,IF(Atletas!L7="Hunggar A",2,IF(Atletas!L7="Wuzuquan A",3,IF(Atletas!L7="Wingchun A",4,IF(Atletas!L7="Outra Mão de Sul A",5,IF(Atletas!L7="Choylayfut B",6,IF(Atletas!L7="Hunggar B",7,IF(Atletas!L7="Wuzuquan B",8,IF(Atletas!L7="Wingchun B",9,IF(Atletas!L7="Outra Mão de Sul B",10,IF(Atletas!L7="Choylayfut C",11,IF(Atletas!L7="Hunggar C",12,IF(Atletas!L7="Wuzuquan C",13,IF(Atletas!L7="Wingchun C",14,IF(Atletas!L7="Outra Mão de Sul C",15,IF(Atletas!L7="Choylayfut D",16,IF(Atletas!L7="Hunggar D",17,IF(Atletas!L7="Wuzuquan D",18,IF(Atletas!L7="Wingchun D",19,IF(Atletas!L7="Outra Mão de Sul D",20,IF(Atletas!L7="Choylayfut E",21,IF(Atletas!L7="Hunggar E",22,IF(Atletas!L7="Wuzuquan E",23,IF(Atletas!L7="Wingchun E",24,IF(Atletas!L7="Outra Mão de Sul E",25,IF(Atletas!L7="Choylayfut F",26,IF(Atletas!L7="Hunggar F",27,IF(Atletas!L7="Wuzuquan F",28,IF(Atletas!L7="Wingchun F",29,IF(Atletas!L7="Outra Mão de Sul F",30,IF(Atletas!L7="Dishuquan A",31,IF(Atletas!L7="Dishuquan B",32,IF(Atletas!L7="Dishuquan C",33,IF(Atletas!L7="Dishuquan D",34,IF(Atletas!L7="Dishuquan E",35,IF(Atletas!L7="Dishuquan F",36,""))))))))))))))))))))))))))))))))))))))</f>
        <v/>
      </c>
      <c r="BS11" s="50" t="str">
        <f>IF(Atletas!M7="","",IF(Atletas!X7&lt;&gt;"",10000,0)+(IF(Atletas!B7="Feminino",1000,IF(Atletas!B7="Masculino",2000,""))+(IF(Atletas!M7="Chaquan A",101,IF(Atletas!M7="Emeiquan A",102,IF(Atletas!M7="Fanziquan A",103,IF(Atletas!M7="Huaquan A",104,IF(Atletas!M7="Hongquan A",105,IF(Atletas!M7="Paoquan A",106,IF(Atletas!M7="Piguaquan A",107,IF(Atletas!M7="Shaolinquan A",108,IF(Atletas!M7="Tanglangquan A",109,IF(Atletas!M7="Yingzhaoquan A",110,IF(Atletas!M7="Tongbeiquan A",111,IF(Atletas!M7="Wudangquan A",112,IF(Atletas!M7="Outros Estilos A",113,IF(Atletas!M7="Chaquan B",114,IF(Atletas!M7="Emeiquan B",115,IF(Atletas!M7="Fanziquan B",116,IF(Atletas!M7="Huaquan B",117,IF(Atletas!M7="Hongquan B",118,IF(Atletas!M7="Paoquan B",119,IF(Atletas!M7="Piguaquan B",120,IF(Atletas!M7="Shaolinquan B",121,IF(Atletas!M7="Tanglangquan B",122,IF(Atletas!M7="Yingzhaoquan B",123,IF(Atletas!M7="Tongbeiquan B",124,IF(Atletas!M7="Wudangquan B",125,IF(Atletas!M7="Outros Estilos B",126,IF(Atletas!M7="Chaquan C",127,IF(Atletas!M7="Emeiquan C",128,IF(Atletas!M7="Fanziquan C",129,IF(Atletas!M7="Huaquan C",130,IF(Atletas!M7="Hongquan C",131,IF(Atletas!M7="Paoquan C",132,IF(Atletas!M7="Piguaquan C",133,IF(Atletas!M7="Shaolinquan C",134,IF(Atletas!M7="Tanglangquan C",135,IF(Atletas!M7="Yingzhaoquan C",136,IF(Atletas!M7="Tongbeiquan C",137,IF(Atletas!M7="Wudangquan C",138,IF(Atletas!M7="Outros Estilos C",139,0))))))))))))))))))))))))))))))))))))))))))</f>
        <v/>
      </c>
      <c r="BT11" s="50" t="str">
        <f>IF(Atletas!M7="","",IF(Atletas!X7&lt;&gt;"",10000,0)+(IF(Atletas!B7="Feminino",1000,IF(Atletas!B7="Masculino",2000,""))+(IF(Atletas!M7="Chaquan D",140,IF(Atletas!M7="Emeiquan D",141,IF(Atletas!M7="Fanziquan D",142,IF(Atletas!M7="Huaquan D",143,IF(Atletas!M7="Hongquan D",144,IF(Atletas!M7="Paoquan D",145,IF(Atletas!M7="Piguaquan D",146,IF(Atletas!M7="Shaolinquan D",147,IF(Atletas!M7="Tanglangquan D",148,IF(Atletas!M7="Yingzhaoquan D",149,IF(Atletas!M7="Tongbeiquan D",150,IF(Atletas!M7="Wudangquan D",151,IF(Atletas!M7="Outros Estilos D",152,IF(Atletas!M7="Chaquan E",153,IF(Atletas!M7="Emeiquan E",154,IF(Atletas!M7="Fanziquan E",155,IF(Atletas!M7="Huaquan E",156,IF(Atletas!M7="Hongquan E",157,IF(Atletas!M7="Paoquan E",158,IF(Atletas!M7="Piguaquan E",159,IF(Atletas!M7="Shaolinquan E",160,IF(Atletas!M7="Tanglangquan E",161,IF(Atletas!M7="Yingzhaoquan E",162,IF(Atletas!M7="Tongbeiquan E",163,IF(Atletas!M7="Wudangquan E",164,IF(Atletas!M7="Outros Estilos E",165,IF(Atletas!M7="Chaquan F",166,IF(Atletas!M7="Emeiquan F",167,IF(Atletas!M7="Fanziquan F",168,IF(Atletas!M7="Huaquan F",169,IF(Atletas!M7="Hongquan F",170,IF(Atletas!M7="Paoquan F",171,IF(Atletas!M7="Piguaquan F",172,IF(Atletas!M7="Shaolinquan F",173,IF(Atletas!M7="Tanglangquan F",174,IF(Atletas!M7="Yingzhaoquan F",175,IF(Atletas!M7="Tongbeiquan F",176,IF(Atletas!M7="Wudangquan F",177,IF(Atletas!M7="Outros Estilos F",178,0))))))))))))))))))))))))))))))))))))))))))</f>
        <v/>
      </c>
      <c r="BU11" s="50" t="str">
        <f>IF(Atletas!N7="","",IF(Atletas!X7&lt;&gt;"",10000,0)+(IF(Atletas!B7="Feminino",1000,IF(Atletas!B7="Masculino",2000,""))+(IF(Atletas!N7="Ditangquan A",201,IF(Atletas!N7="Houquan A",202,IF(Atletas!N7="Zuiquan A",203,IF(Atletas!N7="Ditangquan B",204,IF(Atletas!N7="Houquan B",205,IF(Atletas!N7="Zuiquan B",206,IF(Atletas!N7="Ditangquan C",207,IF(Atletas!N7="Houquan C",208,IF(Atletas!N7="Zuiquan C",209,IF(Atletas!N7="Ditangquan D",210,IF(Atletas!N7="Houquan D",211,IF(Atletas!N7="Zuiquan D",212,IF(Atletas!N7="Ditangquan E",213,IF(Atletas!N7="Houquan E",214,IF(Atletas!N7="Zuiquan E",215,IF(Atletas!N7="Ditangquan F",216,IF(Atletas!N7="Houquan F",217,IF(Atletas!N7="Zuiquan F",218,"")))))))))))))))))))))</f>
        <v/>
      </c>
      <c r="BV11" s="50" t="str">
        <f>IF(Atletas!O7="","",IF(Atletas!X7&lt;&gt;"",10000,0)+IF(Atletas!B7="Feminino",1000,IF(Atletas!B7="Masculino",2000,""))+IF(Atletas!O7="Yang A",301,IF(Atletas!O7="Chen A",302,IF(Atletas!O7="Sun A",303,IF(Atletas!O7="Wu A",304,IF(Atletas!O7="Wu-Hao A",305,IF(Atletas!O7="Outro Taijiquan A",306,IF(Atletas!O7="Yang B",307,IF(Atletas!O7="Chen B",308,IF(Atletas!O7="Sun B",309,IF(Atletas!O7="Wu B",310,IF(Atletas!O7="Wu-Hao B",311,IF(Atletas!O7="Outro Taijiquan B",312,IF(Atletas!O7="Yang C",313,IF(Atletas!O7="Chen C",314,IF(Atletas!O7="Sun C",315,IF(Atletas!O7="Wu C",316,IF(Atletas!O7="Wu-Hao C",317,IF(Atletas!O7="Outro Taijiquan C",318,IF(Atletas!O7="Yang D",319,IF(Atletas!O7="Chen D",320,IF(Atletas!O7="Sun D",321,IF(Atletas!O7="Wu D",322,IF(Atletas!O7="Wu-Hao D",323,IF(Atletas!O7="Outro Taijiquan D",324,IF(Atletas!O7="Yang E",325,IF(Atletas!O7="Chen E",326,IF(Atletas!O7="Sun E",327,IF(Atletas!O7="Wu E",328,IF(Atletas!O7="Wu-Hao E",329,IF(Atletas!O7="Outro Taijiquan E",330,IF(Atletas!O7="Yang F",331,IF(Atletas!O7="Chen F",332,IF(Atletas!O7="Sun F",333,IF(Atletas!O7="Wu F",334,IF(Atletas!O7="Wu-Hao F",335,IF(Atletas!O7="Outro Taijiquan F",336,"")))))))))))))))))))))))))))))))))))))</f>
        <v/>
      </c>
      <c r="BW11" s="50" t="str">
        <f>IF(Atletas!P7="","",IF(Atletas!X7&lt;&gt;"",10000,0)+IF(Atletas!B7="Feminino",1000,IF(Atletas!B7="Masculino",2000,""))+IF(OR(Atletas!P7="Yang 26 A",Atletas!P7="Yang 40 A"),401,IF(OR(Atletas!P7="Chen 25 A",Atletas!P7="Chen 36 A",Atletas!P7="Chen 56 A"),402,IF(Atletas!P7="Sun 73 A",403,IF(Atletas!P7="Wu 45 A",404,IF(Atletas!P7="Wu-Hao 46 A",405,IF(OR(Atletas!P7="Taijiquan 16 A",Atletas!P7="Taijiquan 24 A",Atletas!P7="Taijiquan 32 A",Atletas!P7="Taijiquan 42 A"),406,IF(OR(Atletas!P7="Yang 26 B",Atletas!P7="Yang 40 B"),407,IF(OR(Atletas!P7="Chen 25 B",Atletas!P7="Chen 36 B",Atletas!P7="Chen 56 B"),408,IF(Atletas!P7="Sun 73 B",409,IF(Atletas!P7="Wu 45 B",410,IF(Atletas!P7="Wu-Hao 46 B",411,IF(OR(Atletas!P7="Taijiquan 16 B",Atletas!P7="Taijiquan 24 B",Atletas!P7="Taijiquan 32 B",Atletas!P7="Taijiquan 42 B"),412,IF(OR(Atletas!P7="Yang 26 C",Atletas!P7="Yang 40 C"),413,IF(OR(Atletas!P7="Chen 25 C",Atletas!P7="Chen 36 C",Atletas!P7="Chen 56 C"),414,IF(Atletas!P7="Sun 73 C",415,IF(Atletas!P7="Wu 45 C",416,IF(Atletas!P7="Wu-Hao 46 C",417,IF(OR(Atletas!P7="Taijiquan 16 C",Atletas!P7="Taijiquan 24 C",Atletas!P7="Taijiquan 32 C",Atletas!P7="Taijiquan 42 C"),418,0)))))))))))))))))))</f>
        <v/>
      </c>
      <c r="BX11" s="50" t="str">
        <f>IF(Atletas!P7="","",IF(Atletas!X7&lt;&gt;"",10000,0)+IF(Atletas!B7="Feminino",1000,IF(Atletas!B7="Masculino",2000,""))+IF(OR(Atletas!P7="Yang 26 D",Atletas!P7="Yang 40 D"),419,IF(OR(Atletas!P7="Chen 25 D",Atletas!P7="Chen 36 D",Atletas!P7="Chen 56 D"),420,IF(Atletas!P7="Sun 73 D",421,IF(Atletas!P7="Wu 45 D",422,IF(Atletas!P7="Wu-Hao 46 D",423,IF(OR(Atletas!P7="Taijiquan 16 D",Atletas!P7="Taijiquan 24 D",Atletas!P7="Taijiquan 32 D",Atletas!P7="Taijiquan 42 D"),424,IF(OR(Atletas!P7="Yang 26 E",Atletas!P7="Yang 40 E"),425,IF(OR(Atletas!P7="Chen 25 E",Atletas!P7="Chen 36 E",Atletas!P7="Chen 56 E"),426,IF(Atletas!P7="Sun 73 E",427,IF(Atletas!P7="Wu 45 E",428,IF(Atletas!P7="Wu-Hao 46 E",429,IF(OR(Atletas!P7="Taijiquan 16 E",Atletas!P7="Taijiquan 24 E",Atletas!P7="Taijiquan 32 E",Atletas!P7="Taijiquan 42 E"),430,IF(OR(Atletas!P7="Yang 26 F",Atletas!P7="Yang 40 F"),431,IF(OR(Atletas!P7="Chen 25 F",Atletas!P7="Chen 36 F",Atletas!P7="Chen 56 F"),432,IF(Atletas!P7="Sun 73 F",433,IF(Atletas!P7="Wu 45 F",434,IF(Atletas!P7="Wu-Hao 46 F",435,IF(OR(Atletas!P7="Taijiquan 16 F",Atletas!P7="Taijiquan 24 F",Atletas!P7="Taijiquan 32 F",Atletas!P7="Taijiquan 42 F"),436,0)))))))))))))))))))</f>
        <v/>
      </c>
      <c r="BY11" s="50" t="str">
        <f>IF(Atletas!Q7="","",IF(Atletas!X7&lt;&gt;"",10000,0)+IF(Atletas!B7="Feminino",1000,IF(Atletas!B7="Masculino",2000,""))+IF(Atletas!Q7="Xingyiquan A",501,IF(Atletas!Q7="Baguazhang A",502,IF(Atletas!Q7="Outro Estilo Interno A",503,IF(Atletas!Q7="Xingyiquan B",504,IF(Atletas!Q7="Baguazhang B",505,IF(Atletas!Q7="Outro Estilo Interno B",506,IF(Atletas!Q7="Xingyiquan C",507,IF(Atletas!Q7="Baguazhang C",508,IF(Atletas!Q7="Outro Estilo Interno C",509,IF(Atletas!Q7="Xingyiquan D",510,IF(Atletas!Q7="Baguazhang D",511,IF(Atletas!Q7="Outro Estilo Interno D",512,IF(Atletas!Q7="Xingyiquan E",513,IF(Atletas!Q7="Baguazhang E",514,IF(Atletas!Q7="Outro Estilo Interno E",515,IF(Atletas!Q7="Xingyiquan F",516,IF(Atletas!Q7="Baguazhang F",517,IF(Atletas!Q7="Outro Estilo Interno F",518, "")))))))))))))))))))</f>
        <v/>
      </c>
      <c r="BZ11" s="50" t="str">
        <f>IF(Atletas!R7="","",IF(Atletas!X7&lt;&gt;"",10000,0)+IF(Atletas!B7="Feminino",1000,IF(Atletas!B7="Masculino",2000,""))+IF(Atletas!R7="Dao A",601,IF(Atletas!R7="Jian A",602,IF(Atletas!R7="Bishou A",603,IF(Atletas!R7="Shanzi A",604,IF(Atletas!R7="Outra Arma Curta A",605,IF(Atletas!R7="Dao B",606,IF(Atletas!R7="Jian B",607,IF(Atletas!R7="Bishou B",608,IF(Atletas!R7="Shanzi B",609,IF(Atletas!R7="Outra Arma Curta B",610,IF(Atletas!R7="Dao C",611,IF(Atletas!R7="Jian C",612,IF(Atletas!R7="Bishou C",613,IF(Atletas!R7="Shanzi C",614,IF(Atletas!R7="Outra Arma Curta C",615,IF(Atletas!R7="Dao D",616,IF(Atletas!R7="Jian D",617,IF(Atletas!R7="Bishou D",618,IF(Atletas!R7="Shanzi D",619,IF(Atletas!R7="Outra Arma Curta D",620,IF(Atletas!R7="Dao E",621,IF(Atletas!R7="Jian E",622,IF(Atletas!R7="Bishou E",623,IF(Atletas!R7="Shanzi E",624,IF(Atletas!R7="Outra Arma Curta E",625,IF(Atletas!R7="Dao F",626,IF(Atletas!R7="Jian F",627,IF(Atletas!R7="Bishou F",628,IF(Atletas!R7="Shanzi F",629,IF(Atletas!R7="Outra Arma Curta F",630, "")))))))))))))))))))))))))))))))</f>
        <v/>
      </c>
      <c r="CA11" s="50" t="str">
        <f>IF(Atletas!S7="","",IF(Atletas!X7&lt;&gt;"",10000,0)+IF(Atletas!B7="Feminino",1000,IF(Atletas!B7="Masculino",2000,""))+IF(Atletas!S7="Gun A",701,IF(Atletas!S7="Qiang A",702,IF(Atletas!S7="Pudao / Guandao A",703,IF(Atletas!S7="Outra Arma Longa A",704,IF(Atletas!S7="Gun B",705,IF(Atletas!S7="Qiang B",706,IF(Atletas!S7="Pudao / Guandao B",707,IF(Atletas!S7="Outra Arma Longa B",708,IF(Atletas!S7="Gun C",709,IF(Atletas!S7="Qiang C",710,IF(Atletas!S7="Pudao / Guandao C",711,IF(Atletas!S7="Outra Arma Longa C",712,IF(Atletas!S7="Gun D",713,IF(Atletas!S7="Qiang D",714,IF(Atletas!S7="Pudao / Guandao D",715,IF(Atletas!S7="Outra Arma Longa D",716,IF(Atletas!S7="Gun E",717,IF(Atletas!S7="Qiang E",718,IF(Atletas!S7="Pudao / Guandao E",719,IF(Atletas!S7="Outra Arma Longa E",720,IF(Atletas!S7="Gun F",721,IF(Atletas!S7="Qiang F",722,IF(Atletas!S7="Pudao / Guandao F",723,IF(Atletas!S7="Outra Arma Longa F",724,"")))))))))))))))))))))))))</f>
        <v/>
      </c>
      <c r="CB11" s="50" t="str">
        <f>IF(Atletas!T7="","",IF(Atletas!X7&lt;&gt;"",10000,0)+IF(Atletas!B7="Feminino",1000,IF(Atletas!B7="Masculino",2000,""))+IF(Atletas!T7="Outra Arma Dupla A",801,IF(Atletas!T7="Arma Maleável A",802,IF(Atletas!T7="Outra Arma Dupla B",803,IF(Atletas!T7="Arma Maleável B",804,IF(Atletas!T7="Outra Arma Dupla C",805,IF(Atletas!T7="Arma Maleável C",806,IF(Atletas!T7="Outra Arma Dupla D",807,IF(Atletas!T7="Arma Maleável D",808,IF(Atletas!T7="Outra Arma Dupla E",809,IF(Atletas!T7="Arma Maleável E",810,IF(Atletas!T7="Outra Arma Dupla F",811,IF(Atletas!T7="Arma Maleável F",812,IF(Atletas!T7="Shuangdao A",813,IF(Atletas!T7="Shuangdao B",814,IF(Atletas!T7="Shuangdao C",815,IF(Atletas!T7="Shuangdao D",816,IF(Atletas!T7="Shuangdao E",817,IF(Atletas!T7="Shuangdao F",818,"")))))))))))))))))))</f>
        <v/>
      </c>
      <c r="CC11" s="50" t="str">
        <f>IF(Atletas!U7="","",IF(Atletas!X7&lt;&gt;"",10000,0)+IF(Atletas!B7="Feminino",1000,IF(Atletas!B7="Masculino",2000,""))+IF(OR(Atletas!U7="Taijijian Yang A",Atletas!U7="Taijijian Yang Standard A"),901,IF(OR(Atletas!U7="Taijijian Chen A", Atletas!U7="Taijijian Chen Standard A"),902,IF(Atletas!U7="Taijijian Sun A",903,IF(Atletas!U7="Taijijian Wu A",904,IF(Atletas!U7="Taijijian Wu-Hao A",905,IF(OR(Atletas!U7="Taijijian 32 A",Atletas!U7="Taijijian 42 A"),906,IF(OR(Atletas!U7="Taijijian Yang B",Atletas!U7="Taijijian Yang Standard B"),907,IF(OR(Atletas!U7="Taijijian Chen B", Atletas!U7="Taijijian Chen Standard B"),908,IF(Atletas!U7="Taijijian Sun B",909,IF(Atletas!U7="Taijijian Wu B",910,IF(Atletas!U7="Taijijian Wu-Hao B",911,IF(OR(Atletas!U7="Taijijian 32 B",Atletas!U7="Taijijian 42 B"),912,IF(OR(Atletas!U7="Taijijian Yang C",Atletas!U7="Taijijian Yang Standard C"),913,IF(OR(Atletas!U7="Taijijian Chen C", Atletas!U7="Taijijian Chen Standard C"),914,IF(Atletas!U7="Taijijian Sun C",915,IF(Atletas!U7="Taijijian Wu C",916,IF(Atletas!U7="Taijijian Wu-Hao C",917,IF(OR(Atletas!U7="Taijijian 32 C",Atletas!U7="Taijijian 42 C"),918,IF(OR(Atletas!U7="Taijijian Yang D",Atletas!U7="Taijijian Yang Standard D"),919,IF(OR(Atletas!U7="Taijijian Chen D", Atletas!U7="Taijijian Chen Standard D"),920,IF(Atletas!U7="Taijijian Sun D",921,IF(Atletas!U7="Taijijian Wu D",922,IF(Atletas!U7="Taijijian Wu-Hao D",923,IF(OR(Atletas!U7="Taijijian 32 D",Atletas!U7="Taijijian 42 D"),924,IF(OR(Atletas!U7="Taijijian Yang E",Atletas!U7="Taijijian Yang Standard E"),925,IF(OR(Atletas!U7="Taijijian Chen E", Atletas!U7="Taijijian Chen Standard E"),926,IF(Atletas!U7="Taijijian Sun E",927,IF(Atletas!U7="Taijijian Wu E",928,IF(Atletas!U7="Taijijian Wu-Hao E",929,IF(OR(Atletas!U7="Taijijian 32 E",Atletas!U7="Taijijian 42 E"),930,IF(OR(Atletas!U7="Taijijian Yang F",Atletas!U7="Taijijian Yang Standard F"),931,IF(OR(Atletas!U7="Taijijian Chen F", Atletas!U7="Taijijian Chen Standard F"),932,IF(Atletas!U7="Taijijian Sun F",933,IF(Atletas!U7="Taijijian Wu F",934,IF(Atletas!U7="Taijijian Wu-Hao F",935,IF(OR(Atletas!U7="Taijijian 32 F",Atletas!U7="Taijijian 42 F"),936,"")))))))))))))))))))))))))))))))))))))</f>
        <v/>
      </c>
      <c r="CD11" s="50" t="str">
        <f>IF(Atletas!V7="","",IF(Atletas!X7&lt;&gt;"",10000,0)+IF(Atletas!B7="Feminino",1000,IF(Atletas!B7="Masculino",2000,""))+IF(Atletas!V7="Taijidao A",937,IF(Atletas!V7="TaijiShanzi A",938,IF(Atletas!V7="Taijiqiang A",939,IF(Atletas!V7="Bagua de Arma A",940,IF(Atletas!V7="Xingyi de Arma A",941,IF(Atletas!V7="Taijidao B",942,IF(Atletas!V7="TaijiShanzi B",943,IF(Atletas!V7="Taijiqiang B",944,IF(Atletas!V7="Bagua de Arma B",945,IF(Atletas!V7="Xingyi de Arma B",946,IF(Atletas!V7="Taijidao C",947,IF(Atletas!V7="TaijiShanzi C",948,IF(Atletas!V7="Taijiqiang C",949,IF(Atletas!V7="Bagua de Arma C",950,IF(Atletas!V7="Xingyi de Arma C",951,IF(Atletas!V7="Taijidao D",952,IF(Atletas!V7="TaijiShanzi D",953,IF(Atletas!V7="Taijiqiang D",954,IF(Atletas!V7="Bagua de Arma D",955,IF(Atletas!V7="Xingyi de Arma D",956,IF(Atletas!V7="Taijidao E",957,IF(Atletas!V7="TaijiShanzi E",958,IF(Atletas!V7="Taijiqiang E",959,IF(Atletas!V7="Bagua de Arma E",960,IF(Atletas!V7="Xingyi de Arma E",961,IF(Atletas!V7="Taijidao F",962,IF(Atletas!V7="TaijiShanzi F",963,IF(Atletas!V7="Taijiqiang F",964,IF(Atletas!V7="Bagua de Arma F",965,IF(Atletas!V7="Xingyi de Arma F",966,"")))))))))))))))))))))))))))))))</f>
        <v/>
      </c>
      <c r="CE11" s="66" t="str">
        <f>IF(CF11&lt;&gt;"","Wingchun A","")</f>
        <v/>
      </c>
      <c r="CF11" s="66" t="str">
        <f>IF(COUNTIF(BR:CD,1004)&gt;0,COUNTIF(BR:CD,1004),"")</f>
        <v/>
      </c>
      <c r="CG11" s="66" t="str">
        <f>IF(CH11&lt;&gt;"","Wingchun A","")</f>
        <v/>
      </c>
      <c r="CH11" s="66" t="str">
        <f>IF(COUNTIF(BR:CD,2004)&gt;0,COUNTIF(BR:CD,2004),"")</f>
        <v/>
      </c>
      <c r="CI11" s="66" t="str">
        <f>IF(CJ11&lt;&gt;"","Outra Mão de Sul A","")</f>
        <v/>
      </c>
      <c r="CJ11" s="66" t="str">
        <f>IF(COUNTIF(BR:CD,11005)&gt;0,COUNTIF(BR:CD,11005),"")</f>
        <v/>
      </c>
      <c r="CK11" s="66" t="str">
        <f>IF(CL11&lt;&gt;"","Outra Mão de Sul A","")</f>
        <v/>
      </c>
      <c r="CL11" s="66" t="str">
        <f>IF(COUNTIF(BR:CD,12005)&gt;0,COUNTIF(BR:CD,12005),"")</f>
        <v/>
      </c>
      <c r="CM11" s="50" t="str">
        <f xml:space="preserve"> IF(Atletas!W7="","",IF(Atletas!W7="Duilian de Mãos BC - Equipe 1",1,IF(Atletas!W7="Duilian de Mãos BC - Equipe 2",2,IF(Atletas!W7="Duilian de Armas BC - Equipe 1",3,IF(Atletas!W7="Duilian de Armas BC - Equipe 2",4,IF(Atletas!W7="Duilian de Mãos DE - Equipe 1",5,IF(Atletas!W7="Duilian de Mãos DE - Equipe 2",6,IF(Atletas!W7="Duilian de Armas DE - Equipe 1",7,IF(Atletas!W7="Duilian de Armas DE - Equipe 2",8,IF(Atletas!W7="Duilian de Tuishou - Equipe 1",9,IF(Atletas!W7="Duilian de Tuishou - Equipe 2",10,IF(Atletas!W7="Grupo Externo ABC - Equipe 1",11,IF(Atletas!W7="Grupo Externo ABC - Equipe 2",12,IF(Atletas!W7="Grupo Interno ABC - Equipe 1",13,IF(Atletas!W7="Grupo Interno ABC - Equipe 2",14,IF(Atletas!W7="Grupo Externo DEF - Equipe 1",15,IF(Atletas!W7="Grupo Externo DEF - Equipe 2",16,IF(Atletas!W7="Grupo Interno DEF - Equipe 1",17,IF(Atletas!W7="Grupo Interno DEF - Equipe 2",18,"")))))))))))))))))))</f>
        <v/>
      </c>
      <c r="CN11" s="69" t="str">
        <f>IF(CO11&lt;&gt;"","Duilian de Mãos DE - Equipe 1","")</f>
        <v/>
      </c>
      <c r="CO11" s="68" t="str">
        <f>IF(COUNTIF(CM:CM,5)&gt;0,COUNTIF(CM:CM,5),"")</f>
        <v/>
      </c>
      <c r="CR11" s="63" t="str">
        <f>IF(CS11&lt;&gt;"","Grupo Externo DEF - Equipe 1","")</f>
        <v/>
      </c>
      <c r="CS11" s="62" t="str">
        <f>IF(COUNTIF(CM:CM,15)&gt;0,COUNTIF(CM:CM,15),"")</f>
        <v/>
      </c>
      <c r="CY11" s="41"/>
    </row>
    <row r="12" spans="1:103">
      <c r="A12" s="16"/>
      <c r="B12" s="3" t="str">
        <f t="array" ref="B12">IFERROR(INDEX(AO$7:AO$38,SMALL(IF(AO$7:AO$38&lt;&gt;"",ROW(AO$7:AO$38)-ROW(AO$7)+1),ROWS(AO$7:AO11))),"")</f>
        <v/>
      </c>
      <c r="C12" s="3" t="str">
        <f t="array" ref="C12">IFERROR(INDEX(AP$7:AP$38,SMALL(IF(AP$7:AP$38&lt;&gt;"",ROW(AP$7:AP$38)-ROW(AP$7)+1),ROWS(AP$7:AP11))),"")</f>
        <v/>
      </c>
      <c r="D12" s="3" t="str">
        <f t="array" ref="D12">IFERROR(INDEX(AQ$7:AQ$38,SMALL(IF(AQ$7:AQ$38&lt;&gt;"",ROW(AQ$7:AQ$38)-ROW(AQ$7)+1),ROWS(AQ$7:AQ11))),"")</f>
        <v/>
      </c>
      <c r="E12" s="3" t="str">
        <f t="array" ref="E12">IFERROR(INDEX(AR$7:AR$38,SMALL(IF(AR$7:AR$38&lt;&gt;"",ROW(AR$7:AR$38)-ROW(AR$7)+1),ROWS(AR$7:AR11))),"")</f>
        <v/>
      </c>
      <c r="F12" s="3" t="str">
        <f t="array" ref="F12">IFERROR(INDEX(AT$7:AT$36,SMALL(IF(AT$7:AT$36&lt;&gt;"",ROW(AT$7:AT$36)-ROW(AT$7)+1),ROWS(AT$7:AT11))),"")</f>
        <v/>
      </c>
      <c r="G12" s="3" t="str">
        <f t="array" ref="G12">IFERROR(INDEX(AU$7:AU$36,SMALL(IF(AU$7:AU$36&lt;&gt;"",ROW(AU$7:AU$36)-ROW(AU$7)+1),ROWS(AU$7:AU11))),"")</f>
        <v/>
      </c>
      <c r="H12" s="3" t="str">
        <f t="array" ref="H12">IFERROR(INDEX(AV$7:AV$36,SMALL(IF(AV$7:AV$36&lt;&gt;"",ROW(AV$7:AV$36)-ROW(AV$7)+1),ROWS(AV$7:AV11))),"")</f>
        <v/>
      </c>
      <c r="I12" s="3" t="str">
        <f t="array" ref="I12">IFERROR(INDEX(AW$7:AW$36,SMALL(IF(AW$7:AW$36&lt;&gt;"",ROW(AW$7:AW$36)-ROW(AW$7)+1),ROWS(AW$7:AW11))),"")</f>
        <v/>
      </c>
      <c r="J12" s="3" t="str">
        <f t="array" ref="J12">IFERROR(INDEX(AY$7:AY$36,SMALL(IF(AY$7:AY$36&lt;&gt;"",ROW(AY$7:AY$36)-ROW(AY$7)+1),ROWS(AY$7:AY11))),"")</f>
        <v/>
      </c>
      <c r="K12" s="3" t="str">
        <f t="array" ref="K12">IFERROR(INDEX(AZ$7:AZ$36,SMALL(IF(AZ$7:AZ$36&lt;&gt;"",ROW(AZ$7:AZ$36)-ROW(AZ$7)+1),ROWS(AZ$7:AZ11))),"")</f>
        <v/>
      </c>
      <c r="L12" s="3" t="str">
        <f t="array" ref="L12">IFERROR(INDEX(BA$7:BA$36,SMALL(IF(BA$7:BA$36&lt;&gt;"",ROW(BA$7:BA$36)-ROW(BA$7)+1),ROWS(BA$7:BA11))),"")</f>
        <v/>
      </c>
      <c r="M12" s="3" t="str">
        <f t="array" ref="M12">IFERROR(INDEX(BB$7:BB$36,SMALL(IF(BB$7:BB$36&lt;&gt;"",ROW(BB$7:BB$36)-ROW(BB$7)+1),ROWS(BB$7:BB11))),"")</f>
        <v/>
      </c>
      <c r="N12" s="3" t="str" cm="1">
        <f t="array" ref="N12">IFERROR(INDEX(BD$7:BD$8,SMALL(IF(BD$7:BD$8&lt;&gt;"",ROW(BD$7:BD$8)-ROW(BD$7)+1),ROWS(BD$7:BD11))),"")</f>
        <v/>
      </c>
      <c r="O12" s="3" t="str" cm="1">
        <f t="array" ref="O12">IFERROR(INDEX(BE$7:BE$8,SMALL(IF(BE$7:BE$8&lt;&gt;"",ROW(BE$7:BE$8)-ROW(BE$7)+1),ROWS(BE$7:BE11))),"")</f>
        <v/>
      </c>
      <c r="P12" s="3" t="str" cm="1">
        <f t="array" ref="P12">IFERROR(INDEX(BD$9:BD$10,SMALL(IF(BD$9:BD$10&lt;&gt;"",ROW(BD$9:BD$10)-ROW(BD$9)+1),ROWS(BD$9:BD13))),"")</f>
        <v/>
      </c>
      <c r="Q12" s="3" t="str">
        <f t="array" ref="Q12">IFERROR(INDEX(BH$7:BH$36,SMALL(IF(BH$7:BH$36&lt;&gt;"",ROW(BH$7:BH$36)-ROW(BH$7)+1),ROWS(BH$7:BH11))),"")</f>
        <v/>
      </c>
      <c r="R12" s="3" t="str">
        <f t="array" ref="R12">IFERROR(INDEX(BI$7:BI$68,SMALL(IF(BI$7:BI$68&lt;&gt;"",ROW(BI$7:BI$68)-ROW(BI$7)+1),ROWS(BI$7:BI11))),"")</f>
        <v/>
      </c>
      <c r="S12" s="3" t="str">
        <f t="array" ref="S12">IFERROR(INDEX(BJ$7:BJ$68,SMALL(IF(BJ$7:BJ$68&lt;&gt;"",ROW(BJ$7:BJ$68)-ROW(BJ$7)+1),ROWS(BJ$7:BJ11))),"")</f>
        <v/>
      </c>
      <c r="T12" s="3" t="str">
        <f t="array" ref="T12">IFERROR(INDEX(BK$7:BK$68,SMALL(IF(BK$7:BK$68&lt;&gt;"",ROW(BK$7:BK$68)-ROW(BK$7)+1),ROWS(BK$7:BK11))),"")</f>
        <v/>
      </c>
      <c r="U12" s="3" t="str">
        <f t="array" ref="U12">IFERROR(INDEX(BL$7:BL$68,SMALL(IF(BL$7:BL$68&lt;&gt;"",ROW(BL$7:BL$68)-ROW(BL$7)+1),ROWS(BL$7:BL11))),"")</f>
        <v/>
      </c>
      <c r="V12" s="3" t="str">
        <f t="array" ref="V12">IFERROR(INDEX(BN$7:BN$12,SMALL(IF(BN$7:BN$12&lt;&gt;"",ROW(BN$7:BN$12)-ROW(BN$7)+1),ROWS(BN$7:BN11))),"")</f>
        <v/>
      </c>
      <c r="W12" s="3" t="str">
        <f t="array" ref="W12">IFERROR(INDEX(BO$7:BO$12,SMALL(IF(BO$7:BO$12&lt;&gt;"",ROW(BO$7:BO$12)-ROW(BO$7)+1),ROWS(BO$7:BO11))),"")</f>
        <v/>
      </c>
      <c r="X12" s="3" t="str">
        <f t="array" ref="X12">IFERROR(INDEX(BP$7:BP$12,SMALL(IF(BP$7:BP$12&lt;&gt;"",ROW(BP$7:BP$12)-ROW(BP$7)+1),ROWS(BP$7:BP11))),"")</f>
        <v/>
      </c>
      <c r="Y12" s="3" t="str">
        <f t="array" ref="Y12">IFERROR(INDEX(BQ$7:BQ$12,SMALL(IF(BQ$7:BQ$12&lt;&gt;"",ROW(BQ$7:BQ$12)-ROW(BQ$7)+1),ROWS(BQ$7:BQ11))),"")</f>
        <v/>
      </c>
      <c r="Z12" s="3" t="str">
        <f t="array" ref="Z12">IFERROR(INDEX(CE$7:CE$348,SMALL(IF(CE$7:CE$348&lt;&gt;"",ROW(CE$7:CE$348)-ROW(CE$7)+1),ROWS(CE$7:CE11))),"")</f>
        <v/>
      </c>
      <c r="AA12" s="3" t="str">
        <f t="array" ref="AA12">IFERROR(INDEX(CF$7:CF$348,SMALL(IF(CF$7:CF$348&lt;&gt;"",ROW(CF$7:CF$348)-ROW(CF$7)+1),ROWS(CF$7:CF11))),"")</f>
        <v/>
      </c>
      <c r="AB12" s="3" t="str">
        <f t="array" ref="AB12">IFERROR(INDEX(CG$7:CG$348,SMALL(IF(CG$7:CG$348&lt;&gt;"",ROW(CG$7:CG$348)-ROW(CG$7)+1),ROWS(CG$7:CG11))),"")</f>
        <v/>
      </c>
      <c r="AC12" s="3" t="str">
        <f t="array" ref="AC12">IFERROR(INDEX(CH$7:CH$348,SMALL(IF(CH$7:CH$348&lt;&gt;"",ROW(CH$7:CH$348)-ROW(CH$7)+1),ROWS(CH$7:CH11))),"")</f>
        <v/>
      </c>
      <c r="AD12" s="3" t="str">
        <f t="array" ref="AD12">IFERROR(INDEX(CI$7:CI$377,SMALL(IF(CI$7:CI$377&lt;&gt;"",ROW(CI$7:CI$377)-ROW(CI$7)+1),ROWS(CI$7:CI11))),"")</f>
        <v/>
      </c>
      <c r="AE12" s="3" t="str">
        <f t="array" ref="AE12">IFERROR(INDEX(CJ$7:CJ$378,SMALL(IF(CJ$7:CJ$378&lt;&gt;"",ROW(CJ$7:CJ$378)-ROW(CJ$7)+1),ROWS(CJ$7:CJ11))),"")</f>
        <v/>
      </c>
      <c r="AF12" s="3" t="str">
        <f t="array" ref="AF12">IFERROR(INDEX(CK$7:CK$378,SMALL(IF(CK$7:CK$378&lt;&gt;"",ROW(CK$7:CK$378)-ROW(CK$7)+1),ROWS(CK$7:CK11))),"")</f>
        <v/>
      </c>
      <c r="AG12" s="3" t="str">
        <f t="array" ref="AG12">IFERROR(INDEX(CL$7:CL$378,SMALL(IF(CL$7:CL$378&lt;&gt;"",ROW(CL$7:CL$378)-ROW(CL$7)+1),ROWS(CL$7:CL11))),"")</f>
        <v/>
      </c>
      <c r="AH12" s="40" t="str">
        <f t="array" ref="AH12">IFERROR(INDEX(CN$7:CN$18,SMALL(IF(CN$7:CN$18&lt;&gt;"",ROW(CN$7:CN$18)-ROW(CN$7)+1),ROWS(CN$7:CN11))),"")</f>
        <v/>
      </c>
      <c r="AI12" s="40" t="str">
        <f t="array" ref="AI12">IFERROR(INDEX(CO$7:CO$18,SMALL(IF(CO$7:CO$18&lt;&gt;"",ROW(CO$7:CO$18)-ROW(CO$7)+1),ROWS(CO$7:CO11))),"")</f>
        <v/>
      </c>
      <c r="AJ12" s="40"/>
      <c r="AK12" s="40"/>
      <c r="AL12" s="40" t="str">
        <f t="array" ref="AL12">IFERROR(INDEX(CR$7:CR$14,SMALL(IF(CR$7:CR$14&lt;&gt;"",ROW(CR$7:CR$14)-ROW(CR$7)+1),ROWS(CR$7:CR11))),"")</f>
        <v/>
      </c>
      <c r="AM12" s="40" t="str">
        <f t="array" ref="AM12">IFERROR(INDEX(CS$7:CS$14,SMALL(IF(CS$7:CS$14&lt;&gt;"",ROW(CS$7:CS$14)-ROW(CS$7)+1),ROWS(CS$7:CS11))),"")</f>
        <v/>
      </c>
      <c r="AN12" s="52" t="str">
        <f>IF(Atletas!D8="","",IF(Atletas!B8="Feminino",100,IF(Atletas!B8="Masculino",200,""))+(IF(Atletas!D8="Kids 30kg",1,IF(Atletas!D8="Kids 32kg",2, IF(Atletas!D8="Kids 34kg",3,IF(Atletas!D8="Kids 36kg",4,IF(Atletas!D8="Kids 39kg",5,IF(Atletas!D8="Kids 42kg",6,IF(Atletas!D8="Kids 45kg",7, IF(Atletas!D8="Infantil 39kg",8,IF(Atletas!D8="Infantil 42kg",9,IF(Atletas!D8="Infantil 45kg",10,IF(Atletas!D8="Infantil 48kg",11,IF(Atletas!D8="Infantil 52kg",12,IF(Atletas!D8="Infantil 56kg",13,IF(Atletas!D8="Infantil 60kg",14,IF(Atletas!D8="Juvenil 48kg",15,IF(Atletas!D8="Juvenil 52kg",16,IF(Atletas!D8="Juvenil 56kg",17,IF(Atletas!D8="Juvenil 60kg",18,IF(Atletas!D8="Juvenil 65kg",19,IF(Atletas!D8="Juvenil 70kg",20,IF(Atletas!D8="Juvenil 75kg",21,IF(Atletas!D8="Juvenil 80kg",22, IF(Atletas!D8="Juvenil 85kg",23,IF(Atletas!D8="Adulto 48kg",24,IF(Atletas!D8="Adulto 52kg",25,IF(Atletas!D8="Adulto 56kg",26,IF(Atletas!D8="Adulto 60kg",27,IF(Atletas!D8="Adulto 65kg",28,IF(Atletas!D8="Adulto 70kg",29,IF(Atletas!D8="Adulto 75kg",30,IF(Atletas!D8="Adulto 80kg",31,IF(Atletas!D8="Adulto 85kg",32,IF(Atletas!D8="Adulto 90kg",33,IF(Atletas!D8="Adulto 100kg",34, IF(Atletas!D8="Adulto +100kg",35,"")))))))))))))))))))))))))))))))))))))</f>
        <v/>
      </c>
      <c r="AO12" s="50" t="str">
        <f>IF(AP12&lt;&gt;"","Infantil 39kg","")</f>
        <v/>
      </c>
      <c r="AP12" s="6" t="str">
        <f>IF(COUNTIF(AN:AN,108)&gt;0,COUNTIF(AN:AN,108),"")</f>
        <v/>
      </c>
      <c r="AQ12" s="50" t="str">
        <f>IF(AR12&lt;&gt;"","Kids 42kg","")</f>
        <v/>
      </c>
      <c r="AR12" s="6" t="str">
        <f>IF(COUNTIF(AN:AN,206)&gt;0,COUNTIF(AN:AN,206),"")</f>
        <v/>
      </c>
      <c r="AS12" s="6" t="str">
        <f>IF(Atletas!E8="","",IF(Atletas!B8="Feminino",100,IF(Atletas!B8="Masculino",200,""))+(IF(Atletas!E8="Juvenil 44kg",1,IF(Atletas!E8="Juvenil 48kg",2,IF(Atletas!E8="Juvenil 52kg",3,IF(Atletas!E8="Juvenil 56kg",4,IF(Atletas!E8="Juvenil 60kg",5,IF(Atletas!E8="Juvenil 65kg",6,IF(Atletas!E8="Juvenil 70kg",7,IF(Atletas!E8="Juvenil 75kg",8,IF(Atletas!E8="Juvenil 82kg",9,IF(Atletas!E8="Juvenil 90kg",10,IF(Atletas!E8="Juvenil 100kg",11,IF(Atletas!E8="Adulto 48kg",12,IF(Atletas!E8="Adulto 52kg",13,IF(Atletas!E8="Adulto 56kg",14,IF(Atletas!E8="Adulto 60kg",15,IF(Atletas!E8="Adulto 65kg",16,IF(Atletas!E8="Adulto 70kg",17,IF(Atletas!E8="Adulto 75kg",18,IF(Atletas!E8="Adulto 82kg",19,IF(Atletas!E8="Adulto 90kg",20,IF(Atletas!E8="Adulto 100kg",21,IF(Atletas!E8="Adulto +100kg",22,""))))))))))))))))))))))))</f>
        <v/>
      </c>
      <c r="AT12" s="50" t="str">
        <f>IF(AU12&lt;&gt;"","Juvenil 65kg","")</f>
        <v/>
      </c>
      <c r="AU12" s="6" t="str">
        <f>IF(COUNTIF(AS:AS,106)&gt;0,COUNTIF(AS:AS,106),"")</f>
        <v/>
      </c>
      <c r="AV12" s="50" t="str">
        <f>IF(AW12&lt;&gt;"","Juvenil 70kg","")</f>
        <v/>
      </c>
      <c r="AW12" s="6" t="str">
        <f>IF(COUNTIF(AS:AS,207)&gt;0,COUNTIF(AS:AS,207),"")</f>
        <v/>
      </c>
      <c r="AX12" s="6" t="str">
        <f>IF(Atletas!F8="","",IF(Atletas!B8="Feminino",100,IF(Atletas!B8="Masculino",200,""))+(IF(Atletas!F8="Adulto 48kg",1,IF(Atletas!F8="Adulto 56kg",2,IF(Atletas!F8="Adulto 65kg",3,IF(Atletas!F8="Adulto 75kg",4,IF(Atletas!F8="Adulto +75kg",5,IF(Atletas!F8="Adulto 52kg",6,IF(Atletas!F8="Adulto 60kg",7,IF(Atletas!F8="Adulto 70kg",8,IF(Atletas!F8="Adulto 80kg",9,IF(Atletas!F8="Adulto 90kg",10,IF(Atletas!F8="Adulto +90kg",11,"")))))))))))))</f>
        <v/>
      </c>
      <c r="AY12" s="50"/>
      <c r="BA12" s="50" t="str">
        <f>IF(BB12&lt;&gt;"","Adulto +90kg","")</f>
        <v/>
      </c>
      <c r="BB12" s="6" t="str">
        <f>IF(COUNTIF(AX:AX,211)&gt;0,COUNTIF(AX:AX,211),"")</f>
        <v/>
      </c>
      <c r="BC12" s="6" t="str">
        <f>IF(Atletas!G8="","",IF(Atletas!B8="Feminino",10,IF(Atletas!B8="Masculino",20,""))+(IF(Atletas!G8="Baduanjin A",1,IF(Atletas!G8="Baduanjin B",2))))</f>
        <v/>
      </c>
      <c r="BF12" s="52" t="str">
        <f>IF(Atletas!H8="","",IF(Atletas!B8="Feminino",100,IF(Atletas!B8="Masculino",200,""))+(IF(Atletas!H8="Changquan Mirim",1,IF(Atletas!H8="Nanquan Mirim",2,IF(Atletas!H8="Taijiquan Mirim",3,IF(Atletas!H8="Changquan Grupo C",4,IF(Atletas!H8="Nanquan Grupo C",5,IF(Atletas!H8="Taijiquan Grupo C",6,IF(Atletas!H8="Changquan Grupo B",7,IF(Atletas!H8="Nanquan Grupo B",8,IF(Atletas!H8="Taijiquan Grupo B",9,IF(Atletas!H8="Changquan Grupo A",10,IF(Atletas!H8="Nanquan Grupo A",11,IF(Atletas!H8="Taijiquan Grupo A",12,IF(Atletas!H8="Changquan Opcional",13,IF(Atletas!H8="Nanquan Opcional",14,IF(Atletas!H8="Taijiquan Opcional",15,IF(Atletas!H8="Changquan Adulto",16,IF(Atletas!H8="Nanquan Adulto",17,IF(Atletas!H8="Taijiquan Adulto",18,""))))))))))))))))))))</f>
        <v/>
      </c>
      <c r="BG12" s="52" t="str">
        <f>IF(Atletas!I8="","",IF(Atletas!B8="Feminino",100,IF(Atletas!B8="Masculino",200,""))+(IF(Atletas!I8="Daoshu Mirim",19,IF(Atletas!I8="Jianshu Mirim",20,IF(Atletas!I8="Nandao Mirim",21,IF(Atletas!I8="Taijijian Mirim",22,IF(Atletas!I8="Daoshu Grupo C",23,IF(Atletas!I8="Jianshu Grupo C",24,IF(Atletas!I8="Nandao Grupo C",25,IF(Atletas!I8="Taijijian Grupo C",26,IF(Atletas!I8="Daoshu Grupo B",27,IF(Atletas!I8="Jianshu Grupo B",28,IF(Atletas!I8="Nandao Grupo B",29,IF(Atletas!I8="Taijijian Grupo B",30,IF(Atletas!I8="Daoshu Grupo A",31,IF(Atletas!I8="Jianshu Grupo A",32,IF(Atletas!I8="Nandao Grupo A",33,IF(Atletas!I8="Taijijian Grupo A",34,IF(Atletas!I8="Daoshu Opcional",35,IF(Atletas!I8="Jianshu Opcional",36,IF(Atletas!I8="Nandao Opcional",37,IF(Atletas!I8="Taijijian Opcional",38,IF(Atletas!I8="Daoshu Adulto",39,IF(Atletas!I8="Jianshu Adulto",40,IF(Atletas!I8="Nandao Adulto",41,IF(Atletas!I8="Taijijian Adulto",42,""))))))))))))))))))))))))))</f>
        <v/>
      </c>
      <c r="BH12" s="52" t="str">
        <f>IF(Atletas!J8="","",IF(Atletas!B8="Feminino",100,IF(Atletas!B8="Masculino",200,""))+(IF(Atletas!J8="Gunshu Mirim",43,IF(Atletas!J8="Qiangshu Mirim",44,IF(Atletas!J8="Nangun Mirim",45,IF(Atletas!J8="Gunshu Grupo C",46,IF(Atletas!J8="Qiangshu Grupo C",47,IF(Atletas!J8="Nangun Grupo C",48,IF(Atletas!J8="Gunshu Grupo B",49,IF(Atletas!J8="Qiangshu Grupo B",50,IF(Atletas!J8="Nangun Grupo B",51,IF(Atletas!J8="Gunshu Grupo A",52,IF(Atletas!J8="Qiangshu Grupo A",53,IF(Atletas!J8="Nangun Grupo A",54,IF(Atletas!J8="Gunshu Opcional",55,IF(Atletas!J8="Qiangshu Opcional",56,IF(Atletas!J8="Nangun Opcional",57,IF(Atletas!J8="Gunshu Adulto",58,IF(Atletas!J8="Qiangshu Adulto",59,IF(Atletas!J8="Nangun Adulto",60,IF(Atletas!J8="Taijishan Grupo B",61,IF(Atletas!J8="Taijishan Grupo A",62,""))))))))))))))))))))))</f>
        <v/>
      </c>
      <c r="BI12" s="52" t="str">
        <f>IF(BJ12&lt;&gt;"","Nandao Mirim","")</f>
        <v/>
      </c>
      <c r="BJ12" s="50" t="str">
        <f>IF(COUNTIF(BF:BH,121)&gt;0,COUNTIF(BF:BH,121),"")</f>
        <v/>
      </c>
      <c r="BK12" s="52" t="str">
        <f>IF(BL12&lt;&gt;"","Nandao Mirim","")</f>
        <v/>
      </c>
      <c r="BL12" s="50" t="str">
        <f>IF(COUNTIF(BF:BH,221)&gt;0,COUNTIF(BF:BH,221),"")</f>
        <v/>
      </c>
      <c r="BM12" s="50" t="str">
        <f>IF(Atletas!K8="","",IF(Atletas!B8="Feminino",100,IF(Atletas!B8="Masculino",200,""))+(IF(Atletas!K8="Equipe 1 Grupo B",1,IF(Atletas!K8="Equipe 2 Grupo B",2,IF(Atletas!K8="Equipe 1 Grupo A",3,IF(Atletas!K8="Equipe 2 Grupo A",4,IF(Atletas!K8="Equipe 1 Adulto",5,IF(Atletas!K8="Equipe 2 Adulto",6,""))))))))</f>
        <v/>
      </c>
      <c r="BN12" s="52" t="str">
        <f>IF(BO12&lt;&gt;"","Equipe 2 Adulto","")</f>
        <v/>
      </c>
      <c r="BO12" s="50" t="str">
        <f>IF(COUNTIF(BM:BM,106)&gt;0,COUNTIF(BM:BM,106),"")</f>
        <v/>
      </c>
      <c r="BP12" s="52" t="str">
        <f>IF(BQ12&lt;&gt;"","Equipe 2 Adulto","")</f>
        <v/>
      </c>
      <c r="BQ12" s="50" t="str">
        <f>IF(COUNTIF(BM:BM,206)&gt;0,COUNTIF(BM:BM,206),"")</f>
        <v/>
      </c>
      <c r="BR12" s="50" t="str">
        <f>IF(Atletas!L8="","",IF(Atletas!X8&lt;&gt;"",10000,0)+(IF(Atletas!B8="Feminino",1000,IF(Atletas!B8="Masculino",2000,""))+IF(Atletas!L8="Choylayfut A",1,IF(Atletas!L8="Hunggar A",2,IF(Atletas!L8="Wuzuquan A",3,IF(Atletas!L8="Wingchun A",4,IF(Atletas!L8="Outra Mão de Sul A",5,IF(Atletas!L8="Choylayfut B",6,IF(Atletas!L8="Hunggar B",7,IF(Atletas!L8="Wuzuquan B",8,IF(Atletas!L8="Wingchun B",9,IF(Atletas!L8="Outra Mão de Sul B",10,IF(Atletas!L8="Choylayfut C",11,IF(Atletas!L8="Hunggar C",12,IF(Atletas!L8="Wuzuquan C",13,IF(Atletas!L8="Wingchun C",14,IF(Atletas!L8="Outra Mão de Sul C",15,IF(Atletas!L8="Choylayfut D",16,IF(Atletas!L8="Hunggar D",17,IF(Atletas!L8="Wuzuquan D",18,IF(Atletas!L8="Wingchun D",19,IF(Atletas!L8="Outra Mão de Sul D",20,IF(Atletas!L8="Choylayfut E",21,IF(Atletas!L8="Hunggar E",22,IF(Atletas!L8="Wuzuquan E",23,IF(Atletas!L8="Wingchun E",24,IF(Atletas!L8="Outra Mão de Sul E",25,IF(Atletas!L8="Choylayfut F",26,IF(Atletas!L8="Hunggar F",27,IF(Atletas!L8="Wuzuquan F",28,IF(Atletas!L8="Wingchun F",29,IF(Atletas!L8="Outra Mão de Sul F",30,IF(Atletas!L8="Dishuquan A",31,IF(Atletas!L8="Dishuquan B",32,IF(Atletas!L8="Dishuquan C",33,IF(Atletas!L8="Dishuquan D",34,IF(Atletas!L8="Dishuquan E",35,IF(Atletas!L8="Dishuquan F",36,""))))))))))))))))))))))))))))))))))))))</f>
        <v/>
      </c>
      <c r="BS12" s="50" t="str">
        <f>IF(Atletas!M8="","",IF(Atletas!X8&lt;&gt;"",10000,0)+(IF(Atletas!B8="Feminino",1000,IF(Atletas!B8="Masculino",2000,""))+(IF(Atletas!M8="Chaquan A",101,IF(Atletas!M8="Emeiquan A",102,IF(Atletas!M8="Fanziquan A",103,IF(Atletas!M8="Huaquan A",104,IF(Atletas!M8="Hongquan A",105,IF(Atletas!M8="Paoquan A",106,IF(Atletas!M8="Piguaquan A",107,IF(Atletas!M8="Shaolinquan A",108,IF(Atletas!M8="Tanglangquan A",109,IF(Atletas!M8="Yingzhaoquan A",110,IF(Atletas!M8="Tongbeiquan A",111,IF(Atletas!M8="Wudangquan A",112,IF(Atletas!M8="Outros Estilos A",113,IF(Atletas!M8="Chaquan B",114,IF(Atletas!M8="Emeiquan B",115,IF(Atletas!M8="Fanziquan B",116,IF(Atletas!M8="Huaquan B",117,IF(Atletas!M8="Hongquan B",118,IF(Atletas!M8="Paoquan B",119,IF(Atletas!M8="Piguaquan B",120,IF(Atletas!M8="Shaolinquan B",121,IF(Atletas!M8="Tanglangquan B",122,IF(Atletas!M8="Yingzhaoquan B",123,IF(Atletas!M8="Tongbeiquan B",124,IF(Atletas!M8="Wudangquan B",125,IF(Atletas!M8="Outros Estilos B",126,IF(Atletas!M8="Chaquan C",127,IF(Atletas!M8="Emeiquan C",128,IF(Atletas!M8="Fanziquan C",129,IF(Atletas!M8="Huaquan C",130,IF(Atletas!M8="Hongquan C",131,IF(Atletas!M8="Paoquan C",132,IF(Atletas!M8="Piguaquan C",133,IF(Atletas!M8="Shaolinquan C",134,IF(Atletas!M8="Tanglangquan C",135,IF(Atletas!M8="Yingzhaoquan C",136,IF(Atletas!M8="Tongbeiquan C",137,IF(Atletas!M8="Wudangquan C",138,IF(Atletas!M8="Outros Estilos C",139,0))))))))))))))))))))))))))))))))))))))))))</f>
        <v/>
      </c>
      <c r="BT12" s="50" t="str">
        <f>IF(Atletas!M8="","",IF(Atletas!X8&lt;&gt;"",10000,0)+(IF(Atletas!B8="Feminino",1000,IF(Atletas!B8="Masculino",2000,""))+(IF(Atletas!M8="Chaquan D",140,IF(Atletas!M8="Emeiquan D",141,IF(Atletas!M8="Fanziquan D",142,IF(Atletas!M8="Huaquan D",143,IF(Atletas!M8="Hongquan D",144,IF(Atletas!M8="Paoquan D",145,IF(Atletas!M8="Piguaquan D",146,IF(Atletas!M8="Shaolinquan D",147,IF(Atletas!M8="Tanglangquan D",148,IF(Atletas!M8="Yingzhaoquan D",149,IF(Atletas!M8="Tongbeiquan D",150,IF(Atletas!M8="Wudangquan D",151,IF(Atletas!M8="Outros Estilos D",152,IF(Atletas!M8="Chaquan E",153,IF(Atletas!M8="Emeiquan E",154,IF(Atletas!M8="Fanziquan E",155,IF(Atletas!M8="Huaquan E",156,IF(Atletas!M8="Hongquan E",157,IF(Atletas!M8="Paoquan E",158,IF(Atletas!M8="Piguaquan E",159,IF(Atletas!M8="Shaolinquan E",160,IF(Atletas!M8="Tanglangquan E",161,IF(Atletas!M8="Yingzhaoquan E",162,IF(Atletas!M8="Tongbeiquan E",163,IF(Atletas!M8="Wudangquan E",164,IF(Atletas!M8="Outros Estilos E",165,IF(Atletas!M8="Chaquan F",166,IF(Atletas!M8="Emeiquan F",167,IF(Atletas!M8="Fanziquan F",168,IF(Atletas!M8="Huaquan F",169,IF(Atletas!M8="Hongquan F",170,IF(Atletas!M8="Paoquan F",171,IF(Atletas!M8="Piguaquan F",172,IF(Atletas!M8="Shaolinquan F",173,IF(Atletas!M8="Tanglangquan F",174,IF(Atletas!M8="Yingzhaoquan F",175,IF(Atletas!M8="Tongbeiquan F",176,IF(Atletas!M8="Wudangquan F",177,IF(Atletas!M8="Outros Estilos F",178,0))))))))))))))))))))))))))))))))))))))))))</f>
        <v/>
      </c>
      <c r="BU12" s="50" t="str">
        <f>IF(Atletas!N8="","",IF(Atletas!X8&lt;&gt;"",10000,0)+(IF(Atletas!B8="Feminino",1000,IF(Atletas!B8="Masculino",2000,""))+(IF(Atletas!N8="Ditangquan A",201,IF(Atletas!N8="Houquan A",202,IF(Atletas!N8="Zuiquan A",203,IF(Atletas!N8="Ditangquan B",204,IF(Atletas!N8="Houquan B",205,IF(Atletas!N8="Zuiquan B",206,IF(Atletas!N8="Ditangquan C",207,IF(Atletas!N8="Houquan C",208,IF(Atletas!N8="Zuiquan C",209,IF(Atletas!N8="Ditangquan D",210,IF(Atletas!N8="Houquan D",211,IF(Atletas!N8="Zuiquan D",212,IF(Atletas!N8="Ditangquan E",213,IF(Atletas!N8="Houquan E",214,IF(Atletas!N8="Zuiquan E",215,IF(Atletas!N8="Ditangquan F",216,IF(Atletas!N8="Houquan F",217,IF(Atletas!N8="Zuiquan F",218,"")))))))))))))))))))))</f>
        <v/>
      </c>
      <c r="BV12" s="50" t="str">
        <f>IF(Atletas!O8="","",IF(Atletas!X8&lt;&gt;"",10000,0)+IF(Atletas!B8="Feminino",1000,IF(Atletas!B8="Masculino",2000,""))+IF(Atletas!O8="Yang A",301,IF(Atletas!O8="Chen A",302,IF(Atletas!O8="Sun A",303,IF(Atletas!O8="Wu A",304,IF(Atletas!O8="Wu-Hao A",305,IF(Atletas!O8="Outro Taijiquan A",306,IF(Atletas!O8="Yang B",307,IF(Atletas!O8="Chen B",308,IF(Atletas!O8="Sun B",309,IF(Atletas!O8="Wu B",310,IF(Atletas!O8="Wu-Hao B",311,IF(Atletas!O8="Outro Taijiquan B",312,IF(Atletas!O8="Yang C",313,IF(Atletas!O8="Chen C",314,IF(Atletas!O8="Sun C",315,IF(Atletas!O8="Wu C",316,IF(Atletas!O8="Wu-Hao C",317,IF(Atletas!O8="Outro Taijiquan C",318,IF(Atletas!O8="Yang D",319,IF(Atletas!O8="Chen D",320,IF(Atletas!O8="Sun D",321,IF(Atletas!O8="Wu D",322,IF(Atletas!O8="Wu-Hao D",323,IF(Atletas!O8="Outro Taijiquan D",324,IF(Atletas!O8="Yang E",325,IF(Atletas!O8="Chen E",326,IF(Atletas!O8="Sun E",327,IF(Atletas!O8="Wu E",328,IF(Atletas!O8="Wu-Hao E",329,IF(Atletas!O8="Outro Taijiquan E",330,IF(Atletas!O8="Yang F",331,IF(Atletas!O8="Chen F",332,IF(Atletas!O8="Sun F",333,IF(Atletas!O8="Wu F",334,IF(Atletas!O8="Wu-Hao F",335,IF(Atletas!O8="Outro Taijiquan F",336,"")))))))))))))))))))))))))))))))))))))</f>
        <v/>
      </c>
      <c r="BW12" s="50" t="str">
        <f>IF(Atletas!P8="","",IF(Atletas!X8&lt;&gt;"",10000,0)+IF(Atletas!B8="Feminino",1000,IF(Atletas!B8="Masculino",2000,""))+IF(OR(Atletas!P8="Yang 26 A",Atletas!P8="Yang 40 A"),401,IF(OR(Atletas!P8="Chen 25 A",Atletas!P8="Chen 36 A",Atletas!P8="Chen 56 A"),402,IF(Atletas!P8="Sun 73 A",403,IF(Atletas!P8="Wu 45 A",404,IF(Atletas!P8="Wu-Hao 46 A",405,IF(OR(Atletas!P8="Taijiquan 16 A",Atletas!P8="Taijiquan 24 A",Atletas!P8="Taijiquan 32 A",Atletas!P8="Taijiquan 42 A"),406,IF(OR(Atletas!P8="Yang 26 B",Atletas!P8="Yang 40 B"),407,IF(OR(Atletas!P8="Chen 25 B",Atletas!P8="Chen 36 B",Atletas!P8="Chen 56 B"),408,IF(Atletas!P8="Sun 73 B",409,IF(Atletas!P8="Wu 45 B",410,IF(Atletas!P8="Wu-Hao 46 B",411,IF(OR(Atletas!P8="Taijiquan 16 B",Atletas!P8="Taijiquan 24 B",Atletas!P8="Taijiquan 32 B",Atletas!P8="Taijiquan 42 B"),412,IF(OR(Atletas!P8="Yang 26 C",Atletas!P8="Yang 40 C"),413,IF(OR(Atletas!P8="Chen 25 C",Atletas!P8="Chen 36 C",Atletas!P8="Chen 56 C"),414,IF(Atletas!P8="Sun 73 C",415,IF(Atletas!P8="Wu 45 C",416,IF(Atletas!P8="Wu-Hao 46 C",417,IF(OR(Atletas!P8="Taijiquan 16 C",Atletas!P8="Taijiquan 24 C",Atletas!P8="Taijiquan 32 C",Atletas!P8="Taijiquan 42 C"),418,0)))))))))))))))))))</f>
        <v/>
      </c>
      <c r="BX12" s="50" t="str">
        <f>IF(Atletas!P8="","",IF(Atletas!X8&lt;&gt;"",10000,0)+IF(Atletas!B8="Feminino",1000,IF(Atletas!B8="Masculino",2000,""))+IF(OR(Atletas!P8="Yang 26 D",Atletas!P8="Yang 40 D"),419,IF(OR(Atletas!P8="Chen 25 D",Atletas!P8="Chen 36 D",Atletas!P8="Chen 56 D"),420,IF(Atletas!P8="Sun 73 D",421,IF(Atletas!P8="Wu 45 D",422,IF(Atletas!P8="Wu-Hao 46 D",423,IF(OR(Atletas!P8="Taijiquan 16 D",Atletas!P8="Taijiquan 24 D",Atletas!P8="Taijiquan 32 D",Atletas!P8="Taijiquan 42 D"),424,IF(OR(Atletas!P8="Yang 26 E",Atletas!P8="Yang 40 E"),425,IF(OR(Atletas!P8="Chen 25 E",Atletas!P8="Chen 36 E",Atletas!P8="Chen 56 E"),426,IF(Atletas!P8="Sun 73 E",427,IF(Atletas!P8="Wu 45 E",428,IF(Atletas!P8="Wu-Hao 46 E",429,IF(OR(Atletas!P8="Taijiquan 16 E",Atletas!P8="Taijiquan 24 E",Atletas!P8="Taijiquan 32 E",Atletas!P8="Taijiquan 42 E"),430,IF(OR(Atletas!P8="Yang 26 F",Atletas!P8="Yang 40 F"),431,IF(OR(Atletas!P8="Chen 25 F",Atletas!P8="Chen 36 F",Atletas!P8="Chen 56 F"),432,IF(Atletas!P8="Sun 73 F",433,IF(Atletas!P8="Wu 45 F",434,IF(Atletas!P8="Wu-Hao 46 F",435,IF(OR(Atletas!P8="Taijiquan 16 F",Atletas!P8="Taijiquan 24 F",Atletas!P8="Taijiquan 32 F",Atletas!P8="Taijiquan 42 F"),436,0)))))))))))))))))))</f>
        <v/>
      </c>
      <c r="BY12" s="50" t="str">
        <f>IF(Atletas!Q8="","",IF(Atletas!X8&lt;&gt;"",10000,0)+IF(Atletas!B8="Feminino",1000,IF(Atletas!B8="Masculino",2000,""))+IF(Atletas!Q8="Xingyiquan A",501,IF(Atletas!Q8="Baguazhang A",502,IF(Atletas!Q8="Outro Estilo Interno A",503,IF(Atletas!Q8="Xingyiquan B",504,IF(Atletas!Q8="Baguazhang B",505,IF(Atletas!Q8="Outro Estilo Interno B",506,IF(Atletas!Q8="Xingyiquan C",507,IF(Atletas!Q8="Baguazhang C",508,IF(Atletas!Q8="Outro Estilo Interno C",509,IF(Atletas!Q8="Xingyiquan D",510,IF(Atletas!Q8="Baguazhang D",511,IF(Atletas!Q8="Outro Estilo Interno D",512,IF(Atletas!Q8="Xingyiquan E",513,IF(Atletas!Q8="Baguazhang E",514,IF(Atletas!Q8="Outro Estilo Interno E",515,IF(Atletas!Q8="Xingyiquan F",516,IF(Atletas!Q8="Baguazhang F",517,IF(Atletas!Q8="Outro Estilo Interno F",518, "")))))))))))))))))))</f>
        <v/>
      </c>
      <c r="BZ12" s="50" t="str">
        <f>IF(Atletas!R8="","",IF(Atletas!X8&lt;&gt;"",10000,0)+IF(Atletas!B8="Feminino",1000,IF(Atletas!B8="Masculino",2000,""))+IF(Atletas!R8="Dao A",601,IF(Atletas!R8="Jian A",602,IF(Atletas!R8="Bishou A",603,IF(Atletas!R8="Shanzi A",604,IF(Atletas!R8="Outra Arma Curta A",605,IF(Atletas!R8="Dao B",606,IF(Atletas!R8="Jian B",607,IF(Atletas!R8="Bishou B",608,IF(Atletas!R8="Shanzi B",609,IF(Atletas!R8="Outra Arma Curta B",610,IF(Atletas!R8="Dao C",611,IF(Atletas!R8="Jian C",612,IF(Atletas!R8="Bishou C",613,IF(Atletas!R8="Shanzi C",614,IF(Atletas!R8="Outra Arma Curta C",615,IF(Atletas!R8="Dao D",616,IF(Atletas!R8="Jian D",617,IF(Atletas!R8="Bishou D",618,IF(Atletas!R8="Shanzi D",619,IF(Atletas!R8="Outra Arma Curta D",620,IF(Atletas!R8="Dao E",621,IF(Atletas!R8="Jian E",622,IF(Atletas!R8="Bishou E",623,IF(Atletas!R8="Shanzi E",624,IF(Atletas!R8="Outra Arma Curta E",625,IF(Atletas!R8="Dao F",626,IF(Atletas!R8="Jian F",627,IF(Atletas!R8="Bishou F",628,IF(Atletas!R8="Shanzi F",629,IF(Atletas!R8="Outra Arma Curta F",630, "")))))))))))))))))))))))))))))))</f>
        <v/>
      </c>
      <c r="CA12" s="50" t="str">
        <f>IF(Atletas!S8="","",IF(Atletas!X8&lt;&gt;"",10000,0)+IF(Atletas!B8="Feminino",1000,IF(Atletas!B8="Masculino",2000,""))+IF(Atletas!S8="Gun A",701,IF(Atletas!S8="Qiang A",702,IF(Atletas!S8="Pudao / Guandao A",703,IF(Atletas!S8="Outra Arma Longa A",704,IF(Atletas!S8="Gun B",705,IF(Atletas!S8="Qiang B",706,IF(Atletas!S8="Pudao / Guandao B",707,IF(Atletas!S8="Outra Arma Longa B",708,IF(Atletas!S8="Gun C",709,IF(Atletas!S8="Qiang C",710,IF(Atletas!S8="Pudao / Guandao C",711,IF(Atletas!S8="Outra Arma Longa C",712,IF(Atletas!S8="Gun D",713,IF(Atletas!S8="Qiang D",714,IF(Atletas!S8="Pudao / Guandao D",715,IF(Atletas!S8="Outra Arma Longa D",716,IF(Atletas!S8="Gun E",717,IF(Atletas!S8="Qiang E",718,IF(Atletas!S8="Pudao / Guandao E",719,IF(Atletas!S8="Outra Arma Longa E",720,IF(Atletas!S8="Gun F",721,IF(Atletas!S8="Qiang F",722,IF(Atletas!S8="Pudao / Guandao F",723,IF(Atletas!S8="Outra Arma Longa F",724,"")))))))))))))))))))))))))</f>
        <v/>
      </c>
      <c r="CB12" s="50" t="str">
        <f>IF(Atletas!T8="","",IF(Atletas!X8&lt;&gt;"",10000,0)+IF(Atletas!B8="Feminino",1000,IF(Atletas!B8="Masculino",2000,""))+IF(Atletas!T8="Outra Arma Dupla A",801,IF(Atletas!T8="Arma Maleável A",802,IF(Atletas!T8="Outra Arma Dupla B",803,IF(Atletas!T8="Arma Maleável B",804,IF(Atletas!T8="Outra Arma Dupla C",805,IF(Atletas!T8="Arma Maleável C",806,IF(Atletas!T8="Outra Arma Dupla D",807,IF(Atletas!T8="Arma Maleável D",808,IF(Atletas!T8="Outra Arma Dupla E",809,IF(Atletas!T8="Arma Maleável E",810,IF(Atletas!T8="Outra Arma Dupla F",811,IF(Atletas!T8="Arma Maleável F",812,IF(Atletas!T8="Shuangdao A",813,IF(Atletas!T8="Shuangdao B",814,IF(Atletas!T8="Shuangdao C",815,IF(Atletas!T8="Shuangdao D",816,IF(Atletas!T8="Shuangdao E",817,IF(Atletas!T8="Shuangdao F",818,"")))))))))))))))))))</f>
        <v/>
      </c>
      <c r="CC12" s="50" t="str">
        <f>IF(Atletas!U8="","",IF(Atletas!X8&lt;&gt;"",10000,0)+IF(Atletas!B8="Feminino",1000,IF(Atletas!B8="Masculino",2000,""))+IF(OR(Atletas!U8="Taijijian Yang A",Atletas!U8="Taijijian Yang Standard A"),901,IF(OR(Atletas!U8="Taijijian Chen A", Atletas!U8="Taijijian Chen Standard A"),902,IF(Atletas!U8="Taijijian Sun A",903,IF(Atletas!U8="Taijijian Wu A",904,IF(Atletas!U8="Taijijian Wu-Hao A",905,IF(OR(Atletas!U8="Taijijian 32 A",Atletas!U8="Taijijian 42 A"),906,IF(OR(Atletas!U8="Taijijian Yang B",Atletas!U8="Taijijian Yang Standard B"),907,IF(OR(Atletas!U8="Taijijian Chen B", Atletas!U8="Taijijian Chen Standard B"),908,IF(Atletas!U8="Taijijian Sun B",909,IF(Atletas!U8="Taijijian Wu B",910,IF(Atletas!U8="Taijijian Wu-Hao B",911,IF(OR(Atletas!U8="Taijijian 32 B",Atletas!U8="Taijijian 42 B"),912,IF(OR(Atletas!U8="Taijijian Yang C",Atletas!U8="Taijijian Yang Standard C"),913,IF(OR(Atletas!U8="Taijijian Chen C", Atletas!U8="Taijijian Chen Standard C"),914,IF(Atletas!U8="Taijijian Sun C",915,IF(Atletas!U8="Taijijian Wu C",916,IF(Atletas!U8="Taijijian Wu-Hao C",917,IF(OR(Atletas!U8="Taijijian 32 C",Atletas!U8="Taijijian 42 C"),918,IF(OR(Atletas!U8="Taijijian Yang D",Atletas!U8="Taijijian Yang Standard D"),919,IF(OR(Atletas!U8="Taijijian Chen D", Atletas!U8="Taijijian Chen Standard D"),920,IF(Atletas!U8="Taijijian Sun D",921,IF(Atletas!U8="Taijijian Wu D",922,IF(Atletas!U8="Taijijian Wu-Hao D",923,IF(OR(Atletas!U8="Taijijian 32 D",Atletas!U8="Taijijian 42 D"),924,IF(OR(Atletas!U8="Taijijian Yang E",Atletas!U8="Taijijian Yang Standard E"),925,IF(OR(Atletas!U8="Taijijian Chen E", Atletas!U8="Taijijian Chen Standard E"),926,IF(Atletas!U8="Taijijian Sun E",927,IF(Atletas!U8="Taijijian Wu E",928,IF(Atletas!U8="Taijijian Wu-Hao E",929,IF(OR(Atletas!U8="Taijijian 32 E",Atletas!U8="Taijijian 42 E"),930,IF(OR(Atletas!U8="Taijijian Yang F",Atletas!U8="Taijijian Yang Standard F"),931,IF(OR(Atletas!U8="Taijijian Chen F", Atletas!U8="Taijijian Chen Standard F"),932,IF(Atletas!U8="Taijijian Sun F",933,IF(Atletas!U8="Taijijian Wu F",934,IF(Atletas!U8="Taijijian Wu-Hao F",935,IF(OR(Atletas!U8="Taijijian 32 F",Atletas!U8="Taijijian 42 F"),936,"")))))))))))))))))))))))))))))))))))))</f>
        <v/>
      </c>
      <c r="CD12" s="50" t="str">
        <f>IF(Atletas!V8="","",IF(Atletas!X8&lt;&gt;"",10000,0)+IF(Atletas!B8="Feminino",1000,IF(Atletas!B8="Masculino",2000,""))+IF(Atletas!V8="Taijidao A",937,IF(Atletas!V8="TaijiShanzi A",938,IF(Atletas!V8="Taijiqiang A",939,IF(Atletas!V8="Bagua de Arma A",940,IF(Atletas!V8="Xingyi de Arma A",941,IF(Atletas!V8="Taijidao B",942,IF(Atletas!V8="TaijiShanzi B",943,IF(Atletas!V8="Taijiqiang B",944,IF(Atletas!V8="Bagua de Arma B",945,IF(Atletas!V8="Xingyi de Arma B",946,IF(Atletas!V8="Taijidao C",947,IF(Atletas!V8="TaijiShanzi C",948,IF(Atletas!V8="Taijiqiang C",949,IF(Atletas!V8="Bagua de Arma C",950,IF(Atletas!V8="Xingyi de Arma C",951,IF(Atletas!V8="Taijidao D",952,IF(Atletas!V8="TaijiShanzi D",953,IF(Atletas!V8="Taijiqiang D",954,IF(Atletas!V8="Bagua de Arma D",955,IF(Atletas!V8="Xingyi de Arma D",956,IF(Atletas!V8="Taijidao E",957,IF(Atletas!V8="TaijiShanzi E",958,IF(Atletas!V8="Taijiqiang E",959,IF(Atletas!V8="Bagua de Arma E",960,IF(Atletas!V8="Xingyi de Arma E",961,IF(Atletas!V8="Taijidao F",962,IF(Atletas!V8="TaijiShanzi F",963,IF(Atletas!V8="Taijiqiang F",964,IF(Atletas!V8="Bagua de Arma F",965,IF(Atletas!V8="Xingyi de Arma F",966,"")))))))))))))))))))))))))))))))</f>
        <v/>
      </c>
      <c r="CE12" s="66" t="str">
        <f>IF(CF12&lt;&gt;"","Outra Mão de Sul A","")</f>
        <v/>
      </c>
      <c r="CF12" s="66" t="str">
        <f>IF(COUNTIF(BR:CD,1005)&gt;0,COUNTIF(BR:CD,1005),"")</f>
        <v/>
      </c>
      <c r="CG12" s="66" t="str">
        <f>IF(CH12&lt;&gt;"","Outra Mão de Sul A","")</f>
        <v/>
      </c>
      <c r="CH12" s="66" t="str">
        <f>IF(COUNTIF(BR:CD,2005)&gt;0,COUNTIF(BR:CD,2005),"")</f>
        <v/>
      </c>
      <c r="CI12" s="66" t="str">
        <f>IF(CJ12&lt;&gt;"","Choylayfut B","")</f>
        <v/>
      </c>
      <c r="CJ12" s="66" t="str">
        <f>IF(COUNTIF(BR:CD,11006)&gt;0,COUNTIF(BR:CD,11006),"")</f>
        <v/>
      </c>
      <c r="CK12" s="66" t="str">
        <f>IF(CL12&lt;&gt;"","Choylayfut B","")</f>
        <v/>
      </c>
      <c r="CL12" s="66" t="str">
        <f>IF(COUNTIF(BR:CD,12006)&gt;0,COUNTIF(BR:CD,12006),"")</f>
        <v/>
      </c>
      <c r="CM12" s="50" t="str">
        <f xml:space="preserve"> IF(Atletas!W8="","",IF(Atletas!W8="Duilian de Mãos BC - Equipe 1",1,IF(Atletas!W8="Duilian de Mãos BC - Equipe 2",2,IF(Atletas!W8="Duilian de Armas BC - Equipe 1",3,IF(Atletas!W8="Duilian de Armas BC - Equipe 2",4,IF(Atletas!W8="Duilian de Mãos DE - Equipe 1",5,IF(Atletas!W8="Duilian de Mãos DE - Equipe 2",6,IF(Atletas!W8="Duilian de Armas DE - Equipe 1",7,IF(Atletas!W8="Duilian de Armas DE - Equipe 2",8,IF(Atletas!W8="Duilian de Tuishou - Equipe 1",9,IF(Atletas!W8="Duilian de Tuishou - Equipe 2",10,IF(Atletas!W8="Grupo Externo ABC - Equipe 1",11,IF(Atletas!W8="Grupo Externo ABC - Equipe 2",12,IF(Atletas!W8="Grupo Interno ABC - Equipe 1",13,IF(Atletas!W8="Grupo Interno ABC - Equipe 2",14,IF(Atletas!W8="Grupo Externo DEF - Equipe 1",15,IF(Atletas!W8="Grupo Externo DEF - Equipe 2",16,IF(Atletas!W8="Grupo Interno DEF - Equipe 1",17,IF(Atletas!W8="Grupo Interno DEF - Equipe 2",18,"")))))))))))))))))))</f>
        <v/>
      </c>
      <c r="CN12" s="69" t="str">
        <f>IF(CO12&lt;&gt;"","Duilian de Mãos DE - Equipe 2","")</f>
        <v/>
      </c>
      <c r="CO12" s="68" t="str">
        <f>IF(COUNTIF(CM:CM,6)&gt;0,COUNTIF(CM:CM,6),"")</f>
        <v/>
      </c>
      <c r="CR12" s="63" t="str">
        <f>IF(CS12&lt;&gt;"","Grupo Externo DEF - Equipe 2","")</f>
        <v/>
      </c>
      <c r="CS12" s="62" t="str">
        <f>IF(COUNTIF(CM:CM,16)&gt;0,COUNTIF(CM:CM,16),"")</f>
        <v/>
      </c>
      <c r="CY12" s="41"/>
    </row>
    <row r="13" spans="1:103">
      <c r="A13" s="16"/>
      <c r="B13" s="3" t="str">
        <f t="array" ref="B13">IFERROR(INDEX(AO$7:AO$38,SMALL(IF(AO$7:AO$38&lt;&gt;"",ROW(AO$7:AO$38)-ROW(AO$7)+1),ROWS(AO$7:AO12))),"")</f>
        <v/>
      </c>
      <c r="C13" s="3" t="str">
        <f t="array" ref="C13">IFERROR(INDEX(AP$7:AP$38,SMALL(IF(AP$7:AP$38&lt;&gt;"",ROW(AP$7:AP$38)-ROW(AP$7)+1),ROWS(AP$7:AP12))),"")</f>
        <v/>
      </c>
      <c r="D13" s="3" t="str">
        <f t="array" ref="D13">IFERROR(INDEX(AQ$7:AQ$38,SMALL(IF(AQ$7:AQ$38&lt;&gt;"",ROW(AQ$7:AQ$38)-ROW(AQ$7)+1),ROWS(AQ$7:AQ12))),"")</f>
        <v/>
      </c>
      <c r="E13" s="3" t="str">
        <f t="array" ref="E13">IFERROR(INDEX(AR$7:AR$38,SMALL(IF(AR$7:AR$38&lt;&gt;"",ROW(AR$7:AR$38)-ROW(AR$7)+1),ROWS(AR$7:AR12))),"")</f>
        <v/>
      </c>
      <c r="F13" s="3" t="str">
        <f t="array" ref="F13">IFERROR(INDEX(AT$7:AT$36,SMALL(IF(AT$7:AT$36&lt;&gt;"",ROW(AT$7:AT$36)-ROW(AT$7)+1),ROWS(AT$7:AT12))),"")</f>
        <v/>
      </c>
      <c r="G13" s="3" t="str">
        <f t="array" ref="G13">IFERROR(INDEX(AU$7:AU$36,SMALL(IF(AU$7:AU$36&lt;&gt;"",ROW(AU$7:AU$36)-ROW(AU$7)+1),ROWS(AU$7:AU12))),"")</f>
        <v/>
      </c>
      <c r="H13" s="3" t="str">
        <f t="array" ref="H13">IFERROR(INDEX(AV$7:AV$36,SMALL(IF(AV$7:AV$36&lt;&gt;"",ROW(AV$7:AV$36)-ROW(AV$7)+1),ROWS(AV$7:AV12))),"")</f>
        <v/>
      </c>
      <c r="I13" s="3" t="str">
        <f t="array" ref="I13">IFERROR(INDEX(AW$7:AW$36,SMALL(IF(AW$7:AW$36&lt;&gt;"",ROW(AW$7:AW$36)-ROW(AW$7)+1),ROWS(AW$7:AW12))),"")</f>
        <v/>
      </c>
      <c r="J13" s="3" t="str">
        <f t="array" ref="J13">IFERROR(INDEX(AY$7:AY$36,SMALL(IF(AY$7:AY$36&lt;&gt;"",ROW(AY$7:AY$36)-ROW(AY$7)+1),ROWS(AY$7:AY12))),"")</f>
        <v/>
      </c>
      <c r="K13" s="3" t="str">
        <f t="array" ref="K13">IFERROR(INDEX(AZ$7:AZ$36,SMALL(IF(AZ$7:AZ$36&lt;&gt;"",ROW(AZ$7:AZ$36)-ROW(AZ$7)+1),ROWS(AZ$7:AZ12))),"")</f>
        <v/>
      </c>
      <c r="L13" s="3" t="str">
        <f t="array" ref="L13">IFERROR(INDEX(BA$7:BA$36,SMALL(IF(BA$7:BA$36&lt;&gt;"",ROW(BA$7:BA$36)-ROW(BA$7)+1),ROWS(BA$7:BA12))),"")</f>
        <v/>
      </c>
      <c r="M13" s="3" t="str">
        <f t="array" ref="M13">IFERROR(INDEX(BB$7:BB$36,SMALL(IF(BB$7:BB$36&lt;&gt;"",ROW(BB$7:BB$36)-ROW(BB$7)+1),ROWS(BB$7:BB12))),"")</f>
        <v/>
      </c>
      <c r="N13" s="3" t="str" cm="1">
        <f t="array" ref="N13">IFERROR(INDEX(BD$7:BD$8,SMALL(IF(BD$7:BD$8&lt;&gt;"",ROW(BD$7:BD$8)-ROW(BD$7)+1),ROWS(BD$7:BD12))),"")</f>
        <v/>
      </c>
      <c r="O13" s="3" t="str" cm="1">
        <f t="array" ref="O13">IFERROR(INDEX(BE$7:BE$8,SMALL(IF(BE$7:BE$8&lt;&gt;"",ROW(BE$7:BE$8)-ROW(BE$7)+1),ROWS(BE$7:BE12))),"")</f>
        <v/>
      </c>
      <c r="P13" s="3" t="str" cm="1">
        <f t="array" ref="P13">IFERROR(INDEX(BD$9:BD$10,SMALL(IF(BD$9:BD$10&lt;&gt;"",ROW(BD$9:BD$10)-ROW(BD$9)+1),ROWS(BD$9:BD14))),"")</f>
        <v/>
      </c>
      <c r="Q13" s="3" t="str">
        <f t="array" ref="Q13">IFERROR(INDEX(BH$7:BH$36,SMALL(IF(BH$7:BH$36&lt;&gt;"",ROW(BH$7:BH$36)-ROW(BH$7)+1),ROWS(BH$7:BH12))),"")</f>
        <v/>
      </c>
      <c r="R13" s="3" t="str">
        <f t="array" ref="R13">IFERROR(INDEX(BI$7:BI$68,SMALL(IF(BI$7:BI$68&lt;&gt;"",ROW(BI$7:BI$68)-ROW(BI$7)+1),ROWS(BI$7:BI12))),"")</f>
        <v/>
      </c>
      <c r="S13" s="3" t="str">
        <f t="array" ref="S13">IFERROR(INDEX(BJ$7:BJ$68,SMALL(IF(BJ$7:BJ$68&lt;&gt;"",ROW(BJ$7:BJ$68)-ROW(BJ$7)+1),ROWS(BJ$7:BJ12))),"")</f>
        <v/>
      </c>
      <c r="T13" s="3" t="str">
        <f t="array" ref="T13">IFERROR(INDEX(BK$7:BK$68,SMALL(IF(BK$7:BK$68&lt;&gt;"",ROW(BK$7:BK$68)-ROW(BK$7)+1),ROWS(BK$7:BK12))),"")</f>
        <v/>
      </c>
      <c r="U13" s="3" t="str">
        <f t="array" ref="U13">IFERROR(INDEX(BL$7:BL$68,SMALL(IF(BL$7:BL$68&lt;&gt;"",ROW(BL$7:BL$68)-ROW(BL$7)+1),ROWS(BL$7:BL12))),"")</f>
        <v/>
      </c>
      <c r="V13" s="3" t="str">
        <f t="array" ref="V13">IFERROR(INDEX(BN$7:BN$12,SMALL(IF(BN$7:BN$12&lt;&gt;"",ROW(BN$7:BN$12)-ROW(BN$7)+1),ROWS(BN$7:BN12))),"")</f>
        <v/>
      </c>
      <c r="W13" s="3" t="str">
        <f t="array" ref="W13">IFERROR(INDEX(BO$7:BO$12,SMALL(IF(BO$7:BO$12&lt;&gt;"",ROW(BO$7:BO$12)-ROW(BO$7)+1),ROWS(BO$7:BO12))),"")</f>
        <v/>
      </c>
      <c r="X13" s="3" t="str">
        <f t="array" ref="X13">IFERROR(INDEX(BP$7:BP$12,SMALL(IF(BP$7:BP$12&lt;&gt;"",ROW(BP$7:BP$12)-ROW(BP$7)+1),ROWS(BP$7:BP12))),"")</f>
        <v/>
      </c>
      <c r="Y13" s="3" t="str">
        <f t="array" ref="Y13">IFERROR(INDEX(BQ$7:BQ$12,SMALL(IF(BQ$7:BQ$12&lt;&gt;"",ROW(BQ$7:BQ$12)-ROW(BQ$7)+1),ROWS(BQ$7:BQ12))),"")</f>
        <v/>
      </c>
      <c r="Z13" s="3" t="str">
        <f t="array" ref="Z13">IFERROR(INDEX(CE$7:CE$348,SMALL(IF(CE$7:CE$348&lt;&gt;"",ROW(CE$7:CE$348)-ROW(CE$7)+1),ROWS(CE$7:CE12))),"")</f>
        <v/>
      </c>
      <c r="AA13" s="3" t="str">
        <f t="array" ref="AA13">IFERROR(INDEX(CF$7:CF$348,SMALL(IF(CF$7:CF$348&lt;&gt;"",ROW(CF$7:CF$348)-ROW(CF$7)+1),ROWS(CF$7:CF12))),"")</f>
        <v/>
      </c>
      <c r="AB13" s="3" t="str">
        <f t="array" ref="AB13">IFERROR(INDEX(CG$7:CG$348,SMALL(IF(CG$7:CG$348&lt;&gt;"",ROW(CG$7:CG$348)-ROW(CG$7)+1),ROWS(CG$7:CG12))),"")</f>
        <v/>
      </c>
      <c r="AC13" s="3" t="str">
        <f t="array" ref="AC13">IFERROR(INDEX(CH$7:CH$348,SMALL(IF(CH$7:CH$348&lt;&gt;"",ROW(CH$7:CH$348)-ROW(CH$7)+1),ROWS(CH$7:CH12))),"")</f>
        <v/>
      </c>
      <c r="AD13" s="3" t="str">
        <f t="array" ref="AD13">IFERROR(INDEX(CI$7:CI$377,SMALL(IF(CI$7:CI$377&lt;&gt;"",ROW(CI$7:CI$377)-ROW(CI$7)+1),ROWS(CI$7:CI12))),"")</f>
        <v/>
      </c>
      <c r="AE13" s="3" t="str">
        <f t="array" ref="AE13">IFERROR(INDEX(CJ$7:CJ$378,SMALL(IF(CJ$7:CJ$378&lt;&gt;"",ROW(CJ$7:CJ$378)-ROW(CJ$7)+1),ROWS(CJ$7:CJ12))),"")</f>
        <v/>
      </c>
      <c r="AF13" s="3" t="str">
        <f t="array" ref="AF13">IFERROR(INDEX(CK$7:CK$378,SMALL(IF(CK$7:CK$378&lt;&gt;"",ROW(CK$7:CK$378)-ROW(CK$7)+1),ROWS(CK$7:CK12))),"")</f>
        <v/>
      </c>
      <c r="AG13" s="3" t="str">
        <f t="array" ref="AG13">IFERROR(INDEX(CL$7:CL$378,SMALL(IF(CL$7:CL$378&lt;&gt;"",ROW(CL$7:CL$378)-ROW(CL$7)+1),ROWS(CL$7:CL12))),"")</f>
        <v/>
      </c>
      <c r="AH13" s="40" t="str">
        <f t="array" ref="AH13">IFERROR(INDEX(CN$7:CN$18,SMALL(IF(CN$7:CN$18&lt;&gt;"",ROW(CN$7:CN$18)-ROW(CN$7)+1),ROWS(CN$7:CN12))),"")</f>
        <v/>
      </c>
      <c r="AI13" s="40" t="str">
        <f t="array" ref="AI13">IFERROR(INDEX(CO$7:CO$18,SMALL(IF(CO$7:CO$18&lt;&gt;"",ROW(CO$7:CO$18)-ROW(CO$7)+1),ROWS(CO$7:CO12))),"")</f>
        <v/>
      </c>
      <c r="AJ13" s="40"/>
      <c r="AK13" s="40"/>
      <c r="AL13" s="40" t="str">
        <f t="array" ref="AL13">IFERROR(INDEX(CR$7:CR$14,SMALL(IF(CR$7:CR$14&lt;&gt;"",ROW(CR$7:CR$14)-ROW(CR$7)+1),ROWS(CR$7:CR12))),"")</f>
        <v/>
      </c>
      <c r="AM13" s="40" t="str">
        <f t="array" ref="AM13">IFERROR(INDEX(CS$7:CS$14,SMALL(IF(CS$7:CS$14&lt;&gt;"",ROW(CS$7:CS$14)-ROW(CS$7)+1),ROWS(CS$7:CS12))),"")</f>
        <v/>
      </c>
      <c r="AN13" s="52" t="str">
        <f>IF(Atletas!D9="","",IF(Atletas!B9="Feminino",100,IF(Atletas!B9="Masculino",200,""))+(IF(Atletas!D9="Kids 30kg",1,IF(Atletas!D9="Kids 32kg",2, IF(Atletas!D9="Kids 34kg",3,IF(Atletas!D9="Kids 36kg",4,IF(Atletas!D9="Kids 39kg",5,IF(Atletas!D9="Kids 42kg",6,IF(Atletas!D9="Kids 45kg",7, IF(Atletas!D9="Infantil 39kg",8,IF(Atletas!D9="Infantil 42kg",9,IF(Atletas!D9="Infantil 45kg",10,IF(Atletas!D9="Infantil 48kg",11,IF(Atletas!D9="Infantil 52kg",12,IF(Atletas!D9="Infantil 56kg",13,IF(Atletas!D9="Infantil 60kg",14,IF(Atletas!D9="Juvenil 48kg",15,IF(Atletas!D9="Juvenil 52kg",16,IF(Atletas!D9="Juvenil 56kg",17,IF(Atletas!D9="Juvenil 60kg",18,IF(Atletas!D9="Juvenil 65kg",19,IF(Atletas!D9="Juvenil 70kg",20,IF(Atletas!D9="Juvenil 75kg",21,IF(Atletas!D9="Juvenil 80kg",22, IF(Atletas!D9="Juvenil 85kg",23,IF(Atletas!D9="Adulto 48kg",24,IF(Atletas!D9="Adulto 52kg",25,IF(Atletas!D9="Adulto 56kg",26,IF(Atletas!D9="Adulto 60kg",27,IF(Atletas!D9="Adulto 65kg",28,IF(Atletas!D9="Adulto 70kg",29,IF(Atletas!D9="Adulto 75kg",30,IF(Atletas!D9="Adulto 80kg",31,IF(Atletas!D9="Adulto 85kg",32,IF(Atletas!D9="Adulto 90kg",33,IF(Atletas!D9="Adulto 100kg",34, IF(Atletas!D9="Adulto +100kg",35,"")))))))))))))))))))))))))))))))))))))</f>
        <v/>
      </c>
      <c r="AO13" s="50" t="str">
        <f>IF(AP13&lt;&gt;"","Infantil 42kg","")</f>
        <v/>
      </c>
      <c r="AP13" s="6" t="str">
        <f>IF(COUNTIF(AN:AN,109)&gt;0,COUNTIF(AN:AN,109),"")</f>
        <v/>
      </c>
      <c r="AQ13" s="50" t="str">
        <f>IF(AR13&lt;&gt;"","Kids 45kg","")</f>
        <v/>
      </c>
      <c r="AR13" s="6" t="str">
        <f>IF(COUNTIF(AN:AN,207)&gt;0,COUNTIF(AN:AN,207),"")</f>
        <v/>
      </c>
      <c r="AS13" s="6" t="str">
        <f>IF(Atletas!E9="","",IF(Atletas!B9="Feminino",100,IF(Atletas!B9="Masculino",200,""))+(IF(Atletas!E9="Juvenil 44kg",1,IF(Atletas!E9="Juvenil 48kg",2,IF(Atletas!E9="Juvenil 52kg",3,IF(Atletas!E9="Juvenil 56kg",4,IF(Atletas!E9="Juvenil 60kg",5,IF(Atletas!E9="Juvenil 65kg",6,IF(Atletas!E9="Juvenil 70kg",7,IF(Atletas!E9="Juvenil 75kg",8,IF(Atletas!E9="Juvenil 82kg",9,IF(Atletas!E9="Juvenil 90kg",10,IF(Atletas!E9="Juvenil 100kg",11,IF(Atletas!E9="Adulto 48kg",12,IF(Atletas!E9="Adulto 52kg",13,IF(Atletas!E9="Adulto 56kg",14,IF(Atletas!E9="Adulto 60kg",15,IF(Atletas!E9="Adulto 65kg",16,IF(Atletas!E9="Adulto 70kg",17,IF(Atletas!E9="Adulto 75kg",18,IF(Atletas!E9="Adulto 82kg",19,IF(Atletas!E9="Adulto 90kg",20,IF(Atletas!E9="Adulto 100kg",21,IF(Atletas!E9="Adulto +100kg",22,""))))))))))))))))))))))))</f>
        <v/>
      </c>
      <c r="AT13" s="50" t="str">
        <f>IF(AU13&lt;&gt;"","Juvenil 70kg","")</f>
        <v/>
      </c>
      <c r="AU13" s="6" t="str">
        <f>IF(COUNTIF(AS:AS,107)&gt;0,COUNTIF(AS:AS,107),"")</f>
        <v/>
      </c>
      <c r="AV13" s="50" t="str">
        <f>IF(AW13&lt;&gt;"","Juvenil 75kg","")</f>
        <v/>
      </c>
      <c r="AW13" s="6" t="str">
        <f>IF(COUNTIF(AS:AS,208)&gt;0,COUNTIF(AS:AS,208),"")</f>
        <v/>
      </c>
      <c r="AX13" s="6" t="str">
        <f>IF(Atletas!F9="","",IF(Atletas!B9="Feminino",100,IF(Atletas!B9="Masculino",200,""))+(IF(Atletas!F9="Adulto 48kg",1,IF(Atletas!F9="Adulto 56kg",2,IF(Atletas!F9="Adulto 65kg",3,IF(Atletas!F9="Adulto 75kg",4,IF(Atletas!F9="Adulto +75kg",5,IF(Atletas!F9="Adulto 52kg",6,IF(Atletas!F9="Adulto 60kg",7,IF(Atletas!F9="Adulto 70kg",8,IF(Atletas!F9="Adulto 80kg",9,IF(Atletas!F9="Adulto 90kg",10,IF(Atletas!F9="Adulto +90kg",11,"")))))))))))))</f>
        <v/>
      </c>
      <c r="AY13" s="50"/>
      <c r="BA13" s="50"/>
      <c r="BC13" s="6" t="str">
        <f>IF(Atletas!G9="","",IF(Atletas!B9="Feminino",10,IF(Atletas!B9="Masculino",20,""))+(IF(Atletas!G9="Baduanjin A",1,IF(Atletas!G9="Baduanjin B",2))))</f>
        <v/>
      </c>
      <c r="BF13" s="52" t="str">
        <f>IF(Atletas!H9="","",IF(Atletas!B9="Feminino",100,IF(Atletas!B9="Masculino",200,""))+(IF(Atletas!H9="Changquan Mirim",1,IF(Atletas!H9="Nanquan Mirim",2,IF(Atletas!H9="Taijiquan Mirim",3,IF(Atletas!H9="Changquan Grupo C",4,IF(Atletas!H9="Nanquan Grupo C",5,IF(Atletas!H9="Taijiquan Grupo C",6,IF(Atletas!H9="Changquan Grupo B",7,IF(Atletas!H9="Nanquan Grupo B",8,IF(Atletas!H9="Taijiquan Grupo B",9,IF(Atletas!H9="Changquan Grupo A",10,IF(Atletas!H9="Nanquan Grupo A",11,IF(Atletas!H9="Taijiquan Grupo A",12,IF(Atletas!H9="Changquan Opcional",13,IF(Atletas!H9="Nanquan Opcional",14,IF(Atletas!H9="Taijiquan Opcional",15,IF(Atletas!H9="Changquan Adulto",16,IF(Atletas!H9="Nanquan Adulto",17,IF(Atletas!H9="Taijiquan Adulto",18,""))))))))))))))))))))</f>
        <v/>
      </c>
      <c r="BG13" s="52" t="str">
        <f>IF(Atletas!I9="","",IF(Atletas!B9="Feminino",100,IF(Atletas!B9="Masculino",200,""))+(IF(Atletas!I9="Daoshu Mirim",19,IF(Atletas!I9="Jianshu Mirim",20,IF(Atletas!I9="Nandao Mirim",21,IF(Atletas!I9="Taijijian Mirim",22,IF(Atletas!I9="Daoshu Grupo C",23,IF(Atletas!I9="Jianshu Grupo C",24,IF(Atletas!I9="Nandao Grupo C",25,IF(Atletas!I9="Taijijian Grupo C",26,IF(Atletas!I9="Daoshu Grupo B",27,IF(Atletas!I9="Jianshu Grupo B",28,IF(Atletas!I9="Nandao Grupo B",29,IF(Atletas!I9="Taijijian Grupo B",30,IF(Atletas!I9="Daoshu Grupo A",31,IF(Atletas!I9="Jianshu Grupo A",32,IF(Atletas!I9="Nandao Grupo A",33,IF(Atletas!I9="Taijijian Grupo A",34,IF(Atletas!I9="Daoshu Opcional",35,IF(Atletas!I9="Jianshu Opcional",36,IF(Atletas!I9="Nandao Opcional",37,IF(Atletas!I9="Taijijian Opcional",38,IF(Atletas!I9="Daoshu Adulto",39,IF(Atletas!I9="Jianshu Adulto",40,IF(Atletas!I9="Nandao Adulto",41,IF(Atletas!I9="Taijijian Adulto",42,""))))))))))))))))))))))))))</f>
        <v/>
      </c>
      <c r="BH13" s="52" t="str">
        <f>IF(Atletas!J9="","",IF(Atletas!B9="Feminino",100,IF(Atletas!B9="Masculino",200,""))+(IF(Atletas!J9="Gunshu Mirim",43,IF(Atletas!J9="Qiangshu Mirim",44,IF(Atletas!J9="Nangun Mirim",45,IF(Atletas!J9="Gunshu Grupo C",46,IF(Atletas!J9="Qiangshu Grupo C",47,IF(Atletas!J9="Nangun Grupo C",48,IF(Atletas!J9="Gunshu Grupo B",49,IF(Atletas!J9="Qiangshu Grupo B",50,IF(Atletas!J9="Nangun Grupo B",51,IF(Atletas!J9="Gunshu Grupo A",52,IF(Atletas!J9="Qiangshu Grupo A",53,IF(Atletas!J9="Nangun Grupo A",54,IF(Atletas!J9="Gunshu Opcional",55,IF(Atletas!J9="Qiangshu Opcional",56,IF(Atletas!J9="Nangun Opcional",57,IF(Atletas!J9="Gunshu Adulto",58,IF(Atletas!J9="Qiangshu Adulto",59,IF(Atletas!J9="Nangun Adulto",60,IF(Atletas!J9="Taijishan Grupo B",61,IF(Atletas!J9="Taijishan Grupo A",62,""))))))))))))))))))))))</f>
        <v/>
      </c>
      <c r="BI13" s="52" t="str">
        <f>IF(BJ13&lt;&gt;"","Taijijian Mirim","")</f>
        <v/>
      </c>
      <c r="BJ13" s="50" t="str">
        <f>IF(COUNTIF(BF:BH,122)&gt;0,COUNTIF(BF:BH,122),"")</f>
        <v/>
      </c>
      <c r="BK13" s="52" t="str">
        <f>IF(BL13&lt;&gt;"","Taijijian Mirim","")</f>
        <v/>
      </c>
      <c r="BL13" s="50" t="str">
        <f>IF(COUNTIF(BF:BH,222)&gt;0,COUNTIF(BF:BH,222),"")</f>
        <v/>
      </c>
      <c r="BM13" s="50" t="str">
        <f>IF(Atletas!K9="","",IF(Atletas!B9="Feminino",100,IF(Atletas!B9="Masculino",200,""))+(IF(Atletas!K9="Equipe 1 Grupo B",1,IF(Atletas!K9="Equipe 2 Grupo B",2,IF(Atletas!K9="Equipe 1 Grupo A",3,IF(Atletas!K9="Equipe 2 Grupo A",4,IF(Atletas!K9="Equipe 1 Adulto",5,IF(Atletas!K9="Equipe 2 Adulto",6,""))))))))</f>
        <v/>
      </c>
      <c r="BN13" s="52"/>
      <c r="BO13" s="52"/>
      <c r="BP13" s="50"/>
      <c r="BQ13" s="52"/>
      <c r="BR13" s="50" t="str">
        <f>IF(Atletas!L9="","",IF(Atletas!X9&lt;&gt;"",10000,0)+(IF(Atletas!B9="Feminino",1000,IF(Atletas!B9="Masculino",2000,""))+IF(Atletas!L9="Choylayfut A",1,IF(Atletas!L9="Hunggar A",2,IF(Atletas!L9="Wuzuquan A",3,IF(Atletas!L9="Wingchun A",4,IF(Atletas!L9="Outra Mão de Sul A",5,IF(Atletas!L9="Choylayfut B",6,IF(Atletas!L9="Hunggar B",7,IF(Atletas!L9="Wuzuquan B",8,IF(Atletas!L9="Wingchun B",9,IF(Atletas!L9="Outra Mão de Sul B",10,IF(Atletas!L9="Choylayfut C",11,IF(Atletas!L9="Hunggar C",12,IF(Atletas!L9="Wuzuquan C",13,IF(Atletas!L9="Wingchun C",14,IF(Atletas!L9="Outra Mão de Sul C",15,IF(Atletas!L9="Choylayfut D",16,IF(Atletas!L9="Hunggar D",17,IF(Atletas!L9="Wuzuquan D",18,IF(Atletas!L9="Wingchun D",19,IF(Atletas!L9="Outra Mão de Sul D",20,IF(Atletas!L9="Choylayfut E",21,IF(Atletas!L9="Hunggar E",22,IF(Atletas!L9="Wuzuquan E",23,IF(Atletas!L9="Wingchun E",24,IF(Atletas!L9="Outra Mão de Sul E",25,IF(Atletas!L9="Choylayfut F",26,IF(Atletas!L9="Hunggar F",27,IF(Atletas!L9="Wuzuquan F",28,IF(Atletas!L9="Wingchun F",29,IF(Atletas!L9="Outra Mão de Sul F",30,IF(Atletas!L9="Dishuquan A",31,IF(Atletas!L9="Dishuquan B",32,IF(Atletas!L9="Dishuquan C",33,IF(Atletas!L9="Dishuquan D",34,IF(Atletas!L9="Dishuquan E",35,IF(Atletas!L9="Dishuquan F",36,""))))))))))))))))))))))))))))))))))))))</f>
        <v/>
      </c>
      <c r="BS13" s="50" t="str">
        <f>IF(Atletas!M9="","",IF(Atletas!X9&lt;&gt;"",10000,0)+(IF(Atletas!B9="Feminino",1000,IF(Atletas!B9="Masculino",2000,""))+(IF(Atletas!M9="Chaquan A",101,IF(Atletas!M9="Emeiquan A",102,IF(Atletas!M9="Fanziquan A",103,IF(Atletas!M9="Huaquan A",104,IF(Atletas!M9="Hongquan A",105,IF(Atletas!M9="Paoquan A",106,IF(Atletas!M9="Piguaquan A",107,IF(Atletas!M9="Shaolinquan A",108,IF(Atletas!M9="Tanglangquan A",109,IF(Atletas!M9="Yingzhaoquan A",110,IF(Atletas!M9="Tongbeiquan A",111,IF(Atletas!M9="Wudangquan A",112,IF(Atletas!M9="Outros Estilos A",113,IF(Atletas!M9="Chaquan B",114,IF(Atletas!M9="Emeiquan B",115,IF(Atletas!M9="Fanziquan B",116,IF(Atletas!M9="Huaquan B",117,IF(Atletas!M9="Hongquan B",118,IF(Atletas!M9="Paoquan B",119,IF(Atletas!M9="Piguaquan B",120,IF(Atletas!M9="Shaolinquan B",121,IF(Atletas!M9="Tanglangquan B",122,IF(Atletas!M9="Yingzhaoquan B",123,IF(Atletas!M9="Tongbeiquan B",124,IF(Atletas!M9="Wudangquan B",125,IF(Atletas!M9="Outros Estilos B",126,IF(Atletas!M9="Chaquan C",127,IF(Atletas!M9="Emeiquan C",128,IF(Atletas!M9="Fanziquan C",129,IF(Atletas!M9="Huaquan C",130,IF(Atletas!M9="Hongquan C",131,IF(Atletas!M9="Paoquan C",132,IF(Atletas!M9="Piguaquan C",133,IF(Atletas!M9="Shaolinquan C",134,IF(Atletas!M9="Tanglangquan C",135,IF(Atletas!M9="Yingzhaoquan C",136,IF(Atletas!M9="Tongbeiquan C",137,IF(Atletas!M9="Wudangquan C",138,IF(Atletas!M9="Outros Estilos C",139,0))))))))))))))))))))))))))))))))))))))))))</f>
        <v/>
      </c>
      <c r="BT13" s="50" t="str">
        <f>IF(Atletas!M9="","",IF(Atletas!X9&lt;&gt;"",10000,0)+(IF(Atletas!B9="Feminino",1000,IF(Atletas!B9="Masculino",2000,""))+(IF(Atletas!M9="Chaquan D",140,IF(Atletas!M9="Emeiquan D",141,IF(Atletas!M9="Fanziquan D",142,IF(Atletas!M9="Huaquan D",143,IF(Atletas!M9="Hongquan D",144,IF(Atletas!M9="Paoquan D",145,IF(Atletas!M9="Piguaquan D",146,IF(Atletas!M9="Shaolinquan D",147,IF(Atletas!M9="Tanglangquan D",148,IF(Atletas!M9="Yingzhaoquan D",149,IF(Atletas!M9="Tongbeiquan D",150,IF(Atletas!M9="Wudangquan D",151,IF(Atletas!M9="Outros Estilos D",152,IF(Atletas!M9="Chaquan E",153,IF(Atletas!M9="Emeiquan E",154,IF(Atletas!M9="Fanziquan E",155,IF(Atletas!M9="Huaquan E",156,IF(Atletas!M9="Hongquan E",157,IF(Atletas!M9="Paoquan E",158,IF(Atletas!M9="Piguaquan E",159,IF(Atletas!M9="Shaolinquan E",160,IF(Atletas!M9="Tanglangquan E",161,IF(Atletas!M9="Yingzhaoquan E",162,IF(Atletas!M9="Tongbeiquan E",163,IF(Atletas!M9="Wudangquan E",164,IF(Atletas!M9="Outros Estilos E",165,IF(Atletas!M9="Chaquan F",166,IF(Atletas!M9="Emeiquan F",167,IF(Atletas!M9="Fanziquan F",168,IF(Atletas!M9="Huaquan F",169,IF(Atletas!M9="Hongquan F",170,IF(Atletas!M9="Paoquan F",171,IF(Atletas!M9="Piguaquan F",172,IF(Atletas!M9="Shaolinquan F",173,IF(Atletas!M9="Tanglangquan F",174,IF(Atletas!M9="Yingzhaoquan F",175,IF(Atletas!M9="Tongbeiquan F",176,IF(Atletas!M9="Wudangquan F",177,IF(Atletas!M9="Outros Estilos F",178,0))))))))))))))))))))))))))))))))))))))))))</f>
        <v/>
      </c>
      <c r="BU13" s="50" t="str">
        <f>IF(Atletas!N9="","",IF(Atletas!X9&lt;&gt;"",10000,0)+(IF(Atletas!B9="Feminino",1000,IF(Atletas!B9="Masculino",2000,""))+(IF(Atletas!N9="Ditangquan A",201,IF(Atletas!N9="Houquan A",202,IF(Atletas!N9="Zuiquan A",203,IF(Atletas!N9="Ditangquan B",204,IF(Atletas!N9="Houquan B",205,IF(Atletas!N9="Zuiquan B",206,IF(Atletas!N9="Ditangquan C",207,IF(Atletas!N9="Houquan C",208,IF(Atletas!N9="Zuiquan C",209,IF(Atletas!N9="Ditangquan D",210,IF(Atletas!N9="Houquan D",211,IF(Atletas!N9="Zuiquan D",212,IF(Atletas!N9="Ditangquan E",213,IF(Atletas!N9="Houquan E",214,IF(Atletas!N9="Zuiquan E",215,IF(Atletas!N9="Ditangquan F",216,IF(Atletas!N9="Houquan F",217,IF(Atletas!N9="Zuiquan F",218,"")))))))))))))))))))))</f>
        <v/>
      </c>
      <c r="BV13" s="50" t="str">
        <f>IF(Atletas!O9="","",IF(Atletas!X9&lt;&gt;"",10000,0)+IF(Atletas!B9="Feminino",1000,IF(Atletas!B9="Masculino",2000,""))+IF(Atletas!O9="Yang A",301,IF(Atletas!O9="Chen A",302,IF(Atletas!O9="Sun A",303,IF(Atletas!O9="Wu A",304,IF(Atletas!O9="Wu-Hao A",305,IF(Atletas!O9="Outro Taijiquan A",306,IF(Atletas!O9="Yang B",307,IF(Atletas!O9="Chen B",308,IF(Atletas!O9="Sun B",309,IF(Atletas!O9="Wu B",310,IF(Atletas!O9="Wu-Hao B",311,IF(Atletas!O9="Outro Taijiquan B",312,IF(Atletas!O9="Yang C",313,IF(Atletas!O9="Chen C",314,IF(Atletas!O9="Sun C",315,IF(Atletas!O9="Wu C",316,IF(Atletas!O9="Wu-Hao C",317,IF(Atletas!O9="Outro Taijiquan C",318,IF(Atletas!O9="Yang D",319,IF(Atletas!O9="Chen D",320,IF(Atletas!O9="Sun D",321,IF(Atletas!O9="Wu D",322,IF(Atletas!O9="Wu-Hao D",323,IF(Atletas!O9="Outro Taijiquan D",324,IF(Atletas!O9="Yang E",325,IF(Atletas!O9="Chen E",326,IF(Atletas!O9="Sun E",327,IF(Atletas!O9="Wu E",328,IF(Atletas!O9="Wu-Hao E",329,IF(Atletas!O9="Outro Taijiquan E",330,IF(Atletas!O9="Yang F",331,IF(Atletas!O9="Chen F",332,IF(Atletas!O9="Sun F",333,IF(Atletas!O9="Wu F",334,IF(Atletas!O9="Wu-Hao F",335,IF(Atletas!O9="Outro Taijiquan F",336,"")))))))))))))))))))))))))))))))))))))</f>
        <v/>
      </c>
      <c r="BW13" s="50" t="str">
        <f>IF(Atletas!P9="","",IF(Atletas!X9&lt;&gt;"",10000,0)+IF(Atletas!B9="Feminino",1000,IF(Atletas!B9="Masculino",2000,""))+IF(OR(Atletas!P9="Yang 26 A",Atletas!P9="Yang 40 A"),401,IF(OR(Atletas!P9="Chen 25 A",Atletas!P9="Chen 36 A",Atletas!P9="Chen 56 A"),402,IF(Atletas!P9="Sun 73 A",403,IF(Atletas!P9="Wu 45 A",404,IF(Atletas!P9="Wu-Hao 46 A",405,IF(OR(Atletas!P9="Taijiquan 16 A",Atletas!P9="Taijiquan 24 A",Atletas!P9="Taijiquan 32 A",Atletas!P9="Taijiquan 42 A"),406,IF(OR(Atletas!P9="Yang 26 B",Atletas!P9="Yang 40 B"),407,IF(OR(Atletas!P9="Chen 25 B",Atletas!P9="Chen 36 B",Atletas!P9="Chen 56 B"),408,IF(Atletas!P9="Sun 73 B",409,IF(Atletas!P9="Wu 45 B",410,IF(Atletas!P9="Wu-Hao 46 B",411,IF(OR(Atletas!P9="Taijiquan 16 B",Atletas!P9="Taijiquan 24 B",Atletas!P9="Taijiquan 32 B",Atletas!P9="Taijiquan 42 B"),412,IF(OR(Atletas!P9="Yang 26 C",Atletas!P9="Yang 40 C"),413,IF(OR(Atletas!P9="Chen 25 C",Atletas!P9="Chen 36 C",Atletas!P9="Chen 56 C"),414,IF(Atletas!P9="Sun 73 C",415,IF(Atletas!P9="Wu 45 C",416,IF(Atletas!P9="Wu-Hao 46 C",417,IF(OR(Atletas!P9="Taijiquan 16 C",Atletas!P9="Taijiquan 24 C",Atletas!P9="Taijiquan 32 C",Atletas!P9="Taijiquan 42 C"),418,0)))))))))))))))))))</f>
        <v/>
      </c>
      <c r="BX13" s="50" t="str">
        <f>IF(Atletas!P9="","",IF(Atletas!X9&lt;&gt;"",10000,0)+IF(Atletas!B9="Feminino",1000,IF(Atletas!B9="Masculino",2000,""))+IF(OR(Atletas!P9="Yang 26 D",Atletas!P9="Yang 40 D"),419,IF(OR(Atletas!P9="Chen 25 D",Atletas!P9="Chen 36 D",Atletas!P9="Chen 56 D"),420,IF(Atletas!P9="Sun 73 D",421,IF(Atletas!P9="Wu 45 D",422,IF(Atletas!P9="Wu-Hao 46 D",423,IF(OR(Atletas!P9="Taijiquan 16 D",Atletas!P9="Taijiquan 24 D",Atletas!P9="Taijiquan 32 D",Atletas!P9="Taijiquan 42 D"),424,IF(OR(Atletas!P9="Yang 26 E",Atletas!P9="Yang 40 E"),425,IF(OR(Atletas!P9="Chen 25 E",Atletas!P9="Chen 36 E",Atletas!P9="Chen 56 E"),426,IF(Atletas!P9="Sun 73 E",427,IF(Atletas!P9="Wu 45 E",428,IF(Atletas!P9="Wu-Hao 46 E",429,IF(OR(Atletas!P9="Taijiquan 16 E",Atletas!P9="Taijiquan 24 E",Atletas!P9="Taijiquan 32 E",Atletas!P9="Taijiquan 42 E"),430,IF(OR(Atletas!P9="Yang 26 F",Atletas!P9="Yang 40 F"),431,IF(OR(Atletas!P9="Chen 25 F",Atletas!P9="Chen 36 F",Atletas!P9="Chen 56 F"),432,IF(Atletas!P9="Sun 73 F",433,IF(Atletas!P9="Wu 45 F",434,IF(Atletas!P9="Wu-Hao 46 F",435,IF(OR(Atletas!P9="Taijiquan 16 F",Atletas!P9="Taijiquan 24 F",Atletas!P9="Taijiquan 32 F",Atletas!P9="Taijiquan 42 F"),436,0)))))))))))))))))))</f>
        <v/>
      </c>
      <c r="BY13" s="50" t="str">
        <f>IF(Atletas!Q9="","",IF(Atletas!X9&lt;&gt;"",10000,0)+IF(Atletas!B9="Feminino",1000,IF(Atletas!B9="Masculino",2000,""))+IF(Atletas!Q9="Xingyiquan A",501,IF(Atletas!Q9="Baguazhang A",502,IF(Atletas!Q9="Outro Estilo Interno A",503,IF(Atletas!Q9="Xingyiquan B",504,IF(Atletas!Q9="Baguazhang B",505,IF(Atletas!Q9="Outro Estilo Interno B",506,IF(Atletas!Q9="Xingyiquan C",507,IF(Atletas!Q9="Baguazhang C",508,IF(Atletas!Q9="Outro Estilo Interno C",509,IF(Atletas!Q9="Xingyiquan D",510,IF(Atletas!Q9="Baguazhang D",511,IF(Atletas!Q9="Outro Estilo Interno D",512,IF(Atletas!Q9="Xingyiquan E",513,IF(Atletas!Q9="Baguazhang E",514,IF(Atletas!Q9="Outro Estilo Interno E",515,IF(Atletas!Q9="Xingyiquan F",516,IF(Atletas!Q9="Baguazhang F",517,IF(Atletas!Q9="Outro Estilo Interno F",518, "")))))))))))))))))))</f>
        <v/>
      </c>
      <c r="BZ13" s="50" t="str">
        <f>IF(Atletas!R9="","",IF(Atletas!X9&lt;&gt;"",10000,0)+IF(Atletas!B9="Feminino",1000,IF(Atletas!B9="Masculino",2000,""))+IF(Atletas!R9="Dao A",601,IF(Atletas!R9="Jian A",602,IF(Atletas!R9="Bishou A",603,IF(Atletas!R9="Shanzi A",604,IF(Atletas!R9="Outra Arma Curta A",605,IF(Atletas!R9="Dao B",606,IF(Atletas!R9="Jian B",607,IF(Atletas!R9="Bishou B",608,IF(Atletas!R9="Shanzi B",609,IF(Atletas!R9="Outra Arma Curta B",610,IF(Atletas!R9="Dao C",611,IF(Atletas!R9="Jian C",612,IF(Atletas!R9="Bishou C",613,IF(Atletas!R9="Shanzi C",614,IF(Atletas!R9="Outra Arma Curta C",615,IF(Atletas!R9="Dao D",616,IF(Atletas!R9="Jian D",617,IF(Atletas!R9="Bishou D",618,IF(Atletas!R9="Shanzi D",619,IF(Atletas!R9="Outra Arma Curta D",620,IF(Atletas!R9="Dao E",621,IF(Atletas!R9="Jian E",622,IF(Atletas!R9="Bishou E",623,IF(Atletas!R9="Shanzi E",624,IF(Atletas!R9="Outra Arma Curta E",625,IF(Atletas!R9="Dao F",626,IF(Atletas!R9="Jian F",627,IF(Atletas!R9="Bishou F",628,IF(Atletas!R9="Shanzi F",629,IF(Atletas!R9="Outra Arma Curta F",630, "")))))))))))))))))))))))))))))))</f>
        <v/>
      </c>
      <c r="CA13" s="50" t="str">
        <f>IF(Atletas!S9="","",IF(Atletas!X9&lt;&gt;"",10000,0)+IF(Atletas!B9="Feminino",1000,IF(Atletas!B9="Masculino",2000,""))+IF(Atletas!S9="Gun A",701,IF(Atletas!S9="Qiang A",702,IF(Atletas!S9="Pudao / Guandao A",703,IF(Atletas!S9="Outra Arma Longa A",704,IF(Atletas!S9="Gun B",705,IF(Atletas!S9="Qiang B",706,IF(Atletas!S9="Pudao / Guandao B",707,IF(Atletas!S9="Outra Arma Longa B",708,IF(Atletas!S9="Gun C",709,IF(Atletas!S9="Qiang C",710,IF(Atletas!S9="Pudao / Guandao C",711,IF(Atletas!S9="Outra Arma Longa C",712,IF(Atletas!S9="Gun D",713,IF(Atletas!S9="Qiang D",714,IF(Atletas!S9="Pudao / Guandao D",715,IF(Atletas!S9="Outra Arma Longa D",716,IF(Atletas!S9="Gun E",717,IF(Atletas!S9="Qiang E",718,IF(Atletas!S9="Pudao / Guandao E",719,IF(Atletas!S9="Outra Arma Longa E",720,IF(Atletas!S9="Gun F",721,IF(Atletas!S9="Qiang F",722,IF(Atletas!S9="Pudao / Guandao F",723,IF(Atletas!S9="Outra Arma Longa F",724,"")))))))))))))))))))))))))</f>
        <v/>
      </c>
      <c r="CB13" s="50" t="str">
        <f>IF(Atletas!T9="","",IF(Atletas!X9&lt;&gt;"",10000,0)+IF(Atletas!B9="Feminino",1000,IF(Atletas!B9="Masculino",2000,""))+IF(Atletas!T9="Outra Arma Dupla A",801,IF(Atletas!T9="Arma Maleável A",802,IF(Atletas!T9="Outra Arma Dupla B",803,IF(Atletas!T9="Arma Maleável B",804,IF(Atletas!T9="Outra Arma Dupla C",805,IF(Atletas!T9="Arma Maleável C",806,IF(Atletas!T9="Outra Arma Dupla D",807,IF(Atletas!T9="Arma Maleável D",808,IF(Atletas!T9="Outra Arma Dupla E",809,IF(Atletas!T9="Arma Maleável E",810,IF(Atletas!T9="Outra Arma Dupla F",811,IF(Atletas!T9="Arma Maleável F",812,IF(Atletas!T9="Shuangdao A",813,IF(Atletas!T9="Shuangdao B",814,IF(Atletas!T9="Shuangdao C",815,IF(Atletas!T9="Shuangdao D",816,IF(Atletas!T9="Shuangdao E",817,IF(Atletas!T9="Shuangdao F",818,"")))))))))))))))))))</f>
        <v/>
      </c>
      <c r="CC13" s="50" t="str">
        <f>IF(Atletas!U9="","",IF(Atletas!X9&lt;&gt;"",10000,0)+IF(Atletas!B9="Feminino",1000,IF(Atletas!B9="Masculino",2000,""))+IF(OR(Atletas!U9="Taijijian Yang A",Atletas!U9="Taijijian Yang Standard A"),901,IF(OR(Atletas!U9="Taijijian Chen A", Atletas!U9="Taijijian Chen Standard A"),902,IF(Atletas!U9="Taijijian Sun A",903,IF(Atletas!U9="Taijijian Wu A",904,IF(Atletas!U9="Taijijian Wu-Hao A",905,IF(OR(Atletas!U9="Taijijian 32 A",Atletas!U9="Taijijian 42 A"),906,IF(OR(Atletas!U9="Taijijian Yang B",Atletas!U9="Taijijian Yang Standard B"),907,IF(OR(Atletas!U9="Taijijian Chen B", Atletas!U9="Taijijian Chen Standard B"),908,IF(Atletas!U9="Taijijian Sun B",909,IF(Atletas!U9="Taijijian Wu B",910,IF(Atletas!U9="Taijijian Wu-Hao B",911,IF(OR(Atletas!U9="Taijijian 32 B",Atletas!U9="Taijijian 42 B"),912,IF(OR(Atletas!U9="Taijijian Yang C",Atletas!U9="Taijijian Yang Standard C"),913,IF(OR(Atletas!U9="Taijijian Chen C", Atletas!U9="Taijijian Chen Standard C"),914,IF(Atletas!U9="Taijijian Sun C",915,IF(Atletas!U9="Taijijian Wu C",916,IF(Atletas!U9="Taijijian Wu-Hao C",917,IF(OR(Atletas!U9="Taijijian 32 C",Atletas!U9="Taijijian 42 C"),918,IF(OR(Atletas!U9="Taijijian Yang D",Atletas!U9="Taijijian Yang Standard D"),919,IF(OR(Atletas!U9="Taijijian Chen D", Atletas!U9="Taijijian Chen Standard D"),920,IF(Atletas!U9="Taijijian Sun D",921,IF(Atletas!U9="Taijijian Wu D",922,IF(Atletas!U9="Taijijian Wu-Hao D",923,IF(OR(Atletas!U9="Taijijian 32 D",Atletas!U9="Taijijian 42 D"),924,IF(OR(Atletas!U9="Taijijian Yang E",Atletas!U9="Taijijian Yang Standard E"),925,IF(OR(Atletas!U9="Taijijian Chen E", Atletas!U9="Taijijian Chen Standard E"),926,IF(Atletas!U9="Taijijian Sun E",927,IF(Atletas!U9="Taijijian Wu E",928,IF(Atletas!U9="Taijijian Wu-Hao E",929,IF(OR(Atletas!U9="Taijijian 32 E",Atletas!U9="Taijijian 42 E"),930,IF(OR(Atletas!U9="Taijijian Yang F",Atletas!U9="Taijijian Yang Standard F"),931,IF(OR(Atletas!U9="Taijijian Chen F", Atletas!U9="Taijijian Chen Standard F"),932,IF(Atletas!U9="Taijijian Sun F",933,IF(Atletas!U9="Taijijian Wu F",934,IF(Atletas!U9="Taijijian Wu-Hao F",935,IF(OR(Atletas!U9="Taijijian 32 F",Atletas!U9="Taijijian 42 F"),936,"")))))))))))))))))))))))))))))))))))))</f>
        <v/>
      </c>
      <c r="CD13" s="50" t="str">
        <f>IF(Atletas!V9="","",IF(Atletas!X9&lt;&gt;"",10000,0)+IF(Atletas!B9="Feminino",1000,IF(Atletas!B9="Masculino",2000,""))+IF(Atletas!V9="Taijidao A",937,IF(Atletas!V9="TaijiShanzi A",938,IF(Atletas!V9="Taijiqiang A",939,IF(Atletas!V9="Bagua de Arma A",940,IF(Atletas!V9="Xingyi de Arma A",941,IF(Atletas!V9="Taijidao B",942,IF(Atletas!V9="TaijiShanzi B",943,IF(Atletas!V9="Taijiqiang B",944,IF(Atletas!V9="Bagua de Arma B",945,IF(Atletas!V9="Xingyi de Arma B",946,IF(Atletas!V9="Taijidao C",947,IF(Atletas!V9="TaijiShanzi C",948,IF(Atletas!V9="Taijiqiang C",949,IF(Atletas!V9="Bagua de Arma C",950,IF(Atletas!V9="Xingyi de Arma C",951,IF(Atletas!V9="Taijidao D",952,IF(Atletas!V9="TaijiShanzi D",953,IF(Atletas!V9="Taijiqiang D",954,IF(Atletas!V9="Bagua de Arma D",955,IF(Atletas!V9="Xingyi de Arma D",956,IF(Atletas!V9="Taijidao E",957,IF(Atletas!V9="TaijiShanzi E",958,IF(Atletas!V9="Taijiqiang E",959,IF(Atletas!V9="Bagua de Arma E",960,IF(Atletas!V9="Xingyi de Arma E",961,IF(Atletas!V9="Taijidao F",962,IF(Atletas!V9="TaijiShanzi F",963,IF(Atletas!V9="Taijiqiang F",964,IF(Atletas!V9="Bagua de Arma F",965,IF(Atletas!V9="Xingyi de Arma F",966,"")))))))))))))))))))))))))))))))</f>
        <v/>
      </c>
      <c r="CE13" s="66" t="str">
        <f>IF(CF13&lt;&gt;"","Choylayfut B","")</f>
        <v/>
      </c>
      <c r="CF13" s="66" t="str">
        <f>IF(COUNTIF(BR:CD,1006)&gt;0,COUNTIF(BR:CD,1006),"")</f>
        <v/>
      </c>
      <c r="CG13" s="66" t="str">
        <f>IF(CH13&lt;&gt;"","Choylayfut B","")</f>
        <v/>
      </c>
      <c r="CH13" s="66" t="str">
        <f>IF(COUNTIF(BR:CD,2006)&gt;0,COUNTIF(BR:CD,2006),"")</f>
        <v/>
      </c>
      <c r="CI13" s="66" t="str">
        <f>IF(CJ13&lt;&gt;"","Hunggar B","")</f>
        <v/>
      </c>
      <c r="CJ13" s="66" t="str">
        <f>IF(COUNTIF(BR:CD,11007)&gt;0,COUNTIF(BR:CD,11007),"")</f>
        <v/>
      </c>
      <c r="CK13" s="66" t="str">
        <f>IF(CL13&lt;&gt;"","Hunggar B","")</f>
        <v/>
      </c>
      <c r="CL13" s="66" t="str">
        <f>IF(COUNTIF(BR:CD,12007)&gt;0,COUNTIF(BR:CD,12007),"")</f>
        <v/>
      </c>
      <c r="CM13" s="50" t="str">
        <f xml:space="preserve"> IF(Atletas!W9="","",IF(Atletas!W9="Duilian de Mãos BC - Equipe 1",1,IF(Atletas!W9="Duilian de Mãos BC - Equipe 2",2,IF(Atletas!W9="Duilian de Armas BC - Equipe 1",3,IF(Atletas!W9="Duilian de Armas BC - Equipe 2",4,IF(Atletas!W9="Duilian de Mãos DE - Equipe 1",5,IF(Atletas!W9="Duilian de Mãos DE - Equipe 2",6,IF(Atletas!W9="Duilian de Armas DE - Equipe 1",7,IF(Atletas!W9="Duilian de Armas DE - Equipe 2",8,IF(Atletas!W9="Duilian de Tuishou - Equipe 1",9,IF(Atletas!W9="Duilian de Tuishou - Equipe 2",10,IF(Atletas!W9="Grupo Externo ABC - Equipe 1",11,IF(Atletas!W9="Grupo Externo ABC - Equipe 2",12,IF(Atletas!W9="Grupo Interno ABC - Equipe 1",13,IF(Atletas!W9="Grupo Interno ABC - Equipe 2",14,IF(Atletas!W9="Grupo Externo DEF - Equipe 1",15,IF(Atletas!W9="Grupo Externo DEF - Equipe 2",16,IF(Atletas!W9="Grupo Interno DEF - Equipe 1",17,IF(Atletas!W9="Grupo Interno DEF - Equipe 2",18,"")))))))))))))))))))</f>
        <v/>
      </c>
      <c r="CN13" s="69" t="str">
        <f>IF(CO13&lt;&gt;"","Duilian de Armas DE - Equipe 1","")</f>
        <v/>
      </c>
      <c r="CO13" s="68" t="str">
        <f>IF(COUNTIF(CM:CM,7)&gt;0,COUNTIF(CM:CM,7),"")</f>
        <v/>
      </c>
      <c r="CP13" s="69"/>
      <c r="CQ13" s="68"/>
      <c r="CR13" s="63" t="str">
        <f>IF(CS13&lt;&gt;"","Grupo Interno DEF - Equipe 1","")</f>
        <v/>
      </c>
      <c r="CS13" s="62" t="str">
        <f>IF(COUNTIF(CM:CM,17)&gt;0,COUNTIF(CM:CM,17),"")</f>
        <v/>
      </c>
      <c r="CY13" s="41"/>
    </row>
    <row r="14" spans="1:103">
      <c r="A14" s="13"/>
      <c r="B14" s="3" t="str">
        <f t="array" ref="B14">IFERROR(INDEX(AO$7:AO$38,SMALL(IF(AO$7:AO$38&lt;&gt;"",ROW(AO$7:AO$38)-ROW(AO$7)+1),ROWS(AO$7:AO13))),"")</f>
        <v/>
      </c>
      <c r="C14" s="3" t="str">
        <f t="array" ref="C14">IFERROR(INDEX(AP$7:AP$38,SMALL(IF(AP$7:AP$38&lt;&gt;"",ROW(AP$7:AP$38)-ROW(AP$7)+1),ROWS(AP$7:AP13))),"")</f>
        <v/>
      </c>
      <c r="D14" s="3" t="str">
        <f t="array" ref="D14">IFERROR(INDEX(AQ$7:AQ$38,SMALL(IF(AQ$7:AQ$38&lt;&gt;"",ROW(AQ$7:AQ$38)-ROW(AQ$7)+1),ROWS(AQ$7:AQ13))),"")</f>
        <v/>
      </c>
      <c r="E14" s="3" t="str">
        <f t="array" ref="E14">IFERROR(INDEX(AR$7:AR$38,SMALL(IF(AR$7:AR$38&lt;&gt;"",ROW(AR$7:AR$38)-ROW(AR$7)+1),ROWS(AR$7:AR13))),"")</f>
        <v/>
      </c>
      <c r="F14" s="3" t="str">
        <f t="array" ref="F14">IFERROR(INDEX(AT$7:AT$36,SMALL(IF(AT$7:AT$36&lt;&gt;"",ROW(AT$7:AT$36)-ROW(AT$7)+1),ROWS(AT$7:AT13))),"")</f>
        <v/>
      </c>
      <c r="G14" s="3" t="str">
        <f t="array" ref="G14">IFERROR(INDEX(AU$7:AU$36,SMALL(IF(AU$7:AU$36&lt;&gt;"",ROW(AU$7:AU$36)-ROW(AU$7)+1),ROWS(AU$7:AU13))),"")</f>
        <v/>
      </c>
      <c r="H14" s="3" t="str">
        <f t="array" ref="H14">IFERROR(INDEX(AV$7:AV$36,SMALL(IF(AV$7:AV$36&lt;&gt;"",ROW(AV$7:AV$36)-ROW(AV$7)+1),ROWS(AV$7:AV13))),"")</f>
        <v/>
      </c>
      <c r="I14" s="3" t="str">
        <f t="array" ref="I14">IFERROR(INDEX(AW$7:AW$36,SMALL(IF(AW$7:AW$36&lt;&gt;"",ROW(AW$7:AW$36)-ROW(AW$7)+1),ROWS(AW$7:AW13))),"")</f>
        <v/>
      </c>
      <c r="J14" s="3" t="str">
        <f t="array" ref="J14">IFERROR(INDEX(AY$7:AY$36,SMALL(IF(AY$7:AY$36&lt;&gt;"",ROW(AY$7:AY$36)-ROW(AY$7)+1),ROWS(AY$7:AY13))),"")</f>
        <v/>
      </c>
      <c r="K14" s="3" t="str">
        <f t="array" ref="K14">IFERROR(INDEX(AZ$7:AZ$36,SMALL(IF(AZ$7:AZ$36&lt;&gt;"",ROW(AZ$7:AZ$36)-ROW(AZ$7)+1),ROWS(AZ$7:AZ13))),"")</f>
        <v/>
      </c>
      <c r="L14" s="3" t="str">
        <f t="array" ref="L14">IFERROR(INDEX(BA$7:BA$36,SMALL(IF(BA$7:BA$36&lt;&gt;"",ROW(BA$7:BA$36)-ROW(BA$7)+1),ROWS(BA$7:BA13))),"")</f>
        <v/>
      </c>
      <c r="M14" s="3" t="str">
        <f t="array" ref="M14">IFERROR(INDEX(BB$7:BB$36,SMALL(IF(BB$7:BB$36&lt;&gt;"",ROW(BB$7:BB$36)-ROW(BB$7)+1),ROWS(BB$7:BB13))),"")</f>
        <v/>
      </c>
      <c r="N14" s="3" t="str" cm="1">
        <f t="array" ref="N14">IFERROR(INDEX(BD$7:BD$8,SMALL(IF(BD$7:BD$8&lt;&gt;"",ROW(BD$7:BD$8)-ROW(BD$7)+1),ROWS(BD$7:BD13))),"")</f>
        <v/>
      </c>
      <c r="O14" s="3" t="str" cm="1">
        <f t="array" ref="O14">IFERROR(INDEX(BE$7:BE$8,SMALL(IF(BE$7:BE$8&lt;&gt;"",ROW(BE$7:BE$8)-ROW(BE$7)+1),ROWS(BE$7:BE13))),"")</f>
        <v/>
      </c>
      <c r="P14" s="3" t="str" cm="1">
        <f t="array" ref="P14">IFERROR(INDEX(BD$9:BD$10,SMALL(IF(BD$9:BD$10&lt;&gt;"",ROW(BD$9:BD$10)-ROW(BD$9)+1),ROWS(BD$9:BD15))),"")</f>
        <v/>
      </c>
      <c r="Q14" s="3" t="str">
        <f t="array" ref="Q14">IFERROR(INDEX(BH$7:BH$36,SMALL(IF(BH$7:BH$36&lt;&gt;"",ROW(BH$7:BH$36)-ROW(BH$7)+1),ROWS(BH$7:BH13))),"")</f>
        <v/>
      </c>
      <c r="R14" s="3" t="str">
        <f t="array" ref="R14">IFERROR(INDEX(BI$7:BI$68,SMALL(IF(BI$7:BI$68&lt;&gt;"",ROW(BI$7:BI$68)-ROW(BI$7)+1),ROWS(BI$7:BI13))),"")</f>
        <v/>
      </c>
      <c r="S14" s="3" t="str">
        <f t="array" ref="S14">IFERROR(INDEX(BJ$7:BJ$68,SMALL(IF(BJ$7:BJ$68&lt;&gt;"",ROW(BJ$7:BJ$68)-ROW(BJ$7)+1),ROWS(BJ$7:BJ13))),"")</f>
        <v/>
      </c>
      <c r="T14" s="3" t="str">
        <f t="array" ref="T14">IFERROR(INDEX(BK$7:BK$68,SMALL(IF(BK$7:BK$68&lt;&gt;"",ROW(BK$7:BK$68)-ROW(BK$7)+1),ROWS(BK$7:BK13))),"")</f>
        <v/>
      </c>
      <c r="U14" s="3" t="str">
        <f t="array" ref="U14">IFERROR(INDEX(BL$7:BL$68,SMALL(IF(BL$7:BL$68&lt;&gt;"",ROW(BL$7:BL$68)-ROW(BL$7)+1),ROWS(BL$7:BL13))),"")</f>
        <v/>
      </c>
      <c r="V14" s="20"/>
      <c r="W14" s="20"/>
      <c r="X14" s="20"/>
      <c r="Y14" s="20"/>
      <c r="Z14" s="3" t="str">
        <f t="array" ref="Z14">IFERROR(INDEX(CE$7:CE$348,SMALL(IF(CE$7:CE$348&lt;&gt;"",ROW(CE$7:CE$348)-ROW(CE$7)+1),ROWS(CE$7:CE13))),"")</f>
        <v/>
      </c>
      <c r="AA14" s="3" t="str">
        <f t="array" ref="AA14">IFERROR(INDEX(CF$7:CF$348,SMALL(IF(CF$7:CF$348&lt;&gt;"",ROW(CF$7:CF$348)-ROW(CF$7)+1),ROWS(CF$7:CF13))),"")</f>
        <v/>
      </c>
      <c r="AB14" s="3" t="str">
        <f t="array" ref="AB14">IFERROR(INDEX(CG$7:CG$348,SMALL(IF(CG$7:CG$348&lt;&gt;"",ROW(CG$7:CG$348)-ROW(CG$7)+1),ROWS(CG$7:CG13))),"")</f>
        <v/>
      </c>
      <c r="AC14" s="3" t="str">
        <f t="array" ref="AC14">IFERROR(INDEX(CH$7:CH$348,SMALL(IF(CH$7:CH$348&lt;&gt;"",ROW(CH$7:CH$348)-ROW(CH$7)+1),ROWS(CH$7:CH13))),"")</f>
        <v/>
      </c>
      <c r="AD14" s="3" t="str">
        <f t="array" ref="AD14">IFERROR(INDEX(CI$7:CI$377,SMALL(IF(CI$7:CI$377&lt;&gt;"",ROW(CI$7:CI$377)-ROW(CI$7)+1),ROWS(CI$7:CI13))),"")</f>
        <v/>
      </c>
      <c r="AE14" s="3" t="str">
        <f t="array" ref="AE14">IFERROR(INDEX(CJ$7:CJ$378,SMALL(IF(CJ$7:CJ$378&lt;&gt;"",ROW(CJ$7:CJ$378)-ROW(CJ$7)+1),ROWS(CJ$7:CJ13))),"")</f>
        <v/>
      </c>
      <c r="AF14" s="3" t="str">
        <f t="array" ref="AF14">IFERROR(INDEX(CK$7:CK$378,SMALL(IF(CK$7:CK$378&lt;&gt;"",ROW(CK$7:CK$378)-ROW(CK$7)+1),ROWS(CK$7:CK13))),"")</f>
        <v/>
      </c>
      <c r="AG14" s="3" t="str">
        <f t="array" ref="AG14">IFERROR(INDEX(CL$7:CL$378,SMALL(IF(CL$7:CL$378&lt;&gt;"",ROW(CL$7:CL$378)-ROW(CL$7)+1),ROWS(CL$7:CL13))),"")</f>
        <v/>
      </c>
      <c r="AH14" s="40" t="str">
        <f t="array" ref="AH14">IFERROR(INDEX(CN$7:CN$18,SMALL(IF(CN$7:CN$18&lt;&gt;"",ROW(CN$7:CN$18)-ROW(CN$7)+1),ROWS(CN$7:CN13))),"")</f>
        <v/>
      </c>
      <c r="AI14" s="40" t="str">
        <f t="array" ref="AI14">IFERROR(INDEX(CO$7:CO$18,SMALL(IF(CO$7:CO$18&lt;&gt;"",ROW(CO$7:CO$18)-ROW(CO$7)+1),ROWS(CO$7:CO13))),"")</f>
        <v/>
      </c>
      <c r="AJ14" s="40"/>
      <c r="AK14" s="40"/>
      <c r="AL14" s="40" t="str">
        <f t="array" ref="AL14">IFERROR(INDEX(CR$7:CR$14,SMALL(IF(CR$7:CR$14&lt;&gt;"",ROW(CR$7:CR$14)-ROW(CR$7)+1),ROWS(CR$7:CR13))),"")</f>
        <v/>
      </c>
      <c r="AM14" s="40" t="str">
        <f t="array" ref="AM14">IFERROR(INDEX(CS$7:CS$14,SMALL(IF(CS$7:CS$14&lt;&gt;"",ROW(CS$7:CS$14)-ROW(CS$7)+1),ROWS(CS$7:CS13))),"")</f>
        <v/>
      </c>
      <c r="AN14" s="52" t="str">
        <f>IF(Atletas!D10="","",IF(Atletas!B10="Feminino",100,IF(Atletas!B10="Masculino",200,""))+(IF(Atletas!D10="Kids 30kg",1,IF(Atletas!D10="Kids 32kg",2, IF(Atletas!D10="Kids 34kg",3,IF(Atletas!D10="Kids 36kg",4,IF(Atletas!D10="Kids 39kg",5,IF(Atletas!D10="Kids 42kg",6,IF(Atletas!D10="Kids 45kg",7, IF(Atletas!D10="Infantil 39kg",8,IF(Atletas!D10="Infantil 42kg",9,IF(Atletas!D10="Infantil 45kg",10,IF(Atletas!D10="Infantil 48kg",11,IF(Atletas!D10="Infantil 52kg",12,IF(Atletas!D10="Infantil 56kg",13,IF(Atletas!D10="Infantil 60kg",14,IF(Atletas!D10="Juvenil 48kg",15,IF(Atletas!D10="Juvenil 52kg",16,IF(Atletas!D10="Juvenil 56kg",17,IF(Atletas!D10="Juvenil 60kg",18,IF(Atletas!D10="Juvenil 65kg",19,IF(Atletas!D10="Juvenil 70kg",20,IF(Atletas!D10="Juvenil 75kg",21,IF(Atletas!D10="Juvenil 80kg",22, IF(Atletas!D10="Juvenil 85kg",23,IF(Atletas!D10="Adulto 48kg",24,IF(Atletas!D10="Adulto 52kg",25,IF(Atletas!D10="Adulto 56kg",26,IF(Atletas!D10="Adulto 60kg",27,IF(Atletas!D10="Adulto 65kg",28,IF(Atletas!D10="Adulto 70kg",29,IF(Atletas!D10="Adulto 75kg",30,IF(Atletas!D10="Adulto 80kg",31,IF(Atletas!D10="Adulto 85kg",32,IF(Atletas!D10="Adulto 90kg",33,IF(Atletas!D10="Adulto 100kg",34, IF(Atletas!D10="Adulto +100kg",35,"")))))))))))))))))))))))))))))))))))))</f>
        <v/>
      </c>
      <c r="AO14" s="50" t="str">
        <f>IF(AP14&lt;&gt;"","Infantil 45kg","")</f>
        <v/>
      </c>
      <c r="AP14" s="6" t="str">
        <f>IF(COUNTIF(AN:AN,110)&gt;0,COUNTIF(AN:AN,110),"")</f>
        <v/>
      </c>
      <c r="AQ14" s="50" t="str">
        <f>IF(AR14&lt;&gt;"","Infantil 39kg","")</f>
        <v/>
      </c>
      <c r="AR14" s="6" t="str">
        <f>IF(COUNTIF(AN:AN,208)&gt;0,COUNTIF(AN:AN,208),"")</f>
        <v/>
      </c>
      <c r="AS14" s="6" t="str">
        <f>IF(Atletas!E10="","",IF(Atletas!B10="Feminino",100,IF(Atletas!B10="Masculino",200,""))+(IF(Atletas!E10="Juvenil 44kg",1,IF(Atletas!E10="Juvenil 48kg",2,IF(Atletas!E10="Juvenil 52kg",3,IF(Atletas!E10="Juvenil 56kg",4,IF(Atletas!E10="Juvenil 60kg",5,IF(Atletas!E10="Juvenil 65kg",6,IF(Atletas!E10="Juvenil 70kg",7,IF(Atletas!E10="Juvenil 75kg",8,IF(Atletas!E10="Juvenil 82kg",9,IF(Atletas!E10="Juvenil 90kg",10,IF(Atletas!E10="Juvenil 100kg",11,IF(Atletas!E10="Adulto 48kg",12,IF(Atletas!E10="Adulto 52kg",13,IF(Atletas!E10="Adulto 56kg",14,IF(Atletas!E10="Adulto 60kg",15,IF(Atletas!E10="Adulto 65kg",16,IF(Atletas!E10="Adulto 70kg",17,IF(Atletas!E10="Adulto 75kg",18,IF(Atletas!E10="Adulto 82kg",19,IF(Atletas!E10="Adulto 90kg",20,IF(Atletas!E10="Adulto 100kg",21,IF(Atletas!E10="Adulto +100kg",22,""))))))))))))))))))))))))</f>
        <v/>
      </c>
      <c r="AT14" s="50" t="str">
        <f>IF(AU14&lt;&gt;"","Juvenil 75kg","")</f>
        <v/>
      </c>
      <c r="AU14" s="6" t="str">
        <f>IF(COUNTIF(AS:AS,108)&gt;0,COUNTIF(AS:AS,108),"")</f>
        <v/>
      </c>
      <c r="AV14" s="50" t="str">
        <f>IF(AW14&lt;&gt;"","Juvenil 82kg","")</f>
        <v/>
      </c>
      <c r="AW14" s="6" t="str">
        <f>IF(COUNTIF(AS:AS,209)&gt;0,COUNTIF(AS:AS,209),"")</f>
        <v/>
      </c>
      <c r="AX14" s="6" t="str">
        <f>IF(Atletas!F10="","",IF(Atletas!B10="Feminino",100,IF(Atletas!B10="Masculino",200,""))+(IF(Atletas!F10="Adulto 48kg",1,IF(Atletas!F10="Adulto 56kg",2,IF(Atletas!F10="Adulto 65kg",3,IF(Atletas!F10="Adulto 75kg",4,IF(Atletas!F10="Adulto +75kg",5,IF(Atletas!F10="Adulto 52kg",6,IF(Atletas!F10="Adulto 60kg",7,IF(Atletas!F10="Adulto 70kg",8,IF(Atletas!F10="Adulto 80kg",9,IF(Atletas!F10="Adulto 90kg",10,IF(Atletas!F10="Adulto +90kg",11,"")))))))))))))</f>
        <v/>
      </c>
      <c r="AY14" s="50"/>
      <c r="BA14" s="50"/>
      <c r="BC14" s="6" t="str">
        <f>IF(Atletas!G10="","",IF(Atletas!B10="Feminino",10,IF(Atletas!B10="Masculino",20,""))+(IF(Atletas!G10="Baduanjin A",1,IF(Atletas!G10="Baduanjin B",2))))</f>
        <v/>
      </c>
      <c r="BF14" s="52" t="str">
        <f>IF(Atletas!H10="","",IF(Atletas!B10="Feminino",100,IF(Atletas!B10="Masculino",200,""))+(IF(Atletas!H10="Changquan Mirim",1,IF(Atletas!H10="Nanquan Mirim",2,IF(Atletas!H10="Taijiquan Mirim",3,IF(Atletas!H10="Changquan Grupo C",4,IF(Atletas!H10="Nanquan Grupo C",5,IF(Atletas!H10="Taijiquan Grupo C",6,IF(Atletas!H10="Changquan Grupo B",7,IF(Atletas!H10="Nanquan Grupo B",8,IF(Atletas!H10="Taijiquan Grupo B",9,IF(Atletas!H10="Changquan Grupo A",10,IF(Atletas!H10="Nanquan Grupo A",11,IF(Atletas!H10="Taijiquan Grupo A",12,IF(Atletas!H10="Changquan Opcional",13,IF(Atletas!H10="Nanquan Opcional",14,IF(Atletas!H10="Taijiquan Opcional",15,IF(Atletas!H10="Changquan Adulto",16,IF(Atletas!H10="Nanquan Adulto",17,IF(Atletas!H10="Taijiquan Adulto",18,""))))))))))))))))))))</f>
        <v/>
      </c>
      <c r="BG14" s="52" t="str">
        <f>IF(Atletas!I10="","",IF(Atletas!B10="Feminino",100,IF(Atletas!B10="Masculino",200,""))+(IF(Atletas!I10="Daoshu Mirim",19,IF(Atletas!I10="Jianshu Mirim",20,IF(Atletas!I10="Nandao Mirim",21,IF(Atletas!I10="Taijijian Mirim",22,IF(Atletas!I10="Daoshu Grupo C",23,IF(Atletas!I10="Jianshu Grupo C",24,IF(Atletas!I10="Nandao Grupo C",25,IF(Atletas!I10="Taijijian Grupo C",26,IF(Atletas!I10="Daoshu Grupo B",27,IF(Atletas!I10="Jianshu Grupo B",28,IF(Atletas!I10="Nandao Grupo B",29,IF(Atletas!I10="Taijijian Grupo B",30,IF(Atletas!I10="Daoshu Grupo A",31,IF(Atletas!I10="Jianshu Grupo A",32,IF(Atletas!I10="Nandao Grupo A",33,IF(Atletas!I10="Taijijian Grupo A",34,IF(Atletas!I10="Daoshu Opcional",35,IF(Atletas!I10="Jianshu Opcional",36,IF(Atletas!I10="Nandao Opcional",37,IF(Atletas!I10="Taijijian Opcional",38,IF(Atletas!I10="Daoshu Adulto",39,IF(Atletas!I10="Jianshu Adulto",40,IF(Atletas!I10="Nandao Adulto",41,IF(Atletas!I10="Taijijian Adulto",42,""))))))))))))))))))))))))))</f>
        <v/>
      </c>
      <c r="BH14" s="52" t="str">
        <f>IF(Atletas!J10="","",IF(Atletas!B10="Feminino",100,IF(Atletas!B10="Masculino",200,""))+(IF(Atletas!J10="Gunshu Mirim",43,IF(Atletas!J10="Qiangshu Mirim",44,IF(Atletas!J10="Nangun Mirim",45,IF(Atletas!J10="Gunshu Grupo C",46,IF(Atletas!J10="Qiangshu Grupo C",47,IF(Atletas!J10="Nangun Grupo C",48,IF(Atletas!J10="Gunshu Grupo B",49,IF(Atletas!J10="Qiangshu Grupo B",50,IF(Atletas!J10="Nangun Grupo B",51,IF(Atletas!J10="Gunshu Grupo A",52,IF(Atletas!J10="Qiangshu Grupo A",53,IF(Atletas!J10="Nangun Grupo A",54,IF(Atletas!J10="Gunshu Opcional",55,IF(Atletas!J10="Qiangshu Opcional",56,IF(Atletas!J10="Nangun Opcional",57,IF(Atletas!J10="Gunshu Adulto",58,IF(Atletas!J10="Qiangshu Adulto",59,IF(Atletas!J10="Nangun Adulto",60,IF(Atletas!J10="Taijishan Grupo B",61,IF(Atletas!J10="Taijishan Grupo A",62,""))))))))))))))))))))))</f>
        <v/>
      </c>
      <c r="BI14" s="52" t="str">
        <f>IF(BJ14&lt;&gt;"","Gunshu Mirim","")</f>
        <v/>
      </c>
      <c r="BJ14" s="50" t="str">
        <f>IF(COUNTIF(BF:BH,143)&gt;0,COUNTIF(BF:BH,143),"")</f>
        <v/>
      </c>
      <c r="BK14" s="52" t="str">
        <f>IF(BL14&lt;&gt;"","Gunshu Mirim","")</f>
        <v/>
      </c>
      <c r="BL14" s="50" t="str">
        <f>IF(COUNTIF(BF:BH,243)&gt;0,COUNTIF(BF:BH,243),"")</f>
        <v/>
      </c>
      <c r="BM14" s="50" t="str">
        <f>IF(Atletas!K10="","",IF(Atletas!B10="Feminino",100,IF(Atletas!B10="Masculino",200,""))+(IF(Atletas!K10="Equipe 1 Grupo B",1,IF(Atletas!K10="Equipe 2 Grupo B",2,IF(Atletas!K10="Equipe 1 Grupo A",3,IF(Atletas!K10="Equipe 2 Grupo A",4,IF(Atletas!K10="Equipe 1 Adulto",5,IF(Atletas!K10="Equipe 2 Adulto",6,""))))))))</f>
        <v/>
      </c>
      <c r="BN14" s="57"/>
      <c r="BO14" s="57"/>
      <c r="BP14" s="57"/>
      <c r="BQ14" s="55"/>
      <c r="BR14" s="50" t="str">
        <f>IF(Atletas!L10="","",IF(Atletas!X10&lt;&gt;"",10000,0)+(IF(Atletas!B10="Feminino",1000,IF(Atletas!B10="Masculino",2000,""))+IF(Atletas!L10="Choylayfut A",1,IF(Atletas!L10="Hunggar A",2,IF(Atletas!L10="Wuzuquan A",3,IF(Atletas!L10="Wingchun A",4,IF(Atletas!L10="Outra Mão de Sul A",5,IF(Atletas!L10="Choylayfut B",6,IF(Atletas!L10="Hunggar B",7,IF(Atletas!L10="Wuzuquan B",8,IF(Atletas!L10="Wingchun B",9,IF(Atletas!L10="Outra Mão de Sul B",10,IF(Atletas!L10="Choylayfut C",11,IF(Atletas!L10="Hunggar C",12,IF(Atletas!L10="Wuzuquan C",13,IF(Atletas!L10="Wingchun C",14,IF(Atletas!L10="Outra Mão de Sul C",15,IF(Atletas!L10="Choylayfut D",16,IF(Atletas!L10="Hunggar D",17,IF(Atletas!L10="Wuzuquan D",18,IF(Atletas!L10="Wingchun D",19,IF(Atletas!L10="Outra Mão de Sul D",20,IF(Atletas!L10="Choylayfut E",21,IF(Atletas!L10="Hunggar E",22,IF(Atletas!L10="Wuzuquan E",23,IF(Atletas!L10="Wingchun E",24,IF(Atletas!L10="Outra Mão de Sul E",25,IF(Atletas!L10="Choylayfut F",26,IF(Atletas!L10="Hunggar F",27,IF(Atletas!L10="Wuzuquan F",28,IF(Atletas!L10="Wingchun F",29,IF(Atletas!L10="Outra Mão de Sul F",30,IF(Atletas!L10="Dishuquan A",31,IF(Atletas!L10="Dishuquan B",32,IF(Atletas!L10="Dishuquan C",33,IF(Atletas!L10="Dishuquan D",34,IF(Atletas!L10="Dishuquan E",35,IF(Atletas!L10="Dishuquan F",36,""))))))))))))))))))))))))))))))))))))))</f>
        <v/>
      </c>
      <c r="BS14" s="50" t="str">
        <f>IF(Atletas!M10="","",IF(Atletas!X10&lt;&gt;"",10000,0)+(IF(Atletas!B10="Feminino",1000,IF(Atletas!B10="Masculino",2000,""))+(IF(Atletas!M10="Chaquan A",101,IF(Atletas!M10="Emeiquan A",102,IF(Atletas!M10="Fanziquan A",103,IF(Atletas!M10="Huaquan A",104,IF(Atletas!M10="Hongquan A",105,IF(Atletas!M10="Paoquan A",106,IF(Atletas!M10="Piguaquan A",107,IF(Atletas!M10="Shaolinquan A",108,IF(Atletas!M10="Tanglangquan A",109,IF(Atletas!M10="Yingzhaoquan A",110,IF(Atletas!M10="Tongbeiquan A",111,IF(Atletas!M10="Wudangquan A",112,IF(Atletas!M10="Outros Estilos A",113,IF(Atletas!M10="Chaquan B",114,IF(Atletas!M10="Emeiquan B",115,IF(Atletas!M10="Fanziquan B",116,IF(Atletas!M10="Huaquan B",117,IF(Atletas!M10="Hongquan B",118,IF(Atletas!M10="Paoquan B",119,IF(Atletas!M10="Piguaquan B",120,IF(Atletas!M10="Shaolinquan B",121,IF(Atletas!M10="Tanglangquan B",122,IF(Atletas!M10="Yingzhaoquan B",123,IF(Atletas!M10="Tongbeiquan B",124,IF(Atletas!M10="Wudangquan B",125,IF(Atletas!M10="Outros Estilos B",126,IF(Atletas!M10="Chaquan C",127,IF(Atletas!M10="Emeiquan C",128,IF(Atletas!M10="Fanziquan C",129,IF(Atletas!M10="Huaquan C",130,IF(Atletas!M10="Hongquan C",131,IF(Atletas!M10="Paoquan C",132,IF(Atletas!M10="Piguaquan C",133,IF(Atletas!M10="Shaolinquan C",134,IF(Atletas!M10="Tanglangquan C",135,IF(Atletas!M10="Yingzhaoquan C",136,IF(Atletas!M10="Tongbeiquan C",137,IF(Atletas!M10="Wudangquan C",138,IF(Atletas!M10="Outros Estilos C",139,0))))))))))))))))))))))))))))))))))))))))))</f>
        <v/>
      </c>
      <c r="BT14" s="50" t="str">
        <f>IF(Atletas!M10="","",IF(Atletas!X10&lt;&gt;"",10000,0)+(IF(Atletas!B10="Feminino",1000,IF(Atletas!B10="Masculino",2000,""))+(IF(Atletas!M10="Chaquan D",140,IF(Atletas!M10="Emeiquan D",141,IF(Atletas!M10="Fanziquan D",142,IF(Atletas!M10="Huaquan D",143,IF(Atletas!M10="Hongquan D",144,IF(Atletas!M10="Paoquan D",145,IF(Atletas!M10="Piguaquan D",146,IF(Atletas!M10="Shaolinquan D",147,IF(Atletas!M10="Tanglangquan D",148,IF(Atletas!M10="Yingzhaoquan D",149,IF(Atletas!M10="Tongbeiquan D",150,IF(Atletas!M10="Wudangquan D",151,IF(Atletas!M10="Outros Estilos D",152,IF(Atletas!M10="Chaquan E",153,IF(Atletas!M10="Emeiquan E",154,IF(Atletas!M10="Fanziquan E",155,IF(Atletas!M10="Huaquan E",156,IF(Atletas!M10="Hongquan E",157,IF(Atletas!M10="Paoquan E",158,IF(Atletas!M10="Piguaquan E",159,IF(Atletas!M10="Shaolinquan E",160,IF(Atletas!M10="Tanglangquan E",161,IF(Atletas!M10="Yingzhaoquan E",162,IF(Atletas!M10="Tongbeiquan E",163,IF(Atletas!M10="Wudangquan E",164,IF(Atletas!M10="Outros Estilos E",165,IF(Atletas!M10="Chaquan F",166,IF(Atletas!M10="Emeiquan F",167,IF(Atletas!M10="Fanziquan F",168,IF(Atletas!M10="Huaquan F",169,IF(Atletas!M10="Hongquan F",170,IF(Atletas!M10="Paoquan F",171,IF(Atletas!M10="Piguaquan F",172,IF(Atletas!M10="Shaolinquan F",173,IF(Atletas!M10="Tanglangquan F",174,IF(Atletas!M10="Yingzhaoquan F",175,IF(Atletas!M10="Tongbeiquan F",176,IF(Atletas!M10="Wudangquan F",177,IF(Atletas!M10="Outros Estilos F",178,0))))))))))))))))))))))))))))))))))))))))))</f>
        <v/>
      </c>
      <c r="BU14" s="50" t="str">
        <f>IF(Atletas!N10="","",IF(Atletas!X10&lt;&gt;"",10000,0)+(IF(Atletas!B10="Feminino",1000,IF(Atletas!B10="Masculino",2000,""))+(IF(Atletas!N10="Ditangquan A",201,IF(Atletas!N10="Houquan A",202,IF(Atletas!N10="Zuiquan A",203,IF(Atletas!N10="Ditangquan B",204,IF(Atletas!N10="Houquan B",205,IF(Atletas!N10="Zuiquan B",206,IF(Atletas!N10="Ditangquan C",207,IF(Atletas!N10="Houquan C",208,IF(Atletas!N10="Zuiquan C",209,IF(Atletas!N10="Ditangquan D",210,IF(Atletas!N10="Houquan D",211,IF(Atletas!N10="Zuiquan D",212,IF(Atletas!N10="Ditangquan E",213,IF(Atletas!N10="Houquan E",214,IF(Atletas!N10="Zuiquan E",215,IF(Atletas!N10="Ditangquan F",216,IF(Atletas!N10="Houquan F",217,IF(Atletas!N10="Zuiquan F",218,"")))))))))))))))))))))</f>
        <v/>
      </c>
      <c r="BV14" s="50" t="str">
        <f>IF(Atletas!O10="","",IF(Atletas!X10&lt;&gt;"",10000,0)+IF(Atletas!B10="Feminino",1000,IF(Atletas!B10="Masculino",2000,""))+IF(Atletas!O10="Yang A",301,IF(Atletas!O10="Chen A",302,IF(Atletas!O10="Sun A",303,IF(Atletas!O10="Wu A",304,IF(Atletas!O10="Wu-Hao A",305,IF(Atletas!O10="Outro Taijiquan A",306,IF(Atletas!O10="Yang B",307,IF(Atletas!O10="Chen B",308,IF(Atletas!O10="Sun B",309,IF(Atletas!O10="Wu B",310,IF(Atletas!O10="Wu-Hao B",311,IF(Atletas!O10="Outro Taijiquan B",312,IF(Atletas!O10="Yang C",313,IF(Atletas!O10="Chen C",314,IF(Atletas!O10="Sun C",315,IF(Atletas!O10="Wu C",316,IF(Atletas!O10="Wu-Hao C",317,IF(Atletas!O10="Outro Taijiquan C",318,IF(Atletas!O10="Yang D",319,IF(Atletas!O10="Chen D",320,IF(Atletas!O10="Sun D",321,IF(Atletas!O10="Wu D",322,IF(Atletas!O10="Wu-Hao D",323,IF(Atletas!O10="Outro Taijiquan D",324,IF(Atletas!O10="Yang E",325,IF(Atletas!O10="Chen E",326,IF(Atletas!O10="Sun E",327,IF(Atletas!O10="Wu E",328,IF(Atletas!O10="Wu-Hao E",329,IF(Atletas!O10="Outro Taijiquan E",330,IF(Atletas!O10="Yang F",331,IF(Atletas!O10="Chen F",332,IF(Atletas!O10="Sun F",333,IF(Atletas!O10="Wu F",334,IF(Atletas!O10="Wu-Hao F",335,IF(Atletas!O10="Outro Taijiquan F",336,"")))))))))))))))))))))))))))))))))))))</f>
        <v/>
      </c>
      <c r="BW14" s="50" t="str">
        <f>IF(Atletas!P10="","",IF(Atletas!X10&lt;&gt;"",10000,0)+IF(Atletas!B10="Feminino",1000,IF(Atletas!B10="Masculino",2000,""))+IF(OR(Atletas!P10="Yang 26 A",Atletas!P10="Yang 40 A"),401,IF(OR(Atletas!P10="Chen 25 A",Atletas!P10="Chen 36 A",Atletas!P10="Chen 56 A"),402,IF(Atletas!P10="Sun 73 A",403,IF(Atletas!P10="Wu 45 A",404,IF(Atletas!P10="Wu-Hao 46 A",405,IF(OR(Atletas!P10="Taijiquan 16 A",Atletas!P10="Taijiquan 24 A",Atletas!P10="Taijiquan 32 A",Atletas!P10="Taijiquan 42 A"),406,IF(OR(Atletas!P10="Yang 26 B",Atletas!P10="Yang 40 B"),407,IF(OR(Atletas!P10="Chen 25 B",Atletas!P10="Chen 36 B",Atletas!P10="Chen 56 B"),408,IF(Atletas!P10="Sun 73 B",409,IF(Atletas!P10="Wu 45 B",410,IF(Atletas!P10="Wu-Hao 46 B",411,IF(OR(Atletas!P10="Taijiquan 16 B",Atletas!P10="Taijiquan 24 B",Atletas!P10="Taijiquan 32 B",Atletas!P10="Taijiquan 42 B"),412,IF(OR(Atletas!P10="Yang 26 C",Atletas!P10="Yang 40 C"),413,IF(OR(Atletas!P10="Chen 25 C",Atletas!P10="Chen 36 C",Atletas!P10="Chen 56 C"),414,IF(Atletas!P10="Sun 73 C",415,IF(Atletas!P10="Wu 45 C",416,IF(Atletas!P10="Wu-Hao 46 C",417,IF(OR(Atletas!P10="Taijiquan 16 C",Atletas!P10="Taijiquan 24 C",Atletas!P10="Taijiquan 32 C",Atletas!P10="Taijiquan 42 C"),418,0)))))))))))))))))))</f>
        <v/>
      </c>
      <c r="BX14" s="50" t="str">
        <f>IF(Atletas!P10="","",IF(Atletas!X10&lt;&gt;"",10000,0)+IF(Atletas!B10="Feminino",1000,IF(Atletas!B10="Masculino",2000,""))+IF(OR(Atletas!P10="Yang 26 D",Atletas!P10="Yang 40 D"),419,IF(OR(Atletas!P10="Chen 25 D",Atletas!P10="Chen 36 D",Atletas!P10="Chen 56 D"),420,IF(Atletas!P10="Sun 73 D",421,IF(Atletas!P10="Wu 45 D",422,IF(Atletas!P10="Wu-Hao 46 D",423,IF(OR(Atletas!P10="Taijiquan 16 D",Atletas!P10="Taijiquan 24 D",Atletas!P10="Taijiquan 32 D",Atletas!P10="Taijiquan 42 D"),424,IF(OR(Atletas!P10="Yang 26 E",Atletas!P10="Yang 40 E"),425,IF(OR(Atletas!P10="Chen 25 E",Atletas!P10="Chen 36 E",Atletas!P10="Chen 56 E"),426,IF(Atletas!P10="Sun 73 E",427,IF(Atletas!P10="Wu 45 E",428,IF(Atletas!P10="Wu-Hao 46 E",429,IF(OR(Atletas!P10="Taijiquan 16 E",Atletas!P10="Taijiquan 24 E",Atletas!P10="Taijiquan 32 E",Atletas!P10="Taijiquan 42 E"),430,IF(OR(Atletas!P10="Yang 26 F",Atletas!P10="Yang 40 F"),431,IF(OR(Atletas!P10="Chen 25 F",Atletas!P10="Chen 36 F",Atletas!P10="Chen 56 F"),432,IF(Atletas!P10="Sun 73 F",433,IF(Atletas!P10="Wu 45 F",434,IF(Atletas!P10="Wu-Hao 46 F",435,IF(OR(Atletas!P10="Taijiquan 16 F",Atletas!P10="Taijiquan 24 F",Atletas!P10="Taijiquan 32 F",Atletas!P10="Taijiquan 42 F"),436,0)))))))))))))))))))</f>
        <v/>
      </c>
      <c r="BY14" s="50" t="str">
        <f>IF(Atletas!Q10="","",IF(Atletas!X10&lt;&gt;"",10000,0)+IF(Atletas!B10="Feminino",1000,IF(Atletas!B10="Masculino",2000,""))+IF(Atletas!Q10="Xingyiquan A",501,IF(Atletas!Q10="Baguazhang A",502,IF(Atletas!Q10="Outro Estilo Interno A",503,IF(Atletas!Q10="Xingyiquan B",504,IF(Atletas!Q10="Baguazhang B",505,IF(Atletas!Q10="Outro Estilo Interno B",506,IF(Atletas!Q10="Xingyiquan C",507,IF(Atletas!Q10="Baguazhang C",508,IF(Atletas!Q10="Outro Estilo Interno C",509,IF(Atletas!Q10="Xingyiquan D",510,IF(Atletas!Q10="Baguazhang D",511,IF(Atletas!Q10="Outro Estilo Interno D",512,IF(Atletas!Q10="Xingyiquan E",513,IF(Atletas!Q10="Baguazhang E",514,IF(Atletas!Q10="Outro Estilo Interno E",515,IF(Atletas!Q10="Xingyiquan F",516,IF(Atletas!Q10="Baguazhang F",517,IF(Atletas!Q10="Outro Estilo Interno F",518, "")))))))))))))))))))</f>
        <v/>
      </c>
      <c r="BZ14" s="50" t="str">
        <f>IF(Atletas!R10="","",IF(Atletas!X10&lt;&gt;"",10000,0)+IF(Atletas!B10="Feminino",1000,IF(Atletas!B10="Masculino",2000,""))+IF(Atletas!R10="Dao A",601,IF(Atletas!R10="Jian A",602,IF(Atletas!R10="Bishou A",603,IF(Atletas!R10="Shanzi A",604,IF(Atletas!R10="Outra Arma Curta A",605,IF(Atletas!R10="Dao B",606,IF(Atletas!R10="Jian B",607,IF(Atletas!R10="Bishou B",608,IF(Atletas!R10="Shanzi B",609,IF(Atletas!R10="Outra Arma Curta B",610,IF(Atletas!R10="Dao C",611,IF(Atletas!R10="Jian C",612,IF(Atletas!R10="Bishou C",613,IF(Atletas!R10="Shanzi C",614,IF(Atletas!R10="Outra Arma Curta C",615,IF(Atletas!R10="Dao D",616,IF(Atletas!R10="Jian D",617,IF(Atletas!R10="Bishou D",618,IF(Atletas!R10="Shanzi D",619,IF(Atletas!R10="Outra Arma Curta D",620,IF(Atletas!R10="Dao E",621,IF(Atletas!R10="Jian E",622,IF(Atletas!R10="Bishou E",623,IF(Atletas!R10="Shanzi E",624,IF(Atletas!R10="Outra Arma Curta E",625,IF(Atletas!R10="Dao F",626,IF(Atletas!R10="Jian F",627,IF(Atletas!R10="Bishou F",628,IF(Atletas!R10="Shanzi F",629,IF(Atletas!R10="Outra Arma Curta F",630, "")))))))))))))))))))))))))))))))</f>
        <v/>
      </c>
      <c r="CA14" s="50" t="str">
        <f>IF(Atletas!S10="","",IF(Atletas!X10&lt;&gt;"",10000,0)+IF(Atletas!B10="Feminino",1000,IF(Atletas!B10="Masculino",2000,""))+IF(Atletas!S10="Gun A",701,IF(Atletas!S10="Qiang A",702,IF(Atletas!S10="Pudao / Guandao A",703,IF(Atletas!S10="Outra Arma Longa A",704,IF(Atletas!S10="Gun B",705,IF(Atletas!S10="Qiang B",706,IF(Atletas!S10="Pudao / Guandao B",707,IF(Atletas!S10="Outra Arma Longa B",708,IF(Atletas!S10="Gun C",709,IF(Atletas!S10="Qiang C",710,IF(Atletas!S10="Pudao / Guandao C",711,IF(Atletas!S10="Outra Arma Longa C",712,IF(Atletas!S10="Gun D",713,IF(Atletas!S10="Qiang D",714,IF(Atletas!S10="Pudao / Guandao D",715,IF(Atletas!S10="Outra Arma Longa D",716,IF(Atletas!S10="Gun E",717,IF(Atletas!S10="Qiang E",718,IF(Atletas!S10="Pudao / Guandao E",719,IF(Atletas!S10="Outra Arma Longa E",720,IF(Atletas!S10="Gun F",721,IF(Atletas!S10="Qiang F",722,IF(Atletas!S10="Pudao / Guandao F",723,IF(Atletas!S10="Outra Arma Longa F",724,"")))))))))))))))))))))))))</f>
        <v/>
      </c>
      <c r="CB14" s="50" t="str">
        <f>IF(Atletas!T10="","",IF(Atletas!X10&lt;&gt;"",10000,0)+IF(Atletas!B10="Feminino",1000,IF(Atletas!B10="Masculino",2000,""))+IF(Atletas!T10="Outra Arma Dupla A",801,IF(Atletas!T10="Arma Maleável A",802,IF(Atletas!T10="Outra Arma Dupla B",803,IF(Atletas!T10="Arma Maleável B",804,IF(Atletas!T10="Outra Arma Dupla C",805,IF(Atletas!T10="Arma Maleável C",806,IF(Atletas!T10="Outra Arma Dupla D",807,IF(Atletas!T10="Arma Maleável D",808,IF(Atletas!T10="Outra Arma Dupla E",809,IF(Atletas!T10="Arma Maleável E",810,IF(Atletas!T10="Outra Arma Dupla F",811,IF(Atletas!T10="Arma Maleável F",812,IF(Atletas!T10="Shuangdao A",813,IF(Atletas!T10="Shuangdao B",814,IF(Atletas!T10="Shuangdao C",815,IF(Atletas!T10="Shuangdao D",816,IF(Atletas!T10="Shuangdao E",817,IF(Atletas!T10="Shuangdao F",818,"")))))))))))))))))))</f>
        <v/>
      </c>
      <c r="CC14" s="50" t="str">
        <f>IF(Atletas!U10="","",IF(Atletas!X10&lt;&gt;"",10000,0)+IF(Atletas!B10="Feminino",1000,IF(Atletas!B10="Masculino",2000,""))+IF(OR(Atletas!U10="Taijijian Yang A",Atletas!U10="Taijijian Yang Standard A"),901,IF(OR(Atletas!U10="Taijijian Chen A", Atletas!U10="Taijijian Chen Standard A"),902,IF(Atletas!U10="Taijijian Sun A",903,IF(Atletas!U10="Taijijian Wu A",904,IF(Atletas!U10="Taijijian Wu-Hao A",905,IF(OR(Atletas!U10="Taijijian 32 A",Atletas!U10="Taijijian 42 A"),906,IF(OR(Atletas!U10="Taijijian Yang B",Atletas!U10="Taijijian Yang Standard B"),907,IF(OR(Atletas!U10="Taijijian Chen B", Atletas!U10="Taijijian Chen Standard B"),908,IF(Atletas!U10="Taijijian Sun B",909,IF(Atletas!U10="Taijijian Wu B",910,IF(Atletas!U10="Taijijian Wu-Hao B",911,IF(OR(Atletas!U10="Taijijian 32 B",Atletas!U10="Taijijian 42 B"),912,IF(OR(Atletas!U10="Taijijian Yang C",Atletas!U10="Taijijian Yang Standard C"),913,IF(OR(Atletas!U10="Taijijian Chen C", Atletas!U10="Taijijian Chen Standard C"),914,IF(Atletas!U10="Taijijian Sun C",915,IF(Atletas!U10="Taijijian Wu C",916,IF(Atletas!U10="Taijijian Wu-Hao C",917,IF(OR(Atletas!U10="Taijijian 32 C",Atletas!U10="Taijijian 42 C"),918,IF(OR(Atletas!U10="Taijijian Yang D",Atletas!U10="Taijijian Yang Standard D"),919,IF(OR(Atletas!U10="Taijijian Chen D", Atletas!U10="Taijijian Chen Standard D"),920,IF(Atletas!U10="Taijijian Sun D",921,IF(Atletas!U10="Taijijian Wu D",922,IF(Atletas!U10="Taijijian Wu-Hao D",923,IF(OR(Atletas!U10="Taijijian 32 D",Atletas!U10="Taijijian 42 D"),924,IF(OR(Atletas!U10="Taijijian Yang E",Atletas!U10="Taijijian Yang Standard E"),925,IF(OR(Atletas!U10="Taijijian Chen E", Atletas!U10="Taijijian Chen Standard E"),926,IF(Atletas!U10="Taijijian Sun E",927,IF(Atletas!U10="Taijijian Wu E",928,IF(Atletas!U10="Taijijian Wu-Hao E",929,IF(OR(Atletas!U10="Taijijian 32 E",Atletas!U10="Taijijian 42 E"),930,IF(OR(Atletas!U10="Taijijian Yang F",Atletas!U10="Taijijian Yang Standard F"),931,IF(OR(Atletas!U10="Taijijian Chen F", Atletas!U10="Taijijian Chen Standard F"),932,IF(Atletas!U10="Taijijian Sun F",933,IF(Atletas!U10="Taijijian Wu F",934,IF(Atletas!U10="Taijijian Wu-Hao F",935,IF(OR(Atletas!U10="Taijijian 32 F",Atletas!U10="Taijijian 42 F"),936,"")))))))))))))))))))))))))))))))))))))</f>
        <v/>
      </c>
      <c r="CD14" s="50" t="str">
        <f>IF(Atletas!V10="","",IF(Atletas!X10&lt;&gt;"",10000,0)+IF(Atletas!B10="Feminino",1000,IF(Atletas!B10="Masculino",2000,""))+IF(Atletas!V10="Taijidao A",937,IF(Atletas!V10="TaijiShanzi A",938,IF(Atletas!V10="Taijiqiang A",939,IF(Atletas!V10="Bagua de Arma A",940,IF(Atletas!V10="Xingyi de Arma A",941,IF(Atletas!V10="Taijidao B",942,IF(Atletas!V10="TaijiShanzi B",943,IF(Atletas!V10="Taijiqiang B",944,IF(Atletas!V10="Bagua de Arma B",945,IF(Atletas!V10="Xingyi de Arma B",946,IF(Atletas!V10="Taijidao C",947,IF(Atletas!V10="TaijiShanzi C",948,IF(Atletas!V10="Taijiqiang C",949,IF(Atletas!V10="Bagua de Arma C",950,IF(Atletas!V10="Xingyi de Arma C",951,IF(Atletas!V10="Taijidao D",952,IF(Atletas!V10="TaijiShanzi D",953,IF(Atletas!V10="Taijiqiang D",954,IF(Atletas!V10="Bagua de Arma D",955,IF(Atletas!V10="Xingyi de Arma D",956,IF(Atletas!V10="Taijidao E",957,IF(Atletas!V10="TaijiShanzi E",958,IF(Atletas!V10="Taijiqiang E",959,IF(Atletas!V10="Bagua de Arma E",960,IF(Atletas!V10="Xingyi de Arma E",961,IF(Atletas!V10="Taijidao F",962,IF(Atletas!V10="TaijiShanzi F",963,IF(Atletas!V10="Taijiqiang F",964,IF(Atletas!V10="Bagua de Arma F",965,IF(Atletas!V10="Xingyi de Arma F",966,"")))))))))))))))))))))))))))))))</f>
        <v/>
      </c>
      <c r="CE14" s="66" t="str">
        <f>IF(CF14&lt;&gt;"","Hunggar B","")</f>
        <v/>
      </c>
      <c r="CF14" s="66" t="str">
        <f>IF(COUNTIF(BR:CD,1007)&gt;0,COUNTIF(BR:CD,1007),"")</f>
        <v/>
      </c>
      <c r="CG14" s="66" t="str">
        <f>IF(CH14&lt;&gt;"","Hunggar B","")</f>
        <v/>
      </c>
      <c r="CH14" s="66" t="str">
        <f>IF(COUNTIF(BR:CD,2007)&gt;0,COUNTIF(BR:CD,2007),"")</f>
        <v/>
      </c>
      <c r="CI14" s="66" t="str">
        <f>IF(CJ14&lt;&gt;"","Wuzuquan B","")</f>
        <v/>
      </c>
      <c r="CJ14" s="66" t="str">
        <f>IF(COUNTIF(BR:CD,11008)&gt;0,COUNTIF(BR:CD,11008),"")</f>
        <v/>
      </c>
      <c r="CK14" s="66" t="str">
        <f>IF(CL14&lt;&gt;"","Wuzuquan B","")</f>
        <v/>
      </c>
      <c r="CL14" s="66" t="str">
        <f>IF(COUNTIF(BR:CD,12008)&gt;0,COUNTIF(BR:CD,12008),"")</f>
        <v/>
      </c>
      <c r="CM14" s="50" t="str">
        <f xml:space="preserve"> IF(Atletas!W10="","",IF(Atletas!W10="Duilian de Mãos BC - Equipe 1",1,IF(Atletas!W10="Duilian de Mãos BC - Equipe 2",2,IF(Atletas!W10="Duilian de Armas BC - Equipe 1",3,IF(Atletas!W10="Duilian de Armas BC - Equipe 2",4,IF(Atletas!W10="Duilian de Mãos DE - Equipe 1",5,IF(Atletas!W10="Duilian de Mãos DE - Equipe 2",6,IF(Atletas!W10="Duilian de Armas DE - Equipe 1",7,IF(Atletas!W10="Duilian de Armas DE - Equipe 2",8,IF(Atletas!W10="Duilian de Tuishou - Equipe 1",9,IF(Atletas!W10="Duilian de Tuishou - Equipe 2",10,IF(Atletas!W10="Grupo Externo ABC - Equipe 1",11,IF(Atletas!W10="Grupo Externo ABC - Equipe 2",12,IF(Atletas!W10="Grupo Interno ABC - Equipe 1",13,IF(Atletas!W10="Grupo Interno ABC - Equipe 2",14,IF(Atletas!W10="Grupo Externo DEF - Equipe 1",15,IF(Atletas!W10="Grupo Externo DEF - Equipe 2",16,IF(Atletas!W10="Grupo Interno DEF - Equipe 1",17,IF(Atletas!W10="Grupo Interno DEF - Equipe 2",18,"")))))))))))))))))))</f>
        <v/>
      </c>
      <c r="CN14" s="69" t="str">
        <f>IF(CO14&lt;&gt;"","Duilian de Armas DE - Equipe 2","")</f>
        <v/>
      </c>
      <c r="CO14" s="68" t="str">
        <f>IF(COUNTIF(CM:CM,8)&gt;0,COUNTIF(CM:CM,8),"")</f>
        <v/>
      </c>
      <c r="CP14" s="69"/>
      <c r="CQ14" s="68"/>
      <c r="CR14" s="63" t="str">
        <f>IF(CS14&lt;&gt;"","Grupo Interno DEF - Equipe 2","")</f>
        <v/>
      </c>
      <c r="CS14" s="62" t="str">
        <f>IF(COUNTIF(CM:CM,18)&gt;0,COUNTIF(CM:CM,18),"")</f>
        <v/>
      </c>
      <c r="CY14" s="41"/>
    </row>
    <row r="15" spans="1:103">
      <c r="A15" s="13"/>
      <c r="B15" s="3" t="str">
        <f t="array" ref="B15">IFERROR(INDEX(AO$7:AO$38,SMALL(IF(AO$7:AO$38&lt;&gt;"",ROW(AO$7:AO$38)-ROW(AO$7)+1),ROWS(AO$7:AO14))),"")</f>
        <v/>
      </c>
      <c r="C15" s="3" t="str">
        <f t="array" ref="C15">IFERROR(INDEX(AP$7:AP$38,SMALL(IF(AP$7:AP$38&lt;&gt;"",ROW(AP$7:AP$38)-ROW(AP$7)+1),ROWS(AP$7:AP14))),"")</f>
        <v/>
      </c>
      <c r="D15" s="3" t="str">
        <f t="array" ref="D15">IFERROR(INDEX(AQ$7:AQ$38,SMALL(IF(AQ$7:AQ$38&lt;&gt;"",ROW(AQ$7:AQ$38)-ROW(AQ$7)+1),ROWS(AQ$7:AQ14))),"")</f>
        <v/>
      </c>
      <c r="E15" s="3" t="str">
        <f t="array" ref="E15">IFERROR(INDEX(AR$7:AR$38,SMALL(IF(AR$7:AR$38&lt;&gt;"",ROW(AR$7:AR$38)-ROW(AR$7)+1),ROWS(AR$7:AR14))),"")</f>
        <v/>
      </c>
      <c r="F15" s="3" t="str">
        <f t="array" ref="F15">IFERROR(INDEX(AT$7:AT$36,SMALL(IF(AT$7:AT$36&lt;&gt;"",ROW(AT$7:AT$36)-ROW(AT$7)+1),ROWS(AT$7:AT14))),"")</f>
        <v/>
      </c>
      <c r="G15" s="3" t="str">
        <f t="array" ref="G15">IFERROR(INDEX(AU$7:AU$36,SMALL(IF(AU$7:AU$36&lt;&gt;"",ROW(AU$7:AU$36)-ROW(AU$7)+1),ROWS(AU$7:AU14))),"")</f>
        <v/>
      </c>
      <c r="H15" s="3" t="str">
        <f t="array" ref="H15">IFERROR(INDEX(AV$7:AV$36,SMALL(IF(AV$7:AV$36&lt;&gt;"",ROW(AV$7:AV$36)-ROW(AV$7)+1),ROWS(AV$7:AV14))),"")</f>
        <v/>
      </c>
      <c r="I15" s="3" t="str">
        <f t="array" ref="I15">IFERROR(INDEX(AW$7:AW$36,SMALL(IF(AW$7:AW$36&lt;&gt;"",ROW(AW$7:AW$36)-ROW(AW$7)+1),ROWS(AW$7:AW14))),"")</f>
        <v/>
      </c>
      <c r="J15" s="3" t="str">
        <f t="array" ref="J15">IFERROR(INDEX(AY$7:AY$36,SMALL(IF(AY$7:AY$36&lt;&gt;"",ROW(AY$7:AY$36)-ROW(AY$7)+1),ROWS(AY$7:AY14))),"")</f>
        <v/>
      </c>
      <c r="K15" s="3" t="str">
        <f t="array" ref="K15">IFERROR(INDEX(AZ$7:AZ$36,SMALL(IF(AZ$7:AZ$36&lt;&gt;"",ROW(AZ$7:AZ$36)-ROW(AZ$7)+1),ROWS(AZ$7:AZ14))),"")</f>
        <v/>
      </c>
      <c r="L15" s="3" t="str">
        <f t="array" ref="L15">IFERROR(INDEX(BA$7:BA$36,SMALL(IF(BA$7:BA$36&lt;&gt;"",ROW(BA$7:BA$36)-ROW(BA$7)+1),ROWS(BA$7:BA14))),"")</f>
        <v/>
      </c>
      <c r="M15" s="3" t="str">
        <f t="array" ref="M15">IFERROR(INDEX(BB$7:BB$36,SMALL(IF(BB$7:BB$36&lt;&gt;"",ROW(BB$7:BB$36)-ROW(BB$7)+1),ROWS(BB$7:BB14))),"")</f>
        <v/>
      </c>
      <c r="N15" s="3" t="str" cm="1">
        <f t="array" ref="N15">IFERROR(INDEX(BD$7:BD$8,SMALL(IF(BD$7:BD$8&lt;&gt;"",ROW(BD$7:BD$8)-ROW(BD$7)+1),ROWS(BD$7:BD14))),"")</f>
        <v/>
      </c>
      <c r="O15" s="3" t="str" cm="1">
        <f t="array" ref="O15">IFERROR(INDEX(BE$7:BE$8,SMALL(IF(BE$7:BE$8&lt;&gt;"",ROW(BE$7:BE$8)-ROW(BE$7)+1),ROWS(BE$7:BE14))),"")</f>
        <v/>
      </c>
      <c r="P15" s="3" t="str" cm="1">
        <f t="array" ref="P15">IFERROR(INDEX(BD$9:BD$10,SMALL(IF(BD$9:BD$10&lt;&gt;"",ROW(BD$9:BD$10)-ROW(BD$9)+1),ROWS(BD$9:BD16))),"")</f>
        <v/>
      </c>
      <c r="Q15" s="3" t="str">
        <f t="array" ref="Q15">IFERROR(INDEX(BH$7:BH$36,SMALL(IF(BH$7:BH$36&lt;&gt;"",ROW(BH$7:BH$36)-ROW(BH$7)+1),ROWS(BH$7:BH14))),"")</f>
        <v/>
      </c>
      <c r="R15" s="3" t="str">
        <f t="array" ref="R15">IFERROR(INDEX(BI$7:BI$68,SMALL(IF(BI$7:BI$68&lt;&gt;"",ROW(BI$7:BI$68)-ROW(BI$7)+1),ROWS(BI$7:BI14))),"")</f>
        <v/>
      </c>
      <c r="S15" s="3" t="str">
        <f t="array" ref="S15">IFERROR(INDEX(BJ$7:BJ$68,SMALL(IF(BJ$7:BJ$68&lt;&gt;"",ROW(BJ$7:BJ$68)-ROW(BJ$7)+1),ROWS(BJ$7:BJ14))),"")</f>
        <v/>
      </c>
      <c r="T15" s="3" t="str">
        <f t="array" ref="T15">IFERROR(INDEX(BK$7:BK$68,SMALL(IF(BK$7:BK$68&lt;&gt;"",ROW(BK$7:BK$68)-ROW(BK$7)+1),ROWS(BK$7:BK14))),"")</f>
        <v/>
      </c>
      <c r="U15" s="3" t="str">
        <f t="array" ref="U15">IFERROR(INDEX(BL$7:BL$68,SMALL(IF(BL$7:BL$68&lt;&gt;"",ROW(BL$7:BL$68)-ROW(BL$7)+1),ROWS(BL$7:BL14))),"")</f>
        <v/>
      </c>
      <c r="V15" s="20"/>
      <c r="W15" s="20"/>
      <c r="X15" s="20"/>
      <c r="Y15" s="20"/>
      <c r="Z15" s="3" t="str">
        <f t="array" ref="Z15">IFERROR(INDEX(CE$7:CE$348,SMALL(IF(CE$7:CE$348&lt;&gt;"",ROW(CE$7:CE$348)-ROW(CE$7)+1),ROWS(CE$7:CE14))),"")</f>
        <v/>
      </c>
      <c r="AA15" s="3" t="str">
        <f t="array" ref="AA15">IFERROR(INDEX(CF$7:CF$348,SMALL(IF(CF$7:CF$348&lt;&gt;"",ROW(CF$7:CF$348)-ROW(CF$7)+1),ROWS(CF$7:CF14))),"")</f>
        <v/>
      </c>
      <c r="AB15" s="3" t="str">
        <f t="array" ref="AB15">IFERROR(INDEX(CG$7:CG$348,SMALL(IF(CG$7:CG$348&lt;&gt;"",ROW(CG$7:CG$348)-ROW(CG$7)+1),ROWS(CG$7:CG14))),"")</f>
        <v/>
      </c>
      <c r="AC15" s="3" t="str">
        <f t="array" ref="AC15">IFERROR(INDEX(CH$7:CH$348,SMALL(IF(CH$7:CH$348&lt;&gt;"",ROW(CH$7:CH$348)-ROW(CH$7)+1),ROWS(CH$7:CH14))),"")</f>
        <v/>
      </c>
      <c r="AD15" s="3" t="str">
        <f t="array" ref="AD15">IFERROR(INDEX(CI$7:CI$377,SMALL(IF(CI$7:CI$377&lt;&gt;"",ROW(CI$7:CI$377)-ROW(CI$7)+1),ROWS(CI$7:CI14))),"")</f>
        <v/>
      </c>
      <c r="AE15" s="3" t="str">
        <f t="array" ref="AE15">IFERROR(INDEX(CJ$7:CJ$378,SMALL(IF(CJ$7:CJ$378&lt;&gt;"",ROW(CJ$7:CJ$378)-ROW(CJ$7)+1),ROWS(CJ$7:CJ14))),"")</f>
        <v/>
      </c>
      <c r="AF15" s="3" t="str">
        <f t="array" ref="AF15">IFERROR(INDEX(CK$7:CK$378,SMALL(IF(CK$7:CK$378&lt;&gt;"",ROW(CK$7:CK$378)-ROW(CK$7)+1),ROWS(CK$7:CK14))),"")</f>
        <v/>
      </c>
      <c r="AG15" s="3" t="str">
        <f t="array" ref="AG15">IFERROR(INDEX(CL$7:CL$378,SMALL(IF(CL$7:CL$378&lt;&gt;"",ROW(CL$7:CL$378)-ROW(CL$7)+1),ROWS(CL$7:CL14))),"")</f>
        <v/>
      </c>
      <c r="AH15" s="40" t="str">
        <f t="array" ref="AH15">IFERROR(INDEX(CN$7:CN$18,SMALL(IF(CN$7:CN$18&lt;&gt;"",ROW(CN$7:CN$18)-ROW(CN$7)+1),ROWS(CN$7:CN14))),"")</f>
        <v/>
      </c>
      <c r="AI15" s="40" t="str">
        <f t="array" ref="AI15">IFERROR(INDEX(CO$7:CO$18,SMALL(IF(CO$7:CO$18&lt;&gt;"",ROW(CO$7:CO$18)-ROW(CO$7)+1),ROWS(CO$7:CO14))),"")</f>
        <v/>
      </c>
      <c r="AJ15" s="40"/>
      <c r="AK15" s="40"/>
      <c r="AL15" s="40" t="str">
        <f t="array" ref="AL15">IFERROR(INDEX(CR$7:CR$14,SMALL(IF(CR$7:CR$14&lt;&gt;"",ROW(CR$7:CR$14)-ROW(CR$7)+1),ROWS(CR$7:CR14))),"")</f>
        <v/>
      </c>
      <c r="AM15" s="40" t="str">
        <f t="array" ref="AM15">IFERROR(INDEX(CS$7:CS$14,SMALL(IF(CS$7:CS$14&lt;&gt;"",ROW(CS$7:CS$14)-ROW(CS$7)+1),ROWS(CS$7:CS14))),"")</f>
        <v/>
      </c>
      <c r="AN15" s="52" t="str">
        <f>IF(Atletas!D11="","",IF(Atletas!B11="Feminino",100,IF(Atletas!B11="Masculino",200,""))+(IF(Atletas!D11="Kids 30kg",1,IF(Atletas!D11="Kids 32kg",2, IF(Atletas!D11="Kids 34kg",3,IF(Atletas!D11="Kids 36kg",4,IF(Atletas!D11="Kids 39kg",5,IF(Atletas!D11="Kids 42kg",6,IF(Atletas!D11="Kids 45kg",7, IF(Atletas!D11="Infantil 39kg",8,IF(Atletas!D11="Infantil 42kg",9,IF(Atletas!D11="Infantil 45kg",10,IF(Atletas!D11="Infantil 48kg",11,IF(Atletas!D11="Infantil 52kg",12,IF(Atletas!D11="Infantil 56kg",13,IF(Atletas!D11="Infantil 60kg",14,IF(Atletas!D11="Juvenil 48kg",15,IF(Atletas!D11="Juvenil 52kg",16,IF(Atletas!D11="Juvenil 56kg",17,IF(Atletas!D11="Juvenil 60kg",18,IF(Atletas!D11="Juvenil 65kg",19,IF(Atletas!D11="Juvenil 70kg",20,IF(Atletas!D11="Juvenil 75kg",21,IF(Atletas!D11="Juvenil 80kg",22, IF(Atletas!D11="Juvenil 85kg",23,IF(Atletas!D11="Adulto 48kg",24,IF(Atletas!D11="Adulto 52kg",25,IF(Atletas!D11="Adulto 56kg",26,IF(Atletas!D11="Adulto 60kg",27,IF(Atletas!D11="Adulto 65kg",28,IF(Atletas!D11="Adulto 70kg",29,IF(Atletas!D11="Adulto 75kg",30,IF(Atletas!D11="Adulto 80kg",31,IF(Atletas!D11="Adulto 85kg",32,IF(Atletas!D11="Adulto 90kg",33,IF(Atletas!D11="Adulto 100kg",34, IF(Atletas!D11="Adulto +100kg",35,"")))))))))))))))))))))))))))))))))))))</f>
        <v/>
      </c>
      <c r="AO15" s="50" t="str">
        <f>IF(AP15&lt;&gt;"","Infantil 48kg","")</f>
        <v/>
      </c>
      <c r="AP15" s="6" t="str">
        <f>IF(COUNTIF(AN:AN,111)&gt;0,COUNTIF(AN:AN,111),"")</f>
        <v/>
      </c>
      <c r="AQ15" s="50" t="str">
        <f>IF(AR15&lt;&gt;"","Infantil 42kg","")</f>
        <v/>
      </c>
      <c r="AR15" s="6" t="str">
        <f>IF(COUNTIF(AN:AN,209)&gt;0,COUNTIF(AN:AN,209),"")</f>
        <v/>
      </c>
      <c r="AS15" s="6" t="str">
        <f>IF(Atletas!E11="","",IF(Atletas!B11="Feminino",100,IF(Atletas!B11="Masculino",200,""))+(IF(Atletas!E11="Juvenil 44kg",1,IF(Atletas!E11="Juvenil 48kg",2,IF(Atletas!E11="Juvenil 52kg",3,IF(Atletas!E11="Juvenil 56kg",4,IF(Atletas!E11="Juvenil 60kg",5,IF(Atletas!E11="Juvenil 65kg",6,IF(Atletas!E11="Juvenil 70kg",7,IF(Atletas!E11="Juvenil 75kg",8,IF(Atletas!E11="Juvenil 82kg",9,IF(Atletas!E11="Juvenil 90kg",10,IF(Atletas!E11="Juvenil 100kg",11,IF(Atletas!E11="Adulto 48kg",12,IF(Atletas!E11="Adulto 52kg",13,IF(Atletas!E11="Adulto 56kg",14,IF(Atletas!E11="Adulto 60kg",15,IF(Atletas!E11="Adulto 65kg",16,IF(Atletas!E11="Adulto 70kg",17,IF(Atletas!E11="Adulto 75kg",18,IF(Atletas!E11="Adulto 82kg",19,IF(Atletas!E11="Adulto 90kg",20,IF(Atletas!E11="Adulto 100kg",21,IF(Atletas!E11="Adulto +100kg",22,""))))))))))))))))))))))))</f>
        <v/>
      </c>
      <c r="AT15" s="50" t="str">
        <f>IF(AU15&lt;&gt;"","Adulto 48kg","")</f>
        <v/>
      </c>
      <c r="AU15" s="6" t="str">
        <f>IF(COUNTIF(AS:AS,112)&gt;0,COUNTIF(AS:AS,112),"")</f>
        <v/>
      </c>
      <c r="AV15" s="50" t="str">
        <f>IF(AW15&lt;&gt;"","Juvenil 90kg","")</f>
        <v/>
      </c>
      <c r="AW15" s="6" t="str">
        <f>IF(COUNTIF(AS:AS,210)&gt;0,COUNTIF(AS:AS,210),"")</f>
        <v/>
      </c>
      <c r="AX15" s="6" t="str">
        <f>IF(Atletas!F11="","",IF(Atletas!B11="Feminino",100,IF(Atletas!B11="Masculino",200,""))+(IF(Atletas!F11="Adulto 48kg",1,IF(Atletas!F11="Adulto 56kg",2,IF(Atletas!F11="Adulto 65kg",3,IF(Atletas!F11="Adulto 75kg",4,IF(Atletas!F11="Adulto +75kg",5,IF(Atletas!F11="Adulto 52kg",6,IF(Atletas!F11="Adulto 60kg",7,IF(Atletas!F11="Adulto 70kg",8,IF(Atletas!F11="Adulto 80kg",9,IF(Atletas!F11="Adulto 90kg",10,IF(Atletas!F11="Adulto +90kg",11,"")))))))))))))</f>
        <v/>
      </c>
      <c r="BA15" s="50"/>
      <c r="BC15" s="6" t="str">
        <f>IF(Atletas!G11="","",IF(Atletas!B11="Feminino",10,IF(Atletas!B11="Masculino",20,""))+(IF(Atletas!G11="Baduanjin A",1,IF(Atletas!G11="Baduanjin B",2))))</f>
        <v/>
      </c>
      <c r="BF15" s="52" t="str">
        <f>IF(Atletas!H11="","",IF(Atletas!B11="Feminino",100,IF(Atletas!B11="Masculino",200,""))+(IF(Atletas!H11="Changquan Mirim",1,IF(Atletas!H11="Nanquan Mirim",2,IF(Atletas!H11="Taijiquan Mirim",3,IF(Atletas!H11="Changquan Grupo C",4,IF(Atletas!H11="Nanquan Grupo C",5,IF(Atletas!H11="Taijiquan Grupo C",6,IF(Atletas!H11="Changquan Grupo B",7,IF(Atletas!H11="Nanquan Grupo B",8,IF(Atletas!H11="Taijiquan Grupo B",9,IF(Atletas!H11="Changquan Grupo A",10,IF(Atletas!H11="Nanquan Grupo A",11,IF(Atletas!H11="Taijiquan Grupo A",12,IF(Atletas!H11="Changquan Opcional",13,IF(Atletas!H11="Nanquan Opcional",14,IF(Atletas!H11="Taijiquan Opcional",15,IF(Atletas!H11="Changquan Adulto",16,IF(Atletas!H11="Nanquan Adulto",17,IF(Atletas!H11="Taijiquan Adulto",18,""))))))))))))))))))))</f>
        <v/>
      </c>
      <c r="BG15" s="52" t="str">
        <f>IF(Atletas!I11="","",IF(Atletas!B11="Feminino",100,IF(Atletas!B11="Masculino",200,""))+(IF(Atletas!I11="Daoshu Mirim",19,IF(Atletas!I11="Jianshu Mirim",20,IF(Atletas!I11="Nandao Mirim",21,IF(Atletas!I11="Taijijian Mirim",22,IF(Atletas!I11="Daoshu Grupo C",23,IF(Atletas!I11="Jianshu Grupo C",24,IF(Atletas!I11="Nandao Grupo C",25,IF(Atletas!I11="Taijijian Grupo C",26,IF(Atletas!I11="Daoshu Grupo B",27,IF(Atletas!I11="Jianshu Grupo B",28,IF(Atletas!I11="Nandao Grupo B",29,IF(Atletas!I11="Taijijian Grupo B",30,IF(Atletas!I11="Daoshu Grupo A",31,IF(Atletas!I11="Jianshu Grupo A",32,IF(Atletas!I11="Nandao Grupo A",33,IF(Atletas!I11="Taijijian Grupo A",34,IF(Atletas!I11="Daoshu Opcional",35,IF(Atletas!I11="Jianshu Opcional",36,IF(Atletas!I11="Nandao Opcional",37,IF(Atletas!I11="Taijijian Opcional",38,IF(Atletas!I11="Daoshu Adulto",39,IF(Atletas!I11="Jianshu Adulto",40,IF(Atletas!I11="Nandao Adulto",41,IF(Atletas!I11="Taijijian Adulto",42,""))))))))))))))))))))))))))</f>
        <v/>
      </c>
      <c r="BH15" s="52" t="str">
        <f>IF(Atletas!J11="","",IF(Atletas!B11="Feminino",100,IF(Atletas!B11="Masculino",200,""))+(IF(Atletas!J11="Gunshu Mirim",43,IF(Atletas!J11="Qiangshu Mirim",44,IF(Atletas!J11="Nangun Mirim",45,IF(Atletas!J11="Gunshu Grupo C",46,IF(Atletas!J11="Qiangshu Grupo C",47,IF(Atletas!J11="Nangun Grupo C",48,IF(Atletas!J11="Gunshu Grupo B",49,IF(Atletas!J11="Qiangshu Grupo B",50,IF(Atletas!J11="Nangun Grupo B",51,IF(Atletas!J11="Gunshu Grupo A",52,IF(Atletas!J11="Qiangshu Grupo A",53,IF(Atletas!J11="Nangun Grupo A",54,IF(Atletas!J11="Gunshu Opcional",55,IF(Atletas!J11="Qiangshu Opcional",56,IF(Atletas!J11="Nangun Opcional",57,IF(Atletas!J11="Gunshu Adulto",58,IF(Atletas!J11="Qiangshu Adulto",59,IF(Atletas!J11="Nangun Adulto",60,IF(Atletas!J11="Taijishan Grupo B",61,IF(Atletas!J11="Taijishan Grupo A",62,""))))))))))))))))))))))</f>
        <v/>
      </c>
      <c r="BI15" s="52" t="str">
        <f>IF(BJ15&lt;&gt;"","Qiangshu Mirim","")</f>
        <v/>
      </c>
      <c r="BJ15" s="50" t="str">
        <f>IF(COUNTIF(BF:BH,144)&gt;0,COUNTIF(BF:BH,144),"")</f>
        <v/>
      </c>
      <c r="BK15" s="52" t="str">
        <f>IF(BL15&lt;&gt;"","Qiangshu Mirim","")</f>
        <v/>
      </c>
      <c r="BL15" s="50" t="str">
        <f>IF(COUNTIF(BF:BH,244)&gt;0,COUNTIF(BF:BH,244),"")</f>
        <v/>
      </c>
      <c r="BM15" s="50" t="str">
        <f>IF(Atletas!K11="","",IF(Atletas!B11="Feminino",100,IF(Atletas!B11="Masculino",200,""))+(IF(Atletas!K11="Equipe 1 Grupo B",1,IF(Atletas!K11="Equipe 2 Grupo B",2,IF(Atletas!K11="Equipe 1 Grupo A",3,IF(Atletas!K11="Equipe 2 Grupo A",4,IF(Atletas!K11="Equipe 1 Adulto",5,IF(Atletas!K11="Equipe 2 Adulto",6,""))))))))</f>
        <v/>
      </c>
      <c r="BN15" s="57"/>
      <c r="BO15" s="57"/>
      <c r="BP15" s="57"/>
      <c r="BQ15" s="55"/>
      <c r="BR15" s="50" t="str">
        <f>IF(Atletas!L11="","",IF(Atletas!X11&lt;&gt;"",10000,0)+(IF(Atletas!B11="Feminino",1000,IF(Atletas!B11="Masculino",2000,""))+IF(Atletas!L11="Choylayfut A",1,IF(Atletas!L11="Hunggar A",2,IF(Atletas!L11="Wuzuquan A",3,IF(Atletas!L11="Wingchun A",4,IF(Atletas!L11="Outra Mão de Sul A",5,IF(Atletas!L11="Choylayfut B",6,IF(Atletas!L11="Hunggar B",7,IF(Atletas!L11="Wuzuquan B",8,IF(Atletas!L11="Wingchun B",9,IF(Atletas!L11="Outra Mão de Sul B",10,IF(Atletas!L11="Choylayfut C",11,IF(Atletas!L11="Hunggar C",12,IF(Atletas!L11="Wuzuquan C",13,IF(Atletas!L11="Wingchun C",14,IF(Atletas!L11="Outra Mão de Sul C",15,IF(Atletas!L11="Choylayfut D",16,IF(Atletas!L11="Hunggar D",17,IF(Atletas!L11="Wuzuquan D",18,IF(Atletas!L11="Wingchun D",19,IF(Atletas!L11="Outra Mão de Sul D",20,IF(Atletas!L11="Choylayfut E",21,IF(Atletas!L11="Hunggar E",22,IF(Atletas!L11="Wuzuquan E",23,IF(Atletas!L11="Wingchun E",24,IF(Atletas!L11="Outra Mão de Sul E",25,IF(Atletas!L11="Choylayfut F",26,IF(Atletas!L11="Hunggar F",27,IF(Atletas!L11="Wuzuquan F",28,IF(Atletas!L11="Wingchun F",29,IF(Atletas!L11="Outra Mão de Sul F",30,IF(Atletas!L11="Dishuquan A",31,IF(Atletas!L11="Dishuquan B",32,IF(Atletas!L11="Dishuquan C",33,IF(Atletas!L11="Dishuquan D",34,IF(Atletas!L11="Dishuquan E",35,IF(Atletas!L11="Dishuquan F",36,""))))))))))))))))))))))))))))))))))))))</f>
        <v/>
      </c>
      <c r="BS15" s="50" t="str">
        <f>IF(Atletas!M11="","",IF(Atletas!X11&lt;&gt;"",10000,0)+(IF(Atletas!B11="Feminino",1000,IF(Atletas!B11="Masculino",2000,""))+(IF(Atletas!M11="Chaquan A",101,IF(Atletas!M11="Emeiquan A",102,IF(Atletas!M11="Fanziquan A",103,IF(Atletas!M11="Huaquan A",104,IF(Atletas!M11="Hongquan A",105,IF(Atletas!M11="Paoquan A",106,IF(Atletas!M11="Piguaquan A",107,IF(Atletas!M11="Shaolinquan A",108,IF(Atletas!M11="Tanglangquan A",109,IF(Atletas!M11="Yingzhaoquan A",110,IF(Atletas!M11="Tongbeiquan A",111,IF(Atletas!M11="Wudangquan A",112,IF(Atletas!M11="Outros Estilos A",113,IF(Atletas!M11="Chaquan B",114,IF(Atletas!M11="Emeiquan B",115,IF(Atletas!M11="Fanziquan B",116,IF(Atletas!M11="Huaquan B",117,IF(Atletas!M11="Hongquan B",118,IF(Atletas!M11="Paoquan B",119,IF(Atletas!M11="Piguaquan B",120,IF(Atletas!M11="Shaolinquan B",121,IF(Atletas!M11="Tanglangquan B",122,IF(Atletas!M11="Yingzhaoquan B",123,IF(Atletas!M11="Tongbeiquan B",124,IF(Atletas!M11="Wudangquan B",125,IF(Atletas!M11="Outros Estilos B",126,IF(Atletas!M11="Chaquan C",127,IF(Atletas!M11="Emeiquan C",128,IF(Atletas!M11="Fanziquan C",129,IF(Atletas!M11="Huaquan C",130,IF(Atletas!M11="Hongquan C",131,IF(Atletas!M11="Paoquan C",132,IF(Atletas!M11="Piguaquan C",133,IF(Atletas!M11="Shaolinquan C",134,IF(Atletas!M11="Tanglangquan C",135,IF(Atletas!M11="Yingzhaoquan C",136,IF(Atletas!M11="Tongbeiquan C",137,IF(Atletas!M11="Wudangquan C",138,IF(Atletas!M11="Outros Estilos C",139,0))))))))))))))))))))))))))))))))))))))))))</f>
        <v/>
      </c>
      <c r="BT15" s="50" t="str">
        <f>IF(Atletas!M11="","",IF(Atletas!X11&lt;&gt;"",10000,0)+(IF(Atletas!B11="Feminino",1000,IF(Atletas!B11="Masculino",2000,""))+(IF(Atletas!M11="Chaquan D",140,IF(Atletas!M11="Emeiquan D",141,IF(Atletas!M11="Fanziquan D",142,IF(Atletas!M11="Huaquan D",143,IF(Atletas!M11="Hongquan D",144,IF(Atletas!M11="Paoquan D",145,IF(Atletas!M11="Piguaquan D",146,IF(Atletas!M11="Shaolinquan D",147,IF(Atletas!M11="Tanglangquan D",148,IF(Atletas!M11="Yingzhaoquan D",149,IF(Atletas!M11="Tongbeiquan D",150,IF(Atletas!M11="Wudangquan D",151,IF(Atletas!M11="Outros Estilos D",152,IF(Atletas!M11="Chaquan E",153,IF(Atletas!M11="Emeiquan E",154,IF(Atletas!M11="Fanziquan E",155,IF(Atletas!M11="Huaquan E",156,IF(Atletas!M11="Hongquan E",157,IF(Atletas!M11="Paoquan E",158,IF(Atletas!M11="Piguaquan E",159,IF(Atletas!M11="Shaolinquan E",160,IF(Atletas!M11="Tanglangquan E",161,IF(Atletas!M11="Yingzhaoquan E",162,IF(Atletas!M11="Tongbeiquan E",163,IF(Atletas!M11="Wudangquan E",164,IF(Atletas!M11="Outros Estilos E",165,IF(Atletas!M11="Chaquan F",166,IF(Atletas!M11="Emeiquan F",167,IF(Atletas!M11="Fanziquan F",168,IF(Atletas!M11="Huaquan F",169,IF(Atletas!M11="Hongquan F",170,IF(Atletas!M11="Paoquan F",171,IF(Atletas!M11="Piguaquan F",172,IF(Atletas!M11="Shaolinquan F",173,IF(Atletas!M11="Tanglangquan F",174,IF(Atletas!M11="Yingzhaoquan F",175,IF(Atletas!M11="Tongbeiquan F",176,IF(Atletas!M11="Wudangquan F",177,IF(Atletas!M11="Outros Estilos F",178,0))))))))))))))))))))))))))))))))))))))))))</f>
        <v/>
      </c>
      <c r="BU15" s="50" t="str">
        <f>IF(Atletas!N11="","",IF(Atletas!X11&lt;&gt;"",10000,0)+(IF(Atletas!B11="Feminino",1000,IF(Atletas!B11="Masculino",2000,""))+(IF(Atletas!N11="Ditangquan A",201,IF(Atletas!N11="Houquan A",202,IF(Atletas!N11="Zuiquan A",203,IF(Atletas!N11="Ditangquan B",204,IF(Atletas!N11="Houquan B",205,IF(Atletas!N11="Zuiquan B",206,IF(Atletas!N11="Ditangquan C",207,IF(Atletas!N11="Houquan C",208,IF(Atletas!N11="Zuiquan C",209,IF(Atletas!N11="Ditangquan D",210,IF(Atletas!N11="Houquan D",211,IF(Atletas!N11="Zuiquan D",212,IF(Atletas!N11="Ditangquan E",213,IF(Atletas!N11="Houquan E",214,IF(Atletas!N11="Zuiquan E",215,IF(Atletas!N11="Ditangquan F",216,IF(Atletas!N11="Houquan F",217,IF(Atletas!N11="Zuiquan F",218,"")))))))))))))))))))))</f>
        <v/>
      </c>
      <c r="BV15" s="50" t="str">
        <f>IF(Atletas!O11="","",IF(Atletas!X11&lt;&gt;"",10000,0)+IF(Atletas!B11="Feminino",1000,IF(Atletas!B11="Masculino",2000,""))+IF(Atletas!O11="Yang A",301,IF(Atletas!O11="Chen A",302,IF(Atletas!O11="Sun A",303,IF(Atletas!O11="Wu A",304,IF(Atletas!O11="Wu-Hao A",305,IF(Atletas!O11="Outro Taijiquan A",306,IF(Atletas!O11="Yang B",307,IF(Atletas!O11="Chen B",308,IF(Atletas!O11="Sun B",309,IF(Atletas!O11="Wu B",310,IF(Atletas!O11="Wu-Hao B",311,IF(Atletas!O11="Outro Taijiquan B",312,IF(Atletas!O11="Yang C",313,IF(Atletas!O11="Chen C",314,IF(Atletas!O11="Sun C",315,IF(Atletas!O11="Wu C",316,IF(Atletas!O11="Wu-Hao C",317,IF(Atletas!O11="Outro Taijiquan C",318,IF(Atletas!O11="Yang D",319,IF(Atletas!O11="Chen D",320,IF(Atletas!O11="Sun D",321,IF(Atletas!O11="Wu D",322,IF(Atletas!O11="Wu-Hao D",323,IF(Atletas!O11="Outro Taijiquan D",324,IF(Atletas!O11="Yang E",325,IF(Atletas!O11="Chen E",326,IF(Atletas!O11="Sun E",327,IF(Atletas!O11="Wu E",328,IF(Atletas!O11="Wu-Hao E",329,IF(Atletas!O11="Outro Taijiquan E",330,IF(Atletas!O11="Yang F",331,IF(Atletas!O11="Chen F",332,IF(Atletas!O11="Sun F",333,IF(Atletas!O11="Wu F",334,IF(Atletas!O11="Wu-Hao F",335,IF(Atletas!O11="Outro Taijiquan F",336,"")))))))))))))))))))))))))))))))))))))</f>
        <v/>
      </c>
      <c r="BW15" s="50" t="str">
        <f>IF(Atletas!P11="","",IF(Atletas!X11&lt;&gt;"",10000,0)+IF(Atletas!B11="Feminino",1000,IF(Atletas!B11="Masculino",2000,""))+IF(OR(Atletas!P11="Yang 26 A",Atletas!P11="Yang 40 A"),401,IF(OR(Atletas!P11="Chen 25 A",Atletas!P11="Chen 36 A",Atletas!P11="Chen 56 A"),402,IF(Atletas!P11="Sun 73 A",403,IF(Atletas!P11="Wu 45 A",404,IF(Atletas!P11="Wu-Hao 46 A",405,IF(OR(Atletas!P11="Taijiquan 16 A",Atletas!P11="Taijiquan 24 A",Atletas!P11="Taijiquan 32 A",Atletas!P11="Taijiquan 42 A"),406,IF(OR(Atletas!P11="Yang 26 B",Atletas!P11="Yang 40 B"),407,IF(OR(Atletas!P11="Chen 25 B",Atletas!P11="Chen 36 B",Atletas!P11="Chen 56 B"),408,IF(Atletas!P11="Sun 73 B",409,IF(Atletas!P11="Wu 45 B",410,IF(Atletas!P11="Wu-Hao 46 B",411,IF(OR(Atletas!P11="Taijiquan 16 B",Atletas!P11="Taijiquan 24 B",Atletas!P11="Taijiquan 32 B",Atletas!P11="Taijiquan 42 B"),412,IF(OR(Atletas!P11="Yang 26 C",Atletas!P11="Yang 40 C"),413,IF(OR(Atletas!P11="Chen 25 C",Atletas!P11="Chen 36 C",Atletas!P11="Chen 56 C"),414,IF(Atletas!P11="Sun 73 C",415,IF(Atletas!P11="Wu 45 C",416,IF(Atletas!P11="Wu-Hao 46 C",417,IF(OR(Atletas!P11="Taijiquan 16 C",Atletas!P11="Taijiquan 24 C",Atletas!P11="Taijiquan 32 C",Atletas!P11="Taijiquan 42 C"),418,0)))))))))))))))))))</f>
        <v/>
      </c>
      <c r="BX15" s="50" t="str">
        <f>IF(Atletas!P11="","",IF(Atletas!X11&lt;&gt;"",10000,0)+IF(Atletas!B11="Feminino",1000,IF(Atletas!B11="Masculino",2000,""))+IF(OR(Atletas!P11="Yang 26 D",Atletas!P11="Yang 40 D"),419,IF(OR(Atletas!P11="Chen 25 D",Atletas!P11="Chen 36 D",Atletas!P11="Chen 56 D"),420,IF(Atletas!P11="Sun 73 D",421,IF(Atletas!P11="Wu 45 D",422,IF(Atletas!P11="Wu-Hao 46 D",423,IF(OR(Atletas!P11="Taijiquan 16 D",Atletas!P11="Taijiquan 24 D",Atletas!P11="Taijiquan 32 D",Atletas!P11="Taijiquan 42 D"),424,IF(OR(Atletas!P11="Yang 26 E",Atletas!P11="Yang 40 E"),425,IF(OR(Atletas!P11="Chen 25 E",Atletas!P11="Chen 36 E",Atletas!P11="Chen 56 E"),426,IF(Atletas!P11="Sun 73 E",427,IF(Atletas!P11="Wu 45 E",428,IF(Atletas!P11="Wu-Hao 46 E",429,IF(OR(Atletas!P11="Taijiquan 16 E",Atletas!P11="Taijiquan 24 E",Atletas!P11="Taijiquan 32 E",Atletas!P11="Taijiquan 42 E"),430,IF(OR(Atletas!P11="Yang 26 F",Atletas!P11="Yang 40 F"),431,IF(OR(Atletas!P11="Chen 25 F",Atletas!P11="Chen 36 F",Atletas!P11="Chen 56 F"),432,IF(Atletas!P11="Sun 73 F",433,IF(Atletas!P11="Wu 45 F",434,IF(Atletas!P11="Wu-Hao 46 F",435,IF(OR(Atletas!P11="Taijiquan 16 F",Atletas!P11="Taijiquan 24 F",Atletas!P11="Taijiquan 32 F",Atletas!P11="Taijiquan 42 F"),436,0)))))))))))))))))))</f>
        <v/>
      </c>
      <c r="BY15" s="50" t="str">
        <f>IF(Atletas!Q11="","",IF(Atletas!X11&lt;&gt;"",10000,0)+IF(Atletas!B11="Feminino",1000,IF(Atletas!B11="Masculino",2000,""))+IF(Atletas!Q11="Xingyiquan A",501,IF(Atletas!Q11="Baguazhang A",502,IF(Atletas!Q11="Outro Estilo Interno A",503,IF(Atletas!Q11="Xingyiquan B",504,IF(Atletas!Q11="Baguazhang B",505,IF(Atletas!Q11="Outro Estilo Interno B",506,IF(Atletas!Q11="Xingyiquan C",507,IF(Atletas!Q11="Baguazhang C",508,IF(Atletas!Q11="Outro Estilo Interno C",509,IF(Atletas!Q11="Xingyiquan D",510,IF(Atletas!Q11="Baguazhang D",511,IF(Atletas!Q11="Outro Estilo Interno D",512,IF(Atletas!Q11="Xingyiquan E",513,IF(Atletas!Q11="Baguazhang E",514,IF(Atletas!Q11="Outro Estilo Interno E",515,IF(Atletas!Q11="Xingyiquan F",516,IF(Atletas!Q11="Baguazhang F",517,IF(Atletas!Q11="Outro Estilo Interno F",518, "")))))))))))))))))))</f>
        <v/>
      </c>
      <c r="BZ15" s="50" t="str">
        <f>IF(Atletas!R11="","",IF(Atletas!X11&lt;&gt;"",10000,0)+IF(Atletas!B11="Feminino",1000,IF(Atletas!B11="Masculino",2000,""))+IF(Atletas!R11="Dao A",601,IF(Atletas!R11="Jian A",602,IF(Atletas!R11="Bishou A",603,IF(Atletas!R11="Shanzi A",604,IF(Atletas!R11="Outra Arma Curta A",605,IF(Atletas!R11="Dao B",606,IF(Atletas!R11="Jian B",607,IF(Atletas!R11="Bishou B",608,IF(Atletas!R11="Shanzi B",609,IF(Atletas!R11="Outra Arma Curta B",610,IF(Atletas!R11="Dao C",611,IF(Atletas!R11="Jian C",612,IF(Atletas!R11="Bishou C",613,IF(Atletas!R11="Shanzi C",614,IF(Atletas!R11="Outra Arma Curta C",615,IF(Atletas!R11="Dao D",616,IF(Atletas!R11="Jian D",617,IF(Atletas!R11="Bishou D",618,IF(Atletas!R11="Shanzi D",619,IF(Atletas!R11="Outra Arma Curta D",620,IF(Atletas!R11="Dao E",621,IF(Atletas!R11="Jian E",622,IF(Atletas!R11="Bishou E",623,IF(Atletas!R11="Shanzi E",624,IF(Atletas!R11="Outra Arma Curta E",625,IF(Atletas!R11="Dao F",626,IF(Atletas!R11="Jian F",627,IF(Atletas!R11="Bishou F",628,IF(Atletas!R11="Shanzi F",629,IF(Atletas!R11="Outra Arma Curta F",630, "")))))))))))))))))))))))))))))))</f>
        <v/>
      </c>
      <c r="CA15" s="50" t="str">
        <f>IF(Atletas!S11="","",IF(Atletas!X11&lt;&gt;"",10000,0)+IF(Atletas!B11="Feminino",1000,IF(Atletas!B11="Masculino",2000,""))+IF(Atletas!S11="Gun A",701,IF(Atletas!S11="Qiang A",702,IF(Atletas!S11="Pudao / Guandao A",703,IF(Atletas!S11="Outra Arma Longa A",704,IF(Atletas!S11="Gun B",705,IF(Atletas!S11="Qiang B",706,IF(Atletas!S11="Pudao / Guandao B",707,IF(Atletas!S11="Outra Arma Longa B",708,IF(Atletas!S11="Gun C",709,IF(Atletas!S11="Qiang C",710,IF(Atletas!S11="Pudao / Guandao C",711,IF(Atletas!S11="Outra Arma Longa C",712,IF(Atletas!S11="Gun D",713,IF(Atletas!S11="Qiang D",714,IF(Atletas!S11="Pudao / Guandao D",715,IF(Atletas!S11="Outra Arma Longa D",716,IF(Atletas!S11="Gun E",717,IF(Atletas!S11="Qiang E",718,IF(Atletas!S11="Pudao / Guandao E",719,IF(Atletas!S11="Outra Arma Longa E",720,IF(Atletas!S11="Gun F",721,IF(Atletas!S11="Qiang F",722,IF(Atletas!S11="Pudao / Guandao F",723,IF(Atletas!S11="Outra Arma Longa F",724,"")))))))))))))))))))))))))</f>
        <v/>
      </c>
      <c r="CB15" s="50" t="str">
        <f>IF(Atletas!T11="","",IF(Atletas!X11&lt;&gt;"",10000,0)+IF(Atletas!B11="Feminino",1000,IF(Atletas!B11="Masculino",2000,""))+IF(Atletas!T11="Outra Arma Dupla A",801,IF(Atletas!T11="Arma Maleável A",802,IF(Atletas!T11="Outra Arma Dupla B",803,IF(Atletas!T11="Arma Maleável B",804,IF(Atletas!T11="Outra Arma Dupla C",805,IF(Atletas!T11="Arma Maleável C",806,IF(Atletas!T11="Outra Arma Dupla D",807,IF(Atletas!T11="Arma Maleável D",808,IF(Atletas!T11="Outra Arma Dupla E",809,IF(Atletas!T11="Arma Maleável E",810,IF(Atletas!T11="Outra Arma Dupla F",811,IF(Atletas!T11="Arma Maleável F",812,IF(Atletas!T11="Shuangdao A",813,IF(Atletas!T11="Shuangdao B",814,IF(Atletas!T11="Shuangdao C",815,IF(Atletas!T11="Shuangdao D",816,IF(Atletas!T11="Shuangdao E",817,IF(Atletas!T11="Shuangdao F",818,"")))))))))))))))))))</f>
        <v/>
      </c>
      <c r="CC15" s="50" t="str">
        <f>IF(Atletas!U11="","",IF(Atletas!X11&lt;&gt;"",10000,0)+IF(Atletas!B11="Feminino",1000,IF(Atletas!B11="Masculino",2000,""))+IF(OR(Atletas!U11="Taijijian Yang A",Atletas!U11="Taijijian Yang Standard A"),901,IF(OR(Atletas!U11="Taijijian Chen A", Atletas!U11="Taijijian Chen Standard A"),902,IF(Atletas!U11="Taijijian Sun A",903,IF(Atletas!U11="Taijijian Wu A",904,IF(Atletas!U11="Taijijian Wu-Hao A",905,IF(OR(Atletas!U11="Taijijian 32 A",Atletas!U11="Taijijian 42 A"),906,IF(OR(Atletas!U11="Taijijian Yang B",Atletas!U11="Taijijian Yang Standard B"),907,IF(OR(Atletas!U11="Taijijian Chen B", Atletas!U11="Taijijian Chen Standard B"),908,IF(Atletas!U11="Taijijian Sun B",909,IF(Atletas!U11="Taijijian Wu B",910,IF(Atletas!U11="Taijijian Wu-Hao B",911,IF(OR(Atletas!U11="Taijijian 32 B",Atletas!U11="Taijijian 42 B"),912,IF(OR(Atletas!U11="Taijijian Yang C",Atletas!U11="Taijijian Yang Standard C"),913,IF(OR(Atletas!U11="Taijijian Chen C", Atletas!U11="Taijijian Chen Standard C"),914,IF(Atletas!U11="Taijijian Sun C",915,IF(Atletas!U11="Taijijian Wu C",916,IF(Atletas!U11="Taijijian Wu-Hao C",917,IF(OR(Atletas!U11="Taijijian 32 C",Atletas!U11="Taijijian 42 C"),918,IF(OR(Atletas!U11="Taijijian Yang D",Atletas!U11="Taijijian Yang Standard D"),919,IF(OR(Atletas!U11="Taijijian Chen D", Atletas!U11="Taijijian Chen Standard D"),920,IF(Atletas!U11="Taijijian Sun D",921,IF(Atletas!U11="Taijijian Wu D",922,IF(Atletas!U11="Taijijian Wu-Hao D",923,IF(OR(Atletas!U11="Taijijian 32 D",Atletas!U11="Taijijian 42 D"),924,IF(OR(Atletas!U11="Taijijian Yang E",Atletas!U11="Taijijian Yang Standard E"),925,IF(OR(Atletas!U11="Taijijian Chen E", Atletas!U11="Taijijian Chen Standard E"),926,IF(Atletas!U11="Taijijian Sun E",927,IF(Atletas!U11="Taijijian Wu E",928,IF(Atletas!U11="Taijijian Wu-Hao E",929,IF(OR(Atletas!U11="Taijijian 32 E",Atletas!U11="Taijijian 42 E"),930,IF(OR(Atletas!U11="Taijijian Yang F",Atletas!U11="Taijijian Yang Standard F"),931,IF(OR(Atletas!U11="Taijijian Chen F", Atletas!U11="Taijijian Chen Standard F"),932,IF(Atletas!U11="Taijijian Sun F",933,IF(Atletas!U11="Taijijian Wu F",934,IF(Atletas!U11="Taijijian Wu-Hao F",935,IF(OR(Atletas!U11="Taijijian 32 F",Atletas!U11="Taijijian 42 F"),936,"")))))))))))))))))))))))))))))))))))))</f>
        <v/>
      </c>
      <c r="CD15" s="50" t="str">
        <f>IF(Atletas!V11="","",IF(Atletas!X11&lt;&gt;"",10000,0)+IF(Atletas!B11="Feminino",1000,IF(Atletas!B11="Masculino",2000,""))+IF(Atletas!V11="Taijidao A",937,IF(Atletas!V11="TaijiShanzi A",938,IF(Atletas!V11="Taijiqiang A",939,IF(Atletas!V11="Bagua de Arma A",940,IF(Atletas!V11="Xingyi de Arma A",941,IF(Atletas!V11="Taijidao B",942,IF(Atletas!V11="TaijiShanzi B",943,IF(Atletas!V11="Taijiqiang B",944,IF(Atletas!V11="Bagua de Arma B",945,IF(Atletas!V11="Xingyi de Arma B",946,IF(Atletas!V11="Taijidao C",947,IF(Atletas!V11="TaijiShanzi C",948,IF(Atletas!V11="Taijiqiang C",949,IF(Atletas!V11="Bagua de Arma C",950,IF(Atletas!V11="Xingyi de Arma C",951,IF(Atletas!V11="Taijidao D",952,IF(Atletas!V11="TaijiShanzi D",953,IF(Atletas!V11="Taijiqiang D",954,IF(Atletas!V11="Bagua de Arma D",955,IF(Atletas!V11="Xingyi de Arma D",956,IF(Atletas!V11="Taijidao E",957,IF(Atletas!V11="TaijiShanzi E",958,IF(Atletas!V11="Taijiqiang E",959,IF(Atletas!V11="Bagua de Arma E",960,IF(Atletas!V11="Xingyi de Arma E",961,IF(Atletas!V11="Taijidao F",962,IF(Atletas!V11="TaijiShanzi F",963,IF(Atletas!V11="Taijiqiang F",964,IF(Atletas!V11="Bagua de Arma F",965,IF(Atletas!V11="Xingyi de Arma F",966,"")))))))))))))))))))))))))))))))</f>
        <v/>
      </c>
      <c r="CE15" s="66" t="str">
        <f>IF(CF15&lt;&gt;"","Dishuquan B","")</f>
        <v/>
      </c>
      <c r="CF15" s="66" t="str">
        <f>IF(COUNTIF(BR:CD,1032)&gt;0,COUNTIF(BR:CD,1032),"")</f>
        <v/>
      </c>
      <c r="CG15" s="66" t="str">
        <f>IF(CH15&lt;&gt;"","Dishuquan B","")</f>
        <v/>
      </c>
      <c r="CH15" s="66" t="str">
        <f>IF(COUNTIF(BR:CD,2032)&gt;0,COUNTIF(BR:CD,2032),"")</f>
        <v/>
      </c>
      <c r="CI15" s="66" t="str">
        <f>IF(CJ15&lt;&gt;"","Wingchun B","")</f>
        <v/>
      </c>
      <c r="CJ15" s="66" t="str">
        <f>IF(COUNTIF(BR:CD,11009)&gt;0,COUNTIF(BR:CD,11009),"")</f>
        <v/>
      </c>
      <c r="CK15" s="66" t="str">
        <f>IF(CL15&lt;&gt;"","Wingchun B","")</f>
        <v/>
      </c>
      <c r="CL15" s="66" t="str">
        <f>IF(COUNTIF(BR:CD,12009)&gt;0,COUNTIF(BR:CD,12009),"")</f>
        <v/>
      </c>
      <c r="CM15" s="50" t="str">
        <f xml:space="preserve"> IF(Atletas!W11="","",IF(Atletas!W11="Duilian de Mãos BC - Equipe 1",1,IF(Atletas!W11="Duilian de Mãos BC - Equipe 2",2,IF(Atletas!W11="Duilian de Armas BC - Equipe 1",3,IF(Atletas!W11="Duilian de Armas BC - Equipe 2",4,IF(Atletas!W11="Duilian de Mãos DE - Equipe 1",5,IF(Atletas!W11="Duilian de Mãos DE - Equipe 2",6,IF(Atletas!W11="Duilian de Armas DE - Equipe 1",7,IF(Atletas!W11="Duilian de Armas DE - Equipe 2",8,IF(Atletas!W11="Duilian de Tuishou - Equipe 1",9,IF(Atletas!W11="Duilian de Tuishou - Equipe 2",10,IF(Atletas!W11="Grupo Externo ABC - Equipe 1",11,IF(Atletas!W11="Grupo Externo ABC - Equipe 2",12,IF(Atletas!W11="Grupo Interno ABC - Equipe 1",13,IF(Atletas!W11="Grupo Interno ABC - Equipe 2",14,IF(Atletas!W11="Grupo Externo DEF - Equipe 1",15,IF(Atletas!W11="Grupo Externo DEF - Equipe 2",16,IF(Atletas!W11="Grupo Interno DEF - Equipe 1",17,IF(Atletas!W11="Grupo Interno DEF - Equipe 2",18,"")))))))))))))))))))</f>
        <v/>
      </c>
      <c r="CP15" s="69"/>
      <c r="CQ15" s="68"/>
      <c r="CR15" s="67"/>
      <c r="CS15" s="68"/>
      <c r="CY15" s="41"/>
    </row>
    <row r="16" spans="1:103">
      <c r="A16" s="13"/>
      <c r="B16" s="3" t="str">
        <f t="array" ref="B16">IFERROR(INDEX(AO$7:AO$38,SMALL(IF(AO$7:AO$38&lt;&gt;"",ROW(AO$7:AO$38)-ROW(AO$7)+1),ROWS(AO$7:AO15))),"")</f>
        <v/>
      </c>
      <c r="C16" s="3" t="str">
        <f t="array" ref="C16">IFERROR(INDEX(AP$7:AP$38,SMALL(IF(AP$7:AP$38&lt;&gt;"",ROW(AP$7:AP$38)-ROW(AP$7)+1),ROWS(AP$7:AP15))),"")</f>
        <v/>
      </c>
      <c r="D16" s="3" t="str">
        <f t="array" ref="D16">IFERROR(INDEX(AQ$7:AQ$38,SMALL(IF(AQ$7:AQ$38&lt;&gt;"",ROW(AQ$7:AQ$38)-ROW(AQ$7)+1),ROWS(AQ$7:AQ15))),"")</f>
        <v/>
      </c>
      <c r="E16" s="3" t="str">
        <f t="array" ref="E16">IFERROR(INDEX(AR$7:AR$38,SMALL(IF(AR$7:AR$38&lt;&gt;"",ROW(AR$7:AR$38)-ROW(AR$7)+1),ROWS(AR$7:AR15))),"")</f>
        <v/>
      </c>
      <c r="F16" s="3" t="str">
        <f t="array" ref="F16">IFERROR(INDEX(AT$7:AT$36,SMALL(IF(AT$7:AT$36&lt;&gt;"",ROW(AT$7:AT$36)-ROW(AT$7)+1),ROWS(AT$7:AT15))),"")</f>
        <v/>
      </c>
      <c r="G16" s="3" t="str">
        <f t="array" ref="G16">IFERROR(INDEX(AU$7:AU$36,SMALL(IF(AU$7:AU$36&lt;&gt;"",ROW(AU$7:AU$36)-ROW(AU$7)+1),ROWS(AU$7:AU15))),"")</f>
        <v/>
      </c>
      <c r="H16" s="3" t="str">
        <f t="array" ref="H16">IFERROR(INDEX(AV$7:AV$36,SMALL(IF(AV$7:AV$36&lt;&gt;"",ROW(AV$7:AV$36)-ROW(AV$7)+1),ROWS(AV$7:AV15))),"")</f>
        <v/>
      </c>
      <c r="I16" s="3" t="str">
        <f t="array" ref="I16">IFERROR(INDEX(AW$7:AW$36,SMALL(IF(AW$7:AW$36&lt;&gt;"",ROW(AW$7:AW$36)-ROW(AW$7)+1),ROWS(AW$7:AW15))),"")</f>
        <v/>
      </c>
      <c r="J16" s="3" t="str">
        <f t="array" ref="J16">IFERROR(INDEX(AY$7:AY$36,SMALL(IF(AY$7:AY$36&lt;&gt;"",ROW(AY$7:AY$36)-ROW(AY$7)+1),ROWS(AY$7:AY15))),"")</f>
        <v/>
      </c>
      <c r="K16" s="3" t="str">
        <f t="array" ref="K16">IFERROR(INDEX(AZ$7:AZ$36,SMALL(IF(AZ$7:AZ$36&lt;&gt;"",ROW(AZ$7:AZ$36)-ROW(AZ$7)+1),ROWS(AZ$7:AZ15))),"")</f>
        <v/>
      </c>
      <c r="L16" s="3" t="str">
        <f t="array" ref="L16">IFERROR(INDEX(BA$7:BA$36,SMALL(IF(BA$7:BA$36&lt;&gt;"",ROW(BA$7:BA$36)-ROW(BA$7)+1),ROWS(BA$7:BA15))),"")</f>
        <v/>
      </c>
      <c r="M16" s="3" t="str">
        <f t="array" ref="M16">IFERROR(INDEX(BB$7:BB$36,SMALL(IF(BB$7:BB$36&lt;&gt;"",ROW(BB$7:BB$36)-ROW(BB$7)+1),ROWS(BB$7:BB15))),"")</f>
        <v/>
      </c>
      <c r="N16" s="3" t="str" cm="1">
        <f t="array" ref="N16">IFERROR(INDEX(BD$7:BD$8,SMALL(IF(BD$7:BD$8&lt;&gt;"",ROW(BD$7:BD$8)-ROW(BD$7)+1),ROWS(BD$7:BD15))),"")</f>
        <v/>
      </c>
      <c r="O16" s="3" t="str" cm="1">
        <f t="array" ref="O16">IFERROR(INDEX(BE$7:BE$8,SMALL(IF(BE$7:BE$8&lt;&gt;"",ROW(BE$7:BE$8)-ROW(BE$7)+1),ROWS(BE$7:BE15))),"")</f>
        <v/>
      </c>
      <c r="P16" s="3" t="str" cm="1">
        <f t="array" ref="P16">IFERROR(INDEX(BD$9:BD$10,SMALL(IF(BD$9:BD$10&lt;&gt;"",ROW(BD$9:BD$10)-ROW(BD$9)+1),ROWS(BD$9:BD17))),"")</f>
        <v/>
      </c>
      <c r="Q16" s="3" t="str">
        <f t="array" ref="Q16">IFERROR(INDEX(BH$7:BH$36,SMALL(IF(BH$7:BH$36&lt;&gt;"",ROW(BH$7:BH$36)-ROW(BH$7)+1),ROWS(BH$7:BH15))),"")</f>
        <v/>
      </c>
      <c r="R16" s="3" t="str">
        <f t="array" ref="R16">IFERROR(INDEX(BI$7:BI$68,SMALL(IF(BI$7:BI$68&lt;&gt;"",ROW(BI$7:BI$68)-ROW(BI$7)+1),ROWS(BI$7:BI15))),"")</f>
        <v/>
      </c>
      <c r="S16" s="3" t="str">
        <f t="array" ref="S16">IFERROR(INDEX(BJ$7:BJ$68,SMALL(IF(BJ$7:BJ$68&lt;&gt;"",ROW(BJ$7:BJ$68)-ROW(BJ$7)+1),ROWS(BJ$7:BJ15))),"")</f>
        <v/>
      </c>
      <c r="T16" s="3" t="str">
        <f t="array" ref="T16">IFERROR(INDEX(BK$7:BK$68,SMALL(IF(BK$7:BK$68&lt;&gt;"",ROW(BK$7:BK$68)-ROW(BK$7)+1),ROWS(BK$7:BK15))),"")</f>
        <v/>
      </c>
      <c r="U16" s="3" t="str">
        <f t="array" ref="U16">IFERROR(INDEX(BL$7:BL$68,SMALL(IF(BL$7:BL$68&lt;&gt;"",ROW(BL$7:BL$68)-ROW(BL$7)+1),ROWS(BL$7:BL15))),"")</f>
        <v/>
      </c>
      <c r="V16" s="20"/>
      <c r="W16" s="20"/>
      <c r="X16" s="20"/>
      <c r="Y16" s="20"/>
      <c r="Z16" s="3" t="str">
        <f t="array" ref="Z16">IFERROR(INDEX(CE$7:CE$348,SMALL(IF(CE$7:CE$348&lt;&gt;"",ROW(CE$7:CE$348)-ROW(CE$7)+1),ROWS(CE$7:CE15))),"")</f>
        <v/>
      </c>
      <c r="AA16" s="3" t="str">
        <f t="array" ref="AA16">IFERROR(INDEX(CF$7:CF$348,SMALL(IF(CF$7:CF$348&lt;&gt;"",ROW(CF$7:CF$348)-ROW(CF$7)+1),ROWS(CF$7:CF15))),"")</f>
        <v/>
      </c>
      <c r="AB16" s="3" t="str">
        <f t="array" ref="AB16">IFERROR(INDEX(CG$7:CG$348,SMALL(IF(CG$7:CG$348&lt;&gt;"",ROW(CG$7:CG$348)-ROW(CG$7)+1),ROWS(CG$7:CG15))),"")</f>
        <v/>
      </c>
      <c r="AC16" s="3" t="str">
        <f t="array" ref="AC16">IFERROR(INDEX(CH$7:CH$348,SMALL(IF(CH$7:CH$348&lt;&gt;"",ROW(CH$7:CH$348)-ROW(CH$7)+1),ROWS(CH$7:CH15))),"")</f>
        <v/>
      </c>
      <c r="AD16" s="3" t="str">
        <f t="array" ref="AD16">IFERROR(INDEX(CI$7:CI$377,SMALL(IF(CI$7:CI$377&lt;&gt;"",ROW(CI$7:CI$377)-ROW(CI$7)+1),ROWS(CI$7:CI15))),"")</f>
        <v/>
      </c>
      <c r="AE16" s="3" t="str">
        <f t="array" ref="AE16">IFERROR(INDEX(CJ$7:CJ$378,SMALL(IF(CJ$7:CJ$378&lt;&gt;"",ROW(CJ$7:CJ$378)-ROW(CJ$7)+1),ROWS(CJ$7:CJ15))),"")</f>
        <v/>
      </c>
      <c r="AF16" s="3" t="str">
        <f t="array" ref="AF16">IFERROR(INDEX(CK$7:CK$378,SMALL(IF(CK$7:CK$378&lt;&gt;"",ROW(CK$7:CK$378)-ROW(CK$7)+1),ROWS(CK$7:CK15))),"")</f>
        <v/>
      </c>
      <c r="AG16" s="3" t="str">
        <f t="array" ref="AG16">IFERROR(INDEX(CL$7:CL$378,SMALL(IF(CL$7:CL$378&lt;&gt;"",ROW(CL$7:CL$378)-ROW(CL$7)+1),ROWS(CL$7:CL15))),"")</f>
        <v/>
      </c>
      <c r="AH16" s="40" t="str">
        <f t="array" ref="AH16">IFERROR(INDEX(CN$7:CN$18,SMALL(IF(CN$7:CN$18&lt;&gt;"",ROW(CN$7:CN$18)-ROW(CN$7)+1),ROWS(CN$7:CN15))),"")</f>
        <v/>
      </c>
      <c r="AI16" s="40" t="str">
        <f t="array" ref="AI16">IFERROR(INDEX(CO$7:CO$18,SMALL(IF(CO$7:CO$18&lt;&gt;"",ROW(CO$7:CO$18)-ROW(CO$7)+1),ROWS(CO$7:CO15))),"")</f>
        <v/>
      </c>
      <c r="AJ16" s="40"/>
      <c r="AK16" s="40"/>
      <c r="AL16" s="40" t="str">
        <f t="array" ref="AL16">IFERROR(INDEX(CR$7:CR$14,SMALL(IF(CR$7:CR$14&lt;&gt;"",ROW(CR$7:CR$14)-ROW(CR$7)+1),ROWS(CR$7:CR15))),"")</f>
        <v/>
      </c>
      <c r="AM16" s="40"/>
      <c r="AN16" s="52" t="str">
        <f>IF(Atletas!D12="","",IF(Atletas!B12="Feminino",100,IF(Atletas!B12="Masculino",200,""))+(IF(Atletas!D12="Kids 30kg",1,IF(Atletas!D12="Kids 32kg",2, IF(Atletas!D12="Kids 34kg",3,IF(Atletas!D12="Kids 36kg",4,IF(Atletas!D12="Kids 39kg",5,IF(Atletas!D12="Kids 42kg",6,IF(Atletas!D12="Kids 45kg",7, IF(Atletas!D12="Infantil 39kg",8,IF(Atletas!D12="Infantil 42kg",9,IF(Atletas!D12="Infantil 45kg",10,IF(Atletas!D12="Infantil 48kg",11,IF(Atletas!D12="Infantil 52kg",12,IF(Atletas!D12="Infantil 56kg",13,IF(Atletas!D12="Infantil 60kg",14,IF(Atletas!D12="Juvenil 48kg",15,IF(Atletas!D12="Juvenil 52kg",16,IF(Atletas!D12="Juvenil 56kg",17,IF(Atletas!D12="Juvenil 60kg",18,IF(Atletas!D12="Juvenil 65kg",19,IF(Atletas!D12="Juvenil 70kg",20,IF(Atletas!D12="Juvenil 75kg",21,IF(Atletas!D12="Juvenil 80kg",22, IF(Atletas!D12="Juvenil 85kg",23,IF(Atletas!D12="Adulto 48kg",24,IF(Atletas!D12="Adulto 52kg",25,IF(Atletas!D12="Adulto 56kg",26,IF(Atletas!D12="Adulto 60kg",27,IF(Atletas!D12="Adulto 65kg",28,IF(Atletas!D12="Adulto 70kg",29,IF(Atletas!D12="Adulto 75kg",30,IF(Atletas!D12="Adulto 80kg",31,IF(Atletas!D12="Adulto 85kg",32,IF(Atletas!D12="Adulto 90kg",33,IF(Atletas!D12="Adulto 100kg",34, IF(Atletas!D12="Adulto +100kg",35,"")))))))))))))))))))))))))))))))))))))</f>
        <v/>
      </c>
      <c r="AO16" s="50" t="str">
        <f>IF(AP16&lt;&gt;"","Juvenil 48kg","")</f>
        <v/>
      </c>
      <c r="AP16" s="6" t="str">
        <f>IF(COUNTIF(AN:AN,115)&gt;0,COUNTIF(AN:AN,115),"")</f>
        <v/>
      </c>
      <c r="AQ16" s="50" t="str">
        <f>IF(AR16&lt;&gt;"","Infantil 45kg","")</f>
        <v/>
      </c>
      <c r="AR16" s="6" t="str">
        <f>IF(COUNTIF(AN:AN,210)&gt;0,COUNTIF(AN:AN,210),"")</f>
        <v/>
      </c>
      <c r="AS16" s="6" t="str">
        <f>IF(Atletas!E12="","",IF(Atletas!B12="Feminino",100,IF(Atletas!B12="Masculino",200,""))+(IF(Atletas!E12="Juvenil 44kg",1,IF(Atletas!E12="Juvenil 48kg",2,IF(Atletas!E12="Juvenil 52kg",3,IF(Atletas!E12="Juvenil 56kg",4,IF(Atletas!E12="Juvenil 60kg",5,IF(Atletas!E12="Juvenil 65kg",6,IF(Atletas!E12="Juvenil 70kg",7,IF(Atletas!E12="Juvenil 75kg",8,IF(Atletas!E12="Juvenil 82kg",9,IF(Atletas!E12="Juvenil 90kg",10,IF(Atletas!E12="Juvenil 100kg",11,IF(Atletas!E12="Adulto 48kg",12,IF(Atletas!E12="Adulto 52kg",13,IF(Atletas!E12="Adulto 56kg",14,IF(Atletas!E12="Adulto 60kg",15,IF(Atletas!E12="Adulto 65kg",16,IF(Atletas!E12="Adulto 70kg",17,IF(Atletas!E12="Adulto 75kg",18,IF(Atletas!E12="Adulto 82kg",19,IF(Atletas!E12="Adulto 90kg",20,IF(Atletas!E12="Adulto 100kg",21,IF(Atletas!E12="Adulto +100kg",22,""))))))))))))))))))))))))</f>
        <v/>
      </c>
      <c r="AT16" s="50" t="str">
        <f>IF(AU16&lt;&gt;"","Adulto 52kg","")</f>
        <v/>
      </c>
      <c r="AU16" s="6" t="str">
        <f>IF(COUNTIF(AS:AS,113)&gt;0,COUNTIF(AS:AS,113),"")</f>
        <v/>
      </c>
      <c r="AV16" s="50" t="str">
        <f>IF(AW16&lt;&gt;"","Juvenil 100kg","")</f>
        <v/>
      </c>
      <c r="AW16" s="6" t="str">
        <f>IF(COUNTIF(AS:AS,211)&gt;0,COUNTIF(AS:AS,211),"")</f>
        <v/>
      </c>
      <c r="AX16" s="6" t="str">
        <f>IF(Atletas!F12="","",IF(Atletas!B12="Feminino",100,IF(Atletas!B12="Masculino",200,""))+(IF(Atletas!F12="Adulto 48kg",1,IF(Atletas!F12="Adulto 56kg",2,IF(Atletas!F12="Adulto 65kg",3,IF(Atletas!F12="Adulto 75kg",4,IF(Atletas!F12="Adulto +75kg",5,IF(Atletas!F12="Adulto 52kg",6,IF(Atletas!F12="Adulto 60kg",7,IF(Atletas!F12="Adulto 70kg",8,IF(Atletas!F12="Adulto 80kg",9,IF(Atletas!F12="Adulto 90kg",10,IF(Atletas!F12="Adulto +90kg",11,"")))))))))))))</f>
        <v/>
      </c>
      <c r="BA16" s="50"/>
      <c r="BC16" s="6" t="str">
        <f>IF(Atletas!G12="","",IF(Atletas!B12="Feminino",10,IF(Atletas!B12="Masculino",20,""))+(IF(Atletas!G12="Baduanjin A",1,IF(Atletas!G12="Baduanjin B",2))))</f>
        <v/>
      </c>
      <c r="BF16" s="52" t="str">
        <f>IF(Atletas!H12="","",IF(Atletas!B12="Feminino",100,IF(Atletas!B12="Masculino",200,""))+(IF(Atletas!H12="Changquan Mirim",1,IF(Atletas!H12="Nanquan Mirim",2,IF(Atletas!H12="Taijiquan Mirim",3,IF(Atletas!H12="Changquan Grupo C",4,IF(Atletas!H12="Nanquan Grupo C",5,IF(Atletas!H12="Taijiquan Grupo C",6,IF(Atletas!H12="Changquan Grupo B",7,IF(Atletas!H12="Nanquan Grupo B",8,IF(Atletas!H12="Taijiquan Grupo B",9,IF(Atletas!H12="Changquan Grupo A",10,IF(Atletas!H12="Nanquan Grupo A",11,IF(Atletas!H12="Taijiquan Grupo A",12,IF(Atletas!H12="Changquan Opcional",13,IF(Atletas!H12="Nanquan Opcional",14,IF(Atletas!H12="Taijiquan Opcional",15,IF(Atletas!H12="Changquan Adulto",16,IF(Atletas!H12="Nanquan Adulto",17,IF(Atletas!H12="Taijiquan Adulto",18,""))))))))))))))))))))</f>
        <v/>
      </c>
      <c r="BG16" s="52" t="str">
        <f>IF(Atletas!I12="","",IF(Atletas!B12="Feminino",100,IF(Atletas!B12="Masculino",200,""))+(IF(Atletas!I12="Daoshu Mirim",19,IF(Atletas!I12="Jianshu Mirim",20,IF(Atletas!I12="Nandao Mirim",21,IF(Atletas!I12="Taijijian Mirim",22,IF(Atletas!I12="Daoshu Grupo C",23,IF(Atletas!I12="Jianshu Grupo C",24,IF(Atletas!I12="Nandao Grupo C",25,IF(Atletas!I12="Taijijian Grupo C",26,IF(Atletas!I12="Daoshu Grupo B",27,IF(Atletas!I12="Jianshu Grupo B",28,IF(Atletas!I12="Nandao Grupo B",29,IF(Atletas!I12="Taijijian Grupo B",30,IF(Atletas!I12="Daoshu Grupo A",31,IF(Atletas!I12="Jianshu Grupo A",32,IF(Atletas!I12="Nandao Grupo A",33,IF(Atletas!I12="Taijijian Grupo A",34,IF(Atletas!I12="Daoshu Opcional",35,IF(Atletas!I12="Jianshu Opcional",36,IF(Atletas!I12="Nandao Opcional",37,IF(Atletas!I12="Taijijian Opcional",38,IF(Atletas!I12="Daoshu Adulto",39,IF(Atletas!I12="Jianshu Adulto",40,IF(Atletas!I12="Nandao Adulto",41,IF(Atletas!I12="Taijijian Adulto",42,""))))))))))))))))))))))))))</f>
        <v/>
      </c>
      <c r="BH16" s="52" t="str">
        <f>IF(Atletas!J12="","",IF(Atletas!B12="Feminino",100,IF(Atletas!B12="Masculino",200,""))+(IF(Atletas!J12="Gunshu Mirim",43,IF(Atletas!J12="Qiangshu Mirim",44,IF(Atletas!J12="Nangun Mirim",45,IF(Atletas!J12="Gunshu Grupo C",46,IF(Atletas!J12="Qiangshu Grupo C",47,IF(Atletas!J12="Nangun Grupo C",48,IF(Atletas!J12="Gunshu Grupo B",49,IF(Atletas!J12="Qiangshu Grupo B",50,IF(Atletas!J12="Nangun Grupo B",51,IF(Atletas!J12="Gunshu Grupo A",52,IF(Atletas!J12="Qiangshu Grupo A",53,IF(Atletas!J12="Nangun Grupo A",54,IF(Atletas!J12="Gunshu Opcional",55,IF(Atletas!J12="Qiangshu Opcional",56,IF(Atletas!J12="Nangun Opcional",57,IF(Atletas!J12="Gunshu Adulto",58,IF(Atletas!J12="Qiangshu Adulto",59,IF(Atletas!J12="Nangun Adulto",60,IF(Atletas!J12="Taijishan Grupo B",61,IF(Atletas!J12="Taijishan Grupo A",62,""))))))))))))))))))))))</f>
        <v/>
      </c>
      <c r="BI16" s="52" t="str">
        <f>IF(BJ16&lt;&gt;"","Nangun Mirim","")</f>
        <v/>
      </c>
      <c r="BJ16" s="50" t="str">
        <f>IF(COUNTIF(BF:BH,145)&gt;0,COUNTIF(BF:BH,145),"")</f>
        <v/>
      </c>
      <c r="BK16" s="52" t="str">
        <f>IF(BL16&lt;&gt;"","Nangun Mirim","")</f>
        <v/>
      </c>
      <c r="BL16" s="50" t="str">
        <f>IF(COUNTIF(BF:BH,245)&gt;0,COUNTIF(BF:BH,245),"")</f>
        <v/>
      </c>
      <c r="BM16" s="50" t="str">
        <f>IF(Atletas!K12="","",IF(Atletas!B12="Feminino",100,IF(Atletas!B12="Masculino",200,""))+(IF(Atletas!K12="Equipe 1 Grupo B",1,IF(Atletas!K12="Equipe 2 Grupo B",2,IF(Atletas!K12="Equipe 1 Grupo A",3,IF(Atletas!K12="Equipe 2 Grupo A",4,IF(Atletas!K12="Equipe 1 Adulto",5,IF(Atletas!K12="Equipe 2 Adulto",6,""))))))))</f>
        <v/>
      </c>
      <c r="BN16" s="57"/>
      <c r="BO16" s="57"/>
      <c r="BP16" s="57"/>
      <c r="BQ16" s="55"/>
      <c r="BR16" s="50" t="str">
        <f>IF(Atletas!L12="","",IF(Atletas!X12&lt;&gt;"",10000,0)+(IF(Atletas!B12="Feminino",1000,IF(Atletas!B12="Masculino",2000,""))+IF(Atletas!L12="Choylayfut A",1,IF(Atletas!L12="Hunggar A",2,IF(Atletas!L12="Wuzuquan A",3,IF(Atletas!L12="Wingchun A",4,IF(Atletas!L12="Outra Mão de Sul A",5,IF(Atletas!L12="Choylayfut B",6,IF(Atletas!L12="Hunggar B",7,IF(Atletas!L12="Wuzuquan B",8,IF(Atletas!L12="Wingchun B",9,IF(Atletas!L12="Outra Mão de Sul B",10,IF(Atletas!L12="Choylayfut C",11,IF(Atletas!L12="Hunggar C",12,IF(Atletas!L12="Wuzuquan C",13,IF(Atletas!L12="Wingchun C",14,IF(Atletas!L12="Outra Mão de Sul C",15,IF(Atletas!L12="Choylayfut D",16,IF(Atletas!L12="Hunggar D",17,IF(Atletas!L12="Wuzuquan D",18,IF(Atletas!L12="Wingchun D",19,IF(Atletas!L12="Outra Mão de Sul D",20,IF(Atletas!L12="Choylayfut E",21,IF(Atletas!L12="Hunggar E",22,IF(Atletas!L12="Wuzuquan E",23,IF(Atletas!L12="Wingchun E",24,IF(Atletas!L12="Outra Mão de Sul E",25,IF(Atletas!L12="Choylayfut F",26,IF(Atletas!L12="Hunggar F",27,IF(Atletas!L12="Wuzuquan F",28,IF(Atletas!L12="Wingchun F",29,IF(Atletas!L12="Outra Mão de Sul F",30,IF(Atletas!L12="Dishuquan A",31,IF(Atletas!L12="Dishuquan B",32,IF(Atletas!L12="Dishuquan C",33,IF(Atletas!L12="Dishuquan D",34,IF(Atletas!L12="Dishuquan E",35,IF(Atletas!L12="Dishuquan F",36,""))))))))))))))))))))))))))))))))))))))</f>
        <v/>
      </c>
      <c r="BS16" s="50" t="str">
        <f>IF(Atletas!M12="","",IF(Atletas!X12&lt;&gt;"",10000,0)+(IF(Atletas!B12="Feminino",1000,IF(Atletas!B12="Masculino",2000,""))+(IF(Atletas!M12="Chaquan A",101,IF(Atletas!M12="Emeiquan A",102,IF(Atletas!M12="Fanziquan A",103,IF(Atletas!M12="Huaquan A",104,IF(Atletas!M12="Hongquan A",105,IF(Atletas!M12="Paoquan A",106,IF(Atletas!M12="Piguaquan A",107,IF(Atletas!M12="Shaolinquan A",108,IF(Atletas!M12="Tanglangquan A",109,IF(Atletas!M12="Yingzhaoquan A",110,IF(Atletas!M12="Tongbeiquan A",111,IF(Atletas!M12="Wudangquan A",112,IF(Atletas!M12="Outros Estilos A",113,IF(Atletas!M12="Chaquan B",114,IF(Atletas!M12="Emeiquan B",115,IF(Atletas!M12="Fanziquan B",116,IF(Atletas!M12="Huaquan B",117,IF(Atletas!M12="Hongquan B",118,IF(Atletas!M12="Paoquan B",119,IF(Atletas!M12="Piguaquan B",120,IF(Atletas!M12="Shaolinquan B",121,IF(Atletas!M12="Tanglangquan B",122,IF(Atletas!M12="Yingzhaoquan B",123,IF(Atletas!M12="Tongbeiquan B",124,IF(Atletas!M12="Wudangquan B",125,IF(Atletas!M12="Outros Estilos B",126,IF(Atletas!M12="Chaquan C",127,IF(Atletas!M12="Emeiquan C",128,IF(Atletas!M12="Fanziquan C",129,IF(Atletas!M12="Huaquan C",130,IF(Atletas!M12="Hongquan C",131,IF(Atletas!M12="Paoquan C",132,IF(Atletas!M12="Piguaquan C",133,IF(Atletas!M12="Shaolinquan C",134,IF(Atletas!M12="Tanglangquan C",135,IF(Atletas!M12="Yingzhaoquan C",136,IF(Atletas!M12="Tongbeiquan C",137,IF(Atletas!M12="Wudangquan C",138,IF(Atletas!M12="Outros Estilos C",139,0))))))))))))))))))))))))))))))))))))))))))</f>
        <v/>
      </c>
      <c r="BT16" s="50" t="str">
        <f>IF(Atletas!M12="","",IF(Atletas!X12&lt;&gt;"",10000,0)+(IF(Atletas!B12="Feminino",1000,IF(Atletas!B12="Masculino",2000,""))+(IF(Atletas!M12="Chaquan D",140,IF(Atletas!M12="Emeiquan D",141,IF(Atletas!M12="Fanziquan D",142,IF(Atletas!M12="Huaquan D",143,IF(Atletas!M12="Hongquan D",144,IF(Atletas!M12="Paoquan D",145,IF(Atletas!M12="Piguaquan D",146,IF(Atletas!M12="Shaolinquan D",147,IF(Atletas!M12="Tanglangquan D",148,IF(Atletas!M12="Yingzhaoquan D",149,IF(Atletas!M12="Tongbeiquan D",150,IF(Atletas!M12="Wudangquan D",151,IF(Atletas!M12="Outros Estilos D",152,IF(Atletas!M12="Chaquan E",153,IF(Atletas!M12="Emeiquan E",154,IF(Atletas!M12="Fanziquan E",155,IF(Atletas!M12="Huaquan E",156,IF(Atletas!M12="Hongquan E",157,IF(Atletas!M12="Paoquan E",158,IF(Atletas!M12="Piguaquan E",159,IF(Atletas!M12="Shaolinquan E",160,IF(Atletas!M12="Tanglangquan E",161,IF(Atletas!M12="Yingzhaoquan E",162,IF(Atletas!M12="Tongbeiquan E",163,IF(Atletas!M12="Wudangquan E",164,IF(Atletas!M12="Outros Estilos E",165,IF(Atletas!M12="Chaquan F",166,IF(Atletas!M12="Emeiquan F",167,IF(Atletas!M12="Fanziquan F",168,IF(Atletas!M12="Huaquan F",169,IF(Atletas!M12="Hongquan F",170,IF(Atletas!M12="Paoquan F",171,IF(Atletas!M12="Piguaquan F",172,IF(Atletas!M12="Shaolinquan F",173,IF(Atletas!M12="Tanglangquan F",174,IF(Atletas!M12="Yingzhaoquan F",175,IF(Atletas!M12="Tongbeiquan F",176,IF(Atletas!M12="Wudangquan F",177,IF(Atletas!M12="Outros Estilos F",178,0))))))))))))))))))))))))))))))))))))))))))</f>
        <v/>
      </c>
      <c r="BU16" s="50" t="str">
        <f>IF(Atletas!N12="","",IF(Atletas!X12&lt;&gt;"",10000,0)+(IF(Atletas!B12="Feminino",1000,IF(Atletas!B12="Masculino",2000,""))+(IF(Atletas!N12="Ditangquan A",201,IF(Atletas!N12="Houquan A",202,IF(Atletas!N12="Zuiquan A",203,IF(Atletas!N12="Ditangquan B",204,IF(Atletas!N12="Houquan B",205,IF(Atletas!N12="Zuiquan B",206,IF(Atletas!N12="Ditangquan C",207,IF(Atletas!N12="Houquan C",208,IF(Atletas!N12="Zuiquan C",209,IF(Atletas!N12="Ditangquan D",210,IF(Atletas!N12="Houquan D",211,IF(Atletas!N12="Zuiquan D",212,IF(Atletas!N12="Ditangquan E",213,IF(Atletas!N12="Houquan E",214,IF(Atletas!N12="Zuiquan E",215,IF(Atletas!N12="Ditangquan F",216,IF(Atletas!N12="Houquan F",217,IF(Atletas!N12="Zuiquan F",218,"")))))))))))))))))))))</f>
        <v/>
      </c>
      <c r="BV16" s="50" t="str">
        <f>IF(Atletas!O12="","",IF(Atletas!X12&lt;&gt;"",10000,0)+IF(Atletas!B12="Feminino",1000,IF(Atletas!B12="Masculino",2000,""))+IF(Atletas!O12="Yang A",301,IF(Atletas!O12="Chen A",302,IF(Atletas!O12="Sun A",303,IF(Atletas!O12="Wu A",304,IF(Atletas!O12="Wu-Hao A",305,IF(Atletas!O12="Outro Taijiquan A",306,IF(Atletas!O12="Yang B",307,IF(Atletas!O12="Chen B",308,IF(Atletas!O12="Sun B",309,IF(Atletas!O12="Wu B",310,IF(Atletas!O12="Wu-Hao B",311,IF(Atletas!O12="Outro Taijiquan B",312,IF(Atletas!O12="Yang C",313,IF(Atletas!O12="Chen C",314,IF(Atletas!O12="Sun C",315,IF(Atletas!O12="Wu C",316,IF(Atletas!O12="Wu-Hao C",317,IF(Atletas!O12="Outro Taijiquan C",318,IF(Atletas!O12="Yang D",319,IF(Atletas!O12="Chen D",320,IF(Atletas!O12="Sun D",321,IF(Atletas!O12="Wu D",322,IF(Atletas!O12="Wu-Hao D",323,IF(Atletas!O12="Outro Taijiquan D",324,IF(Atletas!O12="Yang E",325,IF(Atletas!O12="Chen E",326,IF(Atletas!O12="Sun E",327,IF(Atletas!O12="Wu E",328,IF(Atletas!O12="Wu-Hao E",329,IF(Atletas!O12="Outro Taijiquan E",330,IF(Atletas!O12="Yang F",331,IF(Atletas!O12="Chen F",332,IF(Atletas!O12="Sun F",333,IF(Atletas!O12="Wu F",334,IF(Atletas!O12="Wu-Hao F",335,IF(Atletas!O12="Outro Taijiquan F",336,"")))))))))))))))))))))))))))))))))))))</f>
        <v/>
      </c>
      <c r="BW16" s="50" t="str">
        <f>IF(Atletas!P12="","",IF(Atletas!X12&lt;&gt;"",10000,0)+IF(Atletas!B12="Feminino",1000,IF(Atletas!B12="Masculino",2000,""))+IF(OR(Atletas!P12="Yang 26 A",Atletas!P12="Yang 40 A"),401,IF(OR(Atletas!P12="Chen 25 A",Atletas!P12="Chen 36 A",Atletas!P12="Chen 56 A"),402,IF(Atletas!P12="Sun 73 A",403,IF(Atletas!P12="Wu 45 A",404,IF(Atletas!P12="Wu-Hao 46 A",405,IF(OR(Atletas!P12="Taijiquan 16 A",Atletas!P12="Taijiquan 24 A",Atletas!P12="Taijiquan 32 A",Atletas!P12="Taijiquan 42 A"),406,IF(OR(Atletas!P12="Yang 26 B",Atletas!P12="Yang 40 B"),407,IF(OR(Atletas!P12="Chen 25 B",Atletas!P12="Chen 36 B",Atletas!P12="Chen 56 B"),408,IF(Atletas!P12="Sun 73 B",409,IF(Atletas!P12="Wu 45 B",410,IF(Atletas!P12="Wu-Hao 46 B",411,IF(OR(Atletas!P12="Taijiquan 16 B",Atletas!P12="Taijiquan 24 B",Atletas!P12="Taijiquan 32 B",Atletas!P12="Taijiquan 42 B"),412,IF(OR(Atletas!P12="Yang 26 C",Atletas!P12="Yang 40 C"),413,IF(OR(Atletas!P12="Chen 25 C",Atletas!P12="Chen 36 C",Atletas!P12="Chen 56 C"),414,IF(Atletas!P12="Sun 73 C",415,IF(Atletas!P12="Wu 45 C",416,IF(Atletas!P12="Wu-Hao 46 C",417,IF(OR(Atletas!P12="Taijiquan 16 C",Atletas!P12="Taijiquan 24 C",Atletas!P12="Taijiquan 32 C",Atletas!P12="Taijiquan 42 C"),418,0)))))))))))))))))))</f>
        <v/>
      </c>
      <c r="BX16" s="50" t="str">
        <f>IF(Atletas!P12="","",IF(Atletas!X12&lt;&gt;"",10000,0)+IF(Atletas!B12="Feminino",1000,IF(Atletas!B12="Masculino",2000,""))+IF(OR(Atletas!P12="Yang 26 D",Atletas!P12="Yang 40 D"),419,IF(OR(Atletas!P12="Chen 25 D",Atletas!P12="Chen 36 D",Atletas!P12="Chen 56 D"),420,IF(Atletas!P12="Sun 73 D",421,IF(Atletas!P12="Wu 45 D",422,IF(Atletas!P12="Wu-Hao 46 D",423,IF(OR(Atletas!P12="Taijiquan 16 D",Atletas!P12="Taijiquan 24 D",Atletas!P12="Taijiquan 32 D",Atletas!P12="Taijiquan 42 D"),424,IF(OR(Atletas!P12="Yang 26 E",Atletas!P12="Yang 40 E"),425,IF(OR(Atletas!P12="Chen 25 E",Atletas!P12="Chen 36 E",Atletas!P12="Chen 56 E"),426,IF(Atletas!P12="Sun 73 E",427,IF(Atletas!P12="Wu 45 E",428,IF(Atletas!P12="Wu-Hao 46 E",429,IF(OR(Atletas!P12="Taijiquan 16 E",Atletas!P12="Taijiquan 24 E",Atletas!P12="Taijiquan 32 E",Atletas!P12="Taijiquan 42 E"),430,IF(OR(Atletas!P12="Yang 26 F",Atletas!P12="Yang 40 F"),431,IF(OR(Atletas!P12="Chen 25 F",Atletas!P12="Chen 36 F",Atletas!P12="Chen 56 F"),432,IF(Atletas!P12="Sun 73 F",433,IF(Atletas!P12="Wu 45 F",434,IF(Atletas!P12="Wu-Hao 46 F",435,IF(OR(Atletas!P12="Taijiquan 16 F",Atletas!P12="Taijiquan 24 F",Atletas!P12="Taijiquan 32 F",Atletas!P12="Taijiquan 42 F"),436,0)))))))))))))))))))</f>
        <v/>
      </c>
      <c r="BY16" s="50" t="str">
        <f>IF(Atletas!Q12="","",IF(Atletas!X12&lt;&gt;"",10000,0)+IF(Atletas!B12="Feminino",1000,IF(Atletas!B12="Masculino",2000,""))+IF(Atletas!Q12="Xingyiquan A",501,IF(Atletas!Q12="Baguazhang A",502,IF(Atletas!Q12="Outro Estilo Interno A",503,IF(Atletas!Q12="Xingyiquan B",504,IF(Atletas!Q12="Baguazhang B",505,IF(Atletas!Q12="Outro Estilo Interno B",506,IF(Atletas!Q12="Xingyiquan C",507,IF(Atletas!Q12="Baguazhang C",508,IF(Atletas!Q12="Outro Estilo Interno C",509,IF(Atletas!Q12="Xingyiquan D",510,IF(Atletas!Q12="Baguazhang D",511,IF(Atletas!Q12="Outro Estilo Interno D",512,IF(Atletas!Q12="Xingyiquan E",513,IF(Atletas!Q12="Baguazhang E",514,IF(Atletas!Q12="Outro Estilo Interno E",515,IF(Atletas!Q12="Xingyiquan F",516,IF(Atletas!Q12="Baguazhang F",517,IF(Atletas!Q12="Outro Estilo Interno F",518, "")))))))))))))))))))</f>
        <v/>
      </c>
      <c r="BZ16" s="50" t="str">
        <f>IF(Atletas!R12="","",IF(Atletas!X12&lt;&gt;"",10000,0)+IF(Atletas!B12="Feminino",1000,IF(Atletas!B12="Masculino",2000,""))+IF(Atletas!R12="Dao A",601,IF(Atletas!R12="Jian A",602,IF(Atletas!R12="Bishou A",603,IF(Atletas!R12="Shanzi A",604,IF(Atletas!R12="Outra Arma Curta A",605,IF(Atletas!R12="Dao B",606,IF(Atletas!R12="Jian B",607,IF(Atletas!R12="Bishou B",608,IF(Atletas!R12="Shanzi B",609,IF(Atletas!R12="Outra Arma Curta B",610,IF(Atletas!R12="Dao C",611,IF(Atletas!R12="Jian C",612,IF(Atletas!R12="Bishou C",613,IF(Atletas!R12="Shanzi C",614,IF(Atletas!R12="Outra Arma Curta C",615,IF(Atletas!R12="Dao D",616,IF(Atletas!R12="Jian D",617,IF(Atletas!R12="Bishou D",618,IF(Atletas!R12="Shanzi D",619,IF(Atletas!R12="Outra Arma Curta D",620,IF(Atletas!R12="Dao E",621,IF(Atletas!R12="Jian E",622,IF(Atletas!R12="Bishou E",623,IF(Atletas!R12="Shanzi E",624,IF(Atletas!R12="Outra Arma Curta E",625,IF(Atletas!R12="Dao F",626,IF(Atletas!R12="Jian F",627,IF(Atletas!R12="Bishou F",628,IF(Atletas!R12="Shanzi F",629,IF(Atletas!R12="Outra Arma Curta F",630, "")))))))))))))))))))))))))))))))</f>
        <v/>
      </c>
      <c r="CA16" s="50" t="str">
        <f>IF(Atletas!S12="","",IF(Atletas!X12&lt;&gt;"",10000,0)+IF(Atletas!B12="Feminino",1000,IF(Atletas!B12="Masculino",2000,""))+IF(Atletas!S12="Gun A",701,IF(Atletas!S12="Qiang A",702,IF(Atletas!S12="Pudao / Guandao A",703,IF(Atletas!S12="Outra Arma Longa A",704,IF(Atletas!S12="Gun B",705,IF(Atletas!S12="Qiang B",706,IF(Atletas!S12="Pudao / Guandao B",707,IF(Atletas!S12="Outra Arma Longa B",708,IF(Atletas!S12="Gun C",709,IF(Atletas!S12="Qiang C",710,IF(Atletas!S12="Pudao / Guandao C",711,IF(Atletas!S12="Outra Arma Longa C",712,IF(Atletas!S12="Gun D",713,IF(Atletas!S12="Qiang D",714,IF(Atletas!S12="Pudao / Guandao D",715,IF(Atletas!S12="Outra Arma Longa D",716,IF(Atletas!S12="Gun E",717,IF(Atletas!S12="Qiang E",718,IF(Atletas!S12="Pudao / Guandao E",719,IF(Atletas!S12="Outra Arma Longa E",720,IF(Atletas!S12="Gun F",721,IF(Atletas!S12="Qiang F",722,IF(Atletas!S12="Pudao / Guandao F",723,IF(Atletas!S12="Outra Arma Longa F",724,"")))))))))))))))))))))))))</f>
        <v/>
      </c>
      <c r="CB16" s="50" t="str">
        <f>IF(Atletas!T12="","",IF(Atletas!X12&lt;&gt;"",10000,0)+IF(Atletas!B12="Feminino",1000,IF(Atletas!B12="Masculino",2000,""))+IF(Atletas!T12="Outra Arma Dupla A",801,IF(Atletas!T12="Arma Maleável A",802,IF(Atletas!T12="Outra Arma Dupla B",803,IF(Atletas!T12="Arma Maleável B",804,IF(Atletas!T12="Outra Arma Dupla C",805,IF(Atletas!T12="Arma Maleável C",806,IF(Atletas!T12="Outra Arma Dupla D",807,IF(Atletas!T12="Arma Maleável D",808,IF(Atletas!T12="Outra Arma Dupla E",809,IF(Atletas!T12="Arma Maleável E",810,IF(Atletas!T12="Outra Arma Dupla F",811,IF(Atletas!T12="Arma Maleável F",812,IF(Atletas!T12="Shuangdao A",813,IF(Atletas!T12="Shuangdao B",814,IF(Atletas!T12="Shuangdao C",815,IF(Atletas!T12="Shuangdao D",816,IF(Atletas!T12="Shuangdao E",817,IF(Atletas!T12="Shuangdao F",818,"")))))))))))))))))))</f>
        <v/>
      </c>
      <c r="CC16" s="50" t="str">
        <f>IF(Atletas!U12="","",IF(Atletas!X12&lt;&gt;"",10000,0)+IF(Atletas!B12="Feminino",1000,IF(Atletas!B12="Masculino",2000,""))+IF(OR(Atletas!U12="Taijijian Yang A",Atletas!U12="Taijijian Yang Standard A"),901,IF(OR(Atletas!U12="Taijijian Chen A", Atletas!U12="Taijijian Chen Standard A"),902,IF(Atletas!U12="Taijijian Sun A",903,IF(Atletas!U12="Taijijian Wu A",904,IF(Atletas!U12="Taijijian Wu-Hao A",905,IF(OR(Atletas!U12="Taijijian 32 A",Atletas!U12="Taijijian 42 A"),906,IF(OR(Atletas!U12="Taijijian Yang B",Atletas!U12="Taijijian Yang Standard B"),907,IF(OR(Atletas!U12="Taijijian Chen B", Atletas!U12="Taijijian Chen Standard B"),908,IF(Atletas!U12="Taijijian Sun B",909,IF(Atletas!U12="Taijijian Wu B",910,IF(Atletas!U12="Taijijian Wu-Hao B",911,IF(OR(Atletas!U12="Taijijian 32 B",Atletas!U12="Taijijian 42 B"),912,IF(OR(Atletas!U12="Taijijian Yang C",Atletas!U12="Taijijian Yang Standard C"),913,IF(OR(Atletas!U12="Taijijian Chen C", Atletas!U12="Taijijian Chen Standard C"),914,IF(Atletas!U12="Taijijian Sun C",915,IF(Atletas!U12="Taijijian Wu C",916,IF(Atletas!U12="Taijijian Wu-Hao C",917,IF(OR(Atletas!U12="Taijijian 32 C",Atletas!U12="Taijijian 42 C"),918,IF(OR(Atletas!U12="Taijijian Yang D",Atletas!U12="Taijijian Yang Standard D"),919,IF(OR(Atletas!U12="Taijijian Chen D", Atletas!U12="Taijijian Chen Standard D"),920,IF(Atletas!U12="Taijijian Sun D",921,IF(Atletas!U12="Taijijian Wu D",922,IF(Atletas!U12="Taijijian Wu-Hao D",923,IF(OR(Atletas!U12="Taijijian 32 D",Atletas!U12="Taijijian 42 D"),924,IF(OR(Atletas!U12="Taijijian Yang E",Atletas!U12="Taijijian Yang Standard E"),925,IF(OR(Atletas!U12="Taijijian Chen E", Atletas!U12="Taijijian Chen Standard E"),926,IF(Atletas!U12="Taijijian Sun E",927,IF(Atletas!U12="Taijijian Wu E",928,IF(Atletas!U12="Taijijian Wu-Hao E",929,IF(OR(Atletas!U12="Taijijian 32 E",Atletas!U12="Taijijian 42 E"),930,IF(OR(Atletas!U12="Taijijian Yang F",Atletas!U12="Taijijian Yang Standard F"),931,IF(OR(Atletas!U12="Taijijian Chen F", Atletas!U12="Taijijian Chen Standard F"),932,IF(Atletas!U12="Taijijian Sun F",933,IF(Atletas!U12="Taijijian Wu F",934,IF(Atletas!U12="Taijijian Wu-Hao F",935,IF(OR(Atletas!U12="Taijijian 32 F",Atletas!U12="Taijijian 42 F"),936,"")))))))))))))))))))))))))))))))))))))</f>
        <v/>
      </c>
      <c r="CD16" s="50" t="str">
        <f>IF(Atletas!V12="","",IF(Atletas!X12&lt;&gt;"",10000,0)+IF(Atletas!B12="Feminino",1000,IF(Atletas!B12="Masculino",2000,""))+IF(Atletas!V12="Taijidao A",937,IF(Atletas!V12="TaijiShanzi A",938,IF(Atletas!V12="Taijiqiang A",939,IF(Atletas!V12="Bagua de Arma A",940,IF(Atletas!V12="Xingyi de Arma A",941,IF(Atletas!V12="Taijidao B",942,IF(Atletas!V12="TaijiShanzi B",943,IF(Atletas!V12="Taijiqiang B",944,IF(Atletas!V12="Bagua de Arma B",945,IF(Atletas!V12="Xingyi de Arma B",946,IF(Atletas!V12="Taijidao C",947,IF(Atletas!V12="TaijiShanzi C",948,IF(Atletas!V12="Taijiqiang C",949,IF(Atletas!V12="Bagua de Arma C",950,IF(Atletas!V12="Xingyi de Arma C",951,IF(Atletas!V12="Taijidao D",952,IF(Atletas!V12="TaijiShanzi D",953,IF(Atletas!V12="Taijiqiang D",954,IF(Atletas!V12="Bagua de Arma D",955,IF(Atletas!V12="Xingyi de Arma D",956,IF(Atletas!V12="Taijidao E",957,IF(Atletas!V12="TaijiShanzi E",958,IF(Atletas!V12="Taijiqiang E",959,IF(Atletas!V12="Bagua de Arma E",960,IF(Atletas!V12="Xingyi de Arma E",961,IF(Atletas!V12="Taijidao F",962,IF(Atletas!V12="TaijiShanzi F",963,IF(Atletas!V12="Taijiqiang F",964,IF(Atletas!V12="Bagua de Arma F",965,IF(Atletas!V12="Xingyi de Arma F",966,"")))))))))))))))))))))))))))))))</f>
        <v/>
      </c>
      <c r="CE16" s="66" t="str">
        <f>IF(CF16&lt;&gt;"","Wuzuquan B","")</f>
        <v/>
      </c>
      <c r="CF16" s="66" t="str">
        <f>IF(COUNTIF(BR:CD,1008)&gt;0,COUNTIF(BR:CD,1008),"")</f>
        <v/>
      </c>
      <c r="CG16" s="66" t="str">
        <f>IF(CH16&lt;&gt;"","Wuzuquan B","")</f>
        <v/>
      </c>
      <c r="CH16" s="66" t="str">
        <f>IF(COUNTIF(BR:CD,2008)&gt;0,COUNTIF(BR:CD,2008),"")</f>
        <v/>
      </c>
      <c r="CI16" s="66" t="str">
        <f>IF(CJ16&lt;&gt;"","Outra Mão de Sul B","")</f>
        <v/>
      </c>
      <c r="CJ16" s="66" t="str">
        <f>IF(COUNTIF(BR:CD,11010)&gt;0,COUNTIF(BR:CD,11010),"")</f>
        <v/>
      </c>
      <c r="CK16" s="66" t="str">
        <f>IF(CL16&lt;&gt;"","Outra Mão de Sul B","")</f>
        <v/>
      </c>
      <c r="CL16" s="66" t="str">
        <f>IF(COUNTIF(BR:CD,12010)&gt;0,COUNTIF(BR:CD,12010),"")</f>
        <v/>
      </c>
      <c r="CM16" s="50" t="str">
        <f xml:space="preserve"> IF(Atletas!W12="","",IF(Atletas!W12="Duilian de Mãos BC - Equipe 1",1,IF(Atletas!W12="Duilian de Mãos BC - Equipe 2",2,IF(Atletas!W12="Duilian de Armas BC - Equipe 1",3,IF(Atletas!W12="Duilian de Armas BC - Equipe 2",4,IF(Atletas!W12="Duilian de Mãos DE - Equipe 1",5,IF(Atletas!W12="Duilian de Mãos DE - Equipe 2",6,IF(Atletas!W12="Duilian de Armas DE - Equipe 1",7,IF(Atletas!W12="Duilian de Armas DE - Equipe 2",8,IF(Atletas!W12="Duilian de Tuishou - Equipe 1",9,IF(Atletas!W12="Duilian de Tuishou - Equipe 2",10,IF(Atletas!W12="Grupo Externo ABC - Equipe 1",11,IF(Atletas!W12="Grupo Externo ABC - Equipe 2",12,IF(Atletas!W12="Grupo Interno ABC - Equipe 1",13,IF(Atletas!W12="Grupo Interno ABC - Equipe 2",14,IF(Atletas!W12="Grupo Externo DEF - Equipe 1",15,IF(Atletas!W12="Grupo Externo DEF - Equipe 2",16,IF(Atletas!W12="Grupo Interno DEF - Equipe 1",17,IF(Atletas!W12="Grupo Interno DEF - Equipe 2",18,"")))))))))))))))))))</f>
        <v/>
      </c>
      <c r="CP16" s="69"/>
      <c r="CQ16" s="68"/>
      <c r="CR16" s="67"/>
      <c r="CS16" s="68"/>
      <c r="CY16" s="41"/>
    </row>
    <row r="17" spans="1:103">
      <c r="B17" s="3" t="str">
        <f t="array" ref="B17">IFERROR(INDEX(AO$7:AO$38,SMALL(IF(AO$7:AO$38&lt;&gt;"",ROW(AO$7:AO$38)-ROW(AO$7)+1),ROWS(AO$7:AO16))),"")</f>
        <v/>
      </c>
      <c r="C17" s="3" t="str">
        <f t="array" ref="C17">IFERROR(INDEX(AP$7:AP$38,SMALL(IF(AP$7:AP$38&lt;&gt;"",ROW(AP$7:AP$38)-ROW(AP$7)+1),ROWS(AP$7:AP16))),"")</f>
        <v/>
      </c>
      <c r="D17" s="3" t="str">
        <f t="array" ref="D17">IFERROR(INDEX(AQ$7:AQ$38,SMALL(IF(AQ$7:AQ$38&lt;&gt;"",ROW(AQ$7:AQ$38)-ROW(AQ$7)+1),ROWS(AQ$7:AQ16))),"")</f>
        <v/>
      </c>
      <c r="E17" s="3" t="str">
        <f t="array" ref="E17">IFERROR(INDEX(AR$7:AR$38,SMALL(IF(AR$7:AR$38&lt;&gt;"",ROW(AR$7:AR$38)-ROW(AR$7)+1),ROWS(AR$7:AR16))),"")</f>
        <v/>
      </c>
      <c r="F17" s="3" t="str">
        <f t="array" ref="F17">IFERROR(INDEX(AT$7:AT$36,SMALL(IF(AT$7:AT$36&lt;&gt;"",ROW(AT$7:AT$36)-ROW(AT$7)+1),ROWS(AT$7:AT16))),"")</f>
        <v/>
      </c>
      <c r="G17" s="3" t="str">
        <f t="array" ref="G17">IFERROR(INDEX(AU$7:AU$36,SMALL(IF(AU$7:AU$36&lt;&gt;"",ROW(AU$7:AU$36)-ROW(AU$7)+1),ROWS(AU$7:AU16))),"")</f>
        <v/>
      </c>
      <c r="H17" s="3" t="str">
        <f t="array" ref="H17">IFERROR(INDEX(AV$7:AV$36,SMALL(IF(AV$7:AV$36&lt;&gt;"",ROW(AV$7:AV$36)-ROW(AV$7)+1),ROWS(AV$7:AV16))),"")</f>
        <v/>
      </c>
      <c r="I17" s="3" t="str">
        <f t="array" ref="I17">IFERROR(INDEX(AW$7:AW$36,SMALL(IF(AW$7:AW$36&lt;&gt;"",ROW(AW$7:AW$36)-ROW(AW$7)+1),ROWS(AW$7:AW16))),"")</f>
        <v/>
      </c>
      <c r="J17" s="3" t="str">
        <f t="array" ref="J17">IFERROR(INDEX(AY$7:AY$36,SMALL(IF(AY$7:AY$36&lt;&gt;"",ROW(AY$7:AY$36)-ROW(AY$7)+1),ROWS(AY$7:AY16))),"")</f>
        <v/>
      </c>
      <c r="K17" s="3" t="str">
        <f t="array" ref="K17">IFERROR(INDEX(AZ$7:AZ$36,SMALL(IF(AZ$7:AZ$36&lt;&gt;"",ROW(AZ$7:AZ$36)-ROW(AZ$7)+1),ROWS(AZ$7:AZ16))),"")</f>
        <v/>
      </c>
      <c r="L17" s="3" t="str">
        <f t="array" ref="L17">IFERROR(INDEX(BA$7:BA$36,SMALL(IF(BA$7:BA$36&lt;&gt;"",ROW(BA$7:BA$36)-ROW(BA$7)+1),ROWS(BA$7:BA16))),"")</f>
        <v/>
      </c>
      <c r="M17" s="3" t="str">
        <f t="array" ref="M17">IFERROR(INDEX(BB$7:BB$36,SMALL(IF(BB$7:BB$36&lt;&gt;"",ROW(BB$7:BB$36)-ROW(BB$7)+1),ROWS(BB$7:BB16))),"")</f>
        <v/>
      </c>
      <c r="N17" s="3" t="str" cm="1">
        <f t="array" ref="N17">IFERROR(INDEX(BD$7:BD$8,SMALL(IF(BD$7:BD$8&lt;&gt;"",ROW(BD$7:BD$8)-ROW(BD$7)+1),ROWS(BD$7:BD16))),"")</f>
        <v/>
      </c>
      <c r="O17" s="3" t="str" cm="1">
        <f t="array" ref="O17">IFERROR(INDEX(BE$7:BE$8,SMALL(IF(BE$7:BE$8&lt;&gt;"",ROW(BE$7:BE$8)-ROW(BE$7)+1),ROWS(BE$7:BE16))),"")</f>
        <v/>
      </c>
      <c r="P17" s="3" t="str" cm="1">
        <f t="array" ref="P17">IFERROR(INDEX(BD$9:BD$10,SMALL(IF(BD$9:BD$10&lt;&gt;"",ROW(BD$9:BD$10)-ROW(BD$9)+1),ROWS(BD$9:BD18))),"")</f>
        <v/>
      </c>
      <c r="Q17" s="3" t="str">
        <f t="array" ref="Q17">IFERROR(INDEX(BH$7:BH$36,SMALL(IF(BH$7:BH$36&lt;&gt;"",ROW(BH$7:BH$36)-ROW(BH$7)+1),ROWS(BH$7:BH16))),"")</f>
        <v/>
      </c>
      <c r="R17" s="3" t="str">
        <f t="array" ref="R17">IFERROR(INDEX(BI$7:BI$68,SMALL(IF(BI$7:BI$68&lt;&gt;"",ROW(BI$7:BI$68)-ROW(BI$7)+1),ROWS(BI$7:BI16))),"")</f>
        <v/>
      </c>
      <c r="S17" s="3" t="str">
        <f t="array" ref="S17">IFERROR(INDEX(BJ$7:BJ$68,SMALL(IF(BJ$7:BJ$68&lt;&gt;"",ROW(BJ$7:BJ$68)-ROW(BJ$7)+1),ROWS(BJ$7:BJ16))),"")</f>
        <v/>
      </c>
      <c r="T17" s="3" t="str">
        <f t="array" ref="T17">IFERROR(INDEX(BK$7:BK$68,SMALL(IF(BK$7:BK$68&lt;&gt;"",ROW(BK$7:BK$68)-ROW(BK$7)+1),ROWS(BK$7:BK16))),"")</f>
        <v/>
      </c>
      <c r="U17" s="3" t="str">
        <f t="array" ref="U17">IFERROR(INDEX(BL$7:BL$68,SMALL(IF(BL$7:BL$68&lt;&gt;"",ROW(BL$7:BL$68)-ROW(BL$7)+1),ROWS(BL$7:BL16))),"")</f>
        <v/>
      </c>
      <c r="V17" s="20"/>
      <c r="W17" s="20"/>
      <c r="X17" s="20"/>
      <c r="Y17" s="20"/>
      <c r="Z17" s="3" t="str">
        <f t="array" ref="Z17">IFERROR(INDEX(CE$7:CE$348,SMALL(IF(CE$7:CE$348&lt;&gt;"",ROW(CE$7:CE$348)-ROW(CE$7)+1),ROWS(CE$7:CE16))),"")</f>
        <v/>
      </c>
      <c r="AA17" s="3" t="str">
        <f t="array" ref="AA17">IFERROR(INDEX(CF$7:CF$348,SMALL(IF(CF$7:CF$348&lt;&gt;"",ROW(CF$7:CF$348)-ROW(CF$7)+1),ROWS(CF$7:CF16))),"")</f>
        <v/>
      </c>
      <c r="AB17" s="3" t="str">
        <f t="array" ref="AB17">IFERROR(INDEX(CG$7:CG$348,SMALL(IF(CG$7:CG$348&lt;&gt;"",ROW(CG$7:CG$348)-ROW(CG$7)+1),ROWS(CG$7:CG16))),"")</f>
        <v/>
      </c>
      <c r="AC17" s="3" t="str">
        <f t="array" ref="AC17">IFERROR(INDEX(CH$7:CH$348,SMALL(IF(CH$7:CH$348&lt;&gt;"",ROW(CH$7:CH$348)-ROW(CH$7)+1),ROWS(CH$7:CH16))),"")</f>
        <v/>
      </c>
      <c r="AD17" s="3" t="str">
        <f t="array" ref="AD17">IFERROR(INDEX(CI$7:CI$377,SMALL(IF(CI$7:CI$377&lt;&gt;"",ROW(CI$7:CI$377)-ROW(CI$7)+1),ROWS(CI$7:CI16))),"")</f>
        <v/>
      </c>
      <c r="AE17" s="3" t="str">
        <f t="array" ref="AE17">IFERROR(INDEX(CJ$7:CJ$378,SMALL(IF(CJ$7:CJ$378&lt;&gt;"",ROW(CJ$7:CJ$378)-ROW(CJ$7)+1),ROWS(CJ$7:CJ16))),"")</f>
        <v/>
      </c>
      <c r="AF17" s="3" t="str">
        <f t="array" ref="AF17">IFERROR(INDEX(CK$7:CK$378,SMALL(IF(CK$7:CK$378&lt;&gt;"",ROW(CK$7:CK$378)-ROW(CK$7)+1),ROWS(CK$7:CK16))),"")</f>
        <v/>
      </c>
      <c r="AG17" s="3" t="str">
        <f t="array" ref="AG17">IFERROR(INDEX(CL$7:CL$378,SMALL(IF(CL$7:CL$378&lt;&gt;"",ROW(CL$7:CL$378)-ROW(CL$7)+1),ROWS(CL$7:CL16))),"")</f>
        <v/>
      </c>
      <c r="AH17" s="40" t="str">
        <f t="array" ref="AH17">IFERROR(INDEX(CN$7:CN$18,SMALL(IF(CN$7:CN$18&lt;&gt;"",ROW(CN$7:CN$18)-ROW(CN$7)+1),ROWS(CN$7:CN16))),"")</f>
        <v/>
      </c>
      <c r="AI17" s="40" t="str">
        <f t="array" ref="AI17">IFERROR(INDEX(CO$7:CO$18,SMALL(IF(CO$7:CO$18&lt;&gt;"",ROW(CO$7:CO$18)-ROW(CO$7)+1),ROWS(CO$7:CO16))),"")</f>
        <v/>
      </c>
      <c r="AJ17" s="40"/>
      <c r="AK17" s="40"/>
      <c r="AL17" s="40" t="str">
        <f t="array" ref="AL17">IFERROR(INDEX(CR$7:CR$14,SMALL(IF(CR$7:CR$14&lt;&gt;"",ROW(CR$7:CR$14)-ROW(CR$7)+1),ROWS(CR$7:CR16))),"")</f>
        <v/>
      </c>
      <c r="AM17" s="40"/>
      <c r="AN17" s="52" t="e">
        <f>IF(Atletas!#REF!="","",IF(Atletas!#REF!="Feminino",100,IF(Atletas!#REF!="Masculino",200,""))+(IF(Atletas!#REF!="Kids 30kg",1,IF(Atletas!#REF!="Kids 32kg",2, IF(Atletas!#REF!="Kids 34kg",3,IF(Atletas!#REF!="Kids 36kg",4,IF(Atletas!#REF!="Kids 39kg",5,IF(Atletas!#REF!="Kids 42kg",6,IF(Atletas!#REF!="Kids 45kg",7, IF(Atletas!#REF!="Infantil 39kg",8,IF(Atletas!#REF!="Infantil 42kg",9,IF(Atletas!#REF!="Infantil 45kg",10,IF(Atletas!#REF!="Infantil 48kg",11,IF(Atletas!#REF!="Infantil 52kg",12,IF(Atletas!#REF!="Infantil 56kg",13,IF(Atletas!#REF!="Infantil 60kg",14,IF(Atletas!#REF!="Juvenil 48kg",15,IF(Atletas!#REF!="Juvenil 52kg",16,IF(Atletas!#REF!="Juvenil 56kg",17,IF(Atletas!#REF!="Juvenil 60kg",18,IF(Atletas!#REF!="Juvenil 65kg",19,IF(Atletas!#REF!="Juvenil 70kg",20,IF(Atletas!#REF!="Juvenil 75kg",21,IF(Atletas!#REF!="Juvenil 80kg",22, IF(Atletas!#REF!="Juvenil 85kg",23,IF(Atletas!#REF!="Adulto 48kg",24,IF(Atletas!#REF!="Adulto 52kg",25,IF(Atletas!#REF!="Adulto 56kg",26,IF(Atletas!#REF!="Adulto 60kg",27,IF(Atletas!#REF!="Adulto 65kg",28,IF(Atletas!#REF!="Adulto 70kg",29,IF(Atletas!#REF!="Adulto 75kg",30,IF(Atletas!#REF!="Adulto 80kg",31,IF(Atletas!#REF!="Adulto 85kg",32,IF(Atletas!#REF!="Adulto 90kg",33,IF(Atletas!#REF!="Adulto 100kg",34, IF(Atletas!#REF!="Adulto +100kg",35,"")))))))))))))))))))))))))))))))))))))</f>
        <v>#REF!</v>
      </c>
      <c r="AO17" s="50" t="str">
        <f>IF(AP17&lt;&gt;"","Juvenil 52kg","")</f>
        <v/>
      </c>
      <c r="AP17" s="6" t="str">
        <f>IF(COUNTIF(AN:AN,116)&gt;0,COUNTIF(AN:AN,116),"")</f>
        <v/>
      </c>
      <c r="AQ17" s="50" t="str">
        <f>IF(AR17&lt;&gt;"","Infantil 48kg","")</f>
        <v/>
      </c>
      <c r="AR17" s="6" t="str">
        <f>IF(COUNTIF(AN:AN,211)&gt;0,COUNTIF(AN:AN,211),"")</f>
        <v/>
      </c>
      <c r="AS17" s="6" t="e">
        <f>IF(Atletas!#REF!="","",IF(Atletas!#REF!="Feminino",100,IF(Atletas!#REF!="Masculino",200,""))+(IF(Atletas!#REF!="Juvenil 44kg",1,IF(Atletas!#REF!="Juvenil 48kg",2,IF(Atletas!#REF!="Juvenil 52kg",3,IF(Atletas!#REF!="Juvenil 56kg",4,IF(Atletas!#REF!="Juvenil 60kg",5,IF(Atletas!#REF!="Juvenil 65kg",6,IF(Atletas!#REF!="Juvenil 70kg",7,IF(Atletas!#REF!="Juvenil 75kg",8,IF(Atletas!#REF!="Juvenil 82kg",9,IF(Atletas!#REF!="Juvenil 90kg",10,IF(Atletas!#REF!="Juvenil 100kg",11,IF(Atletas!#REF!="Adulto 48kg",12,IF(Atletas!#REF!="Adulto 52kg",13,IF(Atletas!#REF!="Adulto 56kg",14,IF(Atletas!#REF!="Adulto 60kg",15,IF(Atletas!#REF!="Adulto 65kg",16,IF(Atletas!#REF!="Adulto 70kg",17,IF(Atletas!#REF!="Adulto 75kg",18,IF(Atletas!#REF!="Adulto 82kg",19,IF(Atletas!#REF!="Adulto 90kg",20,IF(Atletas!#REF!="Adulto 100kg",21,IF(Atletas!#REF!="Adulto +100kg",22,""))))))))))))))))))))))))</f>
        <v>#REF!</v>
      </c>
      <c r="AT17" s="50" t="str">
        <f>IF(AU17&lt;&gt;"","Adulto 56kg","")</f>
        <v/>
      </c>
      <c r="AU17" s="6" t="str">
        <f>IF(COUNTIF(AS:AS,114)&gt;0,COUNTIF(AS:AS,114),"")</f>
        <v/>
      </c>
      <c r="AV17" s="50" t="str">
        <f>IF(AW17&lt;&gt;"","Adulto 52kg","")</f>
        <v/>
      </c>
      <c r="AW17" s="6" t="str">
        <f>IF(COUNTIF(AS:AS,213)&gt;0,COUNTIF(AS:AS,213),"")</f>
        <v/>
      </c>
      <c r="AX17" s="6" t="e">
        <f>IF(Atletas!#REF!="","",IF(Atletas!#REF!="Feminino",100,IF(Atletas!#REF!="Masculino",200,""))+(IF(Atletas!#REF!="Adulto 48kg",1,IF(Atletas!#REF!="Adulto 56kg",2,IF(Atletas!#REF!="Adulto 65kg",3,IF(Atletas!#REF!="Adulto 75kg",4,IF(Atletas!#REF!="Adulto +75kg",5,IF(Atletas!#REF!="Adulto 52kg",6,IF(Atletas!#REF!="Adulto 60kg",7,IF(Atletas!#REF!="Adulto 70kg",8,IF(Atletas!#REF!="Adulto 80kg",9,IF(Atletas!#REF!="Adulto 90kg",10,IF(Atletas!#REF!="Adulto +90kg",11,"")))))))))))))</f>
        <v>#REF!</v>
      </c>
      <c r="BC17" s="6" t="e">
        <f>IF(Atletas!#REF!="","",IF(Atletas!#REF!="Feminino",10,IF(Atletas!#REF!="Masculino",20,""))+(IF(Atletas!#REF!="Baduanjin A",1,IF(Atletas!#REF!="Baduanjin B",2))))</f>
        <v>#REF!</v>
      </c>
      <c r="BF17" s="52" t="e">
        <f>IF(Atletas!#REF!="","",IF(Atletas!#REF!="Feminino",100,IF(Atletas!#REF!="Masculino",200,""))+(IF(Atletas!#REF!="Changquan Mirim",1,IF(Atletas!#REF!="Nanquan Mirim",2,IF(Atletas!#REF!="Taijiquan Mirim",3,IF(Atletas!#REF!="Changquan Grupo C",4,IF(Atletas!#REF!="Nanquan Grupo C",5,IF(Atletas!#REF!="Taijiquan Grupo C",6,IF(Atletas!#REF!="Changquan Grupo B",7,IF(Atletas!#REF!="Nanquan Grupo B",8,IF(Atletas!#REF!="Taijiquan Grupo B",9,IF(Atletas!#REF!="Changquan Grupo A",10,IF(Atletas!#REF!="Nanquan Grupo A",11,IF(Atletas!#REF!="Taijiquan Grupo A",12,IF(Atletas!#REF!="Changquan Opcional",13,IF(Atletas!#REF!="Nanquan Opcional",14,IF(Atletas!#REF!="Taijiquan Opcional",15,IF(Atletas!#REF!="Changquan Adulto",16,IF(Atletas!#REF!="Nanquan Adulto",17,IF(Atletas!#REF!="Taijiquan Adulto",18,""))))))))))))))))))))</f>
        <v>#REF!</v>
      </c>
      <c r="BG17" s="52" t="e">
        <f>IF(Atletas!#REF!="","",IF(Atletas!#REF!="Feminino",100,IF(Atletas!#REF!="Masculino",200,""))+(IF(Atletas!#REF!="Daoshu Mirim",19,IF(Atletas!#REF!="Jianshu Mirim",20,IF(Atletas!#REF!="Nandao Mirim",21,IF(Atletas!#REF!="Taijijian Mirim",22,IF(Atletas!#REF!="Daoshu Grupo C",23,IF(Atletas!#REF!="Jianshu Grupo C",24,IF(Atletas!#REF!="Nandao Grupo C",25,IF(Atletas!#REF!="Taijijian Grupo C",26,IF(Atletas!#REF!="Daoshu Grupo B",27,IF(Atletas!#REF!="Jianshu Grupo B",28,IF(Atletas!#REF!="Nandao Grupo B",29,IF(Atletas!#REF!="Taijijian Grupo B",30,IF(Atletas!#REF!="Daoshu Grupo A",31,IF(Atletas!#REF!="Jianshu Grupo A",32,IF(Atletas!#REF!="Nandao Grupo A",33,IF(Atletas!#REF!="Taijijian Grupo A",34,IF(Atletas!#REF!="Daoshu Opcional",35,IF(Atletas!#REF!="Jianshu Opcional",36,IF(Atletas!#REF!="Nandao Opcional",37,IF(Atletas!#REF!="Taijijian Opcional",38,IF(Atletas!#REF!="Daoshu Adulto",39,IF(Atletas!#REF!="Jianshu Adulto",40,IF(Atletas!#REF!="Nandao Adulto",41,IF(Atletas!#REF!="Taijijian Adulto",42,""))))))))))))))))))))))))))</f>
        <v>#REF!</v>
      </c>
      <c r="BH17" s="52" t="e">
        <f>IF(Atletas!#REF!="","",IF(Atletas!#REF!="Feminino",100,IF(Atletas!#REF!="Masculino",200,""))+(IF(Atletas!#REF!="Gunshu Mirim",43,IF(Atletas!#REF!="Qiangshu Mirim",44,IF(Atletas!#REF!="Nangun Mirim",45,IF(Atletas!#REF!="Gunshu Grupo C",46,IF(Atletas!#REF!="Qiangshu Grupo C",47,IF(Atletas!#REF!="Nangun Grupo C",48,IF(Atletas!#REF!="Gunshu Grupo B",49,IF(Atletas!#REF!="Qiangshu Grupo B",50,IF(Atletas!#REF!="Nangun Grupo B",51,IF(Atletas!#REF!="Gunshu Grupo A",52,IF(Atletas!#REF!="Qiangshu Grupo A",53,IF(Atletas!#REF!="Nangun Grupo A",54,IF(Atletas!#REF!="Gunshu Opcional",55,IF(Atletas!#REF!="Qiangshu Opcional",56,IF(Atletas!#REF!="Nangun Opcional",57,IF(Atletas!#REF!="Gunshu Adulto",58,IF(Atletas!#REF!="Qiangshu Adulto",59,IF(Atletas!#REF!="Nangun Adulto",60,IF(Atletas!#REF!="Taijishan Grupo B",61,IF(Atletas!#REF!="Taijishan Grupo A",62,""))))))))))))))))))))))</f>
        <v>#REF!</v>
      </c>
      <c r="BI17" s="52" t="str">
        <f>IF(BJ17&lt;&gt;"","Changquan Grupo C","")</f>
        <v/>
      </c>
      <c r="BJ17" s="50" t="str">
        <f>IF(COUNTIF(BF:BH,104)&gt;0,COUNTIF(BF:BH,104),"")</f>
        <v/>
      </c>
      <c r="BK17" s="52" t="str">
        <f>IF(BL17&lt;&gt;"","Changquan Grupo C","")</f>
        <v/>
      </c>
      <c r="BL17" s="50" t="str">
        <f>IF(COUNTIF(BF:BH,204)&gt;0,COUNTIF(BF:BH,204),"")</f>
        <v/>
      </c>
      <c r="BM17" s="50" t="e">
        <f>IF(Atletas!#REF!="","",IF(Atletas!#REF!="Feminino",100,IF(Atletas!#REF!="Masculino",200,""))+(IF(Atletas!#REF!="Equipe 1 Grupo B",1,IF(Atletas!#REF!="Equipe 2 Grupo B",2,IF(Atletas!#REF!="Equipe 1 Grupo A",3,IF(Atletas!#REF!="Equipe 2 Grupo A",4,IF(Atletas!#REF!="Equipe 1 Adulto",5,IF(Atletas!#REF!="Equipe 2 Adulto",6,""))))))))</f>
        <v>#REF!</v>
      </c>
      <c r="BN17" s="57"/>
      <c r="BO17" s="57"/>
      <c r="BP17" s="57"/>
      <c r="BQ17" s="55"/>
      <c r="BR17" s="50" t="e">
        <f>IF(Atletas!#REF!="","",IF(Atletas!#REF!&lt;&gt;"",10000,0)+(IF(Atletas!#REF!="Feminino",1000,IF(Atletas!#REF!="Masculino",2000,""))+IF(Atletas!#REF!="Choylayfut A",1,IF(Atletas!#REF!="Hunggar A",2,IF(Atletas!#REF!="Wuzuquan A",3,IF(Atletas!#REF!="Wingchun A",4,IF(Atletas!#REF!="Outra Mão de Sul A",5,IF(Atletas!#REF!="Choylayfut B",6,IF(Atletas!#REF!="Hunggar B",7,IF(Atletas!#REF!="Wuzuquan B",8,IF(Atletas!#REF!="Wingchun B",9,IF(Atletas!#REF!="Outra Mão de Sul B",10,IF(Atletas!#REF!="Choylayfut C",11,IF(Atletas!#REF!="Hunggar C",12,IF(Atletas!#REF!="Wuzuquan C",13,IF(Atletas!#REF!="Wingchun C",14,IF(Atletas!#REF!="Outra Mão de Sul C",15,IF(Atletas!#REF!="Choylayfut D",16,IF(Atletas!#REF!="Hunggar D",17,IF(Atletas!#REF!="Wuzuquan D",18,IF(Atletas!#REF!="Wingchun D",19,IF(Atletas!#REF!="Outra Mão de Sul D",20,IF(Atletas!#REF!="Choylayfut E",21,IF(Atletas!#REF!="Hunggar E",22,IF(Atletas!#REF!="Wuzuquan E",23,IF(Atletas!#REF!="Wingchun E",24,IF(Atletas!#REF!="Outra Mão de Sul E",25,IF(Atletas!#REF!="Choylayfut F",26,IF(Atletas!#REF!="Hunggar F",27,IF(Atletas!#REF!="Wuzuquan F",28,IF(Atletas!#REF!="Wingchun F",29,IF(Atletas!#REF!="Outra Mão de Sul F",30,IF(Atletas!#REF!="Dishuquan A",31,IF(Atletas!#REF!="Dishuquan B",32,IF(Atletas!#REF!="Dishuquan C",33,IF(Atletas!#REF!="Dishuquan D",34,IF(Atletas!#REF!="Dishuquan E",35,IF(Atletas!#REF!="Dishuquan F",36,""))))))))))))))))))))))))))))))))))))))</f>
        <v>#REF!</v>
      </c>
      <c r="BS17" s="50" t="e">
        <f>IF(Atletas!#REF!="","",IF(Atletas!#REF!&lt;&gt;"",10000,0)+(IF(Atletas!#REF!="Feminino",1000,IF(Atletas!#REF!="Masculino",2000,""))+(IF(Atletas!#REF!="Chaquan A",101,IF(Atletas!#REF!="Emeiquan A",102,IF(Atletas!#REF!="Fanziquan A",103,IF(Atletas!#REF!="Huaquan A",104,IF(Atletas!#REF!="Hongquan A",105,IF(Atletas!#REF!="Paoquan A",106,IF(Atletas!#REF!="Piguaquan A",107,IF(Atletas!#REF!="Shaolinquan A",108,IF(Atletas!#REF!="Tanglangquan A",109,IF(Atletas!#REF!="Yingzhaoquan A",110,IF(Atletas!#REF!="Tongbeiquan A",111,IF(Atletas!#REF!="Wudangquan A",112,IF(Atletas!#REF!="Outros Estilos A",113,IF(Atletas!#REF!="Chaquan B",114,IF(Atletas!#REF!="Emeiquan B",115,IF(Atletas!#REF!="Fanziquan B",116,IF(Atletas!#REF!="Huaquan B",117,IF(Atletas!#REF!="Hongquan B",118,IF(Atletas!#REF!="Paoquan B",119,IF(Atletas!#REF!="Piguaquan B",120,IF(Atletas!#REF!="Shaolinquan B",121,IF(Atletas!#REF!="Tanglangquan B",122,IF(Atletas!#REF!="Yingzhaoquan B",123,IF(Atletas!#REF!="Tongbeiquan B",124,IF(Atletas!#REF!="Wudangquan B",125,IF(Atletas!#REF!="Outros Estilos B",126,IF(Atletas!#REF!="Chaquan C",127,IF(Atletas!#REF!="Emeiquan C",128,IF(Atletas!#REF!="Fanziquan C",129,IF(Atletas!#REF!="Huaquan C",130,IF(Atletas!#REF!="Hongquan C",131,IF(Atletas!#REF!="Paoquan C",132,IF(Atletas!#REF!="Piguaquan C",133,IF(Atletas!#REF!="Shaolinquan C",134,IF(Atletas!#REF!="Tanglangquan C",135,IF(Atletas!#REF!="Yingzhaoquan C",136,IF(Atletas!#REF!="Tongbeiquan C",137,IF(Atletas!#REF!="Wudangquan C",138,IF(Atletas!#REF!="Outros Estilos C",139,0))))))))))))))))))))))))))))))))))))))))))</f>
        <v>#REF!</v>
      </c>
      <c r="BT17" s="50" t="e">
        <f>IF(Atletas!#REF!="","",IF(Atletas!#REF!&lt;&gt;"",10000,0)+(IF(Atletas!#REF!="Feminino",1000,IF(Atletas!#REF!="Masculino",2000,""))+(IF(Atletas!#REF!="Chaquan D",140,IF(Atletas!#REF!="Emeiquan D",141,IF(Atletas!#REF!="Fanziquan D",142,IF(Atletas!#REF!="Huaquan D",143,IF(Atletas!#REF!="Hongquan D",144,IF(Atletas!#REF!="Paoquan D",145,IF(Atletas!#REF!="Piguaquan D",146,IF(Atletas!#REF!="Shaolinquan D",147,IF(Atletas!#REF!="Tanglangquan D",148,IF(Atletas!#REF!="Yingzhaoquan D",149,IF(Atletas!#REF!="Tongbeiquan D",150,IF(Atletas!#REF!="Wudangquan D",151,IF(Atletas!#REF!="Outros Estilos D",152,IF(Atletas!#REF!="Chaquan E",153,IF(Atletas!#REF!="Emeiquan E",154,IF(Atletas!#REF!="Fanziquan E",155,IF(Atletas!#REF!="Huaquan E",156,IF(Atletas!#REF!="Hongquan E",157,IF(Atletas!#REF!="Paoquan E",158,IF(Atletas!#REF!="Piguaquan E",159,IF(Atletas!#REF!="Shaolinquan E",160,IF(Atletas!#REF!="Tanglangquan E",161,IF(Atletas!#REF!="Yingzhaoquan E",162,IF(Atletas!#REF!="Tongbeiquan E",163,IF(Atletas!#REF!="Wudangquan E",164,IF(Atletas!#REF!="Outros Estilos E",165,IF(Atletas!#REF!="Chaquan F",166,IF(Atletas!#REF!="Emeiquan F",167,IF(Atletas!#REF!="Fanziquan F",168,IF(Atletas!#REF!="Huaquan F",169,IF(Atletas!#REF!="Hongquan F",170,IF(Atletas!#REF!="Paoquan F",171,IF(Atletas!#REF!="Piguaquan F",172,IF(Atletas!#REF!="Shaolinquan F",173,IF(Atletas!#REF!="Tanglangquan F",174,IF(Atletas!#REF!="Yingzhaoquan F",175,IF(Atletas!#REF!="Tongbeiquan F",176,IF(Atletas!#REF!="Wudangquan F",177,IF(Atletas!#REF!="Outros Estilos F",178,0))))))))))))))))))))))))))))))))))))))))))</f>
        <v>#REF!</v>
      </c>
      <c r="BU17" s="50" t="e">
        <f>IF(Atletas!#REF!="","",IF(Atletas!#REF!&lt;&gt;"",10000,0)+(IF(Atletas!#REF!="Feminino",1000,IF(Atletas!#REF!="Masculino",2000,""))+(IF(Atletas!#REF!="Ditangquan A",201,IF(Atletas!#REF!="Houquan A",202,IF(Atletas!#REF!="Zuiquan A",203,IF(Atletas!#REF!="Ditangquan B",204,IF(Atletas!#REF!="Houquan B",205,IF(Atletas!#REF!="Zuiquan B",206,IF(Atletas!#REF!="Ditangquan C",207,IF(Atletas!#REF!="Houquan C",208,IF(Atletas!#REF!="Zuiquan C",209,IF(Atletas!#REF!="Ditangquan D",210,IF(Atletas!#REF!="Houquan D",211,IF(Atletas!#REF!="Zuiquan D",212,IF(Atletas!#REF!="Ditangquan E",213,IF(Atletas!#REF!="Houquan E",214,IF(Atletas!#REF!="Zuiquan E",215,IF(Atletas!#REF!="Ditangquan F",216,IF(Atletas!#REF!="Houquan F",217,IF(Atletas!#REF!="Zuiquan F",218,"")))))))))))))))))))))</f>
        <v>#REF!</v>
      </c>
      <c r="BV17" s="50" t="e">
        <f>IF(Atletas!#REF!="","",IF(Atletas!#REF!&lt;&gt;"",10000,0)+IF(Atletas!#REF!="Feminino",1000,IF(Atletas!#REF!="Masculino",2000,""))+IF(Atletas!#REF!="Yang A",301,IF(Atletas!#REF!="Chen A",302,IF(Atletas!#REF!="Sun A",303,IF(Atletas!#REF!="Wu A",304,IF(Atletas!#REF!="Wu-Hao A",305,IF(Atletas!#REF!="Outro Taijiquan A",306,IF(Atletas!#REF!="Yang B",307,IF(Atletas!#REF!="Chen B",308,IF(Atletas!#REF!="Sun B",309,IF(Atletas!#REF!="Wu B",310,IF(Atletas!#REF!="Wu-Hao B",311,IF(Atletas!#REF!="Outro Taijiquan B",312,IF(Atletas!#REF!="Yang C",313,IF(Atletas!#REF!="Chen C",314,IF(Atletas!#REF!="Sun C",315,IF(Atletas!#REF!="Wu C",316,IF(Atletas!#REF!="Wu-Hao C",317,IF(Atletas!#REF!="Outro Taijiquan C",318,IF(Atletas!#REF!="Yang D",319,IF(Atletas!#REF!="Chen D",320,IF(Atletas!#REF!="Sun D",321,IF(Atletas!#REF!="Wu D",322,IF(Atletas!#REF!="Wu-Hao D",323,IF(Atletas!#REF!="Outro Taijiquan D",324,IF(Atletas!#REF!="Yang E",325,IF(Atletas!#REF!="Chen E",326,IF(Atletas!#REF!="Sun E",327,IF(Atletas!#REF!="Wu E",328,IF(Atletas!#REF!="Wu-Hao E",329,IF(Atletas!#REF!="Outro Taijiquan E",330,IF(Atletas!#REF!="Yang F",331,IF(Atletas!#REF!="Chen F",332,IF(Atletas!#REF!="Sun F",333,IF(Atletas!#REF!="Wu F",334,IF(Atletas!#REF!="Wu-Hao F",335,IF(Atletas!#REF!="Outro Taijiquan F",336,"")))))))))))))))))))))))))))))))))))))</f>
        <v>#REF!</v>
      </c>
      <c r="BW17" s="50" t="e">
        <f>IF(Atletas!#REF!="","",IF(Atletas!#REF!&lt;&gt;"",10000,0)+IF(Atletas!#REF!="Feminino",1000,IF(Atletas!#REF!="Masculino",2000,""))+IF(OR(Atletas!#REF!="Yang 26 A",Atletas!#REF!="Yang 40 A"),401,IF(OR(Atletas!#REF!="Chen 25 A",Atletas!#REF!="Chen 36 A",Atletas!#REF!="Chen 56 A"),402,IF(Atletas!#REF!="Sun 73 A",403,IF(Atletas!#REF!="Wu 45 A",404,IF(Atletas!#REF!="Wu-Hao 46 A",405,IF(OR(Atletas!#REF!="Taijiquan 16 A",Atletas!#REF!="Taijiquan 24 A",Atletas!#REF!="Taijiquan 32 A",Atletas!#REF!="Taijiquan 42 A"),406,IF(OR(Atletas!#REF!="Yang 26 B",Atletas!#REF!="Yang 40 B"),407,IF(OR(Atletas!#REF!="Chen 25 B",Atletas!#REF!="Chen 36 B",Atletas!#REF!="Chen 56 B"),408,IF(Atletas!#REF!="Sun 73 B",409,IF(Atletas!#REF!="Wu 45 B",410,IF(Atletas!#REF!="Wu-Hao 46 B",411,IF(OR(Atletas!#REF!="Taijiquan 16 B",Atletas!#REF!="Taijiquan 24 B",Atletas!#REF!="Taijiquan 32 B",Atletas!#REF!="Taijiquan 42 B"),412,IF(OR(Atletas!#REF!="Yang 26 C",Atletas!#REF!="Yang 40 C"),413,IF(OR(Atletas!#REF!="Chen 25 C",Atletas!#REF!="Chen 36 C",Atletas!#REF!="Chen 56 C"),414,IF(Atletas!#REF!="Sun 73 C",415,IF(Atletas!#REF!="Wu 45 C",416,IF(Atletas!#REF!="Wu-Hao 46 C",417,IF(OR(Atletas!#REF!="Taijiquan 16 C",Atletas!#REF!="Taijiquan 24 C",Atletas!#REF!="Taijiquan 32 C",Atletas!#REF!="Taijiquan 42 C"),418,0)))))))))))))))))))</f>
        <v>#REF!</v>
      </c>
      <c r="BX17" s="50" t="e">
        <f>IF(Atletas!#REF!="","",IF(Atletas!#REF!&lt;&gt;"",10000,0)+IF(Atletas!#REF!="Feminino",1000,IF(Atletas!#REF!="Masculino",2000,""))+IF(OR(Atletas!#REF!="Yang 26 D",Atletas!#REF!="Yang 40 D"),419,IF(OR(Atletas!#REF!="Chen 25 D",Atletas!#REF!="Chen 36 D",Atletas!#REF!="Chen 56 D"),420,IF(Atletas!#REF!="Sun 73 D",421,IF(Atletas!#REF!="Wu 45 D",422,IF(Atletas!#REF!="Wu-Hao 46 D",423,IF(OR(Atletas!#REF!="Taijiquan 16 D",Atletas!#REF!="Taijiquan 24 D",Atletas!#REF!="Taijiquan 32 D",Atletas!#REF!="Taijiquan 42 D"),424,IF(OR(Atletas!#REF!="Yang 26 E",Atletas!#REF!="Yang 40 E"),425,IF(OR(Atletas!#REF!="Chen 25 E",Atletas!#REF!="Chen 36 E",Atletas!#REF!="Chen 56 E"),426,IF(Atletas!#REF!="Sun 73 E",427,IF(Atletas!#REF!="Wu 45 E",428,IF(Atletas!#REF!="Wu-Hao 46 E",429,IF(OR(Atletas!#REF!="Taijiquan 16 E",Atletas!#REF!="Taijiquan 24 E",Atletas!#REF!="Taijiquan 32 E",Atletas!#REF!="Taijiquan 42 E"),430,IF(OR(Atletas!#REF!="Yang 26 F",Atletas!#REF!="Yang 40 F"),431,IF(OR(Atletas!#REF!="Chen 25 F",Atletas!#REF!="Chen 36 F",Atletas!#REF!="Chen 56 F"),432,IF(Atletas!#REF!="Sun 73 F",433,IF(Atletas!#REF!="Wu 45 F",434,IF(Atletas!#REF!="Wu-Hao 46 F",435,IF(OR(Atletas!#REF!="Taijiquan 16 F",Atletas!#REF!="Taijiquan 24 F",Atletas!#REF!="Taijiquan 32 F",Atletas!#REF!="Taijiquan 42 F"),436,0)))))))))))))))))))</f>
        <v>#REF!</v>
      </c>
      <c r="BY17" s="50" t="e">
        <f>IF(Atletas!#REF!="","",IF(Atletas!#REF!&lt;&gt;"",10000,0)+IF(Atletas!#REF!="Feminino",1000,IF(Atletas!#REF!="Masculino",2000,""))+IF(Atletas!#REF!="Xingyiquan A",501,IF(Atletas!#REF!="Baguazhang A",502,IF(Atletas!#REF!="Outro Estilo Interno A",503,IF(Atletas!#REF!="Xingyiquan B",504,IF(Atletas!#REF!="Baguazhang B",505,IF(Atletas!#REF!="Outro Estilo Interno B",506,IF(Atletas!#REF!="Xingyiquan C",507,IF(Atletas!#REF!="Baguazhang C",508,IF(Atletas!#REF!="Outro Estilo Interno C",509,IF(Atletas!#REF!="Xingyiquan D",510,IF(Atletas!#REF!="Baguazhang D",511,IF(Atletas!#REF!="Outro Estilo Interno D",512,IF(Atletas!#REF!="Xingyiquan E",513,IF(Atletas!#REF!="Baguazhang E",514,IF(Atletas!#REF!="Outro Estilo Interno E",515,IF(Atletas!#REF!="Xingyiquan F",516,IF(Atletas!#REF!="Baguazhang F",517,IF(Atletas!#REF!="Outro Estilo Interno F",518, "")))))))))))))))))))</f>
        <v>#REF!</v>
      </c>
      <c r="BZ17" s="50" t="e">
        <f>IF(Atletas!#REF!="","",IF(Atletas!#REF!&lt;&gt;"",10000,0)+IF(Atletas!#REF!="Feminino",1000,IF(Atletas!#REF!="Masculino",2000,""))+IF(Atletas!#REF!="Dao A",601,IF(Atletas!#REF!="Jian A",602,IF(Atletas!#REF!="Bishou A",603,IF(Atletas!#REF!="Shanzi A",604,IF(Atletas!#REF!="Outra Arma Curta A",605,IF(Atletas!#REF!="Dao B",606,IF(Atletas!#REF!="Jian B",607,IF(Atletas!#REF!="Bishou B",608,IF(Atletas!#REF!="Shanzi B",609,IF(Atletas!#REF!="Outra Arma Curta B",610,IF(Atletas!#REF!="Dao C",611,IF(Atletas!#REF!="Jian C",612,IF(Atletas!#REF!="Bishou C",613,IF(Atletas!#REF!="Shanzi C",614,IF(Atletas!#REF!="Outra Arma Curta C",615,IF(Atletas!#REF!="Dao D",616,IF(Atletas!#REF!="Jian D",617,IF(Atletas!#REF!="Bishou D",618,IF(Atletas!#REF!="Shanzi D",619,IF(Atletas!#REF!="Outra Arma Curta D",620,IF(Atletas!#REF!="Dao E",621,IF(Atletas!#REF!="Jian E",622,IF(Atletas!#REF!="Bishou E",623,IF(Atletas!#REF!="Shanzi E",624,IF(Atletas!#REF!="Outra Arma Curta E",625,IF(Atletas!#REF!="Dao F",626,IF(Atletas!#REF!="Jian F",627,IF(Atletas!#REF!="Bishou F",628,IF(Atletas!#REF!="Shanzi F",629,IF(Atletas!#REF!="Outra Arma Curta F",630, "")))))))))))))))))))))))))))))))</f>
        <v>#REF!</v>
      </c>
      <c r="CA17" s="50" t="e">
        <f>IF(Atletas!#REF!="","",IF(Atletas!#REF!&lt;&gt;"",10000,0)+IF(Atletas!#REF!="Feminino",1000,IF(Atletas!#REF!="Masculino",2000,""))+IF(Atletas!#REF!="Gun A",701,IF(Atletas!#REF!="Qiang A",702,IF(Atletas!#REF!="Pudao / Guandao A",703,IF(Atletas!#REF!="Outra Arma Longa A",704,IF(Atletas!#REF!="Gun B",705,IF(Atletas!#REF!="Qiang B",706,IF(Atletas!#REF!="Pudao / Guandao B",707,IF(Atletas!#REF!="Outra Arma Longa B",708,IF(Atletas!#REF!="Gun C",709,IF(Atletas!#REF!="Qiang C",710,IF(Atletas!#REF!="Pudao / Guandao C",711,IF(Atletas!#REF!="Outra Arma Longa C",712,IF(Atletas!#REF!="Gun D",713,IF(Atletas!#REF!="Qiang D",714,IF(Atletas!#REF!="Pudao / Guandao D",715,IF(Atletas!#REF!="Outra Arma Longa D",716,IF(Atletas!#REF!="Gun E",717,IF(Atletas!#REF!="Qiang E",718,IF(Atletas!#REF!="Pudao / Guandao E",719,IF(Atletas!#REF!="Outra Arma Longa E",720,IF(Atletas!#REF!="Gun F",721,IF(Atletas!#REF!="Qiang F",722,IF(Atletas!#REF!="Pudao / Guandao F",723,IF(Atletas!#REF!="Outra Arma Longa F",724,"")))))))))))))))))))))))))</f>
        <v>#REF!</v>
      </c>
      <c r="CB17" s="50" t="e">
        <f>IF(Atletas!#REF!="","",IF(Atletas!#REF!&lt;&gt;"",10000,0)+IF(Atletas!#REF!="Feminino",1000,IF(Atletas!#REF!="Masculino",2000,""))+IF(Atletas!#REF!="Outra Arma Dupla A",801,IF(Atletas!#REF!="Arma Maleável A",802,IF(Atletas!#REF!="Outra Arma Dupla B",803,IF(Atletas!#REF!="Arma Maleável B",804,IF(Atletas!#REF!="Outra Arma Dupla C",805,IF(Atletas!#REF!="Arma Maleável C",806,IF(Atletas!#REF!="Outra Arma Dupla D",807,IF(Atletas!#REF!="Arma Maleável D",808,IF(Atletas!#REF!="Outra Arma Dupla E",809,IF(Atletas!#REF!="Arma Maleável E",810,IF(Atletas!#REF!="Outra Arma Dupla F",811,IF(Atletas!#REF!="Arma Maleável F",812,IF(Atletas!#REF!="Shuangdao A",813,IF(Atletas!#REF!="Shuangdao B",814,IF(Atletas!#REF!="Shuangdao C",815,IF(Atletas!#REF!="Shuangdao D",816,IF(Atletas!#REF!="Shuangdao E",817,IF(Atletas!#REF!="Shuangdao F",818,"")))))))))))))))))))</f>
        <v>#REF!</v>
      </c>
      <c r="CC17" s="50" t="e">
        <f>IF(Atletas!#REF!="","",IF(Atletas!#REF!&lt;&gt;"",10000,0)+IF(Atletas!#REF!="Feminino",1000,IF(Atletas!#REF!="Masculino",2000,""))+IF(OR(Atletas!#REF!="Taijijian Yang A",Atletas!#REF!="Taijijian Yang Standard A"),901,IF(OR(Atletas!#REF!="Taijijian Chen A", Atletas!#REF!="Taijijian Chen Standard A"),902,IF(Atletas!#REF!="Taijijian Sun A",903,IF(Atletas!#REF!="Taijijian Wu A",904,IF(Atletas!#REF!="Taijijian Wu-Hao A",905,IF(OR(Atletas!#REF!="Taijijian 32 A",Atletas!#REF!="Taijijian 42 A"),906,IF(OR(Atletas!#REF!="Taijijian Yang B",Atletas!#REF!="Taijijian Yang Standard B"),907,IF(OR(Atletas!#REF!="Taijijian Chen B", Atletas!#REF!="Taijijian Chen Standard B"),908,IF(Atletas!#REF!="Taijijian Sun B",909,IF(Atletas!#REF!="Taijijian Wu B",910,IF(Atletas!#REF!="Taijijian Wu-Hao B",911,IF(OR(Atletas!#REF!="Taijijian 32 B",Atletas!#REF!="Taijijian 42 B"),912,IF(OR(Atletas!#REF!="Taijijian Yang C",Atletas!#REF!="Taijijian Yang Standard C"),913,IF(OR(Atletas!#REF!="Taijijian Chen C", Atletas!#REF!="Taijijian Chen Standard C"),914,IF(Atletas!#REF!="Taijijian Sun C",915,IF(Atletas!#REF!="Taijijian Wu C",916,IF(Atletas!#REF!="Taijijian Wu-Hao C",917,IF(OR(Atletas!#REF!="Taijijian 32 C",Atletas!#REF!="Taijijian 42 C"),918,IF(OR(Atletas!#REF!="Taijijian Yang D",Atletas!#REF!="Taijijian Yang Standard D"),919,IF(OR(Atletas!#REF!="Taijijian Chen D", Atletas!#REF!="Taijijian Chen Standard D"),920,IF(Atletas!#REF!="Taijijian Sun D",921,IF(Atletas!#REF!="Taijijian Wu D",922,IF(Atletas!#REF!="Taijijian Wu-Hao D",923,IF(OR(Atletas!#REF!="Taijijian 32 D",Atletas!#REF!="Taijijian 42 D"),924,IF(OR(Atletas!#REF!="Taijijian Yang E",Atletas!#REF!="Taijijian Yang Standard E"),925,IF(OR(Atletas!#REF!="Taijijian Chen E", Atletas!#REF!="Taijijian Chen Standard E"),926,IF(Atletas!#REF!="Taijijian Sun E",927,IF(Atletas!#REF!="Taijijian Wu E",928,IF(Atletas!#REF!="Taijijian Wu-Hao E",929,IF(OR(Atletas!#REF!="Taijijian 32 E",Atletas!#REF!="Taijijian 42 E"),930,IF(OR(Atletas!#REF!="Taijijian Yang F",Atletas!#REF!="Taijijian Yang Standard F"),931,IF(OR(Atletas!#REF!="Taijijian Chen F", Atletas!#REF!="Taijijian Chen Standard F"),932,IF(Atletas!#REF!="Taijijian Sun F",933,IF(Atletas!#REF!="Taijijian Wu F",934,IF(Atletas!#REF!="Taijijian Wu-Hao F",935,IF(OR(Atletas!#REF!="Taijijian 32 F",Atletas!#REF!="Taijijian 42 F"),936,"")))))))))))))))))))))))))))))))))))))</f>
        <v>#REF!</v>
      </c>
      <c r="CD17" s="50" t="e">
        <f>IF(Atletas!#REF!="","",IF(Atletas!#REF!&lt;&gt;"",10000,0)+IF(Atletas!#REF!="Feminino",1000,IF(Atletas!#REF!="Masculino",2000,""))+IF(Atletas!#REF!="Taijidao A",937,IF(Atletas!#REF!="TaijiShanzi A",938,IF(Atletas!#REF!="Taijiqiang A",939,IF(Atletas!#REF!="Bagua de Arma A",940,IF(Atletas!#REF!="Xingyi de Arma A",941,IF(Atletas!#REF!="Taijidao B",942,IF(Atletas!#REF!="TaijiShanzi B",943,IF(Atletas!#REF!="Taijiqiang B",944,IF(Atletas!#REF!="Bagua de Arma B",945,IF(Atletas!#REF!="Xingyi de Arma B",946,IF(Atletas!#REF!="Taijidao C",947,IF(Atletas!#REF!="TaijiShanzi C",948,IF(Atletas!#REF!="Taijiqiang C",949,IF(Atletas!#REF!="Bagua de Arma C",950,IF(Atletas!#REF!="Xingyi de Arma C",951,IF(Atletas!#REF!="Taijidao D",952,IF(Atletas!#REF!="TaijiShanzi D",953,IF(Atletas!#REF!="Taijiqiang D",954,IF(Atletas!#REF!="Bagua de Arma D",955,IF(Atletas!#REF!="Xingyi de Arma D",956,IF(Atletas!#REF!="Taijidao E",957,IF(Atletas!#REF!="TaijiShanzi E",958,IF(Atletas!#REF!="Taijiqiang E",959,IF(Atletas!#REF!="Bagua de Arma E",960,IF(Atletas!#REF!="Xingyi de Arma E",961,IF(Atletas!#REF!="Taijidao F",962,IF(Atletas!#REF!="TaijiShanzi F",963,IF(Atletas!#REF!="Taijiqiang F",964,IF(Atletas!#REF!="Bagua de Arma F",965,IF(Atletas!#REF!="Xingyi de Arma F",966,"")))))))))))))))))))))))))))))))</f>
        <v>#REF!</v>
      </c>
      <c r="CE17" s="66" t="str">
        <f>IF(CF17&lt;&gt;"","Wingchun B","")</f>
        <v/>
      </c>
      <c r="CF17" s="66" t="str">
        <f>IF(COUNTIF(BR:CD,1009)&gt;0,COUNTIF(BR:CD,1009),"")</f>
        <v/>
      </c>
      <c r="CG17" s="66" t="str">
        <f>IF(CH17&lt;&gt;"","Wingchun B","")</f>
        <v/>
      </c>
      <c r="CH17" s="66" t="str">
        <f>IF(COUNTIF(BR:CD,2009)&gt;0,COUNTIF(BR:CD,2009),"")</f>
        <v/>
      </c>
      <c r="CI17" s="66" t="str">
        <f>IF(CJ17&lt;&gt;"","Choylayfut C","")</f>
        <v/>
      </c>
      <c r="CJ17" s="66" t="str">
        <f>IF(COUNTIF(BR:CD,11011)&gt;0,COUNTIF(BR:CD,11011),"")</f>
        <v/>
      </c>
      <c r="CK17" s="66" t="str">
        <f>IF(CL17&lt;&gt;"","Choylayfut C","")</f>
        <v/>
      </c>
      <c r="CL17" s="66" t="str">
        <f>IF(COUNTIF(BR:CD,12011)&gt;0,COUNTIF(BR:CD,12011),"")</f>
        <v/>
      </c>
      <c r="CM17" s="50" t="e">
        <f xml:space="preserve"> IF(Atletas!#REF!="","",IF(Atletas!#REF!="Duilian de Mãos BC - Equipe 1",1,IF(Atletas!#REF!="Duilian de Mãos BC - Equipe 2",2,IF(Atletas!#REF!="Duilian de Armas BC - Equipe 1",3,IF(Atletas!#REF!="Duilian de Armas BC - Equipe 2",4,IF(Atletas!#REF!="Duilian de Mãos DE - Equipe 1",5,IF(Atletas!#REF!="Duilian de Mãos DE - Equipe 2",6,IF(Atletas!#REF!="Duilian de Armas DE - Equipe 1",7,IF(Atletas!#REF!="Duilian de Armas DE - Equipe 2",8,IF(Atletas!#REF!="Duilian de Tuishou - Equipe 1",9,IF(Atletas!#REF!="Duilian de Tuishou - Equipe 2",10,IF(Atletas!#REF!="Grupo Externo ABC - Equipe 1",11,IF(Atletas!#REF!="Grupo Externo ABC - Equipe 2",12,IF(Atletas!#REF!="Grupo Interno ABC - Equipe 1",13,IF(Atletas!#REF!="Grupo Interno ABC - Equipe 2",14,IF(Atletas!#REF!="Grupo Externo DEF - Equipe 1",15,IF(Atletas!#REF!="Grupo Externo DEF - Equipe 2",16,IF(Atletas!#REF!="Grupo Interno DEF - Equipe 1",17,IF(Atletas!#REF!="Grupo Interno DEF - Equipe 2",18,"")))))))))))))))))))</f>
        <v>#REF!</v>
      </c>
      <c r="CP17" s="52"/>
      <c r="CQ17" s="64"/>
      <c r="CR17" s="67"/>
      <c r="CS17" s="68"/>
      <c r="CY17" s="41"/>
    </row>
    <row r="18" spans="1:103">
      <c r="B18" s="3" t="str">
        <f t="array" ref="B18">IFERROR(INDEX(AO$7:AO$38,SMALL(IF(AO$7:AO$38&lt;&gt;"",ROW(AO$7:AO$38)-ROW(AO$7)+1),ROWS(AO$7:AO17))),"")</f>
        <v/>
      </c>
      <c r="C18" s="3" t="str">
        <f t="array" ref="C18">IFERROR(INDEX(AP$7:AP$38,SMALL(IF(AP$7:AP$38&lt;&gt;"",ROW(AP$7:AP$38)-ROW(AP$7)+1),ROWS(AP$7:AP17))),"")</f>
        <v/>
      </c>
      <c r="D18" s="3" t="str">
        <f t="array" ref="D18">IFERROR(INDEX(AQ$7:AQ$38,SMALL(IF(AQ$7:AQ$38&lt;&gt;"",ROW(AQ$7:AQ$38)-ROW(AQ$7)+1),ROWS(AQ$7:AQ17))),"")</f>
        <v/>
      </c>
      <c r="E18" s="3" t="str">
        <f t="array" ref="E18">IFERROR(INDEX(AR$7:AR$38,SMALL(IF(AR$7:AR$38&lt;&gt;"",ROW(AR$7:AR$38)-ROW(AR$7)+1),ROWS(AR$7:AR17))),"")</f>
        <v/>
      </c>
      <c r="F18" s="3" t="str">
        <f t="array" ref="F18">IFERROR(INDEX(AT$7:AT$36,SMALL(IF(AT$7:AT$36&lt;&gt;"",ROW(AT$7:AT$36)-ROW(AT$7)+1),ROWS(AT$7:AT17))),"")</f>
        <v/>
      </c>
      <c r="G18" s="3" t="str">
        <f t="array" ref="G18">IFERROR(INDEX(AU$7:AU$36,SMALL(IF(AU$7:AU$36&lt;&gt;"",ROW(AU$7:AU$36)-ROW(AU$7)+1),ROWS(AU$7:AU17))),"")</f>
        <v/>
      </c>
      <c r="H18" s="3" t="str">
        <f t="array" ref="H18">IFERROR(INDEX(AV$7:AV$36,SMALL(IF(AV$7:AV$36&lt;&gt;"",ROW(AV$7:AV$36)-ROW(AV$7)+1),ROWS(AV$7:AV17))),"")</f>
        <v/>
      </c>
      <c r="I18" s="3" t="str">
        <f t="array" ref="I18">IFERROR(INDEX(AW$7:AW$36,SMALL(IF(AW$7:AW$36&lt;&gt;"",ROW(AW$7:AW$36)-ROW(AW$7)+1),ROWS(AW$7:AW17))),"")</f>
        <v/>
      </c>
      <c r="J18" s="3" t="str">
        <f t="array" ref="J18">IFERROR(INDEX(AY$7:AY$36,SMALL(IF(AY$7:AY$36&lt;&gt;"",ROW(AY$7:AY$36)-ROW(AY$7)+1),ROWS(AY$7:AY17))),"")</f>
        <v/>
      </c>
      <c r="K18" s="3" t="str">
        <f t="array" ref="K18">IFERROR(INDEX(AZ$7:AZ$36,SMALL(IF(AZ$7:AZ$36&lt;&gt;"",ROW(AZ$7:AZ$36)-ROW(AZ$7)+1),ROWS(AZ$7:AZ17))),"")</f>
        <v/>
      </c>
      <c r="L18" s="3" t="str">
        <f t="array" ref="L18">IFERROR(INDEX(BA$7:BA$36,SMALL(IF(BA$7:BA$36&lt;&gt;"",ROW(BA$7:BA$36)-ROW(BA$7)+1),ROWS(BA$7:BA17))),"")</f>
        <v/>
      </c>
      <c r="M18" s="3" t="str">
        <f t="array" ref="M18">IFERROR(INDEX(BB$7:BB$36,SMALL(IF(BB$7:BB$36&lt;&gt;"",ROW(BB$7:BB$36)-ROW(BB$7)+1),ROWS(BB$7:BB17))),"")</f>
        <v/>
      </c>
      <c r="N18" s="3" t="str" cm="1">
        <f t="array" ref="N18">IFERROR(INDEX(BD$7:BD$8,SMALL(IF(BD$7:BD$8&lt;&gt;"",ROW(BD$7:BD$8)-ROW(BD$7)+1),ROWS(BD$7:BD17))),"")</f>
        <v/>
      </c>
      <c r="O18" s="3" t="str" cm="1">
        <f t="array" ref="O18">IFERROR(INDEX(BE$7:BE$8,SMALL(IF(BE$7:BE$8&lt;&gt;"",ROW(BE$7:BE$8)-ROW(BE$7)+1),ROWS(BE$7:BE17))),"")</f>
        <v/>
      </c>
      <c r="P18" s="3" t="str" cm="1">
        <f t="array" ref="P18">IFERROR(INDEX(BD$9:BD$10,SMALL(IF(BD$9:BD$10&lt;&gt;"",ROW(BD$9:BD$10)-ROW(BD$9)+1),ROWS(BD$9:BD19))),"")</f>
        <v/>
      </c>
      <c r="Q18" s="3" t="str">
        <f t="array" ref="Q18">IFERROR(INDEX(BH$7:BH$36,SMALL(IF(BH$7:BH$36&lt;&gt;"",ROW(BH$7:BH$36)-ROW(BH$7)+1),ROWS(BH$7:BH17))),"")</f>
        <v/>
      </c>
      <c r="R18" s="3" t="str">
        <f t="array" ref="R18">IFERROR(INDEX(BI$7:BI$68,SMALL(IF(BI$7:BI$68&lt;&gt;"",ROW(BI$7:BI$68)-ROW(BI$7)+1),ROWS(BI$7:BI17))),"")</f>
        <v/>
      </c>
      <c r="S18" s="3" t="str">
        <f t="array" ref="S18">IFERROR(INDEX(BJ$7:BJ$68,SMALL(IF(BJ$7:BJ$68&lt;&gt;"",ROW(BJ$7:BJ$68)-ROW(BJ$7)+1),ROWS(BJ$7:BJ17))),"")</f>
        <v/>
      </c>
      <c r="T18" s="3" t="str">
        <f t="array" ref="T18">IFERROR(INDEX(BK$7:BK$68,SMALL(IF(BK$7:BK$68&lt;&gt;"",ROW(BK$7:BK$68)-ROW(BK$7)+1),ROWS(BK$7:BK17))),"")</f>
        <v/>
      </c>
      <c r="U18" s="3" t="str">
        <f t="array" ref="U18">IFERROR(INDEX(BL$7:BL$68,SMALL(IF(BL$7:BL$68&lt;&gt;"",ROW(BL$7:BL$68)-ROW(BL$7)+1),ROWS(BL$7:BL17))),"")</f>
        <v/>
      </c>
      <c r="V18" s="20"/>
      <c r="W18" s="20"/>
      <c r="X18" s="20"/>
      <c r="Y18" s="20"/>
      <c r="Z18" s="3" t="str">
        <f t="array" ref="Z18">IFERROR(INDEX(CE$7:CE$348,SMALL(IF(CE$7:CE$348&lt;&gt;"",ROW(CE$7:CE$348)-ROW(CE$7)+1),ROWS(CE$7:CE17))),"")</f>
        <v/>
      </c>
      <c r="AA18" s="3" t="str">
        <f t="array" ref="AA18">IFERROR(INDEX(CF$7:CF$348,SMALL(IF(CF$7:CF$348&lt;&gt;"",ROW(CF$7:CF$348)-ROW(CF$7)+1),ROWS(CF$7:CF17))),"")</f>
        <v/>
      </c>
      <c r="AB18" s="3" t="str">
        <f t="array" ref="AB18">IFERROR(INDEX(CG$7:CG$348,SMALL(IF(CG$7:CG$348&lt;&gt;"",ROW(CG$7:CG$348)-ROW(CG$7)+1),ROWS(CG$7:CG17))),"")</f>
        <v/>
      </c>
      <c r="AC18" s="3" t="str">
        <f t="array" ref="AC18">IFERROR(INDEX(CH$7:CH$348,SMALL(IF(CH$7:CH$348&lt;&gt;"",ROW(CH$7:CH$348)-ROW(CH$7)+1),ROWS(CH$7:CH17))),"")</f>
        <v/>
      </c>
      <c r="AD18" s="3" t="str">
        <f t="array" ref="AD18">IFERROR(INDEX(CI$7:CI$377,SMALL(IF(CI$7:CI$377&lt;&gt;"",ROW(CI$7:CI$377)-ROW(CI$7)+1),ROWS(CI$7:CI17))),"")</f>
        <v/>
      </c>
      <c r="AE18" s="3" t="str">
        <f t="array" ref="AE18">IFERROR(INDEX(CJ$7:CJ$378,SMALL(IF(CJ$7:CJ$378&lt;&gt;"",ROW(CJ$7:CJ$378)-ROW(CJ$7)+1),ROWS(CJ$7:CJ17))),"")</f>
        <v/>
      </c>
      <c r="AF18" s="3" t="str">
        <f t="array" ref="AF18">IFERROR(INDEX(CK$7:CK$378,SMALL(IF(CK$7:CK$378&lt;&gt;"",ROW(CK$7:CK$378)-ROW(CK$7)+1),ROWS(CK$7:CK17))),"")</f>
        <v/>
      </c>
      <c r="AG18" s="3" t="str">
        <f t="array" ref="AG18">IFERROR(INDEX(CL$7:CL$378,SMALL(IF(CL$7:CL$378&lt;&gt;"",ROW(CL$7:CL$378)-ROW(CL$7)+1),ROWS(CL$7:CL17))),"")</f>
        <v/>
      </c>
      <c r="AH18" s="40" t="str">
        <f t="array" ref="AH18">IFERROR(INDEX(CN$7:CN$18,SMALL(IF(CN$7:CN$18&lt;&gt;"",ROW(CN$7:CN$18)-ROW(CN$7)+1),ROWS(CN$7:CN17))),"")</f>
        <v/>
      </c>
      <c r="AI18" s="40" t="str">
        <f t="array" ref="AI18">IFERROR(INDEX(CO$7:CO$18,SMALL(IF(CO$7:CO$18&lt;&gt;"",ROW(CO$7:CO$18)-ROW(CO$7)+1),ROWS(CO$7:CO17))),"")</f>
        <v/>
      </c>
      <c r="AJ18" s="40"/>
      <c r="AK18" s="40"/>
      <c r="AL18" s="40" t="str">
        <f t="array" ref="AL18">IFERROR(INDEX(CR$7:CR$14,SMALL(IF(CR$7:CR$14&lt;&gt;"",ROW(CR$7:CR$14)-ROW(CR$7)+1),ROWS(CR$7:CR17))),"")</f>
        <v/>
      </c>
      <c r="AM18" s="40"/>
      <c r="AN18" s="52" t="str">
        <f>IF(Atletas!D13="","",IF(Atletas!B13="Feminino",100,IF(Atletas!B13="Masculino",200,""))+(IF(Atletas!D13="Kids 30kg",1,IF(Atletas!D13="Kids 32kg",2, IF(Atletas!D13="Kids 34kg",3,IF(Atletas!D13="Kids 36kg",4,IF(Atletas!D13="Kids 39kg",5,IF(Atletas!D13="Kids 42kg",6,IF(Atletas!D13="Kids 45kg",7, IF(Atletas!D13="Infantil 39kg",8,IF(Atletas!D13="Infantil 42kg",9,IF(Atletas!D13="Infantil 45kg",10,IF(Atletas!D13="Infantil 48kg",11,IF(Atletas!D13="Infantil 52kg",12,IF(Atletas!D13="Infantil 56kg",13,IF(Atletas!D13="Infantil 60kg",14,IF(Atletas!D13="Juvenil 48kg",15,IF(Atletas!D13="Juvenil 52kg",16,IF(Atletas!D13="Juvenil 56kg",17,IF(Atletas!D13="Juvenil 60kg",18,IF(Atletas!D13="Juvenil 65kg",19,IF(Atletas!D13="Juvenil 70kg",20,IF(Atletas!D13="Juvenil 75kg",21,IF(Atletas!D13="Juvenil 80kg",22, IF(Atletas!D13="Juvenil 85kg",23,IF(Atletas!D13="Adulto 48kg",24,IF(Atletas!D13="Adulto 52kg",25,IF(Atletas!D13="Adulto 56kg",26,IF(Atletas!D13="Adulto 60kg",27,IF(Atletas!D13="Adulto 65kg",28,IF(Atletas!D13="Adulto 70kg",29,IF(Atletas!D13="Adulto 75kg",30,IF(Atletas!D13="Adulto 80kg",31,IF(Atletas!D13="Adulto 85kg",32,IF(Atletas!D13="Adulto 90kg",33,IF(Atletas!D13="Adulto 100kg",34, IF(Atletas!D13="Adulto +100kg",35,"")))))))))))))))))))))))))))))))))))))</f>
        <v/>
      </c>
      <c r="AO18" s="50" t="str">
        <f>IF(AP18&lt;&gt;"","Juvenil 56kg","")</f>
        <v/>
      </c>
      <c r="AP18" s="6" t="str">
        <f>IF(COUNTIF(AN:AN,117)&gt;0,COUNTIF(AN:AN,117),"")</f>
        <v/>
      </c>
      <c r="AQ18" s="50" t="str">
        <f>IF(AR18&lt;&gt;"","Infantil 52kg","")</f>
        <v/>
      </c>
      <c r="AR18" s="6" t="str">
        <f>IF(COUNTIF(AN:AN,212)&gt;0,COUNTIF(AN:AN,212),"")</f>
        <v/>
      </c>
      <c r="AS18" s="6" t="str">
        <f>IF(Atletas!E13="","",IF(Atletas!B13="Feminino",100,IF(Atletas!B13="Masculino",200,""))+(IF(Atletas!E13="Juvenil 44kg",1,IF(Atletas!E13="Juvenil 48kg",2,IF(Atletas!E13="Juvenil 52kg",3,IF(Atletas!E13="Juvenil 56kg",4,IF(Atletas!E13="Juvenil 60kg",5,IF(Atletas!E13="Juvenil 65kg",6,IF(Atletas!E13="Juvenil 70kg",7,IF(Atletas!E13="Juvenil 75kg",8,IF(Atletas!E13="Juvenil 82kg",9,IF(Atletas!E13="Juvenil 90kg",10,IF(Atletas!E13="Juvenil 100kg",11,IF(Atletas!E13="Adulto 48kg",12,IF(Atletas!E13="Adulto 52kg",13,IF(Atletas!E13="Adulto 56kg",14,IF(Atletas!E13="Adulto 60kg",15,IF(Atletas!E13="Adulto 65kg",16,IF(Atletas!E13="Adulto 70kg",17,IF(Atletas!E13="Adulto 75kg",18,IF(Atletas!E13="Adulto 82kg",19,IF(Atletas!E13="Adulto 90kg",20,IF(Atletas!E13="Adulto 100kg",21,IF(Atletas!E13="Adulto +100kg",22,""))))))))))))))))))))))))</f>
        <v/>
      </c>
      <c r="AT18" s="50" t="str">
        <f>IF(AU18&lt;&gt;"","Adulto 60kg","")</f>
        <v/>
      </c>
      <c r="AU18" s="6" t="str">
        <f>IF(COUNTIF(AS:AS,115)&gt;0,COUNTIF(AS:AS,115),"")</f>
        <v/>
      </c>
      <c r="AV18" s="50" t="str">
        <f>IF(AW18&lt;&gt;"","Adulto 56kg","")</f>
        <v/>
      </c>
      <c r="AW18" s="6" t="str">
        <f>IF(COUNTIF(AS:AS,214)&gt;0,COUNTIF(AS:AS,214),"")</f>
        <v/>
      </c>
      <c r="AX18" s="6" t="str">
        <f>IF(Atletas!F13="","",IF(Atletas!B13="Feminino",100,IF(Atletas!B13="Masculino",200,""))+(IF(Atletas!F13="Adulto 48kg",1,IF(Atletas!F13="Adulto 56kg",2,IF(Atletas!F13="Adulto 65kg",3,IF(Atletas!F13="Adulto 75kg",4,IF(Atletas!F13="Adulto +75kg",5,IF(Atletas!F13="Adulto 52kg",6,IF(Atletas!F13="Adulto 60kg",7,IF(Atletas!F13="Adulto 70kg",8,IF(Atletas!F13="Adulto 80kg",9,IF(Atletas!F13="Adulto 90kg",10,IF(Atletas!F13="Adulto +90kg",11,"")))))))))))))</f>
        <v/>
      </c>
      <c r="BC18" s="6" t="str">
        <f>IF(Atletas!G13="","",IF(Atletas!B13="Feminino",10,IF(Atletas!B13="Masculino",20,""))+(IF(Atletas!G13="Baduanjin A",1,IF(Atletas!G13="Baduanjin B",2))))</f>
        <v/>
      </c>
      <c r="BF18" s="52" t="str">
        <f>IF(Atletas!H13="","",IF(Atletas!B13="Feminino",100,IF(Atletas!B13="Masculino",200,""))+(IF(Atletas!H13="Changquan Mirim",1,IF(Atletas!H13="Nanquan Mirim",2,IF(Atletas!H13="Taijiquan Mirim",3,IF(Atletas!H13="Changquan Grupo C",4,IF(Atletas!H13="Nanquan Grupo C",5,IF(Atletas!H13="Taijiquan Grupo C",6,IF(Atletas!H13="Changquan Grupo B",7,IF(Atletas!H13="Nanquan Grupo B",8,IF(Atletas!H13="Taijiquan Grupo B",9,IF(Atletas!H13="Changquan Grupo A",10,IF(Atletas!H13="Nanquan Grupo A",11,IF(Atletas!H13="Taijiquan Grupo A",12,IF(Atletas!H13="Changquan Opcional",13,IF(Atletas!H13="Nanquan Opcional",14,IF(Atletas!H13="Taijiquan Opcional",15,IF(Atletas!H13="Changquan Adulto",16,IF(Atletas!H13="Nanquan Adulto",17,IF(Atletas!H13="Taijiquan Adulto",18,""))))))))))))))))))))</f>
        <v/>
      </c>
      <c r="BG18" s="52" t="str">
        <f>IF(Atletas!I13="","",IF(Atletas!B13="Feminino",100,IF(Atletas!B13="Masculino",200,""))+(IF(Atletas!I13="Daoshu Mirim",19,IF(Atletas!I13="Jianshu Mirim",20,IF(Atletas!I13="Nandao Mirim",21,IF(Atletas!I13="Taijijian Mirim",22,IF(Atletas!I13="Daoshu Grupo C",23,IF(Atletas!I13="Jianshu Grupo C",24,IF(Atletas!I13="Nandao Grupo C",25,IF(Atletas!I13="Taijijian Grupo C",26,IF(Atletas!I13="Daoshu Grupo B",27,IF(Atletas!I13="Jianshu Grupo B",28,IF(Atletas!I13="Nandao Grupo B",29,IF(Atletas!I13="Taijijian Grupo B",30,IF(Atletas!I13="Daoshu Grupo A",31,IF(Atletas!I13="Jianshu Grupo A",32,IF(Atletas!I13="Nandao Grupo A",33,IF(Atletas!I13="Taijijian Grupo A",34,IF(Atletas!I13="Daoshu Opcional",35,IF(Atletas!I13="Jianshu Opcional",36,IF(Atletas!I13="Nandao Opcional",37,IF(Atletas!I13="Taijijian Opcional",38,IF(Atletas!I13="Daoshu Adulto",39,IF(Atletas!I13="Jianshu Adulto",40,IF(Atletas!I13="Nandao Adulto",41,IF(Atletas!I13="Taijijian Adulto",42,""))))))))))))))))))))))))))</f>
        <v/>
      </c>
      <c r="BH18" s="52" t="str">
        <f>IF(Atletas!J13="","",IF(Atletas!B13="Feminino",100,IF(Atletas!B13="Masculino",200,""))+(IF(Atletas!J13="Gunshu Mirim",43,IF(Atletas!J13="Qiangshu Mirim",44,IF(Atletas!J13="Nangun Mirim",45,IF(Atletas!J13="Gunshu Grupo C",46,IF(Atletas!J13="Qiangshu Grupo C",47,IF(Atletas!J13="Nangun Grupo C",48,IF(Atletas!J13="Gunshu Grupo B",49,IF(Atletas!J13="Qiangshu Grupo B",50,IF(Atletas!J13="Nangun Grupo B",51,IF(Atletas!J13="Gunshu Grupo A",52,IF(Atletas!J13="Qiangshu Grupo A",53,IF(Atletas!J13="Nangun Grupo A",54,IF(Atletas!J13="Gunshu Opcional",55,IF(Atletas!J13="Qiangshu Opcional",56,IF(Atletas!J13="Nangun Opcional",57,IF(Atletas!J13="Gunshu Adulto",58,IF(Atletas!J13="Qiangshu Adulto",59,IF(Atletas!J13="Nangun Adulto",60,IF(Atletas!J13="Taijishan Grupo B",61,IF(Atletas!J13="Taijishan Grupo A",62,""))))))))))))))))))))))</f>
        <v/>
      </c>
      <c r="BI18" s="52" t="str">
        <f>IF(BJ18&lt;&gt;"","Nanquan Grupo C","")</f>
        <v/>
      </c>
      <c r="BJ18" s="50" t="str">
        <f>IF(COUNTIF(BF:BH,105)&gt;0,COUNTIF(BF:BH,105),"")</f>
        <v/>
      </c>
      <c r="BK18" s="52" t="str">
        <f>IF(BL18&lt;&gt;"","Nanquan Grupo C","")</f>
        <v/>
      </c>
      <c r="BL18" s="50" t="str">
        <f>IF(COUNTIF(BF:BH,205)&gt;0,COUNTIF(BF:BH,205),"")</f>
        <v/>
      </c>
      <c r="BM18" s="50" t="str">
        <f>IF(Atletas!K13="","",IF(Atletas!B13="Feminino",100,IF(Atletas!B13="Masculino",200,""))+(IF(Atletas!K13="Equipe 1 Grupo B",1,IF(Atletas!K13="Equipe 2 Grupo B",2,IF(Atletas!K13="Equipe 1 Grupo A",3,IF(Atletas!K13="Equipe 2 Grupo A",4,IF(Atletas!K13="Equipe 1 Adulto",5,IF(Atletas!K13="Equipe 2 Adulto",6,""))))))))</f>
        <v/>
      </c>
      <c r="BN18" s="57"/>
      <c r="BO18" s="57"/>
      <c r="BP18" s="57"/>
      <c r="BQ18" s="55"/>
      <c r="BR18" s="50" t="str">
        <f>IF(Atletas!L13="","",IF(Atletas!X13&lt;&gt;"",10000,0)+(IF(Atletas!B13="Feminino",1000,IF(Atletas!B13="Masculino",2000,""))+IF(Atletas!L13="Choylayfut A",1,IF(Atletas!L13="Hunggar A",2,IF(Atletas!L13="Wuzuquan A",3,IF(Atletas!L13="Wingchun A",4,IF(Atletas!L13="Outra Mão de Sul A",5,IF(Atletas!L13="Choylayfut B",6,IF(Atletas!L13="Hunggar B",7,IF(Atletas!L13="Wuzuquan B",8,IF(Atletas!L13="Wingchun B",9,IF(Atletas!L13="Outra Mão de Sul B",10,IF(Atletas!L13="Choylayfut C",11,IF(Atletas!L13="Hunggar C",12,IF(Atletas!L13="Wuzuquan C",13,IF(Atletas!L13="Wingchun C",14,IF(Atletas!L13="Outra Mão de Sul C",15,IF(Atletas!L13="Choylayfut D",16,IF(Atletas!L13="Hunggar D",17,IF(Atletas!L13="Wuzuquan D",18,IF(Atletas!L13="Wingchun D",19,IF(Atletas!L13="Outra Mão de Sul D",20,IF(Atletas!L13="Choylayfut E",21,IF(Atletas!L13="Hunggar E",22,IF(Atletas!L13="Wuzuquan E",23,IF(Atletas!L13="Wingchun E",24,IF(Atletas!L13="Outra Mão de Sul E",25,IF(Atletas!L13="Choylayfut F",26,IF(Atletas!L13="Hunggar F",27,IF(Atletas!L13="Wuzuquan F",28,IF(Atletas!L13="Wingchun F",29,IF(Atletas!L13="Outra Mão de Sul F",30,IF(Atletas!L13="Dishuquan A",31,IF(Atletas!L13="Dishuquan B",32,IF(Atletas!L13="Dishuquan C",33,IF(Atletas!L13="Dishuquan D",34,IF(Atletas!L13="Dishuquan E",35,IF(Atletas!L13="Dishuquan F",36,""))))))))))))))))))))))))))))))))))))))</f>
        <v/>
      </c>
      <c r="BS18" s="50" t="str">
        <f>IF(Atletas!M13="","",IF(Atletas!X13&lt;&gt;"",10000,0)+(IF(Atletas!B13="Feminino",1000,IF(Atletas!B13="Masculino",2000,""))+(IF(Atletas!M13="Chaquan A",101,IF(Atletas!M13="Emeiquan A",102,IF(Atletas!M13="Fanziquan A",103,IF(Atletas!M13="Huaquan A",104,IF(Atletas!M13="Hongquan A",105,IF(Atletas!M13="Paoquan A",106,IF(Atletas!M13="Piguaquan A",107,IF(Atletas!M13="Shaolinquan A",108,IF(Atletas!M13="Tanglangquan A",109,IF(Atletas!M13="Yingzhaoquan A",110,IF(Atletas!M13="Tongbeiquan A",111,IF(Atletas!M13="Wudangquan A",112,IF(Atletas!M13="Outros Estilos A",113,IF(Atletas!M13="Chaquan B",114,IF(Atletas!M13="Emeiquan B",115,IF(Atletas!M13="Fanziquan B",116,IF(Atletas!M13="Huaquan B",117,IF(Atletas!M13="Hongquan B",118,IF(Atletas!M13="Paoquan B",119,IF(Atletas!M13="Piguaquan B",120,IF(Atletas!M13="Shaolinquan B",121,IF(Atletas!M13="Tanglangquan B",122,IF(Atletas!M13="Yingzhaoquan B",123,IF(Atletas!M13="Tongbeiquan B",124,IF(Atletas!M13="Wudangquan B",125,IF(Atletas!M13="Outros Estilos B",126,IF(Atletas!M13="Chaquan C",127,IF(Atletas!M13="Emeiquan C",128,IF(Atletas!M13="Fanziquan C",129,IF(Atletas!M13="Huaquan C",130,IF(Atletas!M13="Hongquan C",131,IF(Atletas!M13="Paoquan C",132,IF(Atletas!M13="Piguaquan C",133,IF(Atletas!M13="Shaolinquan C",134,IF(Atletas!M13="Tanglangquan C",135,IF(Atletas!M13="Yingzhaoquan C",136,IF(Atletas!M13="Tongbeiquan C",137,IF(Atletas!M13="Wudangquan C",138,IF(Atletas!M13="Outros Estilos C",139,0))))))))))))))))))))))))))))))))))))))))))</f>
        <v/>
      </c>
      <c r="BT18" s="50" t="str">
        <f>IF(Atletas!M13="","",IF(Atletas!X13&lt;&gt;"",10000,0)+(IF(Atletas!B13="Feminino",1000,IF(Atletas!B13="Masculino",2000,""))+(IF(Atletas!M13="Chaquan D",140,IF(Atletas!M13="Emeiquan D",141,IF(Atletas!M13="Fanziquan D",142,IF(Atletas!M13="Huaquan D",143,IF(Atletas!M13="Hongquan D",144,IF(Atletas!M13="Paoquan D",145,IF(Atletas!M13="Piguaquan D",146,IF(Atletas!M13="Shaolinquan D",147,IF(Atletas!M13="Tanglangquan D",148,IF(Atletas!M13="Yingzhaoquan D",149,IF(Atletas!M13="Tongbeiquan D",150,IF(Atletas!M13="Wudangquan D",151,IF(Atletas!M13="Outros Estilos D",152,IF(Atletas!M13="Chaquan E",153,IF(Atletas!M13="Emeiquan E",154,IF(Atletas!M13="Fanziquan E",155,IF(Atletas!M13="Huaquan E",156,IF(Atletas!M13="Hongquan E",157,IF(Atletas!M13="Paoquan E",158,IF(Atletas!M13="Piguaquan E",159,IF(Atletas!M13="Shaolinquan E",160,IF(Atletas!M13="Tanglangquan E",161,IF(Atletas!M13="Yingzhaoquan E",162,IF(Atletas!M13="Tongbeiquan E",163,IF(Atletas!M13="Wudangquan E",164,IF(Atletas!M13="Outros Estilos E",165,IF(Atletas!M13="Chaquan F",166,IF(Atletas!M13="Emeiquan F",167,IF(Atletas!M13="Fanziquan F",168,IF(Atletas!M13="Huaquan F",169,IF(Atletas!M13="Hongquan F",170,IF(Atletas!M13="Paoquan F",171,IF(Atletas!M13="Piguaquan F",172,IF(Atletas!M13="Shaolinquan F",173,IF(Atletas!M13="Tanglangquan F",174,IF(Atletas!M13="Yingzhaoquan F",175,IF(Atletas!M13="Tongbeiquan F",176,IF(Atletas!M13="Wudangquan F",177,IF(Atletas!M13="Outros Estilos F",178,0))))))))))))))))))))))))))))))))))))))))))</f>
        <v/>
      </c>
      <c r="BU18" s="50" t="str">
        <f>IF(Atletas!N13="","",IF(Atletas!X13&lt;&gt;"",10000,0)+(IF(Atletas!B13="Feminino",1000,IF(Atletas!B13="Masculino",2000,""))+(IF(Atletas!N13="Ditangquan A",201,IF(Atletas!N13="Houquan A",202,IF(Atletas!N13="Zuiquan A",203,IF(Atletas!N13="Ditangquan B",204,IF(Atletas!N13="Houquan B",205,IF(Atletas!N13="Zuiquan B",206,IF(Atletas!N13="Ditangquan C",207,IF(Atletas!N13="Houquan C",208,IF(Atletas!N13="Zuiquan C",209,IF(Atletas!N13="Ditangquan D",210,IF(Atletas!N13="Houquan D",211,IF(Atletas!N13="Zuiquan D",212,IF(Atletas!N13="Ditangquan E",213,IF(Atletas!N13="Houquan E",214,IF(Atletas!N13="Zuiquan E",215,IF(Atletas!N13="Ditangquan F",216,IF(Atletas!N13="Houquan F",217,IF(Atletas!N13="Zuiquan F",218,"")))))))))))))))))))))</f>
        <v/>
      </c>
      <c r="BV18" s="50" t="str">
        <f>IF(Atletas!O13="","",IF(Atletas!X13&lt;&gt;"",10000,0)+IF(Atletas!B13="Feminino",1000,IF(Atletas!B13="Masculino",2000,""))+IF(Atletas!O13="Yang A",301,IF(Atletas!O13="Chen A",302,IF(Atletas!O13="Sun A",303,IF(Atletas!O13="Wu A",304,IF(Atletas!O13="Wu-Hao A",305,IF(Atletas!O13="Outro Taijiquan A",306,IF(Atletas!O13="Yang B",307,IF(Atletas!O13="Chen B",308,IF(Atletas!O13="Sun B",309,IF(Atletas!O13="Wu B",310,IF(Atletas!O13="Wu-Hao B",311,IF(Atletas!O13="Outro Taijiquan B",312,IF(Atletas!O13="Yang C",313,IF(Atletas!O13="Chen C",314,IF(Atletas!O13="Sun C",315,IF(Atletas!O13="Wu C",316,IF(Atletas!O13="Wu-Hao C",317,IF(Atletas!O13="Outro Taijiquan C",318,IF(Atletas!O13="Yang D",319,IF(Atletas!O13="Chen D",320,IF(Atletas!O13="Sun D",321,IF(Atletas!O13="Wu D",322,IF(Atletas!O13="Wu-Hao D",323,IF(Atletas!O13="Outro Taijiquan D",324,IF(Atletas!O13="Yang E",325,IF(Atletas!O13="Chen E",326,IF(Atletas!O13="Sun E",327,IF(Atletas!O13="Wu E",328,IF(Atletas!O13="Wu-Hao E",329,IF(Atletas!O13="Outro Taijiquan E",330,IF(Atletas!O13="Yang F",331,IF(Atletas!O13="Chen F",332,IF(Atletas!O13="Sun F",333,IF(Atletas!O13="Wu F",334,IF(Atletas!O13="Wu-Hao F",335,IF(Atletas!O13="Outro Taijiquan F",336,"")))))))))))))))))))))))))))))))))))))</f>
        <v/>
      </c>
      <c r="BW18" s="50" t="str">
        <f>IF(Atletas!P13="","",IF(Atletas!X13&lt;&gt;"",10000,0)+IF(Atletas!B13="Feminino",1000,IF(Atletas!B13="Masculino",2000,""))+IF(OR(Atletas!P13="Yang 26 A",Atletas!P13="Yang 40 A"),401,IF(OR(Atletas!P13="Chen 25 A",Atletas!P13="Chen 36 A",Atletas!P13="Chen 56 A"),402,IF(Atletas!P13="Sun 73 A",403,IF(Atletas!P13="Wu 45 A",404,IF(Atletas!P13="Wu-Hao 46 A",405,IF(OR(Atletas!P13="Taijiquan 16 A",Atletas!P13="Taijiquan 24 A",Atletas!P13="Taijiquan 32 A",Atletas!P13="Taijiquan 42 A"),406,IF(OR(Atletas!P13="Yang 26 B",Atletas!P13="Yang 40 B"),407,IF(OR(Atletas!P13="Chen 25 B",Atletas!P13="Chen 36 B",Atletas!P13="Chen 56 B"),408,IF(Atletas!P13="Sun 73 B",409,IF(Atletas!P13="Wu 45 B",410,IF(Atletas!P13="Wu-Hao 46 B",411,IF(OR(Atletas!P13="Taijiquan 16 B",Atletas!P13="Taijiquan 24 B",Atletas!P13="Taijiquan 32 B",Atletas!P13="Taijiquan 42 B"),412,IF(OR(Atletas!P13="Yang 26 C",Atletas!P13="Yang 40 C"),413,IF(OR(Atletas!P13="Chen 25 C",Atletas!P13="Chen 36 C",Atletas!P13="Chen 56 C"),414,IF(Atletas!P13="Sun 73 C",415,IF(Atletas!P13="Wu 45 C",416,IF(Atletas!P13="Wu-Hao 46 C",417,IF(OR(Atletas!P13="Taijiquan 16 C",Atletas!P13="Taijiquan 24 C",Atletas!P13="Taijiquan 32 C",Atletas!P13="Taijiquan 42 C"),418,0)))))))))))))))))))</f>
        <v/>
      </c>
      <c r="BX18" s="50" t="str">
        <f>IF(Atletas!P13="","",IF(Atletas!X13&lt;&gt;"",10000,0)+IF(Atletas!B13="Feminino",1000,IF(Atletas!B13="Masculino",2000,""))+IF(OR(Atletas!P13="Yang 26 D",Atletas!P13="Yang 40 D"),419,IF(OR(Atletas!P13="Chen 25 D",Atletas!P13="Chen 36 D",Atletas!P13="Chen 56 D"),420,IF(Atletas!P13="Sun 73 D",421,IF(Atletas!P13="Wu 45 D",422,IF(Atletas!P13="Wu-Hao 46 D",423,IF(OR(Atletas!P13="Taijiquan 16 D",Atletas!P13="Taijiquan 24 D",Atletas!P13="Taijiquan 32 D",Atletas!P13="Taijiquan 42 D"),424,IF(OR(Atletas!P13="Yang 26 E",Atletas!P13="Yang 40 E"),425,IF(OR(Atletas!P13="Chen 25 E",Atletas!P13="Chen 36 E",Atletas!P13="Chen 56 E"),426,IF(Atletas!P13="Sun 73 E",427,IF(Atletas!P13="Wu 45 E",428,IF(Atletas!P13="Wu-Hao 46 E",429,IF(OR(Atletas!P13="Taijiquan 16 E",Atletas!P13="Taijiquan 24 E",Atletas!P13="Taijiquan 32 E",Atletas!P13="Taijiquan 42 E"),430,IF(OR(Atletas!P13="Yang 26 F",Atletas!P13="Yang 40 F"),431,IF(OR(Atletas!P13="Chen 25 F",Atletas!P13="Chen 36 F",Atletas!P13="Chen 56 F"),432,IF(Atletas!P13="Sun 73 F",433,IF(Atletas!P13="Wu 45 F",434,IF(Atletas!P13="Wu-Hao 46 F",435,IF(OR(Atletas!P13="Taijiquan 16 F",Atletas!P13="Taijiquan 24 F",Atletas!P13="Taijiquan 32 F",Atletas!P13="Taijiquan 42 F"),436,0)))))))))))))))))))</f>
        <v/>
      </c>
      <c r="BY18" s="50" t="str">
        <f>IF(Atletas!Q13="","",IF(Atletas!X13&lt;&gt;"",10000,0)+IF(Atletas!B13="Feminino",1000,IF(Atletas!B13="Masculino",2000,""))+IF(Atletas!Q13="Xingyiquan A",501,IF(Atletas!Q13="Baguazhang A",502,IF(Atletas!Q13="Outro Estilo Interno A",503,IF(Atletas!Q13="Xingyiquan B",504,IF(Atletas!Q13="Baguazhang B",505,IF(Atletas!Q13="Outro Estilo Interno B",506,IF(Atletas!Q13="Xingyiquan C",507,IF(Atletas!Q13="Baguazhang C",508,IF(Atletas!Q13="Outro Estilo Interno C",509,IF(Atletas!Q13="Xingyiquan D",510,IF(Atletas!Q13="Baguazhang D",511,IF(Atletas!Q13="Outro Estilo Interno D",512,IF(Atletas!Q13="Xingyiquan E",513,IF(Atletas!Q13="Baguazhang E",514,IF(Atletas!Q13="Outro Estilo Interno E",515,IF(Atletas!Q13="Xingyiquan F",516,IF(Atletas!Q13="Baguazhang F",517,IF(Atletas!Q13="Outro Estilo Interno F",518, "")))))))))))))))))))</f>
        <v/>
      </c>
      <c r="BZ18" s="50" t="str">
        <f>IF(Atletas!R13="","",IF(Atletas!X13&lt;&gt;"",10000,0)+IF(Atletas!B13="Feminino",1000,IF(Atletas!B13="Masculino",2000,""))+IF(Atletas!R13="Dao A",601,IF(Atletas!R13="Jian A",602,IF(Atletas!R13="Bishou A",603,IF(Atletas!R13="Shanzi A",604,IF(Atletas!R13="Outra Arma Curta A",605,IF(Atletas!R13="Dao B",606,IF(Atletas!R13="Jian B",607,IF(Atletas!R13="Bishou B",608,IF(Atletas!R13="Shanzi B",609,IF(Atletas!R13="Outra Arma Curta B",610,IF(Atletas!R13="Dao C",611,IF(Atletas!R13="Jian C",612,IF(Atletas!R13="Bishou C",613,IF(Atletas!R13="Shanzi C",614,IF(Atletas!R13="Outra Arma Curta C",615,IF(Atletas!R13="Dao D",616,IF(Atletas!R13="Jian D",617,IF(Atletas!R13="Bishou D",618,IF(Atletas!R13="Shanzi D",619,IF(Atletas!R13="Outra Arma Curta D",620,IF(Atletas!R13="Dao E",621,IF(Atletas!R13="Jian E",622,IF(Atletas!R13="Bishou E",623,IF(Atletas!R13="Shanzi E",624,IF(Atletas!R13="Outra Arma Curta E",625,IF(Atletas!R13="Dao F",626,IF(Atletas!R13="Jian F",627,IF(Atletas!R13="Bishou F",628,IF(Atletas!R13="Shanzi F",629,IF(Atletas!R13="Outra Arma Curta F",630, "")))))))))))))))))))))))))))))))</f>
        <v/>
      </c>
      <c r="CA18" s="50" t="str">
        <f>IF(Atletas!S13="","",IF(Atletas!X13&lt;&gt;"",10000,0)+IF(Atletas!B13="Feminino",1000,IF(Atletas!B13="Masculino",2000,""))+IF(Atletas!S13="Gun A",701,IF(Atletas!S13="Qiang A",702,IF(Atletas!S13="Pudao / Guandao A",703,IF(Atletas!S13="Outra Arma Longa A",704,IF(Atletas!S13="Gun B",705,IF(Atletas!S13="Qiang B",706,IF(Atletas!S13="Pudao / Guandao B",707,IF(Atletas!S13="Outra Arma Longa B",708,IF(Atletas!S13="Gun C",709,IF(Atletas!S13="Qiang C",710,IF(Atletas!S13="Pudao / Guandao C",711,IF(Atletas!S13="Outra Arma Longa C",712,IF(Atletas!S13="Gun D",713,IF(Atletas!S13="Qiang D",714,IF(Atletas!S13="Pudao / Guandao D",715,IF(Atletas!S13="Outra Arma Longa D",716,IF(Atletas!S13="Gun E",717,IF(Atletas!S13="Qiang E",718,IF(Atletas!S13="Pudao / Guandao E",719,IF(Atletas!S13="Outra Arma Longa E",720,IF(Atletas!S13="Gun F",721,IF(Atletas!S13="Qiang F",722,IF(Atletas!S13="Pudao / Guandao F",723,IF(Atletas!S13="Outra Arma Longa F",724,"")))))))))))))))))))))))))</f>
        <v/>
      </c>
      <c r="CB18" s="50" t="str">
        <f>IF(Atletas!T13="","",IF(Atletas!X13&lt;&gt;"",10000,0)+IF(Atletas!B13="Feminino",1000,IF(Atletas!B13="Masculino",2000,""))+IF(Atletas!T13="Outra Arma Dupla A",801,IF(Atletas!T13="Arma Maleável A",802,IF(Atletas!T13="Outra Arma Dupla B",803,IF(Atletas!T13="Arma Maleável B",804,IF(Atletas!T13="Outra Arma Dupla C",805,IF(Atletas!T13="Arma Maleável C",806,IF(Atletas!T13="Outra Arma Dupla D",807,IF(Atletas!T13="Arma Maleável D",808,IF(Atletas!T13="Outra Arma Dupla E",809,IF(Atletas!T13="Arma Maleável E",810,IF(Atletas!T13="Outra Arma Dupla F",811,IF(Atletas!T13="Arma Maleável F",812,IF(Atletas!T13="Shuangdao A",813,IF(Atletas!T13="Shuangdao B",814,IF(Atletas!T13="Shuangdao C",815,IF(Atletas!T13="Shuangdao D",816,IF(Atletas!T13="Shuangdao E",817,IF(Atletas!T13="Shuangdao F",818,"")))))))))))))))))))</f>
        <v/>
      </c>
      <c r="CC18" s="50" t="str">
        <f>IF(Atletas!U13="","",IF(Atletas!X13&lt;&gt;"",10000,0)+IF(Atletas!B13="Feminino",1000,IF(Atletas!B13="Masculino",2000,""))+IF(OR(Atletas!U13="Taijijian Yang A",Atletas!U13="Taijijian Yang Standard A"),901,IF(OR(Atletas!U13="Taijijian Chen A", Atletas!U13="Taijijian Chen Standard A"),902,IF(Atletas!U13="Taijijian Sun A",903,IF(Atletas!U13="Taijijian Wu A",904,IF(Atletas!U13="Taijijian Wu-Hao A",905,IF(OR(Atletas!U13="Taijijian 32 A",Atletas!U13="Taijijian 42 A"),906,IF(OR(Atletas!U13="Taijijian Yang B",Atletas!U13="Taijijian Yang Standard B"),907,IF(OR(Atletas!U13="Taijijian Chen B", Atletas!U13="Taijijian Chen Standard B"),908,IF(Atletas!U13="Taijijian Sun B",909,IF(Atletas!U13="Taijijian Wu B",910,IF(Atletas!U13="Taijijian Wu-Hao B",911,IF(OR(Atletas!U13="Taijijian 32 B",Atletas!U13="Taijijian 42 B"),912,IF(OR(Atletas!U13="Taijijian Yang C",Atletas!U13="Taijijian Yang Standard C"),913,IF(OR(Atletas!U13="Taijijian Chen C", Atletas!U13="Taijijian Chen Standard C"),914,IF(Atletas!U13="Taijijian Sun C",915,IF(Atletas!U13="Taijijian Wu C",916,IF(Atletas!U13="Taijijian Wu-Hao C",917,IF(OR(Atletas!U13="Taijijian 32 C",Atletas!U13="Taijijian 42 C"),918,IF(OR(Atletas!U13="Taijijian Yang D",Atletas!U13="Taijijian Yang Standard D"),919,IF(OR(Atletas!U13="Taijijian Chen D", Atletas!U13="Taijijian Chen Standard D"),920,IF(Atletas!U13="Taijijian Sun D",921,IF(Atletas!U13="Taijijian Wu D",922,IF(Atletas!U13="Taijijian Wu-Hao D",923,IF(OR(Atletas!U13="Taijijian 32 D",Atletas!U13="Taijijian 42 D"),924,IF(OR(Atletas!U13="Taijijian Yang E",Atletas!U13="Taijijian Yang Standard E"),925,IF(OR(Atletas!U13="Taijijian Chen E", Atletas!U13="Taijijian Chen Standard E"),926,IF(Atletas!U13="Taijijian Sun E",927,IF(Atletas!U13="Taijijian Wu E",928,IF(Atletas!U13="Taijijian Wu-Hao E",929,IF(OR(Atletas!U13="Taijijian 32 E",Atletas!U13="Taijijian 42 E"),930,IF(OR(Atletas!U13="Taijijian Yang F",Atletas!U13="Taijijian Yang Standard F"),931,IF(OR(Atletas!U13="Taijijian Chen F", Atletas!U13="Taijijian Chen Standard F"),932,IF(Atletas!U13="Taijijian Sun F",933,IF(Atletas!U13="Taijijian Wu F",934,IF(Atletas!U13="Taijijian Wu-Hao F",935,IF(OR(Atletas!U13="Taijijian 32 F",Atletas!U13="Taijijian 42 F"),936,"")))))))))))))))))))))))))))))))))))))</f>
        <v/>
      </c>
      <c r="CD18" s="50" t="str">
        <f>IF(Atletas!V13="","",IF(Atletas!X13&lt;&gt;"",10000,0)+IF(Atletas!B13="Feminino",1000,IF(Atletas!B13="Masculino",2000,""))+IF(Atletas!V13="Taijidao A",937,IF(Atletas!V13="TaijiShanzi A",938,IF(Atletas!V13="Taijiqiang A",939,IF(Atletas!V13="Bagua de Arma A",940,IF(Atletas!V13="Xingyi de Arma A",941,IF(Atletas!V13="Taijidao B",942,IF(Atletas!V13="TaijiShanzi B",943,IF(Atletas!V13="Taijiqiang B",944,IF(Atletas!V13="Bagua de Arma B",945,IF(Atletas!V13="Xingyi de Arma B",946,IF(Atletas!V13="Taijidao C",947,IF(Atletas!V13="TaijiShanzi C",948,IF(Atletas!V13="Taijiqiang C",949,IF(Atletas!V13="Bagua de Arma C",950,IF(Atletas!V13="Xingyi de Arma C",951,IF(Atletas!V13="Taijidao D",952,IF(Atletas!V13="TaijiShanzi D",953,IF(Atletas!V13="Taijiqiang D",954,IF(Atletas!V13="Bagua de Arma D",955,IF(Atletas!V13="Xingyi de Arma D",956,IF(Atletas!V13="Taijidao E",957,IF(Atletas!V13="TaijiShanzi E",958,IF(Atletas!V13="Taijiqiang E",959,IF(Atletas!V13="Bagua de Arma E",960,IF(Atletas!V13="Xingyi de Arma E",961,IF(Atletas!V13="Taijidao F",962,IF(Atletas!V13="TaijiShanzi F",963,IF(Atletas!V13="Taijiqiang F",964,IF(Atletas!V13="Bagua de Arma F",965,IF(Atletas!V13="Xingyi de Arma F",966,"")))))))))))))))))))))))))))))))</f>
        <v/>
      </c>
      <c r="CE18" s="66" t="str">
        <f>IF(CF18&lt;&gt;"","Outra Mão de Sul B","")</f>
        <v/>
      </c>
      <c r="CF18" s="66" t="str">
        <f>IF(COUNTIF(BR:CD,1010)&gt;0,COUNTIF(BR:CD,1010),"")</f>
        <v/>
      </c>
      <c r="CG18" s="66" t="str">
        <f>IF(CH18&lt;&gt;"","Outra Mão de Sul B","")</f>
        <v/>
      </c>
      <c r="CH18" s="66" t="str">
        <f>IF(COUNTIF(BR:CD,2010)&gt;0,COUNTIF(BR:CD,2010),"")</f>
        <v/>
      </c>
      <c r="CI18" s="66" t="str">
        <f>IF(CJ18&lt;&gt;"","Hunggar C","")</f>
        <v/>
      </c>
      <c r="CJ18" s="66" t="str">
        <f>IF(COUNTIF(BR:CD,11012)&gt;0,COUNTIF(BR:CD,11012),"")</f>
        <v/>
      </c>
      <c r="CK18" s="66" t="str">
        <f>IF(CL18&lt;&gt;"","Hunggar C","")</f>
        <v/>
      </c>
      <c r="CL18" s="66" t="str">
        <f>IF(COUNTIF(BR:CD,12012)&gt;0,COUNTIF(BR:CD,12012),"")</f>
        <v/>
      </c>
      <c r="CM18" s="50" t="str">
        <f xml:space="preserve"> IF(Atletas!W13="","",IF(Atletas!W13="Duilian de Mãos BC - Equipe 1",1,IF(Atletas!W13="Duilian de Mãos BC - Equipe 2",2,IF(Atletas!W13="Duilian de Armas BC - Equipe 1",3,IF(Atletas!W13="Duilian de Armas BC - Equipe 2",4,IF(Atletas!W13="Duilian de Mãos DE - Equipe 1",5,IF(Atletas!W13="Duilian de Mãos DE - Equipe 2",6,IF(Atletas!W13="Duilian de Armas DE - Equipe 1",7,IF(Atletas!W13="Duilian de Armas DE - Equipe 2",8,IF(Atletas!W13="Duilian de Tuishou - Equipe 1",9,IF(Atletas!W13="Duilian de Tuishou - Equipe 2",10,IF(Atletas!W13="Grupo Externo ABC - Equipe 1",11,IF(Atletas!W13="Grupo Externo ABC - Equipe 2",12,IF(Atletas!W13="Grupo Interno ABC - Equipe 1",13,IF(Atletas!W13="Grupo Interno ABC - Equipe 2",14,IF(Atletas!W13="Grupo Externo DEF - Equipe 1",15,IF(Atletas!W13="Grupo Externo DEF - Equipe 2",16,IF(Atletas!W13="Grupo Interno DEF - Equipe 1",17,IF(Atletas!W13="Grupo Interno DEF - Equipe 2",18,"")))))))))))))))))))</f>
        <v/>
      </c>
      <c r="CP18" s="52"/>
      <c r="CQ18" s="64"/>
      <c r="CR18" s="67"/>
      <c r="CS18" s="68"/>
      <c r="CY18" s="41"/>
    </row>
    <row r="19" spans="1:103">
      <c r="A19" s="15"/>
      <c r="B19" s="3" t="str">
        <f t="array" ref="B19">IFERROR(INDEX(AO$7:AO$38,SMALL(IF(AO$7:AO$38&lt;&gt;"",ROW(AO$7:AO$38)-ROW(AO$7)+1),ROWS(AO$7:AO18))),"")</f>
        <v/>
      </c>
      <c r="C19" s="3" t="str">
        <f t="array" ref="C19">IFERROR(INDEX(AP$7:AP$38,SMALL(IF(AP$7:AP$38&lt;&gt;"",ROW(AP$7:AP$38)-ROW(AP$7)+1),ROWS(AP$7:AP18))),"")</f>
        <v/>
      </c>
      <c r="D19" s="3" t="str">
        <f t="array" ref="D19">IFERROR(INDEX(AQ$7:AQ$38,SMALL(IF(AQ$7:AQ$38&lt;&gt;"",ROW(AQ$7:AQ$38)-ROW(AQ$7)+1),ROWS(AQ$7:AQ18))),"")</f>
        <v/>
      </c>
      <c r="E19" s="3" t="str">
        <f t="array" ref="E19">IFERROR(INDEX(AR$7:AR$38,SMALL(IF(AR$7:AR$38&lt;&gt;"",ROW(AR$7:AR$38)-ROW(AR$7)+1),ROWS(AR$7:AR18))),"")</f>
        <v/>
      </c>
      <c r="F19" s="3" t="str">
        <f t="array" ref="F19">IFERROR(INDEX(AT$7:AT$36,SMALL(IF(AT$7:AT$36&lt;&gt;"",ROW(AT$7:AT$36)-ROW(AT$7)+1),ROWS(AT$7:AT18))),"")</f>
        <v/>
      </c>
      <c r="G19" s="3" t="str">
        <f t="array" ref="G19">IFERROR(INDEX(AU$7:AU$36,SMALL(IF(AU$7:AU$36&lt;&gt;"",ROW(AU$7:AU$36)-ROW(AU$7)+1),ROWS(AU$7:AU18))),"")</f>
        <v/>
      </c>
      <c r="H19" s="3" t="str">
        <f t="array" ref="H19">IFERROR(INDEX(AV$7:AV$36,SMALL(IF(AV$7:AV$36&lt;&gt;"",ROW(AV$7:AV$36)-ROW(AV$7)+1),ROWS(AV$7:AV18))),"")</f>
        <v/>
      </c>
      <c r="I19" s="3" t="str">
        <f t="array" ref="I19">IFERROR(INDEX(AW$7:AW$36,SMALL(IF(AW$7:AW$36&lt;&gt;"",ROW(AW$7:AW$36)-ROW(AW$7)+1),ROWS(AW$7:AW18))),"")</f>
        <v/>
      </c>
      <c r="J19" s="3" t="str">
        <f t="array" ref="J19">IFERROR(INDEX(AY$7:AY$36,SMALL(IF(AY$7:AY$36&lt;&gt;"",ROW(AY$7:AY$36)-ROW(AY$7)+1),ROWS(AY$7:AY18))),"")</f>
        <v/>
      </c>
      <c r="K19" s="3" t="str">
        <f t="array" ref="K19">IFERROR(INDEX(AZ$7:AZ$36,SMALL(IF(AZ$7:AZ$36&lt;&gt;"",ROW(AZ$7:AZ$36)-ROW(AZ$7)+1),ROWS(AZ$7:AZ18))),"")</f>
        <v/>
      </c>
      <c r="L19" s="3" t="str">
        <f t="array" ref="L19">IFERROR(INDEX(BA$7:BA$36,SMALL(IF(BA$7:BA$36&lt;&gt;"",ROW(BA$7:BA$36)-ROW(BA$7)+1),ROWS(BA$7:BA18))),"")</f>
        <v/>
      </c>
      <c r="M19" s="3" t="str">
        <f t="array" ref="M19">IFERROR(INDEX(BB$7:BB$36,SMALL(IF(BB$7:BB$36&lt;&gt;"",ROW(BB$7:BB$36)-ROW(BB$7)+1),ROWS(BB$7:BB18))),"")</f>
        <v/>
      </c>
      <c r="N19" s="3" t="str" cm="1">
        <f t="array" ref="N19">IFERROR(INDEX(BD$7:BD$8,SMALL(IF(BD$7:BD$8&lt;&gt;"",ROW(BD$7:BD$8)-ROW(BD$7)+1),ROWS(BD$7:BD18))),"")</f>
        <v/>
      </c>
      <c r="O19" s="3" t="str" cm="1">
        <f t="array" ref="O19">IFERROR(INDEX(BE$7:BE$8,SMALL(IF(BE$7:BE$8&lt;&gt;"",ROW(BE$7:BE$8)-ROW(BE$7)+1),ROWS(BE$7:BE18))),"")</f>
        <v/>
      </c>
      <c r="P19" s="3" t="str" cm="1">
        <f t="array" ref="P19">IFERROR(INDEX(BD$9:BD$10,SMALL(IF(BD$9:BD$10&lt;&gt;"",ROW(BD$9:BD$10)-ROW(BD$9)+1),ROWS(BD$9:BD20))),"")</f>
        <v/>
      </c>
      <c r="Q19" s="3" t="str">
        <f t="array" ref="Q19">IFERROR(INDEX(BH$7:BH$36,SMALL(IF(BH$7:BH$36&lt;&gt;"",ROW(BH$7:BH$36)-ROW(BH$7)+1),ROWS(BH$7:BH18))),"")</f>
        <v/>
      </c>
      <c r="R19" s="3" t="str">
        <f t="array" ref="R19">IFERROR(INDEX(BI$7:BI$68,SMALL(IF(BI$7:BI$68&lt;&gt;"",ROW(BI$7:BI$68)-ROW(BI$7)+1),ROWS(BI$7:BI18))),"")</f>
        <v/>
      </c>
      <c r="S19" s="3" t="str">
        <f t="array" ref="S19">IFERROR(INDEX(BJ$7:BJ$68,SMALL(IF(BJ$7:BJ$68&lt;&gt;"",ROW(BJ$7:BJ$68)-ROW(BJ$7)+1),ROWS(BJ$7:BJ18))),"")</f>
        <v/>
      </c>
      <c r="T19" s="3" t="str">
        <f t="array" ref="T19">IFERROR(INDEX(BK$7:BK$68,SMALL(IF(BK$7:BK$68&lt;&gt;"",ROW(BK$7:BK$68)-ROW(BK$7)+1),ROWS(BK$7:BK18))),"")</f>
        <v/>
      </c>
      <c r="U19" s="3" t="str">
        <f t="array" ref="U19">IFERROR(INDEX(BL$7:BL$68,SMALL(IF(BL$7:BL$68&lt;&gt;"",ROW(BL$7:BL$68)-ROW(BL$7)+1),ROWS(BL$7:BL18))),"")</f>
        <v/>
      </c>
      <c r="V19" s="20"/>
      <c r="W19" s="20"/>
      <c r="X19" s="20"/>
      <c r="Y19" s="20"/>
      <c r="Z19" s="3" t="str">
        <f t="array" ref="Z19">IFERROR(INDEX(CE$7:CE$348,SMALL(IF(CE$7:CE$348&lt;&gt;"",ROW(CE$7:CE$348)-ROW(CE$7)+1),ROWS(CE$7:CE18))),"")</f>
        <v/>
      </c>
      <c r="AA19" s="3" t="str">
        <f t="array" ref="AA19">IFERROR(INDEX(CF$7:CF$348,SMALL(IF(CF$7:CF$348&lt;&gt;"",ROW(CF$7:CF$348)-ROW(CF$7)+1),ROWS(CF$7:CF18))),"")</f>
        <v/>
      </c>
      <c r="AB19" s="3" t="str">
        <f t="array" ref="AB19">IFERROR(INDEX(CG$7:CG$348,SMALL(IF(CG$7:CG$348&lt;&gt;"",ROW(CG$7:CG$348)-ROW(CG$7)+1),ROWS(CG$7:CG18))),"")</f>
        <v/>
      </c>
      <c r="AC19" s="3" t="str">
        <f t="array" ref="AC19">IFERROR(INDEX(CH$7:CH$348,SMALL(IF(CH$7:CH$348&lt;&gt;"",ROW(CH$7:CH$348)-ROW(CH$7)+1),ROWS(CH$7:CH18))),"")</f>
        <v/>
      </c>
      <c r="AD19" s="3" t="str">
        <f t="array" ref="AD19">IFERROR(INDEX(CI$7:CI$377,SMALL(IF(CI$7:CI$377&lt;&gt;"",ROW(CI$7:CI$377)-ROW(CI$7)+1),ROWS(CI$7:CI18))),"")</f>
        <v/>
      </c>
      <c r="AE19" s="3" t="str">
        <f t="array" ref="AE19">IFERROR(INDEX(CJ$7:CJ$378,SMALL(IF(CJ$7:CJ$378&lt;&gt;"",ROW(CJ$7:CJ$378)-ROW(CJ$7)+1),ROWS(CJ$7:CJ18))),"")</f>
        <v/>
      </c>
      <c r="AF19" s="3" t="str">
        <f t="array" ref="AF19">IFERROR(INDEX(CK$7:CK$378,SMALL(IF(CK$7:CK$378&lt;&gt;"",ROW(CK$7:CK$378)-ROW(CK$7)+1),ROWS(CK$7:CK18))),"")</f>
        <v/>
      </c>
      <c r="AG19" s="3" t="str">
        <f t="array" ref="AG19">IFERROR(INDEX(CL$7:CL$378,SMALL(IF(CL$7:CL$378&lt;&gt;"",ROW(CL$7:CL$378)-ROW(CL$7)+1),ROWS(CL$7:CL18))),"")</f>
        <v/>
      </c>
      <c r="AH19" s="40" t="str">
        <f t="array" ref="AH19">IFERROR(INDEX(CN$7:CN$18,SMALL(IF(CN$7:CN$18&lt;&gt;"",ROW(CN$7:CN$18)-ROW(CN$7)+1),ROWS(CN$7:CN18))),"")</f>
        <v/>
      </c>
      <c r="AI19" s="40" t="str">
        <f t="array" ref="AI19">IFERROR(INDEX(CO$7:CO$18,SMALL(IF(CO$7:CO$18&lt;&gt;"",ROW(CO$7:CO$18)-ROW(CO$7)+1),ROWS(CO$7:CO18))),"")</f>
        <v/>
      </c>
      <c r="AJ19" s="40"/>
      <c r="AK19" s="40"/>
      <c r="AL19" s="40" t="str">
        <f t="array" ref="AL19">IFERROR(INDEX(CR$7:CR$14,SMALL(IF(CR$7:CR$14&lt;&gt;"",ROW(CR$7:CR$14)-ROW(CR$7)+1),ROWS(CR$7:CR18))),"")</f>
        <v/>
      </c>
      <c r="AM19" s="40"/>
      <c r="AN19" s="52" t="str">
        <f>IF(Atletas!D14="","",IF(Atletas!B14="Feminino",100,IF(Atletas!B14="Masculino",200,""))+(IF(Atletas!D14="Kids 30kg",1,IF(Atletas!D14="Kids 32kg",2, IF(Atletas!D14="Kids 34kg",3,IF(Atletas!D14="Kids 36kg",4,IF(Atletas!D14="Kids 39kg",5,IF(Atletas!D14="Kids 42kg",6,IF(Atletas!D14="Kids 45kg",7, IF(Atletas!D14="Infantil 39kg",8,IF(Atletas!D14="Infantil 42kg",9,IF(Atletas!D14="Infantil 45kg",10,IF(Atletas!D14="Infantil 48kg",11,IF(Atletas!D14="Infantil 52kg",12,IF(Atletas!D14="Infantil 56kg",13,IF(Atletas!D14="Infantil 60kg",14,IF(Atletas!D14="Juvenil 48kg",15,IF(Atletas!D14="Juvenil 52kg",16,IF(Atletas!D14="Juvenil 56kg",17,IF(Atletas!D14="Juvenil 60kg",18,IF(Atletas!D14="Juvenil 65kg",19,IF(Atletas!D14="Juvenil 70kg",20,IF(Atletas!D14="Juvenil 75kg",21,IF(Atletas!D14="Juvenil 80kg",22, IF(Atletas!D14="Juvenil 85kg",23,IF(Atletas!D14="Adulto 48kg",24,IF(Atletas!D14="Adulto 52kg",25,IF(Atletas!D14="Adulto 56kg",26,IF(Atletas!D14="Adulto 60kg",27,IF(Atletas!D14="Adulto 65kg",28,IF(Atletas!D14="Adulto 70kg",29,IF(Atletas!D14="Adulto 75kg",30,IF(Atletas!D14="Adulto 80kg",31,IF(Atletas!D14="Adulto 85kg",32,IF(Atletas!D14="Adulto 90kg",33,IF(Atletas!D14="Adulto 100kg",34, IF(Atletas!D14="Adulto +100kg",35,"")))))))))))))))))))))))))))))))))))))</f>
        <v/>
      </c>
      <c r="AO19" s="50" t="str">
        <f>IF(AP19&lt;&gt;"","Juvenil 60kg","")</f>
        <v/>
      </c>
      <c r="AP19" s="6" t="str">
        <f>IF(COUNTIF(AN:AN,118)&gt;0,COUNTIF(AN:AN,118),"")</f>
        <v/>
      </c>
      <c r="AQ19" s="50" t="str">
        <f>IF(AR19&lt;&gt;"","Infantil 56kg","")</f>
        <v/>
      </c>
      <c r="AR19" s="6" t="str">
        <f>IF(COUNTIF(AN:AN,213)&gt;0,COUNTIF(AN:AN,213),"")</f>
        <v/>
      </c>
      <c r="AS19" s="6" t="str">
        <f>IF(Atletas!E14="","",IF(Atletas!B14="Feminino",100,IF(Atletas!B14="Masculino",200,""))+(IF(Atletas!E14="Juvenil 44kg",1,IF(Atletas!E14="Juvenil 48kg",2,IF(Atletas!E14="Juvenil 52kg",3,IF(Atletas!E14="Juvenil 56kg",4,IF(Atletas!E14="Juvenil 60kg",5,IF(Atletas!E14="Juvenil 65kg",6,IF(Atletas!E14="Juvenil 70kg",7,IF(Atletas!E14="Juvenil 75kg",8,IF(Atletas!E14="Juvenil 82kg",9,IF(Atletas!E14="Juvenil 90kg",10,IF(Atletas!E14="Juvenil 100kg",11,IF(Atletas!E14="Adulto 48kg",12,IF(Atletas!E14="Adulto 52kg",13,IF(Atletas!E14="Adulto 56kg",14,IF(Atletas!E14="Adulto 60kg",15,IF(Atletas!E14="Adulto 65kg",16,IF(Atletas!E14="Adulto 70kg",17,IF(Atletas!E14="Adulto 75kg",18,IF(Atletas!E14="Adulto 82kg",19,IF(Atletas!E14="Adulto 90kg",20,IF(Atletas!E14="Adulto 100kg",21,IF(Atletas!E14="Adulto +100kg",22,""))))))))))))))))))))))))</f>
        <v/>
      </c>
      <c r="AT19" s="50" t="str">
        <f>IF(AU19&lt;&gt;"","Adulto 65kg","")</f>
        <v/>
      </c>
      <c r="AU19" s="6" t="str">
        <f>IF(COUNTIF(AS:AS,116)&gt;0,COUNTIF(AS:AS,116),"")</f>
        <v/>
      </c>
      <c r="AV19" s="50" t="str">
        <f>IF(AW19&lt;&gt;"","Adulto 60kg","")</f>
        <v/>
      </c>
      <c r="AW19" s="6" t="str">
        <f>IF(COUNTIF(AS:AS,215)&gt;0,COUNTIF(AS:AS,215),"")</f>
        <v/>
      </c>
      <c r="AX19" s="6" t="str">
        <f>IF(Atletas!F14="","",IF(Atletas!B14="Feminino",100,IF(Atletas!B14="Masculino",200,""))+(IF(Atletas!F14="Adulto 48kg",1,IF(Atletas!F14="Adulto 56kg",2,IF(Atletas!F14="Adulto 65kg",3,IF(Atletas!F14="Adulto 75kg",4,IF(Atletas!F14="Adulto +75kg",5,IF(Atletas!F14="Adulto 52kg",6,IF(Atletas!F14="Adulto 60kg",7,IF(Atletas!F14="Adulto 70kg",8,IF(Atletas!F14="Adulto 80kg",9,IF(Atletas!F14="Adulto 90kg",10,IF(Atletas!F14="Adulto +90kg",11,"")))))))))))))</f>
        <v/>
      </c>
      <c r="BC19" s="6" t="str">
        <f>IF(Atletas!G14="","",IF(Atletas!B14="Feminino",10,IF(Atletas!B14="Masculino",20,""))+(IF(Atletas!G14="Baduanjin A",1,IF(Atletas!G14="Baduanjin B",2))))</f>
        <v/>
      </c>
      <c r="BF19" s="52" t="str">
        <f>IF(Atletas!H14="","",IF(Atletas!B14="Feminino",100,IF(Atletas!B14="Masculino",200,""))+(IF(Atletas!H14="Changquan Mirim",1,IF(Atletas!H14="Nanquan Mirim",2,IF(Atletas!H14="Taijiquan Mirim",3,IF(Atletas!H14="Changquan Grupo C",4,IF(Atletas!H14="Nanquan Grupo C",5,IF(Atletas!H14="Taijiquan Grupo C",6,IF(Atletas!H14="Changquan Grupo B",7,IF(Atletas!H14="Nanquan Grupo B",8,IF(Atletas!H14="Taijiquan Grupo B",9,IF(Atletas!H14="Changquan Grupo A",10,IF(Atletas!H14="Nanquan Grupo A",11,IF(Atletas!H14="Taijiquan Grupo A",12,IF(Atletas!H14="Changquan Opcional",13,IF(Atletas!H14="Nanquan Opcional",14,IF(Atletas!H14="Taijiquan Opcional",15,IF(Atletas!H14="Changquan Adulto",16,IF(Atletas!H14="Nanquan Adulto",17,IF(Atletas!H14="Taijiquan Adulto",18,""))))))))))))))))))))</f>
        <v/>
      </c>
      <c r="BG19" s="52" t="str">
        <f>IF(Atletas!I14="","",IF(Atletas!B14="Feminino",100,IF(Atletas!B14="Masculino",200,""))+(IF(Atletas!I14="Daoshu Mirim",19,IF(Atletas!I14="Jianshu Mirim",20,IF(Atletas!I14="Nandao Mirim",21,IF(Atletas!I14="Taijijian Mirim",22,IF(Atletas!I14="Daoshu Grupo C",23,IF(Atletas!I14="Jianshu Grupo C",24,IF(Atletas!I14="Nandao Grupo C",25,IF(Atletas!I14="Taijijian Grupo C",26,IF(Atletas!I14="Daoshu Grupo B",27,IF(Atletas!I14="Jianshu Grupo B",28,IF(Atletas!I14="Nandao Grupo B",29,IF(Atletas!I14="Taijijian Grupo B",30,IF(Atletas!I14="Daoshu Grupo A",31,IF(Atletas!I14="Jianshu Grupo A",32,IF(Atletas!I14="Nandao Grupo A",33,IF(Atletas!I14="Taijijian Grupo A",34,IF(Atletas!I14="Daoshu Opcional",35,IF(Atletas!I14="Jianshu Opcional",36,IF(Atletas!I14="Nandao Opcional",37,IF(Atletas!I14="Taijijian Opcional",38,IF(Atletas!I14="Daoshu Adulto",39,IF(Atletas!I14="Jianshu Adulto",40,IF(Atletas!I14="Nandao Adulto",41,IF(Atletas!I14="Taijijian Adulto",42,""))))))))))))))))))))))))))</f>
        <v/>
      </c>
      <c r="BH19" s="52" t="str">
        <f>IF(Atletas!J14="","",IF(Atletas!B14="Feminino",100,IF(Atletas!B14="Masculino",200,""))+(IF(Atletas!J14="Gunshu Mirim",43,IF(Atletas!J14="Qiangshu Mirim",44,IF(Atletas!J14="Nangun Mirim",45,IF(Atletas!J14="Gunshu Grupo C",46,IF(Atletas!J14="Qiangshu Grupo C",47,IF(Atletas!J14="Nangun Grupo C",48,IF(Atletas!J14="Gunshu Grupo B",49,IF(Atletas!J14="Qiangshu Grupo B",50,IF(Atletas!J14="Nangun Grupo B",51,IF(Atletas!J14="Gunshu Grupo A",52,IF(Atletas!J14="Qiangshu Grupo A",53,IF(Atletas!J14="Nangun Grupo A",54,IF(Atletas!J14="Gunshu Opcional",55,IF(Atletas!J14="Qiangshu Opcional",56,IF(Atletas!J14="Nangun Opcional",57,IF(Atletas!J14="Gunshu Adulto",58,IF(Atletas!J14="Qiangshu Adulto",59,IF(Atletas!J14="Nangun Adulto",60,IF(Atletas!J14="Taijishan Grupo B",61,IF(Atletas!J14="Taijishan Grupo A",62,""))))))))))))))))))))))</f>
        <v/>
      </c>
      <c r="BI19" s="52" t="str">
        <f>IF(BJ19&lt;&gt;"","Taijiquan Grupo C","")</f>
        <v/>
      </c>
      <c r="BJ19" s="50" t="str">
        <f>IF(COUNTIF(BF:BH,106)&gt;0,COUNTIF(BF:BH,106),"")</f>
        <v/>
      </c>
      <c r="BK19" s="52" t="str">
        <f>IF(BL19&lt;&gt;"","Taijiquan Grupo C","")</f>
        <v/>
      </c>
      <c r="BL19" s="50" t="str">
        <f>IF(COUNTIF(BF:BH,206)&gt;0,COUNTIF(BF:BH,206),"")</f>
        <v/>
      </c>
      <c r="BM19" s="50" t="str">
        <f>IF(Atletas!K14="","",IF(Atletas!B14="Feminino",100,IF(Atletas!B14="Masculino",200,""))+(IF(Atletas!K14="Equipe 1 Grupo B",1,IF(Atletas!K14="Equipe 2 Grupo B",2,IF(Atletas!K14="Equipe 1 Grupo A",3,IF(Atletas!K14="Equipe 2 Grupo A",4,IF(Atletas!K14="Equipe 1 Adulto",5,IF(Atletas!K14="Equipe 2 Adulto",6,""))))))))</f>
        <v/>
      </c>
      <c r="BN19" s="57"/>
      <c r="BO19" s="57"/>
      <c r="BP19" s="57"/>
      <c r="BQ19" s="55"/>
      <c r="BR19" s="50" t="str">
        <f>IF(Atletas!L14="","",IF(Atletas!X14&lt;&gt;"",10000,0)+(IF(Atletas!B14="Feminino",1000,IF(Atletas!B14="Masculino",2000,""))+IF(Atletas!L14="Choylayfut A",1,IF(Atletas!L14="Hunggar A",2,IF(Atletas!L14="Wuzuquan A",3,IF(Atletas!L14="Wingchun A",4,IF(Atletas!L14="Outra Mão de Sul A",5,IF(Atletas!L14="Choylayfut B",6,IF(Atletas!L14="Hunggar B",7,IF(Atletas!L14="Wuzuquan B",8,IF(Atletas!L14="Wingchun B",9,IF(Atletas!L14="Outra Mão de Sul B",10,IF(Atletas!L14="Choylayfut C",11,IF(Atletas!L14="Hunggar C",12,IF(Atletas!L14="Wuzuquan C",13,IF(Atletas!L14="Wingchun C",14,IF(Atletas!L14="Outra Mão de Sul C",15,IF(Atletas!L14="Choylayfut D",16,IF(Atletas!L14="Hunggar D",17,IF(Atletas!L14="Wuzuquan D",18,IF(Atletas!L14="Wingchun D",19,IF(Atletas!L14="Outra Mão de Sul D",20,IF(Atletas!L14="Choylayfut E",21,IF(Atletas!L14="Hunggar E",22,IF(Atletas!L14="Wuzuquan E",23,IF(Atletas!L14="Wingchun E",24,IF(Atletas!L14="Outra Mão de Sul E",25,IF(Atletas!L14="Choylayfut F",26,IF(Atletas!L14="Hunggar F",27,IF(Atletas!L14="Wuzuquan F",28,IF(Atletas!L14="Wingchun F",29,IF(Atletas!L14="Outra Mão de Sul F",30,IF(Atletas!L14="Dishuquan A",31,IF(Atletas!L14="Dishuquan B",32,IF(Atletas!L14="Dishuquan C",33,IF(Atletas!L14="Dishuquan D",34,IF(Atletas!L14="Dishuquan E",35,IF(Atletas!L14="Dishuquan F",36,""))))))))))))))))))))))))))))))))))))))</f>
        <v/>
      </c>
      <c r="BS19" s="50" t="str">
        <f>IF(Atletas!M14="","",IF(Atletas!X14&lt;&gt;"",10000,0)+(IF(Atletas!B14="Feminino",1000,IF(Atletas!B14="Masculino",2000,""))+(IF(Atletas!M14="Chaquan A",101,IF(Atletas!M14="Emeiquan A",102,IF(Atletas!M14="Fanziquan A",103,IF(Atletas!M14="Huaquan A",104,IF(Atletas!M14="Hongquan A",105,IF(Atletas!M14="Paoquan A",106,IF(Atletas!M14="Piguaquan A",107,IF(Atletas!M14="Shaolinquan A",108,IF(Atletas!M14="Tanglangquan A",109,IF(Atletas!M14="Yingzhaoquan A",110,IF(Atletas!M14="Tongbeiquan A",111,IF(Atletas!M14="Wudangquan A",112,IF(Atletas!M14="Outros Estilos A",113,IF(Atletas!M14="Chaquan B",114,IF(Atletas!M14="Emeiquan B",115,IF(Atletas!M14="Fanziquan B",116,IF(Atletas!M14="Huaquan B",117,IF(Atletas!M14="Hongquan B",118,IF(Atletas!M14="Paoquan B",119,IF(Atletas!M14="Piguaquan B",120,IF(Atletas!M14="Shaolinquan B",121,IF(Atletas!M14="Tanglangquan B",122,IF(Atletas!M14="Yingzhaoquan B",123,IF(Atletas!M14="Tongbeiquan B",124,IF(Atletas!M14="Wudangquan B",125,IF(Atletas!M14="Outros Estilos B",126,IF(Atletas!M14="Chaquan C",127,IF(Atletas!M14="Emeiquan C",128,IF(Atletas!M14="Fanziquan C",129,IF(Atletas!M14="Huaquan C",130,IF(Atletas!M14="Hongquan C",131,IF(Atletas!M14="Paoquan C",132,IF(Atletas!M14="Piguaquan C",133,IF(Atletas!M14="Shaolinquan C",134,IF(Atletas!M14="Tanglangquan C",135,IF(Atletas!M14="Yingzhaoquan C",136,IF(Atletas!M14="Tongbeiquan C",137,IF(Atletas!M14="Wudangquan C",138,IF(Atletas!M14="Outros Estilos C",139,0))))))))))))))))))))))))))))))))))))))))))</f>
        <v/>
      </c>
      <c r="BT19" s="50" t="str">
        <f>IF(Atletas!M14="","",IF(Atletas!X14&lt;&gt;"",10000,0)+(IF(Atletas!B14="Feminino",1000,IF(Atletas!B14="Masculino",2000,""))+(IF(Atletas!M14="Chaquan D",140,IF(Atletas!M14="Emeiquan D",141,IF(Atletas!M14="Fanziquan D",142,IF(Atletas!M14="Huaquan D",143,IF(Atletas!M14="Hongquan D",144,IF(Atletas!M14="Paoquan D",145,IF(Atletas!M14="Piguaquan D",146,IF(Atletas!M14="Shaolinquan D",147,IF(Atletas!M14="Tanglangquan D",148,IF(Atletas!M14="Yingzhaoquan D",149,IF(Atletas!M14="Tongbeiquan D",150,IF(Atletas!M14="Wudangquan D",151,IF(Atletas!M14="Outros Estilos D",152,IF(Atletas!M14="Chaquan E",153,IF(Atletas!M14="Emeiquan E",154,IF(Atletas!M14="Fanziquan E",155,IF(Atletas!M14="Huaquan E",156,IF(Atletas!M14="Hongquan E",157,IF(Atletas!M14="Paoquan E",158,IF(Atletas!M14="Piguaquan E",159,IF(Atletas!M14="Shaolinquan E",160,IF(Atletas!M14="Tanglangquan E",161,IF(Atletas!M14="Yingzhaoquan E",162,IF(Atletas!M14="Tongbeiquan E",163,IF(Atletas!M14="Wudangquan E",164,IF(Atletas!M14="Outros Estilos E",165,IF(Atletas!M14="Chaquan F",166,IF(Atletas!M14="Emeiquan F",167,IF(Atletas!M14="Fanziquan F",168,IF(Atletas!M14="Huaquan F",169,IF(Atletas!M14="Hongquan F",170,IF(Atletas!M14="Paoquan F",171,IF(Atletas!M14="Piguaquan F",172,IF(Atletas!M14="Shaolinquan F",173,IF(Atletas!M14="Tanglangquan F",174,IF(Atletas!M14="Yingzhaoquan F",175,IF(Atletas!M14="Tongbeiquan F",176,IF(Atletas!M14="Wudangquan F",177,IF(Atletas!M14="Outros Estilos F",178,0))))))))))))))))))))))))))))))))))))))))))</f>
        <v/>
      </c>
      <c r="BU19" s="50" t="str">
        <f>IF(Atletas!N14="","",IF(Atletas!X14&lt;&gt;"",10000,0)+(IF(Atletas!B14="Feminino",1000,IF(Atletas!B14="Masculino",2000,""))+(IF(Atletas!N14="Ditangquan A",201,IF(Atletas!N14="Houquan A",202,IF(Atletas!N14="Zuiquan A",203,IF(Atletas!N14="Ditangquan B",204,IF(Atletas!N14="Houquan B",205,IF(Atletas!N14="Zuiquan B",206,IF(Atletas!N14="Ditangquan C",207,IF(Atletas!N14="Houquan C",208,IF(Atletas!N14="Zuiquan C",209,IF(Atletas!N14="Ditangquan D",210,IF(Atletas!N14="Houquan D",211,IF(Atletas!N14="Zuiquan D",212,IF(Atletas!N14="Ditangquan E",213,IF(Atletas!N14="Houquan E",214,IF(Atletas!N14="Zuiquan E",215,IF(Atletas!N14="Ditangquan F",216,IF(Atletas!N14="Houquan F",217,IF(Atletas!N14="Zuiquan F",218,"")))))))))))))))))))))</f>
        <v/>
      </c>
      <c r="BV19" s="50" t="str">
        <f>IF(Atletas!O14="","",IF(Atletas!X14&lt;&gt;"",10000,0)+IF(Atletas!B14="Feminino",1000,IF(Atletas!B14="Masculino",2000,""))+IF(Atletas!O14="Yang A",301,IF(Atletas!O14="Chen A",302,IF(Atletas!O14="Sun A",303,IF(Atletas!O14="Wu A",304,IF(Atletas!O14="Wu-Hao A",305,IF(Atletas!O14="Outro Taijiquan A",306,IF(Atletas!O14="Yang B",307,IF(Atletas!O14="Chen B",308,IF(Atletas!O14="Sun B",309,IF(Atletas!O14="Wu B",310,IF(Atletas!O14="Wu-Hao B",311,IF(Atletas!O14="Outro Taijiquan B",312,IF(Atletas!O14="Yang C",313,IF(Atletas!O14="Chen C",314,IF(Atletas!O14="Sun C",315,IF(Atletas!O14="Wu C",316,IF(Atletas!O14="Wu-Hao C",317,IF(Atletas!O14="Outro Taijiquan C",318,IF(Atletas!O14="Yang D",319,IF(Atletas!O14="Chen D",320,IF(Atletas!O14="Sun D",321,IF(Atletas!O14="Wu D",322,IF(Atletas!O14="Wu-Hao D",323,IF(Atletas!O14="Outro Taijiquan D",324,IF(Atletas!O14="Yang E",325,IF(Atletas!O14="Chen E",326,IF(Atletas!O14="Sun E",327,IF(Atletas!O14="Wu E",328,IF(Atletas!O14="Wu-Hao E",329,IF(Atletas!O14="Outro Taijiquan E",330,IF(Atletas!O14="Yang F",331,IF(Atletas!O14="Chen F",332,IF(Atletas!O14="Sun F",333,IF(Atletas!O14="Wu F",334,IF(Atletas!O14="Wu-Hao F",335,IF(Atletas!O14="Outro Taijiquan F",336,"")))))))))))))))))))))))))))))))))))))</f>
        <v/>
      </c>
      <c r="BW19" s="50" t="str">
        <f>IF(Atletas!P14="","",IF(Atletas!X14&lt;&gt;"",10000,0)+IF(Atletas!B14="Feminino",1000,IF(Atletas!B14="Masculino",2000,""))+IF(OR(Atletas!P14="Yang 26 A",Atletas!P14="Yang 40 A"),401,IF(OR(Atletas!P14="Chen 25 A",Atletas!P14="Chen 36 A",Atletas!P14="Chen 56 A"),402,IF(Atletas!P14="Sun 73 A",403,IF(Atletas!P14="Wu 45 A",404,IF(Atletas!P14="Wu-Hao 46 A",405,IF(OR(Atletas!P14="Taijiquan 16 A",Atletas!P14="Taijiquan 24 A",Atletas!P14="Taijiquan 32 A",Atletas!P14="Taijiquan 42 A"),406,IF(OR(Atletas!P14="Yang 26 B",Atletas!P14="Yang 40 B"),407,IF(OR(Atletas!P14="Chen 25 B",Atletas!P14="Chen 36 B",Atletas!P14="Chen 56 B"),408,IF(Atletas!P14="Sun 73 B",409,IF(Atletas!P14="Wu 45 B",410,IF(Atletas!P14="Wu-Hao 46 B",411,IF(OR(Atletas!P14="Taijiquan 16 B",Atletas!P14="Taijiquan 24 B",Atletas!P14="Taijiquan 32 B",Atletas!P14="Taijiquan 42 B"),412,IF(OR(Atletas!P14="Yang 26 C",Atletas!P14="Yang 40 C"),413,IF(OR(Atletas!P14="Chen 25 C",Atletas!P14="Chen 36 C",Atletas!P14="Chen 56 C"),414,IF(Atletas!P14="Sun 73 C",415,IF(Atletas!P14="Wu 45 C",416,IF(Atletas!P14="Wu-Hao 46 C",417,IF(OR(Atletas!P14="Taijiquan 16 C",Atletas!P14="Taijiquan 24 C",Atletas!P14="Taijiquan 32 C",Atletas!P14="Taijiquan 42 C"),418,0)))))))))))))))))))</f>
        <v/>
      </c>
      <c r="BX19" s="50" t="str">
        <f>IF(Atletas!P14="","",IF(Atletas!X14&lt;&gt;"",10000,0)+IF(Atletas!B14="Feminino",1000,IF(Atletas!B14="Masculino",2000,""))+IF(OR(Atletas!P14="Yang 26 D",Atletas!P14="Yang 40 D"),419,IF(OR(Atletas!P14="Chen 25 D",Atletas!P14="Chen 36 D",Atletas!P14="Chen 56 D"),420,IF(Atletas!P14="Sun 73 D",421,IF(Atletas!P14="Wu 45 D",422,IF(Atletas!P14="Wu-Hao 46 D",423,IF(OR(Atletas!P14="Taijiquan 16 D",Atletas!P14="Taijiquan 24 D",Atletas!P14="Taijiquan 32 D",Atletas!P14="Taijiquan 42 D"),424,IF(OR(Atletas!P14="Yang 26 E",Atletas!P14="Yang 40 E"),425,IF(OR(Atletas!P14="Chen 25 E",Atletas!P14="Chen 36 E",Atletas!P14="Chen 56 E"),426,IF(Atletas!P14="Sun 73 E",427,IF(Atletas!P14="Wu 45 E",428,IF(Atletas!P14="Wu-Hao 46 E",429,IF(OR(Atletas!P14="Taijiquan 16 E",Atletas!P14="Taijiquan 24 E",Atletas!P14="Taijiquan 32 E",Atletas!P14="Taijiquan 42 E"),430,IF(OR(Atletas!P14="Yang 26 F",Atletas!P14="Yang 40 F"),431,IF(OR(Atletas!P14="Chen 25 F",Atletas!P14="Chen 36 F",Atletas!P14="Chen 56 F"),432,IF(Atletas!P14="Sun 73 F",433,IF(Atletas!P14="Wu 45 F",434,IF(Atletas!P14="Wu-Hao 46 F",435,IF(OR(Atletas!P14="Taijiquan 16 F",Atletas!P14="Taijiquan 24 F",Atletas!P14="Taijiquan 32 F",Atletas!P14="Taijiquan 42 F"),436,0)))))))))))))))))))</f>
        <v/>
      </c>
      <c r="BY19" s="50" t="str">
        <f>IF(Atletas!Q14="","",IF(Atletas!X14&lt;&gt;"",10000,0)+IF(Atletas!B14="Feminino",1000,IF(Atletas!B14="Masculino",2000,""))+IF(Atletas!Q14="Xingyiquan A",501,IF(Atletas!Q14="Baguazhang A",502,IF(Atletas!Q14="Outro Estilo Interno A",503,IF(Atletas!Q14="Xingyiquan B",504,IF(Atletas!Q14="Baguazhang B",505,IF(Atletas!Q14="Outro Estilo Interno B",506,IF(Atletas!Q14="Xingyiquan C",507,IF(Atletas!Q14="Baguazhang C",508,IF(Atletas!Q14="Outro Estilo Interno C",509,IF(Atletas!Q14="Xingyiquan D",510,IF(Atletas!Q14="Baguazhang D",511,IF(Atletas!Q14="Outro Estilo Interno D",512,IF(Atletas!Q14="Xingyiquan E",513,IF(Atletas!Q14="Baguazhang E",514,IF(Atletas!Q14="Outro Estilo Interno E",515,IF(Atletas!Q14="Xingyiquan F",516,IF(Atletas!Q14="Baguazhang F",517,IF(Atletas!Q14="Outro Estilo Interno F",518, "")))))))))))))))))))</f>
        <v/>
      </c>
      <c r="BZ19" s="50" t="str">
        <f>IF(Atletas!R14="","",IF(Atletas!X14&lt;&gt;"",10000,0)+IF(Atletas!B14="Feminino",1000,IF(Atletas!B14="Masculino",2000,""))+IF(Atletas!R14="Dao A",601,IF(Atletas!R14="Jian A",602,IF(Atletas!R14="Bishou A",603,IF(Atletas!R14="Shanzi A",604,IF(Atletas!R14="Outra Arma Curta A",605,IF(Atletas!R14="Dao B",606,IF(Atletas!R14="Jian B",607,IF(Atletas!R14="Bishou B",608,IF(Atletas!R14="Shanzi B",609,IF(Atletas!R14="Outra Arma Curta B",610,IF(Atletas!R14="Dao C",611,IF(Atletas!R14="Jian C",612,IF(Atletas!R14="Bishou C",613,IF(Atletas!R14="Shanzi C",614,IF(Atletas!R14="Outra Arma Curta C",615,IF(Atletas!R14="Dao D",616,IF(Atletas!R14="Jian D",617,IF(Atletas!R14="Bishou D",618,IF(Atletas!R14="Shanzi D",619,IF(Atletas!R14="Outra Arma Curta D",620,IF(Atletas!R14="Dao E",621,IF(Atletas!R14="Jian E",622,IF(Atletas!R14="Bishou E",623,IF(Atletas!R14="Shanzi E",624,IF(Atletas!R14="Outra Arma Curta E",625,IF(Atletas!R14="Dao F",626,IF(Atletas!R14="Jian F",627,IF(Atletas!R14="Bishou F",628,IF(Atletas!R14="Shanzi F",629,IF(Atletas!R14="Outra Arma Curta F",630, "")))))))))))))))))))))))))))))))</f>
        <v/>
      </c>
      <c r="CA19" s="50" t="str">
        <f>IF(Atletas!S14="","",IF(Atletas!X14&lt;&gt;"",10000,0)+IF(Atletas!B14="Feminino",1000,IF(Atletas!B14="Masculino",2000,""))+IF(Atletas!S14="Gun A",701,IF(Atletas!S14="Qiang A",702,IF(Atletas!S14="Pudao / Guandao A",703,IF(Atletas!S14="Outra Arma Longa A",704,IF(Atletas!S14="Gun B",705,IF(Atletas!S14="Qiang B",706,IF(Atletas!S14="Pudao / Guandao B",707,IF(Atletas!S14="Outra Arma Longa B",708,IF(Atletas!S14="Gun C",709,IF(Atletas!S14="Qiang C",710,IF(Atletas!S14="Pudao / Guandao C",711,IF(Atletas!S14="Outra Arma Longa C",712,IF(Atletas!S14="Gun D",713,IF(Atletas!S14="Qiang D",714,IF(Atletas!S14="Pudao / Guandao D",715,IF(Atletas!S14="Outra Arma Longa D",716,IF(Atletas!S14="Gun E",717,IF(Atletas!S14="Qiang E",718,IF(Atletas!S14="Pudao / Guandao E",719,IF(Atletas!S14="Outra Arma Longa E",720,IF(Atletas!S14="Gun F",721,IF(Atletas!S14="Qiang F",722,IF(Atletas!S14="Pudao / Guandao F",723,IF(Atletas!S14="Outra Arma Longa F",724,"")))))))))))))))))))))))))</f>
        <v/>
      </c>
      <c r="CB19" s="50" t="str">
        <f>IF(Atletas!T14="","",IF(Atletas!X14&lt;&gt;"",10000,0)+IF(Atletas!B14="Feminino",1000,IF(Atletas!B14="Masculino",2000,""))+IF(Atletas!T14="Outra Arma Dupla A",801,IF(Atletas!T14="Arma Maleável A",802,IF(Atletas!T14="Outra Arma Dupla B",803,IF(Atletas!T14="Arma Maleável B",804,IF(Atletas!T14="Outra Arma Dupla C",805,IF(Atletas!T14="Arma Maleável C",806,IF(Atletas!T14="Outra Arma Dupla D",807,IF(Atletas!T14="Arma Maleável D",808,IF(Atletas!T14="Outra Arma Dupla E",809,IF(Atletas!T14="Arma Maleável E",810,IF(Atletas!T14="Outra Arma Dupla F",811,IF(Atletas!T14="Arma Maleável F",812,IF(Atletas!T14="Shuangdao A",813,IF(Atletas!T14="Shuangdao B",814,IF(Atletas!T14="Shuangdao C",815,IF(Atletas!T14="Shuangdao D",816,IF(Atletas!T14="Shuangdao E",817,IF(Atletas!T14="Shuangdao F",818,"")))))))))))))))))))</f>
        <v/>
      </c>
      <c r="CC19" s="50" t="str">
        <f>IF(Atletas!U14="","",IF(Atletas!X14&lt;&gt;"",10000,0)+IF(Atletas!B14="Feminino",1000,IF(Atletas!B14="Masculino",2000,""))+IF(OR(Atletas!U14="Taijijian Yang A",Atletas!U14="Taijijian Yang Standard A"),901,IF(OR(Atletas!U14="Taijijian Chen A", Atletas!U14="Taijijian Chen Standard A"),902,IF(Atletas!U14="Taijijian Sun A",903,IF(Atletas!U14="Taijijian Wu A",904,IF(Atletas!U14="Taijijian Wu-Hao A",905,IF(OR(Atletas!U14="Taijijian 32 A",Atletas!U14="Taijijian 42 A"),906,IF(OR(Atletas!U14="Taijijian Yang B",Atletas!U14="Taijijian Yang Standard B"),907,IF(OR(Atletas!U14="Taijijian Chen B", Atletas!U14="Taijijian Chen Standard B"),908,IF(Atletas!U14="Taijijian Sun B",909,IF(Atletas!U14="Taijijian Wu B",910,IF(Atletas!U14="Taijijian Wu-Hao B",911,IF(OR(Atletas!U14="Taijijian 32 B",Atletas!U14="Taijijian 42 B"),912,IF(OR(Atletas!U14="Taijijian Yang C",Atletas!U14="Taijijian Yang Standard C"),913,IF(OR(Atletas!U14="Taijijian Chen C", Atletas!U14="Taijijian Chen Standard C"),914,IF(Atletas!U14="Taijijian Sun C",915,IF(Atletas!U14="Taijijian Wu C",916,IF(Atletas!U14="Taijijian Wu-Hao C",917,IF(OR(Atletas!U14="Taijijian 32 C",Atletas!U14="Taijijian 42 C"),918,IF(OR(Atletas!U14="Taijijian Yang D",Atletas!U14="Taijijian Yang Standard D"),919,IF(OR(Atletas!U14="Taijijian Chen D", Atletas!U14="Taijijian Chen Standard D"),920,IF(Atletas!U14="Taijijian Sun D",921,IF(Atletas!U14="Taijijian Wu D",922,IF(Atletas!U14="Taijijian Wu-Hao D",923,IF(OR(Atletas!U14="Taijijian 32 D",Atletas!U14="Taijijian 42 D"),924,IF(OR(Atletas!U14="Taijijian Yang E",Atletas!U14="Taijijian Yang Standard E"),925,IF(OR(Atletas!U14="Taijijian Chen E", Atletas!U14="Taijijian Chen Standard E"),926,IF(Atletas!U14="Taijijian Sun E",927,IF(Atletas!U14="Taijijian Wu E",928,IF(Atletas!U14="Taijijian Wu-Hao E",929,IF(OR(Atletas!U14="Taijijian 32 E",Atletas!U14="Taijijian 42 E"),930,IF(OR(Atletas!U14="Taijijian Yang F",Atletas!U14="Taijijian Yang Standard F"),931,IF(OR(Atletas!U14="Taijijian Chen F", Atletas!U14="Taijijian Chen Standard F"),932,IF(Atletas!U14="Taijijian Sun F",933,IF(Atletas!U14="Taijijian Wu F",934,IF(Atletas!U14="Taijijian Wu-Hao F",935,IF(OR(Atletas!U14="Taijijian 32 F",Atletas!U14="Taijijian 42 F"),936,"")))))))))))))))))))))))))))))))))))))</f>
        <v/>
      </c>
      <c r="CD19" s="50" t="str">
        <f>IF(Atletas!V14="","",IF(Atletas!X14&lt;&gt;"",10000,0)+IF(Atletas!B14="Feminino",1000,IF(Atletas!B14="Masculino",2000,""))+IF(Atletas!V14="Taijidao A",937,IF(Atletas!V14="TaijiShanzi A",938,IF(Atletas!V14="Taijiqiang A",939,IF(Atletas!V14="Bagua de Arma A",940,IF(Atletas!V14="Xingyi de Arma A",941,IF(Atletas!V14="Taijidao B",942,IF(Atletas!V14="TaijiShanzi B",943,IF(Atletas!V14="Taijiqiang B",944,IF(Atletas!V14="Bagua de Arma B",945,IF(Atletas!V14="Xingyi de Arma B",946,IF(Atletas!V14="Taijidao C",947,IF(Atletas!V14="TaijiShanzi C",948,IF(Atletas!V14="Taijiqiang C",949,IF(Atletas!V14="Bagua de Arma C",950,IF(Atletas!V14="Xingyi de Arma C",951,IF(Atletas!V14="Taijidao D",952,IF(Atletas!V14="TaijiShanzi D",953,IF(Atletas!V14="Taijiqiang D",954,IF(Atletas!V14="Bagua de Arma D",955,IF(Atletas!V14="Xingyi de Arma D",956,IF(Atletas!V14="Taijidao E",957,IF(Atletas!V14="TaijiShanzi E",958,IF(Atletas!V14="Taijiqiang E",959,IF(Atletas!V14="Bagua de Arma E",960,IF(Atletas!V14="Xingyi de Arma E",961,IF(Atletas!V14="Taijidao F",962,IF(Atletas!V14="TaijiShanzi F",963,IF(Atletas!V14="Taijiqiang F",964,IF(Atletas!V14="Bagua de Arma F",965,IF(Atletas!V14="Xingyi de Arma F",966,"")))))))))))))))))))))))))))))))</f>
        <v/>
      </c>
      <c r="CE19" s="66" t="str">
        <f>IF(CF19&lt;&gt;"","Choylayfut C","")</f>
        <v/>
      </c>
      <c r="CF19" s="66" t="str">
        <f>IF(COUNTIF(BR:CD,1011)&gt;0,COUNTIF(BR:CD,1011),"")</f>
        <v/>
      </c>
      <c r="CG19" s="66" t="str">
        <f>IF(CH19&lt;&gt;"","Choylayfut C","")</f>
        <v/>
      </c>
      <c r="CH19" s="66" t="str">
        <f>IF(COUNTIF(BR:CD,2011)&gt;0,COUNTIF(BR:CD,2011),"")</f>
        <v/>
      </c>
      <c r="CI19" s="66" t="str">
        <f>IF(CJ19&lt;&gt;"","Wuzuquan C","")</f>
        <v/>
      </c>
      <c r="CJ19" s="66" t="str">
        <f>IF(COUNTIF(BR:CD,11013)&gt;0,COUNTIF(BR:CD,11013),"")</f>
        <v/>
      </c>
      <c r="CK19" s="66" t="str">
        <f>IF(CL19&lt;&gt;"","Wuzuquan C","")</f>
        <v/>
      </c>
      <c r="CL19" s="66" t="str">
        <f>IF(COUNTIF(BR:CD,12013)&gt;0,COUNTIF(BR:CD,12013),"")</f>
        <v/>
      </c>
      <c r="CM19" s="50" t="str">
        <f xml:space="preserve"> IF(Atletas!W14="","",IF(Atletas!W14="Duilian de Mãos BC - Equipe 1",1,IF(Atletas!W14="Duilian de Mãos BC - Equipe 2",2,IF(Atletas!W14="Duilian de Armas BC - Equipe 1",3,IF(Atletas!W14="Duilian de Armas BC - Equipe 2",4,IF(Atletas!W14="Duilian de Mãos DE - Equipe 1",5,IF(Atletas!W14="Duilian de Mãos DE - Equipe 2",6,IF(Atletas!W14="Duilian de Armas DE - Equipe 1",7,IF(Atletas!W14="Duilian de Armas DE - Equipe 2",8,IF(Atletas!W14="Duilian de Tuishou - Equipe 1",9,IF(Atletas!W14="Duilian de Tuishou - Equipe 2",10,IF(Atletas!W14="Grupo Externo ABC - Equipe 1",11,IF(Atletas!W14="Grupo Externo ABC - Equipe 2",12,IF(Atletas!W14="Grupo Interno ABC - Equipe 1",13,IF(Atletas!W14="Grupo Interno ABC - Equipe 2",14,IF(Atletas!W14="Grupo Externo DEF - Equipe 1",15,IF(Atletas!W14="Grupo Externo DEF - Equipe 2",16,IF(Atletas!W14="Grupo Interno DEF - Equipe 1",17,IF(Atletas!W14="Grupo Interno DEF - Equipe 2",18,"")))))))))))))))))))</f>
        <v/>
      </c>
      <c r="CR19" s="67"/>
      <c r="CS19" s="68"/>
      <c r="CY19" s="41"/>
    </row>
    <row r="20" spans="1:103">
      <c r="A20" s="13"/>
      <c r="B20" s="3" t="str">
        <f t="array" ref="B20">IFERROR(INDEX(AO$7:AO$38,SMALL(IF(AO$7:AO$38&lt;&gt;"",ROW(AO$7:AO$38)-ROW(AO$7)+1),ROWS(AO$7:AO19))),"")</f>
        <v/>
      </c>
      <c r="C20" s="3" t="str">
        <f t="array" ref="C20">IFERROR(INDEX(AP$7:AP$38,SMALL(IF(AP$7:AP$38&lt;&gt;"",ROW(AP$7:AP$38)-ROW(AP$7)+1),ROWS(AP$7:AP19))),"")</f>
        <v/>
      </c>
      <c r="D20" s="3" t="str">
        <f t="array" ref="D20">IFERROR(INDEX(AQ$7:AQ$38,SMALL(IF(AQ$7:AQ$38&lt;&gt;"",ROW(AQ$7:AQ$38)-ROW(AQ$7)+1),ROWS(AQ$7:AQ19))),"")</f>
        <v/>
      </c>
      <c r="E20" s="3" t="str">
        <f t="array" ref="E20">IFERROR(INDEX(AR$7:AR$38,SMALL(IF(AR$7:AR$38&lt;&gt;"",ROW(AR$7:AR$38)-ROW(AR$7)+1),ROWS(AR$7:AR19))),"")</f>
        <v/>
      </c>
      <c r="F20" s="3" t="str">
        <f t="array" ref="F20">IFERROR(INDEX(AT$7:AT$36,SMALL(IF(AT$7:AT$36&lt;&gt;"",ROW(AT$7:AT$36)-ROW(AT$7)+1),ROWS(AT$7:AT19))),"")</f>
        <v/>
      </c>
      <c r="G20" s="3" t="str">
        <f t="array" ref="G20">IFERROR(INDEX(AU$7:AU$36,SMALL(IF(AU$7:AU$36&lt;&gt;"",ROW(AU$7:AU$36)-ROW(AU$7)+1),ROWS(AU$7:AU19))),"")</f>
        <v/>
      </c>
      <c r="H20" s="3" t="str">
        <f t="array" ref="H20">IFERROR(INDEX(AV$7:AV$36,SMALL(IF(AV$7:AV$36&lt;&gt;"",ROW(AV$7:AV$36)-ROW(AV$7)+1),ROWS(AV$7:AV19))),"")</f>
        <v/>
      </c>
      <c r="I20" s="3" t="str">
        <f t="array" ref="I20">IFERROR(INDEX(AW$7:AW$36,SMALL(IF(AW$7:AW$36&lt;&gt;"",ROW(AW$7:AW$36)-ROW(AW$7)+1),ROWS(AW$7:AW19))),"")</f>
        <v/>
      </c>
      <c r="J20" s="3" t="str">
        <f t="array" ref="J20">IFERROR(INDEX(AY$7:AY$36,SMALL(IF(AY$7:AY$36&lt;&gt;"",ROW(AY$7:AY$36)-ROW(AY$7)+1),ROWS(AY$7:AY19))),"")</f>
        <v/>
      </c>
      <c r="K20" s="3" t="str">
        <f t="array" ref="K20">IFERROR(INDEX(AZ$7:AZ$36,SMALL(IF(AZ$7:AZ$36&lt;&gt;"",ROW(AZ$7:AZ$36)-ROW(AZ$7)+1),ROWS(AZ$7:AZ19))),"")</f>
        <v/>
      </c>
      <c r="L20" s="3" t="str">
        <f t="array" ref="L20">IFERROR(INDEX(BA$7:BA$36,SMALL(IF(BA$7:BA$36&lt;&gt;"",ROW(BA$7:BA$36)-ROW(BA$7)+1),ROWS(BA$7:BA19))),"")</f>
        <v/>
      </c>
      <c r="M20" s="3" t="str">
        <f t="array" ref="M20">IFERROR(INDEX(BB$7:BB$36,SMALL(IF(BB$7:BB$36&lt;&gt;"",ROW(BB$7:BB$36)-ROW(BB$7)+1),ROWS(BB$7:BB19))),"")</f>
        <v/>
      </c>
      <c r="N20" s="3" t="str" cm="1">
        <f t="array" ref="N20">IFERROR(INDEX(BD$7:BD$8,SMALL(IF(BD$7:BD$8&lt;&gt;"",ROW(BD$7:BD$8)-ROW(BD$7)+1),ROWS(BD$7:BD19))),"")</f>
        <v/>
      </c>
      <c r="O20" s="3" t="str" cm="1">
        <f t="array" ref="O20">IFERROR(INDEX(BE$7:BE$8,SMALL(IF(BE$7:BE$8&lt;&gt;"",ROW(BE$7:BE$8)-ROW(BE$7)+1),ROWS(BE$7:BE19))),"")</f>
        <v/>
      </c>
      <c r="P20" s="3" t="str" cm="1">
        <f t="array" ref="P20">IFERROR(INDEX(BD$9:BD$10,SMALL(IF(BD$9:BD$10&lt;&gt;"",ROW(BD$9:BD$10)-ROW(BD$9)+1),ROWS(BD$9:BD21))),"")</f>
        <v/>
      </c>
      <c r="Q20" s="3" t="str">
        <f t="array" ref="Q20">IFERROR(INDEX(BH$7:BH$36,SMALL(IF(BH$7:BH$36&lt;&gt;"",ROW(BH$7:BH$36)-ROW(BH$7)+1),ROWS(BH$7:BH19))),"")</f>
        <v/>
      </c>
      <c r="R20" s="3" t="str">
        <f t="array" ref="R20">IFERROR(INDEX(BI$7:BI$68,SMALL(IF(BI$7:BI$68&lt;&gt;"",ROW(BI$7:BI$68)-ROW(BI$7)+1),ROWS(BI$7:BI19))),"")</f>
        <v/>
      </c>
      <c r="S20" s="3" t="str">
        <f t="array" ref="S20">IFERROR(INDEX(BJ$7:BJ$68,SMALL(IF(BJ$7:BJ$68&lt;&gt;"",ROW(BJ$7:BJ$68)-ROW(BJ$7)+1),ROWS(BJ$7:BJ19))),"")</f>
        <v/>
      </c>
      <c r="T20" s="3" t="str">
        <f t="array" ref="T20">IFERROR(INDEX(BK$7:BK$68,SMALL(IF(BK$7:BK$68&lt;&gt;"",ROW(BK$7:BK$68)-ROW(BK$7)+1),ROWS(BK$7:BK19))),"")</f>
        <v/>
      </c>
      <c r="U20" s="3" t="str">
        <f t="array" ref="U20">IFERROR(INDEX(BL$7:BL$68,SMALL(IF(BL$7:BL$68&lt;&gt;"",ROW(BL$7:BL$68)-ROW(BL$7)+1),ROWS(BL$7:BL19))),"")</f>
        <v/>
      </c>
      <c r="V20" s="20"/>
      <c r="W20" s="20"/>
      <c r="X20" s="20"/>
      <c r="Y20" s="20"/>
      <c r="Z20" s="3" t="str">
        <f t="array" ref="Z20">IFERROR(INDEX(CE$7:CE$348,SMALL(IF(CE$7:CE$348&lt;&gt;"",ROW(CE$7:CE$348)-ROW(CE$7)+1),ROWS(CE$7:CE19))),"")</f>
        <v/>
      </c>
      <c r="AA20" s="3" t="str">
        <f t="array" ref="AA20">IFERROR(INDEX(CF$7:CF$348,SMALL(IF(CF$7:CF$348&lt;&gt;"",ROW(CF$7:CF$348)-ROW(CF$7)+1),ROWS(CF$7:CF19))),"")</f>
        <v/>
      </c>
      <c r="AB20" s="3" t="str">
        <f t="array" ref="AB20">IFERROR(INDEX(CG$7:CG$348,SMALL(IF(CG$7:CG$348&lt;&gt;"",ROW(CG$7:CG$348)-ROW(CG$7)+1),ROWS(CG$7:CG19))),"")</f>
        <v/>
      </c>
      <c r="AC20" s="3" t="str">
        <f t="array" ref="AC20">IFERROR(INDEX(CH$7:CH$348,SMALL(IF(CH$7:CH$348&lt;&gt;"",ROW(CH$7:CH$348)-ROW(CH$7)+1),ROWS(CH$7:CH19))),"")</f>
        <v/>
      </c>
      <c r="AD20" s="3" t="str">
        <f t="array" ref="AD20">IFERROR(INDEX(CI$7:CI$377,SMALL(IF(CI$7:CI$377&lt;&gt;"",ROW(CI$7:CI$377)-ROW(CI$7)+1),ROWS(CI$7:CI19))),"")</f>
        <v/>
      </c>
      <c r="AE20" s="3" t="str">
        <f t="array" ref="AE20">IFERROR(INDEX(CJ$7:CJ$378,SMALL(IF(CJ$7:CJ$378&lt;&gt;"",ROW(CJ$7:CJ$378)-ROW(CJ$7)+1),ROWS(CJ$7:CJ19))),"")</f>
        <v/>
      </c>
      <c r="AF20" s="3" t="str">
        <f t="array" ref="AF20">IFERROR(INDEX(CK$7:CK$378,SMALL(IF(CK$7:CK$378&lt;&gt;"",ROW(CK$7:CK$378)-ROW(CK$7)+1),ROWS(CK$7:CK19))),"")</f>
        <v/>
      </c>
      <c r="AG20" s="3" t="str">
        <f t="array" ref="AG20">IFERROR(INDEX(CL$7:CL$378,SMALL(IF(CL$7:CL$378&lt;&gt;"",ROW(CL$7:CL$378)-ROW(CL$7)+1),ROWS(CL$7:CL19))),"")</f>
        <v/>
      </c>
      <c r="AH20" s="40" t="str">
        <f t="array" ref="AH20">IFERROR(INDEX(CN$7:CN$18,SMALL(IF(CN$7:CN$18&lt;&gt;"",ROW(CN$7:CN$18)-ROW(CN$7)+1),ROWS(CN$7:CN19))),"")</f>
        <v/>
      </c>
      <c r="AI20" s="40" t="str">
        <f t="array" ref="AI20">IFERROR(INDEX(CO$7:CO$18,SMALL(IF(CO$7:CO$18&lt;&gt;"",ROW(CO$7:CO$18)-ROW(CO$7)+1),ROWS(CO$7:CO19))),"")</f>
        <v/>
      </c>
      <c r="AJ20" s="40"/>
      <c r="AK20" s="40"/>
      <c r="AL20" s="40" t="str">
        <f t="array" ref="AL20">IFERROR(INDEX(CR$7:CR$14,SMALL(IF(CR$7:CR$14&lt;&gt;"",ROW(CR$7:CR$14)-ROW(CR$7)+1),ROWS(CR$7:CR19))),"")</f>
        <v/>
      </c>
      <c r="AM20" s="40"/>
      <c r="AN20" s="52" t="str">
        <f>IF(Atletas!D15="","",IF(Atletas!B15="Feminino",100,IF(Atletas!B15="Masculino",200,""))+(IF(Atletas!D15="Kids 30kg",1,IF(Atletas!D15="Kids 32kg",2, IF(Atletas!D15="Kids 34kg",3,IF(Atletas!D15="Kids 36kg",4,IF(Atletas!D15="Kids 39kg",5,IF(Atletas!D15="Kids 42kg",6,IF(Atletas!D15="Kids 45kg",7, IF(Atletas!D15="Infantil 39kg",8,IF(Atletas!D15="Infantil 42kg",9,IF(Atletas!D15="Infantil 45kg",10,IF(Atletas!D15="Infantil 48kg",11,IF(Atletas!D15="Infantil 52kg",12,IF(Atletas!D15="Infantil 56kg",13,IF(Atletas!D15="Infantil 60kg",14,IF(Atletas!D15="Juvenil 48kg",15,IF(Atletas!D15="Juvenil 52kg",16,IF(Atletas!D15="Juvenil 56kg",17,IF(Atletas!D15="Juvenil 60kg",18,IF(Atletas!D15="Juvenil 65kg",19,IF(Atletas!D15="Juvenil 70kg",20,IF(Atletas!D15="Juvenil 75kg",21,IF(Atletas!D15="Juvenil 80kg",22, IF(Atletas!D15="Juvenil 85kg",23,IF(Atletas!D15="Adulto 48kg",24,IF(Atletas!D15="Adulto 52kg",25,IF(Atletas!D15="Adulto 56kg",26,IF(Atletas!D15="Adulto 60kg",27,IF(Atletas!D15="Adulto 65kg",28,IF(Atletas!D15="Adulto 70kg",29,IF(Atletas!D15="Adulto 75kg",30,IF(Atletas!D15="Adulto 80kg",31,IF(Atletas!D15="Adulto 85kg",32,IF(Atletas!D15="Adulto 90kg",33,IF(Atletas!D15="Adulto 100kg",34, IF(Atletas!D15="Adulto +100kg",35,"")))))))))))))))))))))))))))))))))))))</f>
        <v/>
      </c>
      <c r="AO20" s="50" t="str">
        <f>IF(AP20&lt;&gt;"","Adulto 48kg","")</f>
        <v/>
      </c>
      <c r="AP20" s="6" t="str">
        <f>IF(COUNTIF(AN:AN,124)&gt;0,COUNTIF(AN:AN,124),"")</f>
        <v/>
      </c>
      <c r="AQ20" s="50" t="str">
        <f>IF(AR20&lt;&gt;"","Infantil 60kg","")</f>
        <v/>
      </c>
      <c r="AR20" s="6" t="str">
        <f>IF(COUNTIF(AN:AN,214)&gt;0,COUNTIF(AN:AN,214),"")</f>
        <v/>
      </c>
      <c r="AS20" s="6" t="str">
        <f>IF(Atletas!E15="","",IF(Atletas!B15="Feminino",100,IF(Atletas!B15="Masculino",200,""))+(IF(Atletas!E15="Juvenil 44kg",1,IF(Atletas!E15="Juvenil 48kg",2,IF(Atletas!E15="Juvenil 52kg",3,IF(Atletas!E15="Juvenil 56kg",4,IF(Atletas!E15="Juvenil 60kg",5,IF(Atletas!E15="Juvenil 65kg",6,IF(Atletas!E15="Juvenil 70kg",7,IF(Atletas!E15="Juvenil 75kg",8,IF(Atletas!E15="Juvenil 82kg",9,IF(Atletas!E15="Juvenil 90kg",10,IF(Atletas!E15="Juvenil 100kg",11,IF(Atletas!E15="Adulto 48kg",12,IF(Atletas!E15="Adulto 52kg",13,IF(Atletas!E15="Adulto 56kg",14,IF(Atletas!E15="Adulto 60kg",15,IF(Atletas!E15="Adulto 65kg",16,IF(Atletas!E15="Adulto 70kg",17,IF(Atletas!E15="Adulto 75kg",18,IF(Atletas!E15="Adulto 82kg",19,IF(Atletas!E15="Adulto 90kg",20,IF(Atletas!E15="Adulto 100kg",21,IF(Atletas!E15="Adulto +100kg",22,""))))))))))))))))))))))))</f>
        <v/>
      </c>
      <c r="AT20" s="50" t="str">
        <f>IF(AU20&lt;&gt;"","Adulto 70kg","")</f>
        <v/>
      </c>
      <c r="AU20" s="6" t="str">
        <f>IF(COUNTIF(AS:AS,117)&gt;0,COUNTIF(AS:AS,117),"")</f>
        <v/>
      </c>
      <c r="AV20" s="50" t="str">
        <f>IF(AW20&lt;&gt;"","Adulto 65kg","")</f>
        <v/>
      </c>
      <c r="AW20" s="6" t="str">
        <f>IF(COUNTIF(AS:AS,216)&gt;0,COUNTIF(AS:AS,216),"")</f>
        <v/>
      </c>
      <c r="AX20" s="6" t="str">
        <f>IF(Atletas!F15="","",IF(Atletas!B15="Feminino",100,IF(Atletas!B15="Masculino",200,""))+(IF(Atletas!F15="Adulto 48kg",1,IF(Atletas!F15="Adulto 56kg",2,IF(Atletas!F15="Adulto 65kg",3,IF(Atletas!F15="Adulto 75kg",4,IF(Atletas!F15="Adulto +75kg",5,IF(Atletas!F15="Adulto 52kg",6,IF(Atletas!F15="Adulto 60kg",7,IF(Atletas!F15="Adulto 70kg",8,IF(Atletas!F15="Adulto 80kg",9,IF(Atletas!F15="Adulto 90kg",10,IF(Atletas!F15="Adulto +90kg",11,"")))))))))))))</f>
        <v/>
      </c>
      <c r="BC20" s="6" t="str">
        <f>IF(Atletas!G15="","",IF(Atletas!B15="Feminino",10,IF(Atletas!B15="Masculino",20,""))+(IF(Atletas!G15="Baduanjin A",1,IF(Atletas!G15="Baduanjin B",2))))</f>
        <v/>
      </c>
      <c r="BF20" s="52" t="str">
        <f>IF(Atletas!H15="","",IF(Atletas!B15="Feminino",100,IF(Atletas!B15="Masculino",200,""))+(IF(Atletas!H15="Changquan Mirim",1,IF(Atletas!H15="Nanquan Mirim",2,IF(Atletas!H15="Taijiquan Mirim",3,IF(Atletas!H15="Changquan Grupo C",4,IF(Atletas!H15="Nanquan Grupo C",5,IF(Atletas!H15="Taijiquan Grupo C",6,IF(Atletas!H15="Changquan Grupo B",7,IF(Atletas!H15="Nanquan Grupo B",8,IF(Atletas!H15="Taijiquan Grupo B",9,IF(Atletas!H15="Changquan Grupo A",10,IF(Atletas!H15="Nanquan Grupo A",11,IF(Atletas!H15="Taijiquan Grupo A",12,IF(Atletas!H15="Changquan Opcional",13,IF(Atletas!H15="Nanquan Opcional",14,IF(Atletas!H15="Taijiquan Opcional",15,IF(Atletas!H15="Changquan Adulto",16,IF(Atletas!H15="Nanquan Adulto",17,IF(Atletas!H15="Taijiquan Adulto",18,""))))))))))))))))))))</f>
        <v/>
      </c>
      <c r="BG20" s="52" t="str">
        <f>IF(Atletas!I15="","",IF(Atletas!B15="Feminino",100,IF(Atletas!B15="Masculino",200,""))+(IF(Atletas!I15="Daoshu Mirim",19,IF(Atletas!I15="Jianshu Mirim",20,IF(Atletas!I15="Nandao Mirim",21,IF(Atletas!I15="Taijijian Mirim",22,IF(Atletas!I15="Daoshu Grupo C",23,IF(Atletas!I15="Jianshu Grupo C",24,IF(Atletas!I15="Nandao Grupo C",25,IF(Atletas!I15="Taijijian Grupo C",26,IF(Atletas!I15="Daoshu Grupo B",27,IF(Atletas!I15="Jianshu Grupo B",28,IF(Atletas!I15="Nandao Grupo B",29,IF(Atletas!I15="Taijijian Grupo B",30,IF(Atletas!I15="Daoshu Grupo A",31,IF(Atletas!I15="Jianshu Grupo A",32,IF(Atletas!I15="Nandao Grupo A",33,IF(Atletas!I15="Taijijian Grupo A",34,IF(Atletas!I15="Daoshu Opcional",35,IF(Atletas!I15="Jianshu Opcional",36,IF(Atletas!I15="Nandao Opcional",37,IF(Atletas!I15="Taijijian Opcional",38,IF(Atletas!I15="Daoshu Adulto",39,IF(Atletas!I15="Jianshu Adulto",40,IF(Atletas!I15="Nandao Adulto",41,IF(Atletas!I15="Taijijian Adulto",42,""))))))))))))))))))))))))))</f>
        <v/>
      </c>
      <c r="BH20" s="52" t="str">
        <f>IF(Atletas!J15="","",IF(Atletas!B15="Feminino",100,IF(Atletas!B15="Masculino",200,""))+(IF(Atletas!J15="Gunshu Mirim",43,IF(Atletas!J15="Qiangshu Mirim",44,IF(Atletas!J15="Nangun Mirim",45,IF(Atletas!J15="Gunshu Grupo C",46,IF(Atletas!J15="Qiangshu Grupo C",47,IF(Atletas!J15="Nangun Grupo C",48,IF(Atletas!J15="Gunshu Grupo B",49,IF(Atletas!J15="Qiangshu Grupo B",50,IF(Atletas!J15="Nangun Grupo B",51,IF(Atletas!J15="Gunshu Grupo A",52,IF(Atletas!J15="Qiangshu Grupo A",53,IF(Atletas!J15="Nangun Grupo A",54,IF(Atletas!J15="Gunshu Opcional",55,IF(Atletas!J15="Qiangshu Opcional",56,IF(Atletas!J15="Nangun Opcional",57,IF(Atletas!J15="Gunshu Adulto",58,IF(Atletas!J15="Qiangshu Adulto",59,IF(Atletas!J15="Nangun Adulto",60,IF(Atletas!J15="Taijishan Grupo B",61,IF(Atletas!J15="Taijishan Grupo A",62,""))))))))))))))))))))))</f>
        <v/>
      </c>
      <c r="BI20" s="52" t="str">
        <f>IF(BJ20&lt;&gt;"","Daoshu Grupo C","")</f>
        <v/>
      </c>
      <c r="BJ20" s="50" t="str">
        <f>IF(COUNTIF(BF:BH,123)&gt;0,COUNTIF(BF:BH,123),"")</f>
        <v/>
      </c>
      <c r="BK20" s="52" t="str">
        <f>IF(BL20&lt;&gt;"","Daoshu Grupo C","")</f>
        <v/>
      </c>
      <c r="BL20" s="50" t="str">
        <f>IF(COUNTIF(BF:BH,223)&gt;0,COUNTIF(BF:BH,223),"")</f>
        <v/>
      </c>
      <c r="BM20" s="50" t="str">
        <f>IF(Atletas!K15="","",IF(Atletas!B15="Feminino",100,IF(Atletas!B15="Masculino",200,""))+(IF(Atletas!K15="Equipe 1 Grupo B",1,IF(Atletas!K15="Equipe 2 Grupo B",2,IF(Atletas!K15="Equipe 1 Grupo A",3,IF(Atletas!K15="Equipe 2 Grupo A",4,IF(Atletas!K15="Equipe 1 Adulto",5,IF(Atletas!K15="Equipe 2 Adulto",6,""))))))))</f>
        <v/>
      </c>
      <c r="BN20" s="57"/>
      <c r="BO20" s="57"/>
      <c r="BP20" s="57"/>
      <c r="BQ20" s="55"/>
      <c r="BR20" s="50" t="str">
        <f>IF(Atletas!L15="","",IF(Atletas!X15&lt;&gt;"",10000,0)+(IF(Atletas!B15="Feminino",1000,IF(Atletas!B15="Masculino",2000,""))+IF(Atletas!L15="Choylayfut A",1,IF(Atletas!L15="Hunggar A",2,IF(Atletas!L15="Wuzuquan A",3,IF(Atletas!L15="Wingchun A",4,IF(Atletas!L15="Outra Mão de Sul A",5,IF(Atletas!L15="Choylayfut B",6,IF(Atletas!L15="Hunggar B",7,IF(Atletas!L15="Wuzuquan B",8,IF(Atletas!L15="Wingchun B",9,IF(Atletas!L15="Outra Mão de Sul B",10,IF(Atletas!L15="Choylayfut C",11,IF(Atletas!L15="Hunggar C",12,IF(Atletas!L15="Wuzuquan C",13,IF(Atletas!L15="Wingchun C",14,IF(Atletas!L15="Outra Mão de Sul C",15,IF(Atletas!L15="Choylayfut D",16,IF(Atletas!L15="Hunggar D",17,IF(Atletas!L15="Wuzuquan D",18,IF(Atletas!L15="Wingchun D",19,IF(Atletas!L15="Outra Mão de Sul D",20,IF(Atletas!L15="Choylayfut E",21,IF(Atletas!L15="Hunggar E",22,IF(Atletas!L15="Wuzuquan E",23,IF(Atletas!L15="Wingchun E",24,IF(Atletas!L15="Outra Mão de Sul E",25,IF(Atletas!L15="Choylayfut F",26,IF(Atletas!L15="Hunggar F",27,IF(Atletas!L15="Wuzuquan F",28,IF(Atletas!L15="Wingchun F",29,IF(Atletas!L15="Outra Mão de Sul F",30,IF(Atletas!L15="Dishuquan A",31,IF(Atletas!L15="Dishuquan B",32,IF(Atletas!L15="Dishuquan C",33,IF(Atletas!L15="Dishuquan D",34,IF(Atletas!L15="Dishuquan E",35,IF(Atletas!L15="Dishuquan F",36,""))))))))))))))))))))))))))))))))))))))</f>
        <v/>
      </c>
      <c r="BS20" s="50" t="str">
        <f>IF(Atletas!M15="","",IF(Atletas!X15&lt;&gt;"",10000,0)+(IF(Atletas!B15="Feminino",1000,IF(Atletas!B15="Masculino",2000,""))+(IF(Atletas!M15="Chaquan A",101,IF(Atletas!M15="Emeiquan A",102,IF(Atletas!M15="Fanziquan A",103,IF(Atletas!M15="Huaquan A",104,IF(Atletas!M15="Hongquan A",105,IF(Atletas!M15="Paoquan A",106,IF(Atletas!M15="Piguaquan A",107,IF(Atletas!M15="Shaolinquan A",108,IF(Atletas!M15="Tanglangquan A",109,IF(Atletas!M15="Yingzhaoquan A",110,IF(Atletas!M15="Tongbeiquan A",111,IF(Atletas!M15="Wudangquan A",112,IF(Atletas!M15="Outros Estilos A",113,IF(Atletas!M15="Chaquan B",114,IF(Atletas!M15="Emeiquan B",115,IF(Atletas!M15="Fanziquan B",116,IF(Atletas!M15="Huaquan B",117,IF(Atletas!M15="Hongquan B",118,IF(Atletas!M15="Paoquan B",119,IF(Atletas!M15="Piguaquan B",120,IF(Atletas!M15="Shaolinquan B",121,IF(Atletas!M15="Tanglangquan B",122,IF(Atletas!M15="Yingzhaoquan B",123,IF(Atletas!M15="Tongbeiquan B",124,IF(Atletas!M15="Wudangquan B",125,IF(Atletas!M15="Outros Estilos B",126,IF(Atletas!M15="Chaquan C",127,IF(Atletas!M15="Emeiquan C",128,IF(Atletas!M15="Fanziquan C",129,IF(Atletas!M15="Huaquan C",130,IF(Atletas!M15="Hongquan C",131,IF(Atletas!M15="Paoquan C",132,IF(Atletas!M15="Piguaquan C",133,IF(Atletas!M15="Shaolinquan C",134,IF(Atletas!M15="Tanglangquan C",135,IF(Atletas!M15="Yingzhaoquan C",136,IF(Atletas!M15="Tongbeiquan C",137,IF(Atletas!M15="Wudangquan C",138,IF(Atletas!M15="Outros Estilos C",139,0))))))))))))))))))))))))))))))))))))))))))</f>
        <v/>
      </c>
      <c r="BT20" s="50" t="str">
        <f>IF(Atletas!M15="","",IF(Atletas!X15&lt;&gt;"",10000,0)+(IF(Atletas!B15="Feminino",1000,IF(Atletas!B15="Masculino",2000,""))+(IF(Atletas!M15="Chaquan D",140,IF(Atletas!M15="Emeiquan D",141,IF(Atletas!M15="Fanziquan D",142,IF(Atletas!M15="Huaquan D",143,IF(Atletas!M15="Hongquan D",144,IF(Atletas!M15="Paoquan D",145,IF(Atletas!M15="Piguaquan D",146,IF(Atletas!M15="Shaolinquan D",147,IF(Atletas!M15="Tanglangquan D",148,IF(Atletas!M15="Yingzhaoquan D",149,IF(Atletas!M15="Tongbeiquan D",150,IF(Atletas!M15="Wudangquan D",151,IF(Atletas!M15="Outros Estilos D",152,IF(Atletas!M15="Chaquan E",153,IF(Atletas!M15="Emeiquan E",154,IF(Atletas!M15="Fanziquan E",155,IF(Atletas!M15="Huaquan E",156,IF(Atletas!M15="Hongquan E",157,IF(Atletas!M15="Paoquan E",158,IF(Atletas!M15="Piguaquan E",159,IF(Atletas!M15="Shaolinquan E",160,IF(Atletas!M15="Tanglangquan E",161,IF(Atletas!M15="Yingzhaoquan E",162,IF(Atletas!M15="Tongbeiquan E",163,IF(Atletas!M15="Wudangquan E",164,IF(Atletas!M15="Outros Estilos E",165,IF(Atletas!M15="Chaquan F",166,IF(Atletas!M15="Emeiquan F",167,IF(Atletas!M15="Fanziquan F",168,IF(Atletas!M15="Huaquan F",169,IF(Atletas!M15="Hongquan F",170,IF(Atletas!M15="Paoquan F",171,IF(Atletas!M15="Piguaquan F",172,IF(Atletas!M15="Shaolinquan F",173,IF(Atletas!M15="Tanglangquan F",174,IF(Atletas!M15="Yingzhaoquan F",175,IF(Atletas!M15="Tongbeiquan F",176,IF(Atletas!M15="Wudangquan F",177,IF(Atletas!M15="Outros Estilos F",178,0))))))))))))))))))))))))))))))))))))))))))</f>
        <v/>
      </c>
      <c r="BU20" s="50" t="str">
        <f>IF(Atletas!N15="","",IF(Atletas!X15&lt;&gt;"",10000,0)+(IF(Atletas!B15="Feminino",1000,IF(Atletas!B15="Masculino",2000,""))+(IF(Atletas!N15="Ditangquan A",201,IF(Atletas!N15="Houquan A",202,IF(Atletas!N15="Zuiquan A",203,IF(Atletas!N15="Ditangquan B",204,IF(Atletas!N15="Houquan B",205,IF(Atletas!N15="Zuiquan B",206,IF(Atletas!N15="Ditangquan C",207,IF(Atletas!N15="Houquan C",208,IF(Atletas!N15="Zuiquan C",209,IF(Atletas!N15="Ditangquan D",210,IF(Atletas!N15="Houquan D",211,IF(Atletas!N15="Zuiquan D",212,IF(Atletas!N15="Ditangquan E",213,IF(Atletas!N15="Houquan E",214,IF(Atletas!N15="Zuiquan E",215,IF(Atletas!N15="Ditangquan F",216,IF(Atletas!N15="Houquan F",217,IF(Atletas!N15="Zuiquan F",218,"")))))))))))))))))))))</f>
        <v/>
      </c>
      <c r="BV20" s="50" t="str">
        <f>IF(Atletas!O15="","",IF(Atletas!X15&lt;&gt;"",10000,0)+IF(Atletas!B15="Feminino",1000,IF(Atletas!B15="Masculino",2000,""))+IF(Atletas!O15="Yang A",301,IF(Atletas!O15="Chen A",302,IF(Atletas!O15="Sun A",303,IF(Atletas!O15="Wu A",304,IF(Atletas!O15="Wu-Hao A",305,IF(Atletas!O15="Outro Taijiquan A",306,IF(Atletas!O15="Yang B",307,IF(Atletas!O15="Chen B",308,IF(Atletas!O15="Sun B",309,IF(Atletas!O15="Wu B",310,IF(Atletas!O15="Wu-Hao B",311,IF(Atletas!O15="Outro Taijiquan B",312,IF(Atletas!O15="Yang C",313,IF(Atletas!O15="Chen C",314,IF(Atletas!O15="Sun C",315,IF(Atletas!O15="Wu C",316,IF(Atletas!O15="Wu-Hao C",317,IF(Atletas!O15="Outro Taijiquan C",318,IF(Atletas!O15="Yang D",319,IF(Atletas!O15="Chen D",320,IF(Atletas!O15="Sun D",321,IF(Atletas!O15="Wu D",322,IF(Atletas!O15="Wu-Hao D",323,IF(Atletas!O15="Outro Taijiquan D",324,IF(Atletas!O15="Yang E",325,IF(Atletas!O15="Chen E",326,IF(Atletas!O15="Sun E",327,IF(Atletas!O15="Wu E",328,IF(Atletas!O15="Wu-Hao E",329,IF(Atletas!O15="Outro Taijiquan E",330,IF(Atletas!O15="Yang F",331,IF(Atletas!O15="Chen F",332,IF(Atletas!O15="Sun F",333,IF(Atletas!O15="Wu F",334,IF(Atletas!O15="Wu-Hao F",335,IF(Atletas!O15="Outro Taijiquan F",336,"")))))))))))))))))))))))))))))))))))))</f>
        <v/>
      </c>
      <c r="BW20" s="50" t="str">
        <f>IF(Atletas!P15="","",IF(Atletas!X15&lt;&gt;"",10000,0)+IF(Atletas!B15="Feminino",1000,IF(Atletas!B15="Masculino",2000,""))+IF(OR(Atletas!P15="Yang 26 A",Atletas!P15="Yang 40 A"),401,IF(OR(Atletas!P15="Chen 25 A",Atletas!P15="Chen 36 A",Atletas!P15="Chen 56 A"),402,IF(Atletas!P15="Sun 73 A",403,IF(Atletas!P15="Wu 45 A",404,IF(Atletas!P15="Wu-Hao 46 A",405,IF(OR(Atletas!P15="Taijiquan 16 A",Atletas!P15="Taijiquan 24 A",Atletas!P15="Taijiquan 32 A",Atletas!P15="Taijiquan 42 A"),406,IF(OR(Atletas!P15="Yang 26 B",Atletas!P15="Yang 40 B"),407,IF(OR(Atletas!P15="Chen 25 B",Atletas!P15="Chen 36 B",Atletas!P15="Chen 56 B"),408,IF(Atletas!P15="Sun 73 B",409,IF(Atletas!P15="Wu 45 B",410,IF(Atletas!P15="Wu-Hao 46 B",411,IF(OR(Atletas!P15="Taijiquan 16 B",Atletas!P15="Taijiquan 24 B",Atletas!P15="Taijiquan 32 B",Atletas!P15="Taijiquan 42 B"),412,IF(OR(Atletas!P15="Yang 26 C",Atletas!P15="Yang 40 C"),413,IF(OR(Atletas!P15="Chen 25 C",Atletas!P15="Chen 36 C",Atletas!P15="Chen 56 C"),414,IF(Atletas!P15="Sun 73 C",415,IF(Atletas!P15="Wu 45 C",416,IF(Atletas!P15="Wu-Hao 46 C",417,IF(OR(Atletas!P15="Taijiquan 16 C",Atletas!P15="Taijiquan 24 C",Atletas!P15="Taijiquan 32 C",Atletas!P15="Taijiquan 42 C"),418,0)))))))))))))))))))</f>
        <v/>
      </c>
      <c r="BX20" s="50" t="str">
        <f>IF(Atletas!P15="","",IF(Atletas!X15&lt;&gt;"",10000,0)+IF(Atletas!B15="Feminino",1000,IF(Atletas!B15="Masculino",2000,""))+IF(OR(Atletas!P15="Yang 26 D",Atletas!P15="Yang 40 D"),419,IF(OR(Atletas!P15="Chen 25 D",Atletas!P15="Chen 36 D",Atletas!P15="Chen 56 D"),420,IF(Atletas!P15="Sun 73 D",421,IF(Atletas!P15="Wu 45 D",422,IF(Atletas!P15="Wu-Hao 46 D",423,IF(OR(Atletas!P15="Taijiquan 16 D",Atletas!P15="Taijiquan 24 D",Atletas!P15="Taijiquan 32 D",Atletas!P15="Taijiquan 42 D"),424,IF(OR(Atletas!P15="Yang 26 E",Atletas!P15="Yang 40 E"),425,IF(OR(Atletas!P15="Chen 25 E",Atletas!P15="Chen 36 E",Atletas!P15="Chen 56 E"),426,IF(Atletas!P15="Sun 73 E",427,IF(Atletas!P15="Wu 45 E",428,IF(Atletas!P15="Wu-Hao 46 E",429,IF(OR(Atletas!P15="Taijiquan 16 E",Atletas!P15="Taijiquan 24 E",Atletas!P15="Taijiquan 32 E",Atletas!P15="Taijiquan 42 E"),430,IF(OR(Atletas!P15="Yang 26 F",Atletas!P15="Yang 40 F"),431,IF(OR(Atletas!P15="Chen 25 F",Atletas!P15="Chen 36 F",Atletas!P15="Chen 56 F"),432,IF(Atletas!P15="Sun 73 F",433,IF(Atletas!P15="Wu 45 F",434,IF(Atletas!P15="Wu-Hao 46 F",435,IF(OR(Atletas!P15="Taijiquan 16 F",Atletas!P15="Taijiquan 24 F",Atletas!P15="Taijiquan 32 F",Atletas!P15="Taijiquan 42 F"),436,0)))))))))))))))))))</f>
        <v/>
      </c>
      <c r="BY20" s="50" t="str">
        <f>IF(Atletas!Q15="","",IF(Atletas!X15&lt;&gt;"",10000,0)+IF(Atletas!B15="Feminino",1000,IF(Atletas!B15="Masculino",2000,""))+IF(Atletas!Q15="Xingyiquan A",501,IF(Atletas!Q15="Baguazhang A",502,IF(Atletas!Q15="Outro Estilo Interno A",503,IF(Atletas!Q15="Xingyiquan B",504,IF(Atletas!Q15="Baguazhang B",505,IF(Atletas!Q15="Outro Estilo Interno B",506,IF(Atletas!Q15="Xingyiquan C",507,IF(Atletas!Q15="Baguazhang C",508,IF(Atletas!Q15="Outro Estilo Interno C",509,IF(Atletas!Q15="Xingyiquan D",510,IF(Atletas!Q15="Baguazhang D",511,IF(Atletas!Q15="Outro Estilo Interno D",512,IF(Atletas!Q15="Xingyiquan E",513,IF(Atletas!Q15="Baguazhang E",514,IF(Atletas!Q15="Outro Estilo Interno E",515,IF(Atletas!Q15="Xingyiquan F",516,IF(Atletas!Q15="Baguazhang F",517,IF(Atletas!Q15="Outro Estilo Interno F",518, "")))))))))))))))))))</f>
        <v/>
      </c>
      <c r="BZ20" s="50" t="str">
        <f>IF(Atletas!R15="","",IF(Atletas!X15&lt;&gt;"",10000,0)+IF(Atletas!B15="Feminino",1000,IF(Atletas!B15="Masculino",2000,""))+IF(Atletas!R15="Dao A",601,IF(Atletas!R15="Jian A",602,IF(Atletas!R15="Bishou A",603,IF(Atletas!R15="Shanzi A",604,IF(Atletas!R15="Outra Arma Curta A",605,IF(Atletas!R15="Dao B",606,IF(Atletas!R15="Jian B",607,IF(Atletas!R15="Bishou B",608,IF(Atletas!R15="Shanzi B",609,IF(Atletas!R15="Outra Arma Curta B",610,IF(Atletas!R15="Dao C",611,IF(Atletas!R15="Jian C",612,IF(Atletas!R15="Bishou C",613,IF(Atletas!R15="Shanzi C",614,IF(Atletas!R15="Outra Arma Curta C",615,IF(Atletas!R15="Dao D",616,IF(Atletas!R15="Jian D",617,IF(Atletas!R15="Bishou D",618,IF(Atletas!R15="Shanzi D",619,IF(Atletas!R15="Outra Arma Curta D",620,IF(Atletas!R15="Dao E",621,IF(Atletas!R15="Jian E",622,IF(Atletas!R15="Bishou E",623,IF(Atletas!R15="Shanzi E",624,IF(Atletas!R15="Outra Arma Curta E",625,IF(Atletas!R15="Dao F",626,IF(Atletas!R15="Jian F",627,IF(Atletas!R15="Bishou F",628,IF(Atletas!R15="Shanzi F",629,IF(Atletas!R15="Outra Arma Curta F",630, "")))))))))))))))))))))))))))))))</f>
        <v/>
      </c>
      <c r="CA20" s="50" t="str">
        <f>IF(Atletas!S15="","",IF(Atletas!X15&lt;&gt;"",10000,0)+IF(Atletas!B15="Feminino",1000,IF(Atletas!B15="Masculino",2000,""))+IF(Atletas!S15="Gun A",701,IF(Atletas!S15="Qiang A",702,IF(Atletas!S15="Pudao / Guandao A",703,IF(Atletas!S15="Outra Arma Longa A",704,IF(Atletas!S15="Gun B",705,IF(Atletas!S15="Qiang B",706,IF(Atletas!S15="Pudao / Guandao B",707,IF(Atletas!S15="Outra Arma Longa B",708,IF(Atletas!S15="Gun C",709,IF(Atletas!S15="Qiang C",710,IF(Atletas!S15="Pudao / Guandao C",711,IF(Atletas!S15="Outra Arma Longa C",712,IF(Atletas!S15="Gun D",713,IF(Atletas!S15="Qiang D",714,IF(Atletas!S15="Pudao / Guandao D",715,IF(Atletas!S15="Outra Arma Longa D",716,IF(Atletas!S15="Gun E",717,IF(Atletas!S15="Qiang E",718,IF(Atletas!S15="Pudao / Guandao E",719,IF(Atletas!S15="Outra Arma Longa E",720,IF(Atletas!S15="Gun F",721,IF(Atletas!S15="Qiang F",722,IF(Atletas!S15="Pudao / Guandao F",723,IF(Atletas!S15="Outra Arma Longa F",724,"")))))))))))))))))))))))))</f>
        <v/>
      </c>
      <c r="CB20" s="50" t="str">
        <f>IF(Atletas!T15="","",IF(Atletas!X15&lt;&gt;"",10000,0)+IF(Atletas!B15="Feminino",1000,IF(Atletas!B15="Masculino",2000,""))+IF(Atletas!T15="Outra Arma Dupla A",801,IF(Atletas!T15="Arma Maleável A",802,IF(Atletas!T15="Outra Arma Dupla B",803,IF(Atletas!T15="Arma Maleável B",804,IF(Atletas!T15="Outra Arma Dupla C",805,IF(Atletas!T15="Arma Maleável C",806,IF(Atletas!T15="Outra Arma Dupla D",807,IF(Atletas!T15="Arma Maleável D",808,IF(Atletas!T15="Outra Arma Dupla E",809,IF(Atletas!T15="Arma Maleável E",810,IF(Atletas!T15="Outra Arma Dupla F",811,IF(Atletas!T15="Arma Maleável F",812,IF(Atletas!T15="Shuangdao A",813,IF(Atletas!T15="Shuangdao B",814,IF(Atletas!T15="Shuangdao C",815,IF(Atletas!T15="Shuangdao D",816,IF(Atletas!T15="Shuangdao E",817,IF(Atletas!T15="Shuangdao F",818,"")))))))))))))))))))</f>
        <v/>
      </c>
      <c r="CC20" s="50" t="str">
        <f>IF(Atletas!U15="","",IF(Atletas!X15&lt;&gt;"",10000,0)+IF(Atletas!B15="Feminino",1000,IF(Atletas!B15="Masculino",2000,""))+IF(OR(Atletas!U15="Taijijian Yang A",Atletas!U15="Taijijian Yang Standard A"),901,IF(OR(Atletas!U15="Taijijian Chen A", Atletas!U15="Taijijian Chen Standard A"),902,IF(Atletas!U15="Taijijian Sun A",903,IF(Atletas!U15="Taijijian Wu A",904,IF(Atletas!U15="Taijijian Wu-Hao A",905,IF(OR(Atletas!U15="Taijijian 32 A",Atletas!U15="Taijijian 42 A"),906,IF(OR(Atletas!U15="Taijijian Yang B",Atletas!U15="Taijijian Yang Standard B"),907,IF(OR(Atletas!U15="Taijijian Chen B", Atletas!U15="Taijijian Chen Standard B"),908,IF(Atletas!U15="Taijijian Sun B",909,IF(Atletas!U15="Taijijian Wu B",910,IF(Atletas!U15="Taijijian Wu-Hao B",911,IF(OR(Atletas!U15="Taijijian 32 B",Atletas!U15="Taijijian 42 B"),912,IF(OR(Atletas!U15="Taijijian Yang C",Atletas!U15="Taijijian Yang Standard C"),913,IF(OR(Atletas!U15="Taijijian Chen C", Atletas!U15="Taijijian Chen Standard C"),914,IF(Atletas!U15="Taijijian Sun C",915,IF(Atletas!U15="Taijijian Wu C",916,IF(Atletas!U15="Taijijian Wu-Hao C",917,IF(OR(Atletas!U15="Taijijian 32 C",Atletas!U15="Taijijian 42 C"),918,IF(OR(Atletas!U15="Taijijian Yang D",Atletas!U15="Taijijian Yang Standard D"),919,IF(OR(Atletas!U15="Taijijian Chen D", Atletas!U15="Taijijian Chen Standard D"),920,IF(Atletas!U15="Taijijian Sun D",921,IF(Atletas!U15="Taijijian Wu D",922,IF(Atletas!U15="Taijijian Wu-Hao D",923,IF(OR(Atletas!U15="Taijijian 32 D",Atletas!U15="Taijijian 42 D"),924,IF(OR(Atletas!U15="Taijijian Yang E",Atletas!U15="Taijijian Yang Standard E"),925,IF(OR(Atletas!U15="Taijijian Chen E", Atletas!U15="Taijijian Chen Standard E"),926,IF(Atletas!U15="Taijijian Sun E",927,IF(Atletas!U15="Taijijian Wu E",928,IF(Atletas!U15="Taijijian Wu-Hao E",929,IF(OR(Atletas!U15="Taijijian 32 E",Atletas!U15="Taijijian 42 E"),930,IF(OR(Atletas!U15="Taijijian Yang F",Atletas!U15="Taijijian Yang Standard F"),931,IF(OR(Atletas!U15="Taijijian Chen F", Atletas!U15="Taijijian Chen Standard F"),932,IF(Atletas!U15="Taijijian Sun F",933,IF(Atletas!U15="Taijijian Wu F",934,IF(Atletas!U15="Taijijian Wu-Hao F",935,IF(OR(Atletas!U15="Taijijian 32 F",Atletas!U15="Taijijian 42 F"),936,"")))))))))))))))))))))))))))))))))))))</f>
        <v/>
      </c>
      <c r="CD20" s="50" t="str">
        <f>IF(Atletas!V15="","",IF(Atletas!X15&lt;&gt;"",10000,0)+IF(Atletas!B15="Feminino",1000,IF(Atletas!B15="Masculino",2000,""))+IF(Atletas!V15="Taijidao A",937,IF(Atletas!V15="TaijiShanzi A",938,IF(Atletas!V15="Taijiqiang A",939,IF(Atletas!V15="Bagua de Arma A",940,IF(Atletas!V15="Xingyi de Arma A",941,IF(Atletas!V15="Taijidao B",942,IF(Atletas!V15="TaijiShanzi B",943,IF(Atletas!V15="Taijiqiang B",944,IF(Atletas!V15="Bagua de Arma B",945,IF(Atletas!V15="Xingyi de Arma B",946,IF(Atletas!V15="Taijidao C",947,IF(Atletas!V15="TaijiShanzi C",948,IF(Atletas!V15="Taijiqiang C",949,IF(Atletas!V15="Bagua de Arma C",950,IF(Atletas!V15="Xingyi de Arma C",951,IF(Atletas!V15="Taijidao D",952,IF(Atletas!V15="TaijiShanzi D",953,IF(Atletas!V15="Taijiqiang D",954,IF(Atletas!V15="Bagua de Arma D",955,IF(Atletas!V15="Xingyi de Arma D",956,IF(Atletas!V15="Taijidao E",957,IF(Atletas!V15="TaijiShanzi E",958,IF(Atletas!V15="Taijiqiang E",959,IF(Atletas!V15="Bagua de Arma E",960,IF(Atletas!V15="Xingyi de Arma E",961,IF(Atletas!V15="Taijidao F",962,IF(Atletas!V15="TaijiShanzi F",963,IF(Atletas!V15="Taijiqiang F",964,IF(Atletas!V15="Bagua de Arma F",965,IF(Atletas!V15="Xingyi de Arma F",966,"")))))))))))))))))))))))))))))))</f>
        <v/>
      </c>
      <c r="CE20" s="66" t="str">
        <f>IF(CF20&lt;&gt;"","Hunggar C","")</f>
        <v/>
      </c>
      <c r="CF20" s="66" t="str">
        <f>IF(COUNTIF(BR:CD,1012)&gt;0,COUNTIF(BR:CD,1012),"")</f>
        <v/>
      </c>
      <c r="CG20" s="66" t="str">
        <f>IF(CH20&lt;&gt;"","Hunggar C","")</f>
        <v/>
      </c>
      <c r="CH20" s="66" t="str">
        <f>IF(COUNTIF(BR:CD,2012)&gt;0,COUNTIF(BR:CD,2012),"")</f>
        <v/>
      </c>
      <c r="CI20" s="66" t="str">
        <f>IF(CJ20&lt;&gt;"","Wingchun C","")</f>
        <v/>
      </c>
      <c r="CJ20" s="66" t="str">
        <f>IF(COUNTIF(BR:CD,11014)&gt;0,COUNTIF(BR:CD,11014),"")</f>
        <v/>
      </c>
      <c r="CK20" s="66" t="str">
        <f>IF(CL20&lt;&gt;"","Wingchun C","")</f>
        <v/>
      </c>
      <c r="CL20" s="66" t="str">
        <f>IF(COUNTIF(BR:CD,12014)&gt;0,COUNTIF(BR:CD,12014),"")</f>
        <v/>
      </c>
      <c r="CM20" s="50" t="str">
        <f xml:space="preserve"> IF(Atletas!W15="","",IF(Atletas!W15="Duilian de Mãos BC - Equipe 1",1,IF(Atletas!W15="Duilian de Mãos BC - Equipe 2",2,IF(Atletas!W15="Duilian de Armas BC - Equipe 1",3,IF(Atletas!W15="Duilian de Armas BC - Equipe 2",4,IF(Atletas!W15="Duilian de Mãos DE - Equipe 1",5,IF(Atletas!W15="Duilian de Mãos DE - Equipe 2",6,IF(Atletas!W15="Duilian de Armas DE - Equipe 1",7,IF(Atletas!W15="Duilian de Armas DE - Equipe 2",8,IF(Atletas!W15="Duilian de Tuishou - Equipe 1",9,IF(Atletas!W15="Duilian de Tuishou - Equipe 2",10,IF(Atletas!W15="Grupo Externo ABC - Equipe 1",11,IF(Atletas!W15="Grupo Externo ABC - Equipe 2",12,IF(Atletas!W15="Grupo Interno ABC - Equipe 1",13,IF(Atletas!W15="Grupo Interno ABC - Equipe 2",14,IF(Atletas!W15="Grupo Externo DEF - Equipe 1",15,IF(Atletas!W15="Grupo Externo DEF - Equipe 2",16,IF(Atletas!W15="Grupo Interno DEF - Equipe 1",17,IF(Atletas!W15="Grupo Interno DEF - Equipe 2",18,"")))))))))))))))))))</f>
        <v/>
      </c>
      <c r="CR20" s="67"/>
      <c r="CS20" s="68"/>
      <c r="CY20" s="41"/>
    </row>
    <row r="21" spans="1:103">
      <c r="A21" s="16"/>
      <c r="B21" s="3" t="str">
        <f t="array" ref="B21">IFERROR(INDEX(AO$7:AO$38,SMALL(IF(AO$7:AO$38&lt;&gt;"",ROW(AO$7:AO$38)-ROW(AO$7)+1),ROWS(AO$7:AO20))),"")</f>
        <v/>
      </c>
      <c r="C21" s="3" t="str">
        <f t="array" ref="C21">IFERROR(INDEX(AP$7:AP$38,SMALL(IF(AP$7:AP$38&lt;&gt;"",ROW(AP$7:AP$38)-ROW(AP$7)+1),ROWS(AP$7:AP20))),"")</f>
        <v/>
      </c>
      <c r="D21" s="3" t="str">
        <f t="array" ref="D21">IFERROR(INDEX(AQ$7:AQ$38,SMALL(IF(AQ$7:AQ$38&lt;&gt;"",ROW(AQ$7:AQ$38)-ROW(AQ$7)+1),ROWS(AQ$7:AQ20))),"")</f>
        <v/>
      </c>
      <c r="E21" s="3" t="str">
        <f t="array" ref="E21">IFERROR(INDEX(AR$7:AR$38,SMALL(IF(AR$7:AR$38&lt;&gt;"",ROW(AR$7:AR$38)-ROW(AR$7)+1),ROWS(AR$7:AR20))),"")</f>
        <v/>
      </c>
      <c r="F21" s="3" t="str">
        <f t="array" ref="F21">IFERROR(INDEX(AT$7:AT$36,SMALL(IF(AT$7:AT$36&lt;&gt;"",ROW(AT$7:AT$36)-ROW(AT$7)+1),ROWS(AT$7:AT20))),"")</f>
        <v/>
      </c>
      <c r="G21" s="3" t="str">
        <f t="array" ref="G21">IFERROR(INDEX(AU$7:AU$36,SMALL(IF(AU$7:AU$36&lt;&gt;"",ROW(AU$7:AU$36)-ROW(AU$7)+1),ROWS(AU$7:AU20))),"")</f>
        <v/>
      </c>
      <c r="H21" s="3" t="str">
        <f t="array" ref="H21">IFERROR(INDEX(AV$7:AV$36,SMALL(IF(AV$7:AV$36&lt;&gt;"",ROW(AV$7:AV$36)-ROW(AV$7)+1),ROWS(AV$7:AV20))),"")</f>
        <v/>
      </c>
      <c r="I21" s="3" t="str">
        <f t="array" ref="I21">IFERROR(INDEX(AW$7:AW$36,SMALL(IF(AW$7:AW$36&lt;&gt;"",ROW(AW$7:AW$36)-ROW(AW$7)+1),ROWS(AW$7:AW20))),"")</f>
        <v/>
      </c>
      <c r="J21" s="3" t="str">
        <f t="array" ref="J21">IFERROR(INDEX(AY$7:AY$36,SMALL(IF(AY$7:AY$36&lt;&gt;"",ROW(AY$7:AY$36)-ROW(AY$7)+1),ROWS(AY$7:AY20))),"")</f>
        <v/>
      </c>
      <c r="K21" s="3" t="str">
        <f t="array" ref="K21">IFERROR(INDEX(AZ$7:AZ$36,SMALL(IF(AZ$7:AZ$36&lt;&gt;"",ROW(AZ$7:AZ$36)-ROW(AZ$7)+1),ROWS(AZ$7:AZ20))),"")</f>
        <v/>
      </c>
      <c r="L21" s="3" t="str">
        <f t="array" ref="L21">IFERROR(INDEX(BA$7:BA$36,SMALL(IF(BA$7:BA$36&lt;&gt;"",ROW(BA$7:BA$36)-ROW(BA$7)+1),ROWS(BA$7:BA20))),"")</f>
        <v/>
      </c>
      <c r="M21" s="3" t="str">
        <f t="array" ref="M21">IFERROR(INDEX(BB$7:BB$36,SMALL(IF(BB$7:BB$36&lt;&gt;"",ROW(BB$7:BB$36)-ROW(BB$7)+1),ROWS(BB$7:BB20))),"")</f>
        <v/>
      </c>
      <c r="N21" s="3" t="str" cm="1">
        <f t="array" ref="N21">IFERROR(INDEX(BD$7:BD$8,SMALL(IF(BD$7:BD$8&lt;&gt;"",ROW(BD$7:BD$8)-ROW(BD$7)+1),ROWS(BD$7:BD20))),"")</f>
        <v/>
      </c>
      <c r="O21" s="3" t="str" cm="1">
        <f t="array" ref="O21">IFERROR(INDEX(BE$7:BE$8,SMALL(IF(BE$7:BE$8&lt;&gt;"",ROW(BE$7:BE$8)-ROW(BE$7)+1),ROWS(BE$7:BE20))),"")</f>
        <v/>
      </c>
      <c r="P21" s="3" t="str" cm="1">
        <f t="array" ref="P21">IFERROR(INDEX(BD$9:BD$10,SMALL(IF(BD$9:BD$10&lt;&gt;"",ROW(BD$9:BD$10)-ROW(BD$9)+1),ROWS(BD$9:BD22))),"")</f>
        <v/>
      </c>
      <c r="Q21" s="3" t="str">
        <f t="array" ref="Q21">IFERROR(INDEX(BH$7:BH$36,SMALL(IF(BH$7:BH$36&lt;&gt;"",ROW(BH$7:BH$36)-ROW(BH$7)+1),ROWS(BH$7:BH20))),"")</f>
        <v/>
      </c>
      <c r="R21" s="3" t="str">
        <f t="array" ref="R21">IFERROR(INDEX(BI$7:BI$68,SMALL(IF(BI$7:BI$68&lt;&gt;"",ROW(BI$7:BI$68)-ROW(BI$7)+1),ROWS(BI$7:BI20))),"")</f>
        <v/>
      </c>
      <c r="S21" s="3" t="str">
        <f t="array" ref="S21">IFERROR(INDEX(BJ$7:BJ$68,SMALL(IF(BJ$7:BJ$68&lt;&gt;"",ROW(BJ$7:BJ$68)-ROW(BJ$7)+1),ROWS(BJ$7:BJ20))),"")</f>
        <v/>
      </c>
      <c r="T21" s="3" t="str">
        <f t="array" ref="T21">IFERROR(INDEX(BK$7:BK$68,SMALL(IF(BK$7:BK$68&lt;&gt;"",ROW(BK$7:BK$68)-ROW(BK$7)+1),ROWS(BK$7:BK20))),"")</f>
        <v/>
      </c>
      <c r="U21" s="3" t="str">
        <f t="array" ref="U21">IFERROR(INDEX(BL$7:BL$68,SMALL(IF(BL$7:BL$68&lt;&gt;"",ROW(BL$7:BL$68)-ROW(BL$7)+1),ROWS(BL$7:BL20))),"")</f>
        <v/>
      </c>
      <c r="V21" s="20"/>
      <c r="W21" s="20"/>
      <c r="X21" s="20"/>
      <c r="Y21" s="20"/>
      <c r="Z21" s="3" t="str">
        <f t="array" ref="Z21">IFERROR(INDEX(CE$7:CE$348,SMALL(IF(CE$7:CE$348&lt;&gt;"",ROW(CE$7:CE$348)-ROW(CE$7)+1),ROWS(CE$7:CE20))),"")</f>
        <v/>
      </c>
      <c r="AA21" s="3" t="str">
        <f t="array" ref="AA21">IFERROR(INDEX(CF$7:CF$348,SMALL(IF(CF$7:CF$348&lt;&gt;"",ROW(CF$7:CF$348)-ROW(CF$7)+1),ROWS(CF$7:CF20))),"")</f>
        <v/>
      </c>
      <c r="AB21" s="3" t="str">
        <f t="array" ref="AB21">IFERROR(INDEX(CG$7:CG$348,SMALL(IF(CG$7:CG$348&lt;&gt;"",ROW(CG$7:CG$348)-ROW(CG$7)+1),ROWS(CG$7:CG20))),"")</f>
        <v/>
      </c>
      <c r="AC21" s="3" t="str">
        <f t="array" ref="AC21">IFERROR(INDEX(CH$7:CH$348,SMALL(IF(CH$7:CH$348&lt;&gt;"",ROW(CH$7:CH$348)-ROW(CH$7)+1),ROWS(CH$7:CH20))),"")</f>
        <v/>
      </c>
      <c r="AD21" s="3" t="str">
        <f t="array" ref="AD21">IFERROR(INDEX(CI$7:CI$377,SMALL(IF(CI$7:CI$377&lt;&gt;"",ROW(CI$7:CI$377)-ROW(CI$7)+1),ROWS(CI$7:CI20))),"")</f>
        <v/>
      </c>
      <c r="AE21" s="3" t="str">
        <f t="array" ref="AE21">IFERROR(INDEX(CJ$7:CJ$378,SMALL(IF(CJ$7:CJ$378&lt;&gt;"",ROW(CJ$7:CJ$378)-ROW(CJ$7)+1),ROWS(CJ$7:CJ20))),"")</f>
        <v/>
      </c>
      <c r="AF21" s="3" t="str">
        <f t="array" ref="AF21">IFERROR(INDEX(CK$7:CK$378,SMALL(IF(CK$7:CK$378&lt;&gt;"",ROW(CK$7:CK$378)-ROW(CK$7)+1),ROWS(CK$7:CK20))),"")</f>
        <v/>
      </c>
      <c r="AG21" s="3" t="str">
        <f t="array" ref="AG21">IFERROR(INDEX(CL$7:CL$378,SMALL(IF(CL$7:CL$378&lt;&gt;"",ROW(CL$7:CL$378)-ROW(CL$7)+1),ROWS(CL$7:CL20))),"")</f>
        <v/>
      </c>
      <c r="AH21" s="40" t="str">
        <f t="array" ref="AH21">IFERROR(INDEX(CN$7:CN$18,SMALL(IF(CN$7:CN$18&lt;&gt;"",ROW(CN$7:CN$18)-ROW(CN$7)+1),ROWS(CN$7:CN20))),"")</f>
        <v/>
      </c>
      <c r="AI21" s="40" t="str">
        <f t="array" ref="AI21">IFERROR(INDEX(CO$7:CO$18,SMALL(IF(CO$7:CO$18&lt;&gt;"",ROW(CO$7:CO$18)-ROW(CO$7)+1),ROWS(CO$7:CO20))),"")</f>
        <v/>
      </c>
      <c r="AJ21" s="40" t="str">
        <f t="array" ref="AJ21">IFERROR(INDEX(CP$7:CP$8,SMALL(IF(CP$7:CP$8&lt;&gt;"",ROW(CP$7:CP$8)-ROW(CP$7)+1),ROWS(CP$7:CP20))),"")</f>
        <v/>
      </c>
      <c r="AK21" s="40"/>
      <c r="AL21" s="40" t="str">
        <f t="array" ref="AL21">IFERROR(INDEX(CR$7:CR$14,SMALL(IF(CR$7:CR$14&lt;&gt;"",ROW(CR$7:CR$14)-ROW(CR$7)+1),ROWS(CR$7:CR20))),"")</f>
        <v/>
      </c>
      <c r="AM21" s="40"/>
      <c r="AN21" s="52" t="e">
        <f>IF(Atletas!#REF!="","",IF(Atletas!#REF!="Feminino",100,IF(Atletas!#REF!="Masculino",200,""))+(IF(Atletas!#REF!="Kids 30kg",1,IF(Atletas!#REF!="Kids 32kg",2, IF(Atletas!#REF!="Kids 34kg",3,IF(Atletas!#REF!="Kids 36kg",4,IF(Atletas!#REF!="Kids 39kg",5,IF(Atletas!#REF!="Kids 42kg",6,IF(Atletas!#REF!="Kids 45kg",7, IF(Atletas!#REF!="Infantil 39kg",8,IF(Atletas!#REF!="Infantil 42kg",9,IF(Atletas!#REF!="Infantil 45kg",10,IF(Atletas!#REF!="Infantil 48kg",11,IF(Atletas!#REF!="Infantil 52kg",12,IF(Atletas!#REF!="Infantil 56kg",13,IF(Atletas!#REF!="Infantil 60kg",14,IF(Atletas!#REF!="Juvenil 48kg",15,IF(Atletas!#REF!="Juvenil 52kg",16,IF(Atletas!#REF!="Juvenil 56kg",17,IF(Atletas!#REF!="Juvenil 60kg",18,IF(Atletas!#REF!="Juvenil 65kg",19,IF(Atletas!#REF!="Juvenil 70kg",20,IF(Atletas!#REF!="Juvenil 75kg",21,IF(Atletas!#REF!="Juvenil 80kg",22, IF(Atletas!#REF!="Juvenil 85kg",23,IF(Atletas!#REF!="Adulto 48kg",24,IF(Atletas!#REF!="Adulto 52kg",25,IF(Atletas!#REF!="Adulto 56kg",26,IF(Atletas!#REF!="Adulto 60kg",27,IF(Atletas!#REF!="Adulto 65kg",28,IF(Atletas!#REF!="Adulto 70kg",29,IF(Atletas!#REF!="Adulto 75kg",30,IF(Atletas!#REF!="Adulto 80kg",31,IF(Atletas!#REF!="Adulto 85kg",32,IF(Atletas!#REF!="Adulto 90kg",33,IF(Atletas!#REF!="Adulto 100kg",34, IF(Atletas!#REF!="Adulto +100kg",35,"")))))))))))))))))))))))))))))))))))))</f>
        <v>#REF!</v>
      </c>
      <c r="AO21" s="50" t="str">
        <f>IF(AP21&lt;&gt;"","Adulto 52kg","")</f>
        <v/>
      </c>
      <c r="AP21" s="6" t="str">
        <f>IF(COUNTIF(AN:AN,125)&gt;0,COUNTIF(AN:AN,125),"")</f>
        <v/>
      </c>
      <c r="AQ21" s="50" t="str">
        <f>IF(AR21&lt;&gt;"","Juvenil 48kg","")</f>
        <v/>
      </c>
      <c r="AR21" s="6" t="str">
        <f>IF(COUNTIF(AN:AN,215)&gt;0,COUNTIF(AN:AN,215),"")</f>
        <v/>
      </c>
      <c r="AS21" s="6" t="e">
        <f>IF(Atletas!#REF!="","",IF(Atletas!#REF!="Feminino",100,IF(Atletas!#REF!="Masculino",200,""))+(IF(Atletas!#REF!="Juvenil 44kg",1,IF(Atletas!#REF!="Juvenil 48kg",2,IF(Atletas!#REF!="Juvenil 52kg",3,IF(Atletas!#REF!="Juvenil 56kg",4,IF(Atletas!#REF!="Juvenil 60kg",5,IF(Atletas!#REF!="Juvenil 65kg",6,IF(Atletas!#REF!="Juvenil 70kg",7,IF(Atletas!#REF!="Juvenil 75kg",8,IF(Atletas!#REF!="Juvenil 82kg",9,IF(Atletas!#REF!="Juvenil 90kg",10,IF(Atletas!#REF!="Juvenil 100kg",11,IF(Atletas!#REF!="Adulto 48kg",12,IF(Atletas!#REF!="Adulto 52kg",13,IF(Atletas!#REF!="Adulto 56kg",14,IF(Atletas!#REF!="Adulto 60kg",15,IF(Atletas!#REF!="Adulto 65kg",16,IF(Atletas!#REF!="Adulto 70kg",17,IF(Atletas!#REF!="Adulto 75kg",18,IF(Atletas!#REF!="Adulto 82kg",19,IF(Atletas!#REF!="Adulto 90kg",20,IF(Atletas!#REF!="Adulto 100kg",21,IF(Atletas!#REF!="Adulto +100kg",22,""))))))))))))))))))))))))</f>
        <v>#REF!</v>
      </c>
      <c r="AT21" s="50" t="str">
        <f>IF(AU21&lt;&gt;"","Adulto 75kg","")</f>
        <v/>
      </c>
      <c r="AU21" s="6" t="str">
        <f>IF(COUNTIF(AS:AS,118)&gt;0,COUNTIF(AS:AS,118),"")</f>
        <v/>
      </c>
      <c r="AV21" s="50" t="str">
        <f>IF(AW21&lt;&gt;"","Adulto 70kg","")</f>
        <v/>
      </c>
      <c r="AW21" s="6" t="str">
        <f>IF(COUNTIF(AS:AS,217)&gt;0,COUNTIF(AS:AS,217),"")</f>
        <v/>
      </c>
      <c r="AX21" s="6" t="e">
        <f>IF(Atletas!#REF!="","",IF(Atletas!#REF!="Feminino",100,IF(Atletas!#REF!="Masculino",200,""))+(IF(Atletas!#REF!="Adulto 48kg",1,IF(Atletas!#REF!="Adulto 56kg",2,IF(Atletas!#REF!="Adulto 65kg",3,IF(Atletas!#REF!="Adulto 75kg",4,IF(Atletas!#REF!="Adulto +75kg",5,IF(Atletas!#REF!="Adulto 52kg",6,IF(Atletas!#REF!="Adulto 60kg",7,IF(Atletas!#REF!="Adulto 70kg",8,IF(Atletas!#REF!="Adulto 80kg",9,IF(Atletas!#REF!="Adulto 90kg",10,IF(Atletas!#REF!="Adulto +90kg",11,"")))))))))))))</f>
        <v>#REF!</v>
      </c>
      <c r="BC21" s="6" t="e">
        <f>IF(Atletas!#REF!="","",IF(Atletas!#REF!="Feminino",10,IF(Atletas!#REF!="Masculino",20,""))+(IF(Atletas!#REF!="Baduanjin A",1,IF(Atletas!#REF!="Baduanjin B",2))))</f>
        <v>#REF!</v>
      </c>
      <c r="BF21" s="52" t="e">
        <f>IF(Atletas!#REF!="","",IF(Atletas!#REF!="Feminino",100,IF(Atletas!#REF!="Masculino",200,""))+(IF(Atletas!#REF!="Changquan Mirim",1,IF(Atletas!#REF!="Nanquan Mirim",2,IF(Atletas!#REF!="Taijiquan Mirim",3,IF(Atletas!#REF!="Changquan Grupo C",4,IF(Atletas!#REF!="Nanquan Grupo C",5,IF(Atletas!#REF!="Taijiquan Grupo C",6,IF(Atletas!#REF!="Changquan Grupo B",7,IF(Atletas!#REF!="Nanquan Grupo B",8,IF(Atletas!#REF!="Taijiquan Grupo B",9,IF(Atletas!#REF!="Changquan Grupo A",10,IF(Atletas!#REF!="Nanquan Grupo A",11,IF(Atletas!#REF!="Taijiquan Grupo A",12,IF(Atletas!#REF!="Changquan Opcional",13,IF(Atletas!#REF!="Nanquan Opcional",14,IF(Atletas!#REF!="Taijiquan Opcional",15,IF(Atletas!#REF!="Changquan Adulto",16,IF(Atletas!#REF!="Nanquan Adulto",17,IF(Atletas!#REF!="Taijiquan Adulto",18,""))))))))))))))))))))</f>
        <v>#REF!</v>
      </c>
      <c r="BG21" s="52" t="e">
        <f>IF(Atletas!#REF!="","",IF(Atletas!#REF!="Feminino",100,IF(Atletas!#REF!="Masculino",200,""))+(IF(Atletas!#REF!="Daoshu Mirim",19,IF(Atletas!#REF!="Jianshu Mirim",20,IF(Atletas!#REF!="Nandao Mirim",21,IF(Atletas!#REF!="Taijijian Mirim",22,IF(Atletas!#REF!="Daoshu Grupo C",23,IF(Atletas!#REF!="Jianshu Grupo C",24,IF(Atletas!#REF!="Nandao Grupo C",25,IF(Atletas!#REF!="Taijijian Grupo C",26,IF(Atletas!#REF!="Daoshu Grupo B",27,IF(Atletas!#REF!="Jianshu Grupo B",28,IF(Atletas!#REF!="Nandao Grupo B",29,IF(Atletas!#REF!="Taijijian Grupo B",30,IF(Atletas!#REF!="Daoshu Grupo A",31,IF(Atletas!#REF!="Jianshu Grupo A",32,IF(Atletas!#REF!="Nandao Grupo A",33,IF(Atletas!#REF!="Taijijian Grupo A",34,IF(Atletas!#REF!="Daoshu Opcional",35,IF(Atletas!#REF!="Jianshu Opcional",36,IF(Atletas!#REF!="Nandao Opcional",37,IF(Atletas!#REF!="Taijijian Opcional",38,IF(Atletas!#REF!="Daoshu Adulto",39,IF(Atletas!#REF!="Jianshu Adulto",40,IF(Atletas!#REF!="Nandao Adulto",41,IF(Atletas!#REF!="Taijijian Adulto",42,""))))))))))))))))))))))))))</f>
        <v>#REF!</v>
      </c>
      <c r="BH21" s="52" t="e">
        <f>IF(Atletas!#REF!="","",IF(Atletas!#REF!="Feminino",100,IF(Atletas!#REF!="Masculino",200,""))+(IF(Atletas!#REF!="Gunshu Mirim",43,IF(Atletas!#REF!="Qiangshu Mirim",44,IF(Atletas!#REF!="Nangun Mirim",45,IF(Atletas!#REF!="Gunshu Grupo C",46,IF(Atletas!#REF!="Qiangshu Grupo C",47,IF(Atletas!#REF!="Nangun Grupo C",48,IF(Atletas!#REF!="Gunshu Grupo B",49,IF(Atletas!#REF!="Qiangshu Grupo B",50,IF(Atletas!#REF!="Nangun Grupo B",51,IF(Atletas!#REF!="Gunshu Grupo A",52,IF(Atletas!#REF!="Qiangshu Grupo A",53,IF(Atletas!#REF!="Nangun Grupo A",54,IF(Atletas!#REF!="Gunshu Opcional",55,IF(Atletas!#REF!="Qiangshu Opcional",56,IF(Atletas!#REF!="Nangun Opcional",57,IF(Atletas!#REF!="Gunshu Adulto",58,IF(Atletas!#REF!="Qiangshu Adulto",59,IF(Atletas!#REF!="Nangun Adulto",60,IF(Atletas!#REF!="Taijishan Grupo B",61,IF(Atletas!#REF!="Taijishan Grupo A",62,""))))))))))))))))))))))</f>
        <v>#REF!</v>
      </c>
      <c r="BI21" s="52" t="str">
        <f>IF(BJ21&lt;&gt;"","Jianshu Grupo C","")</f>
        <v/>
      </c>
      <c r="BJ21" s="50" t="str">
        <f>IF(COUNTIF(BF:BH,124)&gt;0,COUNTIF(BF:BH,124),"")</f>
        <v/>
      </c>
      <c r="BK21" s="52" t="str">
        <f>IF(BL21&lt;&gt;"","Jianshu Grupo C","")</f>
        <v/>
      </c>
      <c r="BL21" s="50" t="str">
        <f>IF(COUNTIF(BF:BH,224)&gt;0,COUNTIF(BF:BH,224),"")</f>
        <v/>
      </c>
      <c r="BM21" s="50" t="e">
        <f>IF(Atletas!#REF!="","",IF(Atletas!#REF!="Feminino",100,IF(Atletas!#REF!="Masculino",200,""))+(IF(Atletas!#REF!="Equipe 1 Grupo B",1,IF(Atletas!#REF!="Equipe 2 Grupo B",2,IF(Atletas!#REF!="Equipe 1 Grupo A",3,IF(Atletas!#REF!="Equipe 2 Grupo A",4,IF(Atletas!#REF!="Equipe 1 Adulto",5,IF(Atletas!#REF!="Equipe 2 Adulto",6,""))))))))</f>
        <v>#REF!</v>
      </c>
      <c r="BN21" s="50"/>
      <c r="BO21" s="50"/>
      <c r="BP21" s="50"/>
      <c r="BQ21" s="50"/>
      <c r="BR21" s="50" t="e">
        <f>IF(Atletas!#REF!="","",IF(Atletas!#REF!&lt;&gt;"",10000,0)+(IF(Atletas!#REF!="Feminino",1000,IF(Atletas!#REF!="Masculino",2000,""))+IF(Atletas!#REF!="Choylayfut A",1,IF(Atletas!#REF!="Hunggar A",2,IF(Atletas!#REF!="Wuzuquan A",3,IF(Atletas!#REF!="Wingchun A",4,IF(Atletas!#REF!="Outra Mão de Sul A",5,IF(Atletas!#REF!="Choylayfut B",6,IF(Atletas!#REF!="Hunggar B",7,IF(Atletas!#REF!="Wuzuquan B",8,IF(Atletas!#REF!="Wingchun B",9,IF(Atletas!#REF!="Outra Mão de Sul B",10,IF(Atletas!#REF!="Choylayfut C",11,IF(Atletas!#REF!="Hunggar C",12,IF(Atletas!#REF!="Wuzuquan C",13,IF(Atletas!#REF!="Wingchun C",14,IF(Atletas!#REF!="Outra Mão de Sul C",15,IF(Atletas!#REF!="Choylayfut D",16,IF(Atletas!#REF!="Hunggar D",17,IF(Atletas!#REF!="Wuzuquan D",18,IF(Atletas!#REF!="Wingchun D",19,IF(Atletas!#REF!="Outra Mão de Sul D",20,IF(Atletas!#REF!="Choylayfut E",21,IF(Atletas!#REF!="Hunggar E",22,IF(Atletas!#REF!="Wuzuquan E",23,IF(Atletas!#REF!="Wingchun E",24,IF(Atletas!#REF!="Outra Mão de Sul E",25,IF(Atletas!#REF!="Choylayfut F",26,IF(Atletas!#REF!="Hunggar F",27,IF(Atletas!#REF!="Wuzuquan F",28,IF(Atletas!#REF!="Wingchun F",29,IF(Atletas!#REF!="Outra Mão de Sul F",30,IF(Atletas!#REF!="Dishuquan A",31,IF(Atletas!#REF!="Dishuquan B",32,IF(Atletas!#REF!="Dishuquan C",33,IF(Atletas!#REF!="Dishuquan D",34,IF(Atletas!#REF!="Dishuquan E",35,IF(Atletas!#REF!="Dishuquan F",36,""))))))))))))))))))))))))))))))))))))))</f>
        <v>#REF!</v>
      </c>
      <c r="BS21" s="50" t="e">
        <f>IF(Atletas!#REF!="","",IF(Atletas!#REF!&lt;&gt;"",10000,0)+(IF(Atletas!#REF!="Feminino",1000,IF(Atletas!#REF!="Masculino",2000,""))+(IF(Atletas!#REF!="Chaquan A",101,IF(Atletas!#REF!="Emeiquan A",102,IF(Atletas!#REF!="Fanziquan A",103,IF(Atletas!#REF!="Huaquan A",104,IF(Atletas!#REF!="Hongquan A",105,IF(Atletas!#REF!="Paoquan A",106,IF(Atletas!#REF!="Piguaquan A",107,IF(Atletas!#REF!="Shaolinquan A",108,IF(Atletas!#REF!="Tanglangquan A",109,IF(Atletas!#REF!="Yingzhaoquan A",110,IF(Atletas!#REF!="Tongbeiquan A",111,IF(Atletas!#REF!="Wudangquan A",112,IF(Atletas!#REF!="Outros Estilos A",113,IF(Atletas!#REF!="Chaquan B",114,IF(Atletas!#REF!="Emeiquan B",115,IF(Atletas!#REF!="Fanziquan B",116,IF(Atletas!#REF!="Huaquan B",117,IF(Atletas!#REF!="Hongquan B",118,IF(Atletas!#REF!="Paoquan B",119,IF(Atletas!#REF!="Piguaquan B",120,IF(Atletas!#REF!="Shaolinquan B",121,IF(Atletas!#REF!="Tanglangquan B",122,IF(Atletas!#REF!="Yingzhaoquan B",123,IF(Atletas!#REF!="Tongbeiquan B",124,IF(Atletas!#REF!="Wudangquan B",125,IF(Atletas!#REF!="Outros Estilos B",126,IF(Atletas!#REF!="Chaquan C",127,IF(Atletas!#REF!="Emeiquan C",128,IF(Atletas!#REF!="Fanziquan C",129,IF(Atletas!#REF!="Huaquan C",130,IF(Atletas!#REF!="Hongquan C",131,IF(Atletas!#REF!="Paoquan C",132,IF(Atletas!#REF!="Piguaquan C",133,IF(Atletas!#REF!="Shaolinquan C",134,IF(Atletas!#REF!="Tanglangquan C",135,IF(Atletas!#REF!="Yingzhaoquan C",136,IF(Atletas!#REF!="Tongbeiquan C",137,IF(Atletas!#REF!="Wudangquan C",138,IF(Atletas!#REF!="Outros Estilos C",139,0))))))))))))))))))))))))))))))))))))))))))</f>
        <v>#REF!</v>
      </c>
      <c r="BT21" s="50" t="e">
        <f>IF(Atletas!#REF!="","",IF(Atletas!#REF!&lt;&gt;"",10000,0)+(IF(Atletas!#REF!="Feminino",1000,IF(Atletas!#REF!="Masculino",2000,""))+(IF(Atletas!#REF!="Chaquan D",140,IF(Atletas!#REF!="Emeiquan D",141,IF(Atletas!#REF!="Fanziquan D",142,IF(Atletas!#REF!="Huaquan D",143,IF(Atletas!#REF!="Hongquan D",144,IF(Atletas!#REF!="Paoquan D",145,IF(Atletas!#REF!="Piguaquan D",146,IF(Atletas!#REF!="Shaolinquan D",147,IF(Atletas!#REF!="Tanglangquan D",148,IF(Atletas!#REF!="Yingzhaoquan D",149,IF(Atletas!#REF!="Tongbeiquan D",150,IF(Atletas!#REF!="Wudangquan D",151,IF(Atletas!#REF!="Outros Estilos D",152,IF(Atletas!#REF!="Chaquan E",153,IF(Atletas!#REF!="Emeiquan E",154,IF(Atletas!#REF!="Fanziquan E",155,IF(Atletas!#REF!="Huaquan E",156,IF(Atletas!#REF!="Hongquan E",157,IF(Atletas!#REF!="Paoquan E",158,IF(Atletas!#REF!="Piguaquan E",159,IF(Atletas!#REF!="Shaolinquan E",160,IF(Atletas!#REF!="Tanglangquan E",161,IF(Atletas!#REF!="Yingzhaoquan E",162,IF(Atletas!#REF!="Tongbeiquan E",163,IF(Atletas!#REF!="Wudangquan E",164,IF(Atletas!#REF!="Outros Estilos E",165,IF(Atletas!#REF!="Chaquan F",166,IF(Atletas!#REF!="Emeiquan F",167,IF(Atletas!#REF!="Fanziquan F",168,IF(Atletas!#REF!="Huaquan F",169,IF(Atletas!#REF!="Hongquan F",170,IF(Atletas!#REF!="Paoquan F",171,IF(Atletas!#REF!="Piguaquan F",172,IF(Atletas!#REF!="Shaolinquan F",173,IF(Atletas!#REF!="Tanglangquan F",174,IF(Atletas!#REF!="Yingzhaoquan F",175,IF(Atletas!#REF!="Tongbeiquan F",176,IF(Atletas!#REF!="Wudangquan F",177,IF(Atletas!#REF!="Outros Estilos F",178,0))))))))))))))))))))))))))))))))))))))))))</f>
        <v>#REF!</v>
      </c>
      <c r="BU21" s="50" t="e">
        <f>IF(Atletas!#REF!="","",IF(Atletas!#REF!&lt;&gt;"",10000,0)+(IF(Atletas!#REF!="Feminino",1000,IF(Atletas!#REF!="Masculino",2000,""))+(IF(Atletas!#REF!="Ditangquan A",201,IF(Atletas!#REF!="Houquan A",202,IF(Atletas!#REF!="Zuiquan A",203,IF(Atletas!#REF!="Ditangquan B",204,IF(Atletas!#REF!="Houquan B",205,IF(Atletas!#REF!="Zuiquan B",206,IF(Atletas!#REF!="Ditangquan C",207,IF(Atletas!#REF!="Houquan C",208,IF(Atletas!#REF!="Zuiquan C",209,IF(Atletas!#REF!="Ditangquan D",210,IF(Atletas!#REF!="Houquan D",211,IF(Atletas!#REF!="Zuiquan D",212,IF(Atletas!#REF!="Ditangquan E",213,IF(Atletas!#REF!="Houquan E",214,IF(Atletas!#REF!="Zuiquan E",215,IF(Atletas!#REF!="Ditangquan F",216,IF(Atletas!#REF!="Houquan F",217,IF(Atletas!#REF!="Zuiquan F",218,"")))))))))))))))))))))</f>
        <v>#REF!</v>
      </c>
      <c r="BV21" s="50" t="e">
        <f>IF(Atletas!#REF!="","",IF(Atletas!#REF!&lt;&gt;"",10000,0)+IF(Atletas!#REF!="Feminino",1000,IF(Atletas!#REF!="Masculino",2000,""))+IF(Atletas!#REF!="Yang A",301,IF(Atletas!#REF!="Chen A",302,IF(Atletas!#REF!="Sun A",303,IF(Atletas!#REF!="Wu A",304,IF(Atletas!#REF!="Wu-Hao A",305,IF(Atletas!#REF!="Outro Taijiquan A",306,IF(Atletas!#REF!="Yang B",307,IF(Atletas!#REF!="Chen B",308,IF(Atletas!#REF!="Sun B",309,IF(Atletas!#REF!="Wu B",310,IF(Atletas!#REF!="Wu-Hao B",311,IF(Atletas!#REF!="Outro Taijiquan B",312,IF(Atletas!#REF!="Yang C",313,IF(Atletas!#REF!="Chen C",314,IF(Atletas!#REF!="Sun C",315,IF(Atletas!#REF!="Wu C",316,IF(Atletas!#REF!="Wu-Hao C",317,IF(Atletas!#REF!="Outro Taijiquan C",318,IF(Atletas!#REF!="Yang D",319,IF(Atletas!#REF!="Chen D",320,IF(Atletas!#REF!="Sun D",321,IF(Atletas!#REF!="Wu D",322,IF(Atletas!#REF!="Wu-Hao D",323,IF(Atletas!#REF!="Outro Taijiquan D",324,IF(Atletas!#REF!="Yang E",325,IF(Atletas!#REF!="Chen E",326,IF(Atletas!#REF!="Sun E",327,IF(Atletas!#REF!="Wu E",328,IF(Atletas!#REF!="Wu-Hao E",329,IF(Atletas!#REF!="Outro Taijiquan E",330,IF(Atletas!#REF!="Yang F",331,IF(Atletas!#REF!="Chen F",332,IF(Atletas!#REF!="Sun F",333,IF(Atletas!#REF!="Wu F",334,IF(Atletas!#REF!="Wu-Hao F",335,IF(Atletas!#REF!="Outro Taijiquan F",336,"")))))))))))))))))))))))))))))))))))))</f>
        <v>#REF!</v>
      </c>
      <c r="BW21" s="50" t="e">
        <f>IF(Atletas!#REF!="","",IF(Atletas!#REF!&lt;&gt;"",10000,0)+IF(Atletas!#REF!="Feminino",1000,IF(Atletas!#REF!="Masculino",2000,""))+IF(OR(Atletas!#REF!="Yang 26 A",Atletas!#REF!="Yang 40 A"),401,IF(OR(Atletas!#REF!="Chen 25 A",Atletas!#REF!="Chen 36 A",Atletas!#REF!="Chen 56 A"),402,IF(Atletas!#REF!="Sun 73 A",403,IF(Atletas!#REF!="Wu 45 A",404,IF(Atletas!#REF!="Wu-Hao 46 A",405,IF(OR(Atletas!#REF!="Taijiquan 16 A",Atletas!#REF!="Taijiquan 24 A",Atletas!#REF!="Taijiquan 32 A",Atletas!#REF!="Taijiquan 42 A"),406,IF(OR(Atletas!#REF!="Yang 26 B",Atletas!#REF!="Yang 40 B"),407,IF(OR(Atletas!#REF!="Chen 25 B",Atletas!#REF!="Chen 36 B",Atletas!#REF!="Chen 56 B"),408,IF(Atletas!#REF!="Sun 73 B",409,IF(Atletas!#REF!="Wu 45 B",410,IF(Atletas!#REF!="Wu-Hao 46 B",411,IF(OR(Atletas!#REF!="Taijiquan 16 B",Atletas!#REF!="Taijiquan 24 B",Atletas!#REF!="Taijiquan 32 B",Atletas!#REF!="Taijiquan 42 B"),412,IF(OR(Atletas!#REF!="Yang 26 C",Atletas!#REF!="Yang 40 C"),413,IF(OR(Atletas!#REF!="Chen 25 C",Atletas!#REF!="Chen 36 C",Atletas!#REF!="Chen 56 C"),414,IF(Atletas!#REF!="Sun 73 C",415,IF(Atletas!#REF!="Wu 45 C",416,IF(Atletas!#REF!="Wu-Hao 46 C",417,IF(OR(Atletas!#REF!="Taijiquan 16 C",Atletas!#REF!="Taijiquan 24 C",Atletas!#REF!="Taijiquan 32 C",Atletas!#REF!="Taijiquan 42 C"),418,0)))))))))))))))))))</f>
        <v>#REF!</v>
      </c>
      <c r="BX21" s="50" t="e">
        <f>IF(Atletas!#REF!="","",IF(Atletas!#REF!&lt;&gt;"",10000,0)+IF(Atletas!#REF!="Feminino",1000,IF(Atletas!#REF!="Masculino",2000,""))+IF(OR(Atletas!#REF!="Yang 26 D",Atletas!#REF!="Yang 40 D"),419,IF(OR(Atletas!#REF!="Chen 25 D",Atletas!#REF!="Chen 36 D",Atletas!#REF!="Chen 56 D"),420,IF(Atletas!#REF!="Sun 73 D",421,IF(Atletas!#REF!="Wu 45 D",422,IF(Atletas!#REF!="Wu-Hao 46 D",423,IF(OR(Atletas!#REF!="Taijiquan 16 D",Atletas!#REF!="Taijiquan 24 D",Atletas!#REF!="Taijiquan 32 D",Atletas!#REF!="Taijiquan 42 D"),424,IF(OR(Atletas!#REF!="Yang 26 E",Atletas!#REF!="Yang 40 E"),425,IF(OR(Atletas!#REF!="Chen 25 E",Atletas!#REF!="Chen 36 E",Atletas!#REF!="Chen 56 E"),426,IF(Atletas!#REF!="Sun 73 E",427,IF(Atletas!#REF!="Wu 45 E",428,IF(Atletas!#REF!="Wu-Hao 46 E",429,IF(OR(Atletas!#REF!="Taijiquan 16 E",Atletas!#REF!="Taijiquan 24 E",Atletas!#REF!="Taijiquan 32 E",Atletas!#REF!="Taijiquan 42 E"),430,IF(OR(Atletas!#REF!="Yang 26 F",Atletas!#REF!="Yang 40 F"),431,IF(OR(Atletas!#REF!="Chen 25 F",Atletas!#REF!="Chen 36 F",Atletas!#REF!="Chen 56 F"),432,IF(Atletas!#REF!="Sun 73 F",433,IF(Atletas!#REF!="Wu 45 F",434,IF(Atletas!#REF!="Wu-Hao 46 F",435,IF(OR(Atletas!#REF!="Taijiquan 16 F",Atletas!#REF!="Taijiquan 24 F",Atletas!#REF!="Taijiquan 32 F",Atletas!#REF!="Taijiquan 42 F"),436,0)))))))))))))))))))</f>
        <v>#REF!</v>
      </c>
      <c r="BY21" s="50" t="e">
        <f>IF(Atletas!#REF!="","",IF(Atletas!#REF!&lt;&gt;"",10000,0)+IF(Atletas!#REF!="Feminino",1000,IF(Atletas!#REF!="Masculino",2000,""))+IF(Atletas!#REF!="Xingyiquan A",501,IF(Atletas!#REF!="Baguazhang A",502,IF(Atletas!#REF!="Outro Estilo Interno A",503,IF(Atletas!#REF!="Xingyiquan B",504,IF(Atletas!#REF!="Baguazhang B",505,IF(Atletas!#REF!="Outro Estilo Interno B",506,IF(Atletas!#REF!="Xingyiquan C",507,IF(Atletas!#REF!="Baguazhang C",508,IF(Atletas!#REF!="Outro Estilo Interno C",509,IF(Atletas!#REF!="Xingyiquan D",510,IF(Atletas!#REF!="Baguazhang D",511,IF(Atletas!#REF!="Outro Estilo Interno D",512,IF(Atletas!#REF!="Xingyiquan E",513,IF(Atletas!#REF!="Baguazhang E",514,IF(Atletas!#REF!="Outro Estilo Interno E",515,IF(Atletas!#REF!="Xingyiquan F",516,IF(Atletas!#REF!="Baguazhang F",517,IF(Atletas!#REF!="Outro Estilo Interno F",518, "")))))))))))))))))))</f>
        <v>#REF!</v>
      </c>
      <c r="BZ21" s="50" t="e">
        <f>IF(Atletas!#REF!="","",IF(Atletas!#REF!&lt;&gt;"",10000,0)+IF(Atletas!#REF!="Feminino",1000,IF(Atletas!#REF!="Masculino",2000,""))+IF(Atletas!#REF!="Dao A",601,IF(Atletas!#REF!="Jian A",602,IF(Atletas!#REF!="Bishou A",603,IF(Atletas!#REF!="Shanzi A",604,IF(Atletas!#REF!="Outra Arma Curta A",605,IF(Atletas!#REF!="Dao B",606,IF(Atletas!#REF!="Jian B",607,IF(Atletas!#REF!="Bishou B",608,IF(Atletas!#REF!="Shanzi B",609,IF(Atletas!#REF!="Outra Arma Curta B",610,IF(Atletas!#REF!="Dao C",611,IF(Atletas!#REF!="Jian C",612,IF(Atletas!#REF!="Bishou C",613,IF(Atletas!#REF!="Shanzi C",614,IF(Atletas!#REF!="Outra Arma Curta C",615,IF(Atletas!#REF!="Dao D",616,IF(Atletas!#REF!="Jian D",617,IF(Atletas!#REF!="Bishou D",618,IF(Atletas!#REF!="Shanzi D",619,IF(Atletas!#REF!="Outra Arma Curta D",620,IF(Atletas!#REF!="Dao E",621,IF(Atletas!#REF!="Jian E",622,IF(Atletas!#REF!="Bishou E",623,IF(Atletas!#REF!="Shanzi E",624,IF(Atletas!#REF!="Outra Arma Curta E",625,IF(Atletas!#REF!="Dao F",626,IF(Atletas!#REF!="Jian F",627,IF(Atletas!#REF!="Bishou F",628,IF(Atletas!#REF!="Shanzi F",629,IF(Atletas!#REF!="Outra Arma Curta F",630, "")))))))))))))))))))))))))))))))</f>
        <v>#REF!</v>
      </c>
      <c r="CA21" s="50" t="e">
        <f>IF(Atletas!#REF!="","",IF(Atletas!#REF!&lt;&gt;"",10000,0)+IF(Atletas!#REF!="Feminino",1000,IF(Atletas!#REF!="Masculino",2000,""))+IF(Atletas!#REF!="Gun A",701,IF(Atletas!#REF!="Qiang A",702,IF(Atletas!#REF!="Pudao / Guandao A",703,IF(Atletas!#REF!="Outra Arma Longa A",704,IF(Atletas!#REF!="Gun B",705,IF(Atletas!#REF!="Qiang B",706,IF(Atletas!#REF!="Pudao / Guandao B",707,IF(Atletas!#REF!="Outra Arma Longa B",708,IF(Atletas!#REF!="Gun C",709,IF(Atletas!#REF!="Qiang C",710,IF(Atletas!#REF!="Pudao / Guandao C",711,IF(Atletas!#REF!="Outra Arma Longa C",712,IF(Atletas!#REF!="Gun D",713,IF(Atletas!#REF!="Qiang D",714,IF(Atletas!#REF!="Pudao / Guandao D",715,IF(Atletas!#REF!="Outra Arma Longa D",716,IF(Atletas!#REF!="Gun E",717,IF(Atletas!#REF!="Qiang E",718,IF(Atletas!#REF!="Pudao / Guandao E",719,IF(Atletas!#REF!="Outra Arma Longa E",720,IF(Atletas!#REF!="Gun F",721,IF(Atletas!#REF!="Qiang F",722,IF(Atletas!#REF!="Pudao / Guandao F",723,IF(Atletas!#REF!="Outra Arma Longa F",724,"")))))))))))))))))))))))))</f>
        <v>#REF!</v>
      </c>
      <c r="CB21" s="50" t="e">
        <f>IF(Atletas!#REF!="","",IF(Atletas!#REF!&lt;&gt;"",10000,0)+IF(Atletas!#REF!="Feminino",1000,IF(Atletas!#REF!="Masculino",2000,""))+IF(Atletas!#REF!="Outra Arma Dupla A",801,IF(Atletas!#REF!="Arma Maleável A",802,IF(Atletas!#REF!="Outra Arma Dupla B",803,IF(Atletas!#REF!="Arma Maleável B",804,IF(Atletas!#REF!="Outra Arma Dupla C",805,IF(Atletas!#REF!="Arma Maleável C",806,IF(Atletas!#REF!="Outra Arma Dupla D",807,IF(Atletas!#REF!="Arma Maleável D",808,IF(Atletas!#REF!="Outra Arma Dupla E",809,IF(Atletas!#REF!="Arma Maleável E",810,IF(Atletas!#REF!="Outra Arma Dupla F",811,IF(Atletas!#REF!="Arma Maleável F",812,IF(Atletas!#REF!="Shuangdao A",813,IF(Atletas!#REF!="Shuangdao B",814,IF(Atletas!#REF!="Shuangdao C",815,IF(Atletas!#REF!="Shuangdao D",816,IF(Atletas!#REF!="Shuangdao E",817,IF(Atletas!#REF!="Shuangdao F",818,"")))))))))))))))))))</f>
        <v>#REF!</v>
      </c>
      <c r="CC21" s="50" t="e">
        <f>IF(Atletas!#REF!="","",IF(Atletas!#REF!&lt;&gt;"",10000,0)+IF(Atletas!#REF!="Feminino",1000,IF(Atletas!#REF!="Masculino",2000,""))+IF(OR(Atletas!#REF!="Taijijian Yang A",Atletas!#REF!="Taijijian Yang Standard A"),901,IF(OR(Atletas!#REF!="Taijijian Chen A", Atletas!#REF!="Taijijian Chen Standard A"),902,IF(Atletas!#REF!="Taijijian Sun A",903,IF(Atletas!#REF!="Taijijian Wu A",904,IF(Atletas!#REF!="Taijijian Wu-Hao A",905,IF(OR(Atletas!#REF!="Taijijian 32 A",Atletas!#REF!="Taijijian 42 A"),906,IF(OR(Atletas!#REF!="Taijijian Yang B",Atletas!#REF!="Taijijian Yang Standard B"),907,IF(OR(Atletas!#REF!="Taijijian Chen B", Atletas!#REF!="Taijijian Chen Standard B"),908,IF(Atletas!#REF!="Taijijian Sun B",909,IF(Atletas!#REF!="Taijijian Wu B",910,IF(Atletas!#REF!="Taijijian Wu-Hao B",911,IF(OR(Atletas!#REF!="Taijijian 32 B",Atletas!#REF!="Taijijian 42 B"),912,IF(OR(Atletas!#REF!="Taijijian Yang C",Atletas!#REF!="Taijijian Yang Standard C"),913,IF(OR(Atletas!#REF!="Taijijian Chen C", Atletas!#REF!="Taijijian Chen Standard C"),914,IF(Atletas!#REF!="Taijijian Sun C",915,IF(Atletas!#REF!="Taijijian Wu C",916,IF(Atletas!#REF!="Taijijian Wu-Hao C",917,IF(OR(Atletas!#REF!="Taijijian 32 C",Atletas!#REF!="Taijijian 42 C"),918,IF(OR(Atletas!#REF!="Taijijian Yang D",Atletas!#REF!="Taijijian Yang Standard D"),919,IF(OR(Atletas!#REF!="Taijijian Chen D", Atletas!#REF!="Taijijian Chen Standard D"),920,IF(Atletas!#REF!="Taijijian Sun D",921,IF(Atletas!#REF!="Taijijian Wu D",922,IF(Atletas!#REF!="Taijijian Wu-Hao D",923,IF(OR(Atletas!#REF!="Taijijian 32 D",Atletas!#REF!="Taijijian 42 D"),924,IF(OR(Atletas!#REF!="Taijijian Yang E",Atletas!#REF!="Taijijian Yang Standard E"),925,IF(OR(Atletas!#REF!="Taijijian Chen E", Atletas!#REF!="Taijijian Chen Standard E"),926,IF(Atletas!#REF!="Taijijian Sun E",927,IF(Atletas!#REF!="Taijijian Wu E",928,IF(Atletas!#REF!="Taijijian Wu-Hao E",929,IF(OR(Atletas!#REF!="Taijijian 32 E",Atletas!#REF!="Taijijian 42 E"),930,IF(OR(Atletas!#REF!="Taijijian Yang F",Atletas!#REF!="Taijijian Yang Standard F"),931,IF(OR(Atletas!#REF!="Taijijian Chen F", Atletas!#REF!="Taijijian Chen Standard F"),932,IF(Atletas!#REF!="Taijijian Sun F",933,IF(Atletas!#REF!="Taijijian Wu F",934,IF(Atletas!#REF!="Taijijian Wu-Hao F",935,IF(OR(Atletas!#REF!="Taijijian 32 F",Atletas!#REF!="Taijijian 42 F"),936,"")))))))))))))))))))))))))))))))))))))</f>
        <v>#REF!</v>
      </c>
      <c r="CD21" s="50" t="e">
        <f>IF(Atletas!#REF!="","",IF(Atletas!#REF!&lt;&gt;"",10000,0)+IF(Atletas!#REF!="Feminino",1000,IF(Atletas!#REF!="Masculino",2000,""))+IF(Atletas!#REF!="Taijidao A",937,IF(Atletas!#REF!="TaijiShanzi A",938,IF(Atletas!#REF!="Taijiqiang A",939,IF(Atletas!#REF!="Bagua de Arma A",940,IF(Atletas!#REF!="Xingyi de Arma A",941,IF(Atletas!#REF!="Taijidao B",942,IF(Atletas!#REF!="TaijiShanzi B",943,IF(Atletas!#REF!="Taijiqiang B",944,IF(Atletas!#REF!="Bagua de Arma B",945,IF(Atletas!#REF!="Xingyi de Arma B",946,IF(Atletas!#REF!="Taijidao C",947,IF(Atletas!#REF!="TaijiShanzi C",948,IF(Atletas!#REF!="Taijiqiang C",949,IF(Atletas!#REF!="Bagua de Arma C",950,IF(Atletas!#REF!="Xingyi de Arma C",951,IF(Atletas!#REF!="Taijidao D",952,IF(Atletas!#REF!="TaijiShanzi D",953,IF(Atletas!#REF!="Taijiqiang D",954,IF(Atletas!#REF!="Bagua de Arma D",955,IF(Atletas!#REF!="Xingyi de Arma D",956,IF(Atletas!#REF!="Taijidao E",957,IF(Atletas!#REF!="TaijiShanzi E",958,IF(Atletas!#REF!="Taijiqiang E",959,IF(Atletas!#REF!="Bagua de Arma E",960,IF(Atletas!#REF!="Xingyi de Arma E",961,IF(Atletas!#REF!="Taijidao F",962,IF(Atletas!#REF!="TaijiShanzi F",963,IF(Atletas!#REF!="Taijiqiang F",964,IF(Atletas!#REF!="Bagua de Arma F",965,IF(Atletas!#REF!="Xingyi de Arma F",966,"")))))))))))))))))))))))))))))))</f>
        <v>#REF!</v>
      </c>
      <c r="CE21" s="66" t="str">
        <f>IF(CF21&lt;&gt;"","Dishuquan C","")</f>
        <v/>
      </c>
      <c r="CF21" s="66" t="str">
        <f>IF(COUNTIF(BR:CD,1033)&gt;0,COUNTIF(BR:CD,1033),"")</f>
        <v/>
      </c>
      <c r="CG21" s="66" t="str">
        <f>IF(CH21&lt;&gt;"","Dishuquan C","")</f>
        <v/>
      </c>
      <c r="CH21" s="66" t="str">
        <f>IF(COUNTIF(BR:CD,2033)&gt;0,COUNTIF(BR:CD,2033),"")</f>
        <v/>
      </c>
      <c r="CI21" s="66" t="str">
        <f>IF(CJ21&lt;&gt;"","Outra Mão de Sul C","")</f>
        <v/>
      </c>
      <c r="CJ21" s="66" t="str">
        <f>IF(COUNTIF(BR:CD,11015)&gt;0,COUNTIF(BR:CD,11015),"")</f>
        <v/>
      </c>
      <c r="CK21" s="66" t="str">
        <f>IF(CL21&lt;&gt;"","Outra Mão de Sul C","")</f>
        <v/>
      </c>
      <c r="CL21" s="66" t="str">
        <f>IF(COUNTIF(BR:CD,12015)&gt;0,COUNTIF(BR:CD,12015),"")</f>
        <v/>
      </c>
      <c r="CM21" s="50" t="e">
        <f xml:space="preserve"> IF(Atletas!#REF!="","",IF(Atletas!#REF!="Duilian de Mãos BC - Equipe 1",1,IF(Atletas!#REF!="Duilian de Mãos BC - Equipe 2",2,IF(Atletas!#REF!="Duilian de Armas BC - Equipe 1",3,IF(Atletas!#REF!="Duilian de Armas BC - Equipe 2",4,IF(Atletas!#REF!="Duilian de Mãos DE - Equipe 1",5,IF(Atletas!#REF!="Duilian de Mãos DE - Equipe 2",6,IF(Atletas!#REF!="Duilian de Armas DE - Equipe 1",7,IF(Atletas!#REF!="Duilian de Armas DE - Equipe 2",8,IF(Atletas!#REF!="Duilian de Tuishou - Equipe 1",9,IF(Atletas!#REF!="Duilian de Tuishou - Equipe 2",10,IF(Atletas!#REF!="Grupo Externo ABC - Equipe 1",11,IF(Atletas!#REF!="Grupo Externo ABC - Equipe 2",12,IF(Atletas!#REF!="Grupo Interno ABC - Equipe 1",13,IF(Atletas!#REF!="Grupo Interno ABC - Equipe 2",14,IF(Atletas!#REF!="Grupo Externo DEF - Equipe 1",15,IF(Atletas!#REF!="Grupo Externo DEF - Equipe 2",16,IF(Atletas!#REF!="Grupo Interno DEF - Equipe 1",17,IF(Atletas!#REF!="Grupo Interno DEF - Equipe 2",18,"")))))))))))))))))))</f>
        <v>#REF!</v>
      </c>
      <c r="CR21" s="65"/>
      <c r="CS21" s="64"/>
      <c r="CY21" s="41"/>
    </row>
    <row r="22" spans="1:103">
      <c r="A22" s="16"/>
      <c r="B22" s="3" t="str">
        <f t="array" ref="B22">IFERROR(INDEX(AO$7:AO$38,SMALL(IF(AO$7:AO$38&lt;&gt;"",ROW(AO$7:AO$38)-ROW(AO$7)+1),ROWS(AO$7:AO21))),"")</f>
        <v/>
      </c>
      <c r="C22" s="3" t="str">
        <f t="array" ref="C22">IFERROR(INDEX(AP$7:AP$38,SMALL(IF(AP$7:AP$38&lt;&gt;"",ROW(AP$7:AP$38)-ROW(AP$7)+1),ROWS(AP$7:AP21))),"")</f>
        <v/>
      </c>
      <c r="D22" s="3" t="str">
        <f t="array" ref="D22">IFERROR(INDEX(AQ$7:AQ$38,SMALL(IF(AQ$7:AQ$38&lt;&gt;"",ROW(AQ$7:AQ$38)-ROW(AQ$7)+1),ROWS(AQ$7:AQ21))),"")</f>
        <v/>
      </c>
      <c r="E22" s="3" t="str">
        <f t="array" ref="E22">IFERROR(INDEX(AR$7:AR$38,SMALL(IF(AR$7:AR$38&lt;&gt;"",ROW(AR$7:AR$38)-ROW(AR$7)+1),ROWS(AR$7:AR21))),"")</f>
        <v/>
      </c>
      <c r="F22" s="3" t="str">
        <f t="array" ref="F22">IFERROR(INDEX(AT$7:AT$36,SMALL(IF(AT$7:AT$36&lt;&gt;"",ROW(AT$7:AT$36)-ROW(AT$7)+1),ROWS(AT$7:AT21))),"")</f>
        <v/>
      </c>
      <c r="G22" s="3" t="str">
        <f t="array" ref="G22">IFERROR(INDEX(AU$7:AU$36,SMALL(IF(AU$7:AU$36&lt;&gt;"",ROW(AU$7:AU$36)-ROW(AU$7)+1),ROWS(AU$7:AU21))),"")</f>
        <v/>
      </c>
      <c r="H22" s="3" t="str">
        <f t="array" ref="H22">IFERROR(INDEX(AV$7:AV$36,SMALL(IF(AV$7:AV$36&lt;&gt;"",ROW(AV$7:AV$36)-ROW(AV$7)+1),ROWS(AV$7:AV21))),"")</f>
        <v/>
      </c>
      <c r="I22" s="3" t="str">
        <f t="array" ref="I22">IFERROR(INDEX(AW$7:AW$36,SMALL(IF(AW$7:AW$36&lt;&gt;"",ROW(AW$7:AW$36)-ROW(AW$7)+1),ROWS(AW$7:AW21))),"")</f>
        <v/>
      </c>
      <c r="J22" s="3" t="str">
        <f t="array" ref="J22">IFERROR(INDEX(AY$7:AY$36,SMALL(IF(AY$7:AY$36&lt;&gt;"",ROW(AY$7:AY$36)-ROW(AY$7)+1),ROWS(AY$7:AY21))),"")</f>
        <v/>
      </c>
      <c r="K22" s="3" t="str">
        <f t="array" ref="K22">IFERROR(INDEX(AZ$7:AZ$36,SMALL(IF(AZ$7:AZ$36&lt;&gt;"",ROW(AZ$7:AZ$36)-ROW(AZ$7)+1),ROWS(AZ$7:AZ21))),"")</f>
        <v/>
      </c>
      <c r="L22" s="3" t="str">
        <f t="array" ref="L22">IFERROR(INDEX(BA$7:BA$36,SMALL(IF(BA$7:BA$36&lt;&gt;"",ROW(BA$7:BA$36)-ROW(BA$7)+1),ROWS(BA$7:BA21))),"")</f>
        <v/>
      </c>
      <c r="M22" s="3" t="str">
        <f t="array" ref="M22">IFERROR(INDEX(BB$7:BB$36,SMALL(IF(BB$7:BB$36&lt;&gt;"",ROW(BB$7:BB$36)-ROW(BB$7)+1),ROWS(BB$7:BB21))),"")</f>
        <v/>
      </c>
      <c r="N22" s="3" t="str" cm="1">
        <f t="array" ref="N22">IFERROR(INDEX(BD$7:BD$8,SMALL(IF(BD$7:BD$8&lt;&gt;"",ROW(BD$7:BD$8)-ROW(BD$7)+1),ROWS(BD$7:BD21))),"")</f>
        <v/>
      </c>
      <c r="O22" s="3" t="str" cm="1">
        <f t="array" ref="O22">IFERROR(INDEX(BE$7:BE$8,SMALL(IF(BE$7:BE$8&lt;&gt;"",ROW(BE$7:BE$8)-ROW(BE$7)+1),ROWS(BE$7:BE21))),"")</f>
        <v/>
      </c>
      <c r="P22" s="3" t="str" cm="1">
        <f t="array" ref="P22">IFERROR(INDEX(BD$9:BD$10,SMALL(IF(BD$9:BD$10&lt;&gt;"",ROW(BD$9:BD$10)-ROW(BD$9)+1),ROWS(BD$9:BD23))),"")</f>
        <v/>
      </c>
      <c r="Q22" s="3" t="str">
        <f t="array" ref="Q22">IFERROR(INDEX(BH$7:BH$36,SMALL(IF(BH$7:BH$36&lt;&gt;"",ROW(BH$7:BH$36)-ROW(BH$7)+1),ROWS(BH$7:BH21))),"")</f>
        <v/>
      </c>
      <c r="R22" s="3" t="str">
        <f t="array" ref="R22">IFERROR(INDEX(BI$7:BI$68,SMALL(IF(BI$7:BI$68&lt;&gt;"",ROW(BI$7:BI$68)-ROW(BI$7)+1),ROWS(BI$7:BI21))),"")</f>
        <v/>
      </c>
      <c r="S22" s="3" t="str">
        <f t="array" ref="S22">IFERROR(INDEX(BJ$7:BJ$68,SMALL(IF(BJ$7:BJ$68&lt;&gt;"",ROW(BJ$7:BJ$68)-ROW(BJ$7)+1),ROWS(BJ$7:BJ21))),"")</f>
        <v/>
      </c>
      <c r="T22" s="3" t="str">
        <f t="array" ref="T22">IFERROR(INDEX(BK$7:BK$68,SMALL(IF(BK$7:BK$68&lt;&gt;"",ROW(BK$7:BK$68)-ROW(BK$7)+1),ROWS(BK$7:BK21))),"")</f>
        <v/>
      </c>
      <c r="U22" s="3" t="str">
        <f t="array" ref="U22">IFERROR(INDEX(BL$7:BL$68,SMALL(IF(BL$7:BL$68&lt;&gt;"",ROW(BL$7:BL$68)-ROW(BL$7)+1),ROWS(BL$7:BL21))),"")</f>
        <v/>
      </c>
      <c r="V22" s="20"/>
      <c r="W22" s="20"/>
      <c r="X22" s="20"/>
      <c r="Y22" s="20"/>
      <c r="Z22" s="3" t="str">
        <f t="array" ref="Z22">IFERROR(INDEX(CE$7:CE$348,SMALL(IF(CE$7:CE$348&lt;&gt;"",ROW(CE$7:CE$348)-ROW(CE$7)+1),ROWS(CE$7:CE21))),"")</f>
        <v/>
      </c>
      <c r="AA22" s="3" t="str">
        <f t="array" ref="AA22">IFERROR(INDEX(CF$7:CF$348,SMALL(IF(CF$7:CF$348&lt;&gt;"",ROW(CF$7:CF$348)-ROW(CF$7)+1),ROWS(CF$7:CF21))),"")</f>
        <v/>
      </c>
      <c r="AB22" s="3" t="str">
        <f t="array" ref="AB22">IFERROR(INDEX(CG$7:CG$348,SMALL(IF(CG$7:CG$348&lt;&gt;"",ROW(CG$7:CG$348)-ROW(CG$7)+1),ROWS(CG$7:CG21))),"")</f>
        <v/>
      </c>
      <c r="AC22" s="3" t="str">
        <f t="array" ref="AC22">IFERROR(INDEX(CH$7:CH$348,SMALL(IF(CH$7:CH$348&lt;&gt;"",ROW(CH$7:CH$348)-ROW(CH$7)+1),ROWS(CH$7:CH21))),"")</f>
        <v/>
      </c>
      <c r="AD22" s="3" t="str">
        <f t="array" ref="AD22">IFERROR(INDEX(CI$7:CI$377,SMALL(IF(CI$7:CI$377&lt;&gt;"",ROW(CI$7:CI$377)-ROW(CI$7)+1),ROWS(CI$7:CI21))),"")</f>
        <v/>
      </c>
      <c r="AE22" s="3" t="str">
        <f t="array" ref="AE22">IFERROR(INDEX(CJ$7:CJ$378,SMALL(IF(CJ$7:CJ$378&lt;&gt;"",ROW(CJ$7:CJ$378)-ROW(CJ$7)+1),ROWS(CJ$7:CJ21))),"")</f>
        <v/>
      </c>
      <c r="AF22" s="3" t="str">
        <f t="array" ref="AF22">IFERROR(INDEX(CK$7:CK$378,SMALL(IF(CK$7:CK$378&lt;&gt;"",ROW(CK$7:CK$378)-ROW(CK$7)+1),ROWS(CK$7:CK21))),"")</f>
        <v/>
      </c>
      <c r="AG22" s="3" t="str">
        <f t="array" ref="AG22">IFERROR(INDEX(CL$7:CL$378,SMALL(IF(CL$7:CL$378&lt;&gt;"",ROW(CL$7:CL$378)-ROW(CL$7)+1),ROWS(CL$7:CL21))),"")</f>
        <v/>
      </c>
      <c r="AH22" s="40" t="str">
        <f t="array" ref="AH22">IFERROR(INDEX(CN$7:CN$18,SMALL(IF(CN$7:CN$18&lt;&gt;"",ROW(CN$7:CN$18)-ROW(CN$7)+1),ROWS(CN$7:CN21))),"")</f>
        <v/>
      </c>
      <c r="AI22" s="40" t="str">
        <f t="array" ref="AI22">IFERROR(INDEX(CO$7:CO$18,SMALL(IF(CO$7:CO$18&lt;&gt;"",ROW(CO$7:CO$18)-ROW(CO$7)+1),ROWS(CO$7:CO21))),"")</f>
        <v/>
      </c>
      <c r="AJ22" s="40" t="str">
        <f t="array" ref="AJ22">IFERROR(INDEX(CP$7:CP$8,SMALL(IF(CP$7:CP$8&lt;&gt;"",ROW(CP$7:CP$8)-ROW(CP$7)+1),ROWS(CP$7:CP21))),"")</f>
        <v/>
      </c>
      <c r="AK22" s="40"/>
      <c r="AL22" s="40" t="str">
        <f t="array" ref="AL22">IFERROR(INDEX(CR$7:CR$14,SMALL(IF(CR$7:CR$14&lt;&gt;"",ROW(CR$7:CR$14)-ROW(CR$7)+1),ROWS(CR$7:CR21))),"")</f>
        <v/>
      </c>
      <c r="AM22" s="40"/>
      <c r="AN22" s="52" t="e">
        <f>IF(Atletas!#REF!="","",IF(Atletas!#REF!="Feminino",100,IF(Atletas!#REF!="Masculino",200,""))+(IF(Atletas!#REF!="Kids 30kg",1,IF(Atletas!#REF!="Kids 32kg",2, IF(Atletas!#REF!="Kids 34kg",3,IF(Atletas!#REF!="Kids 36kg",4,IF(Atletas!#REF!="Kids 39kg",5,IF(Atletas!#REF!="Kids 42kg",6,IF(Atletas!#REF!="Kids 45kg",7, IF(Atletas!#REF!="Infantil 39kg",8,IF(Atletas!#REF!="Infantil 42kg",9,IF(Atletas!#REF!="Infantil 45kg",10,IF(Atletas!#REF!="Infantil 48kg",11,IF(Atletas!#REF!="Infantil 52kg",12,IF(Atletas!#REF!="Infantil 56kg",13,IF(Atletas!#REF!="Infantil 60kg",14,IF(Atletas!#REF!="Juvenil 48kg",15,IF(Atletas!#REF!="Juvenil 52kg",16,IF(Atletas!#REF!="Juvenil 56kg",17,IF(Atletas!#REF!="Juvenil 60kg",18,IF(Atletas!#REF!="Juvenil 65kg",19,IF(Atletas!#REF!="Juvenil 70kg",20,IF(Atletas!#REF!="Juvenil 75kg",21,IF(Atletas!#REF!="Juvenil 80kg",22, IF(Atletas!#REF!="Juvenil 85kg",23,IF(Atletas!#REF!="Adulto 48kg",24,IF(Atletas!#REF!="Adulto 52kg",25,IF(Atletas!#REF!="Adulto 56kg",26,IF(Atletas!#REF!="Adulto 60kg",27,IF(Atletas!#REF!="Adulto 65kg",28,IF(Atletas!#REF!="Adulto 70kg",29,IF(Atletas!#REF!="Adulto 75kg",30,IF(Atletas!#REF!="Adulto 80kg",31,IF(Atletas!#REF!="Adulto 85kg",32,IF(Atletas!#REF!="Adulto 90kg",33,IF(Atletas!#REF!="Adulto 100kg",34, IF(Atletas!#REF!="Adulto +100kg",35,"")))))))))))))))))))))))))))))))))))))</f>
        <v>#REF!</v>
      </c>
      <c r="AO22" s="50" t="str">
        <f>IF(AP22&lt;&gt;"","Adulto 56kg","")</f>
        <v/>
      </c>
      <c r="AP22" s="6" t="str">
        <f>IF(COUNTIF(AN:AN,126)&gt;0,COUNTIF(AN:AN,126),"")</f>
        <v/>
      </c>
      <c r="AQ22" s="50" t="str">
        <f>IF(AR22&lt;&gt;"","Juvenil 52kg","")</f>
        <v/>
      </c>
      <c r="AR22" s="6" t="str">
        <f>IF(COUNTIF(AN:AN,216)&gt;0,COUNTIF(AN:AN,216),"")</f>
        <v/>
      </c>
      <c r="AS22" s="6" t="e">
        <f>IF(Atletas!#REF!="","",IF(Atletas!#REF!="Feminino",100,IF(Atletas!#REF!="Masculino",200,""))+(IF(Atletas!#REF!="Juvenil 44kg",1,IF(Atletas!#REF!="Juvenil 48kg",2,IF(Atletas!#REF!="Juvenil 52kg",3,IF(Atletas!#REF!="Juvenil 56kg",4,IF(Atletas!#REF!="Juvenil 60kg",5,IF(Atletas!#REF!="Juvenil 65kg",6,IF(Atletas!#REF!="Juvenil 70kg",7,IF(Atletas!#REF!="Juvenil 75kg",8,IF(Atletas!#REF!="Juvenil 82kg",9,IF(Atletas!#REF!="Juvenil 90kg",10,IF(Atletas!#REF!="Juvenil 100kg",11,IF(Atletas!#REF!="Adulto 48kg",12,IF(Atletas!#REF!="Adulto 52kg",13,IF(Atletas!#REF!="Adulto 56kg",14,IF(Atletas!#REF!="Adulto 60kg",15,IF(Atletas!#REF!="Adulto 65kg",16,IF(Atletas!#REF!="Adulto 70kg",17,IF(Atletas!#REF!="Adulto 75kg",18,IF(Atletas!#REF!="Adulto 82kg",19,IF(Atletas!#REF!="Adulto 90kg",20,IF(Atletas!#REF!="Adulto 100kg",21,IF(Atletas!#REF!="Adulto +100kg",22,""))))))))))))))))))))))))</f>
        <v>#REF!</v>
      </c>
      <c r="AT22" s="50" t="str">
        <f>IF(AU22&lt;&gt;"","Adulto 82kg","")</f>
        <v/>
      </c>
      <c r="AU22" s="6" t="str">
        <f>IF(COUNTIF(AS:AS,119)&gt;0,COUNTIF(AS:AS,119),"")</f>
        <v/>
      </c>
      <c r="AV22" s="50" t="str">
        <f>IF(AW22&lt;&gt;"","Adulto 75kg","")</f>
        <v/>
      </c>
      <c r="AW22" s="6" t="str">
        <f>IF(COUNTIF(AS:AS,218)&gt;0,COUNTIF(AS:AS,218),"")</f>
        <v/>
      </c>
      <c r="AX22" s="6" t="e">
        <f>IF(Atletas!#REF!="","",IF(Atletas!#REF!="Feminino",100,IF(Atletas!#REF!="Masculino",200,""))+(IF(Atletas!#REF!="Adulto 48kg",1,IF(Atletas!#REF!="Adulto 56kg",2,IF(Atletas!#REF!="Adulto 65kg",3,IF(Atletas!#REF!="Adulto 75kg",4,IF(Atletas!#REF!="Adulto +75kg",5,IF(Atletas!#REF!="Adulto 52kg",6,IF(Atletas!#REF!="Adulto 60kg",7,IF(Atletas!#REF!="Adulto 70kg",8,IF(Atletas!#REF!="Adulto 80kg",9,IF(Atletas!#REF!="Adulto 90kg",10,IF(Atletas!#REF!="Adulto +90kg",11,"")))))))))))))</f>
        <v>#REF!</v>
      </c>
      <c r="BC22" s="6" t="e">
        <f>IF(Atletas!#REF!="","",IF(Atletas!#REF!="Feminino",10,IF(Atletas!#REF!="Masculino",20,""))+(IF(Atletas!#REF!="Baduanjin A",1,IF(Atletas!#REF!="Baduanjin B",2))))</f>
        <v>#REF!</v>
      </c>
      <c r="BF22" s="52" t="e">
        <f>IF(Atletas!#REF!="","",IF(Atletas!#REF!="Feminino",100,IF(Atletas!#REF!="Masculino",200,""))+(IF(Atletas!#REF!="Changquan Mirim",1,IF(Atletas!#REF!="Nanquan Mirim",2,IF(Atletas!#REF!="Taijiquan Mirim",3,IF(Atletas!#REF!="Changquan Grupo C",4,IF(Atletas!#REF!="Nanquan Grupo C",5,IF(Atletas!#REF!="Taijiquan Grupo C",6,IF(Atletas!#REF!="Changquan Grupo B",7,IF(Atletas!#REF!="Nanquan Grupo B",8,IF(Atletas!#REF!="Taijiquan Grupo B",9,IF(Atletas!#REF!="Changquan Grupo A",10,IF(Atletas!#REF!="Nanquan Grupo A",11,IF(Atletas!#REF!="Taijiquan Grupo A",12,IF(Atletas!#REF!="Changquan Opcional",13,IF(Atletas!#REF!="Nanquan Opcional",14,IF(Atletas!#REF!="Taijiquan Opcional",15,IF(Atletas!#REF!="Changquan Adulto",16,IF(Atletas!#REF!="Nanquan Adulto",17,IF(Atletas!#REF!="Taijiquan Adulto",18,""))))))))))))))))))))</f>
        <v>#REF!</v>
      </c>
      <c r="BG22" s="52" t="e">
        <f>IF(Atletas!#REF!="","",IF(Atletas!#REF!="Feminino",100,IF(Atletas!#REF!="Masculino",200,""))+(IF(Atletas!#REF!="Daoshu Mirim",19,IF(Atletas!#REF!="Jianshu Mirim",20,IF(Atletas!#REF!="Nandao Mirim",21,IF(Atletas!#REF!="Taijijian Mirim",22,IF(Atletas!#REF!="Daoshu Grupo C",23,IF(Atletas!#REF!="Jianshu Grupo C",24,IF(Atletas!#REF!="Nandao Grupo C",25,IF(Atletas!#REF!="Taijijian Grupo C",26,IF(Atletas!#REF!="Daoshu Grupo B",27,IF(Atletas!#REF!="Jianshu Grupo B",28,IF(Atletas!#REF!="Nandao Grupo B",29,IF(Atletas!#REF!="Taijijian Grupo B",30,IF(Atletas!#REF!="Daoshu Grupo A",31,IF(Atletas!#REF!="Jianshu Grupo A",32,IF(Atletas!#REF!="Nandao Grupo A",33,IF(Atletas!#REF!="Taijijian Grupo A",34,IF(Atletas!#REF!="Daoshu Opcional",35,IF(Atletas!#REF!="Jianshu Opcional",36,IF(Atletas!#REF!="Nandao Opcional",37,IF(Atletas!#REF!="Taijijian Opcional",38,IF(Atletas!#REF!="Daoshu Adulto",39,IF(Atletas!#REF!="Jianshu Adulto",40,IF(Atletas!#REF!="Nandao Adulto",41,IF(Atletas!#REF!="Taijijian Adulto",42,""))))))))))))))))))))))))))</f>
        <v>#REF!</v>
      </c>
      <c r="BH22" s="52" t="e">
        <f>IF(Atletas!#REF!="","",IF(Atletas!#REF!="Feminino",100,IF(Atletas!#REF!="Masculino",200,""))+(IF(Atletas!#REF!="Gunshu Mirim",43,IF(Atletas!#REF!="Qiangshu Mirim",44,IF(Atletas!#REF!="Nangun Mirim",45,IF(Atletas!#REF!="Gunshu Grupo C",46,IF(Atletas!#REF!="Qiangshu Grupo C",47,IF(Atletas!#REF!="Nangun Grupo C",48,IF(Atletas!#REF!="Gunshu Grupo B",49,IF(Atletas!#REF!="Qiangshu Grupo B",50,IF(Atletas!#REF!="Nangun Grupo B",51,IF(Atletas!#REF!="Gunshu Grupo A",52,IF(Atletas!#REF!="Qiangshu Grupo A",53,IF(Atletas!#REF!="Nangun Grupo A",54,IF(Atletas!#REF!="Gunshu Opcional",55,IF(Atletas!#REF!="Qiangshu Opcional",56,IF(Atletas!#REF!="Nangun Opcional",57,IF(Atletas!#REF!="Gunshu Adulto",58,IF(Atletas!#REF!="Qiangshu Adulto",59,IF(Atletas!#REF!="Nangun Adulto",60,IF(Atletas!#REF!="Taijishan Grupo B",61,IF(Atletas!#REF!="Taijishan Grupo A",62,""))))))))))))))))))))))</f>
        <v>#REF!</v>
      </c>
      <c r="BI22" s="52" t="str">
        <f>IF(BJ22&lt;&gt;"","Nandao Grupo C","")</f>
        <v/>
      </c>
      <c r="BJ22" s="50" t="str">
        <f>IF(COUNTIF(BF:BH,125)&gt;0,COUNTIF(BF:BH,125),"")</f>
        <v/>
      </c>
      <c r="BK22" s="52" t="str">
        <f>IF(BL22&lt;&gt;"","Nandao Grupo C","")</f>
        <v/>
      </c>
      <c r="BL22" s="50" t="str">
        <f>IF(COUNTIF(BF:BH,225)&gt;0,COUNTIF(BF:BH,225),"")</f>
        <v/>
      </c>
      <c r="BM22" s="50" t="e">
        <f>IF(Atletas!#REF!="","",IF(Atletas!#REF!="Feminino",100,IF(Atletas!#REF!="Masculino",200,""))+(IF(Atletas!#REF!="Equipe 1 Grupo B",1,IF(Atletas!#REF!="Equipe 2 Grupo B",2,IF(Atletas!#REF!="Equipe 1 Grupo A",3,IF(Atletas!#REF!="Equipe 2 Grupo A",4,IF(Atletas!#REF!="Equipe 1 Adulto",5,IF(Atletas!#REF!="Equipe 2 Adulto",6,""))))))))</f>
        <v>#REF!</v>
      </c>
      <c r="BN22" s="50"/>
      <c r="BO22" s="50"/>
      <c r="BP22" s="50"/>
      <c r="BQ22" s="50"/>
      <c r="BR22" s="50" t="e">
        <f>IF(Atletas!#REF!="","",IF(Atletas!#REF!&lt;&gt;"",10000,0)+(IF(Atletas!#REF!="Feminino",1000,IF(Atletas!#REF!="Masculino",2000,""))+IF(Atletas!#REF!="Choylayfut A",1,IF(Atletas!#REF!="Hunggar A",2,IF(Atletas!#REF!="Wuzuquan A",3,IF(Atletas!#REF!="Wingchun A",4,IF(Atletas!#REF!="Outra Mão de Sul A",5,IF(Atletas!#REF!="Choylayfut B",6,IF(Atletas!#REF!="Hunggar B",7,IF(Atletas!#REF!="Wuzuquan B",8,IF(Atletas!#REF!="Wingchun B",9,IF(Atletas!#REF!="Outra Mão de Sul B",10,IF(Atletas!#REF!="Choylayfut C",11,IF(Atletas!#REF!="Hunggar C",12,IF(Atletas!#REF!="Wuzuquan C",13,IF(Atletas!#REF!="Wingchun C",14,IF(Atletas!#REF!="Outra Mão de Sul C",15,IF(Atletas!#REF!="Choylayfut D",16,IF(Atletas!#REF!="Hunggar D",17,IF(Atletas!#REF!="Wuzuquan D",18,IF(Atletas!#REF!="Wingchun D",19,IF(Atletas!#REF!="Outra Mão de Sul D",20,IF(Atletas!#REF!="Choylayfut E",21,IF(Atletas!#REF!="Hunggar E",22,IF(Atletas!#REF!="Wuzuquan E",23,IF(Atletas!#REF!="Wingchun E",24,IF(Atletas!#REF!="Outra Mão de Sul E",25,IF(Atletas!#REF!="Choylayfut F",26,IF(Atletas!#REF!="Hunggar F",27,IF(Atletas!#REF!="Wuzuquan F",28,IF(Atletas!#REF!="Wingchun F",29,IF(Atletas!#REF!="Outra Mão de Sul F",30,IF(Atletas!#REF!="Dishuquan A",31,IF(Atletas!#REF!="Dishuquan B",32,IF(Atletas!#REF!="Dishuquan C",33,IF(Atletas!#REF!="Dishuquan D",34,IF(Atletas!#REF!="Dishuquan E",35,IF(Atletas!#REF!="Dishuquan F",36,""))))))))))))))))))))))))))))))))))))))</f>
        <v>#REF!</v>
      </c>
      <c r="BS22" s="50" t="e">
        <f>IF(Atletas!#REF!="","",IF(Atletas!#REF!&lt;&gt;"",10000,0)+(IF(Atletas!#REF!="Feminino",1000,IF(Atletas!#REF!="Masculino",2000,""))+(IF(Atletas!#REF!="Chaquan A",101,IF(Atletas!#REF!="Emeiquan A",102,IF(Atletas!#REF!="Fanziquan A",103,IF(Atletas!#REF!="Huaquan A",104,IF(Atletas!#REF!="Hongquan A",105,IF(Atletas!#REF!="Paoquan A",106,IF(Atletas!#REF!="Piguaquan A",107,IF(Atletas!#REF!="Shaolinquan A",108,IF(Atletas!#REF!="Tanglangquan A",109,IF(Atletas!#REF!="Yingzhaoquan A",110,IF(Atletas!#REF!="Tongbeiquan A",111,IF(Atletas!#REF!="Wudangquan A",112,IF(Atletas!#REF!="Outros Estilos A",113,IF(Atletas!#REF!="Chaquan B",114,IF(Atletas!#REF!="Emeiquan B",115,IF(Atletas!#REF!="Fanziquan B",116,IF(Atletas!#REF!="Huaquan B",117,IF(Atletas!#REF!="Hongquan B",118,IF(Atletas!#REF!="Paoquan B",119,IF(Atletas!#REF!="Piguaquan B",120,IF(Atletas!#REF!="Shaolinquan B",121,IF(Atletas!#REF!="Tanglangquan B",122,IF(Atletas!#REF!="Yingzhaoquan B",123,IF(Atletas!#REF!="Tongbeiquan B",124,IF(Atletas!#REF!="Wudangquan B",125,IF(Atletas!#REF!="Outros Estilos B",126,IF(Atletas!#REF!="Chaquan C",127,IF(Atletas!#REF!="Emeiquan C",128,IF(Atletas!#REF!="Fanziquan C",129,IF(Atletas!#REF!="Huaquan C",130,IF(Atletas!#REF!="Hongquan C",131,IF(Atletas!#REF!="Paoquan C",132,IF(Atletas!#REF!="Piguaquan C",133,IF(Atletas!#REF!="Shaolinquan C",134,IF(Atletas!#REF!="Tanglangquan C",135,IF(Atletas!#REF!="Yingzhaoquan C",136,IF(Atletas!#REF!="Tongbeiquan C",137,IF(Atletas!#REF!="Wudangquan C",138,IF(Atletas!#REF!="Outros Estilos C",139,0))))))))))))))))))))))))))))))))))))))))))</f>
        <v>#REF!</v>
      </c>
      <c r="BT22" s="50" t="e">
        <f>IF(Atletas!#REF!="","",IF(Atletas!#REF!&lt;&gt;"",10000,0)+(IF(Atletas!#REF!="Feminino",1000,IF(Atletas!#REF!="Masculino",2000,""))+(IF(Atletas!#REF!="Chaquan D",140,IF(Atletas!#REF!="Emeiquan D",141,IF(Atletas!#REF!="Fanziquan D",142,IF(Atletas!#REF!="Huaquan D",143,IF(Atletas!#REF!="Hongquan D",144,IF(Atletas!#REF!="Paoquan D",145,IF(Atletas!#REF!="Piguaquan D",146,IF(Atletas!#REF!="Shaolinquan D",147,IF(Atletas!#REF!="Tanglangquan D",148,IF(Atletas!#REF!="Yingzhaoquan D",149,IF(Atletas!#REF!="Tongbeiquan D",150,IF(Atletas!#REF!="Wudangquan D",151,IF(Atletas!#REF!="Outros Estilos D",152,IF(Atletas!#REF!="Chaquan E",153,IF(Atletas!#REF!="Emeiquan E",154,IF(Atletas!#REF!="Fanziquan E",155,IF(Atletas!#REF!="Huaquan E",156,IF(Atletas!#REF!="Hongquan E",157,IF(Atletas!#REF!="Paoquan E",158,IF(Atletas!#REF!="Piguaquan E",159,IF(Atletas!#REF!="Shaolinquan E",160,IF(Atletas!#REF!="Tanglangquan E",161,IF(Atletas!#REF!="Yingzhaoquan E",162,IF(Atletas!#REF!="Tongbeiquan E",163,IF(Atletas!#REF!="Wudangquan E",164,IF(Atletas!#REF!="Outros Estilos E",165,IF(Atletas!#REF!="Chaquan F",166,IF(Atletas!#REF!="Emeiquan F",167,IF(Atletas!#REF!="Fanziquan F",168,IF(Atletas!#REF!="Huaquan F",169,IF(Atletas!#REF!="Hongquan F",170,IF(Atletas!#REF!="Paoquan F",171,IF(Atletas!#REF!="Piguaquan F",172,IF(Atletas!#REF!="Shaolinquan F",173,IF(Atletas!#REF!="Tanglangquan F",174,IF(Atletas!#REF!="Yingzhaoquan F",175,IF(Atletas!#REF!="Tongbeiquan F",176,IF(Atletas!#REF!="Wudangquan F",177,IF(Atletas!#REF!="Outros Estilos F",178,0))))))))))))))))))))))))))))))))))))))))))</f>
        <v>#REF!</v>
      </c>
      <c r="BU22" s="50" t="e">
        <f>IF(Atletas!#REF!="","",IF(Atletas!#REF!&lt;&gt;"",10000,0)+(IF(Atletas!#REF!="Feminino",1000,IF(Atletas!#REF!="Masculino",2000,""))+(IF(Atletas!#REF!="Ditangquan A",201,IF(Atletas!#REF!="Houquan A",202,IF(Atletas!#REF!="Zuiquan A",203,IF(Atletas!#REF!="Ditangquan B",204,IF(Atletas!#REF!="Houquan B",205,IF(Atletas!#REF!="Zuiquan B",206,IF(Atletas!#REF!="Ditangquan C",207,IF(Atletas!#REF!="Houquan C",208,IF(Atletas!#REF!="Zuiquan C",209,IF(Atletas!#REF!="Ditangquan D",210,IF(Atletas!#REF!="Houquan D",211,IF(Atletas!#REF!="Zuiquan D",212,IF(Atletas!#REF!="Ditangquan E",213,IF(Atletas!#REF!="Houquan E",214,IF(Atletas!#REF!="Zuiquan E",215,IF(Atletas!#REF!="Ditangquan F",216,IF(Atletas!#REF!="Houquan F",217,IF(Atletas!#REF!="Zuiquan F",218,"")))))))))))))))))))))</f>
        <v>#REF!</v>
      </c>
      <c r="BV22" s="50" t="e">
        <f>IF(Atletas!#REF!="","",IF(Atletas!#REF!&lt;&gt;"",10000,0)+IF(Atletas!#REF!="Feminino",1000,IF(Atletas!#REF!="Masculino",2000,""))+IF(Atletas!#REF!="Yang A",301,IF(Atletas!#REF!="Chen A",302,IF(Atletas!#REF!="Sun A",303,IF(Atletas!#REF!="Wu A",304,IF(Atletas!#REF!="Wu-Hao A",305,IF(Atletas!#REF!="Outro Taijiquan A",306,IF(Atletas!#REF!="Yang B",307,IF(Atletas!#REF!="Chen B",308,IF(Atletas!#REF!="Sun B",309,IF(Atletas!#REF!="Wu B",310,IF(Atletas!#REF!="Wu-Hao B",311,IF(Atletas!#REF!="Outro Taijiquan B",312,IF(Atletas!#REF!="Yang C",313,IF(Atletas!#REF!="Chen C",314,IF(Atletas!#REF!="Sun C",315,IF(Atletas!#REF!="Wu C",316,IF(Atletas!#REF!="Wu-Hao C",317,IF(Atletas!#REF!="Outro Taijiquan C",318,IF(Atletas!#REF!="Yang D",319,IF(Atletas!#REF!="Chen D",320,IF(Atletas!#REF!="Sun D",321,IF(Atletas!#REF!="Wu D",322,IF(Atletas!#REF!="Wu-Hao D",323,IF(Atletas!#REF!="Outro Taijiquan D",324,IF(Atletas!#REF!="Yang E",325,IF(Atletas!#REF!="Chen E",326,IF(Atletas!#REF!="Sun E",327,IF(Atletas!#REF!="Wu E",328,IF(Atletas!#REF!="Wu-Hao E",329,IF(Atletas!#REF!="Outro Taijiquan E",330,IF(Atletas!#REF!="Yang F",331,IF(Atletas!#REF!="Chen F",332,IF(Atletas!#REF!="Sun F",333,IF(Atletas!#REF!="Wu F",334,IF(Atletas!#REF!="Wu-Hao F",335,IF(Atletas!#REF!="Outro Taijiquan F",336,"")))))))))))))))))))))))))))))))))))))</f>
        <v>#REF!</v>
      </c>
      <c r="BW22" s="50" t="e">
        <f>IF(Atletas!#REF!="","",IF(Atletas!#REF!&lt;&gt;"",10000,0)+IF(Atletas!#REF!="Feminino",1000,IF(Atletas!#REF!="Masculino",2000,""))+IF(OR(Atletas!#REF!="Yang 26 A",Atletas!#REF!="Yang 40 A"),401,IF(OR(Atletas!#REF!="Chen 25 A",Atletas!#REF!="Chen 36 A",Atletas!#REF!="Chen 56 A"),402,IF(Atletas!#REF!="Sun 73 A",403,IF(Atletas!#REF!="Wu 45 A",404,IF(Atletas!#REF!="Wu-Hao 46 A",405,IF(OR(Atletas!#REF!="Taijiquan 16 A",Atletas!#REF!="Taijiquan 24 A",Atletas!#REF!="Taijiquan 32 A",Atletas!#REF!="Taijiquan 42 A"),406,IF(OR(Atletas!#REF!="Yang 26 B",Atletas!#REF!="Yang 40 B"),407,IF(OR(Atletas!#REF!="Chen 25 B",Atletas!#REF!="Chen 36 B",Atletas!#REF!="Chen 56 B"),408,IF(Atletas!#REF!="Sun 73 B",409,IF(Atletas!#REF!="Wu 45 B",410,IF(Atletas!#REF!="Wu-Hao 46 B",411,IF(OR(Atletas!#REF!="Taijiquan 16 B",Atletas!#REF!="Taijiquan 24 B",Atletas!#REF!="Taijiquan 32 B",Atletas!#REF!="Taijiquan 42 B"),412,IF(OR(Atletas!#REF!="Yang 26 C",Atletas!#REF!="Yang 40 C"),413,IF(OR(Atletas!#REF!="Chen 25 C",Atletas!#REF!="Chen 36 C",Atletas!#REF!="Chen 56 C"),414,IF(Atletas!#REF!="Sun 73 C",415,IF(Atletas!#REF!="Wu 45 C",416,IF(Atletas!#REF!="Wu-Hao 46 C",417,IF(OR(Atletas!#REF!="Taijiquan 16 C",Atletas!#REF!="Taijiquan 24 C",Atletas!#REF!="Taijiquan 32 C",Atletas!#REF!="Taijiquan 42 C"),418,0)))))))))))))))))))</f>
        <v>#REF!</v>
      </c>
      <c r="BX22" s="50" t="e">
        <f>IF(Atletas!#REF!="","",IF(Atletas!#REF!&lt;&gt;"",10000,0)+IF(Atletas!#REF!="Feminino",1000,IF(Atletas!#REF!="Masculino",2000,""))+IF(OR(Atletas!#REF!="Yang 26 D",Atletas!#REF!="Yang 40 D"),419,IF(OR(Atletas!#REF!="Chen 25 D",Atletas!#REF!="Chen 36 D",Atletas!#REF!="Chen 56 D"),420,IF(Atletas!#REF!="Sun 73 D",421,IF(Atletas!#REF!="Wu 45 D",422,IF(Atletas!#REF!="Wu-Hao 46 D",423,IF(OR(Atletas!#REF!="Taijiquan 16 D",Atletas!#REF!="Taijiquan 24 D",Atletas!#REF!="Taijiquan 32 D",Atletas!#REF!="Taijiquan 42 D"),424,IF(OR(Atletas!#REF!="Yang 26 E",Atletas!#REF!="Yang 40 E"),425,IF(OR(Atletas!#REF!="Chen 25 E",Atletas!#REF!="Chen 36 E",Atletas!#REF!="Chen 56 E"),426,IF(Atletas!#REF!="Sun 73 E",427,IF(Atletas!#REF!="Wu 45 E",428,IF(Atletas!#REF!="Wu-Hao 46 E",429,IF(OR(Atletas!#REF!="Taijiquan 16 E",Atletas!#REF!="Taijiquan 24 E",Atletas!#REF!="Taijiquan 32 E",Atletas!#REF!="Taijiquan 42 E"),430,IF(OR(Atletas!#REF!="Yang 26 F",Atletas!#REF!="Yang 40 F"),431,IF(OR(Atletas!#REF!="Chen 25 F",Atletas!#REF!="Chen 36 F",Atletas!#REF!="Chen 56 F"),432,IF(Atletas!#REF!="Sun 73 F",433,IF(Atletas!#REF!="Wu 45 F",434,IF(Atletas!#REF!="Wu-Hao 46 F",435,IF(OR(Atletas!#REF!="Taijiquan 16 F",Atletas!#REF!="Taijiquan 24 F",Atletas!#REF!="Taijiquan 32 F",Atletas!#REF!="Taijiquan 42 F"),436,0)))))))))))))))))))</f>
        <v>#REF!</v>
      </c>
      <c r="BY22" s="50" t="e">
        <f>IF(Atletas!#REF!="","",IF(Atletas!#REF!&lt;&gt;"",10000,0)+IF(Atletas!#REF!="Feminino",1000,IF(Atletas!#REF!="Masculino",2000,""))+IF(Atletas!#REF!="Xingyiquan A",501,IF(Atletas!#REF!="Baguazhang A",502,IF(Atletas!#REF!="Outro Estilo Interno A",503,IF(Atletas!#REF!="Xingyiquan B",504,IF(Atletas!#REF!="Baguazhang B",505,IF(Atletas!#REF!="Outro Estilo Interno B",506,IF(Atletas!#REF!="Xingyiquan C",507,IF(Atletas!#REF!="Baguazhang C",508,IF(Atletas!#REF!="Outro Estilo Interno C",509,IF(Atletas!#REF!="Xingyiquan D",510,IF(Atletas!#REF!="Baguazhang D",511,IF(Atletas!#REF!="Outro Estilo Interno D",512,IF(Atletas!#REF!="Xingyiquan E",513,IF(Atletas!#REF!="Baguazhang E",514,IF(Atletas!#REF!="Outro Estilo Interno E",515,IF(Atletas!#REF!="Xingyiquan F",516,IF(Atletas!#REF!="Baguazhang F",517,IF(Atletas!#REF!="Outro Estilo Interno F",518, "")))))))))))))))))))</f>
        <v>#REF!</v>
      </c>
      <c r="BZ22" s="50" t="e">
        <f>IF(Atletas!#REF!="","",IF(Atletas!#REF!&lt;&gt;"",10000,0)+IF(Atletas!#REF!="Feminino",1000,IF(Atletas!#REF!="Masculino",2000,""))+IF(Atletas!#REF!="Dao A",601,IF(Atletas!#REF!="Jian A",602,IF(Atletas!#REF!="Bishou A",603,IF(Atletas!#REF!="Shanzi A",604,IF(Atletas!#REF!="Outra Arma Curta A",605,IF(Atletas!#REF!="Dao B",606,IF(Atletas!#REF!="Jian B",607,IF(Atletas!#REF!="Bishou B",608,IF(Atletas!#REF!="Shanzi B",609,IF(Atletas!#REF!="Outra Arma Curta B",610,IF(Atletas!#REF!="Dao C",611,IF(Atletas!#REF!="Jian C",612,IF(Atletas!#REF!="Bishou C",613,IF(Atletas!#REF!="Shanzi C",614,IF(Atletas!#REF!="Outra Arma Curta C",615,IF(Atletas!#REF!="Dao D",616,IF(Atletas!#REF!="Jian D",617,IF(Atletas!#REF!="Bishou D",618,IF(Atletas!#REF!="Shanzi D",619,IF(Atletas!#REF!="Outra Arma Curta D",620,IF(Atletas!#REF!="Dao E",621,IF(Atletas!#REF!="Jian E",622,IF(Atletas!#REF!="Bishou E",623,IF(Atletas!#REF!="Shanzi E",624,IF(Atletas!#REF!="Outra Arma Curta E",625,IF(Atletas!#REF!="Dao F",626,IF(Atletas!#REF!="Jian F",627,IF(Atletas!#REF!="Bishou F",628,IF(Atletas!#REF!="Shanzi F",629,IF(Atletas!#REF!="Outra Arma Curta F",630, "")))))))))))))))))))))))))))))))</f>
        <v>#REF!</v>
      </c>
      <c r="CA22" s="50" t="e">
        <f>IF(Atletas!#REF!="","",IF(Atletas!#REF!&lt;&gt;"",10000,0)+IF(Atletas!#REF!="Feminino",1000,IF(Atletas!#REF!="Masculino",2000,""))+IF(Atletas!#REF!="Gun A",701,IF(Atletas!#REF!="Qiang A",702,IF(Atletas!#REF!="Pudao / Guandao A",703,IF(Atletas!#REF!="Outra Arma Longa A",704,IF(Atletas!#REF!="Gun B",705,IF(Atletas!#REF!="Qiang B",706,IF(Atletas!#REF!="Pudao / Guandao B",707,IF(Atletas!#REF!="Outra Arma Longa B",708,IF(Atletas!#REF!="Gun C",709,IF(Atletas!#REF!="Qiang C",710,IF(Atletas!#REF!="Pudao / Guandao C",711,IF(Atletas!#REF!="Outra Arma Longa C",712,IF(Atletas!#REF!="Gun D",713,IF(Atletas!#REF!="Qiang D",714,IF(Atletas!#REF!="Pudao / Guandao D",715,IF(Atletas!#REF!="Outra Arma Longa D",716,IF(Atletas!#REF!="Gun E",717,IF(Atletas!#REF!="Qiang E",718,IF(Atletas!#REF!="Pudao / Guandao E",719,IF(Atletas!#REF!="Outra Arma Longa E",720,IF(Atletas!#REF!="Gun F",721,IF(Atletas!#REF!="Qiang F",722,IF(Atletas!#REF!="Pudao / Guandao F",723,IF(Atletas!#REF!="Outra Arma Longa F",724,"")))))))))))))))))))))))))</f>
        <v>#REF!</v>
      </c>
      <c r="CB22" s="50" t="e">
        <f>IF(Atletas!#REF!="","",IF(Atletas!#REF!&lt;&gt;"",10000,0)+IF(Atletas!#REF!="Feminino",1000,IF(Atletas!#REF!="Masculino",2000,""))+IF(Atletas!#REF!="Outra Arma Dupla A",801,IF(Atletas!#REF!="Arma Maleável A",802,IF(Atletas!#REF!="Outra Arma Dupla B",803,IF(Atletas!#REF!="Arma Maleável B",804,IF(Atletas!#REF!="Outra Arma Dupla C",805,IF(Atletas!#REF!="Arma Maleável C",806,IF(Atletas!#REF!="Outra Arma Dupla D",807,IF(Atletas!#REF!="Arma Maleável D",808,IF(Atletas!#REF!="Outra Arma Dupla E",809,IF(Atletas!#REF!="Arma Maleável E",810,IF(Atletas!#REF!="Outra Arma Dupla F",811,IF(Atletas!#REF!="Arma Maleável F",812,IF(Atletas!#REF!="Shuangdao A",813,IF(Atletas!#REF!="Shuangdao B",814,IF(Atletas!#REF!="Shuangdao C",815,IF(Atletas!#REF!="Shuangdao D",816,IF(Atletas!#REF!="Shuangdao E",817,IF(Atletas!#REF!="Shuangdao F",818,"")))))))))))))))))))</f>
        <v>#REF!</v>
      </c>
      <c r="CC22" s="50" t="e">
        <f>IF(Atletas!#REF!="","",IF(Atletas!#REF!&lt;&gt;"",10000,0)+IF(Atletas!#REF!="Feminino",1000,IF(Atletas!#REF!="Masculino",2000,""))+IF(OR(Atletas!#REF!="Taijijian Yang A",Atletas!#REF!="Taijijian Yang Standard A"),901,IF(OR(Atletas!#REF!="Taijijian Chen A", Atletas!#REF!="Taijijian Chen Standard A"),902,IF(Atletas!#REF!="Taijijian Sun A",903,IF(Atletas!#REF!="Taijijian Wu A",904,IF(Atletas!#REF!="Taijijian Wu-Hao A",905,IF(OR(Atletas!#REF!="Taijijian 32 A",Atletas!#REF!="Taijijian 42 A"),906,IF(OR(Atletas!#REF!="Taijijian Yang B",Atletas!#REF!="Taijijian Yang Standard B"),907,IF(OR(Atletas!#REF!="Taijijian Chen B", Atletas!#REF!="Taijijian Chen Standard B"),908,IF(Atletas!#REF!="Taijijian Sun B",909,IF(Atletas!#REF!="Taijijian Wu B",910,IF(Atletas!#REF!="Taijijian Wu-Hao B",911,IF(OR(Atletas!#REF!="Taijijian 32 B",Atletas!#REF!="Taijijian 42 B"),912,IF(OR(Atletas!#REF!="Taijijian Yang C",Atletas!#REF!="Taijijian Yang Standard C"),913,IF(OR(Atletas!#REF!="Taijijian Chen C", Atletas!#REF!="Taijijian Chen Standard C"),914,IF(Atletas!#REF!="Taijijian Sun C",915,IF(Atletas!#REF!="Taijijian Wu C",916,IF(Atletas!#REF!="Taijijian Wu-Hao C",917,IF(OR(Atletas!#REF!="Taijijian 32 C",Atletas!#REF!="Taijijian 42 C"),918,IF(OR(Atletas!#REF!="Taijijian Yang D",Atletas!#REF!="Taijijian Yang Standard D"),919,IF(OR(Atletas!#REF!="Taijijian Chen D", Atletas!#REF!="Taijijian Chen Standard D"),920,IF(Atletas!#REF!="Taijijian Sun D",921,IF(Atletas!#REF!="Taijijian Wu D",922,IF(Atletas!#REF!="Taijijian Wu-Hao D",923,IF(OR(Atletas!#REF!="Taijijian 32 D",Atletas!#REF!="Taijijian 42 D"),924,IF(OR(Atletas!#REF!="Taijijian Yang E",Atletas!#REF!="Taijijian Yang Standard E"),925,IF(OR(Atletas!#REF!="Taijijian Chen E", Atletas!#REF!="Taijijian Chen Standard E"),926,IF(Atletas!#REF!="Taijijian Sun E",927,IF(Atletas!#REF!="Taijijian Wu E",928,IF(Atletas!#REF!="Taijijian Wu-Hao E",929,IF(OR(Atletas!#REF!="Taijijian 32 E",Atletas!#REF!="Taijijian 42 E"),930,IF(OR(Atletas!#REF!="Taijijian Yang F",Atletas!#REF!="Taijijian Yang Standard F"),931,IF(OR(Atletas!#REF!="Taijijian Chen F", Atletas!#REF!="Taijijian Chen Standard F"),932,IF(Atletas!#REF!="Taijijian Sun F",933,IF(Atletas!#REF!="Taijijian Wu F",934,IF(Atletas!#REF!="Taijijian Wu-Hao F",935,IF(OR(Atletas!#REF!="Taijijian 32 F",Atletas!#REF!="Taijijian 42 F"),936,"")))))))))))))))))))))))))))))))))))))</f>
        <v>#REF!</v>
      </c>
      <c r="CD22" s="50" t="e">
        <f>IF(Atletas!#REF!="","",IF(Atletas!#REF!&lt;&gt;"",10000,0)+IF(Atletas!#REF!="Feminino",1000,IF(Atletas!#REF!="Masculino",2000,""))+IF(Atletas!#REF!="Taijidao A",937,IF(Atletas!#REF!="TaijiShanzi A",938,IF(Atletas!#REF!="Taijiqiang A",939,IF(Atletas!#REF!="Bagua de Arma A",940,IF(Atletas!#REF!="Xingyi de Arma A",941,IF(Atletas!#REF!="Taijidao B",942,IF(Atletas!#REF!="TaijiShanzi B",943,IF(Atletas!#REF!="Taijiqiang B",944,IF(Atletas!#REF!="Bagua de Arma B",945,IF(Atletas!#REF!="Xingyi de Arma B",946,IF(Atletas!#REF!="Taijidao C",947,IF(Atletas!#REF!="TaijiShanzi C",948,IF(Atletas!#REF!="Taijiqiang C",949,IF(Atletas!#REF!="Bagua de Arma C",950,IF(Atletas!#REF!="Xingyi de Arma C",951,IF(Atletas!#REF!="Taijidao D",952,IF(Atletas!#REF!="TaijiShanzi D",953,IF(Atletas!#REF!="Taijiqiang D",954,IF(Atletas!#REF!="Bagua de Arma D",955,IF(Atletas!#REF!="Xingyi de Arma D",956,IF(Atletas!#REF!="Taijidao E",957,IF(Atletas!#REF!="TaijiShanzi E",958,IF(Atletas!#REF!="Taijiqiang E",959,IF(Atletas!#REF!="Bagua de Arma E",960,IF(Atletas!#REF!="Xingyi de Arma E",961,IF(Atletas!#REF!="Taijidao F",962,IF(Atletas!#REF!="TaijiShanzi F",963,IF(Atletas!#REF!="Taijiqiang F",964,IF(Atletas!#REF!="Bagua de Arma F",965,IF(Atletas!#REF!="Xingyi de Arma F",966,"")))))))))))))))))))))))))))))))</f>
        <v>#REF!</v>
      </c>
      <c r="CE22" s="66" t="str">
        <f>IF(CF22&lt;&gt;"","Wuzuquan C","")</f>
        <v/>
      </c>
      <c r="CF22" s="66" t="str">
        <f>IF(COUNTIF(BR:CD,1013)&gt;0,COUNTIF(BR:CD,1013),"")</f>
        <v/>
      </c>
      <c r="CG22" s="66" t="str">
        <f>IF(CH22&lt;&gt;"","Wuzuquan C","")</f>
        <v/>
      </c>
      <c r="CH22" s="66" t="str">
        <f>IF(COUNTIF(BR:CD,2013)&gt;0,COUNTIF(BR:CD,2013),"")</f>
        <v/>
      </c>
      <c r="CI22" s="66" t="str">
        <f>IF(CJ22&lt;&gt;"","Choylayfut D","")</f>
        <v/>
      </c>
      <c r="CJ22" s="66" t="str">
        <f>IF(COUNTIF(BR:CD,11016)&gt;0,COUNTIF(BR:CD,11016),"")</f>
        <v/>
      </c>
      <c r="CK22" s="66" t="str">
        <f>IF(CL22&lt;&gt;"","Choylayfut D","")</f>
        <v/>
      </c>
      <c r="CL22" s="66" t="str">
        <f>IF(COUNTIF(BR:CD,12016)&gt;0,COUNTIF(BR:CD,12016),"")</f>
        <v/>
      </c>
      <c r="CM22" s="50" t="e">
        <f xml:space="preserve"> IF(Atletas!#REF!="","",IF(Atletas!#REF!="Duilian de Mãos BC - Equipe 1",1,IF(Atletas!#REF!="Duilian de Mãos BC - Equipe 2",2,IF(Atletas!#REF!="Duilian de Armas BC - Equipe 1",3,IF(Atletas!#REF!="Duilian de Armas BC - Equipe 2",4,IF(Atletas!#REF!="Duilian de Mãos DE - Equipe 1",5,IF(Atletas!#REF!="Duilian de Mãos DE - Equipe 2",6,IF(Atletas!#REF!="Duilian de Armas DE - Equipe 1",7,IF(Atletas!#REF!="Duilian de Armas DE - Equipe 2",8,IF(Atletas!#REF!="Duilian de Tuishou - Equipe 1",9,IF(Atletas!#REF!="Duilian de Tuishou - Equipe 2",10,IF(Atletas!#REF!="Grupo Externo ABC - Equipe 1",11,IF(Atletas!#REF!="Grupo Externo ABC - Equipe 2",12,IF(Atletas!#REF!="Grupo Interno ABC - Equipe 1",13,IF(Atletas!#REF!="Grupo Interno ABC - Equipe 2",14,IF(Atletas!#REF!="Grupo Externo DEF - Equipe 1",15,IF(Atletas!#REF!="Grupo Externo DEF - Equipe 2",16,IF(Atletas!#REF!="Grupo Interno DEF - Equipe 1",17,IF(Atletas!#REF!="Grupo Interno DEF - Equipe 2",18,"")))))))))))))))))))</f>
        <v>#REF!</v>
      </c>
      <c r="CR22" s="65"/>
      <c r="CS22" s="64"/>
      <c r="CY22" s="41"/>
    </row>
    <row r="23" spans="1:103">
      <c r="A23" s="16"/>
      <c r="B23" s="3" t="str">
        <f t="array" ref="B23">IFERROR(INDEX(AO$7:AO$38,SMALL(IF(AO$7:AO$38&lt;&gt;"",ROW(AO$7:AO$38)-ROW(AO$7)+1),ROWS(AO$7:AO22))),"")</f>
        <v/>
      </c>
      <c r="C23" s="3" t="str">
        <f t="array" ref="C23">IFERROR(INDEX(AP$7:AP$38,SMALL(IF(AP$7:AP$38&lt;&gt;"",ROW(AP$7:AP$38)-ROW(AP$7)+1),ROWS(AP$7:AP22))),"")</f>
        <v/>
      </c>
      <c r="D23" s="3" t="str">
        <f t="array" ref="D23">IFERROR(INDEX(AQ$7:AQ$38,SMALL(IF(AQ$7:AQ$38&lt;&gt;"",ROW(AQ$7:AQ$38)-ROW(AQ$7)+1),ROWS(AQ$7:AQ22))),"")</f>
        <v/>
      </c>
      <c r="E23" s="3" t="str">
        <f t="array" ref="E23">IFERROR(INDEX(AR$7:AR$38,SMALL(IF(AR$7:AR$38&lt;&gt;"",ROW(AR$7:AR$38)-ROW(AR$7)+1),ROWS(AR$7:AR22))),"")</f>
        <v/>
      </c>
      <c r="F23" s="3" t="str">
        <f t="array" ref="F23">IFERROR(INDEX(AT$7:AT$36,SMALL(IF(AT$7:AT$36&lt;&gt;"",ROW(AT$7:AT$36)-ROW(AT$7)+1),ROWS(AT$7:AT22))),"")</f>
        <v/>
      </c>
      <c r="G23" s="3" t="str">
        <f t="array" ref="G23">IFERROR(INDEX(AU$7:AU$36,SMALL(IF(AU$7:AU$36&lt;&gt;"",ROW(AU$7:AU$36)-ROW(AU$7)+1),ROWS(AU$7:AU22))),"")</f>
        <v/>
      </c>
      <c r="H23" s="3" t="str">
        <f t="array" ref="H23">IFERROR(INDEX(AV$7:AV$36,SMALL(IF(AV$7:AV$36&lt;&gt;"",ROW(AV$7:AV$36)-ROW(AV$7)+1),ROWS(AV$7:AV22))),"")</f>
        <v/>
      </c>
      <c r="I23" s="3" t="str">
        <f t="array" ref="I23">IFERROR(INDEX(AW$7:AW$36,SMALL(IF(AW$7:AW$36&lt;&gt;"",ROW(AW$7:AW$36)-ROW(AW$7)+1),ROWS(AW$7:AW22))),"")</f>
        <v/>
      </c>
      <c r="J23" s="3" t="str">
        <f t="array" ref="J23">IFERROR(INDEX(AY$7:AY$36,SMALL(IF(AY$7:AY$36&lt;&gt;"",ROW(AY$7:AY$36)-ROW(AY$7)+1),ROWS(AY$7:AY22))),"")</f>
        <v/>
      </c>
      <c r="K23" s="3" t="str">
        <f t="array" ref="K23">IFERROR(INDEX(AZ$7:AZ$36,SMALL(IF(AZ$7:AZ$36&lt;&gt;"",ROW(AZ$7:AZ$36)-ROW(AZ$7)+1),ROWS(AZ$7:AZ22))),"")</f>
        <v/>
      </c>
      <c r="L23" s="3" t="str">
        <f t="array" ref="L23">IFERROR(INDEX(BA$7:BA$36,SMALL(IF(BA$7:BA$36&lt;&gt;"",ROW(BA$7:BA$36)-ROW(BA$7)+1),ROWS(BA$7:BA22))),"")</f>
        <v/>
      </c>
      <c r="M23" s="3" t="str">
        <f t="array" ref="M23">IFERROR(INDEX(BB$7:BB$36,SMALL(IF(BB$7:BB$36&lt;&gt;"",ROW(BB$7:BB$36)-ROW(BB$7)+1),ROWS(BB$7:BB22))),"")</f>
        <v/>
      </c>
      <c r="N23" s="3" t="str" cm="1">
        <f t="array" ref="N23">IFERROR(INDEX(BD$7:BD$8,SMALL(IF(BD$7:BD$8&lt;&gt;"",ROW(BD$7:BD$8)-ROW(BD$7)+1),ROWS(BD$7:BD22))),"")</f>
        <v/>
      </c>
      <c r="O23" s="3" t="str" cm="1">
        <f t="array" ref="O23">IFERROR(INDEX(BE$7:BE$8,SMALL(IF(BE$7:BE$8&lt;&gt;"",ROW(BE$7:BE$8)-ROW(BE$7)+1),ROWS(BE$7:BE22))),"")</f>
        <v/>
      </c>
      <c r="P23" s="3" t="str" cm="1">
        <f t="array" ref="P23">IFERROR(INDEX(BD$9:BD$10,SMALL(IF(BD$9:BD$10&lt;&gt;"",ROW(BD$9:BD$10)-ROW(BD$9)+1),ROWS(BD$9:BD24))),"")</f>
        <v/>
      </c>
      <c r="Q23" s="3" t="str">
        <f t="array" ref="Q23">IFERROR(INDEX(BH$7:BH$36,SMALL(IF(BH$7:BH$36&lt;&gt;"",ROW(BH$7:BH$36)-ROW(BH$7)+1),ROWS(BH$7:BH22))),"")</f>
        <v/>
      </c>
      <c r="R23" s="3" t="str">
        <f t="array" ref="R23">IFERROR(INDEX(BI$7:BI$68,SMALL(IF(BI$7:BI$68&lt;&gt;"",ROW(BI$7:BI$68)-ROW(BI$7)+1),ROWS(BI$7:BI22))),"")</f>
        <v/>
      </c>
      <c r="S23" s="3" t="str">
        <f t="array" ref="S23">IFERROR(INDEX(BJ$7:BJ$68,SMALL(IF(BJ$7:BJ$68&lt;&gt;"",ROW(BJ$7:BJ$68)-ROW(BJ$7)+1),ROWS(BJ$7:BJ22))),"")</f>
        <v/>
      </c>
      <c r="T23" s="3" t="str">
        <f t="array" ref="T23">IFERROR(INDEX(BK$7:BK$68,SMALL(IF(BK$7:BK$68&lt;&gt;"",ROW(BK$7:BK$68)-ROW(BK$7)+1),ROWS(BK$7:BK22))),"")</f>
        <v/>
      </c>
      <c r="U23" s="3" t="str">
        <f t="array" ref="U23">IFERROR(INDEX(BL$7:BL$68,SMALL(IF(BL$7:BL$68&lt;&gt;"",ROW(BL$7:BL$68)-ROW(BL$7)+1),ROWS(BL$7:BL22))),"")</f>
        <v/>
      </c>
      <c r="V23" s="3"/>
      <c r="W23" s="3"/>
      <c r="X23" s="3"/>
      <c r="Y23" s="3"/>
      <c r="Z23" s="3" t="str">
        <f t="array" ref="Z23">IFERROR(INDEX(CE$7:CE$348,SMALL(IF(CE$7:CE$348&lt;&gt;"",ROW(CE$7:CE$348)-ROW(CE$7)+1),ROWS(CE$7:CE22))),"")</f>
        <v/>
      </c>
      <c r="AA23" s="3" t="str">
        <f t="array" ref="AA23">IFERROR(INDEX(CF$7:CF$348,SMALL(IF(CF$7:CF$348&lt;&gt;"",ROW(CF$7:CF$348)-ROW(CF$7)+1),ROWS(CF$7:CF22))),"")</f>
        <v/>
      </c>
      <c r="AB23" s="3" t="str">
        <f t="array" ref="AB23">IFERROR(INDEX(CG$7:CG$348,SMALL(IF(CG$7:CG$348&lt;&gt;"",ROW(CG$7:CG$348)-ROW(CG$7)+1),ROWS(CG$7:CG22))),"")</f>
        <v/>
      </c>
      <c r="AC23" s="3" t="str">
        <f t="array" ref="AC23">IFERROR(INDEX(CH$7:CH$348,SMALL(IF(CH$7:CH$348&lt;&gt;"",ROW(CH$7:CH$348)-ROW(CH$7)+1),ROWS(CH$7:CH22))),"")</f>
        <v/>
      </c>
      <c r="AD23" s="3" t="str">
        <f t="array" ref="AD23">IFERROR(INDEX(CI$7:CI$377,SMALL(IF(CI$7:CI$377&lt;&gt;"",ROW(CI$7:CI$377)-ROW(CI$7)+1),ROWS(CI$7:CI22))),"")</f>
        <v/>
      </c>
      <c r="AE23" s="3" t="str">
        <f t="array" ref="AE23">IFERROR(INDEX(CJ$7:CJ$378,SMALL(IF(CJ$7:CJ$378&lt;&gt;"",ROW(CJ$7:CJ$378)-ROW(CJ$7)+1),ROWS(CJ$7:CJ22))),"")</f>
        <v/>
      </c>
      <c r="AF23" s="3" t="str">
        <f t="array" ref="AF23">IFERROR(INDEX(CK$7:CK$378,SMALL(IF(CK$7:CK$378&lt;&gt;"",ROW(CK$7:CK$378)-ROW(CK$7)+1),ROWS(CK$7:CK22))),"")</f>
        <v/>
      </c>
      <c r="AG23" s="3" t="str">
        <f t="array" ref="AG23">IFERROR(INDEX(CL$7:CL$378,SMALL(IF(CL$7:CL$378&lt;&gt;"",ROW(CL$7:CL$378)-ROW(CL$7)+1),ROWS(CL$7:CL22))),"")</f>
        <v/>
      </c>
      <c r="AH23" s="40" t="str">
        <f t="array" ref="AH23">IFERROR(INDEX(CN$7:CN$18,SMALL(IF(CN$7:CN$18&lt;&gt;"",ROW(CN$7:CN$18)-ROW(CN$7)+1),ROWS(CN$7:CN22))),"")</f>
        <v/>
      </c>
      <c r="AI23" s="40" t="str">
        <f t="array" ref="AI23">IFERROR(INDEX(CO$7:CO$18,SMALL(IF(CO$7:CO$18&lt;&gt;"",ROW(CO$7:CO$18)-ROW(CO$7)+1),ROWS(CO$7:CO22))),"")</f>
        <v/>
      </c>
      <c r="AJ23" s="40" t="str">
        <f t="array" ref="AJ23">IFERROR(INDEX(CP$7:CP$8,SMALL(IF(CP$7:CP$8&lt;&gt;"",ROW(CP$7:CP$8)-ROW(CP$7)+1),ROWS(CP$7:CP22))),"")</f>
        <v/>
      </c>
      <c r="AK23" s="40"/>
      <c r="AL23" s="40" t="str">
        <f t="array" ref="AL23">IFERROR(INDEX(CR$7:CR$14,SMALL(IF(CR$7:CR$14&lt;&gt;"",ROW(CR$7:CR$14)-ROW(CR$7)+1),ROWS(CR$7:CR22))),"")</f>
        <v/>
      </c>
      <c r="AM23" s="40"/>
      <c r="AN23" s="52" t="str">
        <f>IF(Atletas!D16="","",IF(Atletas!B16="Feminino",100,IF(Atletas!B16="Masculino",200,""))+(IF(Atletas!D16="Kids 30kg",1,IF(Atletas!D16="Kids 32kg",2, IF(Atletas!D16="Kids 34kg",3,IF(Atletas!D16="Kids 36kg",4,IF(Atletas!D16="Kids 39kg",5,IF(Atletas!D16="Kids 42kg",6,IF(Atletas!D16="Kids 45kg",7, IF(Atletas!D16="Infantil 39kg",8,IF(Atletas!D16="Infantil 42kg",9,IF(Atletas!D16="Infantil 45kg",10,IF(Atletas!D16="Infantil 48kg",11,IF(Atletas!D16="Infantil 52kg",12,IF(Atletas!D16="Infantil 56kg",13,IF(Atletas!D16="Infantil 60kg",14,IF(Atletas!D16="Juvenil 48kg",15,IF(Atletas!D16="Juvenil 52kg",16,IF(Atletas!D16="Juvenil 56kg",17,IF(Atletas!D16="Juvenil 60kg",18,IF(Atletas!D16="Juvenil 65kg",19,IF(Atletas!D16="Juvenil 70kg",20,IF(Atletas!D16="Juvenil 75kg",21,IF(Atletas!D16="Juvenil 80kg",22, IF(Atletas!D16="Juvenil 85kg",23,IF(Atletas!D16="Adulto 48kg",24,IF(Atletas!D16="Adulto 52kg",25,IF(Atletas!D16="Adulto 56kg",26,IF(Atletas!D16="Adulto 60kg",27,IF(Atletas!D16="Adulto 65kg",28,IF(Atletas!D16="Adulto 70kg",29,IF(Atletas!D16="Adulto 75kg",30,IF(Atletas!D16="Adulto 80kg",31,IF(Atletas!D16="Adulto 85kg",32,IF(Atletas!D16="Adulto 90kg",33,IF(Atletas!D16="Adulto 100kg",34, IF(Atletas!D16="Adulto +100kg",35,"")))))))))))))))))))))))))))))))))))))</f>
        <v/>
      </c>
      <c r="AO23" s="50" t="str">
        <f>IF(AP23&lt;&gt;"","Adulto 60kg","")</f>
        <v/>
      </c>
      <c r="AP23" s="6" t="str">
        <f>IF(COUNTIF(AN:AN,127)&gt;0,COUNTIF(AN:AN,127),"")</f>
        <v/>
      </c>
      <c r="AQ23" s="50" t="str">
        <f>IF(AR23&lt;&gt;"","Juvenil 56kg","")</f>
        <v/>
      </c>
      <c r="AR23" s="6" t="str">
        <f>IF(COUNTIF(AN:AN,217)&gt;0,COUNTIF(AN:AN,217),"")</f>
        <v/>
      </c>
      <c r="AS23" s="6" t="str">
        <f>IF(Atletas!E16="","",IF(Atletas!B16="Feminino",100,IF(Atletas!B16="Masculino",200,""))+(IF(Atletas!E16="Juvenil 44kg",1,IF(Atletas!E16="Juvenil 48kg",2,IF(Atletas!E16="Juvenil 52kg",3,IF(Atletas!E16="Juvenil 56kg",4,IF(Atletas!E16="Juvenil 60kg",5,IF(Atletas!E16="Juvenil 65kg",6,IF(Atletas!E16="Juvenil 70kg",7,IF(Atletas!E16="Juvenil 75kg",8,IF(Atletas!E16="Juvenil 82kg",9,IF(Atletas!E16="Juvenil 90kg",10,IF(Atletas!E16="Juvenil 100kg",11,IF(Atletas!E16="Adulto 48kg",12,IF(Atletas!E16="Adulto 52kg",13,IF(Atletas!E16="Adulto 56kg",14,IF(Atletas!E16="Adulto 60kg",15,IF(Atletas!E16="Adulto 65kg",16,IF(Atletas!E16="Adulto 70kg",17,IF(Atletas!E16="Adulto 75kg",18,IF(Atletas!E16="Adulto 82kg",19,IF(Atletas!E16="Adulto 90kg",20,IF(Atletas!E16="Adulto 100kg",21,IF(Atletas!E16="Adulto +100kg",22,""))))))))))))))))))))))))</f>
        <v/>
      </c>
      <c r="AV23" s="50" t="str">
        <f>IF(AW23&lt;&gt;"","Adulto 82kg","")</f>
        <v/>
      </c>
      <c r="AW23" s="6" t="str">
        <f>IF(COUNTIF(AS:AS,219)&gt;0,COUNTIF(AS:AS,219),"")</f>
        <v/>
      </c>
      <c r="AX23" s="6" t="str">
        <f>IF(Atletas!F16="","",IF(Atletas!B16="Feminino",100,IF(Atletas!B16="Masculino",200,""))+(IF(Atletas!F16="Adulto 48kg",1,IF(Atletas!F16="Adulto 56kg",2,IF(Atletas!F16="Adulto 65kg",3,IF(Atletas!F16="Adulto 75kg",4,IF(Atletas!F16="Adulto +75kg",5,IF(Atletas!F16="Adulto 52kg",6,IF(Atletas!F16="Adulto 60kg",7,IF(Atletas!F16="Adulto 70kg",8,IF(Atletas!F16="Adulto 80kg",9,IF(Atletas!F16="Adulto 90kg",10,IF(Atletas!F16="Adulto +90kg",11,"")))))))))))))</f>
        <v/>
      </c>
      <c r="BC23" s="6" t="str">
        <f>IF(Atletas!G16="","",IF(Atletas!B16="Feminino",10,IF(Atletas!B16="Masculino",20,""))+(IF(Atletas!G16="Baduanjin A",1,IF(Atletas!G16="Baduanjin B",2))))</f>
        <v/>
      </c>
      <c r="BF23" s="52" t="str">
        <f>IF(Atletas!H16="","",IF(Atletas!B16="Feminino",100,IF(Atletas!B16="Masculino",200,""))+(IF(Atletas!H16="Changquan Mirim",1,IF(Atletas!H16="Nanquan Mirim",2,IF(Atletas!H16="Taijiquan Mirim",3,IF(Atletas!H16="Changquan Grupo C",4,IF(Atletas!H16="Nanquan Grupo C",5,IF(Atletas!H16="Taijiquan Grupo C",6,IF(Atletas!H16="Changquan Grupo B",7,IF(Atletas!H16="Nanquan Grupo B",8,IF(Atletas!H16="Taijiquan Grupo B",9,IF(Atletas!H16="Changquan Grupo A",10,IF(Atletas!H16="Nanquan Grupo A",11,IF(Atletas!H16="Taijiquan Grupo A",12,IF(Atletas!H16="Changquan Opcional",13,IF(Atletas!H16="Nanquan Opcional",14,IF(Atletas!H16="Taijiquan Opcional",15,IF(Atletas!H16="Changquan Adulto",16,IF(Atletas!H16="Nanquan Adulto",17,IF(Atletas!H16="Taijiquan Adulto",18,""))))))))))))))))))))</f>
        <v/>
      </c>
      <c r="BG23" s="52" t="str">
        <f>IF(Atletas!I16="","",IF(Atletas!B16="Feminino",100,IF(Atletas!B16="Masculino",200,""))+(IF(Atletas!I16="Daoshu Mirim",19,IF(Atletas!I16="Jianshu Mirim",20,IF(Atletas!I16="Nandao Mirim",21,IF(Atletas!I16="Taijijian Mirim",22,IF(Atletas!I16="Daoshu Grupo C",23,IF(Atletas!I16="Jianshu Grupo C",24,IF(Atletas!I16="Nandao Grupo C",25,IF(Atletas!I16="Taijijian Grupo C",26,IF(Atletas!I16="Daoshu Grupo B",27,IF(Atletas!I16="Jianshu Grupo B",28,IF(Atletas!I16="Nandao Grupo B",29,IF(Atletas!I16="Taijijian Grupo B",30,IF(Atletas!I16="Daoshu Grupo A",31,IF(Atletas!I16="Jianshu Grupo A",32,IF(Atletas!I16="Nandao Grupo A",33,IF(Atletas!I16="Taijijian Grupo A",34,IF(Atletas!I16="Daoshu Opcional",35,IF(Atletas!I16="Jianshu Opcional",36,IF(Atletas!I16="Nandao Opcional",37,IF(Atletas!I16="Taijijian Opcional",38,IF(Atletas!I16="Daoshu Adulto",39,IF(Atletas!I16="Jianshu Adulto",40,IF(Atletas!I16="Nandao Adulto",41,IF(Atletas!I16="Taijijian Adulto",42,""))))))))))))))))))))))))))</f>
        <v/>
      </c>
      <c r="BH23" s="52" t="str">
        <f>IF(Atletas!J16="","",IF(Atletas!B16="Feminino",100,IF(Atletas!B16="Masculino",200,""))+(IF(Atletas!J16="Gunshu Mirim",43,IF(Atletas!J16="Qiangshu Mirim",44,IF(Atletas!J16="Nangun Mirim",45,IF(Atletas!J16="Gunshu Grupo C",46,IF(Atletas!J16="Qiangshu Grupo C",47,IF(Atletas!J16="Nangun Grupo C",48,IF(Atletas!J16="Gunshu Grupo B",49,IF(Atletas!J16="Qiangshu Grupo B",50,IF(Atletas!J16="Nangun Grupo B",51,IF(Atletas!J16="Gunshu Grupo A",52,IF(Atletas!J16="Qiangshu Grupo A",53,IF(Atletas!J16="Nangun Grupo A",54,IF(Atletas!J16="Gunshu Opcional",55,IF(Atletas!J16="Qiangshu Opcional",56,IF(Atletas!J16="Nangun Opcional",57,IF(Atletas!J16="Gunshu Adulto",58,IF(Atletas!J16="Qiangshu Adulto",59,IF(Atletas!J16="Nangun Adulto",60,IF(Atletas!J16="Taijishan Grupo B",61,IF(Atletas!J16="Taijishan Grupo A",62,""))))))))))))))))))))))</f>
        <v/>
      </c>
      <c r="BI23" s="6" t="str">
        <f>IF(BJ23&lt;&gt;"","Taijijian Grupo C","")</f>
        <v/>
      </c>
      <c r="BJ23" s="50" t="str">
        <f>IF(COUNTIF(BF:BH,126)&gt;0,COUNTIF(BF:BH,126),"")</f>
        <v/>
      </c>
      <c r="BK23" s="6" t="str">
        <f>IF(BL23&lt;&gt;"","Taijijian Grupo C","")</f>
        <v/>
      </c>
      <c r="BL23" s="50" t="str">
        <f>IF(COUNTIF(BF:BH,226)&gt;0,COUNTIF(BF:BH,226),"")</f>
        <v/>
      </c>
      <c r="BM23" s="50" t="str">
        <f>IF(Atletas!K16="","",IF(Atletas!B16="Feminino",100,IF(Atletas!B16="Masculino",200,""))+(IF(Atletas!K16="Equipe 1 Grupo B",1,IF(Atletas!K16="Equipe 2 Grupo B",2,IF(Atletas!K16="Equipe 1 Grupo A",3,IF(Atletas!K16="Equipe 2 Grupo A",4,IF(Atletas!K16="Equipe 1 Adulto",5,IF(Atletas!K16="Equipe 2 Adulto",6,""))))))))</f>
        <v/>
      </c>
      <c r="BR23" s="50" t="str">
        <f>IF(Atletas!L16="","",IF(Atletas!X16&lt;&gt;"",10000,0)+(IF(Atletas!B16="Feminino",1000,IF(Atletas!B16="Masculino",2000,""))+IF(Atletas!L16="Choylayfut A",1,IF(Atletas!L16="Hunggar A",2,IF(Atletas!L16="Wuzuquan A",3,IF(Atletas!L16="Wingchun A",4,IF(Atletas!L16="Outra Mão de Sul A",5,IF(Atletas!L16="Choylayfut B",6,IF(Atletas!L16="Hunggar B",7,IF(Atletas!L16="Wuzuquan B",8,IF(Atletas!L16="Wingchun B",9,IF(Atletas!L16="Outra Mão de Sul B",10,IF(Atletas!L16="Choylayfut C",11,IF(Atletas!L16="Hunggar C",12,IF(Atletas!L16="Wuzuquan C",13,IF(Atletas!L16="Wingchun C",14,IF(Atletas!L16="Outra Mão de Sul C",15,IF(Atletas!L16="Choylayfut D",16,IF(Atletas!L16="Hunggar D",17,IF(Atletas!L16="Wuzuquan D",18,IF(Atletas!L16="Wingchun D",19,IF(Atletas!L16="Outra Mão de Sul D",20,IF(Atletas!L16="Choylayfut E",21,IF(Atletas!L16="Hunggar E",22,IF(Atletas!L16="Wuzuquan E",23,IF(Atletas!L16="Wingchun E",24,IF(Atletas!L16="Outra Mão de Sul E",25,IF(Atletas!L16="Choylayfut F",26,IF(Atletas!L16="Hunggar F",27,IF(Atletas!L16="Wuzuquan F",28,IF(Atletas!L16="Wingchun F",29,IF(Atletas!L16="Outra Mão de Sul F",30,IF(Atletas!L16="Dishuquan A",31,IF(Atletas!L16="Dishuquan B",32,IF(Atletas!L16="Dishuquan C",33,IF(Atletas!L16="Dishuquan D",34,IF(Atletas!L16="Dishuquan E",35,IF(Atletas!L16="Dishuquan F",36,""))))))))))))))))))))))))))))))))))))))</f>
        <v/>
      </c>
      <c r="BS23" s="50" t="str">
        <f>IF(Atletas!M16="","",IF(Atletas!X16&lt;&gt;"",10000,0)+(IF(Atletas!B16="Feminino",1000,IF(Atletas!B16="Masculino",2000,""))+(IF(Atletas!M16="Chaquan A",101,IF(Atletas!M16="Emeiquan A",102,IF(Atletas!M16="Fanziquan A",103,IF(Atletas!M16="Huaquan A",104,IF(Atletas!M16="Hongquan A",105,IF(Atletas!M16="Paoquan A",106,IF(Atletas!M16="Piguaquan A",107,IF(Atletas!M16="Shaolinquan A",108,IF(Atletas!M16="Tanglangquan A",109,IF(Atletas!M16="Yingzhaoquan A",110,IF(Atletas!M16="Tongbeiquan A",111,IF(Atletas!M16="Wudangquan A",112,IF(Atletas!M16="Outros Estilos A",113,IF(Atletas!M16="Chaquan B",114,IF(Atletas!M16="Emeiquan B",115,IF(Atletas!M16="Fanziquan B",116,IF(Atletas!M16="Huaquan B",117,IF(Atletas!M16="Hongquan B",118,IF(Atletas!M16="Paoquan B",119,IF(Atletas!M16="Piguaquan B",120,IF(Atletas!M16="Shaolinquan B",121,IF(Atletas!M16="Tanglangquan B",122,IF(Atletas!M16="Yingzhaoquan B",123,IF(Atletas!M16="Tongbeiquan B",124,IF(Atletas!M16="Wudangquan B",125,IF(Atletas!M16="Outros Estilos B",126,IF(Atletas!M16="Chaquan C",127,IF(Atletas!M16="Emeiquan C",128,IF(Atletas!M16="Fanziquan C",129,IF(Atletas!M16="Huaquan C",130,IF(Atletas!M16="Hongquan C",131,IF(Atletas!M16="Paoquan C",132,IF(Atletas!M16="Piguaquan C",133,IF(Atletas!M16="Shaolinquan C",134,IF(Atletas!M16="Tanglangquan C",135,IF(Atletas!M16="Yingzhaoquan C",136,IF(Atletas!M16="Tongbeiquan C",137,IF(Atletas!M16="Wudangquan C",138,IF(Atletas!M16="Outros Estilos C",139,0))))))))))))))))))))))))))))))))))))))))))</f>
        <v/>
      </c>
      <c r="BT23" s="50" t="str">
        <f>IF(Atletas!M16="","",IF(Atletas!X16&lt;&gt;"",10000,0)+(IF(Atletas!B16="Feminino",1000,IF(Atletas!B16="Masculino",2000,""))+(IF(Atletas!M16="Chaquan D",140,IF(Atletas!M16="Emeiquan D",141,IF(Atletas!M16="Fanziquan D",142,IF(Atletas!M16="Huaquan D",143,IF(Atletas!M16="Hongquan D",144,IF(Atletas!M16="Paoquan D",145,IF(Atletas!M16="Piguaquan D",146,IF(Atletas!M16="Shaolinquan D",147,IF(Atletas!M16="Tanglangquan D",148,IF(Atletas!M16="Yingzhaoquan D",149,IF(Atletas!M16="Tongbeiquan D",150,IF(Atletas!M16="Wudangquan D",151,IF(Atletas!M16="Outros Estilos D",152,IF(Atletas!M16="Chaquan E",153,IF(Atletas!M16="Emeiquan E",154,IF(Atletas!M16="Fanziquan E",155,IF(Atletas!M16="Huaquan E",156,IF(Atletas!M16="Hongquan E",157,IF(Atletas!M16="Paoquan E",158,IF(Atletas!M16="Piguaquan E",159,IF(Atletas!M16="Shaolinquan E",160,IF(Atletas!M16="Tanglangquan E",161,IF(Atletas!M16="Yingzhaoquan E",162,IF(Atletas!M16="Tongbeiquan E",163,IF(Atletas!M16="Wudangquan E",164,IF(Atletas!M16="Outros Estilos E",165,IF(Atletas!M16="Chaquan F",166,IF(Atletas!M16="Emeiquan F",167,IF(Atletas!M16="Fanziquan F",168,IF(Atletas!M16="Huaquan F",169,IF(Atletas!M16="Hongquan F",170,IF(Atletas!M16="Paoquan F",171,IF(Atletas!M16="Piguaquan F",172,IF(Atletas!M16="Shaolinquan F",173,IF(Atletas!M16="Tanglangquan F",174,IF(Atletas!M16="Yingzhaoquan F",175,IF(Atletas!M16="Tongbeiquan F",176,IF(Atletas!M16="Wudangquan F",177,IF(Atletas!M16="Outros Estilos F",178,0))))))))))))))))))))))))))))))))))))))))))</f>
        <v/>
      </c>
      <c r="BU23" s="50" t="str">
        <f>IF(Atletas!N16="","",IF(Atletas!X16&lt;&gt;"",10000,0)+(IF(Atletas!B16="Feminino",1000,IF(Atletas!B16="Masculino",2000,""))+(IF(Atletas!N16="Ditangquan A",201,IF(Atletas!N16="Houquan A",202,IF(Atletas!N16="Zuiquan A",203,IF(Atletas!N16="Ditangquan B",204,IF(Atletas!N16="Houquan B",205,IF(Atletas!N16="Zuiquan B",206,IF(Atletas!N16="Ditangquan C",207,IF(Atletas!N16="Houquan C",208,IF(Atletas!N16="Zuiquan C",209,IF(Atletas!N16="Ditangquan D",210,IF(Atletas!N16="Houquan D",211,IF(Atletas!N16="Zuiquan D",212,IF(Atletas!N16="Ditangquan E",213,IF(Atletas!N16="Houquan E",214,IF(Atletas!N16="Zuiquan E",215,IF(Atletas!N16="Ditangquan F",216,IF(Atletas!N16="Houquan F",217,IF(Atletas!N16="Zuiquan F",218,"")))))))))))))))))))))</f>
        <v/>
      </c>
      <c r="BV23" s="50" t="str">
        <f>IF(Atletas!O16="","",IF(Atletas!X16&lt;&gt;"",10000,0)+IF(Atletas!B16="Feminino",1000,IF(Atletas!B16="Masculino",2000,""))+IF(Atletas!O16="Yang A",301,IF(Atletas!O16="Chen A",302,IF(Atletas!O16="Sun A",303,IF(Atletas!O16="Wu A",304,IF(Atletas!O16="Wu-Hao A",305,IF(Atletas!O16="Outro Taijiquan A",306,IF(Atletas!O16="Yang B",307,IF(Atletas!O16="Chen B",308,IF(Atletas!O16="Sun B",309,IF(Atletas!O16="Wu B",310,IF(Atletas!O16="Wu-Hao B",311,IF(Atletas!O16="Outro Taijiquan B",312,IF(Atletas!O16="Yang C",313,IF(Atletas!O16="Chen C",314,IF(Atletas!O16="Sun C",315,IF(Atletas!O16="Wu C",316,IF(Atletas!O16="Wu-Hao C",317,IF(Atletas!O16="Outro Taijiquan C",318,IF(Atletas!O16="Yang D",319,IF(Atletas!O16="Chen D",320,IF(Atletas!O16="Sun D",321,IF(Atletas!O16="Wu D",322,IF(Atletas!O16="Wu-Hao D",323,IF(Atletas!O16="Outro Taijiquan D",324,IF(Atletas!O16="Yang E",325,IF(Atletas!O16="Chen E",326,IF(Atletas!O16="Sun E",327,IF(Atletas!O16="Wu E",328,IF(Atletas!O16="Wu-Hao E",329,IF(Atletas!O16="Outro Taijiquan E",330,IF(Atletas!O16="Yang F",331,IF(Atletas!O16="Chen F",332,IF(Atletas!O16="Sun F",333,IF(Atletas!O16="Wu F",334,IF(Atletas!O16="Wu-Hao F",335,IF(Atletas!O16="Outro Taijiquan F",336,"")))))))))))))))))))))))))))))))))))))</f>
        <v/>
      </c>
      <c r="BW23" s="50" t="str">
        <f>IF(Atletas!P16="","",IF(Atletas!X16&lt;&gt;"",10000,0)+IF(Atletas!B16="Feminino",1000,IF(Atletas!B16="Masculino",2000,""))+IF(OR(Atletas!P16="Yang 26 A",Atletas!P16="Yang 40 A"),401,IF(OR(Atletas!P16="Chen 25 A",Atletas!P16="Chen 36 A",Atletas!P16="Chen 56 A"),402,IF(Atletas!P16="Sun 73 A",403,IF(Atletas!P16="Wu 45 A",404,IF(Atletas!P16="Wu-Hao 46 A",405,IF(OR(Atletas!P16="Taijiquan 16 A",Atletas!P16="Taijiquan 24 A",Atletas!P16="Taijiquan 32 A",Atletas!P16="Taijiquan 42 A"),406,IF(OR(Atletas!P16="Yang 26 B",Atletas!P16="Yang 40 B"),407,IF(OR(Atletas!P16="Chen 25 B",Atletas!P16="Chen 36 B",Atletas!P16="Chen 56 B"),408,IF(Atletas!P16="Sun 73 B",409,IF(Atletas!P16="Wu 45 B",410,IF(Atletas!P16="Wu-Hao 46 B",411,IF(OR(Atletas!P16="Taijiquan 16 B",Atletas!P16="Taijiquan 24 B",Atletas!P16="Taijiquan 32 B",Atletas!P16="Taijiquan 42 B"),412,IF(OR(Atletas!P16="Yang 26 C",Atletas!P16="Yang 40 C"),413,IF(OR(Atletas!P16="Chen 25 C",Atletas!P16="Chen 36 C",Atletas!P16="Chen 56 C"),414,IF(Atletas!P16="Sun 73 C",415,IF(Atletas!P16="Wu 45 C",416,IF(Atletas!P16="Wu-Hao 46 C",417,IF(OR(Atletas!P16="Taijiquan 16 C",Atletas!P16="Taijiquan 24 C",Atletas!P16="Taijiquan 32 C",Atletas!P16="Taijiquan 42 C"),418,0)))))))))))))))))))</f>
        <v/>
      </c>
      <c r="BX23" s="50" t="str">
        <f>IF(Atletas!P16="","",IF(Atletas!X16&lt;&gt;"",10000,0)+IF(Atletas!B16="Feminino",1000,IF(Atletas!B16="Masculino",2000,""))+IF(OR(Atletas!P16="Yang 26 D",Atletas!P16="Yang 40 D"),419,IF(OR(Atletas!P16="Chen 25 D",Atletas!P16="Chen 36 D",Atletas!P16="Chen 56 D"),420,IF(Atletas!P16="Sun 73 D",421,IF(Atletas!P16="Wu 45 D",422,IF(Atletas!P16="Wu-Hao 46 D",423,IF(OR(Atletas!P16="Taijiquan 16 D",Atletas!P16="Taijiquan 24 D",Atletas!P16="Taijiquan 32 D",Atletas!P16="Taijiquan 42 D"),424,IF(OR(Atletas!P16="Yang 26 E",Atletas!P16="Yang 40 E"),425,IF(OR(Atletas!P16="Chen 25 E",Atletas!P16="Chen 36 E",Atletas!P16="Chen 56 E"),426,IF(Atletas!P16="Sun 73 E",427,IF(Atletas!P16="Wu 45 E",428,IF(Atletas!P16="Wu-Hao 46 E",429,IF(OR(Atletas!P16="Taijiquan 16 E",Atletas!P16="Taijiquan 24 E",Atletas!P16="Taijiquan 32 E",Atletas!P16="Taijiquan 42 E"),430,IF(OR(Atletas!P16="Yang 26 F",Atletas!P16="Yang 40 F"),431,IF(OR(Atletas!P16="Chen 25 F",Atletas!P16="Chen 36 F",Atletas!P16="Chen 56 F"),432,IF(Atletas!P16="Sun 73 F",433,IF(Atletas!P16="Wu 45 F",434,IF(Atletas!P16="Wu-Hao 46 F",435,IF(OR(Atletas!P16="Taijiquan 16 F",Atletas!P16="Taijiquan 24 F",Atletas!P16="Taijiquan 32 F",Atletas!P16="Taijiquan 42 F"),436,0)))))))))))))))))))</f>
        <v/>
      </c>
      <c r="BY23" s="50" t="str">
        <f>IF(Atletas!Q16="","",IF(Atletas!X16&lt;&gt;"",10000,0)+IF(Atletas!B16="Feminino",1000,IF(Atletas!B16="Masculino",2000,""))+IF(Atletas!Q16="Xingyiquan A",501,IF(Atletas!Q16="Baguazhang A",502,IF(Atletas!Q16="Outro Estilo Interno A",503,IF(Atletas!Q16="Xingyiquan B",504,IF(Atletas!Q16="Baguazhang B",505,IF(Atletas!Q16="Outro Estilo Interno B",506,IF(Atletas!Q16="Xingyiquan C",507,IF(Atletas!Q16="Baguazhang C",508,IF(Atletas!Q16="Outro Estilo Interno C",509,IF(Atletas!Q16="Xingyiquan D",510,IF(Atletas!Q16="Baguazhang D",511,IF(Atletas!Q16="Outro Estilo Interno D",512,IF(Atletas!Q16="Xingyiquan E",513,IF(Atletas!Q16="Baguazhang E",514,IF(Atletas!Q16="Outro Estilo Interno E",515,IF(Atletas!Q16="Xingyiquan F",516,IF(Atletas!Q16="Baguazhang F",517,IF(Atletas!Q16="Outro Estilo Interno F",518, "")))))))))))))))))))</f>
        <v/>
      </c>
      <c r="BZ23" s="50" t="str">
        <f>IF(Atletas!R16="","",IF(Atletas!X16&lt;&gt;"",10000,0)+IF(Atletas!B16="Feminino",1000,IF(Atletas!B16="Masculino",2000,""))+IF(Atletas!R16="Dao A",601,IF(Atletas!R16="Jian A",602,IF(Atletas!R16="Bishou A",603,IF(Atletas!R16="Shanzi A",604,IF(Atletas!R16="Outra Arma Curta A",605,IF(Atletas!R16="Dao B",606,IF(Atletas!R16="Jian B",607,IF(Atletas!R16="Bishou B",608,IF(Atletas!R16="Shanzi B",609,IF(Atletas!R16="Outra Arma Curta B",610,IF(Atletas!R16="Dao C",611,IF(Atletas!R16="Jian C",612,IF(Atletas!R16="Bishou C",613,IF(Atletas!R16="Shanzi C",614,IF(Atletas!R16="Outra Arma Curta C",615,IF(Atletas!R16="Dao D",616,IF(Atletas!R16="Jian D",617,IF(Atletas!R16="Bishou D",618,IF(Atletas!R16="Shanzi D",619,IF(Atletas!R16="Outra Arma Curta D",620,IF(Atletas!R16="Dao E",621,IF(Atletas!R16="Jian E",622,IF(Atletas!R16="Bishou E",623,IF(Atletas!R16="Shanzi E",624,IF(Atletas!R16="Outra Arma Curta E",625,IF(Atletas!R16="Dao F",626,IF(Atletas!R16="Jian F",627,IF(Atletas!R16="Bishou F",628,IF(Atletas!R16="Shanzi F",629,IF(Atletas!R16="Outra Arma Curta F",630, "")))))))))))))))))))))))))))))))</f>
        <v/>
      </c>
      <c r="CA23" s="50" t="str">
        <f>IF(Atletas!S16="","",IF(Atletas!X16&lt;&gt;"",10000,0)+IF(Atletas!B16="Feminino",1000,IF(Atletas!B16="Masculino",2000,""))+IF(Atletas!S16="Gun A",701,IF(Atletas!S16="Qiang A",702,IF(Atletas!S16="Pudao / Guandao A",703,IF(Atletas!S16="Outra Arma Longa A",704,IF(Atletas!S16="Gun B",705,IF(Atletas!S16="Qiang B",706,IF(Atletas!S16="Pudao / Guandao B",707,IF(Atletas!S16="Outra Arma Longa B",708,IF(Atletas!S16="Gun C",709,IF(Atletas!S16="Qiang C",710,IF(Atletas!S16="Pudao / Guandao C",711,IF(Atletas!S16="Outra Arma Longa C",712,IF(Atletas!S16="Gun D",713,IF(Atletas!S16="Qiang D",714,IF(Atletas!S16="Pudao / Guandao D",715,IF(Atletas!S16="Outra Arma Longa D",716,IF(Atletas!S16="Gun E",717,IF(Atletas!S16="Qiang E",718,IF(Atletas!S16="Pudao / Guandao E",719,IF(Atletas!S16="Outra Arma Longa E",720,IF(Atletas!S16="Gun F",721,IF(Atletas!S16="Qiang F",722,IF(Atletas!S16="Pudao / Guandao F",723,IF(Atletas!S16="Outra Arma Longa F",724,"")))))))))))))))))))))))))</f>
        <v/>
      </c>
      <c r="CB23" s="50" t="str">
        <f>IF(Atletas!T16="","",IF(Atletas!X16&lt;&gt;"",10000,0)+IF(Atletas!B16="Feminino",1000,IF(Atletas!B16="Masculino",2000,""))+IF(Atletas!T16="Outra Arma Dupla A",801,IF(Atletas!T16="Arma Maleável A",802,IF(Atletas!T16="Outra Arma Dupla B",803,IF(Atletas!T16="Arma Maleável B",804,IF(Atletas!T16="Outra Arma Dupla C",805,IF(Atletas!T16="Arma Maleável C",806,IF(Atletas!T16="Outra Arma Dupla D",807,IF(Atletas!T16="Arma Maleável D",808,IF(Atletas!T16="Outra Arma Dupla E",809,IF(Atletas!T16="Arma Maleável E",810,IF(Atletas!T16="Outra Arma Dupla F",811,IF(Atletas!T16="Arma Maleável F",812,IF(Atletas!T16="Shuangdao A",813,IF(Atletas!T16="Shuangdao B",814,IF(Atletas!T16="Shuangdao C",815,IF(Atletas!T16="Shuangdao D",816,IF(Atletas!T16="Shuangdao E",817,IF(Atletas!T16="Shuangdao F",818,"")))))))))))))))))))</f>
        <v/>
      </c>
      <c r="CC23" s="50" t="str">
        <f>IF(Atletas!U16="","",IF(Atletas!X16&lt;&gt;"",10000,0)+IF(Atletas!B16="Feminino",1000,IF(Atletas!B16="Masculino",2000,""))+IF(OR(Atletas!U16="Taijijian Yang A",Atletas!U16="Taijijian Yang Standard A"),901,IF(OR(Atletas!U16="Taijijian Chen A", Atletas!U16="Taijijian Chen Standard A"),902,IF(Atletas!U16="Taijijian Sun A",903,IF(Atletas!U16="Taijijian Wu A",904,IF(Atletas!U16="Taijijian Wu-Hao A",905,IF(OR(Atletas!U16="Taijijian 32 A",Atletas!U16="Taijijian 42 A"),906,IF(OR(Atletas!U16="Taijijian Yang B",Atletas!U16="Taijijian Yang Standard B"),907,IF(OR(Atletas!U16="Taijijian Chen B", Atletas!U16="Taijijian Chen Standard B"),908,IF(Atletas!U16="Taijijian Sun B",909,IF(Atletas!U16="Taijijian Wu B",910,IF(Atletas!U16="Taijijian Wu-Hao B",911,IF(OR(Atletas!U16="Taijijian 32 B",Atletas!U16="Taijijian 42 B"),912,IF(OR(Atletas!U16="Taijijian Yang C",Atletas!U16="Taijijian Yang Standard C"),913,IF(OR(Atletas!U16="Taijijian Chen C", Atletas!U16="Taijijian Chen Standard C"),914,IF(Atletas!U16="Taijijian Sun C",915,IF(Atletas!U16="Taijijian Wu C",916,IF(Atletas!U16="Taijijian Wu-Hao C",917,IF(OR(Atletas!U16="Taijijian 32 C",Atletas!U16="Taijijian 42 C"),918,IF(OR(Atletas!U16="Taijijian Yang D",Atletas!U16="Taijijian Yang Standard D"),919,IF(OR(Atletas!U16="Taijijian Chen D", Atletas!U16="Taijijian Chen Standard D"),920,IF(Atletas!U16="Taijijian Sun D",921,IF(Atletas!U16="Taijijian Wu D",922,IF(Atletas!U16="Taijijian Wu-Hao D",923,IF(OR(Atletas!U16="Taijijian 32 D",Atletas!U16="Taijijian 42 D"),924,IF(OR(Atletas!U16="Taijijian Yang E",Atletas!U16="Taijijian Yang Standard E"),925,IF(OR(Atletas!U16="Taijijian Chen E", Atletas!U16="Taijijian Chen Standard E"),926,IF(Atletas!U16="Taijijian Sun E",927,IF(Atletas!U16="Taijijian Wu E",928,IF(Atletas!U16="Taijijian Wu-Hao E",929,IF(OR(Atletas!U16="Taijijian 32 E",Atletas!U16="Taijijian 42 E"),930,IF(OR(Atletas!U16="Taijijian Yang F",Atletas!U16="Taijijian Yang Standard F"),931,IF(OR(Atletas!U16="Taijijian Chen F", Atletas!U16="Taijijian Chen Standard F"),932,IF(Atletas!U16="Taijijian Sun F",933,IF(Atletas!U16="Taijijian Wu F",934,IF(Atletas!U16="Taijijian Wu-Hao F",935,IF(OR(Atletas!U16="Taijijian 32 F",Atletas!U16="Taijijian 42 F"),936,"")))))))))))))))))))))))))))))))))))))</f>
        <v/>
      </c>
      <c r="CD23" s="50" t="str">
        <f>IF(Atletas!V16="","",IF(Atletas!X16&lt;&gt;"",10000,0)+IF(Atletas!B16="Feminino",1000,IF(Atletas!B16="Masculino",2000,""))+IF(Atletas!V16="Taijidao A",937,IF(Atletas!V16="TaijiShanzi A",938,IF(Atletas!V16="Taijiqiang A",939,IF(Atletas!V16="Bagua de Arma A",940,IF(Atletas!V16="Xingyi de Arma A",941,IF(Atletas!V16="Taijidao B",942,IF(Atletas!V16="TaijiShanzi B",943,IF(Atletas!V16="Taijiqiang B",944,IF(Atletas!V16="Bagua de Arma B",945,IF(Atletas!V16="Xingyi de Arma B",946,IF(Atletas!V16="Taijidao C",947,IF(Atletas!V16="TaijiShanzi C",948,IF(Atletas!V16="Taijiqiang C",949,IF(Atletas!V16="Bagua de Arma C",950,IF(Atletas!V16="Xingyi de Arma C",951,IF(Atletas!V16="Taijidao D",952,IF(Atletas!V16="TaijiShanzi D",953,IF(Atletas!V16="Taijiqiang D",954,IF(Atletas!V16="Bagua de Arma D",955,IF(Atletas!V16="Xingyi de Arma D",956,IF(Atletas!V16="Taijidao E",957,IF(Atletas!V16="TaijiShanzi E",958,IF(Atletas!V16="Taijiqiang E",959,IF(Atletas!V16="Bagua de Arma E",960,IF(Atletas!V16="Xingyi de Arma E",961,IF(Atletas!V16="Taijidao F",962,IF(Atletas!V16="TaijiShanzi F",963,IF(Atletas!V16="Taijiqiang F",964,IF(Atletas!V16="Bagua de Arma F",965,IF(Atletas!V16="Xingyi de Arma F",966,"")))))))))))))))))))))))))))))))</f>
        <v/>
      </c>
      <c r="CE23" s="66" t="str">
        <f>IF(CF23&lt;&gt;"","Wingchun C","")</f>
        <v/>
      </c>
      <c r="CF23" s="66" t="str">
        <f>IF(COUNTIF(BR:CD,1014)&gt;0,COUNTIF(BR:CD,1014),"")</f>
        <v/>
      </c>
      <c r="CG23" s="66" t="str">
        <f>IF(CH23&lt;&gt;"","Wingchun C","")</f>
        <v/>
      </c>
      <c r="CH23" s="66" t="str">
        <f>IF(COUNTIF(BR:CD,2014)&gt;0,COUNTIF(BR:CD,2014),"")</f>
        <v/>
      </c>
      <c r="CI23" s="66" t="str">
        <f>IF(CJ23&lt;&gt;"","Hunggar D","")</f>
        <v/>
      </c>
      <c r="CJ23" s="66" t="str">
        <f>IF(COUNTIF(BR:CD,11017)&gt;0,COUNTIF(BR:CD,11017),"")</f>
        <v/>
      </c>
      <c r="CK23" s="66" t="str">
        <f>IF(CL23&lt;&gt;"","Hunggar D","")</f>
        <v/>
      </c>
      <c r="CL23" s="66" t="str">
        <f>IF(COUNTIF(BR:CD,12017)&gt;0,COUNTIF(BR:CD,12017),"")</f>
        <v/>
      </c>
      <c r="CM23" s="50" t="str">
        <f xml:space="preserve"> IF(Atletas!W16="","",IF(Atletas!W16="Duilian de Mãos BC - Equipe 1",1,IF(Atletas!W16="Duilian de Mãos BC - Equipe 2",2,IF(Atletas!W16="Duilian de Armas BC - Equipe 1",3,IF(Atletas!W16="Duilian de Armas BC - Equipe 2",4,IF(Atletas!W16="Duilian de Mãos DE - Equipe 1",5,IF(Atletas!W16="Duilian de Mãos DE - Equipe 2",6,IF(Atletas!W16="Duilian de Armas DE - Equipe 1",7,IF(Atletas!W16="Duilian de Armas DE - Equipe 2",8,IF(Atletas!W16="Duilian de Tuishou - Equipe 1",9,IF(Atletas!W16="Duilian de Tuishou - Equipe 2",10,IF(Atletas!W16="Grupo Externo ABC - Equipe 1",11,IF(Atletas!W16="Grupo Externo ABC - Equipe 2",12,IF(Atletas!W16="Grupo Interno ABC - Equipe 1",13,IF(Atletas!W16="Grupo Interno ABC - Equipe 2",14,IF(Atletas!W16="Grupo Externo DEF - Equipe 1",15,IF(Atletas!W16="Grupo Externo DEF - Equipe 2",16,IF(Atletas!W16="Grupo Interno DEF - Equipe 1",17,IF(Atletas!W16="Grupo Interno DEF - Equipe 2",18,"")))))))))))))))))))</f>
        <v/>
      </c>
      <c r="CY23" s="41"/>
    </row>
    <row r="24" spans="1:103">
      <c r="A24" s="16"/>
      <c r="B24" s="3" t="str">
        <f t="array" ref="B24">IFERROR(INDEX(AO$7:AO$38,SMALL(IF(AO$7:AO$38&lt;&gt;"",ROW(AO$7:AO$38)-ROW(AO$7)+1),ROWS(AO$7:AO23))),"")</f>
        <v/>
      </c>
      <c r="C24" s="3" t="str">
        <f t="array" ref="C24">IFERROR(INDEX(AP$7:AP$38,SMALL(IF(AP$7:AP$38&lt;&gt;"",ROW(AP$7:AP$38)-ROW(AP$7)+1),ROWS(AP$7:AP23))),"")</f>
        <v/>
      </c>
      <c r="D24" s="3" t="str">
        <f t="array" ref="D24">IFERROR(INDEX(AQ$7:AQ$38,SMALL(IF(AQ$7:AQ$38&lt;&gt;"",ROW(AQ$7:AQ$38)-ROW(AQ$7)+1),ROWS(AQ$7:AQ23))),"")</f>
        <v/>
      </c>
      <c r="E24" s="3" t="str">
        <f t="array" ref="E24">IFERROR(INDEX(AR$7:AR$38,SMALL(IF(AR$7:AR$38&lt;&gt;"",ROW(AR$7:AR$38)-ROW(AR$7)+1),ROWS(AR$7:AR23))),"")</f>
        <v/>
      </c>
      <c r="F24" s="3" t="str">
        <f t="array" ref="F24">IFERROR(INDEX(AT$7:AT$36,SMALL(IF(AT$7:AT$36&lt;&gt;"",ROW(AT$7:AT$36)-ROW(AT$7)+1),ROWS(AT$7:AT23))),"")</f>
        <v/>
      </c>
      <c r="G24" s="3" t="str">
        <f t="array" ref="G24">IFERROR(INDEX(AU$7:AU$36,SMALL(IF(AU$7:AU$36&lt;&gt;"",ROW(AU$7:AU$36)-ROW(AU$7)+1),ROWS(AU$7:AU23))),"")</f>
        <v/>
      </c>
      <c r="H24" s="3" t="str">
        <f t="array" ref="H24">IFERROR(INDEX(AV$7:AV$36,SMALL(IF(AV$7:AV$36&lt;&gt;"",ROW(AV$7:AV$36)-ROW(AV$7)+1),ROWS(AV$7:AV23))),"")</f>
        <v/>
      </c>
      <c r="I24" s="3" t="str">
        <f t="array" ref="I24">IFERROR(INDEX(AW$7:AW$36,SMALL(IF(AW$7:AW$36&lt;&gt;"",ROW(AW$7:AW$36)-ROW(AW$7)+1),ROWS(AW$7:AW23))),"")</f>
        <v/>
      </c>
      <c r="J24" s="3" t="str">
        <f t="array" ref="J24">IFERROR(INDEX(AY$7:AY$36,SMALL(IF(AY$7:AY$36&lt;&gt;"",ROW(AY$7:AY$36)-ROW(AY$7)+1),ROWS(AY$7:AY23))),"")</f>
        <v/>
      </c>
      <c r="K24" s="3" t="str">
        <f t="array" ref="K24">IFERROR(INDEX(AZ$7:AZ$36,SMALL(IF(AZ$7:AZ$36&lt;&gt;"",ROW(AZ$7:AZ$36)-ROW(AZ$7)+1),ROWS(AZ$7:AZ23))),"")</f>
        <v/>
      </c>
      <c r="L24" s="3" t="str">
        <f t="array" ref="L24">IFERROR(INDEX(BA$7:BA$36,SMALL(IF(BA$7:BA$36&lt;&gt;"",ROW(BA$7:BA$36)-ROW(BA$7)+1),ROWS(BA$7:BA23))),"")</f>
        <v/>
      </c>
      <c r="M24" s="3" t="str">
        <f t="array" ref="M24">IFERROR(INDEX(BB$7:BB$36,SMALL(IF(BB$7:BB$36&lt;&gt;"",ROW(BB$7:BB$36)-ROW(BB$7)+1),ROWS(BB$7:BB23))),"")</f>
        <v/>
      </c>
      <c r="N24" s="3" t="str" cm="1">
        <f t="array" ref="N24">IFERROR(INDEX(BD$7:BD$8,SMALL(IF(BD$7:BD$8&lt;&gt;"",ROW(BD$7:BD$8)-ROW(BD$7)+1),ROWS(BD$7:BD23))),"")</f>
        <v/>
      </c>
      <c r="O24" s="3" t="str" cm="1">
        <f t="array" ref="O24">IFERROR(INDEX(BE$7:BE$8,SMALL(IF(BE$7:BE$8&lt;&gt;"",ROW(BE$7:BE$8)-ROW(BE$7)+1),ROWS(BE$7:BE23))),"")</f>
        <v/>
      </c>
      <c r="P24" s="3" t="str" cm="1">
        <f t="array" ref="P24">IFERROR(INDEX(BD$9:BD$10,SMALL(IF(BD$9:BD$10&lt;&gt;"",ROW(BD$9:BD$10)-ROW(BD$9)+1),ROWS(BD$9:BD25))),"")</f>
        <v/>
      </c>
      <c r="Q24" s="3" t="str">
        <f t="array" ref="Q24">IFERROR(INDEX(BH$7:BH$36,SMALL(IF(BH$7:BH$36&lt;&gt;"",ROW(BH$7:BH$36)-ROW(BH$7)+1),ROWS(BH$7:BH23))),"")</f>
        <v/>
      </c>
      <c r="R24" s="3" t="str">
        <f t="array" ref="R24">IFERROR(INDEX(BI$7:BI$68,SMALL(IF(BI$7:BI$68&lt;&gt;"",ROW(BI$7:BI$68)-ROW(BI$7)+1),ROWS(BI$7:BI23))),"")</f>
        <v/>
      </c>
      <c r="S24" s="3" t="str">
        <f t="array" ref="S24">IFERROR(INDEX(BJ$7:BJ$68,SMALL(IF(BJ$7:BJ$68&lt;&gt;"",ROW(BJ$7:BJ$68)-ROW(BJ$7)+1),ROWS(BJ$7:BJ23))),"")</f>
        <v/>
      </c>
      <c r="T24" s="3" t="str">
        <f t="array" ref="T24">IFERROR(INDEX(BK$7:BK$68,SMALL(IF(BK$7:BK$68&lt;&gt;"",ROW(BK$7:BK$68)-ROW(BK$7)+1),ROWS(BK$7:BK23))),"")</f>
        <v/>
      </c>
      <c r="U24" s="3" t="str">
        <f t="array" ref="U24">IFERROR(INDEX(BL$7:BL$68,SMALL(IF(BL$7:BL$68&lt;&gt;"",ROW(BL$7:BL$68)-ROW(BL$7)+1),ROWS(BL$7:BL23))),"")</f>
        <v/>
      </c>
      <c r="V24" s="3"/>
      <c r="W24" s="3"/>
      <c r="X24" s="3"/>
      <c r="Y24" s="3"/>
      <c r="Z24" s="3" t="str">
        <f t="array" ref="Z24">IFERROR(INDEX(CE$7:CE$348,SMALL(IF(CE$7:CE$348&lt;&gt;"",ROW(CE$7:CE$348)-ROW(CE$7)+1),ROWS(CE$7:CE23))),"")</f>
        <v/>
      </c>
      <c r="AA24" s="3" t="str">
        <f t="array" ref="AA24">IFERROR(INDEX(CF$7:CF$348,SMALL(IF(CF$7:CF$348&lt;&gt;"",ROW(CF$7:CF$348)-ROW(CF$7)+1),ROWS(CF$7:CF23))),"")</f>
        <v/>
      </c>
      <c r="AB24" s="3" t="str">
        <f t="array" ref="AB24">IFERROR(INDEX(CG$7:CG$348,SMALL(IF(CG$7:CG$348&lt;&gt;"",ROW(CG$7:CG$348)-ROW(CG$7)+1),ROWS(CG$7:CG23))),"")</f>
        <v/>
      </c>
      <c r="AC24" s="3" t="str">
        <f t="array" ref="AC24">IFERROR(INDEX(CH$7:CH$348,SMALL(IF(CH$7:CH$348&lt;&gt;"",ROW(CH$7:CH$348)-ROW(CH$7)+1),ROWS(CH$7:CH23))),"")</f>
        <v/>
      </c>
      <c r="AD24" s="3" t="str">
        <f t="array" ref="AD24">IFERROR(INDEX(CI$7:CI$377,SMALL(IF(CI$7:CI$377&lt;&gt;"",ROW(CI$7:CI$377)-ROW(CI$7)+1),ROWS(CI$7:CI23))),"")</f>
        <v/>
      </c>
      <c r="AE24" s="3" t="str">
        <f t="array" ref="AE24">IFERROR(INDEX(CJ$7:CJ$378,SMALL(IF(CJ$7:CJ$378&lt;&gt;"",ROW(CJ$7:CJ$378)-ROW(CJ$7)+1),ROWS(CJ$7:CJ23))),"")</f>
        <v/>
      </c>
      <c r="AF24" s="3" t="str">
        <f t="array" ref="AF24">IFERROR(INDEX(CK$7:CK$378,SMALL(IF(CK$7:CK$378&lt;&gt;"",ROW(CK$7:CK$378)-ROW(CK$7)+1),ROWS(CK$7:CK23))),"")</f>
        <v/>
      </c>
      <c r="AG24" s="3" t="str">
        <f t="array" ref="AG24">IFERROR(INDEX(CL$7:CL$378,SMALL(IF(CL$7:CL$378&lt;&gt;"",ROW(CL$7:CL$378)-ROW(CL$7)+1),ROWS(CL$7:CL23))),"")</f>
        <v/>
      </c>
      <c r="AH24" s="40" t="str">
        <f t="array" ref="AH24">IFERROR(INDEX(CN$7:CN$18,SMALL(IF(CN$7:CN$18&lt;&gt;"",ROW(CN$7:CN$18)-ROW(CN$7)+1),ROWS(CN$7:CN23))),"")</f>
        <v/>
      </c>
      <c r="AI24" s="40" t="str">
        <f t="array" ref="AI24">IFERROR(INDEX(CO$7:CO$18,SMALL(IF(CO$7:CO$18&lt;&gt;"",ROW(CO$7:CO$18)-ROW(CO$7)+1),ROWS(CO$7:CO23))),"")</f>
        <v/>
      </c>
      <c r="AJ24" s="40" t="str">
        <f t="array" ref="AJ24">IFERROR(INDEX(CP$7:CP$8,SMALL(IF(CP$7:CP$8&lt;&gt;"",ROW(CP$7:CP$8)-ROW(CP$7)+1),ROWS(CP$7:CP23))),"")</f>
        <v/>
      </c>
      <c r="AK24" s="40"/>
      <c r="AL24" s="40" t="str">
        <f t="array" ref="AL24">IFERROR(INDEX(CR$7:CR$14,SMALL(IF(CR$7:CR$14&lt;&gt;"",ROW(CR$7:CR$14)-ROW(CR$7)+1),ROWS(CR$7:CR23))),"")</f>
        <v/>
      </c>
      <c r="AM24" s="40"/>
      <c r="AN24" s="52" t="str">
        <f>IF(Atletas!D17="","",IF(Atletas!B17="Feminino",100,IF(Atletas!B17="Masculino",200,""))+(IF(Atletas!D17="Kids 30kg",1,IF(Atletas!D17="Kids 32kg",2, IF(Atletas!D17="Kids 34kg",3,IF(Atletas!D17="Kids 36kg",4,IF(Atletas!D17="Kids 39kg",5,IF(Atletas!D17="Kids 42kg",6,IF(Atletas!D17="Kids 45kg",7, IF(Atletas!D17="Infantil 39kg",8,IF(Atletas!D17="Infantil 42kg",9,IF(Atletas!D17="Infantil 45kg",10,IF(Atletas!D17="Infantil 48kg",11,IF(Atletas!D17="Infantil 52kg",12,IF(Atletas!D17="Infantil 56kg",13,IF(Atletas!D17="Infantil 60kg",14,IF(Atletas!D17="Juvenil 48kg",15,IF(Atletas!D17="Juvenil 52kg",16,IF(Atletas!D17="Juvenil 56kg",17,IF(Atletas!D17="Juvenil 60kg",18,IF(Atletas!D17="Juvenil 65kg",19,IF(Atletas!D17="Juvenil 70kg",20,IF(Atletas!D17="Juvenil 75kg",21,IF(Atletas!D17="Juvenil 80kg",22, IF(Atletas!D17="Juvenil 85kg",23,IF(Atletas!D17="Adulto 48kg",24,IF(Atletas!D17="Adulto 52kg",25,IF(Atletas!D17="Adulto 56kg",26,IF(Atletas!D17="Adulto 60kg",27,IF(Atletas!D17="Adulto 65kg",28,IF(Atletas!D17="Adulto 70kg",29,IF(Atletas!D17="Adulto 75kg",30,IF(Atletas!D17="Adulto 80kg",31,IF(Atletas!D17="Adulto 85kg",32,IF(Atletas!D17="Adulto 90kg",33,IF(Atletas!D17="Adulto 100kg",34, IF(Atletas!D17="Adulto +100kg",35,"")))))))))))))))))))))))))))))))))))))</f>
        <v/>
      </c>
      <c r="AO24" s="50" t="str">
        <f>IF(AP24&lt;&gt;"","Adulto 65kg","")</f>
        <v/>
      </c>
      <c r="AP24" s="6" t="str">
        <f>IF(COUNTIF(AN:AN,128)&gt;0,COUNTIF(AN:AN,128),"")</f>
        <v/>
      </c>
      <c r="AQ24" s="50" t="str">
        <f>IF(AR24&lt;&gt;"","Juvenil 60kg","")</f>
        <v/>
      </c>
      <c r="AR24" s="6" t="str">
        <f>IF(COUNTIF(AN:AN,218)&gt;0,COUNTIF(AN:AN,218),"")</f>
        <v/>
      </c>
      <c r="AS24" s="6" t="str">
        <f>IF(Atletas!E17="","",IF(Atletas!B17="Feminino",100,IF(Atletas!B17="Masculino",200,""))+(IF(Atletas!E17="Juvenil 44kg",1,IF(Atletas!E17="Juvenil 48kg",2,IF(Atletas!E17="Juvenil 52kg",3,IF(Atletas!E17="Juvenil 56kg",4,IF(Atletas!E17="Juvenil 60kg",5,IF(Atletas!E17="Juvenil 65kg",6,IF(Atletas!E17="Juvenil 70kg",7,IF(Atletas!E17="Juvenil 75kg",8,IF(Atletas!E17="Juvenil 82kg",9,IF(Atletas!E17="Juvenil 90kg",10,IF(Atletas!E17="Juvenil 100kg",11,IF(Atletas!E17="Adulto 48kg",12,IF(Atletas!E17="Adulto 52kg",13,IF(Atletas!E17="Adulto 56kg",14,IF(Atletas!E17="Adulto 60kg",15,IF(Atletas!E17="Adulto 65kg",16,IF(Atletas!E17="Adulto 70kg",17,IF(Atletas!E17="Adulto 75kg",18,IF(Atletas!E17="Adulto 82kg",19,IF(Atletas!E17="Adulto 90kg",20,IF(Atletas!E17="Adulto 100kg",21,IF(Atletas!E17="Adulto +100kg",22,""))))))))))))))))))))))))</f>
        <v/>
      </c>
      <c r="AV24" s="50" t="str">
        <f>IF(AW24&lt;&gt;"","Adulto 90kg","")</f>
        <v/>
      </c>
      <c r="AW24" s="6" t="str">
        <f>IF(COUNTIF(AS:AS,220)&gt;0,COUNTIF(AS:AS,220),"")</f>
        <v/>
      </c>
      <c r="AX24" s="6" t="str">
        <f>IF(Atletas!F17="","",IF(Atletas!B17="Feminino",100,IF(Atletas!B17="Masculino",200,""))+(IF(Atletas!F17="Adulto 48kg",1,IF(Atletas!F17="Adulto 56kg",2,IF(Atletas!F17="Adulto 65kg",3,IF(Atletas!F17="Adulto 75kg",4,IF(Atletas!F17="Adulto +75kg",5,IF(Atletas!F17="Adulto 52kg",6,IF(Atletas!F17="Adulto 60kg",7,IF(Atletas!F17="Adulto 70kg",8,IF(Atletas!F17="Adulto 80kg",9,IF(Atletas!F17="Adulto 90kg",10,IF(Atletas!F17="Adulto +90kg",11,"")))))))))))))</f>
        <v/>
      </c>
      <c r="BC24" s="6" t="str">
        <f>IF(Atletas!G17="","",IF(Atletas!B17="Feminino",10,IF(Atletas!B17="Masculino",20,""))+(IF(Atletas!G17="Baduanjin A",1,IF(Atletas!G17="Baduanjin B",2))))</f>
        <v/>
      </c>
      <c r="BF24" s="52" t="str">
        <f>IF(Atletas!H17="","",IF(Atletas!B17="Feminino",100,IF(Atletas!B17="Masculino",200,""))+(IF(Atletas!H17="Changquan Mirim",1,IF(Atletas!H17="Nanquan Mirim",2,IF(Atletas!H17="Taijiquan Mirim",3,IF(Atletas!H17="Changquan Grupo C",4,IF(Atletas!H17="Nanquan Grupo C",5,IF(Atletas!H17="Taijiquan Grupo C",6,IF(Atletas!H17="Changquan Grupo B",7,IF(Atletas!H17="Nanquan Grupo B",8,IF(Atletas!H17="Taijiquan Grupo B",9,IF(Atletas!H17="Changquan Grupo A",10,IF(Atletas!H17="Nanquan Grupo A",11,IF(Atletas!H17="Taijiquan Grupo A",12,IF(Atletas!H17="Changquan Opcional",13,IF(Atletas!H17="Nanquan Opcional",14,IF(Atletas!H17="Taijiquan Opcional",15,IF(Atletas!H17="Changquan Adulto",16,IF(Atletas!H17="Nanquan Adulto",17,IF(Atletas!H17="Taijiquan Adulto",18,""))))))))))))))))))))</f>
        <v/>
      </c>
      <c r="BG24" s="52" t="str">
        <f>IF(Atletas!I17="","",IF(Atletas!B17="Feminino",100,IF(Atletas!B17="Masculino",200,""))+(IF(Atletas!I17="Daoshu Mirim",19,IF(Atletas!I17="Jianshu Mirim",20,IF(Atletas!I17="Nandao Mirim",21,IF(Atletas!I17="Taijijian Mirim",22,IF(Atletas!I17="Daoshu Grupo C",23,IF(Atletas!I17="Jianshu Grupo C",24,IF(Atletas!I17="Nandao Grupo C",25,IF(Atletas!I17="Taijijian Grupo C",26,IF(Atletas!I17="Daoshu Grupo B",27,IF(Atletas!I17="Jianshu Grupo B",28,IF(Atletas!I17="Nandao Grupo B",29,IF(Atletas!I17="Taijijian Grupo B",30,IF(Atletas!I17="Daoshu Grupo A",31,IF(Atletas!I17="Jianshu Grupo A",32,IF(Atletas!I17="Nandao Grupo A",33,IF(Atletas!I17="Taijijian Grupo A",34,IF(Atletas!I17="Daoshu Opcional",35,IF(Atletas!I17="Jianshu Opcional",36,IF(Atletas!I17="Nandao Opcional",37,IF(Atletas!I17="Taijijian Opcional",38,IF(Atletas!I17="Daoshu Adulto",39,IF(Atletas!I17="Jianshu Adulto",40,IF(Atletas!I17="Nandao Adulto",41,IF(Atletas!I17="Taijijian Adulto",42,""))))))))))))))))))))))))))</f>
        <v/>
      </c>
      <c r="BH24" s="52" t="str">
        <f>IF(Atletas!J17="","",IF(Atletas!B17="Feminino",100,IF(Atletas!B17="Masculino",200,""))+(IF(Atletas!J17="Gunshu Mirim",43,IF(Atletas!J17="Qiangshu Mirim",44,IF(Atletas!J17="Nangun Mirim",45,IF(Atletas!J17="Gunshu Grupo C",46,IF(Atletas!J17="Qiangshu Grupo C",47,IF(Atletas!J17="Nangun Grupo C",48,IF(Atletas!J17="Gunshu Grupo B",49,IF(Atletas!J17="Qiangshu Grupo B",50,IF(Atletas!J17="Nangun Grupo B",51,IF(Atletas!J17="Gunshu Grupo A",52,IF(Atletas!J17="Qiangshu Grupo A",53,IF(Atletas!J17="Nangun Grupo A",54,IF(Atletas!J17="Gunshu Opcional",55,IF(Atletas!J17="Qiangshu Opcional",56,IF(Atletas!J17="Nangun Opcional",57,IF(Atletas!J17="Gunshu Adulto",58,IF(Atletas!J17="Qiangshu Adulto",59,IF(Atletas!J17="Nangun Adulto",60,IF(Atletas!J17="Taijishan Grupo B",61,IF(Atletas!J17="Taijishan Grupo A",62,""))))))))))))))))))))))</f>
        <v/>
      </c>
      <c r="BI24" s="6" t="str">
        <f>IF(BJ24&lt;&gt;"","Gunshu Grupo C","")</f>
        <v/>
      </c>
      <c r="BJ24" s="50" t="str">
        <f>IF(COUNTIF(BF:BH,146)&gt;0,COUNTIF(BF:BH,146),"")</f>
        <v/>
      </c>
      <c r="BK24" s="6" t="str">
        <f>IF(BL24&lt;&gt;"","Gunshu Grupo C","")</f>
        <v/>
      </c>
      <c r="BL24" s="50" t="str">
        <f>IF(COUNTIF(BF:BH,246)&gt;0,COUNTIF(BF:BH,246),"")</f>
        <v/>
      </c>
      <c r="BM24" s="50" t="str">
        <f>IF(Atletas!K17="","",IF(Atletas!B17="Feminino",100,IF(Atletas!B17="Masculino",200,""))+(IF(Atletas!K17="Equipe 1 Grupo B",1,IF(Atletas!K17="Equipe 2 Grupo B",2,IF(Atletas!K17="Equipe 1 Grupo A",3,IF(Atletas!K17="Equipe 2 Grupo A",4,IF(Atletas!K17="Equipe 1 Adulto",5,IF(Atletas!K17="Equipe 2 Adulto",6,""))))))))</f>
        <v/>
      </c>
      <c r="BR24" s="50" t="str">
        <f>IF(Atletas!L17="","",IF(Atletas!X17&lt;&gt;"",10000,0)+(IF(Atletas!B17="Feminino",1000,IF(Atletas!B17="Masculino",2000,""))+IF(Atletas!L17="Choylayfut A",1,IF(Atletas!L17="Hunggar A",2,IF(Atletas!L17="Wuzuquan A",3,IF(Atletas!L17="Wingchun A",4,IF(Atletas!L17="Outra Mão de Sul A",5,IF(Atletas!L17="Choylayfut B",6,IF(Atletas!L17="Hunggar B",7,IF(Atletas!L17="Wuzuquan B",8,IF(Atletas!L17="Wingchun B",9,IF(Atletas!L17="Outra Mão de Sul B",10,IF(Atletas!L17="Choylayfut C",11,IF(Atletas!L17="Hunggar C",12,IF(Atletas!L17="Wuzuquan C",13,IF(Atletas!L17="Wingchun C",14,IF(Atletas!L17="Outra Mão de Sul C",15,IF(Atletas!L17="Choylayfut D",16,IF(Atletas!L17="Hunggar D",17,IF(Atletas!L17="Wuzuquan D",18,IF(Atletas!L17="Wingchun D",19,IF(Atletas!L17="Outra Mão de Sul D",20,IF(Atletas!L17="Choylayfut E",21,IF(Atletas!L17="Hunggar E",22,IF(Atletas!L17="Wuzuquan E",23,IF(Atletas!L17="Wingchun E",24,IF(Atletas!L17="Outra Mão de Sul E",25,IF(Atletas!L17="Choylayfut F",26,IF(Atletas!L17="Hunggar F",27,IF(Atletas!L17="Wuzuquan F",28,IF(Atletas!L17="Wingchun F",29,IF(Atletas!L17="Outra Mão de Sul F",30,IF(Atletas!L17="Dishuquan A",31,IF(Atletas!L17="Dishuquan B",32,IF(Atletas!L17="Dishuquan C",33,IF(Atletas!L17="Dishuquan D",34,IF(Atletas!L17="Dishuquan E",35,IF(Atletas!L17="Dishuquan F",36,""))))))))))))))))))))))))))))))))))))))</f>
        <v/>
      </c>
      <c r="BS24" s="50" t="str">
        <f>IF(Atletas!M17="","",IF(Atletas!X17&lt;&gt;"",10000,0)+(IF(Atletas!B17="Feminino",1000,IF(Atletas!B17="Masculino",2000,""))+(IF(Atletas!M17="Chaquan A",101,IF(Atletas!M17="Emeiquan A",102,IF(Atletas!M17="Fanziquan A",103,IF(Atletas!M17="Huaquan A",104,IF(Atletas!M17="Hongquan A",105,IF(Atletas!M17="Paoquan A",106,IF(Atletas!M17="Piguaquan A",107,IF(Atletas!M17="Shaolinquan A",108,IF(Atletas!M17="Tanglangquan A",109,IF(Atletas!M17="Yingzhaoquan A",110,IF(Atletas!M17="Tongbeiquan A",111,IF(Atletas!M17="Wudangquan A",112,IF(Atletas!M17="Outros Estilos A",113,IF(Atletas!M17="Chaquan B",114,IF(Atletas!M17="Emeiquan B",115,IF(Atletas!M17="Fanziquan B",116,IF(Atletas!M17="Huaquan B",117,IF(Atletas!M17="Hongquan B",118,IF(Atletas!M17="Paoquan B",119,IF(Atletas!M17="Piguaquan B",120,IF(Atletas!M17="Shaolinquan B",121,IF(Atletas!M17="Tanglangquan B",122,IF(Atletas!M17="Yingzhaoquan B",123,IF(Atletas!M17="Tongbeiquan B",124,IF(Atletas!M17="Wudangquan B",125,IF(Atletas!M17="Outros Estilos B",126,IF(Atletas!M17="Chaquan C",127,IF(Atletas!M17="Emeiquan C",128,IF(Atletas!M17="Fanziquan C",129,IF(Atletas!M17="Huaquan C",130,IF(Atletas!M17="Hongquan C",131,IF(Atletas!M17="Paoquan C",132,IF(Atletas!M17="Piguaquan C",133,IF(Atletas!M17="Shaolinquan C",134,IF(Atletas!M17="Tanglangquan C",135,IF(Atletas!M17="Yingzhaoquan C",136,IF(Atletas!M17="Tongbeiquan C",137,IF(Atletas!M17="Wudangquan C",138,IF(Atletas!M17="Outros Estilos C",139,0))))))))))))))))))))))))))))))))))))))))))</f>
        <v/>
      </c>
      <c r="BT24" s="50" t="str">
        <f>IF(Atletas!M17="","",IF(Atletas!X17&lt;&gt;"",10000,0)+(IF(Atletas!B17="Feminino",1000,IF(Atletas!B17="Masculino",2000,""))+(IF(Atletas!M17="Chaquan D",140,IF(Atletas!M17="Emeiquan D",141,IF(Atletas!M17="Fanziquan D",142,IF(Atletas!M17="Huaquan D",143,IF(Atletas!M17="Hongquan D",144,IF(Atletas!M17="Paoquan D",145,IF(Atletas!M17="Piguaquan D",146,IF(Atletas!M17="Shaolinquan D",147,IF(Atletas!M17="Tanglangquan D",148,IF(Atletas!M17="Yingzhaoquan D",149,IF(Atletas!M17="Tongbeiquan D",150,IF(Atletas!M17="Wudangquan D",151,IF(Atletas!M17="Outros Estilos D",152,IF(Atletas!M17="Chaquan E",153,IF(Atletas!M17="Emeiquan E",154,IF(Atletas!M17="Fanziquan E",155,IF(Atletas!M17="Huaquan E",156,IF(Atletas!M17="Hongquan E",157,IF(Atletas!M17="Paoquan E",158,IF(Atletas!M17="Piguaquan E",159,IF(Atletas!M17="Shaolinquan E",160,IF(Atletas!M17="Tanglangquan E",161,IF(Atletas!M17="Yingzhaoquan E",162,IF(Atletas!M17="Tongbeiquan E",163,IF(Atletas!M17="Wudangquan E",164,IF(Atletas!M17="Outros Estilos E",165,IF(Atletas!M17="Chaquan F",166,IF(Atletas!M17="Emeiquan F",167,IF(Atletas!M17="Fanziquan F",168,IF(Atletas!M17="Huaquan F",169,IF(Atletas!M17="Hongquan F",170,IF(Atletas!M17="Paoquan F",171,IF(Atletas!M17="Piguaquan F",172,IF(Atletas!M17="Shaolinquan F",173,IF(Atletas!M17="Tanglangquan F",174,IF(Atletas!M17="Yingzhaoquan F",175,IF(Atletas!M17="Tongbeiquan F",176,IF(Atletas!M17="Wudangquan F",177,IF(Atletas!M17="Outros Estilos F",178,0))))))))))))))))))))))))))))))))))))))))))</f>
        <v/>
      </c>
      <c r="BU24" s="50" t="str">
        <f>IF(Atletas!N17="","",IF(Atletas!X17&lt;&gt;"",10000,0)+(IF(Atletas!B17="Feminino",1000,IF(Atletas!B17="Masculino",2000,""))+(IF(Atletas!N17="Ditangquan A",201,IF(Atletas!N17="Houquan A",202,IF(Atletas!N17="Zuiquan A",203,IF(Atletas!N17="Ditangquan B",204,IF(Atletas!N17="Houquan B",205,IF(Atletas!N17="Zuiquan B",206,IF(Atletas!N17="Ditangquan C",207,IF(Atletas!N17="Houquan C",208,IF(Atletas!N17="Zuiquan C",209,IF(Atletas!N17="Ditangquan D",210,IF(Atletas!N17="Houquan D",211,IF(Atletas!N17="Zuiquan D",212,IF(Atletas!N17="Ditangquan E",213,IF(Atletas!N17="Houquan E",214,IF(Atletas!N17="Zuiquan E",215,IF(Atletas!N17="Ditangquan F",216,IF(Atletas!N17="Houquan F",217,IF(Atletas!N17="Zuiquan F",218,"")))))))))))))))))))))</f>
        <v/>
      </c>
      <c r="BV24" s="50" t="str">
        <f>IF(Atletas!O17="","",IF(Atletas!X17&lt;&gt;"",10000,0)+IF(Atletas!B17="Feminino",1000,IF(Atletas!B17="Masculino",2000,""))+IF(Atletas!O17="Yang A",301,IF(Atletas!O17="Chen A",302,IF(Atletas!O17="Sun A",303,IF(Atletas!O17="Wu A",304,IF(Atletas!O17="Wu-Hao A",305,IF(Atletas!O17="Outro Taijiquan A",306,IF(Atletas!O17="Yang B",307,IF(Atletas!O17="Chen B",308,IF(Atletas!O17="Sun B",309,IF(Atletas!O17="Wu B",310,IF(Atletas!O17="Wu-Hao B",311,IF(Atletas!O17="Outro Taijiquan B",312,IF(Atletas!O17="Yang C",313,IF(Atletas!O17="Chen C",314,IF(Atletas!O17="Sun C",315,IF(Atletas!O17="Wu C",316,IF(Atletas!O17="Wu-Hao C",317,IF(Atletas!O17="Outro Taijiquan C",318,IF(Atletas!O17="Yang D",319,IF(Atletas!O17="Chen D",320,IF(Atletas!O17="Sun D",321,IF(Atletas!O17="Wu D",322,IF(Atletas!O17="Wu-Hao D",323,IF(Atletas!O17="Outro Taijiquan D",324,IF(Atletas!O17="Yang E",325,IF(Atletas!O17="Chen E",326,IF(Atletas!O17="Sun E",327,IF(Atletas!O17="Wu E",328,IF(Atletas!O17="Wu-Hao E",329,IF(Atletas!O17="Outro Taijiquan E",330,IF(Atletas!O17="Yang F",331,IF(Atletas!O17="Chen F",332,IF(Atletas!O17="Sun F",333,IF(Atletas!O17="Wu F",334,IF(Atletas!O17="Wu-Hao F",335,IF(Atletas!O17="Outro Taijiquan F",336,"")))))))))))))))))))))))))))))))))))))</f>
        <v/>
      </c>
      <c r="BW24" s="50" t="str">
        <f>IF(Atletas!P17="","",IF(Atletas!X17&lt;&gt;"",10000,0)+IF(Atletas!B17="Feminino",1000,IF(Atletas!B17="Masculino",2000,""))+IF(OR(Atletas!P17="Yang 26 A",Atletas!P17="Yang 40 A"),401,IF(OR(Atletas!P17="Chen 25 A",Atletas!P17="Chen 36 A",Atletas!P17="Chen 56 A"),402,IF(Atletas!P17="Sun 73 A",403,IF(Atletas!P17="Wu 45 A",404,IF(Atletas!P17="Wu-Hao 46 A",405,IF(OR(Atletas!P17="Taijiquan 16 A",Atletas!P17="Taijiquan 24 A",Atletas!P17="Taijiquan 32 A",Atletas!P17="Taijiquan 42 A"),406,IF(OR(Atletas!P17="Yang 26 B",Atletas!P17="Yang 40 B"),407,IF(OR(Atletas!P17="Chen 25 B",Atletas!P17="Chen 36 B",Atletas!P17="Chen 56 B"),408,IF(Atletas!P17="Sun 73 B",409,IF(Atletas!P17="Wu 45 B",410,IF(Atletas!P17="Wu-Hao 46 B",411,IF(OR(Atletas!P17="Taijiquan 16 B",Atletas!P17="Taijiquan 24 B",Atletas!P17="Taijiquan 32 B",Atletas!P17="Taijiquan 42 B"),412,IF(OR(Atletas!P17="Yang 26 C",Atletas!P17="Yang 40 C"),413,IF(OR(Atletas!P17="Chen 25 C",Atletas!P17="Chen 36 C",Atletas!P17="Chen 56 C"),414,IF(Atletas!P17="Sun 73 C",415,IF(Atletas!P17="Wu 45 C",416,IF(Atletas!P17="Wu-Hao 46 C",417,IF(OR(Atletas!P17="Taijiquan 16 C",Atletas!P17="Taijiquan 24 C",Atletas!P17="Taijiquan 32 C",Atletas!P17="Taijiquan 42 C"),418,0)))))))))))))))))))</f>
        <v/>
      </c>
      <c r="BX24" s="50" t="str">
        <f>IF(Atletas!P17="","",IF(Atletas!X17&lt;&gt;"",10000,0)+IF(Atletas!B17="Feminino",1000,IF(Atletas!B17="Masculino",2000,""))+IF(OR(Atletas!P17="Yang 26 D",Atletas!P17="Yang 40 D"),419,IF(OR(Atletas!P17="Chen 25 D",Atletas!P17="Chen 36 D",Atletas!P17="Chen 56 D"),420,IF(Atletas!P17="Sun 73 D",421,IF(Atletas!P17="Wu 45 D",422,IF(Atletas!P17="Wu-Hao 46 D",423,IF(OR(Atletas!P17="Taijiquan 16 D",Atletas!P17="Taijiquan 24 D",Atletas!P17="Taijiquan 32 D",Atletas!P17="Taijiquan 42 D"),424,IF(OR(Atletas!P17="Yang 26 E",Atletas!P17="Yang 40 E"),425,IF(OR(Atletas!P17="Chen 25 E",Atletas!P17="Chen 36 E",Atletas!P17="Chen 56 E"),426,IF(Atletas!P17="Sun 73 E",427,IF(Atletas!P17="Wu 45 E",428,IF(Atletas!P17="Wu-Hao 46 E",429,IF(OR(Atletas!P17="Taijiquan 16 E",Atletas!P17="Taijiquan 24 E",Atletas!P17="Taijiquan 32 E",Atletas!P17="Taijiquan 42 E"),430,IF(OR(Atletas!P17="Yang 26 F",Atletas!P17="Yang 40 F"),431,IF(OR(Atletas!P17="Chen 25 F",Atletas!P17="Chen 36 F",Atletas!P17="Chen 56 F"),432,IF(Atletas!P17="Sun 73 F",433,IF(Atletas!P17="Wu 45 F",434,IF(Atletas!P17="Wu-Hao 46 F",435,IF(OR(Atletas!P17="Taijiquan 16 F",Atletas!P17="Taijiquan 24 F",Atletas!P17="Taijiquan 32 F",Atletas!P17="Taijiquan 42 F"),436,0)))))))))))))))))))</f>
        <v/>
      </c>
      <c r="BY24" s="50" t="str">
        <f>IF(Atletas!Q17="","",IF(Atletas!X17&lt;&gt;"",10000,0)+IF(Atletas!B17="Feminino",1000,IF(Atletas!B17="Masculino",2000,""))+IF(Atletas!Q17="Xingyiquan A",501,IF(Atletas!Q17="Baguazhang A",502,IF(Atletas!Q17="Outro Estilo Interno A",503,IF(Atletas!Q17="Xingyiquan B",504,IF(Atletas!Q17="Baguazhang B",505,IF(Atletas!Q17="Outro Estilo Interno B",506,IF(Atletas!Q17="Xingyiquan C",507,IF(Atletas!Q17="Baguazhang C",508,IF(Atletas!Q17="Outro Estilo Interno C",509,IF(Atletas!Q17="Xingyiquan D",510,IF(Atletas!Q17="Baguazhang D",511,IF(Atletas!Q17="Outro Estilo Interno D",512,IF(Atletas!Q17="Xingyiquan E",513,IF(Atletas!Q17="Baguazhang E",514,IF(Atletas!Q17="Outro Estilo Interno E",515,IF(Atletas!Q17="Xingyiquan F",516,IF(Atletas!Q17="Baguazhang F",517,IF(Atletas!Q17="Outro Estilo Interno F",518, "")))))))))))))))))))</f>
        <v/>
      </c>
      <c r="BZ24" s="50" t="str">
        <f>IF(Atletas!R17="","",IF(Atletas!X17&lt;&gt;"",10000,0)+IF(Atletas!B17="Feminino",1000,IF(Atletas!B17="Masculino",2000,""))+IF(Atletas!R17="Dao A",601,IF(Atletas!R17="Jian A",602,IF(Atletas!R17="Bishou A",603,IF(Atletas!R17="Shanzi A",604,IF(Atletas!R17="Outra Arma Curta A",605,IF(Atletas!R17="Dao B",606,IF(Atletas!R17="Jian B",607,IF(Atletas!R17="Bishou B",608,IF(Atletas!R17="Shanzi B",609,IF(Atletas!R17="Outra Arma Curta B",610,IF(Atletas!R17="Dao C",611,IF(Atletas!R17="Jian C",612,IF(Atletas!R17="Bishou C",613,IF(Atletas!R17="Shanzi C",614,IF(Atletas!R17="Outra Arma Curta C",615,IF(Atletas!R17="Dao D",616,IF(Atletas!R17="Jian D",617,IF(Atletas!R17="Bishou D",618,IF(Atletas!R17="Shanzi D",619,IF(Atletas!R17="Outra Arma Curta D",620,IF(Atletas!R17="Dao E",621,IF(Atletas!R17="Jian E",622,IF(Atletas!R17="Bishou E",623,IF(Atletas!R17="Shanzi E",624,IF(Atletas!R17="Outra Arma Curta E",625,IF(Atletas!R17="Dao F",626,IF(Atletas!R17="Jian F",627,IF(Atletas!R17="Bishou F",628,IF(Atletas!R17="Shanzi F",629,IF(Atletas!R17="Outra Arma Curta F",630, "")))))))))))))))))))))))))))))))</f>
        <v/>
      </c>
      <c r="CA24" s="50" t="str">
        <f>IF(Atletas!S17="","",IF(Atletas!X17&lt;&gt;"",10000,0)+IF(Atletas!B17="Feminino",1000,IF(Atletas!B17="Masculino",2000,""))+IF(Atletas!S17="Gun A",701,IF(Atletas!S17="Qiang A",702,IF(Atletas!S17="Pudao / Guandao A",703,IF(Atletas!S17="Outra Arma Longa A",704,IF(Atletas!S17="Gun B",705,IF(Atletas!S17="Qiang B",706,IF(Atletas!S17="Pudao / Guandao B",707,IF(Atletas!S17="Outra Arma Longa B",708,IF(Atletas!S17="Gun C",709,IF(Atletas!S17="Qiang C",710,IF(Atletas!S17="Pudao / Guandao C",711,IF(Atletas!S17="Outra Arma Longa C",712,IF(Atletas!S17="Gun D",713,IF(Atletas!S17="Qiang D",714,IF(Atletas!S17="Pudao / Guandao D",715,IF(Atletas!S17="Outra Arma Longa D",716,IF(Atletas!S17="Gun E",717,IF(Atletas!S17="Qiang E",718,IF(Atletas!S17="Pudao / Guandao E",719,IF(Atletas!S17="Outra Arma Longa E",720,IF(Atletas!S17="Gun F",721,IF(Atletas!S17="Qiang F",722,IF(Atletas!S17="Pudao / Guandao F",723,IF(Atletas!S17="Outra Arma Longa F",724,"")))))))))))))))))))))))))</f>
        <v/>
      </c>
      <c r="CB24" s="50" t="str">
        <f>IF(Atletas!T17="","",IF(Atletas!X17&lt;&gt;"",10000,0)+IF(Atletas!B17="Feminino",1000,IF(Atletas!B17="Masculino",2000,""))+IF(Atletas!T17="Outra Arma Dupla A",801,IF(Atletas!T17="Arma Maleável A",802,IF(Atletas!T17="Outra Arma Dupla B",803,IF(Atletas!T17="Arma Maleável B",804,IF(Atletas!T17="Outra Arma Dupla C",805,IF(Atletas!T17="Arma Maleável C",806,IF(Atletas!T17="Outra Arma Dupla D",807,IF(Atletas!T17="Arma Maleável D",808,IF(Atletas!T17="Outra Arma Dupla E",809,IF(Atletas!T17="Arma Maleável E",810,IF(Atletas!T17="Outra Arma Dupla F",811,IF(Atletas!T17="Arma Maleável F",812,IF(Atletas!T17="Shuangdao A",813,IF(Atletas!T17="Shuangdao B",814,IF(Atletas!T17="Shuangdao C",815,IF(Atletas!T17="Shuangdao D",816,IF(Atletas!T17="Shuangdao E",817,IF(Atletas!T17="Shuangdao F",818,"")))))))))))))))))))</f>
        <v/>
      </c>
      <c r="CC24" s="50" t="str">
        <f>IF(Atletas!U17="","",IF(Atletas!X17&lt;&gt;"",10000,0)+IF(Atletas!B17="Feminino",1000,IF(Atletas!B17="Masculino",2000,""))+IF(OR(Atletas!U17="Taijijian Yang A",Atletas!U17="Taijijian Yang Standard A"),901,IF(OR(Atletas!U17="Taijijian Chen A", Atletas!U17="Taijijian Chen Standard A"),902,IF(Atletas!U17="Taijijian Sun A",903,IF(Atletas!U17="Taijijian Wu A",904,IF(Atletas!U17="Taijijian Wu-Hao A",905,IF(OR(Atletas!U17="Taijijian 32 A",Atletas!U17="Taijijian 42 A"),906,IF(OR(Atletas!U17="Taijijian Yang B",Atletas!U17="Taijijian Yang Standard B"),907,IF(OR(Atletas!U17="Taijijian Chen B", Atletas!U17="Taijijian Chen Standard B"),908,IF(Atletas!U17="Taijijian Sun B",909,IF(Atletas!U17="Taijijian Wu B",910,IF(Atletas!U17="Taijijian Wu-Hao B",911,IF(OR(Atletas!U17="Taijijian 32 B",Atletas!U17="Taijijian 42 B"),912,IF(OR(Atletas!U17="Taijijian Yang C",Atletas!U17="Taijijian Yang Standard C"),913,IF(OR(Atletas!U17="Taijijian Chen C", Atletas!U17="Taijijian Chen Standard C"),914,IF(Atletas!U17="Taijijian Sun C",915,IF(Atletas!U17="Taijijian Wu C",916,IF(Atletas!U17="Taijijian Wu-Hao C",917,IF(OR(Atletas!U17="Taijijian 32 C",Atletas!U17="Taijijian 42 C"),918,IF(OR(Atletas!U17="Taijijian Yang D",Atletas!U17="Taijijian Yang Standard D"),919,IF(OR(Atletas!U17="Taijijian Chen D", Atletas!U17="Taijijian Chen Standard D"),920,IF(Atletas!U17="Taijijian Sun D",921,IF(Atletas!U17="Taijijian Wu D",922,IF(Atletas!U17="Taijijian Wu-Hao D",923,IF(OR(Atletas!U17="Taijijian 32 D",Atletas!U17="Taijijian 42 D"),924,IF(OR(Atletas!U17="Taijijian Yang E",Atletas!U17="Taijijian Yang Standard E"),925,IF(OR(Atletas!U17="Taijijian Chen E", Atletas!U17="Taijijian Chen Standard E"),926,IF(Atletas!U17="Taijijian Sun E",927,IF(Atletas!U17="Taijijian Wu E",928,IF(Atletas!U17="Taijijian Wu-Hao E",929,IF(OR(Atletas!U17="Taijijian 32 E",Atletas!U17="Taijijian 42 E"),930,IF(OR(Atletas!U17="Taijijian Yang F",Atletas!U17="Taijijian Yang Standard F"),931,IF(OR(Atletas!U17="Taijijian Chen F", Atletas!U17="Taijijian Chen Standard F"),932,IF(Atletas!U17="Taijijian Sun F",933,IF(Atletas!U17="Taijijian Wu F",934,IF(Atletas!U17="Taijijian Wu-Hao F",935,IF(OR(Atletas!U17="Taijijian 32 F",Atletas!U17="Taijijian 42 F"),936,"")))))))))))))))))))))))))))))))))))))</f>
        <v/>
      </c>
      <c r="CD24" s="50" t="str">
        <f>IF(Atletas!V17="","",IF(Atletas!X17&lt;&gt;"",10000,0)+IF(Atletas!B17="Feminino",1000,IF(Atletas!B17="Masculino",2000,""))+IF(Atletas!V17="Taijidao A",937,IF(Atletas!V17="TaijiShanzi A",938,IF(Atletas!V17="Taijiqiang A",939,IF(Atletas!V17="Bagua de Arma A",940,IF(Atletas!V17="Xingyi de Arma A",941,IF(Atletas!V17="Taijidao B",942,IF(Atletas!V17="TaijiShanzi B",943,IF(Atletas!V17="Taijiqiang B",944,IF(Atletas!V17="Bagua de Arma B",945,IF(Atletas!V17="Xingyi de Arma B",946,IF(Atletas!V17="Taijidao C",947,IF(Atletas!V17="TaijiShanzi C",948,IF(Atletas!V17="Taijiqiang C",949,IF(Atletas!V17="Bagua de Arma C",950,IF(Atletas!V17="Xingyi de Arma C",951,IF(Atletas!V17="Taijidao D",952,IF(Atletas!V17="TaijiShanzi D",953,IF(Atletas!V17="Taijiqiang D",954,IF(Atletas!V17="Bagua de Arma D",955,IF(Atletas!V17="Xingyi de Arma D",956,IF(Atletas!V17="Taijidao E",957,IF(Atletas!V17="TaijiShanzi E",958,IF(Atletas!V17="Taijiqiang E",959,IF(Atletas!V17="Bagua de Arma E",960,IF(Atletas!V17="Xingyi de Arma E",961,IF(Atletas!V17="Taijidao F",962,IF(Atletas!V17="TaijiShanzi F",963,IF(Atletas!V17="Taijiqiang F",964,IF(Atletas!V17="Bagua de Arma F",965,IF(Atletas!V17="Xingyi de Arma F",966,"")))))))))))))))))))))))))))))))</f>
        <v/>
      </c>
      <c r="CE24" s="66" t="str">
        <f>IF(CF24&lt;&gt;"","Outra Mão de Sul C","")</f>
        <v/>
      </c>
      <c r="CF24" s="66" t="str">
        <f>IF(COUNTIF(BR:CD,1015)&gt;0,COUNTIF(BR:CD,1015),"")</f>
        <v/>
      </c>
      <c r="CG24" s="66" t="str">
        <f>IF(CH24&lt;&gt;"","Outra Mão de Sul C","")</f>
        <v/>
      </c>
      <c r="CH24" s="66" t="str">
        <f>IF(COUNTIF(BR:CD,2015)&gt;0,COUNTIF(BR:CD,2015),"")</f>
        <v/>
      </c>
      <c r="CI24" s="66" t="str">
        <f>IF(CJ24&lt;&gt;"","Wuzuquan D","")</f>
        <v/>
      </c>
      <c r="CJ24" s="66" t="str">
        <f>IF(COUNTIF(BR:CD,11018)&gt;0,COUNTIF(BR:CD,11018),"")</f>
        <v/>
      </c>
      <c r="CK24" s="66" t="str">
        <f>IF(CL24&lt;&gt;"","Wuzuquan D","")</f>
        <v/>
      </c>
      <c r="CL24" s="66" t="str">
        <f>IF(COUNTIF(BR:CD,12018)&gt;0,COUNTIF(BR:CD,12018),"")</f>
        <v/>
      </c>
      <c r="CM24" s="50" t="str">
        <f xml:space="preserve"> IF(Atletas!W17="","",IF(Atletas!W17="Duilian de Mãos BC - Equipe 1",1,IF(Atletas!W17="Duilian de Mãos BC - Equipe 2",2,IF(Atletas!W17="Duilian de Armas BC - Equipe 1",3,IF(Atletas!W17="Duilian de Armas BC - Equipe 2",4,IF(Atletas!W17="Duilian de Mãos DE - Equipe 1",5,IF(Atletas!W17="Duilian de Mãos DE - Equipe 2",6,IF(Atletas!W17="Duilian de Armas DE - Equipe 1",7,IF(Atletas!W17="Duilian de Armas DE - Equipe 2",8,IF(Atletas!W17="Duilian de Tuishou - Equipe 1",9,IF(Atletas!W17="Duilian de Tuishou - Equipe 2",10,IF(Atletas!W17="Grupo Externo ABC - Equipe 1",11,IF(Atletas!W17="Grupo Externo ABC - Equipe 2",12,IF(Atletas!W17="Grupo Interno ABC - Equipe 1",13,IF(Atletas!W17="Grupo Interno ABC - Equipe 2",14,IF(Atletas!W17="Grupo Externo DEF - Equipe 1",15,IF(Atletas!W17="Grupo Externo DEF - Equipe 2",16,IF(Atletas!W17="Grupo Interno DEF - Equipe 1",17,IF(Atletas!W17="Grupo Interno DEF - Equipe 2",18,"")))))))))))))))))))</f>
        <v/>
      </c>
      <c r="CY24" s="41"/>
    </row>
    <row r="25" spans="1:103">
      <c r="A25" s="16"/>
      <c r="B25" s="3" t="str">
        <f t="array" ref="B25">IFERROR(INDEX(AO$7:AO$38,SMALL(IF(AO$7:AO$38&lt;&gt;"",ROW(AO$7:AO$38)-ROW(AO$7)+1),ROWS(AO$7:AO24))),"")</f>
        <v/>
      </c>
      <c r="C25" s="3" t="str">
        <f t="array" ref="C25">IFERROR(INDEX(AP$7:AP$38,SMALL(IF(AP$7:AP$38&lt;&gt;"",ROW(AP$7:AP$38)-ROW(AP$7)+1),ROWS(AP$7:AP24))),"")</f>
        <v/>
      </c>
      <c r="D25" s="3" t="str">
        <f t="array" ref="D25">IFERROR(INDEX(AQ$7:AQ$38,SMALL(IF(AQ$7:AQ$38&lt;&gt;"",ROW(AQ$7:AQ$38)-ROW(AQ$7)+1),ROWS(AQ$7:AQ24))),"")</f>
        <v/>
      </c>
      <c r="E25" s="3" t="str">
        <f t="array" ref="E25">IFERROR(INDEX(AR$7:AR$38,SMALL(IF(AR$7:AR$38&lt;&gt;"",ROW(AR$7:AR$38)-ROW(AR$7)+1),ROWS(AR$7:AR24))),"")</f>
        <v/>
      </c>
      <c r="F25" s="3" t="str">
        <f t="array" ref="F25">IFERROR(INDEX(AT$7:AT$36,SMALL(IF(AT$7:AT$36&lt;&gt;"",ROW(AT$7:AT$36)-ROW(AT$7)+1),ROWS(AT$7:AT24))),"")</f>
        <v/>
      </c>
      <c r="G25" s="3" t="str">
        <f t="array" ref="G25">IFERROR(INDEX(AU$7:AU$36,SMALL(IF(AU$7:AU$36&lt;&gt;"",ROW(AU$7:AU$36)-ROW(AU$7)+1),ROWS(AU$7:AU24))),"")</f>
        <v/>
      </c>
      <c r="H25" s="3" t="str">
        <f t="array" ref="H25">IFERROR(INDEX(AV$7:AV$36,SMALL(IF(AV$7:AV$36&lt;&gt;"",ROW(AV$7:AV$36)-ROW(AV$7)+1),ROWS(AV$7:AV24))),"")</f>
        <v/>
      </c>
      <c r="I25" s="3" t="str">
        <f t="array" ref="I25">IFERROR(INDEX(AW$7:AW$36,SMALL(IF(AW$7:AW$36&lt;&gt;"",ROW(AW$7:AW$36)-ROW(AW$7)+1),ROWS(AW$7:AW24))),"")</f>
        <v/>
      </c>
      <c r="J25" s="3" t="str">
        <f t="array" ref="J25">IFERROR(INDEX(AY$7:AY$36,SMALL(IF(AY$7:AY$36&lt;&gt;"",ROW(AY$7:AY$36)-ROW(AY$7)+1),ROWS(AY$7:AY24))),"")</f>
        <v/>
      </c>
      <c r="K25" s="3" t="str">
        <f t="array" ref="K25">IFERROR(INDEX(AZ$7:AZ$36,SMALL(IF(AZ$7:AZ$36&lt;&gt;"",ROW(AZ$7:AZ$36)-ROW(AZ$7)+1),ROWS(AZ$7:AZ24))),"")</f>
        <v/>
      </c>
      <c r="L25" s="3" t="str">
        <f t="array" ref="L25">IFERROR(INDEX(BA$7:BA$36,SMALL(IF(BA$7:BA$36&lt;&gt;"",ROW(BA$7:BA$36)-ROW(BA$7)+1),ROWS(BA$7:BA24))),"")</f>
        <v/>
      </c>
      <c r="M25" s="3" t="str">
        <f t="array" ref="M25">IFERROR(INDEX(BB$7:BB$36,SMALL(IF(BB$7:BB$36&lt;&gt;"",ROW(BB$7:BB$36)-ROW(BB$7)+1),ROWS(BB$7:BB24))),"")</f>
        <v/>
      </c>
      <c r="N25" s="3" t="str" cm="1">
        <f t="array" ref="N25">IFERROR(INDEX(BD$7:BD$8,SMALL(IF(BD$7:BD$8&lt;&gt;"",ROW(BD$7:BD$8)-ROW(BD$7)+1),ROWS(BD$7:BD24))),"")</f>
        <v/>
      </c>
      <c r="O25" s="3" t="str" cm="1">
        <f t="array" ref="O25">IFERROR(INDEX(BE$7:BE$8,SMALL(IF(BE$7:BE$8&lt;&gt;"",ROW(BE$7:BE$8)-ROW(BE$7)+1),ROWS(BE$7:BE24))),"")</f>
        <v/>
      </c>
      <c r="P25" s="3" t="str" cm="1">
        <f t="array" ref="P25">IFERROR(INDEX(BD$9:BD$10,SMALL(IF(BD$9:BD$10&lt;&gt;"",ROW(BD$9:BD$10)-ROW(BD$9)+1),ROWS(BD$9:BD26))),"")</f>
        <v/>
      </c>
      <c r="Q25" s="3" t="str">
        <f t="array" ref="Q25">IFERROR(INDEX(BH$7:BH$36,SMALL(IF(BH$7:BH$36&lt;&gt;"",ROW(BH$7:BH$36)-ROW(BH$7)+1),ROWS(BH$7:BH24))),"")</f>
        <v/>
      </c>
      <c r="R25" s="3" t="str">
        <f t="array" ref="R25">IFERROR(INDEX(BI$7:BI$68,SMALL(IF(BI$7:BI$68&lt;&gt;"",ROW(BI$7:BI$68)-ROW(BI$7)+1),ROWS(BI$7:BI24))),"")</f>
        <v/>
      </c>
      <c r="S25" s="3" t="str">
        <f t="array" ref="S25">IFERROR(INDEX(BJ$7:BJ$68,SMALL(IF(BJ$7:BJ$68&lt;&gt;"",ROW(BJ$7:BJ$68)-ROW(BJ$7)+1),ROWS(BJ$7:BJ24))),"")</f>
        <v/>
      </c>
      <c r="T25" s="3" t="str">
        <f t="array" ref="T25">IFERROR(INDEX(BK$7:BK$68,SMALL(IF(BK$7:BK$68&lt;&gt;"",ROW(BK$7:BK$68)-ROW(BK$7)+1),ROWS(BK$7:BK24))),"")</f>
        <v/>
      </c>
      <c r="U25" s="3" t="str">
        <f t="array" ref="U25">IFERROR(INDEX(BL$7:BL$68,SMALL(IF(BL$7:BL$68&lt;&gt;"",ROW(BL$7:BL$68)-ROW(BL$7)+1),ROWS(BL$7:BL24))),"")</f>
        <v/>
      </c>
      <c r="V25" s="3"/>
      <c r="W25" s="3"/>
      <c r="X25" s="3"/>
      <c r="Y25" s="3"/>
      <c r="Z25" s="3" t="str">
        <f t="array" ref="Z25">IFERROR(INDEX(CE$7:CE$348,SMALL(IF(CE$7:CE$348&lt;&gt;"",ROW(CE$7:CE$348)-ROW(CE$7)+1),ROWS(CE$7:CE24))),"")</f>
        <v/>
      </c>
      <c r="AA25" s="3" t="str">
        <f t="array" ref="AA25">IFERROR(INDEX(CF$7:CF$348,SMALL(IF(CF$7:CF$348&lt;&gt;"",ROW(CF$7:CF$348)-ROW(CF$7)+1),ROWS(CF$7:CF24))),"")</f>
        <v/>
      </c>
      <c r="AB25" s="3" t="str">
        <f t="array" ref="AB25">IFERROR(INDEX(CG$7:CG$348,SMALL(IF(CG$7:CG$348&lt;&gt;"",ROW(CG$7:CG$348)-ROW(CG$7)+1),ROWS(CG$7:CG24))),"")</f>
        <v/>
      </c>
      <c r="AC25" s="3" t="str">
        <f t="array" ref="AC25">IFERROR(INDEX(CH$7:CH$348,SMALL(IF(CH$7:CH$348&lt;&gt;"",ROW(CH$7:CH$348)-ROW(CH$7)+1),ROWS(CH$7:CH24))),"")</f>
        <v/>
      </c>
      <c r="AD25" s="3" t="str">
        <f t="array" ref="AD25">IFERROR(INDEX(CI$7:CI$377,SMALL(IF(CI$7:CI$377&lt;&gt;"",ROW(CI$7:CI$377)-ROW(CI$7)+1),ROWS(CI$7:CI24))),"")</f>
        <v/>
      </c>
      <c r="AE25" s="3" t="str">
        <f t="array" ref="AE25">IFERROR(INDEX(CJ$7:CJ$378,SMALL(IF(CJ$7:CJ$378&lt;&gt;"",ROW(CJ$7:CJ$378)-ROW(CJ$7)+1),ROWS(CJ$7:CJ24))),"")</f>
        <v/>
      </c>
      <c r="AF25" s="3" t="str">
        <f t="array" ref="AF25">IFERROR(INDEX(CK$7:CK$378,SMALL(IF(CK$7:CK$378&lt;&gt;"",ROW(CK$7:CK$378)-ROW(CK$7)+1),ROWS(CK$7:CK24))),"")</f>
        <v/>
      </c>
      <c r="AG25" s="3" t="str">
        <f t="array" ref="AG25">IFERROR(INDEX(CL$7:CL$378,SMALL(IF(CL$7:CL$378&lt;&gt;"",ROW(CL$7:CL$378)-ROW(CL$7)+1),ROWS(CL$7:CL24))),"")</f>
        <v/>
      </c>
      <c r="AH25" s="40" t="str">
        <f t="array" ref="AH25">IFERROR(INDEX(CN$7:CN$18,SMALL(IF(CN$7:CN$18&lt;&gt;"",ROW(CN$7:CN$18)-ROW(CN$7)+1),ROWS(CN$7:CN24))),"")</f>
        <v/>
      </c>
      <c r="AI25" s="40" t="str">
        <f t="array" ref="AI25">IFERROR(INDEX(CO$7:CO$18,SMALL(IF(CO$7:CO$18&lt;&gt;"",ROW(CO$7:CO$18)-ROW(CO$7)+1),ROWS(CO$7:CO24))),"")</f>
        <v/>
      </c>
      <c r="AJ25" s="40" t="str">
        <f t="array" ref="AJ25">IFERROR(INDEX(CP$7:CP$8,SMALL(IF(CP$7:CP$8&lt;&gt;"",ROW(CP$7:CP$8)-ROW(CP$7)+1),ROWS(CP$7:CP24))),"")</f>
        <v/>
      </c>
      <c r="AK25" s="40"/>
      <c r="AL25" s="40" t="str">
        <f t="array" ref="AL25">IFERROR(INDEX(CR$7:CR$14,SMALL(IF(CR$7:CR$14&lt;&gt;"",ROW(CR$7:CR$14)-ROW(CR$7)+1),ROWS(CR$7:CR24))),"")</f>
        <v/>
      </c>
      <c r="AM25" s="40"/>
      <c r="AN25" s="52" t="str">
        <f>IF(Atletas!D18="","",IF(Atletas!B18="Feminino",100,IF(Atletas!B18="Masculino",200,""))+(IF(Atletas!D18="Kids 30kg",1,IF(Atletas!D18="Kids 32kg",2, IF(Atletas!D18="Kids 34kg",3,IF(Atletas!D18="Kids 36kg",4,IF(Atletas!D18="Kids 39kg",5,IF(Atletas!D18="Kids 42kg",6,IF(Atletas!D18="Kids 45kg",7, IF(Atletas!D18="Infantil 39kg",8,IF(Atletas!D18="Infantil 42kg",9,IF(Atletas!D18="Infantil 45kg",10,IF(Atletas!D18="Infantil 48kg",11,IF(Atletas!D18="Infantil 52kg",12,IF(Atletas!D18="Infantil 56kg",13,IF(Atletas!D18="Infantil 60kg",14,IF(Atletas!D18="Juvenil 48kg",15,IF(Atletas!D18="Juvenil 52kg",16,IF(Atletas!D18="Juvenil 56kg",17,IF(Atletas!D18="Juvenil 60kg",18,IF(Atletas!D18="Juvenil 65kg",19,IF(Atletas!D18="Juvenil 70kg",20,IF(Atletas!D18="Juvenil 75kg",21,IF(Atletas!D18="Juvenil 80kg",22, IF(Atletas!D18="Juvenil 85kg",23,IF(Atletas!D18="Adulto 48kg",24,IF(Atletas!D18="Adulto 52kg",25,IF(Atletas!D18="Adulto 56kg",26,IF(Atletas!D18="Adulto 60kg",27,IF(Atletas!D18="Adulto 65kg",28,IF(Atletas!D18="Adulto 70kg",29,IF(Atletas!D18="Adulto 75kg",30,IF(Atletas!D18="Adulto 80kg",31,IF(Atletas!D18="Adulto 85kg",32,IF(Atletas!D18="Adulto 90kg",33,IF(Atletas!D18="Adulto 100kg",34, IF(Atletas!D18="Adulto +100kg",35,"")))))))))))))))))))))))))))))))))))))</f>
        <v/>
      </c>
      <c r="AO25" s="50" t="str">
        <f>IF(AP25&lt;&gt;"","Adulto 70kg","")</f>
        <v/>
      </c>
      <c r="AP25" s="6" t="str">
        <f>IF(COUNTIF(AN:AN,129)&gt;0,COUNTIF(AN:AN,129),"")</f>
        <v/>
      </c>
      <c r="AQ25" s="50" t="str">
        <f>IF(AR25&lt;&gt;"","Juvenil 65kg","")</f>
        <v/>
      </c>
      <c r="AR25" s="6" t="str">
        <f>IF(COUNTIF(AN:AN,219)&gt;0,COUNTIF(AN:AN,219),"")</f>
        <v/>
      </c>
      <c r="AS25" s="6" t="str">
        <f>IF(Atletas!E18="","",IF(Atletas!B18="Feminino",100,IF(Atletas!B18="Masculino",200,""))+(IF(Atletas!E18="Juvenil 44kg",1,IF(Atletas!E18="Juvenil 48kg",2,IF(Atletas!E18="Juvenil 52kg",3,IF(Atletas!E18="Juvenil 56kg",4,IF(Atletas!E18="Juvenil 60kg",5,IF(Atletas!E18="Juvenil 65kg",6,IF(Atletas!E18="Juvenil 70kg",7,IF(Atletas!E18="Juvenil 75kg",8,IF(Atletas!E18="Juvenil 82kg",9,IF(Atletas!E18="Juvenil 90kg",10,IF(Atletas!E18="Juvenil 100kg",11,IF(Atletas!E18="Adulto 48kg",12,IF(Atletas!E18="Adulto 52kg",13,IF(Atletas!E18="Adulto 56kg",14,IF(Atletas!E18="Adulto 60kg",15,IF(Atletas!E18="Adulto 65kg",16,IF(Atletas!E18="Adulto 70kg",17,IF(Atletas!E18="Adulto 75kg",18,IF(Atletas!E18="Adulto 82kg",19,IF(Atletas!E18="Adulto 90kg",20,IF(Atletas!E18="Adulto 100kg",21,IF(Atletas!E18="Adulto +100kg",22,""))))))))))))))))))))))))</f>
        <v/>
      </c>
      <c r="AV25" s="50" t="str">
        <f>IF(AW25&lt;&gt;"","Adulto 100kg","")</f>
        <v/>
      </c>
      <c r="AW25" s="6" t="str">
        <f>IF(COUNTIF(AS:AS,221)&gt;0,COUNTIF(AS:AS,221),"")</f>
        <v/>
      </c>
      <c r="AX25" s="6" t="str">
        <f>IF(Atletas!F18="","",IF(Atletas!B18="Feminino",100,IF(Atletas!B18="Masculino",200,""))+(IF(Atletas!F18="Adulto 48kg",1,IF(Atletas!F18="Adulto 56kg",2,IF(Atletas!F18="Adulto 65kg",3,IF(Atletas!F18="Adulto 75kg",4,IF(Atletas!F18="Adulto +75kg",5,IF(Atletas!F18="Adulto 52kg",6,IF(Atletas!F18="Adulto 60kg",7,IF(Atletas!F18="Adulto 70kg",8,IF(Atletas!F18="Adulto 80kg",9,IF(Atletas!F18="Adulto 90kg",10,IF(Atletas!F18="Adulto +90kg",11,"")))))))))))))</f>
        <v/>
      </c>
      <c r="BC25" s="6" t="str">
        <f>IF(Atletas!G18="","",IF(Atletas!B18="Feminino",10,IF(Atletas!B18="Masculino",20,""))+(IF(Atletas!G18="Baduanjin A",1,IF(Atletas!G18="Baduanjin B",2))))</f>
        <v/>
      </c>
      <c r="BF25" s="52" t="str">
        <f>IF(Atletas!H18="","",IF(Atletas!B18="Feminino",100,IF(Atletas!B18="Masculino",200,""))+(IF(Atletas!H18="Changquan Mirim",1,IF(Atletas!H18="Nanquan Mirim",2,IF(Atletas!H18="Taijiquan Mirim",3,IF(Atletas!H18="Changquan Grupo C",4,IF(Atletas!H18="Nanquan Grupo C",5,IF(Atletas!H18="Taijiquan Grupo C",6,IF(Atletas!H18="Changquan Grupo B",7,IF(Atletas!H18="Nanquan Grupo B",8,IF(Atletas!H18="Taijiquan Grupo B",9,IF(Atletas!H18="Changquan Grupo A",10,IF(Atletas!H18="Nanquan Grupo A",11,IF(Atletas!H18="Taijiquan Grupo A",12,IF(Atletas!H18="Changquan Opcional",13,IF(Atletas!H18="Nanquan Opcional",14,IF(Atletas!H18="Taijiquan Opcional",15,IF(Atletas!H18="Changquan Adulto",16,IF(Atletas!H18="Nanquan Adulto",17,IF(Atletas!H18="Taijiquan Adulto",18,""))))))))))))))))))))</f>
        <v/>
      </c>
      <c r="BG25" s="52" t="str">
        <f>IF(Atletas!I18="","",IF(Atletas!B18="Feminino",100,IF(Atletas!B18="Masculino",200,""))+(IF(Atletas!I18="Daoshu Mirim",19,IF(Atletas!I18="Jianshu Mirim",20,IF(Atletas!I18="Nandao Mirim",21,IF(Atletas!I18="Taijijian Mirim",22,IF(Atletas!I18="Daoshu Grupo C",23,IF(Atletas!I18="Jianshu Grupo C",24,IF(Atletas!I18="Nandao Grupo C",25,IF(Atletas!I18="Taijijian Grupo C",26,IF(Atletas!I18="Daoshu Grupo B",27,IF(Atletas!I18="Jianshu Grupo B",28,IF(Atletas!I18="Nandao Grupo B",29,IF(Atletas!I18="Taijijian Grupo B",30,IF(Atletas!I18="Daoshu Grupo A",31,IF(Atletas!I18="Jianshu Grupo A",32,IF(Atletas!I18="Nandao Grupo A",33,IF(Atletas!I18="Taijijian Grupo A",34,IF(Atletas!I18="Daoshu Opcional",35,IF(Atletas!I18="Jianshu Opcional",36,IF(Atletas!I18="Nandao Opcional",37,IF(Atletas!I18="Taijijian Opcional",38,IF(Atletas!I18="Daoshu Adulto",39,IF(Atletas!I18="Jianshu Adulto",40,IF(Atletas!I18="Nandao Adulto",41,IF(Atletas!I18="Taijijian Adulto",42,""))))))))))))))))))))))))))</f>
        <v/>
      </c>
      <c r="BH25" s="52" t="str">
        <f>IF(Atletas!J18="","",IF(Atletas!B18="Feminino",100,IF(Atletas!B18="Masculino",200,""))+(IF(Atletas!J18="Gunshu Mirim",43,IF(Atletas!J18="Qiangshu Mirim",44,IF(Atletas!J18="Nangun Mirim",45,IF(Atletas!J18="Gunshu Grupo C",46,IF(Atletas!J18="Qiangshu Grupo C",47,IF(Atletas!J18="Nangun Grupo C",48,IF(Atletas!J18="Gunshu Grupo B",49,IF(Atletas!J18="Qiangshu Grupo B",50,IF(Atletas!J18="Nangun Grupo B",51,IF(Atletas!J18="Gunshu Grupo A",52,IF(Atletas!J18="Qiangshu Grupo A",53,IF(Atletas!J18="Nangun Grupo A",54,IF(Atletas!J18="Gunshu Opcional",55,IF(Atletas!J18="Qiangshu Opcional",56,IF(Atletas!J18="Nangun Opcional",57,IF(Atletas!J18="Gunshu Adulto",58,IF(Atletas!J18="Qiangshu Adulto",59,IF(Atletas!J18="Nangun Adulto",60,IF(Atletas!J18="Taijishan Grupo B",61,IF(Atletas!J18="Taijishan Grupo A",62,""))))))))))))))))))))))</f>
        <v/>
      </c>
      <c r="BI25" s="6" t="str">
        <f>IF(BJ25&lt;&gt;"","Qiangshu Grupo C","")</f>
        <v/>
      </c>
      <c r="BJ25" s="50" t="str">
        <f>IF(COUNTIF(BF:BH,147)&gt;0,COUNTIF(BF:BH,147),"")</f>
        <v/>
      </c>
      <c r="BK25" s="6" t="str">
        <f>IF(BL25&lt;&gt;"","Qiangshu Grupo C","")</f>
        <v/>
      </c>
      <c r="BL25" s="50" t="str">
        <f>IF(COUNTIF(BF:BH,247)&gt;0,COUNTIF(BF:BH,247),"")</f>
        <v/>
      </c>
      <c r="BM25" s="50" t="str">
        <f>IF(Atletas!K18="","",IF(Atletas!B18="Feminino",100,IF(Atletas!B18="Masculino",200,""))+(IF(Atletas!K18="Equipe 1 Grupo B",1,IF(Atletas!K18="Equipe 2 Grupo B",2,IF(Atletas!K18="Equipe 1 Grupo A",3,IF(Atletas!K18="Equipe 2 Grupo A",4,IF(Atletas!K18="Equipe 1 Adulto",5,IF(Atletas!K18="Equipe 2 Adulto",6,""))))))))</f>
        <v/>
      </c>
      <c r="BR25" s="50" t="str">
        <f>IF(Atletas!L18="","",IF(Atletas!X18&lt;&gt;"",10000,0)+(IF(Atletas!B18="Feminino",1000,IF(Atletas!B18="Masculino",2000,""))+IF(Atletas!L18="Choylayfut A",1,IF(Atletas!L18="Hunggar A",2,IF(Atletas!L18="Wuzuquan A",3,IF(Atletas!L18="Wingchun A",4,IF(Atletas!L18="Outra Mão de Sul A",5,IF(Atletas!L18="Choylayfut B",6,IF(Atletas!L18="Hunggar B",7,IF(Atletas!L18="Wuzuquan B",8,IF(Atletas!L18="Wingchun B",9,IF(Atletas!L18="Outra Mão de Sul B",10,IF(Atletas!L18="Choylayfut C",11,IF(Atletas!L18="Hunggar C",12,IF(Atletas!L18="Wuzuquan C",13,IF(Atletas!L18="Wingchun C",14,IF(Atletas!L18="Outra Mão de Sul C",15,IF(Atletas!L18="Choylayfut D",16,IF(Atletas!L18="Hunggar D",17,IF(Atletas!L18="Wuzuquan D",18,IF(Atletas!L18="Wingchun D",19,IF(Atletas!L18="Outra Mão de Sul D",20,IF(Atletas!L18="Choylayfut E",21,IF(Atletas!L18="Hunggar E",22,IF(Atletas!L18="Wuzuquan E",23,IF(Atletas!L18="Wingchun E",24,IF(Atletas!L18="Outra Mão de Sul E",25,IF(Atletas!L18="Choylayfut F",26,IF(Atletas!L18="Hunggar F",27,IF(Atletas!L18="Wuzuquan F",28,IF(Atletas!L18="Wingchun F",29,IF(Atletas!L18="Outra Mão de Sul F",30,IF(Atletas!L18="Dishuquan A",31,IF(Atletas!L18="Dishuquan B",32,IF(Atletas!L18="Dishuquan C",33,IF(Atletas!L18="Dishuquan D",34,IF(Atletas!L18="Dishuquan E",35,IF(Atletas!L18="Dishuquan F",36,""))))))))))))))))))))))))))))))))))))))</f>
        <v/>
      </c>
      <c r="BS25" s="50" t="str">
        <f>IF(Atletas!M18="","",IF(Atletas!X18&lt;&gt;"",10000,0)+(IF(Atletas!B18="Feminino",1000,IF(Atletas!B18="Masculino",2000,""))+(IF(Atletas!M18="Chaquan A",101,IF(Atletas!M18="Emeiquan A",102,IF(Atletas!M18="Fanziquan A",103,IF(Atletas!M18="Huaquan A",104,IF(Atletas!M18="Hongquan A",105,IF(Atletas!M18="Paoquan A",106,IF(Atletas!M18="Piguaquan A",107,IF(Atletas!M18="Shaolinquan A",108,IF(Atletas!M18="Tanglangquan A",109,IF(Atletas!M18="Yingzhaoquan A",110,IF(Atletas!M18="Tongbeiquan A",111,IF(Atletas!M18="Wudangquan A",112,IF(Atletas!M18="Outros Estilos A",113,IF(Atletas!M18="Chaquan B",114,IF(Atletas!M18="Emeiquan B",115,IF(Atletas!M18="Fanziquan B",116,IF(Atletas!M18="Huaquan B",117,IF(Atletas!M18="Hongquan B",118,IF(Atletas!M18="Paoquan B",119,IF(Atletas!M18="Piguaquan B",120,IF(Atletas!M18="Shaolinquan B",121,IF(Atletas!M18="Tanglangquan B",122,IF(Atletas!M18="Yingzhaoquan B",123,IF(Atletas!M18="Tongbeiquan B",124,IF(Atletas!M18="Wudangquan B",125,IF(Atletas!M18="Outros Estilos B",126,IF(Atletas!M18="Chaquan C",127,IF(Atletas!M18="Emeiquan C",128,IF(Atletas!M18="Fanziquan C",129,IF(Atletas!M18="Huaquan C",130,IF(Atletas!M18="Hongquan C",131,IF(Atletas!M18="Paoquan C",132,IF(Atletas!M18="Piguaquan C",133,IF(Atletas!M18="Shaolinquan C",134,IF(Atletas!M18="Tanglangquan C",135,IF(Atletas!M18="Yingzhaoquan C",136,IF(Atletas!M18="Tongbeiquan C",137,IF(Atletas!M18="Wudangquan C",138,IF(Atletas!M18="Outros Estilos C",139,0))))))))))))))))))))))))))))))))))))))))))</f>
        <v/>
      </c>
      <c r="BT25" s="50" t="str">
        <f>IF(Atletas!M18="","",IF(Atletas!X18&lt;&gt;"",10000,0)+(IF(Atletas!B18="Feminino",1000,IF(Atletas!B18="Masculino",2000,""))+(IF(Atletas!M18="Chaquan D",140,IF(Atletas!M18="Emeiquan D",141,IF(Atletas!M18="Fanziquan D",142,IF(Atletas!M18="Huaquan D",143,IF(Atletas!M18="Hongquan D",144,IF(Atletas!M18="Paoquan D",145,IF(Atletas!M18="Piguaquan D",146,IF(Atletas!M18="Shaolinquan D",147,IF(Atletas!M18="Tanglangquan D",148,IF(Atletas!M18="Yingzhaoquan D",149,IF(Atletas!M18="Tongbeiquan D",150,IF(Atletas!M18="Wudangquan D",151,IF(Atletas!M18="Outros Estilos D",152,IF(Atletas!M18="Chaquan E",153,IF(Atletas!M18="Emeiquan E",154,IF(Atletas!M18="Fanziquan E",155,IF(Atletas!M18="Huaquan E",156,IF(Atletas!M18="Hongquan E",157,IF(Atletas!M18="Paoquan E",158,IF(Atletas!M18="Piguaquan E",159,IF(Atletas!M18="Shaolinquan E",160,IF(Atletas!M18="Tanglangquan E",161,IF(Atletas!M18="Yingzhaoquan E",162,IF(Atletas!M18="Tongbeiquan E",163,IF(Atletas!M18="Wudangquan E",164,IF(Atletas!M18="Outros Estilos E",165,IF(Atletas!M18="Chaquan F",166,IF(Atletas!M18="Emeiquan F",167,IF(Atletas!M18="Fanziquan F",168,IF(Atletas!M18="Huaquan F",169,IF(Atletas!M18="Hongquan F",170,IF(Atletas!M18="Paoquan F",171,IF(Atletas!M18="Piguaquan F",172,IF(Atletas!M18="Shaolinquan F",173,IF(Atletas!M18="Tanglangquan F",174,IF(Atletas!M18="Yingzhaoquan F",175,IF(Atletas!M18="Tongbeiquan F",176,IF(Atletas!M18="Wudangquan F",177,IF(Atletas!M18="Outros Estilos F",178,0))))))))))))))))))))))))))))))))))))))))))</f>
        <v/>
      </c>
      <c r="BU25" s="50" t="str">
        <f>IF(Atletas!N18="","",IF(Atletas!X18&lt;&gt;"",10000,0)+(IF(Atletas!B18="Feminino",1000,IF(Atletas!B18="Masculino",2000,""))+(IF(Atletas!N18="Ditangquan A",201,IF(Atletas!N18="Houquan A",202,IF(Atletas!N18="Zuiquan A",203,IF(Atletas!N18="Ditangquan B",204,IF(Atletas!N18="Houquan B",205,IF(Atletas!N18="Zuiquan B",206,IF(Atletas!N18="Ditangquan C",207,IF(Atletas!N18="Houquan C",208,IF(Atletas!N18="Zuiquan C",209,IF(Atletas!N18="Ditangquan D",210,IF(Atletas!N18="Houquan D",211,IF(Atletas!N18="Zuiquan D",212,IF(Atletas!N18="Ditangquan E",213,IF(Atletas!N18="Houquan E",214,IF(Atletas!N18="Zuiquan E",215,IF(Atletas!N18="Ditangquan F",216,IF(Atletas!N18="Houquan F",217,IF(Atletas!N18="Zuiquan F",218,"")))))))))))))))))))))</f>
        <v/>
      </c>
      <c r="BV25" s="50" t="str">
        <f>IF(Atletas!O18="","",IF(Atletas!X18&lt;&gt;"",10000,0)+IF(Atletas!B18="Feminino",1000,IF(Atletas!B18="Masculino",2000,""))+IF(Atletas!O18="Yang A",301,IF(Atletas!O18="Chen A",302,IF(Atletas!O18="Sun A",303,IF(Atletas!O18="Wu A",304,IF(Atletas!O18="Wu-Hao A",305,IF(Atletas!O18="Outro Taijiquan A",306,IF(Atletas!O18="Yang B",307,IF(Atletas!O18="Chen B",308,IF(Atletas!O18="Sun B",309,IF(Atletas!O18="Wu B",310,IF(Atletas!O18="Wu-Hao B",311,IF(Atletas!O18="Outro Taijiquan B",312,IF(Atletas!O18="Yang C",313,IF(Atletas!O18="Chen C",314,IF(Atletas!O18="Sun C",315,IF(Atletas!O18="Wu C",316,IF(Atletas!O18="Wu-Hao C",317,IF(Atletas!O18="Outro Taijiquan C",318,IF(Atletas!O18="Yang D",319,IF(Atletas!O18="Chen D",320,IF(Atletas!O18="Sun D",321,IF(Atletas!O18="Wu D",322,IF(Atletas!O18="Wu-Hao D",323,IF(Atletas!O18="Outro Taijiquan D",324,IF(Atletas!O18="Yang E",325,IF(Atletas!O18="Chen E",326,IF(Atletas!O18="Sun E",327,IF(Atletas!O18="Wu E",328,IF(Atletas!O18="Wu-Hao E",329,IF(Atletas!O18="Outro Taijiquan E",330,IF(Atletas!O18="Yang F",331,IF(Atletas!O18="Chen F",332,IF(Atletas!O18="Sun F",333,IF(Atletas!O18="Wu F",334,IF(Atletas!O18="Wu-Hao F",335,IF(Atletas!O18="Outro Taijiquan F",336,"")))))))))))))))))))))))))))))))))))))</f>
        <v/>
      </c>
      <c r="BW25" s="50" t="str">
        <f>IF(Atletas!P18="","",IF(Atletas!X18&lt;&gt;"",10000,0)+IF(Atletas!B18="Feminino",1000,IF(Atletas!B18="Masculino",2000,""))+IF(OR(Atletas!P18="Yang 26 A",Atletas!P18="Yang 40 A"),401,IF(OR(Atletas!P18="Chen 25 A",Atletas!P18="Chen 36 A",Atletas!P18="Chen 56 A"),402,IF(Atletas!P18="Sun 73 A",403,IF(Atletas!P18="Wu 45 A",404,IF(Atletas!P18="Wu-Hao 46 A",405,IF(OR(Atletas!P18="Taijiquan 16 A",Atletas!P18="Taijiquan 24 A",Atletas!P18="Taijiquan 32 A",Atletas!P18="Taijiquan 42 A"),406,IF(OR(Atletas!P18="Yang 26 B",Atletas!P18="Yang 40 B"),407,IF(OR(Atletas!P18="Chen 25 B",Atletas!P18="Chen 36 B",Atletas!P18="Chen 56 B"),408,IF(Atletas!P18="Sun 73 B",409,IF(Atletas!P18="Wu 45 B",410,IF(Atletas!P18="Wu-Hao 46 B",411,IF(OR(Atletas!P18="Taijiquan 16 B",Atletas!P18="Taijiquan 24 B",Atletas!P18="Taijiquan 32 B",Atletas!P18="Taijiquan 42 B"),412,IF(OR(Atletas!P18="Yang 26 C",Atletas!P18="Yang 40 C"),413,IF(OR(Atletas!P18="Chen 25 C",Atletas!P18="Chen 36 C",Atletas!P18="Chen 56 C"),414,IF(Atletas!P18="Sun 73 C",415,IF(Atletas!P18="Wu 45 C",416,IF(Atletas!P18="Wu-Hao 46 C",417,IF(OR(Atletas!P18="Taijiquan 16 C",Atletas!P18="Taijiquan 24 C",Atletas!P18="Taijiquan 32 C",Atletas!P18="Taijiquan 42 C"),418,0)))))))))))))))))))</f>
        <v/>
      </c>
      <c r="BX25" s="50" t="str">
        <f>IF(Atletas!P18="","",IF(Atletas!X18&lt;&gt;"",10000,0)+IF(Atletas!B18="Feminino",1000,IF(Atletas!B18="Masculino",2000,""))+IF(OR(Atletas!P18="Yang 26 D",Atletas!P18="Yang 40 D"),419,IF(OR(Atletas!P18="Chen 25 D",Atletas!P18="Chen 36 D",Atletas!P18="Chen 56 D"),420,IF(Atletas!P18="Sun 73 D",421,IF(Atletas!P18="Wu 45 D",422,IF(Atletas!P18="Wu-Hao 46 D",423,IF(OR(Atletas!P18="Taijiquan 16 D",Atletas!P18="Taijiquan 24 D",Atletas!P18="Taijiquan 32 D",Atletas!P18="Taijiquan 42 D"),424,IF(OR(Atletas!P18="Yang 26 E",Atletas!P18="Yang 40 E"),425,IF(OR(Atletas!P18="Chen 25 E",Atletas!P18="Chen 36 E",Atletas!P18="Chen 56 E"),426,IF(Atletas!P18="Sun 73 E",427,IF(Atletas!P18="Wu 45 E",428,IF(Atletas!P18="Wu-Hao 46 E",429,IF(OR(Atletas!P18="Taijiquan 16 E",Atletas!P18="Taijiquan 24 E",Atletas!P18="Taijiquan 32 E",Atletas!P18="Taijiquan 42 E"),430,IF(OR(Atletas!P18="Yang 26 F",Atletas!P18="Yang 40 F"),431,IF(OR(Atletas!P18="Chen 25 F",Atletas!P18="Chen 36 F",Atletas!P18="Chen 56 F"),432,IF(Atletas!P18="Sun 73 F",433,IF(Atletas!P18="Wu 45 F",434,IF(Atletas!P18="Wu-Hao 46 F",435,IF(OR(Atletas!P18="Taijiquan 16 F",Atletas!P18="Taijiquan 24 F",Atletas!P18="Taijiquan 32 F",Atletas!P18="Taijiquan 42 F"),436,0)))))))))))))))))))</f>
        <v/>
      </c>
      <c r="BY25" s="50" t="str">
        <f>IF(Atletas!Q18="","",IF(Atletas!X18&lt;&gt;"",10000,0)+IF(Atletas!B18="Feminino",1000,IF(Atletas!B18="Masculino",2000,""))+IF(Atletas!Q18="Xingyiquan A",501,IF(Atletas!Q18="Baguazhang A",502,IF(Atletas!Q18="Outro Estilo Interno A",503,IF(Atletas!Q18="Xingyiquan B",504,IF(Atletas!Q18="Baguazhang B",505,IF(Atletas!Q18="Outro Estilo Interno B",506,IF(Atletas!Q18="Xingyiquan C",507,IF(Atletas!Q18="Baguazhang C",508,IF(Atletas!Q18="Outro Estilo Interno C",509,IF(Atletas!Q18="Xingyiquan D",510,IF(Atletas!Q18="Baguazhang D",511,IF(Atletas!Q18="Outro Estilo Interno D",512,IF(Atletas!Q18="Xingyiquan E",513,IF(Atletas!Q18="Baguazhang E",514,IF(Atletas!Q18="Outro Estilo Interno E",515,IF(Atletas!Q18="Xingyiquan F",516,IF(Atletas!Q18="Baguazhang F",517,IF(Atletas!Q18="Outro Estilo Interno F",518, "")))))))))))))))))))</f>
        <v/>
      </c>
      <c r="BZ25" s="50" t="str">
        <f>IF(Atletas!R18="","",IF(Atletas!X18&lt;&gt;"",10000,0)+IF(Atletas!B18="Feminino",1000,IF(Atletas!B18="Masculino",2000,""))+IF(Atletas!R18="Dao A",601,IF(Atletas!R18="Jian A",602,IF(Atletas!R18="Bishou A",603,IF(Atletas!R18="Shanzi A",604,IF(Atletas!R18="Outra Arma Curta A",605,IF(Atletas!R18="Dao B",606,IF(Atletas!R18="Jian B",607,IF(Atletas!R18="Bishou B",608,IF(Atletas!R18="Shanzi B",609,IF(Atletas!R18="Outra Arma Curta B",610,IF(Atletas!R18="Dao C",611,IF(Atletas!R18="Jian C",612,IF(Atletas!R18="Bishou C",613,IF(Atletas!R18="Shanzi C",614,IF(Atletas!R18="Outra Arma Curta C",615,IF(Atletas!R18="Dao D",616,IF(Atletas!R18="Jian D",617,IF(Atletas!R18="Bishou D",618,IF(Atletas!R18="Shanzi D",619,IF(Atletas!R18="Outra Arma Curta D",620,IF(Atletas!R18="Dao E",621,IF(Atletas!R18="Jian E",622,IF(Atletas!R18="Bishou E",623,IF(Atletas!R18="Shanzi E",624,IF(Atletas!R18="Outra Arma Curta E",625,IF(Atletas!R18="Dao F",626,IF(Atletas!R18="Jian F",627,IF(Atletas!R18="Bishou F",628,IF(Atletas!R18="Shanzi F",629,IF(Atletas!R18="Outra Arma Curta F",630, "")))))))))))))))))))))))))))))))</f>
        <v/>
      </c>
      <c r="CA25" s="50" t="str">
        <f>IF(Atletas!S18="","",IF(Atletas!X18&lt;&gt;"",10000,0)+IF(Atletas!B18="Feminino",1000,IF(Atletas!B18="Masculino",2000,""))+IF(Atletas!S18="Gun A",701,IF(Atletas!S18="Qiang A",702,IF(Atletas!S18="Pudao / Guandao A",703,IF(Atletas!S18="Outra Arma Longa A",704,IF(Atletas!S18="Gun B",705,IF(Atletas!S18="Qiang B",706,IF(Atletas!S18="Pudao / Guandao B",707,IF(Atletas!S18="Outra Arma Longa B",708,IF(Atletas!S18="Gun C",709,IF(Atletas!S18="Qiang C",710,IF(Atletas!S18="Pudao / Guandao C",711,IF(Atletas!S18="Outra Arma Longa C",712,IF(Atletas!S18="Gun D",713,IF(Atletas!S18="Qiang D",714,IF(Atletas!S18="Pudao / Guandao D",715,IF(Atletas!S18="Outra Arma Longa D",716,IF(Atletas!S18="Gun E",717,IF(Atletas!S18="Qiang E",718,IF(Atletas!S18="Pudao / Guandao E",719,IF(Atletas!S18="Outra Arma Longa E",720,IF(Atletas!S18="Gun F",721,IF(Atletas!S18="Qiang F",722,IF(Atletas!S18="Pudao / Guandao F",723,IF(Atletas!S18="Outra Arma Longa F",724,"")))))))))))))))))))))))))</f>
        <v/>
      </c>
      <c r="CB25" s="50" t="str">
        <f>IF(Atletas!T18="","",IF(Atletas!X18&lt;&gt;"",10000,0)+IF(Atletas!B18="Feminino",1000,IF(Atletas!B18="Masculino",2000,""))+IF(Atletas!T18="Outra Arma Dupla A",801,IF(Atletas!T18="Arma Maleável A",802,IF(Atletas!T18="Outra Arma Dupla B",803,IF(Atletas!T18="Arma Maleável B",804,IF(Atletas!T18="Outra Arma Dupla C",805,IF(Atletas!T18="Arma Maleável C",806,IF(Atletas!T18="Outra Arma Dupla D",807,IF(Atletas!T18="Arma Maleável D",808,IF(Atletas!T18="Outra Arma Dupla E",809,IF(Atletas!T18="Arma Maleável E",810,IF(Atletas!T18="Outra Arma Dupla F",811,IF(Atletas!T18="Arma Maleável F",812,IF(Atletas!T18="Shuangdao A",813,IF(Atletas!T18="Shuangdao B",814,IF(Atletas!T18="Shuangdao C",815,IF(Atletas!T18="Shuangdao D",816,IF(Atletas!T18="Shuangdao E",817,IF(Atletas!T18="Shuangdao F",818,"")))))))))))))))))))</f>
        <v/>
      </c>
      <c r="CC25" s="50" t="str">
        <f>IF(Atletas!U18="","",IF(Atletas!X18&lt;&gt;"",10000,0)+IF(Atletas!B18="Feminino",1000,IF(Atletas!B18="Masculino",2000,""))+IF(OR(Atletas!U18="Taijijian Yang A",Atletas!U18="Taijijian Yang Standard A"),901,IF(OR(Atletas!U18="Taijijian Chen A", Atletas!U18="Taijijian Chen Standard A"),902,IF(Atletas!U18="Taijijian Sun A",903,IF(Atletas!U18="Taijijian Wu A",904,IF(Atletas!U18="Taijijian Wu-Hao A",905,IF(OR(Atletas!U18="Taijijian 32 A",Atletas!U18="Taijijian 42 A"),906,IF(OR(Atletas!U18="Taijijian Yang B",Atletas!U18="Taijijian Yang Standard B"),907,IF(OR(Atletas!U18="Taijijian Chen B", Atletas!U18="Taijijian Chen Standard B"),908,IF(Atletas!U18="Taijijian Sun B",909,IF(Atletas!U18="Taijijian Wu B",910,IF(Atletas!U18="Taijijian Wu-Hao B",911,IF(OR(Atletas!U18="Taijijian 32 B",Atletas!U18="Taijijian 42 B"),912,IF(OR(Atletas!U18="Taijijian Yang C",Atletas!U18="Taijijian Yang Standard C"),913,IF(OR(Atletas!U18="Taijijian Chen C", Atletas!U18="Taijijian Chen Standard C"),914,IF(Atletas!U18="Taijijian Sun C",915,IF(Atletas!U18="Taijijian Wu C",916,IF(Atletas!U18="Taijijian Wu-Hao C",917,IF(OR(Atletas!U18="Taijijian 32 C",Atletas!U18="Taijijian 42 C"),918,IF(OR(Atletas!U18="Taijijian Yang D",Atletas!U18="Taijijian Yang Standard D"),919,IF(OR(Atletas!U18="Taijijian Chen D", Atletas!U18="Taijijian Chen Standard D"),920,IF(Atletas!U18="Taijijian Sun D",921,IF(Atletas!U18="Taijijian Wu D",922,IF(Atletas!U18="Taijijian Wu-Hao D",923,IF(OR(Atletas!U18="Taijijian 32 D",Atletas!U18="Taijijian 42 D"),924,IF(OR(Atletas!U18="Taijijian Yang E",Atletas!U18="Taijijian Yang Standard E"),925,IF(OR(Atletas!U18="Taijijian Chen E", Atletas!U18="Taijijian Chen Standard E"),926,IF(Atletas!U18="Taijijian Sun E",927,IF(Atletas!U18="Taijijian Wu E",928,IF(Atletas!U18="Taijijian Wu-Hao E",929,IF(OR(Atletas!U18="Taijijian 32 E",Atletas!U18="Taijijian 42 E"),930,IF(OR(Atletas!U18="Taijijian Yang F",Atletas!U18="Taijijian Yang Standard F"),931,IF(OR(Atletas!U18="Taijijian Chen F", Atletas!U18="Taijijian Chen Standard F"),932,IF(Atletas!U18="Taijijian Sun F",933,IF(Atletas!U18="Taijijian Wu F",934,IF(Atletas!U18="Taijijian Wu-Hao F",935,IF(OR(Atletas!U18="Taijijian 32 F",Atletas!U18="Taijijian 42 F"),936,"")))))))))))))))))))))))))))))))))))))</f>
        <v/>
      </c>
      <c r="CD25" s="50" t="str">
        <f>IF(Atletas!V18="","",IF(Atletas!X18&lt;&gt;"",10000,0)+IF(Atletas!B18="Feminino",1000,IF(Atletas!B18="Masculino",2000,""))+IF(Atletas!V18="Taijidao A",937,IF(Atletas!V18="TaijiShanzi A",938,IF(Atletas!V18="Taijiqiang A",939,IF(Atletas!V18="Bagua de Arma A",940,IF(Atletas!V18="Xingyi de Arma A",941,IF(Atletas!V18="Taijidao B",942,IF(Atletas!V18="TaijiShanzi B",943,IF(Atletas!V18="Taijiqiang B",944,IF(Atletas!V18="Bagua de Arma B",945,IF(Atletas!V18="Xingyi de Arma B",946,IF(Atletas!V18="Taijidao C",947,IF(Atletas!V18="TaijiShanzi C",948,IF(Atletas!V18="Taijiqiang C",949,IF(Atletas!V18="Bagua de Arma C",950,IF(Atletas!V18="Xingyi de Arma C",951,IF(Atletas!V18="Taijidao D",952,IF(Atletas!V18="TaijiShanzi D",953,IF(Atletas!V18="Taijiqiang D",954,IF(Atletas!V18="Bagua de Arma D",955,IF(Atletas!V18="Xingyi de Arma D",956,IF(Atletas!V18="Taijidao E",957,IF(Atletas!V18="TaijiShanzi E",958,IF(Atletas!V18="Taijiqiang E",959,IF(Atletas!V18="Bagua de Arma E",960,IF(Atletas!V18="Xingyi de Arma E",961,IF(Atletas!V18="Taijidao F",962,IF(Atletas!V18="TaijiShanzi F",963,IF(Atletas!V18="Taijiqiang F",964,IF(Atletas!V18="Bagua de Arma F",965,IF(Atletas!V18="Xingyi de Arma F",966,"")))))))))))))))))))))))))))))))</f>
        <v/>
      </c>
      <c r="CE25" s="66" t="str">
        <f>IF(CF25&lt;&gt;"","Choylayfut D","")</f>
        <v/>
      </c>
      <c r="CF25" s="66" t="str">
        <f>IF(COUNTIF(BR:CD,1016)&gt;0,COUNTIF(BR:CD,1016),"")</f>
        <v/>
      </c>
      <c r="CG25" s="66" t="str">
        <f>IF(CH25&lt;&gt;"","Choylayfut D","")</f>
        <v/>
      </c>
      <c r="CH25" s="66" t="str">
        <f>IF(COUNTIF(BR:CD,2016)&gt;0,COUNTIF(BR:CD,2016),"")</f>
        <v/>
      </c>
      <c r="CI25" s="66" t="str">
        <f>IF(CJ25&lt;&gt;"","Wingchun D","")</f>
        <v/>
      </c>
      <c r="CJ25" s="66" t="str">
        <f>IF(COUNTIF(BR:CD,11019)&gt;0,COUNTIF(BR:CD,11019),"")</f>
        <v/>
      </c>
      <c r="CK25" s="66" t="str">
        <f>IF(CL25&lt;&gt;"","Wingchun D","")</f>
        <v/>
      </c>
      <c r="CL25" s="66" t="str">
        <f>IF(COUNTIF(BR:CD,12019)&gt;0,COUNTIF(BR:CD,12019),"")</f>
        <v/>
      </c>
      <c r="CM25" s="50" t="str">
        <f xml:space="preserve"> IF(Atletas!W18="","",IF(Atletas!W18="Duilian de Mãos BC - Equipe 1",1,IF(Atletas!W18="Duilian de Mãos BC - Equipe 2",2,IF(Atletas!W18="Duilian de Armas BC - Equipe 1",3,IF(Atletas!W18="Duilian de Armas BC - Equipe 2",4,IF(Atletas!W18="Duilian de Mãos DE - Equipe 1",5,IF(Atletas!W18="Duilian de Mãos DE - Equipe 2",6,IF(Atletas!W18="Duilian de Armas DE - Equipe 1",7,IF(Atletas!W18="Duilian de Armas DE - Equipe 2",8,IF(Atletas!W18="Duilian de Tuishou - Equipe 1",9,IF(Atletas!W18="Duilian de Tuishou - Equipe 2",10,IF(Atletas!W18="Grupo Externo ABC - Equipe 1",11,IF(Atletas!W18="Grupo Externo ABC - Equipe 2",12,IF(Atletas!W18="Grupo Interno ABC - Equipe 1",13,IF(Atletas!W18="Grupo Interno ABC - Equipe 2",14,IF(Atletas!W18="Grupo Externo DEF - Equipe 1",15,IF(Atletas!W18="Grupo Externo DEF - Equipe 2",16,IF(Atletas!W18="Grupo Interno DEF - Equipe 1",17,IF(Atletas!W18="Grupo Interno DEF - Equipe 2",18,"")))))))))))))))))))</f>
        <v/>
      </c>
      <c r="CY25" s="41"/>
    </row>
    <row r="26" spans="1:103">
      <c r="A26" s="16"/>
      <c r="B26" s="3" t="str">
        <f t="array" ref="B26">IFERROR(INDEX(AO$7:AO$38,SMALL(IF(AO$7:AO$38&lt;&gt;"",ROW(AO$7:AO$38)-ROW(AO$7)+1),ROWS(AO$7:AO25))),"")</f>
        <v/>
      </c>
      <c r="C26" s="3" t="str">
        <f t="array" ref="C26">IFERROR(INDEX(AP$7:AP$38,SMALL(IF(AP$7:AP$38&lt;&gt;"",ROW(AP$7:AP$38)-ROW(AP$7)+1),ROWS(AP$7:AP25))),"")</f>
        <v/>
      </c>
      <c r="D26" s="3" t="str">
        <f t="array" ref="D26">IFERROR(INDEX(AQ$7:AQ$38,SMALL(IF(AQ$7:AQ$38&lt;&gt;"",ROW(AQ$7:AQ$38)-ROW(AQ$7)+1),ROWS(AQ$7:AQ25))),"")</f>
        <v/>
      </c>
      <c r="E26" s="3" t="str">
        <f t="array" ref="E26">IFERROR(INDEX(AR$7:AR$38,SMALL(IF(AR$7:AR$38&lt;&gt;"",ROW(AR$7:AR$38)-ROW(AR$7)+1),ROWS(AR$7:AR25))),"")</f>
        <v/>
      </c>
      <c r="F26" s="3" t="str">
        <f t="array" ref="F26">IFERROR(INDEX(AT$7:AT$36,SMALL(IF(AT$7:AT$36&lt;&gt;"",ROW(AT$7:AT$36)-ROW(AT$7)+1),ROWS(AT$7:AT25))),"")</f>
        <v/>
      </c>
      <c r="G26" s="3" t="str">
        <f t="array" ref="G26">IFERROR(INDEX(AU$7:AU$36,SMALL(IF(AU$7:AU$36&lt;&gt;"",ROW(AU$7:AU$36)-ROW(AU$7)+1),ROWS(AU$7:AU25))),"")</f>
        <v/>
      </c>
      <c r="H26" s="3" t="str">
        <f t="array" ref="H26">IFERROR(INDEX(AV$7:AV$36,SMALL(IF(AV$7:AV$36&lt;&gt;"",ROW(AV$7:AV$36)-ROW(AV$7)+1),ROWS(AV$7:AV25))),"")</f>
        <v/>
      </c>
      <c r="I26" s="3" t="str">
        <f t="array" ref="I26">IFERROR(INDEX(AW$7:AW$36,SMALL(IF(AW$7:AW$36&lt;&gt;"",ROW(AW$7:AW$36)-ROW(AW$7)+1),ROWS(AW$7:AW25))),"")</f>
        <v/>
      </c>
      <c r="J26" s="3" t="str">
        <f t="array" ref="J26">IFERROR(INDEX(AY$7:AY$36,SMALL(IF(AY$7:AY$36&lt;&gt;"",ROW(AY$7:AY$36)-ROW(AY$7)+1),ROWS(AY$7:AY25))),"")</f>
        <v/>
      </c>
      <c r="K26" s="3" t="str">
        <f t="array" ref="K26">IFERROR(INDEX(AZ$7:AZ$36,SMALL(IF(AZ$7:AZ$36&lt;&gt;"",ROW(AZ$7:AZ$36)-ROW(AZ$7)+1),ROWS(AZ$7:AZ25))),"")</f>
        <v/>
      </c>
      <c r="L26" s="3" t="str">
        <f t="array" ref="L26">IFERROR(INDEX(BA$7:BA$36,SMALL(IF(BA$7:BA$36&lt;&gt;"",ROW(BA$7:BA$36)-ROW(BA$7)+1),ROWS(BA$7:BA25))),"")</f>
        <v/>
      </c>
      <c r="M26" s="3" t="str">
        <f t="array" ref="M26">IFERROR(INDEX(BB$7:BB$36,SMALL(IF(BB$7:BB$36&lt;&gt;"",ROW(BB$7:BB$36)-ROW(BB$7)+1),ROWS(BB$7:BB25))),"")</f>
        <v/>
      </c>
      <c r="N26" s="3" t="str" cm="1">
        <f t="array" ref="N26">IFERROR(INDEX(BD$7:BD$8,SMALL(IF(BD$7:BD$8&lt;&gt;"",ROW(BD$7:BD$8)-ROW(BD$7)+1),ROWS(BD$7:BD25))),"")</f>
        <v/>
      </c>
      <c r="O26" s="3" t="str" cm="1">
        <f t="array" ref="O26">IFERROR(INDEX(BE$7:BE$8,SMALL(IF(BE$7:BE$8&lt;&gt;"",ROW(BE$7:BE$8)-ROW(BE$7)+1),ROWS(BE$7:BE25))),"")</f>
        <v/>
      </c>
      <c r="P26" s="3" t="str" cm="1">
        <f t="array" ref="P26">IFERROR(INDEX(BD$9:BD$10,SMALL(IF(BD$9:BD$10&lt;&gt;"",ROW(BD$9:BD$10)-ROW(BD$9)+1),ROWS(BD$9:BD27))),"")</f>
        <v/>
      </c>
      <c r="Q26" s="3" t="str">
        <f t="array" ref="Q26">IFERROR(INDEX(BH$7:BH$36,SMALL(IF(BH$7:BH$36&lt;&gt;"",ROW(BH$7:BH$36)-ROW(BH$7)+1),ROWS(BH$7:BH25))),"")</f>
        <v/>
      </c>
      <c r="R26" s="3" t="str">
        <f t="array" ref="R26">IFERROR(INDEX(BI$7:BI$68,SMALL(IF(BI$7:BI$68&lt;&gt;"",ROW(BI$7:BI$68)-ROW(BI$7)+1),ROWS(BI$7:BI25))),"")</f>
        <v/>
      </c>
      <c r="S26" s="3" t="str">
        <f t="array" ref="S26">IFERROR(INDEX(BJ$7:BJ$68,SMALL(IF(BJ$7:BJ$68&lt;&gt;"",ROW(BJ$7:BJ$68)-ROW(BJ$7)+1),ROWS(BJ$7:BJ25))),"")</f>
        <v/>
      </c>
      <c r="T26" s="3" t="str">
        <f t="array" ref="T26">IFERROR(INDEX(BK$7:BK$68,SMALL(IF(BK$7:BK$68&lt;&gt;"",ROW(BK$7:BK$68)-ROW(BK$7)+1),ROWS(BK$7:BK25))),"")</f>
        <v/>
      </c>
      <c r="U26" s="3" t="str">
        <f t="array" ref="U26">IFERROR(INDEX(BL$7:BL$68,SMALL(IF(BL$7:BL$68&lt;&gt;"",ROW(BL$7:BL$68)-ROW(BL$7)+1),ROWS(BL$7:BL25))),"")</f>
        <v/>
      </c>
      <c r="V26" s="3"/>
      <c r="W26" s="3"/>
      <c r="X26" s="3"/>
      <c r="Y26" s="3"/>
      <c r="Z26" s="3" t="str">
        <f t="array" ref="Z26">IFERROR(INDEX(CE$7:CE$348,SMALL(IF(CE$7:CE$348&lt;&gt;"",ROW(CE$7:CE$348)-ROW(CE$7)+1),ROWS(CE$7:CE25))),"")</f>
        <v/>
      </c>
      <c r="AA26" s="3" t="str">
        <f t="array" ref="AA26">IFERROR(INDEX(CF$7:CF$348,SMALL(IF(CF$7:CF$348&lt;&gt;"",ROW(CF$7:CF$348)-ROW(CF$7)+1),ROWS(CF$7:CF25))),"")</f>
        <v/>
      </c>
      <c r="AB26" s="3" t="str">
        <f t="array" ref="AB26">IFERROR(INDEX(CG$7:CG$348,SMALL(IF(CG$7:CG$348&lt;&gt;"",ROW(CG$7:CG$348)-ROW(CG$7)+1),ROWS(CG$7:CG25))),"")</f>
        <v/>
      </c>
      <c r="AC26" s="3" t="str">
        <f t="array" ref="AC26">IFERROR(INDEX(CH$7:CH$348,SMALL(IF(CH$7:CH$348&lt;&gt;"",ROW(CH$7:CH$348)-ROW(CH$7)+1),ROWS(CH$7:CH25))),"")</f>
        <v/>
      </c>
      <c r="AD26" s="3" t="str">
        <f t="array" ref="AD26">IFERROR(INDEX(CI$7:CI$377,SMALL(IF(CI$7:CI$377&lt;&gt;"",ROW(CI$7:CI$377)-ROW(CI$7)+1),ROWS(CI$7:CI25))),"")</f>
        <v/>
      </c>
      <c r="AE26" s="3" t="str">
        <f t="array" ref="AE26">IFERROR(INDEX(CJ$7:CJ$378,SMALL(IF(CJ$7:CJ$378&lt;&gt;"",ROW(CJ$7:CJ$378)-ROW(CJ$7)+1),ROWS(CJ$7:CJ25))),"")</f>
        <v/>
      </c>
      <c r="AF26" s="3" t="str">
        <f t="array" ref="AF26">IFERROR(INDEX(CK$7:CK$378,SMALL(IF(CK$7:CK$378&lt;&gt;"",ROW(CK$7:CK$378)-ROW(CK$7)+1),ROWS(CK$7:CK25))),"")</f>
        <v/>
      </c>
      <c r="AG26" s="3" t="str">
        <f t="array" ref="AG26">IFERROR(INDEX(CL$7:CL$378,SMALL(IF(CL$7:CL$378&lt;&gt;"",ROW(CL$7:CL$378)-ROW(CL$7)+1),ROWS(CL$7:CL25))),"")</f>
        <v/>
      </c>
      <c r="AH26" s="40" t="str">
        <f t="array" ref="AH26">IFERROR(INDEX(CN$7:CN$18,SMALL(IF(CN$7:CN$18&lt;&gt;"",ROW(CN$7:CN$18)-ROW(CN$7)+1),ROWS(CN$7:CN25))),"")</f>
        <v/>
      </c>
      <c r="AI26" s="40" t="str">
        <f t="array" ref="AI26">IFERROR(INDEX(CO$7:CO$18,SMALL(IF(CO$7:CO$18&lt;&gt;"",ROW(CO$7:CO$18)-ROW(CO$7)+1),ROWS(CO$7:CO25))),"")</f>
        <v/>
      </c>
      <c r="AJ26" s="40" t="str">
        <f t="array" ref="AJ26">IFERROR(INDEX(CP$7:CP$8,SMALL(IF(CP$7:CP$8&lt;&gt;"",ROW(CP$7:CP$8)-ROW(CP$7)+1),ROWS(CP$7:CP25))),"")</f>
        <v/>
      </c>
      <c r="AK26" s="40"/>
      <c r="AL26" s="40" t="str">
        <f t="array" ref="AL26">IFERROR(INDEX(CR$7:CR$14,SMALL(IF(CR$7:CR$14&lt;&gt;"",ROW(CR$7:CR$14)-ROW(CR$7)+1),ROWS(CR$7:CR25))),"")</f>
        <v/>
      </c>
      <c r="AM26" s="40"/>
      <c r="AN26" s="52" t="str">
        <f>IF(Atletas!D19="","",IF(Atletas!B19="Feminino",100,IF(Atletas!B19="Masculino",200,""))+(IF(Atletas!D19="Kids 30kg",1,IF(Atletas!D19="Kids 32kg",2, IF(Atletas!D19="Kids 34kg",3,IF(Atletas!D19="Kids 36kg",4,IF(Atletas!D19="Kids 39kg",5,IF(Atletas!D19="Kids 42kg",6,IF(Atletas!D19="Kids 45kg",7, IF(Atletas!D19="Infantil 39kg",8,IF(Atletas!D19="Infantil 42kg",9,IF(Atletas!D19="Infantil 45kg",10,IF(Atletas!D19="Infantil 48kg",11,IF(Atletas!D19="Infantil 52kg",12,IF(Atletas!D19="Infantil 56kg",13,IF(Atletas!D19="Infantil 60kg",14,IF(Atletas!D19="Juvenil 48kg",15,IF(Atletas!D19="Juvenil 52kg",16,IF(Atletas!D19="Juvenil 56kg",17,IF(Atletas!D19="Juvenil 60kg",18,IF(Atletas!D19="Juvenil 65kg",19,IF(Atletas!D19="Juvenil 70kg",20,IF(Atletas!D19="Juvenil 75kg",21,IF(Atletas!D19="Juvenil 80kg",22, IF(Atletas!D19="Juvenil 85kg",23,IF(Atletas!D19="Adulto 48kg",24,IF(Atletas!D19="Adulto 52kg",25,IF(Atletas!D19="Adulto 56kg",26,IF(Atletas!D19="Adulto 60kg",27,IF(Atletas!D19="Adulto 65kg",28,IF(Atletas!D19="Adulto 70kg",29,IF(Atletas!D19="Adulto 75kg",30,IF(Atletas!D19="Adulto 80kg",31,IF(Atletas!D19="Adulto 85kg",32,IF(Atletas!D19="Adulto 90kg",33,IF(Atletas!D19="Adulto 100kg",34, IF(Atletas!D19="Adulto +100kg",35,"")))))))))))))))))))))))))))))))))))))</f>
        <v/>
      </c>
      <c r="AO26" s="50" t="str">
        <f>IF(AP26&lt;&gt;"","Adulto 75kg","")</f>
        <v/>
      </c>
      <c r="AP26" s="6" t="str">
        <f>IF(COUNTIF(AN:AN,130)&gt;0,COUNTIF(AN:AN,130),"")</f>
        <v/>
      </c>
      <c r="AQ26" s="50" t="str">
        <f>IF(AR26&lt;&gt;"","Juvenil 70kg","")</f>
        <v/>
      </c>
      <c r="AR26" s="6" t="str">
        <f>IF(COUNTIF(AN:AN,220)&gt;0,COUNTIF(AN:AN,220),"")</f>
        <v/>
      </c>
      <c r="AS26" s="6" t="str">
        <f>IF(Atletas!E19="","",IF(Atletas!B19="Feminino",100,IF(Atletas!B19="Masculino",200,""))+(IF(Atletas!E19="Juvenil 44kg",1,IF(Atletas!E19="Juvenil 48kg",2,IF(Atletas!E19="Juvenil 52kg",3,IF(Atletas!E19="Juvenil 56kg",4,IF(Atletas!E19="Juvenil 60kg",5,IF(Atletas!E19="Juvenil 65kg",6,IF(Atletas!E19="Juvenil 70kg",7,IF(Atletas!E19="Juvenil 75kg",8,IF(Atletas!E19="Juvenil 82kg",9,IF(Atletas!E19="Juvenil 90kg",10,IF(Atletas!E19="Juvenil 100kg",11,IF(Atletas!E19="Adulto 48kg",12,IF(Atletas!E19="Adulto 52kg",13,IF(Atletas!E19="Adulto 56kg",14,IF(Atletas!E19="Adulto 60kg",15,IF(Atletas!E19="Adulto 65kg",16,IF(Atletas!E19="Adulto 70kg",17,IF(Atletas!E19="Adulto 75kg",18,IF(Atletas!E19="Adulto 82kg",19,IF(Atletas!E19="Adulto 90kg",20,IF(Atletas!E19="Adulto 100kg",21,IF(Atletas!E19="Adulto +100kg",22,""))))))))))))))))))))))))</f>
        <v/>
      </c>
      <c r="AV26" s="50" t="str">
        <f>IF(AW26&lt;&gt;"","Adulto +100kg","")</f>
        <v/>
      </c>
      <c r="AW26" s="6" t="str">
        <f>IF(COUNTIF(AS:AS,222)&gt;0,COUNTIF(AS:AS,222),"")</f>
        <v/>
      </c>
      <c r="AX26" s="6" t="str">
        <f>IF(Atletas!F19="","",IF(Atletas!B19="Feminino",100,IF(Atletas!B19="Masculino",200,""))+(IF(Atletas!F19="Adulto 48kg",1,IF(Atletas!F19="Adulto 56kg",2,IF(Atletas!F19="Adulto 65kg",3,IF(Atletas!F19="Adulto 75kg",4,IF(Atletas!F19="Adulto +75kg",5,IF(Atletas!F19="Adulto 52kg",6,IF(Atletas!F19="Adulto 60kg",7,IF(Atletas!F19="Adulto 70kg",8,IF(Atletas!F19="Adulto 80kg",9,IF(Atletas!F19="Adulto 90kg",10,IF(Atletas!F19="Adulto +90kg",11,"")))))))))))))</f>
        <v/>
      </c>
      <c r="BC26" s="6" t="str">
        <f>IF(Atletas!G19="","",IF(Atletas!B19="Feminino",10,IF(Atletas!B19="Masculino",20,""))+(IF(Atletas!G19="Baduanjin A",1,IF(Atletas!G19="Baduanjin B",2))))</f>
        <v/>
      </c>
      <c r="BF26" s="52" t="str">
        <f>IF(Atletas!H19="","",IF(Atletas!B19="Feminino",100,IF(Atletas!B19="Masculino",200,""))+(IF(Atletas!H19="Changquan Mirim",1,IF(Atletas!H19="Nanquan Mirim",2,IF(Atletas!H19="Taijiquan Mirim",3,IF(Atletas!H19="Changquan Grupo C",4,IF(Atletas!H19="Nanquan Grupo C",5,IF(Atletas!H19="Taijiquan Grupo C",6,IF(Atletas!H19="Changquan Grupo B",7,IF(Atletas!H19="Nanquan Grupo B",8,IF(Atletas!H19="Taijiquan Grupo B",9,IF(Atletas!H19="Changquan Grupo A",10,IF(Atletas!H19="Nanquan Grupo A",11,IF(Atletas!H19="Taijiquan Grupo A",12,IF(Atletas!H19="Changquan Opcional",13,IF(Atletas!H19="Nanquan Opcional",14,IF(Atletas!H19="Taijiquan Opcional",15,IF(Atletas!H19="Changquan Adulto",16,IF(Atletas!H19="Nanquan Adulto",17,IF(Atletas!H19="Taijiquan Adulto",18,""))))))))))))))))))))</f>
        <v/>
      </c>
      <c r="BG26" s="52" t="str">
        <f>IF(Atletas!I19="","",IF(Atletas!B19="Feminino",100,IF(Atletas!B19="Masculino",200,""))+(IF(Atletas!I19="Daoshu Mirim",19,IF(Atletas!I19="Jianshu Mirim",20,IF(Atletas!I19="Nandao Mirim",21,IF(Atletas!I19="Taijijian Mirim",22,IF(Atletas!I19="Daoshu Grupo C",23,IF(Atletas!I19="Jianshu Grupo C",24,IF(Atletas!I19="Nandao Grupo C",25,IF(Atletas!I19="Taijijian Grupo C",26,IF(Atletas!I19="Daoshu Grupo B",27,IF(Atletas!I19="Jianshu Grupo B",28,IF(Atletas!I19="Nandao Grupo B",29,IF(Atletas!I19="Taijijian Grupo B",30,IF(Atletas!I19="Daoshu Grupo A",31,IF(Atletas!I19="Jianshu Grupo A",32,IF(Atletas!I19="Nandao Grupo A",33,IF(Atletas!I19="Taijijian Grupo A",34,IF(Atletas!I19="Daoshu Opcional",35,IF(Atletas!I19="Jianshu Opcional",36,IF(Atletas!I19="Nandao Opcional",37,IF(Atletas!I19="Taijijian Opcional",38,IF(Atletas!I19="Daoshu Adulto",39,IF(Atletas!I19="Jianshu Adulto",40,IF(Atletas!I19="Nandao Adulto",41,IF(Atletas!I19="Taijijian Adulto",42,""))))))))))))))))))))))))))</f>
        <v/>
      </c>
      <c r="BH26" s="52" t="str">
        <f>IF(Atletas!J19="","",IF(Atletas!B19="Feminino",100,IF(Atletas!B19="Masculino",200,""))+(IF(Atletas!J19="Gunshu Mirim",43,IF(Atletas!J19="Qiangshu Mirim",44,IF(Atletas!J19="Nangun Mirim",45,IF(Atletas!J19="Gunshu Grupo C",46,IF(Atletas!J19="Qiangshu Grupo C",47,IF(Atletas!J19="Nangun Grupo C",48,IF(Atletas!J19="Gunshu Grupo B",49,IF(Atletas!J19="Qiangshu Grupo B",50,IF(Atletas!J19="Nangun Grupo B",51,IF(Atletas!J19="Gunshu Grupo A",52,IF(Atletas!J19="Qiangshu Grupo A",53,IF(Atletas!J19="Nangun Grupo A",54,IF(Atletas!J19="Gunshu Opcional",55,IF(Atletas!J19="Qiangshu Opcional",56,IF(Atletas!J19="Nangun Opcional",57,IF(Atletas!J19="Gunshu Adulto",58,IF(Atletas!J19="Qiangshu Adulto",59,IF(Atletas!J19="Nangun Adulto",60,IF(Atletas!J19="Taijishan Grupo B",61,IF(Atletas!J19="Taijishan Grupo A",62,""))))))))))))))))))))))</f>
        <v/>
      </c>
      <c r="BI26" s="6" t="str">
        <f>IF(BJ26&lt;&gt;"","Nangun Grupo C","")</f>
        <v/>
      </c>
      <c r="BJ26" s="50" t="str">
        <f>IF(COUNTIF(BF:BH,148)&gt;0,COUNTIF(BF:BH,148),"")</f>
        <v/>
      </c>
      <c r="BK26" s="6" t="str">
        <f>IF(BL26&lt;&gt;"","Nangun Grupo C","")</f>
        <v/>
      </c>
      <c r="BL26" s="50" t="str">
        <f>IF(COUNTIF(BF:BH,248)&gt;0,COUNTIF(BF:BH,248),"")</f>
        <v/>
      </c>
      <c r="BM26" s="50" t="str">
        <f>IF(Atletas!K19="","",IF(Atletas!B19="Feminino",100,IF(Atletas!B19="Masculino",200,""))+(IF(Atletas!K19="Equipe 1 Grupo B",1,IF(Atletas!K19="Equipe 2 Grupo B",2,IF(Atletas!K19="Equipe 1 Grupo A",3,IF(Atletas!K19="Equipe 2 Grupo A",4,IF(Atletas!K19="Equipe 1 Adulto",5,IF(Atletas!K19="Equipe 2 Adulto",6,""))))))))</f>
        <v/>
      </c>
      <c r="BR26" s="50" t="str">
        <f>IF(Atletas!L19="","",IF(Atletas!X19&lt;&gt;"",10000,0)+(IF(Atletas!B19="Feminino",1000,IF(Atletas!B19="Masculino",2000,""))+IF(Atletas!L19="Choylayfut A",1,IF(Atletas!L19="Hunggar A",2,IF(Atletas!L19="Wuzuquan A",3,IF(Atletas!L19="Wingchun A",4,IF(Atletas!L19="Outra Mão de Sul A",5,IF(Atletas!L19="Choylayfut B",6,IF(Atletas!L19="Hunggar B",7,IF(Atletas!L19="Wuzuquan B",8,IF(Atletas!L19="Wingchun B",9,IF(Atletas!L19="Outra Mão de Sul B",10,IF(Atletas!L19="Choylayfut C",11,IF(Atletas!L19="Hunggar C",12,IF(Atletas!L19="Wuzuquan C",13,IF(Atletas!L19="Wingchun C",14,IF(Atletas!L19="Outra Mão de Sul C",15,IF(Atletas!L19="Choylayfut D",16,IF(Atletas!L19="Hunggar D",17,IF(Atletas!L19="Wuzuquan D",18,IF(Atletas!L19="Wingchun D",19,IF(Atletas!L19="Outra Mão de Sul D",20,IF(Atletas!L19="Choylayfut E",21,IF(Atletas!L19="Hunggar E",22,IF(Atletas!L19="Wuzuquan E",23,IF(Atletas!L19="Wingchun E",24,IF(Atletas!L19="Outra Mão de Sul E",25,IF(Atletas!L19="Choylayfut F",26,IF(Atletas!L19="Hunggar F",27,IF(Atletas!L19="Wuzuquan F",28,IF(Atletas!L19="Wingchun F",29,IF(Atletas!L19="Outra Mão de Sul F",30,IF(Atletas!L19="Dishuquan A",31,IF(Atletas!L19="Dishuquan B",32,IF(Atletas!L19="Dishuquan C",33,IF(Atletas!L19="Dishuquan D",34,IF(Atletas!L19="Dishuquan E",35,IF(Atletas!L19="Dishuquan F",36,""))))))))))))))))))))))))))))))))))))))</f>
        <v/>
      </c>
      <c r="BS26" s="50" t="str">
        <f>IF(Atletas!M19="","",IF(Atletas!X19&lt;&gt;"",10000,0)+(IF(Atletas!B19="Feminino",1000,IF(Atletas!B19="Masculino",2000,""))+(IF(Atletas!M19="Chaquan A",101,IF(Atletas!M19="Emeiquan A",102,IF(Atletas!M19="Fanziquan A",103,IF(Atletas!M19="Huaquan A",104,IF(Atletas!M19="Hongquan A",105,IF(Atletas!M19="Paoquan A",106,IF(Atletas!M19="Piguaquan A",107,IF(Atletas!M19="Shaolinquan A",108,IF(Atletas!M19="Tanglangquan A",109,IF(Atletas!M19="Yingzhaoquan A",110,IF(Atletas!M19="Tongbeiquan A",111,IF(Atletas!M19="Wudangquan A",112,IF(Atletas!M19="Outros Estilos A",113,IF(Atletas!M19="Chaquan B",114,IF(Atletas!M19="Emeiquan B",115,IF(Atletas!M19="Fanziquan B",116,IF(Atletas!M19="Huaquan B",117,IF(Atletas!M19="Hongquan B",118,IF(Atletas!M19="Paoquan B",119,IF(Atletas!M19="Piguaquan B",120,IF(Atletas!M19="Shaolinquan B",121,IF(Atletas!M19="Tanglangquan B",122,IF(Atletas!M19="Yingzhaoquan B",123,IF(Atletas!M19="Tongbeiquan B",124,IF(Atletas!M19="Wudangquan B",125,IF(Atletas!M19="Outros Estilos B",126,IF(Atletas!M19="Chaquan C",127,IF(Atletas!M19="Emeiquan C",128,IF(Atletas!M19="Fanziquan C",129,IF(Atletas!M19="Huaquan C",130,IF(Atletas!M19="Hongquan C",131,IF(Atletas!M19="Paoquan C",132,IF(Atletas!M19="Piguaquan C",133,IF(Atletas!M19="Shaolinquan C",134,IF(Atletas!M19="Tanglangquan C",135,IF(Atletas!M19="Yingzhaoquan C",136,IF(Atletas!M19="Tongbeiquan C",137,IF(Atletas!M19="Wudangquan C",138,IF(Atletas!M19="Outros Estilos C",139,0))))))))))))))))))))))))))))))))))))))))))</f>
        <v/>
      </c>
      <c r="BT26" s="50" t="str">
        <f>IF(Atletas!M19="","",IF(Atletas!X19&lt;&gt;"",10000,0)+(IF(Atletas!B19="Feminino",1000,IF(Atletas!B19="Masculino",2000,""))+(IF(Atletas!M19="Chaquan D",140,IF(Atletas!M19="Emeiquan D",141,IF(Atletas!M19="Fanziquan D",142,IF(Atletas!M19="Huaquan D",143,IF(Atletas!M19="Hongquan D",144,IF(Atletas!M19="Paoquan D",145,IF(Atletas!M19="Piguaquan D",146,IF(Atletas!M19="Shaolinquan D",147,IF(Atletas!M19="Tanglangquan D",148,IF(Atletas!M19="Yingzhaoquan D",149,IF(Atletas!M19="Tongbeiquan D",150,IF(Atletas!M19="Wudangquan D",151,IF(Atletas!M19="Outros Estilos D",152,IF(Atletas!M19="Chaquan E",153,IF(Atletas!M19="Emeiquan E",154,IF(Atletas!M19="Fanziquan E",155,IF(Atletas!M19="Huaquan E",156,IF(Atletas!M19="Hongquan E",157,IF(Atletas!M19="Paoquan E",158,IF(Atletas!M19="Piguaquan E",159,IF(Atletas!M19="Shaolinquan E",160,IF(Atletas!M19="Tanglangquan E",161,IF(Atletas!M19="Yingzhaoquan E",162,IF(Atletas!M19="Tongbeiquan E",163,IF(Atletas!M19="Wudangquan E",164,IF(Atletas!M19="Outros Estilos E",165,IF(Atletas!M19="Chaquan F",166,IF(Atletas!M19="Emeiquan F",167,IF(Atletas!M19="Fanziquan F",168,IF(Atletas!M19="Huaquan F",169,IF(Atletas!M19="Hongquan F",170,IF(Atletas!M19="Paoquan F",171,IF(Atletas!M19="Piguaquan F",172,IF(Atletas!M19="Shaolinquan F",173,IF(Atletas!M19="Tanglangquan F",174,IF(Atletas!M19="Yingzhaoquan F",175,IF(Atletas!M19="Tongbeiquan F",176,IF(Atletas!M19="Wudangquan F",177,IF(Atletas!M19="Outros Estilos F",178,0))))))))))))))))))))))))))))))))))))))))))</f>
        <v/>
      </c>
      <c r="BU26" s="50" t="str">
        <f>IF(Atletas!N19="","",IF(Atletas!X19&lt;&gt;"",10000,0)+(IF(Atletas!B19="Feminino",1000,IF(Atletas!B19="Masculino",2000,""))+(IF(Atletas!N19="Ditangquan A",201,IF(Atletas!N19="Houquan A",202,IF(Atletas!N19="Zuiquan A",203,IF(Atletas!N19="Ditangquan B",204,IF(Atletas!N19="Houquan B",205,IF(Atletas!N19="Zuiquan B",206,IF(Atletas!N19="Ditangquan C",207,IF(Atletas!N19="Houquan C",208,IF(Atletas!N19="Zuiquan C",209,IF(Atletas!N19="Ditangquan D",210,IF(Atletas!N19="Houquan D",211,IF(Atletas!N19="Zuiquan D",212,IF(Atletas!N19="Ditangquan E",213,IF(Atletas!N19="Houquan E",214,IF(Atletas!N19="Zuiquan E",215,IF(Atletas!N19="Ditangquan F",216,IF(Atletas!N19="Houquan F",217,IF(Atletas!N19="Zuiquan F",218,"")))))))))))))))))))))</f>
        <v/>
      </c>
      <c r="BV26" s="50" t="str">
        <f>IF(Atletas!O19="","",IF(Atletas!X19&lt;&gt;"",10000,0)+IF(Atletas!B19="Feminino",1000,IF(Atletas!B19="Masculino",2000,""))+IF(Atletas!O19="Yang A",301,IF(Atletas!O19="Chen A",302,IF(Atletas!O19="Sun A",303,IF(Atletas!O19="Wu A",304,IF(Atletas!O19="Wu-Hao A",305,IF(Atletas!O19="Outro Taijiquan A",306,IF(Atletas!O19="Yang B",307,IF(Atletas!O19="Chen B",308,IF(Atletas!O19="Sun B",309,IF(Atletas!O19="Wu B",310,IF(Atletas!O19="Wu-Hao B",311,IF(Atletas!O19="Outro Taijiquan B",312,IF(Atletas!O19="Yang C",313,IF(Atletas!O19="Chen C",314,IF(Atletas!O19="Sun C",315,IF(Atletas!O19="Wu C",316,IF(Atletas!O19="Wu-Hao C",317,IF(Atletas!O19="Outro Taijiquan C",318,IF(Atletas!O19="Yang D",319,IF(Atletas!O19="Chen D",320,IF(Atletas!O19="Sun D",321,IF(Atletas!O19="Wu D",322,IF(Atletas!O19="Wu-Hao D",323,IF(Atletas!O19="Outro Taijiquan D",324,IF(Atletas!O19="Yang E",325,IF(Atletas!O19="Chen E",326,IF(Atletas!O19="Sun E",327,IF(Atletas!O19="Wu E",328,IF(Atletas!O19="Wu-Hao E",329,IF(Atletas!O19="Outro Taijiquan E",330,IF(Atletas!O19="Yang F",331,IF(Atletas!O19="Chen F",332,IF(Atletas!O19="Sun F",333,IF(Atletas!O19="Wu F",334,IF(Atletas!O19="Wu-Hao F",335,IF(Atletas!O19="Outro Taijiquan F",336,"")))))))))))))))))))))))))))))))))))))</f>
        <v/>
      </c>
      <c r="BW26" s="50" t="str">
        <f>IF(Atletas!P19="","",IF(Atletas!X19&lt;&gt;"",10000,0)+IF(Atletas!B19="Feminino",1000,IF(Atletas!B19="Masculino",2000,""))+IF(OR(Atletas!P19="Yang 26 A",Atletas!P19="Yang 40 A"),401,IF(OR(Atletas!P19="Chen 25 A",Atletas!P19="Chen 36 A",Atletas!P19="Chen 56 A"),402,IF(Atletas!P19="Sun 73 A",403,IF(Atletas!P19="Wu 45 A",404,IF(Atletas!P19="Wu-Hao 46 A",405,IF(OR(Atletas!P19="Taijiquan 16 A",Atletas!P19="Taijiquan 24 A",Atletas!P19="Taijiquan 32 A",Atletas!P19="Taijiquan 42 A"),406,IF(OR(Atletas!P19="Yang 26 B",Atletas!P19="Yang 40 B"),407,IF(OR(Atletas!P19="Chen 25 B",Atletas!P19="Chen 36 B",Atletas!P19="Chen 56 B"),408,IF(Atletas!P19="Sun 73 B",409,IF(Atletas!P19="Wu 45 B",410,IF(Atletas!P19="Wu-Hao 46 B",411,IF(OR(Atletas!P19="Taijiquan 16 B",Atletas!P19="Taijiquan 24 B",Atletas!P19="Taijiquan 32 B",Atletas!P19="Taijiquan 42 B"),412,IF(OR(Atletas!P19="Yang 26 C",Atletas!P19="Yang 40 C"),413,IF(OR(Atletas!P19="Chen 25 C",Atletas!P19="Chen 36 C",Atletas!P19="Chen 56 C"),414,IF(Atletas!P19="Sun 73 C",415,IF(Atletas!P19="Wu 45 C",416,IF(Atletas!P19="Wu-Hao 46 C",417,IF(OR(Atletas!P19="Taijiquan 16 C",Atletas!P19="Taijiquan 24 C",Atletas!P19="Taijiquan 32 C",Atletas!P19="Taijiquan 42 C"),418,0)))))))))))))))))))</f>
        <v/>
      </c>
      <c r="BX26" s="50" t="str">
        <f>IF(Atletas!P19="","",IF(Atletas!X19&lt;&gt;"",10000,0)+IF(Atletas!B19="Feminino",1000,IF(Atletas!B19="Masculino",2000,""))+IF(OR(Atletas!P19="Yang 26 D",Atletas!P19="Yang 40 D"),419,IF(OR(Atletas!P19="Chen 25 D",Atletas!P19="Chen 36 D",Atletas!P19="Chen 56 D"),420,IF(Atletas!P19="Sun 73 D",421,IF(Atletas!P19="Wu 45 D",422,IF(Atletas!P19="Wu-Hao 46 D",423,IF(OR(Atletas!P19="Taijiquan 16 D",Atletas!P19="Taijiquan 24 D",Atletas!P19="Taijiquan 32 D",Atletas!P19="Taijiquan 42 D"),424,IF(OR(Atletas!P19="Yang 26 E",Atletas!P19="Yang 40 E"),425,IF(OR(Atletas!P19="Chen 25 E",Atletas!P19="Chen 36 E",Atletas!P19="Chen 56 E"),426,IF(Atletas!P19="Sun 73 E",427,IF(Atletas!P19="Wu 45 E",428,IF(Atletas!P19="Wu-Hao 46 E",429,IF(OR(Atletas!P19="Taijiquan 16 E",Atletas!P19="Taijiquan 24 E",Atletas!P19="Taijiquan 32 E",Atletas!P19="Taijiquan 42 E"),430,IF(OR(Atletas!P19="Yang 26 F",Atletas!P19="Yang 40 F"),431,IF(OR(Atletas!P19="Chen 25 F",Atletas!P19="Chen 36 F",Atletas!P19="Chen 56 F"),432,IF(Atletas!P19="Sun 73 F",433,IF(Atletas!P19="Wu 45 F",434,IF(Atletas!P19="Wu-Hao 46 F",435,IF(OR(Atletas!P19="Taijiquan 16 F",Atletas!P19="Taijiquan 24 F",Atletas!P19="Taijiquan 32 F",Atletas!P19="Taijiquan 42 F"),436,0)))))))))))))))))))</f>
        <v/>
      </c>
      <c r="BY26" s="50" t="str">
        <f>IF(Atletas!Q19="","",IF(Atletas!X19&lt;&gt;"",10000,0)+IF(Atletas!B19="Feminino",1000,IF(Atletas!B19="Masculino",2000,""))+IF(Atletas!Q19="Xingyiquan A",501,IF(Atletas!Q19="Baguazhang A",502,IF(Atletas!Q19="Outro Estilo Interno A",503,IF(Atletas!Q19="Xingyiquan B",504,IF(Atletas!Q19="Baguazhang B",505,IF(Atletas!Q19="Outro Estilo Interno B",506,IF(Atletas!Q19="Xingyiquan C",507,IF(Atletas!Q19="Baguazhang C",508,IF(Atletas!Q19="Outro Estilo Interno C",509,IF(Atletas!Q19="Xingyiquan D",510,IF(Atletas!Q19="Baguazhang D",511,IF(Atletas!Q19="Outro Estilo Interno D",512,IF(Atletas!Q19="Xingyiquan E",513,IF(Atletas!Q19="Baguazhang E",514,IF(Atletas!Q19="Outro Estilo Interno E",515,IF(Atletas!Q19="Xingyiquan F",516,IF(Atletas!Q19="Baguazhang F",517,IF(Atletas!Q19="Outro Estilo Interno F",518, "")))))))))))))))))))</f>
        <v/>
      </c>
      <c r="BZ26" s="50" t="str">
        <f>IF(Atletas!R19="","",IF(Atletas!X19&lt;&gt;"",10000,0)+IF(Atletas!B19="Feminino",1000,IF(Atletas!B19="Masculino",2000,""))+IF(Atletas!R19="Dao A",601,IF(Atletas!R19="Jian A",602,IF(Atletas!R19="Bishou A",603,IF(Atletas!R19="Shanzi A",604,IF(Atletas!R19="Outra Arma Curta A",605,IF(Atletas!R19="Dao B",606,IF(Atletas!R19="Jian B",607,IF(Atletas!R19="Bishou B",608,IF(Atletas!R19="Shanzi B",609,IF(Atletas!R19="Outra Arma Curta B",610,IF(Atletas!R19="Dao C",611,IF(Atletas!R19="Jian C",612,IF(Atletas!R19="Bishou C",613,IF(Atletas!R19="Shanzi C",614,IF(Atletas!R19="Outra Arma Curta C",615,IF(Atletas!R19="Dao D",616,IF(Atletas!R19="Jian D",617,IF(Atletas!R19="Bishou D",618,IF(Atletas!R19="Shanzi D",619,IF(Atletas!R19="Outra Arma Curta D",620,IF(Atletas!R19="Dao E",621,IF(Atletas!R19="Jian E",622,IF(Atletas!R19="Bishou E",623,IF(Atletas!R19="Shanzi E",624,IF(Atletas!R19="Outra Arma Curta E",625,IF(Atletas!R19="Dao F",626,IF(Atletas!R19="Jian F",627,IF(Atletas!R19="Bishou F",628,IF(Atletas!R19="Shanzi F",629,IF(Atletas!R19="Outra Arma Curta F",630, "")))))))))))))))))))))))))))))))</f>
        <v/>
      </c>
      <c r="CA26" s="50" t="str">
        <f>IF(Atletas!S19="","",IF(Atletas!X19&lt;&gt;"",10000,0)+IF(Atletas!B19="Feminino",1000,IF(Atletas!B19="Masculino",2000,""))+IF(Atletas!S19="Gun A",701,IF(Atletas!S19="Qiang A",702,IF(Atletas!S19="Pudao / Guandao A",703,IF(Atletas!S19="Outra Arma Longa A",704,IF(Atletas!S19="Gun B",705,IF(Atletas!S19="Qiang B",706,IF(Atletas!S19="Pudao / Guandao B",707,IF(Atletas!S19="Outra Arma Longa B",708,IF(Atletas!S19="Gun C",709,IF(Atletas!S19="Qiang C",710,IF(Atletas!S19="Pudao / Guandao C",711,IF(Atletas!S19="Outra Arma Longa C",712,IF(Atletas!S19="Gun D",713,IF(Atletas!S19="Qiang D",714,IF(Atletas!S19="Pudao / Guandao D",715,IF(Atletas!S19="Outra Arma Longa D",716,IF(Atletas!S19="Gun E",717,IF(Atletas!S19="Qiang E",718,IF(Atletas!S19="Pudao / Guandao E",719,IF(Atletas!S19="Outra Arma Longa E",720,IF(Atletas!S19="Gun F",721,IF(Atletas!S19="Qiang F",722,IF(Atletas!S19="Pudao / Guandao F",723,IF(Atletas!S19="Outra Arma Longa F",724,"")))))))))))))))))))))))))</f>
        <v/>
      </c>
      <c r="CB26" s="50" t="str">
        <f>IF(Atletas!T19="","",IF(Atletas!X19&lt;&gt;"",10000,0)+IF(Atletas!B19="Feminino",1000,IF(Atletas!B19="Masculino",2000,""))+IF(Atletas!T19="Outra Arma Dupla A",801,IF(Atletas!T19="Arma Maleável A",802,IF(Atletas!T19="Outra Arma Dupla B",803,IF(Atletas!T19="Arma Maleável B",804,IF(Atletas!T19="Outra Arma Dupla C",805,IF(Atletas!T19="Arma Maleável C",806,IF(Atletas!T19="Outra Arma Dupla D",807,IF(Atletas!T19="Arma Maleável D",808,IF(Atletas!T19="Outra Arma Dupla E",809,IF(Atletas!T19="Arma Maleável E",810,IF(Atletas!T19="Outra Arma Dupla F",811,IF(Atletas!T19="Arma Maleável F",812,IF(Atletas!T19="Shuangdao A",813,IF(Atletas!T19="Shuangdao B",814,IF(Atletas!T19="Shuangdao C",815,IF(Atletas!T19="Shuangdao D",816,IF(Atletas!T19="Shuangdao E",817,IF(Atletas!T19="Shuangdao F",818,"")))))))))))))))))))</f>
        <v/>
      </c>
      <c r="CC26" s="50" t="str">
        <f>IF(Atletas!U19="","",IF(Atletas!X19&lt;&gt;"",10000,0)+IF(Atletas!B19="Feminino",1000,IF(Atletas!B19="Masculino",2000,""))+IF(OR(Atletas!U19="Taijijian Yang A",Atletas!U19="Taijijian Yang Standard A"),901,IF(OR(Atletas!U19="Taijijian Chen A", Atletas!U19="Taijijian Chen Standard A"),902,IF(Atletas!U19="Taijijian Sun A",903,IF(Atletas!U19="Taijijian Wu A",904,IF(Atletas!U19="Taijijian Wu-Hao A",905,IF(OR(Atletas!U19="Taijijian 32 A",Atletas!U19="Taijijian 42 A"),906,IF(OR(Atletas!U19="Taijijian Yang B",Atletas!U19="Taijijian Yang Standard B"),907,IF(OR(Atletas!U19="Taijijian Chen B", Atletas!U19="Taijijian Chen Standard B"),908,IF(Atletas!U19="Taijijian Sun B",909,IF(Atletas!U19="Taijijian Wu B",910,IF(Atletas!U19="Taijijian Wu-Hao B",911,IF(OR(Atletas!U19="Taijijian 32 B",Atletas!U19="Taijijian 42 B"),912,IF(OR(Atletas!U19="Taijijian Yang C",Atletas!U19="Taijijian Yang Standard C"),913,IF(OR(Atletas!U19="Taijijian Chen C", Atletas!U19="Taijijian Chen Standard C"),914,IF(Atletas!U19="Taijijian Sun C",915,IF(Atletas!U19="Taijijian Wu C",916,IF(Atletas!U19="Taijijian Wu-Hao C",917,IF(OR(Atletas!U19="Taijijian 32 C",Atletas!U19="Taijijian 42 C"),918,IF(OR(Atletas!U19="Taijijian Yang D",Atletas!U19="Taijijian Yang Standard D"),919,IF(OR(Atletas!U19="Taijijian Chen D", Atletas!U19="Taijijian Chen Standard D"),920,IF(Atletas!U19="Taijijian Sun D",921,IF(Atletas!U19="Taijijian Wu D",922,IF(Atletas!U19="Taijijian Wu-Hao D",923,IF(OR(Atletas!U19="Taijijian 32 D",Atletas!U19="Taijijian 42 D"),924,IF(OR(Atletas!U19="Taijijian Yang E",Atletas!U19="Taijijian Yang Standard E"),925,IF(OR(Atletas!U19="Taijijian Chen E", Atletas!U19="Taijijian Chen Standard E"),926,IF(Atletas!U19="Taijijian Sun E",927,IF(Atletas!U19="Taijijian Wu E",928,IF(Atletas!U19="Taijijian Wu-Hao E",929,IF(OR(Atletas!U19="Taijijian 32 E",Atletas!U19="Taijijian 42 E"),930,IF(OR(Atletas!U19="Taijijian Yang F",Atletas!U19="Taijijian Yang Standard F"),931,IF(OR(Atletas!U19="Taijijian Chen F", Atletas!U19="Taijijian Chen Standard F"),932,IF(Atletas!U19="Taijijian Sun F",933,IF(Atletas!U19="Taijijian Wu F",934,IF(Atletas!U19="Taijijian Wu-Hao F",935,IF(OR(Atletas!U19="Taijijian 32 F",Atletas!U19="Taijijian 42 F"),936,"")))))))))))))))))))))))))))))))))))))</f>
        <v/>
      </c>
      <c r="CD26" s="50" t="str">
        <f>IF(Atletas!V19="","",IF(Atletas!X19&lt;&gt;"",10000,0)+IF(Atletas!B19="Feminino",1000,IF(Atletas!B19="Masculino",2000,""))+IF(Atletas!V19="Taijidao A",937,IF(Atletas!V19="TaijiShanzi A",938,IF(Atletas!V19="Taijiqiang A",939,IF(Atletas!V19="Bagua de Arma A",940,IF(Atletas!V19="Xingyi de Arma A",941,IF(Atletas!V19="Taijidao B",942,IF(Atletas!V19="TaijiShanzi B",943,IF(Atletas!V19="Taijiqiang B",944,IF(Atletas!V19="Bagua de Arma B",945,IF(Atletas!V19="Xingyi de Arma B",946,IF(Atletas!V19="Taijidao C",947,IF(Atletas!V19="TaijiShanzi C",948,IF(Atletas!V19="Taijiqiang C",949,IF(Atletas!V19="Bagua de Arma C",950,IF(Atletas!V19="Xingyi de Arma C",951,IF(Atletas!V19="Taijidao D",952,IF(Atletas!V19="TaijiShanzi D",953,IF(Atletas!V19="Taijiqiang D",954,IF(Atletas!V19="Bagua de Arma D",955,IF(Atletas!V19="Xingyi de Arma D",956,IF(Atletas!V19="Taijidao E",957,IF(Atletas!V19="TaijiShanzi E",958,IF(Atletas!V19="Taijiqiang E",959,IF(Atletas!V19="Bagua de Arma E",960,IF(Atletas!V19="Xingyi de Arma E",961,IF(Atletas!V19="Taijidao F",962,IF(Atletas!V19="TaijiShanzi F",963,IF(Atletas!V19="Taijiqiang F",964,IF(Atletas!V19="Bagua de Arma F",965,IF(Atletas!V19="Xingyi de Arma F",966,"")))))))))))))))))))))))))))))))</f>
        <v/>
      </c>
      <c r="CE26" s="66" t="str">
        <f>IF(CF26&lt;&gt;"","Hunggar D","")</f>
        <v/>
      </c>
      <c r="CF26" s="66" t="str">
        <f>IF(COUNTIF(BR:CD,1017)&gt;0,COUNTIF(BR:CD,1017),"")</f>
        <v/>
      </c>
      <c r="CG26" s="66" t="str">
        <f>IF(CH26&lt;&gt;"","Hunggar D","")</f>
        <v/>
      </c>
      <c r="CH26" s="66" t="str">
        <f>IF(COUNTIF(BR:CD,2017)&gt;0,COUNTIF(BR:CD,2017),"")</f>
        <v/>
      </c>
      <c r="CI26" s="66" t="str">
        <f>IF(CJ26&lt;&gt;"","Outra Mão de Sul D","")</f>
        <v/>
      </c>
      <c r="CJ26" s="66" t="str">
        <f>IF(COUNTIF(BR:CD,11020)&gt;0,COUNTIF(BR:CD,11020),"")</f>
        <v/>
      </c>
      <c r="CK26" s="66" t="str">
        <f>IF(CL26&lt;&gt;"","Outra Mão de Sul D","")</f>
        <v/>
      </c>
      <c r="CL26" s="66" t="str">
        <f>IF(COUNTIF(BR:CD,12020)&gt;0,COUNTIF(BR:CD,12020),"")</f>
        <v/>
      </c>
      <c r="CM26" s="50" t="str">
        <f xml:space="preserve"> IF(Atletas!W19="","",IF(Atletas!W19="Duilian de Mãos BC - Equipe 1",1,IF(Atletas!W19="Duilian de Mãos BC - Equipe 2",2,IF(Atletas!W19="Duilian de Armas BC - Equipe 1",3,IF(Atletas!W19="Duilian de Armas BC - Equipe 2",4,IF(Atletas!W19="Duilian de Mãos DE - Equipe 1",5,IF(Atletas!W19="Duilian de Mãos DE - Equipe 2",6,IF(Atletas!W19="Duilian de Armas DE - Equipe 1",7,IF(Atletas!W19="Duilian de Armas DE - Equipe 2",8,IF(Atletas!W19="Duilian de Tuishou - Equipe 1",9,IF(Atletas!W19="Duilian de Tuishou - Equipe 2",10,IF(Atletas!W19="Grupo Externo ABC - Equipe 1",11,IF(Atletas!W19="Grupo Externo ABC - Equipe 2",12,IF(Atletas!W19="Grupo Interno ABC - Equipe 1",13,IF(Atletas!W19="Grupo Interno ABC - Equipe 2",14,IF(Atletas!W19="Grupo Externo DEF - Equipe 1",15,IF(Atletas!W19="Grupo Externo DEF - Equipe 2",16,IF(Atletas!W19="Grupo Interno DEF - Equipe 1",17,IF(Atletas!W19="Grupo Interno DEF - Equipe 2",18,"")))))))))))))))))))</f>
        <v/>
      </c>
      <c r="CY26" s="41"/>
    </row>
    <row r="27" spans="1:103">
      <c r="A27" s="16"/>
      <c r="B27" s="3" t="str">
        <f t="array" ref="B27">IFERROR(INDEX(AO$7:AO$38,SMALL(IF(AO$7:AO$38&lt;&gt;"",ROW(AO$7:AO$38)-ROW(AO$7)+1),ROWS(AO$7:AO26))),"")</f>
        <v/>
      </c>
      <c r="C27" s="3" t="str">
        <f t="array" ref="C27">IFERROR(INDEX(AP$7:AP$38,SMALL(IF(AP$7:AP$38&lt;&gt;"",ROW(AP$7:AP$38)-ROW(AP$7)+1),ROWS(AP$7:AP26))),"")</f>
        <v/>
      </c>
      <c r="D27" s="3" t="str">
        <f t="array" ref="D27">IFERROR(INDEX(AQ$7:AQ$38,SMALL(IF(AQ$7:AQ$38&lt;&gt;"",ROW(AQ$7:AQ$38)-ROW(AQ$7)+1),ROWS(AQ$7:AQ26))),"")</f>
        <v/>
      </c>
      <c r="E27" s="3" t="str">
        <f t="array" ref="E27">IFERROR(INDEX(AR$7:AR$38,SMALL(IF(AR$7:AR$38&lt;&gt;"",ROW(AR$7:AR$38)-ROW(AR$7)+1),ROWS(AR$7:AR26))),"")</f>
        <v/>
      </c>
      <c r="F27" s="3" t="str">
        <f t="array" ref="F27">IFERROR(INDEX(AT$7:AT$36,SMALL(IF(AT$7:AT$36&lt;&gt;"",ROW(AT$7:AT$36)-ROW(AT$7)+1),ROWS(AT$7:AT26))),"")</f>
        <v/>
      </c>
      <c r="G27" s="3" t="str">
        <f t="array" ref="G27">IFERROR(INDEX(AU$7:AU$36,SMALL(IF(AU$7:AU$36&lt;&gt;"",ROW(AU$7:AU$36)-ROW(AU$7)+1),ROWS(AU$7:AU26))),"")</f>
        <v/>
      </c>
      <c r="H27" s="3" t="str">
        <f t="array" ref="H27">IFERROR(INDEX(AV$7:AV$36,SMALL(IF(AV$7:AV$36&lt;&gt;"",ROW(AV$7:AV$36)-ROW(AV$7)+1),ROWS(AV$7:AV26))),"")</f>
        <v/>
      </c>
      <c r="I27" s="3" t="str">
        <f t="array" ref="I27">IFERROR(INDEX(AW$7:AW$36,SMALL(IF(AW$7:AW$36&lt;&gt;"",ROW(AW$7:AW$36)-ROW(AW$7)+1),ROWS(AW$7:AW26))),"")</f>
        <v/>
      </c>
      <c r="J27" s="3" t="str">
        <f t="array" ref="J27">IFERROR(INDEX(AY$7:AY$36,SMALL(IF(AY$7:AY$36&lt;&gt;"",ROW(AY$7:AY$36)-ROW(AY$7)+1),ROWS(AY$7:AY26))),"")</f>
        <v/>
      </c>
      <c r="K27" s="3" t="str">
        <f t="array" ref="K27">IFERROR(INDEX(AZ$7:AZ$36,SMALL(IF(AZ$7:AZ$36&lt;&gt;"",ROW(AZ$7:AZ$36)-ROW(AZ$7)+1),ROWS(AZ$7:AZ26))),"")</f>
        <v/>
      </c>
      <c r="L27" s="3" t="str">
        <f t="array" ref="L27">IFERROR(INDEX(BA$7:BA$36,SMALL(IF(BA$7:BA$36&lt;&gt;"",ROW(BA$7:BA$36)-ROW(BA$7)+1),ROWS(BA$7:BA26))),"")</f>
        <v/>
      </c>
      <c r="M27" s="3" t="str">
        <f t="array" ref="M27">IFERROR(INDEX(BB$7:BB$36,SMALL(IF(BB$7:BB$36&lt;&gt;"",ROW(BB$7:BB$36)-ROW(BB$7)+1),ROWS(BB$7:BB26))),"")</f>
        <v/>
      </c>
      <c r="N27" s="3" t="str" cm="1">
        <f t="array" ref="N27">IFERROR(INDEX(BD$7:BD$8,SMALL(IF(BD$7:BD$8&lt;&gt;"",ROW(BD$7:BD$8)-ROW(BD$7)+1),ROWS(BD$7:BD26))),"")</f>
        <v/>
      </c>
      <c r="O27" s="3" t="str" cm="1">
        <f t="array" ref="O27">IFERROR(INDEX(BE$7:BE$8,SMALL(IF(BE$7:BE$8&lt;&gt;"",ROW(BE$7:BE$8)-ROW(BE$7)+1),ROWS(BE$7:BE26))),"")</f>
        <v/>
      </c>
      <c r="P27" s="3" t="str" cm="1">
        <f t="array" ref="P27">IFERROR(INDEX(BD$9:BD$10,SMALL(IF(BD$9:BD$10&lt;&gt;"",ROW(BD$9:BD$10)-ROW(BD$9)+1),ROWS(BD$9:BD28))),"")</f>
        <v/>
      </c>
      <c r="Q27" s="3" t="str">
        <f t="array" ref="Q27">IFERROR(INDEX(BH$7:BH$36,SMALL(IF(BH$7:BH$36&lt;&gt;"",ROW(BH$7:BH$36)-ROW(BH$7)+1),ROWS(BH$7:BH26))),"")</f>
        <v/>
      </c>
      <c r="R27" s="3" t="str">
        <f t="array" ref="R27">IFERROR(INDEX(BI$7:BI$68,SMALL(IF(BI$7:BI$68&lt;&gt;"",ROW(BI$7:BI$68)-ROW(BI$7)+1),ROWS(BI$7:BI26))),"")</f>
        <v/>
      </c>
      <c r="S27" s="3" t="str">
        <f t="array" ref="S27">IFERROR(INDEX(BJ$7:BJ$68,SMALL(IF(BJ$7:BJ$68&lt;&gt;"",ROW(BJ$7:BJ$68)-ROW(BJ$7)+1),ROWS(BJ$7:BJ26))),"")</f>
        <v/>
      </c>
      <c r="T27" s="3" t="str">
        <f t="array" ref="T27">IFERROR(INDEX(BK$7:BK$68,SMALL(IF(BK$7:BK$68&lt;&gt;"",ROW(BK$7:BK$68)-ROW(BK$7)+1),ROWS(BK$7:BK26))),"")</f>
        <v/>
      </c>
      <c r="U27" s="3" t="str">
        <f t="array" ref="U27">IFERROR(INDEX(BL$7:BL$68,SMALL(IF(BL$7:BL$68&lt;&gt;"",ROW(BL$7:BL$68)-ROW(BL$7)+1),ROWS(BL$7:BL26))),"")</f>
        <v/>
      </c>
      <c r="V27" s="3"/>
      <c r="W27" s="3"/>
      <c r="X27" s="3"/>
      <c r="Y27" s="3"/>
      <c r="Z27" s="3" t="str">
        <f t="array" ref="Z27">IFERROR(INDEX(CE$7:CE$348,SMALL(IF(CE$7:CE$348&lt;&gt;"",ROW(CE$7:CE$348)-ROW(CE$7)+1),ROWS(CE$7:CE26))),"")</f>
        <v/>
      </c>
      <c r="AA27" s="3" t="str">
        <f t="array" ref="AA27">IFERROR(INDEX(CF$7:CF$348,SMALL(IF(CF$7:CF$348&lt;&gt;"",ROW(CF$7:CF$348)-ROW(CF$7)+1),ROWS(CF$7:CF26))),"")</f>
        <v/>
      </c>
      <c r="AB27" s="3" t="str">
        <f t="array" ref="AB27">IFERROR(INDEX(CG$7:CG$348,SMALL(IF(CG$7:CG$348&lt;&gt;"",ROW(CG$7:CG$348)-ROW(CG$7)+1),ROWS(CG$7:CG26))),"")</f>
        <v/>
      </c>
      <c r="AC27" s="3" t="str">
        <f t="array" ref="AC27">IFERROR(INDEX(CH$7:CH$348,SMALL(IF(CH$7:CH$348&lt;&gt;"",ROW(CH$7:CH$348)-ROW(CH$7)+1),ROWS(CH$7:CH26))),"")</f>
        <v/>
      </c>
      <c r="AD27" s="3" t="str">
        <f t="array" ref="AD27">IFERROR(INDEX(CI$7:CI$377,SMALL(IF(CI$7:CI$377&lt;&gt;"",ROW(CI$7:CI$377)-ROW(CI$7)+1),ROWS(CI$7:CI26))),"")</f>
        <v/>
      </c>
      <c r="AE27" s="3" t="str">
        <f t="array" ref="AE27">IFERROR(INDEX(CJ$7:CJ$378,SMALL(IF(CJ$7:CJ$378&lt;&gt;"",ROW(CJ$7:CJ$378)-ROW(CJ$7)+1),ROWS(CJ$7:CJ26))),"")</f>
        <v/>
      </c>
      <c r="AF27" s="3" t="str">
        <f t="array" ref="AF27">IFERROR(INDEX(CK$7:CK$378,SMALL(IF(CK$7:CK$378&lt;&gt;"",ROW(CK$7:CK$378)-ROW(CK$7)+1),ROWS(CK$7:CK26))),"")</f>
        <v/>
      </c>
      <c r="AG27" s="3" t="str">
        <f t="array" ref="AG27">IFERROR(INDEX(CL$7:CL$378,SMALL(IF(CL$7:CL$378&lt;&gt;"",ROW(CL$7:CL$378)-ROW(CL$7)+1),ROWS(CL$7:CL26))),"")</f>
        <v/>
      </c>
      <c r="AH27" s="40" t="str">
        <f t="array" ref="AH27">IFERROR(INDEX(CN$7:CN$18,SMALL(IF(CN$7:CN$18&lt;&gt;"",ROW(CN$7:CN$18)-ROW(CN$7)+1),ROWS(CN$7:CN26))),"")</f>
        <v/>
      </c>
      <c r="AI27" s="40" t="str">
        <f t="array" ref="AI27">IFERROR(INDEX(CO$7:CO$18,SMALL(IF(CO$7:CO$18&lt;&gt;"",ROW(CO$7:CO$18)-ROW(CO$7)+1),ROWS(CO$7:CO26))),"")</f>
        <v/>
      </c>
      <c r="AJ27" s="40" t="str">
        <f t="array" ref="AJ27">IFERROR(INDEX(CP$7:CP$8,SMALL(IF(CP$7:CP$8&lt;&gt;"",ROW(CP$7:CP$8)-ROW(CP$7)+1),ROWS(CP$7:CP26))),"")</f>
        <v/>
      </c>
      <c r="AK27" s="40"/>
      <c r="AL27" s="40" t="str">
        <f t="array" ref="AL27">IFERROR(INDEX(CR$7:CR$14,SMALL(IF(CR$7:CR$14&lt;&gt;"",ROW(CR$7:CR$14)-ROW(CR$7)+1),ROWS(CR$7:CR26))),"")</f>
        <v/>
      </c>
      <c r="AM27" s="40"/>
      <c r="AN27" s="52" t="str">
        <f>IF(Atletas!D20="","",IF(Atletas!B20="Feminino",100,IF(Atletas!B20="Masculino",200,""))+(IF(Atletas!D20="Kids 30kg",1,IF(Atletas!D20="Kids 32kg",2, IF(Atletas!D20="Kids 34kg",3,IF(Atletas!D20="Kids 36kg",4,IF(Atletas!D20="Kids 39kg",5,IF(Atletas!D20="Kids 42kg",6,IF(Atletas!D20="Kids 45kg",7, IF(Atletas!D20="Infantil 39kg",8,IF(Atletas!D20="Infantil 42kg",9,IF(Atletas!D20="Infantil 45kg",10,IF(Atletas!D20="Infantil 48kg",11,IF(Atletas!D20="Infantil 52kg",12,IF(Atletas!D20="Infantil 56kg",13,IF(Atletas!D20="Infantil 60kg",14,IF(Atletas!D20="Juvenil 48kg",15,IF(Atletas!D20="Juvenil 52kg",16,IF(Atletas!D20="Juvenil 56kg",17,IF(Atletas!D20="Juvenil 60kg",18,IF(Atletas!D20="Juvenil 65kg",19,IF(Atletas!D20="Juvenil 70kg",20,IF(Atletas!D20="Juvenil 75kg",21,IF(Atletas!D20="Juvenil 80kg",22, IF(Atletas!D20="Juvenil 85kg",23,IF(Atletas!D20="Adulto 48kg",24,IF(Atletas!D20="Adulto 52kg",25,IF(Atletas!D20="Adulto 56kg",26,IF(Atletas!D20="Adulto 60kg",27,IF(Atletas!D20="Adulto 65kg",28,IF(Atletas!D20="Adulto 70kg",29,IF(Atletas!D20="Adulto 75kg",30,IF(Atletas!D20="Adulto 80kg",31,IF(Atletas!D20="Adulto 85kg",32,IF(Atletas!D20="Adulto 90kg",33,IF(Atletas!D20="Adulto 100kg",34, IF(Atletas!D20="Adulto +100kg",35,"")))))))))))))))))))))))))))))))))))))</f>
        <v/>
      </c>
      <c r="AO27" s="50"/>
      <c r="AP27" s="50"/>
      <c r="AQ27" s="50" t="str">
        <f>IF(AR27&lt;&gt;"","Juvenil 75kg","")</f>
        <v/>
      </c>
      <c r="AR27" s="6" t="str">
        <f>IF(COUNTIF(AN:AN,221)&gt;0,COUNTIF(AN:AN,221),"")</f>
        <v/>
      </c>
      <c r="AS27" s="6" t="str">
        <f>IF(Atletas!E20="","",IF(Atletas!B20="Feminino",100,IF(Atletas!B20="Masculino",200,""))+(IF(Atletas!E20="Juvenil 44kg",1,IF(Atletas!E20="Juvenil 48kg",2,IF(Atletas!E20="Juvenil 52kg",3,IF(Atletas!E20="Juvenil 56kg",4,IF(Atletas!E20="Juvenil 60kg",5,IF(Atletas!E20="Juvenil 65kg",6,IF(Atletas!E20="Juvenil 70kg",7,IF(Atletas!E20="Juvenil 75kg",8,IF(Atletas!E20="Juvenil 82kg",9,IF(Atletas!E20="Juvenil 90kg",10,IF(Atletas!E20="Juvenil 100kg",11,IF(Atletas!E20="Adulto 48kg",12,IF(Atletas!E20="Adulto 52kg",13,IF(Atletas!E20="Adulto 56kg",14,IF(Atletas!E20="Adulto 60kg",15,IF(Atletas!E20="Adulto 65kg",16,IF(Atletas!E20="Adulto 70kg",17,IF(Atletas!E20="Adulto 75kg",18,IF(Atletas!E20="Adulto 82kg",19,IF(Atletas!E20="Adulto 90kg",20,IF(Atletas!E20="Adulto 100kg",21,IF(Atletas!E20="Adulto +100kg",22,""))))))))))))))))))))))))</f>
        <v/>
      </c>
      <c r="AX27" s="6" t="str">
        <f>IF(Atletas!F20="","",IF(Atletas!B20="Feminino",100,IF(Atletas!B20="Masculino",200,""))+(IF(Atletas!F20="Adulto 48kg",1,IF(Atletas!F20="Adulto 56kg",2,IF(Atletas!F20="Adulto 65kg",3,IF(Atletas!F20="Adulto 75kg",4,IF(Atletas!F20="Adulto +75kg",5,IF(Atletas!F20="Adulto 52kg",6,IF(Atletas!F20="Adulto 60kg",7,IF(Atletas!F20="Adulto 70kg",8,IF(Atletas!F20="Adulto 80kg",9,IF(Atletas!F20="Adulto 90kg",10,IF(Atletas!F20="Adulto +90kg",11,"")))))))))))))</f>
        <v/>
      </c>
      <c r="BC27" s="6" t="str">
        <f>IF(Atletas!G20="","",IF(Atletas!B20="Feminino",10,IF(Atletas!B20="Masculino",20,""))+(IF(Atletas!G20="Baduanjin A",1,IF(Atletas!G20="Baduanjin B",2))))</f>
        <v/>
      </c>
      <c r="BF27" s="52" t="str">
        <f>IF(Atletas!H20="","",IF(Atletas!B20="Feminino",100,IF(Atletas!B20="Masculino",200,""))+(IF(Atletas!H20="Changquan Mirim",1,IF(Atletas!H20="Nanquan Mirim",2,IF(Atletas!H20="Taijiquan Mirim",3,IF(Atletas!H20="Changquan Grupo C",4,IF(Atletas!H20="Nanquan Grupo C",5,IF(Atletas!H20="Taijiquan Grupo C",6,IF(Atletas!H20="Changquan Grupo B",7,IF(Atletas!H20="Nanquan Grupo B",8,IF(Atletas!H20="Taijiquan Grupo B",9,IF(Atletas!H20="Changquan Grupo A",10,IF(Atletas!H20="Nanquan Grupo A",11,IF(Atletas!H20="Taijiquan Grupo A",12,IF(Atletas!H20="Changquan Opcional",13,IF(Atletas!H20="Nanquan Opcional",14,IF(Atletas!H20="Taijiquan Opcional",15,IF(Atletas!H20="Changquan Adulto",16,IF(Atletas!H20="Nanquan Adulto",17,IF(Atletas!H20="Taijiquan Adulto",18,""))))))))))))))))))))</f>
        <v/>
      </c>
      <c r="BG27" s="52" t="str">
        <f>IF(Atletas!I20="","",IF(Atletas!B20="Feminino",100,IF(Atletas!B20="Masculino",200,""))+(IF(Atletas!I20="Daoshu Mirim",19,IF(Atletas!I20="Jianshu Mirim",20,IF(Atletas!I20="Nandao Mirim",21,IF(Atletas!I20="Taijijian Mirim",22,IF(Atletas!I20="Daoshu Grupo C",23,IF(Atletas!I20="Jianshu Grupo C",24,IF(Atletas!I20="Nandao Grupo C",25,IF(Atletas!I20="Taijijian Grupo C",26,IF(Atletas!I20="Daoshu Grupo B",27,IF(Atletas!I20="Jianshu Grupo B",28,IF(Atletas!I20="Nandao Grupo B",29,IF(Atletas!I20="Taijijian Grupo B",30,IF(Atletas!I20="Daoshu Grupo A",31,IF(Atletas!I20="Jianshu Grupo A",32,IF(Atletas!I20="Nandao Grupo A",33,IF(Atletas!I20="Taijijian Grupo A",34,IF(Atletas!I20="Daoshu Opcional",35,IF(Atletas!I20="Jianshu Opcional",36,IF(Atletas!I20="Nandao Opcional",37,IF(Atletas!I20="Taijijian Opcional",38,IF(Atletas!I20="Daoshu Adulto",39,IF(Atletas!I20="Jianshu Adulto",40,IF(Atletas!I20="Nandao Adulto",41,IF(Atletas!I20="Taijijian Adulto",42,""))))))))))))))))))))))))))</f>
        <v/>
      </c>
      <c r="BH27" s="52" t="str">
        <f>IF(Atletas!J20="","",IF(Atletas!B20="Feminino",100,IF(Atletas!B20="Masculino",200,""))+(IF(Atletas!J20="Gunshu Mirim",43,IF(Atletas!J20="Qiangshu Mirim",44,IF(Atletas!J20="Nangun Mirim",45,IF(Atletas!J20="Gunshu Grupo C",46,IF(Atletas!J20="Qiangshu Grupo C",47,IF(Atletas!J20="Nangun Grupo C",48,IF(Atletas!J20="Gunshu Grupo B",49,IF(Atletas!J20="Qiangshu Grupo B",50,IF(Atletas!J20="Nangun Grupo B",51,IF(Atletas!J20="Gunshu Grupo A",52,IF(Atletas!J20="Qiangshu Grupo A",53,IF(Atletas!J20="Nangun Grupo A",54,IF(Atletas!J20="Gunshu Opcional",55,IF(Atletas!J20="Qiangshu Opcional",56,IF(Atletas!J20="Nangun Opcional",57,IF(Atletas!J20="Gunshu Adulto",58,IF(Atletas!J20="Qiangshu Adulto",59,IF(Atletas!J20="Nangun Adulto",60,IF(Atletas!J20="Taijishan Grupo B",61,IF(Atletas!J20="Taijishan Grupo A",62,""))))))))))))))))))))))</f>
        <v/>
      </c>
      <c r="BI27" s="6" t="str">
        <f>IF(BJ27&lt;&gt;"","Changquan Grupo B","")</f>
        <v/>
      </c>
      <c r="BJ27" s="50" t="str">
        <f>IF(COUNTIF(BF:BH,107)&gt;0,COUNTIF(BF:BH,107),"")</f>
        <v/>
      </c>
      <c r="BK27" s="6" t="str">
        <f>IF(BL27&lt;&gt;"","Changquan Grupo B","")</f>
        <v/>
      </c>
      <c r="BL27" s="50" t="str">
        <f>IF(COUNTIF(BF:BH,207)&gt;0,COUNTIF(BF:BH,207),"")</f>
        <v/>
      </c>
      <c r="BM27" s="50" t="str">
        <f>IF(Atletas!K20="","",IF(Atletas!B20="Feminino",100,IF(Atletas!B20="Masculino",200,""))+(IF(Atletas!K20="Equipe 1 Grupo B",1,IF(Atletas!K20="Equipe 2 Grupo B",2,IF(Atletas!K20="Equipe 1 Grupo A",3,IF(Atletas!K20="Equipe 2 Grupo A",4,IF(Atletas!K20="Equipe 1 Adulto",5,IF(Atletas!K20="Equipe 2 Adulto",6,""))))))))</f>
        <v/>
      </c>
      <c r="BR27" s="50" t="str">
        <f>IF(Atletas!L20="","",IF(Atletas!X20&lt;&gt;"",10000,0)+(IF(Atletas!B20="Feminino",1000,IF(Atletas!B20="Masculino",2000,""))+IF(Atletas!L20="Choylayfut A",1,IF(Atletas!L20="Hunggar A",2,IF(Atletas!L20="Wuzuquan A",3,IF(Atletas!L20="Wingchun A",4,IF(Atletas!L20="Outra Mão de Sul A",5,IF(Atletas!L20="Choylayfut B",6,IF(Atletas!L20="Hunggar B",7,IF(Atletas!L20="Wuzuquan B",8,IF(Atletas!L20="Wingchun B",9,IF(Atletas!L20="Outra Mão de Sul B",10,IF(Atletas!L20="Choylayfut C",11,IF(Atletas!L20="Hunggar C",12,IF(Atletas!L20="Wuzuquan C",13,IF(Atletas!L20="Wingchun C",14,IF(Atletas!L20="Outra Mão de Sul C",15,IF(Atletas!L20="Choylayfut D",16,IF(Atletas!L20="Hunggar D",17,IF(Atletas!L20="Wuzuquan D",18,IF(Atletas!L20="Wingchun D",19,IF(Atletas!L20="Outra Mão de Sul D",20,IF(Atletas!L20="Choylayfut E",21,IF(Atletas!L20="Hunggar E",22,IF(Atletas!L20="Wuzuquan E",23,IF(Atletas!L20="Wingchun E",24,IF(Atletas!L20="Outra Mão de Sul E",25,IF(Atletas!L20="Choylayfut F",26,IF(Atletas!L20="Hunggar F",27,IF(Atletas!L20="Wuzuquan F",28,IF(Atletas!L20="Wingchun F",29,IF(Atletas!L20="Outra Mão de Sul F",30,IF(Atletas!L20="Dishuquan A",31,IF(Atletas!L20="Dishuquan B",32,IF(Atletas!L20="Dishuquan C",33,IF(Atletas!L20="Dishuquan D",34,IF(Atletas!L20="Dishuquan E",35,IF(Atletas!L20="Dishuquan F",36,""))))))))))))))))))))))))))))))))))))))</f>
        <v/>
      </c>
      <c r="BS27" s="50" t="str">
        <f>IF(Atletas!M20="","",IF(Atletas!X20&lt;&gt;"",10000,0)+(IF(Atletas!B20="Feminino",1000,IF(Atletas!B20="Masculino",2000,""))+(IF(Atletas!M20="Chaquan A",101,IF(Atletas!M20="Emeiquan A",102,IF(Atletas!M20="Fanziquan A",103,IF(Atletas!M20="Huaquan A",104,IF(Atletas!M20="Hongquan A",105,IF(Atletas!M20="Paoquan A",106,IF(Atletas!M20="Piguaquan A",107,IF(Atletas!M20="Shaolinquan A",108,IF(Atletas!M20="Tanglangquan A",109,IF(Atletas!M20="Yingzhaoquan A",110,IF(Atletas!M20="Tongbeiquan A",111,IF(Atletas!M20="Wudangquan A",112,IF(Atletas!M20="Outros Estilos A",113,IF(Atletas!M20="Chaquan B",114,IF(Atletas!M20="Emeiquan B",115,IF(Atletas!M20="Fanziquan B",116,IF(Atletas!M20="Huaquan B",117,IF(Atletas!M20="Hongquan B",118,IF(Atletas!M20="Paoquan B",119,IF(Atletas!M20="Piguaquan B",120,IF(Atletas!M20="Shaolinquan B",121,IF(Atletas!M20="Tanglangquan B",122,IF(Atletas!M20="Yingzhaoquan B",123,IF(Atletas!M20="Tongbeiquan B",124,IF(Atletas!M20="Wudangquan B",125,IF(Atletas!M20="Outros Estilos B",126,IF(Atletas!M20="Chaquan C",127,IF(Atletas!M20="Emeiquan C",128,IF(Atletas!M20="Fanziquan C",129,IF(Atletas!M20="Huaquan C",130,IF(Atletas!M20="Hongquan C",131,IF(Atletas!M20="Paoquan C",132,IF(Atletas!M20="Piguaquan C",133,IF(Atletas!M20="Shaolinquan C",134,IF(Atletas!M20="Tanglangquan C",135,IF(Atletas!M20="Yingzhaoquan C",136,IF(Atletas!M20="Tongbeiquan C",137,IF(Atletas!M20="Wudangquan C",138,IF(Atletas!M20="Outros Estilos C",139,0))))))))))))))))))))))))))))))))))))))))))</f>
        <v/>
      </c>
      <c r="BT27" s="50" t="str">
        <f>IF(Atletas!M20="","",IF(Atletas!X20&lt;&gt;"",10000,0)+(IF(Atletas!B20="Feminino",1000,IF(Atletas!B20="Masculino",2000,""))+(IF(Atletas!M20="Chaquan D",140,IF(Atletas!M20="Emeiquan D",141,IF(Atletas!M20="Fanziquan D",142,IF(Atletas!M20="Huaquan D",143,IF(Atletas!M20="Hongquan D",144,IF(Atletas!M20="Paoquan D",145,IF(Atletas!M20="Piguaquan D",146,IF(Atletas!M20="Shaolinquan D",147,IF(Atletas!M20="Tanglangquan D",148,IF(Atletas!M20="Yingzhaoquan D",149,IF(Atletas!M20="Tongbeiquan D",150,IF(Atletas!M20="Wudangquan D",151,IF(Atletas!M20="Outros Estilos D",152,IF(Atletas!M20="Chaquan E",153,IF(Atletas!M20="Emeiquan E",154,IF(Atletas!M20="Fanziquan E",155,IF(Atletas!M20="Huaquan E",156,IF(Atletas!M20="Hongquan E",157,IF(Atletas!M20="Paoquan E",158,IF(Atletas!M20="Piguaquan E",159,IF(Atletas!M20="Shaolinquan E",160,IF(Atletas!M20="Tanglangquan E",161,IF(Atletas!M20="Yingzhaoquan E",162,IF(Atletas!M20="Tongbeiquan E",163,IF(Atletas!M20="Wudangquan E",164,IF(Atletas!M20="Outros Estilos E",165,IF(Atletas!M20="Chaquan F",166,IF(Atletas!M20="Emeiquan F",167,IF(Atletas!M20="Fanziquan F",168,IF(Atletas!M20="Huaquan F",169,IF(Atletas!M20="Hongquan F",170,IF(Atletas!M20="Paoquan F",171,IF(Atletas!M20="Piguaquan F",172,IF(Atletas!M20="Shaolinquan F",173,IF(Atletas!M20="Tanglangquan F",174,IF(Atletas!M20="Yingzhaoquan F",175,IF(Atletas!M20="Tongbeiquan F",176,IF(Atletas!M20="Wudangquan F",177,IF(Atletas!M20="Outros Estilos F",178,0))))))))))))))))))))))))))))))))))))))))))</f>
        <v/>
      </c>
      <c r="BU27" s="50" t="str">
        <f>IF(Atletas!N20="","",IF(Atletas!X20&lt;&gt;"",10000,0)+(IF(Atletas!B20="Feminino",1000,IF(Atletas!B20="Masculino",2000,""))+(IF(Atletas!N20="Ditangquan A",201,IF(Atletas!N20="Houquan A",202,IF(Atletas!N20="Zuiquan A",203,IF(Atletas!N20="Ditangquan B",204,IF(Atletas!N20="Houquan B",205,IF(Atletas!N20="Zuiquan B",206,IF(Atletas!N20="Ditangquan C",207,IF(Atletas!N20="Houquan C",208,IF(Atletas!N20="Zuiquan C",209,IF(Atletas!N20="Ditangquan D",210,IF(Atletas!N20="Houquan D",211,IF(Atletas!N20="Zuiquan D",212,IF(Atletas!N20="Ditangquan E",213,IF(Atletas!N20="Houquan E",214,IF(Atletas!N20="Zuiquan E",215,IF(Atletas!N20="Ditangquan F",216,IF(Atletas!N20="Houquan F",217,IF(Atletas!N20="Zuiquan F",218,"")))))))))))))))))))))</f>
        <v/>
      </c>
      <c r="BV27" s="50" t="str">
        <f>IF(Atletas!O20="","",IF(Atletas!X20&lt;&gt;"",10000,0)+IF(Atletas!B20="Feminino",1000,IF(Atletas!B20="Masculino",2000,""))+IF(Atletas!O20="Yang A",301,IF(Atletas!O20="Chen A",302,IF(Atletas!O20="Sun A",303,IF(Atletas!O20="Wu A",304,IF(Atletas!O20="Wu-Hao A",305,IF(Atletas!O20="Outro Taijiquan A",306,IF(Atletas!O20="Yang B",307,IF(Atletas!O20="Chen B",308,IF(Atletas!O20="Sun B",309,IF(Atletas!O20="Wu B",310,IF(Atletas!O20="Wu-Hao B",311,IF(Atletas!O20="Outro Taijiquan B",312,IF(Atletas!O20="Yang C",313,IF(Atletas!O20="Chen C",314,IF(Atletas!O20="Sun C",315,IF(Atletas!O20="Wu C",316,IF(Atletas!O20="Wu-Hao C",317,IF(Atletas!O20="Outro Taijiquan C",318,IF(Atletas!O20="Yang D",319,IF(Atletas!O20="Chen D",320,IF(Atletas!O20="Sun D",321,IF(Atletas!O20="Wu D",322,IF(Atletas!O20="Wu-Hao D",323,IF(Atletas!O20="Outro Taijiquan D",324,IF(Atletas!O20="Yang E",325,IF(Atletas!O20="Chen E",326,IF(Atletas!O20="Sun E",327,IF(Atletas!O20="Wu E",328,IF(Atletas!O20="Wu-Hao E",329,IF(Atletas!O20="Outro Taijiquan E",330,IF(Atletas!O20="Yang F",331,IF(Atletas!O20="Chen F",332,IF(Atletas!O20="Sun F",333,IF(Atletas!O20="Wu F",334,IF(Atletas!O20="Wu-Hao F",335,IF(Atletas!O20="Outro Taijiquan F",336,"")))))))))))))))))))))))))))))))))))))</f>
        <v/>
      </c>
      <c r="BW27" s="50" t="str">
        <f>IF(Atletas!P20="","",IF(Atletas!X20&lt;&gt;"",10000,0)+IF(Atletas!B20="Feminino",1000,IF(Atletas!B20="Masculino",2000,""))+IF(OR(Atletas!P20="Yang 26 A",Atletas!P20="Yang 40 A"),401,IF(OR(Atletas!P20="Chen 25 A",Atletas!P20="Chen 36 A",Atletas!P20="Chen 56 A"),402,IF(Atletas!P20="Sun 73 A",403,IF(Atletas!P20="Wu 45 A",404,IF(Atletas!P20="Wu-Hao 46 A",405,IF(OR(Atletas!P20="Taijiquan 16 A",Atletas!P20="Taijiquan 24 A",Atletas!P20="Taijiquan 32 A",Atletas!P20="Taijiquan 42 A"),406,IF(OR(Atletas!P20="Yang 26 B",Atletas!P20="Yang 40 B"),407,IF(OR(Atletas!P20="Chen 25 B",Atletas!P20="Chen 36 B",Atletas!P20="Chen 56 B"),408,IF(Atletas!P20="Sun 73 B",409,IF(Atletas!P20="Wu 45 B",410,IF(Atletas!P20="Wu-Hao 46 B",411,IF(OR(Atletas!P20="Taijiquan 16 B",Atletas!P20="Taijiquan 24 B",Atletas!P20="Taijiquan 32 B",Atletas!P20="Taijiquan 42 B"),412,IF(OR(Atletas!P20="Yang 26 C",Atletas!P20="Yang 40 C"),413,IF(OR(Atletas!P20="Chen 25 C",Atletas!P20="Chen 36 C",Atletas!P20="Chen 56 C"),414,IF(Atletas!P20="Sun 73 C",415,IF(Atletas!P20="Wu 45 C",416,IF(Atletas!P20="Wu-Hao 46 C",417,IF(OR(Atletas!P20="Taijiquan 16 C",Atletas!P20="Taijiquan 24 C",Atletas!P20="Taijiquan 32 C",Atletas!P20="Taijiquan 42 C"),418,0)))))))))))))))))))</f>
        <v/>
      </c>
      <c r="BX27" s="50" t="str">
        <f>IF(Atletas!P20="","",IF(Atletas!X20&lt;&gt;"",10000,0)+IF(Atletas!B20="Feminino",1000,IF(Atletas!B20="Masculino",2000,""))+IF(OR(Atletas!P20="Yang 26 D",Atletas!P20="Yang 40 D"),419,IF(OR(Atletas!P20="Chen 25 D",Atletas!P20="Chen 36 D",Atletas!P20="Chen 56 D"),420,IF(Atletas!P20="Sun 73 D",421,IF(Atletas!P20="Wu 45 D",422,IF(Atletas!P20="Wu-Hao 46 D",423,IF(OR(Atletas!P20="Taijiquan 16 D",Atletas!P20="Taijiquan 24 D",Atletas!P20="Taijiquan 32 D",Atletas!P20="Taijiquan 42 D"),424,IF(OR(Atletas!P20="Yang 26 E",Atletas!P20="Yang 40 E"),425,IF(OR(Atletas!P20="Chen 25 E",Atletas!P20="Chen 36 E",Atletas!P20="Chen 56 E"),426,IF(Atletas!P20="Sun 73 E",427,IF(Atletas!P20="Wu 45 E",428,IF(Atletas!P20="Wu-Hao 46 E",429,IF(OR(Atletas!P20="Taijiquan 16 E",Atletas!P20="Taijiquan 24 E",Atletas!P20="Taijiquan 32 E",Atletas!P20="Taijiquan 42 E"),430,IF(OR(Atletas!P20="Yang 26 F",Atletas!P20="Yang 40 F"),431,IF(OR(Atletas!P20="Chen 25 F",Atletas!P20="Chen 36 F",Atletas!P20="Chen 56 F"),432,IF(Atletas!P20="Sun 73 F",433,IF(Atletas!P20="Wu 45 F",434,IF(Atletas!P20="Wu-Hao 46 F",435,IF(OR(Atletas!P20="Taijiquan 16 F",Atletas!P20="Taijiquan 24 F",Atletas!P20="Taijiquan 32 F",Atletas!P20="Taijiquan 42 F"),436,0)))))))))))))))))))</f>
        <v/>
      </c>
      <c r="BY27" s="50" t="str">
        <f>IF(Atletas!Q20="","",IF(Atletas!X20&lt;&gt;"",10000,0)+IF(Atletas!B20="Feminino",1000,IF(Atletas!B20="Masculino",2000,""))+IF(Atletas!Q20="Xingyiquan A",501,IF(Atletas!Q20="Baguazhang A",502,IF(Atletas!Q20="Outro Estilo Interno A",503,IF(Atletas!Q20="Xingyiquan B",504,IF(Atletas!Q20="Baguazhang B",505,IF(Atletas!Q20="Outro Estilo Interno B",506,IF(Atletas!Q20="Xingyiquan C",507,IF(Atletas!Q20="Baguazhang C",508,IF(Atletas!Q20="Outro Estilo Interno C",509,IF(Atletas!Q20="Xingyiquan D",510,IF(Atletas!Q20="Baguazhang D",511,IF(Atletas!Q20="Outro Estilo Interno D",512,IF(Atletas!Q20="Xingyiquan E",513,IF(Atletas!Q20="Baguazhang E",514,IF(Atletas!Q20="Outro Estilo Interno E",515,IF(Atletas!Q20="Xingyiquan F",516,IF(Atletas!Q20="Baguazhang F",517,IF(Atletas!Q20="Outro Estilo Interno F",518, "")))))))))))))))))))</f>
        <v/>
      </c>
      <c r="BZ27" s="50" t="str">
        <f>IF(Atletas!R20="","",IF(Atletas!X20&lt;&gt;"",10000,0)+IF(Atletas!B20="Feminino",1000,IF(Atletas!B20="Masculino",2000,""))+IF(Atletas!R20="Dao A",601,IF(Atletas!R20="Jian A",602,IF(Atletas!R20="Bishou A",603,IF(Atletas!R20="Shanzi A",604,IF(Atletas!R20="Outra Arma Curta A",605,IF(Atletas!R20="Dao B",606,IF(Atletas!R20="Jian B",607,IF(Atletas!R20="Bishou B",608,IF(Atletas!R20="Shanzi B",609,IF(Atletas!R20="Outra Arma Curta B",610,IF(Atletas!R20="Dao C",611,IF(Atletas!R20="Jian C",612,IF(Atletas!R20="Bishou C",613,IF(Atletas!R20="Shanzi C",614,IF(Atletas!R20="Outra Arma Curta C",615,IF(Atletas!R20="Dao D",616,IF(Atletas!R20="Jian D",617,IF(Atletas!R20="Bishou D",618,IF(Atletas!R20="Shanzi D",619,IF(Atletas!R20="Outra Arma Curta D",620,IF(Atletas!R20="Dao E",621,IF(Atletas!R20="Jian E",622,IF(Atletas!R20="Bishou E",623,IF(Atletas!R20="Shanzi E",624,IF(Atletas!R20="Outra Arma Curta E",625,IF(Atletas!R20="Dao F",626,IF(Atletas!R20="Jian F",627,IF(Atletas!R20="Bishou F",628,IF(Atletas!R20="Shanzi F",629,IF(Atletas!R20="Outra Arma Curta F",630, "")))))))))))))))))))))))))))))))</f>
        <v/>
      </c>
      <c r="CA27" s="50" t="str">
        <f>IF(Atletas!S20="","",IF(Atletas!X20&lt;&gt;"",10000,0)+IF(Atletas!B20="Feminino",1000,IF(Atletas!B20="Masculino",2000,""))+IF(Atletas!S20="Gun A",701,IF(Atletas!S20="Qiang A",702,IF(Atletas!S20="Pudao / Guandao A",703,IF(Atletas!S20="Outra Arma Longa A",704,IF(Atletas!S20="Gun B",705,IF(Atletas!S20="Qiang B",706,IF(Atletas!S20="Pudao / Guandao B",707,IF(Atletas!S20="Outra Arma Longa B",708,IF(Atletas!S20="Gun C",709,IF(Atletas!S20="Qiang C",710,IF(Atletas!S20="Pudao / Guandao C",711,IF(Atletas!S20="Outra Arma Longa C",712,IF(Atletas!S20="Gun D",713,IF(Atletas!S20="Qiang D",714,IF(Atletas!S20="Pudao / Guandao D",715,IF(Atletas!S20="Outra Arma Longa D",716,IF(Atletas!S20="Gun E",717,IF(Atletas!S20="Qiang E",718,IF(Atletas!S20="Pudao / Guandao E",719,IF(Atletas!S20="Outra Arma Longa E",720,IF(Atletas!S20="Gun F",721,IF(Atletas!S20="Qiang F",722,IF(Atletas!S20="Pudao / Guandao F",723,IF(Atletas!S20="Outra Arma Longa F",724,"")))))))))))))))))))))))))</f>
        <v/>
      </c>
      <c r="CB27" s="50" t="str">
        <f>IF(Atletas!T20="","",IF(Atletas!X20&lt;&gt;"",10000,0)+IF(Atletas!B20="Feminino",1000,IF(Atletas!B20="Masculino",2000,""))+IF(Atletas!T20="Outra Arma Dupla A",801,IF(Atletas!T20="Arma Maleável A",802,IF(Atletas!T20="Outra Arma Dupla B",803,IF(Atletas!T20="Arma Maleável B",804,IF(Atletas!T20="Outra Arma Dupla C",805,IF(Atletas!T20="Arma Maleável C",806,IF(Atletas!T20="Outra Arma Dupla D",807,IF(Atletas!T20="Arma Maleável D",808,IF(Atletas!T20="Outra Arma Dupla E",809,IF(Atletas!T20="Arma Maleável E",810,IF(Atletas!T20="Outra Arma Dupla F",811,IF(Atletas!T20="Arma Maleável F",812,IF(Atletas!T20="Shuangdao A",813,IF(Atletas!T20="Shuangdao B",814,IF(Atletas!T20="Shuangdao C",815,IF(Atletas!T20="Shuangdao D",816,IF(Atletas!T20="Shuangdao E",817,IF(Atletas!T20="Shuangdao F",818,"")))))))))))))))))))</f>
        <v/>
      </c>
      <c r="CC27" s="50" t="str">
        <f>IF(Atletas!U20="","",IF(Atletas!X20&lt;&gt;"",10000,0)+IF(Atletas!B20="Feminino",1000,IF(Atletas!B20="Masculino",2000,""))+IF(OR(Atletas!U20="Taijijian Yang A",Atletas!U20="Taijijian Yang Standard A"),901,IF(OR(Atletas!U20="Taijijian Chen A", Atletas!U20="Taijijian Chen Standard A"),902,IF(Atletas!U20="Taijijian Sun A",903,IF(Atletas!U20="Taijijian Wu A",904,IF(Atletas!U20="Taijijian Wu-Hao A",905,IF(OR(Atletas!U20="Taijijian 32 A",Atletas!U20="Taijijian 42 A"),906,IF(OR(Atletas!U20="Taijijian Yang B",Atletas!U20="Taijijian Yang Standard B"),907,IF(OR(Atletas!U20="Taijijian Chen B", Atletas!U20="Taijijian Chen Standard B"),908,IF(Atletas!U20="Taijijian Sun B",909,IF(Atletas!U20="Taijijian Wu B",910,IF(Atletas!U20="Taijijian Wu-Hao B",911,IF(OR(Atletas!U20="Taijijian 32 B",Atletas!U20="Taijijian 42 B"),912,IF(OR(Atletas!U20="Taijijian Yang C",Atletas!U20="Taijijian Yang Standard C"),913,IF(OR(Atletas!U20="Taijijian Chen C", Atletas!U20="Taijijian Chen Standard C"),914,IF(Atletas!U20="Taijijian Sun C",915,IF(Atletas!U20="Taijijian Wu C",916,IF(Atletas!U20="Taijijian Wu-Hao C",917,IF(OR(Atletas!U20="Taijijian 32 C",Atletas!U20="Taijijian 42 C"),918,IF(OR(Atletas!U20="Taijijian Yang D",Atletas!U20="Taijijian Yang Standard D"),919,IF(OR(Atletas!U20="Taijijian Chen D", Atletas!U20="Taijijian Chen Standard D"),920,IF(Atletas!U20="Taijijian Sun D",921,IF(Atletas!U20="Taijijian Wu D",922,IF(Atletas!U20="Taijijian Wu-Hao D",923,IF(OR(Atletas!U20="Taijijian 32 D",Atletas!U20="Taijijian 42 D"),924,IF(OR(Atletas!U20="Taijijian Yang E",Atletas!U20="Taijijian Yang Standard E"),925,IF(OR(Atletas!U20="Taijijian Chen E", Atletas!U20="Taijijian Chen Standard E"),926,IF(Atletas!U20="Taijijian Sun E",927,IF(Atletas!U20="Taijijian Wu E",928,IF(Atletas!U20="Taijijian Wu-Hao E",929,IF(OR(Atletas!U20="Taijijian 32 E",Atletas!U20="Taijijian 42 E"),930,IF(OR(Atletas!U20="Taijijian Yang F",Atletas!U20="Taijijian Yang Standard F"),931,IF(OR(Atletas!U20="Taijijian Chen F", Atletas!U20="Taijijian Chen Standard F"),932,IF(Atletas!U20="Taijijian Sun F",933,IF(Atletas!U20="Taijijian Wu F",934,IF(Atletas!U20="Taijijian Wu-Hao F",935,IF(OR(Atletas!U20="Taijijian 32 F",Atletas!U20="Taijijian 42 F"),936,"")))))))))))))))))))))))))))))))))))))</f>
        <v/>
      </c>
      <c r="CD27" s="50" t="str">
        <f>IF(Atletas!V20="","",IF(Atletas!X20&lt;&gt;"",10000,0)+IF(Atletas!B20="Feminino",1000,IF(Atletas!B20="Masculino",2000,""))+IF(Atletas!V20="Taijidao A",937,IF(Atletas!V20="TaijiShanzi A",938,IF(Atletas!V20="Taijiqiang A",939,IF(Atletas!V20="Bagua de Arma A",940,IF(Atletas!V20="Xingyi de Arma A",941,IF(Atletas!V20="Taijidao B",942,IF(Atletas!V20="TaijiShanzi B",943,IF(Atletas!V20="Taijiqiang B",944,IF(Atletas!V20="Bagua de Arma B",945,IF(Atletas!V20="Xingyi de Arma B",946,IF(Atletas!V20="Taijidao C",947,IF(Atletas!V20="TaijiShanzi C",948,IF(Atletas!V20="Taijiqiang C",949,IF(Atletas!V20="Bagua de Arma C",950,IF(Atletas!V20="Xingyi de Arma C",951,IF(Atletas!V20="Taijidao D",952,IF(Atletas!V20="TaijiShanzi D",953,IF(Atletas!V20="Taijiqiang D",954,IF(Atletas!V20="Bagua de Arma D",955,IF(Atletas!V20="Xingyi de Arma D",956,IF(Atletas!V20="Taijidao E",957,IF(Atletas!V20="TaijiShanzi E",958,IF(Atletas!V20="Taijiqiang E",959,IF(Atletas!V20="Bagua de Arma E",960,IF(Atletas!V20="Xingyi de Arma E",961,IF(Atletas!V20="Taijidao F",962,IF(Atletas!V20="TaijiShanzi F",963,IF(Atletas!V20="Taijiqiang F",964,IF(Atletas!V20="Bagua de Arma F",965,IF(Atletas!V20="Xingyi de Arma F",966,"")))))))))))))))))))))))))))))))</f>
        <v/>
      </c>
      <c r="CE27" s="66" t="str">
        <f>IF(CF27&lt;&gt;"","Dishuquan D","")</f>
        <v/>
      </c>
      <c r="CF27" s="66" t="str">
        <f>IF(COUNTIF(BR:CD,1034)&gt;0,COUNTIF(BR:CD,1034),"")</f>
        <v/>
      </c>
      <c r="CG27" s="66" t="str">
        <f>IF(CH27&lt;&gt;"","Dishuquan D","")</f>
        <v/>
      </c>
      <c r="CH27" s="66" t="str">
        <f>IF(COUNTIF(BR:CD,2034)&gt;0,COUNTIF(BR:CD,2034),"")</f>
        <v/>
      </c>
      <c r="CI27" s="66" t="str">
        <f>IF(CJ27&lt;&gt;"","Choylayfut E","")</f>
        <v/>
      </c>
      <c r="CJ27" s="66" t="str">
        <f>IF(COUNTIF(BR:CD,11021)&gt;0,COUNTIF(BR:CD,11021),"")</f>
        <v/>
      </c>
      <c r="CK27" s="66" t="str">
        <f>IF(CL27&lt;&gt;"","Choylayfut E","")</f>
        <v/>
      </c>
      <c r="CL27" s="66" t="str">
        <f>IF(COUNTIF(BR:CD,12021)&gt;0,COUNTIF(BR:CD,12021),"")</f>
        <v/>
      </c>
      <c r="CM27" s="50" t="str">
        <f xml:space="preserve"> IF(Atletas!W20="","",IF(Atletas!W20="Duilian de Mãos BC - Equipe 1",1,IF(Atletas!W20="Duilian de Mãos BC - Equipe 2",2,IF(Atletas!W20="Duilian de Armas BC - Equipe 1",3,IF(Atletas!W20="Duilian de Armas BC - Equipe 2",4,IF(Atletas!W20="Duilian de Mãos DE - Equipe 1",5,IF(Atletas!W20="Duilian de Mãos DE - Equipe 2",6,IF(Atletas!W20="Duilian de Armas DE - Equipe 1",7,IF(Atletas!W20="Duilian de Armas DE - Equipe 2",8,IF(Atletas!W20="Duilian de Tuishou - Equipe 1",9,IF(Atletas!W20="Duilian de Tuishou - Equipe 2",10,IF(Atletas!W20="Grupo Externo ABC - Equipe 1",11,IF(Atletas!W20="Grupo Externo ABC - Equipe 2",12,IF(Atletas!W20="Grupo Interno ABC - Equipe 1",13,IF(Atletas!W20="Grupo Interno ABC - Equipe 2",14,IF(Atletas!W20="Grupo Externo DEF - Equipe 1",15,IF(Atletas!W20="Grupo Externo DEF - Equipe 2",16,IF(Atletas!W20="Grupo Interno DEF - Equipe 1",17,IF(Atletas!W20="Grupo Interno DEF - Equipe 2",18,"")))))))))))))))))))</f>
        <v/>
      </c>
      <c r="CY27" s="41"/>
    </row>
    <row r="28" spans="1:103">
      <c r="A28" s="16"/>
      <c r="B28" s="3" t="str">
        <f t="array" ref="B28">IFERROR(INDEX(AO$7:AO$38,SMALL(IF(AO$7:AO$38&lt;&gt;"",ROW(AO$7:AO$38)-ROW(AO$7)+1),ROWS(AO$7:AO27))),"")</f>
        <v/>
      </c>
      <c r="C28" s="3" t="str">
        <f t="array" ref="C28">IFERROR(INDEX(AP$7:AP$38,SMALL(IF(AP$7:AP$38&lt;&gt;"",ROW(AP$7:AP$38)-ROW(AP$7)+1),ROWS(AP$7:AP27))),"")</f>
        <v/>
      </c>
      <c r="D28" s="3" t="str">
        <f t="array" ref="D28">IFERROR(INDEX(AQ$7:AQ$38,SMALL(IF(AQ$7:AQ$38&lt;&gt;"",ROW(AQ$7:AQ$38)-ROW(AQ$7)+1),ROWS(AQ$7:AQ27))),"")</f>
        <v/>
      </c>
      <c r="E28" s="3" t="str">
        <f t="array" ref="E28">IFERROR(INDEX(AR$7:AR$38,SMALL(IF(AR$7:AR$38&lt;&gt;"",ROW(AR$7:AR$38)-ROW(AR$7)+1),ROWS(AR$7:AR27))),"")</f>
        <v/>
      </c>
      <c r="F28" s="3" t="str">
        <f t="array" ref="F28">IFERROR(INDEX(AT$7:AT$36,SMALL(IF(AT$7:AT$36&lt;&gt;"",ROW(AT$7:AT$36)-ROW(AT$7)+1),ROWS(AT$7:AT27))),"")</f>
        <v/>
      </c>
      <c r="G28" s="3" t="str">
        <f t="array" ref="G28">IFERROR(INDEX(AU$7:AU$36,SMALL(IF(AU$7:AU$36&lt;&gt;"",ROW(AU$7:AU$36)-ROW(AU$7)+1),ROWS(AU$7:AU27))),"")</f>
        <v/>
      </c>
      <c r="H28" s="3" t="str">
        <f t="array" ref="H28">IFERROR(INDEX(AV$7:AV$36,SMALL(IF(AV$7:AV$36&lt;&gt;"",ROW(AV$7:AV$36)-ROW(AV$7)+1),ROWS(AV$7:AV27))),"")</f>
        <v/>
      </c>
      <c r="I28" s="3" t="str">
        <f t="array" ref="I28">IFERROR(INDEX(AW$7:AW$36,SMALL(IF(AW$7:AW$36&lt;&gt;"",ROW(AW$7:AW$36)-ROW(AW$7)+1),ROWS(AW$7:AW27))),"")</f>
        <v/>
      </c>
      <c r="J28" s="3" t="str">
        <f t="array" ref="J28">IFERROR(INDEX(AW$7:AW$36,SMALL(IF(AW$7:AW$36&lt;&gt;"",ROW(AW$7:AW$36)-ROW(AW$7)+1),ROWS(AW$7:AW27))),"")</f>
        <v/>
      </c>
      <c r="K28" s="3" t="str">
        <f t="array" ref="K28">IFERROR(INDEX(AZ$7:AZ$36,SMALL(IF(AZ$7:AZ$36&lt;&gt;"",ROW(AZ$7:AZ$36)-ROW(AZ$7)+1),ROWS(AZ$7:AZ27))),"")</f>
        <v/>
      </c>
      <c r="L28" s="3" t="str">
        <f t="array" ref="L28">IFERROR(INDEX(BA$7:BA$36,SMALL(IF(BA$7:BA$36&lt;&gt;"",ROW(BA$7:BA$36)-ROW(BA$7)+1),ROWS(BA$7:BA27))),"")</f>
        <v/>
      </c>
      <c r="M28" s="3" t="str">
        <f t="array" ref="M28">IFERROR(INDEX(BB$7:BB$36,SMALL(IF(BB$7:BB$36&lt;&gt;"",ROW(BB$7:BB$36)-ROW(BB$7)+1),ROWS(BB$7:BB27))),"")</f>
        <v/>
      </c>
      <c r="N28" s="3" t="str" cm="1">
        <f t="array" ref="N28">IFERROR(INDEX(BD$7:BD$8,SMALL(IF(BD$7:BD$8&lt;&gt;"",ROW(BD$7:BD$8)-ROW(BD$7)+1),ROWS(BD$7:BD27))),"")</f>
        <v/>
      </c>
      <c r="O28" s="3" t="str" cm="1">
        <f t="array" ref="O28">IFERROR(INDEX(BE$7:BE$8,SMALL(IF(BE$7:BE$8&lt;&gt;"",ROW(BE$7:BE$8)-ROW(BE$7)+1),ROWS(BE$7:BE27))),"")</f>
        <v/>
      </c>
      <c r="P28" s="3" t="str" cm="1">
        <f t="array" ref="P28">IFERROR(INDEX(BD$9:BD$10,SMALL(IF(BD$9:BD$10&lt;&gt;"",ROW(BD$9:BD$10)-ROW(BD$9)+1),ROWS(BD$9:BD29))),"")</f>
        <v/>
      </c>
      <c r="Q28" s="3" t="str">
        <f t="array" ref="Q28">IFERROR(INDEX(BH$7:BH$36,SMALL(IF(BH$7:BH$36&lt;&gt;"",ROW(BH$7:BH$36)-ROW(BH$7)+1),ROWS(BH$7:BH27))),"")</f>
        <v/>
      </c>
      <c r="R28" s="3" t="str">
        <f t="array" ref="R28">IFERROR(INDEX(BI$7:BI$68,SMALL(IF(BI$7:BI$68&lt;&gt;"",ROW(BI$7:BI$68)-ROW(BI$7)+1),ROWS(BI$7:BI27))),"")</f>
        <v/>
      </c>
      <c r="S28" s="3" t="str">
        <f t="array" ref="S28">IFERROR(INDEX(BJ$7:BJ$68,SMALL(IF(BJ$7:BJ$68&lt;&gt;"",ROW(BJ$7:BJ$68)-ROW(BJ$7)+1),ROWS(BJ$7:BJ27))),"")</f>
        <v/>
      </c>
      <c r="T28" s="3" t="str">
        <f t="array" ref="T28">IFERROR(INDEX(BK$7:BK$68,SMALL(IF(BK$7:BK$68&lt;&gt;"",ROW(BK$7:BK$68)-ROW(BK$7)+1),ROWS(BK$7:BK27))),"")</f>
        <v/>
      </c>
      <c r="U28" s="3" t="str">
        <f t="array" ref="U28">IFERROR(INDEX(BL$7:BL$68,SMALL(IF(BL$7:BL$68&lt;&gt;"",ROW(BL$7:BL$68)-ROW(BL$7)+1),ROWS(BL$7:BL27))),"")</f>
        <v/>
      </c>
      <c r="V28" s="3"/>
      <c r="W28" s="3"/>
      <c r="X28" s="3"/>
      <c r="Y28" s="3"/>
      <c r="Z28" s="3" t="str">
        <f t="array" ref="Z28">IFERROR(INDEX(CE$7:CE$348,SMALL(IF(CE$7:CE$348&lt;&gt;"",ROW(CE$7:CE$348)-ROW(CE$7)+1),ROWS(CE$7:CE27))),"")</f>
        <v/>
      </c>
      <c r="AA28" s="3" t="str">
        <f t="array" ref="AA28">IFERROR(INDEX(CF$7:CF$348,SMALL(IF(CF$7:CF$348&lt;&gt;"",ROW(CF$7:CF$348)-ROW(CF$7)+1),ROWS(CF$7:CF27))),"")</f>
        <v/>
      </c>
      <c r="AB28" s="3" t="str">
        <f t="array" ref="AB28">IFERROR(INDEX(CG$7:CG$348,SMALL(IF(CG$7:CG$348&lt;&gt;"",ROW(CG$7:CG$348)-ROW(CG$7)+1),ROWS(CG$7:CG27))),"")</f>
        <v/>
      </c>
      <c r="AC28" s="3" t="str">
        <f t="array" ref="AC28">IFERROR(INDEX(CH$7:CH$348,SMALL(IF(CH$7:CH$348&lt;&gt;"",ROW(CH$7:CH$348)-ROW(CH$7)+1),ROWS(CH$7:CH27))),"")</f>
        <v/>
      </c>
      <c r="AD28" s="3" t="str">
        <f t="array" ref="AD28">IFERROR(INDEX(CI$7:CI$377,SMALL(IF(CI$7:CI$377&lt;&gt;"",ROW(CI$7:CI$377)-ROW(CI$7)+1),ROWS(CI$7:CI27))),"")</f>
        <v/>
      </c>
      <c r="AE28" s="3" t="str">
        <f t="array" ref="AE28">IFERROR(INDEX(CJ$7:CJ$378,SMALL(IF(CJ$7:CJ$378&lt;&gt;"",ROW(CJ$7:CJ$378)-ROW(CJ$7)+1),ROWS(CJ$7:CJ27))),"")</f>
        <v/>
      </c>
      <c r="AF28" s="3" t="str">
        <f t="array" ref="AF28">IFERROR(INDEX(CK$7:CK$378,SMALL(IF(CK$7:CK$378&lt;&gt;"",ROW(CK$7:CK$378)-ROW(CK$7)+1),ROWS(CK$7:CK27))),"")</f>
        <v/>
      </c>
      <c r="AG28" s="3" t="str">
        <f t="array" ref="AG28">IFERROR(INDEX(CL$7:CL$378,SMALL(IF(CL$7:CL$378&lt;&gt;"",ROW(CL$7:CL$378)-ROW(CL$7)+1),ROWS(CL$7:CL27))),"")</f>
        <v/>
      </c>
      <c r="AH28" s="40" t="str">
        <f t="array" ref="AH28">IFERROR(INDEX(CN$7:CN$18,SMALL(IF(CN$7:CN$18&lt;&gt;"",ROW(CN$7:CN$18)-ROW(CN$7)+1),ROWS(CN$7:CN27))),"")</f>
        <v/>
      </c>
      <c r="AI28" s="40" t="str">
        <f t="array" ref="AI28">IFERROR(INDEX(CO$7:CO$18,SMALL(IF(CO$7:CO$18&lt;&gt;"",ROW(CO$7:CO$18)-ROW(CO$7)+1),ROWS(CO$7:CO27))),"")</f>
        <v/>
      </c>
      <c r="AJ28" s="40" t="str">
        <f t="array" ref="AJ28">IFERROR(INDEX(CP$7:CP$8,SMALL(IF(CP$7:CP$8&lt;&gt;"",ROW(CP$7:CP$8)-ROW(CP$7)+1),ROWS(CP$7:CP27))),"")</f>
        <v/>
      </c>
      <c r="AK28" s="40"/>
      <c r="AL28" s="40" t="str">
        <f t="array" ref="AL28">IFERROR(INDEX(CR$7:CR$14,SMALL(IF(CR$7:CR$14&lt;&gt;"",ROW(CR$7:CR$14)-ROW(CR$7)+1),ROWS(CR$7:CR27))),"")</f>
        <v/>
      </c>
      <c r="AM28" s="40"/>
      <c r="AN28" s="52" t="str">
        <f>IF(Atletas!D21="","",IF(Atletas!B21="Feminino",100,IF(Atletas!B21="Masculino",200,""))+(IF(Atletas!D21="Kids 30kg",1,IF(Atletas!D21="Kids 32kg",2, IF(Atletas!D21="Kids 34kg",3,IF(Atletas!D21="Kids 36kg",4,IF(Atletas!D21="Kids 39kg",5,IF(Atletas!D21="Kids 42kg",6,IF(Atletas!D21="Kids 45kg",7, IF(Atletas!D21="Infantil 39kg",8,IF(Atletas!D21="Infantil 42kg",9,IF(Atletas!D21="Infantil 45kg",10,IF(Atletas!D21="Infantil 48kg",11,IF(Atletas!D21="Infantil 52kg",12,IF(Atletas!D21="Infantil 56kg",13,IF(Atletas!D21="Infantil 60kg",14,IF(Atletas!D21="Juvenil 48kg",15,IF(Atletas!D21="Juvenil 52kg",16,IF(Atletas!D21="Juvenil 56kg",17,IF(Atletas!D21="Juvenil 60kg",18,IF(Atletas!D21="Juvenil 65kg",19,IF(Atletas!D21="Juvenil 70kg",20,IF(Atletas!D21="Juvenil 75kg",21,IF(Atletas!D21="Juvenil 80kg",22, IF(Atletas!D21="Juvenil 85kg",23,IF(Atletas!D21="Adulto 48kg",24,IF(Atletas!D21="Adulto 52kg",25,IF(Atletas!D21="Adulto 56kg",26,IF(Atletas!D21="Adulto 60kg",27,IF(Atletas!D21="Adulto 65kg",28,IF(Atletas!D21="Adulto 70kg",29,IF(Atletas!D21="Adulto 75kg",30,IF(Atletas!D21="Adulto 80kg",31,IF(Atletas!D21="Adulto 85kg",32,IF(Atletas!D21="Adulto 90kg",33,IF(Atletas!D21="Adulto 100kg",34, IF(Atletas!D21="Adulto +100kg",35,"")))))))))))))))))))))))))))))))))))))</f>
        <v/>
      </c>
      <c r="AO28" s="50"/>
      <c r="AP28" s="50"/>
      <c r="AQ28" s="50" t="str">
        <f>IF(AR28&lt;&gt;"","Juvenil 80kg","")</f>
        <v/>
      </c>
      <c r="AR28" s="6" t="str">
        <f>IF(COUNTIF(AN:AN,222)&gt;0,COUNTIF(AN:AN,222),"")</f>
        <v/>
      </c>
      <c r="AS28" s="6" t="str">
        <f>IF(Atletas!E21="","",IF(Atletas!B21="Feminino",100,IF(Atletas!B21="Masculino",200,""))+(IF(Atletas!E21="Juvenil 44kg",1,IF(Atletas!E21="Juvenil 48kg",2,IF(Atletas!E21="Juvenil 52kg",3,IF(Atletas!E21="Juvenil 56kg",4,IF(Atletas!E21="Juvenil 60kg",5,IF(Atletas!E21="Juvenil 65kg",6,IF(Atletas!E21="Juvenil 70kg",7,IF(Atletas!E21="Juvenil 75kg",8,IF(Atletas!E21="Juvenil 82kg",9,IF(Atletas!E21="Juvenil 90kg",10,IF(Atletas!E21="Juvenil 100kg",11,IF(Atletas!E21="Adulto 48kg",12,IF(Atletas!E21="Adulto 52kg",13,IF(Atletas!E21="Adulto 56kg",14,IF(Atletas!E21="Adulto 60kg",15,IF(Atletas!E21="Adulto 65kg",16,IF(Atletas!E21="Adulto 70kg",17,IF(Atletas!E21="Adulto 75kg",18,IF(Atletas!E21="Adulto 82kg",19,IF(Atletas!E21="Adulto 90kg",20,IF(Atletas!E21="Adulto 100kg",21,IF(Atletas!E21="Adulto +100kg",22,""))))))))))))))))))))))))</f>
        <v/>
      </c>
      <c r="AX28" s="6" t="str">
        <f>IF(Atletas!F21="","",IF(Atletas!B21="Feminino",100,IF(Atletas!B21="Masculino",200,""))+(IF(Atletas!F21="Adulto 48kg",1,IF(Atletas!F21="Adulto 56kg",2,IF(Atletas!F21="Adulto 65kg",3,IF(Atletas!F21="Adulto 75kg",4,IF(Atletas!F21="Adulto +75kg",5,IF(Atletas!F21="Adulto 52kg",6,IF(Atletas!F21="Adulto 60kg",7,IF(Atletas!F21="Adulto 70kg",8,IF(Atletas!F21="Adulto 80kg",9,IF(Atletas!F21="Adulto 90kg",10,IF(Atletas!F21="Adulto +90kg",11,"")))))))))))))</f>
        <v/>
      </c>
      <c r="BC28" s="6" t="str">
        <f>IF(Atletas!G21="","",IF(Atletas!B21="Feminino",10,IF(Atletas!B21="Masculino",20,""))+(IF(Atletas!G21="Baduanjin A",1,IF(Atletas!G21="Baduanjin B",2))))</f>
        <v/>
      </c>
      <c r="BF28" s="52" t="str">
        <f>IF(Atletas!H21="","",IF(Atletas!B21="Feminino",100,IF(Atletas!B21="Masculino",200,""))+(IF(Atletas!H21="Changquan Mirim",1,IF(Atletas!H21="Nanquan Mirim",2,IF(Atletas!H21="Taijiquan Mirim",3,IF(Atletas!H21="Changquan Grupo C",4,IF(Atletas!H21="Nanquan Grupo C",5,IF(Atletas!H21="Taijiquan Grupo C",6,IF(Atletas!H21="Changquan Grupo B",7,IF(Atletas!H21="Nanquan Grupo B",8,IF(Atletas!H21="Taijiquan Grupo B",9,IF(Atletas!H21="Changquan Grupo A",10,IF(Atletas!H21="Nanquan Grupo A",11,IF(Atletas!H21="Taijiquan Grupo A",12,IF(Atletas!H21="Changquan Opcional",13,IF(Atletas!H21="Nanquan Opcional",14,IF(Atletas!H21="Taijiquan Opcional",15,IF(Atletas!H21="Changquan Adulto",16,IF(Atletas!H21="Nanquan Adulto",17,IF(Atletas!H21="Taijiquan Adulto",18,""))))))))))))))))))))</f>
        <v/>
      </c>
      <c r="BG28" s="52" t="str">
        <f>IF(Atletas!I21="","",IF(Atletas!B21="Feminino",100,IF(Atletas!B21="Masculino",200,""))+(IF(Atletas!I21="Daoshu Mirim",19,IF(Atletas!I21="Jianshu Mirim",20,IF(Atletas!I21="Nandao Mirim",21,IF(Atletas!I21="Taijijian Mirim",22,IF(Atletas!I21="Daoshu Grupo C",23,IF(Atletas!I21="Jianshu Grupo C",24,IF(Atletas!I21="Nandao Grupo C",25,IF(Atletas!I21="Taijijian Grupo C",26,IF(Atletas!I21="Daoshu Grupo B",27,IF(Atletas!I21="Jianshu Grupo B",28,IF(Atletas!I21="Nandao Grupo B",29,IF(Atletas!I21="Taijijian Grupo B",30,IF(Atletas!I21="Daoshu Grupo A",31,IF(Atletas!I21="Jianshu Grupo A",32,IF(Atletas!I21="Nandao Grupo A",33,IF(Atletas!I21="Taijijian Grupo A",34,IF(Atletas!I21="Daoshu Opcional",35,IF(Atletas!I21="Jianshu Opcional",36,IF(Atletas!I21="Nandao Opcional",37,IF(Atletas!I21="Taijijian Opcional",38,IF(Atletas!I21="Daoshu Adulto",39,IF(Atletas!I21="Jianshu Adulto",40,IF(Atletas!I21="Nandao Adulto",41,IF(Atletas!I21="Taijijian Adulto",42,""))))))))))))))))))))))))))</f>
        <v/>
      </c>
      <c r="BH28" s="52" t="str">
        <f>IF(Atletas!J21="","",IF(Atletas!B21="Feminino",100,IF(Atletas!B21="Masculino",200,""))+(IF(Atletas!J21="Gunshu Mirim",43,IF(Atletas!J21="Qiangshu Mirim",44,IF(Atletas!J21="Nangun Mirim",45,IF(Atletas!J21="Gunshu Grupo C",46,IF(Atletas!J21="Qiangshu Grupo C",47,IF(Atletas!J21="Nangun Grupo C",48,IF(Atletas!J21="Gunshu Grupo B",49,IF(Atletas!J21="Qiangshu Grupo B",50,IF(Atletas!J21="Nangun Grupo B",51,IF(Atletas!J21="Gunshu Grupo A",52,IF(Atletas!J21="Qiangshu Grupo A",53,IF(Atletas!J21="Nangun Grupo A",54,IF(Atletas!J21="Gunshu Opcional",55,IF(Atletas!J21="Qiangshu Opcional",56,IF(Atletas!J21="Nangun Opcional",57,IF(Atletas!J21="Gunshu Adulto",58,IF(Atletas!J21="Qiangshu Adulto",59,IF(Atletas!J21="Nangun Adulto",60,IF(Atletas!J21="Taijishan Grupo B",61,IF(Atletas!J21="Taijishan Grupo A",62,""))))))))))))))))))))))</f>
        <v/>
      </c>
      <c r="BI28" s="6" t="str">
        <f>IF(BJ28&lt;&gt;"","Nanquan Grupo B","")</f>
        <v/>
      </c>
      <c r="BJ28" s="50" t="str">
        <f>IF(COUNTIF(BF:BH,108)&gt;0,COUNTIF(BF:BH,108),"")</f>
        <v/>
      </c>
      <c r="BK28" s="6" t="str">
        <f>IF(BL28&lt;&gt;"","Nanquan Grupo B","")</f>
        <v/>
      </c>
      <c r="BL28" s="50" t="str">
        <f>IF(COUNTIF(BF:BH,208)&gt;0,COUNTIF(BF:BH,208),"")</f>
        <v/>
      </c>
      <c r="BM28" s="50" t="str">
        <f>IF(Atletas!K21="","",IF(Atletas!B21="Feminino",100,IF(Atletas!B21="Masculino",200,""))+(IF(Atletas!K21="Equipe 1 Grupo B",1,IF(Atletas!K21="Equipe 2 Grupo B",2,IF(Atletas!K21="Equipe 1 Grupo A",3,IF(Atletas!K21="Equipe 2 Grupo A",4,IF(Atletas!K21="Equipe 1 Adulto",5,IF(Atletas!K21="Equipe 2 Adulto",6,""))))))))</f>
        <v/>
      </c>
      <c r="BR28" s="50" t="str">
        <f>IF(Atletas!L21="","",IF(Atletas!X21&lt;&gt;"",10000,0)+(IF(Atletas!B21="Feminino",1000,IF(Atletas!B21="Masculino",2000,""))+IF(Atletas!L21="Choylayfut A",1,IF(Atletas!L21="Hunggar A",2,IF(Atletas!L21="Wuzuquan A",3,IF(Atletas!L21="Wingchun A",4,IF(Atletas!L21="Outra Mão de Sul A",5,IF(Atletas!L21="Choylayfut B",6,IF(Atletas!L21="Hunggar B",7,IF(Atletas!L21="Wuzuquan B",8,IF(Atletas!L21="Wingchun B",9,IF(Atletas!L21="Outra Mão de Sul B",10,IF(Atletas!L21="Choylayfut C",11,IF(Atletas!L21="Hunggar C",12,IF(Atletas!L21="Wuzuquan C",13,IF(Atletas!L21="Wingchun C",14,IF(Atletas!L21="Outra Mão de Sul C",15,IF(Atletas!L21="Choylayfut D",16,IF(Atletas!L21="Hunggar D",17,IF(Atletas!L21="Wuzuquan D",18,IF(Atletas!L21="Wingchun D",19,IF(Atletas!L21="Outra Mão de Sul D",20,IF(Atletas!L21="Choylayfut E",21,IF(Atletas!L21="Hunggar E",22,IF(Atletas!L21="Wuzuquan E",23,IF(Atletas!L21="Wingchun E",24,IF(Atletas!L21="Outra Mão de Sul E",25,IF(Atletas!L21="Choylayfut F",26,IF(Atletas!L21="Hunggar F",27,IF(Atletas!L21="Wuzuquan F",28,IF(Atletas!L21="Wingchun F",29,IF(Atletas!L21="Outra Mão de Sul F",30,IF(Atletas!L21="Dishuquan A",31,IF(Atletas!L21="Dishuquan B",32,IF(Atletas!L21="Dishuquan C",33,IF(Atletas!L21="Dishuquan D",34,IF(Atletas!L21="Dishuquan E",35,IF(Atletas!L21="Dishuquan F",36,""))))))))))))))))))))))))))))))))))))))</f>
        <v/>
      </c>
      <c r="BS28" s="50" t="str">
        <f>IF(Atletas!M21="","",IF(Atletas!X21&lt;&gt;"",10000,0)+(IF(Atletas!B21="Feminino",1000,IF(Atletas!B21="Masculino",2000,""))+(IF(Atletas!M21="Chaquan A",101,IF(Atletas!M21="Emeiquan A",102,IF(Atletas!M21="Fanziquan A",103,IF(Atletas!M21="Huaquan A",104,IF(Atletas!M21="Hongquan A",105,IF(Atletas!M21="Paoquan A",106,IF(Atletas!M21="Piguaquan A",107,IF(Atletas!M21="Shaolinquan A",108,IF(Atletas!M21="Tanglangquan A",109,IF(Atletas!M21="Yingzhaoquan A",110,IF(Atletas!M21="Tongbeiquan A",111,IF(Atletas!M21="Wudangquan A",112,IF(Atletas!M21="Outros Estilos A",113,IF(Atletas!M21="Chaquan B",114,IF(Atletas!M21="Emeiquan B",115,IF(Atletas!M21="Fanziquan B",116,IF(Atletas!M21="Huaquan B",117,IF(Atletas!M21="Hongquan B",118,IF(Atletas!M21="Paoquan B",119,IF(Atletas!M21="Piguaquan B",120,IF(Atletas!M21="Shaolinquan B",121,IF(Atletas!M21="Tanglangquan B",122,IF(Atletas!M21="Yingzhaoquan B",123,IF(Atletas!M21="Tongbeiquan B",124,IF(Atletas!M21="Wudangquan B",125,IF(Atletas!M21="Outros Estilos B",126,IF(Atletas!M21="Chaquan C",127,IF(Atletas!M21="Emeiquan C",128,IF(Atletas!M21="Fanziquan C",129,IF(Atletas!M21="Huaquan C",130,IF(Atletas!M21="Hongquan C",131,IF(Atletas!M21="Paoquan C",132,IF(Atletas!M21="Piguaquan C",133,IF(Atletas!M21="Shaolinquan C",134,IF(Atletas!M21="Tanglangquan C",135,IF(Atletas!M21="Yingzhaoquan C",136,IF(Atletas!M21="Tongbeiquan C",137,IF(Atletas!M21="Wudangquan C",138,IF(Atletas!M21="Outros Estilos C",139,0))))))))))))))))))))))))))))))))))))))))))</f>
        <v/>
      </c>
      <c r="BT28" s="50" t="str">
        <f>IF(Atletas!M21="","",IF(Atletas!X21&lt;&gt;"",10000,0)+(IF(Atletas!B21="Feminino",1000,IF(Atletas!B21="Masculino",2000,""))+(IF(Atletas!M21="Chaquan D",140,IF(Atletas!M21="Emeiquan D",141,IF(Atletas!M21="Fanziquan D",142,IF(Atletas!M21="Huaquan D",143,IF(Atletas!M21="Hongquan D",144,IF(Atletas!M21="Paoquan D",145,IF(Atletas!M21="Piguaquan D",146,IF(Atletas!M21="Shaolinquan D",147,IF(Atletas!M21="Tanglangquan D",148,IF(Atletas!M21="Yingzhaoquan D",149,IF(Atletas!M21="Tongbeiquan D",150,IF(Atletas!M21="Wudangquan D",151,IF(Atletas!M21="Outros Estilos D",152,IF(Atletas!M21="Chaquan E",153,IF(Atletas!M21="Emeiquan E",154,IF(Atletas!M21="Fanziquan E",155,IF(Atletas!M21="Huaquan E",156,IF(Atletas!M21="Hongquan E",157,IF(Atletas!M21="Paoquan E",158,IF(Atletas!M21="Piguaquan E",159,IF(Atletas!M21="Shaolinquan E",160,IF(Atletas!M21="Tanglangquan E",161,IF(Atletas!M21="Yingzhaoquan E",162,IF(Atletas!M21="Tongbeiquan E",163,IF(Atletas!M21="Wudangquan E",164,IF(Atletas!M21="Outros Estilos E",165,IF(Atletas!M21="Chaquan F",166,IF(Atletas!M21="Emeiquan F",167,IF(Atletas!M21="Fanziquan F",168,IF(Atletas!M21="Huaquan F",169,IF(Atletas!M21="Hongquan F",170,IF(Atletas!M21="Paoquan F",171,IF(Atletas!M21="Piguaquan F",172,IF(Atletas!M21="Shaolinquan F",173,IF(Atletas!M21="Tanglangquan F",174,IF(Atletas!M21="Yingzhaoquan F",175,IF(Atletas!M21="Tongbeiquan F",176,IF(Atletas!M21="Wudangquan F",177,IF(Atletas!M21="Outros Estilos F",178,0))))))))))))))))))))))))))))))))))))))))))</f>
        <v/>
      </c>
      <c r="BU28" s="50" t="str">
        <f>IF(Atletas!N21="","",IF(Atletas!X21&lt;&gt;"",10000,0)+(IF(Atletas!B21="Feminino",1000,IF(Atletas!B21="Masculino",2000,""))+(IF(Atletas!N21="Ditangquan A",201,IF(Atletas!N21="Houquan A",202,IF(Atletas!N21="Zuiquan A",203,IF(Atletas!N21="Ditangquan B",204,IF(Atletas!N21="Houquan B",205,IF(Atletas!N21="Zuiquan B",206,IF(Atletas!N21="Ditangquan C",207,IF(Atletas!N21="Houquan C",208,IF(Atletas!N21="Zuiquan C",209,IF(Atletas!N21="Ditangquan D",210,IF(Atletas!N21="Houquan D",211,IF(Atletas!N21="Zuiquan D",212,IF(Atletas!N21="Ditangquan E",213,IF(Atletas!N21="Houquan E",214,IF(Atletas!N21="Zuiquan E",215,IF(Atletas!N21="Ditangquan F",216,IF(Atletas!N21="Houquan F",217,IF(Atletas!N21="Zuiquan F",218,"")))))))))))))))))))))</f>
        <v/>
      </c>
      <c r="BV28" s="50" t="str">
        <f>IF(Atletas!O21="","",IF(Atletas!X21&lt;&gt;"",10000,0)+IF(Atletas!B21="Feminino",1000,IF(Atletas!B21="Masculino",2000,""))+IF(Atletas!O21="Yang A",301,IF(Atletas!O21="Chen A",302,IF(Atletas!O21="Sun A",303,IF(Atletas!O21="Wu A",304,IF(Atletas!O21="Wu-Hao A",305,IF(Atletas!O21="Outro Taijiquan A",306,IF(Atletas!O21="Yang B",307,IF(Atletas!O21="Chen B",308,IF(Atletas!O21="Sun B",309,IF(Atletas!O21="Wu B",310,IF(Atletas!O21="Wu-Hao B",311,IF(Atletas!O21="Outro Taijiquan B",312,IF(Atletas!O21="Yang C",313,IF(Atletas!O21="Chen C",314,IF(Atletas!O21="Sun C",315,IF(Atletas!O21="Wu C",316,IF(Atletas!O21="Wu-Hao C",317,IF(Atletas!O21="Outro Taijiquan C",318,IF(Atletas!O21="Yang D",319,IF(Atletas!O21="Chen D",320,IF(Atletas!O21="Sun D",321,IF(Atletas!O21="Wu D",322,IF(Atletas!O21="Wu-Hao D",323,IF(Atletas!O21="Outro Taijiquan D",324,IF(Atletas!O21="Yang E",325,IF(Atletas!O21="Chen E",326,IF(Atletas!O21="Sun E",327,IF(Atletas!O21="Wu E",328,IF(Atletas!O21="Wu-Hao E",329,IF(Atletas!O21="Outro Taijiquan E",330,IF(Atletas!O21="Yang F",331,IF(Atletas!O21="Chen F",332,IF(Atletas!O21="Sun F",333,IF(Atletas!O21="Wu F",334,IF(Atletas!O21="Wu-Hao F",335,IF(Atletas!O21="Outro Taijiquan F",336,"")))))))))))))))))))))))))))))))))))))</f>
        <v/>
      </c>
      <c r="BW28" s="50" t="str">
        <f>IF(Atletas!P21="","",IF(Atletas!X21&lt;&gt;"",10000,0)+IF(Atletas!B21="Feminino",1000,IF(Atletas!B21="Masculino",2000,""))+IF(OR(Atletas!P21="Yang 26 A",Atletas!P21="Yang 40 A"),401,IF(OR(Atletas!P21="Chen 25 A",Atletas!P21="Chen 36 A",Atletas!P21="Chen 56 A"),402,IF(Atletas!P21="Sun 73 A",403,IF(Atletas!P21="Wu 45 A",404,IF(Atletas!P21="Wu-Hao 46 A",405,IF(OR(Atletas!P21="Taijiquan 16 A",Atletas!P21="Taijiquan 24 A",Atletas!P21="Taijiquan 32 A",Atletas!P21="Taijiquan 42 A"),406,IF(OR(Atletas!P21="Yang 26 B",Atletas!P21="Yang 40 B"),407,IF(OR(Atletas!P21="Chen 25 B",Atletas!P21="Chen 36 B",Atletas!P21="Chen 56 B"),408,IF(Atletas!P21="Sun 73 B",409,IF(Atletas!P21="Wu 45 B",410,IF(Atletas!P21="Wu-Hao 46 B",411,IF(OR(Atletas!P21="Taijiquan 16 B",Atletas!P21="Taijiquan 24 B",Atletas!P21="Taijiquan 32 B",Atletas!P21="Taijiquan 42 B"),412,IF(OR(Atletas!P21="Yang 26 C",Atletas!P21="Yang 40 C"),413,IF(OR(Atletas!P21="Chen 25 C",Atletas!P21="Chen 36 C",Atletas!P21="Chen 56 C"),414,IF(Atletas!P21="Sun 73 C",415,IF(Atletas!P21="Wu 45 C",416,IF(Atletas!P21="Wu-Hao 46 C",417,IF(OR(Atletas!P21="Taijiquan 16 C",Atletas!P21="Taijiquan 24 C",Atletas!P21="Taijiquan 32 C",Atletas!P21="Taijiquan 42 C"),418,0)))))))))))))))))))</f>
        <v/>
      </c>
      <c r="BX28" s="50" t="str">
        <f>IF(Atletas!P21="","",IF(Atletas!X21&lt;&gt;"",10000,0)+IF(Atletas!B21="Feminino",1000,IF(Atletas!B21="Masculino",2000,""))+IF(OR(Atletas!P21="Yang 26 D",Atletas!P21="Yang 40 D"),419,IF(OR(Atletas!P21="Chen 25 D",Atletas!P21="Chen 36 D",Atletas!P21="Chen 56 D"),420,IF(Atletas!P21="Sun 73 D",421,IF(Atletas!P21="Wu 45 D",422,IF(Atletas!P21="Wu-Hao 46 D",423,IF(OR(Atletas!P21="Taijiquan 16 D",Atletas!P21="Taijiquan 24 D",Atletas!P21="Taijiquan 32 D",Atletas!P21="Taijiquan 42 D"),424,IF(OR(Atletas!P21="Yang 26 E",Atletas!P21="Yang 40 E"),425,IF(OR(Atletas!P21="Chen 25 E",Atletas!P21="Chen 36 E",Atletas!P21="Chen 56 E"),426,IF(Atletas!P21="Sun 73 E",427,IF(Atletas!P21="Wu 45 E",428,IF(Atletas!P21="Wu-Hao 46 E",429,IF(OR(Atletas!P21="Taijiquan 16 E",Atletas!P21="Taijiquan 24 E",Atletas!P21="Taijiquan 32 E",Atletas!P21="Taijiquan 42 E"),430,IF(OR(Atletas!P21="Yang 26 F",Atletas!P21="Yang 40 F"),431,IF(OR(Atletas!P21="Chen 25 F",Atletas!P21="Chen 36 F",Atletas!P21="Chen 56 F"),432,IF(Atletas!P21="Sun 73 F",433,IF(Atletas!P21="Wu 45 F",434,IF(Atletas!P21="Wu-Hao 46 F",435,IF(OR(Atletas!P21="Taijiquan 16 F",Atletas!P21="Taijiquan 24 F",Atletas!P21="Taijiquan 32 F",Atletas!P21="Taijiquan 42 F"),436,0)))))))))))))))))))</f>
        <v/>
      </c>
      <c r="BY28" s="50" t="str">
        <f>IF(Atletas!Q21="","",IF(Atletas!X21&lt;&gt;"",10000,0)+IF(Atletas!B21="Feminino",1000,IF(Atletas!B21="Masculino",2000,""))+IF(Atletas!Q21="Xingyiquan A",501,IF(Atletas!Q21="Baguazhang A",502,IF(Atletas!Q21="Outro Estilo Interno A",503,IF(Atletas!Q21="Xingyiquan B",504,IF(Atletas!Q21="Baguazhang B",505,IF(Atletas!Q21="Outro Estilo Interno B",506,IF(Atletas!Q21="Xingyiquan C",507,IF(Atletas!Q21="Baguazhang C",508,IF(Atletas!Q21="Outro Estilo Interno C",509,IF(Atletas!Q21="Xingyiquan D",510,IF(Atletas!Q21="Baguazhang D",511,IF(Atletas!Q21="Outro Estilo Interno D",512,IF(Atletas!Q21="Xingyiquan E",513,IF(Atletas!Q21="Baguazhang E",514,IF(Atletas!Q21="Outro Estilo Interno E",515,IF(Atletas!Q21="Xingyiquan F",516,IF(Atletas!Q21="Baguazhang F",517,IF(Atletas!Q21="Outro Estilo Interno F",518, "")))))))))))))))))))</f>
        <v/>
      </c>
      <c r="BZ28" s="50" t="str">
        <f>IF(Atletas!R21="","",IF(Atletas!X21&lt;&gt;"",10000,0)+IF(Atletas!B21="Feminino",1000,IF(Atletas!B21="Masculino",2000,""))+IF(Atletas!R21="Dao A",601,IF(Atletas!R21="Jian A",602,IF(Atletas!R21="Bishou A",603,IF(Atletas!R21="Shanzi A",604,IF(Atletas!R21="Outra Arma Curta A",605,IF(Atletas!R21="Dao B",606,IF(Atletas!R21="Jian B",607,IF(Atletas!R21="Bishou B",608,IF(Atletas!R21="Shanzi B",609,IF(Atletas!R21="Outra Arma Curta B",610,IF(Atletas!R21="Dao C",611,IF(Atletas!R21="Jian C",612,IF(Atletas!R21="Bishou C",613,IF(Atletas!R21="Shanzi C",614,IF(Atletas!R21="Outra Arma Curta C",615,IF(Atletas!R21="Dao D",616,IF(Atletas!R21="Jian D",617,IF(Atletas!R21="Bishou D",618,IF(Atletas!R21="Shanzi D",619,IF(Atletas!R21="Outra Arma Curta D",620,IF(Atletas!R21="Dao E",621,IF(Atletas!R21="Jian E",622,IF(Atletas!R21="Bishou E",623,IF(Atletas!R21="Shanzi E",624,IF(Atletas!R21="Outra Arma Curta E",625,IF(Atletas!R21="Dao F",626,IF(Atletas!R21="Jian F",627,IF(Atletas!R21="Bishou F",628,IF(Atletas!R21="Shanzi F",629,IF(Atletas!R21="Outra Arma Curta F",630, "")))))))))))))))))))))))))))))))</f>
        <v/>
      </c>
      <c r="CA28" s="50" t="str">
        <f>IF(Atletas!S21="","",IF(Atletas!X21&lt;&gt;"",10000,0)+IF(Atletas!B21="Feminino",1000,IF(Atletas!B21="Masculino",2000,""))+IF(Atletas!S21="Gun A",701,IF(Atletas!S21="Qiang A",702,IF(Atletas!S21="Pudao / Guandao A",703,IF(Atletas!S21="Outra Arma Longa A",704,IF(Atletas!S21="Gun B",705,IF(Atletas!S21="Qiang B",706,IF(Atletas!S21="Pudao / Guandao B",707,IF(Atletas!S21="Outra Arma Longa B",708,IF(Atletas!S21="Gun C",709,IF(Atletas!S21="Qiang C",710,IF(Atletas!S21="Pudao / Guandao C",711,IF(Atletas!S21="Outra Arma Longa C",712,IF(Atletas!S21="Gun D",713,IF(Atletas!S21="Qiang D",714,IF(Atletas!S21="Pudao / Guandao D",715,IF(Atletas!S21="Outra Arma Longa D",716,IF(Atletas!S21="Gun E",717,IF(Atletas!S21="Qiang E",718,IF(Atletas!S21="Pudao / Guandao E",719,IF(Atletas!S21="Outra Arma Longa E",720,IF(Atletas!S21="Gun F",721,IF(Atletas!S21="Qiang F",722,IF(Atletas!S21="Pudao / Guandao F",723,IF(Atletas!S21="Outra Arma Longa F",724,"")))))))))))))))))))))))))</f>
        <v/>
      </c>
      <c r="CB28" s="50" t="str">
        <f>IF(Atletas!T21="","",IF(Atletas!X21&lt;&gt;"",10000,0)+IF(Atletas!B21="Feminino",1000,IF(Atletas!B21="Masculino",2000,""))+IF(Atletas!T21="Outra Arma Dupla A",801,IF(Atletas!T21="Arma Maleável A",802,IF(Atletas!T21="Outra Arma Dupla B",803,IF(Atletas!T21="Arma Maleável B",804,IF(Atletas!T21="Outra Arma Dupla C",805,IF(Atletas!T21="Arma Maleável C",806,IF(Atletas!T21="Outra Arma Dupla D",807,IF(Atletas!T21="Arma Maleável D",808,IF(Atletas!T21="Outra Arma Dupla E",809,IF(Atletas!T21="Arma Maleável E",810,IF(Atletas!T21="Outra Arma Dupla F",811,IF(Atletas!T21="Arma Maleável F",812,IF(Atletas!T21="Shuangdao A",813,IF(Atletas!T21="Shuangdao B",814,IF(Atletas!T21="Shuangdao C",815,IF(Atletas!T21="Shuangdao D",816,IF(Atletas!T21="Shuangdao E",817,IF(Atletas!T21="Shuangdao F",818,"")))))))))))))))))))</f>
        <v/>
      </c>
      <c r="CC28" s="50" t="str">
        <f>IF(Atletas!U21="","",IF(Atletas!X21&lt;&gt;"",10000,0)+IF(Atletas!B21="Feminino",1000,IF(Atletas!B21="Masculino",2000,""))+IF(OR(Atletas!U21="Taijijian Yang A",Atletas!U21="Taijijian Yang Standard A"),901,IF(OR(Atletas!U21="Taijijian Chen A", Atletas!U21="Taijijian Chen Standard A"),902,IF(Atletas!U21="Taijijian Sun A",903,IF(Atletas!U21="Taijijian Wu A",904,IF(Atletas!U21="Taijijian Wu-Hao A",905,IF(OR(Atletas!U21="Taijijian 32 A",Atletas!U21="Taijijian 42 A"),906,IF(OR(Atletas!U21="Taijijian Yang B",Atletas!U21="Taijijian Yang Standard B"),907,IF(OR(Atletas!U21="Taijijian Chen B", Atletas!U21="Taijijian Chen Standard B"),908,IF(Atletas!U21="Taijijian Sun B",909,IF(Atletas!U21="Taijijian Wu B",910,IF(Atletas!U21="Taijijian Wu-Hao B",911,IF(OR(Atletas!U21="Taijijian 32 B",Atletas!U21="Taijijian 42 B"),912,IF(OR(Atletas!U21="Taijijian Yang C",Atletas!U21="Taijijian Yang Standard C"),913,IF(OR(Atletas!U21="Taijijian Chen C", Atletas!U21="Taijijian Chen Standard C"),914,IF(Atletas!U21="Taijijian Sun C",915,IF(Atletas!U21="Taijijian Wu C",916,IF(Atletas!U21="Taijijian Wu-Hao C",917,IF(OR(Atletas!U21="Taijijian 32 C",Atletas!U21="Taijijian 42 C"),918,IF(OR(Atletas!U21="Taijijian Yang D",Atletas!U21="Taijijian Yang Standard D"),919,IF(OR(Atletas!U21="Taijijian Chen D", Atletas!U21="Taijijian Chen Standard D"),920,IF(Atletas!U21="Taijijian Sun D",921,IF(Atletas!U21="Taijijian Wu D",922,IF(Atletas!U21="Taijijian Wu-Hao D",923,IF(OR(Atletas!U21="Taijijian 32 D",Atletas!U21="Taijijian 42 D"),924,IF(OR(Atletas!U21="Taijijian Yang E",Atletas!U21="Taijijian Yang Standard E"),925,IF(OR(Atletas!U21="Taijijian Chen E", Atletas!U21="Taijijian Chen Standard E"),926,IF(Atletas!U21="Taijijian Sun E",927,IF(Atletas!U21="Taijijian Wu E",928,IF(Atletas!U21="Taijijian Wu-Hao E",929,IF(OR(Atletas!U21="Taijijian 32 E",Atletas!U21="Taijijian 42 E"),930,IF(OR(Atletas!U21="Taijijian Yang F",Atletas!U21="Taijijian Yang Standard F"),931,IF(OR(Atletas!U21="Taijijian Chen F", Atletas!U21="Taijijian Chen Standard F"),932,IF(Atletas!U21="Taijijian Sun F",933,IF(Atletas!U21="Taijijian Wu F",934,IF(Atletas!U21="Taijijian Wu-Hao F",935,IF(OR(Atletas!U21="Taijijian 32 F",Atletas!U21="Taijijian 42 F"),936,"")))))))))))))))))))))))))))))))))))))</f>
        <v/>
      </c>
      <c r="CD28" s="50" t="str">
        <f>IF(Atletas!V21="","",IF(Atletas!X21&lt;&gt;"",10000,0)+IF(Atletas!B21="Feminino",1000,IF(Atletas!B21="Masculino",2000,""))+IF(Atletas!V21="Taijidao A",937,IF(Atletas!V21="TaijiShanzi A",938,IF(Atletas!V21="Taijiqiang A",939,IF(Atletas!V21="Bagua de Arma A",940,IF(Atletas!V21="Xingyi de Arma A",941,IF(Atletas!V21="Taijidao B",942,IF(Atletas!V21="TaijiShanzi B",943,IF(Atletas!V21="Taijiqiang B",944,IF(Atletas!V21="Bagua de Arma B",945,IF(Atletas!V21="Xingyi de Arma B",946,IF(Atletas!V21="Taijidao C",947,IF(Atletas!V21="TaijiShanzi C",948,IF(Atletas!V21="Taijiqiang C",949,IF(Atletas!V21="Bagua de Arma C",950,IF(Atletas!V21="Xingyi de Arma C",951,IF(Atletas!V21="Taijidao D",952,IF(Atletas!V21="TaijiShanzi D",953,IF(Atletas!V21="Taijiqiang D",954,IF(Atletas!V21="Bagua de Arma D",955,IF(Atletas!V21="Xingyi de Arma D",956,IF(Atletas!V21="Taijidao E",957,IF(Atletas!V21="TaijiShanzi E",958,IF(Atletas!V21="Taijiqiang E",959,IF(Atletas!V21="Bagua de Arma E",960,IF(Atletas!V21="Xingyi de Arma E",961,IF(Atletas!V21="Taijidao F",962,IF(Atletas!V21="TaijiShanzi F",963,IF(Atletas!V21="Taijiqiang F",964,IF(Atletas!V21="Bagua de Arma F",965,IF(Atletas!V21="Xingyi de Arma F",966,"")))))))))))))))))))))))))))))))</f>
        <v/>
      </c>
      <c r="CE28" s="66" t="str">
        <f>IF(CF28&lt;&gt;"","Wuzuquan D","")</f>
        <v/>
      </c>
      <c r="CF28" s="66" t="str">
        <f>IF(COUNTIF(BR:CD,1018)&gt;0,COUNTIF(BR:CD,1018),"")</f>
        <v/>
      </c>
      <c r="CG28" s="66" t="str">
        <f>IF(CH28&lt;&gt;"","Wuzuquan D","")</f>
        <v/>
      </c>
      <c r="CH28" s="66" t="str">
        <f>IF(COUNTIF(BR:CD,2018)&gt;0,COUNTIF(BR:CD,2018),"")</f>
        <v/>
      </c>
      <c r="CI28" s="66" t="str">
        <f>IF(CJ28&lt;&gt;"","Hunggar E","")</f>
        <v/>
      </c>
      <c r="CJ28" s="66" t="str">
        <f>IF(COUNTIF(BR:CD,11022)&gt;0,COUNTIF(BR:CD,11022),"")</f>
        <v/>
      </c>
      <c r="CK28" s="66" t="str">
        <f>IF(CL28&lt;&gt;"","Hunggar E","")</f>
        <v/>
      </c>
      <c r="CL28" s="66" t="str">
        <f>IF(COUNTIF(BR:CD,12022)&gt;0,COUNTIF(BR:CD,12022),"")</f>
        <v/>
      </c>
      <c r="CM28" s="50" t="str">
        <f xml:space="preserve"> IF(Atletas!W21="","",IF(Atletas!W21="Duilian de Mãos BC - Equipe 1",1,IF(Atletas!W21="Duilian de Mãos BC - Equipe 2",2,IF(Atletas!W21="Duilian de Armas BC - Equipe 1",3,IF(Atletas!W21="Duilian de Armas BC - Equipe 2",4,IF(Atletas!W21="Duilian de Mãos DE - Equipe 1",5,IF(Atletas!W21="Duilian de Mãos DE - Equipe 2",6,IF(Atletas!W21="Duilian de Armas DE - Equipe 1",7,IF(Atletas!W21="Duilian de Armas DE - Equipe 2",8,IF(Atletas!W21="Duilian de Tuishou - Equipe 1",9,IF(Atletas!W21="Duilian de Tuishou - Equipe 2",10,IF(Atletas!W21="Grupo Externo ABC - Equipe 1",11,IF(Atletas!W21="Grupo Externo ABC - Equipe 2",12,IF(Atletas!W21="Grupo Interno ABC - Equipe 1",13,IF(Atletas!W21="Grupo Interno ABC - Equipe 2",14,IF(Atletas!W21="Grupo Externo DEF - Equipe 1",15,IF(Atletas!W21="Grupo Externo DEF - Equipe 2",16,IF(Atletas!W21="Grupo Interno DEF - Equipe 1",17,IF(Atletas!W21="Grupo Interno DEF - Equipe 2",18,"")))))))))))))))))))</f>
        <v/>
      </c>
      <c r="CY28" s="41"/>
    </row>
    <row r="29" spans="1:103">
      <c r="A29" s="13"/>
      <c r="B29" s="3" t="str">
        <f t="array" ref="B29">IFERROR(INDEX(AO$7:AO$38,SMALL(IF(AO$7:AO$38&lt;&gt;"",ROW(AO$7:AO$38)-ROW(AO$7)+1),ROWS(AO$7:AO28))),"")</f>
        <v/>
      </c>
      <c r="C29" s="3" t="str">
        <f t="array" ref="C29">IFERROR(INDEX(AP$7:AP$38,SMALL(IF(AP$7:AP$38&lt;&gt;"",ROW(AP$7:AP$38)-ROW(AP$7)+1),ROWS(AP$7:AP28))),"")</f>
        <v/>
      </c>
      <c r="D29" s="3" t="str">
        <f t="array" ref="D29">IFERROR(INDEX(AQ$7:AQ$38,SMALL(IF(AQ$7:AQ$38&lt;&gt;"",ROW(AQ$7:AQ$38)-ROW(AQ$7)+1),ROWS(AQ$7:AQ28))),"")</f>
        <v/>
      </c>
      <c r="E29" s="3" t="str">
        <f t="array" ref="E29">IFERROR(INDEX(AR$7:AR$38,SMALL(IF(AR$7:AR$38&lt;&gt;"",ROW(AR$7:AR$38)-ROW(AR$7)+1),ROWS(AR$7:AR28))),"")</f>
        <v/>
      </c>
      <c r="F29" s="3" t="str">
        <f t="array" ref="F29">IFERROR(INDEX(AT$7:AT$36,SMALL(IF(AT$7:AT$36&lt;&gt;"",ROW(AT$7:AT$36)-ROW(AT$7)+1),ROWS(AT$7:AT28))),"")</f>
        <v/>
      </c>
      <c r="G29" s="3" t="str">
        <f t="array" ref="G29">IFERROR(INDEX(AU$7:AU$36,SMALL(IF(AU$7:AU$36&lt;&gt;"",ROW(AU$7:AU$36)-ROW(AU$7)+1),ROWS(AU$7:AU28))),"")</f>
        <v/>
      </c>
      <c r="H29" s="3" t="str">
        <f t="array" ref="H29">IFERROR(INDEX(AV$7:AV$36,SMALL(IF(AV$7:AV$36&lt;&gt;"",ROW(AV$7:AV$36)-ROW(AV$7)+1),ROWS(AV$7:AV28))),"")</f>
        <v/>
      </c>
      <c r="I29" s="3" t="str">
        <f t="array" ref="I29">IFERROR(INDEX(AW$7:AW$36,SMALL(IF(AW$7:AW$36&lt;&gt;"",ROW(AW$7:AW$36)-ROW(AW$7)+1),ROWS(AW$7:AW28))),"")</f>
        <v/>
      </c>
      <c r="J29" s="3" t="str">
        <f t="array" ref="J29">IFERROR(INDEX(AW$7:AW$36,SMALL(IF(AW$7:AW$36&lt;&gt;"",ROW(AW$7:AW$36)-ROW(AW$7)+1),ROWS(AW$7:AW28))),"")</f>
        <v/>
      </c>
      <c r="K29" s="3" t="str">
        <f t="array" ref="K29">IFERROR(INDEX(AZ$7:AZ$36,SMALL(IF(AZ$7:AZ$36&lt;&gt;"",ROW(AZ$7:AZ$36)-ROW(AZ$7)+1),ROWS(AZ$7:AZ28))),"")</f>
        <v/>
      </c>
      <c r="L29" s="3" t="str">
        <f t="array" ref="L29">IFERROR(INDEX(BA$7:BA$36,SMALL(IF(BA$7:BA$36&lt;&gt;"",ROW(BA$7:BA$36)-ROW(BA$7)+1),ROWS(BA$7:BA28))),"")</f>
        <v/>
      </c>
      <c r="M29" s="3" t="str">
        <f t="array" ref="M29">IFERROR(INDEX(BB$7:BB$36,SMALL(IF(BB$7:BB$36&lt;&gt;"",ROW(BB$7:BB$36)-ROW(BB$7)+1),ROWS(BB$7:BB28))),"")</f>
        <v/>
      </c>
      <c r="N29" s="3" t="str" cm="1">
        <f t="array" ref="N29">IFERROR(INDEX(BD$7:BD$8,SMALL(IF(BD$7:BD$8&lt;&gt;"",ROW(BD$7:BD$8)-ROW(BD$7)+1),ROWS(BD$7:BD28))),"")</f>
        <v/>
      </c>
      <c r="O29" s="3" t="str" cm="1">
        <f t="array" ref="O29">IFERROR(INDEX(BE$7:BE$8,SMALL(IF(BE$7:BE$8&lt;&gt;"",ROW(BE$7:BE$8)-ROW(BE$7)+1),ROWS(BE$7:BE28))),"")</f>
        <v/>
      </c>
      <c r="P29" s="3" t="str" cm="1">
        <f t="array" ref="P29">IFERROR(INDEX(BD$9:BD$10,SMALL(IF(BD$9:BD$10&lt;&gt;"",ROW(BD$9:BD$10)-ROW(BD$9)+1),ROWS(BD$9:BD30))),"")</f>
        <v/>
      </c>
      <c r="Q29" s="3" t="str">
        <f t="array" ref="Q29">IFERROR(INDEX(BH$7:BH$36,SMALL(IF(BH$7:BH$36&lt;&gt;"",ROW(BH$7:BH$36)-ROW(BH$7)+1),ROWS(BH$7:BH28))),"")</f>
        <v/>
      </c>
      <c r="R29" s="3" t="str">
        <f t="array" ref="R29">IFERROR(INDEX(BI$7:BI$68,SMALL(IF(BI$7:BI$68&lt;&gt;"",ROW(BI$7:BI$68)-ROW(BI$7)+1),ROWS(BI$7:BI28))),"")</f>
        <v/>
      </c>
      <c r="S29" s="3" t="str">
        <f t="array" ref="S29">IFERROR(INDEX(BJ$7:BJ$68,SMALL(IF(BJ$7:BJ$68&lt;&gt;"",ROW(BJ$7:BJ$68)-ROW(BJ$7)+1),ROWS(BJ$7:BJ28))),"")</f>
        <v/>
      </c>
      <c r="T29" s="3" t="str">
        <f t="array" ref="T29">IFERROR(INDEX(BK$7:BK$68,SMALL(IF(BK$7:BK$68&lt;&gt;"",ROW(BK$7:BK$68)-ROW(BK$7)+1),ROWS(BK$7:BK28))),"")</f>
        <v/>
      </c>
      <c r="U29" s="3" t="str">
        <f t="array" ref="U29">IFERROR(INDEX(BL$7:BL$68,SMALL(IF(BL$7:BL$68&lt;&gt;"",ROW(BL$7:BL$68)-ROW(BL$7)+1),ROWS(BL$7:BL28))),"")</f>
        <v/>
      </c>
      <c r="V29" s="3"/>
      <c r="W29" s="3"/>
      <c r="X29" s="3"/>
      <c r="Y29" s="3"/>
      <c r="Z29" s="3" t="str">
        <f t="array" ref="Z29">IFERROR(INDEX(CE$7:CE$348,SMALL(IF(CE$7:CE$348&lt;&gt;"",ROW(CE$7:CE$348)-ROW(CE$7)+1),ROWS(CE$7:CE28))),"")</f>
        <v/>
      </c>
      <c r="AA29" s="3" t="str">
        <f t="array" ref="AA29">IFERROR(INDEX(CF$7:CF$348,SMALL(IF(CF$7:CF$348&lt;&gt;"",ROW(CF$7:CF$348)-ROW(CF$7)+1),ROWS(CF$7:CF28))),"")</f>
        <v/>
      </c>
      <c r="AB29" s="3" t="str">
        <f t="array" ref="AB29">IFERROR(INDEX(CG$7:CG$348,SMALL(IF(CG$7:CG$348&lt;&gt;"",ROW(CG$7:CG$348)-ROW(CG$7)+1),ROWS(CG$7:CG28))),"")</f>
        <v/>
      </c>
      <c r="AC29" s="3" t="str">
        <f t="array" ref="AC29">IFERROR(INDEX(CH$7:CH$348,SMALL(IF(CH$7:CH$348&lt;&gt;"",ROW(CH$7:CH$348)-ROW(CH$7)+1),ROWS(CH$7:CH28))),"")</f>
        <v/>
      </c>
      <c r="AD29" s="3" t="str">
        <f t="array" ref="AD29">IFERROR(INDEX(CI$7:CI$377,SMALL(IF(CI$7:CI$377&lt;&gt;"",ROW(CI$7:CI$377)-ROW(CI$7)+1),ROWS(CI$7:CI28))),"")</f>
        <v/>
      </c>
      <c r="AE29" s="3" t="str">
        <f t="array" ref="AE29">IFERROR(INDEX(CJ$7:CJ$378,SMALL(IF(CJ$7:CJ$378&lt;&gt;"",ROW(CJ$7:CJ$378)-ROW(CJ$7)+1),ROWS(CJ$7:CJ28))),"")</f>
        <v/>
      </c>
      <c r="AF29" s="3" t="str">
        <f t="array" ref="AF29">IFERROR(INDEX(CK$7:CK$378,SMALL(IF(CK$7:CK$378&lt;&gt;"",ROW(CK$7:CK$378)-ROW(CK$7)+1),ROWS(CK$7:CK28))),"")</f>
        <v/>
      </c>
      <c r="AG29" s="3" t="str">
        <f t="array" ref="AG29">IFERROR(INDEX(CL$7:CL$378,SMALL(IF(CL$7:CL$378&lt;&gt;"",ROW(CL$7:CL$378)-ROW(CL$7)+1),ROWS(CL$7:CL28))),"")</f>
        <v/>
      </c>
      <c r="AH29" s="40" t="str">
        <f t="array" ref="AH29">IFERROR(INDEX(CN$7:CN$18,SMALL(IF(CN$7:CN$18&lt;&gt;"",ROW(CN$7:CN$18)-ROW(CN$7)+1),ROWS(CN$7:CN28))),"")</f>
        <v/>
      </c>
      <c r="AI29" s="40" t="str">
        <f t="array" ref="AI29">IFERROR(INDEX(CO$7:CO$18,SMALL(IF(CO$7:CO$18&lt;&gt;"",ROW(CO$7:CO$18)-ROW(CO$7)+1),ROWS(CO$7:CO28))),"")</f>
        <v/>
      </c>
      <c r="AJ29" s="40" t="str">
        <f t="array" ref="AJ29">IFERROR(INDEX(CP$7:CP$8,SMALL(IF(CP$7:CP$8&lt;&gt;"",ROW(CP$7:CP$8)-ROW(CP$7)+1),ROWS(CP$7:CP28))),"")</f>
        <v/>
      </c>
      <c r="AK29" s="40"/>
      <c r="AL29" s="40" t="str">
        <f t="array" ref="AL29">IFERROR(INDEX(CR$7:CR$14,SMALL(IF(CR$7:CR$14&lt;&gt;"",ROW(CR$7:CR$14)-ROW(CR$7)+1),ROWS(CR$7:CR28))),"")</f>
        <v/>
      </c>
      <c r="AM29" s="40"/>
      <c r="AN29" s="52" t="str">
        <f>IF(Atletas!D22="","",IF(Atletas!B22="Feminino",100,IF(Atletas!B22="Masculino",200,""))+(IF(Atletas!D22="Kids 30kg",1,IF(Atletas!D22="Kids 32kg",2, IF(Atletas!D22="Kids 34kg",3,IF(Atletas!D22="Kids 36kg",4,IF(Atletas!D22="Kids 39kg",5,IF(Atletas!D22="Kids 42kg",6,IF(Atletas!D22="Kids 45kg",7, IF(Atletas!D22="Infantil 39kg",8,IF(Atletas!D22="Infantil 42kg",9,IF(Atletas!D22="Infantil 45kg",10,IF(Atletas!D22="Infantil 48kg",11,IF(Atletas!D22="Infantil 52kg",12,IF(Atletas!D22="Infantil 56kg",13,IF(Atletas!D22="Infantil 60kg",14,IF(Atletas!D22="Juvenil 48kg",15,IF(Atletas!D22="Juvenil 52kg",16,IF(Atletas!D22="Juvenil 56kg",17,IF(Atletas!D22="Juvenil 60kg",18,IF(Atletas!D22="Juvenil 65kg",19,IF(Atletas!D22="Juvenil 70kg",20,IF(Atletas!D22="Juvenil 75kg",21,IF(Atletas!D22="Juvenil 80kg",22, IF(Atletas!D22="Juvenil 85kg",23,IF(Atletas!D22="Adulto 48kg",24,IF(Atletas!D22="Adulto 52kg",25,IF(Atletas!D22="Adulto 56kg",26,IF(Atletas!D22="Adulto 60kg",27,IF(Atletas!D22="Adulto 65kg",28,IF(Atletas!D22="Adulto 70kg",29,IF(Atletas!D22="Adulto 75kg",30,IF(Atletas!D22="Adulto 80kg",31,IF(Atletas!D22="Adulto 85kg",32,IF(Atletas!D22="Adulto 90kg",33,IF(Atletas!D22="Adulto 100kg",34, IF(Atletas!D22="Adulto +100kg",35,"")))))))))))))))))))))))))))))))))))))</f>
        <v/>
      </c>
      <c r="AO29" s="50"/>
      <c r="AP29" s="50"/>
      <c r="AQ29" s="50" t="str">
        <f>IF(AR29&lt;&gt;"","Juvenil 85kg","")</f>
        <v/>
      </c>
      <c r="AR29" s="6" t="str">
        <f>IF(COUNTIF(AN:AN,223)&gt;0,COUNTIF(AN:AN,223),"")</f>
        <v/>
      </c>
      <c r="AS29" s="6" t="str">
        <f>IF(Atletas!E22="","",IF(Atletas!B22="Feminino",100,IF(Atletas!B22="Masculino",200,""))+(IF(Atletas!E22="Juvenil 44kg",1,IF(Atletas!E22="Juvenil 48kg",2,IF(Atletas!E22="Juvenil 52kg",3,IF(Atletas!E22="Juvenil 56kg",4,IF(Atletas!E22="Juvenil 60kg",5,IF(Atletas!E22="Juvenil 65kg",6,IF(Atletas!E22="Juvenil 70kg",7,IF(Atletas!E22="Juvenil 75kg",8,IF(Atletas!E22="Juvenil 82kg",9,IF(Atletas!E22="Juvenil 90kg",10,IF(Atletas!E22="Juvenil 100kg",11,IF(Atletas!E22="Adulto 48kg",12,IF(Atletas!E22="Adulto 52kg",13,IF(Atletas!E22="Adulto 56kg",14,IF(Atletas!E22="Adulto 60kg",15,IF(Atletas!E22="Adulto 65kg",16,IF(Atletas!E22="Adulto 70kg",17,IF(Atletas!E22="Adulto 75kg",18,IF(Atletas!E22="Adulto 82kg",19,IF(Atletas!E22="Adulto 90kg",20,IF(Atletas!E22="Adulto 100kg",21,IF(Atletas!E22="Adulto +100kg",22,""))))))))))))))))))))))))</f>
        <v/>
      </c>
      <c r="AX29" s="6" t="str">
        <f>IF(Atletas!F22="","",IF(Atletas!B22="Feminino",100,IF(Atletas!B22="Masculino",200,""))+(IF(Atletas!F22="Adulto 48kg",1,IF(Atletas!F22="Adulto 56kg",2,IF(Atletas!F22="Adulto 65kg",3,IF(Atletas!F22="Adulto 75kg",4,IF(Atletas!F22="Adulto +75kg",5,IF(Atletas!F22="Adulto 52kg",6,IF(Atletas!F22="Adulto 60kg",7,IF(Atletas!F22="Adulto 70kg",8,IF(Atletas!F22="Adulto 80kg",9,IF(Atletas!F22="Adulto 90kg",10,IF(Atletas!F22="Adulto +90kg",11,"")))))))))))))</f>
        <v/>
      </c>
      <c r="BC29" s="6" t="str">
        <f>IF(Atletas!G22="","",IF(Atletas!B22="Feminino",10,IF(Atletas!B22="Masculino",20,""))+(IF(Atletas!G22="Baduanjin A",1,IF(Atletas!G22="Baduanjin B",2))))</f>
        <v/>
      </c>
      <c r="BF29" s="52" t="str">
        <f>IF(Atletas!H22="","",IF(Atletas!B22="Feminino",100,IF(Atletas!B22="Masculino",200,""))+(IF(Atletas!H22="Changquan Mirim",1,IF(Atletas!H22="Nanquan Mirim",2,IF(Atletas!H22="Taijiquan Mirim",3,IF(Atletas!H22="Changquan Grupo C",4,IF(Atletas!H22="Nanquan Grupo C",5,IF(Atletas!H22="Taijiquan Grupo C",6,IF(Atletas!H22="Changquan Grupo B",7,IF(Atletas!H22="Nanquan Grupo B",8,IF(Atletas!H22="Taijiquan Grupo B",9,IF(Atletas!H22="Changquan Grupo A",10,IF(Atletas!H22="Nanquan Grupo A",11,IF(Atletas!H22="Taijiquan Grupo A",12,IF(Atletas!H22="Changquan Opcional",13,IF(Atletas!H22="Nanquan Opcional",14,IF(Atletas!H22="Taijiquan Opcional",15,IF(Atletas!H22="Changquan Adulto",16,IF(Atletas!H22="Nanquan Adulto",17,IF(Atletas!H22="Taijiquan Adulto",18,""))))))))))))))))))))</f>
        <v/>
      </c>
      <c r="BG29" s="52" t="str">
        <f>IF(Atletas!I22="","",IF(Atletas!B22="Feminino",100,IF(Atletas!B22="Masculino",200,""))+(IF(Atletas!I22="Daoshu Mirim",19,IF(Atletas!I22="Jianshu Mirim",20,IF(Atletas!I22="Nandao Mirim",21,IF(Atletas!I22="Taijijian Mirim",22,IF(Atletas!I22="Daoshu Grupo C",23,IF(Atletas!I22="Jianshu Grupo C",24,IF(Atletas!I22="Nandao Grupo C",25,IF(Atletas!I22="Taijijian Grupo C",26,IF(Atletas!I22="Daoshu Grupo B",27,IF(Atletas!I22="Jianshu Grupo B",28,IF(Atletas!I22="Nandao Grupo B",29,IF(Atletas!I22="Taijijian Grupo B",30,IF(Atletas!I22="Daoshu Grupo A",31,IF(Atletas!I22="Jianshu Grupo A",32,IF(Atletas!I22="Nandao Grupo A",33,IF(Atletas!I22="Taijijian Grupo A",34,IF(Atletas!I22="Daoshu Opcional",35,IF(Atletas!I22="Jianshu Opcional",36,IF(Atletas!I22="Nandao Opcional",37,IF(Atletas!I22="Taijijian Opcional",38,IF(Atletas!I22="Daoshu Adulto",39,IF(Atletas!I22="Jianshu Adulto",40,IF(Atletas!I22="Nandao Adulto",41,IF(Atletas!I22="Taijijian Adulto",42,""))))))))))))))))))))))))))</f>
        <v/>
      </c>
      <c r="BH29" s="52" t="str">
        <f>IF(Atletas!J22="","",IF(Atletas!B22="Feminino",100,IF(Atletas!B22="Masculino",200,""))+(IF(Atletas!J22="Gunshu Mirim",43,IF(Atletas!J22="Qiangshu Mirim",44,IF(Atletas!J22="Nangun Mirim",45,IF(Atletas!J22="Gunshu Grupo C",46,IF(Atletas!J22="Qiangshu Grupo C",47,IF(Atletas!J22="Nangun Grupo C",48,IF(Atletas!J22="Gunshu Grupo B",49,IF(Atletas!J22="Qiangshu Grupo B",50,IF(Atletas!J22="Nangun Grupo B",51,IF(Atletas!J22="Gunshu Grupo A",52,IF(Atletas!J22="Qiangshu Grupo A",53,IF(Atletas!J22="Nangun Grupo A",54,IF(Atletas!J22="Gunshu Opcional",55,IF(Atletas!J22="Qiangshu Opcional",56,IF(Atletas!J22="Nangun Opcional",57,IF(Atletas!J22="Gunshu Adulto",58,IF(Atletas!J22="Qiangshu Adulto",59,IF(Atletas!J22="Nangun Adulto",60,IF(Atletas!J22="Taijishan Grupo B",61,IF(Atletas!J22="Taijishan Grupo A",62,""))))))))))))))))))))))</f>
        <v/>
      </c>
      <c r="BI29" s="6" t="str">
        <f>IF(BJ29&lt;&gt;"","Taijiquan Grupo B","")</f>
        <v/>
      </c>
      <c r="BJ29" s="50" t="str">
        <f>IF(COUNTIF(BF:BH,109)&gt;0,COUNTIF(BF:BH,109),"")</f>
        <v/>
      </c>
      <c r="BK29" s="6" t="str">
        <f>IF(BL29&lt;&gt;"","Taijiquan Grupo B","")</f>
        <v/>
      </c>
      <c r="BL29" s="50" t="str">
        <f>IF(COUNTIF(BF:BH,209)&gt;0,COUNTIF(BF:BH,209),"")</f>
        <v/>
      </c>
      <c r="BM29" s="50" t="str">
        <f>IF(Atletas!K22="","",IF(Atletas!B22="Feminino",100,IF(Atletas!B22="Masculino",200,""))+(IF(Atletas!K22="Equipe 1 Grupo B",1,IF(Atletas!K22="Equipe 2 Grupo B",2,IF(Atletas!K22="Equipe 1 Grupo A",3,IF(Atletas!K22="Equipe 2 Grupo A",4,IF(Atletas!K22="Equipe 1 Adulto",5,IF(Atletas!K22="Equipe 2 Adulto",6,""))))))))</f>
        <v/>
      </c>
      <c r="BR29" s="50" t="str">
        <f>IF(Atletas!L22="","",IF(Atletas!X22&lt;&gt;"",10000,0)+(IF(Atletas!B22="Feminino",1000,IF(Atletas!B22="Masculino",2000,""))+IF(Atletas!L22="Choylayfut A",1,IF(Atletas!L22="Hunggar A",2,IF(Atletas!L22="Wuzuquan A",3,IF(Atletas!L22="Wingchun A",4,IF(Atletas!L22="Outra Mão de Sul A",5,IF(Atletas!L22="Choylayfut B",6,IF(Atletas!L22="Hunggar B",7,IF(Atletas!L22="Wuzuquan B",8,IF(Atletas!L22="Wingchun B",9,IF(Atletas!L22="Outra Mão de Sul B",10,IF(Atletas!L22="Choylayfut C",11,IF(Atletas!L22="Hunggar C",12,IF(Atletas!L22="Wuzuquan C",13,IF(Atletas!L22="Wingchun C",14,IF(Atletas!L22="Outra Mão de Sul C",15,IF(Atletas!L22="Choylayfut D",16,IF(Atletas!L22="Hunggar D",17,IF(Atletas!L22="Wuzuquan D",18,IF(Atletas!L22="Wingchun D",19,IF(Atletas!L22="Outra Mão de Sul D",20,IF(Atletas!L22="Choylayfut E",21,IF(Atletas!L22="Hunggar E",22,IF(Atletas!L22="Wuzuquan E",23,IF(Atletas!L22="Wingchun E",24,IF(Atletas!L22="Outra Mão de Sul E",25,IF(Atletas!L22="Choylayfut F",26,IF(Atletas!L22="Hunggar F",27,IF(Atletas!L22="Wuzuquan F",28,IF(Atletas!L22="Wingchun F",29,IF(Atletas!L22="Outra Mão de Sul F",30,IF(Atletas!L22="Dishuquan A",31,IF(Atletas!L22="Dishuquan B",32,IF(Atletas!L22="Dishuquan C",33,IF(Atletas!L22="Dishuquan D",34,IF(Atletas!L22="Dishuquan E",35,IF(Atletas!L22="Dishuquan F",36,""))))))))))))))))))))))))))))))))))))))</f>
        <v/>
      </c>
      <c r="BS29" s="50" t="str">
        <f>IF(Atletas!M22="","",IF(Atletas!X22&lt;&gt;"",10000,0)+(IF(Atletas!B22="Feminino",1000,IF(Atletas!B22="Masculino",2000,""))+(IF(Atletas!M22="Chaquan A",101,IF(Atletas!M22="Emeiquan A",102,IF(Atletas!M22="Fanziquan A",103,IF(Atletas!M22="Huaquan A",104,IF(Atletas!M22="Hongquan A",105,IF(Atletas!M22="Paoquan A",106,IF(Atletas!M22="Piguaquan A",107,IF(Atletas!M22="Shaolinquan A",108,IF(Atletas!M22="Tanglangquan A",109,IF(Atletas!M22="Yingzhaoquan A",110,IF(Atletas!M22="Tongbeiquan A",111,IF(Atletas!M22="Wudangquan A",112,IF(Atletas!M22="Outros Estilos A",113,IF(Atletas!M22="Chaquan B",114,IF(Atletas!M22="Emeiquan B",115,IF(Atletas!M22="Fanziquan B",116,IF(Atletas!M22="Huaquan B",117,IF(Atletas!M22="Hongquan B",118,IF(Atletas!M22="Paoquan B",119,IF(Atletas!M22="Piguaquan B",120,IF(Atletas!M22="Shaolinquan B",121,IF(Atletas!M22="Tanglangquan B",122,IF(Atletas!M22="Yingzhaoquan B",123,IF(Atletas!M22="Tongbeiquan B",124,IF(Atletas!M22="Wudangquan B",125,IF(Atletas!M22="Outros Estilos B",126,IF(Atletas!M22="Chaquan C",127,IF(Atletas!M22="Emeiquan C",128,IF(Atletas!M22="Fanziquan C",129,IF(Atletas!M22="Huaquan C",130,IF(Atletas!M22="Hongquan C",131,IF(Atletas!M22="Paoquan C",132,IF(Atletas!M22="Piguaquan C",133,IF(Atletas!M22="Shaolinquan C",134,IF(Atletas!M22="Tanglangquan C",135,IF(Atletas!M22="Yingzhaoquan C",136,IF(Atletas!M22="Tongbeiquan C",137,IF(Atletas!M22="Wudangquan C",138,IF(Atletas!M22="Outros Estilos C",139,0))))))))))))))))))))))))))))))))))))))))))</f>
        <v/>
      </c>
      <c r="BT29" s="50" t="str">
        <f>IF(Atletas!M22="","",IF(Atletas!X22&lt;&gt;"",10000,0)+(IF(Atletas!B22="Feminino",1000,IF(Atletas!B22="Masculino",2000,""))+(IF(Atletas!M22="Chaquan D",140,IF(Atletas!M22="Emeiquan D",141,IF(Atletas!M22="Fanziquan D",142,IF(Atletas!M22="Huaquan D",143,IF(Atletas!M22="Hongquan D",144,IF(Atletas!M22="Paoquan D",145,IF(Atletas!M22="Piguaquan D",146,IF(Atletas!M22="Shaolinquan D",147,IF(Atletas!M22="Tanglangquan D",148,IF(Atletas!M22="Yingzhaoquan D",149,IF(Atletas!M22="Tongbeiquan D",150,IF(Atletas!M22="Wudangquan D",151,IF(Atletas!M22="Outros Estilos D",152,IF(Atletas!M22="Chaquan E",153,IF(Atletas!M22="Emeiquan E",154,IF(Atletas!M22="Fanziquan E",155,IF(Atletas!M22="Huaquan E",156,IF(Atletas!M22="Hongquan E",157,IF(Atletas!M22="Paoquan E",158,IF(Atletas!M22="Piguaquan E",159,IF(Atletas!M22="Shaolinquan E",160,IF(Atletas!M22="Tanglangquan E",161,IF(Atletas!M22="Yingzhaoquan E",162,IF(Atletas!M22="Tongbeiquan E",163,IF(Atletas!M22="Wudangquan E",164,IF(Atletas!M22="Outros Estilos E",165,IF(Atletas!M22="Chaquan F",166,IF(Atletas!M22="Emeiquan F",167,IF(Atletas!M22="Fanziquan F",168,IF(Atletas!M22="Huaquan F",169,IF(Atletas!M22="Hongquan F",170,IF(Atletas!M22="Paoquan F",171,IF(Atletas!M22="Piguaquan F",172,IF(Atletas!M22="Shaolinquan F",173,IF(Atletas!M22="Tanglangquan F",174,IF(Atletas!M22="Yingzhaoquan F",175,IF(Atletas!M22="Tongbeiquan F",176,IF(Atletas!M22="Wudangquan F",177,IF(Atletas!M22="Outros Estilos F",178,0))))))))))))))))))))))))))))))))))))))))))</f>
        <v/>
      </c>
      <c r="BU29" s="50" t="str">
        <f>IF(Atletas!N22="","",IF(Atletas!X22&lt;&gt;"",10000,0)+(IF(Atletas!B22="Feminino",1000,IF(Atletas!B22="Masculino",2000,""))+(IF(Atletas!N22="Ditangquan A",201,IF(Atletas!N22="Houquan A",202,IF(Atletas!N22="Zuiquan A",203,IF(Atletas!N22="Ditangquan B",204,IF(Atletas!N22="Houquan B",205,IF(Atletas!N22="Zuiquan B",206,IF(Atletas!N22="Ditangquan C",207,IF(Atletas!N22="Houquan C",208,IF(Atletas!N22="Zuiquan C",209,IF(Atletas!N22="Ditangquan D",210,IF(Atletas!N22="Houquan D",211,IF(Atletas!N22="Zuiquan D",212,IF(Atletas!N22="Ditangquan E",213,IF(Atletas!N22="Houquan E",214,IF(Atletas!N22="Zuiquan E",215,IF(Atletas!N22="Ditangquan F",216,IF(Atletas!N22="Houquan F",217,IF(Atletas!N22="Zuiquan F",218,"")))))))))))))))))))))</f>
        <v/>
      </c>
      <c r="BV29" s="50" t="str">
        <f>IF(Atletas!O22="","",IF(Atletas!X22&lt;&gt;"",10000,0)+IF(Atletas!B22="Feminino",1000,IF(Atletas!B22="Masculino",2000,""))+IF(Atletas!O22="Yang A",301,IF(Atletas!O22="Chen A",302,IF(Atletas!O22="Sun A",303,IF(Atletas!O22="Wu A",304,IF(Atletas!O22="Wu-Hao A",305,IF(Atletas!O22="Outro Taijiquan A",306,IF(Atletas!O22="Yang B",307,IF(Atletas!O22="Chen B",308,IF(Atletas!O22="Sun B",309,IF(Atletas!O22="Wu B",310,IF(Atletas!O22="Wu-Hao B",311,IF(Atletas!O22="Outro Taijiquan B",312,IF(Atletas!O22="Yang C",313,IF(Atletas!O22="Chen C",314,IF(Atletas!O22="Sun C",315,IF(Atletas!O22="Wu C",316,IF(Atletas!O22="Wu-Hao C",317,IF(Atletas!O22="Outro Taijiquan C",318,IF(Atletas!O22="Yang D",319,IF(Atletas!O22="Chen D",320,IF(Atletas!O22="Sun D",321,IF(Atletas!O22="Wu D",322,IF(Atletas!O22="Wu-Hao D",323,IF(Atletas!O22="Outro Taijiquan D",324,IF(Atletas!O22="Yang E",325,IF(Atletas!O22="Chen E",326,IF(Atletas!O22="Sun E",327,IF(Atletas!O22="Wu E",328,IF(Atletas!O22="Wu-Hao E",329,IF(Atletas!O22="Outro Taijiquan E",330,IF(Atletas!O22="Yang F",331,IF(Atletas!O22="Chen F",332,IF(Atletas!O22="Sun F",333,IF(Atletas!O22="Wu F",334,IF(Atletas!O22="Wu-Hao F",335,IF(Atletas!O22="Outro Taijiquan F",336,"")))))))))))))))))))))))))))))))))))))</f>
        <v/>
      </c>
      <c r="BW29" s="50" t="str">
        <f>IF(Atletas!P22="","",IF(Atletas!X22&lt;&gt;"",10000,0)+IF(Atletas!B22="Feminino",1000,IF(Atletas!B22="Masculino",2000,""))+IF(OR(Atletas!P22="Yang 26 A",Atletas!P22="Yang 40 A"),401,IF(OR(Atletas!P22="Chen 25 A",Atletas!P22="Chen 36 A",Atletas!P22="Chen 56 A"),402,IF(Atletas!P22="Sun 73 A",403,IF(Atletas!P22="Wu 45 A",404,IF(Atletas!P22="Wu-Hao 46 A",405,IF(OR(Atletas!P22="Taijiquan 16 A",Atletas!P22="Taijiquan 24 A",Atletas!P22="Taijiquan 32 A",Atletas!P22="Taijiquan 42 A"),406,IF(OR(Atletas!P22="Yang 26 B",Atletas!P22="Yang 40 B"),407,IF(OR(Atletas!P22="Chen 25 B",Atletas!P22="Chen 36 B",Atletas!P22="Chen 56 B"),408,IF(Atletas!P22="Sun 73 B",409,IF(Atletas!P22="Wu 45 B",410,IF(Atletas!P22="Wu-Hao 46 B",411,IF(OR(Atletas!P22="Taijiquan 16 B",Atletas!P22="Taijiquan 24 B",Atletas!P22="Taijiquan 32 B",Atletas!P22="Taijiquan 42 B"),412,IF(OR(Atletas!P22="Yang 26 C",Atletas!P22="Yang 40 C"),413,IF(OR(Atletas!P22="Chen 25 C",Atletas!P22="Chen 36 C",Atletas!P22="Chen 56 C"),414,IF(Atletas!P22="Sun 73 C",415,IF(Atletas!P22="Wu 45 C",416,IF(Atletas!P22="Wu-Hao 46 C",417,IF(OR(Atletas!P22="Taijiquan 16 C",Atletas!P22="Taijiquan 24 C",Atletas!P22="Taijiquan 32 C",Atletas!P22="Taijiquan 42 C"),418,0)))))))))))))))))))</f>
        <v/>
      </c>
      <c r="BX29" s="50" t="str">
        <f>IF(Atletas!P22="","",IF(Atletas!X22&lt;&gt;"",10000,0)+IF(Atletas!B22="Feminino",1000,IF(Atletas!B22="Masculino",2000,""))+IF(OR(Atletas!P22="Yang 26 D",Atletas!P22="Yang 40 D"),419,IF(OR(Atletas!P22="Chen 25 D",Atletas!P22="Chen 36 D",Atletas!P22="Chen 56 D"),420,IF(Atletas!P22="Sun 73 D",421,IF(Atletas!P22="Wu 45 D",422,IF(Atletas!P22="Wu-Hao 46 D",423,IF(OR(Atletas!P22="Taijiquan 16 D",Atletas!P22="Taijiquan 24 D",Atletas!P22="Taijiquan 32 D",Atletas!P22="Taijiquan 42 D"),424,IF(OR(Atletas!P22="Yang 26 E",Atletas!P22="Yang 40 E"),425,IF(OR(Atletas!P22="Chen 25 E",Atletas!P22="Chen 36 E",Atletas!P22="Chen 56 E"),426,IF(Atletas!P22="Sun 73 E",427,IF(Atletas!P22="Wu 45 E",428,IF(Atletas!P22="Wu-Hao 46 E",429,IF(OR(Atletas!P22="Taijiquan 16 E",Atletas!P22="Taijiquan 24 E",Atletas!P22="Taijiquan 32 E",Atletas!P22="Taijiquan 42 E"),430,IF(OR(Atletas!P22="Yang 26 F",Atletas!P22="Yang 40 F"),431,IF(OR(Atletas!P22="Chen 25 F",Atletas!P22="Chen 36 F",Atletas!P22="Chen 56 F"),432,IF(Atletas!P22="Sun 73 F",433,IF(Atletas!P22="Wu 45 F",434,IF(Atletas!P22="Wu-Hao 46 F",435,IF(OR(Atletas!P22="Taijiquan 16 F",Atletas!P22="Taijiquan 24 F",Atletas!P22="Taijiquan 32 F",Atletas!P22="Taijiquan 42 F"),436,0)))))))))))))))))))</f>
        <v/>
      </c>
      <c r="BY29" s="50" t="str">
        <f>IF(Atletas!Q22="","",IF(Atletas!X22&lt;&gt;"",10000,0)+IF(Atletas!B22="Feminino",1000,IF(Atletas!B22="Masculino",2000,""))+IF(Atletas!Q22="Xingyiquan A",501,IF(Atletas!Q22="Baguazhang A",502,IF(Atletas!Q22="Outro Estilo Interno A",503,IF(Atletas!Q22="Xingyiquan B",504,IF(Atletas!Q22="Baguazhang B",505,IF(Atletas!Q22="Outro Estilo Interno B",506,IF(Atletas!Q22="Xingyiquan C",507,IF(Atletas!Q22="Baguazhang C",508,IF(Atletas!Q22="Outro Estilo Interno C",509,IF(Atletas!Q22="Xingyiquan D",510,IF(Atletas!Q22="Baguazhang D",511,IF(Atletas!Q22="Outro Estilo Interno D",512,IF(Atletas!Q22="Xingyiquan E",513,IF(Atletas!Q22="Baguazhang E",514,IF(Atletas!Q22="Outro Estilo Interno E",515,IF(Atletas!Q22="Xingyiquan F",516,IF(Atletas!Q22="Baguazhang F",517,IF(Atletas!Q22="Outro Estilo Interno F",518, "")))))))))))))))))))</f>
        <v/>
      </c>
      <c r="BZ29" s="50" t="str">
        <f>IF(Atletas!R22="","",IF(Atletas!X22&lt;&gt;"",10000,0)+IF(Atletas!B22="Feminino",1000,IF(Atletas!B22="Masculino",2000,""))+IF(Atletas!R22="Dao A",601,IF(Atletas!R22="Jian A",602,IF(Atletas!R22="Bishou A",603,IF(Atletas!R22="Shanzi A",604,IF(Atletas!R22="Outra Arma Curta A",605,IF(Atletas!R22="Dao B",606,IF(Atletas!R22="Jian B",607,IF(Atletas!R22="Bishou B",608,IF(Atletas!R22="Shanzi B",609,IF(Atletas!R22="Outra Arma Curta B",610,IF(Atletas!R22="Dao C",611,IF(Atletas!R22="Jian C",612,IF(Atletas!R22="Bishou C",613,IF(Atletas!R22="Shanzi C",614,IF(Atletas!R22="Outra Arma Curta C",615,IF(Atletas!R22="Dao D",616,IF(Atletas!R22="Jian D",617,IF(Atletas!R22="Bishou D",618,IF(Atletas!R22="Shanzi D",619,IF(Atletas!R22="Outra Arma Curta D",620,IF(Atletas!R22="Dao E",621,IF(Atletas!R22="Jian E",622,IF(Atletas!R22="Bishou E",623,IF(Atletas!R22="Shanzi E",624,IF(Atletas!R22="Outra Arma Curta E",625,IF(Atletas!R22="Dao F",626,IF(Atletas!R22="Jian F",627,IF(Atletas!R22="Bishou F",628,IF(Atletas!R22="Shanzi F",629,IF(Atletas!R22="Outra Arma Curta F",630, "")))))))))))))))))))))))))))))))</f>
        <v/>
      </c>
      <c r="CA29" s="50" t="str">
        <f>IF(Atletas!S22="","",IF(Atletas!X22&lt;&gt;"",10000,0)+IF(Atletas!B22="Feminino",1000,IF(Atletas!B22="Masculino",2000,""))+IF(Atletas!S22="Gun A",701,IF(Atletas!S22="Qiang A",702,IF(Atletas!S22="Pudao / Guandao A",703,IF(Atletas!S22="Outra Arma Longa A",704,IF(Atletas!S22="Gun B",705,IF(Atletas!S22="Qiang B",706,IF(Atletas!S22="Pudao / Guandao B",707,IF(Atletas!S22="Outra Arma Longa B",708,IF(Atletas!S22="Gun C",709,IF(Atletas!S22="Qiang C",710,IF(Atletas!S22="Pudao / Guandao C",711,IF(Atletas!S22="Outra Arma Longa C",712,IF(Atletas!S22="Gun D",713,IF(Atletas!S22="Qiang D",714,IF(Atletas!S22="Pudao / Guandao D",715,IF(Atletas!S22="Outra Arma Longa D",716,IF(Atletas!S22="Gun E",717,IF(Atletas!S22="Qiang E",718,IF(Atletas!S22="Pudao / Guandao E",719,IF(Atletas!S22="Outra Arma Longa E",720,IF(Atletas!S22="Gun F",721,IF(Atletas!S22="Qiang F",722,IF(Atletas!S22="Pudao / Guandao F",723,IF(Atletas!S22="Outra Arma Longa F",724,"")))))))))))))))))))))))))</f>
        <v/>
      </c>
      <c r="CB29" s="50" t="str">
        <f>IF(Atletas!T22="","",IF(Atletas!X22&lt;&gt;"",10000,0)+IF(Atletas!B22="Feminino",1000,IF(Atletas!B22="Masculino",2000,""))+IF(Atletas!T22="Outra Arma Dupla A",801,IF(Atletas!T22="Arma Maleável A",802,IF(Atletas!T22="Outra Arma Dupla B",803,IF(Atletas!T22="Arma Maleável B",804,IF(Atletas!T22="Outra Arma Dupla C",805,IF(Atletas!T22="Arma Maleável C",806,IF(Atletas!T22="Outra Arma Dupla D",807,IF(Atletas!T22="Arma Maleável D",808,IF(Atletas!T22="Outra Arma Dupla E",809,IF(Atletas!T22="Arma Maleável E",810,IF(Atletas!T22="Outra Arma Dupla F",811,IF(Atletas!T22="Arma Maleável F",812,IF(Atletas!T22="Shuangdao A",813,IF(Atletas!T22="Shuangdao B",814,IF(Atletas!T22="Shuangdao C",815,IF(Atletas!T22="Shuangdao D",816,IF(Atletas!T22="Shuangdao E",817,IF(Atletas!T22="Shuangdao F",818,"")))))))))))))))))))</f>
        <v/>
      </c>
      <c r="CC29" s="50" t="str">
        <f>IF(Atletas!U22="","",IF(Atletas!X22&lt;&gt;"",10000,0)+IF(Atletas!B22="Feminino",1000,IF(Atletas!B22="Masculino",2000,""))+IF(OR(Atletas!U22="Taijijian Yang A",Atletas!U22="Taijijian Yang Standard A"),901,IF(OR(Atletas!U22="Taijijian Chen A", Atletas!U22="Taijijian Chen Standard A"),902,IF(Atletas!U22="Taijijian Sun A",903,IF(Atletas!U22="Taijijian Wu A",904,IF(Atletas!U22="Taijijian Wu-Hao A",905,IF(OR(Atletas!U22="Taijijian 32 A",Atletas!U22="Taijijian 42 A"),906,IF(OR(Atletas!U22="Taijijian Yang B",Atletas!U22="Taijijian Yang Standard B"),907,IF(OR(Atletas!U22="Taijijian Chen B", Atletas!U22="Taijijian Chen Standard B"),908,IF(Atletas!U22="Taijijian Sun B",909,IF(Atletas!U22="Taijijian Wu B",910,IF(Atletas!U22="Taijijian Wu-Hao B",911,IF(OR(Atletas!U22="Taijijian 32 B",Atletas!U22="Taijijian 42 B"),912,IF(OR(Atletas!U22="Taijijian Yang C",Atletas!U22="Taijijian Yang Standard C"),913,IF(OR(Atletas!U22="Taijijian Chen C", Atletas!U22="Taijijian Chen Standard C"),914,IF(Atletas!U22="Taijijian Sun C",915,IF(Atletas!U22="Taijijian Wu C",916,IF(Atletas!U22="Taijijian Wu-Hao C",917,IF(OR(Atletas!U22="Taijijian 32 C",Atletas!U22="Taijijian 42 C"),918,IF(OR(Atletas!U22="Taijijian Yang D",Atletas!U22="Taijijian Yang Standard D"),919,IF(OR(Atletas!U22="Taijijian Chen D", Atletas!U22="Taijijian Chen Standard D"),920,IF(Atletas!U22="Taijijian Sun D",921,IF(Atletas!U22="Taijijian Wu D",922,IF(Atletas!U22="Taijijian Wu-Hao D",923,IF(OR(Atletas!U22="Taijijian 32 D",Atletas!U22="Taijijian 42 D"),924,IF(OR(Atletas!U22="Taijijian Yang E",Atletas!U22="Taijijian Yang Standard E"),925,IF(OR(Atletas!U22="Taijijian Chen E", Atletas!U22="Taijijian Chen Standard E"),926,IF(Atletas!U22="Taijijian Sun E",927,IF(Atletas!U22="Taijijian Wu E",928,IF(Atletas!U22="Taijijian Wu-Hao E",929,IF(OR(Atletas!U22="Taijijian 32 E",Atletas!U22="Taijijian 42 E"),930,IF(OR(Atletas!U22="Taijijian Yang F",Atletas!U22="Taijijian Yang Standard F"),931,IF(OR(Atletas!U22="Taijijian Chen F", Atletas!U22="Taijijian Chen Standard F"),932,IF(Atletas!U22="Taijijian Sun F",933,IF(Atletas!U22="Taijijian Wu F",934,IF(Atletas!U22="Taijijian Wu-Hao F",935,IF(OR(Atletas!U22="Taijijian 32 F",Atletas!U22="Taijijian 42 F"),936,"")))))))))))))))))))))))))))))))))))))</f>
        <v/>
      </c>
      <c r="CD29" s="50" t="str">
        <f>IF(Atletas!V22="","",IF(Atletas!X22&lt;&gt;"",10000,0)+IF(Atletas!B22="Feminino",1000,IF(Atletas!B22="Masculino",2000,""))+IF(Atletas!V22="Taijidao A",937,IF(Atletas!V22="TaijiShanzi A",938,IF(Atletas!V22="Taijiqiang A",939,IF(Atletas!V22="Bagua de Arma A",940,IF(Atletas!V22="Xingyi de Arma A",941,IF(Atletas!V22="Taijidao B",942,IF(Atletas!V22="TaijiShanzi B",943,IF(Atletas!V22="Taijiqiang B",944,IF(Atletas!V22="Bagua de Arma B",945,IF(Atletas!V22="Xingyi de Arma B",946,IF(Atletas!V22="Taijidao C",947,IF(Atletas!V22="TaijiShanzi C",948,IF(Atletas!V22="Taijiqiang C",949,IF(Atletas!V22="Bagua de Arma C",950,IF(Atletas!V22="Xingyi de Arma C",951,IF(Atletas!V22="Taijidao D",952,IF(Atletas!V22="TaijiShanzi D",953,IF(Atletas!V22="Taijiqiang D",954,IF(Atletas!V22="Bagua de Arma D",955,IF(Atletas!V22="Xingyi de Arma D",956,IF(Atletas!V22="Taijidao E",957,IF(Atletas!V22="TaijiShanzi E",958,IF(Atletas!V22="Taijiqiang E",959,IF(Atletas!V22="Bagua de Arma E",960,IF(Atletas!V22="Xingyi de Arma E",961,IF(Atletas!V22="Taijidao F",962,IF(Atletas!V22="TaijiShanzi F",963,IF(Atletas!V22="Taijiqiang F",964,IF(Atletas!V22="Bagua de Arma F",965,IF(Atletas!V22="Xingyi de Arma F",966,"")))))))))))))))))))))))))))))))</f>
        <v/>
      </c>
      <c r="CE29" s="66" t="str">
        <f>IF(CF29&lt;&gt;"","Wingchun D","")</f>
        <v/>
      </c>
      <c r="CF29" s="66" t="str">
        <f>IF(COUNTIF(BR:CD,1019)&gt;0,COUNTIF(BR:CD,1019),"")</f>
        <v/>
      </c>
      <c r="CG29" s="66" t="str">
        <f>IF(CH29&lt;&gt;"","Wingchun D","")</f>
        <v/>
      </c>
      <c r="CH29" s="66" t="str">
        <f>IF(COUNTIF(BR:CD,2019)&gt;0,COUNTIF(BR:CD,2019),"")</f>
        <v/>
      </c>
      <c r="CI29" s="66" t="str">
        <f>IF(CJ29&lt;&gt;"","Wuzuquan E","")</f>
        <v/>
      </c>
      <c r="CJ29" s="66" t="str">
        <f>IF(COUNTIF(BR:CD,11023)&gt;0,COUNTIF(BR:CD,11023),"")</f>
        <v/>
      </c>
      <c r="CK29" s="66" t="str">
        <f>IF(CL29&lt;&gt;"","Wuzuquan E","")</f>
        <v/>
      </c>
      <c r="CL29" s="66" t="str">
        <f>IF(COUNTIF(BR:CD,12023)&gt;0,COUNTIF(BR:CD,12023),"")</f>
        <v/>
      </c>
      <c r="CM29" s="50" t="str">
        <f xml:space="preserve"> IF(Atletas!W22="","",IF(Atletas!W22="Duilian de Mãos BC - Equipe 1",1,IF(Atletas!W22="Duilian de Mãos BC - Equipe 2",2,IF(Atletas!W22="Duilian de Armas BC - Equipe 1",3,IF(Atletas!W22="Duilian de Armas BC - Equipe 2",4,IF(Atletas!W22="Duilian de Mãos DE - Equipe 1",5,IF(Atletas!W22="Duilian de Mãos DE - Equipe 2",6,IF(Atletas!W22="Duilian de Armas DE - Equipe 1",7,IF(Atletas!W22="Duilian de Armas DE - Equipe 2",8,IF(Atletas!W22="Duilian de Tuishou - Equipe 1",9,IF(Atletas!W22="Duilian de Tuishou - Equipe 2",10,IF(Atletas!W22="Grupo Externo ABC - Equipe 1",11,IF(Atletas!W22="Grupo Externo ABC - Equipe 2",12,IF(Atletas!W22="Grupo Interno ABC - Equipe 1",13,IF(Atletas!W22="Grupo Interno ABC - Equipe 2",14,IF(Atletas!W22="Grupo Externo DEF - Equipe 1",15,IF(Atletas!W22="Grupo Externo DEF - Equipe 2",16,IF(Atletas!W22="Grupo Interno DEF - Equipe 1",17,IF(Atletas!W22="Grupo Interno DEF - Equipe 2",18,"")))))))))))))))))))</f>
        <v/>
      </c>
      <c r="CY29" s="41"/>
    </row>
    <row r="30" spans="1:103">
      <c r="A30" s="13"/>
      <c r="B30" s="3" t="str">
        <f t="array" ref="B30">IFERROR(INDEX(AO$7:AO$38,SMALL(IF(AO$7:AO$38&lt;&gt;"",ROW(AO$7:AO$38)-ROW(AO$7)+1),ROWS(AO$7:AO29))),"")</f>
        <v/>
      </c>
      <c r="C30" s="3" t="str">
        <f t="array" ref="C30">IFERROR(INDEX(AP$7:AP$38,SMALL(IF(AP$7:AP$38&lt;&gt;"",ROW(AP$7:AP$38)-ROW(AP$7)+1),ROWS(AP$7:AP29))),"")</f>
        <v/>
      </c>
      <c r="D30" s="3" t="str">
        <f t="array" ref="D30">IFERROR(INDEX(AQ$7:AQ$38,SMALL(IF(AQ$7:AQ$38&lt;&gt;"",ROW(AQ$7:AQ$38)-ROW(AQ$7)+1),ROWS(AQ$7:AQ29))),"")</f>
        <v/>
      </c>
      <c r="E30" s="3" t="str">
        <f t="array" ref="E30">IFERROR(INDEX(AR$7:AR$38,SMALL(IF(AR$7:AR$38&lt;&gt;"",ROW(AR$7:AR$38)-ROW(AR$7)+1),ROWS(AR$7:AR29))),"")</f>
        <v/>
      </c>
      <c r="F30" s="3" t="str">
        <f t="array" ref="F30">IFERROR(INDEX(AT$7:AT$36,SMALL(IF(AT$7:AT$36&lt;&gt;"",ROW(AT$7:AT$36)-ROW(AT$7)+1),ROWS(AT$7:AT29))),"")</f>
        <v/>
      </c>
      <c r="G30" s="3" t="str">
        <f t="array" ref="G30">IFERROR(INDEX(AU$7:AU$36,SMALL(IF(AU$7:AU$36&lt;&gt;"",ROW(AU$7:AU$36)-ROW(AU$7)+1),ROWS(AU$7:AU29))),"")</f>
        <v/>
      </c>
      <c r="H30" s="3" t="str">
        <f t="array" ref="H30">IFERROR(INDEX(AV$7:AV$36,SMALL(IF(AV$7:AV$36&lt;&gt;"",ROW(AV$7:AV$36)-ROW(AV$7)+1),ROWS(AV$7:AV29))),"")</f>
        <v/>
      </c>
      <c r="I30" s="3" t="str">
        <f t="array" ref="I30">IFERROR(INDEX(AW$7:AW$36,SMALL(IF(AW$7:AW$36&lt;&gt;"",ROW(AW$7:AW$36)-ROW(AW$7)+1),ROWS(AW$7:AW29))),"")</f>
        <v/>
      </c>
      <c r="J30" s="3" t="str">
        <f t="array" ref="J30">IFERROR(INDEX(AW$7:AW$36,SMALL(IF(AW$7:AW$36&lt;&gt;"",ROW(AW$7:AW$36)-ROW(AW$7)+1),ROWS(AW$7:AW29))),"")</f>
        <v/>
      </c>
      <c r="K30" s="3" t="str">
        <f t="array" ref="K30">IFERROR(INDEX(AZ$7:AZ$36,SMALL(IF(AZ$7:AZ$36&lt;&gt;"",ROW(AZ$7:AZ$36)-ROW(AZ$7)+1),ROWS(AZ$7:AZ29))),"")</f>
        <v/>
      </c>
      <c r="L30" s="3" t="str">
        <f t="array" ref="L30">IFERROR(INDEX(BA$7:BA$36,SMALL(IF(BA$7:BA$36&lt;&gt;"",ROW(BA$7:BA$36)-ROW(BA$7)+1),ROWS(BA$7:BA29))),"")</f>
        <v/>
      </c>
      <c r="M30" s="3" t="str">
        <f t="array" ref="M30">IFERROR(INDEX(BB$7:BB$36,SMALL(IF(BB$7:BB$36&lt;&gt;"",ROW(BB$7:BB$36)-ROW(BB$7)+1),ROWS(BB$7:BB29))),"")</f>
        <v/>
      </c>
      <c r="N30" s="3" t="str" cm="1">
        <f t="array" ref="N30">IFERROR(INDEX(BD$7:BD$8,SMALL(IF(BD$7:BD$8&lt;&gt;"",ROW(BD$7:BD$8)-ROW(BD$7)+1),ROWS(BD$7:BD29))),"")</f>
        <v/>
      </c>
      <c r="O30" s="3" t="str" cm="1">
        <f t="array" ref="O30">IFERROR(INDEX(BE$7:BE$8,SMALL(IF(BE$7:BE$8&lt;&gt;"",ROW(BE$7:BE$8)-ROW(BE$7)+1),ROWS(BE$7:BE29))),"")</f>
        <v/>
      </c>
      <c r="P30" s="3" t="str" cm="1">
        <f t="array" ref="P30">IFERROR(INDEX(BD$9:BD$10,SMALL(IF(BD$9:BD$10&lt;&gt;"",ROW(BD$9:BD$10)-ROW(BD$9)+1),ROWS(BD$9:BD31))),"")</f>
        <v/>
      </c>
      <c r="Q30" s="3" t="str">
        <f t="array" ref="Q30">IFERROR(INDEX(BH$7:BH$36,SMALL(IF(BH$7:BH$36&lt;&gt;"",ROW(BH$7:BH$36)-ROW(BH$7)+1),ROWS(BH$7:BH29))),"")</f>
        <v/>
      </c>
      <c r="R30" s="3" t="str">
        <f t="array" ref="R30">IFERROR(INDEX(BI$7:BI$68,SMALL(IF(BI$7:BI$68&lt;&gt;"",ROW(BI$7:BI$68)-ROW(BI$7)+1),ROWS(BI$7:BI29))),"")</f>
        <v/>
      </c>
      <c r="S30" s="3" t="str">
        <f t="array" ref="S30">IFERROR(INDEX(BJ$7:BJ$68,SMALL(IF(BJ$7:BJ$68&lt;&gt;"",ROW(BJ$7:BJ$68)-ROW(BJ$7)+1),ROWS(BJ$7:BJ29))),"")</f>
        <v/>
      </c>
      <c r="T30" s="3" t="str">
        <f t="array" ref="T30">IFERROR(INDEX(BK$7:BK$68,SMALL(IF(BK$7:BK$68&lt;&gt;"",ROW(BK$7:BK$68)-ROW(BK$7)+1),ROWS(BK$7:BK29))),"")</f>
        <v/>
      </c>
      <c r="U30" s="3" t="str">
        <f t="array" ref="U30">IFERROR(INDEX(BL$7:BL$68,SMALL(IF(BL$7:BL$68&lt;&gt;"",ROW(BL$7:BL$68)-ROW(BL$7)+1),ROWS(BL$7:BL29))),"")</f>
        <v/>
      </c>
      <c r="V30" s="3"/>
      <c r="W30" s="3"/>
      <c r="X30" s="3"/>
      <c r="Y30" s="3"/>
      <c r="Z30" s="3" t="str">
        <f t="array" ref="Z30">IFERROR(INDEX(CE$7:CE$348,SMALL(IF(CE$7:CE$348&lt;&gt;"",ROW(CE$7:CE$348)-ROW(CE$7)+1),ROWS(CE$7:CE29))),"")</f>
        <v/>
      </c>
      <c r="AA30" s="3" t="str">
        <f t="array" ref="AA30">IFERROR(INDEX(CF$7:CF$348,SMALL(IF(CF$7:CF$348&lt;&gt;"",ROW(CF$7:CF$348)-ROW(CF$7)+1),ROWS(CF$7:CF29))),"")</f>
        <v/>
      </c>
      <c r="AB30" s="3" t="str">
        <f t="array" ref="AB30">IFERROR(INDEX(CG$7:CG$348,SMALL(IF(CG$7:CG$348&lt;&gt;"",ROW(CG$7:CG$348)-ROW(CG$7)+1),ROWS(CG$7:CG29))),"")</f>
        <v/>
      </c>
      <c r="AC30" s="3" t="str">
        <f t="array" ref="AC30">IFERROR(INDEX(CH$7:CH$348,SMALL(IF(CH$7:CH$348&lt;&gt;"",ROW(CH$7:CH$348)-ROW(CH$7)+1),ROWS(CH$7:CH29))),"")</f>
        <v/>
      </c>
      <c r="AD30" s="3" t="str">
        <f t="array" ref="AD30">IFERROR(INDEX(CI$7:CI$377,SMALL(IF(CI$7:CI$377&lt;&gt;"",ROW(CI$7:CI$377)-ROW(CI$7)+1),ROWS(CI$7:CI29))),"")</f>
        <v/>
      </c>
      <c r="AE30" s="3" t="str">
        <f t="array" ref="AE30">IFERROR(INDEX(CJ$7:CJ$378,SMALL(IF(CJ$7:CJ$378&lt;&gt;"",ROW(CJ$7:CJ$378)-ROW(CJ$7)+1),ROWS(CJ$7:CJ29))),"")</f>
        <v/>
      </c>
      <c r="AF30" s="3" t="str">
        <f t="array" ref="AF30">IFERROR(INDEX(CK$7:CK$378,SMALL(IF(CK$7:CK$378&lt;&gt;"",ROW(CK$7:CK$378)-ROW(CK$7)+1),ROWS(CK$7:CK29))),"")</f>
        <v/>
      </c>
      <c r="AG30" s="3" t="str">
        <f t="array" ref="AG30">IFERROR(INDEX(CL$7:CL$378,SMALL(IF(CL$7:CL$378&lt;&gt;"",ROW(CL$7:CL$378)-ROW(CL$7)+1),ROWS(CL$7:CL29))),"")</f>
        <v/>
      </c>
      <c r="AH30" s="40" t="str">
        <f t="array" ref="AH30">IFERROR(INDEX(CN$7:CN$18,SMALL(IF(CN$7:CN$18&lt;&gt;"",ROW(CN$7:CN$18)-ROW(CN$7)+1),ROWS(CN$7:CN29))),"")</f>
        <v/>
      </c>
      <c r="AI30" s="40" t="str">
        <f t="array" ref="AI30">IFERROR(INDEX(CO$7:CO$18,SMALL(IF(CO$7:CO$18&lt;&gt;"",ROW(CO$7:CO$18)-ROW(CO$7)+1),ROWS(CO$7:CO29))),"")</f>
        <v/>
      </c>
      <c r="AJ30" s="40" t="str">
        <f t="array" ref="AJ30">IFERROR(INDEX(CP$7:CP$8,SMALL(IF(CP$7:CP$8&lt;&gt;"",ROW(CP$7:CP$8)-ROW(CP$7)+1),ROWS(CP$7:CP29))),"")</f>
        <v/>
      </c>
      <c r="AK30" s="40"/>
      <c r="AL30" s="40" t="str">
        <f t="array" ref="AL30">IFERROR(INDEX(CR$7:CR$14,SMALL(IF(CR$7:CR$14&lt;&gt;"",ROW(CR$7:CR$14)-ROW(CR$7)+1),ROWS(CR$7:CR29))),"")</f>
        <v/>
      </c>
      <c r="AM30" s="40"/>
      <c r="AN30" s="52" t="str">
        <f>IF(Atletas!D23="","",IF(Atletas!B23="Feminino",100,IF(Atletas!B23="Masculino",200,""))+(IF(Atletas!D23="Kids 30kg",1,IF(Atletas!D23="Kids 32kg",2, IF(Atletas!D23="Kids 34kg",3,IF(Atletas!D23="Kids 36kg",4,IF(Atletas!D23="Kids 39kg",5,IF(Atletas!D23="Kids 42kg",6,IF(Atletas!D23="Kids 45kg",7, IF(Atletas!D23="Infantil 39kg",8,IF(Atletas!D23="Infantil 42kg",9,IF(Atletas!D23="Infantil 45kg",10,IF(Atletas!D23="Infantil 48kg",11,IF(Atletas!D23="Infantil 52kg",12,IF(Atletas!D23="Infantil 56kg",13,IF(Atletas!D23="Infantil 60kg",14,IF(Atletas!D23="Juvenil 48kg",15,IF(Atletas!D23="Juvenil 52kg",16,IF(Atletas!D23="Juvenil 56kg",17,IF(Atletas!D23="Juvenil 60kg",18,IF(Atletas!D23="Juvenil 65kg",19,IF(Atletas!D23="Juvenil 70kg",20,IF(Atletas!D23="Juvenil 75kg",21,IF(Atletas!D23="Juvenil 80kg",22, IF(Atletas!D23="Juvenil 85kg",23,IF(Atletas!D23="Adulto 48kg",24,IF(Atletas!D23="Adulto 52kg",25,IF(Atletas!D23="Adulto 56kg",26,IF(Atletas!D23="Adulto 60kg",27,IF(Atletas!D23="Adulto 65kg",28,IF(Atletas!D23="Adulto 70kg",29,IF(Atletas!D23="Adulto 75kg",30,IF(Atletas!D23="Adulto 80kg",31,IF(Atletas!D23="Adulto 85kg",32,IF(Atletas!D23="Adulto 90kg",33,IF(Atletas!D23="Adulto 100kg",34, IF(Atletas!D23="Adulto +100kg",35,"")))))))))))))))))))))))))))))))))))))</f>
        <v/>
      </c>
      <c r="AO30" s="50"/>
      <c r="AQ30" s="50" t="str">
        <f>IF(AR30&lt;&gt;"","Adulto 48kg","")</f>
        <v/>
      </c>
      <c r="AR30" s="6" t="str">
        <f>IF(COUNTIF(AN:AN,224)&gt;0,COUNTIF(AN:AN,224),"")</f>
        <v/>
      </c>
      <c r="AS30" s="6" t="str">
        <f>IF(Atletas!E23="","",IF(Atletas!B23="Feminino",100,IF(Atletas!B23="Masculino",200,""))+(IF(Atletas!E23="Juvenil 44kg",1,IF(Atletas!E23="Juvenil 48kg",2,IF(Atletas!E23="Juvenil 52kg",3,IF(Atletas!E23="Juvenil 56kg",4,IF(Atletas!E23="Juvenil 60kg",5,IF(Atletas!E23="Juvenil 65kg",6,IF(Atletas!E23="Juvenil 70kg",7,IF(Atletas!E23="Juvenil 75kg",8,IF(Atletas!E23="Juvenil 82kg",9,IF(Atletas!E23="Juvenil 90kg",10,IF(Atletas!E23="Juvenil 100kg",11,IF(Atletas!E23="Adulto 48kg",12,IF(Atletas!E23="Adulto 52kg",13,IF(Atletas!E23="Adulto 56kg",14,IF(Atletas!E23="Adulto 60kg",15,IF(Atletas!E23="Adulto 65kg",16,IF(Atletas!E23="Adulto 70kg",17,IF(Atletas!E23="Adulto 75kg",18,IF(Atletas!E23="Adulto 82kg",19,IF(Atletas!E23="Adulto 90kg",20,IF(Atletas!E23="Adulto 100kg",21,IF(Atletas!E23="Adulto +100kg",22,""))))))))))))))))))))))))</f>
        <v/>
      </c>
      <c r="AX30" s="6" t="str">
        <f>IF(Atletas!F23="","",IF(Atletas!B23="Feminino",100,IF(Atletas!B23="Masculino",200,""))+(IF(Atletas!F23="Adulto 48kg",1,IF(Atletas!F23="Adulto 56kg",2,IF(Atletas!F23="Adulto 65kg",3,IF(Atletas!F23="Adulto 75kg",4,IF(Atletas!F23="Adulto +75kg",5,IF(Atletas!F23="Adulto 52kg",6,IF(Atletas!F23="Adulto 60kg",7,IF(Atletas!F23="Adulto 70kg",8,IF(Atletas!F23="Adulto 80kg",9,IF(Atletas!F23="Adulto 90kg",10,IF(Atletas!F23="Adulto +90kg",11,"")))))))))))))</f>
        <v/>
      </c>
      <c r="BC30" s="6" t="str">
        <f>IF(Atletas!G23="","",IF(Atletas!B23="Feminino",10,IF(Atletas!B23="Masculino",20,""))+(IF(Atletas!G23="Baduanjin A",1,IF(Atletas!G23="Baduanjin B",2))))</f>
        <v/>
      </c>
      <c r="BF30" s="52" t="str">
        <f>IF(Atletas!H23="","",IF(Atletas!B23="Feminino",100,IF(Atletas!B23="Masculino",200,""))+(IF(Atletas!H23="Changquan Mirim",1,IF(Atletas!H23="Nanquan Mirim",2,IF(Atletas!H23="Taijiquan Mirim",3,IF(Atletas!H23="Changquan Grupo C",4,IF(Atletas!H23="Nanquan Grupo C",5,IF(Atletas!H23="Taijiquan Grupo C",6,IF(Atletas!H23="Changquan Grupo B",7,IF(Atletas!H23="Nanquan Grupo B",8,IF(Atletas!H23="Taijiquan Grupo B",9,IF(Atletas!H23="Changquan Grupo A",10,IF(Atletas!H23="Nanquan Grupo A",11,IF(Atletas!H23="Taijiquan Grupo A",12,IF(Atletas!H23="Changquan Opcional",13,IF(Atletas!H23="Nanquan Opcional",14,IF(Atletas!H23="Taijiquan Opcional",15,IF(Atletas!H23="Changquan Adulto",16,IF(Atletas!H23="Nanquan Adulto",17,IF(Atletas!H23="Taijiquan Adulto",18,""))))))))))))))))))))</f>
        <v/>
      </c>
      <c r="BG30" s="52" t="str">
        <f>IF(Atletas!I23="","",IF(Atletas!B23="Feminino",100,IF(Atletas!B23="Masculino",200,""))+(IF(Atletas!I23="Daoshu Mirim",19,IF(Atletas!I23="Jianshu Mirim",20,IF(Atletas!I23="Nandao Mirim",21,IF(Atletas!I23="Taijijian Mirim",22,IF(Atletas!I23="Daoshu Grupo C",23,IF(Atletas!I23="Jianshu Grupo C",24,IF(Atletas!I23="Nandao Grupo C",25,IF(Atletas!I23="Taijijian Grupo C",26,IF(Atletas!I23="Daoshu Grupo B",27,IF(Atletas!I23="Jianshu Grupo B",28,IF(Atletas!I23="Nandao Grupo B",29,IF(Atletas!I23="Taijijian Grupo B",30,IF(Atletas!I23="Daoshu Grupo A",31,IF(Atletas!I23="Jianshu Grupo A",32,IF(Atletas!I23="Nandao Grupo A",33,IF(Atletas!I23="Taijijian Grupo A",34,IF(Atletas!I23="Daoshu Opcional",35,IF(Atletas!I23="Jianshu Opcional",36,IF(Atletas!I23="Nandao Opcional",37,IF(Atletas!I23="Taijijian Opcional",38,IF(Atletas!I23="Daoshu Adulto",39,IF(Atletas!I23="Jianshu Adulto",40,IF(Atletas!I23="Nandao Adulto",41,IF(Atletas!I23="Taijijian Adulto",42,""))))))))))))))))))))))))))</f>
        <v/>
      </c>
      <c r="BH30" s="52" t="str">
        <f>IF(Atletas!J23="","",IF(Atletas!B23="Feminino",100,IF(Atletas!B23="Masculino",200,""))+(IF(Atletas!J23="Gunshu Mirim",43,IF(Atletas!J23="Qiangshu Mirim",44,IF(Atletas!J23="Nangun Mirim",45,IF(Atletas!J23="Gunshu Grupo C",46,IF(Atletas!J23="Qiangshu Grupo C",47,IF(Atletas!J23="Nangun Grupo C",48,IF(Atletas!J23="Gunshu Grupo B",49,IF(Atletas!J23="Qiangshu Grupo B",50,IF(Atletas!J23="Nangun Grupo B",51,IF(Atletas!J23="Gunshu Grupo A",52,IF(Atletas!J23="Qiangshu Grupo A",53,IF(Atletas!J23="Nangun Grupo A",54,IF(Atletas!J23="Gunshu Opcional",55,IF(Atletas!J23="Qiangshu Opcional",56,IF(Atletas!J23="Nangun Opcional",57,IF(Atletas!J23="Gunshu Adulto",58,IF(Atletas!J23="Qiangshu Adulto",59,IF(Atletas!J23="Nangun Adulto",60,IF(Atletas!J23="Taijishan Grupo B",61,IF(Atletas!J23="Taijishan Grupo A",62,""))))))))))))))))))))))</f>
        <v/>
      </c>
      <c r="BI30" s="6" t="str">
        <f>IF(BJ30&lt;&gt;"","Daoshu Grupo B","")</f>
        <v/>
      </c>
      <c r="BJ30" s="50" t="str">
        <f>IF(COUNTIF(BF:BH,127)&gt;0,COUNTIF(BF:BH,127),"")</f>
        <v/>
      </c>
      <c r="BK30" s="6" t="str">
        <f>IF(BL30&lt;&gt;"","Daoshu Grupo B","")</f>
        <v/>
      </c>
      <c r="BL30" s="50" t="str">
        <f>IF(COUNTIF(BF:BH,227)&gt;0,COUNTIF(BF:BH,227),"")</f>
        <v/>
      </c>
      <c r="BM30" s="50" t="str">
        <f>IF(Atletas!K23="","",IF(Atletas!B23="Feminino",100,IF(Atletas!B23="Masculino",200,""))+(IF(Atletas!K23="Equipe 1 Grupo B",1,IF(Atletas!K23="Equipe 2 Grupo B",2,IF(Atletas!K23="Equipe 1 Grupo A",3,IF(Atletas!K23="Equipe 2 Grupo A",4,IF(Atletas!K23="Equipe 1 Adulto",5,IF(Atletas!K23="Equipe 2 Adulto",6,""))))))))</f>
        <v/>
      </c>
      <c r="BR30" s="50" t="str">
        <f>IF(Atletas!L23="","",IF(Atletas!X23&lt;&gt;"",10000,0)+(IF(Atletas!B23="Feminino",1000,IF(Atletas!B23="Masculino",2000,""))+IF(Atletas!L23="Choylayfut A",1,IF(Atletas!L23="Hunggar A",2,IF(Atletas!L23="Wuzuquan A",3,IF(Atletas!L23="Wingchun A",4,IF(Atletas!L23="Outra Mão de Sul A",5,IF(Atletas!L23="Choylayfut B",6,IF(Atletas!L23="Hunggar B",7,IF(Atletas!L23="Wuzuquan B",8,IF(Atletas!L23="Wingchun B",9,IF(Atletas!L23="Outra Mão de Sul B",10,IF(Atletas!L23="Choylayfut C",11,IF(Atletas!L23="Hunggar C",12,IF(Atletas!L23="Wuzuquan C",13,IF(Atletas!L23="Wingchun C",14,IF(Atletas!L23="Outra Mão de Sul C",15,IF(Atletas!L23="Choylayfut D",16,IF(Atletas!L23="Hunggar D",17,IF(Atletas!L23="Wuzuquan D",18,IF(Atletas!L23="Wingchun D",19,IF(Atletas!L23="Outra Mão de Sul D",20,IF(Atletas!L23="Choylayfut E",21,IF(Atletas!L23="Hunggar E",22,IF(Atletas!L23="Wuzuquan E",23,IF(Atletas!L23="Wingchun E",24,IF(Atletas!L23="Outra Mão de Sul E",25,IF(Atletas!L23="Choylayfut F",26,IF(Atletas!L23="Hunggar F",27,IF(Atletas!L23="Wuzuquan F",28,IF(Atletas!L23="Wingchun F",29,IF(Atletas!L23="Outra Mão de Sul F",30,IF(Atletas!L23="Dishuquan A",31,IF(Atletas!L23="Dishuquan B",32,IF(Atletas!L23="Dishuquan C",33,IF(Atletas!L23="Dishuquan D",34,IF(Atletas!L23="Dishuquan E",35,IF(Atletas!L23="Dishuquan F",36,""))))))))))))))))))))))))))))))))))))))</f>
        <v/>
      </c>
      <c r="BS30" s="50" t="str">
        <f>IF(Atletas!M23="","",IF(Atletas!X23&lt;&gt;"",10000,0)+(IF(Atletas!B23="Feminino",1000,IF(Atletas!B23="Masculino",2000,""))+(IF(Atletas!M23="Chaquan A",101,IF(Atletas!M23="Emeiquan A",102,IF(Atletas!M23="Fanziquan A",103,IF(Atletas!M23="Huaquan A",104,IF(Atletas!M23="Hongquan A",105,IF(Atletas!M23="Paoquan A",106,IF(Atletas!M23="Piguaquan A",107,IF(Atletas!M23="Shaolinquan A",108,IF(Atletas!M23="Tanglangquan A",109,IF(Atletas!M23="Yingzhaoquan A",110,IF(Atletas!M23="Tongbeiquan A",111,IF(Atletas!M23="Wudangquan A",112,IF(Atletas!M23="Outros Estilos A",113,IF(Atletas!M23="Chaquan B",114,IF(Atletas!M23="Emeiquan B",115,IF(Atletas!M23="Fanziquan B",116,IF(Atletas!M23="Huaquan B",117,IF(Atletas!M23="Hongquan B",118,IF(Atletas!M23="Paoquan B",119,IF(Atletas!M23="Piguaquan B",120,IF(Atletas!M23="Shaolinquan B",121,IF(Atletas!M23="Tanglangquan B",122,IF(Atletas!M23="Yingzhaoquan B",123,IF(Atletas!M23="Tongbeiquan B",124,IF(Atletas!M23="Wudangquan B",125,IF(Atletas!M23="Outros Estilos B",126,IF(Atletas!M23="Chaquan C",127,IF(Atletas!M23="Emeiquan C",128,IF(Atletas!M23="Fanziquan C",129,IF(Atletas!M23="Huaquan C",130,IF(Atletas!M23="Hongquan C",131,IF(Atletas!M23="Paoquan C",132,IF(Atletas!M23="Piguaquan C",133,IF(Atletas!M23="Shaolinquan C",134,IF(Atletas!M23="Tanglangquan C",135,IF(Atletas!M23="Yingzhaoquan C",136,IF(Atletas!M23="Tongbeiquan C",137,IF(Atletas!M23="Wudangquan C",138,IF(Atletas!M23="Outros Estilos C",139,0))))))))))))))))))))))))))))))))))))))))))</f>
        <v/>
      </c>
      <c r="BT30" s="50" t="str">
        <f>IF(Atletas!M23="","",IF(Atletas!X23&lt;&gt;"",10000,0)+(IF(Atletas!B23="Feminino",1000,IF(Atletas!B23="Masculino",2000,""))+(IF(Atletas!M23="Chaquan D",140,IF(Atletas!M23="Emeiquan D",141,IF(Atletas!M23="Fanziquan D",142,IF(Atletas!M23="Huaquan D",143,IF(Atletas!M23="Hongquan D",144,IF(Atletas!M23="Paoquan D",145,IF(Atletas!M23="Piguaquan D",146,IF(Atletas!M23="Shaolinquan D",147,IF(Atletas!M23="Tanglangquan D",148,IF(Atletas!M23="Yingzhaoquan D",149,IF(Atletas!M23="Tongbeiquan D",150,IF(Atletas!M23="Wudangquan D",151,IF(Atletas!M23="Outros Estilos D",152,IF(Atletas!M23="Chaquan E",153,IF(Atletas!M23="Emeiquan E",154,IF(Atletas!M23="Fanziquan E",155,IF(Atletas!M23="Huaquan E",156,IF(Atletas!M23="Hongquan E",157,IF(Atletas!M23="Paoquan E",158,IF(Atletas!M23="Piguaquan E",159,IF(Atletas!M23="Shaolinquan E",160,IF(Atletas!M23="Tanglangquan E",161,IF(Atletas!M23="Yingzhaoquan E",162,IF(Atletas!M23="Tongbeiquan E",163,IF(Atletas!M23="Wudangquan E",164,IF(Atletas!M23="Outros Estilos E",165,IF(Atletas!M23="Chaquan F",166,IF(Atletas!M23="Emeiquan F",167,IF(Atletas!M23="Fanziquan F",168,IF(Atletas!M23="Huaquan F",169,IF(Atletas!M23="Hongquan F",170,IF(Atletas!M23="Paoquan F",171,IF(Atletas!M23="Piguaquan F",172,IF(Atletas!M23="Shaolinquan F",173,IF(Atletas!M23="Tanglangquan F",174,IF(Atletas!M23="Yingzhaoquan F",175,IF(Atletas!M23="Tongbeiquan F",176,IF(Atletas!M23="Wudangquan F",177,IF(Atletas!M23="Outros Estilos F",178,0))))))))))))))))))))))))))))))))))))))))))</f>
        <v/>
      </c>
      <c r="BU30" s="50" t="str">
        <f>IF(Atletas!N23="","",IF(Atletas!X23&lt;&gt;"",10000,0)+(IF(Atletas!B23="Feminino",1000,IF(Atletas!B23="Masculino",2000,""))+(IF(Atletas!N23="Ditangquan A",201,IF(Atletas!N23="Houquan A",202,IF(Atletas!N23="Zuiquan A",203,IF(Atletas!N23="Ditangquan B",204,IF(Atletas!N23="Houquan B",205,IF(Atletas!N23="Zuiquan B",206,IF(Atletas!N23="Ditangquan C",207,IF(Atletas!N23="Houquan C",208,IF(Atletas!N23="Zuiquan C",209,IF(Atletas!N23="Ditangquan D",210,IF(Atletas!N23="Houquan D",211,IF(Atletas!N23="Zuiquan D",212,IF(Atletas!N23="Ditangquan E",213,IF(Atletas!N23="Houquan E",214,IF(Atletas!N23="Zuiquan E",215,IF(Atletas!N23="Ditangquan F",216,IF(Atletas!N23="Houquan F",217,IF(Atletas!N23="Zuiquan F",218,"")))))))))))))))))))))</f>
        <v/>
      </c>
      <c r="BV30" s="50" t="str">
        <f>IF(Atletas!O23="","",IF(Atletas!X23&lt;&gt;"",10000,0)+IF(Atletas!B23="Feminino",1000,IF(Atletas!B23="Masculino",2000,""))+IF(Atletas!O23="Yang A",301,IF(Atletas!O23="Chen A",302,IF(Atletas!O23="Sun A",303,IF(Atletas!O23="Wu A",304,IF(Atletas!O23="Wu-Hao A",305,IF(Atletas!O23="Outro Taijiquan A",306,IF(Atletas!O23="Yang B",307,IF(Atletas!O23="Chen B",308,IF(Atletas!O23="Sun B",309,IF(Atletas!O23="Wu B",310,IF(Atletas!O23="Wu-Hao B",311,IF(Atletas!O23="Outro Taijiquan B",312,IF(Atletas!O23="Yang C",313,IF(Atletas!O23="Chen C",314,IF(Atletas!O23="Sun C",315,IF(Atletas!O23="Wu C",316,IF(Atletas!O23="Wu-Hao C",317,IF(Atletas!O23="Outro Taijiquan C",318,IF(Atletas!O23="Yang D",319,IF(Atletas!O23="Chen D",320,IF(Atletas!O23="Sun D",321,IF(Atletas!O23="Wu D",322,IF(Atletas!O23="Wu-Hao D",323,IF(Atletas!O23="Outro Taijiquan D",324,IF(Atletas!O23="Yang E",325,IF(Atletas!O23="Chen E",326,IF(Atletas!O23="Sun E",327,IF(Atletas!O23="Wu E",328,IF(Atletas!O23="Wu-Hao E",329,IF(Atletas!O23="Outro Taijiquan E",330,IF(Atletas!O23="Yang F",331,IF(Atletas!O23="Chen F",332,IF(Atletas!O23="Sun F",333,IF(Atletas!O23="Wu F",334,IF(Atletas!O23="Wu-Hao F",335,IF(Atletas!O23="Outro Taijiquan F",336,"")))))))))))))))))))))))))))))))))))))</f>
        <v/>
      </c>
      <c r="BW30" s="50" t="str">
        <f>IF(Atletas!P23="","",IF(Atletas!X23&lt;&gt;"",10000,0)+IF(Atletas!B23="Feminino",1000,IF(Atletas!B23="Masculino",2000,""))+IF(OR(Atletas!P23="Yang 26 A",Atletas!P23="Yang 40 A"),401,IF(OR(Atletas!P23="Chen 25 A",Atletas!P23="Chen 36 A",Atletas!P23="Chen 56 A"),402,IF(Atletas!P23="Sun 73 A",403,IF(Atletas!P23="Wu 45 A",404,IF(Atletas!P23="Wu-Hao 46 A",405,IF(OR(Atletas!P23="Taijiquan 16 A",Atletas!P23="Taijiquan 24 A",Atletas!P23="Taijiquan 32 A",Atletas!P23="Taijiquan 42 A"),406,IF(OR(Atletas!P23="Yang 26 B",Atletas!P23="Yang 40 B"),407,IF(OR(Atletas!P23="Chen 25 B",Atletas!P23="Chen 36 B",Atletas!P23="Chen 56 B"),408,IF(Atletas!P23="Sun 73 B",409,IF(Atletas!P23="Wu 45 B",410,IF(Atletas!P23="Wu-Hao 46 B",411,IF(OR(Atletas!P23="Taijiquan 16 B",Atletas!P23="Taijiquan 24 B",Atletas!P23="Taijiquan 32 B",Atletas!P23="Taijiquan 42 B"),412,IF(OR(Atletas!P23="Yang 26 C",Atletas!P23="Yang 40 C"),413,IF(OR(Atletas!P23="Chen 25 C",Atletas!P23="Chen 36 C",Atletas!P23="Chen 56 C"),414,IF(Atletas!P23="Sun 73 C",415,IF(Atletas!P23="Wu 45 C",416,IF(Atletas!P23="Wu-Hao 46 C",417,IF(OR(Atletas!P23="Taijiquan 16 C",Atletas!P23="Taijiquan 24 C",Atletas!P23="Taijiquan 32 C",Atletas!P23="Taijiquan 42 C"),418,0)))))))))))))))))))</f>
        <v/>
      </c>
      <c r="BX30" s="50" t="str">
        <f>IF(Atletas!P23="","",IF(Atletas!X23&lt;&gt;"",10000,0)+IF(Atletas!B23="Feminino",1000,IF(Atletas!B23="Masculino",2000,""))+IF(OR(Atletas!P23="Yang 26 D",Atletas!P23="Yang 40 D"),419,IF(OR(Atletas!P23="Chen 25 D",Atletas!P23="Chen 36 D",Atletas!P23="Chen 56 D"),420,IF(Atletas!P23="Sun 73 D",421,IF(Atletas!P23="Wu 45 D",422,IF(Atletas!P23="Wu-Hao 46 D",423,IF(OR(Atletas!P23="Taijiquan 16 D",Atletas!P23="Taijiquan 24 D",Atletas!P23="Taijiquan 32 D",Atletas!P23="Taijiquan 42 D"),424,IF(OR(Atletas!P23="Yang 26 E",Atletas!P23="Yang 40 E"),425,IF(OR(Atletas!P23="Chen 25 E",Atletas!P23="Chen 36 E",Atletas!P23="Chen 56 E"),426,IF(Atletas!P23="Sun 73 E",427,IF(Atletas!P23="Wu 45 E",428,IF(Atletas!P23="Wu-Hao 46 E",429,IF(OR(Atletas!P23="Taijiquan 16 E",Atletas!P23="Taijiquan 24 E",Atletas!P23="Taijiquan 32 E",Atletas!P23="Taijiquan 42 E"),430,IF(OR(Atletas!P23="Yang 26 F",Atletas!P23="Yang 40 F"),431,IF(OR(Atletas!P23="Chen 25 F",Atletas!P23="Chen 36 F",Atletas!P23="Chen 56 F"),432,IF(Atletas!P23="Sun 73 F",433,IF(Atletas!P23="Wu 45 F",434,IF(Atletas!P23="Wu-Hao 46 F",435,IF(OR(Atletas!P23="Taijiquan 16 F",Atletas!P23="Taijiquan 24 F",Atletas!P23="Taijiquan 32 F",Atletas!P23="Taijiquan 42 F"),436,0)))))))))))))))))))</f>
        <v/>
      </c>
      <c r="BY30" s="50" t="str">
        <f>IF(Atletas!Q23="","",IF(Atletas!X23&lt;&gt;"",10000,0)+IF(Atletas!B23="Feminino",1000,IF(Atletas!B23="Masculino",2000,""))+IF(Atletas!Q23="Xingyiquan A",501,IF(Atletas!Q23="Baguazhang A",502,IF(Atletas!Q23="Outro Estilo Interno A",503,IF(Atletas!Q23="Xingyiquan B",504,IF(Atletas!Q23="Baguazhang B",505,IF(Atletas!Q23="Outro Estilo Interno B",506,IF(Atletas!Q23="Xingyiquan C",507,IF(Atletas!Q23="Baguazhang C",508,IF(Atletas!Q23="Outro Estilo Interno C",509,IF(Atletas!Q23="Xingyiquan D",510,IF(Atletas!Q23="Baguazhang D",511,IF(Atletas!Q23="Outro Estilo Interno D",512,IF(Atletas!Q23="Xingyiquan E",513,IF(Atletas!Q23="Baguazhang E",514,IF(Atletas!Q23="Outro Estilo Interno E",515,IF(Atletas!Q23="Xingyiquan F",516,IF(Atletas!Q23="Baguazhang F",517,IF(Atletas!Q23="Outro Estilo Interno F",518, "")))))))))))))))))))</f>
        <v/>
      </c>
      <c r="BZ30" s="50" t="str">
        <f>IF(Atletas!R23="","",IF(Atletas!X23&lt;&gt;"",10000,0)+IF(Atletas!B23="Feminino",1000,IF(Atletas!B23="Masculino",2000,""))+IF(Atletas!R23="Dao A",601,IF(Atletas!R23="Jian A",602,IF(Atletas!R23="Bishou A",603,IF(Atletas!R23="Shanzi A",604,IF(Atletas!R23="Outra Arma Curta A",605,IF(Atletas!R23="Dao B",606,IF(Atletas!R23="Jian B",607,IF(Atletas!R23="Bishou B",608,IF(Atletas!R23="Shanzi B",609,IF(Atletas!R23="Outra Arma Curta B",610,IF(Atletas!R23="Dao C",611,IF(Atletas!R23="Jian C",612,IF(Atletas!R23="Bishou C",613,IF(Atletas!R23="Shanzi C",614,IF(Atletas!R23="Outra Arma Curta C",615,IF(Atletas!R23="Dao D",616,IF(Atletas!R23="Jian D",617,IF(Atletas!R23="Bishou D",618,IF(Atletas!R23="Shanzi D",619,IF(Atletas!R23="Outra Arma Curta D",620,IF(Atletas!R23="Dao E",621,IF(Atletas!R23="Jian E",622,IF(Atletas!R23="Bishou E",623,IF(Atletas!R23="Shanzi E",624,IF(Atletas!R23="Outra Arma Curta E",625,IF(Atletas!R23="Dao F",626,IF(Atletas!R23="Jian F",627,IF(Atletas!R23="Bishou F",628,IF(Atletas!R23="Shanzi F",629,IF(Atletas!R23="Outra Arma Curta F",630, "")))))))))))))))))))))))))))))))</f>
        <v/>
      </c>
      <c r="CA30" s="50" t="str">
        <f>IF(Atletas!S23="","",IF(Atletas!X23&lt;&gt;"",10000,0)+IF(Atletas!B23="Feminino",1000,IF(Atletas!B23="Masculino",2000,""))+IF(Atletas!S23="Gun A",701,IF(Atletas!S23="Qiang A",702,IF(Atletas!S23="Pudao / Guandao A",703,IF(Atletas!S23="Outra Arma Longa A",704,IF(Atletas!S23="Gun B",705,IF(Atletas!S23="Qiang B",706,IF(Atletas!S23="Pudao / Guandao B",707,IF(Atletas!S23="Outra Arma Longa B",708,IF(Atletas!S23="Gun C",709,IF(Atletas!S23="Qiang C",710,IF(Atletas!S23="Pudao / Guandao C",711,IF(Atletas!S23="Outra Arma Longa C",712,IF(Atletas!S23="Gun D",713,IF(Atletas!S23="Qiang D",714,IF(Atletas!S23="Pudao / Guandao D",715,IF(Atletas!S23="Outra Arma Longa D",716,IF(Atletas!S23="Gun E",717,IF(Atletas!S23="Qiang E",718,IF(Atletas!S23="Pudao / Guandao E",719,IF(Atletas!S23="Outra Arma Longa E",720,IF(Atletas!S23="Gun F",721,IF(Atletas!S23="Qiang F",722,IF(Atletas!S23="Pudao / Guandao F",723,IF(Atletas!S23="Outra Arma Longa F",724,"")))))))))))))))))))))))))</f>
        <v/>
      </c>
      <c r="CB30" s="50" t="str">
        <f>IF(Atletas!T23="","",IF(Atletas!X23&lt;&gt;"",10000,0)+IF(Atletas!B23="Feminino",1000,IF(Atletas!B23="Masculino",2000,""))+IF(Atletas!T23="Outra Arma Dupla A",801,IF(Atletas!T23="Arma Maleável A",802,IF(Atletas!T23="Outra Arma Dupla B",803,IF(Atletas!T23="Arma Maleável B",804,IF(Atletas!T23="Outra Arma Dupla C",805,IF(Atletas!T23="Arma Maleável C",806,IF(Atletas!T23="Outra Arma Dupla D",807,IF(Atletas!T23="Arma Maleável D",808,IF(Atletas!T23="Outra Arma Dupla E",809,IF(Atletas!T23="Arma Maleável E",810,IF(Atletas!T23="Outra Arma Dupla F",811,IF(Atletas!T23="Arma Maleável F",812,IF(Atletas!T23="Shuangdao A",813,IF(Atletas!T23="Shuangdao B",814,IF(Atletas!T23="Shuangdao C",815,IF(Atletas!T23="Shuangdao D",816,IF(Atletas!T23="Shuangdao E",817,IF(Atletas!T23="Shuangdao F",818,"")))))))))))))))))))</f>
        <v/>
      </c>
      <c r="CC30" s="50" t="str">
        <f>IF(Atletas!U23="","",IF(Atletas!X23&lt;&gt;"",10000,0)+IF(Atletas!B23="Feminino",1000,IF(Atletas!B23="Masculino",2000,""))+IF(OR(Atletas!U23="Taijijian Yang A",Atletas!U23="Taijijian Yang Standard A"),901,IF(OR(Atletas!U23="Taijijian Chen A", Atletas!U23="Taijijian Chen Standard A"),902,IF(Atletas!U23="Taijijian Sun A",903,IF(Atletas!U23="Taijijian Wu A",904,IF(Atletas!U23="Taijijian Wu-Hao A",905,IF(OR(Atletas!U23="Taijijian 32 A",Atletas!U23="Taijijian 42 A"),906,IF(OR(Atletas!U23="Taijijian Yang B",Atletas!U23="Taijijian Yang Standard B"),907,IF(OR(Atletas!U23="Taijijian Chen B", Atletas!U23="Taijijian Chen Standard B"),908,IF(Atletas!U23="Taijijian Sun B",909,IF(Atletas!U23="Taijijian Wu B",910,IF(Atletas!U23="Taijijian Wu-Hao B",911,IF(OR(Atletas!U23="Taijijian 32 B",Atletas!U23="Taijijian 42 B"),912,IF(OR(Atletas!U23="Taijijian Yang C",Atletas!U23="Taijijian Yang Standard C"),913,IF(OR(Atletas!U23="Taijijian Chen C", Atletas!U23="Taijijian Chen Standard C"),914,IF(Atletas!U23="Taijijian Sun C",915,IF(Atletas!U23="Taijijian Wu C",916,IF(Atletas!U23="Taijijian Wu-Hao C",917,IF(OR(Atletas!U23="Taijijian 32 C",Atletas!U23="Taijijian 42 C"),918,IF(OR(Atletas!U23="Taijijian Yang D",Atletas!U23="Taijijian Yang Standard D"),919,IF(OR(Atletas!U23="Taijijian Chen D", Atletas!U23="Taijijian Chen Standard D"),920,IF(Atletas!U23="Taijijian Sun D",921,IF(Atletas!U23="Taijijian Wu D",922,IF(Atletas!U23="Taijijian Wu-Hao D",923,IF(OR(Atletas!U23="Taijijian 32 D",Atletas!U23="Taijijian 42 D"),924,IF(OR(Atletas!U23="Taijijian Yang E",Atletas!U23="Taijijian Yang Standard E"),925,IF(OR(Atletas!U23="Taijijian Chen E", Atletas!U23="Taijijian Chen Standard E"),926,IF(Atletas!U23="Taijijian Sun E",927,IF(Atletas!U23="Taijijian Wu E",928,IF(Atletas!U23="Taijijian Wu-Hao E",929,IF(OR(Atletas!U23="Taijijian 32 E",Atletas!U23="Taijijian 42 E"),930,IF(OR(Atletas!U23="Taijijian Yang F",Atletas!U23="Taijijian Yang Standard F"),931,IF(OR(Atletas!U23="Taijijian Chen F", Atletas!U23="Taijijian Chen Standard F"),932,IF(Atletas!U23="Taijijian Sun F",933,IF(Atletas!U23="Taijijian Wu F",934,IF(Atletas!U23="Taijijian Wu-Hao F",935,IF(OR(Atletas!U23="Taijijian 32 F",Atletas!U23="Taijijian 42 F"),936,"")))))))))))))))))))))))))))))))))))))</f>
        <v/>
      </c>
      <c r="CD30" s="50" t="str">
        <f>IF(Atletas!V23="","",IF(Atletas!X23&lt;&gt;"",10000,0)+IF(Atletas!B23="Feminino",1000,IF(Atletas!B23="Masculino",2000,""))+IF(Atletas!V23="Taijidao A",937,IF(Atletas!V23="TaijiShanzi A",938,IF(Atletas!V23="Taijiqiang A",939,IF(Atletas!V23="Bagua de Arma A",940,IF(Atletas!V23="Xingyi de Arma A",941,IF(Atletas!V23="Taijidao B",942,IF(Atletas!V23="TaijiShanzi B",943,IF(Atletas!V23="Taijiqiang B",944,IF(Atletas!V23="Bagua de Arma B",945,IF(Atletas!V23="Xingyi de Arma B",946,IF(Atletas!V23="Taijidao C",947,IF(Atletas!V23="TaijiShanzi C",948,IF(Atletas!V23="Taijiqiang C",949,IF(Atletas!V23="Bagua de Arma C",950,IF(Atletas!V23="Xingyi de Arma C",951,IF(Atletas!V23="Taijidao D",952,IF(Atletas!V23="TaijiShanzi D",953,IF(Atletas!V23="Taijiqiang D",954,IF(Atletas!V23="Bagua de Arma D",955,IF(Atletas!V23="Xingyi de Arma D",956,IF(Atletas!V23="Taijidao E",957,IF(Atletas!V23="TaijiShanzi E",958,IF(Atletas!V23="Taijiqiang E",959,IF(Atletas!V23="Bagua de Arma E",960,IF(Atletas!V23="Xingyi de Arma E",961,IF(Atletas!V23="Taijidao F",962,IF(Atletas!V23="TaijiShanzi F",963,IF(Atletas!V23="Taijiqiang F",964,IF(Atletas!V23="Bagua de Arma F",965,IF(Atletas!V23="Xingyi de Arma F",966,"")))))))))))))))))))))))))))))))</f>
        <v/>
      </c>
      <c r="CE30" s="66" t="str">
        <f>IF(CF30&lt;&gt;"","Outra Mão de Sul D","")</f>
        <v/>
      </c>
      <c r="CF30" s="66" t="str">
        <f>IF(COUNTIF(BR:CD,1020)&gt;0,COUNTIF(BR:CD,1020),"")</f>
        <v/>
      </c>
      <c r="CG30" s="66" t="str">
        <f>IF(CH30&lt;&gt;"","Outra Mão de Sul D","")</f>
        <v/>
      </c>
      <c r="CH30" s="66" t="str">
        <f>IF(COUNTIF(BR:CD,2020)&gt;0,COUNTIF(BR:CD,2020),"")</f>
        <v/>
      </c>
      <c r="CI30" s="66" t="str">
        <f>IF(CJ30&lt;&gt;"","Wingchun E","")</f>
        <v/>
      </c>
      <c r="CJ30" s="66" t="str">
        <f>IF(COUNTIF(BR:CD,11024)&gt;0,COUNTIF(BR:CD,11024),"")</f>
        <v/>
      </c>
      <c r="CK30" s="66" t="str">
        <f>IF(CL30&lt;&gt;"","Wingchun E","")</f>
        <v/>
      </c>
      <c r="CL30" s="66" t="str">
        <f>IF(COUNTIF(BR:CD,12024)&gt;0,COUNTIF(BR:CD,12024),"")</f>
        <v/>
      </c>
      <c r="CM30" s="50" t="str">
        <f xml:space="preserve"> IF(Atletas!W23="","",IF(Atletas!W23="Duilian de Mãos BC - Equipe 1",1,IF(Atletas!W23="Duilian de Mãos BC - Equipe 2",2,IF(Atletas!W23="Duilian de Armas BC - Equipe 1",3,IF(Atletas!W23="Duilian de Armas BC - Equipe 2",4,IF(Atletas!W23="Duilian de Mãos DE - Equipe 1",5,IF(Atletas!W23="Duilian de Mãos DE - Equipe 2",6,IF(Atletas!W23="Duilian de Armas DE - Equipe 1",7,IF(Atletas!W23="Duilian de Armas DE - Equipe 2",8,IF(Atletas!W23="Duilian de Tuishou - Equipe 1",9,IF(Atletas!W23="Duilian de Tuishou - Equipe 2",10,IF(Atletas!W23="Grupo Externo ABC - Equipe 1",11,IF(Atletas!W23="Grupo Externo ABC - Equipe 2",12,IF(Atletas!W23="Grupo Interno ABC - Equipe 1",13,IF(Atletas!W23="Grupo Interno ABC - Equipe 2",14,IF(Atletas!W23="Grupo Externo DEF - Equipe 1",15,IF(Atletas!W23="Grupo Externo DEF - Equipe 2",16,IF(Atletas!W23="Grupo Interno DEF - Equipe 1",17,IF(Atletas!W23="Grupo Interno DEF - Equipe 2",18,"")))))))))))))))))))</f>
        <v/>
      </c>
      <c r="CY30" s="41"/>
    </row>
    <row r="31" spans="1:103">
      <c r="B31" s="3" t="str">
        <f t="array" ref="B31">IFERROR(INDEX(AO$7:AO$38,SMALL(IF(AO$7:AO$38&lt;&gt;"",ROW(AO$7:AO$38)-ROW(AO$7)+1),ROWS(AO$7:AO30))),"")</f>
        <v/>
      </c>
      <c r="C31" s="3" t="str">
        <f t="array" ref="C31">IFERROR(INDEX(AP$7:AP$38,SMALL(IF(AP$7:AP$38&lt;&gt;"",ROW(AP$7:AP$38)-ROW(AP$7)+1),ROWS(AP$7:AP30))),"")</f>
        <v/>
      </c>
      <c r="D31" s="3" t="str">
        <f t="array" ref="D31">IFERROR(INDEX(AQ$7:AQ$38,SMALL(IF(AQ$7:AQ$38&lt;&gt;"",ROW(AQ$7:AQ$38)-ROW(AQ$7)+1),ROWS(AQ$7:AQ30))),"")</f>
        <v/>
      </c>
      <c r="E31" s="3" t="str">
        <f t="array" ref="E31">IFERROR(INDEX(AR$7:AR$38,SMALL(IF(AR$7:AR$38&lt;&gt;"",ROW(AR$7:AR$38)-ROW(AR$7)+1),ROWS(AR$7:AR30))),"")</f>
        <v/>
      </c>
      <c r="F31" s="3" t="str">
        <f t="array" ref="F31">IFERROR(INDEX(AT$7:AT$36,SMALL(IF(AT$7:AT$36&lt;&gt;"",ROW(AT$7:AT$36)-ROW(AT$7)+1),ROWS(AT$7:AT30))),"")</f>
        <v/>
      </c>
      <c r="G31" s="3" t="str">
        <f t="array" ref="G31">IFERROR(INDEX(AU$7:AU$36,SMALL(IF(AU$7:AU$36&lt;&gt;"",ROW(AU$7:AU$36)-ROW(AU$7)+1),ROWS(AU$7:AU30))),"")</f>
        <v/>
      </c>
      <c r="H31" s="3" t="str">
        <f t="array" ref="H31">IFERROR(INDEX(AV$7:AV$36,SMALL(IF(AV$7:AV$36&lt;&gt;"",ROW(AV$7:AV$36)-ROW(AV$7)+1),ROWS(AV$7:AV30))),"")</f>
        <v/>
      </c>
      <c r="I31" s="3" t="str">
        <f t="array" ref="I31">IFERROR(INDEX(AW$7:AW$36,SMALL(IF(AW$7:AW$36&lt;&gt;"",ROW(AW$7:AW$36)-ROW(AW$7)+1),ROWS(AW$7:AW30))),"")</f>
        <v/>
      </c>
      <c r="J31" s="3" t="str">
        <f t="array" ref="J31">IFERROR(INDEX(AW$7:AW$36,SMALL(IF(AW$7:AW$36&lt;&gt;"",ROW(AW$7:AW$36)-ROW(AW$7)+1),ROWS(AW$7:AW30))),"")</f>
        <v/>
      </c>
      <c r="K31" s="3" t="str">
        <f t="array" ref="K31">IFERROR(INDEX(AZ$7:AZ$36,SMALL(IF(AZ$7:AZ$36&lt;&gt;"",ROW(AZ$7:AZ$36)-ROW(AZ$7)+1),ROWS(AZ$7:AZ30))),"")</f>
        <v/>
      </c>
      <c r="L31" s="3" t="str">
        <f t="array" ref="L31">IFERROR(INDEX(BA$7:BA$36,SMALL(IF(BA$7:BA$36&lt;&gt;"",ROW(BA$7:BA$36)-ROW(BA$7)+1),ROWS(BA$7:BA30))),"")</f>
        <v/>
      </c>
      <c r="M31" s="3" t="str">
        <f t="array" ref="M31">IFERROR(INDEX(BB$7:BB$36,SMALL(IF(BB$7:BB$36&lt;&gt;"",ROW(BB$7:BB$36)-ROW(BB$7)+1),ROWS(BB$7:BB30))),"")</f>
        <v/>
      </c>
      <c r="N31" s="3" t="str" cm="1">
        <f t="array" ref="N31">IFERROR(INDEX(BD$7:BD$8,SMALL(IF(BD$7:BD$8&lt;&gt;"",ROW(BD$7:BD$8)-ROW(BD$7)+1),ROWS(BD$7:BD30))),"")</f>
        <v/>
      </c>
      <c r="O31" s="3" t="str" cm="1">
        <f t="array" ref="O31">IFERROR(INDEX(BE$7:BE$8,SMALL(IF(BE$7:BE$8&lt;&gt;"",ROW(BE$7:BE$8)-ROW(BE$7)+1),ROWS(BE$7:BE30))),"")</f>
        <v/>
      </c>
      <c r="P31" s="3" t="str" cm="1">
        <f t="array" ref="P31">IFERROR(INDEX(BD$9:BD$10,SMALL(IF(BD$9:BD$10&lt;&gt;"",ROW(BD$9:BD$10)-ROW(BD$9)+1),ROWS(BD$9:BD32))),"")</f>
        <v/>
      </c>
      <c r="Q31" s="3" t="str">
        <f t="array" ref="Q31">IFERROR(INDEX(BH$7:BH$36,SMALL(IF(BH$7:BH$36&lt;&gt;"",ROW(BH$7:BH$36)-ROW(BH$7)+1),ROWS(BH$7:BH30))),"")</f>
        <v/>
      </c>
      <c r="R31" s="3" t="str">
        <f t="array" ref="R31">IFERROR(INDEX(BI$7:BI$68,SMALL(IF(BI$7:BI$68&lt;&gt;"",ROW(BI$7:BI$68)-ROW(BI$7)+1),ROWS(BI$7:BI30))),"")</f>
        <v/>
      </c>
      <c r="S31" s="3" t="str">
        <f t="array" ref="S31">IFERROR(INDEX(BJ$7:BJ$68,SMALL(IF(BJ$7:BJ$68&lt;&gt;"",ROW(BJ$7:BJ$68)-ROW(BJ$7)+1),ROWS(BJ$7:BJ30))),"")</f>
        <v/>
      </c>
      <c r="T31" s="3" t="str">
        <f t="array" ref="T31">IFERROR(INDEX(BK$7:BK$68,SMALL(IF(BK$7:BK$68&lt;&gt;"",ROW(BK$7:BK$68)-ROW(BK$7)+1),ROWS(BK$7:BK30))),"")</f>
        <v/>
      </c>
      <c r="U31" s="3" t="str">
        <f t="array" ref="U31">IFERROR(INDEX(BL$7:BL$68,SMALL(IF(BL$7:BL$68&lt;&gt;"",ROW(BL$7:BL$68)-ROW(BL$7)+1),ROWS(BL$7:BL30))),"")</f>
        <v/>
      </c>
      <c r="V31" s="3"/>
      <c r="W31" s="3"/>
      <c r="X31" s="3"/>
      <c r="Y31" s="3"/>
      <c r="Z31" s="3" t="str">
        <f t="array" ref="Z31">IFERROR(INDEX(CE$7:CE$348,SMALL(IF(CE$7:CE$348&lt;&gt;"",ROW(CE$7:CE$348)-ROW(CE$7)+1),ROWS(CE$7:CE30))),"")</f>
        <v/>
      </c>
      <c r="AA31" s="3" t="str">
        <f t="array" ref="AA31">IFERROR(INDEX(CF$7:CF$348,SMALL(IF(CF$7:CF$348&lt;&gt;"",ROW(CF$7:CF$348)-ROW(CF$7)+1),ROWS(CF$7:CF30))),"")</f>
        <v/>
      </c>
      <c r="AB31" s="3" t="str">
        <f t="array" ref="AB31">IFERROR(INDEX(CG$7:CG$348,SMALL(IF(CG$7:CG$348&lt;&gt;"",ROW(CG$7:CG$348)-ROW(CG$7)+1),ROWS(CG$7:CG30))),"")</f>
        <v/>
      </c>
      <c r="AC31" s="3" t="str">
        <f t="array" ref="AC31">IFERROR(INDEX(CH$7:CH$348,SMALL(IF(CH$7:CH$348&lt;&gt;"",ROW(CH$7:CH$348)-ROW(CH$7)+1),ROWS(CH$7:CH30))),"")</f>
        <v/>
      </c>
      <c r="AD31" s="3" t="str">
        <f t="array" ref="AD31">IFERROR(INDEX(CI$7:CI$377,SMALL(IF(CI$7:CI$377&lt;&gt;"",ROW(CI$7:CI$377)-ROW(CI$7)+1),ROWS(CI$7:CI30))),"")</f>
        <v/>
      </c>
      <c r="AE31" s="3" t="str">
        <f t="array" ref="AE31">IFERROR(INDEX(CJ$7:CJ$378,SMALL(IF(CJ$7:CJ$378&lt;&gt;"",ROW(CJ$7:CJ$378)-ROW(CJ$7)+1),ROWS(CJ$7:CJ30))),"")</f>
        <v/>
      </c>
      <c r="AF31" s="3" t="str">
        <f t="array" ref="AF31">IFERROR(INDEX(CK$7:CK$378,SMALL(IF(CK$7:CK$378&lt;&gt;"",ROW(CK$7:CK$378)-ROW(CK$7)+1),ROWS(CK$7:CK30))),"")</f>
        <v/>
      </c>
      <c r="AG31" s="3" t="str">
        <f t="array" ref="AG31">IFERROR(INDEX(CL$7:CL$378,SMALL(IF(CL$7:CL$378&lt;&gt;"",ROW(CL$7:CL$378)-ROW(CL$7)+1),ROWS(CL$7:CL30))),"")</f>
        <v/>
      </c>
      <c r="AH31" s="40" t="str">
        <f t="array" ref="AH31">IFERROR(INDEX(CN$7:CN$18,SMALL(IF(CN$7:CN$18&lt;&gt;"",ROW(CN$7:CN$18)-ROW(CN$7)+1),ROWS(CN$7:CN30))),"")</f>
        <v/>
      </c>
      <c r="AI31" s="40" t="str">
        <f t="array" ref="AI31">IFERROR(INDEX(CO$7:CO$18,SMALL(IF(CO$7:CO$18&lt;&gt;"",ROW(CO$7:CO$18)-ROW(CO$7)+1),ROWS(CO$7:CO30))),"")</f>
        <v/>
      </c>
      <c r="AJ31" s="40" t="str">
        <f t="array" ref="AJ31">IFERROR(INDEX(CP$7:CP$8,SMALL(IF(CP$7:CP$8&lt;&gt;"",ROW(CP$7:CP$8)-ROW(CP$7)+1),ROWS(CP$7:CP30))),"")</f>
        <v/>
      </c>
      <c r="AK31" s="40"/>
      <c r="AL31" s="40" t="str">
        <f t="array" ref="AL31">IFERROR(INDEX(CR$7:CR$14,SMALL(IF(CR$7:CR$14&lt;&gt;"",ROW(CR$7:CR$14)-ROW(CR$7)+1),ROWS(CR$7:CR30))),"")</f>
        <v/>
      </c>
      <c r="AM31" s="40"/>
      <c r="AN31" s="52" t="str">
        <f>IF(Atletas!D24="","",IF(Atletas!B24="Feminino",100,IF(Atletas!B24="Masculino",200,""))+(IF(Atletas!D24="Kids 30kg",1,IF(Atletas!D24="Kids 32kg",2, IF(Atletas!D24="Kids 34kg",3,IF(Atletas!D24="Kids 36kg",4,IF(Atletas!D24="Kids 39kg",5,IF(Atletas!D24="Kids 42kg",6,IF(Atletas!D24="Kids 45kg",7, IF(Atletas!D24="Infantil 39kg",8,IF(Atletas!D24="Infantil 42kg",9,IF(Atletas!D24="Infantil 45kg",10,IF(Atletas!D24="Infantil 48kg",11,IF(Atletas!D24="Infantil 52kg",12,IF(Atletas!D24="Infantil 56kg",13,IF(Atletas!D24="Infantil 60kg",14,IF(Atletas!D24="Juvenil 48kg",15,IF(Atletas!D24="Juvenil 52kg",16,IF(Atletas!D24="Juvenil 56kg",17,IF(Atletas!D24="Juvenil 60kg",18,IF(Atletas!D24="Juvenil 65kg",19,IF(Atletas!D24="Juvenil 70kg",20,IF(Atletas!D24="Juvenil 75kg",21,IF(Atletas!D24="Juvenil 80kg",22, IF(Atletas!D24="Juvenil 85kg",23,IF(Atletas!D24="Adulto 48kg",24,IF(Atletas!D24="Adulto 52kg",25,IF(Atletas!D24="Adulto 56kg",26,IF(Atletas!D24="Adulto 60kg",27,IF(Atletas!D24="Adulto 65kg",28,IF(Atletas!D24="Adulto 70kg",29,IF(Atletas!D24="Adulto 75kg",30,IF(Atletas!D24="Adulto 80kg",31,IF(Atletas!D24="Adulto 85kg",32,IF(Atletas!D24="Adulto 90kg",33,IF(Atletas!D24="Adulto 100kg",34, IF(Atletas!D24="Adulto +100kg",35,"")))))))))))))))))))))))))))))))))))))</f>
        <v/>
      </c>
      <c r="AO31" s="50"/>
      <c r="AQ31" s="50" t="str">
        <f>IF(AR31&lt;&gt;"","Adulto 52kg","")</f>
        <v/>
      </c>
      <c r="AR31" s="6" t="str">
        <f>IF(COUNTIF(AN:AN,225)&gt;0,COUNTIF(AN:AN,225),"")</f>
        <v/>
      </c>
      <c r="AS31" s="6" t="str">
        <f>IF(Atletas!E24="","",IF(Atletas!B24="Feminino",100,IF(Atletas!B24="Masculino",200,""))+(IF(Atletas!E24="Juvenil 44kg",1,IF(Atletas!E24="Juvenil 48kg",2,IF(Atletas!E24="Juvenil 52kg",3,IF(Atletas!E24="Juvenil 56kg",4,IF(Atletas!E24="Juvenil 60kg",5,IF(Atletas!E24="Juvenil 65kg",6,IF(Atletas!E24="Juvenil 70kg",7,IF(Atletas!E24="Juvenil 75kg",8,IF(Atletas!E24="Juvenil 82kg",9,IF(Atletas!E24="Juvenil 90kg",10,IF(Atletas!E24="Juvenil 100kg",11,IF(Atletas!E24="Adulto 48kg",12,IF(Atletas!E24="Adulto 52kg",13,IF(Atletas!E24="Adulto 56kg",14,IF(Atletas!E24="Adulto 60kg",15,IF(Atletas!E24="Adulto 65kg",16,IF(Atletas!E24="Adulto 70kg",17,IF(Atletas!E24="Adulto 75kg",18,IF(Atletas!E24="Adulto 82kg",19,IF(Atletas!E24="Adulto 90kg",20,IF(Atletas!E24="Adulto 100kg",21,IF(Atletas!E24="Adulto +100kg",22,""))))))))))))))))))))))))</f>
        <v/>
      </c>
      <c r="AX31" s="6" t="str">
        <f>IF(Atletas!F24="","",IF(Atletas!B24="Feminino",100,IF(Atletas!B24="Masculino",200,""))+(IF(Atletas!F24="Adulto 48kg",1,IF(Atletas!F24="Adulto 56kg",2,IF(Atletas!F24="Adulto 65kg",3,IF(Atletas!F24="Adulto 75kg",4,IF(Atletas!F24="Adulto +75kg",5,IF(Atletas!F24="Adulto 52kg",6,IF(Atletas!F24="Adulto 60kg",7,IF(Atletas!F24="Adulto 70kg",8,IF(Atletas!F24="Adulto 80kg",9,IF(Atletas!F24="Adulto 90kg",10,IF(Atletas!F24="Adulto +90kg",11,"")))))))))))))</f>
        <v/>
      </c>
      <c r="BC31" s="6" t="str">
        <f>IF(Atletas!G24="","",IF(Atletas!B24="Feminino",10,IF(Atletas!B24="Masculino",20,""))+(IF(Atletas!G24="Baduanjin A",1,IF(Atletas!G24="Baduanjin B",2))))</f>
        <v/>
      </c>
      <c r="BF31" s="52" t="str">
        <f>IF(Atletas!H24="","",IF(Atletas!B24="Feminino",100,IF(Atletas!B24="Masculino",200,""))+(IF(Atletas!H24="Changquan Mirim",1,IF(Atletas!H24="Nanquan Mirim",2,IF(Atletas!H24="Taijiquan Mirim",3,IF(Atletas!H24="Changquan Grupo C",4,IF(Atletas!H24="Nanquan Grupo C",5,IF(Atletas!H24="Taijiquan Grupo C",6,IF(Atletas!H24="Changquan Grupo B",7,IF(Atletas!H24="Nanquan Grupo B",8,IF(Atletas!H24="Taijiquan Grupo B",9,IF(Atletas!H24="Changquan Grupo A",10,IF(Atletas!H24="Nanquan Grupo A",11,IF(Atletas!H24="Taijiquan Grupo A",12,IF(Atletas!H24="Changquan Opcional",13,IF(Atletas!H24="Nanquan Opcional",14,IF(Atletas!H24="Taijiquan Opcional",15,IF(Atletas!H24="Changquan Adulto",16,IF(Atletas!H24="Nanquan Adulto",17,IF(Atletas!H24="Taijiquan Adulto",18,""))))))))))))))))))))</f>
        <v/>
      </c>
      <c r="BG31" s="52" t="str">
        <f>IF(Atletas!I24="","",IF(Atletas!B24="Feminino",100,IF(Atletas!B24="Masculino",200,""))+(IF(Atletas!I24="Daoshu Mirim",19,IF(Atletas!I24="Jianshu Mirim",20,IF(Atletas!I24="Nandao Mirim",21,IF(Atletas!I24="Taijijian Mirim",22,IF(Atletas!I24="Daoshu Grupo C",23,IF(Atletas!I24="Jianshu Grupo C",24,IF(Atletas!I24="Nandao Grupo C",25,IF(Atletas!I24="Taijijian Grupo C",26,IF(Atletas!I24="Daoshu Grupo B",27,IF(Atletas!I24="Jianshu Grupo B",28,IF(Atletas!I24="Nandao Grupo B",29,IF(Atletas!I24="Taijijian Grupo B",30,IF(Atletas!I24="Daoshu Grupo A",31,IF(Atletas!I24="Jianshu Grupo A",32,IF(Atletas!I24="Nandao Grupo A",33,IF(Atletas!I24="Taijijian Grupo A",34,IF(Atletas!I24="Daoshu Opcional",35,IF(Atletas!I24="Jianshu Opcional",36,IF(Atletas!I24="Nandao Opcional",37,IF(Atletas!I24="Taijijian Opcional",38,IF(Atletas!I24="Daoshu Adulto",39,IF(Atletas!I24="Jianshu Adulto",40,IF(Atletas!I24="Nandao Adulto",41,IF(Atletas!I24="Taijijian Adulto",42,""))))))))))))))))))))))))))</f>
        <v/>
      </c>
      <c r="BH31" s="52" t="str">
        <f>IF(Atletas!J24="","",IF(Atletas!B24="Feminino",100,IF(Atletas!B24="Masculino",200,""))+(IF(Atletas!J24="Gunshu Mirim",43,IF(Atletas!J24="Qiangshu Mirim",44,IF(Atletas!J24="Nangun Mirim",45,IF(Atletas!J24="Gunshu Grupo C",46,IF(Atletas!J24="Qiangshu Grupo C",47,IF(Atletas!J24="Nangun Grupo C",48,IF(Atletas!J24="Gunshu Grupo B",49,IF(Atletas!J24="Qiangshu Grupo B",50,IF(Atletas!J24="Nangun Grupo B",51,IF(Atletas!J24="Gunshu Grupo A",52,IF(Atletas!J24="Qiangshu Grupo A",53,IF(Atletas!J24="Nangun Grupo A",54,IF(Atletas!J24="Gunshu Opcional",55,IF(Atletas!J24="Qiangshu Opcional",56,IF(Atletas!J24="Nangun Opcional",57,IF(Atletas!J24="Gunshu Adulto",58,IF(Atletas!J24="Qiangshu Adulto",59,IF(Atletas!J24="Nangun Adulto",60,IF(Atletas!J24="Taijishan Grupo B",61,IF(Atletas!J24="Taijishan Grupo A",62,""))))))))))))))))))))))</f>
        <v/>
      </c>
      <c r="BI31" s="6" t="str">
        <f>IF(BJ31&lt;&gt;"","Jianshu Grupo B","")</f>
        <v/>
      </c>
      <c r="BJ31" s="50" t="str">
        <f>IF(COUNTIF(BF:BH,128)&gt;0,COUNTIF(BF:BH,128),"")</f>
        <v/>
      </c>
      <c r="BK31" s="6" t="str">
        <f>IF(BL31&lt;&gt;"","Jianshu Grupo B","")</f>
        <v/>
      </c>
      <c r="BL31" s="50" t="str">
        <f>IF(COUNTIF(BF:BH,228)&gt;0,COUNTIF(BF:BH,228),"")</f>
        <v/>
      </c>
      <c r="BM31" s="50" t="str">
        <f>IF(Atletas!K24="","",IF(Atletas!B24="Feminino",100,IF(Atletas!B24="Masculino",200,""))+(IF(Atletas!K24="Equipe 1 Grupo B",1,IF(Atletas!K24="Equipe 2 Grupo B",2,IF(Atletas!K24="Equipe 1 Grupo A",3,IF(Atletas!K24="Equipe 2 Grupo A",4,IF(Atletas!K24="Equipe 1 Adulto",5,IF(Atletas!K24="Equipe 2 Adulto",6,""))))))))</f>
        <v/>
      </c>
      <c r="BR31" s="50" t="str">
        <f>IF(Atletas!L24="","",IF(Atletas!X24&lt;&gt;"",10000,0)+(IF(Atletas!B24="Feminino",1000,IF(Atletas!B24="Masculino",2000,""))+IF(Atletas!L24="Choylayfut A",1,IF(Atletas!L24="Hunggar A",2,IF(Atletas!L24="Wuzuquan A",3,IF(Atletas!L24="Wingchun A",4,IF(Atletas!L24="Outra Mão de Sul A",5,IF(Atletas!L24="Choylayfut B",6,IF(Atletas!L24="Hunggar B",7,IF(Atletas!L24="Wuzuquan B",8,IF(Atletas!L24="Wingchun B",9,IF(Atletas!L24="Outra Mão de Sul B",10,IF(Atletas!L24="Choylayfut C",11,IF(Atletas!L24="Hunggar C",12,IF(Atletas!L24="Wuzuquan C",13,IF(Atletas!L24="Wingchun C",14,IF(Atletas!L24="Outra Mão de Sul C",15,IF(Atletas!L24="Choylayfut D",16,IF(Atletas!L24="Hunggar D",17,IF(Atletas!L24="Wuzuquan D",18,IF(Atletas!L24="Wingchun D",19,IF(Atletas!L24="Outra Mão de Sul D",20,IF(Atletas!L24="Choylayfut E",21,IF(Atletas!L24="Hunggar E",22,IF(Atletas!L24="Wuzuquan E",23,IF(Atletas!L24="Wingchun E",24,IF(Atletas!L24="Outra Mão de Sul E",25,IF(Atletas!L24="Choylayfut F",26,IF(Atletas!L24="Hunggar F",27,IF(Atletas!L24="Wuzuquan F",28,IF(Atletas!L24="Wingchun F",29,IF(Atletas!L24="Outra Mão de Sul F",30,IF(Atletas!L24="Dishuquan A",31,IF(Atletas!L24="Dishuquan B",32,IF(Atletas!L24="Dishuquan C",33,IF(Atletas!L24="Dishuquan D",34,IF(Atletas!L24="Dishuquan E",35,IF(Atletas!L24="Dishuquan F",36,""))))))))))))))))))))))))))))))))))))))</f>
        <v/>
      </c>
      <c r="BS31" s="50" t="str">
        <f>IF(Atletas!M24="","",IF(Atletas!X24&lt;&gt;"",10000,0)+(IF(Atletas!B24="Feminino",1000,IF(Atletas!B24="Masculino",2000,""))+(IF(Atletas!M24="Chaquan A",101,IF(Atletas!M24="Emeiquan A",102,IF(Atletas!M24="Fanziquan A",103,IF(Atletas!M24="Huaquan A",104,IF(Atletas!M24="Hongquan A",105,IF(Atletas!M24="Paoquan A",106,IF(Atletas!M24="Piguaquan A",107,IF(Atletas!M24="Shaolinquan A",108,IF(Atletas!M24="Tanglangquan A",109,IF(Atletas!M24="Yingzhaoquan A",110,IF(Atletas!M24="Tongbeiquan A",111,IF(Atletas!M24="Wudangquan A",112,IF(Atletas!M24="Outros Estilos A",113,IF(Atletas!M24="Chaquan B",114,IF(Atletas!M24="Emeiquan B",115,IF(Atletas!M24="Fanziquan B",116,IF(Atletas!M24="Huaquan B",117,IF(Atletas!M24="Hongquan B",118,IF(Atletas!M24="Paoquan B",119,IF(Atletas!M24="Piguaquan B",120,IF(Atletas!M24="Shaolinquan B",121,IF(Atletas!M24="Tanglangquan B",122,IF(Atletas!M24="Yingzhaoquan B",123,IF(Atletas!M24="Tongbeiquan B",124,IF(Atletas!M24="Wudangquan B",125,IF(Atletas!M24="Outros Estilos B",126,IF(Atletas!M24="Chaquan C",127,IF(Atletas!M24="Emeiquan C",128,IF(Atletas!M24="Fanziquan C",129,IF(Atletas!M24="Huaquan C",130,IF(Atletas!M24="Hongquan C",131,IF(Atletas!M24="Paoquan C",132,IF(Atletas!M24="Piguaquan C",133,IF(Atletas!M24="Shaolinquan C",134,IF(Atletas!M24="Tanglangquan C",135,IF(Atletas!M24="Yingzhaoquan C",136,IF(Atletas!M24="Tongbeiquan C",137,IF(Atletas!M24="Wudangquan C",138,IF(Atletas!M24="Outros Estilos C",139,0))))))))))))))))))))))))))))))))))))))))))</f>
        <v/>
      </c>
      <c r="BT31" s="50" t="str">
        <f>IF(Atletas!M24="","",IF(Atletas!X24&lt;&gt;"",10000,0)+(IF(Atletas!B24="Feminino",1000,IF(Atletas!B24="Masculino",2000,""))+(IF(Atletas!M24="Chaquan D",140,IF(Atletas!M24="Emeiquan D",141,IF(Atletas!M24="Fanziquan D",142,IF(Atletas!M24="Huaquan D",143,IF(Atletas!M24="Hongquan D",144,IF(Atletas!M24="Paoquan D",145,IF(Atletas!M24="Piguaquan D",146,IF(Atletas!M24="Shaolinquan D",147,IF(Atletas!M24="Tanglangquan D",148,IF(Atletas!M24="Yingzhaoquan D",149,IF(Atletas!M24="Tongbeiquan D",150,IF(Atletas!M24="Wudangquan D",151,IF(Atletas!M24="Outros Estilos D",152,IF(Atletas!M24="Chaquan E",153,IF(Atletas!M24="Emeiquan E",154,IF(Atletas!M24="Fanziquan E",155,IF(Atletas!M24="Huaquan E",156,IF(Atletas!M24="Hongquan E",157,IF(Atletas!M24="Paoquan E",158,IF(Atletas!M24="Piguaquan E",159,IF(Atletas!M24="Shaolinquan E",160,IF(Atletas!M24="Tanglangquan E",161,IF(Atletas!M24="Yingzhaoquan E",162,IF(Atletas!M24="Tongbeiquan E",163,IF(Atletas!M24="Wudangquan E",164,IF(Atletas!M24="Outros Estilos E",165,IF(Atletas!M24="Chaquan F",166,IF(Atletas!M24="Emeiquan F",167,IF(Atletas!M24="Fanziquan F",168,IF(Atletas!M24="Huaquan F",169,IF(Atletas!M24="Hongquan F",170,IF(Atletas!M24="Paoquan F",171,IF(Atletas!M24="Piguaquan F",172,IF(Atletas!M24="Shaolinquan F",173,IF(Atletas!M24="Tanglangquan F",174,IF(Atletas!M24="Yingzhaoquan F",175,IF(Atletas!M24="Tongbeiquan F",176,IF(Atletas!M24="Wudangquan F",177,IF(Atletas!M24="Outros Estilos F",178,0))))))))))))))))))))))))))))))))))))))))))</f>
        <v/>
      </c>
      <c r="BU31" s="50" t="str">
        <f>IF(Atletas!N24="","",IF(Atletas!X24&lt;&gt;"",10000,0)+(IF(Atletas!B24="Feminino",1000,IF(Atletas!B24="Masculino",2000,""))+(IF(Atletas!N24="Ditangquan A",201,IF(Atletas!N24="Houquan A",202,IF(Atletas!N24="Zuiquan A",203,IF(Atletas!N24="Ditangquan B",204,IF(Atletas!N24="Houquan B",205,IF(Atletas!N24="Zuiquan B",206,IF(Atletas!N24="Ditangquan C",207,IF(Atletas!N24="Houquan C",208,IF(Atletas!N24="Zuiquan C",209,IF(Atletas!N24="Ditangquan D",210,IF(Atletas!N24="Houquan D",211,IF(Atletas!N24="Zuiquan D",212,IF(Atletas!N24="Ditangquan E",213,IF(Atletas!N24="Houquan E",214,IF(Atletas!N24="Zuiquan E",215,IF(Atletas!N24="Ditangquan F",216,IF(Atletas!N24="Houquan F",217,IF(Atletas!N24="Zuiquan F",218,"")))))))))))))))))))))</f>
        <v/>
      </c>
      <c r="BV31" s="50" t="str">
        <f>IF(Atletas!O24="","",IF(Atletas!X24&lt;&gt;"",10000,0)+IF(Atletas!B24="Feminino",1000,IF(Atletas!B24="Masculino",2000,""))+IF(Atletas!O24="Yang A",301,IF(Atletas!O24="Chen A",302,IF(Atletas!O24="Sun A",303,IF(Atletas!O24="Wu A",304,IF(Atletas!O24="Wu-Hao A",305,IF(Atletas!O24="Outro Taijiquan A",306,IF(Atletas!O24="Yang B",307,IF(Atletas!O24="Chen B",308,IF(Atletas!O24="Sun B",309,IF(Atletas!O24="Wu B",310,IF(Atletas!O24="Wu-Hao B",311,IF(Atletas!O24="Outro Taijiquan B",312,IF(Atletas!O24="Yang C",313,IF(Atletas!O24="Chen C",314,IF(Atletas!O24="Sun C",315,IF(Atletas!O24="Wu C",316,IF(Atletas!O24="Wu-Hao C",317,IF(Atletas!O24="Outro Taijiquan C",318,IF(Atletas!O24="Yang D",319,IF(Atletas!O24="Chen D",320,IF(Atletas!O24="Sun D",321,IF(Atletas!O24="Wu D",322,IF(Atletas!O24="Wu-Hao D",323,IF(Atletas!O24="Outro Taijiquan D",324,IF(Atletas!O24="Yang E",325,IF(Atletas!O24="Chen E",326,IF(Atletas!O24="Sun E",327,IF(Atletas!O24="Wu E",328,IF(Atletas!O24="Wu-Hao E",329,IF(Atletas!O24="Outro Taijiquan E",330,IF(Atletas!O24="Yang F",331,IF(Atletas!O24="Chen F",332,IF(Atletas!O24="Sun F",333,IF(Atletas!O24="Wu F",334,IF(Atletas!O24="Wu-Hao F",335,IF(Atletas!O24="Outro Taijiquan F",336,"")))))))))))))))))))))))))))))))))))))</f>
        <v/>
      </c>
      <c r="BW31" s="50" t="str">
        <f>IF(Atletas!P24="","",IF(Atletas!X24&lt;&gt;"",10000,0)+IF(Atletas!B24="Feminino",1000,IF(Atletas!B24="Masculino",2000,""))+IF(OR(Atletas!P24="Yang 26 A",Atletas!P24="Yang 40 A"),401,IF(OR(Atletas!P24="Chen 25 A",Atletas!P24="Chen 36 A",Atletas!P24="Chen 56 A"),402,IF(Atletas!P24="Sun 73 A",403,IF(Atletas!P24="Wu 45 A",404,IF(Atletas!P24="Wu-Hao 46 A",405,IF(OR(Atletas!P24="Taijiquan 16 A",Atletas!P24="Taijiquan 24 A",Atletas!P24="Taijiquan 32 A",Atletas!P24="Taijiquan 42 A"),406,IF(OR(Atletas!P24="Yang 26 B",Atletas!P24="Yang 40 B"),407,IF(OR(Atletas!P24="Chen 25 B",Atletas!P24="Chen 36 B",Atletas!P24="Chen 56 B"),408,IF(Atletas!P24="Sun 73 B",409,IF(Atletas!P24="Wu 45 B",410,IF(Atletas!P24="Wu-Hao 46 B",411,IF(OR(Atletas!P24="Taijiquan 16 B",Atletas!P24="Taijiquan 24 B",Atletas!P24="Taijiquan 32 B",Atletas!P24="Taijiquan 42 B"),412,IF(OR(Atletas!P24="Yang 26 C",Atletas!P24="Yang 40 C"),413,IF(OR(Atletas!P24="Chen 25 C",Atletas!P24="Chen 36 C",Atletas!P24="Chen 56 C"),414,IF(Atletas!P24="Sun 73 C",415,IF(Atletas!P24="Wu 45 C",416,IF(Atletas!P24="Wu-Hao 46 C",417,IF(OR(Atletas!P24="Taijiquan 16 C",Atletas!P24="Taijiquan 24 C",Atletas!P24="Taijiquan 32 C",Atletas!P24="Taijiquan 42 C"),418,0)))))))))))))))))))</f>
        <v/>
      </c>
      <c r="BX31" s="50" t="str">
        <f>IF(Atletas!P24="","",IF(Atletas!X24&lt;&gt;"",10000,0)+IF(Atletas!B24="Feminino",1000,IF(Atletas!B24="Masculino",2000,""))+IF(OR(Atletas!P24="Yang 26 D",Atletas!P24="Yang 40 D"),419,IF(OR(Atletas!P24="Chen 25 D",Atletas!P24="Chen 36 D",Atletas!P24="Chen 56 D"),420,IF(Atletas!P24="Sun 73 D",421,IF(Atletas!P24="Wu 45 D",422,IF(Atletas!P24="Wu-Hao 46 D",423,IF(OR(Atletas!P24="Taijiquan 16 D",Atletas!P24="Taijiquan 24 D",Atletas!P24="Taijiquan 32 D",Atletas!P24="Taijiquan 42 D"),424,IF(OR(Atletas!P24="Yang 26 E",Atletas!P24="Yang 40 E"),425,IF(OR(Atletas!P24="Chen 25 E",Atletas!P24="Chen 36 E",Atletas!P24="Chen 56 E"),426,IF(Atletas!P24="Sun 73 E",427,IF(Atletas!P24="Wu 45 E",428,IF(Atletas!P24="Wu-Hao 46 E",429,IF(OR(Atletas!P24="Taijiquan 16 E",Atletas!P24="Taijiquan 24 E",Atletas!P24="Taijiquan 32 E",Atletas!P24="Taijiquan 42 E"),430,IF(OR(Atletas!P24="Yang 26 F",Atletas!P24="Yang 40 F"),431,IF(OR(Atletas!P24="Chen 25 F",Atletas!P24="Chen 36 F",Atletas!P24="Chen 56 F"),432,IF(Atletas!P24="Sun 73 F",433,IF(Atletas!P24="Wu 45 F",434,IF(Atletas!P24="Wu-Hao 46 F",435,IF(OR(Atletas!P24="Taijiquan 16 F",Atletas!P24="Taijiquan 24 F",Atletas!P24="Taijiquan 32 F",Atletas!P24="Taijiquan 42 F"),436,0)))))))))))))))))))</f>
        <v/>
      </c>
      <c r="BY31" s="50" t="str">
        <f>IF(Atletas!Q24="","",IF(Atletas!X24&lt;&gt;"",10000,0)+IF(Atletas!B24="Feminino",1000,IF(Atletas!B24="Masculino",2000,""))+IF(Atletas!Q24="Xingyiquan A",501,IF(Atletas!Q24="Baguazhang A",502,IF(Atletas!Q24="Outro Estilo Interno A",503,IF(Atletas!Q24="Xingyiquan B",504,IF(Atletas!Q24="Baguazhang B",505,IF(Atletas!Q24="Outro Estilo Interno B",506,IF(Atletas!Q24="Xingyiquan C",507,IF(Atletas!Q24="Baguazhang C",508,IF(Atletas!Q24="Outro Estilo Interno C",509,IF(Atletas!Q24="Xingyiquan D",510,IF(Atletas!Q24="Baguazhang D",511,IF(Atletas!Q24="Outro Estilo Interno D",512,IF(Atletas!Q24="Xingyiquan E",513,IF(Atletas!Q24="Baguazhang E",514,IF(Atletas!Q24="Outro Estilo Interno E",515,IF(Atletas!Q24="Xingyiquan F",516,IF(Atletas!Q24="Baguazhang F",517,IF(Atletas!Q24="Outro Estilo Interno F",518, "")))))))))))))))))))</f>
        <v/>
      </c>
      <c r="BZ31" s="50" t="str">
        <f>IF(Atletas!R24="","",IF(Atletas!X24&lt;&gt;"",10000,0)+IF(Atletas!B24="Feminino",1000,IF(Atletas!B24="Masculino",2000,""))+IF(Atletas!R24="Dao A",601,IF(Atletas!R24="Jian A",602,IF(Atletas!R24="Bishou A",603,IF(Atletas!R24="Shanzi A",604,IF(Atletas!R24="Outra Arma Curta A",605,IF(Atletas!R24="Dao B",606,IF(Atletas!R24="Jian B",607,IF(Atletas!R24="Bishou B",608,IF(Atletas!R24="Shanzi B",609,IF(Atletas!R24="Outra Arma Curta B",610,IF(Atletas!R24="Dao C",611,IF(Atletas!R24="Jian C",612,IF(Atletas!R24="Bishou C",613,IF(Atletas!R24="Shanzi C",614,IF(Atletas!R24="Outra Arma Curta C",615,IF(Atletas!R24="Dao D",616,IF(Atletas!R24="Jian D",617,IF(Atletas!R24="Bishou D",618,IF(Atletas!R24="Shanzi D",619,IF(Atletas!R24="Outra Arma Curta D",620,IF(Atletas!R24="Dao E",621,IF(Atletas!R24="Jian E",622,IF(Atletas!R24="Bishou E",623,IF(Atletas!R24="Shanzi E",624,IF(Atletas!R24="Outra Arma Curta E",625,IF(Atletas!R24="Dao F",626,IF(Atletas!R24="Jian F",627,IF(Atletas!R24="Bishou F",628,IF(Atletas!R24="Shanzi F",629,IF(Atletas!R24="Outra Arma Curta F",630, "")))))))))))))))))))))))))))))))</f>
        <v/>
      </c>
      <c r="CA31" s="50" t="str">
        <f>IF(Atletas!S24="","",IF(Atletas!X24&lt;&gt;"",10000,0)+IF(Atletas!B24="Feminino",1000,IF(Atletas!B24="Masculino",2000,""))+IF(Atletas!S24="Gun A",701,IF(Atletas!S24="Qiang A",702,IF(Atletas!S24="Pudao / Guandao A",703,IF(Atletas!S24="Outra Arma Longa A",704,IF(Atletas!S24="Gun B",705,IF(Atletas!S24="Qiang B",706,IF(Atletas!S24="Pudao / Guandao B",707,IF(Atletas!S24="Outra Arma Longa B",708,IF(Atletas!S24="Gun C",709,IF(Atletas!S24="Qiang C",710,IF(Atletas!S24="Pudao / Guandao C",711,IF(Atletas!S24="Outra Arma Longa C",712,IF(Atletas!S24="Gun D",713,IF(Atletas!S24="Qiang D",714,IF(Atletas!S24="Pudao / Guandao D",715,IF(Atletas!S24="Outra Arma Longa D",716,IF(Atletas!S24="Gun E",717,IF(Atletas!S24="Qiang E",718,IF(Atletas!S24="Pudao / Guandao E",719,IF(Atletas!S24="Outra Arma Longa E",720,IF(Atletas!S24="Gun F",721,IF(Atletas!S24="Qiang F",722,IF(Atletas!S24="Pudao / Guandao F",723,IF(Atletas!S24="Outra Arma Longa F",724,"")))))))))))))))))))))))))</f>
        <v/>
      </c>
      <c r="CB31" s="50" t="str">
        <f>IF(Atletas!T24="","",IF(Atletas!X24&lt;&gt;"",10000,0)+IF(Atletas!B24="Feminino",1000,IF(Atletas!B24="Masculino",2000,""))+IF(Atletas!T24="Outra Arma Dupla A",801,IF(Atletas!T24="Arma Maleável A",802,IF(Atletas!T24="Outra Arma Dupla B",803,IF(Atletas!T24="Arma Maleável B",804,IF(Atletas!T24="Outra Arma Dupla C",805,IF(Atletas!T24="Arma Maleável C",806,IF(Atletas!T24="Outra Arma Dupla D",807,IF(Atletas!T24="Arma Maleável D",808,IF(Atletas!T24="Outra Arma Dupla E",809,IF(Atletas!T24="Arma Maleável E",810,IF(Atletas!T24="Outra Arma Dupla F",811,IF(Atletas!T24="Arma Maleável F",812,IF(Atletas!T24="Shuangdao A",813,IF(Atletas!T24="Shuangdao B",814,IF(Atletas!T24="Shuangdao C",815,IF(Atletas!T24="Shuangdao D",816,IF(Atletas!T24="Shuangdao E",817,IF(Atletas!T24="Shuangdao F",818,"")))))))))))))))))))</f>
        <v/>
      </c>
      <c r="CC31" s="50" t="str">
        <f>IF(Atletas!U24="","",IF(Atletas!X24&lt;&gt;"",10000,0)+IF(Atletas!B24="Feminino",1000,IF(Atletas!B24="Masculino",2000,""))+IF(OR(Atletas!U24="Taijijian Yang A",Atletas!U24="Taijijian Yang Standard A"),901,IF(OR(Atletas!U24="Taijijian Chen A", Atletas!U24="Taijijian Chen Standard A"),902,IF(Atletas!U24="Taijijian Sun A",903,IF(Atletas!U24="Taijijian Wu A",904,IF(Atletas!U24="Taijijian Wu-Hao A",905,IF(OR(Atletas!U24="Taijijian 32 A",Atletas!U24="Taijijian 42 A"),906,IF(OR(Atletas!U24="Taijijian Yang B",Atletas!U24="Taijijian Yang Standard B"),907,IF(OR(Atletas!U24="Taijijian Chen B", Atletas!U24="Taijijian Chen Standard B"),908,IF(Atletas!U24="Taijijian Sun B",909,IF(Atletas!U24="Taijijian Wu B",910,IF(Atletas!U24="Taijijian Wu-Hao B",911,IF(OR(Atletas!U24="Taijijian 32 B",Atletas!U24="Taijijian 42 B"),912,IF(OR(Atletas!U24="Taijijian Yang C",Atletas!U24="Taijijian Yang Standard C"),913,IF(OR(Atletas!U24="Taijijian Chen C", Atletas!U24="Taijijian Chen Standard C"),914,IF(Atletas!U24="Taijijian Sun C",915,IF(Atletas!U24="Taijijian Wu C",916,IF(Atletas!U24="Taijijian Wu-Hao C",917,IF(OR(Atletas!U24="Taijijian 32 C",Atletas!U24="Taijijian 42 C"),918,IF(OR(Atletas!U24="Taijijian Yang D",Atletas!U24="Taijijian Yang Standard D"),919,IF(OR(Atletas!U24="Taijijian Chen D", Atletas!U24="Taijijian Chen Standard D"),920,IF(Atletas!U24="Taijijian Sun D",921,IF(Atletas!U24="Taijijian Wu D",922,IF(Atletas!U24="Taijijian Wu-Hao D",923,IF(OR(Atletas!U24="Taijijian 32 D",Atletas!U24="Taijijian 42 D"),924,IF(OR(Atletas!U24="Taijijian Yang E",Atletas!U24="Taijijian Yang Standard E"),925,IF(OR(Atletas!U24="Taijijian Chen E", Atletas!U24="Taijijian Chen Standard E"),926,IF(Atletas!U24="Taijijian Sun E",927,IF(Atletas!U24="Taijijian Wu E",928,IF(Atletas!U24="Taijijian Wu-Hao E",929,IF(OR(Atletas!U24="Taijijian 32 E",Atletas!U24="Taijijian 42 E"),930,IF(OR(Atletas!U24="Taijijian Yang F",Atletas!U24="Taijijian Yang Standard F"),931,IF(OR(Atletas!U24="Taijijian Chen F", Atletas!U24="Taijijian Chen Standard F"),932,IF(Atletas!U24="Taijijian Sun F",933,IF(Atletas!U24="Taijijian Wu F",934,IF(Atletas!U24="Taijijian Wu-Hao F",935,IF(OR(Atletas!U24="Taijijian 32 F",Atletas!U24="Taijijian 42 F"),936,"")))))))))))))))))))))))))))))))))))))</f>
        <v/>
      </c>
      <c r="CD31" s="50" t="str">
        <f>IF(Atletas!V24="","",IF(Atletas!X24&lt;&gt;"",10000,0)+IF(Atletas!B24="Feminino",1000,IF(Atletas!B24="Masculino",2000,""))+IF(Atletas!V24="Taijidao A",937,IF(Atletas!V24="TaijiShanzi A",938,IF(Atletas!V24="Taijiqiang A",939,IF(Atletas!V24="Bagua de Arma A",940,IF(Atletas!V24="Xingyi de Arma A",941,IF(Atletas!V24="Taijidao B",942,IF(Atletas!V24="TaijiShanzi B",943,IF(Atletas!V24="Taijiqiang B",944,IF(Atletas!V24="Bagua de Arma B",945,IF(Atletas!V24="Xingyi de Arma B",946,IF(Atletas!V24="Taijidao C",947,IF(Atletas!V24="TaijiShanzi C",948,IF(Atletas!V24="Taijiqiang C",949,IF(Atletas!V24="Bagua de Arma C",950,IF(Atletas!V24="Xingyi de Arma C",951,IF(Atletas!V24="Taijidao D",952,IF(Atletas!V24="TaijiShanzi D",953,IF(Atletas!V24="Taijiqiang D",954,IF(Atletas!V24="Bagua de Arma D",955,IF(Atletas!V24="Xingyi de Arma D",956,IF(Atletas!V24="Taijidao E",957,IF(Atletas!V24="TaijiShanzi E",958,IF(Atletas!V24="Taijiqiang E",959,IF(Atletas!V24="Bagua de Arma E",960,IF(Atletas!V24="Xingyi de Arma E",961,IF(Atletas!V24="Taijidao F",962,IF(Atletas!V24="TaijiShanzi F",963,IF(Atletas!V24="Taijiqiang F",964,IF(Atletas!V24="Bagua de Arma F",965,IF(Atletas!V24="Xingyi de Arma F",966,"")))))))))))))))))))))))))))))))</f>
        <v/>
      </c>
      <c r="CE31" s="66" t="str">
        <f>IF(CF31&lt;&gt;"","Choylayfut E","")</f>
        <v/>
      </c>
      <c r="CF31" s="66" t="str">
        <f>IF(COUNTIF(BR:CD,1021)&gt;0,COUNTIF(BR:CD,1021),"")</f>
        <v/>
      </c>
      <c r="CG31" s="66" t="str">
        <f>IF(CH31&lt;&gt;"","Choylayfut E","")</f>
        <v/>
      </c>
      <c r="CH31" s="66" t="str">
        <f>IF(COUNTIF(BR:CD,2021)&gt;0,COUNTIF(BR:CD,2021),"")</f>
        <v/>
      </c>
      <c r="CI31" s="66" t="str">
        <f>IF(CJ31&lt;&gt;"","Outra Mão de Sul E","")</f>
        <v/>
      </c>
      <c r="CJ31" s="66" t="str">
        <f>IF(COUNTIF(BR:CD,11025)&gt;0,COUNTIF(BR:CD,11025),"")</f>
        <v/>
      </c>
      <c r="CK31" s="66" t="str">
        <f>IF(CL31&lt;&gt;"","Outra Mão de Sul E","")</f>
        <v/>
      </c>
      <c r="CL31" s="66" t="str">
        <f>IF(COUNTIF(BR:CD,12025)&gt;0,COUNTIF(BR:CD,12025),"")</f>
        <v/>
      </c>
      <c r="CM31" s="50" t="str">
        <f xml:space="preserve"> IF(Atletas!W24="","",IF(Atletas!W24="Duilian de Mãos BC - Equipe 1",1,IF(Atletas!W24="Duilian de Mãos BC - Equipe 2",2,IF(Atletas!W24="Duilian de Armas BC - Equipe 1",3,IF(Atletas!W24="Duilian de Armas BC - Equipe 2",4,IF(Atletas!W24="Duilian de Mãos DE - Equipe 1",5,IF(Atletas!W24="Duilian de Mãos DE - Equipe 2",6,IF(Atletas!W24="Duilian de Armas DE - Equipe 1",7,IF(Atletas!W24="Duilian de Armas DE - Equipe 2",8,IF(Atletas!W24="Duilian de Tuishou - Equipe 1",9,IF(Atletas!W24="Duilian de Tuishou - Equipe 2",10,IF(Atletas!W24="Grupo Externo ABC - Equipe 1",11,IF(Atletas!W24="Grupo Externo ABC - Equipe 2",12,IF(Atletas!W24="Grupo Interno ABC - Equipe 1",13,IF(Atletas!W24="Grupo Interno ABC - Equipe 2",14,IF(Atletas!W24="Grupo Externo DEF - Equipe 1",15,IF(Atletas!W24="Grupo Externo DEF - Equipe 2",16,IF(Atletas!W24="Grupo Interno DEF - Equipe 1",17,IF(Atletas!W24="Grupo Interno DEF - Equipe 2",18,"")))))))))))))))))))</f>
        <v/>
      </c>
      <c r="CY31" s="41"/>
    </row>
    <row r="32" spans="1:103">
      <c r="B32" s="3" t="str">
        <f t="array" ref="B32">IFERROR(INDEX(AO$7:AO$38,SMALL(IF(AO$7:AO$38&lt;&gt;"",ROW(AO$7:AO$38)-ROW(AO$7)+1),ROWS(AO$7:AO31))),"")</f>
        <v/>
      </c>
      <c r="C32" s="3" t="str">
        <f t="array" ref="C32">IFERROR(INDEX(AP$7:AP$38,SMALL(IF(AP$7:AP$38&lt;&gt;"",ROW(AP$7:AP$38)-ROW(AP$7)+1),ROWS(AP$7:AP31))),"")</f>
        <v/>
      </c>
      <c r="D32" s="3" t="str">
        <f t="array" ref="D32">IFERROR(INDEX(AQ$7:AQ$38,SMALL(IF(AQ$7:AQ$38&lt;&gt;"",ROW(AQ$7:AQ$38)-ROW(AQ$7)+1),ROWS(AQ$7:AQ31))),"")</f>
        <v/>
      </c>
      <c r="E32" s="3" t="str">
        <f t="array" ref="E32">IFERROR(INDEX(AR$7:AR$38,SMALL(IF(AR$7:AR$38&lt;&gt;"",ROW(AR$7:AR$38)-ROW(AR$7)+1),ROWS(AR$7:AR31))),"")</f>
        <v/>
      </c>
      <c r="F32" s="3" t="str">
        <f t="array" ref="F32">IFERROR(INDEX(AT$7:AT$36,SMALL(IF(AT$7:AT$36&lt;&gt;"",ROW(AT$7:AT$36)-ROW(AT$7)+1),ROWS(AT$7:AT31))),"")</f>
        <v/>
      </c>
      <c r="G32" s="3" t="str">
        <f t="array" ref="G32">IFERROR(INDEX(AU$7:AU$36,SMALL(IF(AU$7:AU$36&lt;&gt;"",ROW(AU$7:AU$36)-ROW(AU$7)+1),ROWS(AU$7:AU31))),"")</f>
        <v/>
      </c>
      <c r="H32" s="3" t="str">
        <f t="array" ref="H32">IFERROR(INDEX(AV$7:AV$36,SMALL(IF(AV$7:AV$36&lt;&gt;"",ROW(AV$7:AV$36)-ROW(AV$7)+1),ROWS(AV$7:AV31))),"")</f>
        <v/>
      </c>
      <c r="I32" s="3" t="str">
        <f t="array" ref="I32">IFERROR(INDEX(AW$7:AW$36,SMALL(IF(AW$7:AW$36&lt;&gt;"",ROW(AW$7:AW$36)-ROW(AW$7)+1),ROWS(AW$7:AW31))),"")</f>
        <v/>
      </c>
      <c r="J32" s="3" t="str">
        <f t="array" ref="J32">IFERROR(INDEX(AW$7:AW$36,SMALL(IF(AW$7:AW$36&lt;&gt;"",ROW(AW$7:AW$36)-ROW(AW$7)+1),ROWS(AW$7:AW31))),"")</f>
        <v/>
      </c>
      <c r="K32" s="3" t="str">
        <f t="array" ref="K32">IFERROR(INDEX(AZ$7:AZ$36,SMALL(IF(AZ$7:AZ$36&lt;&gt;"",ROW(AZ$7:AZ$36)-ROW(AZ$7)+1),ROWS(AZ$7:AZ31))),"")</f>
        <v/>
      </c>
      <c r="L32" s="3" t="str">
        <f t="array" ref="L32">IFERROR(INDEX(BA$7:BA$36,SMALL(IF(BA$7:BA$36&lt;&gt;"",ROW(BA$7:BA$36)-ROW(BA$7)+1),ROWS(BA$7:BA31))),"")</f>
        <v/>
      </c>
      <c r="M32" s="3" t="str">
        <f t="array" ref="M32">IFERROR(INDEX(BB$7:BB$36,SMALL(IF(BB$7:BB$36&lt;&gt;"",ROW(BB$7:BB$36)-ROW(BB$7)+1),ROWS(BB$7:BB31))),"")</f>
        <v/>
      </c>
      <c r="N32" s="3" t="str" cm="1">
        <f t="array" ref="N32">IFERROR(INDEX(BD$7:BD$8,SMALL(IF(BD$7:BD$8&lt;&gt;"",ROW(BD$7:BD$8)-ROW(BD$7)+1),ROWS(BD$7:BD31))),"")</f>
        <v/>
      </c>
      <c r="O32" s="3" t="str" cm="1">
        <f t="array" ref="O32">IFERROR(INDEX(BE$7:BE$8,SMALL(IF(BE$7:BE$8&lt;&gt;"",ROW(BE$7:BE$8)-ROW(BE$7)+1),ROWS(BE$7:BE31))),"")</f>
        <v/>
      </c>
      <c r="P32" s="3" t="str" cm="1">
        <f t="array" ref="P32">IFERROR(INDEX(BD$9:BD$10,SMALL(IF(BD$9:BD$10&lt;&gt;"",ROW(BD$9:BD$10)-ROW(BD$9)+1),ROWS(BD$9:BD33))),"")</f>
        <v/>
      </c>
      <c r="Q32" s="3" t="str">
        <f t="array" ref="Q32">IFERROR(INDEX(BH$7:BH$36,SMALL(IF(BH$7:BH$36&lt;&gt;"",ROW(BH$7:BH$36)-ROW(BH$7)+1),ROWS(BH$7:BH31))),"")</f>
        <v/>
      </c>
      <c r="R32" s="3" t="str">
        <f t="array" ref="R32">IFERROR(INDEX(BI$7:BI$68,SMALL(IF(BI$7:BI$68&lt;&gt;"",ROW(BI$7:BI$68)-ROW(BI$7)+1),ROWS(BI$7:BI31))),"")</f>
        <v/>
      </c>
      <c r="S32" s="3" t="str">
        <f t="array" ref="S32">IFERROR(INDEX(BJ$7:BJ$68,SMALL(IF(BJ$7:BJ$68&lt;&gt;"",ROW(BJ$7:BJ$68)-ROW(BJ$7)+1),ROWS(BJ$7:BJ31))),"")</f>
        <v/>
      </c>
      <c r="T32" s="3" t="str">
        <f t="array" ref="T32">IFERROR(INDEX(BK$7:BK$68,SMALL(IF(BK$7:BK$68&lt;&gt;"",ROW(BK$7:BK$68)-ROW(BK$7)+1),ROWS(BK$7:BK31))),"")</f>
        <v/>
      </c>
      <c r="U32" s="3" t="str">
        <f t="array" ref="U32">IFERROR(INDEX(BL$7:BL$68,SMALL(IF(BL$7:BL$68&lt;&gt;"",ROW(BL$7:BL$68)-ROW(BL$7)+1),ROWS(BL$7:BL31))),"")</f>
        <v/>
      </c>
      <c r="V32" s="3"/>
      <c r="W32" s="3"/>
      <c r="X32" s="3"/>
      <c r="Y32" s="3"/>
      <c r="Z32" s="3" t="str">
        <f t="array" ref="Z32">IFERROR(INDEX(CE$7:CE$348,SMALL(IF(CE$7:CE$348&lt;&gt;"",ROW(CE$7:CE$348)-ROW(CE$7)+1),ROWS(CE$7:CE31))),"")</f>
        <v/>
      </c>
      <c r="AA32" s="3" t="str">
        <f t="array" ref="AA32">IFERROR(INDEX(CF$7:CF$348,SMALL(IF(CF$7:CF$348&lt;&gt;"",ROW(CF$7:CF$348)-ROW(CF$7)+1),ROWS(CF$7:CF31))),"")</f>
        <v/>
      </c>
      <c r="AB32" s="3" t="str">
        <f t="array" ref="AB32">IFERROR(INDEX(CG$7:CG$348,SMALL(IF(CG$7:CG$348&lt;&gt;"",ROW(CG$7:CG$348)-ROW(CG$7)+1),ROWS(CG$7:CG31))),"")</f>
        <v/>
      </c>
      <c r="AC32" s="3" t="str">
        <f t="array" ref="AC32">IFERROR(INDEX(CH$7:CH$348,SMALL(IF(CH$7:CH$348&lt;&gt;"",ROW(CH$7:CH$348)-ROW(CH$7)+1),ROWS(CH$7:CH31))),"")</f>
        <v/>
      </c>
      <c r="AD32" s="3" t="str">
        <f t="array" ref="AD32">IFERROR(INDEX(CI$7:CI$377,SMALL(IF(CI$7:CI$377&lt;&gt;"",ROW(CI$7:CI$377)-ROW(CI$7)+1),ROWS(CI$7:CI31))),"")</f>
        <v/>
      </c>
      <c r="AE32" s="3" t="str">
        <f t="array" ref="AE32">IFERROR(INDEX(CJ$7:CJ$378,SMALL(IF(CJ$7:CJ$378&lt;&gt;"",ROW(CJ$7:CJ$378)-ROW(CJ$7)+1),ROWS(CJ$7:CJ31))),"")</f>
        <v/>
      </c>
      <c r="AF32" s="3" t="str">
        <f t="array" ref="AF32">IFERROR(INDEX(CK$7:CK$378,SMALL(IF(CK$7:CK$378&lt;&gt;"",ROW(CK$7:CK$378)-ROW(CK$7)+1),ROWS(CK$7:CK31))),"")</f>
        <v/>
      </c>
      <c r="AG32" s="3" t="str">
        <f t="array" ref="AG32">IFERROR(INDEX(CL$7:CL$378,SMALL(IF(CL$7:CL$378&lt;&gt;"",ROW(CL$7:CL$378)-ROW(CL$7)+1),ROWS(CL$7:CL31))),"")</f>
        <v/>
      </c>
      <c r="AH32" s="40" t="str">
        <f t="array" ref="AH32">IFERROR(INDEX(CN$7:CN$18,SMALL(IF(CN$7:CN$18&lt;&gt;"",ROW(CN$7:CN$18)-ROW(CN$7)+1),ROWS(CN$7:CN31))),"")</f>
        <v/>
      </c>
      <c r="AI32" s="40" t="str">
        <f t="array" ref="AI32">IFERROR(INDEX(CO$7:CO$18,SMALL(IF(CO$7:CO$18&lt;&gt;"",ROW(CO$7:CO$18)-ROW(CO$7)+1),ROWS(CO$7:CO31))),"")</f>
        <v/>
      </c>
      <c r="AJ32" s="40" t="str">
        <f t="array" ref="AJ32">IFERROR(INDEX(CP$7:CP$8,SMALL(IF(CP$7:CP$8&lt;&gt;"",ROW(CP$7:CP$8)-ROW(CP$7)+1),ROWS(CP$7:CP31))),"")</f>
        <v/>
      </c>
      <c r="AK32" s="40"/>
      <c r="AL32" s="40" t="str">
        <f t="array" ref="AL32">IFERROR(INDEX(CR$7:CR$14,SMALL(IF(CR$7:CR$14&lt;&gt;"",ROW(CR$7:CR$14)-ROW(CR$7)+1),ROWS(CR$7:CR31))),"")</f>
        <v/>
      </c>
      <c r="AM32" s="40"/>
      <c r="AN32" s="52" t="str">
        <f>IF(Atletas!D25="","",IF(Atletas!B25="Feminino",100,IF(Atletas!B25="Masculino",200,""))+(IF(Atletas!D25="Kids 30kg",1,IF(Atletas!D25="Kids 32kg",2, IF(Atletas!D25="Kids 34kg",3,IF(Atletas!D25="Kids 36kg",4,IF(Atletas!D25="Kids 39kg",5,IF(Atletas!D25="Kids 42kg",6,IF(Atletas!D25="Kids 45kg",7, IF(Atletas!D25="Infantil 39kg",8,IF(Atletas!D25="Infantil 42kg",9,IF(Atletas!D25="Infantil 45kg",10,IF(Atletas!D25="Infantil 48kg",11,IF(Atletas!D25="Infantil 52kg",12,IF(Atletas!D25="Infantil 56kg",13,IF(Atletas!D25="Infantil 60kg",14,IF(Atletas!D25="Juvenil 48kg",15,IF(Atletas!D25="Juvenil 52kg",16,IF(Atletas!D25="Juvenil 56kg",17,IF(Atletas!D25="Juvenil 60kg",18,IF(Atletas!D25="Juvenil 65kg",19,IF(Atletas!D25="Juvenil 70kg",20,IF(Atletas!D25="Juvenil 75kg",21,IF(Atletas!D25="Juvenil 80kg",22, IF(Atletas!D25="Juvenil 85kg",23,IF(Atletas!D25="Adulto 48kg",24,IF(Atletas!D25="Adulto 52kg",25,IF(Atletas!D25="Adulto 56kg",26,IF(Atletas!D25="Adulto 60kg",27,IF(Atletas!D25="Adulto 65kg",28,IF(Atletas!D25="Adulto 70kg",29,IF(Atletas!D25="Adulto 75kg",30,IF(Atletas!D25="Adulto 80kg",31,IF(Atletas!D25="Adulto 85kg",32,IF(Atletas!D25="Adulto 90kg",33,IF(Atletas!D25="Adulto 100kg",34, IF(Atletas!D25="Adulto +100kg",35,"")))))))))))))))))))))))))))))))))))))</f>
        <v/>
      </c>
      <c r="AO32" s="50"/>
      <c r="AQ32" s="50" t="str">
        <f>IF(AR32&lt;&gt;"","Adulto 56kg","")</f>
        <v/>
      </c>
      <c r="AR32" s="6" t="str">
        <f>IF(COUNTIF(AN:AN,226)&gt;0,COUNTIF(AN:AN,226),"")</f>
        <v/>
      </c>
      <c r="AS32" s="6" t="str">
        <f>IF(Atletas!E25="","",IF(Atletas!B25="Feminino",100,IF(Atletas!B25="Masculino",200,""))+(IF(Atletas!E25="Juvenil 44kg",1,IF(Atletas!E25="Juvenil 48kg",2,IF(Atletas!E25="Juvenil 52kg",3,IF(Atletas!E25="Juvenil 56kg",4,IF(Atletas!E25="Juvenil 60kg",5,IF(Atletas!E25="Juvenil 65kg",6,IF(Atletas!E25="Juvenil 70kg",7,IF(Atletas!E25="Juvenil 75kg",8,IF(Atletas!E25="Juvenil 82kg",9,IF(Atletas!E25="Juvenil 90kg",10,IF(Atletas!E25="Juvenil 100kg",11,IF(Atletas!E25="Adulto 48kg",12,IF(Atletas!E25="Adulto 52kg",13,IF(Atletas!E25="Adulto 56kg",14,IF(Atletas!E25="Adulto 60kg",15,IF(Atletas!E25="Adulto 65kg",16,IF(Atletas!E25="Adulto 70kg",17,IF(Atletas!E25="Adulto 75kg",18,IF(Atletas!E25="Adulto 82kg",19,IF(Atletas!E25="Adulto 90kg",20,IF(Atletas!E25="Adulto 100kg",21,IF(Atletas!E25="Adulto +100kg",22,""))))))))))))))))))))))))</f>
        <v/>
      </c>
      <c r="AX32" s="6" t="str">
        <f>IF(Atletas!F25="","",IF(Atletas!B25="Feminino",100,IF(Atletas!B25="Masculino",200,""))+(IF(Atletas!F25="Adulto 48kg",1,IF(Atletas!F25="Adulto 56kg",2,IF(Atletas!F25="Adulto 65kg",3,IF(Atletas!F25="Adulto 75kg",4,IF(Atletas!F25="Adulto +75kg",5,IF(Atletas!F25="Adulto 52kg",6,IF(Atletas!F25="Adulto 60kg",7,IF(Atletas!F25="Adulto 70kg",8,IF(Atletas!F25="Adulto 80kg",9,IF(Atletas!F25="Adulto 90kg",10,IF(Atletas!F25="Adulto +90kg",11,"")))))))))))))</f>
        <v/>
      </c>
      <c r="BC32" s="6" t="str">
        <f>IF(Atletas!G25="","",IF(Atletas!B25="Feminino",10,IF(Atletas!B25="Masculino",20,""))+(IF(Atletas!G25="Baduanjin A",1,IF(Atletas!G25="Baduanjin B",2))))</f>
        <v/>
      </c>
      <c r="BF32" s="52" t="str">
        <f>IF(Atletas!H25="","",IF(Atletas!B25="Feminino",100,IF(Atletas!B25="Masculino",200,""))+(IF(Atletas!H25="Changquan Mirim",1,IF(Atletas!H25="Nanquan Mirim",2,IF(Atletas!H25="Taijiquan Mirim",3,IF(Atletas!H25="Changquan Grupo C",4,IF(Atletas!H25="Nanquan Grupo C",5,IF(Atletas!H25="Taijiquan Grupo C",6,IF(Atletas!H25="Changquan Grupo B",7,IF(Atletas!H25="Nanquan Grupo B",8,IF(Atletas!H25="Taijiquan Grupo B",9,IF(Atletas!H25="Changquan Grupo A",10,IF(Atletas!H25="Nanquan Grupo A",11,IF(Atletas!H25="Taijiquan Grupo A",12,IF(Atletas!H25="Changquan Opcional",13,IF(Atletas!H25="Nanquan Opcional",14,IF(Atletas!H25="Taijiquan Opcional",15,IF(Atletas!H25="Changquan Adulto",16,IF(Atletas!H25="Nanquan Adulto",17,IF(Atletas!H25="Taijiquan Adulto",18,""))))))))))))))))))))</f>
        <v/>
      </c>
      <c r="BG32" s="52" t="str">
        <f>IF(Atletas!I25="","",IF(Atletas!B25="Feminino",100,IF(Atletas!B25="Masculino",200,""))+(IF(Atletas!I25="Daoshu Mirim",19,IF(Atletas!I25="Jianshu Mirim",20,IF(Atletas!I25="Nandao Mirim",21,IF(Atletas!I25="Taijijian Mirim",22,IF(Atletas!I25="Daoshu Grupo C",23,IF(Atletas!I25="Jianshu Grupo C",24,IF(Atletas!I25="Nandao Grupo C",25,IF(Atletas!I25="Taijijian Grupo C",26,IF(Atletas!I25="Daoshu Grupo B",27,IF(Atletas!I25="Jianshu Grupo B",28,IF(Atletas!I25="Nandao Grupo B",29,IF(Atletas!I25="Taijijian Grupo B",30,IF(Atletas!I25="Daoshu Grupo A",31,IF(Atletas!I25="Jianshu Grupo A",32,IF(Atletas!I25="Nandao Grupo A",33,IF(Atletas!I25="Taijijian Grupo A",34,IF(Atletas!I25="Daoshu Opcional",35,IF(Atletas!I25="Jianshu Opcional",36,IF(Atletas!I25="Nandao Opcional",37,IF(Atletas!I25="Taijijian Opcional",38,IF(Atletas!I25="Daoshu Adulto",39,IF(Atletas!I25="Jianshu Adulto",40,IF(Atletas!I25="Nandao Adulto",41,IF(Atletas!I25="Taijijian Adulto",42,""))))))))))))))))))))))))))</f>
        <v/>
      </c>
      <c r="BH32" s="52" t="str">
        <f>IF(Atletas!J25="","",IF(Atletas!B25="Feminino",100,IF(Atletas!B25="Masculino",200,""))+(IF(Atletas!J25="Gunshu Mirim",43,IF(Atletas!J25="Qiangshu Mirim",44,IF(Atletas!J25="Nangun Mirim",45,IF(Atletas!J25="Gunshu Grupo C",46,IF(Atletas!J25="Qiangshu Grupo C",47,IF(Atletas!J25="Nangun Grupo C",48,IF(Atletas!J25="Gunshu Grupo B",49,IF(Atletas!J25="Qiangshu Grupo B",50,IF(Atletas!J25="Nangun Grupo B",51,IF(Atletas!J25="Gunshu Grupo A",52,IF(Atletas!J25="Qiangshu Grupo A",53,IF(Atletas!J25="Nangun Grupo A",54,IF(Atletas!J25="Gunshu Opcional",55,IF(Atletas!J25="Qiangshu Opcional",56,IF(Atletas!J25="Nangun Opcional",57,IF(Atletas!J25="Gunshu Adulto",58,IF(Atletas!J25="Qiangshu Adulto",59,IF(Atletas!J25="Nangun Adulto",60,IF(Atletas!J25="Taijishan Grupo B",61,IF(Atletas!J25="Taijishan Grupo A",62,""))))))))))))))))))))))</f>
        <v/>
      </c>
      <c r="BI32" s="6" t="str">
        <f>IF(BJ32&lt;&gt;"","Nandao Grupo B","")</f>
        <v/>
      </c>
      <c r="BJ32" s="50" t="str">
        <f>IF(COUNTIF(BF:BH,129)&gt;0,COUNTIF(BF:BH,129),"")</f>
        <v/>
      </c>
      <c r="BK32" s="6" t="str">
        <f>IF(BL32&lt;&gt;"","Nandao Grupo B","")</f>
        <v/>
      </c>
      <c r="BL32" s="50" t="str">
        <f>IF(COUNTIF(BF:BH,229)&gt;0,COUNTIF(BF:BH,229),"")</f>
        <v/>
      </c>
      <c r="BM32" s="50" t="str">
        <f>IF(Atletas!K25="","",IF(Atletas!B25="Feminino",100,IF(Atletas!B25="Masculino",200,""))+(IF(Atletas!K25="Equipe 1 Grupo B",1,IF(Atletas!K25="Equipe 2 Grupo B",2,IF(Atletas!K25="Equipe 1 Grupo A",3,IF(Atletas!K25="Equipe 2 Grupo A",4,IF(Atletas!K25="Equipe 1 Adulto",5,IF(Atletas!K25="Equipe 2 Adulto",6,""))))))))</f>
        <v/>
      </c>
      <c r="BR32" s="50" t="str">
        <f>IF(Atletas!L25="","",IF(Atletas!X25&lt;&gt;"",10000,0)+(IF(Atletas!B25="Feminino",1000,IF(Atletas!B25="Masculino",2000,""))+IF(Atletas!L25="Choylayfut A",1,IF(Atletas!L25="Hunggar A",2,IF(Atletas!L25="Wuzuquan A",3,IF(Atletas!L25="Wingchun A",4,IF(Atletas!L25="Outra Mão de Sul A",5,IF(Atletas!L25="Choylayfut B",6,IF(Atletas!L25="Hunggar B",7,IF(Atletas!L25="Wuzuquan B",8,IF(Atletas!L25="Wingchun B",9,IF(Atletas!L25="Outra Mão de Sul B",10,IF(Atletas!L25="Choylayfut C",11,IF(Atletas!L25="Hunggar C",12,IF(Atletas!L25="Wuzuquan C",13,IF(Atletas!L25="Wingchun C",14,IF(Atletas!L25="Outra Mão de Sul C",15,IF(Atletas!L25="Choylayfut D",16,IF(Atletas!L25="Hunggar D",17,IF(Atletas!L25="Wuzuquan D",18,IF(Atletas!L25="Wingchun D",19,IF(Atletas!L25="Outra Mão de Sul D",20,IF(Atletas!L25="Choylayfut E",21,IF(Atletas!L25="Hunggar E",22,IF(Atletas!L25="Wuzuquan E",23,IF(Atletas!L25="Wingchun E",24,IF(Atletas!L25="Outra Mão de Sul E",25,IF(Atletas!L25="Choylayfut F",26,IF(Atletas!L25="Hunggar F",27,IF(Atletas!L25="Wuzuquan F",28,IF(Atletas!L25="Wingchun F",29,IF(Atletas!L25="Outra Mão de Sul F",30,IF(Atletas!L25="Dishuquan A",31,IF(Atletas!L25="Dishuquan B",32,IF(Atletas!L25="Dishuquan C",33,IF(Atletas!L25="Dishuquan D",34,IF(Atletas!L25="Dishuquan E",35,IF(Atletas!L25="Dishuquan F",36,""))))))))))))))))))))))))))))))))))))))</f>
        <v/>
      </c>
      <c r="BS32" s="50" t="str">
        <f>IF(Atletas!M25="","",IF(Atletas!X25&lt;&gt;"",10000,0)+(IF(Atletas!B25="Feminino",1000,IF(Atletas!B25="Masculino",2000,""))+(IF(Atletas!M25="Chaquan A",101,IF(Atletas!M25="Emeiquan A",102,IF(Atletas!M25="Fanziquan A",103,IF(Atletas!M25="Huaquan A",104,IF(Atletas!M25="Hongquan A",105,IF(Atletas!M25="Paoquan A",106,IF(Atletas!M25="Piguaquan A",107,IF(Atletas!M25="Shaolinquan A",108,IF(Atletas!M25="Tanglangquan A",109,IF(Atletas!M25="Yingzhaoquan A",110,IF(Atletas!M25="Tongbeiquan A",111,IF(Atletas!M25="Wudangquan A",112,IF(Atletas!M25="Outros Estilos A",113,IF(Atletas!M25="Chaquan B",114,IF(Atletas!M25="Emeiquan B",115,IF(Atletas!M25="Fanziquan B",116,IF(Atletas!M25="Huaquan B",117,IF(Atletas!M25="Hongquan B",118,IF(Atletas!M25="Paoquan B",119,IF(Atletas!M25="Piguaquan B",120,IF(Atletas!M25="Shaolinquan B",121,IF(Atletas!M25="Tanglangquan B",122,IF(Atletas!M25="Yingzhaoquan B",123,IF(Atletas!M25="Tongbeiquan B",124,IF(Atletas!M25="Wudangquan B",125,IF(Atletas!M25="Outros Estilos B",126,IF(Atletas!M25="Chaquan C",127,IF(Atletas!M25="Emeiquan C",128,IF(Atletas!M25="Fanziquan C",129,IF(Atletas!M25="Huaquan C",130,IF(Atletas!M25="Hongquan C",131,IF(Atletas!M25="Paoquan C",132,IF(Atletas!M25="Piguaquan C",133,IF(Atletas!M25="Shaolinquan C",134,IF(Atletas!M25="Tanglangquan C",135,IF(Atletas!M25="Yingzhaoquan C",136,IF(Atletas!M25="Tongbeiquan C",137,IF(Atletas!M25="Wudangquan C",138,IF(Atletas!M25="Outros Estilos C",139,0))))))))))))))))))))))))))))))))))))))))))</f>
        <v/>
      </c>
      <c r="BT32" s="50" t="str">
        <f>IF(Atletas!M25="","",IF(Atletas!X25&lt;&gt;"",10000,0)+(IF(Atletas!B25="Feminino",1000,IF(Atletas!B25="Masculino",2000,""))+(IF(Atletas!M25="Chaquan D",140,IF(Atletas!M25="Emeiquan D",141,IF(Atletas!M25="Fanziquan D",142,IF(Atletas!M25="Huaquan D",143,IF(Atletas!M25="Hongquan D",144,IF(Atletas!M25="Paoquan D",145,IF(Atletas!M25="Piguaquan D",146,IF(Atletas!M25="Shaolinquan D",147,IF(Atletas!M25="Tanglangquan D",148,IF(Atletas!M25="Yingzhaoquan D",149,IF(Atletas!M25="Tongbeiquan D",150,IF(Atletas!M25="Wudangquan D",151,IF(Atletas!M25="Outros Estilos D",152,IF(Atletas!M25="Chaquan E",153,IF(Atletas!M25="Emeiquan E",154,IF(Atletas!M25="Fanziquan E",155,IF(Atletas!M25="Huaquan E",156,IF(Atletas!M25="Hongquan E",157,IF(Atletas!M25="Paoquan E",158,IF(Atletas!M25="Piguaquan E",159,IF(Atletas!M25="Shaolinquan E",160,IF(Atletas!M25="Tanglangquan E",161,IF(Atletas!M25="Yingzhaoquan E",162,IF(Atletas!M25="Tongbeiquan E",163,IF(Atletas!M25="Wudangquan E",164,IF(Atletas!M25="Outros Estilos E",165,IF(Atletas!M25="Chaquan F",166,IF(Atletas!M25="Emeiquan F",167,IF(Atletas!M25="Fanziquan F",168,IF(Atletas!M25="Huaquan F",169,IF(Atletas!M25="Hongquan F",170,IF(Atletas!M25="Paoquan F",171,IF(Atletas!M25="Piguaquan F",172,IF(Atletas!M25="Shaolinquan F",173,IF(Atletas!M25="Tanglangquan F",174,IF(Atletas!M25="Yingzhaoquan F",175,IF(Atletas!M25="Tongbeiquan F",176,IF(Atletas!M25="Wudangquan F",177,IF(Atletas!M25="Outros Estilos F",178,0))))))))))))))))))))))))))))))))))))))))))</f>
        <v/>
      </c>
      <c r="BU32" s="50" t="str">
        <f>IF(Atletas!N25="","",IF(Atletas!X25&lt;&gt;"",10000,0)+(IF(Atletas!B25="Feminino",1000,IF(Atletas!B25="Masculino",2000,""))+(IF(Atletas!N25="Ditangquan A",201,IF(Atletas!N25="Houquan A",202,IF(Atletas!N25="Zuiquan A",203,IF(Atletas!N25="Ditangquan B",204,IF(Atletas!N25="Houquan B",205,IF(Atletas!N25="Zuiquan B",206,IF(Atletas!N25="Ditangquan C",207,IF(Atletas!N25="Houquan C",208,IF(Atletas!N25="Zuiquan C",209,IF(Atletas!N25="Ditangquan D",210,IF(Atletas!N25="Houquan D",211,IF(Atletas!N25="Zuiquan D",212,IF(Atletas!N25="Ditangquan E",213,IF(Atletas!N25="Houquan E",214,IF(Atletas!N25="Zuiquan E",215,IF(Atletas!N25="Ditangquan F",216,IF(Atletas!N25="Houquan F",217,IF(Atletas!N25="Zuiquan F",218,"")))))))))))))))))))))</f>
        <v/>
      </c>
      <c r="BV32" s="50" t="str">
        <f>IF(Atletas!O25="","",IF(Atletas!X25&lt;&gt;"",10000,0)+IF(Atletas!B25="Feminino",1000,IF(Atletas!B25="Masculino",2000,""))+IF(Atletas!O25="Yang A",301,IF(Atletas!O25="Chen A",302,IF(Atletas!O25="Sun A",303,IF(Atletas!O25="Wu A",304,IF(Atletas!O25="Wu-Hao A",305,IF(Atletas!O25="Outro Taijiquan A",306,IF(Atletas!O25="Yang B",307,IF(Atletas!O25="Chen B",308,IF(Atletas!O25="Sun B",309,IF(Atletas!O25="Wu B",310,IF(Atletas!O25="Wu-Hao B",311,IF(Atletas!O25="Outro Taijiquan B",312,IF(Atletas!O25="Yang C",313,IF(Atletas!O25="Chen C",314,IF(Atletas!O25="Sun C",315,IF(Atletas!O25="Wu C",316,IF(Atletas!O25="Wu-Hao C",317,IF(Atletas!O25="Outro Taijiquan C",318,IF(Atletas!O25="Yang D",319,IF(Atletas!O25="Chen D",320,IF(Atletas!O25="Sun D",321,IF(Atletas!O25="Wu D",322,IF(Atletas!O25="Wu-Hao D",323,IF(Atletas!O25="Outro Taijiquan D",324,IF(Atletas!O25="Yang E",325,IF(Atletas!O25="Chen E",326,IF(Atletas!O25="Sun E",327,IF(Atletas!O25="Wu E",328,IF(Atletas!O25="Wu-Hao E",329,IF(Atletas!O25="Outro Taijiquan E",330,IF(Atletas!O25="Yang F",331,IF(Atletas!O25="Chen F",332,IF(Atletas!O25="Sun F",333,IF(Atletas!O25="Wu F",334,IF(Atletas!O25="Wu-Hao F",335,IF(Atletas!O25="Outro Taijiquan F",336,"")))))))))))))))))))))))))))))))))))))</f>
        <v/>
      </c>
      <c r="BW32" s="50" t="str">
        <f>IF(Atletas!P25="","",IF(Atletas!X25&lt;&gt;"",10000,0)+IF(Atletas!B25="Feminino",1000,IF(Atletas!B25="Masculino",2000,""))+IF(OR(Atletas!P25="Yang 26 A",Atletas!P25="Yang 40 A"),401,IF(OR(Atletas!P25="Chen 25 A",Atletas!P25="Chen 36 A",Atletas!P25="Chen 56 A"),402,IF(Atletas!P25="Sun 73 A",403,IF(Atletas!P25="Wu 45 A",404,IF(Atletas!P25="Wu-Hao 46 A",405,IF(OR(Atletas!P25="Taijiquan 16 A",Atletas!P25="Taijiquan 24 A",Atletas!P25="Taijiquan 32 A",Atletas!P25="Taijiquan 42 A"),406,IF(OR(Atletas!P25="Yang 26 B",Atletas!P25="Yang 40 B"),407,IF(OR(Atletas!P25="Chen 25 B",Atletas!P25="Chen 36 B",Atletas!P25="Chen 56 B"),408,IF(Atletas!P25="Sun 73 B",409,IF(Atletas!P25="Wu 45 B",410,IF(Atletas!P25="Wu-Hao 46 B",411,IF(OR(Atletas!P25="Taijiquan 16 B",Atletas!P25="Taijiquan 24 B",Atletas!P25="Taijiquan 32 B",Atletas!P25="Taijiquan 42 B"),412,IF(OR(Atletas!P25="Yang 26 C",Atletas!P25="Yang 40 C"),413,IF(OR(Atletas!P25="Chen 25 C",Atletas!P25="Chen 36 C",Atletas!P25="Chen 56 C"),414,IF(Atletas!P25="Sun 73 C",415,IF(Atletas!P25="Wu 45 C",416,IF(Atletas!P25="Wu-Hao 46 C",417,IF(OR(Atletas!P25="Taijiquan 16 C",Atletas!P25="Taijiquan 24 C",Atletas!P25="Taijiquan 32 C",Atletas!P25="Taijiquan 42 C"),418,0)))))))))))))))))))</f>
        <v/>
      </c>
      <c r="BX32" s="50" t="str">
        <f>IF(Atletas!P25="","",IF(Atletas!X25&lt;&gt;"",10000,0)+IF(Atletas!B25="Feminino",1000,IF(Atletas!B25="Masculino",2000,""))+IF(OR(Atletas!P25="Yang 26 D",Atletas!P25="Yang 40 D"),419,IF(OR(Atletas!P25="Chen 25 D",Atletas!P25="Chen 36 D",Atletas!P25="Chen 56 D"),420,IF(Atletas!P25="Sun 73 D",421,IF(Atletas!P25="Wu 45 D",422,IF(Atletas!P25="Wu-Hao 46 D",423,IF(OR(Atletas!P25="Taijiquan 16 D",Atletas!P25="Taijiquan 24 D",Atletas!P25="Taijiquan 32 D",Atletas!P25="Taijiquan 42 D"),424,IF(OR(Atletas!P25="Yang 26 E",Atletas!P25="Yang 40 E"),425,IF(OR(Atletas!P25="Chen 25 E",Atletas!P25="Chen 36 E",Atletas!P25="Chen 56 E"),426,IF(Atletas!P25="Sun 73 E",427,IF(Atletas!P25="Wu 45 E",428,IF(Atletas!P25="Wu-Hao 46 E",429,IF(OR(Atletas!P25="Taijiquan 16 E",Atletas!P25="Taijiquan 24 E",Atletas!P25="Taijiquan 32 E",Atletas!P25="Taijiquan 42 E"),430,IF(OR(Atletas!P25="Yang 26 F",Atletas!P25="Yang 40 F"),431,IF(OR(Atletas!P25="Chen 25 F",Atletas!P25="Chen 36 F",Atletas!P25="Chen 56 F"),432,IF(Atletas!P25="Sun 73 F",433,IF(Atletas!P25="Wu 45 F",434,IF(Atletas!P25="Wu-Hao 46 F",435,IF(OR(Atletas!P25="Taijiquan 16 F",Atletas!P25="Taijiquan 24 F",Atletas!P25="Taijiquan 32 F",Atletas!P25="Taijiquan 42 F"),436,0)))))))))))))))))))</f>
        <v/>
      </c>
      <c r="BY32" s="50" t="str">
        <f>IF(Atletas!Q25="","",IF(Atletas!X25&lt;&gt;"",10000,0)+IF(Atletas!B25="Feminino",1000,IF(Atletas!B25="Masculino",2000,""))+IF(Atletas!Q25="Xingyiquan A",501,IF(Atletas!Q25="Baguazhang A",502,IF(Atletas!Q25="Outro Estilo Interno A",503,IF(Atletas!Q25="Xingyiquan B",504,IF(Atletas!Q25="Baguazhang B",505,IF(Atletas!Q25="Outro Estilo Interno B",506,IF(Atletas!Q25="Xingyiquan C",507,IF(Atletas!Q25="Baguazhang C",508,IF(Atletas!Q25="Outro Estilo Interno C",509,IF(Atletas!Q25="Xingyiquan D",510,IF(Atletas!Q25="Baguazhang D",511,IF(Atletas!Q25="Outro Estilo Interno D",512,IF(Atletas!Q25="Xingyiquan E",513,IF(Atletas!Q25="Baguazhang E",514,IF(Atletas!Q25="Outro Estilo Interno E",515,IF(Atletas!Q25="Xingyiquan F",516,IF(Atletas!Q25="Baguazhang F",517,IF(Atletas!Q25="Outro Estilo Interno F",518, "")))))))))))))))))))</f>
        <v/>
      </c>
      <c r="BZ32" s="50" t="str">
        <f>IF(Atletas!R25="","",IF(Atletas!X25&lt;&gt;"",10000,0)+IF(Atletas!B25="Feminino",1000,IF(Atletas!B25="Masculino",2000,""))+IF(Atletas!R25="Dao A",601,IF(Atletas!R25="Jian A",602,IF(Atletas!R25="Bishou A",603,IF(Atletas!R25="Shanzi A",604,IF(Atletas!R25="Outra Arma Curta A",605,IF(Atletas!R25="Dao B",606,IF(Atletas!R25="Jian B",607,IF(Atletas!R25="Bishou B",608,IF(Atletas!R25="Shanzi B",609,IF(Atletas!R25="Outra Arma Curta B",610,IF(Atletas!R25="Dao C",611,IF(Atletas!R25="Jian C",612,IF(Atletas!R25="Bishou C",613,IF(Atletas!R25="Shanzi C",614,IF(Atletas!R25="Outra Arma Curta C",615,IF(Atletas!R25="Dao D",616,IF(Atletas!R25="Jian D",617,IF(Atletas!R25="Bishou D",618,IF(Atletas!R25="Shanzi D",619,IF(Atletas!R25="Outra Arma Curta D",620,IF(Atletas!R25="Dao E",621,IF(Atletas!R25="Jian E",622,IF(Atletas!R25="Bishou E",623,IF(Atletas!R25="Shanzi E",624,IF(Atletas!R25="Outra Arma Curta E",625,IF(Atletas!R25="Dao F",626,IF(Atletas!R25="Jian F",627,IF(Atletas!R25="Bishou F",628,IF(Atletas!R25="Shanzi F",629,IF(Atletas!R25="Outra Arma Curta F",630, "")))))))))))))))))))))))))))))))</f>
        <v/>
      </c>
      <c r="CA32" s="50" t="str">
        <f>IF(Atletas!S25="","",IF(Atletas!X25&lt;&gt;"",10000,0)+IF(Atletas!B25="Feminino",1000,IF(Atletas!B25="Masculino",2000,""))+IF(Atletas!S25="Gun A",701,IF(Atletas!S25="Qiang A",702,IF(Atletas!S25="Pudao / Guandao A",703,IF(Atletas!S25="Outra Arma Longa A",704,IF(Atletas!S25="Gun B",705,IF(Atletas!S25="Qiang B",706,IF(Atletas!S25="Pudao / Guandao B",707,IF(Atletas!S25="Outra Arma Longa B",708,IF(Atletas!S25="Gun C",709,IF(Atletas!S25="Qiang C",710,IF(Atletas!S25="Pudao / Guandao C",711,IF(Atletas!S25="Outra Arma Longa C",712,IF(Atletas!S25="Gun D",713,IF(Atletas!S25="Qiang D",714,IF(Atletas!S25="Pudao / Guandao D",715,IF(Atletas!S25="Outra Arma Longa D",716,IF(Atletas!S25="Gun E",717,IF(Atletas!S25="Qiang E",718,IF(Atletas!S25="Pudao / Guandao E",719,IF(Atletas!S25="Outra Arma Longa E",720,IF(Atletas!S25="Gun F",721,IF(Atletas!S25="Qiang F",722,IF(Atletas!S25="Pudao / Guandao F",723,IF(Atletas!S25="Outra Arma Longa F",724,"")))))))))))))))))))))))))</f>
        <v/>
      </c>
      <c r="CB32" s="50" t="str">
        <f>IF(Atletas!T25="","",IF(Atletas!X25&lt;&gt;"",10000,0)+IF(Atletas!B25="Feminino",1000,IF(Atletas!B25="Masculino",2000,""))+IF(Atletas!T25="Outra Arma Dupla A",801,IF(Atletas!T25="Arma Maleável A",802,IF(Atletas!T25="Outra Arma Dupla B",803,IF(Atletas!T25="Arma Maleável B",804,IF(Atletas!T25="Outra Arma Dupla C",805,IF(Atletas!T25="Arma Maleável C",806,IF(Atletas!T25="Outra Arma Dupla D",807,IF(Atletas!T25="Arma Maleável D",808,IF(Atletas!T25="Outra Arma Dupla E",809,IF(Atletas!T25="Arma Maleável E",810,IF(Atletas!T25="Outra Arma Dupla F",811,IF(Atletas!T25="Arma Maleável F",812,IF(Atletas!T25="Shuangdao A",813,IF(Atletas!T25="Shuangdao B",814,IF(Atletas!T25="Shuangdao C",815,IF(Atletas!T25="Shuangdao D",816,IF(Atletas!T25="Shuangdao E",817,IF(Atletas!T25="Shuangdao F",818,"")))))))))))))))))))</f>
        <v/>
      </c>
      <c r="CC32" s="50" t="str">
        <f>IF(Atletas!U25="","",IF(Atletas!X25&lt;&gt;"",10000,0)+IF(Atletas!B25="Feminino",1000,IF(Atletas!B25="Masculino",2000,""))+IF(OR(Atletas!U25="Taijijian Yang A",Atletas!U25="Taijijian Yang Standard A"),901,IF(OR(Atletas!U25="Taijijian Chen A", Atletas!U25="Taijijian Chen Standard A"),902,IF(Atletas!U25="Taijijian Sun A",903,IF(Atletas!U25="Taijijian Wu A",904,IF(Atletas!U25="Taijijian Wu-Hao A",905,IF(OR(Atletas!U25="Taijijian 32 A",Atletas!U25="Taijijian 42 A"),906,IF(OR(Atletas!U25="Taijijian Yang B",Atletas!U25="Taijijian Yang Standard B"),907,IF(OR(Atletas!U25="Taijijian Chen B", Atletas!U25="Taijijian Chen Standard B"),908,IF(Atletas!U25="Taijijian Sun B",909,IF(Atletas!U25="Taijijian Wu B",910,IF(Atletas!U25="Taijijian Wu-Hao B",911,IF(OR(Atletas!U25="Taijijian 32 B",Atletas!U25="Taijijian 42 B"),912,IF(OR(Atletas!U25="Taijijian Yang C",Atletas!U25="Taijijian Yang Standard C"),913,IF(OR(Atletas!U25="Taijijian Chen C", Atletas!U25="Taijijian Chen Standard C"),914,IF(Atletas!U25="Taijijian Sun C",915,IF(Atletas!U25="Taijijian Wu C",916,IF(Atletas!U25="Taijijian Wu-Hao C",917,IF(OR(Atletas!U25="Taijijian 32 C",Atletas!U25="Taijijian 42 C"),918,IF(OR(Atletas!U25="Taijijian Yang D",Atletas!U25="Taijijian Yang Standard D"),919,IF(OR(Atletas!U25="Taijijian Chen D", Atletas!U25="Taijijian Chen Standard D"),920,IF(Atletas!U25="Taijijian Sun D",921,IF(Atletas!U25="Taijijian Wu D",922,IF(Atletas!U25="Taijijian Wu-Hao D",923,IF(OR(Atletas!U25="Taijijian 32 D",Atletas!U25="Taijijian 42 D"),924,IF(OR(Atletas!U25="Taijijian Yang E",Atletas!U25="Taijijian Yang Standard E"),925,IF(OR(Atletas!U25="Taijijian Chen E", Atletas!U25="Taijijian Chen Standard E"),926,IF(Atletas!U25="Taijijian Sun E",927,IF(Atletas!U25="Taijijian Wu E",928,IF(Atletas!U25="Taijijian Wu-Hao E",929,IF(OR(Atletas!U25="Taijijian 32 E",Atletas!U25="Taijijian 42 E"),930,IF(OR(Atletas!U25="Taijijian Yang F",Atletas!U25="Taijijian Yang Standard F"),931,IF(OR(Atletas!U25="Taijijian Chen F", Atletas!U25="Taijijian Chen Standard F"),932,IF(Atletas!U25="Taijijian Sun F",933,IF(Atletas!U25="Taijijian Wu F",934,IF(Atletas!U25="Taijijian Wu-Hao F",935,IF(OR(Atletas!U25="Taijijian 32 F",Atletas!U25="Taijijian 42 F"),936,"")))))))))))))))))))))))))))))))))))))</f>
        <v/>
      </c>
      <c r="CD32" s="50" t="str">
        <f>IF(Atletas!V25="","",IF(Atletas!X25&lt;&gt;"",10000,0)+IF(Atletas!B25="Feminino",1000,IF(Atletas!B25="Masculino",2000,""))+IF(Atletas!V25="Taijidao A",937,IF(Atletas!V25="TaijiShanzi A",938,IF(Atletas!V25="Taijiqiang A",939,IF(Atletas!V25="Bagua de Arma A",940,IF(Atletas!V25="Xingyi de Arma A",941,IF(Atletas!V25="Taijidao B",942,IF(Atletas!V25="TaijiShanzi B",943,IF(Atletas!V25="Taijiqiang B",944,IF(Atletas!V25="Bagua de Arma B",945,IF(Atletas!V25="Xingyi de Arma B",946,IF(Atletas!V25="Taijidao C",947,IF(Atletas!V25="TaijiShanzi C",948,IF(Atletas!V25="Taijiqiang C",949,IF(Atletas!V25="Bagua de Arma C",950,IF(Atletas!V25="Xingyi de Arma C",951,IF(Atletas!V25="Taijidao D",952,IF(Atletas!V25="TaijiShanzi D",953,IF(Atletas!V25="Taijiqiang D",954,IF(Atletas!V25="Bagua de Arma D",955,IF(Atletas!V25="Xingyi de Arma D",956,IF(Atletas!V25="Taijidao E",957,IF(Atletas!V25="TaijiShanzi E",958,IF(Atletas!V25="Taijiqiang E",959,IF(Atletas!V25="Bagua de Arma E",960,IF(Atletas!V25="Xingyi de Arma E",961,IF(Atletas!V25="Taijidao F",962,IF(Atletas!V25="TaijiShanzi F",963,IF(Atletas!V25="Taijiqiang F",964,IF(Atletas!V25="Bagua de Arma F",965,IF(Atletas!V25="Xingyi de Arma F",966,"")))))))))))))))))))))))))))))))</f>
        <v/>
      </c>
      <c r="CE32" s="66" t="str">
        <f>IF(CF32&lt;&gt;"","Hunggar E","")</f>
        <v/>
      </c>
      <c r="CF32" s="66" t="str">
        <f>IF(COUNTIF(BR:CD,1022)&gt;0,COUNTIF(BR:CD,1022),"")</f>
        <v/>
      </c>
      <c r="CG32" s="66" t="str">
        <f>IF(CH32&lt;&gt;"","Hunggar E","")</f>
        <v/>
      </c>
      <c r="CH32" s="66" t="str">
        <f>IF(COUNTIF(BR:CD,2022)&gt;0,COUNTIF(BR:CD,2022),"")</f>
        <v/>
      </c>
      <c r="CI32" s="66" t="str">
        <f>IF(CJ32&lt;&gt;"","Choylayfut F","")</f>
        <v/>
      </c>
      <c r="CJ32" s="66" t="str">
        <f>IF(COUNTIF(BR:CD,11026)&gt;0,COUNTIF(BR:CD,11026),"")</f>
        <v/>
      </c>
      <c r="CK32" s="66" t="str">
        <f>IF(CL32&lt;&gt;"","Choylayfut F","")</f>
        <v/>
      </c>
      <c r="CL32" s="66" t="str">
        <f>IF(COUNTIF(BR:CD,12026)&gt;0,COUNTIF(BR:CD,12026),"")</f>
        <v/>
      </c>
      <c r="CM32" s="50" t="str">
        <f xml:space="preserve"> IF(Atletas!W25="","",IF(Atletas!W25="Duilian de Mãos BC - Equipe 1",1,IF(Atletas!W25="Duilian de Mãos BC - Equipe 2",2,IF(Atletas!W25="Duilian de Armas BC - Equipe 1",3,IF(Atletas!W25="Duilian de Armas BC - Equipe 2",4,IF(Atletas!W25="Duilian de Mãos DE - Equipe 1",5,IF(Atletas!W25="Duilian de Mãos DE - Equipe 2",6,IF(Atletas!W25="Duilian de Armas DE - Equipe 1",7,IF(Atletas!W25="Duilian de Armas DE - Equipe 2",8,IF(Atletas!W25="Duilian de Tuishou - Equipe 1",9,IF(Atletas!W25="Duilian de Tuishou - Equipe 2",10,IF(Atletas!W25="Grupo Externo ABC - Equipe 1",11,IF(Atletas!W25="Grupo Externo ABC - Equipe 2",12,IF(Atletas!W25="Grupo Interno ABC - Equipe 1",13,IF(Atletas!W25="Grupo Interno ABC - Equipe 2",14,IF(Atletas!W25="Grupo Externo DEF - Equipe 1",15,IF(Atletas!W25="Grupo Externo DEF - Equipe 2",16,IF(Atletas!W25="Grupo Interno DEF - Equipe 1",17,IF(Atletas!W25="Grupo Interno DEF - Equipe 2",18,"")))))))))))))))))))</f>
        <v/>
      </c>
      <c r="CY32" s="41"/>
    </row>
    <row r="33" spans="2:103">
      <c r="B33" s="3" t="str">
        <f t="array" ref="B33">IFERROR(INDEX(AO$7:AO$38,SMALL(IF(AO$7:AO$38&lt;&gt;"",ROW(AO$7:AO$38)-ROW(AO$7)+1),ROWS(AO$7:AO32))),"")</f>
        <v/>
      </c>
      <c r="C33" s="3" t="str">
        <f t="array" ref="C33">IFERROR(INDEX(AP$7:AP$38,SMALL(IF(AP$7:AP$38&lt;&gt;"",ROW(AP$7:AP$38)-ROW(AP$7)+1),ROWS(AP$7:AP32))),"")</f>
        <v/>
      </c>
      <c r="D33" s="3" t="str">
        <f t="array" ref="D33">IFERROR(INDEX(AQ$7:AQ$38,SMALL(IF(AQ$7:AQ$38&lt;&gt;"",ROW(AQ$7:AQ$38)-ROW(AQ$7)+1),ROWS(AQ$7:AQ32))),"")</f>
        <v/>
      </c>
      <c r="E33" s="3" t="str">
        <f t="array" ref="E33">IFERROR(INDEX(AR$7:AR$38,SMALL(IF(AR$7:AR$38&lt;&gt;"",ROW(AR$7:AR$38)-ROW(AR$7)+1),ROWS(AR$7:AR32))),"")</f>
        <v/>
      </c>
      <c r="F33" s="3" t="str">
        <f t="array" ref="F33">IFERROR(INDEX(AT$7:AT$36,SMALL(IF(AT$7:AT$36&lt;&gt;"",ROW(AT$7:AT$36)-ROW(AT$7)+1),ROWS(AT$7:AT32))),"")</f>
        <v/>
      </c>
      <c r="G33" s="3" t="str">
        <f t="array" ref="G33">IFERROR(INDEX(AU$7:AU$36,SMALL(IF(AU$7:AU$36&lt;&gt;"",ROW(AU$7:AU$36)-ROW(AU$7)+1),ROWS(AU$7:AU32))),"")</f>
        <v/>
      </c>
      <c r="H33" s="3" t="str">
        <f t="array" ref="H33">IFERROR(INDEX(AV$7:AV$36,SMALL(IF(AV$7:AV$36&lt;&gt;"",ROW(AV$7:AV$36)-ROW(AV$7)+1),ROWS(AV$7:AV32))),"")</f>
        <v/>
      </c>
      <c r="I33" s="3" t="str">
        <f t="array" ref="I33">IFERROR(INDEX(AW$7:AW$36,SMALL(IF(AW$7:AW$36&lt;&gt;"",ROW(AW$7:AW$36)-ROW(AW$7)+1),ROWS(AW$7:AW32))),"")</f>
        <v/>
      </c>
      <c r="J33" s="3" t="str">
        <f t="array" ref="J33">IFERROR(INDEX(AW$7:AW$36,SMALL(IF(AW$7:AW$36&lt;&gt;"",ROW(AW$7:AW$36)-ROW(AW$7)+1),ROWS(AW$7:AW32))),"")</f>
        <v/>
      </c>
      <c r="K33" s="3" t="str">
        <f t="array" ref="K33">IFERROR(INDEX(AZ$7:AZ$36,SMALL(IF(AZ$7:AZ$36&lt;&gt;"",ROW(AZ$7:AZ$36)-ROW(AZ$7)+1),ROWS(AZ$7:AZ32))),"")</f>
        <v/>
      </c>
      <c r="L33" s="3" t="str">
        <f t="array" ref="L33">IFERROR(INDEX(BA$7:BA$36,SMALL(IF(BA$7:BA$36&lt;&gt;"",ROW(BA$7:BA$36)-ROW(BA$7)+1),ROWS(BA$7:BA32))),"")</f>
        <v/>
      </c>
      <c r="M33" s="3" t="str">
        <f t="array" ref="M33">IFERROR(INDEX(BB$7:BB$36,SMALL(IF(BB$7:BB$36&lt;&gt;"",ROW(BB$7:BB$36)-ROW(BB$7)+1),ROWS(BB$7:BB32))),"")</f>
        <v/>
      </c>
      <c r="N33" s="3" t="str" cm="1">
        <f t="array" ref="N33">IFERROR(INDEX(BD$7:BD$8,SMALL(IF(BD$7:BD$8&lt;&gt;"",ROW(BD$7:BD$8)-ROW(BD$7)+1),ROWS(BD$7:BD32))),"")</f>
        <v/>
      </c>
      <c r="O33" s="3" t="str" cm="1">
        <f t="array" ref="O33">IFERROR(INDEX(BE$7:BE$8,SMALL(IF(BE$7:BE$8&lt;&gt;"",ROW(BE$7:BE$8)-ROW(BE$7)+1),ROWS(BE$7:BE32))),"")</f>
        <v/>
      </c>
      <c r="P33" s="3" t="str" cm="1">
        <f t="array" ref="P33">IFERROR(INDEX(BD$9:BD$10,SMALL(IF(BD$9:BD$10&lt;&gt;"",ROW(BD$9:BD$10)-ROW(BD$9)+1),ROWS(BD$9:BD34))),"")</f>
        <v/>
      </c>
      <c r="Q33" s="3" t="str">
        <f t="array" ref="Q33">IFERROR(INDEX(BH$7:BH$36,SMALL(IF(BH$7:BH$36&lt;&gt;"",ROW(BH$7:BH$36)-ROW(BH$7)+1),ROWS(BH$7:BH32))),"")</f>
        <v/>
      </c>
      <c r="R33" s="3" t="str">
        <f t="array" ref="R33">IFERROR(INDEX(BI$7:BI$68,SMALL(IF(BI$7:BI$68&lt;&gt;"",ROW(BI$7:BI$68)-ROW(BI$7)+1),ROWS(BI$7:BI32))),"")</f>
        <v/>
      </c>
      <c r="S33" s="3" t="str">
        <f t="array" ref="S33">IFERROR(INDEX(BJ$7:BJ$68,SMALL(IF(BJ$7:BJ$68&lt;&gt;"",ROW(BJ$7:BJ$68)-ROW(BJ$7)+1),ROWS(BJ$7:BJ32))),"")</f>
        <v/>
      </c>
      <c r="T33" s="3" t="str">
        <f t="array" ref="T33">IFERROR(INDEX(BK$7:BK$68,SMALL(IF(BK$7:BK$68&lt;&gt;"",ROW(BK$7:BK$68)-ROW(BK$7)+1),ROWS(BK$7:BK32))),"")</f>
        <v/>
      </c>
      <c r="U33" s="3" t="str">
        <f t="array" ref="U33">IFERROR(INDEX(BL$7:BL$68,SMALL(IF(BL$7:BL$68&lt;&gt;"",ROW(BL$7:BL$68)-ROW(BL$7)+1),ROWS(BL$7:BL32))),"")</f>
        <v/>
      </c>
      <c r="V33" s="3"/>
      <c r="W33" s="3"/>
      <c r="X33" s="3"/>
      <c r="Y33" s="3"/>
      <c r="Z33" s="3" t="str">
        <f t="array" ref="Z33">IFERROR(INDEX(CE$7:CE$348,SMALL(IF(CE$7:CE$348&lt;&gt;"",ROW(CE$7:CE$348)-ROW(CE$7)+1),ROWS(CE$7:CE32))),"")</f>
        <v/>
      </c>
      <c r="AA33" s="3" t="str">
        <f t="array" ref="AA33">IFERROR(INDEX(CF$7:CF$348,SMALL(IF(CF$7:CF$348&lt;&gt;"",ROW(CF$7:CF$348)-ROW(CF$7)+1),ROWS(CF$7:CF32))),"")</f>
        <v/>
      </c>
      <c r="AB33" s="3" t="str">
        <f t="array" ref="AB33">IFERROR(INDEX(CG$7:CG$348,SMALL(IF(CG$7:CG$348&lt;&gt;"",ROW(CG$7:CG$348)-ROW(CG$7)+1),ROWS(CG$7:CG32))),"")</f>
        <v/>
      </c>
      <c r="AC33" s="3" t="str">
        <f t="array" ref="AC33">IFERROR(INDEX(CH$7:CH$348,SMALL(IF(CH$7:CH$348&lt;&gt;"",ROW(CH$7:CH$348)-ROW(CH$7)+1),ROWS(CH$7:CH32))),"")</f>
        <v/>
      </c>
      <c r="AD33" s="3" t="str">
        <f t="array" ref="AD33">IFERROR(INDEX(CI$7:CI$377,SMALL(IF(CI$7:CI$377&lt;&gt;"",ROW(CI$7:CI$377)-ROW(CI$7)+1),ROWS(CI$7:CI32))),"")</f>
        <v/>
      </c>
      <c r="AE33" s="3" t="str">
        <f t="array" ref="AE33">IFERROR(INDEX(CJ$7:CJ$378,SMALL(IF(CJ$7:CJ$378&lt;&gt;"",ROW(CJ$7:CJ$378)-ROW(CJ$7)+1),ROWS(CJ$7:CJ32))),"")</f>
        <v/>
      </c>
      <c r="AF33" s="3" t="str">
        <f t="array" ref="AF33">IFERROR(INDEX(CK$7:CK$378,SMALL(IF(CK$7:CK$378&lt;&gt;"",ROW(CK$7:CK$378)-ROW(CK$7)+1),ROWS(CK$7:CK32))),"")</f>
        <v/>
      </c>
      <c r="AG33" s="3" t="str">
        <f t="array" ref="AG33">IFERROR(INDEX(CL$7:CL$378,SMALL(IF(CL$7:CL$378&lt;&gt;"",ROW(CL$7:CL$378)-ROW(CL$7)+1),ROWS(CL$7:CL32))),"")</f>
        <v/>
      </c>
      <c r="AH33" s="40" t="str">
        <f t="array" ref="AH33">IFERROR(INDEX(CN$7:CN$18,SMALL(IF(CN$7:CN$18&lt;&gt;"",ROW(CN$7:CN$18)-ROW(CN$7)+1),ROWS(CN$7:CN32))),"")</f>
        <v/>
      </c>
      <c r="AI33" s="40" t="str">
        <f t="array" ref="AI33">IFERROR(INDEX(CO$7:CO$18,SMALL(IF(CO$7:CO$18&lt;&gt;"",ROW(CO$7:CO$18)-ROW(CO$7)+1),ROWS(CO$7:CO32))),"")</f>
        <v/>
      </c>
      <c r="AJ33" s="40" t="str">
        <f t="array" ref="AJ33">IFERROR(INDEX(CP$7:CP$8,SMALL(IF(CP$7:CP$8&lt;&gt;"",ROW(CP$7:CP$8)-ROW(CP$7)+1),ROWS(CP$7:CP32))),"")</f>
        <v/>
      </c>
      <c r="AK33" s="40"/>
      <c r="AL33" s="40" t="str">
        <f t="array" ref="AL33">IFERROR(INDEX(CR$7:CR$14,SMALL(IF(CR$7:CR$14&lt;&gt;"",ROW(CR$7:CR$14)-ROW(CR$7)+1),ROWS(CR$7:CR32))),"")</f>
        <v/>
      </c>
      <c r="AM33" s="40"/>
      <c r="AN33" s="52" t="str">
        <f>IF(Atletas!D26="","",IF(Atletas!B26="Feminino",100,IF(Atletas!B26="Masculino",200,""))+(IF(Atletas!D26="Kids 30kg",1,IF(Atletas!D26="Kids 32kg",2, IF(Atletas!D26="Kids 34kg",3,IF(Atletas!D26="Kids 36kg",4,IF(Atletas!D26="Kids 39kg",5,IF(Atletas!D26="Kids 42kg",6,IF(Atletas!D26="Kids 45kg",7, IF(Atletas!D26="Infantil 39kg",8,IF(Atletas!D26="Infantil 42kg",9,IF(Atletas!D26="Infantil 45kg",10,IF(Atletas!D26="Infantil 48kg",11,IF(Atletas!D26="Infantil 52kg",12,IF(Atletas!D26="Infantil 56kg",13,IF(Atletas!D26="Infantil 60kg",14,IF(Atletas!D26="Juvenil 48kg",15,IF(Atletas!D26="Juvenil 52kg",16,IF(Atletas!D26="Juvenil 56kg",17,IF(Atletas!D26="Juvenil 60kg",18,IF(Atletas!D26="Juvenil 65kg",19,IF(Atletas!D26="Juvenil 70kg",20,IF(Atletas!D26="Juvenil 75kg",21,IF(Atletas!D26="Juvenil 80kg",22, IF(Atletas!D26="Juvenil 85kg",23,IF(Atletas!D26="Adulto 48kg",24,IF(Atletas!D26="Adulto 52kg",25,IF(Atletas!D26="Adulto 56kg",26,IF(Atletas!D26="Adulto 60kg",27,IF(Atletas!D26="Adulto 65kg",28,IF(Atletas!D26="Adulto 70kg",29,IF(Atletas!D26="Adulto 75kg",30,IF(Atletas!D26="Adulto 80kg",31,IF(Atletas!D26="Adulto 85kg",32,IF(Atletas!D26="Adulto 90kg",33,IF(Atletas!D26="Adulto 100kg",34, IF(Atletas!D26="Adulto +100kg",35,"")))))))))))))))))))))))))))))))))))))</f>
        <v/>
      </c>
      <c r="AO33" s="50"/>
      <c r="AQ33" s="50" t="str">
        <f>IF(AR33&lt;&gt;"","Adulto 60kg","")</f>
        <v/>
      </c>
      <c r="AR33" s="6" t="str">
        <f>IF(COUNTIF(AN:AN,227)&gt;0,COUNTIF(AN:AN,227),"")</f>
        <v/>
      </c>
      <c r="AS33" s="6" t="str">
        <f>IF(Atletas!E26="","",IF(Atletas!B26="Feminino",100,IF(Atletas!B26="Masculino",200,""))+(IF(Atletas!E26="Juvenil 44kg",1,IF(Atletas!E26="Juvenil 48kg",2,IF(Atletas!E26="Juvenil 52kg",3,IF(Atletas!E26="Juvenil 56kg",4,IF(Atletas!E26="Juvenil 60kg",5,IF(Atletas!E26="Juvenil 65kg",6,IF(Atletas!E26="Juvenil 70kg",7,IF(Atletas!E26="Juvenil 75kg",8,IF(Atletas!E26="Juvenil 82kg",9,IF(Atletas!E26="Juvenil 90kg",10,IF(Atletas!E26="Juvenil 100kg",11,IF(Atletas!E26="Adulto 48kg",12,IF(Atletas!E26="Adulto 52kg",13,IF(Atletas!E26="Adulto 56kg",14,IF(Atletas!E26="Adulto 60kg",15,IF(Atletas!E26="Adulto 65kg",16,IF(Atletas!E26="Adulto 70kg",17,IF(Atletas!E26="Adulto 75kg",18,IF(Atletas!E26="Adulto 82kg",19,IF(Atletas!E26="Adulto 90kg",20,IF(Atletas!E26="Adulto 100kg",21,IF(Atletas!E26="Adulto +100kg",22,""))))))))))))))))))))))))</f>
        <v/>
      </c>
      <c r="AX33" s="6" t="str">
        <f>IF(Atletas!F26="","",IF(Atletas!B26="Feminino",100,IF(Atletas!B26="Masculino",200,""))+(IF(Atletas!F26="Adulto 48kg",1,IF(Atletas!F26="Adulto 56kg",2,IF(Atletas!F26="Adulto 65kg",3,IF(Atletas!F26="Adulto 75kg",4,IF(Atletas!F26="Adulto +75kg",5,IF(Atletas!F26="Adulto 52kg",6,IF(Atletas!F26="Adulto 60kg",7,IF(Atletas!F26="Adulto 70kg",8,IF(Atletas!F26="Adulto 80kg",9,IF(Atletas!F26="Adulto 90kg",10,IF(Atletas!F26="Adulto +90kg",11,"")))))))))))))</f>
        <v/>
      </c>
      <c r="BC33" s="6" t="str">
        <f>IF(Atletas!G26="","",IF(Atletas!B26="Feminino",10,IF(Atletas!B26="Masculino",20,""))+(IF(Atletas!G26="Baduanjin A",1,IF(Atletas!G26="Baduanjin B",2))))</f>
        <v/>
      </c>
      <c r="BF33" s="52" t="str">
        <f>IF(Atletas!H26="","",IF(Atletas!B26="Feminino",100,IF(Atletas!B26="Masculino",200,""))+(IF(Atletas!H26="Changquan Mirim",1,IF(Atletas!H26="Nanquan Mirim",2,IF(Atletas!H26="Taijiquan Mirim",3,IF(Atletas!H26="Changquan Grupo C",4,IF(Atletas!H26="Nanquan Grupo C",5,IF(Atletas!H26="Taijiquan Grupo C",6,IF(Atletas!H26="Changquan Grupo B",7,IF(Atletas!H26="Nanquan Grupo B",8,IF(Atletas!H26="Taijiquan Grupo B",9,IF(Atletas!H26="Changquan Grupo A",10,IF(Atletas!H26="Nanquan Grupo A",11,IF(Atletas!H26="Taijiquan Grupo A",12,IF(Atletas!H26="Changquan Opcional",13,IF(Atletas!H26="Nanquan Opcional",14,IF(Atletas!H26="Taijiquan Opcional",15,IF(Atletas!H26="Changquan Adulto",16,IF(Atletas!H26="Nanquan Adulto",17,IF(Atletas!H26="Taijiquan Adulto",18,""))))))))))))))))))))</f>
        <v/>
      </c>
      <c r="BG33" s="52" t="str">
        <f>IF(Atletas!I26="","",IF(Atletas!B26="Feminino",100,IF(Atletas!B26="Masculino",200,""))+(IF(Atletas!I26="Daoshu Mirim",19,IF(Atletas!I26="Jianshu Mirim",20,IF(Atletas!I26="Nandao Mirim",21,IF(Atletas!I26="Taijijian Mirim",22,IF(Atletas!I26="Daoshu Grupo C",23,IF(Atletas!I26="Jianshu Grupo C",24,IF(Atletas!I26="Nandao Grupo C",25,IF(Atletas!I26="Taijijian Grupo C",26,IF(Atletas!I26="Daoshu Grupo B",27,IF(Atletas!I26="Jianshu Grupo B",28,IF(Atletas!I26="Nandao Grupo B",29,IF(Atletas!I26="Taijijian Grupo B",30,IF(Atletas!I26="Daoshu Grupo A",31,IF(Atletas!I26="Jianshu Grupo A",32,IF(Atletas!I26="Nandao Grupo A",33,IF(Atletas!I26="Taijijian Grupo A",34,IF(Atletas!I26="Daoshu Opcional",35,IF(Atletas!I26="Jianshu Opcional",36,IF(Atletas!I26="Nandao Opcional",37,IF(Atletas!I26="Taijijian Opcional",38,IF(Atletas!I26="Daoshu Adulto",39,IF(Atletas!I26="Jianshu Adulto",40,IF(Atletas!I26="Nandao Adulto",41,IF(Atletas!I26="Taijijian Adulto",42,""))))))))))))))))))))))))))</f>
        <v/>
      </c>
      <c r="BH33" s="52" t="str">
        <f>IF(Atletas!J26="","",IF(Atletas!B26="Feminino",100,IF(Atletas!B26="Masculino",200,""))+(IF(Atletas!J26="Gunshu Mirim",43,IF(Atletas!J26="Qiangshu Mirim",44,IF(Atletas!J26="Nangun Mirim",45,IF(Atletas!J26="Gunshu Grupo C",46,IF(Atletas!J26="Qiangshu Grupo C",47,IF(Atletas!J26="Nangun Grupo C",48,IF(Atletas!J26="Gunshu Grupo B",49,IF(Atletas!J26="Qiangshu Grupo B",50,IF(Atletas!J26="Nangun Grupo B",51,IF(Atletas!J26="Gunshu Grupo A",52,IF(Atletas!J26="Qiangshu Grupo A",53,IF(Atletas!J26="Nangun Grupo A",54,IF(Atletas!J26="Gunshu Opcional",55,IF(Atletas!J26="Qiangshu Opcional",56,IF(Atletas!J26="Nangun Opcional",57,IF(Atletas!J26="Gunshu Adulto",58,IF(Atletas!J26="Qiangshu Adulto",59,IF(Atletas!J26="Nangun Adulto",60,IF(Atletas!J26="Taijishan Grupo B",61,IF(Atletas!J26="Taijishan Grupo A",62,""))))))))))))))))))))))</f>
        <v/>
      </c>
      <c r="BI33" s="6" t="str">
        <f>IF(BJ33&lt;&gt;"","Taijijian Grupo B","")</f>
        <v/>
      </c>
      <c r="BJ33" s="50" t="str">
        <f>IF(COUNTIF(BF:BH,130)&gt;0,COUNTIF(BF:BH,130),"")</f>
        <v/>
      </c>
      <c r="BK33" s="6" t="str">
        <f>IF(BL33&lt;&gt;"","Taijijian Grupo B","")</f>
        <v/>
      </c>
      <c r="BL33" s="50" t="str">
        <f>IF(COUNTIF(BF:BH,230)&gt;0,COUNTIF(BF:BH,230),"")</f>
        <v/>
      </c>
      <c r="BM33" s="50" t="str">
        <f>IF(Atletas!K26="","",IF(Atletas!B26="Feminino",100,IF(Atletas!B26="Masculino",200,""))+(IF(Atletas!K26="Equipe 1 Grupo B",1,IF(Atletas!K26="Equipe 2 Grupo B",2,IF(Atletas!K26="Equipe 1 Grupo A",3,IF(Atletas!K26="Equipe 2 Grupo A",4,IF(Atletas!K26="Equipe 1 Adulto",5,IF(Atletas!K26="Equipe 2 Adulto",6,""))))))))</f>
        <v/>
      </c>
      <c r="BR33" s="50" t="str">
        <f>IF(Atletas!L26="","",IF(Atletas!X26&lt;&gt;"",10000,0)+(IF(Atletas!B26="Feminino",1000,IF(Atletas!B26="Masculino",2000,""))+IF(Atletas!L26="Choylayfut A",1,IF(Atletas!L26="Hunggar A",2,IF(Atletas!L26="Wuzuquan A",3,IF(Atletas!L26="Wingchun A",4,IF(Atletas!L26="Outra Mão de Sul A",5,IF(Atletas!L26="Choylayfut B",6,IF(Atletas!L26="Hunggar B",7,IF(Atletas!L26="Wuzuquan B",8,IF(Atletas!L26="Wingchun B",9,IF(Atletas!L26="Outra Mão de Sul B",10,IF(Atletas!L26="Choylayfut C",11,IF(Atletas!L26="Hunggar C",12,IF(Atletas!L26="Wuzuquan C",13,IF(Atletas!L26="Wingchun C",14,IF(Atletas!L26="Outra Mão de Sul C",15,IF(Atletas!L26="Choylayfut D",16,IF(Atletas!L26="Hunggar D",17,IF(Atletas!L26="Wuzuquan D",18,IF(Atletas!L26="Wingchun D",19,IF(Atletas!L26="Outra Mão de Sul D",20,IF(Atletas!L26="Choylayfut E",21,IF(Atletas!L26="Hunggar E",22,IF(Atletas!L26="Wuzuquan E",23,IF(Atletas!L26="Wingchun E",24,IF(Atletas!L26="Outra Mão de Sul E",25,IF(Atletas!L26="Choylayfut F",26,IF(Atletas!L26="Hunggar F",27,IF(Atletas!L26="Wuzuquan F",28,IF(Atletas!L26="Wingchun F",29,IF(Atletas!L26="Outra Mão de Sul F",30,IF(Atletas!L26="Dishuquan A",31,IF(Atletas!L26="Dishuquan B",32,IF(Atletas!L26="Dishuquan C",33,IF(Atletas!L26="Dishuquan D",34,IF(Atletas!L26="Dishuquan E",35,IF(Atletas!L26="Dishuquan F",36,""))))))))))))))))))))))))))))))))))))))</f>
        <v/>
      </c>
      <c r="BS33" s="50" t="str">
        <f>IF(Atletas!M26="","",IF(Atletas!X26&lt;&gt;"",10000,0)+(IF(Atletas!B26="Feminino",1000,IF(Atletas!B26="Masculino",2000,""))+(IF(Atletas!M26="Chaquan A",101,IF(Atletas!M26="Emeiquan A",102,IF(Atletas!M26="Fanziquan A",103,IF(Atletas!M26="Huaquan A",104,IF(Atletas!M26="Hongquan A",105,IF(Atletas!M26="Paoquan A",106,IF(Atletas!M26="Piguaquan A",107,IF(Atletas!M26="Shaolinquan A",108,IF(Atletas!M26="Tanglangquan A",109,IF(Atletas!M26="Yingzhaoquan A",110,IF(Atletas!M26="Tongbeiquan A",111,IF(Atletas!M26="Wudangquan A",112,IF(Atletas!M26="Outros Estilos A",113,IF(Atletas!M26="Chaquan B",114,IF(Atletas!M26="Emeiquan B",115,IF(Atletas!M26="Fanziquan B",116,IF(Atletas!M26="Huaquan B",117,IF(Atletas!M26="Hongquan B",118,IF(Atletas!M26="Paoquan B",119,IF(Atletas!M26="Piguaquan B",120,IF(Atletas!M26="Shaolinquan B",121,IF(Atletas!M26="Tanglangquan B",122,IF(Atletas!M26="Yingzhaoquan B",123,IF(Atletas!M26="Tongbeiquan B",124,IF(Atletas!M26="Wudangquan B",125,IF(Atletas!M26="Outros Estilos B",126,IF(Atletas!M26="Chaquan C",127,IF(Atletas!M26="Emeiquan C",128,IF(Atletas!M26="Fanziquan C",129,IF(Atletas!M26="Huaquan C",130,IF(Atletas!M26="Hongquan C",131,IF(Atletas!M26="Paoquan C",132,IF(Atletas!M26="Piguaquan C",133,IF(Atletas!M26="Shaolinquan C",134,IF(Atletas!M26="Tanglangquan C",135,IF(Atletas!M26="Yingzhaoquan C",136,IF(Atletas!M26="Tongbeiquan C",137,IF(Atletas!M26="Wudangquan C",138,IF(Atletas!M26="Outros Estilos C",139,0))))))))))))))))))))))))))))))))))))))))))</f>
        <v/>
      </c>
      <c r="BT33" s="50" t="str">
        <f>IF(Atletas!M26="","",IF(Atletas!X26&lt;&gt;"",10000,0)+(IF(Atletas!B26="Feminino",1000,IF(Atletas!B26="Masculino",2000,""))+(IF(Atletas!M26="Chaquan D",140,IF(Atletas!M26="Emeiquan D",141,IF(Atletas!M26="Fanziquan D",142,IF(Atletas!M26="Huaquan D",143,IF(Atletas!M26="Hongquan D",144,IF(Atletas!M26="Paoquan D",145,IF(Atletas!M26="Piguaquan D",146,IF(Atletas!M26="Shaolinquan D",147,IF(Atletas!M26="Tanglangquan D",148,IF(Atletas!M26="Yingzhaoquan D",149,IF(Atletas!M26="Tongbeiquan D",150,IF(Atletas!M26="Wudangquan D",151,IF(Atletas!M26="Outros Estilos D",152,IF(Atletas!M26="Chaquan E",153,IF(Atletas!M26="Emeiquan E",154,IF(Atletas!M26="Fanziquan E",155,IF(Atletas!M26="Huaquan E",156,IF(Atletas!M26="Hongquan E",157,IF(Atletas!M26="Paoquan E",158,IF(Atletas!M26="Piguaquan E",159,IF(Atletas!M26="Shaolinquan E",160,IF(Atletas!M26="Tanglangquan E",161,IF(Atletas!M26="Yingzhaoquan E",162,IF(Atletas!M26="Tongbeiquan E",163,IF(Atletas!M26="Wudangquan E",164,IF(Atletas!M26="Outros Estilos E",165,IF(Atletas!M26="Chaquan F",166,IF(Atletas!M26="Emeiquan F",167,IF(Atletas!M26="Fanziquan F",168,IF(Atletas!M26="Huaquan F",169,IF(Atletas!M26="Hongquan F",170,IF(Atletas!M26="Paoquan F",171,IF(Atletas!M26="Piguaquan F",172,IF(Atletas!M26="Shaolinquan F",173,IF(Atletas!M26="Tanglangquan F",174,IF(Atletas!M26="Yingzhaoquan F",175,IF(Atletas!M26="Tongbeiquan F",176,IF(Atletas!M26="Wudangquan F",177,IF(Atletas!M26="Outros Estilos F",178,0))))))))))))))))))))))))))))))))))))))))))</f>
        <v/>
      </c>
      <c r="BU33" s="50" t="str">
        <f>IF(Atletas!N26="","",IF(Atletas!X26&lt;&gt;"",10000,0)+(IF(Atletas!B26="Feminino",1000,IF(Atletas!B26="Masculino",2000,""))+(IF(Atletas!N26="Ditangquan A",201,IF(Atletas!N26="Houquan A",202,IF(Atletas!N26="Zuiquan A",203,IF(Atletas!N26="Ditangquan B",204,IF(Atletas!N26="Houquan B",205,IF(Atletas!N26="Zuiquan B",206,IF(Atletas!N26="Ditangquan C",207,IF(Atletas!N26="Houquan C",208,IF(Atletas!N26="Zuiquan C",209,IF(Atletas!N26="Ditangquan D",210,IF(Atletas!N26="Houquan D",211,IF(Atletas!N26="Zuiquan D",212,IF(Atletas!N26="Ditangquan E",213,IF(Atletas!N26="Houquan E",214,IF(Atletas!N26="Zuiquan E",215,IF(Atletas!N26="Ditangquan F",216,IF(Atletas!N26="Houquan F",217,IF(Atletas!N26="Zuiquan F",218,"")))))))))))))))))))))</f>
        <v/>
      </c>
      <c r="BV33" s="50" t="str">
        <f>IF(Atletas!O26="","",IF(Atletas!X26&lt;&gt;"",10000,0)+IF(Atletas!B26="Feminino",1000,IF(Atletas!B26="Masculino",2000,""))+IF(Atletas!O26="Yang A",301,IF(Atletas!O26="Chen A",302,IF(Atletas!O26="Sun A",303,IF(Atletas!O26="Wu A",304,IF(Atletas!O26="Wu-Hao A",305,IF(Atletas!O26="Outro Taijiquan A",306,IF(Atletas!O26="Yang B",307,IF(Atletas!O26="Chen B",308,IF(Atletas!O26="Sun B",309,IF(Atletas!O26="Wu B",310,IF(Atletas!O26="Wu-Hao B",311,IF(Atletas!O26="Outro Taijiquan B",312,IF(Atletas!O26="Yang C",313,IF(Atletas!O26="Chen C",314,IF(Atletas!O26="Sun C",315,IF(Atletas!O26="Wu C",316,IF(Atletas!O26="Wu-Hao C",317,IF(Atletas!O26="Outro Taijiquan C",318,IF(Atletas!O26="Yang D",319,IF(Atletas!O26="Chen D",320,IF(Atletas!O26="Sun D",321,IF(Atletas!O26="Wu D",322,IF(Atletas!O26="Wu-Hao D",323,IF(Atletas!O26="Outro Taijiquan D",324,IF(Atletas!O26="Yang E",325,IF(Atletas!O26="Chen E",326,IF(Atletas!O26="Sun E",327,IF(Atletas!O26="Wu E",328,IF(Atletas!O26="Wu-Hao E",329,IF(Atletas!O26="Outro Taijiquan E",330,IF(Atletas!O26="Yang F",331,IF(Atletas!O26="Chen F",332,IF(Atletas!O26="Sun F",333,IF(Atletas!O26="Wu F",334,IF(Atletas!O26="Wu-Hao F",335,IF(Atletas!O26="Outro Taijiquan F",336,"")))))))))))))))))))))))))))))))))))))</f>
        <v/>
      </c>
      <c r="BW33" s="50" t="str">
        <f>IF(Atletas!P26="","",IF(Atletas!X26&lt;&gt;"",10000,0)+IF(Atletas!B26="Feminino",1000,IF(Atletas!B26="Masculino",2000,""))+IF(OR(Atletas!P26="Yang 26 A",Atletas!P26="Yang 40 A"),401,IF(OR(Atletas!P26="Chen 25 A",Atletas!P26="Chen 36 A",Atletas!P26="Chen 56 A"),402,IF(Atletas!P26="Sun 73 A",403,IF(Atletas!P26="Wu 45 A",404,IF(Atletas!P26="Wu-Hao 46 A",405,IF(OR(Atletas!P26="Taijiquan 16 A",Atletas!P26="Taijiquan 24 A",Atletas!P26="Taijiquan 32 A",Atletas!P26="Taijiquan 42 A"),406,IF(OR(Atletas!P26="Yang 26 B",Atletas!P26="Yang 40 B"),407,IF(OR(Atletas!P26="Chen 25 B",Atletas!P26="Chen 36 B",Atletas!P26="Chen 56 B"),408,IF(Atletas!P26="Sun 73 B",409,IF(Atletas!P26="Wu 45 B",410,IF(Atletas!P26="Wu-Hao 46 B",411,IF(OR(Atletas!P26="Taijiquan 16 B",Atletas!P26="Taijiquan 24 B",Atletas!P26="Taijiquan 32 B",Atletas!P26="Taijiquan 42 B"),412,IF(OR(Atletas!P26="Yang 26 C",Atletas!P26="Yang 40 C"),413,IF(OR(Atletas!P26="Chen 25 C",Atletas!P26="Chen 36 C",Atletas!P26="Chen 56 C"),414,IF(Atletas!P26="Sun 73 C",415,IF(Atletas!P26="Wu 45 C",416,IF(Atletas!P26="Wu-Hao 46 C",417,IF(OR(Atletas!P26="Taijiquan 16 C",Atletas!P26="Taijiquan 24 C",Atletas!P26="Taijiquan 32 C",Atletas!P26="Taijiquan 42 C"),418,0)))))))))))))))))))</f>
        <v/>
      </c>
      <c r="BX33" s="50" t="str">
        <f>IF(Atletas!P26="","",IF(Atletas!X26&lt;&gt;"",10000,0)+IF(Atletas!B26="Feminino",1000,IF(Atletas!B26="Masculino",2000,""))+IF(OR(Atletas!P26="Yang 26 D",Atletas!P26="Yang 40 D"),419,IF(OR(Atletas!P26="Chen 25 D",Atletas!P26="Chen 36 D",Atletas!P26="Chen 56 D"),420,IF(Atletas!P26="Sun 73 D",421,IF(Atletas!P26="Wu 45 D",422,IF(Atletas!P26="Wu-Hao 46 D",423,IF(OR(Atletas!P26="Taijiquan 16 D",Atletas!P26="Taijiquan 24 D",Atletas!P26="Taijiquan 32 D",Atletas!P26="Taijiquan 42 D"),424,IF(OR(Atletas!P26="Yang 26 E",Atletas!P26="Yang 40 E"),425,IF(OR(Atletas!P26="Chen 25 E",Atletas!P26="Chen 36 E",Atletas!P26="Chen 56 E"),426,IF(Atletas!P26="Sun 73 E",427,IF(Atletas!P26="Wu 45 E",428,IF(Atletas!P26="Wu-Hao 46 E",429,IF(OR(Atletas!P26="Taijiquan 16 E",Atletas!P26="Taijiquan 24 E",Atletas!P26="Taijiquan 32 E",Atletas!P26="Taijiquan 42 E"),430,IF(OR(Atletas!P26="Yang 26 F",Atletas!P26="Yang 40 F"),431,IF(OR(Atletas!P26="Chen 25 F",Atletas!P26="Chen 36 F",Atletas!P26="Chen 56 F"),432,IF(Atletas!P26="Sun 73 F",433,IF(Atletas!P26="Wu 45 F",434,IF(Atletas!P26="Wu-Hao 46 F",435,IF(OR(Atletas!P26="Taijiquan 16 F",Atletas!P26="Taijiquan 24 F",Atletas!P26="Taijiquan 32 F",Atletas!P26="Taijiquan 42 F"),436,0)))))))))))))))))))</f>
        <v/>
      </c>
      <c r="BY33" s="50" t="str">
        <f>IF(Atletas!Q26="","",IF(Atletas!X26&lt;&gt;"",10000,0)+IF(Atletas!B26="Feminino",1000,IF(Atletas!B26="Masculino",2000,""))+IF(Atletas!Q26="Xingyiquan A",501,IF(Atletas!Q26="Baguazhang A",502,IF(Atletas!Q26="Outro Estilo Interno A",503,IF(Atletas!Q26="Xingyiquan B",504,IF(Atletas!Q26="Baguazhang B",505,IF(Atletas!Q26="Outro Estilo Interno B",506,IF(Atletas!Q26="Xingyiquan C",507,IF(Atletas!Q26="Baguazhang C",508,IF(Atletas!Q26="Outro Estilo Interno C",509,IF(Atletas!Q26="Xingyiquan D",510,IF(Atletas!Q26="Baguazhang D",511,IF(Atletas!Q26="Outro Estilo Interno D",512,IF(Atletas!Q26="Xingyiquan E",513,IF(Atletas!Q26="Baguazhang E",514,IF(Atletas!Q26="Outro Estilo Interno E",515,IF(Atletas!Q26="Xingyiquan F",516,IF(Atletas!Q26="Baguazhang F",517,IF(Atletas!Q26="Outro Estilo Interno F",518, "")))))))))))))))))))</f>
        <v/>
      </c>
      <c r="BZ33" s="50" t="str">
        <f>IF(Atletas!R26="","",IF(Atletas!X26&lt;&gt;"",10000,0)+IF(Atletas!B26="Feminino",1000,IF(Atletas!B26="Masculino",2000,""))+IF(Atletas!R26="Dao A",601,IF(Atletas!R26="Jian A",602,IF(Atletas!R26="Bishou A",603,IF(Atletas!R26="Shanzi A",604,IF(Atletas!R26="Outra Arma Curta A",605,IF(Atletas!R26="Dao B",606,IF(Atletas!R26="Jian B",607,IF(Atletas!R26="Bishou B",608,IF(Atletas!R26="Shanzi B",609,IF(Atletas!R26="Outra Arma Curta B",610,IF(Atletas!R26="Dao C",611,IF(Atletas!R26="Jian C",612,IF(Atletas!R26="Bishou C",613,IF(Atletas!R26="Shanzi C",614,IF(Atletas!R26="Outra Arma Curta C",615,IF(Atletas!R26="Dao D",616,IF(Atletas!R26="Jian D",617,IF(Atletas!R26="Bishou D",618,IF(Atletas!R26="Shanzi D",619,IF(Atletas!R26="Outra Arma Curta D",620,IF(Atletas!R26="Dao E",621,IF(Atletas!R26="Jian E",622,IF(Atletas!R26="Bishou E",623,IF(Atletas!R26="Shanzi E",624,IF(Atletas!R26="Outra Arma Curta E",625,IF(Atletas!R26="Dao F",626,IF(Atletas!R26="Jian F",627,IF(Atletas!R26="Bishou F",628,IF(Atletas!R26="Shanzi F",629,IF(Atletas!R26="Outra Arma Curta F",630, "")))))))))))))))))))))))))))))))</f>
        <v/>
      </c>
      <c r="CA33" s="50" t="str">
        <f>IF(Atletas!S26="","",IF(Atletas!X26&lt;&gt;"",10000,0)+IF(Atletas!B26="Feminino",1000,IF(Atletas!B26="Masculino",2000,""))+IF(Atletas!S26="Gun A",701,IF(Atletas!S26="Qiang A",702,IF(Atletas!S26="Pudao / Guandao A",703,IF(Atletas!S26="Outra Arma Longa A",704,IF(Atletas!S26="Gun B",705,IF(Atletas!S26="Qiang B",706,IF(Atletas!S26="Pudao / Guandao B",707,IF(Atletas!S26="Outra Arma Longa B",708,IF(Atletas!S26="Gun C",709,IF(Atletas!S26="Qiang C",710,IF(Atletas!S26="Pudao / Guandao C",711,IF(Atletas!S26="Outra Arma Longa C",712,IF(Atletas!S26="Gun D",713,IF(Atletas!S26="Qiang D",714,IF(Atletas!S26="Pudao / Guandao D",715,IF(Atletas!S26="Outra Arma Longa D",716,IF(Atletas!S26="Gun E",717,IF(Atletas!S26="Qiang E",718,IF(Atletas!S26="Pudao / Guandao E",719,IF(Atletas!S26="Outra Arma Longa E",720,IF(Atletas!S26="Gun F",721,IF(Atletas!S26="Qiang F",722,IF(Atletas!S26="Pudao / Guandao F",723,IF(Atletas!S26="Outra Arma Longa F",724,"")))))))))))))))))))))))))</f>
        <v/>
      </c>
      <c r="CB33" s="50" t="str">
        <f>IF(Atletas!T26="","",IF(Atletas!X26&lt;&gt;"",10000,0)+IF(Atletas!B26="Feminino",1000,IF(Atletas!B26="Masculino",2000,""))+IF(Atletas!T26="Outra Arma Dupla A",801,IF(Atletas!T26="Arma Maleável A",802,IF(Atletas!T26="Outra Arma Dupla B",803,IF(Atletas!T26="Arma Maleável B",804,IF(Atletas!T26="Outra Arma Dupla C",805,IF(Atletas!T26="Arma Maleável C",806,IF(Atletas!T26="Outra Arma Dupla D",807,IF(Atletas!T26="Arma Maleável D",808,IF(Atletas!T26="Outra Arma Dupla E",809,IF(Atletas!T26="Arma Maleável E",810,IF(Atletas!T26="Outra Arma Dupla F",811,IF(Atletas!T26="Arma Maleável F",812,IF(Atletas!T26="Shuangdao A",813,IF(Atletas!T26="Shuangdao B",814,IF(Atletas!T26="Shuangdao C",815,IF(Atletas!T26="Shuangdao D",816,IF(Atletas!T26="Shuangdao E",817,IF(Atletas!T26="Shuangdao F",818,"")))))))))))))))))))</f>
        <v/>
      </c>
      <c r="CC33" s="50" t="str">
        <f>IF(Atletas!U26="","",IF(Atletas!X26&lt;&gt;"",10000,0)+IF(Atletas!B26="Feminino",1000,IF(Atletas!B26="Masculino",2000,""))+IF(OR(Atletas!U26="Taijijian Yang A",Atletas!U26="Taijijian Yang Standard A"),901,IF(OR(Atletas!U26="Taijijian Chen A", Atletas!U26="Taijijian Chen Standard A"),902,IF(Atletas!U26="Taijijian Sun A",903,IF(Atletas!U26="Taijijian Wu A",904,IF(Atletas!U26="Taijijian Wu-Hao A",905,IF(OR(Atletas!U26="Taijijian 32 A",Atletas!U26="Taijijian 42 A"),906,IF(OR(Atletas!U26="Taijijian Yang B",Atletas!U26="Taijijian Yang Standard B"),907,IF(OR(Atletas!U26="Taijijian Chen B", Atletas!U26="Taijijian Chen Standard B"),908,IF(Atletas!U26="Taijijian Sun B",909,IF(Atletas!U26="Taijijian Wu B",910,IF(Atletas!U26="Taijijian Wu-Hao B",911,IF(OR(Atletas!U26="Taijijian 32 B",Atletas!U26="Taijijian 42 B"),912,IF(OR(Atletas!U26="Taijijian Yang C",Atletas!U26="Taijijian Yang Standard C"),913,IF(OR(Atletas!U26="Taijijian Chen C", Atletas!U26="Taijijian Chen Standard C"),914,IF(Atletas!U26="Taijijian Sun C",915,IF(Atletas!U26="Taijijian Wu C",916,IF(Atletas!U26="Taijijian Wu-Hao C",917,IF(OR(Atletas!U26="Taijijian 32 C",Atletas!U26="Taijijian 42 C"),918,IF(OR(Atletas!U26="Taijijian Yang D",Atletas!U26="Taijijian Yang Standard D"),919,IF(OR(Atletas!U26="Taijijian Chen D", Atletas!U26="Taijijian Chen Standard D"),920,IF(Atletas!U26="Taijijian Sun D",921,IF(Atletas!U26="Taijijian Wu D",922,IF(Atletas!U26="Taijijian Wu-Hao D",923,IF(OR(Atletas!U26="Taijijian 32 D",Atletas!U26="Taijijian 42 D"),924,IF(OR(Atletas!U26="Taijijian Yang E",Atletas!U26="Taijijian Yang Standard E"),925,IF(OR(Atletas!U26="Taijijian Chen E", Atletas!U26="Taijijian Chen Standard E"),926,IF(Atletas!U26="Taijijian Sun E",927,IF(Atletas!U26="Taijijian Wu E",928,IF(Atletas!U26="Taijijian Wu-Hao E",929,IF(OR(Atletas!U26="Taijijian 32 E",Atletas!U26="Taijijian 42 E"),930,IF(OR(Atletas!U26="Taijijian Yang F",Atletas!U26="Taijijian Yang Standard F"),931,IF(OR(Atletas!U26="Taijijian Chen F", Atletas!U26="Taijijian Chen Standard F"),932,IF(Atletas!U26="Taijijian Sun F",933,IF(Atletas!U26="Taijijian Wu F",934,IF(Atletas!U26="Taijijian Wu-Hao F",935,IF(OR(Atletas!U26="Taijijian 32 F",Atletas!U26="Taijijian 42 F"),936,"")))))))))))))))))))))))))))))))))))))</f>
        <v/>
      </c>
      <c r="CD33" s="50" t="str">
        <f>IF(Atletas!V26="","",IF(Atletas!X26&lt;&gt;"",10000,0)+IF(Atletas!B26="Feminino",1000,IF(Atletas!B26="Masculino",2000,""))+IF(Atletas!V26="Taijidao A",937,IF(Atletas!V26="TaijiShanzi A",938,IF(Atletas!V26="Taijiqiang A",939,IF(Atletas!V26="Bagua de Arma A",940,IF(Atletas!V26="Xingyi de Arma A",941,IF(Atletas!V26="Taijidao B",942,IF(Atletas!V26="TaijiShanzi B",943,IF(Atletas!V26="Taijiqiang B",944,IF(Atletas!V26="Bagua de Arma B",945,IF(Atletas!V26="Xingyi de Arma B",946,IF(Atletas!V26="Taijidao C",947,IF(Atletas!V26="TaijiShanzi C",948,IF(Atletas!V26="Taijiqiang C",949,IF(Atletas!V26="Bagua de Arma C",950,IF(Atletas!V26="Xingyi de Arma C",951,IF(Atletas!V26="Taijidao D",952,IF(Atletas!V26="TaijiShanzi D",953,IF(Atletas!V26="Taijiqiang D",954,IF(Atletas!V26="Bagua de Arma D",955,IF(Atletas!V26="Xingyi de Arma D",956,IF(Atletas!V26="Taijidao E",957,IF(Atletas!V26="TaijiShanzi E",958,IF(Atletas!V26="Taijiqiang E",959,IF(Atletas!V26="Bagua de Arma E",960,IF(Atletas!V26="Xingyi de Arma E",961,IF(Atletas!V26="Taijidao F",962,IF(Atletas!V26="TaijiShanzi F",963,IF(Atletas!V26="Taijiqiang F",964,IF(Atletas!V26="Bagua de Arma F",965,IF(Atletas!V26="Xingyi de Arma F",966,"")))))))))))))))))))))))))))))))</f>
        <v/>
      </c>
      <c r="CE33" s="66" t="str">
        <f>IF(CF33&lt;&gt;"","Dishuquan E","")</f>
        <v/>
      </c>
      <c r="CF33" s="66" t="str">
        <f>IF(COUNTIF(BR:CD,1035)&gt;0,COUNTIF(BR:CD,1035),"")</f>
        <v/>
      </c>
      <c r="CG33" s="66" t="str">
        <f>IF(CH33&lt;&gt;"","Dishuquan E","")</f>
        <v/>
      </c>
      <c r="CH33" s="66" t="str">
        <f>IF(COUNTIF(BR:CD,2035)&gt;0,COUNTIF(BR:CD,2035),"")</f>
        <v/>
      </c>
      <c r="CI33" s="66" t="str">
        <f>IF(CJ33&lt;&gt;"","Hunggar F","")</f>
        <v/>
      </c>
      <c r="CJ33" s="66" t="str">
        <f>IF(COUNTIF(BR:CD,11027)&gt;0,COUNTIF(BR:CD,11027),"")</f>
        <v/>
      </c>
      <c r="CK33" s="66" t="str">
        <f>IF(CL33&lt;&gt;"","Hunggar F","")</f>
        <v/>
      </c>
      <c r="CL33" s="66" t="str">
        <f>IF(COUNTIF(BR:CD,12027)&gt;0,COUNTIF(BR:CD,12027),"")</f>
        <v/>
      </c>
      <c r="CM33" s="50" t="str">
        <f xml:space="preserve"> IF(Atletas!W26="","",IF(Atletas!W26="Duilian de Mãos BC - Equipe 1",1,IF(Atletas!W26="Duilian de Mãos BC - Equipe 2",2,IF(Atletas!W26="Duilian de Armas BC - Equipe 1",3,IF(Atletas!W26="Duilian de Armas BC - Equipe 2",4,IF(Atletas!W26="Duilian de Mãos DE - Equipe 1",5,IF(Atletas!W26="Duilian de Mãos DE - Equipe 2",6,IF(Atletas!W26="Duilian de Armas DE - Equipe 1",7,IF(Atletas!W26="Duilian de Armas DE - Equipe 2",8,IF(Atletas!W26="Duilian de Tuishou - Equipe 1",9,IF(Atletas!W26="Duilian de Tuishou - Equipe 2",10,IF(Atletas!W26="Grupo Externo ABC - Equipe 1",11,IF(Atletas!W26="Grupo Externo ABC - Equipe 2",12,IF(Atletas!W26="Grupo Interno ABC - Equipe 1",13,IF(Atletas!W26="Grupo Interno ABC - Equipe 2",14,IF(Atletas!W26="Grupo Externo DEF - Equipe 1",15,IF(Atletas!W26="Grupo Externo DEF - Equipe 2",16,IF(Atletas!W26="Grupo Interno DEF - Equipe 1",17,IF(Atletas!W26="Grupo Interno DEF - Equipe 2",18,"")))))))))))))))))))</f>
        <v/>
      </c>
      <c r="CY33" s="41"/>
    </row>
    <row r="34" spans="2:103">
      <c r="B34" s="3" t="str">
        <f t="array" ref="B34">IFERROR(INDEX(AO$7:AO$38,SMALL(IF(AO$7:AO$38&lt;&gt;"",ROW(AO$7:AO$38)-ROW(AO$7)+1),ROWS(AO$7:AO33))),"")</f>
        <v/>
      </c>
      <c r="C34" s="3" t="str">
        <f t="array" ref="C34">IFERROR(INDEX(AP$7:AP$38,SMALL(IF(AP$7:AP$38&lt;&gt;"",ROW(AP$7:AP$38)-ROW(AP$7)+1),ROWS(AP$7:AP33))),"")</f>
        <v/>
      </c>
      <c r="D34" s="3" t="str">
        <f t="array" ref="D34">IFERROR(INDEX(AQ$7:AQ$38,SMALL(IF(AQ$7:AQ$38&lt;&gt;"",ROW(AQ$7:AQ$38)-ROW(AQ$7)+1),ROWS(AQ$7:AQ33))),"")</f>
        <v/>
      </c>
      <c r="E34" s="3" t="str">
        <f t="array" ref="E34">IFERROR(INDEX(AR$7:AR$38,SMALL(IF(AR$7:AR$38&lt;&gt;"",ROW(AR$7:AR$38)-ROW(AR$7)+1),ROWS(AR$7:AR33))),"")</f>
        <v/>
      </c>
      <c r="F34" s="3" t="str">
        <f t="array" ref="F34">IFERROR(INDEX(AT$7:AT$36,SMALL(IF(AT$7:AT$36&lt;&gt;"",ROW(AT$7:AT$36)-ROW(AT$7)+1),ROWS(AT$7:AT33))),"")</f>
        <v/>
      </c>
      <c r="G34" s="3" t="str">
        <f t="array" ref="G34">IFERROR(INDEX(AU$7:AU$36,SMALL(IF(AU$7:AU$36&lt;&gt;"",ROW(AU$7:AU$36)-ROW(AU$7)+1),ROWS(AU$7:AU33))),"")</f>
        <v/>
      </c>
      <c r="H34" s="3" t="str">
        <f t="array" ref="H34">IFERROR(INDEX(AV$7:AV$36,SMALL(IF(AV$7:AV$36&lt;&gt;"",ROW(AV$7:AV$36)-ROW(AV$7)+1),ROWS(AV$7:AV33))),"")</f>
        <v/>
      </c>
      <c r="I34" s="3" t="str">
        <f t="array" ref="I34">IFERROR(INDEX(AW$7:AW$36,SMALL(IF(AW$7:AW$36&lt;&gt;"",ROW(AW$7:AW$36)-ROW(AW$7)+1),ROWS(AW$7:AW33))),"")</f>
        <v/>
      </c>
      <c r="J34" s="3" t="str">
        <f t="array" ref="J34">IFERROR(INDEX(AW$7:AW$36,SMALL(IF(AW$7:AW$36&lt;&gt;"",ROW(AW$7:AW$36)-ROW(AW$7)+1),ROWS(AW$7:AW33))),"")</f>
        <v/>
      </c>
      <c r="K34" s="3" t="str">
        <f t="array" ref="K34">IFERROR(INDEX(AZ$7:AZ$36,SMALL(IF(AZ$7:AZ$36&lt;&gt;"",ROW(AZ$7:AZ$36)-ROW(AZ$7)+1),ROWS(AZ$7:AZ33))),"")</f>
        <v/>
      </c>
      <c r="L34" s="3" t="str">
        <f t="array" ref="L34">IFERROR(INDEX(BA$7:BA$36,SMALL(IF(BA$7:BA$36&lt;&gt;"",ROW(BA$7:BA$36)-ROW(BA$7)+1),ROWS(BA$7:BA33))),"")</f>
        <v/>
      </c>
      <c r="M34" s="3" t="str">
        <f t="array" ref="M34">IFERROR(INDEX(BB$7:BB$36,SMALL(IF(BB$7:BB$36&lt;&gt;"",ROW(BB$7:BB$36)-ROW(BB$7)+1),ROWS(BB$7:BB33))),"")</f>
        <v/>
      </c>
      <c r="N34" s="3" t="str" cm="1">
        <f t="array" ref="N34">IFERROR(INDEX(BD$7:BD$8,SMALL(IF(BD$7:BD$8&lt;&gt;"",ROW(BD$7:BD$8)-ROW(BD$7)+1),ROWS(BD$7:BD33))),"")</f>
        <v/>
      </c>
      <c r="O34" s="3" t="str" cm="1">
        <f t="array" ref="O34">IFERROR(INDEX(BE$7:BE$8,SMALL(IF(BE$7:BE$8&lt;&gt;"",ROW(BE$7:BE$8)-ROW(BE$7)+1),ROWS(BE$7:BE33))),"")</f>
        <v/>
      </c>
      <c r="P34" s="3" t="str" cm="1">
        <f t="array" ref="P34">IFERROR(INDEX(BD$9:BD$10,SMALL(IF(BD$9:BD$10&lt;&gt;"",ROW(BD$9:BD$10)-ROW(BD$9)+1),ROWS(BD$9:BD35))),"")</f>
        <v/>
      </c>
      <c r="Q34" s="3" t="str">
        <f t="array" ref="Q34">IFERROR(INDEX(BH$7:BH$36,SMALL(IF(BH$7:BH$36&lt;&gt;"",ROW(BH$7:BH$36)-ROW(BH$7)+1),ROWS(BH$7:BH33))),"")</f>
        <v/>
      </c>
      <c r="R34" s="3" t="str">
        <f t="array" ref="R34">IFERROR(INDEX(BI$7:BI$68,SMALL(IF(BI$7:BI$68&lt;&gt;"",ROW(BI$7:BI$68)-ROW(BI$7)+1),ROWS(BI$7:BI33))),"")</f>
        <v/>
      </c>
      <c r="S34" s="3" t="str">
        <f t="array" ref="S34">IFERROR(INDEX(BJ$7:BJ$68,SMALL(IF(BJ$7:BJ$68&lt;&gt;"",ROW(BJ$7:BJ$68)-ROW(BJ$7)+1),ROWS(BJ$7:BJ33))),"")</f>
        <v/>
      </c>
      <c r="T34" s="3" t="str">
        <f t="array" ref="T34">IFERROR(INDEX(BK$7:BK$68,SMALL(IF(BK$7:BK$68&lt;&gt;"",ROW(BK$7:BK$68)-ROW(BK$7)+1),ROWS(BK$7:BK33))),"")</f>
        <v/>
      </c>
      <c r="U34" s="3" t="str">
        <f t="array" ref="U34">IFERROR(INDEX(BL$7:BL$68,SMALL(IF(BL$7:BL$68&lt;&gt;"",ROW(BL$7:BL$68)-ROW(BL$7)+1),ROWS(BL$7:BL33))),"")</f>
        <v/>
      </c>
      <c r="V34" s="3"/>
      <c r="W34" s="3"/>
      <c r="X34" s="3"/>
      <c r="Y34" s="3"/>
      <c r="Z34" s="3" t="str">
        <f t="array" ref="Z34">IFERROR(INDEX(CE$7:CE$348,SMALL(IF(CE$7:CE$348&lt;&gt;"",ROW(CE$7:CE$348)-ROW(CE$7)+1),ROWS(CE$7:CE33))),"")</f>
        <v/>
      </c>
      <c r="AA34" s="3" t="str">
        <f t="array" ref="AA34">IFERROR(INDEX(CF$7:CF$348,SMALL(IF(CF$7:CF$348&lt;&gt;"",ROW(CF$7:CF$348)-ROW(CF$7)+1),ROWS(CF$7:CF33))),"")</f>
        <v/>
      </c>
      <c r="AB34" s="3" t="str">
        <f t="array" ref="AB34">IFERROR(INDEX(CG$7:CG$348,SMALL(IF(CG$7:CG$348&lt;&gt;"",ROW(CG$7:CG$348)-ROW(CG$7)+1),ROWS(CG$7:CG33))),"")</f>
        <v/>
      </c>
      <c r="AC34" s="3" t="str">
        <f t="array" ref="AC34">IFERROR(INDEX(CH$7:CH$348,SMALL(IF(CH$7:CH$348&lt;&gt;"",ROW(CH$7:CH$348)-ROW(CH$7)+1),ROWS(CH$7:CH33))),"")</f>
        <v/>
      </c>
      <c r="AD34" s="3" t="str">
        <f t="array" ref="AD34">IFERROR(INDEX(CI$7:CI$377,SMALL(IF(CI$7:CI$377&lt;&gt;"",ROW(CI$7:CI$377)-ROW(CI$7)+1),ROWS(CI$7:CI33))),"")</f>
        <v/>
      </c>
      <c r="AE34" s="3" t="str">
        <f t="array" ref="AE34">IFERROR(INDEX(CJ$7:CJ$378,SMALL(IF(CJ$7:CJ$378&lt;&gt;"",ROW(CJ$7:CJ$378)-ROW(CJ$7)+1),ROWS(CJ$7:CJ33))),"")</f>
        <v/>
      </c>
      <c r="AF34" s="3" t="str">
        <f t="array" ref="AF34">IFERROR(INDEX(CK$7:CK$378,SMALL(IF(CK$7:CK$378&lt;&gt;"",ROW(CK$7:CK$378)-ROW(CK$7)+1),ROWS(CK$7:CK33))),"")</f>
        <v/>
      </c>
      <c r="AG34" s="3" t="str">
        <f t="array" ref="AG34">IFERROR(INDEX(CL$7:CL$378,SMALL(IF(CL$7:CL$378&lt;&gt;"",ROW(CL$7:CL$378)-ROW(CL$7)+1),ROWS(CL$7:CL33))),"")</f>
        <v/>
      </c>
      <c r="AH34" s="40" t="str">
        <f t="array" ref="AH34">IFERROR(INDEX(CN$7:CN$18,SMALL(IF(CN$7:CN$18&lt;&gt;"",ROW(CN$7:CN$18)-ROW(CN$7)+1),ROWS(CN$7:CN33))),"")</f>
        <v/>
      </c>
      <c r="AI34" s="40" t="str">
        <f t="array" ref="AI34">IFERROR(INDEX(CO$7:CO$18,SMALL(IF(CO$7:CO$18&lt;&gt;"",ROW(CO$7:CO$18)-ROW(CO$7)+1),ROWS(CO$7:CO33))),"")</f>
        <v/>
      </c>
      <c r="AJ34" s="40" t="str">
        <f t="array" ref="AJ34">IFERROR(INDEX(CP$7:CP$8,SMALL(IF(CP$7:CP$8&lt;&gt;"",ROW(CP$7:CP$8)-ROW(CP$7)+1),ROWS(CP$7:CP33))),"")</f>
        <v/>
      </c>
      <c r="AK34" s="40"/>
      <c r="AL34" s="40" t="str">
        <f t="array" ref="AL34">IFERROR(INDEX(CR$7:CR$14,SMALL(IF(CR$7:CR$14&lt;&gt;"",ROW(CR$7:CR$14)-ROW(CR$7)+1),ROWS(CR$7:CR33))),"")</f>
        <v/>
      </c>
      <c r="AM34" s="40"/>
      <c r="AN34" s="52" t="str">
        <f>IF(Atletas!D27="","",IF(Atletas!B27="Feminino",100,IF(Atletas!B27="Masculino",200,""))+(IF(Atletas!D27="Kids 30kg",1,IF(Atletas!D27="Kids 32kg",2, IF(Atletas!D27="Kids 34kg",3,IF(Atletas!D27="Kids 36kg",4,IF(Atletas!D27="Kids 39kg",5,IF(Atletas!D27="Kids 42kg",6,IF(Atletas!D27="Kids 45kg",7, IF(Atletas!D27="Infantil 39kg",8,IF(Atletas!D27="Infantil 42kg",9,IF(Atletas!D27="Infantil 45kg",10,IF(Atletas!D27="Infantil 48kg",11,IF(Atletas!D27="Infantil 52kg",12,IF(Atletas!D27="Infantil 56kg",13,IF(Atletas!D27="Infantil 60kg",14,IF(Atletas!D27="Juvenil 48kg",15,IF(Atletas!D27="Juvenil 52kg",16,IF(Atletas!D27="Juvenil 56kg",17,IF(Atletas!D27="Juvenil 60kg",18,IF(Atletas!D27="Juvenil 65kg",19,IF(Atletas!D27="Juvenil 70kg",20,IF(Atletas!D27="Juvenil 75kg",21,IF(Atletas!D27="Juvenil 80kg",22, IF(Atletas!D27="Juvenil 85kg",23,IF(Atletas!D27="Adulto 48kg",24,IF(Atletas!D27="Adulto 52kg",25,IF(Atletas!D27="Adulto 56kg",26,IF(Atletas!D27="Adulto 60kg",27,IF(Atletas!D27="Adulto 65kg",28,IF(Atletas!D27="Adulto 70kg",29,IF(Atletas!D27="Adulto 75kg",30,IF(Atletas!D27="Adulto 80kg",31,IF(Atletas!D27="Adulto 85kg",32,IF(Atletas!D27="Adulto 90kg",33,IF(Atletas!D27="Adulto 100kg",34, IF(Atletas!D27="Adulto +100kg",35,"")))))))))))))))))))))))))))))))))))))</f>
        <v/>
      </c>
      <c r="AO34" s="50"/>
      <c r="AQ34" s="50" t="str">
        <f>IF(AR34&lt;&gt;"","Adulto 65kg","")</f>
        <v/>
      </c>
      <c r="AR34" s="6" t="str">
        <f>IF(COUNTIF(AN:AN,228)&gt;0,COUNTIF(AN:AN,228),"")</f>
        <v/>
      </c>
      <c r="AS34" s="6" t="str">
        <f>IF(Atletas!E27="","",IF(Atletas!B27="Feminino",100,IF(Atletas!B27="Masculino",200,""))+(IF(Atletas!E27="Juvenil 44kg",1,IF(Atletas!E27="Juvenil 48kg",2,IF(Atletas!E27="Juvenil 52kg",3,IF(Atletas!E27="Juvenil 56kg",4,IF(Atletas!E27="Juvenil 60kg",5,IF(Atletas!E27="Juvenil 65kg",6,IF(Atletas!E27="Juvenil 70kg",7,IF(Atletas!E27="Juvenil 75kg",8,IF(Atletas!E27="Juvenil 82kg",9,IF(Atletas!E27="Juvenil 90kg",10,IF(Atletas!E27="Juvenil 100kg",11,IF(Atletas!E27="Adulto 48kg",12,IF(Atletas!E27="Adulto 52kg",13,IF(Atletas!E27="Adulto 56kg",14,IF(Atletas!E27="Adulto 60kg",15,IF(Atletas!E27="Adulto 65kg",16,IF(Atletas!E27="Adulto 70kg",17,IF(Atletas!E27="Adulto 75kg",18,IF(Atletas!E27="Adulto 82kg",19,IF(Atletas!E27="Adulto 90kg",20,IF(Atletas!E27="Adulto 100kg",21,IF(Atletas!E27="Adulto +100kg",22,""))))))))))))))))))))))))</f>
        <v/>
      </c>
      <c r="AX34" s="6" t="str">
        <f>IF(Atletas!F27="","",IF(Atletas!B27="Feminino",100,IF(Atletas!B27="Masculino",200,""))+(IF(Atletas!F27="Adulto 48kg",1,IF(Atletas!F27="Adulto 56kg",2,IF(Atletas!F27="Adulto 65kg",3,IF(Atletas!F27="Adulto 75kg",4,IF(Atletas!F27="Adulto +75kg",5,IF(Atletas!F27="Adulto 52kg",6,IF(Atletas!F27="Adulto 60kg",7,IF(Atletas!F27="Adulto 70kg",8,IF(Atletas!F27="Adulto 80kg",9,IF(Atletas!F27="Adulto 90kg",10,IF(Atletas!F27="Adulto +90kg",11,"")))))))))))))</f>
        <v/>
      </c>
      <c r="BC34" s="6" t="str">
        <f>IF(Atletas!G27="","",IF(Atletas!B27="Feminino",10,IF(Atletas!B27="Masculino",20,""))+(IF(Atletas!G27="Baduanjin A",1,IF(Atletas!G27="Baduanjin B",2))))</f>
        <v/>
      </c>
      <c r="BF34" s="52" t="str">
        <f>IF(Atletas!H27="","",IF(Atletas!B27="Feminino",100,IF(Atletas!B27="Masculino",200,""))+(IF(Atletas!H27="Changquan Mirim",1,IF(Atletas!H27="Nanquan Mirim",2,IF(Atletas!H27="Taijiquan Mirim",3,IF(Atletas!H27="Changquan Grupo C",4,IF(Atletas!H27="Nanquan Grupo C",5,IF(Atletas!H27="Taijiquan Grupo C",6,IF(Atletas!H27="Changquan Grupo B",7,IF(Atletas!H27="Nanquan Grupo B",8,IF(Atletas!H27="Taijiquan Grupo B",9,IF(Atletas!H27="Changquan Grupo A",10,IF(Atletas!H27="Nanquan Grupo A",11,IF(Atletas!H27="Taijiquan Grupo A",12,IF(Atletas!H27="Changquan Opcional",13,IF(Atletas!H27="Nanquan Opcional",14,IF(Atletas!H27="Taijiquan Opcional",15,IF(Atletas!H27="Changquan Adulto",16,IF(Atletas!H27="Nanquan Adulto",17,IF(Atletas!H27="Taijiquan Adulto",18,""))))))))))))))))))))</f>
        <v/>
      </c>
      <c r="BG34" s="52" t="str">
        <f>IF(Atletas!I27="","",IF(Atletas!B27="Feminino",100,IF(Atletas!B27="Masculino",200,""))+(IF(Atletas!I27="Daoshu Mirim",19,IF(Atletas!I27="Jianshu Mirim",20,IF(Atletas!I27="Nandao Mirim",21,IF(Atletas!I27="Taijijian Mirim",22,IF(Atletas!I27="Daoshu Grupo C",23,IF(Atletas!I27="Jianshu Grupo C",24,IF(Atletas!I27="Nandao Grupo C",25,IF(Atletas!I27="Taijijian Grupo C",26,IF(Atletas!I27="Daoshu Grupo B",27,IF(Atletas!I27="Jianshu Grupo B",28,IF(Atletas!I27="Nandao Grupo B",29,IF(Atletas!I27="Taijijian Grupo B",30,IF(Atletas!I27="Daoshu Grupo A",31,IF(Atletas!I27="Jianshu Grupo A",32,IF(Atletas!I27="Nandao Grupo A",33,IF(Atletas!I27="Taijijian Grupo A",34,IF(Atletas!I27="Daoshu Opcional",35,IF(Atletas!I27="Jianshu Opcional",36,IF(Atletas!I27="Nandao Opcional",37,IF(Atletas!I27="Taijijian Opcional",38,IF(Atletas!I27="Daoshu Adulto",39,IF(Atletas!I27="Jianshu Adulto",40,IF(Atletas!I27="Nandao Adulto",41,IF(Atletas!I27="Taijijian Adulto",42,""))))))))))))))))))))))))))</f>
        <v/>
      </c>
      <c r="BH34" s="52" t="str">
        <f>IF(Atletas!J27="","",IF(Atletas!B27="Feminino",100,IF(Atletas!B27="Masculino",200,""))+(IF(Atletas!J27="Gunshu Mirim",43,IF(Atletas!J27="Qiangshu Mirim",44,IF(Atletas!J27="Nangun Mirim",45,IF(Atletas!J27="Gunshu Grupo C",46,IF(Atletas!J27="Qiangshu Grupo C",47,IF(Atletas!J27="Nangun Grupo C",48,IF(Atletas!J27="Gunshu Grupo B",49,IF(Atletas!J27="Qiangshu Grupo B",50,IF(Atletas!J27="Nangun Grupo B",51,IF(Atletas!J27="Gunshu Grupo A",52,IF(Atletas!J27="Qiangshu Grupo A",53,IF(Atletas!J27="Nangun Grupo A",54,IF(Atletas!J27="Gunshu Opcional",55,IF(Atletas!J27="Qiangshu Opcional",56,IF(Atletas!J27="Nangun Opcional",57,IF(Atletas!J27="Gunshu Adulto",58,IF(Atletas!J27="Qiangshu Adulto",59,IF(Atletas!J27="Nangun Adulto",60,IF(Atletas!J27="Taijishan Grupo B",61,IF(Atletas!J27="Taijishan Grupo A",62,""))))))))))))))))))))))</f>
        <v/>
      </c>
      <c r="BI34" s="6" t="str">
        <f>IF(BJ34&lt;&gt;"","Gunshu Grupo B","")</f>
        <v/>
      </c>
      <c r="BJ34" s="50" t="str">
        <f>IF(COUNTIF(BF:BH,149)&gt;0,COUNTIF(BF:BH,149),"")</f>
        <v/>
      </c>
      <c r="BK34" s="6" t="str">
        <f>IF(BL34&lt;&gt;"","Gunshu Grupo B","")</f>
        <v/>
      </c>
      <c r="BL34" s="50" t="str">
        <f>IF(COUNTIF(BF:BH,249)&gt;0,COUNTIF(BF:BH,249),"")</f>
        <v/>
      </c>
      <c r="BM34" s="50" t="str">
        <f>IF(Atletas!K27="","",IF(Atletas!B27="Feminino",100,IF(Atletas!B27="Masculino",200,""))+(IF(Atletas!K27="Equipe 1 Grupo B",1,IF(Atletas!K27="Equipe 2 Grupo B",2,IF(Atletas!K27="Equipe 1 Grupo A",3,IF(Atletas!K27="Equipe 2 Grupo A",4,IF(Atletas!K27="Equipe 1 Adulto",5,IF(Atletas!K27="Equipe 2 Adulto",6,""))))))))</f>
        <v/>
      </c>
      <c r="BR34" s="50" t="str">
        <f>IF(Atletas!L27="","",IF(Atletas!X27&lt;&gt;"",10000,0)+(IF(Atletas!B27="Feminino",1000,IF(Atletas!B27="Masculino",2000,""))+IF(Atletas!L27="Choylayfut A",1,IF(Atletas!L27="Hunggar A",2,IF(Atletas!L27="Wuzuquan A",3,IF(Atletas!L27="Wingchun A",4,IF(Atletas!L27="Outra Mão de Sul A",5,IF(Atletas!L27="Choylayfut B",6,IF(Atletas!L27="Hunggar B",7,IF(Atletas!L27="Wuzuquan B",8,IF(Atletas!L27="Wingchun B",9,IF(Atletas!L27="Outra Mão de Sul B",10,IF(Atletas!L27="Choylayfut C",11,IF(Atletas!L27="Hunggar C",12,IF(Atletas!L27="Wuzuquan C",13,IF(Atletas!L27="Wingchun C",14,IF(Atletas!L27="Outra Mão de Sul C",15,IF(Atletas!L27="Choylayfut D",16,IF(Atletas!L27="Hunggar D",17,IF(Atletas!L27="Wuzuquan D",18,IF(Atletas!L27="Wingchun D",19,IF(Atletas!L27="Outra Mão de Sul D",20,IF(Atletas!L27="Choylayfut E",21,IF(Atletas!L27="Hunggar E",22,IF(Atletas!L27="Wuzuquan E",23,IF(Atletas!L27="Wingchun E",24,IF(Atletas!L27="Outra Mão de Sul E",25,IF(Atletas!L27="Choylayfut F",26,IF(Atletas!L27="Hunggar F",27,IF(Atletas!L27="Wuzuquan F",28,IF(Atletas!L27="Wingchun F",29,IF(Atletas!L27="Outra Mão de Sul F",30,IF(Atletas!L27="Dishuquan A",31,IF(Atletas!L27="Dishuquan B",32,IF(Atletas!L27="Dishuquan C",33,IF(Atletas!L27="Dishuquan D",34,IF(Atletas!L27="Dishuquan E",35,IF(Atletas!L27="Dishuquan F",36,""))))))))))))))))))))))))))))))))))))))</f>
        <v/>
      </c>
      <c r="BS34" s="50" t="str">
        <f>IF(Atletas!M27="","",IF(Atletas!X27&lt;&gt;"",10000,0)+(IF(Atletas!B27="Feminino",1000,IF(Atletas!B27="Masculino",2000,""))+(IF(Atletas!M27="Chaquan A",101,IF(Atletas!M27="Emeiquan A",102,IF(Atletas!M27="Fanziquan A",103,IF(Atletas!M27="Huaquan A",104,IF(Atletas!M27="Hongquan A",105,IF(Atletas!M27="Paoquan A",106,IF(Atletas!M27="Piguaquan A",107,IF(Atletas!M27="Shaolinquan A",108,IF(Atletas!M27="Tanglangquan A",109,IF(Atletas!M27="Yingzhaoquan A",110,IF(Atletas!M27="Tongbeiquan A",111,IF(Atletas!M27="Wudangquan A",112,IF(Atletas!M27="Outros Estilos A",113,IF(Atletas!M27="Chaquan B",114,IF(Atletas!M27="Emeiquan B",115,IF(Atletas!M27="Fanziquan B",116,IF(Atletas!M27="Huaquan B",117,IF(Atletas!M27="Hongquan B",118,IF(Atletas!M27="Paoquan B",119,IF(Atletas!M27="Piguaquan B",120,IF(Atletas!M27="Shaolinquan B",121,IF(Atletas!M27="Tanglangquan B",122,IF(Atletas!M27="Yingzhaoquan B",123,IF(Atletas!M27="Tongbeiquan B",124,IF(Atletas!M27="Wudangquan B",125,IF(Atletas!M27="Outros Estilos B",126,IF(Atletas!M27="Chaquan C",127,IF(Atletas!M27="Emeiquan C",128,IF(Atletas!M27="Fanziquan C",129,IF(Atletas!M27="Huaquan C",130,IF(Atletas!M27="Hongquan C",131,IF(Atletas!M27="Paoquan C",132,IF(Atletas!M27="Piguaquan C",133,IF(Atletas!M27="Shaolinquan C",134,IF(Atletas!M27="Tanglangquan C",135,IF(Atletas!M27="Yingzhaoquan C",136,IF(Atletas!M27="Tongbeiquan C",137,IF(Atletas!M27="Wudangquan C",138,IF(Atletas!M27="Outros Estilos C",139,0))))))))))))))))))))))))))))))))))))))))))</f>
        <v/>
      </c>
      <c r="BT34" s="50" t="str">
        <f>IF(Atletas!M27="","",IF(Atletas!X27&lt;&gt;"",10000,0)+(IF(Atletas!B27="Feminino",1000,IF(Atletas!B27="Masculino",2000,""))+(IF(Atletas!M27="Chaquan D",140,IF(Atletas!M27="Emeiquan D",141,IF(Atletas!M27="Fanziquan D",142,IF(Atletas!M27="Huaquan D",143,IF(Atletas!M27="Hongquan D",144,IF(Atletas!M27="Paoquan D",145,IF(Atletas!M27="Piguaquan D",146,IF(Atletas!M27="Shaolinquan D",147,IF(Atletas!M27="Tanglangquan D",148,IF(Atletas!M27="Yingzhaoquan D",149,IF(Atletas!M27="Tongbeiquan D",150,IF(Atletas!M27="Wudangquan D",151,IF(Atletas!M27="Outros Estilos D",152,IF(Atletas!M27="Chaquan E",153,IF(Atletas!M27="Emeiquan E",154,IF(Atletas!M27="Fanziquan E",155,IF(Atletas!M27="Huaquan E",156,IF(Atletas!M27="Hongquan E",157,IF(Atletas!M27="Paoquan E",158,IF(Atletas!M27="Piguaquan E",159,IF(Atletas!M27="Shaolinquan E",160,IF(Atletas!M27="Tanglangquan E",161,IF(Atletas!M27="Yingzhaoquan E",162,IF(Atletas!M27="Tongbeiquan E",163,IF(Atletas!M27="Wudangquan E",164,IF(Atletas!M27="Outros Estilos E",165,IF(Atletas!M27="Chaquan F",166,IF(Atletas!M27="Emeiquan F",167,IF(Atletas!M27="Fanziquan F",168,IF(Atletas!M27="Huaquan F",169,IF(Atletas!M27="Hongquan F",170,IF(Atletas!M27="Paoquan F",171,IF(Atletas!M27="Piguaquan F",172,IF(Atletas!M27="Shaolinquan F",173,IF(Atletas!M27="Tanglangquan F",174,IF(Atletas!M27="Yingzhaoquan F",175,IF(Atletas!M27="Tongbeiquan F",176,IF(Atletas!M27="Wudangquan F",177,IF(Atletas!M27="Outros Estilos F",178,0))))))))))))))))))))))))))))))))))))))))))</f>
        <v/>
      </c>
      <c r="BU34" s="50" t="str">
        <f>IF(Atletas!N27="","",IF(Atletas!X27&lt;&gt;"",10000,0)+(IF(Atletas!B27="Feminino",1000,IF(Atletas!B27="Masculino",2000,""))+(IF(Atletas!N27="Ditangquan A",201,IF(Atletas!N27="Houquan A",202,IF(Atletas!N27="Zuiquan A",203,IF(Atletas!N27="Ditangquan B",204,IF(Atletas!N27="Houquan B",205,IF(Atletas!N27="Zuiquan B",206,IF(Atletas!N27="Ditangquan C",207,IF(Atletas!N27="Houquan C",208,IF(Atletas!N27="Zuiquan C",209,IF(Atletas!N27="Ditangquan D",210,IF(Atletas!N27="Houquan D",211,IF(Atletas!N27="Zuiquan D",212,IF(Atletas!N27="Ditangquan E",213,IF(Atletas!N27="Houquan E",214,IF(Atletas!N27="Zuiquan E",215,IF(Atletas!N27="Ditangquan F",216,IF(Atletas!N27="Houquan F",217,IF(Atletas!N27="Zuiquan F",218,"")))))))))))))))))))))</f>
        <v/>
      </c>
      <c r="BV34" s="50" t="str">
        <f>IF(Atletas!O27="","",IF(Atletas!X27&lt;&gt;"",10000,0)+IF(Atletas!B27="Feminino",1000,IF(Atletas!B27="Masculino",2000,""))+IF(Atletas!O27="Yang A",301,IF(Atletas!O27="Chen A",302,IF(Atletas!O27="Sun A",303,IF(Atletas!O27="Wu A",304,IF(Atletas!O27="Wu-Hao A",305,IF(Atletas!O27="Outro Taijiquan A",306,IF(Atletas!O27="Yang B",307,IF(Atletas!O27="Chen B",308,IF(Atletas!O27="Sun B",309,IF(Atletas!O27="Wu B",310,IF(Atletas!O27="Wu-Hao B",311,IF(Atletas!O27="Outro Taijiquan B",312,IF(Atletas!O27="Yang C",313,IF(Atletas!O27="Chen C",314,IF(Atletas!O27="Sun C",315,IF(Atletas!O27="Wu C",316,IF(Atletas!O27="Wu-Hao C",317,IF(Atletas!O27="Outro Taijiquan C",318,IF(Atletas!O27="Yang D",319,IF(Atletas!O27="Chen D",320,IF(Atletas!O27="Sun D",321,IF(Atletas!O27="Wu D",322,IF(Atletas!O27="Wu-Hao D",323,IF(Atletas!O27="Outro Taijiquan D",324,IF(Atletas!O27="Yang E",325,IF(Atletas!O27="Chen E",326,IF(Atletas!O27="Sun E",327,IF(Atletas!O27="Wu E",328,IF(Atletas!O27="Wu-Hao E",329,IF(Atletas!O27="Outro Taijiquan E",330,IF(Atletas!O27="Yang F",331,IF(Atletas!O27="Chen F",332,IF(Atletas!O27="Sun F",333,IF(Atletas!O27="Wu F",334,IF(Atletas!O27="Wu-Hao F",335,IF(Atletas!O27="Outro Taijiquan F",336,"")))))))))))))))))))))))))))))))))))))</f>
        <v/>
      </c>
      <c r="BW34" s="50" t="str">
        <f>IF(Atletas!P27="","",IF(Atletas!X27&lt;&gt;"",10000,0)+IF(Atletas!B27="Feminino",1000,IF(Atletas!B27="Masculino",2000,""))+IF(OR(Atletas!P27="Yang 26 A",Atletas!P27="Yang 40 A"),401,IF(OR(Atletas!P27="Chen 25 A",Atletas!P27="Chen 36 A",Atletas!P27="Chen 56 A"),402,IF(Atletas!P27="Sun 73 A",403,IF(Atletas!P27="Wu 45 A",404,IF(Atletas!P27="Wu-Hao 46 A",405,IF(OR(Atletas!P27="Taijiquan 16 A",Atletas!P27="Taijiquan 24 A",Atletas!P27="Taijiquan 32 A",Atletas!P27="Taijiquan 42 A"),406,IF(OR(Atletas!P27="Yang 26 B",Atletas!P27="Yang 40 B"),407,IF(OR(Atletas!P27="Chen 25 B",Atletas!P27="Chen 36 B",Atletas!P27="Chen 56 B"),408,IF(Atletas!P27="Sun 73 B",409,IF(Atletas!P27="Wu 45 B",410,IF(Atletas!P27="Wu-Hao 46 B",411,IF(OR(Atletas!P27="Taijiquan 16 B",Atletas!P27="Taijiquan 24 B",Atletas!P27="Taijiquan 32 B",Atletas!P27="Taijiquan 42 B"),412,IF(OR(Atletas!P27="Yang 26 C",Atletas!P27="Yang 40 C"),413,IF(OR(Atletas!P27="Chen 25 C",Atletas!P27="Chen 36 C",Atletas!P27="Chen 56 C"),414,IF(Atletas!P27="Sun 73 C",415,IF(Atletas!P27="Wu 45 C",416,IF(Atletas!P27="Wu-Hao 46 C",417,IF(OR(Atletas!P27="Taijiquan 16 C",Atletas!P27="Taijiquan 24 C",Atletas!P27="Taijiquan 32 C",Atletas!P27="Taijiquan 42 C"),418,0)))))))))))))))))))</f>
        <v/>
      </c>
      <c r="BX34" s="50" t="str">
        <f>IF(Atletas!P27="","",IF(Atletas!X27&lt;&gt;"",10000,0)+IF(Atletas!B27="Feminino",1000,IF(Atletas!B27="Masculino",2000,""))+IF(OR(Atletas!P27="Yang 26 D",Atletas!P27="Yang 40 D"),419,IF(OR(Atletas!P27="Chen 25 D",Atletas!P27="Chen 36 D",Atletas!P27="Chen 56 D"),420,IF(Atletas!P27="Sun 73 D",421,IF(Atletas!P27="Wu 45 D",422,IF(Atletas!P27="Wu-Hao 46 D",423,IF(OR(Atletas!P27="Taijiquan 16 D",Atletas!P27="Taijiquan 24 D",Atletas!P27="Taijiquan 32 D",Atletas!P27="Taijiquan 42 D"),424,IF(OR(Atletas!P27="Yang 26 E",Atletas!P27="Yang 40 E"),425,IF(OR(Atletas!P27="Chen 25 E",Atletas!P27="Chen 36 E",Atletas!P27="Chen 56 E"),426,IF(Atletas!P27="Sun 73 E",427,IF(Atletas!P27="Wu 45 E",428,IF(Atletas!P27="Wu-Hao 46 E",429,IF(OR(Atletas!P27="Taijiquan 16 E",Atletas!P27="Taijiquan 24 E",Atletas!P27="Taijiquan 32 E",Atletas!P27="Taijiquan 42 E"),430,IF(OR(Atletas!P27="Yang 26 F",Atletas!P27="Yang 40 F"),431,IF(OR(Atletas!P27="Chen 25 F",Atletas!P27="Chen 36 F",Atletas!P27="Chen 56 F"),432,IF(Atletas!P27="Sun 73 F",433,IF(Atletas!P27="Wu 45 F",434,IF(Atletas!P27="Wu-Hao 46 F",435,IF(OR(Atletas!P27="Taijiquan 16 F",Atletas!P27="Taijiquan 24 F",Atletas!P27="Taijiquan 32 F",Atletas!P27="Taijiquan 42 F"),436,0)))))))))))))))))))</f>
        <v/>
      </c>
      <c r="BY34" s="50" t="str">
        <f>IF(Atletas!Q27="","",IF(Atletas!X27&lt;&gt;"",10000,0)+IF(Atletas!B27="Feminino",1000,IF(Atletas!B27="Masculino",2000,""))+IF(Atletas!Q27="Xingyiquan A",501,IF(Atletas!Q27="Baguazhang A",502,IF(Atletas!Q27="Outro Estilo Interno A",503,IF(Atletas!Q27="Xingyiquan B",504,IF(Atletas!Q27="Baguazhang B",505,IF(Atletas!Q27="Outro Estilo Interno B",506,IF(Atletas!Q27="Xingyiquan C",507,IF(Atletas!Q27="Baguazhang C",508,IF(Atletas!Q27="Outro Estilo Interno C",509,IF(Atletas!Q27="Xingyiquan D",510,IF(Atletas!Q27="Baguazhang D",511,IF(Atletas!Q27="Outro Estilo Interno D",512,IF(Atletas!Q27="Xingyiquan E",513,IF(Atletas!Q27="Baguazhang E",514,IF(Atletas!Q27="Outro Estilo Interno E",515,IF(Atletas!Q27="Xingyiquan F",516,IF(Atletas!Q27="Baguazhang F",517,IF(Atletas!Q27="Outro Estilo Interno F",518, "")))))))))))))))))))</f>
        <v/>
      </c>
      <c r="BZ34" s="50" t="str">
        <f>IF(Atletas!R27="","",IF(Atletas!X27&lt;&gt;"",10000,0)+IF(Atletas!B27="Feminino",1000,IF(Atletas!B27="Masculino",2000,""))+IF(Atletas!R27="Dao A",601,IF(Atletas!R27="Jian A",602,IF(Atletas!R27="Bishou A",603,IF(Atletas!R27="Shanzi A",604,IF(Atletas!R27="Outra Arma Curta A",605,IF(Atletas!R27="Dao B",606,IF(Atletas!R27="Jian B",607,IF(Atletas!R27="Bishou B",608,IF(Atletas!R27="Shanzi B",609,IF(Atletas!R27="Outra Arma Curta B",610,IF(Atletas!R27="Dao C",611,IF(Atletas!R27="Jian C",612,IF(Atletas!R27="Bishou C",613,IF(Atletas!R27="Shanzi C",614,IF(Atletas!R27="Outra Arma Curta C",615,IF(Atletas!R27="Dao D",616,IF(Atletas!R27="Jian D",617,IF(Atletas!R27="Bishou D",618,IF(Atletas!R27="Shanzi D",619,IF(Atletas!R27="Outra Arma Curta D",620,IF(Atletas!R27="Dao E",621,IF(Atletas!R27="Jian E",622,IF(Atletas!R27="Bishou E",623,IF(Atletas!R27="Shanzi E",624,IF(Atletas!R27="Outra Arma Curta E",625,IF(Atletas!R27="Dao F",626,IF(Atletas!R27="Jian F",627,IF(Atletas!R27="Bishou F",628,IF(Atletas!R27="Shanzi F",629,IF(Atletas!R27="Outra Arma Curta F",630, "")))))))))))))))))))))))))))))))</f>
        <v/>
      </c>
      <c r="CA34" s="50" t="str">
        <f>IF(Atletas!S27="","",IF(Atletas!X27&lt;&gt;"",10000,0)+IF(Atletas!B27="Feminino",1000,IF(Atletas!B27="Masculino",2000,""))+IF(Atletas!S27="Gun A",701,IF(Atletas!S27="Qiang A",702,IF(Atletas!S27="Pudao / Guandao A",703,IF(Atletas!S27="Outra Arma Longa A",704,IF(Atletas!S27="Gun B",705,IF(Atletas!S27="Qiang B",706,IF(Atletas!S27="Pudao / Guandao B",707,IF(Atletas!S27="Outra Arma Longa B",708,IF(Atletas!S27="Gun C",709,IF(Atletas!S27="Qiang C",710,IF(Atletas!S27="Pudao / Guandao C",711,IF(Atletas!S27="Outra Arma Longa C",712,IF(Atletas!S27="Gun D",713,IF(Atletas!S27="Qiang D",714,IF(Atletas!S27="Pudao / Guandao D",715,IF(Atletas!S27="Outra Arma Longa D",716,IF(Atletas!S27="Gun E",717,IF(Atletas!S27="Qiang E",718,IF(Atletas!S27="Pudao / Guandao E",719,IF(Atletas!S27="Outra Arma Longa E",720,IF(Atletas!S27="Gun F",721,IF(Atletas!S27="Qiang F",722,IF(Atletas!S27="Pudao / Guandao F",723,IF(Atletas!S27="Outra Arma Longa F",724,"")))))))))))))))))))))))))</f>
        <v/>
      </c>
      <c r="CB34" s="50" t="str">
        <f>IF(Atletas!T27="","",IF(Atletas!X27&lt;&gt;"",10000,0)+IF(Atletas!B27="Feminino",1000,IF(Atletas!B27="Masculino",2000,""))+IF(Atletas!T27="Outra Arma Dupla A",801,IF(Atletas!T27="Arma Maleável A",802,IF(Atletas!T27="Outra Arma Dupla B",803,IF(Atletas!T27="Arma Maleável B",804,IF(Atletas!T27="Outra Arma Dupla C",805,IF(Atletas!T27="Arma Maleável C",806,IF(Atletas!T27="Outra Arma Dupla D",807,IF(Atletas!T27="Arma Maleável D",808,IF(Atletas!T27="Outra Arma Dupla E",809,IF(Atletas!T27="Arma Maleável E",810,IF(Atletas!T27="Outra Arma Dupla F",811,IF(Atletas!T27="Arma Maleável F",812,IF(Atletas!T27="Shuangdao A",813,IF(Atletas!T27="Shuangdao B",814,IF(Atletas!T27="Shuangdao C",815,IF(Atletas!T27="Shuangdao D",816,IF(Atletas!T27="Shuangdao E",817,IF(Atletas!T27="Shuangdao F",818,"")))))))))))))))))))</f>
        <v/>
      </c>
      <c r="CC34" s="50" t="str">
        <f>IF(Atletas!U27="","",IF(Atletas!X27&lt;&gt;"",10000,0)+IF(Atletas!B27="Feminino",1000,IF(Atletas!B27="Masculino",2000,""))+IF(OR(Atletas!U27="Taijijian Yang A",Atletas!U27="Taijijian Yang Standard A"),901,IF(OR(Atletas!U27="Taijijian Chen A", Atletas!U27="Taijijian Chen Standard A"),902,IF(Atletas!U27="Taijijian Sun A",903,IF(Atletas!U27="Taijijian Wu A",904,IF(Atletas!U27="Taijijian Wu-Hao A",905,IF(OR(Atletas!U27="Taijijian 32 A",Atletas!U27="Taijijian 42 A"),906,IF(OR(Atletas!U27="Taijijian Yang B",Atletas!U27="Taijijian Yang Standard B"),907,IF(OR(Atletas!U27="Taijijian Chen B", Atletas!U27="Taijijian Chen Standard B"),908,IF(Atletas!U27="Taijijian Sun B",909,IF(Atletas!U27="Taijijian Wu B",910,IF(Atletas!U27="Taijijian Wu-Hao B",911,IF(OR(Atletas!U27="Taijijian 32 B",Atletas!U27="Taijijian 42 B"),912,IF(OR(Atletas!U27="Taijijian Yang C",Atletas!U27="Taijijian Yang Standard C"),913,IF(OR(Atletas!U27="Taijijian Chen C", Atletas!U27="Taijijian Chen Standard C"),914,IF(Atletas!U27="Taijijian Sun C",915,IF(Atletas!U27="Taijijian Wu C",916,IF(Atletas!U27="Taijijian Wu-Hao C",917,IF(OR(Atletas!U27="Taijijian 32 C",Atletas!U27="Taijijian 42 C"),918,IF(OR(Atletas!U27="Taijijian Yang D",Atletas!U27="Taijijian Yang Standard D"),919,IF(OR(Atletas!U27="Taijijian Chen D", Atletas!U27="Taijijian Chen Standard D"),920,IF(Atletas!U27="Taijijian Sun D",921,IF(Atletas!U27="Taijijian Wu D",922,IF(Atletas!U27="Taijijian Wu-Hao D",923,IF(OR(Atletas!U27="Taijijian 32 D",Atletas!U27="Taijijian 42 D"),924,IF(OR(Atletas!U27="Taijijian Yang E",Atletas!U27="Taijijian Yang Standard E"),925,IF(OR(Atletas!U27="Taijijian Chen E", Atletas!U27="Taijijian Chen Standard E"),926,IF(Atletas!U27="Taijijian Sun E",927,IF(Atletas!U27="Taijijian Wu E",928,IF(Atletas!U27="Taijijian Wu-Hao E",929,IF(OR(Atletas!U27="Taijijian 32 E",Atletas!U27="Taijijian 42 E"),930,IF(OR(Atletas!U27="Taijijian Yang F",Atletas!U27="Taijijian Yang Standard F"),931,IF(OR(Atletas!U27="Taijijian Chen F", Atletas!U27="Taijijian Chen Standard F"),932,IF(Atletas!U27="Taijijian Sun F",933,IF(Atletas!U27="Taijijian Wu F",934,IF(Atletas!U27="Taijijian Wu-Hao F",935,IF(OR(Atletas!U27="Taijijian 32 F",Atletas!U27="Taijijian 42 F"),936,"")))))))))))))))))))))))))))))))))))))</f>
        <v/>
      </c>
      <c r="CD34" s="50" t="str">
        <f>IF(Atletas!V27="","",IF(Atletas!X27&lt;&gt;"",10000,0)+IF(Atletas!B27="Feminino",1000,IF(Atletas!B27="Masculino",2000,""))+IF(Atletas!V27="Taijidao A",937,IF(Atletas!V27="TaijiShanzi A",938,IF(Atletas!V27="Taijiqiang A",939,IF(Atletas!V27="Bagua de Arma A",940,IF(Atletas!V27="Xingyi de Arma A",941,IF(Atletas!V27="Taijidao B",942,IF(Atletas!V27="TaijiShanzi B",943,IF(Atletas!V27="Taijiqiang B",944,IF(Atletas!V27="Bagua de Arma B",945,IF(Atletas!V27="Xingyi de Arma B",946,IF(Atletas!V27="Taijidao C",947,IF(Atletas!V27="TaijiShanzi C",948,IF(Atletas!V27="Taijiqiang C",949,IF(Atletas!V27="Bagua de Arma C",950,IF(Atletas!V27="Xingyi de Arma C",951,IF(Atletas!V27="Taijidao D",952,IF(Atletas!V27="TaijiShanzi D",953,IF(Atletas!V27="Taijiqiang D",954,IF(Atletas!V27="Bagua de Arma D",955,IF(Atletas!V27="Xingyi de Arma D",956,IF(Atletas!V27="Taijidao E",957,IF(Atletas!V27="TaijiShanzi E",958,IF(Atletas!V27="Taijiqiang E",959,IF(Atletas!V27="Bagua de Arma E",960,IF(Atletas!V27="Xingyi de Arma E",961,IF(Atletas!V27="Taijidao F",962,IF(Atletas!V27="TaijiShanzi F",963,IF(Atletas!V27="Taijiqiang F",964,IF(Atletas!V27="Bagua de Arma F",965,IF(Atletas!V27="Xingyi de Arma F",966,"")))))))))))))))))))))))))))))))</f>
        <v/>
      </c>
      <c r="CE34" s="66" t="str">
        <f>IF(CF34&lt;&gt;"","Wuzuquan E","")</f>
        <v/>
      </c>
      <c r="CF34" s="66" t="str">
        <f>IF(COUNTIF(BR:CD,1023)&gt;0,COUNTIF(BR:CD,1023),"")</f>
        <v/>
      </c>
      <c r="CG34" s="66" t="str">
        <f>IF(CH34&lt;&gt;"","Wuzuquan E","")</f>
        <v/>
      </c>
      <c r="CH34" s="66" t="str">
        <f>IF(COUNTIF(BR:CD,2023)&gt;0,COUNTIF(BR:CD,2023),"")</f>
        <v/>
      </c>
      <c r="CI34" s="66" t="str">
        <f>IF(CJ34&lt;&gt;"","Wuzuquan F","")</f>
        <v/>
      </c>
      <c r="CJ34" s="66" t="str">
        <f>IF(COUNTIF(BR:CD,11028)&gt;0,COUNTIF(BR:CD,11028),"")</f>
        <v/>
      </c>
      <c r="CK34" s="66" t="str">
        <f>IF(CL34&lt;&gt;"","Wuzuquan F","")</f>
        <v/>
      </c>
      <c r="CL34" s="66" t="str">
        <f>IF(COUNTIF(BR:CD,12028)&gt;0,COUNTIF(BR:CD,12028),"")</f>
        <v/>
      </c>
      <c r="CM34" s="50" t="str">
        <f xml:space="preserve"> IF(Atletas!W27="","",IF(Atletas!W27="Duilian de Mãos BC - Equipe 1",1,IF(Atletas!W27="Duilian de Mãos BC - Equipe 2",2,IF(Atletas!W27="Duilian de Armas BC - Equipe 1",3,IF(Atletas!W27="Duilian de Armas BC - Equipe 2",4,IF(Atletas!W27="Duilian de Mãos DE - Equipe 1",5,IF(Atletas!W27="Duilian de Mãos DE - Equipe 2",6,IF(Atletas!W27="Duilian de Armas DE - Equipe 1",7,IF(Atletas!W27="Duilian de Armas DE - Equipe 2",8,IF(Atletas!W27="Duilian de Tuishou - Equipe 1",9,IF(Atletas!W27="Duilian de Tuishou - Equipe 2",10,IF(Atletas!W27="Grupo Externo ABC - Equipe 1",11,IF(Atletas!W27="Grupo Externo ABC - Equipe 2",12,IF(Atletas!W27="Grupo Interno ABC - Equipe 1",13,IF(Atletas!W27="Grupo Interno ABC - Equipe 2",14,IF(Atletas!W27="Grupo Externo DEF - Equipe 1",15,IF(Atletas!W27="Grupo Externo DEF - Equipe 2",16,IF(Atletas!W27="Grupo Interno DEF - Equipe 1",17,IF(Atletas!W27="Grupo Interno DEF - Equipe 2",18,"")))))))))))))))))))</f>
        <v/>
      </c>
      <c r="CY34" s="41"/>
    </row>
    <row r="35" spans="2:103">
      <c r="B35" s="3" t="str">
        <f t="array" ref="B35">IFERROR(INDEX(AO$7:AO$38,SMALL(IF(AO$7:AO$38&lt;&gt;"",ROW(AO$7:AO$38)-ROW(AO$7)+1),ROWS(AO$7:AO34))),"")</f>
        <v/>
      </c>
      <c r="C35" s="3" t="str">
        <f t="array" ref="C35">IFERROR(INDEX(AP$7:AP$38,SMALL(IF(AP$7:AP$38&lt;&gt;"",ROW(AP$7:AP$38)-ROW(AP$7)+1),ROWS(AP$7:AP34))),"")</f>
        <v/>
      </c>
      <c r="D35" s="3" t="str">
        <f t="array" ref="D35">IFERROR(INDEX(AQ$7:AQ$38,SMALL(IF(AQ$7:AQ$38&lt;&gt;"",ROW(AQ$7:AQ$38)-ROW(AQ$7)+1),ROWS(AQ$7:AQ34))),"")</f>
        <v/>
      </c>
      <c r="E35" s="3" t="str">
        <f t="array" ref="E35">IFERROR(INDEX(AR$7:AR$38,SMALL(IF(AR$7:AR$38&lt;&gt;"",ROW(AR$7:AR$38)-ROW(AR$7)+1),ROWS(AR$7:AR34))),"")</f>
        <v/>
      </c>
      <c r="F35" s="3" t="str">
        <f t="array" ref="F35">IFERROR(INDEX(AT$7:AT$36,SMALL(IF(AT$7:AT$36&lt;&gt;"",ROW(AT$7:AT$36)-ROW(AT$7)+1),ROWS(AT$7:AT34))),"")</f>
        <v/>
      </c>
      <c r="G35" s="3" t="str">
        <f t="array" ref="G35">IFERROR(INDEX(AU$7:AU$36,SMALL(IF(AU$7:AU$36&lt;&gt;"",ROW(AU$7:AU$36)-ROW(AU$7)+1),ROWS(AU$7:AU34))),"")</f>
        <v/>
      </c>
      <c r="H35" s="3" t="str">
        <f t="array" ref="H35">IFERROR(INDEX(AV$7:AV$36,SMALL(IF(AV$7:AV$36&lt;&gt;"",ROW(AV$7:AV$36)-ROW(AV$7)+1),ROWS(AV$7:AV34))),"")</f>
        <v/>
      </c>
      <c r="I35" s="3" t="str">
        <f t="array" ref="I35">IFERROR(INDEX(AW$7:AW$36,SMALL(IF(AW$7:AW$36&lt;&gt;"",ROW(AW$7:AW$36)-ROW(AW$7)+1),ROWS(AW$7:AW34))),"")</f>
        <v/>
      </c>
      <c r="J35" s="3" t="str">
        <f t="array" ref="J35">IFERROR(INDEX(AW$7:AW$36,SMALL(IF(AW$7:AW$36&lt;&gt;"",ROW(AW$7:AW$36)-ROW(AW$7)+1),ROWS(AW$7:AW34))),"")</f>
        <v/>
      </c>
      <c r="K35" s="3" t="str">
        <f t="array" ref="K35">IFERROR(INDEX(AZ$7:AZ$36,SMALL(IF(AZ$7:AZ$36&lt;&gt;"",ROW(AZ$7:AZ$36)-ROW(AZ$7)+1),ROWS(AZ$7:AZ34))),"")</f>
        <v/>
      </c>
      <c r="L35" s="3" t="str">
        <f t="array" ref="L35">IFERROR(INDEX(BA$7:BA$36,SMALL(IF(BA$7:BA$36&lt;&gt;"",ROW(BA$7:BA$36)-ROW(BA$7)+1),ROWS(BA$7:BA34))),"")</f>
        <v/>
      </c>
      <c r="M35" s="3" t="str">
        <f t="array" ref="M35">IFERROR(INDEX(BB$7:BB$36,SMALL(IF(BB$7:BB$36&lt;&gt;"",ROW(BB$7:BB$36)-ROW(BB$7)+1),ROWS(BB$7:BB34))),"")</f>
        <v/>
      </c>
      <c r="N35" s="3" t="str" cm="1">
        <f t="array" ref="N35">IFERROR(INDEX(BD$7:BD$8,SMALL(IF(BD$7:BD$8&lt;&gt;"",ROW(BD$7:BD$8)-ROW(BD$7)+1),ROWS(BD$7:BD34))),"")</f>
        <v/>
      </c>
      <c r="O35" s="3" t="str" cm="1">
        <f t="array" ref="O35">IFERROR(INDEX(BE$7:BE$8,SMALL(IF(BE$7:BE$8&lt;&gt;"",ROW(BE$7:BE$8)-ROW(BE$7)+1),ROWS(BE$7:BE34))),"")</f>
        <v/>
      </c>
      <c r="P35" s="3" t="str" cm="1">
        <f t="array" ref="P35">IFERROR(INDEX(BD$9:BD$10,SMALL(IF(BD$9:BD$10&lt;&gt;"",ROW(BD$9:BD$10)-ROW(BD$9)+1),ROWS(BD$9:BD36))),"")</f>
        <v/>
      </c>
      <c r="Q35" s="3" t="str">
        <f t="array" ref="Q35">IFERROR(INDEX(BH$7:BH$36,SMALL(IF(BH$7:BH$36&lt;&gt;"",ROW(BH$7:BH$36)-ROW(BH$7)+1),ROWS(BH$7:BH34))),"")</f>
        <v/>
      </c>
      <c r="R35" s="3" t="str">
        <f t="array" ref="R35">IFERROR(INDEX(BI$7:BI$68,SMALL(IF(BI$7:BI$68&lt;&gt;"",ROW(BI$7:BI$68)-ROW(BI$7)+1),ROWS(BI$7:BI34))),"")</f>
        <v/>
      </c>
      <c r="S35" s="3" t="str">
        <f t="array" ref="S35">IFERROR(INDEX(BJ$7:BJ$68,SMALL(IF(BJ$7:BJ$68&lt;&gt;"",ROW(BJ$7:BJ$68)-ROW(BJ$7)+1),ROWS(BJ$7:BJ34))),"")</f>
        <v/>
      </c>
      <c r="T35" s="3" t="str">
        <f t="array" ref="T35">IFERROR(INDEX(BK$7:BK$68,SMALL(IF(BK$7:BK$68&lt;&gt;"",ROW(BK$7:BK$68)-ROW(BK$7)+1),ROWS(BK$7:BK34))),"")</f>
        <v/>
      </c>
      <c r="U35" s="3" t="str">
        <f t="array" ref="U35">IFERROR(INDEX(BL$7:BL$68,SMALL(IF(BL$7:BL$68&lt;&gt;"",ROW(BL$7:BL$68)-ROW(BL$7)+1),ROWS(BL$7:BL34))),"")</f>
        <v/>
      </c>
      <c r="V35" s="3"/>
      <c r="W35" s="3"/>
      <c r="X35" s="3"/>
      <c r="Y35" s="3"/>
      <c r="Z35" s="3" t="str">
        <f t="array" ref="Z35">IFERROR(INDEX(CE$7:CE$348,SMALL(IF(CE$7:CE$348&lt;&gt;"",ROW(CE$7:CE$348)-ROW(CE$7)+1),ROWS(CE$7:CE34))),"")</f>
        <v/>
      </c>
      <c r="AA35" s="3" t="str">
        <f t="array" ref="AA35">IFERROR(INDEX(CF$7:CF$348,SMALL(IF(CF$7:CF$348&lt;&gt;"",ROW(CF$7:CF$348)-ROW(CF$7)+1),ROWS(CF$7:CF34))),"")</f>
        <v/>
      </c>
      <c r="AB35" s="3" t="str">
        <f t="array" ref="AB35">IFERROR(INDEX(CG$7:CG$348,SMALL(IF(CG$7:CG$348&lt;&gt;"",ROW(CG$7:CG$348)-ROW(CG$7)+1),ROWS(CG$7:CG34))),"")</f>
        <v/>
      </c>
      <c r="AC35" s="3" t="str">
        <f t="array" ref="AC35">IFERROR(INDEX(CH$7:CH$348,SMALL(IF(CH$7:CH$348&lt;&gt;"",ROW(CH$7:CH$348)-ROW(CH$7)+1),ROWS(CH$7:CH34))),"")</f>
        <v/>
      </c>
      <c r="AD35" s="3" t="str">
        <f t="array" ref="AD35">IFERROR(INDEX(CI$7:CI$377,SMALL(IF(CI$7:CI$377&lt;&gt;"",ROW(CI$7:CI$377)-ROW(CI$7)+1),ROWS(CI$7:CI34))),"")</f>
        <v/>
      </c>
      <c r="AE35" s="3" t="str">
        <f t="array" ref="AE35">IFERROR(INDEX(CJ$7:CJ$378,SMALL(IF(CJ$7:CJ$378&lt;&gt;"",ROW(CJ$7:CJ$378)-ROW(CJ$7)+1),ROWS(CJ$7:CJ34))),"")</f>
        <v/>
      </c>
      <c r="AF35" s="3" t="str">
        <f t="array" ref="AF35">IFERROR(INDEX(CK$7:CK$378,SMALL(IF(CK$7:CK$378&lt;&gt;"",ROW(CK$7:CK$378)-ROW(CK$7)+1),ROWS(CK$7:CK34))),"")</f>
        <v/>
      </c>
      <c r="AG35" s="3" t="str">
        <f t="array" ref="AG35">IFERROR(INDEX(CL$7:CL$378,SMALL(IF(CL$7:CL$378&lt;&gt;"",ROW(CL$7:CL$378)-ROW(CL$7)+1),ROWS(CL$7:CL34))),"")</f>
        <v/>
      </c>
      <c r="AH35" s="40" t="str">
        <f t="array" ref="AH35">IFERROR(INDEX(CN$7:CN$18,SMALL(IF(CN$7:CN$18&lt;&gt;"",ROW(CN$7:CN$18)-ROW(CN$7)+1),ROWS(CN$7:CN34))),"")</f>
        <v/>
      </c>
      <c r="AI35" s="40" t="str">
        <f t="array" ref="AI35">IFERROR(INDEX(CO$7:CO$18,SMALL(IF(CO$7:CO$18&lt;&gt;"",ROW(CO$7:CO$18)-ROW(CO$7)+1),ROWS(CO$7:CO34))),"")</f>
        <v/>
      </c>
      <c r="AJ35" s="40" t="str">
        <f t="array" ref="AJ35">IFERROR(INDEX(CP$7:CP$8,SMALL(IF(CP$7:CP$8&lt;&gt;"",ROW(CP$7:CP$8)-ROW(CP$7)+1),ROWS(CP$7:CP34))),"")</f>
        <v/>
      </c>
      <c r="AK35" s="40"/>
      <c r="AL35" s="40" t="str">
        <f t="array" ref="AL35">IFERROR(INDEX(CR$7:CR$14,SMALL(IF(CR$7:CR$14&lt;&gt;"",ROW(CR$7:CR$14)-ROW(CR$7)+1),ROWS(CR$7:CR34))),"")</f>
        <v/>
      </c>
      <c r="AM35" s="40"/>
      <c r="AN35" s="52" t="str">
        <f>IF(Atletas!D28="","",IF(Atletas!B28="Feminino",100,IF(Atletas!B28="Masculino",200,""))+(IF(Atletas!D28="Kids 30kg",1,IF(Atletas!D28="Kids 32kg",2, IF(Atletas!D28="Kids 34kg",3,IF(Atletas!D28="Kids 36kg",4,IF(Atletas!D28="Kids 39kg",5,IF(Atletas!D28="Kids 42kg",6,IF(Atletas!D28="Kids 45kg",7, IF(Atletas!D28="Infantil 39kg",8,IF(Atletas!D28="Infantil 42kg",9,IF(Atletas!D28="Infantil 45kg",10,IF(Atletas!D28="Infantil 48kg",11,IF(Atletas!D28="Infantil 52kg",12,IF(Atletas!D28="Infantil 56kg",13,IF(Atletas!D28="Infantil 60kg",14,IF(Atletas!D28="Juvenil 48kg",15,IF(Atletas!D28="Juvenil 52kg",16,IF(Atletas!D28="Juvenil 56kg",17,IF(Atletas!D28="Juvenil 60kg",18,IF(Atletas!D28="Juvenil 65kg",19,IF(Atletas!D28="Juvenil 70kg",20,IF(Atletas!D28="Juvenil 75kg",21,IF(Atletas!D28="Juvenil 80kg",22, IF(Atletas!D28="Juvenil 85kg",23,IF(Atletas!D28="Adulto 48kg",24,IF(Atletas!D28="Adulto 52kg",25,IF(Atletas!D28="Adulto 56kg",26,IF(Atletas!D28="Adulto 60kg",27,IF(Atletas!D28="Adulto 65kg",28,IF(Atletas!D28="Adulto 70kg",29,IF(Atletas!D28="Adulto 75kg",30,IF(Atletas!D28="Adulto 80kg",31,IF(Atletas!D28="Adulto 85kg",32,IF(Atletas!D28="Adulto 90kg",33,IF(Atletas!D28="Adulto 100kg",34, IF(Atletas!D28="Adulto +100kg",35,"")))))))))))))))))))))))))))))))))))))</f>
        <v/>
      </c>
      <c r="AQ35" s="50" t="str">
        <f>IF(AR35&lt;&gt;"","Adulto 70kg","")</f>
        <v/>
      </c>
      <c r="AR35" s="6" t="str">
        <f>IF(COUNTIF(AN:AN,229)&gt;0,COUNTIF(AN:AN,229),"")</f>
        <v/>
      </c>
      <c r="AS35" s="6" t="str">
        <f>IF(Atletas!E28="","",IF(Atletas!B28="Feminino",100,IF(Atletas!B28="Masculino",200,""))+(IF(Atletas!E28="Juvenil 44kg",1,IF(Atletas!E28="Juvenil 48kg",2,IF(Atletas!E28="Juvenil 52kg",3,IF(Atletas!E28="Juvenil 56kg",4,IF(Atletas!E28="Juvenil 60kg",5,IF(Atletas!E28="Juvenil 65kg",6,IF(Atletas!E28="Juvenil 70kg",7,IF(Atletas!E28="Juvenil 75kg",8,IF(Atletas!E28="Juvenil 82kg",9,IF(Atletas!E28="Juvenil 90kg",10,IF(Atletas!E28="Juvenil 100kg",11,IF(Atletas!E28="Adulto 48kg",12,IF(Atletas!E28="Adulto 52kg",13,IF(Atletas!E28="Adulto 56kg",14,IF(Atletas!E28="Adulto 60kg",15,IF(Atletas!E28="Adulto 65kg",16,IF(Atletas!E28="Adulto 70kg",17,IF(Atletas!E28="Adulto 75kg",18,IF(Atletas!E28="Adulto 82kg",19,IF(Atletas!E28="Adulto 90kg",20,IF(Atletas!E28="Adulto 100kg",21,IF(Atletas!E28="Adulto +100kg",22,""))))))))))))))))))))))))</f>
        <v/>
      </c>
      <c r="AX35" s="6" t="str">
        <f>IF(Atletas!F28="","",IF(Atletas!B28="Feminino",100,IF(Atletas!B28="Masculino",200,""))+(IF(Atletas!F28="Adulto 48kg",1,IF(Atletas!F28="Adulto 56kg",2,IF(Atletas!F28="Adulto 65kg",3,IF(Atletas!F28="Adulto 75kg",4,IF(Atletas!F28="Adulto +75kg",5,IF(Atletas!F28="Adulto 52kg",6,IF(Atletas!F28="Adulto 60kg",7,IF(Atletas!F28="Adulto 70kg",8,IF(Atletas!F28="Adulto 80kg",9,IF(Atletas!F28="Adulto 90kg",10,IF(Atletas!F28="Adulto +90kg",11,"")))))))))))))</f>
        <v/>
      </c>
      <c r="BC35" s="6" t="str">
        <f>IF(Atletas!G28="","",IF(Atletas!B28="Feminino",10,IF(Atletas!B28="Masculino",20,""))+(IF(Atletas!G28="Baduanjin A",1,IF(Atletas!G28="Baduanjin B",2))))</f>
        <v/>
      </c>
      <c r="BF35" s="52" t="str">
        <f>IF(Atletas!H28="","",IF(Atletas!B28="Feminino",100,IF(Atletas!B28="Masculino",200,""))+(IF(Atletas!H28="Changquan Mirim",1,IF(Atletas!H28="Nanquan Mirim",2,IF(Atletas!H28="Taijiquan Mirim",3,IF(Atletas!H28="Changquan Grupo C",4,IF(Atletas!H28="Nanquan Grupo C",5,IF(Atletas!H28="Taijiquan Grupo C",6,IF(Atletas!H28="Changquan Grupo B",7,IF(Atletas!H28="Nanquan Grupo B",8,IF(Atletas!H28="Taijiquan Grupo B",9,IF(Atletas!H28="Changquan Grupo A",10,IF(Atletas!H28="Nanquan Grupo A",11,IF(Atletas!H28="Taijiquan Grupo A",12,IF(Atletas!H28="Changquan Opcional",13,IF(Atletas!H28="Nanquan Opcional",14,IF(Atletas!H28="Taijiquan Opcional",15,IF(Atletas!H28="Changquan Adulto",16,IF(Atletas!H28="Nanquan Adulto",17,IF(Atletas!H28="Taijiquan Adulto",18,""))))))))))))))))))))</f>
        <v/>
      </c>
      <c r="BG35" s="52" t="str">
        <f>IF(Atletas!I28="","",IF(Atletas!B28="Feminino",100,IF(Atletas!B28="Masculino",200,""))+(IF(Atletas!I28="Daoshu Mirim",19,IF(Atletas!I28="Jianshu Mirim",20,IF(Atletas!I28="Nandao Mirim",21,IF(Atletas!I28="Taijijian Mirim",22,IF(Atletas!I28="Daoshu Grupo C",23,IF(Atletas!I28="Jianshu Grupo C",24,IF(Atletas!I28="Nandao Grupo C",25,IF(Atletas!I28="Taijijian Grupo C",26,IF(Atletas!I28="Daoshu Grupo B",27,IF(Atletas!I28="Jianshu Grupo B",28,IF(Atletas!I28="Nandao Grupo B",29,IF(Atletas!I28="Taijijian Grupo B",30,IF(Atletas!I28="Daoshu Grupo A",31,IF(Atletas!I28="Jianshu Grupo A",32,IF(Atletas!I28="Nandao Grupo A",33,IF(Atletas!I28="Taijijian Grupo A",34,IF(Atletas!I28="Daoshu Opcional",35,IF(Atletas!I28="Jianshu Opcional",36,IF(Atletas!I28="Nandao Opcional",37,IF(Atletas!I28="Taijijian Opcional",38,IF(Atletas!I28="Daoshu Adulto",39,IF(Atletas!I28="Jianshu Adulto",40,IF(Atletas!I28="Nandao Adulto",41,IF(Atletas!I28="Taijijian Adulto",42,""))))))))))))))))))))))))))</f>
        <v/>
      </c>
      <c r="BH35" s="52" t="str">
        <f>IF(Atletas!J28="","",IF(Atletas!B28="Feminino",100,IF(Atletas!B28="Masculino",200,""))+(IF(Atletas!J28="Gunshu Mirim",43,IF(Atletas!J28="Qiangshu Mirim",44,IF(Atletas!J28="Nangun Mirim",45,IF(Atletas!J28="Gunshu Grupo C",46,IF(Atletas!J28="Qiangshu Grupo C",47,IF(Atletas!J28="Nangun Grupo C",48,IF(Atletas!J28="Gunshu Grupo B",49,IF(Atletas!J28="Qiangshu Grupo B",50,IF(Atletas!J28="Nangun Grupo B",51,IF(Atletas!J28="Gunshu Grupo A",52,IF(Atletas!J28="Qiangshu Grupo A",53,IF(Atletas!J28="Nangun Grupo A",54,IF(Atletas!J28="Gunshu Opcional",55,IF(Atletas!J28="Qiangshu Opcional",56,IF(Atletas!J28="Nangun Opcional",57,IF(Atletas!J28="Gunshu Adulto",58,IF(Atletas!J28="Qiangshu Adulto",59,IF(Atletas!J28="Nangun Adulto",60,IF(Atletas!J28="Taijishan Grupo B",61,IF(Atletas!J28="Taijishan Grupo A",62,""))))))))))))))))))))))</f>
        <v/>
      </c>
      <c r="BI35" s="6" t="str">
        <f>IF(BJ35&lt;&gt;"","Qiangshu Grupo B","")</f>
        <v/>
      </c>
      <c r="BJ35" s="50" t="str">
        <f>IF(COUNTIF(BF:BH,150)&gt;0,COUNTIF(BF:BH,150),"")</f>
        <v/>
      </c>
      <c r="BK35" s="6" t="str">
        <f>IF(BL35&lt;&gt;"","Qiangshu Grupo B","")</f>
        <v/>
      </c>
      <c r="BL35" s="50" t="str">
        <f>IF(COUNTIF(BF:BH,250)&gt;0,COUNTIF(BF:BH,250),"")</f>
        <v/>
      </c>
      <c r="BM35" s="50" t="str">
        <f>IF(Atletas!K28="","",IF(Atletas!B28="Feminino",100,IF(Atletas!B28="Masculino",200,""))+(IF(Atletas!K28="Equipe 1 Grupo B",1,IF(Atletas!K28="Equipe 2 Grupo B",2,IF(Atletas!K28="Equipe 1 Grupo A",3,IF(Atletas!K28="Equipe 2 Grupo A",4,IF(Atletas!K28="Equipe 1 Adulto",5,IF(Atletas!K28="Equipe 2 Adulto",6,""))))))))</f>
        <v/>
      </c>
      <c r="BR35" s="50" t="str">
        <f>IF(Atletas!L28="","",IF(Atletas!X28&lt;&gt;"",10000,0)+(IF(Atletas!B28="Feminino",1000,IF(Atletas!B28="Masculino",2000,""))+IF(Atletas!L28="Choylayfut A",1,IF(Atletas!L28="Hunggar A",2,IF(Atletas!L28="Wuzuquan A",3,IF(Atletas!L28="Wingchun A",4,IF(Atletas!L28="Outra Mão de Sul A",5,IF(Atletas!L28="Choylayfut B",6,IF(Atletas!L28="Hunggar B",7,IF(Atletas!L28="Wuzuquan B",8,IF(Atletas!L28="Wingchun B",9,IF(Atletas!L28="Outra Mão de Sul B",10,IF(Atletas!L28="Choylayfut C",11,IF(Atletas!L28="Hunggar C",12,IF(Atletas!L28="Wuzuquan C",13,IF(Atletas!L28="Wingchun C",14,IF(Atletas!L28="Outra Mão de Sul C",15,IF(Atletas!L28="Choylayfut D",16,IF(Atletas!L28="Hunggar D",17,IF(Atletas!L28="Wuzuquan D",18,IF(Atletas!L28="Wingchun D",19,IF(Atletas!L28="Outra Mão de Sul D",20,IF(Atletas!L28="Choylayfut E",21,IF(Atletas!L28="Hunggar E",22,IF(Atletas!L28="Wuzuquan E",23,IF(Atletas!L28="Wingchun E",24,IF(Atletas!L28="Outra Mão de Sul E",25,IF(Atletas!L28="Choylayfut F",26,IF(Atletas!L28="Hunggar F",27,IF(Atletas!L28="Wuzuquan F",28,IF(Atletas!L28="Wingchun F",29,IF(Atletas!L28="Outra Mão de Sul F",30,IF(Atletas!L28="Dishuquan A",31,IF(Atletas!L28="Dishuquan B",32,IF(Atletas!L28="Dishuquan C",33,IF(Atletas!L28="Dishuquan D",34,IF(Atletas!L28="Dishuquan E",35,IF(Atletas!L28="Dishuquan F",36,""))))))))))))))))))))))))))))))))))))))</f>
        <v/>
      </c>
      <c r="BS35" s="50" t="str">
        <f>IF(Atletas!M28="","",IF(Atletas!X28&lt;&gt;"",10000,0)+(IF(Atletas!B28="Feminino",1000,IF(Atletas!B28="Masculino",2000,""))+(IF(Atletas!M28="Chaquan A",101,IF(Atletas!M28="Emeiquan A",102,IF(Atletas!M28="Fanziquan A",103,IF(Atletas!M28="Huaquan A",104,IF(Atletas!M28="Hongquan A",105,IF(Atletas!M28="Paoquan A",106,IF(Atletas!M28="Piguaquan A",107,IF(Atletas!M28="Shaolinquan A",108,IF(Atletas!M28="Tanglangquan A",109,IF(Atletas!M28="Yingzhaoquan A",110,IF(Atletas!M28="Tongbeiquan A",111,IF(Atletas!M28="Wudangquan A",112,IF(Atletas!M28="Outros Estilos A",113,IF(Atletas!M28="Chaquan B",114,IF(Atletas!M28="Emeiquan B",115,IF(Atletas!M28="Fanziquan B",116,IF(Atletas!M28="Huaquan B",117,IF(Atletas!M28="Hongquan B",118,IF(Atletas!M28="Paoquan B",119,IF(Atletas!M28="Piguaquan B",120,IF(Atletas!M28="Shaolinquan B",121,IF(Atletas!M28="Tanglangquan B",122,IF(Atletas!M28="Yingzhaoquan B",123,IF(Atletas!M28="Tongbeiquan B",124,IF(Atletas!M28="Wudangquan B",125,IF(Atletas!M28="Outros Estilos B",126,IF(Atletas!M28="Chaquan C",127,IF(Atletas!M28="Emeiquan C",128,IF(Atletas!M28="Fanziquan C",129,IF(Atletas!M28="Huaquan C",130,IF(Atletas!M28="Hongquan C",131,IF(Atletas!M28="Paoquan C",132,IF(Atletas!M28="Piguaquan C",133,IF(Atletas!M28="Shaolinquan C",134,IF(Atletas!M28="Tanglangquan C",135,IF(Atletas!M28="Yingzhaoquan C",136,IF(Atletas!M28="Tongbeiquan C",137,IF(Atletas!M28="Wudangquan C",138,IF(Atletas!M28="Outros Estilos C",139,0))))))))))))))))))))))))))))))))))))))))))</f>
        <v/>
      </c>
      <c r="BT35" s="50" t="str">
        <f>IF(Atletas!M28="","",IF(Atletas!X28&lt;&gt;"",10000,0)+(IF(Atletas!B28="Feminino",1000,IF(Atletas!B28="Masculino",2000,""))+(IF(Atletas!M28="Chaquan D",140,IF(Atletas!M28="Emeiquan D",141,IF(Atletas!M28="Fanziquan D",142,IF(Atletas!M28="Huaquan D",143,IF(Atletas!M28="Hongquan D",144,IF(Atletas!M28="Paoquan D",145,IF(Atletas!M28="Piguaquan D",146,IF(Atletas!M28="Shaolinquan D",147,IF(Atletas!M28="Tanglangquan D",148,IF(Atletas!M28="Yingzhaoquan D",149,IF(Atletas!M28="Tongbeiquan D",150,IF(Atletas!M28="Wudangquan D",151,IF(Atletas!M28="Outros Estilos D",152,IF(Atletas!M28="Chaquan E",153,IF(Atletas!M28="Emeiquan E",154,IF(Atletas!M28="Fanziquan E",155,IF(Atletas!M28="Huaquan E",156,IF(Atletas!M28="Hongquan E",157,IF(Atletas!M28="Paoquan E",158,IF(Atletas!M28="Piguaquan E",159,IF(Atletas!M28="Shaolinquan E",160,IF(Atletas!M28="Tanglangquan E",161,IF(Atletas!M28="Yingzhaoquan E",162,IF(Atletas!M28="Tongbeiquan E",163,IF(Atletas!M28="Wudangquan E",164,IF(Atletas!M28="Outros Estilos E",165,IF(Atletas!M28="Chaquan F",166,IF(Atletas!M28="Emeiquan F",167,IF(Atletas!M28="Fanziquan F",168,IF(Atletas!M28="Huaquan F",169,IF(Atletas!M28="Hongquan F",170,IF(Atletas!M28="Paoquan F",171,IF(Atletas!M28="Piguaquan F",172,IF(Atletas!M28="Shaolinquan F",173,IF(Atletas!M28="Tanglangquan F",174,IF(Atletas!M28="Yingzhaoquan F",175,IF(Atletas!M28="Tongbeiquan F",176,IF(Atletas!M28="Wudangquan F",177,IF(Atletas!M28="Outros Estilos F",178,0))))))))))))))))))))))))))))))))))))))))))</f>
        <v/>
      </c>
      <c r="BU35" s="50" t="str">
        <f>IF(Atletas!N28="","",IF(Atletas!X28&lt;&gt;"",10000,0)+(IF(Atletas!B28="Feminino",1000,IF(Atletas!B28="Masculino",2000,""))+(IF(Atletas!N28="Ditangquan A",201,IF(Atletas!N28="Houquan A",202,IF(Atletas!N28="Zuiquan A",203,IF(Atletas!N28="Ditangquan B",204,IF(Atletas!N28="Houquan B",205,IF(Atletas!N28="Zuiquan B",206,IF(Atletas!N28="Ditangquan C",207,IF(Atletas!N28="Houquan C",208,IF(Atletas!N28="Zuiquan C",209,IF(Atletas!N28="Ditangquan D",210,IF(Atletas!N28="Houquan D",211,IF(Atletas!N28="Zuiquan D",212,IF(Atletas!N28="Ditangquan E",213,IF(Atletas!N28="Houquan E",214,IF(Atletas!N28="Zuiquan E",215,IF(Atletas!N28="Ditangquan F",216,IF(Atletas!N28="Houquan F",217,IF(Atletas!N28="Zuiquan F",218,"")))))))))))))))))))))</f>
        <v/>
      </c>
      <c r="BV35" s="50" t="str">
        <f>IF(Atletas!O28="","",IF(Atletas!X28&lt;&gt;"",10000,0)+IF(Atletas!B28="Feminino",1000,IF(Atletas!B28="Masculino",2000,""))+IF(Atletas!O28="Yang A",301,IF(Atletas!O28="Chen A",302,IF(Atletas!O28="Sun A",303,IF(Atletas!O28="Wu A",304,IF(Atletas!O28="Wu-Hao A",305,IF(Atletas!O28="Outro Taijiquan A",306,IF(Atletas!O28="Yang B",307,IF(Atletas!O28="Chen B",308,IF(Atletas!O28="Sun B",309,IF(Atletas!O28="Wu B",310,IF(Atletas!O28="Wu-Hao B",311,IF(Atletas!O28="Outro Taijiquan B",312,IF(Atletas!O28="Yang C",313,IF(Atletas!O28="Chen C",314,IF(Atletas!O28="Sun C",315,IF(Atletas!O28="Wu C",316,IF(Atletas!O28="Wu-Hao C",317,IF(Atletas!O28="Outro Taijiquan C",318,IF(Atletas!O28="Yang D",319,IF(Atletas!O28="Chen D",320,IF(Atletas!O28="Sun D",321,IF(Atletas!O28="Wu D",322,IF(Atletas!O28="Wu-Hao D",323,IF(Atletas!O28="Outro Taijiquan D",324,IF(Atletas!O28="Yang E",325,IF(Atletas!O28="Chen E",326,IF(Atletas!O28="Sun E",327,IF(Atletas!O28="Wu E",328,IF(Atletas!O28="Wu-Hao E",329,IF(Atletas!O28="Outro Taijiquan E",330,IF(Atletas!O28="Yang F",331,IF(Atletas!O28="Chen F",332,IF(Atletas!O28="Sun F",333,IF(Atletas!O28="Wu F",334,IF(Atletas!O28="Wu-Hao F",335,IF(Atletas!O28="Outro Taijiquan F",336,"")))))))))))))))))))))))))))))))))))))</f>
        <v/>
      </c>
      <c r="BW35" s="50" t="str">
        <f>IF(Atletas!P28="","",IF(Atletas!X28&lt;&gt;"",10000,0)+IF(Atletas!B28="Feminino",1000,IF(Atletas!B28="Masculino",2000,""))+IF(OR(Atletas!P28="Yang 26 A",Atletas!P28="Yang 40 A"),401,IF(OR(Atletas!P28="Chen 25 A",Atletas!P28="Chen 36 A",Atletas!P28="Chen 56 A"),402,IF(Atletas!P28="Sun 73 A",403,IF(Atletas!P28="Wu 45 A",404,IF(Atletas!P28="Wu-Hao 46 A",405,IF(OR(Atletas!P28="Taijiquan 16 A",Atletas!P28="Taijiquan 24 A",Atletas!P28="Taijiquan 32 A",Atletas!P28="Taijiquan 42 A"),406,IF(OR(Atletas!P28="Yang 26 B",Atletas!P28="Yang 40 B"),407,IF(OR(Atletas!P28="Chen 25 B",Atletas!P28="Chen 36 B",Atletas!P28="Chen 56 B"),408,IF(Atletas!P28="Sun 73 B",409,IF(Atletas!P28="Wu 45 B",410,IF(Atletas!P28="Wu-Hao 46 B",411,IF(OR(Atletas!P28="Taijiquan 16 B",Atletas!P28="Taijiquan 24 B",Atletas!P28="Taijiquan 32 B",Atletas!P28="Taijiquan 42 B"),412,IF(OR(Atletas!P28="Yang 26 C",Atletas!P28="Yang 40 C"),413,IF(OR(Atletas!P28="Chen 25 C",Atletas!P28="Chen 36 C",Atletas!P28="Chen 56 C"),414,IF(Atletas!P28="Sun 73 C",415,IF(Atletas!P28="Wu 45 C",416,IF(Atletas!P28="Wu-Hao 46 C",417,IF(OR(Atletas!P28="Taijiquan 16 C",Atletas!P28="Taijiquan 24 C",Atletas!P28="Taijiquan 32 C",Atletas!P28="Taijiquan 42 C"),418,0)))))))))))))))))))</f>
        <v/>
      </c>
      <c r="BX35" s="50" t="str">
        <f>IF(Atletas!P28="","",IF(Atletas!X28&lt;&gt;"",10000,0)+IF(Atletas!B28="Feminino",1000,IF(Atletas!B28="Masculino",2000,""))+IF(OR(Atletas!P28="Yang 26 D",Atletas!P28="Yang 40 D"),419,IF(OR(Atletas!P28="Chen 25 D",Atletas!P28="Chen 36 D",Atletas!P28="Chen 56 D"),420,IF(Atletas!P28="Sun 73 D",421,IF(Atletas!P28="Wu 45 D",422,IF(Atletas!P28="Wu-Hao 46 D",423,IF(OR(Atletas!P28="Taijiquan 16 D",Atletas!P28="Taijiquan 24 D",Atletas!P28="Taijiquan 32 D",Atletas!P28="Taijiquan 42 D"),424,IF(OR(Atletas!P28="Yang 26 E",Atletas!P28="Yang 40 E"),425,IF(OR(Atletas!P28="Chen 25 E",Atletas!P28="Chen 36 E",Atletas!P28="Chen 56 E"),426,IF(Atletas!P28="Sun 73 E",427,IF(Atletas!P28="Wu 45 E",428,IF(Atletas!P28="Wu-Hao 46 E",429,IF(OR(Atletas!P28="Taijiquan 16 E",Atletas!P28="Taijiquan 24 E",Atletas!P28="Taijiquan 32 E",Atletas!P28="Taijiquan 42 E"),430,IF(OR(Atletas!P28="Yang 26 F",Atletas!P28="Yang 40 F"),431,IF(OR(Atletas!P28="Chen 25 F",Atletas!P28="Chen 36 F",Atletas!P28="Chen 56 F"),432,IF(Atletas!P28="Sun 73 F",433,IF(Atletas!P28="Wu 45 F",434,IF(Atletas!P28="Wu-Hao 46 F",435,IF(OR(Atletas!P28="Taijiquan 16 F",Atletas!P28="Taijiquan 24 F",Atletas!P28="Taijiquan 32 F",Atletas!P28="Taijiquan 42 F"),436,0)))))))))))))))))))</f>
        <v/>
      </c>
      <c r="BY35" s="50" t="str">
        <f>IF(Atletas!Q28="","",IF(Atletas!X28&lt;&gt;"",10000,0)+IF(Atletas!B28="Feminino",1000,IF(Atletas!B28="Masculino",2000,""))+IF(Atletas!Q28="Xingyiquan A",501,IF(Atletas!Q28="Baguazhang A",502,IF(Atletas!Q28="Outro Estilo Interno A",503,IF(Atletas!Q28="Xingyiquan B",504,IF(Atletas!Q28="Baguazhang B",505,IF(Atletas!Q28="Outro Estilo Interno B",506,IF(Atletas!Q28="Xingyiquan C",507,IF(Atletas!Q28="Baguazhang C",508,IF(Atletas!Q28="Outro Estilo Interno C",509,IF(Atletas!Q28="Xingyiquan D",510,IF(Atletas!Q28="Baguazhang D",511,IF(Atletas!Q28="Outro Estilo Interno D",512,IF(Atletas!Q28="Xingyiquan E",513,IF(Atletas!Q28="Baguazhang E",514,IF(Atletas!Q28="Outro Estilo Interno E",515,IF(Atletas!Q28="Xingyiquan F",516,IF(Atletas!Q28="Baguazhang F",517,IF(Atletas!Q28="Outro Estilo Interno F",518, "")))))))))))))))))))</f>
        <v/>
      </c>
      <c r="BZ35" s="50" t="str">
        <f>IF(Atletas!R28="","",IF(Atletas!X28&lt;&gt;"",10000,0)+IF(Atletas!B28="Feminino",1000,IF(Atletas!B28="Masculino",2000,""))+IF(Atletas!R28="Dao A",601,IF(Atletas!R28="Jian A",602,IF(Atletas!R28="Bishou A",603,IF(Atletas!R28="Shanzi A",604,IF(Atletas!R28="Outra Arma Curta A",605,IF(Atletas!R28="Dao B",606,IF(Atletas!R28="Jian B",607,IF(Atletas!R28="Bishou B",608,IF(Atletas!R28="Shanzi B",609,IF(Atletas!R28="Outra Arma Curta B",610,IF(Atletas!R28="Dao C",611,IF(Atletas!R28="Jian C",612,IF(Atletas!R28="Bishou C",613,IF(Atletas!R28="Shanzi C",614,IF(Atletas!R28="Outra Arma Curta C",615,IF(Atletas!R28="Dao D",616,IF(Atletas!R28="Jian D",617,IF(Atletas!R28="Bishou D",618,IF(Atletas!R28="Shanzi D",619,IF(Atletas!R28="Outra Arma Curta D",620,IF(Atletas!R28="Dao E",621,IF(Atletas!R28="Jian E",622,IF(Atletas!R28="Bishou E",623,IF(Atletas!R28="Shanzi E",624,IF(Atletas!R28="Outra Arma Curta E",625,IF(Atletas!R28="Dao F",626,IF(Atletas!R28="Jian F",627,IF(Atletas!R28="Bishou F",628,IF(Atletas!R28="Shanzi F",629,IF(Atletas!R28="Outra Arma Curta F",630, "")))))))))))))))))))))))))))))))</f>
        <v/>
      </c>
      <c r="CA35" s="50" t="str">
        <f>IF(Atletas!S28="","",IF(Atletas!X28&lt;&gt;"",10000,0)+IF(Atletas!B28="Feminino",1000,IF(Atletas!B28="Masculino",2000,""))+IF(Atletas!S28="Gun A",701,IF(Atletas!S28="Qiang A",702,IF(Atletas!S28="Pudao / Guandao A",703,IF(Atletas!S28="Outra Arma Longa A",704,IF(Atletas!S28="Gun B",705,IF(Atletas!S28="Qiang B",706,IF(Atletas!S28="Pudao / Guandao B",707,IF(Atletas!S28="Outra Arma Longa B",708,IF(Atletas!S28="Gun C",709,IF(Atletas!S28="Qiang C",710,IF(Atletas!S28="Pudao / Guandao C",711,IF(Atletas!S28="Outra Arma Longa C",712,IF(Atletas!S28="Gun D",713,IF(Atletas!S28="Qiang D",714,IF(Atletas!S28="Pudao / Guandao D",715,IF(Atletas!S28="Outra Arma Longa D",716,IF(Atletas!S28="Gun E",717,IF(Atletas!S28="Qiang E",718,IF(Atletas!S28="Pudao / Guandao E",719,IF(Atletas!S28="Outra Arma Longa E",720,IF(Atletas!S28="Gun F",721,IF(Atletas!S28="Qiang F",722,IF(Atletas!S28="Pudao / Guandao F",723,IF(Atletas!S28="Outra Arma Longa F",724,"")))))))))))))))))))))))))</f>
        <v/>
      </c>
      <c r="CB35" s="50" t="str">
        <f>IF(Atletas!T28="","",IF(Atletas!X28&lt;&gt;"",10000,0)+IF(Atletas!B28="Feminino",1000,IF(Atletas!B28="Masculino",2000,""))+IF(Atletas!T28="Outra Arma Dupla A",801,IF(Atletas!T28="Arma Maleável A",802,IF(Atletas!T28="Outra Arma Dupla B",803,IF(Atletas!T28="Arma Maleável B",804,IF(Atletas!T28="Outra Arma Dupla C",805,IF(Atletas!T28="Arma Maleável C",806,IF(Atletas!T28="Outra Arma Dupla D",807,IF(Atletas!T28="Arma Maleável D",808,IF(Atletas!T28="Outra Arma Dupla E",809,IF(Atletas!T28="Arma Maleável E",810,IF(Atletas!T28="Outra Arma Dupla F",811,IF(Atletas!T28="Arma Maleável F",812,IF(Atletas!T28="Shuangdao A",813,IF(Atletas!T28="Shuangdao B",814,IF(Atletas!T28="Shuangdao C",815,IF(Atletas!T28="Shuangdao D",816,IF(Atletas!T28="Shuangdao E",817,IF(Atletas!T28="Shuangdao F",818,"")))))))))))))))))))</f>
        <v/>
      </c>
      <c r="CC35" s="50" t="str">
        <f>IF(Atletas!U28="","",IF(Atletas!X28&lt;&gt;"",10000,0)+IF(Atletas!B28="Feminino",1000,IF(Atletas!B28="Masculino",2000,""))+IF(OR(Atletas!U28="Taijijian Yang A",Atletas!U28="Taijijian Yang Standard A"),901,IF(OR(Atletas!U28="Taijijian Chen A", Atletas!U28="Taijijian Chen Standard A"),902,IF(Atletas!U28="Taijijian Sun A",903,IF(Atletas!U28="Taijijian Wu A",904,IF(Atletas!U28="Taijijian Wu-Hao A",905,IF(OR(Atletas!U28="Taijijian 32 A",Atletas!U28="Taijijian 42 A"),906,IF(OR(Atletas!U28="Taijijian Yang B",Atletas!U28="Taijijian Yang Standard B"),907,IF(OR(Atletas!U28="Taijijian Chen B", Atletas!U28="Taijijian Chen Standard B"),908,IF(Atletas!U28="Taijijian Sun B",909,IF(Atletas!U28="Taijijian Wu B",910,IF(Atletas!U28="Taijijian Wu-Hao B",911,IF(OR(Atletas!U28="Taijijian 32 B",Atletas!U28="Taijijian 42 B"),912,IF(OR(Atletas!U28="Taijijian Yang C",Atletas!U28="Taijijian Yang Standard C"),913,IF(OR(Atletas!U28="Taijijian Chen C", Atletas!U28="Taijijian Chen Standard C"),914,IF(Atletas!U28="Taijijian Sun C",915,IF(Atletas!U28="Taijijian Wu C",916,IF(Atletas!U28="Taijijian Wu-Hao C",917,IF(OR(Atletas!U28="Taijijian 32 C",Atletas!U28="Taijijian 42 C"),918,IF(OR(Atletas!U28="Taijijian Yang D",Atletas!U28="Taijijian Yang Standard D"),919,IF(OR(Atletas!U28="Taijijian Chen D", Atletas!U28="Taijijian Chen Standard D"),920,IF(Atletas!U28="Taijijian Sun D",921,IF(Atletas!U28="Taijijian Wu D",922,IF(Atletas!U28="Taijijian Wu-Hao D",923,IF(OR(Atletas!U28="Taijijian 32 D",Atletas!U28="Taijijian 42 D"),924,IF(OR(Atletas!U28="Taijijian Yang E",Atletas!U28="Taijijian Yang Standard E"),925,IF(OR(Atletas!U28="Taijijian Chen E", Atletas!U28="Taijijian Chen Standard E"),926,IF(Atletas!U28="Taijijian Sun E",927,IF(Atletas!U28="Taijijian Wu E",928,IF(Atletas!U28="Taijijian Wu-Hao E",929,IF(OR(Atletas!U28="Taijijian 32 E",Atletas!U28="Taijijian 42 E"),930,IF(OR(Atletas!U28="Taijijian Yang F",Atletas!U28="Taijijian Yang Standard F"),931,IF(OR(Atletas!U28="Taijijian Chen F", Atletas!U28="Taijijian Chen Standard F"),932,IF(Atletas!U28="Taijijian Sun F",933,IF(Atletas!U28="Taijijian Wu F",934,IF(Atletas!U28="Taijijian Wu-Hao F",935,IF(OR(Atletas!U28="Taijijian 32 F",Atletas!U28="Taijijian 42 F"),936,"")))))))))))))))))))))))))))))))))))))</f>
        <v/>
      </c>
      <c r="CD35" s="50" t="str">
        <f>IF(Atletas!V28="","",IF(Atletas!X28&lt;&gt;"",10000,0)+IF(Atletas!B28="Feminino",1000,IF(Atletas!B28="Masculino",2000,""))+IF(Atletas!V28="Taijidao A",937,IF(Atletas!V28="TaijiShanzi A",938,IF(Atletas!V28="Taijiqiang A",939,IF(Atletas!V28="Bagua de Arma A",940,IF(Atletas!V28="Xingyi de Arma A",941,IF(Atletas!V28="Taijidao B",942,IF(Atletas!V28="TaijiShanzi B",943,IF(Atletas!V28="Taijiqiang B",944,IF(Atletas!V28="Bagua de Arma B",945,IF(Atletas!V28="Xingyi de Arma B",946,IF(Atletas!V28="Taijidao C",947,IF(Atletas!V28="TaijiShanzi C",948,IF(Atletas!V28="Taijiqiang C",949,IF(Atletas!V28="Bagua de Arma C",950,IF(Atletas!V28="Xingyi de Arma C",951,IF(Atletas!V28="Taijidao D",952,IF(Atletas!V28="TaijiShanzi D",953,IF(Atletas!V28="Taijiqiang D",954,IF(Atletas!V28="Bagua de Arma D",955,IF(Atletas!V28="Xingyi de Arma D",956,IF(Atletas!V28="Taijidao E",957,IF(Atletas!V28="TaijiShanzi E",958,IF(Atletas!V28="Taijiqiang E",959,IF(Atletas!V28="Bagua de Arma E",960,IF(Atletas!V28="Xingyi de Arma E",961,IF(Atletas!V28="Taijidao F",962,IF(Atletas!V28="TaijiShanzi F",963,IF(Atletas!V28="Taijiqiang F",964,IF(Atletas!V28="Bagua de Arma F",965,IF(Atletas!V28="Xingyi de Arma F",966,"")))))))))))))))))))))))))))))))</f>
        <v/>
      </c>
      <c r="CE35" s="66" t="str">
        <f>IF(CF35&lt;&gt;"","Wingchun E","")</f>
        <v/>
      </c>
      <c r="CF35" s="66" t="str">
        <f>IF(COUNTIF(BR:CD,1024)&gt;0,COUNTIF(BR:CD,1024),"")</f>
        <v/>
      </c>
      <c r="CG35" s="66" t="str">
        <f>IF(CH35&lt;&gt;"","Wingchun E","")</f>
        <v/>
      </c>
      <c r="CH35" s="66" t="str">
        <f>IF(COUNTIF(BR:CD,2024)&gt;0,COUNTIF(BR:CD,2024),"")</f>
        <v/>
      </c>
      <c r="CI35" s="66" t="str">
        <f>IF(CJ35&lt;&gt;"","Wingchun F","")</f>
        <v/>
      </c>
      <c r="CJ35" s="66" t="str">
        <f>IF(COUNTIF(BR:CD,11029)&gt;0,COUNTIF(BR:CD,11029),"")</f>
        <v/>
      </c>
      <c r="CK35" s="66" t="str">
        <f>IF(CL35&lt;&gt;"","Wingchun F","")</f>
        <v/>
      </c>
      <c r="CL35" s="66" t="str">
        <f>IF(COUNTIF(BR:CD,12029)&gt;0,COUNTIF(BR:CD,12029),"")</f>
        <v/>
      </c>
      <c r="CM35" s="50" t="str">
        <f xml:space="preserve"> IF(Atletas!W28="","",IF(Atletas!W28="Duilian de Mãos BC - Equipe 1",1,IF(Atletas!W28="Duilian de Mãos BC - Equipe 2",2,IF(Atletas!W28="Duilian de Armas BC - Equipe 1",3,IF(Atletas!W28="Duilian de Armas BC - Equipe 2",4,IF(Atletas!W28="Duilian de Mãos DE - Equipe 1",5,IF(Atletas!W28="Duilian de Mãos DE - Equipe 2",6,IF(Atletas!W28="Duilian de Armas DE - Equipe 1",7,IF(Atletas!W28="Duilian de Armas DE - Equipe 2",8,IF(Atletas!W28="Duilian de Tuishou - Equipe 1",9,IF(Atletas!W28="Duilian de Tuishou - Equipe 2",10,IF(Atletas!W28="Grupo Externo ABC - Equipe 1",11,IF(Atletas!W28="Grupo Externo ABC - Equipe 2",12,IF(Atletas!W28="Grupo Interno ABC - Equipe 1",13,IF(Atletas!W28="Grupo Interno ABC - Equipe 2",14,IF(Atletas!W28="Grupo Externo DEF - Equipe 1",15,IF(Atletas!W28="Grupo Externo DEF - Equipe 2",16,IF(Atletas!W28="Grupo Interno DEF - Equipe 1",17,IF(Atletas!W28="Grupo Interno DEF - Equipe 2",18,"")))))))))))))))))))</f>
        <v/>
      </c>
      <c r="CY35" s="41"/>
    </row>
    <row r="36" spans="2:103">
      <c r="B36" s="3" t="str">
        <f t="array" ref="B36">IFERROR(INDEX(AO$7:AO$38,SMALL(IF(AO$7:AO$38&lt;&gt;"",ROW(AO$7:AO$38)-ROW(AO$7)+1),ROWS(AO$7:AO35))),"")</f>
        <v/>
      </c>
      <c r="C36" s="3" t="str">
        <f t="array" ref="C36">IFERROR(INDEX(AP$7:AP$38,SMALL(IF(AP$7:AP$38&lt;&gt;"",ROW(AP$7:AP$38)-ROW(AP$7)+1),ROWS(AP$7:AP35))),"")</f>
        <v/>
      </c>
      <c r="D36" s="3" t="str">
        <f t="array" ref="D36">IFERROR(INDEX(AQ$7:AQ$38,SMALL(IF(AQ$7:AQ$38&lt;&gt;"",ROW(AQ$7:AQ$38)-ROW(AQ$7)+1),ROWS(AQ$7:AQ35))),"")</f>
        <v/>
      </c>
      <c r="E36" s="3" t="str">
        <f t="array" ref="E36">IFERROR(INDEX(AR$7:AR$38,SMALL(IF(AR$7:AR$38&lt;&gt;"",ROW(AR$7:AR$38)-ROW(AR$7)+1),ROWS(AR$7:AR35))),"")</f>
        <v/>
      </c>
      <c r="F36" s="3" t="str">
        <f t="array" ref="F36">IFERROR(INDEX(AT$7:AT$36,SMALL(IF(AT$7:AT$36&lt;&gt;"",ROW(AT$7:AT$36)-ROW(AT$7)+1),ROWS(AT$7:AT35))),"")</f>
        <v/>
      </c>
      <c r="G36" s="3" t="str">
        <f t="array" ref="G36">IFERROR(INDEX(AU$7:AU$36,SMALL(IF(AU$7:AU$36&lt;&gt;"",ROW(AU$7:AU$36)-ROW(AU$7)+1),ROWS(AU$7:AU35))),"")</f>
        <v/>
      </c>
      <c r="H36" s="3" t="str">
        <f t="array" ref="H36">IFERROR(INDEX(AV$7:AV$36,SMALL(IF(AV$7:AV$36&lt;&gt;"",ROW(AV$7:AV$36)-ROW(AV$7)+1),ROWS(AV$7:AV35))),"")</f>
        <v/>
      </c>
      <c r="I36" s="3" t="str">
        <f t="array" ref="I36">IFERROR(INDEX(AW$7:AW$36,SMALL(IF(AW$7:AW$36&lt;&gt;"",ROW(AW$7:AW$36)-ROW(AW$7)+1),ROWS(AW$7:AW35))),"")</f>
        <v/>
      </c>
      <c r="J36" s="3" t="str">
        <f t="array" ref="J36">IFERROR(INDEX(AW$7:AW$36,SMALL(IF(AW$7:AW$36&lt;&gt;"",ROW(AW$7:AW$36)-ROW(AW$7)+1),ROWS(AW$7:AW35))),"")</f>
        <v/>
      </c>
      <c r="K36" s="3" t="str">
        <f t="array" ref="K36">IFERROR(INDEX(AZ$7:AZ$36,SMALL(IF(AZ$7:AZ$36&lt;&gt;"",ROW(AZ$7:AZ$36)-ROW(AZ$7)+1),ROWS(AZ$7:AZ35))),"")</f>
        <v/>
      </c>
      <c r="L36" s="3" t="str">
        <f t="array" ref="L36">IFERROR(INDEX(BA$7:BA$36,SMALL(IF(BA$7:BA$36&lt;&gt;"",ROW(BA$7:BA$36)-ROW(BA$7)+1),ROWS(BA$7:BA35))),"")</f>
        <v/>
      </c>
      <c r="M36" s="3" t="str">
        <f t="array" ref="M36">IFERROR(INDEX(BB$7:BB$36,SMALL(IF(BB$7:BB$36&lt;&gt;"",ROW(BB$7:BB$36)-ROW(BB$7)+1),ROWS(BB$7:BB35))),"")</f>
        <v/>
      </c>
      <c r="N36" s="3" t="str" cm="1">
        <f t="array" ref="N36">IFERROR(INDEX(BD$7:BD$8,SMALL(IF(BD$7:BD$8&lt;&gt;"",ROW(BD$7:BD$8)-ROW(BD$7)+1),ROWS(BD$7:BD35))),"")</f>
        <v/>
      </c>
      <c r="O36" s="3" t="str" cm="1">
        <f t="array" ref="O36">IFERROR(INDEX(BE$7:BE$8,SMALL(IF(BE$7:BE$8&lt;&gt;"",ROW(BE$7:BE$8)-ROW(BE$7)+1),ROWS(BE$7:BE35))),"")</f>
        <v/>
      </c>
      <c r="P36" s="3" t="str" cm="1">
        <f t="array" ref="P36">IFERROR(INDEX(BD$9:BD$10,SMALL(IF(BD$9:BD$10&lt;&gt;"",ROW(BD$9:BD$10)-ROW(BD$9)+1),ROWS(BD$9:BD37))),"")</f>
        <v/>
      </c>
      <c r="Q36" s="3" t="str">
        <f t="array" ref="Q36">IFERROR(INDEX(BH$7:BH$36,SMALL(IF(BH$7:BH$36&lt;&gt;"",ROW(BH$7:BH$36)-ROW(BH$7)+1),ROWS(BH$7:BH35))),"")</f>
        <v/>
      </c>
      <c r="R36" s="3" t="str">
        <f t="array" ref="R36">IFERROR(INDEX(BI$7:BI$68,SMALL(IF(BI$7:BI$68&lt;&gt;"",ROW(BI$7:BI$68)-ROW(BI$7)+1),ROWS(BI$7:BI35))),"")</f>
        <v/>
      </c>
      <c r="S36" s="3" t="str">
        <f t="array" ref="S36">IFERROR(INDEX(BJ$7:BJ$68,SMALL(IF(BJ$7:BJ$68&lt;&gt;"",ROW(BJ$7:BJ$68)-ROW(BJ$7)+1),ROWS(BJ$7:BJ35))),"")</f>
        <v/>
      </c>
      <c r="T36" s="3" t="str">
        <f t="array" ref="T36">IFERROR(INDEX(BK$7:BK$68,SMALL(IF(BK$7:BK$68&lt;&gt;"",ROW(BK$7:BK$68)-ROW(BK$7)+1),ROWS(BK$7:BK35))),"")</f>
        <v/>
      </c>
      <c r="U36" s="3" t="str">
        <f t="array" ref="U36">IFERROR(INDEX(BL$7:BL$68,SMALL(IF(BL$7:BL$68&lt;&gt;"",ROW(BL$7:BL$68)-ROW(BL$7)+1),ROWS(BL$7:BL35))),"")</f>
        <v/>
      </c>
      <c r="V36" s="3"/>
      <c r="W36" s="3"/>
      <c r="X36" s="3"/>
      <c r="Y36" s="3"/>
      <c r="Z36" s="3" t="str">
        <f t="array" ref="Z36">IFERROR(INDEX(CE$7:CE$348,SMALL(IF(CE$7:CE$348&lt;&gt;"",ROW(CE$7:CE$348)-ROW(CE$7)+1),ROWS(CE$7:CE35))),"")</f>
        <v/>
      </c>
      <c r="AA36" s="3" t="str">
        <f t="array" ref="AA36">IFERROR(INDEX(CF$7:CF$348,SMALL(IF(CF$7:CF$348&lt;&gt;"",ROW(CF$7:CF$348)-ROW(CF$7)+1),ROWS(CF$7:CF35))),"")</f>
        <v/>
      </c>
      <c r="AB36" s="3" t="str">
        <f t="array" ref="AB36">IFERROR(INDEX(CG$7:CG$348,SMALL(IF(CG$7:CG$348&lt;&gt;"",ROW(CG$7:CG$348)-ROW(CG$7)+1),ROWS(CG$7:CG35))),"")</f>
        <v/>
      </c>
      <c r="AC36" s="3" t="str">
        <f t="array" ref="AC36">IFERROR(INDEX(CH$7:CH$348,SMALL(IF(CH$7:CH$348&lt;&gt;"",ROW(CH$7:CH$348)-ROW(CH$7)+1),ROWS(CH$7:CH35))),"")</f>
        <v/>
      </c>
      <c r="AD36" s="3" t="str">
        <f t="array" ref="AD36">IFERROR(INDEX(CI$7:CI$377,SMALL(IF(CI$7:CI$377&lt;&gt;"",ROW(CI$7:CI$377)-ROW(CI$7)+1),ROWS(CI$7:CI35))),"")</f>
        <v/>
      </c>
      <c r="AE36" s="3" t="str">
        <f t="array" ref="AE36">IFERROR(INDEX(CJ$7:CJ$378,SMALL(IF(CJ$7:CJ$378&lt;&gt;"",ROW(CJ$7:CJ$378)-ROW(CJ$7)+1),ROWS(CJ$7:CJ35))),"")</f>
        <v/>
      </c>
      <c r="AF36" s="3" t="str">
        <f t="array" ref="AF36">IFERROR(INDEX(CK$7:CK$378,SMALL(IF(CK$7:CK$378&lt;&gt;"",ROW(CK$7:CK$378)-ROW(CK$7)+1),ROWS(CK$7:CK35))),"")</f>
        <v/>
      </c>
      <c r="AG36" s="3" t="str">
        <f t="array" ref="AG36">IFERROR(INDEX(CL$7:CL$378,SMALL(IF(CL$7:CL$378&lt;&gt;"",ROW(CL$7:CL$378)-ROW(CL$7)+1),ROWS(CL$7:CL35))),"")</f>
        <v/>
      </c>
      <c r="AH36" s="40" t="str">
        <f t="array" ref="AH36">IFERROR(INDEX(CN$7:CN$18,SMALL(IF(CN$7:CN$18&lt;&gt;"",ROW(CN$7:CN$18)-ROW(CN$7)+1),ROWS(CN$7:CN35))),"")</f>
        <v/>
      </c>
      <c r="AI36" s="40" t="str">
        <f t="array" ref="AI36">IFERROR(INDEX(CO$7:CO$18,SMALL(IF(CO$7:CO$18&lt;&gt;"",ROW(CO$7:CO$18)-ROW(CO$7)+1),ROWS(CO$7:CO35))),"")</f>
        <v/>
      </c>
      <c r="AJ36" s="40" t="str">
        <f t="array" ref="AJ36">IFERROR(INDEX(CP$7:CP$8,SMALL(IF(CP$7:CP$8&lt;&gt;"",ROW(CP$7:CP$8)-ROW(CP$7)+1),ROWS(CP$7:CP35))),"")</f>
        <v/>
      </c>
      <c r="AK36" s="40"/>
      <c r="AL36" s="40" t="str">
        <f t="array" ref="AL36">IFERROR(INDEX(CR$7:CR$14,SMALL(IF(CR$7:CR$14&lt;&gt;"",ROW(CR$7:CR$14)-ROW(CR$7)+1),ROWS(CR$7:CR35))),"")</f>
        <v/>
      </c>
      <c r="AM36" s="40"/>
      <c r="AN36" s="52" t="str">
        <f>IF(Atletas!D29="","",IF(Atletas!B29="Feminino",100,IF(Atletas!B29="Masculino",200,""))+(IF(Atletas!D29="Kids 30kg",1,IF(Atletas!D29="Kids 32kg",2, IF(Atletas!D29="Kids 34kg",3,IF(Atletas!D29="Kids 36kg",4,IF(Atletas!D29="Kids 39kg",5,IF(Atletas!D29="Kids 42kg",6,IF(Atletas!D29="Kids 45kg",7, IF(Atletas!D29="Infantil 39kg",8,IF(Atletas!D29="Infantil 42kg",9,IF(Atletas!D29="Infantil 45kg",10,IF(Atletas!D29="Infantil 48kg",11,IF(Atletas!D29="Infantil 52kg",12,IF(Atletas!D29="Infantil 56kg",13,IF(Atletas!D29="Infantil 60kg",14,IF(Atletas!D29="Juvenil 48kg",15,IF(Atletas!D29="Juvenil 52kg",16,IF(Atletas!D29="Juvenil 56kg",17,IF(Atletas!D29="Juvenil 60kg",18,IF(Atletas!D29="Juvenil 65kg",19,IF(Atletas!D29="Juvenil 70kg",20,IF(Atletas!D29="Juvenil 75kg",21,IF(Atletas!D29="Juvenil 80kg",22, IF(Atletas!D29="Juvenil 85kg",23,IF(Atletas!D29="Adulto 48kg",24,IF(Atletas!D29="Adulto 52kg",25,IF(Atletas!D29="Adulto 56kg",26,IF(Atletas!D29="Adulto 60kg",27,IF(Atletas!D29="Adulto 65kg",28,IF(Atletas!D29="Adulto 70kg",29,IF(Atletas!D29="Adulto 75kg",30,IF(Atletas!D29="Adulto 80kg",31,IF(Atletas!D29="Adulto 85kg",32,IF(Atletas!D29="Adulto 90kg",33,IF(Atletas!D29="Adulto 100kg",34, IF(Atletas!D29="Adulto +100kg",35,"")))))))))))))))))))))))))))))))))))))</f>
        <v/>
      </c>
      <c r="AQ36" s="50" t="str">
        <f>IF(AR36&lt;&gt;"","Adulto 75kg","")</f>
        <v/>
      </c>
      <c r="AR36" s="6" t="str">
        <f>IF(COUNTIF(AN:AN,230)&gt;0,COUNTIF(AN:AN,230),"")</f>
        <v/>
      </c>
      <c r="AS36" s="6" t="str">
        <f>IF(Atletas!E29="","",IF(Atletas!B29="Feminino",100,IF(Atletas!B29="Masculino",200,""))+(IF(Atletas!E29="Juvenil 44kg",1,IF(Atletas!E29="Juvenil 48kg",2,IF(Atletas!E29="Juvenil 52kg",3,IF(Atletas!E29="Juvenil 56kg",4,IF(Atletas!E29="Juvenil 60kg",5,IF(Atletas!E29="Juvenil 65kg",6,IF(Atletas!E29="Juvenil 70kg",7,IF(Atletas!E29="Juvenil 75kg",8,IF(Atletas!E29="Juvenil 82kg",9,IF(Atletas!E29="Juvenil 90kg",10,IF(Atletas!E29="Juvenil 100kg",11,IF(Atletas!E29="Adulto 48kg",12,IF(Atletas!E29="Adulto 52kg",13,IF(Atletas!E29="Adulto 56kg",14,IF(Atletas!E29="Adulto 60kg",15,IF(Atletas!E29="Adulto 65kg",16,IF(Atletas!E29="Adulto 70kg",17,IF(Atletas!E29="Adulto 75kg",18,IF(Atletas!E29="Adulto 82kg",19,IF(Atletas!E29="Adulto 90kg",20,IF(Atletas!E29="Adulto 100kg",21,IF(Atletas!E29="Adulto +100kg",22,""))))))))))))))))))))))))</f>
        <v/>
      </c>
      <c r="AX36" s="6" t="str">
        <f>IF(Atletas!F29="","",IF(Atletas!B29="Feminino",100,IF(Atletas!B29="Masculino",200,""))+(IF(Atletas!F29="Adulto 48kg",1,IF(Atletas!F29="Adulto 56kg",2,IF(Atletas!F29="Adulto 65kg",3,IF(Atletas!F29="Adulto 75kg",4,IF(Atletas!F29="Adulto +75kg",5,IF(Atletas!F29="Adulto 52kg",6,IF(Atletas!F29="Adulto 60kg",7,IF(Atletas!F29="Adulto 70kg",8,IF(Atletas!F29="Adulto 80kg",9,IF(Atletas!F29="Adulto 90kg",10,IF(Atletas!F29="Adulto +90kg",11,"")))))))))))))</f>
        <v/>
      </c>
      <c r="BC36" s="6" t="str">
        <f>IF(Atletas!G29="","",IF(Atletas!B29="Feminino",10,IF(Atletas!B29="Masculino",20,""))+(IF(Atletas!G29="Baduanjin A",1,IF(Atletas!G29="Baduanjin B",2))))</f>
        <v/>
      </c>
      <c r="BF36" s="52" t="str">
        <f>IF(Atletas!H29="","",IF(Atletas!B29="Feminino",100,IF(Atletas!B29="Masculino",200,""))+(IF(Atletas!H29="Changquan Mirim",1,IF(Atletas!H29="Nanquan Mirim",2,IF(Atletas!H29="Taijiquan Mirim",3,IF(Atletas!H29="Changquan Grupo C",4,IF(Atletas!H29="Nanquan Grupo C",5,IF(Atletas!H29="Taijiquan Grupo C",6,IF(Atletas!H29="Changquan Grupo B",7,IF(Atletas!H29="Nanquan Grupo B",8,IF(Atletas!H29="Taijiquan Grupo B",9,IF(Atletas!H29="Changquan Grupo A",10,IF(Atletas!H29="Nanquan Grupo A",11,IF(Atletas!H29="Taijiquan Grupo A",12,IF(Atletas!H29="Changquan Opcional",13,IF(Atletas!H29="Nanquan Opcional",14,IF(Atletas!H29="Taijiquan Opcional",15,IF(Atletas!H29="Changquan Adulto",16,IF(Atletas!H29="Nanquan Adulto",17,IF(Atletas!H29="Taijiquan Adulto",18,""))))))))))))))))))))</f>
        <v/>
      </c>
      <c r="BG36" s="52" t="str">
        <f>IF(Atletas!I29="","",IF(Atletas!B29="Feminino",100,IF(Atletas!B29="Masculino",200,""))+(IF(Atletas!I29="Daoshu Mirim",19,IF(Atletas!I29="Jianshu Mirim",20,IF(Atletas!I29="Nandao Mirim",21,IF(Atletas!I29="Taijijian Mirim",22,IF(Atletas!I29="Daoshu Grupo C",23,IF(Atletas!I29="Jianshu Grupo C",24,IF(Atletas!I29="Nandao Grupo C",25,IF(Atletas!I29="Taijijian Grupo C",26,IF(Atletas!I29="Daoshu Grupo B",27,IF(Atletas!I29="Jianshu Grupo B",28,IF(Atletas!I29="Nandao Grupo B",29,IF(Atletas!I29="Taijijian Grupo B",30,IF(Atletas!I29="Daoshu Grupo A",31,IF(Atletas!I29="Jianshu Grupo A",32,IF(Atletas!I29="Nandao Grupo A",33,IF(Atletas!I29="Taijijian Grupo A",34,IF(Atletas!I29="Daoshu Opcional",35,IF(Atletas!I29="Jianshu Opcional",36,IF(Atletas!I29="Nandao Opcional",37,IF(Atletas!I29="Taijijian Opcional",38,IF(Atletas!I29="Daoshu Adulto",39,IF(Atletas!I29="Jianshu Adulto",40,IF(Atletas!I29="Nandao Adulto",41,IF(Atletas!I29="Taijijian Adulto",42,""))))))))))))))))))))))))))</f>
        <v/>
      </c>
      <c r="BH36" s="52" t="str">
        <f>IF(Atletas!J29="","",IF(Atletas!B29="Feminino",100,IF(Atletas!B29="Masculino",200,""))+(IF(Atletas!J29="Gunshu Mirim",43,IF(Atletas!J29="Qiangshu Mirim",44,IF(Atletas!J29="Nangun Mirim",45,IF(Atletas!J29="Gunshu Grupo C",46,IF(Atletas!J29="Qiangshu Grupo C",47,IF(Atletas!J29="Nangun Grupo C",48,IF(Atletas!J29="Gunshu Grupo B",49,IF(Atletas!J29="Qiangshu Grupo B",50,IF(Atletas!J29="Nangun Grupo B",51,IF(Atletas!J29="Gunshu Grupo A",52,IF(Atletas!J29="Qiangshu Grupo A",53,IF(Atletas!J29="Nangun Grupo A",54,IF(Atletas!J29="Gunshu Opcional",55,IF(Atletas!J29="Qiangshu Opcional",56,IF(Atletas!J29="Nangun Opcional",57,IF(Atletas!J29="Gunshu Adulto",58,IF(Atletas!J29="Qiangshu Adulto",59,IF(Atletas!J29="Nangun Adulto",60,IF(Atletas!J29="Taijishan Grupo B",61,IF(Atletas!J29="Taijishan Grupo A",62,""))))))))))))))))))))))</f>
        <v/>
      </c>
      <c r="BI36" s="6" t="str">
        <f>IF(BJ36&lt;&gt;"","Nangun Grupo B","")</f>
        <v/>
      </c>
      <c r="BJ36" s="50" t="str">
        <f>IF(COUNTIF(BF:BH,151)&gt;0,COUNTIF(BF:BH,151),"")</f>
        <v/>
      </c>
      <c r="BK36" s="6" t="str">
        <f>IF(BL36&lt;&gt;"","Nangun Grupo B","")</f>
        <v/>
      </c>
      <c r="BL36" s="50" t="str">
        <f>IF(COUNTIF(BF:BH,251)&gt;0,COUNTIF(BF:BH,251),"")</f>
        <v/>
      </c>
      <c r="BM36" s="50" t="str">
        <f>IF(Atletas!K29="","",IF(Atletas!B29="Feminino",100,IF(Atletas!B29="Masculino",200,""))+(IF(Atletas!K29="Equipe 1 Grupo B",1,IF(Atletas!K29="Equipe 2 Grupo B",2,IF(Atletas!K29="Equipe 1 Grupo A",3,IF(Atletas!K29="Equipe 2 Grupo A",4,IF(Atletas!K29="Equipe 1 Adulto",5,IF(Atletas!K29="Equipe 2 Adulto",6,""))))))))</f>
        <v/>
      </c>
      <c r="BR36" s="50" t="str">
        <f>IF(Atletas!L29="","",IF(Atletas!X29&lt;&gt;"",10000,0)+(IF(Atletas!B29="Feminino",1000,IF(Atletas!B29="Masculino",2000,""))+IF(Atletas!L29="Choylayfut A",1,IF(Atletas!L29="Hunggar A",2,IF(Atletas!L29="Wuzuquan A",3,IF(Atletas!L29="Wingchun A",4,IF(Atletas!L29="Outra Mão de Sul A",5,IF(Atletas!L29="Choylayfut B",6,IF(Atletas!L29="Hunggar B",7,IF(Atletas!L29="Wuzuquan B",8,IF(Atletas!L29="Wingchun B",9,IF(Atletas!L29="Outra Mão de Sul B",10,IF(Atletas!L29="Choylayfut C",11,IF(Atletas!L29="Hunggar C",12,IF(Atletas!L29="Wuzuquan C",13,IF(Atletas!L29="Wingchun C",14,IF(Atletas!L29="Outra Mão de Sul C",15,IF(Atletas!L29="Choylayfut D",16,IF(Atletas!L29="Hunggar D",17,IF(Atletas!L29="Wuzuquan D",18,IF(Atletas!L29="Wingchun D",19,IF(Atletas!L29="Outra Mão de Sul D",20,IF(Atletas!L29="Choylayfut E",21,IF(Atletas!L29="Hunggar E",22,IF(Atletas!L29="Wuzuquan E",23,IF(Atletas!L29="Wingchun E",24,IF(Atletas!L29="Outra Mão de Sul E",25,IF(Atletas!L29="Choylayfut F",26,IF(Atletas!L29="Hunggar F",27,IF(Atletas!L29="Wuzuquan F",28,IF(Atletas!L29="Wingchun F",29,IF(Atletas!L29="Outra Mão de Sul F",30,IF(Atletas!L29="Dishuquan A",31,IF(Atletas!L29="Dishuquan B",32,IF(Atletas!L29="Dishuquan C",33,IF(Atletas!L29="Dishuquan D",34,IF(Atletas!L29="Dishuquan E",35,IF(Atletas!L29="Dishuquan F",36,""))))))))))))))))))))))))))))))))))))))</f>
        <v/>
      </c>
      <c r="BS36" s="50" t="str">
        <f>IF(Atletas!M29="","",IF(Atletas!X29&lt;&gt;"",10000,0)+(IF(Atletas!B29="Feminino",1000,IF(Atletas!B29="Masculino",2000,""))+(IF(Atletas!M29="Chaquan A",101,IF(Atletas!M29="Emeiquan A",102,IF(Atletas!M29="Fanziquan A",103,IF(Atletas!M29="Huaquan A",104,IF(Atletas!M29="Hongquan A",105,IF(Atletas!M29="Paoquan A",106,IF(Atletas!M29="Piguaquan A",107,IF(Atletas!M29="Shaolinquan A",108,IF(Atletas!M29="Tanglangquan A",109,IF(Atletas!M29="Yingzhaoquan A",110,IF(Atletas!M29="Tongbeiquan A",111,IF(Atletas!M29="Wudangquan A",112,IF(Atletas!M29="Outros Estilos A",113,IF(Atletas!M29="Chaquan B",114,IF(Atletas!M29="Emeiquan B",115,IF(Atletas!M29="Fanziquan B",116,IF(Atletas!M29="Huaquan B",117,IF(Atletas!M29="Hongquan B",118,IF(Atletas!M29="Paoquan B",119,IF(Atletas!M29="Piguaquan B",120,IF(Atletas!M29="Shaolinquan B",121,IF(Atletas!M29="Tanglangquan B",122,IF(Atletas!M29="Yingzhaoquan B",123,IF(Atletas!M29="Tongbeiquan B",124,IF(Atletas!M29="Wudangquan B",125,IF(Atletas!M29="Outros Estilos B",126,IF(Atletas!M29="Chaquan C",127,IF(Atletas!M29="Emeiquan C",128,IF(Atletas!M29="Fanziquan C",129,IF(Atletas!M29="Huaquan C",130,IF(Atletas!M29="Hongquan C",131,IF(Atletas!M29="Paoquan C",132,IF(Atletas!M29="Piguaquan C",133,IF(Atletas!M29="Shaolinquan C",134,IF(Atletas!M29="Tanglangquan C",135,IF(Atletas!M29="Yingzhaoquan C",136,IF(Atletas!M29="Tongbeiquan C",137,IF(Atletas!M29="Wudangquan C",138,IF(Atletas!M29="Outros Estilos C",139,0))))))))))))))))))))))))))))))))))))))))))</f>
        <v/>
      </c>
      <c r="BT36" s="50" t="str">
        <f>IF(Atletas!M29="","",IF(Atletas!X29&lt;&gt;"",10000,0)+(IF(Atletas!B29="Feminino",1000,IF(Atletas!B29="Masculino",2000,""))+(IF(Atletas!M29="Chaquan D",140,IF(Atletas!M29="Emeiquan D",141,IF(Atletas!M29="Fanziquan D",142,IF(Atletas!M29="Huaquan D",143,IF(Atletas!M29="Hongquan D",144,IF(Atletas!M29="Paoquan D",145,IF(Atletas!M29="Piguaquan D",146,IF(Atletas!M29="Shaolinquan D",147,IF(Atletas!M29="Tanglangquan D",148,IF(Atletas!M29="Yingzhaoquan D",149,IF(Atletas!M29="Tongbeiquan D",150,IF(Atletas!M29="Wudangquan D",151,IF(Atletas!M29="Outros Estilos D",152,IF(Atletas!M29="Chaquan E",153,IF(Atletas!M29="Emeiquan E",154,IF(Atletas!M29="Fanziquan E",155,IF(Atletas!M29="Huaquan E",156,IF(Atletas!M29="Hongquan E",157,IF(Atletas!M29="Paoquan E",158,IF(Atletas!M29="Piguaquan E",159,IF(Atletas!M29="Shaolinquan E",160,IF(Atletas!M29="Tanglangquan E",161,IF(Atletas!M29="Yingzhaoquan E",162,IF(Atletas!M29="Tongbeiquan E",163,IF(Atletas!M29="Wudangquan E",164,IF(Atletas!M29="Outros Estilos E",165,IF(Atletas!M29="Chaquan F",166,IF(Atletas!M29="Emeiquan F",167,IF(Atletas!M29="Fanziquan F",168,IF(Atletas!M29="Huaquan F",169,IF(Atletas!M29="Hongquan F",170,IF(Atletas!M29="Paoquan F",171,IF(Atletas!M29="Piguaquan F",172,IF(Atletas!M29="Shaolinquan F",173,IF(Atletas!M29="Tanglangquan F",174,IF(Atletas!M29="Yingzhaoquan F",175,IF(Atletas!M29="Tongbeiquan F",176,IF(Atletas!M29="Wudangquan F",177,IF(Atletas!M29="Outros Estilos F",178,0))))))))))))))))))))))))))))))))))))))))))</f>
        <v/>
      </c>
      <c r="BU36" s="50" t="str">
        <f>IF(Atletas!N29="","",IF(Atletas!X29&lt;&gt;"",10000,0)+(IF(Atletas!B29="Feminino",1000,IF(Atletas!B29="Masculino",2000,""))+(IF(Atletas!N29="Ditangquan A",201,IF(Atletas!N29="Houquan A",202,IF(Atletas!N29="Zuiquan A",203,IF(Atletas!N29="Ditangquan B",204,IF(Atletas!N29="Houquan B",205,IF(Atletas!N29="Zuiquan B",206,IF(Atletas!N29="Ditangquan C",207,IF(Atletas!N29="Houquan C",208,IF(Atletas!N29="Zuiquan C",209,IF(Atletas!N29="Ditangquan D",210,IF(Atletas!N29="Houquan D",211,IF(Atletas!N29="Zuiquan D",212,IF(Atletas!N29="Ditangquan E",213,IF(Atletas!N29="Houquan E",214,IF(Atletas!N29="Zuiquan E",215,IF(Atletas!N29="Ditangquan F",216,IF(Atletas!N29="Houquan F",217,IF(Atletas!N29="Zuiquan F",218,"")))))))))))))))))))))</f>
        <v/>
      </c>
      <c r="BV36" s="50" t="str">
        <f>IF(Atletas!O29="","",IF(Atletas!X29&lt;&gt;"",10000,0)+IF(Atletas!B29="Feminino",1000,IF(Atletas!B29="Masculino",2000,""))+IF(Atletas!O29="Yang A",301,IF(Atletas!O29="Chen A",302,IF(Atletas!O29="Sun A",303,IF(Atletas!O29="Wu A",304,IF(Atletas!O29="Wu-Hao A",305,IF(Atletas!O29="Outro Taijiquan A",306,IF(Atletas!O29="Yang B",307,IF(Atletas!O29="Chen B",308,IF(Atletas!O29="Sun B",309,IF(Atletas!O29="Wu B",310,IF(Atletas!O29="Wu-Hao B",311,IF(Atletas!O29="Outro Taijiquan B",312,IF(Atletas!O29="Yang C",313,IF(Atletas!O29="Chen C",314,IF(Atletas!O29="Sun C",315,IF(Atletas!O29="Wu C",316,IF(Atletas!O29="Wu-Hao C",317,IF(Atletas!O29="Outro Taijiquan C",318,IF(Atletas!O29="Yang D",319,IF(Atletas!O29="Chen D",320,IF(Atletas!O29="Sun D",321,IF(Atletas!O29="Wu D",322,IF(Atletas!O29="Wu-Hao D",323,IF(Atletas!O29="Outro Taijiquan D",324,IF(Atletas!O29="Yang E",325,IF(Atletas!O29="Chen E",326,IF(Atletas!O29="Sun E",327,IF(Atletas!O29="Wu E",328,IF(Atletas!O29="Wu-Hao E",329,IF(Atletas!O29="Outro Taijiquan E",330,IF(Atletas!O29="Yang F",331,IF(Atletas!O29="Chen F",332,IF(Atletas!O29="Sun F",333,IF(Atletas!O29="Wu F",334,IF(Atletas!O29="Wu-Hao F",335,IF(Atletas!O29="Outro Taijiquan F",336,"")))))))))))))))))))))))))))))))))))))</f>
        <v/>
      </c>
      <c r="BW36" s="50" t="str">
        <f>IF(Atletas!P29="","",IF(Atletas!X29&lt;&gt;"",10000,0)+IF(Atletas!B29="Feminino",1000,IF(Atletas!B29="Masculino",2000,""))+IF(OR(Atletas!P29="Yang 26 A",Atletas!P29="Yang 40 A"),401,IF(OR(Atletas!P29="Chen 25 A",Atletas!P29="Chen 36 A",Atletas!P29="Chen 56 A"),402,IF(Atletas!P29="Sun 73 A",403,IF(Atletas!P29="Wu 45 A",404,IF(Atletas!P29="Wu-Hao 46 A",405,IF(OR(Atletas!P29="Taijiquan 16 A",Atletas!P29="Taijiquan 24 A",Atletas!P29="Taijiquan 32 A",Atletas!P29="Taijiquan 42 A"),406,IF(OR(Atletas!P29="Yang 26 B",Atletas!P29="Yang 40 B"),407,IF(OR(Atletas!P29="Chen 25 B",Atletas!P29="Chen 36 B",Atletas!P29="Chen 56 B"),408,IF(Atletas!P29="Sun 73 B",409,IF(Atletas!P29="Wu 45 B",410,IF(Atletas!P29="Wu-Hao 46 B",411,IF(OR(Atletas!P29="Taijiquan 16 B",Atletas!P29="Taijiquan 24 B",Atletas!P29="Taijiquan 32 B",Atletas!P29="Taijiquan 42 B"),412,IF(OR(Atletas!P29="Yang 26 C",Atletas!P29="Yang 40 C"),413,IF(OR(Atletas!P29="Chen 25 C",Atletas!P29="Chen 36 C",Atletas!P29="Chen 56 C"),414,IF(Atletas!P29="Sun 73 C",415,IF(Atletas!P29="Wu 45 C",416,IF(Atletas!P29="Wu-Hao 46 C",417,IF(OR(Atletas!P29="Taijiquan 16 C",Atletas!P29="Taijiquan 24 C",Atletas!P29="Taijiquan 32 C",Atletas!P29="Taijiquan 42 C"),418,0)))))))))))))))))))</f>
        <v/>
      </c>
      <c r="BX36" s="50" t="str">
        <f>IF(Atletas!P29="","",IF(Atletas!X29&lt;&gt;"",10000,0)+IF(Atletas!B29="Feminino",1000,IF(Atletas!B29="Masculino",2000,""))+IF(OR(Atletas!P29="Yang 26 D",Atletas!P29="Yang 40 D"),419,IF(OR(Atletas!P29="Chen 25 D",Atletas!P29="Chen 36 D",Atletas!P29="Chen 56 D"),420,IF(Atletas!P29="Sun 73 D",421,IF(Atletas!P29="Wu 45 D",422,IF(Atletas!P29="Wu-Hao 46 D",423,IF(OR(Atletas!P29="Taijiquan 16 D",Atletas!P29="Taijiquan 24 D",Atletas!P29="Taijiquan 32 D",Atletas!P29="Taijiquan 42 D"),424,IF(OR(Atletas!P29="Yang 26 E",Atletas!P29="Yang 40 E"),425,IF(OR(Atletas!P29="Chen 25 E",Atletas!P29="Chen 36 E",Atletas!P29="Chen 56 E"),426,IF(Atletas!P29="Sun 73 E",427,IF(Atletas!P29="Wu 45 E",428,IF(Atletas!P29="Wu-Hao 46 E",429,IF(OR(Atletas!P29="Taijiquan 16 E",Atletas!P29="Taijiquan 24 E",Atletas!P29="Taijiquan 32 E",Atletas!P29="Taijiquan 42 E"),430,IF(OR(Atletas!P29="Yang 26 F",Atletas!P29="Yang 40 F"),431,IF(OR(Atletas!P29="Chen 25 F",Atletas!P29="Chen 36 F",Atletas!P29="Chen 56 F"),432,IF(Atletas!P29="Sun 73 F",433,IF(Atletas!P29="Wu 45 F",434,IF(Atletas!P29="Wu-Hao 46 F",435,IF(OR(Atletas!P29="Taijiquan 16 F",Atletas!P29="Taijiquan 24 F",Atletas!P29="Taijiquan 32 F",Atletas!P29="Taijiquan 42 F"),436,0)))))))))))))))))))</f>
        <v/>
      </c>
      <c r="BY36" s="50" t="str">
        <f>IF(Atletas!Q29="","",IF(Atletas!X29&lt;&gt;"",10000,0)+IF(Atletas!B29="Feminino",1000,IF(Atletas!B29="Masculino",2000,""))+IF(Atletas!Q29="Xingyiquan A",501,IF(Atletas!Q29="Baguazhang A",502,IF(Atletas!Q29="Outro Estilo Interno A",503,IF(Atletas!Q29="Xingyiquan B",504,IF(Atletas!Q29="Baguazhang B",505,IF(Atletas!Q29="Outro Estilo Interno B",506,IF(Atletas!Q29="Xingyiquan C",507,IF(Atletas!Q29="Baguazhang C",508,IF(Atletas!Q29="Outro Estilo Interno C",509,IF(Atletas!Q29="Xingyiquan D",510,IF(Atletas!Q29="Baguazhang D",511,IF(Atletas!Q29="Outro Estilo Interno D",512,IF(Atletas!Q29="Xingyiquan E",513,IF(Atletas!Q29="Baguazhang E",514,IF(Atletas!Q29="Outro Estilo Interno E",515,IF(Atletas!Q29="Xingyiquan F",516,IF(Atletas!Q29="Baguazhang F",517,IF(Atletas!Q29="Outro Estilo Interno F",518, "")))))))))))))))))))</f>
        <v/>
      </c>
      <c r="BZ36" s="50" t="str">
        <f>IF(Atletas!R29="","",IF(Atletas!X29&lt;&gt;"",10000,0)+IF(Atletas!B29="Feminino",1000,IF(Atletas!B29="Masculino",2000,""))+IF(Atletas!R29="Dao A",601,IF(Atletas!R29="Jian A",602,IF(Atletas!R29="Bishou A",603,IF(Atletas!R29="Shanzi A",604,IF(Atletas!R29="Outra Arma Curta A",605,IF(Atletas!R29="Dao B",606,IF(Atletas!R29="Jian B",607,IF(Atletas!R29="Bishou B",608,IF(Atletas!R29="Shanzi B",609,IF(Atletas!R29="Outra Arma Curta B",610,IF(Atletas!R29="Dao C",611,IF(Atletas!R29="Jian C",612,IF(Atletas!R29="Bishou C",613,IF(Atletas!R29="Shanzi C",614,IF(Atletas!R29="Outra Arma Curta C",615,IF(Atletas!R29="Dao D",616,IF(Atletas!R29="Jian D",617,IF(Atletas!R29="Bishou D",618,IF(Atletas!R29="Shanzi D",619,IF(Atletas!R29="Outra Arma Curta D",620,IF(Atletas!R29="Dao E",621,IF(Atletas!R29="Jian E",622,IF(Atletas!R29="Bishou E",623,IF(Atletas!R29="Shanzi E",624,IF(Atletas!R29="Outra Arma Curta E",625,IF(Atletas!R29="Dao F",626,IF(Atletas!R29="Jian F",627,IF(Atletas!R29="Bishou F",628,IF(Atletas!R29="Shanzi F",629,IF(Atletas!R29="Outra Arma Curta F",630, "")))))))))))))))))))))))))))))))</f>
        <v/>
      </c>
      <c r="CA36" s="50" t="str">
        <f>IF(Atletas!S29="","",IF(Atletas!X29&lt;&gt;"",10000,0)+IF(Atletas!B29="Feminino",1000,IF(Atletas!B29="Masculino",2000,""))+IF(Atletas!S29="Gun A",701,IF(Atletas!S29="Qiang A",702,IF(Atletas!S29="Pudao / Guandao A",703,IF(Atletas!S29="Outra Arma Longa A",704,IF(Atletas!S29="Gun B",705,IF(Atletas!S29="Qiang B",706,IF(Atletas!S29="Pudao / Guandao B",707,IF(Atletas!S29="Outra Arma Longa B",708,IF(Atletas!S29="Gun C",709,IF(Atletas!S29="Qiang C",710,IF(Atletas!S29="Pudao / Guandao C",711,IF(Atletas!S29="Outra Arma Longa C",712,IF(Atletas!S29="Gun D",713,IF(Atletas!S29="Qiang D",714,IF(Atletas!S29="Pudao / Guandao D",715,IF(Atletas!S29="Outra Arma Longa D",716,IF(Atletas!S29="Gun E",717,IF(Atletas!S29="Qiang E",718,IF(Atletas!S29="Pudao / Guandao E",719,IF(Atletas!S29="Outra Arma Longa E",720,IF(Atletas!S29="Gun F",721,IF(Atletas!S29="Qiang F",722,IF(Atletas!S29="Pudao / Guandao F",723,IF(Atletas!S29="Outra Arma Longa F",724,"")))))))))))))))))))))))))</f>
        <v/>
      </c>
      <c r="CB36" s="50" t="str">
        <f>IF(Atletas!T29="","",IF(Atletas!X29&lt;&gt;"",10000,0)+IF(Atletas!B29="Feminino",1000,IF(Atletas!B29="Masculino",2000,""))+IF(Atletas!T29="Outra Arma Dupla A",801,IF(Atletas!T29="Arma Maleável A",802,IF(Atletas!T29="Outra Arma Dupla B",803,IF(Atletas!T29="Arma Maleável B",804,IF(Atletas!T29="Outra Arma Dupla C",805,IF(Atletas!T29="Arma Maleável C",806,IF(Atletas!T29="Outra Arma Dupla D",807,IF(Atletas!T29="Arma Maleável D",808,IF(Atletas!T29="Outra Arma Dupla E",809,IF(Atletas!T29="Arma Maleável E",810,IF(Atletas!T29="Outra Arma Dupla F",811,IF(Atletas!T29="Arma Maleável F",812,IF(Atletas!T29="Shuangdao A",813,IF(Atletas!T29="Shuangdao B",814,IF(Atletas!T29="Shuangdao C",815,IF(Atletas!T29="Shuangdao D",816,IF(Atletas!T29="Shuangdao E",817,IF(Atletas!T29="Shuangdao F",818,"")))))))))))))))))))</f>
        <v/>
      </c>
      <c r="CC36" s="50" t="str">
        <f>IF(Atletas!U29="","",IF(Atletas!X29&lt;&gt;"",10000,0)+IF(Atletas!B29="Feminino",1000,IF(Atletas!B29="Masculino",2000,""))+IF(OR(Atletas!U29="Taijijian Yang A",Atletas!U29="Taijijian Yang Standard A"),901,IF(OR(Atletas!U29="Taijijian Chen A", Atletas!U29="Taijijian Chen Standard A"),902,IF(Atletas!U29="Taijijian Sun A",903,IF(Atletas!U29="Taijijian Wu A",904,IF(Atletas!U29="Taijijian Wu-Hao A",905,IF(OR(Atletas!U29="Taijijian 32 A",Atletas!U29="Taijijian 42 A"),906,IF(OR(Atletas!U29="Taijijian Yang B",Atletas!U29="Taijijian Yang Standard B"),907,IF(OR(Atletas!U29="Taijijian Chen B", Atletas!U29="Taijijian Chen Standard B"),908,IF(Atletas!U29="Taijijian Sun B",909,IF(Atletas!U29="Taijijian Wu B",910,IF(Atletas!U29="Taijijian Wu-Hao B",911,IF(OR(Atletas!U29="Taijijian 32 B",Atletas!U29="Taijijian 42 B"),912,IF(OR(Atletas!U29="Taijijian Yang C",Atletas!U29="Taijijian Yang Standard C"),913,IF(OR(Atletas!U29="Taijijian Chen C", Atletas!U29="Taijijian Chen Standard C"),914,IF(Atletas!U29="Taijijian Sun C",915,IF(Atletas!U29="Taijijian Wu C",916,IF(Atletas!U29="Taijijian Wu-Hao C",917,IF(OR(Atletas!U29="Taijijian 32 C",Atletas!U29="Taijijian 42 C"),918,IF(OR(Atletas!U29="Taijijian Yang D",Atletas!U29="Taijijian Yang Standard D"),919,IF(OR(Atletas!U29="Taijijian Chen D", Atletas!U29="Taijijian Chen Standard D"),920,IF(Atletas!U29="Taijijian Sun D",921,IF(Atletas!U29="Taijijian Wu D",922,IF(Atletas!U29="Taijijian Wu-Hao D",923,IF(OR(Atletas!U29="Taijijian 32 D",Atletas!U29="Taijijian 42 D"),924,IF(OR(Atletas!U29="Taijijian Yang E",Atletas!U29="Taijijian Yang Standard E"),925,IF(OR(Atletas!U29="Taijijian Chen E", Atletas!U29="Taijijian Chen Standard E"),926,IF(Atletas!U29="Taijijian Sun E",927,IF(Atletas!U29="Taijijian Wu E",928,IF(Atletas!U29="Taijijian Wu-Hao E",929,IF(OR(Atletas!U29="Taijijian 32 E",Atletas!U29="Taijijian 42 E"),930,IF(OR(Atletas!U29="Taijijian Yang F",Atletas!U29="Taijijian Yang Standard F"),931,IF(OR(Atletas!U29="Taijijian Chen F", Atletas!U29="Taijijian Chen Standard F"),932,IF(Atletas!U29="Taijijian Sun F",933,IF(Atletas!U29="Taijijian Wu F",934,IF(Atletas!U29="Taijijian Wu-Hao F",935,IF(OR(Atletas!U29="Taijijian 32 F",Atletas!U29="Taijijian 42 F"),936,"")))))))))))))))))))))))))))))))))))))</f>
        <v/>
      </c>
      <c r="CD36" s="50" t="str">
        <f>IF(Atletas!V29="","",IF(Atletas!X29&lt;&gt;"",10000,0)+IF(Atletas!B29="Feminino",1000,IF(Atletas!B29="Masculino",2000,""))+IF(Atletas!V29="Taijidao A",937,IF(Atletas!V29="TaijiShanzi A",938,IF(Atletas!V29="Taijiqiang A",939,IF(Atletas!V29="Bagua de Arma A",940,IF(Atletas!V29="Xingyi de Arma A",941,IF(Atletas!V29="Taijidao B",942,IF(Atletas!V29="TaijiShanzi B",943,IF(Atletas!V29="Taijiqiang B",944,IF(Atletas!V29="Bagua de Arma B",945,IF(Atletas!V29="Xingyi de Arma B",946,IF(Atletas!V29="Taijidao C",947,IF(Atletas!V29="TaijiShanzi C",948,IF(Atletas!V29="Taijiqiang C",949,IF(Atletas!V29="Bagua de Arma C",950,IF(Atletas!V29="Xingyi de Arma C",951,IF(Atletas!V29="Taijidao D",952,IF(Atletas!V29="TaijiShanzi D",953,IF(Atletas!V29="Taijiqiang D",954,IF(Atletas!V29="Bagua de Arma D",955,IF(Atletas!V29="Xingyi de Arma D",956,IF(Atletas!V29="Taijidao E",957,IF(Atletas!V29="TaijiShanzi E",958,IF(Atletas!V29="Taijiqiang E",959,IF(Atletas!V29="Bagua de Arma E",960,IF(Atletas!V29="Xingyi de Arma E",961,IF(Atletas!V29="Taijidao F",962,IF(Atletas!V29="TaijiShanzi F",963,IF(Atletas!V29="Taijiqiang F",964,IF(Atletas!V29="Bagua de Arma F",965,IF(Atletas!V29="Xingyi de Arma F",966,"")))))))))))))))))))))))))))))))</f>
        <v/>
      </c>
      <c r="CE36" s="66" t="str">
        <f>IF(CF36&lt;&gt;"","Outra Mão de Sul E","")</f>
        <v/>
      </c>
      <c r="CF36" s="66" t="str">
        <f>IF(COUNTIF(BR:CD,1025)&gt;0,COUNTIF(BR:CD,1025),"")</f>
        <v/>
      </c>
      <c r="CG36" s="66" t="str">
        <f>IF(CH36&lt;&gt;"","Outra Mão de Sul E","")</f>
        <v/>
      </c>
      <c r="CH36" s="66" t="str">
        <f>IF(COUNTIF(BR:CD,2025)&gt;0,COUNTIF(BR:CD,2025),"")</f>
        <v/>
      </c>
      <c r="CI36" s="66" t="str">
        <f>IF(CJ36&lt;&gt;"","Outra Mão de Sul F","")</f>
        <v/>
      </c>
      <c r="CJ36" s="66" t="str">
        <f>IF(COUNTIF(BR:CD,11030)&gt;0,COUNTIF(BR:CD,11030),"")</f>
        <v/>
      </c>
      <c r="CK36" s="66" t="str">
        <f>IF(CL36&lt;&gt;"","Outra Mão de Sul F","")</f>
        <v/>
      </c>
      <c r="CL36" s="66" t="str">
        <f>IF(COUNTIF(BR:CD,12030)&gt;0,COUNTIF(BR:CD,12030),"")</f>
        <v/>
      </c>
      <c r="CM36" s="50" t="str">
        <f xml:space="preserve"> IF(Atletas!W29="","",IF(Atletas!W29="Duilian de Mãos BC - Equipe 1",1,IF(Atletas!W29="Duilian de Mãos BC - Equipe 2",2,IF(Atletas!W29="Duilian de Armas BC - Equipe 1",3,IF(Atletas!W29="Duilian de Armas BC - Equipe 2",4,IF(Atletas!W29="Duilian de Mãos DE - Equipe 1",5,IF(Atletas!W29="Duilian de Mãos DE - Equipe 2",6,IF(Atletas!W29="Duilian de Armas DE - Equipe 1",7,IF(Atletas!W29="Duilian de Armas DE - Equipe 2",8,IF(Atletas!W29="Duilian de Tuishou - Equipe 1",9,IF(Atletas!W29="Duilian de Tuishou - Equipe 2",10,IF(Atletas!W29="Grupo Externo ABC - Equipe 1",11,IF(Atletas!W29="Grupo Externo ABC - Equipe 2",12,IF(Atletas!W29="Grupo Interno ABC - Equipe 1",13,IF(Atletas!W29="Grupo Interno ABC - Equipe 2",14,IF(Atletas!W29="Grupo Externo DEF - Equipe 1",15,IF(Atletas!W29="Grupo Externo DEF - Equipe 2",16,IF(Atletas!W29="Grupo Interno DEF - Equipe 1",17,IF(Atletas!W29="Grupo Interno DEF - Equipe 2",18,"")))))))))))))))))))</f>
        <v/>
      </c>
      <c r="CY36" s="41"/>
    </row>
    <row r="37" spans="2:103">
      <c r="B37" s="3" t="str">
        <f t="array" ref="B37">IFERROR(INDEX(AO$7:AO$38,SMALL(IF(AO$7:AO$38&lt;&gt;"",ROW(AO$7:AO$38)-ROW(AO$7)+1),ROWS(AO$7:AO36))),"")</f>
        <v/>
      </c>
      <c r="C37" s="3" t="str">
        <f t="array" ref="C37">IFERROR(INDEX(AP$7:AP$38,SMALL(IF(AP$7:AP$38&lt;&gt;"",ROW(AP$7:AP$38)-ROW(AP$7)+1),ROWS(AP$7:AP36))),"")</f>
        <v/>
      </c>
      <c r="D37" s="3" t="str">
        <f t="array" ref="D37">IFERROR(INDEX(AQ$7:AQ$38,SMALL(IF(AQ$7:AQ$38&lt;&gt;"",ROW(AQ$7:AQ$38)-ROW(AQ$7)+1),ROWS(AQ$7:AQ36))),"")</f>
        <v/>
      </c>
      <c r="E37" s="3" t="str">
        <f t="array" ref="E37">IFERROR(INDEX(AR$7:AR$38,SMALL(IF(AR$7:AR$38&lt;&gt;"",ROW(AR$7:AR$38)-ROW(AR$7)+1),ROWS(AR$7:AR36))),"")</f>
        <v/>
      </c>
      <c r="F37" s="3" t="str">
        <f t="array" ref="F37">IFERROR(INDEX(AT$7:AT$36,SMALL(IF(AT$7:AT$36&lt;&gt;"",ROW(AT$7:AT$36)-ROW(AT$7)+1),ROWS(AT$7:AT36))),"")</f>
        <v/>
      </c>
      <c r="G37" s="3" t="str">
        <f t="array" ref="G37">IFERROR(INDEX(AU$7:AU$36,SMALL(IF(AU$7:AU$36&lt;&gt;"",ROW(AU$7:AU$36)-ROW(AU$7)+1),ROWS(AU$7:AU36))),"")</f>
        <v/>
      </c>
      <c r="H37" s="3" t="str">
        <f t="array" ref="H37">IFERROR(INDEX(AV$7:AV$36,SMALL(IF(AV$7:AV$36&lt;&gt;"",ROW(AV$7:AV$36)-ROW(AV$7)+1),ROWS(AV$7:AV36))),"")</f>
        <v/>
      </c>
      <c r="I37" s="3" t="str">
        <f t="array" ref="I37">IFERROR(INDEX(AW$7:AW$36,SMALL(IF(AW$7:AW$36&lt;&gt;"",ROW(AW$7:AW$36)-ROW(AW$7)+1),ROWS(AW$7:AW36))),"")</f>
        <v/>
      </c>
      <c r="J37" s="3" t="str">
        <f t="array" ref="J37">IFERROR(INDEX(AW$7:AW$36,SMALL(IF(AW$7:AW$36&lt;&gt;"",ROW(AW$7:AW$36)-ROW(AW$7)+1),ROWS(AW$7:AW36))),"")</f>
        <v/>
      </c>
      <c r="K37" s="3" t="str">
        <f t="array" ref="K37">IFERROR(INDEX(AZ$7:AZ$36,SMALL(IF(AZ$7:AZ$36&lt;&gt;"",ROW(AZ$7:AZ$36)-ROW(AZ$7)+1),ROWS(AZ$7:AZ36))),"")</f>
        <v/>
      </c>
      <c r="L37" s="3" t="str">
        <f t="array" ref="L37">IFERROR(INDEX(BA$7:BA$36,SMALL(IF(BA$7:BA$36&lt;&gt;"",ROW(BA$7:BA$36)-ROW(BA$7)+1),ROWS(BA$7:BA36))),"")</f>
        <v/>
      </c>
      <c r="M37" s="3" t="str">
        <f t="array" ref="M37">IFERROR(INDEX(BB$7:BB$36,SMALL(IF(BB$7:BB$36&lt;&gt;"",ROW(BB$7:BB$36)-ROW(BB$7)+1),ROWS(BB$7:BB36))),"")</f>
        <v/>
      </c>
      <c r="N37" s="3" t="str" cm="1">
        <f t="array" ref="N37">IFERROR(INDEX(BD$7:BD$8,SMALL(IF(BD$7:BD$8&lt;&gt;"",ROW(BD$7:BD$8)-ROW(BD$7)+1),ROWS(BD$7:BD36))),"")</f>
        <v/>
      </c>
      <c r="O37" s="3" t="str" cm="1">
        <f t="array" ref="O37">IFERROR(INDEX(BE$7:BE$8,SMALL(IF(BE$7:BE$8&lt;&gt;"",ROW(BE$7:BE$8)-ROW(BE$7)+1),ROWS(BE$7:BE36))),"")</f>
        <v/>
      </c>
      <c r="P37" s="3" t="str" cm="1">
        <f t="array" ref="P37">IFERROR(INDEX(BD$9:BD$10,SMALL(IF(BD$9:BD$10&lt;&gt;"",ROW(BD$9:BD$10)-ROW(BD$9)+1),ROWS(BD$9:BD38))),"")</f>
        <v/>
      </c>
      <c r="Q37" s="3" t="str">
        <f t="array" ref="Q37">IFERROR(INDEX(BH$7:BH$36,SMALL(IF(BH$7:BH$36&lt;&gt;"",ROW(BH$7:BH$36)-ROW(BH$7)+1),ROWS(BH$7:BH36))),"")</f>
        <v/>
      </c>
      <c r="R37" s="3" t="str">
        <f t="array" ref="R37">IFERROR(INDEX(BI$7:BI$68,SMALL(IF(BI$7:BI$68&lt;&gt;"",ROW(BI$7:BI$68)-ROW(BI$7)+1),ROWS(BI$7:BI36))),"")</f>
        <v/>
      </c>
      <c r="S37" s="3" t="str">
        <f t="array" ref="S37">IFERROR(INDEX(BJ$7:BJ$68,SMALL(IF(BJ$7:BJ$68&lt;&gt;"",ROW(BJ$7:BJ$68)-ROW(BJ$7)+1),ROWS(BJ$7:BJ36))),"")</f>
        <v/>
      </c>
      <c r="T37" s="3" t="str">
        <f t="array" ref="T37">IFERROR(INDEX(BK$7:BK$68,SMALL(IF(BK$7:BK$68&lt;&gt;"",ROW(BK$7:BK$68)-ROW(BK$7)+1),ROWS(BK$7:BK36))),"")</f>
        <v/>
      </c>
      <c r="U37" s="3" t="str">
        <f t="array" ref="U37">IFERROR(INDEX(BL$7:BL$68,SMALL(IF(BL$7:BL$68&lt;&gt;"",ROW(BL$7:BL$68)-ROW(BL$7)+1),ROWS(BL$7:BL36))),"")</f>
        <v/>
      </c>
      <c r="V37" s="3"/>
      <c r="W37" s="3"/>
      <c r="X37" s="3"/>
      <c r="Y37" s="3"/>
      <c r="Z37" s="3" t="str">
        <f t="array" ref="Z37">IFERROR(INDEX(CE$7:CE$348,SMALL(IF(CE$7:CE$348&lt;&gt;"",ROW(CE$7:CE$348)-ROW(CE$7)+1),ROWS(CE$7:CE36))),"")</f>
        <v/>
      </c>
      <c r="AA37" s="3" t="str">
        <f t="array" ref="AA37">IFERROR(INDEX(CF$7:CF$348,SMALL(IF(CF$7:CF$348&lt;&gt;"",ROW(CF$7:CF$348)-ROW(CF$7)+1),ROWS(CF$7:CF36))),"")</f>
        <v/>
      </c>
      <c r="AB37" s="3" t="str">
        <f t="array" ref="AB37">IFERROR(INDEX(CG$7:CG$348,SMALL(IF(CG$7:CG$348&lt;&gt;"",ROW(CG$7:CG$348)-ROW(CG$7)+1),ROWS(CG$7:CG36))),"")</f>
        <v/>
      </c>
      <c r="AC37" s="3" t="str">
        <f t="array" ref="AC37">IFERROR(INDEX(CH$7:CH$348,SMALL(IF(CH$7:CH$348&lt;&gt;"",ROW(CH$7:CH$348)-ROW(CH$7)+1),ROWS(CH$7:CH36))),"")</f>
        <v/>
      </c>
      <c r="AD37" s="3" t="str">
        <f t="array" ref="AD37">IFERROR(INDEX(CI$7:CI$377,SMALL(IF(CI$7:CI$377&lt;&gt;"",ROW(CI$7:CI$377)-ROW(CI$7)+1),ROWS(CI$7:CI36))),"")</f>
        <v/>
      </c>
      <c r="AE37" s="3" t="str">
        <f t="array" ref="AE37">IFERROR(INDEX(CJ$7:CJ$378,SMALL(IF(CJ$7:CJ$378&lt;&gt;"",ROW(CJ$7:CJ$378)-ROW(CJ$7)+1),ROWS(CJ$7:CJ36))),"")</f>
        <v/>
      </c>
      <c r="AF37" s="3" t="str">
        <f t="array" ref="AF37">IFERROR(INDEX(CK$7:CK$378,SMALL(IF(CK$7:CK$378&lt;&gt;"",ROW(CK$7:CK$378)-ROW(CK$7)+1),ROWS(CK$7:CK36))),"")</f>
        <v/>
      </c>
      <c r="AG37" s="3" t="str">
        <f t="array" ref="AG37">IFERROR(INDEX(CL$7:CL$378,SMALL(IF(CL$7:CL$378&lt;&gt;"",ROW(CL$7:CL$378)-ROW(CL$7)+1),ROWS(CL$7:CL36))),"")</f>
        <v/>
      </c>
      <c r="AH37" s="40" t="str">
        <f t="array" ref="AH37">IFERROR(INDEX(CN$7:CN$18,SMALL(IF(CN$7:CN$18&lt;&gt;"",ROW(CN$7:CN$18)-ROW(CN$7)+1),ROWS(CN$7:CN36))),"")</f>
        <v/>
      </c>
      <c r="AI37" s="40" t="str">
        <f t="array" ref="AI37">IFERROR(INDEX(CO$7:CO$18,SMALL(IF(CO$7:CO$18&lt;&gt;"",ROW(CO$7:CO$18)-ROW(CO$7)+1),ROWS(CO$7:CO36))),"")</f>
        <v/>
      </c>
      <c r="AJ37" s="40" t="str">
        <f t="array" ref="AJ37">IFERROR(INDEX(CP$7:CP$8,SMALL(IF(CP$7:CP$8&lt;&gt;"",ROW(CP$7:CP$8)-ROW(CP$7)+1),ROWS(CP$7:CP36))),"")</f>
        <v/>
      </c>
      <c r="AK37" s="40"/>
      <c r="AL37" s="40" t="str">
        <f t="array" ref="AL37">IFERROR(INDEX(CR$7:CR$14,SMALL(IF(CR$7:CR$14&lt;&gt;"",ROW(CR$7:CR$14)-ROW(CR$7)+1),ROWS(CR$7:CR36))),"")</f>
        <v/>
      </c>
      <c r="AM37" s="40"/>
      <c r="AN37" s="52" t="str">
        <f>IF(Atletas!D30="","",IF(Atletas!B30="Feminino",100,IF(Atletas!B30="Masculino",200,""))+(IF(Atletas!D30="Kids 30kg",1,IF(Atletas!D30="Kids 32kg",2, IF(Atletas!D30="Kids 34kg",3,IF(Atletas!D30="Kids 36kg",4,IF(Atletas!D30="Kids 39kg",5,IF(Atletas!D30="Kids 42kg",6,IF(Atletas!D30="Kids 45kg",7, IF(Atletas!D30="Infantil 39kg",8,IF(Atletas!D30="Infantil 42kg",9,IF(Atletas!D30="Infantil 45kg",10,IF(Atletas!D30="Infantil 48kg",11,IF(Atletas!D30="Infantil 52kg",12,IF(Atletas!D30="Infantil 56kg",13,IF(Atletas!D30="Infantil 60kg",14,IF(Atletas!D30="Juvenil 48kg",15,IF(Atletas!D30="Juvenil 52kg",16,IF(Atletas!D30="Juvenil 56kg",17,IF(Atletas!D30="Juvenil 60kg",18,IF(Atletas!D30="Juvenil 65kg",19,IF(Atletas!D30="Juvenil 70kg",20,IF(Atletas!D30="Juvenil 75kg",21,IF(Atletas!D30="Juvenil 80kg",22, IF(Atletas!D30="Juvenil 85kg",23,IF(Atletas!D30="Adulto 48kg",24,IF(Atletas!D30="Adulto 52kg",25,IF(Atletas!D30="Adulto 56kg",26,IF(Atletas!D30="Adulto 60kg",27,IF(Atletas!D30="Adulto 65kg",28,IF(Atletas!D30="Adulto 70kg",29,IF(Atletas!D30="Adulto 75kg",30,IF(Atletas!D30="Adulto 80kg",31,IF(Atletas!D30="Adulto 85kg",32,IF(Atletas!D30="Adulto 90kg",33,IF(Atletas!D30="Adulto 100kg",34, IF(Atletas!D30="Adulto +100kg",35,"")))))))))))))))))))))))))))))))))))))</f>
        <v/>
      </c>
      <c r="AQ37" s="50" t="str">
        <f>IF(AR37&lt;&gt;"","Adulto 80kg","")</f>
        <v/>
      </c>
      <c r="AR37" s="6" t="str">
        <f>IF(COUNTIF(AN:AN,231)&gt;0,COUNTIF(AN:AN,231),"")</f>
        <v/>
      </c>
      <c r="AS37" s="6" t="str">
        <f>IF(Atletas!E30="","",IF(Atletas!B30="Feminino",100,IF(Atletas!B30="Masculino",200,""))+(IF(Atletas!E30="Juvenil 44kg",1,IF(Atletas!E30="Juvenil 48kg",2,IF(Atletas!E30="Juvenil 52kg",3,IF(Atletas!E30="Juvenil 56kg",4,IF(Atletas!E30="Juvenil 60kg",5,IF(Atletas!E30="Juvenil 65kg",6,IF(Atletas!E30="Juvenil 70kg",7,IF(Atletas!E30="Juvenil 75kg",8,IF(Atletas!E30="Juvenil 82kg",9,IF(Atletas!E30="Juvenil 90kg",10,IF(Atletas!E30="Juvenil 100kg",11,IF(Atletas!E30="Adulto 48kg",12,IF(Atletas!E30="Adulto 52kg",13,IF(Atletas!E30="Adulto 56kg",14,IF(Atletas!E30="Adulto 60kg",15,IF(Atletas!E30="Adulto 65kg",16,IF(Atletas!E30="Adulto 70kg",17,IF(Atletas!E30="Adulto 75kg",18,IF(Atletas!E30="Adulto 82kg",19,IF(Atletas!E30="Adulto 90kg",20,IF(Atletas!E30="Adulto 100kg",21,IF(Atletas!E30="Adulto +100kg",22,""))))))))))))))))))))))))</f>
        <v/>
      </c>
      <c r="AX37" s="6" t="str">
        <f>IF(Atletas!F30="","",IF(Atletas!B30="Feminino",100,IF(Atletas!B30="Masculino",200,""))+(IF(Atletas!F30="Adulto 48kg",1,IF(Atletas!F30="Adulto 56kg",2,IF(Atletas!F30="Adulto 65kg",3,IF(Atletas!F30="Adulto 75kg",4,IF(Atletas!F30="Adulto +75kg",5,IF(Atletas!F30="Adulto 52kg",6,IF(Atletas!F30="Adulto 60kg",7,IF(Atletas!F30="Adulto 70kg",8,IF(Atletas!F30="Adulto 80kg",9,IF(Atletas!F30="Adulto 90kg",10,IF(Atletas!F30="Adulto +90kg",11,"")))))))))))))</f>
        <v/>
      </c>
      <c r="BC37" s="6" t="str">
        <f>IF(Atletas!G30="","",IF(Atletas!B30="Feminino",10,IF(Atletas!B30="Masculino",20,""))+(IF(Atletas!G30="Baduanjin A",1,IF(Atletas!G30="Baduanjin B",2))))</f>
        <v/>
      </c>
      <c r="BF37" s="52" t="str">
        <f>IF(Atletas!H30="","",IF(Atletas!B30="Feminino",100,IF(Atletas!B30="Masculino",200,""))+(IF(Atletas!H30="Changquan Mirim",1,IF(Atletas!H30="Nanquan Mirim",2,IF(Atletas!H30="Taijiquan Mirim",3,IF(Atletas!H30="Changquan Grupo C",4,IF(Atletas!H30="Nanquan Grupo C",5,IF(Atletas!H30="Taijiquan Grupo C",6,IF(Atletas!H30="Changquan Grupo B",7,IF(Atletas!H30="Nanquan Grupo B",8,IF(Atletas!H30="Taijiquan Grupo B",9,IF(Atletas!H30="Changquan Grupo A",10,IF(Atletas!H30="Nanquan Grupo A",11,IF(Atletas!H30="Taijiquan Grupo A",12,IF(Atletas!H30="Changquan Opcional",13,IF(Atletas!H30="Nanquan Opcional",14,IF(Atletas!H30="Taijiquan Opcional",15,IF(Atletas!H30="Changquan Adulto",16,IF(Atletas!H30="Nanquan Adulto",17,IF(Atletas!H30="Taijiquan Adulto",18,""))))))))))))))))))))</f>
        <v/>
      </c>
      <c r="BG37" s="52" t="str">
        <f>IF(Atletas!I30="","",IF(Atletas!B30="Feminino",100,IF(Atletas!B30="Masculino",200,""))+(IF(Atletas!I30="Daoshu Mirim",19,IF(Atletas!I30="Jianshu Mirim",20,IF(Atletas!I30="Nandao Mirim",21,IF(Atletas!I30="Taijijian Mirim",22,IF(Atletas!I30="Daoshu Grupo C",23,IF(Atletas!I30="Jianshu Grupo C",24,IF(Atletas!I30="Nandao Grupo C",25,IF(Atletas!I30="Taijijian Grupo C",26,IF(Atletas!I30="Daoshu Grupo B",27,IF(Atletas!I30="Jianshu Grupo B",28,IF(Atletas!I30="Nandao Grupo B",29,IF(Atletas!I30="Taijijian Grupo B",30,IF(Atletas!I30="Daoshu Grupo A",31,IF(Atletas!I30="Jianshu Grupo A",32,IF(Atletas!I30="Nandao Grupo A",33,IF(Atletas!I30="Taijijian Grupo A",34,IF(Atletas!I30="Daoshu Opcional",35,IF(Atletas!I30="Jianshu Opcional",36,IF(Atletas!I30="Nandao Opcional",37,IF(Atletas!I30="Taijijian Opcional",38,IF(Atletas!I30="Daoshu Adulto",39,IF(Atletas!I30="Jianshu Adulto",40,IF(Atletas!I30="Nandao Adulto",41,IF(Atletas!I30="Taijijian Adulto",42,""))))))))))))))))))))))))))</f>
        <v/>
      </c>
      <c r="BH37" s="52" t="str">
        <f>IF(Atletas!J30="","",IF(Atletas!B30="Feminino",100,IF(Atletas!B30="Masculino",200,""))+(IF(Atletas!J30="Gunshu Mirim",43,IF(Atletas!J30="Qiangshu Mirim",44,IF(Atletas!J30="Nangun Mirim",45,IF(Atletas!J30="Gunshu Grupo C",46,IF(Atletas!J30="Qiangshu Grupo C",47,IF(Atletas!J30="Nangun Grupo C",48,IF(Atletas!J30="Gunshu Grupo B",49,IF(Atletas!J30="Qiangshu Grupo B",50,IF(Atletas!J30="Nangun Grupo B",51,IF(Atletas!J30="Gunshu Grupo A",52,IF(Atletas!J30="Qiangshu Grupo A",53,IF(Atletas!J30="Nangun Grupo A",54,IF(Atletas!J30="Gunshu Opcional",55,IF(Atletas!J30="Qiangshu Opcional",56,IF(Atletas!J30="Nangun Opcional",57,IF(Atletas!J30="Gunshu Adulto",58,IF(Atletas!J30="Qiangshu Adulto",59,IF(Atletas!J30="Nangun Adulto",60,IF(Atletas!J30="Taijishan Grupo B",61,IF(Atletas!J30="Taijishan Grupo A",62,""))))))))))))))))))))))</f>
        <v/>
      </c>
      <c r="BI37" s="6" t="str">
        <f>IF(BJ37&lt;&gt;"","Taijishan Grupo B","")</f>
        <v/>
      </c>
      <c r="BJ37" s="50" t="str">
        <f>IF(COUNTIF(BF:BH,161)&gt;0,COUNTIF(BF:BH,161),"")</f>
        <v/>
      </c>
      <c r="BK37" s="6" t="str">
        <f>IF(BL37&lt;&gt;"","Taijishan Grupo B","")</f>
        <v/>
      </c>
      <c r="BL37" s="50" t="str">
        <f>IF(COUNTIF(BF:BH,261)&gt;0,COUNTIF(BF:BH,261),"")</f>
        <v/>
      </c>
      <c r="BM37" s="50" t="str">
        <f>IF(Atletas!K30="","",IF(Atletas!B30="Feminino",100,IF(Atletas!B30="Masculino",200,""))+(IF(Atletas!K30="Equipe 1 Grupo B",1,IF(Atletas!K30="Equipe 2 Grupo B",2,IF(Atletas!K30="Equipe 1 Grupo A",3,IF(Atletas!K30="Equipe 2 Grupo A",4,IF(Atletas!K30="Equipe 1 Adulto",5,IF(Atletas!K30="Equipe 2 Adulto",6,""))))))))</f>
        <v/>
      </c>
      <c r="BR37" s="50" t="str">
        <f>IF(Atletas!L30="","",IF(Atletas!X30&lt;&gt;"",10000,0)+(IF(Atletas!B30="Feminino",1000,IF(Atletas!B30="Masculino",2000,""))+IF(Atletas!L30="Choylayfut A",1,IF(Atletas!L30="Hunggar A",2,IF(Atletas!L30="Wuzuquan A",3,IF(Atletas!L30="Wingchun A",4,IF(Atletas!L30="Outra Mão de Sul A",5,IF(Atletas!L30="Choylayfut B",6,IF(Atletas!L30="Hunggar B",7,IF(Atletas!L30="Wuzuquan B",8,IF(Atletas!L30="Wingchun B",9,IF(Atletas!L30="Outra Mão de Sul B",10,IF(Atletas!L30="Choylayfut C",11,IF(Atletas!L30="Hunggar C",12,IF(Atletas!L30="Wuzuquan C",13,IF(Atletas!L30="Wingchun C",14,IF(Atletas!L30="Outra Mão de Sul C",15,IF(Atletas!L30="Choylayfut D",16,IF(Atletas!L30="Hunggar D",17,IF(Atletas!L30="Wuzuquan D",18,IF(Atletas!L30="Wingchun D",19,IF(Atletas!L30="Outra Mão de Sul D",20,IF(Atletas!L30="Choylayfut E",21,IF(Atletas!L30="Hunggar E",22,IF(Atletas!L30="Wuzuquan E",23,IF(Atletas!L30="Wingchun E",24,IF(Atletas!L30="Outra Mão de Sul E",25,IF(Atletas!L30="Choylayfut F",26,IF(Atletas!L30="Hunggar F",27,IF(Atletas!L30="Wuzuquan F",28,IF(Atletas!L30="Wingchun F",29,IF(Atletas!L30="Outra Mão de Sul F",30,IF(Atletas!L30="Dishuquan A",31,IF(Atletas!L30="Dishuquan B",32,IF(Atletas!L30="Dishuquan C",33,IF(Atletas!L30="Dishuquan D",34,IF(Atletas!L30="Dishuquan E",35,IF(Atletas!L30="Dishuquan F",36,""))))))))))))))))))))))))))))))))))))))</f>
        <v/>
      </c>
      <c r="BS37" s="50" t="str">
        <f>IF(Atletas!M30="","",IF(Atletas!X30&lt;&gt;"",10000,0)+(IF(Atletas!B30="Feminino",1000,IF(Atletas!B30="Masculino",2000,""))+(IF(Atletas!M30="Chaquan A",101,IF(Atletas!M30="Emeiquan A",102,IF(Atletas!M30="Fanziquan A",103,IF(Atletas!M30="Huaquan A",104,IF(Atletas!M30="Hongquan A",105,IF(Atletas!M30="Paoquan A",106,IF(Atletas!M30="Piguaquan A",107,IF(Atletas!M30="Shaolinquan A",108,IF(Atletas!M30="Tanglangquan A",109,IF(Atletas!M30="Yingzhaoquan A",110,IF(Atletas!M30="Tongbeiquan A",111,IF(Atletas!M30="Wudangquan A",112,IF(Atletas!M30="Outros Estilos A",113,IF(Atletas!M30="Chaquan B",114,IF(Atletas!M30="Emeiquan B",115,IF(Atletas!M30="Fanziquan B",116,IF(Atletas!M30="Huaquan B",117,IF(Atletas!M30="Hongquan B",118,IF(Atletas!M30="Paoquan B",119,IF(Atletas!M30="Piguaquan B",120,IF(Atletas!M30="Shaolinquan B",121,IF(Atletas!M30="Tanglangquan B",122,IF(Atletas!M30="Yingzhaoquan B",123,IF(Atletas!M30="Tongbeiquan B",124,IF(Atletas!M30="Wudangquan B",125,IF(Atletas!M30="Outros Estilos B",126,IF(Atletas!M30="Chaquan C",127,IF(Atletas!M30="Emeiquan C",128,IF(Atletas!M30="Fanziquan C",129,IF(Atletas!M30="Huaquan C",130,IF(Atletas!M30="Hongquan C",131,IF(Atletas!M30="Paoquan C",132,IF(Atletas!M30="Piguaquan C",133,IF(Atletas!M30="Shaolinquan C",134,IF(Atletas!M30="Tanglangquan C",135,IF(Atletas!M30="Yingzhaoquan C",136,IF(Atletas!M30="Tongbeiquan C",137,IF(Atletas!M30="Wudangquan C",138,IF(Atletas!M30="Outros Estilos C",139,0))))))))))))))))))))))))))))))))))))))))))</f>
        <v/>
      </c>
      <c r="BT37" s="50" t="str">
        <f>IF(Atletas!M30="","",IF(Atletas!X30&lt;&gt;"",10000,0)+(IF(Atletas!B30="Feminino",1000,IF(Atletas!B30="Masculino",2000,""))+(IF(Atletas!M30="Chaquan D",140,IF(Atletas!M30="Emeiquan D",141,IF(Atletas!M30="Fanziquan D",142,IF(Atletas!M30="Huaquan D",143,IF(Atletas!M30="Hongquan D",144,IF(Atletas!M30="Paoquan D",145,IF(Atletas!M30="Piguaquan D",146,IF(Atletas!M30="Shaolinquan D",147,IF(Atletas!M30="Tanglangquan D",148,IF(Atletas!M30="Yingzhaoquan D",149,IF(Atletas!M30="Tongbeiquan D",150,IF(Atletas!M30="Wudangquan D",151,IF(Atletas!M30="Outros Estilos D",152,IF(Atletas!M30="Chaquan E",153,IF(Atletas!M30="Emeiquan E",154,IF(Atletas!M30="Fanziquan E",155,IF(Atletas!M30="Huaquan E",156,IF(Atletas!M30="Hongquan E",157,IF(Atletas!M30="Paoquan E",158,IF(Atletas!M30="Piguaquan E",159,IF(Atletas!M30="Shaolinquan E",160,IF(Atletas!M30="Tanglangquan E",161,IF(Atletas!M30="Yingzhaoquan E",162,IF(Atletas!M30="Tongbeiquan E",163,IF(Atletas!M30="Wudangquan E",164,IF(Atletas!M30="Outros Estilos E",165,IF(Atletas!M30="Chaquan F",166,IF(Atletas!M30="Emeiquan F",167,IF(Atletas!M30="Fanziquan F",168,IF(Atletas!M30="Huaquan F",169,IF(Atletas!M30="Hongquan F",170,IF(Atletas!M30="Paoquan F",171,IF(Atletas!M30="Piguaquan F",172,IF(Atletas!M30="Shaolinquan F",173,IF(Atletas!M30="Tanglangquan F",174,IF(Atletas!M30="Yingzhaoquan F",175,IF(Atletas!M30="Tongbeiquan F",176,IF(Atletas!M30="Wudangquan F",177,IF(Atletas!M30="Outros Estilos F",178,0))))))))))))))))))))))))))))))))))))))))))</f>
        <v/>
      </c>
      <c r="BU37" s="50" t="str">
        <f>IF(Atletas!N30="","",IF(Atletas!X30&lt;&gt;"",10000,0)+(IF(Atletas!B30="Feminino",1000,IF(Atletas!B30="Masculino",2000,""))+(IF(Atletas!N30="Ditangquan A",201,IF(Atletas!N30="Houquan A",202,IF(Atletas!N30="Zuiquan A",203,IF(Atletas!N30="Ditangquan B",204,IF(Atletas!N30="Houquan B",205,IF(Atletas!N30="Zuiquan B",206,IF(Atletas!N30="Ditangquan C",207,IF(Atletas!N30="Houquan C",208,IF(Atletas!N30="Zuiquan C",209,IF(Atletas!N30="Ditangquan D",210,IF(Atletas!N30="Houquan D",211,IF(Atletas!N30="Zuiquan D",212,IF(Atletas!N30="Ditangquan E",213,IF(Atletas!N30="Houquan E",214,IF(Atletas!N30="Zuiquan E",215,IF(Atletas!N30="Ditangquan F",216,IF(Atletas!N30="Houquan F",217,IF(Atletas!N30="Zuiquan F",218,"")))))))))))))))))))))</f>
        <v/>
      </c>
      <c r="BV37" s="50" t="str">
        <f>IF(Atletas!O30="","",IF(Atletas!X30&lt;&gt;"",10000,0)+IF(Atletas!B30="Feminino",1000,IF(Atletas!B30="Masculino",2000,""))+IF(Atletas!O30="Yang A",301,IF(Atletas!O30="Chen A",302,IF(Atletas!O30="Sun A",303,IF(Atletas!O30="Wu A",304,IF(Atletas!O30="Wu-Hao A",305,IF(Atletas!O30="Outro Taijiquan A",306,IF(Atletas!O30="Yang B",307,IF(Atletas!O30="Chen B",308,IF(Atletas!O30="Sun B",309,IF(Atletas!O30="Wu B",310,IF(Atletas!O30="Wu-Hao B",311,IF(Atletas!O30="Outro Taijiquan B",312,IF(Atletas!O30="Yang C",313,IF(Atletas!O30="Chen C",314,IF(Atletas!O30="Sun C",315,IF(Atletas!O30="Wu C",316,IF(Atletas!O30="Wu-Hao C",317,IF(Atletas!O30="Outro Taijiquan C",318,IF(Atletas!O30="Yang D",319,IF(Atletas!O30="Chen D",320,IF(Atletas!O30="Sun D",321,IF(Atletas!O30="Wu D",322,IF(Atletas!O30="Wu-Hao D",323,IF(Atletas!O30="Outro Taijiquan D",324,IF(Atletas!O30="Yang E",325,IF(Atletas!O30="Chen E",326,IF(Atletas!O30="Sun E",327,IF(Atletas!O30="Wu E",328,IF(Atletas!O30="Wu-Hao E",329,IF(Atletas!O30="Outro Taijiquan E",330,IF(Atletas!O30="Yang F",331,IF(Atletas!O30="Chen F",332,IF(Atletas!O30="Sun F",333,IF(Atletas!O30="Wu F",334,IF(Atletas!O30="Wu-Hao F",335,IF(Atletas!O30="Outro Taijiquan F",336,"")))))))))))))))))))))))))))))))))))))</f>
        <v/>
      </c>
      <c r="BW37" s="50" t="str">
        <f>IF(Atletas!P30="","",IF(Atletas!X30&lt;&gt;"",10000,0)+IF(Atletas!B30="Feminino",1000,IF(Atletas!B30="Masculino",2000,""))+IF(OR(Atletas!P30="Yang 26 A",Atletas!P30="Yang 40 A"),401,IF(OR(Atletas!P30="Chen 25 A",Atletas!P30="Chen 36 A",Atletas!P30="Chen 56 A"),402,IF(Atletas!P30="Sun 73 A",403,IF(Atletas!P30="Wu 45 A",404,IF(Atletas!P30="Wu-Hao 46 A",405,IF(OR(Atletas!P30="Taijiquan 16 A",Atletas!P30="Taijiquan 24 A",Atletas!P30="Taijiquan 32 A",Atletas!P30="Taijiquan 42 A"),406,IF(OR(Atletas!P30="Yang 26 B",Atletas!P30="Yang 40 B"),407,IF(OR(Atletas!P30="Chen 25 B",Atletas!P30="Chen 36 B",Atletas!P30="Chen 56 B"),408,IF(Atletas!P30="Sun 73 B",409,IF(Atletas!P30="Wu 45 B",410,IF(Atletas!P30="Wu-Hao 46 B",411,IF(OR(Atletas!P30="Taijiquan 16 B",Atletas!P30="Taijiquan 24 B",Atletas!P30="Taijiquan 32 B",Atletas!P30="Taijiquan 42 B"),412,IF(OR(Atletas!P30="Yang 26 C",Atletas!P30="Yang 40 C"),413,IF(OR(Atletas!P30="Chen 25 C",Atletas!P30="Chen 36 C",Atletas!P30="Chen 56 C"),414,IF(Atletas!P30="Sun 73 C",415,IF(Atletas!P30="Wu 45 C",416,IF(Atletas!P30="Wu-Hao 46 C",417,IF(OR(Atletas!P30="Taijiquan 16 C",Atletas!P30="Taijiquan 24 C",Atletas!P30="Taijiquan 32 C",Atletas!P30="Taijiquan 42 C"),418,0)))))))))))))))))))</f>
        <v/>
      </c>
      <c r="BX37" s="50" t="str">
        <f>IF(Atletas!P30="","",IF(Atletas!X30&lt;&gt;"",10000,0)+IF(Atletas!B30="Feminino",1000,IF(Atletas!B30="Masculino",2000,""))+IF(OR(Atletas!P30="Yang 26 D",Atletas!P30="Yang 40 D"),419,IF(OR(Atletas!P30="Chen 25 D",Atletas!P30="Chen 36 D",Atletas!P30="Chen 56 D"),420,IF(Atletas!P30="Sun 73 D",421,IF(Atletas!P30="Wu 45 D",422,IF(Atletas!P30="Wu-Hao 46 D",423,IF(OR(Atletas!P30="Taijiquan 16 D",Atletas!P30="Taijiquan 24 D",Atletas!P30="Taijiquan 32 D",Atletas!P30="Taijiquan 42 D"),424,IF(OR(Atletas!P30="Yang 26 E",Atletas!P30="Yang 40 E"),425,IF(OR(Atletas!P30="Chen 25 E",Atletas!P30="Chen 36 E",Atletas!P30="Chen 56 E"),426,IF(Atletas!P30="Sun 73 E",427,IF(Atletas!P30="Wu 45 E",428,IF(Atletas!P30="Wu-Hao 46 E",429,IF(OR(Atletas!P30="Taijiquan 16 E",Atletas!P30="Taijiquan 24 E",Atletas!P30="Taijiquan 32 E",Atletas!P30="Taijiquan 42 E"),430,IF(OR(Atletas!P30="Yang 26 F",Atletas!P30="Yang 40 F"),431,IF(OR(Atletas!P30="Chen 25 F",Atletas!P30="Chen 36 F",Atletas!P30="Chen 56 F"),432,IF(Atletas!P30="Sun 73 F",433,IF(Atletas!P30="Wu 45 F",434,IF(Atletas!P30="Wu-Hao 46 F",435,IF(OR(Atletas!P30="Taijiquan 16 F",Atletas!P30="Taijiquan 24 F",Atletas!P30="Taijiquan 32 F",Atletas!P30="Taijiquan 42 F"),436,0)))))))))))))))))))</f>
        <v/>
      </c>
      <c r="BY37" s="50" t="str">
        <f>IF(Atletas!Q30="","",IF(Atletas!X30&lt;&gt;"",10000,0)+IF(Atletas!B30="Feminino",1000,IF(Atletas!B30="Masculino",2000,""))+IF(Atletas!Q30="Xingyiquan A",501,IF(Atletas!Q30="Baguazhang A",502,IF(Atletas!Q30="Outro Estilo Interno A",503,IF(Atletas!Q30="Xingyiquan B",504,IF(Atletas!Q30="Baguazhang B",505,IF(Atletas!Q30="Outro Estilo Interno B",506,IF(Atletas!Q30="Xingyiquan C",507,IF(Atletas!Q30="Baguazhang C",508,IF(Atletas!Q30="Outro Estilo Interno C",509,IF(Atletas!Q30="Xingyiquan D",510,IF(Atletas!Q30="Baguazhang D",511,IF(Atletas!Q30="Outro Estilo Interno D",512,IF(Atletas!Q30="Xingyiquan E",513,IF(Atletas!Q30="Baguazhang E",514,IF(Atletas!Q30="Outro Estilo Interno E",515,IF(Atletas!Q30="Xingyiquan F",516,IF(Atletas!Q30="Baguazhang F",517,IF(Atletas!Q30="Outro Estilo Interno F",518, "")))))))))))))))))))</f>
        <v/>
      </c>
      <c r="BZ37" s="50" t="str">
        <f>IF(Atletas!R30="","",IF(Atletas!X30&lt;&gt;"",10000,0)+IF(Atletas!B30="Feminino",1000,IF(Atletas!B30="Masculino",2000,""))+IF(Atletas!R30="Dao A",601,IF(Atletas!R30="Jian A",602,IF(Atletas!R30="Bishou A",603,IF(Atletas!R30="Shanzi A",604,IF(Atletas!R30="Outra Arma Curta A",605,IF(Atletas!R30="Dao B",606,IF(Atletas!R30="Jian B",607,IF(Atletas!R30="Bishou B",608,IF(Atletas!R30="Shanzi B",609,IF(Atletas!R30="Outra Arma Curta B",610,IF(Atletas!R30="Dao C",611,IF(Atletas!R30="Jian C",612,IF(Atletas!R30="Bishou C",613,IF(Atletas!R30="Shanzi C",614,IF(Atletas!R30="Outra Arma Curta C",615,IF(Atletas!R30="Dao D",616,IF(Atletas!R30="Jian D",617,IF(Atletas!R30="Bishou D",618,IF(Atletas!R30="Shanzi D",619,IF(Atletas!R30="Outra Arma Curta D",620,IF(Atletas!R30="Dao E",621,IF(Atletas!R30="Jian E",622,IF(Atletas!R30="Bishou E",623,IF(Atletas!R30="Shanzi E",624,IF(Atletas!R30="Outra Arma Curta E",625,IF(Atletas!R30="Dao F",626,IF(Atletas!R30="Jian F",627,IF(Atletas!R30="Bishou F",628,IF(Atletas!R30="Shanzi F",629,IF(Atletas!R30="Outra Arma Curta F",630, "")))))))))))))))))))))))))))))))</f>
        <v/>
      </c>
      <c r="CA37" s="50" t="str">
        <f>IF(Atletas!S30="","",IF(Atletas!X30&lt;&gt;"",10000,0)+IF(Atletas!B30="Feminino",1000,IF(Atletas!B30="Masculino",2000,""))+IF(Atletas!S30="Gun A",701,IF(Atletas!S30="Qiang A",702,IF(Atletas!S30="Pudao / Guandao A",703,IF(Atletas!S30="Outra Arma Longa A",704,IF(Atletas!S30="Gun B",705,IF(Atletas!S30="Qiang B",706,IF(Atletas!S30="Pudao / Guandao B",707,IF(Atletas!S30="Outra Arma Longa B",708,IF(Atletas!S30="Gun C",709,IF(Atletas!S30="Qiang C",710,IF(Atletas!S30="Pudao / Guandao C",711,IF(Atletas!S30="Outra Arma Longa C",712,IF(Atletas!S30="Gun D",713,IF(Atletas!S30="Qiang D",714,IF(Atletas!S30="Pudao / Guandao D",715,IF(Atletas!S30="Outra Arma Longa D",716,IF(Atletas!S30="Gun E",717,IF(Atletas!S30="Qiang E",718,IF(Atletas!S30="Pudao / Guandao E",719,IF(Atletas!S30="Outra Arma Longa E",720,IF(Atletas!S30="Gun F",721,IF(Atletas!S30="Qiang F",722,IF(Atletas!S30="Pudao / Guandao F",723,IF(Atletas!S30="Outra Arma Longa F",724,"")))))))))))))))))))))))))</f>
        <v/>
      </c>
      <c r="CB37" s="50" t="str">
        <f>IF(Atletas!T30="","",IF(Atletas!X30&lt;&gt;"",10000,0)+IF(Atletas!B30="Feminino",1000,IF(Atletas!B30="Masculino",2000,""))+IF(Atletas!T30="Outra Arma Dupla A",801,IF(Atletas!T30="Arma Maleável A",802,IF(Atletas!T30="Outra Arma Dupla B",803,IF(Atletas!T30="Arma Maleável B",804,IF(Atletas!T30="Outra Arma Dupla C",805,IF(Atletas!T30="Arma Maleável C",806,IF(Atletas!T30="Outra Arma Dupla D",807,IF(Atletas!T30="Arma Maleável D",808,IF(Atletas!T30="Outra Arma Dupla E",809,IF(Atletas!T30="Arma Maleável E",810,IF(Atletas!T30="Outra Arma Dupla F",811,IF(Atletas!T30="Arma Maleável F",812,IF(Atletas!T30="Shuangdao A",813,IF(Atletas!T30="Shuangdao B",814,IF(Atletas!T30="Shuangdao C",815,IF(Atletas!T30="Shuangdao D",816,IF(Atletas!T30="Shuangdao E",817,IF(Atletas!T30="Shuangdao F",818,"")))))))))))))))))))</f>
        <v/>
      </c>
      <c r="CC37" s="50" t="str">
        <f>IF(Atletas!U30="","",IF(Atletas!X30&lt;&gt;"",10000,0)+IF(Atletas!B30="Feminino",1000,IF(Atletas!B30="Masculino",2000,""))+IF(OR(Atletas!U30="Taijijian Yang A",Atletas!U30="Taijijian Yang Standard A"),901,IF(OR(Atletas!U30="Taijijian Chen A", Atletas!U30="Taijijian Chen Standard A"),902,IF(Atletas!U30="Taijijian Sun A",903,IF(Atletas!U30="Taijijian Wu A",904,IF(Atletas!U30="Taijijian Wu-Hao A",905,IF(OR(Atletas!U30="Taijijian 32 A",Atletas!U30="Taijijian 42 A"),906,IF(OR(Atletas!U30="Taijijian Yang B",Atletas!U30="Taijijian Yang Standard B"),907,IF(OR(Atletas!U30="Taijijian Chen B", Atletas!U30="Taijijian Chen Standard B"),908,IF(Atletas!U30="Taijijian Sun B",909,IF(Atletas!U30="Taijijian Wu B",910,IF(Atletas!U30="Taijijian Wu-Hao B",911,IF(OR(Atletas!U30="Taijijian 32 B",Atletas!U30="Taijijian 42 B"),912,IF(OR(Atletas!U30="Taijijian Yang C",Atletas!U30="Taijijian Yang Standard C"),913,IF(OR(Atletas!U30="Taijijian Chen C", Atletas!U30="Taijijian Chen Standard C"),914,IF(Atletas!U30="Taijijian Sun C",915,IF(Atletas!U30="Taijijian Wu C",916,IF(Atletas!U30="Taijijian Wu-Hao C",917,IF(OR(Atletas!U30="Taijijian 32 C",Atletas!U30="Taijijian 42 C"),918,IF(OR(Atletas!U30="Taijijian Yang D",Atletas!U30="Taijijian Yang Standard D"),919,IF(OR(Atletas!U30="Taijijian Chen D", Atletas!U30="Taijijian Chen Standard D"),920,IF(Atletas!U30="Taijijian Sun D",921,IF(Atletas!U30="Taijijian Wu D",922,IF(Atletas!U30="Taijijian Wu-Hao D",923,IF(OR(Atletas!U30="Taijijian 32 D",Atletas!U30="Taijijian 42 D"),924,IF(OR(Atletas!U30="Taijijian Yang E",Atletas!U30="Taijijian Yang Standard E"),925,IF(OR(Atletas!U30="Taijijian Chen E", Atletas!U30="Taijijian Chen Standard E"),926,IF(Atletas!U30="Taijijian Sun E",927,IF(Atletas!U30="Taijijian Wu E",928,IF(Atletas!U30="Taijijian Wu-Hao E",929,IF(OR(Atletas!U30="Taijijian 32 E",Atletas!U30="Taijijian 42 E"),930,IF(OR(Atletas!U30="Taijijian Yang F",Atletas!U30="Taijijian Yang Standard F"),931,IF(OR(Atletas!U30="Taijijian Chen F", Atletas!U30="Taijijian Chen Standard F"),932,IF(Atletas!U30="Taijijian Sun F",933,IF(Atletas!U30="Taijijian Wu F",934,IF(Atletas!U30="Taijijian Wu-Hao F",935,IF(OR(Atletas!U30="Taijijian 32 F",Atletas!U30="Taijijian 42 F"),936,"")))))))))))))))))))))))))))))))))))))</f>
        <v/>
      </c>
      <c r="CD37" s="50" t="str">
        <f>IF(Atletas!V30="","",IF(Atletas!X30&lt;&gt;"",10000,0)+IF(Atletas!B30="Feminino",1000,IF(Atletas!B30="Masculino",2000,""))+IF(Atletas!V30="Taijidao A",937,IF(Atletas!V30="TaijiShanzi A",938,IF(Atletas!V30="Taijiqiang A",939,IF(Atletas!V30="Bagua de Arma A",940,IF(Atletas!V30="Xingyi de Arma A",941,IF(Atletas!V30="Taijidao B",942,IF(Atletas!V30="TaijiShanzi B",943,IF(Atletas!V30="Taijiqiang B",944,IF(Atletas!V30="Bagua de Arma B",945,IF(Atletas!V30="Xingyi de Arma B",946,IF(Atletas!V30="Taijidao C",947,IF(Atletas!V30="TaijiShanzi C",948,IF(Atletas!V30="Taijiqiang C",949,IF(Atletas!V30="Bagua de Arma C",950,IF(Atletas!V30="Xingyi de Arma C",951,IF(Atletas!V30="Taijidao D",952,IF(Atletas!V30="TaijiShanzi D",953,IF(Atletas!V30="Taijiqiang D",954,IF(Atletas!V30="Bagua de Arma D",955,IF(Atletas!V30="Xingyi de Arma D",956,IF(Atletas!V30="Taijidao E",957,IF(Atletas!V30="TaijiShanzi E",958,IF(Atletas!V30="Taijiqiang E",959,IF(Atletas!V30="Bagua de Arma E",960,IF(Atletas!V30="Xingyi de Arma E",961,IF(Atletas!V30="Taijidao F",962,IF(Atletas!V30="TaijiShanzi F",963,IF(Atletas!V30="Taijiqiang F",964,IF(Atletas!V30="Bagua de Arma F",965,IF(Atletas!V30="Xingyi de Arma F",966,"")))))))))))))))))))))))))))))))</f>
        <v/>
      </c>
      <c r="CE37" s="66" t="str">
        <f>IF(CF37&lt;&gt;"","Choylayfut F","")</f>
        <v/>
      </c>
      <c r="CF37" s="66" t="str">
        <f>IF(COUNTIF(BR:CD,1026)&gt;0,COUNTIF(BR:CD,1026),"")</f>
        <v/>
      </c>
      <c r="CG37" s="66" t="str">
        <f>IF(CH37&lt;&gt;"","Choylayfut F","")</f>
        <v/>
      </c>
      <c r="CH37" s="66" t="str">
        <f>IF(COUNTIF(BR:CD,2026)&gt;0,COUNTIF(BR:CD,2026),"")</f>
        <v/>
      </c>
      <c r="CI37" s="66" t="str">
        <f>IF(CJ37&lt;&gt;"","Chaquan A","")</f>
        <v/>
      </c>
      <c r="CJ37" s="66" t="str">
        <f>IF(COUNTIF(BR:CD,11101)&gt;0,COUNTIF(BR:CD,11101),"")</f>
        <v/>
      </c>
      <c r="CK37" s="66" t="str">
        <f>IF(CL37&lt;&gt;"","Chaquan A","")</f>
        <v/>
      </c>
      <c r="CL37" s="66" t="str">
        <f>IF(COUNTIF(BR:CD,12101)&gt;0,COUNTIF(BR:CD,12101),"")</f>
        <v/>
      </c>
      <c r="CM37" s="50" t="str">
        <f xml:space="preserve"> IF(Atletas!W30="","",IF(Atletas!W30="Duilian de Mãos BC - Equipe 1",1,IF(Atletas!W30="Duilian de Mãos BC - Equipe 2",2,IF(Atletas!W30="Duilian de Armas BC - Equipe 1",3,IF(Atletas!W30="Duilian de Armas BC - Equipe 2",4,IF(Atletas!W30="Duilian de Mãos DE - Equipe 1",5,IF(Atletas!W30="Duilian de Mãos DE - Equipe 2",6,IF(Atletas!W30="Duilian de Armas DE - Equipe 1",7,IF(Atletas!W30="Duilian de Armas DE - Equipe 2",8,IF(Atletas!W30="Duilian de Tuishou - Equipe 1",9,IF(Atletas!W30="Duilian de Tuishou - Equipe 2",10,IF(Atletas!W30="Grupo Externo ABC - Equipe 1",11,IF(Atletas!W30="Grupo Externo ABC - Equipe 2",12,IF(Atletas!W30="Grupo Interno ABC - Equipe 1",13,IF(Atletas!W30="Grupo Interno ABC - Equipe 2",14,IF(Atletas!W30="Grupo Externo DEF - Equipe 1",15,IF(Atletas!W30="Grupo Externo DEF - Equipe 2",16,IF(Atletas!W30="Grupo Interno DEF - Equipe 1",17,IF(Atletas!W30="Grupo Interno DEF - Equipe 2",18,"")))))))))))))))))))</f>
        <v/>
      </c>
      <c r="CY37" s="41"/>
    </row>
    <row r="38" spans="2:103">
      <c r="B38" s="3" t="str">
        <f t="array" ref="B38">IFERROR(INDEX(AO$7:AO$38,SMALL(IF(AO$7:AO$38&lt;&gt;"",ROW(AO$7:AO$38)-ROW(AO$7)+1),ROWS(AO$7:AO37))),"")</f>
        <v/>
      </c>
      <c r="C38" s="3" t="str">
        <f t="array" ref="C38">IFERROR(INDEX(AP$7:AP$38,SMALL(IF(AP$7:AP$38&lt;&gt;"",ROW(AP$7:AP$38)-ROW(AP$7)+1),ROWS(AP$7:AP37))),"")</f>
        <v/>
      </c>
      <c r="D38" s="3" t="str">
        <f t="array" ref="D38">IFERROR(INDEX(AQ$7:AQ$38,SMALL(IF(AQ$7:AQ$38&lt;&gt;"",ROW(AQ$7:AQ$38)-ROW(AQ$7)+1),ROWS(AQ$7:AQ37))),"")</f>
        <v/>
      </c>
      <c r="E38" s="3" t="str">
        <f t="array" ref="E38">IFERROR(INDEX(AR$7:AR$38,SMALL(IF(AR$7:AR$38&lt;&gt;"",ROW(AR$7:AR$38)-ROW(AR$7)+1),ROWS(AR$7:AR37))),"")</f>
        <v/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 t="str">
        <f t="array" ref="R38">IFERROR(INDEX(BI$7:BI$68,SMALL(IF(BI$7:BI$68&lt;&gt;"",ROW(BI$7:BI$68)-ROW(BI$7)+1),ROWS(BI$7:BI37))),"")</f>
        <v/>
      </c>
      <c r="S38" s="3" t="str">
        <f t="array" ref="S38">IFERROR(INDEX(BJ$7:BJ$68,SMALL(IF(BJ$7:BJ$68&lt;&gt;"",ROW(BJ$7:BJ$68)-ROW(BJ$7)+1),ROWS(BJ$7:BJ37))),"")</f>
        <v/>
      </c>
      <c r="T38" s="3" t="str">
        <f t="array" ref="T38">IFERROR(INDEX(BK$7:BK$68,SMALL(IF(BK$7:BK$68&lt;&gt;"",ROW(BK$7:BK$68)-ROW(BK$7)+1),ROWS(BK$7:BK37))),"")</f>
        <v/>
      </c>
      <c r="U38" s="3" t="str">
        <f t="array" ref="U38">IFERROR(INDEX(BL$7:BL$68,SMALL(IF(BL$7:BL$68&lt;&gt;"",ROW(BL$7:BL$68)-ROW(BL$7)+1),ROWS(BL$7:BL37))),"")</f>
        <v/>
      </c>
      <c r="V38" s="3"/>
      <c r="W38" s="3"/>
      <c r="X38" s="20"/>
      <c r="Y38" s="3"/>
      <c r="Z38" s="3" t="str">
        <f t="array" ref="Z38">IFERROR(INDEX(CE$7:CE$348,SMALL(IF(CE$7:CE$348&lt;&gt;"",ROW(CE$7:CE$348)-ROW(CE$7)+1),ROWS(CE$7:CE37))),"")</f>
        <v/>
      </c>
      <c r="AA38" s="3" t="str">
        <f t="array" ref="AA38">IFERROR(INDEX(CF$7:CF$348,SMALL(IF(CF$7:CF$348&lt;&gt;"",ROW(CF$7:CF$348)-ROW(CF$7)+1),ROWS(CF$7:CF37))),"")</f>
        <v/>
      </c>
      <c r="AB38" s="3" t="str">
        <f t="array" ref="AB38">IFERROR(INDEX(CG$7:CG$348,SMALL(IF(CG$7:CG$348&lt;&gt;"",ROW(CG$7:CG$348)-ROW(CG$7)+1),ROWS(CG$7:CG37))),"")</f>
        <v/>
      </c>
      <c r="AC38" s="3" t="str">
        <f t="array" ref="AC38">IFERROR(INDEX(CH$7:CH$348,SMALL(IF(CH$7:CH$348&lt;&gt;"",ROW(CH$7:CH$348)-ROW(CH$7)+1),ROWS(CH$7:CH37))),"")</f>
        <v/>
      </c>
      <c r="AD38" s="3" t="str">
        <f t="array" ref="AD38">IFERROR(INDEX(CI$7:CI$377,SMALL(IF(CI$7:CI$377&lt;&gt;"",ROW(CI$7:CI$377)-ROW(CI$7)+1),ROWS(CI$7:CI37))),"")</f>
        <v/>
      </c>
      <c r="AE38" s="3" t="str">
        <f t="array" ref="AE38">IFERROR(INDEX(CJ$7:CJ$378,SMALL(IF(CJ$7:CJ$378&lt;&gt;"",ROW(CJ$7:CJ$378)-ROW(CJ$7)+1),ROWS(CJ$7:CJ37))),"")</f>
        <v/>
      </c>
      <c r="AF38" s="3" t="str">
        <f t="array" ref="AF38">IFERROR(INDEX(CK$7:CK$378,SMALL(IF(CK$7:CK$378&lt;&gt;"",ROW(CK$7:CK$378)-ROW(CK$7)+1),ROWS(CK$7:CK37))),"")</f>
        <v/>
      </c>
      <c r="AG38" s="3" t="str">
        <f t="array" ref="AG38">IFERROR(INDEX(CL$7:CL$378,SMALL(IF(CL$7:CL$378&lt;&gt;"",ROW(CL$7:CL$378)-ROW(CL$7)+1),ROWS(CL$7:CL37))),"")</f>
        <v/>
      </c>
      <c r="AH38" s="20"/>
      <c r="AI38" s="20"/>
      <c r="AJ38" s="20"/>
      <c r="AK38" s="20"/>
      <c r="AL38" s="20"/>
      <c r="AM38" s="3"/>
      <c r="AN38" s="52" t="e">
        <f>IF(Atletas!#REF!="","",IF(Atletas!#REF!="Feminino",100,IF(Atletas!#REF!="Masculino",200,""))+(IF(Atletas!#REF!="Kids 30kg",1,IF(Atletas!#REF!="Kids 32kg",2, IF(Atletas!#REF!="Kids 34kg",3,IF(Atletas!#REF!="Kids 36kg",4,IF(Atletas!#REF!="Kids 39kg",5,IF(Atletas!#REF!="Kids 42kg",6,IF(Atletas!#REF!="Kids 45kg",7, IF(Atletas!#REF!="Infantil 39kg",8,IF(Atletas!#REF!="Infantil 42kg",9,IF(Atletas!#REF!="Infantil 45kg",10,IF(Atletas!#REF!="Infantil 48kg",11,IF(Atletas!#REF!="Infantil 52kg",12,IF(Atletas!#REF!="Infantil 56kg",13,IF(Atletas!#REF!="Infantil 60kg",14,IF(Atletas!#REF!="Juvenil 48kg",15,IF(Atletas!#REF!="Juvenil 52kg",16,IF(Atletas!#REF!="Juvenil 56kg",17,IF(Atletas!#REF!="Juvenil 60kg",18,IF(Atletas!#REF!="Juvenil 65kg",19,IF(Atletas!#REF!="Juvenil 70kg",20,IF(Atletas!#REF!="Juvenil 75kg",21,IF(Atletas!#REF!="Juvenil 80kg",22, IF(Atletas!#REF!="Juvenil 85kg",23,IF(Atletas!#REF!="Adulto 48kg",24,IF(Atletas!#REF!="Adulto 52kg",25,IF(Atletas!#REF!="Adulto 56kg",26,IF(Atletas!#REF!="Adulto 60kg",27,IF(Atletas!#REF!="Adulto 65kg",28,IF(Atletas!#REF!="Adulto 70kg",29,IF(Atletas!#REF!="Adulto 75kg",30,IF(Atletas!#REF!="Adulto 80kg",31,IF(Atletas!#REF!="Adulto 85kg",32,IF(Atletas!#REF!="Adulto 90kg",33,IF(Atletas!#REF!="Adulto 100kg",34, IF(Atletas!#REF!="Adulto +100kg",35,"")))))))))))))))))))))))))))))))))))))</f>
        <v>#REF!</v>
      </c>
      <c r="AQ38" s="50" t="str">
        <f>IF(AR38&lt;&gt;"","Adulto 85kg","")</f>
        <v/>
      </c>
      <c r="AR38" s="6" t="str">
        <f>IF(COUNTIF(AN:AN,232)&gt;0,COUNTIF(AN:AN,232),"")</f>
        <v/>
      </c>
      <c r="AS38" s="6" t="e">
        <f>IF(Atletas!#REF!="","",IF(Atletas!#REF!="Feminino",100,IF(Atletas!#REF!="Masculino",200,""))+(IF(Atletas!#REF!="Juvenil 44kg",1,IF(Atletas!#REF!="Juvenil 48kg",2,IF(Atletas!#REF!="Juvenil 52kg",3,IF(Atletas!#REF!="Juvenil 56kg",4,IF(Atletas!#REF!="Juvenil 60kg",5,IF(Atletas!#REF!="Juvenil 65kg",6,IF(Atletas!#REF!="Juvenil 70kg",7,IF(Atletas!#REF!="Juvenil 75kg",8,IF(Atletas!#REF!="Juvenil 82kg",9,IF(Atletas!#REF!="Juvenil 90kg",10,IF(Atletas!#REF!="Juvenil 100kg",11,IF(Atletas!#REF!="Adulto 48kg",12,IF(Atletas!#REF!="Adulto 52kg",13,IF(Atletas!#REF!="Adulto 56kg",14,IF(Atletas!#REF!="Adulto 60kg",15,IF(Atletas!#REF!="Adulto 65kg",16,IF(Atletas!#REF!="Adulto 70kg",17,IF(Atletas!#REF!="Adulto 75kg",18,IF(Atletas!#REF!="Adulto 82kg",19,IF(Atletas!#REF!="Adulto 90kg",20,IF(Atletas!#REF!="Adulto 100kg",21,IF(Atletas!#REF!="Adulto +100kg",22,""))))))))))))))))))))))))</f>
        <v>#REF!</v>
      </c>
      <c r="AX38" s="6" t="e">
        <f>IF(Atletas!#REF!="","",IF(Atletas!#REF!="Feminino",100,IF(Atletas!#REF!="Masculino",200,""))+(IF(Atletas!#REF!="Adulto 48kg",1,IF(Atletas!#REF!="Adulto 56kg",2,IF(Atletas!#REF!="Adulto 65kg",3,IF(Atletas!#REF!="Adulto 75kg",4,IF(Atletas!#REF!="Adulto +75kg",5,IF(Atletas!#REF!="Adulto 52kg",6,IF(Atletas!#REF!="Adulto 60kg",7,IF(Atletas!#REF!="Adulto 70kg",8,IF(Atletas!#REF!="Adulto 80kg",9,IF(Atletas!#REF!="Adulto 90kg",10,IF(Atletas!#REF!="Adulto +90kg",11,"")))))))))))))</f>
        <v>#REF!</v>
      </c>
      <c r="BC38" s="6" t="e">
        <f>IF(Atletas!#REF!="","",IF(Atletas!#REF!="Feminino",10,IF(Atletas!#REF!="Masculino",20,""))+(IF(Atletas!#REF!="Baduanjin A",1,IF(Atletas!#REF!="Baduanjin B",2))))</f>
        <v>#REF!</v>
      </c>
      <c r="BF38" s="52" t="e">
        <f>IF(Atletas!#REF!="","",IF(Atletas!#REF!="Feminino",100,IF(Atletas!#REF!="Masculino",200,""))+(IF(Atletas!#REF!="Changquan Mirim",1,IF(Atletas!#REF!="Nanquan Mirim",2,IF(Atletas!#REF!="Taijiquan Mirim",3,IF(Atletas!#REF!="Changquan Grupo C",4,IF(Atletas!#REF!="Nanquan Grupo C",5,IF(Atletas!#REF!="Taijiquan Grupo C",6,IF(Atletas!#REF!="Changquan Grupo B",7,IF(Atletas!#REF!="Nanquan Grupo B",8,IF(Atletas!#REF!="Taijiquan Grupo B",9,IF(Atletas!#REF!="Changquan Grupo A",10,IF(Atletas!#REF!="Nanquan Grupo A",11,IF(Atletas!#REF!="Taijiquan Grupo A",12,IF(Atletas!#REF!="Changquan Opcional",13,IF(Atletas!#REF!="Nanquan Opcional",14,IF(Atletas!#REF!="Taijiquan Opcional",15,IF(Atletas!#REF!="Changquan Adulto",16,IF(Atletas!#REF!="Nanquan Adulto",17,IF(Atletas!#REF!="Taijiquan Adulto",18,""))))))))))))))))))))</f>
        <v>#REF!</v>
      </c>
      <c r="BG38" s="52" t="e">
        <f>IF(Atletas!#REF!="","",IF(Atletas!#REF!="Feminino",100,IF(Atletas!#REF!="Masculino",200,""))+(IF(Atletas!#REF!="Daoshu Mirim",19,IF(Atletas!#REF!="Jianshu Mirim",20,IF(Atletas!#REF!="Nandao Mirim",21,IF(Atletas!#REF!="Taijijian Mirim",22,IF(Atletas!#REF!="Daoshu Grupo C",23,IF(Atletas!#REF!="Jianshu Grupo C",24,IF(Atletas!#REF!="Nandao Grupo C",25,IF(Atletas!#REF!="Taijijian Grupo C",26,IF(Atletas!#REF!="Daoshu Grupo B",27,IF(Atletas!#REF!="Jianshu Grupo B",28,IF(Atletas!#REF!="Nandao Grupo B",29,IF(Atletas!#REF!="Taijijian Grupo B",30,IF(Atletas!#REF!="Daoshu Grupo A",31,IF(Atletas!#REF!="Jianshu Grupo A",32,IF(Atletas!#REF!="Nandao Grupo A",33,IF(Atletas!#REF!="Taijijian Grupo A",34,IF(Atletas!#REF!="Daoshu Opcional",35,IF(Atletas!#REF!="Jianshu Opcional",36,IF(Atletas!#REF!="Nandao Opcional",37,IF(Atletas!#REF!="Taijijian Opcional",38,IF(Atletas!#REF!="Daoshu Adulto",39,IF(Atletas!#REF!="Jianshu Adulto",40,IF(Atletas!#REF!="Nandao Adulto",41,IF(Atletas!#REF!="Taijijian Adulto",42,""))))))))))))))))))))))))))</f>
        <v>#REF!</v>
      </c>
      <c r="BH38" s="52" t="e">
        <f>IF(Atletas!#REF!="","",IF(Atletas!#REF!="Feminino",100,IF(Atletas!#REF!="Masculino",200,""))+(IF(Atletas!#REF!="Gunshu Mirim",43,IF(Atletas!#REF!="Qiangshu Mirim",44,IF(Atletas!#REF!="Nangun Mirim",45,IF(Atletas!#REF!="Gunshu Grupo C",46,IF(Atletas!#REF!="Qiangshu Grupo C",47,IF(Atletas!#REF!="Nangun Grupo C",48,IF(Atletas!#REF!="Gunshu Grupo B",49,IF(Atletas!#REF!="Qiangshu Grupo B",50,IF(Atletas!#REF!="Nangun Grupo B",51,IF(Atletas!#REF!="Gunshu Grupo A",52,IF(Atletas!#REF!="Qiangshu Grupo A",53,IF(Atletas!#REF!="Nangun Grupo A",54,IF(Atletas!#REF!="Gunshu Opcional",55,IF(Atletas!#REF!="Qiangshu Opcional",56,IF(Atletas!#REF!="Nangun Opcional",57,IF(Atletas!#REF!="Gunshu Adulto",58,IF(Atletas!#REF!="Qiangshu Adulto",59,IF(Atletas!#REF!="Nangun Adulto",60,IF(Atletas!#REF!="Taijishan Grupo B",61,IF(Atletas!#REF!="Taijishan Grupo A",62,""))))))))))))))))))))))</f>
        <v>#REF!</v>
      </c>
      <c r="BI38" s="6" t="str">
        <f>IF(BJ38&lt;&gt;"","Changquan Grupo A","")</f>
        <v/>
      </c>
      <c r="BJ38" s="50" t="str">
        <f>IF(COUNTIF(BF:BH,110)&gt;0,COUNTIF(BF:BH,110),"")</f>
        <v/>
      </c>
      <c r="BK38" s="6" t="str">
        <f>IF(BL38&lt;&gt;"","Changquan Grupo A","")</f>
        <v/>
      </c>
      <c r="BL38" s="50" t="str">
        <f>IF(COUNTIF(BF:BH,210)&gt;0,COUNTIF(BF:BH,210),"")</f>
        <v/>
      </c>
      <c r="BM38" s="50" t="e">
        <f>IF(Atletas!#REF!="","",IF(Atletas!#REF!="Feminino",100,IF(Atletas!#REF!="Masculino",200,""))+(IF(Atletas!#REF!="Equipe 1 Grupo B",1,IF(Atletas!#REF!="Equipe 2 Grupo B",2,IF(Atletas!#REF!="Equipe 1 Grupo A",3,IF(Atletas!#REF!="Equipe 2 Grupo A",4,IF(Atletas!#REF!="Equipe 1 Adulto",5,IF(Atletas!#REF!="Equipe 2 Adulto",6,""))))))))</f>
        <v>#REF!</v>
      </c>
      <c r="BR38" s="50" t="e">
        <f>IF(Atletas!#REF!="","",IF(Atletas!#REF!&lt;&gt;"",10000,0)+(IF(Atletas!#REF!="Feminino",1000,IF(Atletas!#REF!="Masculino",2000,""))+IF(Atletas!#REF!="Choylayfut A",1,IF(Atletas!#REF!="Hunggar A",2,IF(Atletas!#REF!="Wuzuquan A",3,IF(Atletas!#REF!="Wingchun A",4,IF(Atletas!#REF!="Outra Mão de Sul A",5,IF(Atletas!#REF!="Choylayfut B",6,IF(Atletas!#REF!="Hunggar B",7,IF(Atletas!#REF!="Wuzuquan B",8,IF(Atletas!#REF!="Wingchun B",9,IF(Atletas!#REF!="Outra Mão de Sul B",10,IF(Atletas!#REF!="Choylayfut C",11,IF(Atletas!#REF!="Hunggar C",12,IF(Atletas!#REF!="Wuzuquan C",13,IF(Atletas!#REF!="Wingchun C",14,IF(Atletas!#REF!="Outra Mão de Sul C",15,IF(Atletas!#REF!="Choylayfut D",16,IF(Atletas!#REF!="Hunggar D",17,IF(Atletas!#REF!="Wuzuquan D",18,IF(Atletas!#REF!="Wingchun D",19,IF(Atletas!#REF!="Outra Mão de Sul D",20,IF(Atletas!#REF!="Choylayfut E",21,IF(Atletas!#REF!="Hunggar E",22,IF(Atletas!#REF!="Wuzuquan E",23,IF(Atletas!#REF!="Wingchun E",24,IF(Atletas!#REF!="Outra Mão de Sul E",25,IF(Atletas!#REF!="Choylayfut F",26,IF(Atletas!#REF!="Hunggar F",27,IF(Atletas!#REF!="Wuzuquan F",28,IF(Atletas!#REF!="Wingchun F",29,IF(Atletas!#REF!="Outra Mão de Sul F",30,IF(Atletas!#REF!="Dishuquan A",31,IF(Atletas!#REF!="Dishuquan B",32,IF(Atletas!#REF!="Dishuquan C",33,IF(Atletas!#REF!="Dishuquan D",34,IF(Atletas!#REF!="Dishuquan E",35,IF(Atletas!#REF!="Dishuquan F",36,""))))))))))))))))))))))))))))))))))))))</f>
        <v>#REF!</v>
      </c>
      <c r="BS38" s="50" t="e">
        <f>IF(Atletas!#REF!="","",IF(Atletas!#REF!&lt;&gt;"",10000,0)+(IF(Atletas!#REF!="Feminino",1000,IF(Atletas!#REF!="Masculino",2000,""))+(IF(Atletas!#REF!="Chaquan A",101,IF(Atletas!#REF!="Emeiquan A",102,IF(Atletas!#REF!="Fanziquan A",103,IF(Atletas!#REF!="Huaquan A",104,IF(Atletas!#REF!="Hongquan A",105,IF(Atletas!#REF!="Paoquan A",106,IF(Atletas!#REF!="Piguaquan A",107,IF(Atletas!#REF!="Shaolinquan A",108,IF(Atletas!#REF!="Tanglangquan A",109,IF(Atletas!#REF!="Yingzhaoquan A",110,IF(Atletas!#REF!="Tongbeiquan A",111,IF(Atletas!#REF!="Wudangquan A",112,IF(Atletas!#REF!="Outros Estilos A",113,IF(Atletas!#REF!="Chaquan B",114,IF(Atletas!#REF!="Emeiquan B",115,IF(Atletas!#REF!="Fanziquan B",116,IF(Atletas!#REF!="Huaquan B",117,IF(Atletas!#REF!="Hongquan B",118,IF(Atletas!#REF!="Paoquan B",119,IF(Atletas!#REF!="Piguaquan B",120,IF(Atletas!#REF!="Shaolinquan B",121,IF(Atletas!#REF!="Tanglangquan B",122,IF(Atletas!#REF!="Yingzhaoquan B",123,IF(Atletas!#REF!="Tongbeiquan B",124,IF(Atletas!#REF!="Wudangquan B",125,IF(Atletas!#REF!="Outros Estilos B",126,IF(Atletas!#REF!="Chaquan C",127,IF(Atletas!#REF!="Emeiquan C",128,IF(Atletas!#REF!="Fanziquan C",129,IF(Atletas!#REF!="Huaquan C",130,IF(Atletas!#REF!="Hongquan C",131,IF(Atletas!#REF!="Paoquan C",132,IF(Atletas!#REF!="Piguaquan C",133,IF(Atletas!#REF!="Shaolinquan C",134,IF(Atletas!#REF!="Tanglangquan C",135,IF(Atletas!#REF!="Yingzhaoquan C",136,IF(Atletas!#REF!="Tongbeiquan C",137,IF(Atletas!#REF!="Wudangquan C",138,IF(Atletas!#REF!="Outros Estilos C",139,0))))))))))))))))))))))))))))))))))))))))))</f>
        <v>#REF!</v>
      </c>
      <c r="BT38" s="50" t="e">
        <f>IF(Atletas!#REF!="","",IF(Atletas!#REF!&lt;&gt;"",10000,0)+(IF(Atletas!#REF!="Feminino",1000,IF(Atletas!#REF!="Masculino",2000,""))+(IF(Atletas!#REF!="Chaquan D",140,IF(Atletas!#REF!="Emeiquan D",141,IF(Atletas!#REF!="Fanziquan D",142,IF(Atletas!#REF!="Huaquan D",143,IF(Atletas!#REF!="Hongquan D",144,IF(Atletas!#REF!="Paoquan D",145,IF(Atletas!#REF!="Piguaquan D",146,IF(Atletas!#REF!="Shaolinquan D",147,IF(Atletas!#REF!="Tanglangquan D",148,IF(Atletas!#REF!="Yingzhaoquan D",149,IF(Atletas!#REF!="Tongbeiquan D",150,IF(Atletas!#REF!="Wudangquan D",151,IF(Atletas!#REF!="Outros Estilos D",152,IF(Atletas!#REF!="Chaquan E",153,IF(Atletas!#REF!="Emeiquan E",154,IF(Atletas!#REF!="Fanziquan E",155,IF(Atletas!#REF!="Huaquan E",156,IF(Atletas!#REF!="Hongquan E",157,IF(Atletas!#REF!="Paoquan E",158,IF(Atletas!#REF!="Piguaquan E",159,IF(Atletas!#REF!="Shaolinquan E",160,IF(Atletas!#REF!="Tanglangquan E",161,IF(Atletas!#REF!="Yingzhaoquan E",162,IF(Atletas!#REF!="Tongbeiquan E",163,IF(Atletas!#REF!="Wudangquan E",164,IF(Atletas!#REF!="Outros Estilos E",165,IF(Atletas!#REF!="Chaquan F",166,IF(Atletas!#REF!="Emeiquan F",167,IF(Atletas!#REF!="Fanziquan F",168,IF(Atletas!#REF!="Huaquan F",169,IF(Atletas!#REF!="Hongquan F",170,IF(Atletas!#REF!="Paoquan F",171,IF(Atletas!#REF!="Piguaquan F",172,IF(Atletas!#REF!="Shaolinquan F",173,IF(Atletas!#REF!="Tanglangquan F",174,IF(Atletas!#REF!="Yingzhaoquan F",175,IF(Atletas!#REF!="Tongbeiquan F",176,IF(Atletas!#REF!="Wudangquan F",177,IF(Atletas!#REF!="Outros Estilos F",178,0))))))))))))))))))))))))))))))))))))))))))</f>
        <v>#REF!</v>
      </c>
      <c r="BU38" s="50" t="e">
        <f>IF(Atletas!#REF!="","",IF(Atletas!#REF!&lt;&gt;"",10000,0)+(IF(Atletas!#REF!="Feminino",1000,IF(Atletas!#REF!="Masculino",2000,""))+(IF(Atletas!#REF!="Ditangquan A",201,IF(Atletas!#REF!="Houquan A",202,IF(Atletas!#REF!="Zuiquan A",203,IF(Atletas!#REF!="Ditangquan B",204,IF(Atletas!#REF!="Houquan B",205,IF(Atletas!#REF!="Zuiquan B",206,IF(Atletas!#REF!="Ditangquan C",207,IF(Atletas!#REF!="Houquan C",208,IF(Atletas!#REF!="Zuiquan C",209,IF(Atletas!#REF!="Ditangquan D",210,IF(Atletas!#REF!="Houquan D",211,IF(Atletas!#REF!="Zuiquan D",212,IF(Atletas!#REF!="Ditangquan E",213,IF(Atletas!#REF!="Houquan E",214,IF(Atletas!#REF!="Zuiquan E",215,IF(Atletas!#REF!="Ditangquan F",216,IF(Atletas!#REF!="Houquan F",217,IF(Atletas!#REF!="Zuiquan F",218,"")))))))))))))))))))))</f>
        <v>#REF!</v>
      </c>
      <c r="BV38" s="50" t="e">
        <f>IF(Atletas!#REF!="","",IF(Atletas!#REF!&lt;&gt;"",10000,0)+IF(Atletas!#REF!="Feminino",1000,IF(Atletas!#REF!="Masculino",2000,""))+IF(Atletas!#REF!="Yang A",301,IF(Atletas!#REF!="Chen A",302,IF(Atletas!#REF!="Sun A",303,IF(Atletas!#REF!="Wu A",304,IF(Atletas!#REF!="Wu-Hao A",305,IF(Atletas!#REF!="Outro Taijiquan A",306,IF(Atletas!#REF!="Yang B",307,IF(Atletas!#REF!="Chen B",308,IF(Atletas!#REF!="Sun B",309,IF(Atletas!#REF!="Wu B",310,IF(Atletas!#REF!="Wu-Hao B",311,IF(Atletas!#REF!="Outro Taijiquan B",312,IF(Atletas!#REF!="Yang C",313,IF(Atletas!#REF!="Chen C",314,IF(Atletas!#REF!="Sun C",315,IF(Atletas!#REF!="Wu C",316,IF(Atletas!#REF!="Wu-Hao C",317,IF(Atletas!#REF!="Outro Taijiquan C",318,IF(Atletas!#REF!="Yang D",319,IF(Atletas!#REF!="Chen D",320,IF(Atletas!#REF!="Sun D",321,IF(Atletas!#REF!="Wu D",322,IF(Atletas!#REF!="Wu-Hao D",323,IF(Atletas!#REF!="Outro Taijiquan D",324,IF(Atletas!#REF!="Yang E",325,IF(Atletas!#REF!="Chen E",326,IF(Atletas!#REF!="Sun E",327,IF(Atletas!#REF!="Wu E",328,IF(Atletas!#REF!="Wu-Hao E",329,IF(Atletas!#REF!="Outro Taijiquan E",330,IF(Atletas!#REF!="Yang F",331,IF(Atletas!#REF!="Chen F",332,IF(Atletas!#REF!="Sun F",333,IF(Atletas!#REF!="Wu F",334,IF(Atletas!#REF!="Wu-Hao F",335,IF(Atletas!#REF!="Outro Taijiquan F",336,"")))))))))))))))))))))))))))))))))))))</f>
        <v>#REF!</v>
      </c>
      <c r="BW38" s="50" t="e">
        <f>IF(Atletas!#REF!="","",IF(Atletas!#REF!&lt;&gt;"",10000,0)+IF(Atletas!#REF!="Feminino",1000,IF(Atletas!#REF!="Masculino",2000,""))+IF(OR(Atletas!#REF!="Yang 26 A",Atletas!#REF!="Yang 40 A"),401,IF(OR(Atletas!#REF!="Chen 25 A",Atletas!#REF!="Chen 36 A",Atletas!#REF!="Chen 56 A"),402,IF(Atletas!#REF!="Sun 73 A",403,IF(Atletas!#REF!="Wu 45 A",404,IF(Atletas!#REF!="Wu-Hao 46 A",405,IF(OR(Atletas!#REF!="Taijiquan 16 A",Atletas!#REF!="Taijiquan 24 A",Atletas!#REF!="Taijiquan 32 A",Atletas!#REF!="Taijiquan 42 A"),406,IF(OR(Atletas!#REF!="Yang 26 B",Atletas!#REF!="Yang 40 B"),407,IF(OR(Atletas!#REF!="Chen 25 B",Atletas!#REF!="Chen 36 B",Atletas!#REF!="Chen 56 B"),408,IF(Atletas!#REF!="Sun 73 B",409,IF(Atletas!#REF!="Wu 45 B",410,IF(Atletas!#REF!="Wu-Hao 46 B",411,IF(OR(Atletas!#REF!="Taijiquan 16 B",Atletas!#REF!="Taijiquan 24 B",Atletas!#REF!="Taijiquan 32 B",Atletas!#REF!="Taijiquan 42 B"),412,IF(OR(Atletas!#REF!="Yang 26 C",Atletas!#REF!="Yang 40 C"),413,IF(OR(Atletas!#REF!="Chen 25 C",Atletas!#REF!="Chen 36 C",Atletas!#REF!="Chen 56 C"),414,IF(Atletas!#REF!="Sun 73 C",415,IF(Atletas!#REF!="Wu 45 C",416,IF(Atletas!#REF!="Wu-Hao 46 C",417,IF(OR(Atletas!#REF!="Taijiquan 16 C",Atletas!#REF!="Taijiquan 24 C",Atletas!#REF!="Taijiquan 32 C",Atletas!#REF!="Taijiquan 42 C"),418,0)))))))))))))))))))</f>
        <v>#REF!</v>
      </c>
      <c r="BX38" s="50" t="e">
        <f>IF(Atletas!#REF!="","",IF(Atletas!#REF!&lt;&gt;"",10000,0)+IF(Atletas!#REF!="Feminino",1000,IF(Atletas!#REF!="Masculino",2000,""))+IF(OR(Atletas!#REF!="Yang 26 D",Atletas!#REF!="Yang 40 D"),419,IF(OR(Atletas!#REF!="Chen 25 D",Atletas!#REF!="Chen 36 D",Atletas!#REF!="Chen 56 D"),420,IF(Atletas!#REF!="Sun 73 D",421,IF(Atletas!#REF!="Wu 45 D",422,IF(Atletas!#REF!="Wu-Hao 46 D",423,IF(OR(Atletas!#REF!="Taijiquan 16 D",Atletas!#REF!="Taijiquan 24 D",Atletas!#REF!="Taijiquan 32 D",Atletas!#REF!="Taijiquan 42 D"),424,IF(OR(Atletas!#REF!="Yang 26 E",Atletas!#REF!="Yang 40 E"),425,IF(OR(Atletas!#REF!="Chen 25 E",Atletas!#REF!="Chen 36 E",Atletas!#REF!="Chen 56 E"),426,IF(Atletas!#REF!="Sun 73 E",427,IF(Atletas!#REF!="Wu 45 E",428,IF(Atletas!#REF!="Wu-Hao 46 E",429,IF(OR(Atletas!#REF!="Taijiquan 16 E",Atletas!#REF!="Taijiquan 24 E",Atletas!#REF!="Taijiquan 32 E",Atletas!#REF!="Taijiquan 42 E"),430,IF(OR(Atletas!#REF!="Yang 26 F",Atletas!#REF!="Yang 40 F"),431,IF(OR(Atletas!#REF!="Chen 25 F",Atletas!#REF!="Chen 36 F",Atletas!#REF!="Chen 56 F"),432,IF(Atletas!#REF!="Sun 73 F",433,IF(Atletas!#REF!="Wu 45 F",434,IF(Atletas!#REF!="Wu-Hao 46 F",435,IF(OR(Atletas!#REF!="Taijiquan 16 F",Atletas!#REF!="Taijiquan 24 F",Atletas!#REF!="Taijiquan 32 F",Atletas!#REF!="Taijiquan 42 F"),436,0)))))))))))))))))))</f>
        <v>#REF!</v>
      </c>
      <c r="BY38" s="50" t="e">
        <f>IF(Atletas!#REF!="","",IF(Atletas!#REF!&lt;&gt;"",10000,0)+IF(Atletas!#REF!="Feminino",1000,IF(Atletas!#REF!="Masculino",2000,""))+IF(Atletas!#REF!="Xingyiquan A",501,IF(Atletas!#REF!="Baguazhang A",502,IF(Atletas!#REF!="Outro Estilo Interno A",503,IF(Atletas!#REF!="Xingyiquan B",504,IF(Atletas!#REF!="Baguazhang B",505,IF(Atletas!#REF!="Outro Estilo Interno B",506,IF(Atletas!#REF!="Xingyiquan C",507,IF(Atletas!#REF!="Baguazhang C",508,IF(Atletas!#REF!="Outro Estilo Interno C",509,IF(Atletas!#REF!="Xingyiquan D",510,IF(Atletas!#REF!="Baguazhang D",511,IF(Atletas!#REF!="Outro Estilo Interno D",512,IF(Atletas!#REF!="Xingyiquan E",513,IF(Atletas!#REF!="Baguazhang E",514,IF(Atletas!#REF!="Outro Estilo Interno E",515,IF(Atletas!#REF!="Xingyiquan F",516,IF(Atletas!#REF!="Baguazhang F",517,IF(Atletas!#REF!="Outro Estilo Interno F",518, "")))))))))))))))))))</f>
        <v>#REF!</v>
      </c>
      <c r="BZ38" s="50" t="e">
        <f>IF(Atletas!#REF!="","",IF(Atletas!#REF!&lt;&gt;"",10000,0)+IF(Atletas!#REF!="Feminino",1000,IF(Atletas!#REF!="Masculino",2000,""))+IF(Atletas!#REF!="Dao A",601,IF(Atletas!#REF!="Jian A",602,IF(Atletas!#REF!="Bishou A",603,IF(Atletas!#REF!="Shanzi A",604,IF(Atletas!#REF!="Outra Arma Curta A",605,IF(Atletas!#REF!="Dao B",606,IF(Atletas!#REF!="Jian B",607,IF(Atletas!#REF!="Bishou B",608,IF(Atletas!#REF!="Shanzi B",609,IF(Atletas!#REF!="Outra Arma Curta B",610,IF(Atletas!#REF!="Dao C",611,IF(Atletas!#REF!="Jian C",612,IF(Atletas!#REF!="Bishou C",613,IF(Atletas!#REF!="Shanzi C",614,IF(Atletas!#REF!="Outra Arma Curta C",615,IF(Atletas!#REF!="Dao D",616,IF(Atletas!#REF!="Jian D",617,IF(Atletas!#REF!="Bishou D",618,IF(Atletas!#REF!="Shanzi D",619,IF(Atletas!#REF!="Outra Arma Curta D",620,IF(Atletas!#REF!="Dao E",621,IF(Atletas!#REF!="Jian E",622,IF(Atletas!#REF!="Bishou E",623,IF(Atletas!#REF!="Shanzi E",624,IF(Atletas!#REF!="Outra Arma Curta E",625,IF(Atletas!#REF!="Dao F",626,IF(Atletas!#REF!="Jian F",627,IF(Atletas!#REF!="Bishou F",628,IF(Atletas!#REF!="Shanzi F",629,IF(Atletas!#REF!="Outra Arma Curta F",630, "")))))))))))))))))))))))))))))))</f>
        <v>#REF!</v>
      </c>
      <c r="CA38" s="50" t="e">
        <f>IF(Atletas!#REF!="","",IF(Atletas!#REF!&lt;&gt;"",10000,0)+IF(Atletas!#REF!="Feminino",1000,IF(Atletas!#REF!="Masculino",2000,""))+IF(Atletas!#REF!="Gun A",701,IF(Atletas!#REF!="Qiang A",702,IF(Atletas!#REF!="Pudao / Guandao A",703,IF(Atletas!#REF!="Outra Arma Longa A",704,IF(Atletas!#REF!="Gun B",705,IF(Atletas!#REF!="Qiang B",706,IF(Atletas!#REF!="Pudao / Guandao B",707,IF(Atletas!#REF!="Outra Arma Longa B",708,IF(Atletas!#REF!="Gun C",709,IF(Atletas!#REF!="Qiang C",710,IF(Atletas!#REF!="Pudao / Guandao C",711,IF(Atletas!#REF!="Outra Arma Longa C",712,IF(Atletas!#REF!="Gun D",713,IF(Atletas!#REF!="Qiang D",714,IF(Atletas!#REF!="Pudao / Guandao D",715,IF(Atletas!#REF!="Outra Arma Longa D",716,IF(Atletas!#REF!="Gun E",717,IF(Atletas!#REF!="Qiang E",718,IF(Atletas!#REF!="Pudao / Guandao E",719,IF(Atletas!#REF!="Outra Arma Longa E",720,IF(Atletas!#REF!="Gun F",721,IF(Atletas!#REF!="Qiang F",722,IF(Atletas!#REF!="Pudao / Guandao F",723,IF(Atletas!#REF!="Outra Arma Longa F",724,"")))))))))))))))))))))))))</f>
        <v>#REF!</v>
      </c>
      <c r="CB38" s="50" t="e">
        <f>IF(Atletas!#REF!="","",IF(Atletas!#REF!&lt;&gt;"",10000,0)+IF(Atletas!#REF!="Feminino",1000,IF(Atletas!#REF!="Masculino",2000,""))+IF(Atletas!#REF!="Outra Arma Dupla A",801,IF(Atletas!#REF!="Arma Maleável A",802,IF(Atletas!#REF!="Outra Arma Dupla B",803,IF(Atletas!#REF!="Arma Maleável B",804,IF(Atletas!#REF!="Outra Arma Dupla C",805,IF(Atletas!#REF!="Arma Maleável C",806,IF(Atletas!#REF!="Outra Arma Dupla D",807,IF(Atletas!#REF!="Arma Maleável D",808,IF(Atletas!#REF!="Outra Arma Dupla E",809,IF(Atletas!#REF!="Arma Maleável E",810,IF(Atletas!#REF!="Outra Arma Dupla F",811,IF(Atletas!#REF!="Arma Maleável F",812,IF(Atletas!#REF!="Shuangdao A",813,IF(Atletas!#REF!="Shuangdao B",814,IF(Atletas!#REF!="Shuangdao C",815,IF(Atletas!#REF!="Shuangdao D",816,IF(Atletas!#REF!="Shuangdao E",817,IF(Atletas!#REF!="Shuangdao F",818,"")))))))))))))))))))</f>
        <v>#REF!</v>
      </c>
      <c r="CC38" s="50" t="e">
        <f>IF(Atletas!#REF!="","",IF(Atletas!#REF!&lt;&gt;"",10000,0)+IF(Atletas!#REF!="Feminino",1000,IF(Atletas!#REF!="Masculino",2000,""))+IF(OR(Atletas!#REF!="Taijijian Yang A",Atletas!#REF!="Taijijian Yang Standard A"),901,IF(OR(Atletas!#REF!="Taijijian Chen A", Atletas!#REF!="Taijijian Chen Standard A"),902,IF(Atletas!#REF!="Taijijian Sun A",903,IF(Atletas!#REF!="Taijijian Wu A",904,IF(Atletas!#REF!="Taijijian Wu-Hao A",905,IF(OR(Atletas!#REF!="Taijijian 32 A",Atletas!#REF!="Taijijian 42 A"),906,IF(OR(Atletas!#REF!="Taijijian Yang B",Atletas!#REF!="Taijijian Yang Standard B"),907,IF(OR(Atletas!#REF!="Taijijian Chen B", Atletas!#REF!="Taijijian Chen Standard B"),908,IF(Atletas!#REF!="Taijijian Sun B",909,IF(Atletas!#REF!="Taijijian Wu B",910,IF(Atletas!#REF!="Taijijian Wu-Hao B",911,IF(OR(Atletas!#REF!="Taijijian 32 B",Atletas!#REF!="Taijijian 42 B"),912,IF(OR(Atletas!#REF!="Taijijian Yang C",Atletas!#REF!="Taijijian Yang Standard C"),913,IF(OR(Atletas!#REF!="Taijijian Chen C", Atletas!#REF!="Taijijian Chen Standard C"),914,IF(Atletas!#REF!="Taijijian Sun C",915,IF(Atletas!#REF!="Taijijian Wu C",916,IF(Atletas!#REF!="Taijijian Wu-Hao C",917,IF(OR(Atletas!#REF!="Taijijian 32 C",Atletas!#REF!="Taijijian 42 C"),918,IF(OR(Atletas!#REF!="Taijijian Yang D",Atletas!#REF!="Taijijian Yang Standard D"),919,IF(OR(Atletas!#REF!="Taijijian Chen D", Atletas!#REF!="Taijijian Chen Standard D"),920,IF(Atletas!#REF!="Taijijian Sun D",921,IF(Atletas!#REF!="Taijijian Wu D",922,IF(Atletas!#REF!="Taijijian Wu-Hao D",923,IF(OR(Atletas!#REF!="Taijijian 32 D",Atletas!#REF!="Taijijian 42 D"),924,IF(OR(Atletas!#REF!="Taijijian Yang E",Atletas!#REF!="Taijijian Yang Standard E"),925,IF(OR(Atletas!#REF!="Taijijian Chen E", Atletas!#REF!="Taijijian Chen Standard E"),926,IF(Atletas!#REF!="Taijijian Sun E",927,IF(Atletas!#REF!="Taijijian Wu E",928,IF(Atletas!#REF!="Taijijian Wu-Hao E",929,IF(OR(Atletas!#REF!="Taijijian 32 E",Atletas!#REF!="Taijijian 42 E"),930,IF(OR(Atletas!#REF!="Taijijian Yang F",Atletas!#REF!="Taijijian Yang Standard F"),931,IF(OR(Atletas!#REF!="Taijijian Chen F", Atletas!#REF!="Taijijian Chen Standard F"),932,IF(Atletas!#REF!="Taijijian Sun F",933,IF(Atletas!#REF!="Taijijian Wu F",934,IF(Atletas!#REF!="Taijijian Wu-Hao F",935,IF(OR(Atletas!#REF!="Taijijian 32 F",Atletas!#REF!="Taijijian 42 F"),936,"")))))))))))))))))))))))))))))))))))))</f>
        <v>#REF!</v>
      </c>
      <c r="CD38" s="50" t="e">
        <f>IF(Atletas!#REF!="","",IF(Atletas!#REF!&lt;&gt;"",10000,0)+IF(Atletas!#REF!="Feminino",1000,IF(Atletas!#REF!="Masculino",2000,""))+IF(Atletas!#REF!="Taijidao A",937,IF(Atletas!#REF!="TaijiShanzi A",938,IF(Atletas!#REF!="Taijiqiang A",939,IF(Atletas!#REF!="Bagua de Arma A",940,IF(Atletas!#REF!="Xingyi de Arma A",941,IF(Atletas!#REF!="Taijidao B",942,IF(Atletas!#REF!="TaijiShanzi B",943,IF(Atletas!#REF!="Taijiqiang B",944,IF(Atletas!#REF!="Bagua de Arma B",945,IF(Atletas!#REF!="Xingyi de Arma B",946,IF(Atletas!#REF!="Taijidao C",947,IF(Atletas!#REF!="TaijiShanzi C",948,IF(Atletas!#REF!="Taijiqiang C",949,IF(Atletas!#REF!="Bagua de Arma C",950,IF(Atletas!#REF!="Xingyi de Arma C",951,IF(Atletas!#REF!="Taijidao D",952,IF(Atletas!#REF!="TaijiShanzi D",953,IF(Atletas!#REF!="Taijiqiang D",954,IF(Atletas!#REF!="Bagua de Arma D",955,IF(Atletas!#REF!="Xingyi de Arma D",956,IF(Atletas!#REF!="Taijidao E",957,IF(Atletas!#REF!="TaijiShanzi E",958,IF(Atletas!#REF!="Taijiqiang E",959,IF(Atletas!#REF!="Bagua de Arma E",960,IF(Atletas!#REF!="Xingyi de Arma E",961,IF(Atletas!#REF!="Taijidao F",962,IF(Atletas!#REF!="TaijiShanzi F",963,IF(Atletas!#REF!="Taijiqiang F",964,IF(Atletas!#REF!="Bagua de Arma F",965,IF(Atletas!#REF!="Xingyi de Arma F",966,"")))))))))))))))))))))))))))))))</f>
        <v>#REF!</v>
      </c>
      <c r="CE38" s="66" t="str">
        <f>IF(CF38&lt;&gt;"","Hunggar F","")</f>
        <v/>
      </c>
      <c r="CF38" s="66" t="str">
        <f>IF(COUNTIF(BR:CD,1027)&gt;0,COUNTIF(BR:CD,1027),"")</f>
        <v/>
      </c>
      <c r="CG38" s="66" t="str">
        <f>IF(CH38&lt;&gt;"","Hunggar F","")</f>
        <v/>
      </c>
      <c r="CH38" s="66" t="str">
        <f>IF(COUNTIF(BR:CD,2027)&gt;0,COUNTIF(BR:CD,2027),"")</f>
        <v/>
      </c>
      <c r="CI38" s="66" t="str">
        <f>IF(CJ38&lt;&gt;"","Emeiquan A","")</f>
        <v/>
      </c>
      <c r="CJ38" s="66" t="str">
        <f>IF(COUNTIF(BR:CD,11102)&gt;0,COUNTIF(BR:CD,11102),"")</f>
        <v/>
      </c>
      <c r="CK38" s="66" t="str">
        <f>IF(CL38&lt;&gt;"","Emeiquan A","")</f>
        <v/>
      </c>
      <c r="CL38" s="66" t="str">
        <f>IF(COUNTIF(BR:CD,12102)&gt;0,COUNTIF(BR:CD,12102),"")</f>
        <v/>
      </c>
      <c r="CM38" s="50" t="e">
        <f xml:space="preserve"> IF(Atletas!#REF!="","",IF(Atletas!#REF!="Duilian de Mãos BC - Equipe 1",1,IF(Atletas!#REF!="Duilian de Mãos BC - Equipe 2",2,IF(Atletas!#REF!="Duilian de Armas BC - Equipe 1",3,IF(Atletas!#REF!="Duilian de Armas BC - Equipe 2",4,IF(Atletas!#REF!="Duilian de Mãos DE - Equipe 1",5,IF(Atletas!#REF!="Duilian de Mãos DE - Equipe 2",6,IF(Atletas!#REF!="Duilian de Armas DE - Equipe 1",7,IF(Atletas!#REF!="Duilian de Armas DE - Equipe 2",8,IF(Atletas!#REF!="Duilian de Tuishou - Equipe 1",9,IF(Atletas!#REF!="Duilian de Tuishou - Equipe 2",10,IF(Atletas!#REF!="Grupo Externo ABC - Equipe 1",11,IF(Atletas!#REF!="Grupo Externo ABC - Equipe 2",12,IF(Atletas!#REF!="Grupo Interno ABC - Equipe 1",13,IF(Atletas!#REF!="Grupo Interno ABC - Equipe 2",14,IF(Atletas!#REF!="Grupo Externo DEF - Equipe 1",15,IF(Atletas!#REF!="Grupo Externo DEF - Equipe 2",16,IF(Atletas!#REF!="Grupo Interno DEF - Equipe 1",17,IF(Atletas!#REF!="Grupo Interno DEF - Equipe 2",18,"")))))))))))))))))))</f>
        <v>#REF!</v>
      </c>
      <c r="CY38" s="41"/>
    </row>
    <row r="39" spans="2:103">
      <c r="B39" s="3" t="str">
        <f t="array" ref="B39">IFERROR(INDEX(AO$7:AO$38,SMALL(IF(AO$7:AO$38&lt;&gt;"",ROW(AO$7:AO$38)-ROW(AO$7)+1),ROWS(AO$7:AO38))),"")</f>
        <v/>
      </c>
      <c r="C39" s="3" t="str">
        <f t="array" ref="C39">IFERROR(INDEX(AP$7:AP$38,SMALL(IF(AP$7:AP$38&lt;&gt;"",ROW(AP$7:AP$38)-ROW(AP$7)+1),ROWS(AP$7:AP38))),"")</f>
        <v/>
      </c>
      <c r="D39" s="3" t="str">
        <f t="array" ref="D39">IFERROR(INDEX(AQ$7:AQ$38,SMALL(IF(AQ$7:AQ$38&lt;&gt;"",ROW(AQ$7:AQ$38)-ROW(AQ$7)+1),ROWS(AQ$7:AQ38))),"")</f>
        <v/>
      </c>
      <c r="E39" s="3" t="str">
        <f t="array" ref="E39">IFERROR(INDEX(AR$7:AR$38,SMALL(IF(AR$7:AR$38&lt;&gt;"",ROW(AR$7:AR$38)-ROW(AR$7)+1),ROWS(AR$7:AR38))),"")</f>
        <v/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 t="str">
        <f t="array" ref="R39">IFERROR(INDEX(BI$7:BI$68,SMALL(IF(BI$7:BI$68&lt;&gt;"",ROW(BI$7:BI$68)-ROW(BI$7)+1),ROWS(BI$7:BI38))),"")</f>
        <v/>
      </c>
      <c r="S39" s="3" t="str">
        <f t="array" ref="S39">IFERROR(INDEX(BJ$7:BJ$68,SMALL(IF(BJ$7:BJ$68&lt;&gt;"",ROW(BJ$7:BJ$68)-ROW(BJ$7)+1),ROWS(BJ$7:BJ38))),"")</f>
        <v/>
      </c>
      <c r="T39" s="3" t="str">
        <f t="array" ref="T39">IFERROR(INDEX(BK$7:BK$68,SMALL(IF(BK$7:BK$68&lt;&gt;"",ROW(BK$7:BK$68)-ROW(BK$7)+1),ROWS(BK$7:BK38))),"")</f>
        <v/>
      </c>
      <c r="U39" s="3" t="str">
        <f t="array" ref="U39">IFERROR(INDEX(BL$7:BL$68,SMALL(IF(BL$7:BL$68&lt;&gt;"",ROW(BL$7:BL$68)-ROW(BL$7)+1),ROWS(BL$7:BL38))),"")</f>
        <v/>
      </c>
      <c r="V39" s="3"/>
      <c r="W39" s="3"/>
      <c r="X39" s="20"/>
      <c r="Y39" s="3"/>
      <c r="Z39" s="3" t="str">
        <f t="array" ref="Z39">IFERROR(INDEX(CE$7:CE$348,SMALL(IF(CE$7:CE$348&lt;&gt;"",ROW(CE$7:CE$348)-ROW(CE$7)+1),ROWS(CE$7:CE38))),"")</f>
        <v/>
      </c>
      <c r="AA39" s="3" t="str">
        <f t="array" ref="AA39">IFERROR(INDEX(CF$7:CF$348,SMALL(IF(CF$7:CF$348&lt;&gt;"",ROW(CF$7:CF$348)-ROW(CF$7)+1),ROWS(CF$7:CF38))),"")</f>
        <v/>
      </c>
      <c r="AB39" s="3" t="str">
        <f t="array" ref="AB39">IFERROR(INDEX(CG$7:CG$348,SMALL(IF(CG$7:CG$348&lt;&gt;"",ROW(CG$7:CG$348)-ROW(CG$7)+1),ROWS(CG$7:CG38))),"")</f>
        <v/>
      </c>
      <c r="AC39" s="3" t="str">
        <f t="array" ref="AC39">IFERROR(INDEX(CH$7:CH$348,SMALL(IF(CH$7:CH$348&lt;&gt;"",ROW(CH$7:CH$348)-ROW(CH$7)+1),ROWS(CH$7:CH38))),"")</f>
        <v/>
      </c>
      <c r="AD39" s="3" t="str">
        <f t="array" ref="AD39">IFERROR(INDEX(CI$7:CI$377,SMALL(IF(CI$7:CI$377&lt;&gt;"",ROW(CI$7:CI$377)-ROW(CI$7)+1),ROWS(CI$7:CI38))),"")</f>
        <v/>
      </c>
      <c r="AE39" s="3" t="str">
        <f t="array" ref="AE39">IFERROR(INDEX(CJ$7:CJ$378,SMALL(IF(CJ$7:CJ$378&lt;&gt;"",ROW(CJ$7:CJ$378)-ROW(CJ$7)+1),ROWS(CJ$7:CJ38))),"")</f>
        <v/>
      </c>
      <c r="AF39" s="3" t="str">
        <f t="array" ref="AF39">IFERROR(INDEX(CK$7:CK$378,SMALL(IF(CK$7:CK$378&lt;&gt;"",ROW(CK$7:CK$378)-ROW(CK$7)+1),ROWS(CK$7:CK38))),"")</f>
        <v/>
      </c>
      <c r="AG39" s="3" t="str">
        <f t="array" ref="AG39">IFERROR(INDEX(CL$7:CL$378,SMALL(IF(CL$7:CL$378&lt;&gt;"",ROW(CL$7:CL$378)-ROW(CL$7)+1),ROWS(CL$7:CL38))),"")</f>
        <v/>
      </c>
      <c r="AH39" s="20"/>
      <c r="AI39" s="20"/>
      <c r="AJ39" s="20"/>
      <c r="AK39" s="20"/>
      <c r="AL39" s="20"/>
      <c r="AM39" s="3"/>
      <c r="AN39" s="52" t="str">
        <f>IF(Atletas!D32="","",IF(Atletas!B32="Feminino",100,IF(Atletas!B32="Masculino",200,""))+(IF(Atletas!D32="Kids 30kg",1,IF(Atletas!D32="Kids 32kg",2, IF(Atletas!D32="Kids 34kg",3,IF(Atletas!D32="Kids 36kg",4,IF(Atletas!D32="Kids 39kg",5,IF(Atletas!D32="Kids 42kg",6,IF(Atletas!D32="Kids 45kg",7, IF(Atletas!D32="Infantil 39kg",8,IF(Atletas!D32="Infantil 42kg",9,IF(Atletas!D32="Infantil 45kg",10,IF(Atletas!D32="Infantil 48kg",11,IF(Atletas!D32="Infantil 52kg",12,IF(Atletas!D32="Infantil 56kg",13,IF(Atletas!D32="Infantil 60kg",14,IF(Atletas!D32="Juvenil 48kg",15,IF(Atletas!D32="Juvenil 52kg",16,IF(Atletas!D32="Juvenil 56kg",17,IF(Atletas!D32="Juvenil 60kg",18,IF(Atletas!D32="Juvenil 65kg",19,IF(Atletas!D32="Juvenil 70kg",20,IF(Atletas!D32="Juvenil 75kg",21,IF(Atletas!D32="Juvenil 80kg",22, IF(Atletas!D32="Juvenil 85kg",23,IF(Atletas!D32="Adulto 48kg",24,IF(Atletas!D32="Adulto 52kg",25,IF(Atletas!D32="Adulto 56kg",26,IF(Atletas!D32="Adulto 60kg",27,IF(Atletas!D32="Adulto 65kg",28,IF(Atletas!D32="Adulto 70kg",29,IF(Atletas!D32="Adulto 75kg",30,IF(Atletas!D32="Adulto 80kg",31,IF(Atletas!D32="Adulto 85kg",32,IF(Atletas!D32="Adulto 90kg",33,IF(Atletas!D32="Adulto 100kg",34, IF(Atletas!D32="Adulto +100kg",35,"")))))))))))))))))))))))))))))))))))))</f>
        <v/>
      </c>
      <c r="AQ39" s="50" t="str">
        <f>IF(AR39&lt;&gt;"","Adulto 90kg","")</f>
        <v/>
      </c>
      <c r="AR39" s="6" t="str">
        <f>IF(COUNTIF(AN:AN,233)&gt;0,COUNTIF(AN:AN,233),"")</f>
        <v/>
      </c>
      <c r="AS39" s="6" t="str">
        <f>IF(Atletas!E32="","",IF(Atletas!B32="Feminino",100,IF(Atletas!B32="Masculino",200,""))+(IF(Atletas!E32="Juvenil 44kg",1,IF(Atletas!E32="Juvenil 48kg",2,IF(Atletas!E32="Juvenil 52kg",3,IF(Atletas!E32="Juvenil 56kg",4,IF(Atletas!E32="Juvenil 60kg",5,IF(Atletas!E32="Juvenil 65kg",6,IF(Atletas!E32="Juvenil 70kg",7,IF(Atletas!E32="Juvenil 75kg",8,IF(Atletas!E32="Juvenil 82kg",9,IF(Atletas!E32="Juvenil 90kg",10,IF(Atletas!E32="Juvenil 100kg",11,IF(Atletas!E32="Adulto 48kg",12,IF(Atletas!E32="Adulto 52kg",13,IF(Atletas!E32="Adulto 56kg",14,IF(Atletas!E32="Adulto 60kg",15,IF(Atletas!E32="Adulto 65kg",16,IF(Atletas!E32="Adulto 70kg",17,IF(Atletas!E32="Adulto 75kg",18,IF(Atletas!E32="Adulto 82kg",19,IF(Atletas!E32="Adulto 90kg",20,IF(Atletas!E32="Adulto 100kg",21,IF(Atletas!E32="Adulto +100kg",22,""))))))))))))))))))))))))</f>
        <v/>
      </c>
      <c r="AX39" s="6" t="str">
        <f>IF(Atletas!F32="","",IF(Atletas!B32="Feminino",100,IF(Atletas!B32="Masculino",200,""))+(IF(Atletas!F32="Adulto 48kg",1,IF(Atletas!F32="Adulto 56kg",2,IF(Atletas!F32="Adulto 65kg",3,IF(Atletas!F32="Adulto 75kg",4,IF(Atletas!F32="Adulto +75kg",5,IF(Atletas!F32="Adulto 52kg",6,IF(Atletas!F32="Adulto 60kg",7,IF(Atletas!F32="Adulto 70kg",8,IF(Atletas!F32="Adulto 80kg",9,IF(Atletas!F32="Adulto 90kg",10,IF(Atletas!F32="Adulto +90kg",11,"")))))))))))))</f>
        <v/>
      </c>
      <c r="BC39" s="6" t="str">
        <f>IF(Atletas!G32="","",IF(Atletas!B32="Feminino",10,IF(Atletas!B32="Masculino",20,""))+(IF(Atletas!G32="Baduanjin A",1,IF(Atletas!G32="Baduanjin B",2))))</f>
        <v/>
      </c>
      <c r="BF39" s="52" t="str">
        <f>IF(Atletas!H32="","",IF(Atletas!B32="Feminino",100,IF(Atletas!B32="Masculino",200,""))+(IF(Atletas!H32="Changquan Mirim",1,IF(Atletas!H32="Nanquan Mirim",2,IF(Atletas!H32="Taijiquan Mirim",3,IF(Atletas!H32="Changquan Grupo C",4,IF(Atletas!H32="Nanquan Grupo C",5,IF(Atletas!H32="Taijiquan Grupo C",6,IF(Atletas!H32="Changquan Grupo B",7,IF(Atletas!H32="Nanquan Grupo B",8,IF(Atletas!H32="Taijiquan Grupo B",9,IF(Atletas!H32="Changquan Grupo A",10,IF(Atletas!H32="Nanquan Grupo A",11,IF(Atletas!H32="Taijiquan Grupo A",12,IF(Atletas!H32="Changquan Opcional",13,IF(Atletas!H32="Nanquan Opcional",14,IF(Atletas!H32="Taijiquan Opcional",15,IF(Atletas!H32="Changquan Adulto",16,IF(Atletas!H32="Nanquan Adulto",17,IF(Atletas!H32="Taijiquan Adulto",18,""))))))))))))))))))))</f>
        <v/>
      </c>
      <c r="BG39" s="52" t="str">
        <f>IF(Atletas!I32="","",IF(Atletas!B32="Feminino",100,IF(Atletas!B32="Masculino",200,""))+(IF(Atletas!I32="Daoshu Mirim",19,IF(Atletas!I32="Jianshu Mirim",20,IF(Atletas!I32="Nandao Mirim",21,IF(Atletas!I32="Taijijian Mirim",22,IF(Atletas!I32="Daoshu Grupo C",23,IF(Atletas!I32="Jianshu Grupo C",24,IF(Atletas!I32="Nandao Grupo C",25,IF(Atletas!I32="Taijijian Grupo C",26,IF(Atletas!I32="Daoshu Grupo B",27,IF(Atletas!I32="Jianshu Grupo B",28,IF(Atletas!I32="Nandao Grupo B",29,IF(Atletas!I32="Taijijian Grupo B",30,IF(Atletas!I32="Daoshu Grupo A",31,IF(Atletas!I32="Jianshu Grupo A",32,IF(Atletas!I32="Nandao Grupo A",33,IF(Atletas!I32="Taijijian Grupo A",34,IF(Atletas!I32="Daoshu Opcional",35,IF(Atletas!I32="Jianshu Opcional",36,IF(Atletas!I32="Nandao Opcional",37,IF(Atletas!I32="Taijijian Opcional",38,IF(Atletas!I32="Daoshu Adulto",39,IF(Atletas!I32="Jianshu Adulto",40,IF(Atletas!I32="Nandao Adulto",41,IF(Atletas!I32="Taijijian Adulto",42,""))))))))))))))))))))))))))</f>
        <v/>
      </c>
      <c r="BH39" s="52" t="str">
        <f>IF(Atletas!J32="","",IF(Atletas!B32="Feminino",100,IF(Atletas!B32="Masculino",200,""))+(IF(Atletas!J32="Gunshu Mirim",43,IF(Atletas!J32="Qiangshu Mirim",44,IF(Atletas!J32="Nangun Mirim",45,IF(Atletas!J32="Gunshu Grupo C",46,IF(Atletas!J32="Qiangshu Grupo C",47,IF(Atletas!J32="Nangun Grupo C",48,IF(Atletas!J32="Gunshu Grupo B",49,IF(Atletas!J32="Qiangshu Grupo B",50,IF(Atletas!J32="Nangun Grupo B",51,IF(Atletas!J32="Gunshu Grupo A",52,IF(Atletas!J32="Qiangshu Grupo A",53,IF(Atletas!J32="Nangun Grupo A",54,IF(Atletas!J32="Gunshu Opcional",55,IF(Atletas!J32="Qiangshu Opcional",56,IF(Atletas!J32="Nangun Opcional",57,IF(Atletas!J32="Gunshu Adulto",58,IF(Atletas!J32="Qiangshu Adulto",59,IF(Atletas!J32="Nangun Adulto",60,IF(Atletas!J32="Taijishan Grupo B",61,IF(Atletas!J32="Taijishan Grupo A",62,""))))))))))))))))))))))</f>
        <v/>
      </c>
      <c r="BI39" s="6" t="str">
        <f>IF(BJ39&lt;&gt;"","Nanquan Grupo A","")</f>
        <v/>
      </c>
      <c r="BJ39" s="50" t="str">
        <f>IF(COUNTIF(BF:BH,111)&gt;0,COUNTIF(BF:BH,111),"")</f>
        <v/>
      </c>
      <c r="BK39" s="6" t="str">
        <f>IF(BL39&lt;&gt;"","Nanquan Grupo A","")</f>
        <v/>
      </c>
      <c r="BL39" s="50" t="str">
        <f>IF(COUNTIF(BF:BH,211)&gt;0,COUNTIF(BF:BH,211),"")</f>
        <v/>
      </c>
      <c r="BM39" s="50" t="str">
        <f>IF(Atletas!K32="","",IF(Atletas!B32="Feminino",100,IF(Atletas!B32="Masculino",200,""))+(IF(Atletas!K32="Equipe 1 Grupo B",1,IF(Atletas!K32="Equipe 2 Grupo B",2,IF(Atletas!K32="Equipe 1 Grupo A",3,IF(Atletas!K32="Equipe 2 Grupo A",4,IF(Atletas!K32="Equipe 1 Adulto",5,IF(Atletas!K32="Equipe 2 Adulto",6,""))))))))</f>
        <v/>
      </c>
      <c r="BR39" s="50" t="str">
        <f>IF(Atletas!L32="","",IF(Atletas!X32&lt;&gt;"",10000,0)+(IF(Atletas!B32="Feminino",1000,IF(Atletas!B32="Masculino",2000,""))+IF(Atletas!L32="Choylayfut A",1,IF(Atletas!L32="Hunggar A",2,IF(Atletas!L32="Wuzuquan A",3,IF(Atletas!L32="Wingchun A",4,IF(Atletas!L32="Outra Mão de Sul A",5,IF(Atletas!L32="Choylayfut B",6,IF(Atletas!L32="Hunggar B",7,IF(Atletas!L32="Wuzuquan B",8,IF(Atletas!L32="Wingchun B",9,IF(Atletas!L32="Outra Mão de Sul B",10,IF(Atletas!L32="Choylayfut C",11,IF(Atletas!L32="Hunggar C",12,IF(Atletas!L32="Wuzuquan C",13,IF(Atletas!L32="Wingchun C",14,IF(Atletas!L32="Outra Mão de Sul C",15,IF(Atletas!L32="Choylayfut D",16,IF(Atletas!L32="Hunggar D",17,IF(Atletas!L32="Wuzuquan D",18,IF(Atletas!L32="Wingchun D",19,IF(Atletas!L32="Outra Mão de Sul D",20,IF(Atletas!L32="Choylayfut E",21,IF(Atletas!L32="Hunggar E",22,IF(Atletas!L32="Wuzuquan E",23,IF(Atletas!L32="Wingchun E",24,IF(Atletas!L32="Outra Mão de Sul E",25,IF(Atletas!L32="Choylayfut F",26,IF(Atletas!L32="Hunggar F",27,IF(Atletas!L32="Wuzuquan F",28,IF(Atletas!L32="Wingchun F",29,IF(Atletas!L32="Outra Mão de Sul F",30,IF(Atletas!L32="Dishuquan A",31,IF(Atletas!L32="Dishuquan B",32,IF(Atletas!L32="Dishuquan C",33,IF(Atletas!L32="Dishuquan D",34,IF(Atletas!L32="Dishuquan E",35,IF(Atletas!L32="Dishuquan F",36,""))))))))))))))))))))))))))))))))))))))</f>
        <v/>
      </c>
      <c r="BS39" s="50" t="str">
        <f>IF(Atletas!M32="","",IF(Atletas!X32&lt;&gt;"",10000,0)+(IF(Atletas!B32="Feminino",1000,IF(Atletas!B32="Masculino",2000,""))+(IF(Atletas!M32="Chaquan A",101,IF(Atletas!M32="Emeiquan A",102,IF(Atletas!M32="Fanziquan A",103,IF(Atletas!M32="Huaquan A",104,IF(Atletas!M32="Hongquan A",105,IF(Atletas!M32="Paoquan A",106,IF(Atletas!M32="Piguaquan A",107,IF(Atletas!M32="Shaolinquan A",108,IF(Atletas!M32="Tanglangquan A",109,IF(Atletas!M32="Yingzhaoquan A",110,IF(Atletas!M32="Tongbeiquan A",111,IF(Atletas!M32="Wudangquan A",112,IF(Atletas!M32="Outros Estilos A",113,IF(Atletas!M32="Chaquan B",114,IF(Atletas!M32="Emeiquan B",115,IF(Atletas!M32="Fanziquan B",116,IF(Atletas!M32="Huaquan B",117,IF(Atletas!M32="Hongquan B",118,IF(Atletas!M32="Paoquan B",119,IF(Atletas!M32="Piguaquan B",120,IF(Atletas!M32="Shaolinquan B",121,IF(Atletas!M32="Tanglangquan B",122,IF(Atletas!M32="Yingzhaoquan B",123,IF(Atletas!M32="Tongbeiquan B",124,IF(Atletas!M32="Wudangquan B",125,IF(Atletas!M32="Outros Estilos B",126,IF(Atletas!M32="Chaquan C",127,IF(Atletas!M32="Emeiquan C",128,IF(Atletas!M32="Fanziquan C",129,IF(Atletas!M32="Huaquan C",130,IF(Atletas!M32="Hongquan C",131,IF(Atletas!M32="Paoquan C",132,IF(Atletas!M32="Piguaquan C",133,IF(Atletas!M32="Shaolinquan C",134,IF(Atletas!M32="Tanglangquan C",135,IF(Atletas!M32="Yingzhaoquan C",136,IF(Atletas!M32="Tongbeiquan C",137,IF(Atletas!M32="Wudangquan C",138,IF(Atletas!M32="Outros Estilos C",139,0))))))))))))))))))))))))))))))))))))))))))</f>
        <v/>
      </c>
      <c r="BT39" s="50" t="str">
        <f>IF(Atletas!M32="","",IF(Atletas!X32&lt;&gt;"",10000,0)+(IF(Atletas!B32="Feminino",1000,IF(Atletas!B32="Masculino",2000,""))+(IF(Atletas!M32="Chaquan D",140,IF(Atletas!M32="Emeiquan D",141,IF(Atletas!M32="Fanziquan D",142,IF(Atletas!M32="Huaquan D",143,IF(Atletas!M32="Hongquan D",144,IF(Atletas!M32="Paoquan D",145,IF(Atletas!M32="Piguaquan D",146,IF(Atletas!M32="Shaolinquan D",147,IF(Atletas!M32="Tanglangquan D",148,IF(Atletas!M32="Yingzhaoquan D",149,IF(Atletas!M32="Tongbeiquan D",150,IF(Atletas!M32="Wudangquan D",151,IF(Atletas!M32="Outros Estilos D",152,IF(Atletas!M32="Chaquan E",153,IF(Atletas!M32="Emeiquan E",154,IF(Atletas!M32="Fanziquan E",155,IF(Atletas!M32="Huaquan E",156,IF(Atletas!M32="Hongquan E",157,IF(Atletas!M32="Paoquan E",158,IF(Atletas!M32="Piguaquan E",159,IF(Atletas!M32="Shaolinquan E",160,IF(Atletas!M32="Tanglangquan E",161,IF(Atletas!M32="Yingzhaoquan E",162,IF(Atletas!M32="Tongbeiquan E",163,IF(Atletas!M32="Wudangquan E",164,IF(Atletas!M32="Outros Estilos E",165,IF(Atletas!M32="Chaquan F",166,IF(Atletas!M32="Emeiquan F",167,IF(Atletas!M32="Fanziquan F",168,IF(Atletas!M32="Huaquan F",169,IF(Atletas!M32="Hongquan F",170,IF(Atletas!M32="Paoquan F",171,IF(Atletas!M32="Piguaquan F",172,IF(Atletas!M32="Shaolinquan F",173,IF(Atletas!M32="Tanglangquan F",174,IF(Atletas!M32="Yingzhaoquan F",175,IF(Atletas!M32="Tongbeiquan F",176,IF(Atletas!M32="Wudangquan F",177,IF(Atletas!M32="Outros Estilos F",178,0))))))))))))))))))))))))))))))))))))))))))</f>
        <v/>
      </c>
      <c r="BU39" s="50" t="str">
        <f>IF(Atletas!N32="","",IF(Atletas!X32&lt;&gt;"",10000,0)+(IF(Atletas!B32="Feminino",1000,IF(Atletas!B32="Masculino",2000,""))+(IF(Atletas!N32="Ditangquan A",201,IF(Atletas!N32="Houquan A",202,IF(Atletas!N32="Zuiquan A",203,IF(Atletas!N32="Ditangquan B",204,IF(Atletas!N32="Houquan B",205,IF(Atletas!N32="Zuiquan B",206,IF(Atletas!N32="Ditangquan C",207,IF(Atletas!N32="Houquan C",208,IF(Atletas!N32="Zuiquan C",209,IF(Atletas!N32="Ditangquan D",210,IF(Atletas!N32="Houquan D",211,IF(Atletas!N32="Zuiquan D",212,IF(Atletas!N32="Ditangquan E",213,IF(Atletas!N32="Houquan E",214,IF(Atletas!N32="Zuiquan E",215,IF(Atletas!N32="Ditangquan F",216,IF(Atletas!N32="Houquan F",217,IF(Atletas!N32="Zuiquan F",218,"")))))))))))))))))))))</f>
        <v/>
      </c>
      <c r="BV39" s="50" t="str">
        <f>IF(Atletas!O32="","",IF(Atletas!X32&lt;&gt;"",10000,0)+IF(Atletas!B32="Feminino",1000,IF(Atletas!B32="Masculino",2000,""))+IF(Atletas!O32="Yang A",301,IF(Atletas!O32="Chen A",302,IF(Atletas!O32="Sun A",303,IF(Atletas!O32="Wu A",304,IF(Atletas!O32="Wu-Hao A",305,IF(Atletas!O32="Outro Taijiquan A",306,IF(Atletas!O32="Yang B",307,IF(Atletas!O32="Chen B",308,IF(Atletas!O32="Sun B",309,IF(Atletas!O32="Wu B",310,IF(Atletas!O32="Wu-Hao B",311,IF(Atletas!O32="Outro Taijiquan B",312,IF(Atletas!O32="Yang C",313,IF(Atletas!O32="Chen C",314,IF(Atletas!O32="Sun C",315,IF(Atletas!O32="Wu C",316,IF(Atletas!O32="Wu-Hao C",317,IF(Atletas!O32="Outro Taijiquan C",318,IF(Atletas!O32="Yang D",319,IF(Atletas!O32="Chen D",320,IF(Atletas!O32="Sun D",321,IF(Atletas!O32="Wu D",322,IF(Atletas!O32="Wu-Hao D",323,IF(Atletas!O32="Outro Taijiquan D",324,IF(Atletas!O32="Yang E",325,IF(Atletas!O32="Chen E",326,IF(Atletas!O32="Sun E",327,IF(Atletas!O32="Wu E",328,IF(Atletas!O32="Wu-Hao E",329,IF(Atletas!O32="Outro Taijiquan E",330,IF(Atletas!O32="Yang F",331,IF(Atletas!O32="Chen F",332,IF(Atletas!O32="Sun F",333,IF(Atletas!O32="Wu F",334,IF(Atletas!O32="Wu-Hao F",335,IF(Atletas!O32="Outro Taijiquan F",336,"")))))))))))))))))))))))))))))))))))))</f>
        <v/>
      </c>
      <c r="BW39" s="50" t="str">
        <f>IF(Atletas!P32="","",IF(Atletas!X32&lt;&gt;"",10000,0)+IF(Atletas!B32="Feminino",1000,IF(Atletas!B32="Masculino",2000,""))+IF(OR(Atletas!P32="Yang 26 A",Atletas!P32="Yang 40 A"),401,IF(OR(Atletas!P32="Chen 25 A",Atletas!P32="Chen 36 A",Atletas!P32="Chen 56 A"),402,IF(Atletas!P32="Sun 73 A",403,IF(Atletas!P32="Wu 45 A",404,IF(Atletas!P32="Wu-Hao 46 A",405,IF(OR(Atletas!P32="Taijiquan 16 A",Atletas!P32="Taijiquan 24 A",Atletas!P32="Taijiquan 32 A",Atletas!P32="Taijiquan 42 A"),406,IF(OR(Atletas!P32="Yang 26 B",Atletas!P32="Yang 40 B"),407,IF(OR(Atletas!P32="Chen 25 B",Atletas!P32="Chen 36 B",Atletas!P32="Chen 56 B"),408,IF(Atletas!P32="Sun 73 B",409,IF(Atletas!P32="Wu 45 B",410,IF(Atletas!P32="Wu-Hao 46 B",411,IF(OR(Atletas!P32="Taijiquan 16 B",Atletas!P32="Taijiquan 24 B",Atletas!P32="Taijiquan 32 B",Atletas!P32="Taijiquan 42 B"),412,IF(OR(Atletas!P32="Yang 26 C",Atletas!P32="Yang 40 C"),413,IF(OR(Atletas!P32="Chen 25 C",Atletas!P32="Chen 36 C",Atletas!P32="Chen 56 C"),414,IF(Atletas!P32="Sun 73 C",415,IF(Atletas!P32="Wu 45 C",416,IF(Atletas!P32="Wu-Hao 46 C",417,IF(OR(Atletas!P32="Taijiquan 16 C",Atletas!P32="Taijiquan 24 C",Atletas!P32="Taijiquan 32 C",Atletas!P32="Taijiquan 42 C"),418,0)))))))))))))))))))</f>
        <v/>
      </c>
      <c r="BX39" s="50" t="str">
        <f>IF(Atletas!P32="","",IF(Atletas!X32&lt;&gt;"",10000,0)+IF(Atletas!B32="Feminino",1000,IF(Atletas!B32="Masculino",2000,""))+IF(OR(Atletas!P32="Yang 26 D",Atletas!P32="Yang 40 D"),419,IF(OR(Atletas!P32="Chen 25 D",Atletas!P32="Chen 36 D",Atletas!P32="Chen 56 D"),420,IF(Atletas!P32="Sun 73 D",421,IF(Atletas!P32="Wu 45 D",422,IF(Atletas!P32="Wu-Hao 46 D",423,IF(OR(Atletas!P32="Taijiquan 16 D",Atletas!P32="Taijiquan 24 D",Atletas!P32="Taijiquan 32 D",Atletas!P32="Taijiquan 42 D"),424,IF(OR(Atletas!P32="Yang 26 E",Atletas!P32="Yang 40 E"),425,IF(OR(Atletas!P32="Chen 25 E",Atletas!P32="Chen 36 E",Atletas!P32="Chen 56 E"),426,IF(Atletas!P32="Sun 73 E",427,IF(Atletas!P32="Wu 45 E",428,IF(Atletas!P32="Wu-Hao 46 E",429,IF(OR(Atletas!P32="Taijiquan 16 E",Atletas!P32="Taijiquan 24 E",Atletas!P32="Taijiquan 32 E",Atletas!P32="Taijiquan 42 E"),430,IF(OR(Atletas!P32="Yang 26 F",Atletas!P32="Yang 40 F"),431,IF(OR(Atletas!P32="Chen 25 F",Atletas!P32="Chen 36 F",Atletas!P32="Chen 56 F"),432,IF(Atletas!P32="Sun 73 F",433,IF(Atletas!P32="Wu 45 F",434,IF(Atletas!P32="Wu-Hao 46 F",435,IF(OR(Atletas!P32="Taijiquan 16 F",Atletas!P32="Taijiquan 24 F",Atletas!P32="Taijiquan 32 F",Atletas!P32="Taijiquan 42 F"),436,0)))))))))))))))))))</f>
        <v/>
      </c>
      <c r="BY39" s="50" t="str">
        <f>IF(Atletas!Q32="","",IF(Atletas!X32&lt;&gt;"",10000,0)+IF(Atletas!B32="Feminino",1000,IF(Atletas!B32="Masculino",2000,""))+IF(Atletas!Q32="Xingyiquan A",501,IF(Atletas!Q32="Baguazhang A",502,IF(Atletas!Q32="Outro Estilo Interno A",503,IF(Atletas!Q32="Xingyiquan B",504,IF(Atletas!Q32="Baguazhang B",505,IF(Atletas!Q32="Outro Estilo Interno B",506,IF(Atletas!Q32="Xingyiquan C",507,IF(Atletas!Q32="Baguazhang C",508,IF(Atletas!Q32="Outro Estilo Interno C",509,IF(Atletas!Q32="Xingyiquan D",510,IF(Atletas!Q32="Baguazhang D",511,IF(Atletas!Q32="Outro Estilo Interno D",512,IF(Atletas!Q32="Xingyiquan E",513,IF(Atletas!Q32="Baguazhang E",514,IF(Atletas!Q32="Outro Estilo Interno E",515,IF(Atletas!Q32="Xingyiquan F",516,IF(Atletas!Q32="Baguazhang F",517,IF(Atletas!Q32="Outro Estilo Interno F",518, "")))))))))))))))))))</f>
        <v/>
      </c>
      <c r="BZ39" s="50" t="str">
        <f>IF(Atletas!R32="","",IF(Atletas!X32&lt;&gt;"",10000,0)+IF(Atletas!B32="Feminino",1000,IF(Atletas!B32="Masculino",2000,""))+IF(Atletas!R32="Dao A",601,IF(Atletas!R32="Jian A",602,IF(Atletas!R32="Bishou A",603,IF(Atletas!R32="Shanzi A",604,IF(Atletas!R32="Outra Arma Curta A",605,IF(Atletas!R32="Dao B",606,IF(Atletas!R32="Jian B",607,IF(Atletas!R32="Bishou B",608,IF(Atletas!R32="Shanzi B",609,IF(Atletas!R32="Outra Arma Curta B",610,IF(Atletas!R32="Dao C",611,IF(Atletas!R32="Jian C",612,IF(Atletas!R32="Bishou C",613,IF(Atletas!R32="Shanzi C",614,IF(Atletas!R32="Outra Arma Curta C",615,IF(Atletas!R32="Dao D",616,IF(Atletas!R32="Jian D",617,IF(Atletas!R32="Bishou D",618,IF(Atletas!R32="Shanzi D",619,IF(Atletas!R32="Outra Arma Curta D",620,IF(Atletas!R32="Dao E",621,IF(Atletas!R32="Jian E",622,IF(Atletas!R32="Bishou E",623,IF(Atletas!R32="Shanzi E",624,IF(Atletas!R32="Outra Arma Curta E",625,IF(Atletas!R32="Dao F",626,IF(Atletas!R32="Jian F",627,IF(Atletas!R32="Bishou F",628,IF(Atletas!R32="Shanzi F",629,IF(Atletas!R32="Outra Arma Curta F",630, "")))))))))))))))))))))))))))))))</f>
        <v/>
      </c>
      <c r="CA39" s="50" t="str">
        <f>IF(Atletas!S32="","",IF(Atletas!X32&lt;&gt;"",10000,0)+IF(Atletas!B32="Feminino",1000,IF(Atletas!B32="Masculino",2000,""))+IF(Atletas!S32="Gun A",701,IF(Atletas!S32="Qiang A",702,IF(Atletas!S32="Pudao / Guandao A",703,IF(Atletas!S32="Outra Arma Longa A",704,IF(Atletas!S32="Gun B",705,IF(Atletas!S32="Qiang B",706,IF(Atletas!S32="Pudao / Guandao B",707,IF(Atletas!S32="Outra Arma Longa B",708,IF(Atletas!S32="Gun C",709,IF(Atletas!S32="Qiang C",710,IF(Atletas!S32="Pudao / Guandao C",711,IF(Atletas!S32="Outra Arma Longa C",712,IF(Atletas!S32="Gun D",713,IF(Atletas!S32="Qiang D",714,IF(Atletas!S32="Pudao / Guandao D",715,IF(Atletas!S32="Outra Arma Longa D",716,IF(Atletas!S32="Gun E",717,IF(Atletas!S32="Qiang E",718,IF(Atletas!S32="Pudao / Guandao E",719,IF(Atletas!S32="Outra Arma Longa E",720,IF(Atletas!S32="Gun F",721,IF(Atletas!S32="Qiang F",722,IF(Atletas!S32="Pudao / Guandao F",723,IF(Atletas!S32="Outra Arma Longa F",724,"")))))))))))))))))))))))))</f>
        <v/>
      </c>
      <c r="CB39" s="50" t="str">
        <f>IF(Atletas!T32="","",IF(Atletas!X32&lt;&gt;"",10000,0)+IF(Atletas!B32="Feminino",1000,IF(Atletas!B32="Masculino",2000,""))+IF(Atletas!T32="Outra Arma Dupla A",801,IF(Atletas!T32="Arma Maleável A",802,IF(Atletas!T32="Outra Arma Dupla B",803,IF(Atletas!T32="Arma Maleável B",804,IF(Atletas!T32="Outra Arma Dupla C",805,IF(Atletas!T32="Arma Maleável C",806,IF(Atletas!T32="Outra Arma Dupla D",807,IF(Atletas!T32="Arma Maleável D",808,IF(Atletas!T32="Outra Arma Dupla E",809,IF(Atletas!T32="Arma Maleável E",810,IF(Atletas!T32="Outra Arma Dupla F",811,IF(Atletas!T32="Arma Maleável F",812,IF(Atletas!T32="Shuangdao A",813,IF(Atletas!T32="Shuangdao B",814,IF(Atletas!T32="Shuangdao C",815,IF(Atletas!T32="Shuangdao D",816,IF(Atletas!T32="Shuangdao E",817,IF(Atletas!T32="Shuangdao F",818,"")))))))))))))))))))</f>
        <v/>
      </c>
      <c r="CC39" s="50" t="str">
        <f>IF(Atletas!U32="","",IF(Atletas!X32&lt;&gt;"",10000,0)+IF(Atletas!B32="Feminino",1000,IF(Atletas!B32="Masculino",2000,""))+IF(OR(Atletas!U32="Taijijian Yang A",Atletas!U32="Taijijian Yang Standard A"),901,IF(OR(Atletas!U32="Taijijian Chen A", Atletas!U32="Taijijian Chen Standard A"),902,IF(Atletas!U32="Taijijian Sun A",903,IF(Atletas!U32="Taijijian Wu A",904,IF(Atletas!U32="Taijijian Wu-Hao A",905,IF(OR(Atletas!U32="Taijijian 32 A",Atletas!U32="Taijijian 42 A"),906,IF(OR(Atletas!U32="Taijijian Yang B",Atletas!U32="Taijijian Yang Standard B"),907,IF(OR(Atletas!U32="Taijijian Chen B", Atletas!U32="Taijijian Chen Standard B"),908,IF(Atletas!U32="Taijijian Sun B",909,IF(Atletas!U32="Taijijian Wu B",910,IF(Atletas!U32="Taijijian Wu-Hao B",911,IF(OR(Atletas!U32="Taijijian 32 B",Atletas!U32="Taijijian 42 B"),912,IF(OR(Atletas!U32="Taijijian Yang C",Atletas!U32="Taijijian Yang Standard C"),913,IF(OR(Atletas!U32="Taijijian Chen C", Atletas!U32="Taijijian Chen Standard C"),914,IF(Atletas!U32="Taijijian Sun C",915,IF(Atletas!U32="Taijijian Wu C",916,IF(Atletas!U32="Taijijian Wu-Hao C",917,IF(OR(Atletas!U32="Taijijian 32 C",Atletas!U32="Taijijian 42 C"),918,IF(OR(Atletas!U32="Taijijian Yang D",Atletas!U32="Taijijian Yang Standard D"),919,IF(OR(Atletas!U32="Taijijian Chen D", Atletas!U32="Taijijian Chen Standard D"),920,IF(Atletas!U32="Taijijian Sun D",921,IF(Atletas!U32="Taijijian Wu D",922,IF(Atletas!U32="Taijijian Wu-Hao D",923,IF(OR(Atletas!U32="Taijijian 32 D",Atletas!U32="Taijijian 42 D"),924,IF(OR(Atletas!U32="Taijijian Yang E",Atletas!U32="Taijijian Yang Standard E"),925,IF(OR(Atletas!U32="Taijijian Chen E", Atletas!U32="Taijijian Chen Standard E"),926,IF(Atletas!U32="Taijijian Sun E",927,IF(Atletas!U32="Taijijian Wu E",928,IF(Atletas!U32="Taijijian Wu-Hao E",929,IF(OR(Atletas!U32="Taijijian 32 E",Atletas!U32="Taijijian 42 E"),930,IF(OR(Atletas!U32="Taijijian Yang F",Atletas!U32="Taijijian Yang Standard F"),931,IF(OR(Atletas!U32="Taijijian Chen F", Atletas!U32="Taijijian Chen Standard F"),932,IF(Atletas!U32="Taijijian Sun F",933,IF(Atletas!U32="Taijijian Wu F",934,IF(Atletas!U32="Taijijian Wu-Hao F",935,IF(OR(Atletas!U32="Taijijian 32 F",Atletas!U32="Taijijian 42 F"),936,"")))))))))))))))))))))))))))))))))))))</f>
        <v/>
      </c>
      <c r="CD39" s="50" t="str">
        <f>IF(Atletas!V32="","",IF(Atletas!X32&lt;&gt;"",10000,0)+IF(Atletas!B32="Feminino",1000,IF(Atletas!B32="Masculino",2000,""))+IF(Atletas!V32="Taijidao A",937,IF(Atletas!V32="TaijiShanzi A",938,IF(Atletas!V32="Taijiqiang A",939,IF(Atletas!V32="Bagua de Arma A",940,IF(Atletas!V32="Xingyi de Arma A",941,IF(Atletas!V32="Taijidao B",942,IF(Atletas!V32="TaijiShanzi B",943,IF(Atletas!V32="Taijiqiang B",944,IF(Atletas!V32="Bagua de Arma B",945,IF(Atletas!V32="Xingyi de Arma B",946,IF(Atletas!V32="Taijidao C",947,IF(Atletas!V32="TaijiShanzi C",948,IF(Atletas!V32="Taijiqiang C",949,IF(Atletas!V32="Bagua de Arma C",950,IF(Atletas!V32="Xingyi de Arma C",951,IF(Atletas!V32="Taijidao D",952,IF(Atletas!V32="TaijiShanzi D",953,IF(Atletas!V32="Taijiqiang D",954,IF(Atletas!V32="Bagua de Arma D",955,IF(Atletas!V32="Xingyi de Arma D",956,IF(Atletas!V32="Taijidao E",957,IF(Atletas!V32="TaijiShanzi E",958,IF(Atletas!V32="Taijiqiang E",959,IF(Atletas!V32="Bagua de Arma E",960,IF(Atletas!V32="Xingyi de Arma E",961,IF(Atletas!V32="Taijidao F",962,IF(Atletas!V32="TaijiShanzi F",963,IF(Atletas!V32="Taijiqiang F",964,IF(Atletas!V32="Bagua de Arma F",965,IF(Atletas!V32="Xingyi de Arma F",966,"")))))))))))))))))))))))))))))))</f>
        <v/>
      </c>
      <c r="CE39" s="66" t="str">
        <f>IF(CF39&lt;&gt;"","Dishuquan F","")</f>
        <v/>
      </c>
      <c r="CF39" s="66" t="str">
        <f>IF(COUNTIF(BR:CD,1036)&gt;0,COUNTIF(BR:CD,1036),"")</f>
        <v/>
      </c>
      <c r="CG39" s="66" t="str">
        <f>IF(CH39&lt;&gt;"","Dishuquan F","")</f>
        <v/>
      </c>
      <c r="CH39" s="66" t="str">
        <f>IF(COUNTIF(BR:CD,2036)&gt;0,COUNTIF(BR:CD,2036),"")</f>
        <v/>
      </c>
      <c r="CI39" s="66" t="str">
        <f>IF(CJ39&lt;&gt;"","Fanziquan A","")</f>
        <v/>
      </c>
      <c r="CJ39" s="66" t="str">
        <f>IF(COUNTIF(BR:CD,11103)&gt;0,COUNTIF(BR:CD,11103),"")</f>
        <v/>
      </c>
      <c r="CK39" s="66" t="str">
        <f>IF(CL39&lt;&gt;"","Fanziquan A","")</f>
        <v/>
      </c>
      <c r="CL39" s="66" t="str">
        <f>IF(COUNTIF(BR:CD,12103)&gt;0,COUNTIF(BR:CD,12103),"")</f>
        <v/>
      </c>
      <c r="CM39" s="50" t="str">
        <f xml:space="preserve"> IF(Atletas!W32="","",IF(Atletas!W32="Duilian de Mãos BC - Equipe 1",1,IF(Atletas!W32="Duilian de Mãos BC - Equipe 2",2,IF(Atletas!W32="Duilian de Armas BC - Equipe 1",3,IF(Atletas!W32="Duilian de Armas BC - Equipe 2",4,IF(Atletas!W32="Duilian de Mãos DE - Equipe 1",5,IF(Atletas!W32="Duilian de Mãos DE - Equipe 2",6,IF(Atletas!W32="Duilian de Armas DE - Equipe 1",7,IF(Atletas!W32="Duilian de Armas DE - Equipe 2",8,IF(Atletas!W32="Duilian de Tuishou - Equipe 1",9,IF(Atletas!W32="Duilian de Tuishou - Equipe 2",10,IF(Atletas!W32="Grupo Externo ABC - Equipe 1",11,IF(Atletas!W32="Grupo Externo ABC - Equipe 2",12,IF(Atletas!W32="Grupo Interno ABC - Equipe 1",13,IF(Atletas!W32="Grupo Interno ABC - Equipe 2",14,IF(Atletas!W32="Grupo Externo DEF - Equipe 1",15,IF(Atletas!W32="Grupo Externo DEF - Equipe 2",16,IF(Atletas!W32="Grupo Interno DEF - Equipe 1",17,IF(Atletas!W32="Grupo Interno DEF - Equipe 2",18,"")))))))))))))))))))</f>
        <v/>
      </c>
      <c r="CY39" s="41"/>
    </row>
    <row r="40" spans="2:103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 t="str">
        <f t="array" ref="R40">IFERROR(INDEX(BI$7:BI$68,SMALL(IF(BI$7:BI$68&lt;&gt;"",ROW(BI$7:BI$68)-ROW(BI$7)+1),ROWS(BI$7:BI39))),"")</f>
        <v/>
      </c>
      <c r="S40" s="3" t="str">
        <f t="array" ref="S40">IFERROR(INDEX(BJ$7:BJ$68,SMALL(IF(BJ$7:BJ$68&lt;&gt;"",ROW(BJ$7:BJ$68)-ROW(BJ$7)+1),ROWS(BJ$7:BJ39))),"")</f>
        <v/>
      </c>
      <c r="T40" s="3" t="str">
        <f t="array" ref="T40">IFERROR(INDEX(BK$7:BK$68,SMALL(IF(BK$7:BK$68&lt;&gt;"",ROW(BK$7:BK$68)-ROW(BK$7)+1),ROWS(BK$7:BK39))),"")</f>
        <v/>
      </c>
      <c r="U40" s="3" t="str">
        <f t="array" ref="U40">IFERROR(INDEX(BL$7:BL$68,SMALL(IF(BL$7:BL$68&lt;&gt;"",ROW(BL$7:BL$68)-ROW(BL$7)+1),ROWS(BL$7:BL39))),"")</f>
        <v/>
      </c>
      <c r="V40" s="3"/>
      <c r="W40" s="3"/>
      <c r="X40" s="20"/>
      <c r="Y40" s="3"/>
      <c r="Z40" s="3" t="str">
        <f t="array" ref="Z40">IFERROR(INDEX(CE$7:CE$348,SMALL(IF(CE$7:CE$348&lt;&gt;"",ROW(CE$7:CE$348)-ROW(CE$7)+1),ROWS(CE$7:CE39))),"")</f>
        <v/>
      </c>
      <c r="AA40" s="3" t="str">
        <f t="array" ref="AA40">IFERROR(INDEX(CF$7:CF$348,SMALL(IF(CF$7:CF$348&lt;&gt;"",ROW(CF$7:CF$348)-ROW(CF$7)+1),ROWS(CF$7:CF39))),"")</f>
        <v/>
      </c>
      <c r="AB40" s="3" t="str">
        <f t="array" ref="AB40">IFERROR(INDEX(CG$7:CG$348,SMALL(IF(CG$7:CG$348&lt;&gt;"",ROW(CG$7:CG$348)-ROW(CG$7)+1),ROWS(CG$7:CG39))),"")</f>
        <v/>
      </c>
      <c r="AC40" s="3" t="str">
        <f t="array" ref="AC40">IFERROR(INDEX(CH$7:CH$348,SMALL(IF(CH$7:CH$348&lt;&gt;"",ROW(CH$7:CH$348)-ROW(CH$7)+1),ROWS(CH$7:CH39))),"")</f>
        <v/>
      </c>
      <c r="AD40" s="3" t="str">
        <f t="array" ref="AD40">IFERROR(INDEX(CI$7:CI$377,SMALL(IF(CI$7:CI$377&lt;&gt;"",ROW(CI$7:CI$377)-ROW(CI$7)+1),ROWS(CI$7:CI39))),"")</f>
        <v/>
      </c>
      <c r="AE40" s="3" t="str">
        <f t="array" ref="AE40">IFERROR(INDEX(CJ$7:CJ$378,SMALL(IF(CJ$7:CJ$378&lt;&gt;"",ROW(CJ$7:CJ$378)-ROW(CJ$7)+1),ROWS(CJ$7:CJ39))),"")</f>
        <v/>
      </c>
      <c r="AF40" s="3" t="str">
        <f t="array" ref="AF40">IFERROR(INDEX(CK$7:CK$378,SMALL(IF(CK$7:CK$378&lt;&gt;"",ROW(CK$7:CK$378)-ROW(CK$7)+1),ROWS(CK$7:CK39))),"")</f>
        <v/>
      </c>
      <c r="AG40" s="3" t="str">
        <f t="array" ref="AG40">IFERROR(INDEX(CL$7:CL$378,SMALL(IF(CL$7:CL$378&lt;&gt;"",ROW(CL$7:CL$378)-ROW(CL$7)+1),ROWS(CL$7:CL39))),"")</f>
        <v/>
      </c>
      <c r="AH40" s="20"/>
      <c r="AI40" s="20"/>
      <c r="AJ40" s="20"/>
      <c r="AK40" s="20"/>
      <c r="AL40" s="20"/>
      <c r="AM40" s="3"/>
      <c r="AN40" s="52" t="str">
        <f>IF(Atletas!D33="","",IF(Atletas!B33="Feminino",100,IF(Atletas!B33="Masculino",200,""))+(IF(Atletas!D33="Kids 30kg",1,IF(Atletas!D33="Kids 32kg",2, IF(Atletas!D33="Kids 34kg",3,IF(Atletas!D33="Kids 36kg",4,IF(Atletas!D33="Kids 39kg",5,IF(Atletas!D33="Kids 42kg",6,IF(Atletas!D33="Kids 45kg",7, IF(Atletas!D33="Infantil 39kg",8,IF(Atletas!D33="Infantil 42kg",9,IF(Atletas!D33="Infantil 45kg",10,IF(Atletas!D33="Infantil 48kg",11,IF(Atletas!D33="Infantil 52kg",12,IF(Atletas!D33="Infantil 56kg",13,IF(Atletas!D33="Infantil 60kg",14,IF(Atletas!D33="Juvenil 48kg",15,IF(Atletas!D33="Juvenil 52kg",16,IF(Atletas!D33="Juvenil 56kg",17,IF(Atletas!D33="Juvenil 60kg",18,IF(Atletas!D33="Juvenil 65kg",19,IF(Atletas!D33="Juvenil 70kg",20,IF(Atletas!D33="Juvenil 75kg",21,IF(Atletas!D33="Juvenil 80kg",22, IF(Atletas!D33="Juvenil 85kg",23,IF(Atletas!D33="Adulto 48kg",24,IF(Atletas!D33="Adulto 52kg",25,IF(Atletas!D33="Adulto 56kg",26,IF(Atletas!D33="Adulto 60kg",27,IF(Atletas!D33="Adulto 65kg",28,IF(Atletas!D33="Adulto 70kg",29,IF(Atletas!D33="Adulto 75kg",30,IF(Atletas!D33="Adulto 80kg",31,IF(Atletas!D33="Adulto 85kg",32,IF(Atletas!D33="Adulto 90kg",33,IF(Atletas!D33="Adulto 100kg",34, IF(Atletas!D33="Adulto +100kg",35,"")))))))))))))))))))))))))))))))))))))</f>
        <v/>
      </c>
      <c r="AQ40" s="50" t="str">
        <f>IF(AR40&lt;&gt;"","Adulto 100kg","")</f>
        <v/>
      </c>
      <c r="AR40" s="6" t="str">
        <f>IF(COUNTIF(AN:AN,234)&gt;0,COUNTIF(AN:AN,234),"")</f>
        <v/>
      </c>
      <c r="AS40" s="6" t="str">
        <f>IF(Atletas!E33="","",IF(Atletas!B33="Feminino",100,IF(Atletas!B33="Masculino",200,""))+(IF(Atletas!E33="Juvenil 44kg",1,IF(Atletas!E33="Juvenil 48kg",2,IF(Atletas!E33="Juvenil 52kg",3,IF(Atletas!E33="Juvenil 56kg",4,IF(Atletas!E33="Juvenil 60kg",5,IF(Atletas!E33="Juvenil 65kg",6,IF(Atletas!E33="Juvenil 70kg",7,IF(Atletas!E33="Juvenil 75kg",8,IF(Atletas!E33="Juvenil 82kg",9,IF(Atletas!E33="Juvenil 90kg",10,IF(Atletas!E33="Juvenil 100kg",11,IF(Atletas!E33="Adulto 48kg",12,IF(Atletas!E33="Adulto 52kg",13,IF(Atletas!E33="Adulto 56kg",14,IF(Atletas!E33="Adulto 60kg",15,IF(Atletas!E33="Adulto 65kg",16,IF(Atletas!E33="Adulto 70kg",17,IF(Atletas!E33="Adulto 75kg",18,IF(Atletas!E33="Adulto 82kg",19,IF(Atletas!E33="Adulto 90kg",20,IF(Atletas!E33="Adulto 100kg",21,IF(Atletas!E33="Adulto +100kg",22,""))))))))))))))))))))))))</f>
        <v/>
      </c>
      <c r="AX40" s="6" t="str">
        <f>IF(Atletas!F33="","",IF(Atletas!B33="Feminino",100,IF(Atletas!B33="Masculino",200,""))+(IF(Atletas!F33="Adulto 48kg",1,IF(Atletas!F33="Adulto 56kg",2,IF(Atletas!F33="Adulto 65kg",3,IF(Atletas!F33="Adulto 75kg",4,IF(Atletas!F33="Adulto +75kg",5,IF(Atletas!F33="Adulto 52kg",6,IF(Atletas!F33="Adulto 60kg",7,IF(Atletas!F33="Adulto 70kg",8,IF(Atletas!F33="Adulto 80kg",9,IF(Atletas!F33="Adulto 90kg",10,IF(Atletas!F33="Adulto +90kg",11,"")))))))))))))</f>
        <v/>
      </c>
      <c r="BC40" s="6" t="str">
        <f>IF(Atletas!G33="","",IF(Atletas!B33="Feminino",10,IF(Atletas!B33="Masculino",20,""))+(IF(Atletas!G33="Baduanjin A",1,IF(Atletas!G33="Baduanjin B",2))))</f>
        <v/>
      </c>
      <c r="BF40" s="52" t="str">
        <f>IF(Atletas!H33="","",IF(Atletas!B33="Feminino",100,IF(Atletas!B33="Masculino",200,""))+(IF(Atletas!H33="Changquan Mirim",1,IF(Atletas!H33="Nanquan Mirim",2,IF(Atletas!H33="Taijiquan Mirim",3,IF(Atletas!H33="Changquan Grupo C",4,IF(Atletas!H33="Nanquan Grupo C",5,IF(Atletas!H33="Taijiquan Grupo C",6,IF(Atletas!H33="Changquan Grupo B",7,IF(Atletas!H33="Nanquan Grupo B",8,IF(Atletas!H33="Taijiquan Grupo B",9,IF(Atletas!H33="Changquan Grupo A",10,IF(Atletas!H33="Nanquan Grupo A",11,IF(Atletas!H33="Taijiquan Grupo A",12,IF(Atletas!H33="Changquan Opcional",13,IF(Atletas!H33="Nanquan Opcional",14,IF(Atletas!H33="Taijiquan Opcional",15,IF(Atletas!H33="Changquan Adulto",16,IF(Atletas!H33="Nanquan Adulto",17,IF(Atletas!H33="Taijiquan Adulto",18,""))))))))))))))))))))</f>
        <v/>
      </c>
      <c r="BG40" s="52" t="str">
        <f>IF(Atletas!I33="","",IF(Atletas!B33="Feminino",100,IF(Atletas!B33="Masculino",200,""))+(IF(Atletas!I33="Daoshu Mirim",19,IF(Atletas!I33="Jianshu Mirim",20,IF(Atletas!I33="Nandao Mirim",21,IF(Atletas!I33="Taijijian Mirim",22,IF(Atletas!I33="Daoshu Grupo C",23,IF(Atletas!I33="Jianshu Grupo C",24,IF(Atletas!I33="Nandao Grupo C",25,IF(Atletas!I33="Taijijian Grupo C",26,IF(Atletas!I33="Daoshu Grupo B",27,IF(Atletas!I33="Jianshu Grupo B",28,IF(Atletas!I33="Nandao Grupo B",29,IF(Atletas!I33="Taijijian Grupo B",30,IF(Atletas!I33="Daoshu Grupo A",31,IF(Atletas!I33="Jianshu Grupo A",32,IF(Atletas!I33="Nandao Grupo A",33,IF(Atletas!I33="Taijijian Grupo A",34,IF(Atletas!I33="Daoshu Opcional",35,IF(Atletas!I33="Jianshu Opcional",36,IF(Atletas!I33="Nandao Opcional",37,IF(Atletas!I33="Taijijian Opcional",38,IF(Atletas!I33="Daoshu Adulto",39,IF(Atletas!I33="Jianshu Adulto",40,IF(Atletas!I33="Nandao Adulto",41,IF(Atletas!I33="Taijijian Adulto",42,""))))))))))))))))))))))))))</f>
        <v/>
      </c>
      <c r="BH40" s="52" t="str">
        <f>IF(Atletas!J33="","",IF(Atletas!B33="Feminino",100,IF(Atletas!B33="Masculino",200,""))+(IF(Atletas!J33="Gunshu Mirim",43,IF(Atletas!J33="Qiangshu Mirim",44,IF(Atletas!J33="Nangun Mirim",45,IF(Atletas!J33="Gunshu Grupo C",46,IF(Atletas!J33="Qiangshu Grupo C",47,IF(Atletas!J33="Nangun Grupo C",48,IF(Atletas!J33="Gunshu Grupo B",49,IF(Atletas!J33="Qiangshu Grupo B",50,IF(Atletas!J33="Nangun Grupo B",51,IF(Atletas!J33="Gunshu Grupo A",52,IF(Atletas!J33="Qiangshu Grupo A",53,IF(Atletas!J33="Nangun Grupo A",54,IF(Atletas!J33="Gunshu Opcional",55,IF(Atletas!J33="Qiangshu Opcional",56,IF(Atletas!J33="Nangun Opcional",57,IF(Atletas!J33="Gunshu Adulto",58,IF(Atletas!J33="Qiangshu Adulto",59,IF(Atletas!J33="Nangun Adulto",60,IF(Atletas!J33="Taijishan Grupo B",61,IF(Atletas!J33="Taijishan Grupo A",62,""))))))))))))))))))))))</f>
        <v/>
      </c>
      <c r="BI40" s="6" t="str">
        <f>IF(BJ40&lt;&gt;"","Taijiquan Grupo A","")</f>
        <v/>
      </c>
      <c r="BJ40" s="50" t="str">
        <f>IF(COUNTIF(BF:BH,112)&gt;0,COUNTIF(BF:BH,112),"")</f>
        <v/>
      </c>
      <c r="BK40" s="6" t="str">
        <f>IF(BL40&lt;&gt;"","Taijiquan Grupo A","")</f>
        <v/>
      </c>
      <c r="BL40" s="50" t="str">
        <f>IF(COUNTIF(BF:BH,212)&gt;0,COUNTIF(BF:BH,212),"")</f>
        <v/>
      </c>
      <c r="BM40" s="50" t="str">
        <f>IF(Atletas!K33="","",IF(Atletas!B33="Feminino",100,IF(Atletas!B33="Masculino",200,""))+(IF(Atletas!K33="Equipe 1 Grupo B",1,IF(Atletas!K33="Equipe 2 Grupo B",2,IF(Atletas!K33="Equipe 1 Grupo A",3,IF(Atletas!K33="Equipe 2 Grupo A",4,IF(Atletas!K33="Equipe 1 Adulto",5,IF(Atletas!K33="Equipe 2 Adulto",6,""))))))))</f>
        <v/>
      </c>
      <c r="BR40" s="50" t="str">
        <f>IF(Atletas!L33="","",IF(Atletas!X33&lt;&gt;"",10000,0)+(IF(Atletas!B33="Feminino",1000,IF(Atletas!B33="Masculino",2000,""))+IF(Atletas!L33="Choylayfut A",1,IF(Atletas!L33="Hunggar A",2,IF(Atletas!L33="Wuzuquan A",3,IF(Atletas!L33="Wingchun A",4,IF(Atletas!L33="Outra Mão de Sul A",5,IF(Atletas!L33="Choylayfut B",6,IF(Atletas!L33="Hunggar B",7,IF(Atletas!L33="Wuzuquan B",8,IF(Atletas!L33="Wingchun B",9,IF(Atletas!L33="Outra Mão de Sul B",10,IF(Atletas!L33="Choylayfut C",11,IF(Atletas!L33="Hunggar C",12,IF(Atletas!L33="Wuzuquan C",13,IF(Atletas!L33="Wingchun C",14,IF(Atletas!L33="Outra Mão de Sul C",15,IF(Atletas!L33="Choylayfut D",16,IF(Atletas!L33="Hunggar D",17,IF(Atletas!L33="Wuzuquan D",18,IF(Atletas!L33="Wingchun D",19,IF(Atletas!L33="Outra Mão de Sul D",20,IF(Atletas!L33="Choylayfut E",21,IF(Atletas!L33="Hunggar E",22,IF(Atletas!L33="Wuzuquan E",23,IF(Atletas!L33="Wingchun E",24,IF(Atletas!L33="Outra Mão de Sul E",25,IF(Atletas!L33="Choylayfut F",26,IF(Atletas!L33="Hunggar F",27,IF(Atletas!L33="Wuzuquan F",28,IF(Atletas!L33="Wingchun F",29,IF(Atletas!L33="Outra Mão de Sul F",30,IF(Atletas!L33="Dishuquan A",31,IF(Atletas!L33="Dishuquan B",32,IF(Atletas!L33="Dishuquan C",33,IF(Atletas!L33="Dishuquan D",34,IF(Atletas!L33="Dishuquan E",35,IF(Atletas!L33="Dishuquan F",36,""))))))))))))))))))))))))))))))))))))))</f>
        <v/>
      </c>
      <c r="BS40" s="50" t="str">
        <f>IF(Atletas!M33="","",IF(Atletas!X33&lt;&gt;"",10000,0)+(IF(Atletas!B33="Feminino",1000,IF(Atletas!B33="Masculino",2000,""))+(IF(Atletas!M33="Chaquan A",101,IF(Atletas!M33="Emeiquan A",102,IF(Atletas!M33="Fanziquan A",103,IF(Atletas!M33="Huaquan A",104,IF(Atletas!M33="Hongquan A",105,IF(Atletas!M33="Paoquan A",106,IF(Atletas!M33="Piguaquan A",107,IF(Atletas!M33="Shaolinquan A",108,IF(Atletas!M33="Tanglangquan A",109,IF(Atletas!M33="Yingzhaoquan A",110,IF(Atletas!M33="Tongbeiquan A",111,IF(Atletas!M33="Wudangquan A",112,IF(Atletas!M33="Outros Estilos A",113,IF(Atletas!M33="Chaquan B",114,IF(Atletas!M33="Emeiquan B",115,IF(Atletas!M33="Fanziquan B",116,IF(Atletas!M33="Huaquan B",117,IF(Atletas!M33="Hongquan B",118,IF(Atletas!M33="Paoquan B",119,IF(Atletas!M33="Piguaquan B",120,IF(Atletas!M33="Shaolinquan B",121,IF(Atletas!M33="Tanglangquan B",122,IF(Atletas!M33="Yingzhaoquan B",123,IF(Atletas!M33="Tongbeiquan B",124,IF(Atletas!M33="Wudangquan B",125,IF(Atletas!M33="Outros Estilos B",126,IF(Atletas!M33="Chaquan C",127,IF(Atletas!M33="Emeiquan C",128,IF(Atletas!M33="Fanziquan C",129,IF(Atletas!M33="Huaquan C",130,IF(Atletas!M33="Hongquan C",131,IF(Atletas!M33="Paoquan C",132,IF(Atletas!M33="Piguaquan C",133,IF(Atletas!M33="Shaolinquan C",134,IF(Atletas!M33="Tanglangquan C",135,IF(Atletas!M33="Yingzhaoquan C",136,IF(Atletas!M33="Tongbeiquan C",137,IF(Atletas!M33="Wudangquan C",138,IF(Atletas!M33="Outros Estilos C",139,0))))))))))))))))))))))))))))))))))))))))))</f>
        <v/>
      </c>
      <c r="BT40" s="50" t="str">
        <f>IF(Atletas!M33="","",IF(Atletas!X33&lt;&gt;"",10000,0)+(IF(Atletas!B33="Feminino",1000,IF(Atletas!B33="Masculino",2000,""))+(IF(Atletas!M33="Chaquan D",140,IF(Atletas!M33="Emeiquan D",141,IF(Atletas!M33="Fanziquan D",142,IF(Atletas!M33="Huaquan D",143,IF(Atletas!M33="Hongquan D",144,IF(Atletas!M33="Paoquan D",145,IF(Atletas!M33="Piguaquan D",146,IF(Atletas!M33="Shaolinquan D",147,IF(Atletas!M33="Tanglangquan D",148,IF(Atletas!M33="Yingzhaoquan D",149,IF(Atletas!M33="Tongbeiquan D",150,IF(Atletas!M33="Wudangquan D",151,IF(Atletas!M33="Outros Estilos D",152,IF(Atletas!M33="Chaquan E",153,IF(Atletas!M33="Emeiquan E",154,IF(Atletas!M33="Fanziquan E",155,IF(Atletas!M33="Huaquan E",156,IF(Atletas!M33="Hongquan E",157,IF(Atletas!M33="Paoquan E",158,IF(Atletas!M33="Piguaquan E",159,IF(Atletas!M33="Shaolinquan E",160,IF(Atletas!M33="Tanglangquan E",161,IF(Atletas!M33="Yingzhaoquan E",162,IF(Atletas!M33="Tongbeiquan E",163,IF(Atletas!M33="Wudangquan E",164,IF(Atletas!M33="Outros Estilos E",165,IF(Atletas!M33="Chaquan F",166,IF(Atletas!M33="Emeiquan F",167,IF(Atletas!M33="Fanziquan F",168,IF(Atletas!M33="Huaquan F",169,IF(Atletas!M33="Hongquan F",170,IF(Atletas!M33="Paoquan F",171,IF(Atletas!M33="Piguaquan F",172,IF(Atletas!M33="Shaolinquan F",173,IF(Atletas!M33="Tanglangquan F",174,IF(Atletas!M33="Yingzhaoquan F",175,IF(Atletas!M33="Tongbeiquan F",176,IF(Atletas!M33="Wudangquan F",177,IF(Atletas!M33="Outros Estilos F",178,0))))))))))))))))))))))))))))))))))))))))))</f>
        <v/>
      </c>
      <c r="BU40" s="50" t="str">
        <f>IF(Atletas!N33="","",IF(Atletas!X33&lt;&gt;"",10000,0)+(IF(Atletas!B33="Feminino",1000,IF(Atletas!B33="Masculino",2000,""))+(IF(Atletas!N33="Ditangquan A",201,IF(Atletas!N33="Houquan A",202,IF(Atletas!N33="Zuiquan A",203,IF(Atletas!N33="Ditangquan B",204,IF(Atletas!N33="Houquan B",205,IF(Atletas!N33="Zuiquan B",206,IF(Atletas!N33="Ditangquan C",207,IF(Atletas!N33="Houquan C",208,IF(Atletas!N33="Zuiquan C",209,IF(Atletas!N33="Ditangquan D",210,IF(Atletas!N33="Houquan D",211,IF(Atletas!N33="Zuiquan D",212,IF(Atletas!N33="Ditangquan E",213,IF(Atletas!N33="Houquan E",214,IF(Atletas!N33="Zuiquan E",215,IF(Atletas!N33="Ditangquan F",216,IF(Atletas!N33="Houquan F",217,IF(Atletas!N33="Zuiquan F",218,"")))))))))))))))))))))</f>
        <v/>
      </c>
      <c r="BV40" s="50" t="str">
        <f>IF(Atletas!O33="","",IF(Atletas!X33&lt;&gt;"",10000,0)+IF(Atletas!B33="Feminino",1000,IF(Atletas!B33="Masculino",2000,""))+IF(Atletas!O33="Yang A",301,IF(Atletas!O33="Chen A",302,IF(Atletas!O33="Sun A",303,IF(Atletas!O33="Wu A",304,IF(Atletas!O33="Wu-Hao A",305,IF(Atletas!O33="Outro Taijiquan A",306,IF(Atletas!O33="Yang B",307,IF(Atletas!O33="Chen B",308,IF(Atletas!O33="Sun B",309,IF(Atletas!O33="Wu B",310,IF(Atletas!O33="Wu-Hao B",311,IF(Atletas!O33="Outro Taijiquan B",312,IF(Atletas!O33="Yang C",313,IF(Atletas!O33="Chen C",314,IF(Atletas!O33="Sun C",315,IF(Atletas!O33="Wu C",316,IF(Atletas!O33="Wu-Hao C",317,IF(Atletas!O33="Outro Taijiquan C",318,IF(Atletas!O33="Yang D",319,IF(Atletas!O33="Chen D",320,IF(Atletas!O33="Sun D",321,IF(Atletas!O33="Wu D",322,IF(Atletas!O33="Wu-Hao D",323,IF(Atletas!O33="Outro Taijiquan D",324,IF(Atletas!O33="Yang E",325,IF(Atletas!O33="Chen E",326,IF(Atletas!O33="Sun E",327,IF(Atletas!O33="Wu E",328,IF(Atletas!O33="Wu-Hao E",329,IF(Atletas!O33="Outro Taijiquan E",330,IF(Atletas!O33="Yang F",331,IF(Atletas!O33="Chen F",332,IF(Atletas!O33="Sun F",333,IF(Atletas!O33="Wu F",334,IF(Atletas!O33="Wu-Hao F",335,IF(Atletas!O33="Outro Taijiquan F",336,"")))))))))))))))))))))))))))))))))))))</f>
        <v/>
      </c>
      <c r="BW40" s="50" t="str">
        <f>IF(Atletas!P33="","",IF(Atletas!X33&lt;&gt;"",10000,0)+IF(Atletas!B33="Feminino",1000,IF(Atletas!B33="Masculino",2000,""))+IF(OR(Atletas!P33="Yang 26 A",Atletas!P33="Yang 40 A"),401,IF(OR(Atletas!P33="Chen 25 A",Atletas!P33="Chen 36 A",Atletas!P33="Chen 56 A"),402,IF(Atletas!P33="Sun 73 A",403,IF(Atletas!P33="Wu 45 A",404,IF(Atletas!P33="Wu-Hao 46 A",405,IF(OR(Atletas!P33="Taijiquan 16 A",Atletas!P33="Taijiquan 24 A",Atletas!P33="Taijiquan 32 A",Atletas!P33="Taijiquan 42 A"),406,IF(OR(Atletas!P33="Yang 26 B",Atletas!P33="Yang 40 B"),407,IF(OR(Atletas!P33="Chen 25 B",Atletas!P33="Chen 36 B",Atletas!P33="Chen 56 B"),408,IF(Atletas!P33="Sun 73 B",409,IF(Atletas!P33="Wu 45 B",410,IF(Atletas!P33="Wu-Hao 46 B",411,IF(OR(Atletas!P33="Taijiquan 16 B",Atletas!P33="Taijiquan 24 B",Atletas!P33="Taijiquan 32 B",Atletas!P33="Taijiquan 42 B"),412,IF(OR(Atletas!P33="Yang 26 C",Atletas!P33="Yang 40 C"),413,IF(OR(Atletas!P33="Chen 25 C",Atletas!P33="Chen 36 C",Atletas!P33="Chen 56 C"),414,IF(Atletas!P33="Sun 73 C",415,IF(Atletas!P33="Wu 45 C",416,IF(Atletas!P33="Wu-Hao 46 C",417,IF(OR(Atletas!P33="Taijiquan 16 C",Atletas!P33="Taijiquan 24 C",Atletas!P33="Taijiquan 32 C",Atletas!P33="Taijiquan 42 C"),418,0)))))))))))))))))))</f>
        <v/>
      </c>
      <c r="BX40" s="50" t="str">
        <f>IF(Atletas!P33="","",IF(Atletas!X33&lt;&gt;"",10000,0)+IF(Atletas!B33="Feminino",1000,IF(Atletas!B33="Masculino",2000,""))+IF(OR(Atletas!P33="Yang 26 D",Atletas!P33="Yang 40 D"),419,IF(OR(Atletas!P33="Chen 25 D",Atletas!P33="Chen 36 D",Atletas!P33="Chen 56 D"),420,IF(Atletas!P33="Sun 73 D",421,IF(Atletas!P33="Wu 45 D",422,IF(Atletas!P33="Wu-Hao 46 D",423,IF(OR(Atletas!P33="Taijiquan 16 D",Atletas!P33="Taijiquan 24 D",Atletas!P33="Taijiquan 32 D",Atletas!P33="Taijiquan 42 D"),424,IF(OR(Atletas!P33="Yang 26 E",Atletas!P33="Yang 40 E"),425,IF(OR(Atletas!P33="Chen 25 E",Atletas!P33="Chen 36 E",Atletas!P33="Chen 56 E"),426,IF(Atletas!P33="Sun 73 E",427,IF(Atletas!P33="Wu 45 E",428,IF(Atletas!P33="Wu-Hao 46 E",429,IF(OR(Atletas!P33="Taijiquan 16 E",Atletas!P33="Taijiquan 24 E",Atletas!P33="Taijiquan 32 E",Atletas!P33="Taijiquan 42 E"),430,IF(OR(Atletas!P33="Yang 26 F",Atletas!P33="Yang 40 F"),431,IF(OR(Atletas!P33="Chen 25 F",Atletas!P33="Chen 36 F",Atletas!P33="Chen 56 F"),432,IF(Atletas!P33="Sun 73 F",433,IF(Atletas!P33="Wu 45 F",434,IF(Atletas!P33="Wu-Hao 46 F",435,IF(OR(Atletas!P33="Taijiquan 16 F",Atletas!P33="Taijiquan 24 F",Atletas!P33="Taijiquan 32 F",Atletas!P33="Taijiquan 42 F"),436,0)))))))))))))))))))</f>
        <v/>
      </c>
      <c r="BY40" s="50" t="str">
        <f>IF(Atletas!Q33="","",IF(Atletas!X33&lt;&gt;"",10000,0)+IF(Atletas!B33="Feminino",1000,IF(Atletas!B33="Masculino",2000,""))+IF(Atletas!Q33="Xingyiquan A",501,IF(Atletas!Q33="Baguazhang A",502,IF(Atletas!Q33="Outro Estilo Interno A",503,IF(Atletas!Q33="Xingyiquan B",504,IF(Atletas!Q33="Baguazhang B",505,IF(Atletas!Q33="Outro Estilo Interno B",506,IF(Atletas!Q33="Xingyiquan C",507,IF(Atletas!Q33="Baguazhang C",508,IF(Atletas!Q33="Outro Estilo Interno C",509,IF(Atletas!Q33="Xingyiquan D",510,IF(Atletas!Q33="Baguazhang D",511,IF(Atletas!Q33="Outro Estilo Interno D",512,IF(Atletas!Q33="Xingyiquan E",513,IF(Atletas!Q33="Baguazhang E",514,IF(Atletas!Q33="Outro Estilo Interno E",515,IF(Atletas!Q33="Xingyiquan F",516,IF(Atletas!Q33="Baguazhang F",517,IF(Atletas!Q33="Outro Estilo Interno F",518, "")))))))))))))))))))</f>
        <v/>
      </c>
      <c r="BZ40" s="50" t="str">
        <f>IF(Atletas!R33="","",IF(Atletas!X33&lt;&gt;"",10000,0)+IF(Atletas!B33="Feminino",1000,IF(Atletas!B33="Masculino",2000,""))+IF(Atletas!R33="Dao A",601,IF(Atletas!R33="Jian A",602,IF(Atletas!R33="Bishou A",603,IF(Atletas!R33="Shanzi A",604,IF(Atletas!R33="Outra Arma Curta A",605,IF(Atletas!R33="Dao B",606,IF(Atletas!R33="Jian B",607,IF(Atletas!R33="Bishou B",608,IF(Atletas!R33="Shanzi B",609,IF(Atletas!R33="Outra Arma Curta B",610,IF(Atletas!R33="Dao C",611,IF(Atletas!R33="Jian C",612,IF(Atletas!R33="Bishou C",613,IF(Atletas!R33="Shanzi C",614,IF(Atletas!R33="Outra Arma Curta C",615,IF(Atletas!R33="Dao D",616,IF(Atletas!R33="Jian D",617,IF(Atletas!R33="Bishou D",618,IF(Atletas!R33="Shanzi D",619,IF(Atletas!R33="Outra Arma Curta D",620,IF(Atletas!R33="Dao E",621,IF(Atletas!R33="Jian E",622,IF(Atletas!R33="Bishou E",623,IF(Atletas!R33="Shanzi E",624,IF(Atletas!R33="Outra Arma Curta E",625,IF(Atletas!R33="Dao F",626,IF(Atletas!R33="Jian F",627,IF(Atletas!R33="Bishou F",628,IF(Atletas!R33="Shanzi F",629,IF(Atletas!R33="Outra Arma Curta F",630, "")))))))))))))))))))))))))))))))</f>
        <v/>
      </c>
      <c r="CA40" s="50" t="str">
        <f>IF(Atletas!S33="","",IF(Atletas!X33&lt;&gt;"",10000,0)+IF(Atletas!B33="Feminino",1000,IF(Atletas!B33="Masculino",2000,""))+IF(Atletas!S33="Gun A",701,IF(Atletas!S33="Qiang A",702,IF(Atletas!S33="Pudao / Guandao A",703,IF(Atletas!S33="Outra Arma Longa A",704,IF(Atletas!S33="Gun B",705,IF(Atletas!S33="Qiang B",706,IF(Atletas!S33="Pudao / Guandao B",707,IF(Atletas!S33="Outra Arma Longa B",708,IF(Atletas!S33="Gun C",709,IF(Atletas!S33="Qiang C",710,IF(Atletas!S33="Pudao / Guandao C",711,IF(Atletas!S33="Outra Arma Longa C",712,IF(Atletas!S33="Gun D",713,IF(Atletas!S33="Qiang D",714,IF(Atletas!S33="Pudao / Guandao D",715,IF(Atletas!S33="Outra Arma Longa D",716,IF(Atletas!S33="Gun E",717,IF(Atletas!S33="Qiang E",718,IF(Atletas!S33="Pudao / Guandao E",719,IF(Atletas!S33="Outra Arma Longa E",720,IF(Atletas!S33="Gun F",721,IF(Atletas!S33="Qiang F",722,IF(Atletas!S33="Pudao / Guandao F",723,IF(Atletas!S33="Outra Arma Longa F",724,"")))))))))))))))))))))))))</f>
        <v/>
      </c>
      <c r="CB40" s="50" t="str">
        <f>IF(Atletas!T33="","",IF(Atletas!X33&lt;&gt;"",10000,0)+IF(Atletas!B33="Feminino",1000,IF(Atletas!B33="Masculino",2000,""))+IF(Atletas!T33="Outra Arma Dupla A",801,IF(Atletas!T33="Arma Maleável A",802,IF(Atletas!T33="Outra Arma Dupla B",803,IF(Atletas!T33="Arma Maleável B",804,IF(Atletas!T33="Outra Arma Dupla C",805,IF(Atletas!T33="Arma Maleável C",806,IF(Atletas!T33="Outra Arma Dupla D",807,IF(Atletas!T33="Arma Maleável D",808,IF(Atletas!T33="Outra Arma Dupla E",809,IF(Atletas!T33="Arma Maleável E",810,IF(Atletas!T33="Outra Arma Dupla F",811,IF(Atletas!T33="Arma Maleável F",812,IF(Atletas!T33="Shuangdao A",813,IF(Atletas!T33="Shuangdao B",814,IF(Atletas!T33="Shuangdao C",815,IF(Atletas!T33="Shuangdao D",816,IF(Atletas!T33="Shuangdao E",817,IF(Atletas!T33="Shuangdao F",818,"")))))))))))))))))))</f>
        <v/>
      </c>
      <c r="CC40" s="50" t="str">
        <f>IF(Atletas!U33="","",IF(Atletas!X33&lt;&gt;"",10000,0)+IF(Atletas!B33="Feminino",1000,IF(Atletas!B33="Masculino",2000,""))+IF(OR(Atletas!U33="Taijijian Yang A",Atletas!U33="Taijijian Yang Standard A"),901,IF(OR(Atletas!U33="Taijijian Chen A", Atletas!U33="Taijijian Chen Standard A"),902,IF(Atletas!U33="Taijijian Sun A",903,IF(Atletas!U33="Taijijian Wu A",904,IF(Atletas!U33="Taijijian Wu-Hao A",905,IF(OR(Atletas!U33="Taijijian 32 A",Atletas!U33="Taijijian 42 A"),906,IF(OR(Atletas!U33="Taijijian Yang B",Atletas!U33="Taijijian Yang Standard B"),907,IF(OR(Atletas!U33="Taijijian Chen B", Atletas!U33="Taijijian Chen Standard B"),908,IF(Atletas!U33="Taijijian Sun B",909,IF(Atletas!U33="Taijijian Wu B",910,IF(Atletas!U33="Taijijian Wu-Hao B",911,IF(OR(Atletas!U33="Taijijian 32 B",Atletas!U33="Taijijian 42 B"),912,IF(OR(Atletas!U33="Taijijian Yang C",Atletas!U33="Taijijian Yang Standard C"),913,IF(OR(Atletas!U33="Taijijian Chen C", Atletas!U33="Taijijian Chen Standard C"),914,IF(Atletas!U33="Taijijian Sun C",915,IF(Atletas!U33="Taijijian Wu C",916,IF(Atletas!U33="Taijijian Wu-Hao C",917,IF(OR(Atletas!U33="Taijijian 32 C",Atletas!U33="Taijijian 42 C"),918,IF(OR(Atletas!U33="Taijijian Yang D",Atletas!U33="Taijijian Yang Standard D"),919,IF(OR(Atletas!U33="Taijijian Chen D", Atletas!U33="Taijijian Chen Standard D"),920,IF(Atletas!U33="Taijijian Sun D",921,IF(Atletas!U33="Taijijian Wu D",922,IF(Atletas!U33="Taijijian Wu-Hao D",923,IF(OR(Atletas!U33="Taijijian 32 D",Atletas!U33="Taijijian 42 D"),924,IF(OR(Atletas!U33="Taijijian Yang E",Atletas!U33="Taijijian Yang Standard E"),925,IF(OR(Atletas!U33="Taijijian Chen E", Atletas!U33="Taijijian Chen Standard E"),926,IF(Atletas!U33="Taijijian Sun E",927,IF(Atletas!U33="Taijijian Wu E",928,IF(Atletas!U33="Taijijian Wu-Hao E",929,IF(OR(Atletas!U33="Taijijian 32 E",Atletas!U33="Taijijian 42 E"),930,IF(OR(Atletas!U33="Taijijian Yang F",Atletas!U33="Taijijian Yang Standard F"),931,IF(OR(Atletas!U33="Taijijian Chen F", Atletas!U33="Taijijian Chen Standard F"),932,IF(Atletas!U33="Taijijian Sun F",933,IF(Atletas!U33="Taijijian Wu F",934,IF(Atletas!U33="Taijijian Wu-Hao F",935,IF(OR(Atletas!U33="Taijijian 32 F",Atletas!U33="Taijijian 42 F"),936,"")))))))))))))))))))))))))))))))))))))</f>
        <v/>
      </c>
      <c r="CD40" s="50" t="str">
        <f>IF(Atletas!V33="","",IF(Atletas!X33&lt;&gt;"",10000,0)+IF(Atletas!B33="Feminino",1000,IF(Atletas!B33="Masculino",2000,""))+IF(Atletas!V33="Taijidao A",937,IF(Atletas!V33="TaijiShanzi A",938,IF(Atletas!V33="Taijiqiang A",939,IF(Atletas!V33="Bagua de Arma A",940,IF(Atletas!V33="Xingyi de Arma A",941,IF(Atletas!V33="Taijidao B",942,IF(Atletas!V33="TaijiShanzi B",943,IF(Atletas!V33="Taijiqiang B",944,IF(Atletas!V33="Bagua de Arma B",945,IF(Atletas!V33="Xingyi de Arma B",946,IF(Atletas!V33="Taijidao C",947,IF(Atletas!V33="TaijiShanzi C",948,IF(Atletas!V33="Taijiqiang C",949,IF(Atletas!V33="Bagua de Arma C",950,IF(Atletas!V33="Xingyi de Arma C",951,IF(Atletas!V33="Taijidao D",952,IF(Atletas!V33="TaijiShanzi D",953,IF(Atletas!V33="Taijiqiang D",954,IF(Atletas!V33="Bagua de Arma D",955,IF(Atletas!V33="Xingyi de Arma D",956,IF(Atletas!V33="Taijidao E",957,IF(Atletas!V33="TaijiShanzi E",958,IF(Atletas!V33="Taijiqiang E",959,IF(Atletas!V33="Bagua de Arma E",960,IF(Atletas!V33="Xingyi de Arma E",961,IF(Atletas!V33="Taijidao F",962,IF(Atletas!V33="TaijiShanzi F",963,IF(Atletas!V33="Taijiqiang F",964,IF(Atletas!V33="Bagua de Arma F",965,IF(Atletas!V33="Xingyi de Arma F",966,"")))))))))))))))))))))))))))))))</f>
        <v/>
      </c>
      <c r="CE40" s="66" t="str">
        <f>IF(CF40&lt;&gt;"","Wuzuquan F","")</f>
        <v/>
      </c>
      <c r="CF40" s="66" t="str">
        <f>IF(COUNTIF(BR:CD,1028)&gt;0,COUNTIF(BR:CD,1028),"")</f>
        <v/>
      </c>
      <c r="CG40" s="66" t="str">
        <f>IF(CH40&lt;&gt;"","Wuzuquan F","")</f>
        <v/>
      </c>
      <c r="CH40" s="66" t="str">
        <f>IF(COUNTIF(BR:CD,2028)&gt;0,COUNTIF(BR:CD,2028),"")</f>
        <v/>
      </c>
      <c r="CI40" s="66" t="str">
        <f>IF(CJ40&lt;&gt;"","Huaquan A","")</f>
        <v/>
      </c>
      <c r="CJ40" s="66" t="str">
        <f>IF(COUNTIF(BR:CD,11104)&gt;0,COUNTIF(BR:CD,11104),"")</f>
        <v/>
      </c>
      <c r="CK40" s="66" t="str">
        <f>IF(CL40&lt;&gt;"","Huaquan A","")</f>
        <v/>
      </c>
      <c r="CL40" s="66" t="str">
        <f>IF(COUNTIF(BR:CD,12104)&gt;0,COUNTIF(BR:CD,12104),"")</f>
        <v/>
      </c>
      <c r="CM40" s="50" t="str">
        <f xml:space="preserve"> IF(Atletas!W33="","",IF(Atletas!W33="Duilian de Mãos BC - Equipe 1",1,IF(Atletas!W33="Duilian de Mãos BC - Equipe 2",2,IF(Atletas!W33="Duilian de Armas BC - Equipe 1",3,IF(Atletas!W33="Duilian de Armas BC - Equipe 2",4,IF(Atletas!W33="Duilian de Mãos DE - Equipe 1",5,IF(Atletas!W33="Duilian de Mãos DE - Equipe 2",6,IF(Atletas!W33="Duilian de Armas DE - Equipe 1",7,IF(Atletas!W33="Duilian de Armas DE - Equipe 2",8,IF(Atletas!W33="Duilian de Tuishou - Equipe 1",9,IF(Atletas!W33="Duilian de Tuishou - Equipe 2",10,IF(Atletas!W33="Grupo Externo ABC - Equipe 1",11,IF(Atletas!W33="Grupo Externo ABC - Equipe 2",12,IF(Atletas!W33="Grupo Interno ABC - Equipe 1",13,IF(Atletas!W33="Grupo Interno ABC - Equipe 2",14,IF(Atletas!W33="Grupo Externo DEF - Equipe 1",15,IF(Atletas!W33="Grupo Externo DEF - Equipe 2",16,IF(Atletas!W33="Grupo Interno DEF - Equipe 1",17,IF(Atletas!W33="Grupo Interno DEF - Equipe 2",18,"")))))))))))))))))))</f>
        <v/>
      </c>
      <c r="CY40" s="41"/>
    </row>
    <row r="41" spans="2:103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 t="str">
        <f t="array" ref="R41">IFERROR(INDEX(BI$7:BI$68,SMALL(IF(BI$7:BI$68&lt;&gt;"",ROW(BI$7:BI$68)-ROW(BI$7)+1),ROWS(BI$7:BI40))),"")</f>
        <v/>
      </c>
      <c r="S41" s="3" t="str">
        <f t="array" ref="S41">IFERROR(INDEX(BJ$7:BJ$68,SMALL(IF(BJ$7:BJ$68&lt;&gt;"",ROW(BJ$7:BJ$68)-ROW(BJ$7)+1),ROWS(BJ$7:BJ40))),"")</f>
        <v/>
      </c>
      <c r="T41" s="3" t="str">
        <f t="array" ref="T41">IFERROR(INDEX(BK$7:BK$68,SMALL(IF(BK$7:BK$68&lt;&gt;"",ROW(BK$7:BK$68)-ROW(BK$7)+1),ROWS(BK$7:BK40))),"")</f>
        <v/>
      </c>
      <c r="U41" s="3" t="str">
        <f t="array" ref="U41">IFERROR(INDEX(BL$7:BL$68,SMALL(IF(BL$7:BL$68&lt;&gt;"",ROW(BL$7:BL$68)-ROW(BL$7)+1),ROWS(BL$7:BL40))),"")</f>
        <v/>
      </c>
      <c r="V41" s="3"/>
      <c r="W41" s="3"/>
      <c r="X41" s="20"/>
      <c r="Y41" s="3"/>
      <c r="Z41" s="3" t="str">
        <f t="array" ref="Z41">IFERROR(INDEX(CE$7:CE$348,SMALL(IF(CE$7:CE$348&lt;&gt;"",ROW(CE$7:CE$348)-ROW(CE$7)+1),ROWS(CE$7:CE40))),"")</f>
        <v/>
      </c>
      <c r="AA41" s="3" t="str">
        <f t="array" ref="AA41">IFERROR(INDEX(CF$7:CF$348,SMALL(IF(CF$7:CF$348&lt;&gt;"",ROW(CF$7:CF$348)-ROW(CF$7)+1),ROWS(CF$7:CF40))),"")</f>
        <v/>
      </c>
      <c r="AB41" s="3" t="str">
        <f t="array" ref="AB41">IFERROR(INDEX(CG$7:CG$348,SMALL(IF(CG$7:CG$348&lt;&gt;"",ROW(CG$7:CG$348)-ROW(CG$7)+1),ROWS(CG$7:CG40))),"")</f>
        <v/>
      </c>
      <c r="AC41" s="3" t="str">
        <f t="array" ref="AC41">IFERROR(INDEX(CH$7:CH$348,SMALL(IF(CH$7:CH$348&lt;&gt;"",ROW(CH$7:CH$348)-ROW(CH$7)+1),ROWS(CH$7:CH40))),"")</f>
        <v/>
      </c>
      <c r="AD41" s="3" t="str">
        <f t="array" ref="AD41">IFERROR(INDEX(CI$7:CI$377,SMALL(IF(CI$7:CI$377&lt;&gt;"",ROW(CI$7:CI$377)-ROW(CI$7)+1),ROWS(CI$7:CI40))),"")</f>
        <v/>
      </c>
      <c r="AE41" s="3" t="str">
        <f t="array" ref="AE41">IFERROR(INDEX(CJ$7:CJ$378,SMALL(IF(CJ$7:CJ$378&lt;&gt;"",ROW(CJ$7:CJ$378)-ROW(CJ$7)+1),ROWS(CJ$7:CJ40))),"")</f>
        <v/>
      </c>
      <c r="AF41" s="3" t="str">
        <f t="array" ref="AF41">IFERROR(INDEX(CK$7:CK$378,SMALL(IF(CK$7:CK$378&lt;&gt;"",ROW(CK$7:CK$378)-ROW(CK$7)+1),ROWS(CK$7:CK40))),"")</f>
        <v/>
      </c>
      <c r="AG41" s="3" t="str">
        <f t="array" ref="AG41">IFERROR(INDEX(CL$7:CL$378,SMALL(IF(CL$7:CL$378&lt;&gt;"",ROW(CL$7:CL$378)-ROW(CL$7)+1),ROWS(CL$7:CL40))),"")</f>
        <v/>
      </c>
      <c r="AH41" s="20"/>
      <c r="AI41" s="20"/>
      <c r="AJ41" s="20"/>
      <c r="AK41" s="20"/>
      <c r="AL41" s="20"/>
      <c r="AM41" s="3"/>
      <c r="AN41" s="52" t="e">
        <f>IF(Atletas!#REF!="","",IF(Atletas!#REF!="Feminino",100,IF(Atletas!#REF!="Masculino",200,""))+(IF(Atletas!#REF!="Kids 30kg",1,IF(Atletas!#REF!="Kids 32kg",2, IF(Atletas!#REF!="Kids 34kg",3,IF(Atletas!#REF!="Kids 36kg",4,IF(Atletas!#REF!="Kids 39kg",5,IF(Atletas!#REF!="Kids 42kg",6,IF(Atletas!#REF!="Kids 45kg",7, IF(Atletas!#REF!="Infantil 39kg",8,IF(Atletas!#REF!="Infantil 42kg",9,IF(Atletas!#REF!="Infantil 45kg",10,IF(Atletas!#REF!="Infantil 48kg",11,IF(Atletas!#REF!="Infantil 52kg",12,IF(Atletas!#REF!="Infantil 56kg",13,IF(Atletas!#REF!="Infantil 60kg",14,IF(Atletas!#REF!="Juvenil 48kg",15,IF(Atletas!#REF!="Juvenil 52kg",16,IF(Atletas!#REF!="Juvenil 56kg",17,IF(Atletas!#REF!="Juvenil 60kg",18,IF(Atletas!#REF!="Juvenil 65kg",19,IF(Atletas!#REF!="Juvenil 70kg",20,IF(Atletas!#REF!="Juvenil 75kg",21,IF(Atletas!#REF!="Juvenil 80kg",22, IF(Atletas!#REF!="Juvenil 85kg",23,IF(Atletas!#REF!="Adulto 48kg",24,IF(Atletas!#REF!="Adulto 52kg",25,IF(Atletas!#REF!="Adulto 56kg",26,IF(Atletas!#REF!="Adulto 60kg",27,IF(Atletas!#REF!="Adulto 65kg",28,IF(Atletas!#REF!="Adulto 70kg",29,IF(Atletas!#REF!="Adulto 75kg",30,IF(Atletas!#REF!="Adulto 80kg",31,IF(Atletas!#REF!="Adulto 85kg",32,IF(Atletas!#REF!="Adulto 90kg",33,IF(Atletas!#REF!="Adulto 100kg",34, IF(Atletas!#REF!="Adulto +100kg",35,"")))))))))))))))))))))))))))))))))))))</f>
        <v>#REF!</v>
      </c>
      <c r="AQ41" s="50" t="str">
        <f>IF(AR41&lt;&gt;"","Adulto +100kg","")</f>
        <v/>
      </c>
      <c r="AR41" s="6" t="str">
        <f>IF(COUNTIF(AN:AN,235)&gt;0,COUNTIF(AN:AN,235),"")</f>
        <v/>
      </c>
      <c r="AS41" s="6" t="e">
        <f>IF(Atletas!#REF!="","",IF(Atletas!#REF!="Feminino",100,IF(Atletas!#REF!="Masculino",200,""))+(IF(Atletas!#REF!="Juvenil 44kg",1,IF(Atletas!#REF!="Juvenil 48kg",2,IF(Atletas!#REF!="Juvenil 52kg",3,IF(Atletas!#REF!="Juvenil 56kg",4,IF(Atletas!#REF!="Juvenil 60kg",5,IF(Atletas!#REF!="Juvenil 65kg",6,IF(Atletas!#REF!="Juvenil 70kg",7,IF(Atletas!#REF!="Juvenil 75kg",8,IF(Atletas!#REF!="Juvenil 82kg",9,IF(Atletas!#REF!="Juvenil 90kg",10,IF(Atletas!#REF!="Juvenil 100kg",11,IF(Atletas!#REF!="Adulto 48kg",12,IF(Atletas!#REF!="Adulto 52kg",13,IF(Atletas!#REF!="Adulto 56kg",14,IF(Atletas!#REF!="Adulto 60kg",15,IF(Atletas!#REF!="Adulto 65kg",16,IF(Atletas!#REF!="Adulto 70kg",17,IF(Atletas!#REF!="Adulto 75kg",18,IF(Atletas!#REF!="Adulto 82kg",19,IF(Atletas!#REF!="Adulto 90kg",20,IF(Atletas!#REF!="Adulto 100kg",21,IF(Atletas!#REF!="Adulto +100kg",22,""))))))))))))))))))))))))</f>
        <v>#REF!</v>
      </c>
      <c r="AX41" s="6" t="e">
        <f>IF(Atletas!#REF!="","",IF(Atletas!#REF!="Feminino",100,IF(Atletas!#REF!="Masculino",200,""))+(IF(Atletas!#REF!="Adulto 48kg",1,IF(Atletas!#REF!="Adulto 56kg",2,IF(Atletas!#REF!="Adulto 65kg",3,IF(Atletas!#REF!="Adulto 75kg",4,IF(Atletas!#REF!="Adulto +75kg",5,IF(Atletas!#REF!="Adulto 52kg",6,IF(Atletas!#REF!="Adulto 60kg",7,IF(Atletas!#REF!="Adulto 70kg",8,IF(Atletas!#REF!="Adulto 80kg",9,IF(Atletas!#REF!="Adulto 90kg",10,IF(Atletas!#REF!="Adulto +90kg",11,"")))))))))))))</f>
        <v>#REF!</v>
      </c>
      <c r="BC41" s="6" t="e">
        <f>IF(Atletas!#REF!="","",IF(Atletas!#REF!="Feminino",10,IF(Atletas!#REF!="Masculino",20,""))+(IF(Atletas!#REF!="Baduanjin A",1,IF(Atletas!#REF!="Baduanjin B",2))))</f>
        <v>#REF!</v>
      </c>
      <c r="BF41" s="52" t="e">
        <f>IF(Atletas!#REF!="","",IF(Atletas!#REF!="Feminino",100,IF(Atletas!#REF!="Masculino",200,""))+(IF(Atletas!#REF!="Changquan Mirim",1,IF(Atletas!#REF!="Nanquan Mirim",2,IF(Atletas!#REF!="Taijiquan Mirim",3,IF(Atletas!#REF!="Changquan Grupo C",4,IF(Atletas!#REF!="Nanquan Grupo C",5,IF(Atletas!#REF!="Taijiquan Grupo C",6,IF(Atletas!#REF!="Changquan Grupo B",7,IF(Atletas!#REF!="Nanquan Grupo B",8,IF(Atletas!#REF!="Taijiquan Grupo B",9,IF(Atletas!#REF!="Changquan Grupo A",10,IF(Atletas!#REF!="Nanquan Grupo A",11,IF(Atletas!#REF!="Taijiquan Grupo A",12,IF(Atletas!#REF!="Changquan Opcional",13,IF(Atletas!#REF!="Nanquan Opcional",14,IF(Atletas!#REF!="Taijiquan Opcional",15,IF(Atletas!#REF!="Changquan Adulto",16,IF(Atletas!#REF!="Nanquan Adulto",17,IF(Atletas!#REF!="Taijiquan Adulto",18,""))))))))))))))))))))</f>
        <v>#REF!</v>
      </c>
      <c r="BG41" s="52" t="e">
        <f>IF(Atletas!#REF!="","",IF(Atletas!#REF!="Feminino",100,IF(Atletas!#REF!="Masculino",200,""))+(IF(Atletas!#REF!="Daoshu Mirim",19,IF(Atletas!#REF!="Jianshu Mirim",20,IF(Atletas!#REF!="Nandao Mirim",21,IF(Atletas!#REF!="Taijijian Mirim",22,IF(Atletas!#REF!="Daoshu Grupo C",23,IF(Atletas!#REF!="Jianshu Grupo C",24,IF(Atletas!#REF!="Nandao Grupo C",25,IF(Atletas!#REF!="Taijijian Grupo C",26,IF(Atletas!#REF!="Daoshu Grupo B",27,IF(Atletas!#REF!="Jianshu Grupo B",28,IF(Atletas!#REF!="Nandao Grupo B",29,IF(Atletas!#REF!="Taijijian Grupo B",30,IF(Atletas!#REF!="Daoshu Grupo A",31,IF(Atletas!#REF!="Jianshu Grupo A",32,IF(Atletas!#REF!="Nandao Grupo A",33,IF(Atletas!#REF!="Taijijian Grupo A",34,IF(Atletas!#REF!="Daoshu Opcional",35,IF(Atletas!#REF!="Jianshu Opcional",36,IF(Atletas!#REF!="Nandao Opcional",37,IF(Atletas!#REF!="Taijijian Opcional",38,IF(Atletas!#REF!="Daoshu Adulto",39,IF(Atletas!#REF!="Jianshu Adulto",40,IF(Atletas!#REF!="Nandao Adulto",41,IF(Atletas!#REF!="Taijijian Adulto",42,""))))))))))))))))))))))))))</f>
        <v>#REF!</v>
      </c>
      <c r="BH41" s="52" t="e">
        <f>IF(Atletas!#REF!="","",IF(Atletas!#REF!="Feminino",100,IF(Atletas!#REF!="Masculino",200,""))+(IF(Atletas!#REF!="Gunshu Mirim",43,IF(Atletas!#REF!="Qiangshu Mirim",44,IF(Atletas!#REF!="Nangun Mirim",45,IF(Atletas!#REF!="Gunshu Grupo C",46,IF(Atletas!#REF!="Qiangshu Grupo C",47,IF(Atletas!#REF!="Nangun Grupo C",48,IF(Atletas!#REF!="Gunshu Grupo B",49,IF(Atletas!#REF!="Qiangshu Grupo B",50,IF(Atletas!#REF!="Nangun Grupo B",51,IF(Atletas!#REF!="Gunshu Grupo A",52,IF(Atletas!#REF!="Qiangshu Grupo A",53,IF(Atletas!#REF!="Nangun Grupo A",54,IF(Atletas!#REF!="Gunshu Opcional",55,IF(Atletas!#REF!="Qiangshu Opcional",56,IF(Atletas!#REF!="Nangun Opcional",57,IF(Atletas!#REF!="Gunshu Adulto",58,IF(Atletas!#REF!="Qiangshu Adulto",59,IF(Atletas!#REF!="Nangun Adulto",60,IF(Atletas!#REF!="Taijishan Grupo B",61,IF(Atletas!#REF!="Taijishan Grupo A",62,""))))))))))))))))))))))</f>
        <v>#REF!</v>
      </c>
      <c r="BI41" s="6" t="str">
        <f>IF(BJ41&lt;&gt;"","Daoshu Grupo A","")</f>
        <v/>
      </c>
      <c r="BJ41" s="50" t="str">
        <f>IF(COUNTIF(BF:BH,131)&gt;0,COUNTIF(BF:BH,131),"")</f>
        <v/>
      </c>
      <c r="BK41" s="6" t="str">
        <f>IF(BL41&lt;&gt;"","Daoshu Grupo A","")</f>
        <v/>
      </c>
      <c r="BL41" s="50" t="str">
        <f>IF(COUNTIF(BF:BH,231)&gt;0,COUNTIF(BF:BH,231),"")</f>
        <v/>
      </c>
      <c r="BM41" s="50" t="e">
        <f>IF(Atletas!#REF!="","",IF(Atletas!#REF!="Feminino",100,IF(Atletas!#REF!="Masculino",200,""))+(IF(Atletas!#REF!="Equipe 1 Grupo B",1,IF(Atletas!#REF!="Equipe 2 Grupo B",2,IF(Atletas!#REF!="Equipe 1 Grupo A",3,IF(Atletas!#REF!="Equipe 2 Grupo A",4,IF(Atletas!#REF!="Equipe 1 Adulto",5,IF(Atletas!#REF!="Equipe 2 Adulto",6,""))))))))</f>
        <v>#REF!</v>
      </c>
      <c r="BR41" s="50" t="e">
        <f>IF(Atletas!#REF!="","",IF(Atletas!#REF!&lt;&gt;"",10000,0)+(IF(Atletas!#REF!="Feminino",1000,IF(Atletas!#REF!="Masculino",2000,""))+IF(Atletas!#REF!="Choylayfut A",1,IF(Atletas!#REF!="Hunggar A",2,IF(Atletas!#REF!="Wuzuquan A",3,IF(Atletas!#REF!="Wingchun A",4,IF(Atletas!#REF!="Outra Mão de Sul A",5,IF(Atletas!#REF!="Choylayfut B",6,IF(Atletas!#REF!="Hunggar B",7,IF(Atletas!#REF!="Wuzuquan B",8,IF(Atletas!#REF!="Wingchun B",9,IF(Atletas!#REF!="Outra Mão de Sul B",10,IF(Atletas!#REF!="Choylayfut C",11,IF(Atletas!#REF!="Hunggar C",12,IF(Atletas!#REF!="Wuzuquan C",13,IF(Atletas!#REF!="Wingchun C",14,IF(Atletas!#REF!="Outra Mão de Sul C",15,IF(Atletas!#REF!="Choylayfut D",16,IF(Atletas!#REF!="Hunggar D",17,IF(Atletas!#REF!="Wuzuquan D",18,IF(Atletas!#REF!="Wingchun D",19,IF(Atletas!#REF!="Outra Mão de Sul D",20,IF(Atletas!#REF!="Choylayfut E",21,IF(Atletas!#REF!="Hunggar E",22,IF(Atletas!#REF!="Wuzuquan E",23,IF(Atletas!#REF!="Wingchun E",24,IF(Atletas!#REF!="Outra Mão de Sul E",25,IF(Atletas!#REF!="Choylayfut F",26,IF(Atletas!#REF!="Hunggar F",27,IF(Atletas!#REF!="Wuzuquan F",28,IF(Atletas!#REF!="Wingchun F",29,IF(Atletas!#REF!="Outra Mão de Sul F",30,IF(Atletas!#REF!="Dishuquan A",31,IF(Atletas!#REF!="Dishuquan B",32,IF(Atletas!#REF!="Dishuquan C",33,IF(Atletas!#REF!="Dishuquan D",34,IF(Atletas!#REF!="Dishuquan E",35,IF(Atletas!#REF!="Dishuquan F",36,""))))))))))))))))))))))))))))))))))))))</f>
        <v>#REF!</v>
      </c>
      <c r="BS41" s="50" t="e">
        <f>IF(Atletas!#REF!="","",IF(Atletas!#REF!&lt;&gt;"",10000,0)+(IF(Atletas!#REF!="Feminino",1000,IF(Atletas!#REF!="Masculino",2000,""))+(IF(Atletas!#REF!="Chaquan A",101,IF(Atletas!#REF!="Emeiquan A",102,IF(Atletas!#REF!="Fanziquan A",103,IF(Atletas!#REF!="Huaquan A",104,IF(Atletas!#REF!="Hongquan A",105,IF(Atletas!#REF!="Paoquan A",106,IF(Atletas!#REF!="Piguaquan A",107,IF(Atletas!#REF!="Shaolinquan A",108,IF(Atletas!#REF!="Tanglangquan A",109,IF(Atletas!#REF!="Yingzhaoquan A",110,IF(Atletas!#REF!="Tongbeiquan A",111,IF(Atletas!#REF!="Wudangquan A",112,IF(Atletas!#REF!="Outros Estilos A",113,IF(Atletas!#REF!="Chaquan B",114,IF(Atletas!#REF!="Emeiquan B",115,IF(Atletas!#REF!="Fanziquan B",116,IF(Atletas!#REF!="Huaquan B",117,IF(Atletas!#REF!="Hongquan B",118,IF(Atletas!#REF!="Paoquan B",119,IF(Atletas!#REF!="Piguaquan B",120,IF(Atletas!#REF!="Shaolinquan B",121,IF(Atletas!#REF!="Tanglangquan B",122,IF(Atletas!#REF!="Yingzhaoquan B",123,IF(Atletas!#REF!="Tongbeiquan B",124,IF(Atletas!#REF!="Wudangquan B",125,IF(Atletas!#REF!="Outros Estilos B",126,IF(Atletas!#REF!="Chaquan C",127,IF(Atletas!#REF!="Emeiquan C",128,IF(Atletas!#REF!="Fanziquan C",129,IF(Atletas!#REF!="Huaquan C",130,IF(Atletas!#REF!="Hongquan C",131,IF(Atletas!#REF!="Paoquan C",132,IF(Atletas!#REF!="Piguaquan C",133,IF(Atletas!#REF!="Shaolinquan C",134,IF(Atletas!#REF!="Tanglangquan C",135,IF(Atletas!#REF!="Yingzhaoquan C",136,IF(Atletas!#REF!="Tongbeiquan C",137,IF(Atletas!#REF!="Wudangquan C",138,IF(Atletas!#REF!="Outros Estilos C",139,0))))))))))))))))))))))))))))))))))))))))))</f>
        <v>#REF!</v>
      </c>
      <c r="BT41" s="50" t="e">
        <f>IF(Atletas!#REF!="","",IF(Atletas!#REF!&lt;&gt;"",10000,0)+(IF(Atletas!#REF!="Feminino",1000,IF(Atletas!#REF!="Masculino",2000,""))+(IF(Atletas!#REF!="Chaquan D",140,IF(Atletas!#REF!="Emeiquan D",141,IF(Atletas!#REF!="Fanziquan D",142,IF(Atletas!#REF!="Huaquan D",143,IF(Atletas!#REF!="Hongquan D",144,IF(Atletas!#REF!="Paoquan D",145,IF(Atletas!#REF!="Piguaquan D",146,IF(Atletas!#REF!="Shaolinquan D",147,IF(Atletas!#REF!="Tanglangquan D",148,IF(Atletas!#REF!="Yingzhaoquan D",149,IF(Atletas!#REF!="Tongbeiquan D",150,IF(Atletas!#REF!="Wudangquan D",151,IF(Atletas!#REF!="Outros Estilos D",152,IF(Atletas!#REF!="Chaquan E",153,IF(Atletas!#REF!="Emeiquan E",154,IF(Atletas!#REF!="Fanziquan E",155,IF(Atletas!#REF!="Huaquan E",156,IF(Atletas!#REF!="Hongquan E",157,IF(Atletas!#REF!="Paoquan E",158,IF(Atletas!#REF!="Piguaquan E",159,IF(Atletas!#REF!="Shaolinquan E",160,IF(Atletas!#REF!="Tanglangquan E",161,IF(Atletas!#REF!="Yingzhaoquan E",162,IF(Atletas!#REF!="Tongbeiquan E",163,IF(Atletas!#REF!="Wudangquan E",164,IF(Atletas!#REF!="Outros Estilos E",165,IF(Atletas!#REF!="Chaquan F",166,IF(Atletas!#REF!="Emeiquan F",167,IF(Atletas!#REF!="Fanziquan F",168,IF(Atletas!#REF!="Huaquan F",169,IF(Atletas!#REF!="Hongquan F",170,IF(Atletas!#REF!="Paoquan F",171,IF(Atletas!#REF!="Piguaquan F",172,IF(Atletas!#REF!="Shaolinquan F",173,IF(Atletas!#REF!="Tanglangquan F",174,IF(Atletas!#REF!="Yingzhaoquan F",175,IF(Atletas!#REF!="Tongbeiquan F",176,IF(Atletas!#REF!="Wudangquan F",177,IF(Atletas!#REF!="Outros Estilos F",178,0))))))))))))))))))))))))))))))))))))))))))</f>
        <v>#REF!</v>
      </c>
      <c r="BU41" s="50" t="e">
        <f>IF(Atletas!#REF!="","",IF(Atletas!#REF!&lt;&gt;"",10000,0)+(IF(Atletas!#REF!="Feminino",1000,IF(Atletas!#REF!="Masculino",2000,""))+(IF(Atletas!#REF!="Ditangquan A",201,IF(Atletas!#REF!="Houquan A",202,IF(Atletas!#REF!="Zuiquan A",203,IF(Atletas!#REF!="Ditangquan B",204,IF(Atletas!#REF!="Houquan B",205,IF(Atletas!#REF!="Zuiquan B",206,IF(Atletas!#REF!="Ditangquan C",207,IF(Atletas!#REF!="Houquan C",208,IF(Atletas!#REF!="Zuiquan C",209,IF(Atletas!#REF!="Ditangquan D",210,IF(Atletas!#REF!="Houquan D",211,IF(Atletas!#REF!="Zuiquan D",212,IF(Atletas!#REF!="Ditangquan E",213,IF(Atletas!#REF!="Houquan E",214,IF(Atletas!#REF!="Zuiquan E",215,IF(Atletas!#REF!="Ditangquan F",216,IF(Atletas!#REF!="Houquan F",217,IF(Atletas!#REF!="Zuiquan F",218,"")))))))))))))))))))))</f>
        <v>#REF!</v>
      </c>
      <c r="BV41" s="50" t="e">
        <f>IF(Atletas!#REF!="","",IF(Atletas!#REF!&lt;&gt;"",10000,0)+IF(Atletas!#REF!="Feminino",1000,IF(Atletas!#REF!="Masculino",2000,""))+IF(Atletas!#REF!="Yang A",301,IF(Atletas!#REF!="Chen A",302,IF(Atletas!#REF!="Sun A",303,IF(Atletas!#REF!="Wu A",304,IF(Atletas!#REF!="Wu-Hao A",305,IF(Atletas!#REF!="Outro Taijiquan A",306,IF(Atletas!#REF!="Yang B",307,IF(Atletas!#REF!="Chen B",308,IF(Atletas!#REF!="Sun B",309,IF(Atletas!#REF!="Wu B",310,IF(Atletas!#REF!="Wu-Hao B",311,IF(Atletas!#REF!="Outro Taijiquan B",312,IF(Atletas!#REF!="Yang C",313,IF(Atletas!#REF!="Chen C",314,IF(Atletas!#REF!="Sun C",315,IF(Atletas!#REF!="Wu C",316,IF(Atletas!#REF!="Wu-Hao C",317,IF(Atletas!#REF!="Outro Taijiquan C",318,IF(Atletas!#REF!="Yang D",319,IF(Atletas!#REF!="Chen D",320,IF(Atletas!#REF!="Sun D",321,IF(Atletas!#REF!="Wu D",322,IF(Atletas!#REF!="Wu-Hao D",323,IF(Atletas!#REF!="Outro Taijiquan D",324,IF(Atletas!#REF!="Yang E",325,IF(Atletas!#REF!="Chen E",326,IF(Atletas!#REF!="Sun E",327,IF(Atletas!#REF!="Wu E",328,IF(Atletas!#REF!="Wu-Hao E",329,IF(Atletas!#REF!="Outro Taijiquan E",330,IF(Atletas!#REF!="Yang F",331,IF(Atletas!#REF!="Chen F",332,IF(Atletas!#REF!="Sun F",333,IF(Atletas!#REF!="Wu F",334,IF(Atletas!#REF!="Wu-Hao F",335,IF(Atletas!#REF!="Outro Taijiquan F",336,"")))))))))))))))))))))))))))))))))))))</f>
        <v>#REF!</v>
      </c>
      <c r="BW41" s="50" t="e">
        <f>IF(Atletas!#REF!="","",IF(Atletas!#REF!&lt;&gt;"",10000,0)+IF(Atletas!#REF!="Feminino",1000,IF(Atletas!#REF!="Masculino",2000,""))+IF(OR(Atletas!#REF!="Yang 26 A",Atletas!#REF!="Yang 40 A"),401,IF(OR(Atletas!#REF!="Chen 25 A",Atletas!#REF!="Chen 36 A",Atletas!#REF!="Chen 56 A"),402,IF(Atletas!#REF!="Sun 73 A",403,IF(Atletas!#REF!="Wu 45 A",404,IF(Atletas!#REF!="Wu-Hao 46 A",405,IF(OR(Atletas!#REF!="Taijiquan 16 A",Atletas!#REF!="Taijiquan 24 A",Atletas!#REF!="Taijiquan 32 A",Atletas!#REF!="Taijiquan 42 A"),406,IF(OR(Atletas!#REF!="Yang 26 B",Atletas!#REF!="Yang 40 B"),407,IF(OR(Atletas!#REF!="Chen 25 B",Atletas!#REF!="Chen 36 B",Atletas!#REF!="Chen 56 B"),408,IF(Atletas!#REF!="Sun 73 B",409,IF(Atletas!#REF!="Wu 45 B",410,IF(Atletas!#REF!="Wu-Hao 46 B",411,IF(OR(Atletas!#REF!="Taijiquan 16 B",Atletas!#REF!="Taijiquan 24 B",Atletas!#REF!="Taijiquan 32 B",Atletas!#REF!="Taijiquan 42 B"),412,IF(OR(Atletas!#REF!="Yang 26 C",Atletas!#REF!="Yang 40 C"),413,IF(OR(Atletas!#REF!="Chen 25 C",Atletas!#REF!="Chen 36 C",Atletas!#REF!="Chen 56 C"),414,IF(Atletas!#REF!="Sun 73 C",415,IF(Atletas!#REF!="Wu 45 C",416,IF(Atletas!#REF!="Wu-Hao 46 C",417,IF(OR(Atletas!#REF!="Taijiquan 16 C",Atletas!#REF!="Taijiquan 24 C",Atletas!#REF!="Taijiquan 32 C",Atletas!#REF!="Taijiquan 42 C"),418,0)))))))))))))))))))</f>
        <v>#REF!</v>
      </c>
      <c r="BX41" s="50" t="e">
        <f>IF(Atletas!#REF!="","",IF(Atletas!#REF!&lt;&gt;"",10000,0)+IF(Atletas!#REF!="Feminino",1000,IF(Atletas!#REF!="Masculino",2000,""))+IF(OR(Atletas!#REF!="Yang 26 D",Atletas!#REF!="Yang 40 D"),419,IF(OR(Atletas!#REF!="Chen 25 D",Atletas!#REF!="Chen 36 D",Atletas!#REF!="Chen 56 D"),420,IF(Atletas!#REF!="Sun 73 D",421,IF(Atletas!#REF!="Wu 45 D",422,IF(Atletas!#REF!="Wu-Hao 46 D",423,IF(OR(Atletas!#REF!="Taijiquan 16 D",Atletas!#REF!="Taijiquan 24 D",Atletas!#REF!="Taijiquan 32 D",Atletas!#REF!="Taijiquan 42 D"),424,IF(OR(Atletas!#REF!="Yang 26 E",Atletas!#REF!="Yang 40 E"),425,IF(OR(Atletas!#REF!="Chen 25 E",Atletas!#REF!="Chen 36 E",Atletas!#REF!="Chen 56 E"),426,IF(Atletas!#REF!="Sun 73 E",427,IF(Atletas!#REF!="Wu 45 E",428,IF(Atletas!#REF!="Wu-Hao 46 E",429,IF(OR(Atletas!#REF!="Taijiquan 16 E",Atletas!#REF!="Taijiquan 24 E",Atletas!#REF!="Taijiquan 32 E",Atletas!#REF!="Taijiquan 42 E"),430,IF(OR(Atletas!#REF!="Yang 26 F",Atletas!#REF!="Yang 40 F"),431,IF(OR(Atletas!#REF!="Chen 25 F",Atletas!#REF!="Chen 36 F",Atletas!#REF!="Chen 56 F"),432,IF(Atletas!#REF!="Sun 73 F",433,IF(Atletas!#REF!="Wu 45 F",434,IF(Atletas!#REF!="Wu-Hao 46 F",435,IF(OR(Atletas!#REF!="Taijiquan 16 F",Atletas!#REF!="Taijiquan 24 F",Atletas!#REF!="Taijiquan 32 F",Atletas!#REF!="Taijiquan 42 F"),436,0)))))))))))))))))))</f>
        <v>#REF!</v>
      </c>
      <c r="BY41" s="50" t="e">
        <f>IF(Atletas!#REF!="","",IF(Atletas!#REF!&lt;&gt;"",10000,0)+IF(Atletas!#REF!="Feminino",1000,IF(Atletas!#REF!="Masculino",2000,""))+IF(Atletas!#REF!="Xingyiquan A",501,IF(Atletas!#REF!="Baguazhang A",502,IF(Atletas!#REF!="Outro Estilo Interno A",503,IF(Atletas!#REF!="Xingyiquan B",504,IF(Atletas!#REF!="Baguazhang B",505,IF(Atletas!#REF!="Outro Estilo Interno B",506,IF(Atletas!#REF!="Xingyiquan C",507,IF(Atletas!#REF!="Baguazhang C",508,IF(Atletas!#REF!="Outro Estilo Interno C",509,IF(Atletas!#REF!="Xingyiquan D",510,IF(Atletas!#REF!="Baguazhang D",511,IF(Atletas!#REF!="Outro Estilo Interno D",512,IF(Atletas!#REF!="Xingyiquan E",513,IF(Atletas!#REF!="Baguazhang E",514,IF(Atletas!#REF!="Outro Estilo Interno E",515,IF(Atletas!#REF!="Xingyiquan F",516,IF(Atletas!#REF!="Baguazhang F",517,IF(Atletas!#REF!="Outro Estilo Interno F",518, "")))))))))))))))))))</f>
        <v>#REF!</v>
      </c>
      <c r="BZ41" s="50" t="e">
        <f>IF(Atletas!#REF!="","",IF(Atletas!#REF!&lt;&gt;"",10000,0)+IF(Atletas!#REF!="Feminino",1000,IF(Atletas!#REF!="Masculino",2000,""))+IF(Atletas!#REF!="Dao A",601,IF(Atletas!#REF!="Jian A",602,IF(Atletas!#REF!="Bishou A",603,IF(Atletas!#REF!="Shanzi A",604,IF(Atletas!#REF!="Outra Arma Curta A",605,IF(Atletas!#REF!="Dao B",606,IF(Atletas!#REF!="Jian B",607,IF(Atletas!#REF!="Bishou B",608,IF(Atletas!#REF!="Shanzi B",609,IF(Atletas!#REF!="Outra Arma Curta B",610,IF(Atletas!#REF!="Dao C",611,IF(Atletas!#REF!="Jian C",612,IF(Atletas!#REF!="Bishou C",613,IF(Atletas!#REF!="Shanzi C",614,IF(Atletas!#REF!="Outra Arma Curta C",615,IF(Atletas!#REF!="Dao D",616,IF(Atletas!#REF!="Jian D",617,IF(Atletas!#REF!="Bishou D",618,IF(Atletas!#REF!="Shanzi D",619,IF(Atletas!#REF!="Outra Arma Curta D",620,IF(Atletas!#REF!="Dao E",621,IF(Atletas!#REF!="Jian E",622,IF(Atletas!#REF!="Bishou E",623,IF(Atletas!#REF!="Shanzi E",624,IF(Atletas!#REF!="Outra Arma Curta E",625,IF(Atletas!#REF!="Dao F",626,IF(Atletas!#REF!="Jian F",627,IF(Atletas!#REF!="Bishou F",628,IF(Atletas!#REF!="Shanzi F",629,IF(Atletas!#REF!="Outra Arma Curta F",630, "")))))))))))))))))))))))))))))))</f>
        <v>#REF!</v>
      </c>
      <c r="CA41" s="50" t="e">
        <f>IF(Atletas!#REF!="","",IF(Atletas!#REF!&lt;&gt;"",10000,0)+IF(Atletas!#REF!="Feminino",1000,IF(Atletas!#REF!="Masculino",2000,""))+IF(Atletas!#REF!="Gun A",701,IF(Atletas!#REF!="Qiang A",702,IF(Atletas!#REF!="Pudao / Guandao A",703,IF(Atletas!#REF!="Outra Arma Longa A",704,IF(Atletas!#REF!="Gun B",705,IF(Atletas!#REF!="Qiang B",706,IF(Atletas!#REF!="Pudao / Guandao B",707,IF(Atletas!#REF!="Outra Arma Longa B",708,IF(Atletas!#REF!="Gun C",709,IF(Atletas!#REF!="Qiang C",710,IF(Atletas!#REF!="Pudao / Guandao C",711,IF(Atletas!#REF!="Outra Arma Longa C",712,IF(Atletas!#REF!="Gun D",713,IF(Atletas!#REF!="Qiang D",714,IF(Atletas!#REF!="Pudao / Guandao D",715,IF(Atletas!#REF!="Outra Arma Longa D",716,IF(Atletas!#REF!="Gun E",717,IF(Atletas!#REF!="Qiang E",718,IF(Atletas!#REF!="Pudao / Guandao E",719,IF(Atletas!#REF!="Outra Arma Longa E",720,IF(Atletas!#REF!="Gun F",721,IF(Atletas!#REF!="Qiang F",722,IF(Atletas!#REF!="Pudao / Guandao F",723,IF(Atletas!#REF!="Outra Arma Longa F",724,"")))))))))))))))))))))))))</f>
        <v>#REF!</v>
      </c>
      <c r="CB41" s="50" t="e">
        <f>IF(Atletas!#REF!="","",IF(Atletas!#REF!&lt;&gt;"",10000,0)+IF(Atletas!#REF!="Feminino",1000,IF(Atletas!#REF!="Masculino",2000,""))+IF(Atletas!#REF!="Outra Arma Dupla A",801,IF(Atletas!#REF!="Arma Maleável A",802,IF(Atletas!#REF!="Outra Arma Dupla B",803,IF(Atletas!#REF!="Arma Maleável B",804,IF(Atletas!#REF!="Outra Arma Dupla C",805,IF(Atletas!#REF!="Arma Maleável C",806,IF(Atletas!#REF!="Outra Arma Dupla D",807,IF(Atletas!#REF!="Arma Maleável D",808,IF(Atletas!#REF!="Outra Arma Dupla E",809,IF(Atletas!#REF!="Arma Maleável E",810,IF(Atletas!#REF!="Outra Arma Dupla F",811,IF(Atletas!#REF!="Arma Maleável F",812,IF(Atletas!#REF!="Shuangdao A",813,IF(Atletas!#REF!="Shuangdao B",814,IF(Atletas!#REF!="Shuangdao C",815,IF(Atletas!#REF!="Shuangdao D",816,IF(Atletas!#REF!="Shuangdao E",817,IF(Atletas!#REF!="Shuangdao F",818,"")))))))))))))))))))</f>
        <v>#REF!</v>
      </c>
      <c r="CC41" s="50" t="e">
        <f>IF(Atletas!#REF!="","",IF(Atletas!#REF!&lt;&gt;"",10000,0)+IF(Atletas!#REF!="Feminino",1000,IF(Atletas!#REF!="Masculino",2000,""))+IF(OR(Atletas!#REF!="Taijijian Yang A",Atletas!#REF!="Taijijian Yang Standard A"),901,IF(OR(Atletas!#REF!="Taijijian Chen A", Atletas!#REF!="Taijijian Chen Standard A"),902,IF(Atletas!#REF!="Taijijian Sun A",903,IF(Atletas!#REF!="Taijijian Wu A",904,IF(Atletas!#REF!="Taijijian Wu-Hao A",905,IF(OR(Atletas!#REF!="Taijijian 32 A",Atletas!#REF!="Taijijian 42 A"),906,IF(OR(Atletas!#REF!="Taijijian Yang B",Atletas!#REF!="Taijijian Yang Standard B"),907,IF(OR(Atletas!#REF!="Taijijian Chen B", Atletas!#REF!="Taijijian Chen Standard B"),908,IF(Atletas!#REF!="Taijijian Sun B",909,IF(Atletas!#REF!="Taijijian Wu B",910,IF(Atletas!#REF!="Taijijian Wu-Hao B",911,IF(OR(Atletas!#REF!="Taijijian 32 B",Atletas!#REF!="Taijijian 42 B"),912,IF(OR(Atletas!#REF!="Taijijian Yang C",Atletas!#REF!="Taijijian Yang Standard C"),913,IF(OR(Atletas!#REF!="Taijijian Chen C", Atletas!#REF!="Taijijian Chen Standard C"),914,IF(Atletas!#REF!="Taijijian Sun C",915,IF(Atletas!#REF!="Taijijian Wu C",916,IF(Atletas!#REF!="Taijijian Wu-Hao C",917,IF(OR(Atletas!#REF!="Taijijian 32 C",Atletas!#REF!="Taijijian 42 C"),918,IF(OR(Atletas!#REF!="Taijijian Yang D",Atletas!#REF!="Taijijian Yang Standard D"),919,IF(OR(Atletas!#REF!="Taijijian Chen D", Atletas!#REF!="Taijijian Chen Standard D"),920,IF(Atletas!#REF!="Taijijian Sun D",921,IF(Atletas!#REF!="Taijijian Wu D",922,IF(Atletas!#REF!="Taijijian Wu-Hao D",923,IF(OR(Atletas!#REF!="Taijijian 32 D",Atletas!#REF!="Taijijian 42 D"),924,IF(OR(Atletas!#REF!="Taijijian Yang E",Atletas!#REF!="Taijijian Yang Standard E"),925,IF(OR(Atletas!#REF!="Taijijian Chen E", Atletas!#REF!="Taijijian Chen Standard E"),926,IF(Atletas!#REF!="Taijijian Sun E",927,IF(Atletas!#REF!="Taijijian Wu E",928,IF(Atletas!#REF!="Taijijian Wu-Hao E",929,IF(OR(Atletas!#REF!="Taijijian 32 E",Atletas!#REF!="Taijijian 42 E"),930,IF(OR(Atletas!#REF!="Taijijian Yang F",Atletas!#REF!="Taijijian Yang Standard F"),931,IF(OR(Atletas!#REF!="Taijijian Chen F", Atletas!#REF!="Taijijian Chen Standard F"),932,IF(Atletas!#REF!="Taijijian Sun F",933,IF(Atletas!#REF!="Taijijian Wu F",934,IF(Atletas!#REF!="Taijijian Wu-Hao F",935,IF(OR(Atletas!#REF!="Taijijian 32 F",Atletas!#REF!="Taijijian 42 F"),936,"")))))))))))))))))))))))))))))))))))))</f>
        <v>#REF!</v>
      </c>
      <c r="CD41" s="50" t="e">
        <f>IF(Atletas!#REF!="","",IF(Atletas!#REF!&lt;&gt;"",10000,0)+IF(Atletas!#REF!="Feminino",1000,IF(Atletas!#REF!="Masculino",2000,""))+IF(Atletas!#REF!="Taijidao A",937,IF(Atletas!#REF!="TaijiShanzi A",938,IF(Atletas!#REF!="Taijiqiang A",939,IF(Atletas!#REF!="Bagua de Arma A",940,IF(Atletas!#REF!="Xingyi de Arma A",941,IF(Atletas!#REF!="Taijidao B",942,IF(Atletas!#REF!="TaijiShanzi B",943,IF(Atletas!#REF!="Taijiqiang B",944,IF(Atletas!#REF!="Bagua de Arma B",945,IF(Atletas!#REF!="Xingyi de Arma B",946,IF(Atletas!#REF!="Taijidao C",947,IF(Atletas!#REF!="TaijiShanzi C",948,IF(Atletas!#REF!="Taijiqiang C",949,IF(Atletas!#REF!="Bagua de Arma C",950,IF(Atletas!#REF!="Xingyi de Arma C",951,IF(Atletas!#REF!="Taijidao D",952,IF(Atletas!#REF!="TaijiShanzi D",953,IF(Atletas!#REF!="Taijiqiang D",954,IF(Atletas!#REF!="Bagua de Arma D",955,IF(Atletas!#REF!="Xingyi de Arma D",956,IF(Atletas!#REF!="Taijidao E",957,IF(Atletas!#REF!="TaijiShanzi E",958,IF(Atletas!#REF!="Taijiqiang E",959,IF(Atletas!#REF!="Bagua de Arma E",960,IF(Atletas!#REF!="Xingyi de Arma E",961,IF(Atletas!#REF!="Taijidao F",962,IF(Atletas!#REF!="TaijiShanzi F",963,IF(Atletas!#REF!="Taijiqiang F",964,IF(Atletas!#REF!="Bagua de Arma F",965,IF(Atletas!#REF!="Xingyi de Arma F",966,"")))))))))))))))))))))))))))))))</f>
        <v>#REF!</v>
      </c>
      <c r="CE41" s="66" t="str">
        <f>IF(CF41&lt;&gt;"","Wingchun F","")</f>
        <v/>
      </c>
      <c r="CF41" s="66" t="str">
        <f>IF(COUNTIF(BR:CD,1029)&gt;0,COUNTIF(BR:CD,1029),"")</f>
        <v/>
      </c>
      <c r="CG41" s="66" t="str">
        <f>IF(CH41&lt;&gt;"","Wingchun F","")</f>
        <v/>
      </c>
      <c r="CH41" s="66" t="str">
        <f>IF(COUNTIF(BR:CD,2029)&gt;0,COUNTIF(BR:CD,2029),"")</f>
        <v/>
      </c>
      <c r="CI41" s="66" t="str">
        <f>IF(CJ41&lt;&gt;"","Hongquan A","")</f>
        <v/>
      </c>
      <c r="CJ41" s="66" t="str">
        <f>IF(COUNTIF(BR:CD,11105)&gt;0,COUNTIF(BR:CD,11105),"")</f>
        <v/>
      </c>
      <c r="CK41" s="66" t="str">
        <f>IF(CL41&lt;&gt;"","Hongquan A","")</f>
        <v/>
      </c>
      <c r="CL41" s="66" t="str">
        <f>IF(COUNTIF(BR:CD,12105)&gt;0,COUNTIF(BR:CD,12105),"")</f>
        <v/>
      </c>
      <c r="CM41" s="50" t="e">
        <f xml:space="preserve"> IF(Atletas!#REF!="","",IF(Atletas!#REF!="Duilian de Mãos BC - Equipe 1",1,IF(Atletas!#REF!="Duilian de Mãos BC - Equipe 2",2,IF(Atletas!#REF!="Duilian de Armas BC - Equipe 1",3,IF(Atletas!#REF!="Duilian de Armas BC - Equipe 2",4,IF(Atletas!#REF!="Duilian de Mãos DE - Equipe 1",5,IF(Atletas!#REF!="Duilian de Mãos DE - Equipe 2",6,IF(Atletas!#REF!="Duilian de Armas DE - Equipe 1",7,IF(Atletas!#REF!="Duilian de Armas DE - Equipe 2",8,IF(Atletas!#REF!="Duilian de Tuishou - Equipe 1",9,IF(Atletas!#REF!="Duilian de Tuishou - Equipe 2",10,IF(Atletas!#REF!="Grupo Externo ABC - Equipe 1",11,IF(Atletas!#REF!="Grupo Externo ABC - Equipe 2",12,IF(Atletas!#REF!="Grupo Interno ABC - Equipe 1",13,IF(Atletas!#REF!="Grupo Interno ABC - Equipe 2",14,IF(Atletas!#REF!="Grupo Externo DEF - Equipe 1",15,IF(Atletas!#REF!="Grupo Externo DEF - Equipe 2",16,IF(Atletas!#REF!="Grupo Interno DEF - Equipe 1",17,IF(Atletas!#REF!="Grupo Interno DEF - Equipe 2",18,"")))))))))))))))))))</f>
        <v>#REF!</v>
      </c>
      <c r="CY41" s="41"/>
    </row>
    <row r="42" spans="2:103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 t="str">
        <f t="array" ref="R42">IFERROR(INDEX(BI$7:BI$68,SMALL(IF(BI$7:BI$68&lt;&gt;"",ROW(BI$7:BI$68)-ROW(BI$7)+1),ROWS(BI$7:BI41))),"")</f>
        <v/>
      </c>
      <c r="S42" s="3" t="str">
        <f t="array" ref="S42">IFERROR(INDEX(BJ$7:BJ$68,SMALL(IF(BJ$7:BJ$68&lt;&gt;"",ROW(BJ$7:BJ$68)-ROW(BJ$7)+1),ROWS(BJ$7:BJ41))),"")</f>
        <v/>
      </c>
      <c r="T42" s="3" t="str">
        <f t="array" ref="T42">IFERROR(INDEX(BK$7:BK$68,SMALL(IF(BK$7:BK$68&lt;&gt;"",ROW(BK$7:BK$68)-ROW(BK$7)+1),ROWS(BK$7:BK41))),"")</f>
        <v/>
      </c>
      <c r="U42" s="3" t="str">
        <f t="array" ref="U42">IFERROR(INDEX(BL$7:BL$68,SMALL(IF(BL$7:BL$68&lt;&gt;"",ROW(BL$7:BL$68)-ROW(BL$7)+1),ROWS(BL$7:BL41))),"")</f>
        <v/>
      </c>
      <c r="V42" s="3"/>
      <c r="W42" s="3"/>
      <c r="X42" s="20"/>
      <c r="Y42" s="3"/>
      <c r="Z42" s="3" t="str">
        <f t="array" ref="Z42">IFERROR(INDEX(CE$7:CE$348,SMALL(IF(CE$7:CE$348&lt;&gt;"",ROW(CE$7:CE$348)-ROW(CE$7)+1),ROWS(CE$7:CE41))),"")</f>
        <v/>
      </c>
      <c r="AA42" s="3" t="str">
        <f t="array" ref="AA42">IFERROR(INDEX(CF$7:CF$348,SMALL(IF(CF$7:CF$348&lt;&gt;"",ROW(CF$7:CF$348)-ROW(CF$7)+1),ROWS(CF$7:CF41))),"")</f>
        <v/>
      </c>
      <c r="AB42" s="3" t="str">
        <f t="array" ref="AB42">IFERROR(INDEX(CG$7:CG$348,SMALL(IF(CG$7:CG$348&lt;&gt;"",ROW(CG$7:CG$348)-ROW(CG$7)+1),ROWS(CG$7:CG41))),"")</f>
        <v/>
      </c>
      <c r="AC42" s="3" t="str">
        <f t="array" ref="AC42">IFERROR(INDEX(CH$7:CH$348,SMALL(IF(CH$7:CH$348&lt;&gt;"",ROW(CH$7:CH$348)-ROW(CH$7)+1),ROWS(CH$7:CH41))),"")</f>
        <v/>
      </c>
      <c r="AD42" s="3" t="str">
        <f t="array" ref="AD42">IFERROR(INDEX(CI$7:CI$377,SMALL(IF(CI$7:CI$377&lt;&gt;"",ROW(CI$7:CI$377)-ROW(CI$7)+1),ROWS(CI$7:CI41))),"")</f>
        <v/>
      </c>
      <c r="AE42" s="3" t="str">
        <f t="array" ref="AE42">IFERROR(INDEX(CJ$7:CJ$378,SMALL(IF(CJ$7:CJ$378&lt;&gt;"",ROW(CJ$7:CJ$378)-ROW(CJ$7)+1),ROWS(CJ$7:CJ41))),"")</f>
        <v/>
      </c>
      <c r="AF42" s="3" t="str">
        <f t="array" ref="AF42">IFERROR(INDEX(CK$7:CK$378,SMALL(IF(CK$7:CK$378&lt;&gt;"",ROW(CK$7:CK$378)-ROW(CK$7)+1),ROWS(CK$7:CK41))),"")</f>
        <v/>
      </c>
      <c r="AG42" s="3" t="str">
        <f t="array" ref="AG42">IFERROR(INDEX(CL$7:CL$378,SMALL(IF(CL$7:CL$378&lt;&gt;"",ROW(CL$7:CL$378)-ROW(CL$7)+1),ROWS(CL$7:CL41))),"")</f>
        <v/>
      </c>
      <c r="AH42" s="20"/>
      <c r="AI42" s="20"/>
      <c r="AJ42" s="20"/>
      <c r="AK42" s="20"/>
      <c r="AL42" s="20"/>
      <c r="AM42" s="3"/>
      <c r="AN42" s="52" t="str">
        <f>IF(Atletas!D31="","",IF(Atletas!B31="Feminino",100,IF(Atletas!B31="Masculino",200,""))+(IF(Atletas!D31="Kids 30kg",1,IF(Atletas!D31="Kids 32kg",2, IF(Atletas!D31="Kids 34kg",3,IF(Atletas!D31="Kids 36kg",4,IF(Atletas!D31="Kids 39kg",5,IF(Atletas!D31="Kids 42kg",6,IF(Atletas!D31="Kids 45kg",7, IF(Atletas!D31="Infantil 39kg",8,IF(Atletas!D31="Infantil 42kg",9,IF(Atletas!D31="Infantil 45kg",10,IF(Atletas!D31="Infantil 48kg",11,IF(Atletas!D31="Infantil 52kg",12,IF(Atletas!D31="Infantil 56kg",13,IF(Atletas!D31="Infantil 60kg",14,IF(Atletas!D31="Juvenil 48kg",15,IF(Atletas!D31="Juvenil 52kg",16,IF(Atletas!D31="Juvenil 56kg",17,IF(Atletas!D31="Juvenil 60kg",18,IF(Atletas!D31="Juvenil 65kg",19,IF(Atletas!D31="Juvenil 70kg",20,IF(Atletas!D31="Juvenil 75kg",21,IF(Atletas!D31="Juvenil 80kg",22, IF(Atletas!D31="Juvenil 85kg",23,IF(Atletas!D31="Adulto 48kg",24,IF(Atletas!D31="Adulto 52kg",25,IF(Atletas!D31="Adulto 56kg",26,IF(Atletas!D31="Adulto 60kg",27,IF(Atletas!D31="Adulto 65kg",28,IF(Atletas!D31="Adulto 70kg",29,IF(Atletas!D31="Adulto 75kg",30,IF(Atletas!D31="Adulto 80kg",31,IF(Atletas!D31="Adulto 85kg",32,IF(Atletas!D31="Adulto 90kg",33,IF(Atletas!D31="Adulto 100kg",34, IF(Atletas!D31="Adulto +100kg",35,"")))))))))))))))))))))))))))))))))))))</f>
        <v/>
      </c>
      <c r="AS42" s="6" t="str">
        <f>IF(Atletas!E31="","",IF(Atletas!B31="Feminino",100,IF(Atletas!B31="Masculino",200,""))+(IF(Atletas!E31="Juvenil 44kg",1,IF(Atletas!E31="Juvenil 48kg",2,IF(Atletas!E31="Juvenil 52kg",3,IF(Atletas!E31="Juvenil 56kg",4,IF(Atletas!E31="Juvenil 60kg",5,IF(Atletas!E31="Juvenil 65kg",6,IF(Atletas!E31="Juvenil 70kg",7,IF(Atletas!E31="Juvenil 75kg",8,IF(Atletas!E31="Juvenil 82kg",9,IF(Atletas!E31="Juvenil 90kg",10,IF(Atletas!E31="Juvenil 100kg",11,IF(Atletas!E31="Adulto 48kg",12,IF(Atletas!E31="Adulto 52kg",13,IF(Atletas!E31="Adulto 56kg",14,IF(Atletas!E31="Adulto 60kg",15,IF(Atletas!E31="Adulto 65kg",16,IF(Atletas!E31="Adulto 70kg",17,IF(Atletas!E31="Adulto 75kg",18,IF(Atletas!E31="Adulto 82kg",19,IF(Atletas!E31="Adulto 90kg",20,IF(Atletas!E31="Adulto 100kg",21,IF(Atletas!E31="Adulto +100kg",22,""))))))))))))))))))))))))</f>
        <v/>
      </c>
      <c r="AX42" s="6" t="str">
        <f>IF(Atletas!F31="","",IF(Atletas!B31="Feminino",100,IF(Atletas!B31="Masculino",200,""))+(IF(Atletas!F31="Adulto 48kg",1,IF(Atletas!F31="Adulto 56kg",2,IF(Atletas!F31="Adulto 65kg",3,IF(Atletas!F31="Adulto 75kg",4,IF(Atletas!F31="Adulto +75kg",5,IF(Atletas!F31="Adulto 52kg",6,IF(Atletas!F31="Adulto 60kg",7,IF(Atletas!F31="Adulto 70kg",8,IF(Atletas!F31="Adulto 80kg",9,IF(Atletas!F31="Adulto 90kg",10,IF(Atletas!F31="Adulto +90kg",11,"")))))))))))))</f>
        <v/>
      </c>
      <c r="BC42" s="6" t="str">
        <f>IF(Atletas!G31="","",IF(Atletas!B31="Feminino",10,IF(Atletas!B31="Masculino",20,""))+(IF(Atletas!G31="Baduanjin A",1,IF(Atletas!G31="Baduanjin B",2))))</f>
        <v/>
      </c>
      <c r="BF42" s="52" t="str">
        <f>IF(Atletas!H31="","",IF(Atletas!B31="Feminino",100,IF(Atletas!B31="Masculino",200,""))+(IF(Atletas!H31="Changquan Mirim",1,IF(Atletas!H31="Nanquan Mirim",2,IF(Atletas!H31="Taijiquan Mirim",3,IF(Atletas!H31="Changquan Grupo C",4,IF(Atletas!H31="Nanquan Grupo C",5,IF(Atletas!H31="Taijiquan Grupo C",6,IF(Atletas!H31="Changquan Grupo B",7,IF(Atletas!H31="Nanquan Grupo B",8,IF(Atletas!H31="Taijiquan Grupo B",9,IF(Atletas!H31="Changquan Grupo A",10,IF(Atletas!H31="Nanquan Grupo A",11,IF(Atletas!H31="Taijiquan Grupo A",12,IF(Atletas!H31="Changquan Opcional",13,IF(Atletas!H31="Nanquan Opcional",14,IF(Atletas!H31="Taijiquan Opcional",15,IF(Atletas!H31="Changquan Adulto",16,IF(Atletas!H31="Nanquan Adulto",17,IF(Atletas!H31="Taijiquan Adulto",18,""))))))))))))))))))))</f>
        <v/>
      </c>
      <c r="BG42" s="52" t="str">
        <f>IF(Atletas!I31="","",IF(Atletas!B31="Feminino",100,IF(Atletas!B31="Masculino",200,""))+(IF(Atletas!I31="Daoshu Mirim",19,IF(Atletas!I31="Jianshu Mirim",20,IF(Atletas!I31="Nandao Mirim",21,IF(Atletas!I31="Taijijian Mirim",22,IF(Atletas!I31="Daoshu Grupo C",23,IF(Atletas!I31="Jianshu Grupo C",24,IF(Atletas!I31="Nandao Grupo C",25,IF(Atletas!I31="Taijijian Grupo C",26,IF(Atletas!I31="Daoshu Grupo B",27,IF(Atletas!I31="Jianshu Grupo B",28,IF(Atletas!I31="Nandao Grupo B",29,IF(Atletas!I31="Taijijian Grupo B",30,IF(Atletas!I31="Daoshu Grupo A",31,IF(Atletas!I31="Jianshu Grupo A",32,IF(Atletas!I31="Nandao Grupo A",33,IF(Atletas!I31="Taijijian Grupo A",34,IF(Atletas!I31="Daoshu Opcional",35,IF(Atletas!I31="Jianshu Opcional",36,IF(Atletas!I31="Nandao Opcional",37,IF(Atletas!I31="Taijijian Opcional",38,IF(Atletas!I31="Daoshu Adulto",39,IF(Atletas!I31="Jianshu Adulto",40,IF(Atletas!I31="Nandao Adulto",41,IF(Atletas!I31="Taijijian Adulto",42,""))))))))))))))))))))))))))</f>
        <v/>
      </c>
      <c r="BH42" s="52" t="str">
        <f>IF(Atletas!J31="","",IF(Atletas!B31="Feminino",100,IF(Atletas!B31="Masculino",200,""))+(IF(Atletas!J31="Gunshu Mirim",43,IF(Atletas!J31="Qiangshu Mirim",44,IF(Atletas!J31="Nangun Mirim",45,IF(Atletas!J31="Gunshu Grupo C",46,IF(Atletas!J31="Qiangshu Grupo C",47,IF(Atletas!J31="Nangun Grupo C",48,IF(Atletas!J31="Gunshu Grupo B",49,IF(Atletas!J31="Qiangshu Grupo B",50,IF(Atletas!J31="Nangun Grupo B",51,IF(Atletas!J31="Gunshu Grupo A",52,IF(Atletas!J31="Qiangshu Grupo A",53,IF(Atletas!J31="Nangun Grupo A",54,IF(Atletas!J31="Gunshu Opcional",55,IF(Atletas!J31="Qiangshu Opcional",56,IF(Atletas!J31="Nangun Opcional",57,IF(Atletas!J31="Gunshu Adulto",58,IF(Atletas!J31="Qiangshu Adulto",59,IF(Atletas!J31="Nangun Adulto",60,IF(Atletas!J31="Taijishan Grupo B",61,IF(Atletas!J31="Taijishan Grupo A",62,""))))))))))))))))))))))</f>
        <v/>
      </c>
      <c r="BI42" s="6" t="str">
        <f>IF(BJ42&lt;&gt;"","Jianshu Grupo A","")</f>
        <v/>
      </c>
      <c r="BJ42" s="50" t="str">
        <f>IF(COUNTIF(BF:BH,132)&gt;0,COUNTIF(BF:BH,132),"")</f>
        <v/>
      </c>
      <c r="BK42" s="6" t="str">
        <f>IF(BL42&lt;&gt;"","Jianshu Grupo A","")</f>
        <v/>
      </c>
      <c r="BL42" s="50" t="str">
        <f>IF(COUNTIF(BF:BH,232)&gt;0,COUNTIF(BF:BH,232),"")</f>
        <v/>
      </c>
      <c r="BM42" s="50" t="str">
        <f>IF(Atletas!K31="","",IF(Atletas!B31="Feminino",100,IF(Atletas!B31="Masculino",200,""))+(IF(Atletas!K31="Equipe 1 Grupo B",1,IF(Atletas!K31="Equipe 2 Grupo B",2,IF(Atletas!K31="Equipe 1 Grupo A",3,IF(Atletas!K31="Equipe 2 Grupo A",4,IF(Atletas!K31="Equipe 1 Adulto",5,IF(Atletas!K31="Equipe 2 Adulto",6,""))))))))</f>
        <v/>
      </c>
      <c r="BR42" s="50" t="str">
        <f>IF(Atletas!L31="","",IF(Atletas!X31&lt;&gt;"",10000,0)+(IF(Atletas!B31="Feminino",1000,IF(Atletas!B31="Masculino",2000,""))+IF(Atletas!L31="Choylayfut A",1,IF(Atletas!L31="Hunggar A",2,IF(Atletas!L31="Wuzuquan A",3,IF(Atletas!L31="Wingchun A",4,IF(Atletas!L31="Outra Mão de Sul A",5,IF(Atletas!L31="Choylayfut B",6,IF(Atletas!L31="Hunggar B",7,IF(Atletas!L31="Wuzuquan B",8,IF(Atletas!L31="Wingchun B",9,IF(Atletas!L31="Outra Mão de Sul B",10,IF(Atletas!L31="Choylayfut C",11,IF(Atletas!L31="Hunggar C",12,IF(Atletas!L31="Wuzuquan C",13,IF(Atletas!L31="Wingchun C",14,IF(Atletas!L31="Outra Mão de Sul C",15,IF(Atletas!L31="Choylayfut D",16,IF(Atletas!L31="Hunggar D",17,IF(Atletas!L31="Wuzuquan D",18,IF(Atletas!L31="Wingchun D",19,IF(Atletas!L31="Outra Mão de Sul D",20,IF(Atletas!L31="Choylayfut E",21,IF(Atletas!L31="Hunggar E",22,IF(Atletas!L31="Wuzuquan E",23,IF(Atletas!L31="Wingchun E",24,IF(Atletas!L31="Outra Mão de Sul E",25,IF(Atletas!L31="Choylayfut F",26,IF(Atletas!L31="Hunggar F",27,IF(Atletas!L31="Wuzuquan F",28,IF(Atletas!L31="Wingchun F",29,IF(Atletas!L31="Outra Mão de Sul F",30,IF(Atletas!L31="Dishuquan A",31,IF(Atletas!L31="Dishuquan B",32,IF(Atletas!L31="Dishuquan C",33,IF(Atletas!L31="Dishuquan D",34,IF(Atletas!L31="Dishuquan E",35,IF(Atletas!L31="Dishuquan F",36,""))))))))))))))))))))))))))))))))))))))</f>
        <v/>
      </c>
      <c r="BS42" s="50" t="str">
        <f>IF(Atletas!M31="","",IF(Atletas!X31&lt;&gt;"",10000,0)+(IF(Atletas!B31="Feminino",1000,IF(Atletas!B31="Masculino",2000,""))+(IF(Atletas!M31="Chaquan A",101,IF(Atletas!M31="Emeiquan A",102,IF(Atletas!M31="Fanziquan A",103,IF(Atletas!M31="Huaquan A",104,IF(Atletas!M31="Hongquan A",105,IF(Atletas!M31="Paoquan A",106,IF(Atletas!M31="Piguaquan A",107,IF(Atletas!M31="Shaolinquan A",108,IF(Atletas!M31="Tanglangquan A",109,IF(Atletas!M31="Yingzhaoquan A",110,IF(Atletas!M31="Tongbeiquan A",111,IF(Atletas!M31="Wudangquan A",112,IF(Atletas!M31="Outros Estilos A",113,IF(Atletas!M31="Chaquan B",114,IF(Atletas!M31="Emeiquan B",115,IF(Atletas!M31="Fanziquan B",116,IF(Atletas!M31="Huaquan B",117,IF(Atletas!M31="Hongquan B",118,IF(Atletas!M31="Paoquan B",119,IF(Atletas!M31="Piguaquan B",120,IF(Atletas!M31="Shaolinquan B",121,IF(Atletas!M31="Tanglangquan B",122,IF(Atletas!M31="Yingzhaoquan B",123,IF(Atletas!M31="Tongbeiquan B",124,IF(Atletas!M31="Wudangquan B",125,IF(Atletas!M31="Outros Estilos B",126,IF(Atletas!M31="Chaquan C",127,IF(Atletas!M31="Emeiquan C",128,IF(Atletas!M31="Fanziquan C",129,IF(Atletas!M31="Huaquan C",130,IF(Atletas!M31="Hongquan C",131,IF(Atletas!M31="Paoquan C",132,IF(Atletas!M31="Piguaquan C",133,IF(Atletas!M31="Shaolinquan C",134,IF(Atletas!M31="Tanglangquan C",135,IF(Atletas!M31="Yingzhaoquan C",136,IF(Atletas!M31="Tongbeiquan C",137,IF(Atletas!M31="Wudangquan C",138,IF(Atletas!M31="Outros Estilos C",139,0))))))))))))))))))))))))))))))))))))))))))</f>
        <v/>
      </c>
      <c r="BT42" s="50" t="str">
        <f>IF(Atletas!M31="","",IF(Atletas!X31&lt;&gt;"",10000,0)+(IF(Atletas!B31="Feminino",1000,IF(Atletas!B31="Masculino",2000,""))+(IF(Atletas!M31="Chaquan D",140,IF(Atletas!M31="Emeiquan D",141,IF(Atletas!M31="Fanziquan D",142,IF(Atletas!M31="Huaquan D",143,IF(Atletas!M31="Hongquan D",144,IF(Atletas!M31="Paoquan D",145,IF(Atletas!M31="Piguaquan D",146,IF(Atletas!M31="Shaolinquan D",147,IF(Atletas!M31="Tanglangquan D",148,IF(Atletas!M31="Yingzhaoquan D",149,IF(Atletas!M31="Tongbeiquan D",150,IF(Atletas!M31="Wudangquan D",151,IF(Atletas!M31="Outros Estilos D",152,IF(Atletas!M31="Chaquan E",153,IF(Atletas!M31="Emeiquan E",154,IF(Atletas!M31="Fanziquan E",155,IF(Atletas!M31="Huaquan E",156,IF(Atletas!M31="Hongquan E",157,IF(Atletas!M31="Paoquan E",158,IF(Atletas!M31="Piguaquan E",159,IF(Atletas!M31="Shaolinquan E",160,IF(Atletas!M31="Tanglangquan E",161,IF(Atletas!M31="Yingzhaoquan E",162,IF(Atletas!M31="Tongbeiquan E",163,IF(Atletas!M31="Wudangquan E",164,IF(Atletas!M31="Outros Estilos E",165,IF(Atletas!M31="Chaquan F",166,IF(Atletas!M31="Emeiquan F",167,IF(Atletas!M31="Fanziquan F",168,IF(Atletas!M31="Huaquan F",169,IF(Atletas!M31="Hongquan F",170,IF(Atletas!M31="Paoquan F",171,IF(Atletas!M31="Piguaquan F",172,IF(Atletas!M31="Shaolinquan F",173,IF(Atletas!M31="Tanglangquan F",174,IF(Atletas!M31="Yingzhaoquan F",175,IF(Atletas!M31="Tongbeiquan F",176,IF(Atletas!M31="Wudangquan F",177,IF(Atletas!M31="Outros Estilos F",178,0))))))))))))))))))))))))))))))))))))))))))</f>
        <v/>
      </c>
      <c r="BU42" s="50" t="str">
        <f>IF(Atletas!N31="","",IF(Atletas!X31&lt;&gt;"",10000,0)+(IF(Atletas!B31="Feminino",1000,IF(Atletas!B31="Masculino",2000,""))+(IF(Atletas!N31="Ditangquan A",201,IF(Atletas!N31="Houquan A",202,IF(Atletas!N31="Zuiquan A",203,IF(Atletas!N31="Ditangquan B",204,IF(Atletas!N31="Houquan B",205,IF(Atletas!N31="Zuiquan B",206,IF(Atletas!N31="Ditangquan C",207,IF(Atletas!N31="Houquan C",208,IF(Atletas!N31="Zuiquan C",209,IF(Atletas!N31="Ditangquan D",210,IF(Atletas!N31="Houquan D",211,IF(Atletas!N31="Zuiquan D",212,IF(Atletas!N31="Ditangquan E",213,IF(Atletas!N31="Houquan E",214,IF(Atletas!N31="Zuiquan E",215,IF(Atletas!N31="Ditangquan F",216,IF(Atletas!N31="Houquan F",217,IF(Atletas!N31="Zuiquan F",218,"")))))))))))))))))))))</f>
        <v/>
      </c>
      <c r="BV42" s="50" t="str">
        <f>IF(Atletas!O31="","",IF(Atletas!X31&lt;&gt;"",10000,0)+IF(Atletas!B31="Feminino",1000,IF(Atletas!B31="Masculino",2000,""))+IF(Atletas!O31="Yang A",301,IF(Atletas!O31="Chen A",302,IF(Atletas!O31="Sun A",303,IF(Atletas!O31="Wu A",304,IF(Atletas!O31="Wu-Hao A",305,IF(Atletas!O31="Outro Taijiquan A",306,IF(Atletas!O31="Yang B",307,IF(Atletas!O31="Chen B",308,IF(Atletas!O31="Sun B",309,IF(Atletas!O31="Wu B",310,IF(Atletas!O31="Wu-Hao B",311,IF(Atletas!O31="Outro Taijiquan B",312,IF(Atletas!O31="Yang C",313,IF(Atletas!O31="Chen C",314,IF(Atletas!O31="Sun C",315,IF(Atletas!O31="Wu C",316,IF(Atletas!O31="Wu-Hao C",317,IF(Atletas!O31="Outro Taijiquan C",318,IF(Atletas!O31="Yang D",319,IF(Atletas!O31="Chen D",320,IF(Atletas!O31="Sun D",321,IF(Atletas!O31="Wu D",322,IF(Atletas!O31="Wu-Hao D",323,IF(Atletas!O31="Outro Taijiquan D",324,IF(Atletas!O31="Yang E",325,IF(Atletas!O31="Chen E",326,IF(Atletas!O31="Sun E",327,IF(Atletas!O31="Wu E",328,IF(Atletas!O31="Wu-Hao E",329,IF(Atletas!O31="Outro Taijiquan E",330,IF(Atletas!O31="Yang F",331,IF(Atletas!O31="Chen F",332,IF(Atletas!O31="Sun F",333,IF(Atletas!O31="Wu F",334,IF(Atletas!O31="Wu-Hao F",335,IF(Atletas!O31="Outro Taijiquan F",336,"")))))))))))))))))))))))))))))))))))))</f>
        <v/>
      </c>
      <c r="BW42" s="50" t="str">
        <f>IF(Atletas!P31="","",IF(Atletas!X31&lt;&gt;"",10000,0)+IF(Atletas!B31="Feminino",1000,IF(Atletas!B31="Masculino",2000,""))+IF(OR(Atletas!P31="Yang 26 A",Atletas!P31="Yang 40 A"),401,IF(OR(Atletas!P31="Chen 25 A",Atletas!P31="Chen 36 A",Atletas!P31="Chen 56 A"),402,IF(Atletas!P31="Sun 73 A",403,IF(Atletas!P31="Wu 45 A",404,IF(Atletas!P31="Wu-Hao 46 A",405,IF(OR(Atletas!P31="Taijiquan 16 A",Atletas!P31="Taijiquan 24 A",Atletas!P31="Taijiquan 32 A",Atletas!P31="Taijiquan 42 A"),406,IF(OR(Atletas!P31="Yang 26 B",Atletas!P31="Yang 40 B"),407,IF(OR(Atletas!P31="Chen 25 B",Atletas!P31="Chen 36 B",Atletas!P31="Chen 56 B"),408,IF(Atletas!P31="Sun 73 B",409,IF(Atletas!P31="Wu 45 B",410,IF(Atletas!P31="Wu-Hao 46 B",411,IF(OR(Atletas!P31="Taijiquan 16 B",Atletas!P31="Taijiquan 24 B",Atletas!P31="Taijiquan 32 B",Atletas!P31="Taijiquan 42 B"),412,IF(OR(Atletas!P31="Yang 26 C",Atletas!P31="Yang 40 C"),413,IF(OR(Atletas!P31="Chen 25 C",Atletas!P31="Chen 36 C",Atletas!P31="Chen 56 C"),414,IF(Atletas!P31="Sun 73 C",415,IF(Atletas!P31="Wu 45 C",416,IF(Atletas!P31="Wu-Hao 46 C",417,IF(OR(Atletas!P31="Taijiquan 16 C",Atletas!P31="Taijiquan 24 C",Atletas!P31="Taijiquan 32 C",Atletas!P31="Taijiquan 42 C"),418,0)))))))))))))))))))</f>
        <v/>
      </c>
      <c r="BX42" s="50" t="str">
        <f>IF(Atletas!P31="","",IF(Atletas!X31&lt;&gt;"",10000,0)+IF(Atletas!B31="Feminino",1000,IF(Atletas!B31="Masculino",2000,""))+IF(OR(Atletas!P31="Yang 26 D",Atletas!P31="Yang 40 D"),419,IF(OR(Atletas!P31="Chen 25 D",Atletas!P31="Chen 36 D",Atletas!P31="Chen 56 D"),420,IF(Atletas!P31="Sun 73 D",421,IF(Atletas!P31="Wu 45 D",422,IF(Atletas!P31="Wu-Hao 46 D",423,IF(OR(Atletas!P31="Taijiquan 16 D",Atletas!P31="Taijiquan 24 D",Atletas!P31="Taijiquan 32 D",Atletas!P31="Taijiquan 42 D"),424,IF(OR(Atletas!P31="Yang 26 E",Atletas!P31="Yang 40 E"),425,IF(OR(Atletas!P31="Chen 25 E",Atletas!P31="Chen 36 E",Atletas!P31="Chen 56 E"),426,IF(Atletas!P31="Sun 73 E",427,IF(Atletas!P31="Wu 45 E",428,IF(Atletas!P31="Wu-Hao 46 E",429,IF(OR(Atletas!P31="Taijiquan 16 E",Atletas!P31="Taijiquan 24 E",Atletas!P31="Taijiquan 32 E",Atletas!P31="Taijiquan 42 E"),430,IF(OR(Atletas!P31="Yang 26 F",Atletas!P31="Yang 40 F"),431,IF(OR(Atletas!P31="Chen 25 F",Atletas!P31="Chen 36 F",Atletas!P31="Chen 56 F"),432,IF(Atletas!P31="Sun 73 F",433,IF(Atletas!P31="Wu 45 F",434,IF(Atletas!P31="Wu-Hao 46 F",435,IF(OR(Atletas!P31="Taijiquan 16 F",Atletas!P31="Taijiquan 24 F",Atletas!P31="Taijiquan 32 F",Atletas!P31="Taijiquan 42 F"),436,0)))))))))))))))))))</f>
        <v/>
      </c>
      <c r="BY42" s="50" t="str">
        <f>IF(Atletas!Q31="","",IF(Atletas!X31&lt;&gt;"",10000,0)+IF(Atletas!B31="Feminino",1000,IF(Atletas!B31="Masculino",2000,""))+IF(Atletas!Q31="Xingyiquan A",501,IF(Atletas!Q31="Baguazhang A",502,IF(Atletas!Q31="Outro Estilo Interno A",503,IF(Atletas!Q31="Xingyiquan B",504,IF(Atletas!Q31="Baguazhang B",505,IF(Atletas!Q31="Outro Estilo Interno B",506,IF(Atletas!Q31="Xingyiquan C",507,IF(Atletas!Q31="Baguazhang C",508,IF(Atletas!Q31="Outro Estilo Interno C",509,IF(Atletas!Q31="Xingyiquan D",510,IF(Atletas!Q31="Baguazhang D",511,IF(Atletas!Q31="Outro Estilo Interno D",512,IF(Atletas!Q31="Xingyiquan E",513,IF(Atletas!Q31="Baguazhang E",514,IF(Atletas!Q31="Outro Estilo Interno E",515,IF(Atletas!Q31="Xingyiquan F",516,IF(Atletas!Q31="Baguazhang F",517,IF(Atletas!Q31="Outro Estilo Interno F",518, "")))))))))))))))))))</f>
        <v/>
      </c>
      <c r="BZ42" s="50" t="str">
        <f>IF(Atletas!R31="","",IF(Atletas!X31&lt;&gt;"",10000,0)+IF(Atletas!B31="Feminino",1000,IF(Atletas!B31="Masculino",2000,""))+IF(Atletas!R31="Dao A",601,IF(Atletas!R31="Jian A",602,IF(Atletas!R31="Bishou A",603,IF(Atletas!R31="Shanzi A",604,IF(Atletas!R31="Outra Arma Curta A",605,IF(Atletas!R31="Dao B",606,IF(Atletas!R31="Jian B",607,IF(Atletas!R31="Bishou B",608,IF(Atletas!R31="Shanzi B",609,IF(Atletas!R31="Outra Arma Curta B",610,IF(Atletas!R31="Dao C",611,IF(Atletas!R31="Jian C",612,IF(Atletas!R31="Bishou C",613,IF(Atletas!R31="Shanzi C",614,IF(Atletas!R31="Outra Arma Curta C",615,IF(Atletas!R31="Dao D",616,IF(Atletas!R31="Jian D",617,IF(Atletas!R31="Bishou D",618,IF(Atletas!R31="Shanzi D",619,IF(Atletas!R31="Outra Arma Curta D",620,IF(Atletas!R31="Dao E",621,IF(Atletas!R31="Jian E",622,IF(Atletas!R31="Bishou E",623,IF(Atletas!R31="Shanzi E",624,IF(Atletas!R31="Outra Arma Curta E",625,IF(Atletas!R31="Dao F",626,IF(Atletas!R31="Jian F",627,IF(Atletas!R31="Bishou F",628,IF(Atletas!R31="Shanzi F",629,IF(Atletas!R31="Outra Arma Curta F",630, "")))))))))))))))))))))))))))))))</f>
        <v/>
      </c>
      <c r="CA42" s="50" t="str">
        <f>IF(Atletas!S31="","",IF(Atletas!X31&lt;&gt;"",10000,0)+IF(Atletas!B31="Feminino",1000,IF(Atletas!B31="Masculino",2000,""))+IF(Atletas!S31="Gun A",701,IF(Atletas!S31="Qiang A",702,IF(Atletas!S31="Pudao / Guandao A",703,IF(Atletas!S31="Outra Arma Longa A",704,IF(Atletas!S31="Gun B",705,IF(Atletas!S31="Qiang B",706,IF(Atletas!S31="Pudao / Guandao B",707,IF(Atletas!S31="Outra Arma Longa B",708,IF(Atletas!S31="Gun C",709,IF(Atletas!S31="Qiang C",710,IF(Atletas!S31="Pudao / Guandao C",711,IF(Atletas!S31="Outra Arma Longa C",712,IF(Atletas!S31="Gun D",713,IF(Atletas!S31="Qiang D",714,IF(Atletas!S31="Pudao / Guandao D",715,IF(Atletas!S31="Outra Arma Longa D",716,IF(Atletas!S31="Gun E",717,IF(Atletas!S31="Qiang E",718,IF(Atletas!S31="Pudao / Guandao E",719,IF(Atletas!S31="Outra Arma Longa E",720,IF(Atletas!S31="Gun F",721,IF(Atletas!S31="Qiang F",722,IF(Atletas!S31="Pudao / Guandao F",723,IF(Atletas!S31="Outra Arma Longa F",724,"")))))))))))))))))))))))))</f>
        <v/>
      </c>
      <c r="CB42" s="50" t="str">
        <f>IF(Atletas!T31="","",IF(Atletas!X31&lt;&gt;"",10000,0)+IF(Atletas!B31="Feminino",1000,IF(Atletas!B31="Masculino",2000,""))+IF(Atletas!T31="Outra Arma Dupla A",801,IF(Atletas!T31="Arma Maleável A",802,IF(Atletas!T31="Outra Arma Dupla B",803,IF(Atletas!T31="Arma Maleável B",804,IF(Atletas!T31="Outra Arma Dupla C",805,IF(Atletas!T31="Arma Maleável C",806,IF(Atletas!T31="Outra Arma Dupla D",807,IF(Atletas!T31="Arma Maleável D",808,IF(Atletas!T31="Outra Arma Dupla E",809,IF(Atletas!T31="Arma Maleável E",810,IF(Atletas!T31="Outra Arma Dupla F",811,IF(Atletas!T31="Arma Maleável F",812,IF(Atletas!T31="Shuangdao A",813,IF(Atletas!T31="Shuangdao B",814,IF(Atletas!T31="Shuangdao C",815,IF(Atletas!T31="Shuangdao D",816,IF(Atletas!T31="Shuangdao E",817,IF(Atletas!T31="Shuangdao F",818,"")))))))))))))))))))</f>
        <v/>
      </c>
      <c r="CC42" s="50" t="str">
        <f>IF(Atletas!U31="","",IF(Atletas!X31&lt;&gt;"",10000,0)+IF(Atletas!B31="Feminino",1000,IF(Atletas!B31="Masculino",2000,""))+IF(OR(Atletas!U31="Taijijian Yang A",Atletas!U31="Taijijian Yang Standard A"),901,IF(OR(Atletas!U31="Taijijian Chen A", Atletas!U31="Taijijian Chen Standard A"),902,IF(Atletas!U31="Taijijian Sun A",903,IF(Atletas!U31="Taijijian Wu A",904,IF(Atletas!U31="Taijijian Wu-Hao A",905,IF(OR(Atletas!U31="Taijijian 32 A",Atletas!U31="Taijijian 42 A"),906,IF(OR(Atletas!U31="Taijijian Yang B",Atletas!U31="Taijijian Yang Standard B"),907,IF(OR(Atletas!U31="Taijijian Chen B", Atletas!U31="Taijijian Chen Standard B"),908,IF(Atletas!U31="Taijijian Sun B",909,IF(Atletas!U31="Taijijian Wu B",910,IF(Atletas!U31="Taijijian Wu-Hao B",911,IF(OR(Atletas!U31="Taijijian 32 B",Atletas!U31="Taijijian 42 B"),912,IF(OR(Atletas!U31="Taijijian Yang C",Atletas!U31="Taijijian Yang Standard C"),913,IF(OR(Atletas!U31="Taijijian Chen C", Atletas!U31="Taijijian Chen Standard C"),914,IF(Atletas!U31="Taijijian Sun C",915,IF(Atletas!U31="Taijijian Wu C",916,IF(Atletas!U31="Taijijian Wu-Hao C",917,IF(OR(Atletas!U31="Taijijian 32 C",Atletas!U31="Taijijian 42 C"),918,IF(OR(Atletas!U31="Taijijian Yang D",Atletas!U31="Taijijian Yang Standard D"),919,IF(OR(Atletas!U31="Taijijian Chen D", Atletas!U31="Taijijian Chen Standard D"),920,IF(Atletas!U31="Taijijian Sun D",921,IF(Atletas!U31="Taijijian Wu D",922,IF(Atletas!U31="Taijijian Wu-Hao D",923,IF(OR(Atletas!U31="Taijijian 32 D",Atletas!U31="Taijijian 42 D"),924,IF(OR(Atletas!U31="Taijijian Yang E",Atletas!U31="Taijijian Yang Standard E"),925,IF(OR(Atletas!U31="Taijijian Chen E", Atletas!U31="Taijijian Chen Standard E"),926,IF(Atletas!U31="Taijijian Sun E",927,IF(Atletas!U31="Taijijian Wu E",928,IF(Atletas!U31="Taijijian Wu-Hao E",929,IF(OR(Atletas!U31="Taijijian 32 E",Atletas!U31="Taijijian 42 E"),930,IF(OR(Atletas!U31="Taijijian Yang F",Atletas!U31="Taijijian Yang Standard F"),931,IF(OR(Atletas!U31="Taijijian Chen F", Atletas!U31="Taijijian Chen Standard F"),932,IF(Atletas!U31="Taijijian Sun F",933,IF(Atletas!U31="Taijijian Wu F",934,IF(Atletas!U31="Taijijian Wu-Hao F",935,IF(OR(Atletas!U31="Taijijian 32 F",Atletas!U31="Taijijian 42 F"),936,"")))))))))))))))))))))))))))))))))))))</f>
        <v/>
      </c>
      <c r="CD42" s="50" t="str">
        <f>IF(Atletas!V31="","",IF(Atletas!X31&lt;&gt;"",10000,0)+IF(Atletas!B31="Feminino",1000,IF(Atletas!B31="Masculino",2000,""))+IF(Atletas!V31="Taijidao A",937,IF(Atletas!V31="TaijiShanzi A",938,IF(Atletas!V31="Taijiqiang A",939,IF(Atletas!V31="Bagua de Arma A",940,IF(Atletas!V31="Xingyi de Arma A",941,IF(Atletas!V31="Taijidao B",942,IF(Atletas!V31="TaijiShanzi B",943,IF(Atletas!V31="Taijiqiang B",944,IF(Atletas!V31="Bagua de Arma B",945,IF(Atletas!V31="Xingyi de Arma B",946,IF(Atletas!V31="Taijidao C",947,IF(Atletas!V31="TaijiShanzi C",948,IF(Atletas!V31="Taijiqiang C",949,IF(Atletas!V31="Bagua de Arma C",950,IF(Atletas!V31="Xingyi de Arma C",951,IF(Atletas!V31="Taijidao D",952,IF(Atletas!V31="TaijiShanzi D",953,IF(Atletas!V31="Taijiqiang D",954,IF(Atletas!V31="Bagua de Arma D",955,IF(Atletas!V31="Xingyi de Arma D",956,IF(Atletas!V31="Taijidao E",957,IF(Atletas!V31="TaijiShanzi E",958,IF(Atletas!V31="Taijiqiang E",959,IF(Atletas!V31="Bagua de Arma E",960,IF(Atletas!V31="Xingyi de Arma E",961,IF(Atletas!V31="Taijidao F",962,IF(Atletas!V31="TaijiShanzi F",963,IF(Atletas!V31="Taijiqiang F",964,IF(Atletas!V31="Bagua de Arma F",965,IF(Atletas!V31="Xingyi de Arma F",966,"")))))))))))))))))))))))))))))))</f>
        <v/>
      </c>
      <c r="CE42" s="66" t="str">
        <f>IF(CF42&lt;&gt;"","Outra Mão de Sul F","")</f>
        <v/>
      </c>
      <c r="CF42" s="66" t="str">
        <f>IF(COUNTIF(BR:CD,1030)&gt;0,COUNTIF(BR:CD,1030),"")</f>
        <v/>
      </c>
      <c r="CG42" s="66" t="str">
        <f>IF(CH42&lt;&gt;"","Outra Mão de Sul F","")</f>
        <v/>
      </c>
      <c r="CH42" s="66" t="str">
        <f>IF(COUNTIF(BR:CD,2030)&gt;0,COUNTIF(BR:CD,2030),"")</f>
        <v/>
      </c>
      <c r="CI42" s="66" t="str">
        <f>IF(CJ42&lt;&gt;"","Paoquan A","")</f>
        <v/>
      </c>
      <c r="CJ42" s="66" t="str">
        <f>IF(COUNTIF(BR:CD,11106)&gt;0,COUNTIF(BR:CD,11106),"")</f>
        <v/>
      </c>
      <c r="CK42" s="66" t="str">
        <f>IF(CL42&lt;&gt;"","Paoquan A","")</f>
        <v/>
      </c>
      <c r="CL42" s="66" t="str">
        <f>IF(COUNTIF(BR:CD,12106)&gt;0,COUNTIF(BR:CD,12106),"")</f>
        <v/>
      </c>
      <c r="CM42" s="50" t="str">
        <f xml:space="preserve"> IF(Atletas!W31="","",IF(Atletas!W31="Duilian de Mãos BC - Equipe 1",1,IF(Atletas!W31="Duilian de Mãos BC - Equipe 2",2,IF(Atletas!W31="Duilian de Armas BC - Equipe 1",3,IF(Atletas!W31="Duilian de Armas BC - Equipe 2",4,IF(Atletas!W31="Duilian de Mãos DE - Equipe 1",5,IF(Atletas!W31="Duilian de Mãos DE - Equipe 2",6,IF(Atletas!W31="Duilian de Armas DE - Equipe 1",7,IF(Atletas!W31="Duilian de Armas DE - Equipe 2",8,IF(Atletas!W31="Duilian de Tuishou - Equipe 1",9,IF(Atletas!W31="Duilian de Tuishou - Equipe 2",10,IF(Atletas!W31="Grupo Externo ABC - Equipe 1",11,IF(Atletas!W31="Grupo Externo ABC - Equipe 2",12,IF(Atletas!W31="Grupo Interno ABC - Equipe 1",13,IF(Atletas!W31="Grupo Interno ABC - Equipe 2",14,IF(Atletas!W31="Grupo Externo DEF - Equipe 1",15,IF(Atletas!W31="Grupo Externo DEF - Equipe 2",16,IF(Atletas!W31="Grupo Interno DEF - Equipe 1",17,IF(Atletas!W31="Grupo Interno DEF - Equipe 2",18,"")))))))))))))))))))</f>
        <v/>
      </c>
      <c r="CY42" s="41"/>
    </row>
    <row r="43" spans="2:103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 t="str">
        <f t="array" ref="R43">IFERROR(INDEX(BI$7:BI$68,SMALL(IF(BI$7:BI$68&lt;&gt;"",ROW(BI$7:BI$68)-ROW(BI$7)+1),ROWS(BI$7:BI42))),"")</f>
        <v/>
      </c>
      <c r="S43" s="3" t="str">
        <f t="array" ref="S43">IFERROR(INDEX(BJ$7:BJ$68,SMALL(IF(BJ$7:BJ$68&lt;&gt;"",ROW(BJ$7:BJ$68)-ROW(BJ$7)+1),ROWS(BJ$7:BJ42))),"")</f>
        <v/>
      </c>
      <c r="T43" s="3" t="str">
        <f t="array" ref="T43">IFERROR(INDEX(BK$7:BK$68,SMALL(IF(BK$7:BK$68&lt;&gt;"",ROW(BK$7:BK$68)-ROW(BK$7)+1),ROWS(BK$7:BK42))),"")</f>
        <v/>
      </c>
      <c r="U43" s="3" t="str">
        <f t="array" ref="U43">IFERROR(INDEX(BL$7:BL$68,SMALL(IF(BL$7:BL$68&lt;&gt;"",ROW(BL$7:BL$68)-ROW(BL$7)+1),ROWS(BL$7:BL42))),"")</f>
        <v/>
      </c>
      <c r="V43" s="3"/>
      <c r="W43" s="3"/>
      <c r="X43" s="20"/>
      <c r="Y43" s="3"/>
      <c r="Z43" s="3" t="str">
        <f t="array" ref="Z43">IFERROR(INDEX(CE$7:CE$348,SMALL(IF(CE$7:CE$348&lt;&gt;"",ROW(CE$7:CE$348)-ROW(CE$7)+1),ROWS(CE$7:CE42))),"")</f>
        <v/>
      </c>
      <c r="AA43" s="3" t="str">
        <f t="array" ref="AA43">IFERROR(INDEX(CF$7:CF$348,SMALL(IF(CF$7:CF$348&lt;&gt;"",ROW(CF$7:CF$348)-ROW(CF$7)+1),ROWS(CF$7:CF42))),"")</f>
        <v/>
      </c>
      <c r="AB43" s="3" t="str">
        <f t="array" ref="AB43">IFERROR(INDEX(CG$7:CG$348,SMALL(IF(CG$7:CG$348&lt;&gt;"",ROW(CG$7:CG$348)-ROW(CG$7)+1),ROWS(CG$7:CG42))),"")</f>
        <v/>
      </c>
      <c r="AC43" s="3" t="str">
        <f t="array" ref="AC43">IFERROR(INDEX(CH$7:CH$348,SMALL(IF(CH$7:CH$348&lt;&gt;"",ROW(CH$7:CH$348)-ROW(CH$7)+1),ROWS(CH$7:CH42))),"")</f>
        <v/>
      </c>
      <c r="AD43" s="3" t="str">
        <f t="array" ref="AD43">IFERROR(INDEX(CI$7:CI$377,SMALL(IF(CI$7:CI$377&lt;&gt;"",ROW(CI$7:CI$377)-ROW(CI$7)+1),ROWS(CI$7:CI42))),"")</f>
        <v/>
      </c>
      <c r="AE43" s="3" t="str">
        <f t="array" ref="AE43">IFERROR(INDEX(CJ$7:CJ$378,SMALL(IF(CJ$7:CJ$378&lt;&gt;"",ROW(CJ$7:CJ$378)-ROW(CJ$7)+1),ROWS(CJ$7:CJ42))),"")</f>
        <v/>
      </c>
      <c r="AF43" s="3" t="str">
        <f t="array" ref="AF43">IFERROR(INDEX(CK$7:CK$378,SMALL(IF(CK$7:CK$378&lt;&gt;"",ROW(CK$7:CK$378)-ROW(CK$7)+1),ROWS(CK$7:CK42))),"")</f>
        <v/>
      </c>
      <c r="AG43" s="3" t="str">
        <f t="array" ref="AG43">IFERROR(INDEX(CL$7:CL$378,SMALL(IF(CL$7:CL$378&lt;&gt;"",ROW(CL$7:CL$378)-ROW(CL$7)+1),ROWS(CL$7:CL42))),"")</f>
        <v/>
      </c>
      <c r="AH43" s="36"/>
      <c r="AI43" s="36"/>
      <c r="AJ43" s="36"/>
      <c r="AK43" s="36"/>
      <c r="AL43" s="36"/>
      <c r="AM43" s="3"/>
      <c r="AN43" s="52" t="str">
        <f>IF(Atletas!D34="","",IF(Atletas!B34="Feminino",100,IF(Atletas!B34="Masculino",200,""))+(IF(Atletas!D34="Kids 30kg",1,IF(Atletas!D34="Kids 32kg",2, IF(Atletas!D34="Kids 34kg",3,IF(Atletas!D34="Kids 36kg",4,IF(Atletas!D34="Kids 39kg",5,IF(Atletas!D34="Kids 42kg",6,IF(Atletas!D34="Kids 45kg",7, IF(Atletas!D34="Infantil 39kg",8,IF(Atletas!D34="Infantil 42kg",9,IF(Atletas!D34="Infantil 45kg",10,IF(Atletas!D34="Infantil 48kg",11,IF(Atletas!D34="Infantil 52kg",12,IF(Atletas!D34="Infantil 56kg",13,IF(Atletas!D34="Infantil 60kg",14,IF(Atletas!D34="Juvenil 48kg",15,IF(Atletas!D34="Juvenil 52kg",16,IF(Atletas!D34="Juvenil 56kg",17,IF(Atletas!D34="Juvenil 60kg",18,IF(Atletas!D34="Juvenil 65kg",19,IF(Atletas!D34="Juvenil 70kg",20,IF(Atletas!D34="Juvenil 75kg",21,IF(Atletas!D34="Juvenil 80kg",22, IF(Atletas!D34="Juvenil 85kg",23,IF(Atletas!D34="Adulto 48kg",24,IF(Atletas!D34="Adulto 52kg",25,IF(Atletas!D34="Adulto 56kg",26,IF(Atletas!D34="Adulto 60kg",27,IF(Atletas!D34="Adulto 65kg",28,IF(Atletas!D34="Adulto 70kg",29,IF(Atletas!D34="Adulto 75kg",30,IF(Atletas!D34="Adulto 80kg",31,IF(Atletas!D34="Adulto 85kg",32,IF(Atletas!D34="Adulto 90kg",33,IF(Atletas!D34="Adulto 100kg",34, IF(Atletas!D34="Adulto +100kg",35,"")))))))))))))))))))))))))))))))))))))</f>
        <v/>
      </c>
      <c r="AS43" s="6" t="str">
        <f>IF(Atletas!E34="","",IF(Atletas!B34="Feminino",100,IF(Atletas!B34="Masculino",200,""))+(IF(Atletas!E34="Juvenil 44kg",1,IF(Atletas!E34="Juvenil 48kg",2,IF(Atletas!E34="Juvenil 52kg",3,IF(Atletas!E34="Juvenil 56kg",4,IF(Atletas!E34="Juvenil 60kg",5,IF(Atletas!E34="Juvenil 65kg",6,IF(Atletas!E34="Juvenil 70kg",7,IF(Atletas!E34="Juvenil 75kg",8,IF(Atletas!E34="Juvenil 82kg",9,IF(Atletas!E34="Juvenil 90kg",10,IF(Atletas!E34="Juvenil 100kg",11,IF(Atletas!E34="Adulto 48kg",12,IF(Atletas!E34="Adulto 52kg",13,IF(Atletas!E34="Adulto 56kg",14,IF(Atletas!E34="Adulto 60kg",15,IF(Atletas!E34="Adulto 65kg",16,IF(Atletas!E34="Adulto 70kg",17,IF(Atletas!E34="Adulto 75kg",18,IF(Atletas!E34="Adulto 82kg",19,IF(Atletas!E34="Adulto 90kg",20,IF(Atletas!E34="Adulto 100kg",21,IF(Atletas!E34="Adulto +100kg",22,""))))))))))))))))))))))))</f>
        <v/>
      </c>
      <c r="AX43" s="6" t="str">
        <f>IF(Atletas!F34="","",IF(Atletas!B34="Feminino",100,IF(Atletas!B34="Masculino",200,""))+(IF(Atletas!F34="Adulto 48kg",1,IF(Atletas!F34="Adulto 56kg",2,IF(Atletas!F34="Adulto 65kg",3,IF(Atletas!F34="Adulto 75kg",4,IF(Atletas!F34="Adulto +75kg",5,IF(Atletas!F34="Adulto 52kg",6,IF(Atletas!F34="Adulto 60kg",7,IF(Atletas!F34="Adulto 70kg",8,IF(Atletas!F34="Adulto 80kg",9,IF(Atletas!F34="Adulto 90kg",10,IF(Atletas!F34="Adulto +90kg",11,"")))))))))))))</f>
        <v/>
      </c>
      <c r="BC43" s="6" t="str">
        <f>IF(Atletas!G34="","",IF(Atletas!B34="Feminino",10,IF(Atletas!B34="Masculino",20,""))+(IF(Atletas!G34="Baduanjin A",1,IF(Atletas!G34="Baduanjin B",2))))</f>
        <v/>
      </c>
      <c r="BF43" s="52" t="str">
        <f>IF(Atletas!H34="","",IF(Atletas!B34="Feminino",100,IF(Atletas!B34="Masculino",200,""))+(IF(Atletas!H34="Changquan Mirim",1,IF(Atletas!H34="Nanquan Mirim",2,IF(Atletas!H34="Taijiquan Mirim",3,IF(Atletas!H34="Changquan Grupo C",4,IF(Atletas!H34="Nanquan Grupo C",5,IF(Atletas!H34="Taijiquan Grupo C",6,IF(Atletas!H34="Changquan Grupo B",7,IF(Atletas!H34="Nanquan Grupo B",8,IF(Atletas!H34="Taijiquan Grupo B",9,IF(Atletas!H34="Changquan Grupo A",10,IF(Atletas!H34="Nanquan Grupo A",11,IF(Atletas!H34="Taijiquan Grupo A",12,IF(Atletas!H34="Changquan Opcional",13,IF(Atletas!H34="Nanquan Opcional",14,IF(Atletas!H34="Taijiquan Opcional",15,IF(Atletas!H34="Changquan Adulto",16,IF(Atletas!H34="Nanquan Adulto",17,IF(Atletas!H34="Taijiquan Adulto",18,""))))))))))))))))))))</f>
        <v/>
      </c>
      <c r="BG43" s="52" t="str">
        <f>IF(Atletas!I34="","",IF(Atletas!B34="Feminino",100,IF(Atletas!B34="Masculino",200,""))+(IF(Atletas!I34="Daoshu Mirim",19,IF(Atletas!I34="Jianshu Mirim",20,IF(Atletas!I34="Nandao Mirim",21,IF(Atletas!I34="Taijijian Mirim",22,IF(Atletas!I34="Daoshu Grupo C",23,IF(Atletas!I34="Jianshu Grupo C",24,IF(Atletas!I34="Nandao Grupo C",25,IF(Atletas!I34="Taijijian Grupo C",26,IF(Atletas!I34="Daoshu Grupo B",27,IF(Atletas!I34="Jianshu Grupo B",28,IF(Atletas!I34="Nandao Grupo B",29,IF(Atletas!I34="Taijijian Grupo B",30,IF(Atletas!I34="Daoshu Grupo A",31,IF(Atletas!I34="Jianshu Grupo A",32,IF(Atletas!I34="Nandao Grupo A",33,IF(Atletas!I34="Taijijian Grupo A",34,IF(Atletas!I34="Daoshu Opcional",35,IF(Atletas!I34="Jianshu Opcional",36,IF(Atletas!I34="Nandao Opcional",37,IF(Atletas!I34="Taijijian Opcional",38,IF(Atletas!I34="Daoshu Adulto",39,IF(Atletas!I34="Jianshu Adulto",40,IF(Atletas!I34="Nandao Adulto",41,IF(Atletas!I34="Taijijian Adulto",42,""))))))))))))))))))))))))))</f>
        <v/>
      </c>
      <c r="BH43" s="52" t="str">
        <f>IF(Atletas!J34="","",IF(Atletas!B34="Feminino",100,IF(Atletas!B34="Masculino",200,""))+(IF(Atletas!J34="Gunshu Mirim",43,IF(Atletas!J34="Qiangshu Mirim",44,IF(Atletas!J34="Nangun Mirim",45,IF(Atletas!J34="Gunshu Grupo C",46,IF(Atletas!J34="Qiangshu Grupo C",47,IF(Atletas!J34="Nangun Grupo C",48,IF(Atletas!J34="Gunshu Grupo B",49,IF(Atletas!J34="Qiangshu Grupo B",50,IF(Atletas!J34="Nangun Grupo B",51,IF(Atletas!J34="Gunshu Grupo A",52,IF(Atletas!J34="Qiangshu Grupo A",53,IF(Atletas!J34="Nangun Grupo A",54,IF(Atletas!J34="Gunshu Opcional",55,IF(Atletas!J34="Qiangshu Opcional",56,IF(Atletas!J34="Nangun Opcional",57,IF(Atletas!J34="Gunshu Adulto",58,IF(Atletas!J34="Qiangshu Adulto",59,IF(Atletas!J34="Nangun Adulto",60,IF(Atletas!J34="Taijishan Grupo B",61,IF(Atletas!J34="Taijishan Grupo A",62,""))))))))))))))))))))))</f>
        <v/>
      </c>
      <c r="BI43" s="6" t="str">
        <f>IF(BJ43&lt;&gt;"","Nandao Grupo A","")</f>
        <v/>
      </c>
      <c r="BJ43" s="50" t="str">
        <f>IF(COUNTIF(BF:BH,133)&gt;0,COUNTIF(BF:BH,133),"")</f>
        <v/>
      </c>
      <c r="BK43" s="6" t="str">
        <f>IF(BL43&lt;&gt;"","Nandao Grupo A","")</f>
        <v/>
      </c>
      <c r="BL43" s="50" t="str">
        <f>IF(COUNTIF(BF:BH,233)&gt;0,COUNTIF(BF:BH,233),"")</f>
        <v/>
      </c>
      <c r="BM43" s="50" t="str">
        <f>IF(Atletas!K34="","",IF(Atletas!B34="Feminino",100,IF(Atletas!B34="Masculino",200,""))+(IF(Atletas!K34="Equipe 1 Grupo B",1,IF(Atletas!K34="Equipe 2 Grupo B",2,IF(Atletas!K34="Equipe 1 Grupo A",3,IF(Atletas!K34="Equipe 2 Grupo A",4,IF(Atletas!K34="Equipe 1 Adulto",5,IF(Atletas!K34="Equipe 2 Adulto",6,""))))))))</f>
        <v/>
      </c>
      <c r="BR43" s="50" t="str">
        <f>IF(Atletas!L34="","",IF(Atletas!X34&lt;&gt;"",10000,0)+(IF(Atletas!B34="Feminino",1000,IF(Atletas!B34="Masculino",2000,""))+IF(Atletas!L34="Choylayfut A",1,IF(Atletas!L34="Hunggar A",2,IF(Atletas!L34="Wuzuquan A",3,IF(Atletas!L34="Wingchun A",4,IF(Atletas!L34="Outra Mão de Sul A",5,IF(Atletas!L34="Choylayfut B",6,IF(Atletas!L34="Hunggar B",7,IF(Atletas!L34="Wuzuquan B",8,IF(Atletas!L34="Wingchun B",9,IF(Atletas!L34="Outra Mão de Sul B",10,IF(Atletas!L34="Choylayfut C",11,IF(Atletas!L34="Hunggar C",12,IF(Atletas!L34="Wuzuquan C",13,IF(Atletas!L34="Wingchun C",14,IF(Atletas!L34="Outra Mão de Sul C",15,IF(Atletas!L34="Choylayfut D",16,IF(Atletas!L34="Hunggar D",17,IF(Atletas!L34="Wuzuquan D",18,IF(Atletas!L34="Wingchun D",19,IF(Atletas!L34="Outra Mão de Sul D",20,IF(Atletas!L34="Choylayfut E",21,IF(Atletas!L34="Hunggar E",22,IF(Atletas!L34="Wuzuquan E",23,IF(Atletas!L34="Wingchun E",24,IF(Atletas!L34="Outra Mão de Sul E",25,IF(Atletas!L34="Choylayfut F",26,IF(Atletas!L34="Hunggar F",27,IF(Atletas!L34="Wuzuquan F",28,IF(Atletas!L34="Wingchun F",29,IF(Atletas!L34="Outra Mão de Sul F",30,IF(Atletas!L34="Dishuquan A",31,IF(Atletas!L34="Dishuquan B",32,IF(Atletas!L34="Dishuquan C",33,IF(Atletas!L34="Dishuquan D",34,IF(Atletas!L34="Dishuquan E",35,IF(Atletas!L34="Dishuquan F",36,""))))))))))))))))))))))))))))))))))))))</f>
        <v/>
      </c>
      <c r="BS43" s="50" t="str">
        <f>IF(Atletas!M34="","",IF(Atletas!X34&lt;&gt;"",10000,0)+(IF(Atletas!B34="Feminino",1000,IF(Atletas!B34="Masculino",2000,""))+(IF(Atletas!M34="Chaquan A",101,IF(Atletas!M34="Emeiquan A",102,IF(Atletas!M34="Fanziquan A",103,IF(Atletas!M34="Huaquan A",104,IF(Atletas!M34="Hongquan A",105,IF(Atletas!M34="Paoquan A",106,IF(Atletas!M34="Piguaquan A",107,IF(Atletas!M34="Shaolinquan A",108,IF(Atletas!M34="Tanglangquan A",109,IF(Atletas!M34="Yingzhaoquan A",110,IF(Atletas!M34="Tongbeiquan A",111,IF(Atletas!M34="Wudangquan A",112,IF(Atletas!M34="Outros Estilos A",113,IF(Atletas!M34="Chaquan B",114,IF(Atletas!M34="Emeiquan B",115,IF(Atletas!M34="Fanziquan B",116,IF(Atletas!M34="Huaquan B",117,IF(Atletas!M34="Hongquan B",118,IF(Atletas!M34="Paoquan B",119,IF(Atletas!M34="Piguaquan B",120,IF(Atletas!M34="Shaolinquan B",121,IF(Atletas!M34="Tanglangquan B",122,IF(Atletas!M34="Yingzhaoquan B",123,IF(Atletas!M34="Tongbeiquan B",124,IF(Atletas!M34="Wudangquan B",125,IF(Atletas!M34="Outros Estilos B",126,IF(Atletas!M34="Chaquan C",127,IF(Atletas!M34="Emeiquan C",128,IF(Atletas!M34="Fanziquan C",129,IF(Atletas!M34="Huaquan C",130,IF(Atletas!M34="Hongquan C",131,IF(Atletas!M34="Paoquan C",132,IF(Atletas!M34="Piguaquan C",133,IF(Atletas!M34="Shaolinquan C",134,IF(Atletas!M34="Tanglangquan C",135,IF(Atletas!M34="Yingzhaoquan C",136,IF(Atletas!M34="Tongbeiquan C",137,IF(Atletas!M34="Wudangquan C",138,IF(Atletas!M34="Outros Estilos C",139,0))))))))))))))))))))))))))))))))))))))))))</f>
        <v/>
      </c>
      <c r="BT43" s="50" t="str">
        <f>IF(Atletas!M34="","",IF(Atletas!X34&lt;&gt;"",10000,0)+(IF(Atletas!B34="Feminino",1000,IF(Atletas!B34="Masculino",2000,""))+(IF(Atletas!M34="Chaquan D",140,IF(Atletas!M34="Emeiquan D",141,IF(Atletas!M34="Fanziquan D",142,IF(Atletas!M34="Huaquan D",143,IF(Atletas!M34="Hongquan D",144,IF(Atletas!M34="Paoquan D",145,IF(Atletas!M34="Piguaquan D",146,IF(Atletas!M34="Shaolinquan D",147,IF(Atletas!M34="Tanglangquan D",148,IF(Atletas!M34="Yingzhaoquan D",149,IF(Atletas!M34="Tongbeiquan D",150,IF(Atletas!M34="Wudangquan D",151,IF(Atletas!M34="Outros Estilos D",152,IF(Atletas!M34="Chaquan E",153,IF(Atletas!M34="Emeiquan E",154,IF(Atletas!M34="Fanziquan E",155,IF(Atletas!M34="Huaquan E",156,IF(Atletas!M34="Hongquan E",157,IF(Atletas!M34="Paoquan E",158,IF(Atletas!M34="Piguaquan E",159,IF(Atletas!M34="Shaolinquan E",160,IF(Atletas!M34="Tanglangquan E",161,IF(Atletas!M34="Yingzhaoquan E",162,IF(Atletas!M34="Tongbeiquan E",163,IF(Atletas!M34="Wudangquan E",164,IF(Atletas!M34="Outros Estilos E",165,IF(Atletas!M34="Chaquan F",166,IF(Atletas!M34="Emeiquan F",167,IF(Atletas!M34="Fanziquan F",168,IF(Atletas!M34="Huaquan F",169,IF(Atletas!M34="Hongquan F",170,IF(Atletas!M34="Paoquan F",171,IF(Atletas!M34="Piguaquan F",172,IF(Atletas!M34="Shaolinquan F",173,IF(Atletas!M34="Tanglangquan F",174,IF(Atletas!M34="Yingzhaoquan F",175,IF(Atletas!M34="Tongbeiquan F",176,IF(Atletas!M34="Wudangquan F",177,IF(Atletas!M34="Outros Estilos F",178,0))))))))))))))))))))))))))))))))))))))))))</f>
        <v/>
      </c>
      <c r="BU43" s="50" t="str">
        <f>IF(Atletas!N34="","",IF(Atletas!X34&lt;&gt;"",10000,0)+(IF(Atletas!B34="Feminino",1000,IF(Atletas!B34="Masculino",2000,""))+(IF(Atletas!N34="Ditangquan A",201,IF(Atletas!N34="Houquan A",202,IF(Atletas!N34="Zuiquan A",203,IF(Atletas!N34="Ditangquan B",204,IF(Atletas!N34="Houquan B",205,IF(Atletas!N34="Zuiquan B",206,IF(Atletas!N34="Ditangquan C",207,IF(Atletas!N34="Houquan C",208,IF(Atletas!N34="Zuiquan C",209,IF(Atletas!N34="Ditangquan D",210,IF(Atletas!N34="Houquan D",211,IF(Atletas!N34="Zuiquan D",212,IF(Atletas!N34="Ditangquan E",213,IF(Atletas!N34="Houquan E",214,IF(Atletas!N34="Zuiquan E",215,IF(Atletas!N34="Ditangquan F",216,IF(Atletas!N34="Houquan F",217,IF(Atletas!N34="Zuiquan F",218,"")))))))))))))))))))))</f>
        <v/>
      </c>
      <c r="BV43" s="50" t="str">
        <f>IF(Atletas!O34="","",IF(Atletas!X34&lt;&gt;"",10000,0)+IF(Atletas!B34="Feminino",1000,IF(Atletas!B34="Masculino",2000,""))+IF(Atletas!O34="Yang A",301,IF(Atletas!O34="Chen A",302,IF(Atletas!O34="Sun A",303,IF(Atletas!O34="Wu A",304,IF(Atletas!O34="Wu-Hao A",305,IF(Atletas!O34="Outro Taijiquan A",306,IF(Atletas!O34="Yang B",307,IF(Atletas!O34="Chen B",308,IF(Atletas!O34="Sun B",309,IF(Atletas!O34="Wu B",310,IF(Atletas!O34="Wu-Hao B",311,IF(Atletas!O34="Outro Taijiquan B",312,IF(Atletas!O34="Yang C",313,IF(Atletas!O34="Chen C",314,IF(Atletas!O34="Sun C",315,IF(Atletas!O34="Wu C",316,IF(Atletas!O34="Wu-Hao C",317,IF(Atletas!O34="Outro Taijiquan C",318,IF(Atletas!O34="Yang D",319,IF(Atletas!O34="Chen D",320,IF(Atletas!O34="Sun D",321,IF(Atletas!O34="Wu D",322,IF(Atletas!O34="Wu-Hao D",323,IF(Atletas!O34="Outro Taijiquan D",324,IF(Atletas!O34="Yang E",325,IF(Atletas!O34="Chen E",326,IF(Atletas!O34="Sun E",327,IF(Atletas!O34="Wu E",328,IF(Atletas!O34="Wu-Hao E",329,IF(Atletas!O34="Outro Taijiquan E",330,IF(Atletas!O34="Yang F",331,IF(Atletas!O34="Chen F",332,IF(Atletas!O34="Sun F",333,IF(Atletas!O34="Wu F",334,IF(Atletas!O34="Wu-Hao F",335,IF(Atletas!O34="Outro Taijiquan F",336,"")))))))))))))))))))))))))))))))))))))</f>
        <v/>
      </c>
      <c r="BW43" s="50" t="str">
        <f>IF(Atletas!P34="","",IF(Atletas!X34&lt;&gt;"",10000,0)+IF(Atletas!B34="Feminino",1000,IF(Atletas!B34="Masculino",2000,""))+IF(OR(Atletas!P34="Yang 26 A",Atletas!P34="Yang 40 A"),401,IF(OR(Atletas!P34="Chen 25 A",Atletas!P34="Chen 36 A",Atletas!P34="Chen 56 A"),402,IF(Atletas!P34="Sun 73 A",403,IF(Atletas!P34="Wu 45 A",404,IF(Atletas!P34="Wu-Hao 46 A",405,IF(OR(Atletas!P34="Taijiquan 16 A",Atletas!P34="Taijiquan 24 A",Atletas!P34="Taijiquan 32 A",Atletas!P34="Taijiquan 42 A"),406,IF(OR(Atletas!P34="Yang 26 B",Atletas!P34="Yang 40 B"),407,IF(OR(Atletas!P34="Chen 25 B",Atletas!P34="Chen 36 B",Atletas!P34="Chen 56 B"),408,IF(Atletas!P34="Sun 73 B",409,IF(Atletas!P34="Wu 45 B",410,IF(Atletas!P34="Wu-Hao 46 B",411,IF(OR(Atletas!P34="Taijiquan 16 B",Atletas!P34="Taijiquan 24 B",Atletas!P34="Taijiquan 32 B",Atletas!P34="Taijiquan 42 B"),412,IF(OR(Atletas!P34="Yang 26 C",Atletas!P34="Yang 40 C"),413,IF(OR(Atletas!P34="Chen 25 C",Atletas!P34="Chen 36 C",Atletas!P34="Chen 56 C"),414,IF(Atletas!P34="Sun 73 C",415,IF(Atletas!P34="Wu 45 C",416,IF(Atletas!P34="Wu-Hao 46 C",417,IF(OR(Atletas!P34="Taijiquan 16 C",Atletas!P34="Taijiquan 24 C",Atletas!P34="Taijiquan 32 C",Atletas!P34="Taijiquan 42 C"),418,0)))))))))))))))))))</f>
        <v/>
      </c>
      <c r="BX43" s="50" t="str">
        <f>IF(Atletas!P34="","",IF(Atletas!X34&lt;&gt;"",10000,0)+IF(Atletas!B34="Feminino",1000,IF(Atletas!B34="Masculino",2000,""))+IF(OR(Atletas!P34="Yang 26 D",Atletas!P34="Yang 40 D"),419,IF(OR(Atletas!P34="Chen 25 D",Atletas!P34="Chen 36 D",Atletas!P34="Chen 56 D"),420,IF(Atletas!P34="Sun 73 D",421,IF(Atletas!P34="Wu 45 D",422,IF(Atletas!P34="Wu-Hao 46 D",423,IF(OR(Atletas!P34="Taijiquan 16 D",Atletas!P34="Taijiquan 24 D",Atletas!P34="Taijiquan 32 D",Atletas!P34="Taijiquan 42 D"),424,IF(OR(Atletas!P34="Yang 26 E",Atletas!P34="Yang 40 E"),425,IF(OR(Atletas!P34="Chen 25 E",Atletas!P34="Chen 36 E",Atletas!P34="Chen 56 E"),426,IF(Atletas!P34="Sun 73 E",427,IF(Atletas!P34="Wu 45 E",428,IF(Atletas!P34="Wu-Hao 46 E",429,IF(OR(Atletas!P34="Taijiquan 16 E",Atletas!P34="Taijiquan 24 E",Atletas!P34="Taijiquan 32 E",Atletas!P34="Taijiquan 42 E"),430,IF(OR(Atletas!P34="Yang 26 F",Atletas!P34="Yang 40 F"),431,IF(OR(Atletas!P34="Chen 25 F",Atletas!P34="Chen 36 F",Atletas!P34="Chen 56 F"),432,IF(Atletas!P34="Sun 73 F",433,IF(Atletas!P34="Wu 45 F",434,IF(Atletas!P34="Wu-Hao 46 F",435,IF(OR(Atletas!P34="Taijiquan 16 F",Atletas!P34="Taijiquan 24 F",Atletas!P34="Taijiquan 32 F",Atletas!P34="Taijiquan 42 F"),436,0)))))))))))))))))))</f>
        <v/>
      </c>
      <c r="BY43" s="50" t="str">
        <f>IF(Atletas!Q34="","",IF(Atletas!X34&lt;&gt;"",10000,0)+IF(Atletas!B34="Feminino",1000,IF(Atletas!B34="Masculino",2000,""))+IF(Atletas!Q34="Xingyiquan A",501,IF(Atletas!Q34="Baguazhang A",502,IF(Atletas!Q34="Outro Estilo Interno A",503,IF(Atletas!Q34="Xingyiquan B",504,IF(Atletas!Q34="Baguazhang B",505,IF(Atletas!Q34="Outro Estilo Interno B",506,IF(Atletas!Q34="Xingyiquan C",507,IF(Atletas!Q34="Baguazhang C",508,IF(Atletas!Q34="Outro Estilo Interno C",509,IF(Atletas!Q34="Xingyiquan D",510,IF(Atletas!Q34="Baguazhang D",511,IF(Atletas!Q34="Outro Estilo Interno D",512,IF(Atletas!Q34="Xingyiquan E",513,IF(Atletas!Q34="Baguazhang E",514,IF(Atletas!Q34="Outro Estilo Interno E",515,IF(Atletas!Q34="Xingyiquan F",516,IF(Atletas!Q34="Baguazhang F",517,IF(Atletas!Q34="Outro Estilo Interno F",518, "")))))))))))))))))))</f>
        <v/>
      </c>
      <c r="BZ43" s="50" t="str">
        <f>IF(Atletas!R34="","",IF(Atletas!X34&lt;&gt;"",10000,0)+IF(Atletas!B34="Feminino",1000,IF(Atletas!B34="Masculino",2000,""))+IF(Atletas!R34="Dao A",601,IF(Atletas!R34="Jian A",602,IF(Atletas!R34="Bishou A",603,IF(Atletas!R34="Shanzi A",604,IF(Atletas!R34="Outra Arma Curta A",605,IF(Atletas!R34="Dao B",606,IF(Atletas!R34="Jian B",607,IF(Atletas!R34="Bishou B",608,IF(Atletas!R34="Shanzi B",609,IF(Atletas!R34="Outra Arma Curta B",610,IF(Atletas!R34="Dao C",611,IF(Atletas!R34="Jian C",612,IF(Atletas!R34="Bishou C",613,IF(Atletas!R34="Shanzi C",614,IF(Atletas!R34="Outra Arma Curta C",615,IF(Atletas!R34="Dao D",616,IF(Atletas!R34="Jian D",617,IF(Atletas!R34="Bishou D",618,IF(Atletas!R34="Shanzi D",619,IF(Atletas!R34="Outra Arma Curta D",620,IF(Atletas!R34="Dao E",621,IF(Atletas!R34="Jian E",622,IF(Atletas!R34="Bishou E",623,IF(Atletas!R34="Shanzi E",624,IF(Atletas!R34="Outra Arma Curta E",625,IF(Atletas!R34="Dao F",626,IF(Atletas!R34="Jian F",627,IF(Atletas!R34="Bishou F",628,IF(Atletas!R34="Shanzi F",629,IF(Atletas!R34="Outra Arma Curta F",630, "")))))))))))))))))))))))))))))))</f>
        <v/>
      </c>
      <c r="CA43" s="50" t="str">
        <f>IF(Atletas!S34="","",IF(Atletas!X34&lt;&gt;"",10000,0)+IF(Atletas!B34="Feminino",1000,IF(Atletas!B34="Masculino",2000,""))+IF(Atletas!S34="Gun A",701,IF(Atletas!S34="Qiang A",702,IF(Atletas!S34="Pudao / Guandao A",703,IF(Atletas!S34="Outra Arma Longa A",704,IF(Atletas!S34="Gun B",705,IF(Atletas!S34="Qiang B",706,IF(Atletas!S34="Pudao / Guandao B",707,IF(Atletas!S34="Outra Arma Longa B",708,IF(Atletas!S34="Gun C",709,IF(Atletas!S34="Qiang C",710,IF(Atletas!S34="Pudao / Guandao C",711,IF(Atletas!S34="Outra Arma Longa C",712,IF(Atletas!S34="Gun D",713,IF(Atletas!S34="Qiang D",714,IF(Atletas!S34="Pudao / Guandao D",715,IF(Atletas!S34="Outra Arma Longa D",716,IF(Atletas!S34="Gun E",717,IF(Atletas!S34="Qiang E",718,IF(Atletas!S34="Pudao / Guandao E",719,IF(Atletas!S34="Outra Arma Longa E",720,IF(Atletas!S34="Gun F",721,IF(Atletas!S34="Qiang F",722,IF(Atletas!S34="Pudao / Guandao F",723,IF(Atletas!S34="Outra Arma Longa F",724,"")))))))))))))))))))))))))</f>
        <v/>
      </c>
      <c r="CB43" s="50" t="str">
        <f>IF(Atletas!T34="","",IF(Atletas!X34&lt;&gt;"",10000,0)+IF(Atletas!B34="Feminino",1000,IF(Atletas!B34="Masculino",2000,""))+IF(Atletas!T34="Outra Arma Dupla A",801,IF(Atletas!T34="Arma Maleável A",802,IF(Atletas!T34="Outra Arma Dupla B",803,IF(Atletas!T34="Arma Maleável B",804,IF(Atletas!T34="Outra Arma Dupla C",805,IF(Atletas!T34="Arma Maleável C",806,IF(Atletas!T34="Outra Arma Dupla D",807,IF(Atletas!T34="Arma Maleável D",808,IF(Atletas!T34="Outra Arma Dupla E",809,IF(Atletas!T34="Arma Maleável E",810,IF(Atletas!T34="Outra Arma Dupla F",811,IF(Atletas!T34="Arma Maleável F",812,IF(Atletas!T34="Shuangdao A",813,IF(Atletas!T34="Shuangdao B",814,IF(Atletas!T34="Shuangdao C",815,IF(Atletas!T34="Shuangdao D",816,IF(Atletas!T34="Shuangdao E",817,IF(Atletas!T34="Shuangdao F",818,"")))))))))))))))))))</f>
        <v/>
      </c>
      <c r="CC43" s="50" t="str">
        <f>IF(Atletas!U34="","",IF(Atletas!X34&lt;&gt;"",10000,0)+IF(Atletas!B34="Feminino",1000,IF(Atletas!B34="Masculino",2000,""))+IF(OR(Atletas!U34="Taijijian Yang A",Atletas!U34="Taijijian Yang Standard A"),901,IF(OR(Atletas!U34="Taijijian Chen A", Atletas!U34="Taijijian Chen Standard A"),902,IF(Atletas!U34="Taijijian Sun A",903,IF(Atletas!U34="Taijijian Wu A",904,IF(Atletas!U34="Taijijian Wu-Hao A",905,IF(OR(Atletas!U34="Taijijian 32 A",Atletas!U34="Taijijian 42 A"),906,IF(OR(Atletas!U34="Taijijian Yang B",Atletas!U34="Taijijian Yang Standard B"),907,IF(OR(Atletas!U34="Taijijian Chen B", Atletas!U34="Taijijian Chen Standard B"),908,IF(Atletas!U34="Taijijian Sun B",909,IF(Atletas!U34="Taijijian Wu B",910,IF(Atletas!U34="Taijijian Wu-Hao B",911,IF(OR(Atletas!U34="Taijijian 32 B",Atletas!U34="Taijijian 42 B"),912,IF(OR(Atletas!U34="Taijijian Yang C",Atletas!U34="Taijijian Yang Standard C"),913,IF(OR(Atletas!U34="Taijijian Chen C", Atletas!U34="Taijijian Chen Standard C"),914,IF(Atletas!U34="Taijijian Sun C",915,IF(Atletas!U34="Taijijian Wu C",916,IF(Atletas!U34="Taijijian Wu-Hao C",917,IF(OR(Atletas!U34="Taijijian 32 C",Atletas!U34="Taijijian 42 C"),918,IF(OR(Atletas!U34="Taijijian Yang D",Atletas!U34="Taijijian Yang Standard D"),919,IF(OR(Atletas!U34="Taijijian Chen D", Atletas!U34="Taijijian Chen Standard D"),920,IF(Atletas!U34="Taijijian Sun D",921,IF(Atletas!U34="Taijijian Wu D",922,IF(Atletas!U34="Taijijian Wu-Hao D",923,IF(OR(Atletas!U34="Taijijian 32 D",Atletas!U34="Taijijian 42 D"),924,IF(OR(Atletas!U34="Taijijian Yang E",Atletas!U34="Taijijian Yang Standard E"),925,IF(OR(Atletas!U34="Taijijian Chen E", Atletas!U34="Taijijian Chen Standard E"),926,IF(Atletas!U34="Taijijian Sun E",927,IF(Atletas!U34="Taijijian Wu E",928,IF(Atletas!U34="Taijijian Wu-Hao E",929,IF(OR(Atletas!U34="Taijijian 32 E",Atletas!U34="Taijijian 42 E"),930,IF(OR(Atletas!U34="Taijijian Yang F",Atletas!U34="Taijijian Yang Standard F"),931,IF(OR(Atletas!U34="Taijijian Chen F", Atletas!U34="Taijijian Chen Standard F"),932,IF(Atletas!U34="Taijijian Sun F",933,IF(Atletas!U34="Taijijian Wu F",934,IF(Atletas!U34="Taijijian Wu-Hao F",935,IF(OR(Atletas!U34="Taijijian 32 F",Atletas!U34="Taijijian 42 F"),936,"")))))))))))))))))))))))))))))))))))))</f>
        <v/>
      </c>
      <c r="CD43" s="50" t="str">
        <f>IF(Atletas!V34="","",IF(Atletas!X34&lt;&gt;"",10000,0)+IF(Atletas!B34="Feminino",1000,IF(Atletas!B34="Masculino",2000,""))+IF(Atletas!V34="Taijidao A",937,IF(Atletas!V34="TaijiShanzi A",938,IF(Atletas!V34="Taijiqiang A",939,IF(Atletas!V34="Bagua de Arma A",940,IF(Atletas!V34="Xingyi de Arma A",941,IF(Atletas!V34="Taijidao B",942,IF(Atletas!V34="TaijiShanzi B",943,IF(Atletas!V34="Taijiqiang B",944,IF(Atletas!V34="Bagua de Arma B",945,IF(Atletas!V34="Xingyi de Arma B",946,IF(Atletas!V34="Taijidao C",947,IF(Atletas!V34="TaijiShanzi C",948,IF(Atletas!V34="Taijiqiang C",949,IF(Atletas!V34="Bagua de Arma C",950,IF(Atletas!V34="Xingyi de Arma C",951,IF(Atletas!V34="Taijidao D",952,IF(Atletas!V34="TaijiShanzi D",953,IF(Atletas!V34="Taijiqiang D",954,IF(Atletas!V34="Bagua de Arma D",955,IF(Atletas!V34="Xingyi de Arma D",956,IF(Atletas!V34="Taijidao E",957,IF(Atletas!V34="TaijiShanzi E",958,IF(Atletas!V34="Taijiqiang E",959,IF(Atletas!V34="Bagua de Arma E",960,IF(Atletas!V34="Xingyi de Arma E",961,IF(Atletas!V34="Taijidao F",962,IF(Atletas!V34="TaijiShanzi F",963,IF(Atletas!V34="Taijiqiang F",964,IF(Atletas!V34="Bagua de Arma F",965,IF(Atletas!V34="Xingyi de Arma F",966,"")))))))))))))))))))))))))))))))</f>
        <v/>
      </c>
      <c r="CE43" s="66" t="str">
        <f>IF(CF43&lt;&gt;"","Chaquan A","")</f>
        <v/>
      </c>
      <c r="CF43" s="66" t="str">
        <f>IF(COUNTIF(BR:CD,1101)&gt;0,COUNTIF(BR:CD,1101),"")</f>
        <v/>
      </c>
      <c r="CG43" s="66" t="str">
        <f>IF(CH43&lt;&gt;"","Chaquan A","")</f>
        <v/>
      </c>
      <c r="CH43" s="66" t="str">
        <f>IF(COUNTIF(BR:CD,2101)&gt;0,COUNTIF(BR:CD,2101),"")</f>
        <v/>
      </c>
      <c r="CI43" s="66" t="str">
        <f>IF(CJ43&lt;&gt;"","Piguaquan A","")</f>
        <v/>
      </c>
      <c r="CJ43" s="66" t="str">
        <f>IF(COUNTIF(BR:CD,11107)&gt;0,COUNTIF(BR:CD,11107),"")</f>
        <v/>
      </c>
      <c r="CK43" s="66" t="str">
        <f>IF(CL43&lt;&gt;"","Piguaquan A","")</f>
        <v/>
      </c>
      <c r="CL43" s="66" t="str">
        <f>IF(COUNTIF(BR:CD,12107)&gt;0,COUNTIF(BR:CD,12107),"")</f>
        <v/>
      </c>
      <c r="CM43" s="50" t="str">
        <f xml:space="preserve"> IF(Atletas!W34="","",IF(Atletas!W34="Duilian de Mãos BC - Equipe 1",1,IF(Atletas!W34="Duilian de Mãos BC - Equipe 2",2,IF(Atletas!W34="Duilian de Armas BC - Equipe 1",3,IF(Atletas!W34="Duilian de Armas BC - Equipe 2",4,IF(Atletas!W34="Duilian de Mãos DE - Equipe 1",5,IF(Atletas!W34="Duilian de Mãos DE - Equipe 2",6,IF(Atletas!W34="Duilian de Armas DE - Equipe 1",7,IF(Atletas!W34="Duilian de Armas DE - Equipe 2",8,IF(Atletas!W34="Duilian de Tuishou - Equipe 1",9,IF(Atletas!W34="Duilian de Tuishou - Equipe 2",10,IF(Atletas!W34="Grupo Externo ABC - Equipe 1",11,IF(Atletas!W34="Grupo Externo ABC - Equipe 2",12,IF(Atletas!W34="Grupo Interno ABC - Equipe 1",13,IF(Atletas!W34="Grupo Interno ABC - Equipe 2",14,IF(Atletas!W34="Grupo Externo DEF - Equipe 1",15,IF(Atletas!W34="Grupo Externo DEF - Equipe 2",16,IF(Atletas!W34="Grupo Interno DEF - Equipe 1",17,IF(Atletas!W34="Grupo Interno DEF - Equipe 2",18,"")))))))))))))))))))</f>
        <v/>
      </c>
      <c r="CY43" s="41"/>
    </row>
    <row r="44" spans="2:103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 t="str">
        <f t="array" ref="R44">IFERROR(INDEX(BI$7:BI$68,SMALL(IF(BI$7:BI$68&lt;&gt;"",ROW(BI$7:BI$68)-ROW(BI$7)+1),ROWS(BI$7:BI43))),"")</f>
        <v/>
      </c>
      <c r="S44" s="3" t="str">
        <f t="array" ref="S44">IFERROR(INDEX(BJ$7:BJ$68,SMALL(IF(BJ$7:BJ$68&lt;&gt;"",ROW(BJ$7:BJ$68)-ROW(BJ$7)+1),ROWS(BJ$7:BJ43))),"")</f>
        <v/>
      </c>
      <c r="T44" s="3" t="str">
        <f t="array" ref="T44">IFERROR(INDEX(BK$7:BK$68,SMALL(IF(BK$7:BK$68&lt;&gt;"",ROW(BK$7:BK$68)-ROW(BK$7)+1),ROWS(BK$7:BK43))),"")</f>
        <v/>
      </c>
      <c r="U44" s="3" t="str">
        <f t="array" ref="U44">IFERROR(INDEX(BL$7:BL$68,SMALL(IF(BL$7:BL$68&lt;&gt;"",ROW(BL$7:BL$68)-ROW(BL$7)+1),ROWS(BL$7:BL43))),"")</f>
        <v/>
      </c>
      <c r="V44" s="3"/>
      <c r="W44" s="3"/>
      <c r="X44" s="20"/>
      <c r="Y44" s="3"/>
      <c r="Z44" s="3" t="str">
        <f t="array" ref="Z44">IFERROR(INDEX(CE$7:CE$348,SMALL(IF(CE$7:CE$348&lt;&gt;"",ROW(CE$7:CE$348)-ROW(CE$7)+1),ROWS(CE$7:CE43))),"")</f>
        <v/>
      </c>
      <c r="AA44" s="3" t="str">
        <f t="array" ref="AA44">IFERROR(INDEX(CF$7:CF$348,SMALL(IF(CF$7:CF$348&lt;&gt;"",ROW(CF$7:CF$348)-ROW(CF$7)+1),ROWS(CF$7:CF43))),"")</f>
        <v/>
      </c>
      <c r="AB44" s="3" t="str">
        <f t="array" ref="AB44">IFERROR(INDEX(CG$7:CG$348,SMALL(IF(CG$7:CG$348&lt;&gt;"",ROW(CG$7:CG$348)-ROW(CG$7)+1),ROWS(CG$7:CG43))),"")</f>
        <v/>
      </c>
      <c r="AC44" s="3" t="str">
        <f t="array" ref="AC44">IFERROR(INDEX(CH$7:CH$348,SMALL(IF(CH$7:CH$348&lt;&gt;"",ROW(CH$7:CH$348)-ROW(CH$7)+1),ROWS(CH$7:CH43))),"")</f>
        <v/>
      </c>
      <c r="AD44" s="3" t="str">
        <f t="array" ref="AD44">IFERROR(INDEX(CI$7:CI$377,SMALL(IF(CI$7:CI$377&lt;&gt;"",ROW(CI$7:CI$377)-ROW(CI$7)+1),ROWS(CI$7:CI43))),"")</f>
        <v/>
      </c>
      <c r="AE44" s="3" t="str">
        <f t="array" ref="AE44">IFERROR(INDEX(CJ$7:CJ$378,SMALL(IF(CJ$7:CJ$378&lt;&gt;"",ROW(CJ$7:CJ$378)-ROW(CJ$7)+1),ROWS(CJ$7:CJ43))),"")</f>
        <v/>
      </c>
      <c r="AF44" s="3" t="str">
        <f t="array" ref="AF44">IFERROR(INDEX(CK$7:CK$378,SMALL(IF(CK$7:CK$378&lt;&gt;"",ROW(CK$7:CK$378)-ROW(CK$7)+1),ROWS(CK$7:CK43))),"")</f>
        <v/>
      </c>
      <c r="AG44" s="3" t="str">
        <f t="array" ref="AG44">IFERROR(INDEX(CL$7:CL$378,SMALL(IF(CL$7:CL$378&lt;&gt;"",ROW(CL$7:CL$378)-ROW(CL$7)+1),ROWS(CL$7:CL43))),"")</f>
        <v/>
      </c>
      <c r="AH44" s="3"/>
      <c r="AI44" s="3"/>
      <c r="AJ44" s="3"/>
      <c r="AK44" s="3"/>
      <c r="AL44" s="3"/>
      <c r="AM44" s="3"/>
      <c r="AN44" s="52" t="str">
        <f>IF(Atletas!D35="","",IF(Atletas!B35="Feminino",100,IF(Atletas!B35="Masculino",200,""))+(IF(Atletas!D35="Kids 30kg",1,IF(Atletas!D35="Kids 32kg",2, IF(Atletas!D35="Kids 34kg",3,IF(Atletas!D35="Kids 36kg",4,IF(Atletas!D35="Kids 39kg",5,IF(Atletas!D35="Kids 42kg",6,IF(Atletas!D35="Kids 45kg",7, IF(Atletas!D35="Infantil 39kg",8,IF(Atletas!D35="Infantil 42kg",9,IF(Atletas!D35="Infantil 45kg",10,IF(Atletas!D35="Infantil 48kg",11,IF(Atletas!D35="Infantil 52kg",12,IF(Atletas!D35="Infantil 56kg",13,IF(Atletas!D35="Infantil 60kg",14,IF(Atletas!D35="Juvenil 48kg",15,IF(Atletas!D35="Juvenil 52kg",16,IF(Atletas!D35="Juvenil 56kg",17,IF(Atletas!D35="Juvenil 60kg",18,IF(Atletas!D35="Juvenil 65kg",19,IF(Atletas!D35="Juvenil 70kg",20,IF(Atletas!D35="Juvenil 75kg",21,IF(Atletas!D35="Juvenil 80kg",22, IF(Atletas!D35="Juvenil 85kg",23,IF(Atletas!D35="Adulto 48kg",24,IF(Atletas!D35="Adulto 52kg",25,IF(Atletas!D35="Adulto 56kg",26,IF(Atletas!D35="Adulto 60kg",27,IF(Atletas!D35="Adulto 65kg",28,IF(Atletas!D35="Adulto 70kg",29,IF(Atletas!D35="Adulto 75kg",30,IF(Atletas!D35="Adulto 80kg",31,IF(Atletas!D35="Adulto 85kg",32,IF(Atletas!D35="Adulto 90kg",33,IF(Atletas!D35="Adulto 100kg",34, IF(Atletas!D35="Adulto +100kg",35,"")))))))))))))))))))))))))))))))))))))</f>
        <v/>
      </c>
      <c r="AS44" s="6" t="str">
        <f>IF(Atletas!E35="","",IF(Atletas!B35="Feminino",100,IF(Atletas!B35="Masculino",200,""))+(IF(Atletas!E35="Juvenil 44kg",1,IF(Atletas!E35="Juvenil 48kg",2,IF(Atletas!E35="Juvenil 52kg",3,IF(Atletas!E35="Juvenil 56kg",4,IF(Atletas!E35="Juvenil 60kg",5,IF(Atletas!E35="Juvenil 65kg",6,IF(Atletas!E35="Juvenil 70kg",7,IF(Atletas!E35="Juvenil 75kg",8,IF(Atletas!E35="Juvenil 82kg",9,IF(Atletas!E35="Juvenil 90kg",10,IF(Atletas!E35="Juvenil 100kg",11,IF(Atletas!E35="Adulto 48kg",12,IF(Atletas!E35="Adulto 52kg",13,IF(Atletas!E35="Adulto 56kg",14,IF(Atletas!E35="Adulto 60kg",15,IF(Atletas!E35="Adulto 65kg",16,IF(Atletas!E35="Adulto 70kg",17,IF(Atletas!E35="Adulto 75kg",18,IF(Atletas!E35="Adulto 82kg",19,IF(Atletas!E35="Adulto 90kg",20,IF(Atletas!E35="Adulto 100kg",21,IF(Atletas!E35="Adulto +100kg",22,""))))))))))))))))))))))))</f>
        <v/>
      </c>
      <c r="AX44" s="6" t="str">
        <f>IF(Atletas!F35="","",IF(Atletas!B35="Feminino",100,IF(Atletas!B35="Masculino",200,""))+(IF(Atletas!F35="Adulto 48kg",1,IF(Atletas!F35="Adulto 56kg",2,IF(Atletas!F35="Adulto 65kg",3,IF(Atletas!F35="Adulto 75kg",4,IF(Atletas!F35="Adulto +75kg",5,IF(Atletas!F35="Adulto 52kg",6,IF(Atletas!F35="Adulto 60kg",7,IF(Atletas!F35="Adulto 70kg",8,IF(Atletas!F35="Adulto 80kg",9,IF(Atletas!F35="Adulto 90kg",10,IF(Atletas!F35="Adulto +90kg",11,"")))))))))))))</f>
        <v/>
      </c>
      <c r="BC44" s="6" t="str">
        <f>IF(Atletas!G35="","",IF(Atletas!B35="Feminino",10,IF(Atletas!B35="Masculino",20,""))+(IF(Atletas!G35="Baduanjin A",1,IF(Atletas!G35="Baduanjin B",2))))</f>
        <v/>
      </c>
      <c r="BF44" s="52" t="str">
        <f>IF(Atletas!H35="","",IF(Atletas!B35="Feminino",100,IF(Atletas!B35="Masculino",200,""))+(IF(Atletas!H35="Changquan Mirim",1,IF(Atletas!H35="Nanquan Mirim",2,IF(Atletas!H35="Taijiquan Mirim",3,IF(Atletas!H35="Changquan Grupo C",4,IF(Atletas!H35="Nanquan Grupo C",5,IF(Atletas!H35="Taijiquan Grupo C",6,IF(Atletas!H35="Changquan Grupo B",7,IF(Atletas!H35="Nanquan Grupo B",8,IF(Atletas!H35="Taijiquan Grupo B",9,IF(Atletas!H35="Changquan Grupo A",10,IF(Atletas!H35="Nanquan Grupo A",11,IF(Atletas!H35="Taijiquan Grupo A",12,IF(Atletas!H35="Changquan Opcional",13,IF(Atletas!H35="Nanquan Opcional",14,IF(Atletas!H35="Taijiquan Opcional",15,IF(Atletas!H35="Changquan Adulto",16,IF(Atletas!H35="Nanquan Adulto",17,IF(Atletas!H35="Taijiquan Adulto",18,""))))))))))))))))))))</f>
        <v/>
      </c>
      <c r="BG44" s="52" t="str">
        <f>IF(Atletas!I35="","",IF(Atletas!B35="Feminino",100,IF(Atletas!B35="Masculino",200,""))+(IF(Atletas!I35="Daoshu Mirim",19,IF(Atletas!I35="Jianshu Mirim",20,IF(Atletas!I35="Nandao Mirim",21,IF(Atletas!I35="Taijijian Mirim",22,IF(Atletas!I35="Daoshu Grupo C",23,IF(Atletas!I35="Jianshu Grupo C",24,IF(Atletas!I35="Nandao Grupo C",25,IF(Atletas!I35="Taijijian Grupo C",26,IF(Atletas!I35="Daoshu Grupo B",27,IF(Atletas!I35="Jianshu Grupo B",28,IF(Atletas!I35="Nandao Grupo B",29,IF(Atletas!I35="Taijijian Grupo B",30,IF(Atletas!I35="Daoshu Grupo A",31,IF(Atletas!I35="Jianshu Grupo A",32,IF(Atletas!I35="Nandao Grupo A",33,IF(Atletas!I35="Taijijian Grupo A",34,IF(Atletas!I35="Daoshu Opcional",35,IF(Atletas!I35="Jianshu Opcional",36,IF(Atletas!I35="Nandao Opcional",37,IF(Atletas!I35="Taijijian Opcional",38,IF(Atletas!I35="Daoshu Adulto",39,IF(Atletas!I35="Jianshu Adulto",40,IF(Atletas!I35="Nandao Adulto",41,IF(Atletas!I35="Taijijian Adulto",42,""))))))))))))))))))))))))))</f>
        <v/>
      </c>
      <c r="BH44" s="52" t="str">
        <f>IF(Atletas!J35="","",IF(Atletas!B35="Feminino",100,IF(Atletas!B35="Masculino",200,""))+(IF(Atletas!J35="Gunshu Mirim",43,IF(Atletas!J35="Qiangshu Mirim",44,IF(Atletas!J35="Nangun Mirim",45,IF(Atletas!J35="Gunshu Grupo C",46,IF(Atletas!J35="Qiangshu Grupo C",47,IF(Atletas!J35="Nangun Grupo C",48,IF(Atletas!J35="Gunshu Grupo B",49,IF(Atletas!J35="Qiangshu Grupo B",50,IF(Atletas!J35="Nangun Grupo B",51,IF(Atletas!J35="Gunshu Grupo A",52,IF(Atletas!J35="Qiangshu Grupo A",53,IF(Atletas!J35="Nangun Grupo A",54,IF(Atletas!J35="Gunshu Opcional",55,IF(Atletas!J35="Qiangshu Opcional",56,IF(Atletas!J35="Nangun Opcional",57,IF(Atletas!J35="Gunshu Adulto",58,IF(Atletas!J35="Qiangshu Adulto",59,IF(Atletas!J35="Nangun Adulto",60,IF(Atletas!J35="Taijishan Grupo B",61,IF(Atletas!J35="Taijishan Grupo A",62,""))))))))))))))))))))))</f>
        <v/>
      </c>
      <c r="BI44" s="6" t="str">
        <f>IF(BJ44&lt;&gt;"","Taijijian Grupo A","")</f>
        <v/>
      </c>
      <c r="BJ44" s="50" t="str">
        <f>IF(COUNTIF(BF:BH,134)&gt;0,COUNTIF(BF:BH,134),"")</f>
        <v/>
      </c>
      <c r="BK44" s="6" t="str">
        <f>IF(BL44&lt;&gt;"","Taijijian Grupo A","")</f>
        <v/>
      </c>
      <c r="BL44" s="50" t="str">
        <f>IF(COUNTIF(BF:BH,234)&gt;0,COUNTIF(BF:BH,234),"")</f>
        <v/>
      </c>
      <c r="BM44" s="50" t="str">
        <f>IF(Atletas!K35="","",IF(Atletas!B35="Feminino",100,IF(Atletas!B35="Masculino",200,""))+(IF(Atletas!K35="Equipe 1 Grupo B",1,IF(Atletas!K35="Equipe 2 Grupo B",2,IF(Atletas!K35="Equipe 1 Grupo A",3,IF(Atletas!K35="Equipe 2 Grupo A",4,IF(Atletas!K35="Equipe 1 Adulto",5,IF(Atletas!K35="Equipe 2 Adulto",6,""))))))))</f>
        <v/>
      </c>
      <c r="BR44" s="50" t="str">
        <f>IF(Atletas!L35="","",IF(Atletas!X35&lt;&gt;"",10000,0)+(IF(Atletas!B35="Feminino",1000,IF(Atletas!B35="Masculino",2000,""))+IF(Atletas!L35="Choylayfut A",1,IF(Atletas!L35="Hunggar A",2,IF(Atletas!L35="Wuzuquan A",3,IF(Atletas!L35="Wingchun A",4,IF(Atletas!L35="Outra Mão de Sul A",5,IF(Atletas!L35="Choylayfut B",6,IF(Atletas!L35="Hunggar B",7,IF(Atletas!L35="Wuzuquan B",8,IF(Atletas!L35="Wingchun B",9,IF(Atletas!L35="Outra Mão de Sul B",10,IF(Atletas!L35="Choylayfut C",11,IF(Atletas!L35="Hunggar C",12,IF(Atletas!L35="Wuzuquan C",13,IF(Atletas!L35="Wingchun C",14,IF(Atletas!L35="Outra Mão de Sul C",15,IF(Atletas!L35="Choylayfut D",16,IF(Atletas!L35="Hunggar D",17,IF(Atletas!L35="Wuzuquan D",18,IF(Atletas!L35="Wingchun D",19,IF(Atletas!L35="Outra Mão de Sul D",20,IF(Atletas!L35="Choylayfut E",21,IF(Atletas!L35="Hunggar E",22,IF(Atletas!L35="Wuzuquan E",23,IF(Atletas!L35="Wingchun E",24,IF(Atletas!L35="Outra Mão de Sul E",25,IF(Atletas!L35="Choylayfut F",26,IF(Atletas!L35="Hunggar F",27,IF(Atletas!L35="Wuzuquan F",28,IF(Atletas!L35="Wingchun F",29,IF(Atletas!L35="Outra Mão de Sul F",30,IF(Atletas!L35="Dishuquan A",31,IF(Atletas!L35="Dishuquan B",32,IF(Atletas!L35="Dishuquan C",33,IF(Atletas!L35="Dishuquan D",34,IF(Atletas!L35="Dishuquan E",35,IF(Atletas!L35="Dishuquan F",36,""))))))))))))))))))))))))))))))))))))))</f>
        <v/>
      </c>
      <c r="BS44" s="50" t="str">
        <f>IF(Atletas!M35="","",IF(Atletas!X35&lt;&gt;"",10000,0)+(IF(Atletas!B35="Feminino",1000,IF(Atletas!B35="Masculino",2000,""))+(IF(Atletas!M35="Chaquan A",101,IF(Atletas!M35="Emeiquan A",102,IF(Atletas!M35="Fanziquan A",103,IF(Atletas!M35="Huaquan A",104,IF(Atletas!M35="Hongquan A",105,IF(Atletas!M35="Paoquan A",106,IF(Atletas!M35="Piguaquan A",107,IF(Atletas!M35="Shaolinquan A",108,IF(Atletas!M35="Tanglangquan A",109,IF(Atletas!M35="Yingzhaoquan A",110,IF(Atletas!M35="Tongbeiquan A",111,IF(Atletas!M35="Wudangquan A",112,IF(Atletas!M35="Outros Estilos A",113,IF(Atletas!M35="Chaquan B",114,IF(Atletas!M35="Emeiquan B",115,IF(Atletas!M35="Fanziquan B",116,IF(Atletas!M35="Huaquan B",117,IF(Atletas!M35="Hongquan B",118,IF(Atletas!M35="Paoquan B",119,IF(Atletas!M35="Piguaquan B",120,IF(Atletas!M35="Shaolinquan B",121,IF(Atletas!M35="Tanglangquan B",122,IF(Atletas!M35="Yingzhaoquan B",123,IF(Atletas!M35="Tongbeiquan B",124,IF(Atletas!M35="Wudangquan B",125,IF(Atletas!M35="Outros Estilos B",126,IF(Atletas!M35="Chaquan C",127,IF(Atletas!M35="Emeiquan C",128,IF(Atletas!M35="Fanziquan C",129,IF(Atletas!M35="Huaquan C",130,IF(Atletas!M35="Hongquan C",131,IF(Atletas!M35="Paoquan C",132,IF(Atletas!M35="Piguaquan C",133,IF(Atletas!M35="Shaolinquan C",134,IF(Atletas!M35="Tanglangquan C",135,IF(Atletas!M35="Yingzhaoquan C",136,IF(Atletas!M35="Tongbeiquan C",137,IF(Atletas!M35="Wudangquan C",138,IF(Atletas!M35="Outros Estilos C",139,0))))))))))))))))))))))))))))))))))))))))))</f>
        <v/>
      </c>
      <c r="BT44" s="50" t="str">
        <f>IF(Atletas!M35="","",IF(Atletas!X35&lt;&gt;"",10000,0)+(IF(Atletas!B35="Feminino",1000,IF(Atletas!B35="Masculino",2000,""))+(IF(Atletas!M35="Chaquan D",140,IF(Atletas!M35="Emeiquan D",141,IF(Atletas!M35="Fanziquan D",142,IF(Atletas!M35="Huaquan D",143,IF(Atletas!M35="Hongquan D",144,IF(Atletas!M35="Paoquan D",145,IF(Atletas!M35="Piguaquan D",146,IF(Atletas!M35="Shaolinquan D",147,IF(Atletas!M35="Tanglangquan D",148,IF(Atletas!M35="Yingzhaoquan D",149,IF(Atletas!M35="Tongbeiquan D",150,IF(Atletas!M35="Wudangquan D",151,IF(Atletas!M35="Outros Estilos D",152,IF(Atletas!M35="Chaquan E",153,IF(Atletas!M35="Emeiquan E",154,IF(Atletas!M35="Fanziquan E",155,IF(Atletas!M35="Huaquan E",156,IF(Atletas!M35="Hongquan E",157,IF(Atletas!M35="Paoquan E",158,IF(Atletas!M35="Piguaquan E",159,IF(Atletas!M35="Shaolinquan E",160,IF(Atletas!M35="Tanglangquan E",161,IF(Atletas!M35="Yingzhaoquan E",162,IF(Atletas!M35="Tongbeiquan E",163,IF(Atletas!M35="Wudangquan E",164,IF(Atletas!M35="Outros Estilos E",165,IF(Atletas!M35="Chaquan F",166,IF(Atletas!M35="Emeiquan F",167,IF(Atletas!M35="Fanziquan F",168,IF(Atletas!M35="Huaquan F",169,IF(Atletas!M35="Hongquan F",170,IF(Atletas!M35="Paoquan F",171,IF(Atletas!M35="Piguaquan F",172,IF(Atletas!M35="Shaolinquan F",173,IF(Atletas!M35="Tanglangquan F",174,IF(Atletas!M35="Yingzhaoquan F",175,IF(Atletas!M35="Tongbeiquan F",176,IF(Atletas!M35="Wudangquan F",177,IF(Atletas!M35="Outros Estilos F",178,0))))))))))))))))))))))))))))))))))))))))))</f>
        <v/>
      </c>
      <c r="BU44" s="50" t="str">
        <f>IF(Atletas!N35="","",IF(Atletas!X35&lt;&gt;"",10000,0)+(IF(Atletas!B35="Feminino",1000,IF(Atletas!B35="Masculino",2000,""))+(IF(Atletas!N35="Ditangquan A",201,IF(Atletas!N35="Houquan A",202,IF(Atletas!N35="Zuiquan A",203,IF(Atletas!N35="Ditangquan B",204,IF(Atletas!N35="Houquan B",205,IF(Atletas!N35="Zuiquan B",206,IF(Atletas!N35="Ditangquan C",207,IF(Atletas!N35="Houquan C",208,IF(Atletas!N35="Zuiquan C",209,IF(Atletas!N35="Ditangquan D",210,IF(Atletas!N35="Houquan D",211,IF(Atletas!N35="Zuiquan D",212,IF(Atletas!N35="Ditangquan E",213,IF(Atletas!N35="Houquan E",214,IF(Atletas!N35="Zuiquan E",215,IF(Atletas!N35="Ditangquan F",216,IF(Atletas!N35="Houquan F",217,IF(Atletas!N35="Zuiquan F",218,"")))))))))))))))))))))</f>
        <v/>
      </c>
      <c r="BV44" s="50" t="str">
        <f>IF(Atletas!O35="","",IF(Atletas!X35&lt;&gt;"",10000,0)+IF(Atletas!B35="Feminino",1000,IF(Atletas!B35="Masculino",2000,""))+IF(Atletas!O35="Yang A",301,IF(Atletas!O35="Chen A",302,IF(Atletas!O35="Sun A",303,IF(Atletas!O35="Wu A",304,IF(Atletas!O35="Wu-Hao A",305,IF(Atletas!O35="Outro Taijiquan A",306,IF(Atletas!O35="Yang B",307,IF(Atletas!O35="Chen B",308,IF(Atletas!O35="Sun B",309,IF(Atletas!O35="Wu B",310,IF(Atletas!O35="Wu-Hao B",311,IF(Atletas!O35="Outro Taijiquan B",312,IF(Atletas!O35="Yang C",313,IF(Atletas!O35="Chen C",314,IF(Atletas!O35="Sun C",315,IF(Atletas!O35="Wu C",316,IF(Atletas!O35="Wu-Hao C",317,IF(Atletas!O35="Outro Taijiquan C",318,IF(Atletas!O35="Yang D",319,IF(Atletas!O35="Chen D",320,IF(Atletas!O35="Sun D",321,IF(Atletas!O35="Wu D",322,IF(Atletas!O35="Wu-Hao D",323,IF(Atletas!O35="Outro Taijiquan D",324,IF(Atletas!O35="Yang E",325,IF(Atletas!O35="Chen E",326,IF(Atletas!O35="Sun E",327,IF(Atletas!O35="Wu E",328,IF(Atletas!O35="Wu-Hao E",329,IF(Atletas!O35="Outro Taijiquan E",330,IF(Atletas!O35="Yang F",331,IF(Atletas!O35="Chen F",332,IF(Atletas!O35="Sun F",333,IF(Atletas!O35="Wu F",334,IF(Atletas!O35="Wu-Hao F",335,IF(Atletas!O35="Outro Taijiquan F",336,"")))))))))))))))))))))))))))))))))))))</f>
        <v/>
      </c>
      <c r="BW44" s="50" t="str">
        <f>IF(Atletas!P35="","",IF(Atletas!X35&lt;&gt;"",10000,0)+IF(Atletas!B35="Feminino",1000,IF(Atletas!B35="Masculino",2000,""))+IF(OR(Atletas!P35="Yang 26 A",Atletas!P35="Yang 40 A"),401,IF(OR(Atletas!P35="Chen 25 A",Atletas!P35="Chen 36 A",Atletas!P35="Chen 56 A"),402,IF(Atletas!P35="Sun 73 A",403,IF(Atletas!P35="Wu 45 A",404,IF(Atletas!P35="Wu-Hao 46 A",405,IF(OR(Atletas!P35="Taijiquan 16 A",Atletas!P35="Taijiquan 24 A",Atletas!P35="Taijiquan 32 A",Atletas!P35="Taijiquan 42 A"),406,IF(OR(Atletas!P35="Yang 26 B",Atletas!P35="Yang 40 B"),407,IF(OR(Atletas!P35="Chen 25 B",Atletas!P35="Chen 36 B",Atletas!P35="Chen 56 B"),408,IF(Atletas!P35="Sun 73 B",409,IF(Atletas!P35="Wu 45 B",410,IF(Atletas!P35="Wu-Hao 46 B",411,IF(OR(Atletas!P35="Taijiquan 16 B",Atletas!P35="Taijiquan 24 B",Atletas!P35="Taijiquan 32 B",Atletas!P35="Taijiquan 42 B"),412,IF(OR(Atletas!P35="Yang 26 C",Atletas!P35="Yang 40 C"),413,IF(OR(Atletas!P35="Chen 25 C",Atletas!P35="Chen 36 C",Atletas!P35="Chen 56 C"),414,IF(Atletas!P35="Sun 73 C",415,IF(Atletas!P35="Wu 45 C",416,IF(Atletas!P35="Wu-Hao 46 C",417,IF(OR(Atletas!P35="Taijiquan 16 C",Atletas!P35="Taijiquan 24 C",Atletas!P35="Taijiquan 32 C",Atletas!P35="Taijiquan 42 C"),418,0)))))))))))))))))))</f>
        <v/>
      </c>
      <c r="BX44" s="50" t="str">
        <f>IF(Atletas!P35="","",IF(Atletas!X35&lt;&gt;"",10000,0)+IF(Atletas!B35="Feminino",1000,IF(Atletas!B35="Masculino",2000,""))+IF(OR(Atletas!P35="Yang 26 D",Atletas!P35="Yang 40 D"),419,IF(OR(Atletas!P35="Chen 25 D",Atletas!P35="Chen 36 D",Atletas!P35="Chen 56 D"),420,IF(Atletas!P35="Sun 73 D",421,IF(Atletas!P35="Wu 45 D",422,IF(Atletas!P35="Wu-Hao 46 D",423,IF(OR(Atletas!P35="Taijiquan 16 D",Atletas!P35="Taijiquan 24 D",Atletas!P35="Taijiquan 32 D",Atletas!P35="Taijiquan 42 D"),424,IF(OR(Atletas!P35="Yang 26 E",Atletas!P35="Yang 40 E"),425,IF(OR(Atletas!P35="Chen 25 E",Atletas!P35="Chen 36 E",Atletas!P35="Chen 56 E"),426,IF(Atletas!P35="Sun 73 E",427,IF(Atletas!P35="Wu 45 E",428,IF(Atletas!P35="Wu-Hao 46 E",429,IF(OR(Atletas!P35="Taijiquan 16 E",Atletas!P35="Taijiquan 24 E",Atletas!P35="Taijiquan 32 E",Atletas!P35="Taijiquan 42 E"),430,IF(OR(Atletas!P35="Yang 26 F",Atletas!P35="Yang 40 F"),431,IF(OR(Atletas!P35="Chen 25 F",Atletas!P35="Chen 36 F",Atletas!P35="Chen 56 F"),432,IF(Atletas!P35="Sun 73 F",433,IF(Atletas!P35="Wu 45 F",434,IF(Atletas!P35="Wu-Hao 46 F",435,IF(OR(Atletas!P35="Taijiquan 16 F",Atletas!P35="Taijiquan 24 F",Atletas!P35="Taijiquan 32 F",Atletas!P35="Taijiquan 42 F"),436,0)))))))))))))))))))</f>
        <v/>
      </c>
      <c r="BY44" s="50" t="str">
        <f>IF(Atletas!Q35="","",IF(Atletas!X35&lt;&gt;"",10000,0)+IF(Atletas!B35="Feminino",1000,IF(Atletas!B35="Masculino",2000,""))+IF(Atletas!Q35="Xingyiquan A",501,IF(Atletas!Q35="Baguazhang A",502,IF(Atletas!Q35="Outro Estilo Interno A",503,IF(Atletas!Q35="Xingyiquan B",504,IF(Atletas!Q35="Baguazhang B",505,IF(Atletas!Q35="Outro Estilo Interno B",506,IF(Atletas!Q35="Xingyiquan C",507,IF(Atletas!Q35="Baguazhang C",508,IF(Atletas!Q35="Outro Estilo Interno C",509,IF(Atletas!Q35="Xingyiquan D",510,IF(Atletas!Q35="Baguazhang D",511,IF(Atletas!Q35="Outro Estilo Interno D",512,IF(Atletas!Q35="Xingyiquan E",513,IF(Atletas!Q35="Baguazhang E",514,IF(Atletas!Q35="Outro Estilo Interno E",515,IF(Atletas!Q35="Xingyiquan F",516,IF(Atletas!Q35="Baguazhang F",517,IF(Atletas!Q35="Outro Estilo Interno F",518, "")))))))))))))))))))</f>
        <v/>
      </c>
      <c r="BZ44" s="50" t="str">
        <f>IF(Atletas!R35="","",IF(Atletas!X35&lt;&gt;"",10000,0)+IF(Atletas!B35="Feminino",1000,IF(Atletas!B35="Masculino",2000,""))+IF(Atletas!R35="Dao A",601,IF(Atletas!R35="Jian A",602,IF(Atletas!R35="Bishou A",603,IF(Atletas!R35="Shanzi A",604,IF(Atletas!R35="Outra Arma Curta A",605,IF(Atletas!R35="Dao B",606,IF(Atletas!R35="Jian B",607,IF(Atletas!R35="Bishou B",608,IF(Atletas!R35="Shanzi B",609,IF(Atletas!R35="Outra Arma Curta B",610,IF(Atletas!R35="Dao C",611,IF(Atletas!R35="Jian C",612,IF(Atletas!R35="Bishou C",613,IF(Atletas!R35="Shanzi C",614,IF(Atletas!R35="Outra Arma Curta C",615,IF(Atletas!R35="Dao D",616,IF(Atletas!R35="Jian D",617,IF(Atletas!R35="Bishou D",618,IF(Atletas!R35="Shanzi D",619,IF(Atletas!R35="Outra Arma Curta D",620,IF(Atletas!R35="Dao E",621,IF(Atletas!R35="Jian E",622,IF(Atletas!R35="Bishou E",623,IF(Atletas!R35="Shanzi E",624,IF(Atletas!R35="Outra Arma Curta E",625,IF(Atletas!R35="Dao F",626,IF(Atletas!R35="Jian F",627,IF(Atletas!R35="Bishou F",628,IF(Atletas!R35="Shanzi F",629,IF(Atletas!R35="Outra Arma Curta F",630, "")))))))))))))))))))))))))))))))</f>
        <v/>
      </c>
      <c r="CA44" s="50" t="str">
        <f>IF(Atletas!S35="","",IF(Atletas!X35&lt;&gt;"",10000,0)+IF(Atletas!B35="Feminino",1000,IF(Atletas!B35="Masculino",2000,""))+IF(Atletas!S35="Gun A",701,IF(Atletas!S35="Qiang A",702,IF(Atletas!S35="Pudao / Guandao A",703,IF(Atletas!S35="Outra Arma Longa A",704,IF(Atletas!S35="Gun B",705,IF(Atletas!S35="Qiang B",706,IF(Atletas!S35="Pudao / Guandao B",707,IF(Atletas!S35="Outra Arma Longa B",708,IF(Atletas!S35="Gun C",709,IF(Atletas!S35="Qiang C",710,IF(Atletas!S35="Pudao / Guandao C",711,IF(Atletas!S35="Outra Arma Longa C",712,IF(Atletas!S35="Gun D",713,IF(Atletas!S35="Qiang D",714,IF(Atletas!S35="Pudao / Guandao D",715,IF(Atletas!S35="Outra Arma Longa D",716,IF(Atletas!S35="Gun E",717,IF(Atletas!S35="Qiang E",718,IF(Atletas!S35="Pudao / Guandao E",719,IF(Atletas!S35="Outra Arma Longa E",720,IF(Atletas!S35="Gun F",721,IF(Atletas!S35="Qiang F",722,IF(Atletas!S35="Pudao / Guandao F",723,IF(Atletas!S35="Outra Arma Longa F",724,"")))))))))))))))))))))))))</f>
        <v/>
      </c>
      <c r="CB44" s="50" t="str">
        <f>IF(Atletas!T35="","",IF(Atletas!X35&lt;&gt;"",10000,0)+IF(Atletas!B35="Feminino",1000,IF(Atletas!B35="Masculino",2000,""))+IF(Atletas!T35="Outra Arma Dupla A",801,IF(Atletas!T35="Arma Maleável A",802,IF(Atletas!T35="Outra Arma Dupla B",803,IF(Atletas!T35="Arma Maleável B",804,IF(Atletas!T35="Outra Arma Dupla C",805,IF(Atletas!T35="Arma Maleável C",806,IF(Atletas!T35="Outra Arma Dupla D",807,IF(Atletas!T35="Arma Maleável D",808,IF(Atletas!T35="Outra Arma Dupla E",809,IF(Atletas!T35="Arma Maleável E",810,IF(Atletas!T35="Outra Arma Dupla F",811,IF(Atletas!T35="Arma Maleável F",812,IF(Atletas!T35="Shuangdao A",813,IF(Atletas!T35="Shuangdao B",814,IF(Atletas!T35="Shuangdao C",815,IF(Atletas!T35="Shuangdao D",816,IF(Atletas!T35="Shuangdao E",817,IF(Atletas!T35="Shuangdao F",818,"")))))))))))))))))))</f>
        <v/>
      </c>
      <c r="CC44" s="50" t="str">
        <f>IF(Atletas!U35="","",IF(Atletas!X35&lt;&gt;"",10000,0)+IF(Atletas!B35="Feminino",1000,IF(Atletas!B35="Masculino",2000,""))+IF(OR(Atletas!U35="Taijijian Yang A",Atletas!U35="Taijijian Yang Standard A"),901,IF(OR(Atletas!U35="Taijijian Chen A", Atletas!U35="Taijijian Chen Standard A"),902,IF(Atletas!U35="Taijijian Sun A",903,IF(Atletas!U35="Taijijian Wu A",904,IF(Atletas!U35="Taijijian Wu-Hao A",905,IF(OR(Atletas!U35="Taijijian 32 A",Atletas!U35="Taijijian 42 A"),906,IF(OR(Atletas!U35="Taijijian Yang B",Atletas!U35="Taijijian Yang Standard B"),907,IF(OR(Atletas!U35="Taijijian Chen B", Atletas!U35="Taijijian Chen Standard B"),908,IF(Atletas!U35="Taijijian Sun B",909,IF(Atletas!U35="Taijijian Wu B",910,IF(Atletas!U35="Taijijian Wu-Hao B",911,IF(OR(Atletas!U35="Taijijian 32 B",Atletas!U35="Taijijian 42 B"),912,IF(OR(Atletas!U35="Taijijian Yang C",Atletas!U35="Taijijian Yang Standard C"),913,IF(OR(Atletas!U35="Taijijian Chen C", Atletas!U35="Taijijian Chen Standard C"),914,IF(Atletas!U35="Taijijian Sun C",915,IF(Atletas!U35="Taijijian Wu C",916,IF(Atletas!U35="Taijijian Wu-Hao C",917,IF(OR(Atletas!U35="Taijijian 32 C",Atletas!U35="Taijijian 42 C"),918,IF(OR(Atletas!U35="Taijijian Yang D",Atletas!U35="Taijijian Yang Standard D"),919,IF(OR(Atletas!U35="Taijijian Chen D", Atletas!U35="Taijijian Chen Standard D"),920,IF(Atletas!U35="Taijijian Sun D",921,IF(Atletas!U35="Taijijian Wu D",922,IF(Atletas!U35="Taijijian Wu-Hao D",923,IF(OR(Atletas!U35="Taijijian 32 D",Atletas!U35="Taijijian 42 D"),924,IF(OR(Atletas!U35="Taijijian Yang E",Atletas!U35="Taijijian Yang Standard E"),925,IF(OR(Atletas!U35="Taijijian Chen E", Atletas!U35="Taijijian Chen Standard E"),926,IF(Atletas!U35="Taijijian Sun E",927,IF(Atletas!U35="Taijijian Wu E",928,IF(Atletas!U35="Taijijian Wu-Hao E",929,IF(OR(Atletas!U35="Taijijian 32 E",Atletas!U35="Taijijian 42 E"),930,IF(OR(Atletas!U35="Taijijian Yang F",Atletas!U35="Taijijian Yang Standard F"),931,IF(OR(Atletas!U35="Taijijian Chen F", Atletas!U35="Taijijian Chen Standard F"),932,IF(Atletas!U35="Taijijian Sun F",933,IF(Atletas!U35="Taijijian Wu F",934,IF(Atletas!U35="Taijijian Wu-Hao F",935,IF(OR(Atletas!U35="Taijijian 32 F",Atletas!U35="Taijijian 42 F"),936,"")))))))))))))))))))))))))))))))))))))</f>
        <v/>
      </c>
      <c r="CD44" s="50" t="str">
        <f>IF(Atletas!V35="","",IF(Atletas!X35&lt;&gt;"",10000,0)+IF(Atletas!B35="Feminino",1000,IF(Atletas!B35="Masculino",2000,""))+IF(Atletas!V35="Taijidao A",937,IF(Atletas!V35="TaijiShanzi A",938,IF(Atletas!V35="Taijiqiang A",939,IF(Atletas!V35="Bagua de Arma A",940,IF(Atletas!V35="Xingyi de Arma A",941,IF(Atletas!V35="Taijidao B",942,IF(Atletas!V35="TaijiShanzi B",943,IF(Atletas!V35="Taijiqiang B",944,IF(Atletas!V35="Bagua de Arma B",945,IF(Atletas!V35="Xingyi de Arma B",946,IF(Atletas!V35="Taijidao C",947,IF(Atletas!V35="TaijiShanzi C",948,IF(Atletas!V35="Taijiqiang C",949,IF(Atletas!V35="Bagua de Arma C",950,IF(Atletas!V35="Xingyi de Arma C",951,IF(Atletas!V35="Taijidao D",952,IF(Atletas!V35="TaijiShanzi D",953,IF(Atletas!V35="Taijiqiang D",954,IF(Atletas!V35="Bagua de Arma D",955,IF(Atletas!V35="Xingyi de Arma D",956,IF(Atletas!V35="Taijidao E",957,IF(Atletas!V35="TaijiShanzi E",958,IF(Atletas!V35="Taijiqiang E",959,IF(Atletas!V35="Bagua de Arma E",960,IF(Atletas!V35="Xingyi de Arma E",961,IF(Atletas!V35="Taijidao F",962,IF(Atletas!V35="TaijiShanzi F",963,IF(Atletas!V35="Taijiqiang F",964,IF(Atletas!V35="Bagua de Arma F",965,IF(Atletas!V35="Xingyi de Arma F",966,"")))))))))))))))))))))))))))))))</f>
        <v/>
      </c>
      <c r="CE44" s="66" t="str">
        <f>IF(CF44&lt;&gt;"","Emeiquan A","")</f>
        <v/>
      </c>
      <c r="CF44" s="66" t="str">
        <f>IF(COUNTIF(BR:CD,1102)&gt;0,COUNTIF(BR:CD,1102),"")</f>
        <v/>
      </c>
      <c r="CG44" s="66" t="str">
        <f>IF(CH44&lt;&gt;"","Emeiquan A","")</f>
        <v/>
      </c>
      <c r="CH44" s="66" t="str">
        <f>IF(COUNTIF(BR:CD,2102)&gt;0,COUNTIF(BR:CD,2102),"")</f>
        <v/>
      </c>
      <c r="CI44" s="66" t="str">
        <f>IF(CJ44&lt;&gt;"","Shaolinquan A","")</f>
        <v/>
      </c>
      <c r="CJ44" s="66" t="str">
        <f>IF(COUNTIF(BR:CD,11108)&gt;0,COUNTIF(BR:CD,11108),"")</f>
        <v/>
      </c>
      <c r="CK44" s="66" t="str">
        <f>IF(CL44&lt;&gt;"","Shaolinquan A","")</f>
        <v/>
      </c>
      <c r="CL44" s="66" t="str">
        <f>IF(COUNTIF(BR:CD,12108)&gt;0,COUNTIF(BR:CD,12108),"")</f>
        <v/>
      </c>
      <c r="CM44" s="50" t="str">
        <f xml:space="preserve"> IF(Atletas!W35="","",IF(Atletas!W35="Duilian de Mãos BC - Equipe 1",1,IF(Atletas!W35="Duilian de Mãos BC - Equipe 2",2,IF(Atletas!W35="Duilian de Armas BC - Equipe 1",3,IF(Atletas!W35="Duilian de Armas BC - Equipe 2",4,IF(Atletas!W35="Duilian de Mãos DE - Equipe 1",5,IF(Atletas!W35="Duilian de Mãos DE - Equipe 2",6,IF(Atletas!W35="Duilian de Armas DE - Equipe 1",7,IF(Atletas!W35="Duilian de Armas DE - Equipe 2",8,IF(Atletas!W35="Duilian de Tuishou - Equipe 1",9,IF(Atletas!W35="Duilian de Tuishou - Equipe 2",10,IF(Atletas!W35="Grupo Externo ABC - Equipe 1",11,IF(Atletas!W35="Grupo Externo ABC - Equipe 2",12,IF(Atletas!W35="Grupo Interno ABC - Equipe 1",13,IF(Atletas!W35="Grupo Interno ABC - Equipe 2",14,IF(Atletas!W35="Grupo Externo DEF - Equipe 1",15,IF(Atletas!W35="Grupo Externo DEF - Equipe 2",16,IF(Atletas!W35="Grupo Interno DEF - Equipe 1",17,IF(Atletas!W35="Grupo Interno DEF - Equipe 2",18,"")))))))))))))))))))</f>
        <v/>
      </c>
      <c r="CY44" s="41"/>
    </row>
    <row r="45" spans="2:103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 t="str">
        <f t="array" ref="R45">IFERROR(INDEX(BI$7:BI$68,SMALL(IF(BI$7:BI$68&lt;&gt;"",ROW(BI$7:BI$68)-ROW(BI$7)+1),ROWS(BI$7:BI44))),"")</f>
        <v/>
      </c>
      <c r="S45" s="3" t="str">
        <f t="array" ref="S45">IFERROR(INDEX(BJ$7:BJ$68,SMALL(IF(BJ$7:BJ$68&lt;&gt;"",ROW(BJ$7:BJ$68)-ROW(BJ$7)+1),ROWS(BJ$7:BJ44))),"")</f>
        <v/>
      </c>
      <c r="T45" s="3" t="str">
        <f t="array" ref="T45">IFERROR(INDEX(BK$7:BK$68,SMALL(IF(BK$7:BK$68&lt;&gt;"",ROW(BK$7:BK$68)-ROW(BK$7)+1),ROWS(BK$7:BK44))),"")</f>
        <v/>
      </c>
      <c r="U45" s="3" t="str">
        <f t="array" ref="U45">IFERROR(INDEX(BL$7:BL$68,SMALL(IF(BL$7:BL$68&lt;&gt;"",ROW(BL$7:BL$68)-ROW(BL$7)+1),ROWS(BL$7:BL44))),"")</f>
        <v/>
      </c>
      <c r="V45" s="3"/>
      <c r="W45" s="3"/>
      <c r="X45" s="20"/>
      <c r="Y45" s="3"/>
      <c r="Z45" s="3" t="str">
        <f t="array" ref="Z45">IFERROR(INDEX(CE$7:CE$348,SMALL(IF(CE$7:CE$348&lt;&gt;"",ROW(CE$7:CE$348)-ROW(CE$7)+1),ROWS(CE$7:CE44))),"")</f>
        <v/>
      </c>
      <c r="AA45" s="3" t="str">
        <f t="array" ref="AA45">IFERROR(INDEX(CF$7:CF$348,SMALL(IF(CF$7:CF$348&lt;&gt;"",ROW(CF$7:CF$348)-ROW(CF$7)+1),ROWS(CF$7:CF44))),"")</f>
        <v/>
      </c>
      <c r="AB45" s="3" t="str">
        <f t="array" ref="AB45">IFERROR(INDEX(CG$7:CG$348,SMALL(IF(CG$7:CG$348&lt;&gt;"",ROW(CG$7:CG$348)-ROW(CG$7)+1),ROWS(CG$7:CG44))),"")</f>
        <v/>
      </c>
      <c r="AC45" s="3" t="str">
        <f t="array" ref="AC45">IFERROR(INDEX(CH$7:CH$348,SMALL(IF(CH$7:CH$348&lt;&gt;"",ROW(CH$7:CH$348)-ROW(CH$7)+1),ROWS(CH$7:CH44))),"")</f>
        <v/>
      </c>
      <c r="AD45" s="3" t="str">
        <f t="array" ref="AD45">IFERROR(INDEX(CI$7:CI$377,SMALL(IF(CI$7:CI$377&lt;&gt;"",ROW(CI$7:CI$377)-ROW(CI$7)+1),ROWS(CI$7:CI44))),"")</f>
        <v/>
      </c>
      <c r="AE45" s="3" t="str">
        <f t="array" ref="AE45">IFERROR(INDEX(CJ$7:CJ$378,SMALL(IF(CJ$7:CJ$378&lt;&gt;"",ROW(CJ$7:CJ$378)-ROW(CJ$7)+1),ROWS(CJ$7:CJ44))),"")</f>
        <v/>
      </c>
      <c r="AF45" s="3" t="str">
        <f t="array" ref="AF45">IFERROR(INDEX(CK$7:CK$378,SMALL(IF(CK$7:CK$378&lt;&gt;"",ROW(CK$7:CK$378)-ROW(CK$7)+1),ROWS(CK$7:CK44))),"")</f>
        <v/>
      </c>
      <c r="AG45" s="3" t="str">
        <f t="array" ref="AG45">IFERROR(INDEX(CL$7:CL$378,SMALL(IF(CL$7:CL$378&lt;&gt;"",ROW(CL$7:CL$378)-ROW(CL$7)+1),ROWS(CL$7:CL44))),"")</f>
        <v/>
      </c>
      <c r="AH45" s="3"/>
      <c r="AI45" s="3"/>
      <c r="AJ45" s="3"/>
      <c r="AK45" s="3"/>
      <c r="AL45" s="3"/>
      <c r="AM45" s="3"/>
      <c r="AN45" s="52" t="str">
        <f>IF(Atletas!D36="","",IF(Atletas!B36="Feminino",100,IF(Atletas!B36="Masculino",200,""))+(IF(Atletas!D36="Kids 30kg",1,IF(Atletas!D36="Kids 32kg",2, IF(Atletas!D36="Kids 34kg",3,IF(Atletas!D36="Kids 36kg",4,IF(Atletas!D36="Kids 39kg",5,IF(Atletas!D36="Kids 42kg",6,IF(Atletas!D36="Kids 45kg",7, IF(Atletas!D36="Infantil 39kg",8,IF(Atletas!D36="Infantil 42kg",9,IF(Atletas!D36="Infantil 45kg",10,IF(Atletas!D36="Infantil 48kg",11,IF(Atletas!D36="Infantil 52kg",12,IF(Atletas!D36="Infantil 56kg",13,IF(Atletas!D36="Infantil 60kg",14,IF(Atletas!D36="Juvenil 48kg",15,IF(Atletas!D36="Juvenil 52kg",16,IF(Atletas!D36="Juvenil 56kg",17,IF(Atletas!D36="Juvenil 60kg",18,IF(Atletas!D36="Juvenil 65kg",19,IF(Atletas!D36="Juvenil 70kg",20,IF(Atletas!D36="Juvenil 75kg",21,IF(Atletas!D36="Juvenil 80kg",22, IF(Atletas!D36="Juvenil 85kg",23,IF(Atletas!D36="Adulto 48kg",24,IF(Atletas!D36="Adulto 52kg",25,IF(Atletas!D36="Adulto 56kg",26,IF(Atletas!D36="Adulto 60kg",27,IF(Atletas!D36="Adulto 65kg",28,IF(Atletas!D36="Adulto 70kg",29,IF(Atletas!D36="Adulto 75kg",30,IF(Atletas!D36="Adulto 80kg",31,IF(Atletas!D36="Adulto 85kg",32,IF(Atletas!D36="Adulto 90kg",33,IF(Atletas!D36="Adulto 100kg",34, IF(Atletas!D36="Adulto +100kg",35,"")))))))))))))))))))))))))))))))))))))</f>
        <v/>
      </c>
      <c r="AS45" s="6" t="str">
        <f>IF(Atletas!E36="","",IF(Atletas!B36="Feminino",100,IF(Atletas!B36="Masculino",200,""))+(IF(Atletas!E36="Juvenil 44kg",1,IF(Atletas!E36="Juvenil 48kg",2,IF(Atletas!E36="Juvenil 52kg",3,IF(Atletas!E36="Juvenil 56kg",4,IF(Atletas!E36="Juvenil 60kg",5,IF(Atletas!E36="Juvenil 65kg",6,IF(Atletas!E36="Juvenil 70kg",7,IF(Atletas!E36="Juvenil 75kg",8,IF(Atletas!E36="Juvenil 82kg",9,IF(Atletas!E36="Juvenil 90kg",10,IF(Atletas!E36="Juvenil 100kg",11,IF(Atletas!E36="Adulto 48kg",12,IF(Atletas!E36="Adulto 52kg",13,IF(Atletas!E36="Adulto 56kg",14,IF(Atletas!E36="Adulto 60kg",15,IF(Atletas!E36="Adulto 65kg",16,IF(Atletas!E36="Adulto 70kg",17,IF(Atletas!E36="Adulto 75kg",18,IF(Atletas!E36="Adulto 82kg",19,IF(Atletas!E36="Adulto 90kg",20,IF(Atletas!E36="Adulto 100kg",21,IF(Atletas!E36="Adulto +100kg",22,""))))))))))))))))))))))))</f>
        <v/>
      </c>
      <c r="AX45" s="6" t="str">
        <f>IF(Atletas!F36="","",IF(Atletas!B36="Feminino",100,IF(Atletas!B36="Masculino",200,""))+(IF(Atletas!F36="Adulto 48kg",1,IF(Atletas!F36="Adulto 56kg",2,IF(Atletas!F36="Adulto 65kg",3,IF(Atletas!F36="Adulto 75kg",4,IF(Atletas!F36="Adulto +75kg",5,IF(Atletas!F36="Adulto 52kg",6,IF(Atletas!F36="Adulto 60kg",7,IF(Atletas!F36="Adulto 70kg",8,IF(Atletas!F36="Adulto 80kg",9,IF(Atletas!F36="Adulto 90kg",10,IF(Atletas!F36="Adulto +90kg",11,"")))))))))))))</f>
        <v/>
      </c>
      <c r="BC45" s="6" t="str">
        <f>IF(Atletas!G36="","",IF(Atletas!B36="Feminino",10,IF(Atletas!B36="Masculino",20,""))+(IF(Atletas!G36="Baduanjin A",1,IF(Atletas!G36="Baduanjin B",2))))</f>
        <v/>
      </c>
      <c r="BF45" s="52" t="str">
        <f>IF(Atletas!H36="","",IF(Atletas!B36="Feminino",100,IF(Atletas!B36="Masculino",200,""))+(IF(Atletas!H36="Changquan Mirim",1,IF(Atletas!H36="Nanquan Mirim",2,IF(Atletas!H36="Taijiquan Mirim",3,IF(Atletas!H36="Changquan Grupo C",4,IF(Atletas!H36="Nanquan Grupo C",5,IF(Atletas!H36="Taijiquan Grupo C",6,IF(Atletas!H36="Changquan Grupo B",7,IF(Atletas!H36="Nanquan Grupo B",8,IF(Atletas!H36="Taijiquan Grupo B",9,IF(Atletas!H36="Changquan Grupo A",10,IF(Atletas!H36="Nanquan Grupo A",11,IF(Atletas!H36="Taijiquan Grupo A",12,IF(Atletas!H36="Changquan Opcional",13,IF(Atletas!H36="Nanquan Opcional",14,IF(Atletas!H36="Taijiquan Opcional",15,IF(Atletas!H36="Changquan Adulto",16,IF(Atletas!H36="Nanquan Adulto",17,IF(Atletas!H36="Taijiquan Adulto",18,""))))))))))))))))))))</f>
        <v/>
      </c>
      <c r="BG45" s="52" t="str">
        <f>IF(Atletas!I36="","",IF(Atletas!B36="Feminino",100,IF(Atletas!B36="Masculino",200,""))+(IF(Atletas!I36="Daoshu Mirim",19,IF(Atletas!I36="Jianshu Mirim",20,IF(Atletas!I36="Nandao Mirim",21,IF(Atletas!I36="Taijijian Mirim",22,IF(Atletas!I36="Daoshu Grupo C",23,IF(Atletas!I36="Jianshu Grupo C",24,IF(Atletas!I36="Nandao Grupo C",25,IF(Atletas!I36="Taijijian Grupo C",26,IF(Atletas!I36="Daoshu Grupo B",27,IF(Atletas!I36="Jianshu Grupo B",28,IF(Atletas!I36="Nandao Grupo B",29,IF(Atletas!I36="Taijijian Grupo B",30,IF(Atletas!I36="Daoshu Grupo A",31,IF(Atletas!I36="Jianshu Grupo A",32,IF(Atletas!I36="Nandao Grupo A",33,IF(Atletas!I36="Taijijian Grupo A",34,IF(Atletas!I36="Daoshu Opcional",35,IF(Atletas!I36="Jianshu Opcional",36,IF(Atletas!I36="Nandao Opcional",37,IF(Atletas!I36="Taijijian Opcional",38,IF(Atletas!I36="Daoshu Adulto",39,IF(Atletas!I36="Jianshu Adulto",40,IF(Atletas!I36="Nandao Adulto",41,IF(Atletas!I36="Taijijian Adulto",42,""))))))))))))))))))))))))))</f>
        <v/>
      </c>
      <c r="BH45" s="52" t="str">
        <f>IF(Atletas!J36="","",IF(Atletas!B36="Feminino",100,IF(Atletas!B36="Masculino",200,""))+(IF(Atletas!J36="Gunshu Mirim",43,IF(Atletas!J36="Qiangshu Mirim",44,IF(Atletas!J36="Nangun Mirim",45,IF(Atletas!J36="Gunshu Grupo C",46,IF(Atletas!J36="Qiangshu Grupo C",47,IF(Atletas!J36="Nangun Grupo C",48,IF(Atletas!J36="Gunshu Grupo B",49,IF(Atletas!J36="Qiangshu Grupo B",50,IF(Atletas!J36="Nangun Grupo B",51,IF(Atletas!J36="Gunshu Grupo A",52,IF(Atletas!J36="Qiangshu Grupo A",53,IF(Atletas!J36="Nangun Grupo A",54,IF(Atletas!J36="Gunshu Opcional",55,IF(Atletas!J36="Qiangshu Opcional",56,IF(Atletas!J36="Nangun Opcional",57,IF(Atletas!J36="Gunshu Adulto",58,IF(Atletas!J36="Qiangshu Adulto",59,IF(Atletas!J36="Nangun Adulto",60,IF(Atletas!J36="Taijishan Grupo B",61,IF(Atletas!J36="Taijishan Grupo A",62,""))))))))))))))))))))))</f>
        <v/>
      </c>
      <c r="BI45" s="6" t="str">
        <f>IF(BJ45&lt;&gt;"","Gunshu Grupo A","")</f>
        <v/>
      </c>
      <c r="BJ45" s="50" t="str">
        <f>IF(COUNTIF(BF:BH,152)&gt;0,COUNTIF(BF:BH,152),"")</f>
        <v/>
      </c>
      <c r="BK45" s="6" t="str">
        <f>IF(BL45&lt;&gt;"","Gunshu Grupo A","")</f>
        <v/>
      </c>
      <c r="BL45" s="50" t="str">
        <f>IF(COUNTIF(BF:BH,252)&gt;0,COUNTIF(BF:BH,252),"")</f>
        <v/>
      </c>
      <c r="BM45" s="50" t="str">
        <f>IF(Atletas!K36="","",IF(Atletas!B36="Feminino",100,IF(Atletas!B36="Masculino",200,""))+(IF(Atletas!K36="Equipe 1 Grupo B",1,IF(Atletas!K36="Equipe 2 Grupo B",2,IF(Atletas!K36="Equipe 1 Grupo A",3,IF(Atletas!K36="Equipe 2 Grupo A",4,IF(Atletas!K36="Equipe 1 Adulto",5,IF(Atletas!K36="Equipe 2 Adulto",6,""))))))))</f>
        <v/>
      </c>
      <c r="BR45" s="50" t="str">
        <f>IF(Atletas!L36="","",IF(Atletas!X36&lt;&gt;"",10000,0)+(IF(Atletas!B36="Feminino",1000,IF(Atletas!B36="Masculino",2000,""))+IF(Atletas!L36="Choylayfut A",1,IF(Atletas!L36="Hunggar A",2,IF(Atletas!L36="Wuzuquan A",3,IF(Atletas!L36="Wingchun A",4,IF(Atletas!L36="Outra Mão de Sul A",5,IF(Atletas!L36="Choylayfut B",6,IF(Atletas!L36="Hunggar B",7,IF(Atletas!L36="Wuzuquan B",8,IF(Atletas!L36="Wingchun B",9,IF(Atletas!L36="Outra Mão de Sul B",10,IF(Atletas!L36="Choylayfut C",11,IF(Atletas!L36="Hunggar C",12,IF(Atletas!L36="Wuzuquan C",13,IF(Atletas!L36="Wingchun C",14,IF(Atletas!L36="Outra Mão de Sul C",15,IF(Atletas!L36="Choylayfut D",16,IF(Atletas!L36="Hunggar D",17,IF(Atletas!L36="Wuzuquan D",18,IF(Atletas!L36="Wingchun D",19,IF(Atletas!L36="Outra Mão de Sul D",20,IF(Atletas!L36="Choylayfut E",21,IF(Atletas!L36="Hunggar E",22,IF(Atletas!L36="Wuzuquan E",23,IF(Atletas!L36="Wingchun E",24,IF(Atletas!L36="Outra Mão de Sul E",25,IF(Atletas!L36="Choylayfut F",26,IF(Atletas!L36="Hunggar F",27,IF(Atletas!L36="Wuzuquan F",28,IF(Atletas!L36="Wingchun F",29,IF(Atletas!L36="Outra Mão de Sul F",30,IF(Atletas!L36="Dishuquan A",31,IF(Atletas!L36="Dishuquan B",32,IF(Atletas!L36="Dishuquan C",33,IF(Atletas!L36="Dishuquan D",34,IF(Atletas!L36="Dishuquan E",35,IF(Atletas!L36="Dishuquan F",36,""))))))))))))))))))))))))))))))))))))))</f>
        <v/>
      </c>
      <c r="BS45" s="50" t="str">
        <f>IF(Atletas!M36="","",IF(Atletas!X36&lt;&gt;"",10000,0)+(IF(Atletas!B36="Feminino",1000,IF(Atletas!B36="Masculino",2000,""))+(IF(Atletas!M36="Chaquan A",101,IF(Atletas!M36="Emeiquan A",102,IF(Atletas!M36="Fanziquan A",103,IF(Atletas!M36="Huaquan A",104,IF(Atletas!M36="Hongquan A",105,IF(Atletas!M36="Paoquan A",106,IF(Atletas!M36="Piguaquan A",107,IF(Atletas!M36="Shaolinquan A",108,IF(Atletas!M36="Tanglangquan A",109,IF(Atletas!M36="Yingzhaoquan A",110,IF(Atletas!M36="Tongbeiquan A",111,IF(Atletas!M36="Wudangquan A",112,IF(Atletas!M36="Outros Estilos A",113,IF(Atletas!M36="Chaquan B",114,IF(Atletas!M36="Emeiquan B",115,IF(Atletas!M36="Fanziquan B",116,IF(Atletas!M36="Huaquan B",117,IF(Atletas!M36="Hongquan B",118,IF(Atletas!M36="Paoquan B",119,IF(Atletas!M36="Piguaquan B",120,IF(Atletas!M36="Shaolinquan B",121,IF(Atletas!M36="Tanglangquan B",122,IF(Atletas!M36="Yingzhaoquan B",123,IF(Atletas!M36="Tongbeiquan B",124,IF(Atletas!M36="Wudangquan B",125,IF(Atletas!M36="Outros Estilos B",126,IF(Atletas!M36="Chaquan C",127,IF(Atletas!M36="Emeiquan C",128,IF(Atletas!M36="Fanziquan C",129,IF(Atletas!M36="Huaquan C",130,IF(Atletas!M36="Hongquan C",131,IF(Atletas!M36="Paoquan C",132,IF(Atletas!M36="Piguaquan C",133,IF(Atletas!M36="Shaolinquan C",134,IF(Atletas!M36="Tanglangquan C",135,IF(Atletas!M36="Yingzhaoquan C",136,IF(Atletas!M36="Tongbeiquan C",137,IF(Atletas!M36="Wudangquan C",138,IF(Atletas!M36="Outros Estilos C",139,0))))))))))))))))))))))))))))))))))))))))))</f>
        <v/>
      </c>
      <c r="BT45" s="50" t="str">
        <f>IF(Atletas!M36="","",IF(Atletas!X36&lt;&gt;"",10000,0)+(IF(Atletas!B36="Feminino",1000,IF(Atletas!B36="Masculino",2000,""))+(IF(Atletas!M36="Chaquan D",140,IF(Atletas!M36="Emeiquan D",141,IF(Atletas!M36="Fanziquan D",142,IF(Atletas!M36="Huaquan D",143,IF(Atletas!M36="Hongquan D",144,IF(Atletas!M36="Paoquan D",145,IF(Atletas!M36="Piguaquan D",146,IF(Atletas!M36="Shaolinquan D",147,IF(Atletas!M36="Tanglangquan D",148,IF(Atletas!M36="Yingzhaoquan D",149,IF(Atletas!M36="Tongbeiquan D",150,IF(Atletas!M36="Wudangquan D",151,IF(Atletas!M36="Outros Estilos D",152,IF(Atletas!M36="Chaquan E",153,IF(Atletas!M36="Emeiquan E",154,IF(Atletas!M36="Fanziquan E",155,IF(Atletas!M36="Huaquan E",156,IF(Atletas!M36="Hongquan E",157,IF(Atletas!M36="Paoquan E",158,IF(Atletas!M36="Piguaquan E",159,IF(Atletas!M36="Shaolinquan E",160,IF(Atletas!M36="Tanglangquan E",161,IF(Atletas!M36="Yingzhaoquan E",162,IF(Atletas!M36="Tongbeiquan E",163,IF(Atletas!M36="Wudangquan E",164,IF(Atletas!M36="Outros Estilos E",165,IF(Atletas!M36="Chaquan F",166,IF(Atletas!M36="Emeiquan F",167,IF(Atletas!M36="Fanziquan F",168,IF(Atletas!M36="Huaquan F",169,IF(Atletas!M36="Hongquan F",170,IF(Atletas!M36="Paoquan F",171,IF(Atletas!M36="Piguaquan F",172,IF(Atletas!M36="Shaolinquan F",173,IF(Atletas!M36="Tanglangquan F",174,IF(Atletas!M36="Yingzhaoquan F",175,IF(Atletas!M36="Tongbeiquan F",176,IF(Atletas!M36="Wudangquan F",177,IF(Atletas!M36="Outros Estilos F",178,0))))))))))))))))))))))))))))))))))))))))))</f>
        <v/>
      </c>
      <c r="BU45" s="50" t="str">
        <f>IF(Atletas!N36="","",IF(Atletas!X36&lt;&gt;"",10000,0)+(IF(Atletas!B36="Feminino",1000,IF(Atletas!B36="Masculino",2000,""))+(IF(Atletas!N36="Ditangquan A",201,IF(Atletas!N36="Houquan A",202,IF(Atletas!N36="Zuiquan A",203,IF(Atletas!N36="Ditangquan B",204,IF(Atletas!N36="Houquan B",205,IF(Atletas!N36="Zuiquan B",206,IF(Atletas!N36="Ditangquan C",207,IF(Atletas!N36="Houquan C",208,IF(Atletas!N36="Zuiquan C",209,IF(Atletas!N36="Ditangquan D",210,IF(Atletas!N36="Houquan D",211,IF(Atletas!N36="Zuiquan D",212,IF(Atletas!N36="Ditangquan E",213,IF(Atletas!N36="Houquan E",214,IF(Atletas!N36="Zuiquan E",215,IF(Atletas!N36="Ditangquan F",216,IF(Atletas!N36="Houquan F",217,IF(Atletas!N36="Zuiquan F",218,"")))))))))))))))))))))</f>
        <v/>
      </c>
      <c r="BV45" s="50" t="str">
        <f>IF(Atletas!O36="","",IF(Atletas!X36&lt;&gt;"",10000,0)+IF(Atletas!B36="Feminino",1000,IF(Atletas!B36="Masculino",2000,""))+IF(Atletas!O36="Yang A",301,IF(Atletas!O36="Chen A",302,IF(Atletas!O36="Sun A",303,IF(Atletas!O36="Wu A",304,IF(Atletas!O36="Wu-Hao A",305,IF(Atletas!O36="Outro Taijiquan A",306,IF(Atletas!O36="Yang B",307,IF(Atletas!O36="Chen B",308,IF(Atletas!O36="Sun B",309,IF(Atletas!O36="Wu B",310,IF(Atletas!O36="Wu-Hao B",311,IF(Atletas!O36="Outro Taijiquan B",312,IF(Atletas!O36="Yang C",313,IF(Atletas!O36="Chen C",314,IF(Atletas!O36="Sun C",315,IF(Atletas!O36="Wu C",316,IF(Atletas!O36="Wu-Hao C",317,IF(Atletas!O36="Outro Taijiquan C",318,IF(Atletas!O36="Yang D",319,IF(Atletas!O36="Chen D",320,IF(Atletas!O36="Sun D",321,IF(Atletas!O36="Wu D",322,IF(Atletas!O36="Wu-Hao D",323,IF(Atletas!O36="Outro Taijiquan D",324,IF(Atletas!O36="Yang E",325,IF(Atletas!O36="Chen E",326,IF(Atletas!O36="Sun E",327,IF(Atletas!O36="Wu E",328,IF(Atletas!O36="Wu-Hao E",329,IF(Atletas!O36="Outro Taijiquan E",330,IF(Atletas!O36="Yang F",331,IF(Atletas!O36="Chen F",332,IF(Atletas!O36="Sun F",333,IF(Atletas!O36="Wu F",334,IF(Atletas!O36="Wu-Hao F",335,IF(Atletas!O36="Outro Taijiquan F",336,"")))))))))))))))))))))))))))))))))))))</f>
        <v/>
      </c>
      <c r="BW45" s="50" t="str">
        <f>IF(Atletas!P36="","",IF(Atletas!X36&lt;&gt;"",10000,0)+IF(Atletas!B36="Feminino",1000,IF(Atletas!B36="Masculino",2000,""))+IF(OR(Atletas!P36="Yang 26 A",Atletas!P36="Yang 40 A"),401,IF(OR(Atletas!P36="Chen 25 A",Atletas!P36="Chen 36 A",Atletas!P36="Chen 56 A"),402,IF(Atletas!P36="Sun 73 A",403,IF(Atletas!P36="Wu 45 A",404,IF(Atletas!P36="Wu-Hao 46 A",405,IF(OR(Atletas!P36="Taijiquan 16 A",Atletas!P36="Taijiquan 24 A",Atletas!P36="Taijiquan 32 A",Atletas!P36="Taijiquan 42 A"),406,IF(OR(Atletas!P36="Yang 26 B",Atletas!P36="Yang 40 B"),407,IF(OR(Atletas!P36="Chen 25 B",Atletas!P36="Chen 36 B",Atletas!P36="Chen 56 B"),408,IF(Atletas!P36="Sun 73 B",409,IF(Atletas!P36="Wu 45 B",410,IF(Atletas!P36="Wu-Hao 46 B",411,IF(OR(Atletas!P36="Taijiquan 16 B",Atletas!P36="Taijiquan 24 B",Atletas!P36="Taijiquan 32 B",Atletas!P36="Taijiquan 42 B"),412,IF(OR(Atletas!P36="Yang 26 C",Atletas!P36="Yang 40 C"),413,IF(OR(Atletas!P36="Chen 25 C",Atletas!P36="Chen 36 C",Atletas!P36="Chen 56 C"),414,IF(Atletas!P36="Sun 73 C",415,IF(Atletas!P36="Wu 45 C",416,IF(Atletas!P36="Wu-Hao 46 C",417,IF(OR(Atletas!P36="Taijiquan 16 C",Atletas!P36="Taijiquan 24 C",Atletas!P36="Taijiquan 32 C",Atletas!P36="Taijiquan 42 C"),418,0)))))))))))))))))))</f>
        <v/>
      </c>
      <c r="BX45" s="50" t="str">
        <f>IF(Atletas!P36="","",IF(Atletas!X36&lt;&gt;"",10000,0)+IF(Atletas!B36="Feminino",1000,IF(Atletas!B36="Masculino",2000,""))+IF(OR(Atletas!P36="Yang 26 D",Atletas!P36="Yang 40 D"),419,IF(OR(Atletas!P36="Chen 25 D",Atletas!P36="Chen 36 D",Atletas!P36="Chen 56 D"),420,IF(Atletas!P36="Sun 73 D",421,IF(Atletas!P36="Wu 45 D",422,IF(Atletas!P36="Wu-Hao 46 D",423,IF(OR(Atletas!P36="Taijiquan 16 D",Atletas!P36="Taijiquan 24 D",Atletas!P36="Taijiquan 32 D",Atletas!P36="Taijiquan 42 D"),424,IF(OR(Atletas!P36="Yang 26 E",Atletas!P36="Yang 40 E"),425,IF(OR(Atletas!P36="Chen 25 E",Atletas!P36="Chen 36 E",Atletas!P36="Chen 56 E"),426,IF(Atletas!P36="Sun 73 E",427,IF(Atletas!P36="Wu 45 E",428,IF(Atletas!P36="Wu-Hao 46 E",429,IF(OR(Atletas!P36="Taijiquan 16 E",Atletas!P36="Taijiquan 24 E",Atletas!P36="Taijiquan 32 E",Atletas!P36="Taijiquan 42 E"),430,IF(OR(Atletas!P36="Yang 26 F",Atletas!P36="Yang 40 F"),431,IF(OR(Atletas!P36="Chen 25 F",Atletas!P36="Chen 36 F",Atletas!P36="Chen 56 F"),432,IF(Atletas!P36="Sun 73 F",433,IF(Atletas!P36="Wu 45 F",434,IF(Atletas!P36="Wu-Hao 46 F",435,IF(OR(Atletas!P36="Taijiquan 16 F",Atletas!P36="Taijiquan 24 F",Atletas!P36="Taijiquan 32 F",Atletas!P36="Taijiquan 42 F"),436,0)))))))))))))))))))</f>
        <v/>
      </c>
      <c r="BY45" s="50" t="str">
        <f>IF(Atletas!Q36="","",IF(Atletas!X36&lt;&gt;"",10000,0)+IF(Atletas!B36="Feminino",1000,IF(Atletas!B36="Masculino",2000,""))+IF(Atletas!Q36="Xingyiquan A",501,IF(Atletas!Q36="Baguazhang A",502,IF(Atletas!Q36="Outro Estilo Interno A",503,IF(Atletas!Q36="Xingyiquan B",504,IF(Atletas!Q36="Baguazhang B",505,IF(Atletas!Q36="Outro Estilo Interno B",506,IF(Atletas!Q36="Xingyiquan C",507,IF(Atletas!Q36="Baguazhang C",508,IF(Atletas!Q36="Outro Estilo Interno C",509,IF(Atletas!Q36="Xingyiquan D",510,IF(Atletas!Q36="Baguazhang D",511,IF(Atletas!Q36="Outro Estilo Interno D",512,IF(Atletas!Q36="Xingyiquan E",513,IF(Atletas!Q36="Baguazhang E",514,IF(Atletas!Q36="Outro Estilo Interno E",515,IF(Atletas!Q36="Xingyiquan F",516,IF(Atletas!Q36="Baguazhang F",517,IF(Atletas!Q36="Outro Estilo Interno F",518, "")))))))))))))))))))</f>
        <v/>
      </c>
      <c r="BZ45" s="50" t="str">
        <f>IF(Atletas!R36="","",IF(Atletas!X36&lt;&gt;"",10000,0)+IF(Atletas!B36="Feminino",1000,IF(Atletas!B36="Masculino",2000,""))+IF(Atletas!R36="Dao A",601,IF(Atletas!R36="Jian A",602,IF(Atletas!R36="Bishou A",603,IF(Atletas!R36="Shanzi A",604,IF(Atletas!R36="Outra Arma Curta A",605,IF(Atletas!R36="Dao B",606,IF(Atletas!R36="Jian B",607,IF(Atletas!R36="Bishou B",608,IF(Atletas!R36="Shanzi B",609,IF(Atletas!R36="Outra Arma Curta B",610,IF(Atletas!R36="Dao C",611,IF(Atletas!R36="Jian C",612,IF(Atletas!R36="Bishou C",613,IF(Atletas!R36="Shanzi C",614,IF(Atletas!R36="Outra Arma Curta C",615,IF(Atletas!R36="Dao D",616,IF(Atletas!R36="Jian D",617,IF(Atletas!R36="Bishou D",618,IF(Atletas!R36="Shanzi D",619,IF(Atletas!R36="Outra Arma Curta D",620,IF(Atletas!R36="Dao E",621,IF(Atletas!R36="Jian E",622,IF(Atletas!R36="Bishou E",623,IF(Atletas!R36="Shanzi E",624,IF(Atletas!R36="Outra Arma Curta E",625,IF(Atletas!R36="Dao F",626,IF(Atletas!R36="Jian F",627,IF(Atletas!R36="Bishou F",628,IF(Atletas!R36="Shanzi F",629,IF(Atletas!R36="Outra Arma Curta F",630, "")))))))))))))))))))))))))))))))</f>
        <v/>
      </c>
      <c r="CA45" s="50" t="str">
        <f>IF(Atletas!S36="","",IF(Atletas!X36&lt;&gt;"",10000,0)+IF(Atletas!B36="Feminino",1000,IF(Atletas!B36="Masculino",2000,""))+IF(Atletas!S36="Gun A",701,IF(Atletas!S36="Qiang A",702,IF(Atletas!S36="Pudao / Guandao A",703,IF(Atletas!S36="Outra Arma Longa A",704,IF(Atletas!S36="Gun B",705,IF(Atletas!S36="Qiang B",706,IF(Atletas!S36="Pudao / Guandao B",707,IF(Atletas!S36="Outra Arma Longa B",708,IF(Atletas!S36="Gun C",709,IF(Atletas!S36="Qiang C",710,IF(Atletas!S36="Pudao / Guandao C",711,IF(Atletas!S36="Outra Arma Longa C",712,IF(Atletas!S36="Gun D",713,IF(Atletas!S36="Qiang D",714,IF(Atletas!S36="Pudao / Guandao D",715,IF(Atletas!S36="Outra Arma Longa D",716,IF(Atletas!S36="Gun E",717,IF(Atletas!S36="Qiang E",718,IF(Atletas!S36="Pudao / Guandao E",719,IF(Atletas!S36="Outra Arma Longa E",720,IF(Atletas!S36="Gun F",721,IF(Atletas!S36="Qiang F",722,IF(Atletas!S36="Pudao / Guandao F",723,IF(Atletas!S36="Outra Arma Longa F",724,"")))))))))))))))))))))))))</f>
        <v/>
      </c>
      <c r="CB45" s="50" t="str">
        <f>IF(Atletas!T36="","",IF(Atletas!X36&lt;&gt;"",10000,0)+IF(Atletas!B36="Feminino",1000,IF(Atletas!B36="Masculino",2000,""))+IF(Atletas!T36="Outra Arma Dupla A",801,IF(Atletas!T36="Arma Maleável A",802,IF(Atletas!T36="Outra Arma Dupla B",803,IF(Atletas!T36="Arma Maleável B",804,IF(Atletas!T36="Outra Arma Dupla C",805,IF(Atletas!T36="Arma Maleável C",806,IF(Atletas!T36="Outra Arma Dupla D",807,IF(Atletas!T36="Arma Maleável D",808,IF(Atletas!T36="Outra Arma Dupla E",809,IF(Atletas!T36="Arma Maleável E",810,IF(Atletas!T36="Outra Arma Dupla F",811,IF(Atletas!T36="Arma Maleável F",812,IF(Atletas!T36="Shuangdao A",813,IF(Atletas!T36="Shuangdao B",814,IF(Atletas!T36="Shuangdao C",815,IF(Atletas!T36="Shuangdao D",816,IF(Atletas!T36="Shuangdao E",817,IF(Atletas!T36="Shuangdao F",818,"")))))))))))))))))))</f>
        <v/>
      </c>
      <c r="CC45" s="50" t="str">
        <f>IF(Atletas!U36="","",IF(Atletas!X36&lt;&gt;"",10000,0)+IF(Atletas!B36="Feminino",1000,IF(Atletas!B36="Masculino",2000,""))+IF(OR(Atletas!U36="Taijijian Yang A",Atletas!U36="Taijijian Yang Standard A"),901,IF(OR(Atletas!U36="Taijijian Chen A", Atletas!U36="Taijijian Chen Standard A"),902,IF(Atletas!U36="Taijijian Sun A",903,IF(Atletas!U36="Taijijian Wu A",904,IF(Atletas!U36="Taijijian Wu-Hao A",905,IF(OR(Atletas!U36="Taijijian 32 A",Atletas!U36="Taijijian 42 A"),906,IF(OR(Atletas!U36="Taijijian Yang B",Atletas!U36="Taijijian Yang Standard B"),907,IF(OR(Atletas!U36="Taijijian Chen B", Atletas!U36="Taijijian Chen Standard B"),908,IF(Atletas!U36="Taijijian Sun B",909,IF(Atletas!U36="Taijijian Wu B",910,IF(Atletas!U36="Taijijian Wu-Hao B",911,IF(OR(Atletas!U36="Taijijian 32 B",Atletas!U36="Taijijian 42 B"),912,IF(OR(Atletas!U36="Taijijian Yang C",Atletas!U36="Taijijian Yang Standard C"),913,IF(OR(Atletas!U36="Taijijian Chen C", Atletas!U36="Taijijian Chen Standard C"),914,IF(Atletas!U36="Taijijian Sun C",915,IF(Atletas!U36="Taijijian Wu C",916,IF(Atletas!U36="Taijijian Wu-Hao C",917,IF(OR(Atletas!U36="Taijijian 32 C",Atletas!U36="Taijijian 42 C"),918,IF(OR(Atletas!U36="Taijijian Yang D",Atletas!U36="Taijijian Yang Standard D"),919,IF(OR(Atletas!U36="Taijijian Chen D", Atletas!U36="Taijijian Chen Standard D"),920,IF(Atletas!U36="Taijijian Sun D",921,IF(Atletas!U36="Taijijian Wu D",922,IF(Atletas!U36="Taijijian Wu-Hao D",923,IF(OR(Atletas!U36="Taijijian 32 D",Atletas!U36="Taijijian 42 D"),924,IF(OR(Atletas!U36="Taijijian Yang E",Atletas!U36="Taijijian Yang Standard E"),925,IF(OR(Atletas!U36="Taijijian Chen E", Atletas!U36="Taijijian Chen Standard E"),926,IF(Atletas!U36="Taijijian Sun E",927,IF(Atletas!U36="Taijijian Wu E",928,IF(Atletas!U36="Taijijian Wu-Hao E",929,IF(OR(Atletas!U36="Taijijian 32 E",Atletas!U36="Taijijian 42 E"),930,IF(OR(Atletas!U36="Taijijian Yang F",Atletas!U36="Taijijian Yang Standard F"),931,IF(OR(Atletas!U36="Taijijian Chen F", Atletas!U36="Taijijian Chen Standard F"),932,IF(Atletas!U36="Taijijian Sun F",933,IF(Atletas!U36="Taijijian Wu F",934,IF(Atletas!U36="Taijijian Wu-Hao F",935,IF(OR(Atletas!U36="Taijijian 32 F",Atletas!U36="Taijijian 42 F"),936,"")))))))))))))))))))))))))))))))))))))</f>
        <v/>
      </c>
      <c r="CD45" s="50" t="str">
        <f>IF(Atletas!V36="","",IF(Atletas!X36&lt;&gt;"",10000,0)+IF(Atletas!B36="Feminino",1000,IF(Atletas!B36="Masculino",2000,""))+IF(Atletas!V36="Taijidao A",937,IF(Atletas!V36="TaijiShanzi A",938,IF(Atletas!V36="Taijiqiang A",939,IF(Atletas!V36="Bagua de Arma A",940,IF(Atletas!V36="Xingyi de Arma A",941,IF(Atletas!V36="Taijidao B",942,IF(Atletas!V36="TaijiShanzi B",943,IF(Atletas!V36="Taijiqiang B",944,IF(Atletas!V36="Bagua de Arma B",945,IF(Atletas!V36="Xingyi de Arma B",946,IF(Atletas!V36="Taijidao C",947,IF(Atletas!V36="TaijiShanzi C",948,IF(Atletas!V36="Taijiqiang C",949,IF(Atletas!V36="Bagua de Arma C",950,IF(Atletas!V36="Xingyi de Arma C",951,IF(Atletas!V36="Taijidao D",952,IF(Atletas!V36="TaijiShanzi D",953,IF(Atletas!V36="Taijiqiang D",954,IF(Atletas!V36="Bagua de Arma D",955,IF(Atletas!V36="Xingyi de Arma D",956,IF(Atletas!V36="Taijidao E",957,IF(Atletas!V36="TaijiShanzi E",958,IF(Atletas!V36="Taijiqiang E",959,IF(Atletas!V36="Bagua de Arma E",960,IF(Atletas!V36="Xingyi de Arma E",961,IF(Atletas!V36="Taijidao F",962,IF(Atletas!V36="TaijiShanzi F",963,IF(Atletas!V36="Taijiqiang F",964,IF(Atletas!V36="Bagua de Arma F",965,IF(Atletas!V36="Xingyi de Arma F",966,"")))))))))))))))))))))))))))))))</f>
        <v/>
      </c>
      <c r="CE45" s="66" t="str">
        <f>IF(CF45&lt;&gt;"","Fanziquan A","")</f>
        <v/>
      </c>
      <c r="CF45" s="66" t="str">
        <f>IF(COUNTIF(BR:CD,1103)&gt;0,COUNTIF(BR:CD,1103),"")</f>
        <v/>
      </c>
      <c r="CG45" s="66" t="str">
        <f>IF(CH45&lt;&gt;"","Fanziquan A","")</f>
        <v/>
      </c>
      <c r="CH45" s="66" t="str">
        <f>IF(COUNTIF(BR:CD,2103)&gt;0,COUNTIF(BR:CD,2103),"")</f>
        <v/>
      </c>
      <c r="CI45" s="66" t="str">
        <f>IF(CJ45&lt;&gt;"","Tanglangquan A","")</f>
        <v/>
      </c>
      <c r="CJ45" s="66" t="str">
        <f>IF(COUNTIF(BR:CD,11109)&gt;0,COUNTIF(BR:CD,11109),"")</f>
        <v/>
      </c>
      <c r="CK45" s="66" t="str">
        <f>IF(CL45&lt;&gt;"","Tanglangquan A","")</f>
        <v/>
      </c>
      <c r="CL45" s="66" t="str">
        <f>IF(COUNTIF(BR:CD,12109)&gt;0,COUNTIF(BR:CD,12109),"")</f>
        <v/>
      </c>
      <c r="CM45" s="50" t="str">
        <f xml:space="preserve"> IF(Atletas!W36="","",IF(Atletas!W36="Duilian de Mãos BC - Equipe 1",1,IF(Atletas!W36="Duilian de Mãos BC - Equipe 2",2,IF(Atletas!W36="Duilian de Armas BC - Equipe 1",3,IF(Atletas!W36="Duilian de Armas BC - Equipe 2",4,IF(Atletas!W36="Duilian de Mãos DE - Equipe 1",5,IF(Atletas!W36="Duilian de Mãos DE - Equipe 2",6,IF(Atletas!W36="Duilian de Armas DE - Equipe 1",7,IF(Atletas!W36="Duilian de Armas DE - Equipe 2",8,IF(Atletas!W36="Duilian de Tuishou - Equipe 1",9,IF(Atletas!W36="Duilian de Tuishou - Equipe 2",10,IF(Atletas!W36="Grupo Externo ABC - Equipe 1",11,IF(Atletas!W36="Grupo Externo ABC - Equipe 2",12,IF(Atletas!W36="Grupo Interno ABC - Equipe 1",13,IF(Atletas!W36="Grupo Interno ABC - Equipe 2",14,IF(Atletas!W36="Grupo Externo DEF - Equipe 1",15,IF(Atletas!W36="Grupo Externo DEF - Equipe 2",16,IF(Atletas!W36="Grupo Interno DEF - Equipe 1",17,IF(Atletas!W36="Grupo Interno DEF - Equipe 2",18,"")))))))))))))))))))</f>
        <v/>
      </c>
      <c r="CY45" s="41"/>
    </row>
    <row r="46" spans="2:103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 t="str">
        <f t="array" ref="R46">IFERROR(INDEX(BI$7:BI$68,SMALL(IF(BI$7:BI$68&lt;&gt;"",ROW(BI$7:BI$68)-ROW(BI$7)+1),ROWS(BI$7:BI45))),"")</f>
        <v/>
      </c>
      <c r="S46" s="3" t="str">
        <f t="array" ref="S46">IFERROR(INDEX(BJ$7:BJ$68,SMALL(IF(BJ$7:BJ$68&lt;&gt;"",ROW(BJ$7:BJ$68)-ROW(BJ$7)+1),ROWS(BJ$7:BJ45))),"")</f>
        <v/>
      </c>
      <c r="T46" s="3" t="str">
        <f t="array" ref="T46">IFERROR(INDEX(BK$7:BK$68,SMALL(IF(BK$7:BK$68&lt;&gt;"",ROW(BK$7:BK$68)-ROW(BK$7)+1),ROWS(BK$7:BK45))),"")</f>
        <v/>
      </c>
      <c r="U46" s="3" t="str">
        <f t="array" ref="U46">IFERROR(INDEX(BL$7:BL$68,SMALL(IF(BL$7:BL$68&lt;&gt;"",ROW(BL$7:BL$68)-ROW(BL$7)+1),ROWS(BL$7:BL45))),"")</f>
        <v/>
      </c>
      <c r="V46" s="3"/>
      <c r="W46" s="3"/>
      <c r="X46" s="20"/>
      <c r="Y46" s="3"/>
      <c r="Z46" s="3" t="str">
        <f t="array" ref="Z46">IFERROR(INDEX(CE$7:CE$348,SMALL(IF(CE$7:CE$348&lt;&gt;"",ROW(CE$7:CE$348)-ROW(CE$7)+1),ROWS(CE$7:CE45))),"")</f>
        <v/>
      </c>
      <c r="AA46" s="3" t="str">
        <f t="array" ref="AA46">IFERROR(INDEX(CF$7:CF$348,SMALL(IF(CF$7:CF$348&lt;&gt;"",ROW(CF$7:CF$348)-ROW(CF$7)+1),ROWS(CF$7:CF45))),"")</f>
        <v/>
      </c>
      <c r="AB46" s="3" t="str">
        <f t="array" ref="AB46">IFERROR(INDEX(CG$7:CG$348,SMALL(IF(CG$7:CG$348&lt;&gt;"",ROW(CG$7:CG$348)-ROW(CG$7)+1),ROWS(CG$7:CG45))),"")</f>
        <v/>
      </c>
      <c r="AC46" s="3" t="str">
        <f t="array" ref="AC46">IFERROR(INDEX(CH$7:CH$348,SMALL(IF(CH$7:CH$348&lt;&gt;"",ROW(CH$7:CH$348)-ROW(CH$7)+1),ROWS(CH$7:CH45))),"")</f>
        <v/>
      </c>
      <c r="AD46" s="3" t="str">
        <f t="array" ref="AD46">IFERROR(INDEX(CI$7:CI$377,SMALL(IF(CI$7:CI$377&lt;&gt;"",ROW(CI$7:CI$377)-ROW(CI$7)+1),ROWS(CI$7:CI45))),"")</f>
        <v/>
      </c>
      <c r="AE46" s="3" t="str">
        <f t="array" ref="AE46">IFERROR(INDEX(CJ$7:CJ$378,SMALL(IF(CJ$7:CJ$378&lt;&gt;"",ROW(CJ$7:CJ$378)-ROW(CJ$7)+1),ROWS(CJ$7:CJ45))),"")</f>
        <v/>
      </c>
      <c r="AF46" s="3" t="str">
        <f t="array" ref="AF46">IFERROR(INDEX(CK$7:CK$378,SMALL(IF(CK$7:CK$378&lt;&gt;"",ROW(CK$7:CK$378)-ROW(CK$7)+1),ROWS(CK$7:CK45))),"")</f>
        <v/>
      </c>
      <c r="AG46" s="3" t="str">
        <f t="array" ref="AG46">IFERROR(INDEX(CL$7:CL$378,SMALL(IF(CL$7:CL$378&lt;&gt;"",ROW(CL$7:CL$378)-ROW(CL$7)+1),ROWS(CL$7:CL45))),"")</f>
        <v/>
      </c>
      <c r="AH46" s="3"/>
      <c r="AI46" s="3"/>
      <c r="AJ46" s="3"/>
      <c r="AK46" s="3"/>
      <c r="AL46" s="3"/>
      <c r="AM46" s="3"/>
      <c r="AN46" s="52" t="str">
        <f>IF(Atletas!D37="","",IF(Atletas!B37="Feminino",100,IF(Atletas!B37="Masculino",200,""))+(IF(Atletas!D37="Kids 30kg",1,IF(Atletas!D37="Kids 32kg",2, IF(Atletas!D37="Kids 34kg",3,IF(Atletas!D37="Kids 36kg",4,IF(Atletas!D37="Kids 39kg",5,IF(Atletas!D37="Kids 42kg",6,IF(Atletas!D37="Kids 45kg",7, IF(Atletas!D37="Infantil 39kg",8,IF(Atletas!D37="Infantil 42kg",9,IF(Atletas!D37="Infantil 45kg",10,IF(Atletas!D37="Infantil 48kg",11,IF(Atletas!D37="Infantil 52kg",12,IF(Atletas!D37="Infantil 56kg",13,IF(Atletas!D37="Infantil 60kg",14,IF(Atletas!D37="Juvenil 48kg",15,IF(Atletas!D37="Juvenil 52kg",16,IF(Atletas!D37="Juvenil 56kg",17,IF(Atletas!D37="Juvenil 60kg",18,IF(Atletas!D37="Juvenil 65kg",19,IF(Atletas!D37="Juvenil 70kg",20,IF(Atletas!D37="Juvenil 75kg",21,IF(Atletas!D37="Juvenil 80kg",22, IF(Atletas!D37="Juvenil 85kg",23,IF(Atletas!D37="Adulto 48kg",24,IF(Atletas!D37="Adulto 52kg",25,IF(Atletas!D37="Adulto 56kg",26,IF(Atletas!D37="Adulto 60kg",27,IF(Atletas!D37="Adulto 65kg",28,IF(Atletas!D37="Adulto 70kg",29,IF(Atletas!D37="Adulto 75kg",30,IF(Atletas!D37="Adulto 80kg",31,IF(Atletas!D37="Adulto 85kg",32,IF(Atletas!D37="Adulto 90kg",33,IF(Atletas!D37="Adulto 100kg",34, IF(Atletas!D37="Adulto +100kg",35,"")))))))))))))))))))))))))))))))))))))</f>
        <v/>
      </c>
      <c r="AS46" s="6" t="str">
        <f>IF(Atletas!E37="","",IF(Atletas!B37="Feminino",100,IF(Atletas!B37="Masculino",200,""))+(IF(Atletas!E37="Juvenil 44kg",1,IF(Atletas!E37="Juvenil 48kg",2,IF(Atletas!E37="Juvenil 52kg",3,IF(Atletas!E37="Juvenil 56kg",4,IF(Atletas!E37="Juvenil 60kg",5,IF(Atletas!E37="Juvenil 65kg",6,IF(Atletas!E37="Juvenil 70kg",7,IF(Atletas!E37="Juvenil 75kg",8,IF(Atletas!E37="Juvenil 82kg",9,IF(Atletas!E37="Juvenil 90kg",10,IF(Atletas!E37="Juvenil 100kg",11,IF(Atletas!E37="Adulto 48kg",12,IF(Atletas!E37="Adulto 52kg",13,IF(Atletas!E37="Adulto 56kg",14,IF(Atletas!E37="Adulto 60kg",15,IF(Atletas!E37="Adulto 65kg",16,IF(Atletas!E37="Adulto 70kg",17,IF(Atletas!E37="Adulto 75kg",18,IF(Atletas!E37="Adulto 82kg",19,IF(Atletas!E37="Adulto 90kg",20,IF(Atletas!E37="Adulto 100kg",21,IF(Atletas!E37="Adulto +100kg",22,""))))))))))))))))))))))))</f>
        <v/>
      </c>
      <c r="AX46" s="6" t="str">
        <f>IF(Atletas!F37="","",IF(Atletas!B37="Feminino",100,IF(Atletas!B37="Masculino",200,""))+(IF(Atletas!F37="Adulto 48kg",1,IF(Atletas!F37="Adulto 56kg",2,IF(Atletas!F37="Adulto 65kg",3,IF(Atletas!F37="Adulto 75kg",4,IF(Atletas!F37="Adulto +75kg",5,IF(Atletas!F37="Adulto 52kg",6,IF(Atletas!F37="Adulto 60kg",7,IF(Atletas!F37="Adulto 70kg",8,IF(Atletas!F37="Adulto 80kg",9,IF(Atletas!F37="Adulto 90kg",10,IF(Atletas!F37="Adulto +90kg",11,"")))))))))))))</f>
        <v/>
      </c>
      <c r="BC46" s="6" t="str">
        <f>IF(Atletas!G37="","",IF(Atletas!B37="Feminino",10,IF(Atletas!B37="Masculino",20,""))+(IF(Atletas!G37="Baduanjin A",1,IF(Atletas!G37="Baduanjin B",2))))</f>
        <v/>
      </c>
      <c r="BF46" s="52" t="str">
        <f>IF(Atletas!H37="","",IF(Atletas!B37="Feminino",100,IF(Atletas!B37="Masculino",200,""))+(IF(Atletas!H37="Changquan Mirim",1,IF(Atletas!H37="Nanquan Mirim",2,IF(Atletas!H37="Taijiquan Mirim",3,IF(Atletas!H37="Changquan Grupo C",4,IF(Atletas!H37="Nanquan Grupo C",5,IF(Atletas!H37="Taijiquan Grupo C",6,IF(Atletas!H37="Changquan Grupo B",7,IF(Atletas!H37="Nanquan Grupo B",8,IF(Atletas!H37="Taijiquan Grupo B",9,IF(Atletas!H37="Changquan Grupo A",10,IF(Atletas!H37="Nanquan Grupo A",11,IF(Atletas!H37="Taijiquan Grupo A",12,IF(Atletas!H37="Changquan Opcional",13,IF(Atletas!H37="Nanquan Opcional",14,IF(Atletas!H37="Taijiquan Opcional",15,IF(Atletas!H37="Changquan Adulto",16,IF(Atletas!H37="Nanquan Adulto",17,IF(Atletas!H37="Taijiquan Adulto",18,""))))))))))))))))))))</f>
        <v/>
      </c>
      <c r="BG46" s="52" t="str">
        <f>IF(Atletas!I37="","",IF(Atletas!B37="Feminino",100,IF(Atletas!B37="Masculino",200,""))+(IF(Atletas!I37="Daoshu Mirim",19,IF(Atletas!I37="Jianshu Mirim",20,IF(Atletas!I37="Nandao Mirim",21,IF(Atletas!I37="Taijijian Mirim",22,IF(Atletas!I37="Daoshu Grupo C",23,IF(Atletas!I37="Jianshu Grupo C",24,IF(Atletas!I37="Nandao Grupo C",25,IF(Atletas!I37="Taijijian Grupo C",26,IF(Atletas!I37="Daoshu Grupo B",27,IF(Atletas!I37="Jianshu Grupo B",28,IF(Atletas!I37="Nandao Grupo B",29,IF(Atletas!I37="Taijijian Grupo B",30,IF(Atletas!I37="Daoshu Grupo A",31,IF(Atletas!I37="Jianshu Grupo A",32,IF(Atletas!I37="Nandao Grupo A",33,IF(Atletas!I37="Taijijian Grupo A",34,IF(Atletas!I37="Daoshu Opcional",35,IF(Atletas!I37="Jianshu Opcional",36,IF(Atletas!I37="Nandao Opcional",37,IF(Atletas!I37="Taijijian Opcional",38,IF(Atletas!I37="Daoshu Adulto",39,IF(Atletas!I37="Jianshu Adulto",40,IF(Atletas!I37="Nandao Adulto",41,IF(Atletas!I37="Taijijian Adulto",42,""))))))))))))))))))))))))))</f>
        <v/>
      </c>
      <c r="BH46" s="52" t="str">
        <f>IF(Atletas!J37="","",IF(Atletas!B37="Feminino",100,IF(Atletas!B37="Masculino",200,""))+(IF(Atletas!J37="Gunshu Mirim",43,IF(Atletas!J37="Qiangshu Mirim",44,IF(Atletas!J37="Nangun Mirim",45,IF(Atletas!J37="Gunshu Grupo C",46,IF(Atletas!J37="Qiangshu Grupo C",47,IF(Atletas!J37="Nangun Grupo C",48,IF(Atletas!J37="Gunshu Grupo B",49,IF(Atletas!J37="Qiangshu Grupo B",50,IF(Atletas!J37="Nangun Grupo B",51,IF(Atletas!J37="Gunshu Grupo A",52,IF(Atletas!J37="Qiangshu Grupo A",53,IF(Atletas!J37="Nangun Grupo A",54,IF(Atletas!J37="Gunshu Opcional",55,IF(Atletas!J37="Qiangshu Opcional",56,IF(Atletas!J37="Nangun Opcional",57,IF(Atletas!J37="Gunshu Adulto",58,IF(Atletas!J37="Qiangshu Adulto",59,IF(Atletas!J37="Nangun Adulto",60,IF(Atletas!J37="Taijishan Grupo B",61,IF(Atletas!J37="Taijishan Grupo A",62,""))))))))))))))))))))))</f>
        <v/>
      </c>
      <c r="BI46" s="6" t="str">
        <f>IF(BJ46&lt;&gt;"","Qiangshu Grupo A","")</f>
        <v/>
      </c>
      <c r="BJ46" s="50" t="str">
        <f>IF(COUNTIF(BF:BH,153)&gt;0,COUNTIF(BF:BH,153),"")</f>
        <v/>
      </c>
      <c r="BK46" s="6" t="str">
        <f>IF(BL46&lt;&gt;"","Qiangshu Grupo A","")</f>
        <v/>
      </c>
      <c r="BL46" s="50" t="str">
        <f>IF(COUNTIF(BF:BH,253)&gt;0,COUNTIF(BF:BH,253),"")</f>
        <v/>
      </c>
      <c r="BM46" s="50" t="str">
        <f>IF(Atletas!K37="","",IF(Atletas!B37="Feminino",100,IF(Atletas!B37="Masculino",200,""))+(IF(Atletas!K37="Equipe 1 Grupo B",1,IF(Atletas!K37="Equipe 2 Grupo B",2,IF(Atletas!K37="Equipe 1 Grupo A",3,IF(Atletas!K37="Equipe 2 Grupo A",4,IF(Atletas!K37="Equipe 1 Adulto",5,IF(Atletas!K37="Equipe 2 Adulto",6,""))))))))</f>
        <v/>
      </c>
      <c r="BR46" s="50" t="str">
        <f>IF(Atletas!L37="","",IF(Atletas!X37&lt;&gt;"",10000,0)+(IF(Atletas!B37="Feminino",1000,IF(Atletas!B37="Masculino",2000,""))+IF(Atletas!L37="Choylayfut A",1,IF(Atletas!L37="Hunggar A",2,IF(Atletas!L37="Wuzuquan A",3,IF(Atletas!L37="Wingchun A",4,IF(Atletas!L37="Outra Mão de Sul A",5,IF(Atletas!L37="Choylayfut B",6,IF(Atletas!L37="Hunggar B",7,IF(Atletas!L37="Wuzuquan B",8,IF(Atletas!L37="Wingchun B",9,IF(Atletas!L37="Outra Mão de Sul B",10,IF(Atletas!L37="Choylayfut C",11,IF(Atletas!L37="Hunggar C",12,IF(Atletas!L37="Wuzuquan C",13,IF(Atletas!L37="Wingchun C",14,IF(Atletas!L37="Outra Mão de Sul C",15,IF(Atletas!L37="Choylayfut D",16,IF(Atletas!L37="Hunggar D",17,IF(Atletas!L37="Wuzuquan D",18,IF(Atletas!L37="Wingchun D",19,IF(Atletas!L37="Outra Mão de Sul D",20,IF(Atletas!L37="Choylayfut E",21,IF(Atletas!L37="Hunggar E",22,IF(Atletas!L37="Wuzuquan E",23,IF(Atletas!L37="Wingchun E",24,IF(Atletas!L37="Outra Mão de Sul E",25,IF(Atletas!L37="Choylayfut F",26,IF(Atletas!L37="Hunggar F",27,IF(Atletas!L37="Wuzuquan F",28,IF(Atletas!L37="Wingchun F",29,IF(Atletas!L37="Outra Mão de Sul F",30,IF(Atletas!L37="Dishuquan A",31,IF(Atletas!L37="Dishuquan B",32,IF(Atletas!L37="Dishuquan C",33,IF(Atletas!L37="Dishuquan D",34,IF(Atletas!L37="Dishuquan E",35,IF(Atletas!L37="Dishuquan F",36,""))))))))))))))))))))))))))))))))))))))</f>
        <v/>
      </c>
      <c r="BS46" s="50" t="str">
        <f>IF(Atletas!M37="","",IF(Atletas!X37&lt;&gt;"",10000,0)+(IF(Atletas!B37="Feminino",1000,IF(Atletas!B37="Masculino",2000,""))+(IF(Atletas!M37="Chaquan A",101,IF(Atletas!M37="Emeiquan A",102,IF(Atletas!M37="Fanziquan A",103,IF(Atletas!M37="Huaquan A",104,IF(Atletas!M37="Hongquan A",105,IF(Atletas!M37="Paoquan A",106,IF(Atletas!M37="Piguaquan A",107,IF(Atletas!M37="Shaolinquan A",108,IF(Atletas!M37="Tanglangquan A",109,IF(Atletas!M37="Yingzhaoquan A",110,IF(Atletas!M37="Tongbeiquan A",111,IF(Atletas!M37="Wudangquan A",112,IF(Atletas!M37="Outros Estilos A",113,IF(Atletas!M37="Chaquan B",114,IF(Atletas!M37="Emeiquan B",115,IF(Atletas!M37="Fanziquan B",116,IF(Atletas!M37="Huaquan B",117,IF(Atletas!M37="Hongquan B",118,IF(Atletas!M37="Paoquan B",119,IF(Atletas!M37="Piguaquan B",120,IF(Atletas!M37="Shaolinquan B",121,IF(Atletas!M37="Tanglangquan B",122,IF(Atletas!M37="Yingzhaoquan B",123,IF(Atletas!M37="Tongbeiquan B",124,IF(Atletas!M37="Wudangquan B",125,IF(Atletas!M37="Outros Estilos B",126,IF(Atletas!M37="Chaquan C",127,IF(Atletas!M37="Emeiquan C",128,IF(Atletas!M37="Fanziquan C",129,IF(Atletas!M37="Huaquan C",130,IF(Atletas!M37="Hongquan C",131,IF(Atletas!M37="Paoquan C",132,IF(Atletas!M37="Piguaquan C",133,IF(Atletas!M37="Shaolinquan C",134,IF(Atletas!M37="Tanglangquan C",135,IF(Atletas!M37="Yingzhaoquan C",136,IF(Atletas!M37="Tongbeiquan C",137,IF(Atletas!M37="Wudangquan C",138,IF(Atletas!M37="Outros Estilos C",139,0))))))))))))))))))))))))))))))))))))))))))</f>
        <v/>
      </c>
      <c r="BT46" s="50" t="str">
        <f>IF(Atletas!M37="","",IF(Atletas!X37&lt;&gt;"",10000,0)+(IF(Atletas!B37="Feminino",1000,IF(Atletas!B37="Masculino",2000,""))+(IF(Atletas!M37="Chaquan D",140,IF(Atletas!M37="Emeiquan D",141,IF(Atletas!M37="Fanziquan D",142,IF(Atletas!M37="Huaquan D",143,IF(Atletas!M37="Hongquan D",144,IF(Atletas!M37="Paoquan D",145,IF(Atletas!M37="Piguaquan D",146,IF(Atletas!M37="Shaolinquan D",147,IF(Atletas!M37="Tanglangquan D",148,IF(Atletas!M37="Yingzhaoquan D",149,IF(Atletas!M37="Tongbeiquan D",150,IF(Atletas!M37="Wudangquan D",151,IF(Atletas!M37="Outros Estilos D",152,IF(Atletas!M37="Chaquan E",153,IF(Atletas!M37="Emeiquan E",154,IF(Atletas!M37="Fanziquan E",155,IF(Atletas!M37="Huaquan E",156,IF(Atletas!M37="Hongquan E",157,IF(Atletas!M37="Paoquan E",158,IF(Atletas!M37="Piguaquan E",159,IF(Atletas!M37="Shaolinquan E",160,IF(Atletas!M37="Tanglangquan E",161,IF(Atletas!M37="Yingzhaoquan E",162,IF(Atletas!M37="Tongbeiquan E",163,IF(Atletas!M37="Wudangquan E",164,IF(Atletas!M37="Outros Estilos E",165,IF(Atletas!M37="Chaquan F",166,IF(Atletas!M37="Emeiquan F",167,IF(Atletas!M37="Fanziquan F",168,IF(Atletas!M37="Huaquan F",169,IF(Atletas!M37="Hongquan F",170,IF(Atletas!M37="Paoquan F",171,IF(Atletas!M37="Piguaquan F",172,IF(Atletas!M37="Shaolinquan F",173,IF(Atletas!M37="Tanglangquan F",174,IF(Atletas!M37="Yingzhaoquan F",175,IF(Atletas!M37="Tongbeiquan F",176,IF(Atletas!M37="Wudangquan F",177,IF(Atletas!M37="Outros Estilos F",178,0))))))))))))))))))))))))))))))))))))))))))</f>
        <v/>
      </c>
      <c r="BU46" s="50" t="str">
        <f>IF(Atletas!N37="","",IF(Atletas!X37&lt;&gt;"",10000,0)+(IF(Atletas!B37="Feminino",1000,IF(Atletas!B37="Masculino",2000,""))+(IF(Atletas!N37="Ditangquan A",201,IF(Atletas!N37="Houquan A",202,IF(Atletas!N37="Zuiquan A",203,IF(Atletas!N37="Ditangquan B",204,IF(Atletas!N37="Houquan B",205,IF(Atletas!N37="Zuiquan B",206,IF(Atletas!N37="Ditangquan C",207,IF(Atletas!N37="Houquan C",208,IF(Atletas!N37="Zuiquan C",209,IF(Atletas!N37="Ditangquan D",210,IF(Atletas!N37="Houquan D",211,IF(Atletas!N37="Zuiquan D",212,IF(Atletas!N37="Ditangquan E",213,IF(Atletas!N37="Houquan E",214,IF(Atletas!N37="Zuiquan E",215,IF(Atletas!N37="Ditangquan F",216,IF(Atletas!N37="Houquan F",217,IF(Atletas!N37="Zuiquan F",218,"")))))))))))))))))))))</f>
        <v/>
      </c>
      <c r="BV46" s="50" t="str">
        <f>IF(Atletas!O37="","",IF(Atletas!X37&lt;&gt;"",10000,0)+IF(Atletas!B37="Feminino",1000,IF(Atletas!B37="Masculino",2000,""))+IF(Atletas!O37="Yang A",301,IF(Atletas!O37="Chen A",302,IF(Atletas!O37="Sun A",303,IF(Atletas!O37="Wu A",304,IF(Atletas!O37="Wu-Hao A",305,IF(Atletas!O37="Outro Taijiquan A",306,IF(Atletas!O37="Yang B",307,IF(Atletas!O37="Chen B",308,IF(Atletas!O37="Sun B",309,IF(Atletas!O37="Wu B",310,IF(Atletas!O37="Wu-Hao B",311,IF(Atletas!O37="Outro Taijiquan B",312,IF(Atletas!O37="Yang C",313,IF(Atletas!O37="Chen C",314,IF(Atletas!O37="Sun C",315,IF(Atletas!O37="Wu C",316,IF(Atletas!O37="Wu-Hao C",317,IF(Atletas!O37="Outro Taijiquan C",318,IF(Atletas!O37="Yang D",319,IF(Atletas!O37="Chen D",320,IF(Atletas!O37="Sun D",321,IF(Atletas!O37="Wu D",322,IF(Atletas!O37="Wu-Hao D",323,IF(Atletas!O37="Outro Taijiquan D",324,IF(Atletas!O37="Yang E",325,IF(Atletas!O37="Chen E",326,IF(Atletas!O37="Sun E",327,IF(Atletas!O37="Wu E",328,IF(Atletas!O37="Wu-Hao E",329,IF(Atletas!O37="Outro Taijiquan E",330,IF(Atletas!O37="Yang F",331,IF(Atletas!O37="Chen F",332,IF(Atletas!O37="Sun F",333,IF(Atletas!O37="Wu F",334,IF(Atletas!O37="Wu-Hao F",335,IF(Atletas!O37="Outro Taijiquan F",336,"")))))))))))))))))))))))))))))))))))))</f>
        <v/>
      </c>
      <c r="BW46" s="50" t="str">
        <f>IF(Atletas!P37="","",IF(Atletas!X37&lt;&gt;"",10000,0)+IF(Atletas!B37="Feminino",1000,IF(Atletas!B37="Masculino",2000,""))+IF(OR(Atletas!P37="Yang 26 A",Atletas!P37="Yang 40 A"),401,IF(OR(Atletas!P37="Chen 25 A",Atletas!P37="Chen 36 A",Atletas!P37="Chen 56 A"),402,IF(Atletas!P37="Sun 73 A",403,IF(Atletas!P37="Wu 45 A",404,IF(Atletas!P37="Wu-Hao 46 A",405,IF(OR(Atletas!P37="Taijiquan 16 A",Atletas!P37="Taijiquan 24 A",Atletas!P37="Taijiquan 32 A",Atletas!P37="Taijiquan 42 A"),406,IF(OR(Atletas!P37="Yang 26 B",Atletas!P37="Yang 40 B"),407,IF(OR(Atletas!P37="Chen 25 B",Atletas!P37="Chen 36 B",Atletas!P37="Chen 56 B"),408,IF(Atletas!P37="Sun 73 B",409,IF(Atletas!P37="Wu 45 B",410,IF(Atletas!P37="Wu-Hao 46 B",411,IF(OR(Atletas!P37="Taijiquan 16 B",Atletas!P37="Taijiquan 24 B",Atletas!P37="Taijiquan 32 B",Atletas!P37="Taijiquan 42 B"),412,IF(OR(Atletas!P37="Yang 26 C",Atletas!P37="Yang 40 C"),413,IF(OR(Atletas!P37="Chen 25 C",Atletas!P37="Chen 36 C",Atletas!P37="Chen 56 C"),414,IF(Atletas!P37="Sun 73 C",415,IF(Atletas!P37="Wu 45 C",416,IF(Atletas!P37="Wu-Hao 46 C",417,IF(OR(Atletas!P37="Taijiquan 16 C",Atletas!P37="Taijiquan 24 C",Atletas!P37="Taijiquan 32 C",Atletas!P37="Taijiquan 42 C"),418,0)))))))))))))))))))</f>
        <v/>
      </c>
      <c r="BX46" s="50" t="str">
        <f>IF(Atletas!P37="","",IF(Atletas!X37&lt;&gt;"",10000,0)+IF(Atletas!B37="Feminino",1000,IF(Atletas!B37="Masculino",2000,""))+IF(OR(Atletas!P37="Yang 26 D",Atletas!P37="Yang 40 D"),419,IF(OR(Atletas!P37="Chen 25 D",Atletas!P37="Chen 36 D",Atletas!P37="Chen 56 D"),420,IF(Atletas!P37="Sun 73 D",421,IF(Atletas!P37="Wu 45 D",422,IF(Atletas!P37="Wu-Hao 46 D",423,IF(OR(Atletas!P37="Taijiquan 16 D",Atletas!P37="Taijiquan 24 D",Atletas!P37="Taijiquan 32 D",Atletas!P37="Taijiquan 42 D"),424,IF(OR(Atletas!P37="Yang 26 E",Atletas!P37="Yang 40 E"),425,IF(OR(Atletas!P37="Chen 25 E",Atletas!P37="Chen 36 E",Atletas!P37="Chen 56 E"),426,IF(Atletas!P37="Sun 73 E",427,IF(Atletas!P37="Wu 45 E",428,IF(Atletas!P37="Wu-Hao 46 E",429,IF(OR(Atletas!P37="Taijiquan 16 E",Atletas!P37="Taijiquan 24 E",Atletas!P37="Taijiquan 32 E",Atletas!P37="Taijiquan 42 E"),430,IF(OR(Atletas!P37="Yang 26 F",Atletas!P37="Yang 40 F"),431,IF(OR(Atletas!P37="Chen 25 F",Atletas!P37="Chen 36 F",Atletas!P37="Chen 56 F"),432,IF(Atletas!P37="Sun 73 F",433,IF(Atletas!P37="Wu 45 F",434,IF(Atletas!P37="Wu-Hao 46 F",435,IF(OR(Atletas!P37="Taijiquan 16 F",Atletas!P37="Taijiquan 24 F",Atletas!P37="Taijiquan 32 F",Atletas!P37="Taijiquan 42 F"),436,0)))))))))))))))))))</f>
        <v/>
      </c>
      <c r="BY46" s="50" t="str">
        <f>IF(Atletas!Q37="","",IF(Atletas!X37&lt;&gt;"",10000,0)+IF(Atletas!B37="Feminino",1000,IF(Atletas!B37="Masculino",2000,""))+IF(Atletas!Q37="Xingyiquan A",501,IF(Atletas!Q37="Baguazhang A",502,IF(Atletas!Q37="Outro Estilo Interno A",503,IF(Atletas!Q37="Xingyiquan B",504,IF(Atletas!Q37="Baguazhang B",505,IF(Atletas!Q37="Outro Estilo Interno B",506,IF(Atletas!Q37="Xingyiquan C",507,IF(Atletas!Q37="Baguazhang C",508,IF(Atletas!Q37="Outro Estilo Interno C",509,IF(Atletas!Q37="Xingyiquan D",510,IF(Atletas!Q37="Baguazhang D",511,IF(Atletas!Q37="Outro Estilo Interno D",512,IF(Atletas!Q37="Xingyiquan E",513,IF(Atletas!Q37="Baguazhang E",514,IF(Atletas!Q37="Outro Estilo Interno E",515,IF(Atletas!Q37="Xingyiquan F",516,IF(Atletas!Q37="Baguazhang F",517,IF(Atletas!Q37="Outro Estilo Interno F",518, "")))))))))))))))))))</f>
        <v/>
      </c>
      <c r="BZ46" s="50" t="str">
        <f>IF(Atletas!R37="","",IF(Atletas!X37&lt;&gt;"",10000,0)+IF(Atletas!B37="Feminino",1000,IF(Atletas!B37="Masculino",2000,""))+IF(Atletas!R37="Dao A",601,IF(Atletas!R37="Jian A",602,IF(Atletas!R37="Bishou A",603,IF(Atletas!R37="Shanzi A",604,IF(Atletas!R37="Outra Arma Curta A",605,IF(Atletas!R37="Dao B",606,IF(Atletas!R37="Jian B",607,IF(Atletas!R37="Bishou B",608,IF(Atletas!R37="Shanzi B",609,IF(Atletas!R37="Outra Arma Curta B",610,IF(Atletas!R37="Dao C",611,IF(Atletas!R37="Jian C",612,IF(Atletas!R37="Bishou C",613,IF(Atletas!R37="Shanzi C",614,IF(Atletas!R37="Outra Arma Curta C",615,IF(Atletas!R37="Dao D",616,IF(Atletas!R37="Jian D",617,IF(Atletas!R37="Bishou D",618,IF(Atletas!R37="Shanzi D",619,IF(Atletas!R37="Outra Arma Curta D",620,IF(Atletas!R37="Dao E",621,IF(Atletas!R37="Jian E",622,IF(Atletas!R37="Bishou E",623,IF(Atletas!R37="Shanzi E",624,IF(Atletas!R37="Outra Arma Curta E",625,IF(Atletas!R37="Dao F",626,IF(Atletas!R37="Jian F",627,IF(Atletas!R37="Bishou F",628,IF(Atletas!R37="Shanzi F",629,IF(Atletas!R37="Outra Arma Curta F",630, "")))))))))))))))))))))))))))))))</f>
        <v/>
      </c>
      <c r="CA46" s="50" t="str">
        <f>IF(Atletas!S37="","",IF(Atletas!X37&lt;&gt;"",10000,0)+IF(Atletas!B37="Feminino",1000,IF(Atletas!B37="Masculino",2000,""))+IF(Atletas!S37="Gun A",701,IF(Atletas!S37="Qiang A",702,IF(Atletas!S37="Pudao / Guandao A",703,IF(Atletas!S37="Outra Arma Longa A",704,IF(Atletas!S37="Gun B",705,IF(Atletas!S37="Qiang B",706,IF(Atletas!S37="Pudao / Guandao B",707,IF(Atletas!S37="Outra Arma Longa B",708,IF(Atletas!S37="Gun C",709,IF(Atletas!S37="Qiang C",710,IF(Atletas!S37="Pudao / Guandao C",711,IF(Atletas!S37="Outra Arma Longa C",712,IF(Atletas!S37="Gun D",713,IF(Atletas!S37="Qiang D",714,IF(Atletas!S37="Pudao / Guandao D",715,IF(Atletas!S37="Outra Arma Longa D",716,IF(Atletas!S37="Gun E",717,IF(Atletas!S37="Qiang E",718,IF(Atletas!S37="Pudao / Guandao E",719,IF(Atletas!S37="Outra Arma Longa E",720,IF(Atletas!S37="Gun F",721,IF(Atletas!S37="Qiang F",722,IF(Atletas!S37="Pudao / Guandao F",723,IF(Atletas!S37="Outra Arma Longa F",724,"")))))))))))))))))))))))))</f>
        <v/>
      </c>
      <c r="CB46" s="50" t="str">
        <f>IF(Atletas!T37="","",IF(Atletas!X37&lt;&gt;"",10000,0)+IF(Atletas!B37="Feminino",1000,IF(Atletas!B37="Masculino",2000,""))+IF(Atletas!T37="Outra Arma Dupla A",801,IF(Atletas!T37="Arma Maleável A",802,IF(Atletas!T37="Outra Arma Dupla B",803,IF(Atletas!T37="Arma Maleável B",804,IF(Atletas!T37="Outra Arma Dupla C",805,IF(Atletas!T37="Arma Maleável C",806,IF(Atletas!T37="Outra Arma Dupla D",807,IF(Atletas!T37="Arma Maleável D",808,IF(Atletas!T37="Outra Arma Dupla E",809,IF(Atletas!T37="Arma Maleável E",810,IF(Atletas!T37="Outra Arma Dupla F",811,IF(Atletas!T37="Arma Maleável F",812,IF(Atletas!T37="Shuangdao A",813,IF(Atletas!T37="Shuangdao B",814,IF(Atletas!T37="Shuangdao C",815,IF(Atletas!T37="Shuangdao D",816,IF(Atletas!T37="Shuangdao E",817,IF(Atletas!T37="Shuangdao F",818,"")))))))))))))))))))</f>
        <v/>
      </c>
      <c r="CC46" s="50" t="str">
        <f>IF(Atletas!U37="","",IF(Atletas!X37&lt;&gt;"",10000,0)+IF(Atletas!B37="Feminino",1000,IF(Atletas!B37="Masculino",2000,""))+IF(OR(Atletas!U37="Taijijian Yang A",Atletas!U37="Taijijian Yang Standard A"),901,IF(OR(Atletas!U37="Taijijian Chen A", Atletas!U37="Taijijian Chen Standard A"),902,IF(Atletas!U37="Taijijian Sun A",903,IF(Atletas!U37="Taijijian Wu A",904,IF(Atletas!U37="Taijijian Wu-Hao A",905,IF(OR(Atletas!U37="Taijijian 32 A",Atletas!U37="Taijijian 42 A"),906,IF(OR(Atletas!U37="Taijijian Yang B",Atletas!U37="Taijijian Yang Standard B"),907,IF(OR(Atletas!U37="Taijijian Chen B", Atletas!U37="Taijijian Chen Standard B"),908,IF(Atletas!U37="Taijijian Sun B",909,IF(Atletas!U37="Taijijian Wu B",910,IF(Atletas!U37="Taijijian Wu-Hao B",911,IF(OR(Atletas!U37="Taijijian 32 B",Atletas!U37="Taijijian 42 B"),912,IF(OR(Atletas!U37="Taijijian Yang C",Atletas!U37="Taijijian Yang Standard C"),913,IF(OR(Atletas!U37="Taijijian Chen C", Atletas!U37="Taijijian Chen Standard C"),914,IF(Atletas!U37="Taijijian Sun C",915,IF(Atletas!U37="Taijijian Wu C",916,IF(Atletas!U37="Taijijian Wu-Hao C",917,IF(OR(Atletas!U37="Taijijian 32 C",Atletas!U37="Taijijian 42 C"),918,IF(OR(Atletas!U37="Taijijian Yang D",Atletas!U37="Taijijian Yang Standard D"),919,IF(OR(Atletas!U37="Taijijian Chen D", Atletas!U37="Taijijian Chen Standard D"),920,IF(Atletas!U37="Taijijian Sun D",921,IF(Atletas!U37="Taijijian Wu D",922,IF(Atletas!U37="Taijijian Wu-Hao D",923,IF(OR(Atletas!U37="Taijijian 32 D",Atletas!U37="Taijijian 42 D"),924,IF(OR(Atletas!U37="Taijijian Yang E",Atletas!U37="Taijijian Yang Standard E"),925,IF(OR(Atletas!U37="Taijijian Chen E", Atletas!U37="Taijijian Chen Standard E"),926,IF(Atletas!U37="Taijijian Sun E",927,IF(Atletas!U37="Taijijian Wu E",928,IF(Atletas!U37="Taijijian Wu-Hao E",929,IF(OR(Atletas!U37="Taijijian 32 E",Atletas!U37="Taijijian 42 E"),930,IF(OR(Atletas!U37="Taijijian Yang F",Atletas!U37="Taijijian Yang Standard F"),931,IF(OR(Atletas!U37="Taijijian Chen F", Atletas!U37="Taijijian Chen Standard F"),932,IF(Atletas!U37="Taijijian Sun F",933,IF(Atletas!U37="Taijijian Wu F",934,IF(Atletas!U37="Taijijian Wu-Hao F",935,IF(OR(Atletas!U37="Taijijian 32 F",Atletas!U37="Taijijian 42 F"),936,"")))))))))))))))))))))))))))))))))))))</f>
        <v/>
      </c>
      <c r="CD46" s="50" t="str">
        <f>IF(Atletas!V37="","",IF(Atletas!X37&lt;&gt;"",10000,0)+IF(Atletas!B37="Feminino",1000,IF(Atletas!B37="Masculino",2000,""))+IF(Atletas!V37="Taijidao A",937,IF(Atletas!V37="TaijiShanzi A",938,IF(Atletas!V37="Taijiqiang A",939,IF(Atletas!V37="Bagua de Arma A",940,IF(Atletas!V37="Xingyi de Arma A",941,IF(Atletas!V37="Taijidao B",942,IF(Atletas!V37="TaijiShanzi B",943,IF(Atletas!V37="Taijiqiang B",944,IF(Atletas!V37="Bagua de Arma B",945,IF(Atletas!V37="Xingyi de Arma B",946,IF(Atletas!V37="Taijidao C",947,IF(Atletas!V37="TaijiShanzi C",948,IF(Atletas!V37="Taijiqiang C",949,IF(Atletas!V37="Bagua de Arma C",950,IF(Atletas!V37="Xingyi de Arma C",951,IF(Atletas!V37="Taijidao D",952,IF(Atletas!V37="TaijiShanzi D",953,IF(Atletas!V37="Taijiqiang D",954,IF(Atletas!V37="Bagua de Arma D",955,IF(Atletas!V37="Xingyi de Arma D",956,IF(Atletas!V37="Taijidao E",957,IF(Atletas!V37="TaijiShanzi E",958,IF(Atletas!V37="Taijiqiang E",959,IF(Atletas!V37="Bagua de Arma E",960,IF(Atletas!V37="Xingyi de Arma E",961,IF(Atletas!V37="Taijidao F",962,IF(Atletas!V37="TaijiShanzi F",963,IF(Atletas!V37="Taijiqiang F",964,IF(Atletas!V37="Bagua de Arma F",965,IF(Atletas!V37="Xingyi de Arma F",966,"")))))))))))))))))))))))))))))))</f>
        <v/>
      </c>
      <c r="CE46" s="66" t="str">
        <f>IF(CF46&lt;&gt;"","Huaquan A","")</f>
        <v/>
      </c>
      <c r="CF46" s="66" t="str">
        <f>IF(COUNTIF(BR:CD,1104)&gt;0,COUNTIF(BR:CD,1104),"")</f>
        <v/>
      </c>
      <c r="CG46" s="66" t="str">
        <f>IF(CH46&lt;&gt;"","Huaquan A","")</f>
        <v/>
      </c>
      <c r="CH46" s="66" t="str">
        <f>IF(COUNTIF(BR:CD,2104)&gt;0,COUNTIF(BR:CD,2104),"")</f>
        <v/>
      </c>
      <c r="CI46" s="66" t="str">
        <f>IF(CJ46&lt;&gt;"","Yingzhaoquan A","")</f>
        <v/>
      </c>
      <c r="CJ46" s="66" t="str">
        <f>IF(COUNTIF(BR:CD,11110)&gt;0,COUNTIF(BR:CD,11110),"")</f>
        <v/>
      </c>
      <c r="CK46" s="66" t="str">
        <f>IF(CL46&lt;&gt;"","Yingzhaoquan A","")</f>
        <v/>
      </c>
      <c r="CL46" s="66" t="str">
        <f>IF(COUNTIF(BR:CD,12110)&gt;0,COUNTIF(BR:CD,12110),"")</f>
        <v/>
      </c>
      <c r="CM46" s="50" t="str">
        <f xml:space="preserve"> IF(Atletas!W37="","",IF(Atletas!W37="Duilian de Mãos BC - Equipe 1",1,IF(Atletas!W37="Duilian de Mãos BC - Equipe 2",2,IF(Atletas!W37="Duilian de Armas BC - Equipe 1",3,IF(Atletas!W37="Duilian de Armas BC - Equipe 2",4,IF(Atletas!W37="Duilian de Mãos DE - Equipe 1",5,IF(Atletas!W37="Duilian de Mãos DE - Equipe 2",6,IF(Atletas!W37="Duilian de Armas DE - Equipe 1",7,IF(Atletas!W37="Duilian de Armas DE - Equipe 2",8,IF(Atletas!W37="Duilian de Tuishou - Equipe 1",9,IF(Atletas!W37="Duilian de Tuishou - Equipe 2",10,IF(Atletas!W37="Grupo Externo ABC - Equipe 1",11,IF(Atletas!W37="Grupo Externo ABC - Equipe 2",12,IF(Atletas!W37="Grupo Interno ABC - Equipe 1",13,IF(Atletas!W37="Grupo Interno ABC - Equipe 2",14,IF(Atletas!W37="Grupo Externo DEF - Equipe 1",15,IF(Atletas!W37="Grupo Externo DEF - Equipe 2",16,IF(Atletas!W37="Grupo Interno DEF - Equipe 1",17,IF(Atletas!W37="Grupo Interno DEF - Equipe 2",18,"")))))))))))))))))))</f>
        <v/>
      </c>
      <c r="CY46" s="41"/>
    </row>
    <row r="47" spans="2:103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 t="str">
        <f t="array" ref="R47">IFERROR(INDEX(BI$7:BI$68,SMALL(IF(BI$7:BI$68&lt;&gt;"",ROW(BI$7:BI$68)-ROW(BI$7)+1),ROWS(BI$7:BI46))),"")</f>
        <v/>
      </c>
      <c r="S47" s="3" t="str">
        <f t="array" ref="S47">IFERROR(INDEX(BJ$7:BJ$68,SMALL(IF(BJ$7:BJ$68&lt;&gt;"",ROW(BJ$7:BJ$68)-ROW(BJ$7)+1),ROWS(BJ$7:BJ46))),"")</f>
        <v/>
      </c>
      <c r="T47" s="3" t="str">
        <f t="array" ref="T47">IFERROR(INDEX(BK$7:BK$68,SMALL(IF(BK$7:BK$68&lt;&gt;"",ROW(BK$7:BK$68)-ROW(BK$7)+1),ROWS(BK$7:BK46))),"")</f>
        <v/>
      </c>
      <c r="U47" s="3" t="str">
        <f t="array" ref="U47">IFERROR(INDEX(BL$7:BL$68,SMALL(IF(BL$7:BL$68&lt;&gt;"",ROW(BL$7:BL$68)-ROW(BL$7)+1),ROWS(BL$7:BL46))),"")</f>
        <v/>
      </c>
      <c r="V47" s="3"/>
      <c r="W47" s="3"/>
      <c r="X47" s="20"/>
      <c r="Y47" s="3"/>
      <c r="Z47" s="3" t="str">
        <f t="array" ref="Z47">IFERROR(INDEX(CE$7:CE$348,SMALL(IF(CE$7:CE$348&lt;&gt;"",ROW(CE$7:CE$348)-ROW(CE$7)+1),ROWS(CE$7:CE46))),"")</f>
        <v/>
      </c>
      <c r="AA47" s="3" t="str">
        <f t="array" ref="AA47">IFERROR(INDEX(CF$7:CF$348,SMALL(IF(CF$7:CF$348&lt;&gt;"",ROW(CF$7:CF$348)-ROW(CF$7)+1),ROWS(CF$7:CF46))),"")</f>
        <v/>
      </c>
      <c r="AB47" s="3" t="str">
        <f t="array" ref="AB47">IFERROR(INDEX(CG$7:CG$348,SMALL(IF(CG$7:CG$348&lt;&gt;"",ROW(CG$7:CG$348)-ROW(CG$7)+1),ROWS(CG$7:CG46))),"")</f>
        <v/>
      </c>
      <c r="AC47" s="3" t="str">
        <f t="array" ref="AC47">IFERROR(INDEX(CH$7:CH$348,SMALL(IF(CH$7:CH$348&lt;&gt;"",ROW(CH$7:CH$348)-ROW(CH$7)+1),ROWS(CH$7:CH46))),"")</f>
        <v/>
      </c>
      <c r="AD47" s="3" t="str">
        <f t="array" ref="AD47">IFERROR(INDEX(CI$7:CI$377,SMALL(IF(CI$7:CI$377&lt;&gt;"",ROW(CI$7:CI$377)-ROW(CI$7)+1),ROWS(CI$7:CI46))),"")</f>
        <v/>
      </c>
      <c r="AE47" s="3" t="str">
        <f t="array" ref="AE47">IFERROR(INDEX(CJ$7:CJ$378,SMALL(IF(CJ$7:CJ$378&lt;&gt;"",ROW(CJ$7:CJ$378)-ROW(CJ$7)+1),ROWS(CJ$7:CJ46))),"")</f>
        <v/>
      </c>
      <c r="AF47" s="3" t="str">
        <f t="array" ref="AF47">IFERROR(INDEX(CK$7:CK$378,SMALL(IF(CK$7:CK$378&lt;&gt;"",ROW(CK$7:CK$378)-ROW(CK$7)+1),ROWS(CK$7:CK46))),"")</f>
        <v/>
      </c>
      <c r="AG47" s="3" t="str">
        <f t="array" ref="AG47">IFERROR(INDEX(CL$7:CL$378,SMALL(IF(CL$7:CL$378&lt;&gt;"",ROW(CL$7:CL$378)-ROW(CL$7)+1),ROWS(CL$7:CL46))),"")</f>
        <v/>
      </c>
      <c r="AH47" s="3"/>
      <c r="AI47" s="3"/>
      <c r="AJ47" s="3"/>
      <c r="AK47" s="3"/>
      <c r="AL47" s="3"/>
      <c r="AM47" s="3"/>
      <c r="AN47" s="52" t="str">
        <f>IF(Atletas!D38="","",IF(Atletas!B38="Feminino",100,IF(Atletas!B38="Masculino",200,""))+(IF(Atletas!D38="Kids 30kg",1,IF(Atletas!D38="Kids 32kg",2, IF(Atletas!D38="Kids 34kg",3,IF(Atletas!D38="Kids 36kg",4,IF(Atletas!D38="Kids 39kg",5,IF(Atletas!D38="Kids 42kg",6,IF(Atletas!D38="Kids 45kg",7, IF(Atletas!D38="Infantil 39kg",8,IF(Atletas!D38="Infantil 42kg",9,IF(Atletas!D38="Infantil 45kg",10,IF(Atletas!D38="Infantil 48kg",11,IF(Atletas!D38="Infantil 52kg",12,IF(Atletas!D38="Infantil 56kg",13,IF(Atletas!D38="Infantil 60kg",14,IF(Atletas!D38="Juvenil 48kg",15,IF(Atletas!D38="Juvenil 52kg",16,IF(Atletas!D38="Juvenil 56kg",17,IF(Atletas!D38="Juvenil 60kg",18,IF(Atletas!D38="Juvenil 65kg",19,IF(Atletas!D38="Juvenil 70kg",20,IF(Atletas!D38="Juvenil 75kg",21,IF(Atletas!D38="Juvenil 80kg",22, IF(Atletas!D38="Juvenil 85kg",23,IF(Atletas!D38="Adulto 48kg",24,IF(Atletas!D38="Adulto 52kg",25,IF(Atletas!D38="Adulto 56kg",26,IF(Atletas!D38="Adulto 60kg",27,IF(Atletas!D38="Adulto 65kg",28,IF(Atletas!D38="Adulto 70kg",29,IF(Atletas!D38="Adulto 75kg",30,IF(Atletas!D38="Adulto 80kg",31,IF(Atletas!D38="Adulto 85kg",32,IF(Atletas!D38="Adulto 90kg",33,IF(Atletas!D38="Adulto 100kg",34, IF(Atletas!D38="Adulto +100kg",35,"")))))))))))))))))))))))))))))))))))))</f>
        <v/>
      </c>
      <c r="AS47" s="6" t="str">
        <f>IF(Atletas!E38="","",IF(Atletas!B38="Feminino",100,IF(Atletas!B38="Masculino",200,""))+(IF(Atletas!E38="Juvenil 44kg",1,IF(Atletas!E38="Juvenil 48kg",2,IF(Atletas!E38="Juvenil 52kg",3,IF(Atletas!E38="Juvenil 56kg",4,IF(Atletas!E38="Juvenil 60kg",5,IF(Atletas!E38="Juvenil 65kg",6,IF(Atletas!E38="Juvenil 70kg",7,IF(Atletas!E38="Juvenil 75kg",8,IF(Atletas!E38="Juvenil 82kg",9,IF(Atletas!E38="Juvenil 90kg",10,IF(Atletas!E38="Juvenil 100kg",11,IF(Atletas!E38="Adulto 48kg",12,IF(Atletas!E38="Adulto 52kg",13,IF(Atletas!E38="Adulto 56kg",14,IF(Atletas!E38="Adulto 60kg",15,IF(Atletas!E38="Adulto 65kg",16,IF(Atletas!E38="Adulto 70kg",17,IF(Atletas!E38="Adulto 75kg",18,IF(Atletas!E38="Adulto 82kg",19,IF(Atletas!E38="Adulto 90kg",20,IF(Atletas!E38="Adulto 100kg",21,IF(Atletas!E38="Adulto +100kg",22,""))))))))))))))))))))))))</f>
        <v/>
      </c>
      <c r="AX47" s="6" t="str">
        <f>IF(Atletas!F38="","",IF(Atletas!B38="Feminino",100,IF(Atletas!B38="Masculino",200,""))+(IF(Atletas!F38="Adulto 48kg",1,IF(Atletas!F38="Adulto 56kg",2,IF(Atletas!F38="Adulto 65kg",3,IF(Atletas!F38="Adulto 75kg",4,IF(Atletas!F38="Adulto +75kg",5,IF(Atletas!F38="Adulto 52kg",6,IF(Atletas!F38="Adulto 60kg",7,IF(Atletas!F38="Adulto 70kg",8,IF(Atletas!F38="Adulto 80kg",9,IF(Atletas!F38="Adulto 90kg",10,IF(Atletas!F38="Adulto +90kg",11,"")))))))))))))</f>
        <v/>
      </c>
      <c r="BC47" s="6" t="str">
        <f>IF(Atletas!G38="","",IF(Atletas!B38="Feminino",10,IF(Atletas!B38="Masculino",20,""))+(IF(Atletas!G38="Baduanjin A",1,IF(Atletas!G38="Baduanjin B",2))))</f>
        <v/>
      </c>
      <c r="BF47" s="52" t="str">
        <f>IF(Atletas!H38="","",IF(Atletas!B38="Feminino",100,IF(Atletas!B38="Masculino",200,""))+(IF(Atletas!H38="Changquan Mirim",1,IF(Atletas!H38="Nanquan Mirim",2,IF(Atletas!H38="Taijiquan Mirim",3,IF(Atletas!H38="Changquan Grupo C",4,IF(Atletas!H38="Nanquan Grupo C",5,IF(Atletas!H38="Taijiquan Grupo C",6,IF(Atletas!H38="Changquan Grupo B",7,IF(Atletas!H38="Nanquan Grupo B",8,IF(Atletas!H38="Taijiquan Grupo B",9,IF(Atletas!H38="Changquan Grupo A",10,IF(Atletas!H38="Nanquan Grupo A",11,IF(Atletas!H38="Taijiquan Grupo A",12,IF(Atletas!H38="Changquan Opcional",13,IF(Atletas!H38="Nanquan Opcional",14,IF(Atletas!H38="Taijiquan Opcional",15,IF(Atletas!H38="Changquan Adulto",16,IF(Atletas!H38="Nanquan Adulto",17,IF(Atletas!H38="Taijiquan Adulto",18,""))))))))))))))))))))</f>
        <v/>
      </c>
      <c r="BG47" s="52" t="str">
        <f>IF(Atletas!I38="","",IF(Atletas!B38="Feminino",100,IF(Atletas!B38="Masculino",200,""))+(IF(Atletas!I38="Daoshu Mirim",19,IF(Atletas!I38="Jianshu Mirim",20,IF(Atletas!I38="Nandao Mirim",21,IF(Atletas!I38="Taijijian Mirim",22,IF(Atletas!I38="Daoshu Grupo C",23,IF(Atletas!I38="Jianshu Grupo C",24,IF(Atletas!I38="Nandao Grupo C",25,IF(Atletas!I38="Taijijian Grupo C",26,IF(Atletas!I38="Daoshu Grupo B",27,IF(Atletas!I38="Jianshu Grupo B",28,IF(Atletas!I38="Nandao Grupo B",29,IF(Atletas!I38="Taijijian Grupo B",30,IF(Atletas!I38="Daoshu Grupo A",31,IF(Atletas!I38="Jianshu Grupo A",32,IF(Atletas!I38="Nandao Grupo A",33,IF(Atletas!I38="Taijijian Grupo A",34,IF(Atletas!I38="Daoshu Opcional",35,IF(Atletas!I38="Jianshu Opcional",36,IF(Atletas!I38="Nandao Opcional",37,IF(Atletas!I38="Taijijian Opcional",38,IF(Atletas!I38="Daoshu Adulto",39,IF(Atletas!I38="Jianshu Adulto",40,IF(Atletas!I38="Nandao Adulto",41,IF(Atletas!I38="Taijijian Adulto",42,""))))))))))))))))))))))))))</f>
        <v/>
      </c>
      <c r="BH47" s="52" t="str">
        <f>IF(Atletas!J38="","",IF(Atletas!B38="Feminino",100,IF(Atletas!B38="Masculino",200,""))+(IF(Atletas!J38="Gunshu Mirim",43,IF(Atletas!J38="Qiangshu Mirim",44,IF(Atletas!J38="Nangun Mirim",45,IF(Atletas!J38="Gunshu Grupo C",46,IF(Atletas!J38="Qiangshu Grupo C",47,IF(Atletas!J38="Nangun Grupo C",48,IF(Atletas!J38="Gunshu Grupo B",49,IF(Atletas!J38="Qiangshu Grupo B",50,IF(Atletas!J38="Nangun Grupo B",51,IF(Atletas!J38="Gunshu Grupo A",52,IF(Atletas!J38="Qiangshu Grupo A",53,IF(Atletas!J38="Nangun Grupo A",54,IF(Atletas!J38="Gunshu Opcional",55,IF(Atletas!J38="Qiangshu Opcional",56,IF(Atletas!J38="Nangun Opcional",57,IF(Atletas!J38="Gunshu Adulto",58,IF(Atletas!J38="Qiangshu Adulto",59,IF(Atletas!J38="Nangun Adulto",60,IF(Atletas!J38="Taijishan Grupo B",61,IF(Atletas!J38="Taijishan Grupo A",62,""))))))))))))))))))))))</f>
        <v/>
      </c>
      <c r="BI47" s="6" t="str">
        <f>IF(BJ47&lt;&gt;"","Nangun Grupo A","")</f>
        <v/>
      </c>
      <c r="BJ47" s="50" t="str">
        <f>IF(COUNTIF(BF:BH,154)&gt;0,COUNTIF(BF:BH,154),"")</f>
        <v/>
      </c>
      <c r="BK47" s="6" t="str">
        <f>IF(BL47&lt;&gt;"","Nangun Grupo A","")</f>
        <v/>
      </c>
      <c r="BL47" s="50" t="str">
        <f>IF(COUNTIF(BF:BH,254)&gt;0,COUNTIF(BF:BH,254),"")</f>
        <v/>
      </c>
      <c r="BM47" s="50" t="str">
        <f>IF(Atletas!K38="","",IF(Atletas!B38="Feminino",100,IF(Atletas!B38="Masculino",200,""))+(IF(Atletas!K38="Equipe 1 Grupo B",1,IF(Atletas!K38="Equipe 2 Grupo B",2,IF(Atletas!K38="Equipe 1 Grupo A",3,IF(Atletas!K38="Equipe 2 Grupo A",4,IF(Atletas!K38="Equipe 1 Adulto",5,IF(Atletas!K38="Equipe 2 Adulto",6,""))))))))</f>
        <v/>
      </c>
      <c r="BR47" s="50" t="str">
        <f>IF(Atletas!L38="","",IF(Atletas!X38&lt;&gt;"",10000,0)+(IF(Atletas!B38="Feminino",1000,IF(Atletas!B38="Masculino",2000,""))+IF(Atletas!L38="Choylayfut A",1,IF(Atletas!L38="Hunggar A",2,IF(Atletas!L38="Wuzuquan A",3,IF(Atletas!L38="Wingchun A",4,IF(Atletas!L38="Outra Mão de Sul A",5,IF(Atletas!L38="Choylayfut B",6,IF(Atletas!L38="Hunggar B",7,IF(Atletas!L38="Wuzuquan B",8,IF(Atletas!L38="Wingchun B",9,IF(Atletas!L38="Outra Mão de Sul B",10,IF(Atletas!L38="Choylayfut C",11,IF(Atletas!L38="Hunggar C",12,IF(Atletas!L38="Wuzuquan C",13,IF(Atletas!L38="Wingchun C",14,IF(Atletas!L38="Outra Mão de Sul C",15,IF(Atletas!L38="Choylayfut D",16,IF(Atletas!L38="Hunggar D",17,IF(Atletas!L38="Wuzuquan D",18,IF(Atletas!L38="Wingchun D",19,IF(Atletas!L38="Outra Mão de Sul D",20,IF(Atletas!L38="Choylayfut E",21,IF(Atletas!L38="Hunggar E",22,IF(Atletas!L38="Wuzuquan E",23,IF(Atletas!L38="Wingchun E",24,IF(Atletas!L38="Outra Mão de Sul E",25,IF(Atletas!L38="Choylayfut F",26,IF(Atletas!L38="Hunggar F",27,IF(Atletas!L38="Wuzuquan F",28,IF(Atletas!L38="Wingchun F",29,IF(Atletas!L38="Outra Mão de Sul F",30,IF(Atletas!L38="Dishuquan A",31,IF(Atletas!L38="Dishuquan B",32,IF(Atletas!L38="Dishuquan C",33,IF(Atletas!L38="Dishuquan D",34,IF(Atletas!L38="Dishuquan E",35,IF(Atletas!L38="Dishuquan F",36,""))))))))))))))))))))))))))))))))))))))</f>
        <v/>
      </c>
      <c r="BS47" s="50" t="str">
        <f>IF(Atletas!M38="","",IF(Atletas!X38&lt;&gt;"",10000,0)+(IF(Atletas!B38="Feminino",1000,IF(Atletas!B38="Masculino",2000,""))+(IF(Atletas!M38="Chaquan A",101,IF(Atletas!M38="Emeiquan A",102,IF(Atletas!M38="Fanziquan A",103,IF(Atletas!M38="Huaquan A",104,IF(Atletas!M38="Hongquan A",105,IF(Atletas!M38="Paoquan A",106,IF(Atletas!M38="Piguaquan A",107,IF(Atletas!M38="Shaolinquan A",108,IF(Atletas!M38="Tanglangquan A",109,IF(Atletas!M38="Yingzhaoquan A",110,IF(Atletas!M38="Tongbeiquan A",111,IF(Atletas!M38="Wudangquan A",112,IF(Atletas!M38="Outros Estilos A",113,IF(Atletas!M38="Chaquan B",114,IF(Atletas!M38="Emeiquan B",115,IF(Atletas!M38="Fanziquan B",116,IF(Atletas!M38="Huaquan B",117,IF(Atletas!M38="Hongquan B",118,IF(Atletas!M38="Paoquan B",119,IF(Atletas!M38="Piguaquan B",120,IF(Atletas!M38="Shaolinquan B",121,IF(Atletas!M38="Tanglangquan B",122,IF(Atletas!M38="Yingzhaoquan B",123,IF(Atletas!M38="Tongbeiquan B",124,IF(Atletas!M38="Wudangquan B",125,IF(Atletas!M38="Outros Estilos B",126,IF(Atletas!M38="Chaquan C",127,IF(Atletas!M38="Emeiquan C",128,IF(Atletas!M38="Fanziquan C",129,IF(Atletas!M38="Huaquan C",130,IF(Atletas!M38="Hongquan C",131,IF(Atletas!M38="Paoquan C",132,IF(Atletas!M38="Piguaquan C",133,IF(Atletas!M38="Shaolinquan C",134,IF(Atletas!M38="Tanglangquan C",135,IF(Atletas!M38="Yingzhaoquan C",136,IF(Atletas!M38="Tongbeiquan C",137,IF(Atletas!M38="Wudangquan C",138,IF(Atletas!M38="Outros Estilos C",139,0))))))))))))))))))))))))))))))))))))))))))</f>
        <v/>
      </c>
      <c r="BT47" s="50" t="str">
        <f>IF(Atletas!M38="","",IF(Atletas!X38&lt;&gt;"",10000,0)+(IF(Atletas!B38="Feminino",1000,IF(Atletas!B38="Masculino",2000,""))+(IF(Atletas!M38="Chaquan D",140,IF(Atletas!M38="Emeiquan D",141,IF(Atletas!M38="Fanziquan D",142,IF(Atletas!M38="Huaquan D",143,IF(Atletas!M38="Hongquan D",144,IF(Atletas!M38="Paoquan D",145,IF(Atletas!M38="Piguaquan D",146,IF(Atletas!M38="Shaolinquan D",147,IF(Atletas!M38="Tanglangquan D",148,IF(Atletas!M38="Yingzhaoquan D",149,IF(Atletas!M38="Tongbeiquan D",150,IF(Atletas!M38="Wudangquan D",151,IF(Atletas!M38="Outros Estilos D",152,IF(Atletas!M38="Chaquan E",153,IF(Atletas!M38="Emeiquan E",154,IF(Atletas!M38="Fanziquan E",155,IF(Atletas!M38="Huaquan E",156,IF(Atletas!M38="Hongquan E",157,IF(Atletas!M38="Paoquan E",158,IF(Atletas!M38="Piguaquan E",159,IF(Atletas!M38="Shaolinquan E",160,IF(Atletas!M38="Tanglangquan E",161,IF(Atletas!M38="Yingzhaoquan E",162,IF(Atletas!M38="Tongbeiquan E",163,IF(Atletas!M38="Wudangquan E",164,IF(Atletas!M38="Outros Estilos E",165,IF(Atletas!M38="Chaquan F",166,IF(Atletas!M38="Emeiquan F",167,IF(Atletas!M38="Fanziquan F",168,IF(Atletas!M38="Huaquan F",169,IF(Atletas!M38="Hongquan F",170,IF(Atletas!M38="Paoquan F",171,IF(Atletas!M38="Piguaquan F",172,IF(Atletas!M38="Shaolinquan F",173,IF(Atletas!M38="Tanglangquan F",174,IF(Atletas!M38="Yingzhaoquan F",175,IF(Atletas!M38="Tongbeiquan F",176,IF(Atletas!M38="Wudangquan F",177,IF(Atletas!M38="Outros Estilos F",178,0))))))))))))))))))))))))))))))))))))))))))</f>
        <v/>
      </c>
      <c r="BU47" s="50" t="str">
        <f>IF(Atletas!N38="","",IF(Atletas!X38&lt;&gt;"",10000,0)+(IF(Atletas!B38="Feminino",1000,IF(Atletas!B38="Masculino",2000,""))+(IF(Atletas!N38="Ditangquan A",201,IF(Atletas!N38="Houquan A",202,IF(Atletas!N38="Zuiquan A",203,IF(Atletas!N38="Ditangquan B",204,IF(Atletas!N38="Houquan B",205,IF(Atletas!N38="Zuiquan B",206,IF(Atletas!N38="Ditangquan C",207,IF(Atletas!N38="Houquan C",208,IF(Atletas!N38="Zuiquan C",209,IF(Atletas!N38="Ditangquan D",210,IF(Atletas!N38="Houquan D",211,IF(Atletas!N38="Zuiquan D",212,IF(Atletas!N38="Ditangquan E",213,IF(Atletas!N38="Houquan E",214,IF(Atletas!N38="Zuiquan E",215,IF(Atletas!N38="Ditangquan F",216,IF(Atletas!N38="Houquan F",217,IF(Atletas!N38="Zuiquan F",218,"")))))))))))))))))))))</f>
        <v/>
      </c>
      <c r="BV47" s="50" t="str">
        <f>IF(Atletas!O38="","",IF(Atletas!X38&lt;&gt;"",10000,0)+IF(Atletas!B38="Feminino",1000,IF(Atletas!B38="Masculino",2000,""))+IF(Atletas!O38="Yang A",301,IF(Atletas!O38="Chen A",302,IF(Atletas!O38="Sun A",303,IF(Atletas!O38="Wu A",304,IF(Atletas!O38="Wu-Hao A",305,IF(Atletas!O38="Outro Taijiquan A",306,IF(Atletas!O38="Yang B",307,IF(Atletas!O38="Chen B",308,IF(Atletas!O38="Sun B",309,IF(Atletas!O38="Wu B",310,IF(Atletas!O38="Wu-Hao B",311,IF(Atletas!O38="Outro Taijiquan B",312,IF(Atletas!O38="Yang C",313,IF(Atletas!O38="Chen C",314,IF(Atletas!O38="Sun C",315,IF(Atletas!O38="Wu C",316,IF(Atletas!O38="Wu-Hao C",317,IF(Atletas!O38="Outro Taijiquan C",318,IF(Atletas!O38="Yang D",319,IF(Atletas!O38="Chen D",320,IF(Atletas!O38="Sun D",321,IF(Atletas!O38="Wu D",322,IF(Atletas!O38="Wu-Hao D",323,IF(Atletas!O38="Outro Taijiquan D",324,IF(Atletas!O38="Yang E",325,IF(Atletas!O38="Chen E",326,IF(Atletas!O38="Sun E",327,IF(Atletas!O38="Wu E",328,IF(Atletas!O38="Wu-Hao E",329,IF(Atletas!O38="Outro Taijiquan E",330,IF(Atletas!O38="Yang F",331,IF(Atletas!O38="Chen F",332,IF(Atletas!O38="Sun F",333,IF(Atletas!O38="Wu F",334,IF(Atletas!O38="Wu-Hao F",335,IF(Atletas!O38="Outro Taijiquan F",336,"")))))))))))))))))))))))))))))))))))))</f>
        <v/>
      </c>
      <c r="BW47" s="50" t="str">
        <f>IF(Atletas!P38="","",IF(Atletas!X38&lt;&gt;"",10000,0)+IF(Atletas!B38="Feminino",1000,IF(Atletas!B38="Masculino",2000,""))+IF(OR(Atletas!P38="Yang 26 A",Atletas!P38="Yang 40 A"),401,IF(OR(Atletas!P38="Chen 25 A",Atletas!P38="Chen 36 A",Atletas!P38="Chen 56 A"),402,IF(Atletas!P38="Sun 73 A",403,IF(Atletas!P38="Wu 45 A",404,IF(Atletas!P38="Wu-Hao 46 A",405,IF(OR(Atletas!P38="Taijiquan 16 A",Atletas!P38="Taijiquan 24 A",Atletas!P38="Taijiquan 32 A",Atletas!P38="Taijiquan 42 A"),406,IF(OR(Atletas!P38="Yang 26 B",Atletas!P38="Yang 40 B"),407,IF(OR(Atletas!P38="Chen 25 B",Atletas!P38="Chen 36 B",Atletas!P38="Chen 56 B"),408,IF(Atletas!P38="Sun 73 B",409,IF(Atletas!P38="Wu 45 B",410,IF(Atletas!P38="Wu-Hao 46 B",411,IF(OR(Atletas!P38="Taijiquan 16 B",Atletas!P38="Taijiquan 24 B",Atletas!P38="Taijiquan 32 B",Atletas!P38="Taijiquan 42 B"),412,IF(OR(Atletas!P38="Yang 26 C",Atletas!P38="Yang 40 C"),413,IF(OR(Atletas!P38="Chen 25 C",Atletas!P38="Chen 36 C",Atletas!P38="Chen 56 C"),414,IF(Atletas!P38="Sun 73 C",415,IF(Atletas!P38="Wu 45 C",416,IF(Atletas!P38="Wu-Hao 46 C",417,IF(OR(Atletas!P38="Taijiquan 16 C",Atletas!P38="Taijiquan 24 C",Atletas!P38="Taijiquan 32 C",Atletas!P38="Taijiquan 42 C"),418,0)))))))))))))))))))</f>
        <v/>
      </c>
      <c r="BX47" s="50" t="str">
        <f>IF(Atletas!P38="","",IF(Atletas!X38&lt;&gt;"",10000,0)+IF(Atletas!B38="Feminino",1000,IF(Atletas!B38="Masculino",2000,""))+IF(OR(Atletas!P38="Yang 26 D",Atletas!P38="Yang 40 D"),419,IF(OR(Atletas!P38="Chen 25 D",Atletas!P38="Chen 36 D",Atletas!P38="Chen 56 D"),420,IF(Atletas!P38="Sun 73 D",421,IF(Atletas!P38="Wu 45 D",422,IF(Atletas!P38="Wu-Hao 46 D",423,IF(OR(Atletas!P38="Taijiquan 16 D",Atletas!P38="Taijiquan 24 D",Atletas!P38="Taijiquan 32 D",Atletas!P38="Taijiquan 42 D"),424,IF(OR(Atletas!P38="Yang 26 E",Atletas!P38="Yang 40 E"),425,IF(OR(Atletas!P38="Chen 25 E",Atletas!P38="Chen 36 E",Atletas!P38="Chen 56 E"),426,IF(Atletas!P38="Sun 73 E",427,IF(Atletas!P38="Wu 45 E",428,IF(Atletas!P38="Wu-Hao 46 E",429,IF(OR(Atletas!P38="Taijiquan 16 E",Atletas!P38="Taijiquan 24 E",Atletas!P38="Taijiquan 32 E",Atletas!P38="Taijiquan 42 E"),430,IF(OR(Atletas!P38="Yang 26 F",Atletas!P38="Yang 40 F"),431,IF(OR(Atletas!P38="Chen 25 F",Atletas!P38="Chen 36 F",Atletas!P38="Chen 56 F"),432,IF(Atletas!P38="Sun 73 F",433,IF(Atletas!P38="Wu 45 F",434,IF(Atletas!P38="Wu-Hao 46 F",435,IF(OR(Atletas!P38="Taijiquan 16 F",Atletas!P38="Taijiquan 24 F",Atletas!P38="Taijiquan 32 F",Atletas!P38="Taijiquan 42 F"),436,0)))))))))))))))))))</f>
        <v/>
      </c>
      <c r="BY47" s="50" t="str">
        <f>IF(Atletas!Q38="","",IF(Atletas!X38&lt;&gt;"",10000,0)+IF(Atletas!B38="Feminino",1000,IF(Atletas!B38="Masculino",2000,""))+IF(Atletas!Q38="Xingyiquan A",501,IF(Atletas!Q38="Baguazhang A",502,IF(Atletas!Q38="Outro Estilo Interno A",503,IF(Atletas!Q38="Xingyiquan B",504,IF(Atletas!Q38="Baguazhang B",505,IF(Atletas!Q38="Outro Estilo Interno B",506,IF(Atletas!Q38="Xingyiquan C",507,IF(Atletas!Q38="Baguazhang C",508,IF(Atletas!Q38="Outro Estilo Interno C",509,IF(Atletas!Q38="Xingyiquan D",510,IF(Atletas!Q38="Baguazhang D",511,IF(Atletas!Q38="Outro Estilo Interno D",512,IF(Atletas!Q38="Xingyiquan E",513,IF(Atletas!Q38="Baguazhang E",514,IF(Atletas!Q38="Outro Estilo Interno E",515,IF(Atletas!Q38="Xingyiquan F",516,IF(Atletas!Q38="Baguazhang F",517,IF(Atletas!Q38="Outro Estilo Interno F",518, "")))))))))))))))))))</f>
        <v/>
      </c>
      <c r="BZ47" s="50" t="str">
        <f>IF(Atletas!R38="","",IF(Atletas!X38&lt;&gt;"",10000,0)+IF(Atletas!B38="Feminino",1000,IF(Atletas!B38="Masculino",2000,""))+IF(Atletas!R38="Dao A",601,IF(Atletas!R38="Jian A",602,IF(Atletas!R38="Bishou A",603,IF(Atletas!R38="Shanzi A",604,IF(Atletas!R38="Outra Arma Curta A",605,IF(Atletas!R38="Dao B",606,IF(Atletas!R38="Jian B",607,IF(Atletas!R38="Bishou B",608,IF(Atletas!R38="Shanzi B",609,IF(Atletas!R38="Outra Arma Curta B",610,IF(Atletas!R38="Dao C",611,IF(Atletas!R38="Jian C",612,IF(Atletas!R38="Bishou C",613,IF(Atletas!R38="Shanzi C",614,IF(Atletas!R38="Outra Arma Curta C",615,IF(Atletas!R38="Dao D",616,IF(Atletas!R38="Jian D",617,IF(Atletas!R38="Bishou D",618,IF(Atletas!R38="Shanzi D",619,IF(Atletas!R38="Outra Arma Curta D",620,IF(Atletas!R38="Dao E",621,IF(Atletas!R38="Jian E",622,IF(Atletas!R38="Bishou E",623,IF(Atletas!R38="Shanzi E",624,IF(Atletas!R38="Outra Arma Curta E",625,IF(Atletas!R38="Dao F",626,IF(Atletas!R38="Jian F",627,IF(Atletas!R38="Bishou F",628,IF(Atletas!R38="Shanzi F",629,IF(Atletas!R38="Outra Arma Curta F",630, "")))))))))))))))))))))))))))))))</f>
        <v/>
      </c>
      <c r="CA47" s="50" t="str">
        <f>IF(Atletas!S38="","",IF(Atletas!X38&lt;&gt;"",10000,0)+IF(Atletas!B38="Feminino",1000,IF(Atletas!B38="Masculino",2000,""))+IF(Atletas!S38="Gun A",701,IF(Atletas!S38="Qiang A",702,IF(Atletas!S38="Pudao / Guandao A",703,IF(Atletas!S38="Outra Arma Longa A",704,IF(Atletas!S38="Gun B",705,IF(Atletas!S38="Qiang B",706,IF(Atletas!S38="Pudao / Guandao B",707,IF(Atletas!S38="Outra Arma Longa B",708,IF(Atletas!S38="Gun C",709,IF(Atletas!S38="Qiang C",710,IF(Atletas!S38="Pudao / Guandao C",711,IF(Atletas!S38="Outra Arma Longa C",712,IF(Atletas!S38="Gun D",713,IF(Atletas!S38="Qiang D",714,IF(Atletas!S38="Pudao / Guandao D",715,IF(Atletas!S38="Outra Arma Longa D",716,IF(Atletas!S38="Gun E",717,IF(Atletas!S38="Qiang E",718,IF(Atletas!S38="Pudao / Guandao E",719,IF(Atletas!S38="Outra Arma Longa E",720,IF(Atletas!S38="Gun F",721,IF(Atletas!S38="Qiang F",722,IF(Atletas!S38="Pudao / Guandao F",723,IF(Atletas!S38="Outra Arma Longa F",724,"")))))))))))))))))))))))))</f>
        <v/>
      </c>
      <c r="CB47" s="50" t="str">
        <f>IF(Atletas!T38="","",IF(Atletas!X38&lt;&gt;"",10000,0)+IF(Atletas!B38="Feminino",1000,IF(Atletas!B38="Masculino",2000,""))+IF(Atletas!T38="Outra Arma Dupla A",801,IF(Atletas!T38="Arma Maleável A",802,IF(Atletas!T38="Outra Arma Dupla B",803,IF(Atletas!T38="Arma Maleável B",804,IF(Atletas!T38="Outra Arma Dupla C",805,IF(Atletas!T38="Arma Maleável C",806,IF(Atletas!T38="Outra Arma Dupla D",807,IF(Atletas!T38="Arma Maleável D",808,IF(Atletas!T38="Outra Arma Dupla E",809,IF(Atletas!T38="Arma Maleável E",810,IF(Atletas!T38="Outra Arma Dupla F",811,IF(Atletas!T38="Arma Maleável F",812,IF(Atletas!T38="Shuangdao A",813,IF(Atletas!T38="Shuangdao B",814,IF(Atletas!T38="Shuangdao C",815,IF(Atletas!T38="Shuangdao D",816,IF(Atletas!T38="Shuangdao E",817,IF(Atletas!T38="Shuangdao F",818,"")))))))))))))))))))</f>
        <v/>
      </c>
      <c r="CC47" s="50" t="str">
        <f>IF(Atletas!U38="","",IF(Atletas!X38&lt;&gt;"",10000,0)+IF(Atletas!B38="Feminino",1000,IF(Atletas!B38="Masculino",2000,""))+IF(OR(Atletas!U38="Taijijian Yang A",Atletas!U38="Taijijian Yang Standard A"),901,IF(OR(Atletas!U38="Taijijian Chen A", Atletas!U38="Taijijian Chen Standard A"),902,IF(Atletas!U38="Taijijian Sun A",903,IF(Atletas!U38="Taijijian Wu A",904,IF(Atletas!U38="Taijijian Wu-Hao A",905,IF(OR(Atletas!U38="Taijijian 32 A",Atletas!U38="Taijijian 42 A"),906,IF(OR(Atletas!U38="Taijijian Yang B",Atletas!U38="Taijijian Yang Standard B"),907,IF(OR(Atletas!U38="Taijijian Chen B", Atletas!U38="Taijijian Chen Standard B"),908,IF(Atletas!U38="Taijijian Sun B",909,IF(Atletas!U38="Taijijian Wu B",910,IF(Atletas!U38="Taijijian Wu-Hao B",911,IF(OR(Atletas!U38="Taijijian 32 B",Atletas!U38="Taijijian 42 B"),912,IF(OR(Atletas!U38="Taijijian Yang C",Atletas!U38="Taijijian Yang Standard C"),913,IF(OR(Atletas!U38="Taijijian Chen C", Atletas!U38="Taijijian Chen Standard C"),914,IF(Atletas!U38="Taijijian Sun C",915,IF(Atletas!U38="Taijijian Wu C",916,IF(Atletas!U38="Taijijian Wu-Hao C",917,IF(OR(Atletas!U38="Taijijian 32 C",Atletas!U38="Taijijian 42 C"),918,IF(OR(Atletas!U38="Taijijian Yang D",Atletas!U38="Taijijian Yang Standard D"),919,IF(OR(Atletas!U38="Taijijian Chen D", Atletas!U38="Taijijian Chen Standard D"),920,IF(Atletas!U38="Taijijian Sun D",921,IF(Atletas!U38="Taijijian Wu D",922,IF(Atletas!U38="Taijijian Wu-Hao D",923,IF(OR(Atletas!U38="Taijijian 32 D",Atletas!U38="Taijijian 42 D"),924,IF(OR(Atletas!U38="Taijijian Yang E",Atletas!U38="Taijijian Yang Standard E"),925,IF(OR(Atletas!U38="Taijijian Chen E", Atletas!U38="Taijijian Chen Standard E"),926,IF(Atletas!U38="Taijijian Sun E",927,IF(Atletas!U38="Taijijian Wu E",928,IF(Atletas!U38="Taijijian Wu-Hao E",929,IF(OR(Atletas!U38="Taijijian 32 E",Atletas!U38="Taijijian 42 E"),930,IF(OR(Atletas!U38="Taijijian Yang F",Atletas!U38="Taijijian Yang Standard F"),931,IF(OR(Atletas!U38="Taijijian Chen F", Atletas!U38="Taijijian Chen Standard F"),932,IF(Atletas!U38="Taijijian Sun F",933,IF(Atletas!U38="Taijijian Wu F",934,IF(Atletas!U38="Taijijian Wu-Hao F",935,IF(OR(Atletas!U38="Taijijian 32 F",Atletas!U38="Taijijian 42 F"),936,"")))))))))))))))))))))))))))))))))))))</f>
        <v/>
      </c>
      <c r="CD47" s="50" t="str">
        <f>IF(Atletas!V38="","",IF(Atletas!X38&lt;&gt;"",10000,0)+IF(Atletas!B38="Feminino",1000,IF(Atletas!B38="Masculino",2000,""))+IF(Atletas!V38="Taijidao A",937,IF(Atletas!V38="TaijiShanzi A",938,IF(Atletas!V38="Taijiqiang A",939,IF(Atletas!V38="Bagua de Arma A",940,IF(Atletas!V38="Xingyi de Arma A",941,IF(Atletas!V38="Taijidao B",942,IF(Atletas!V38="TaijiShanzi B",943,IF(Atletas!V38="Taijiqiang B",944,IF(Atletas!V38="Bagua de Arma B",945,IF(Atletas!V38="Xingyi de Arma B",946,IF(Atletas!V38="Taijidao C",947,IF(Atletas!V38="TaijiShanzi C",948,IF(Atletas!V38="Taijiqiang C",949,IF(Atletas!V38="Bagua de Arma C",950,IF(Atletas!V38="Xingyi de Arma C",951,IF(Atletas!V38="Taijidao D",952,IF(Atletas!V38="TaijiShanzi D",953,IF(Atletas!V38="Taijiqiang D",954,IF(Atletas!V38="Bagua de Arma D",955,IF(Atletas!V38="Xingyi de Arma D",956,IF(Atletas!V38="Taijidao E",957,IF(Atletas!V38="TaijiShanzi E",958,IF(Atletas!V38="Taijiqiang E",959,IF(Atletas!V38="Bagua de Arma E",960,IF(Atletas!V38="Xingyi de Arma E",961,IF(Atletas!V38="Taijidao F",962,IF(Atletas!V38="TaijiShanzi F",963,IF(Atletas!V38="Taijiqiang F",964,IF(Atletas!V38="Bagua de Arma F",965,IF(Atletas!V38="Xingyi de Arma F",966,"")))))))))))))))))))))))))))))))</f>
        <v/>
      </c>
      <c r="CE47" s="66" t="str">
        <f>IF(CF47&lt;&gt;"","Hongquan A","")</f>
        <v/>
      </c>
      <c r="CF47" s="66" t="str">
        <f>IF(COUNTIF(BR:CD,1105)&gt;0,COUNTIF(BR:CD,1105),"")</f>
        <v/>
      </c>
      <c r="CG47" s="66" t="str">
        <f>IF(CH47&lt;&gt;"","Hongquan A","")</f>
        <v/>
      </c>
      <c r="CH47" s="66" t="str">
        <f>IF(COUNTIF(BR:CD,2105)&gt;0,COUNTIF(BR:CD,2105),"")</f>
        <v/>
      </c>
      <c r="CI47" s="66" t="str">
        <f>IF(CJ47&lt;&gt;"","Tongbeiquan A","")</f>
        <v/>
      </c>
      <c r="CJ47" s="66" t="str">
        <f>IF(COUNTIF(BR:CD,11111)&gt;0,COUNTIF(BR:CD,11111),"")</f>
        <v/>
      </c>
      <c r="CK47" s="66" t="str">
        <f>IF(CL47&lt;&gt;"","Tongbeiquan A","")</f>
        <v/>
      </c>
      <c r="CL47" s="66" t="str">
        <f>IF(COUNTIF(BR:CD,12111)&gt;0,COUNTIF(BR:CD,12111),"")</f>
        <v/>
      </c>
      <c r="CM47" s="50" t="str">
        <f xml:space="preserve"> IF(Atletas!W38="","",IF(Atletas!W38="Duilian de Mãos BC - Equipe 1",1,IF(Atletas!W38="Duilian de Mãos BC - Equipe 2",2,IF(Atletas!W38="Duilian de Armas BC - Equipe 1",3,IF(Atletas!W38="Duilian de Armas BC - Equipe 2",4,IF(Atletas!W38="Duilian de Mãos DE - Equipe 1",5,IF(Atletas!W38="Duilian de Mãos DE - Equipe 2",6,IF(Atletas!W38="Duilian de Armas DE - Equipe 1",7,IF(Atletas!W38="Duilian de Armas DE - Equipe 2",8,IF(Atletas!W38="Duilian de Tuishou - Equipe 1",9,IF(Atletas!W38="Duilian de Tuishou - Equipe 2",10,IF(Atletas!W38="Grupo Externo ABC - Equipe 1",11,IF(Atletas!W38="Grupo Externo ABC - Equipe 2",12,IF(Atletas!W38="Grupo Interno ABC - Equipe 1",13,IF(Atletas!W38="Grupo Interno ABC - Equipe 2",14,IF(Atletas!W38="Grupo Externo DEF - Equipe 1",15,IF(Atletas!W38="Grupo Externo DEF - Equipe 2",16,IF(Atletas!W38="Grupo Interno DEF - Equipe 1",17,IF(Atletas!W38="Grupo Interno DEF - Equipe 2",18,"")))))))))))))))))))</f>
        <v/>
      </c>
      <c r="CY47" s="41"/>
    </row>
    <row r="48" spans="2:103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 t="str">
        <f t="array" ref="R48">IFERROR(INDEX(BI$7:BI$68,SMALL(IF(BI$7:BI$68&lt;&gt;"",ROW(BI$7:BI$68)-ROW(BI$7)+1),ROWS(BI$7:BI47))),"")</f>
        <v/>
      </c>
      <c r="S48" s="3" t="str">
        <f t="array" ref="S48">IFERROR(INDEX(BJ$7:BJ$68,SMALL(IF(BJ$7:BJ$68&lt;&gt;"",ROW(BJ$7:BJ$68)-ROW(BJ$7)+1),ROWS(BJ$7:BJ47))),"")</f>
        <v/>
      </c>
      <c r="T48" s="3" t="str">
        <f t="array" ref="T48">IFERROR(INDEX(BK$7:BK$68,SMALL(IF(BK$7:BK$68&lt;&gt;"",ROW(BK$7:BK$68)-ROW(BK$7)+1),ROWS(BK$7:BK47))),"")</f>
        <v/>
      </c>
      <c r="U48" s="3" t="str">
        <f t="array" ref="U48">IFERROR(INDEX(BL$7:BL$68,SMALL(IF(BL$7:BL$68&lt;&gt;"",ROW(BL$7:BL$68)-ROW(BL$7)+1),ROWS(BL$7:BL47))),"")</f>
        <v/>
      </c>
      <c r="V48" s="3"/>
      <c r="W48" s="3"/>
      <c r="X48" s="20"/>
      <c r="Y48" s="3"/>
      <c r="Z48" s="3" t="str">
        <f t="array" ref="Z48">IFERROR(INDEX(CE$7:CE$348,SMALL(IF(CE$7:CE$348&lt;&gt;"",ROW(CE$7:CE$348)-ROW(CE$7)+1),ROWS(CE$7:CE47))),"")</f>
        <v/>
      </c>
      <c r="AA48" s="3" t="str">
        <f t="array" ref="AA48">IFERROR(INDEX(CF$7:CF$348,SMALL(IF(CF$7:CF$348&lt;&gt;"",ROW(CF$7:CF$348)-ROW(CF$7)+1),ROWS(CF$7:CF47))),"")</f>
        <v/>
      </c>
      <c r="AB48" s="3" t="str">
        <f t="array" ref="AB48">IFERROR(INDEX(CG$7:CG$348,SMALL(IF(CG$7:CG$348&lt;&gt;"",ROW(CG$7:CG$348)-ROW(CG$7)+1),ROWS(CG$7:CG47))),"")</f>
        <v/>
      </c>
      <c r="AC48" s="3" t="str">
        <f t="array" ref="AC48">IFERROR(INDEX(CH$7:CH$348,SMALL(IF(CH$7:CH$348&lt;&gt;"",ROW(CH$7:CH$348)-ROW(CH$7)+1),ROWS(CH$7:CH47))),"")</f>
        <v/>
      </c>
      <c r="AD48" s="3" t="str">
        <f t="array" ref="AD48">IFERROR(INDEX(CI$7:CI$377,SMALL(IF(CI$7:CI$377&lt;&gt;"",ROW(CI$7:CI$377)-ROW(CI$7)+1),ROWS(CI$7:CI47))),"")</f>
        <v/>
      </c>
      <c r="AE48" s="3" t="str">
        <f t="array" ref="AE48">IFERROR(INDEX(CJ$7:CJ$378,SMALL(IF(CJ$7:CJ$378&lt;&gt;"",ROW(CJ$7:CJ$378)-ROW(CJ$7)+1),ROWS(CJ$7:CJ47))),"")</f>
        <v/>
      </c>
      <c r="AF48" s="3" t="str">
        <f t="array" ref="AF48">IFERROR(INDEX(CK$7:CK$378,SMALL(IF(CK$7:CK$378&lt;&gt;"",ROW(CK$7:CK$378)-ROW(CK$7)+1),ROWS(CK$7:CK47))),"")</f>
        <v/>
      </c>
      <c r="AG48" s="3" t="str">
        <f t="array" ref="AG48">IFERROR(INDEX(CL$7:CL$378,SMALL(IF(CL$7:CL$378&lt;&gt;"",ROW(CL$7:CL$378)-ROW(CL$7)+1),ROWS(CL$7:CL47))),"")</f>
        <v/>
      </c>
      <c r="AH48" s="3"/>
      <c r="AI48" s="3"/>
      <c r="AJ48" s="3"/>
      <c r="AK48" s="3"/>
      <c r="AL48" s="3"/>
      <c r="AM48" s="3"/>
      <c r="AN48" s="52" t="str">
        <f>IF(Atletas!D39="","",IF(Atletas!B39="Feminino",100,IF(Atletas!B39="Masculino",200,""))+(IF(Atletas!D39="Kids 30kg",1,IF(Atletas!D39="Kids 32kg",2, IF(Atletas!D39="Kids 34kg",3,IF(Atletas!D39="Kids 36kg",4,IF(Atletas!D39="Kids 39kg",5,IF(Atletas!D39="Kids 42kg",6,IF(Atletas!D39="Kids 45kg",7, IF(Atletas!D39="Infantil 39kg",8,IF(Atletas!D39="Infantil 42kg",9,IF(Atletas!D39="Infantil 45kg",10,IF(Atletas!D39="Infantil 48kg",11,IF(Atletas!D39="Infantil 52kg",12,IF(Atletas!D39="Infantil 56kg",13,IF(Atletas!D39="Infantil 60kg",14,IF(Atletas!D39="Juvenil 48kg",15,IF(Atletas!D39="Juvenil 52kg",16,IF(Atletas!D39="Juvenil 56kg",17,IF(Atletas!D39="Juvenil 60kg",18,IF(Atletas!D39="Juvenil 65kg",19,IF(Atletas!D39="Juvenil 70kg",20,IF(Atletas!D39="Juvenil 75kg",21,IF(Atletas!D39="Juvenil 80kg",22, IF(Atletas!D39="Juvenil 85kg",23,IF(Atletas!D39="Adulto 48kg",24,IF(Atletas!D39="Adulto 52kg",25,IF(Atletas!D39="Adulto 56kg",26,IF(Atletas!D39="Adulto 60kg",27,IF(Atletas!D39="Adulto 65kg",28,IF(Atletas!D39="Adulto 70kg",29,IF(Atletas!D39="Adulto 75kg",30,IF(Atletas!D39="Adulto 80kg",31,IF(Atletas!D39="Adulto 85kg",32,IF(Atletas!D39="Adulto 90kg",33,IF(Atletas!D39="Adulto 100kg",34, IF(Atletas!D39="Adulto +100kg",35,"")))))))))))))))))))))))))))))))))))))</f>
        <v/>
      </c>
      <c r="AS48" s="6" t="str">
        <f>IF(Atletas!E39="","",IF(Atletas!B39="Feminino",100,IF(Atletas!B39="Masculino",200,""))+(IF(Atletas!E39="Juvenil 44kg",1,IF(Atletas!E39="Juvenil 48kg",2,IF(Atletas!E39="Juvenil 52kg",3,IF(Atletas!E39="Juvenil 56kg",4,IF(Atletas!E39="Juvenil 60kg",5,IF(Atletas!E39="Juvenil 65kg",6,IF(Atletas!E39="Juvenil 70kg",7,IF(Atletas!E39="Juvenil 75kg",8,IF(Atletas!E39="Juvenil 82kg",9,IF(Atletas!E39="Juvenil 90kg",10,IF(Atletas!E39="Juvenil 100kg",11,IF(Atletas!E39="Adulto 48kg",12,IF(Atletas!E39="Adulto 52kg",13,IF(Atletas!E39="Adulto 56kg",14,IF(Atletas!E39="Adulto 60kg",15,IF(Atletas!E39="Adulto 65kg",16,IF(Atletas!E39="Adulto 70kg",17,IF(Atletas!E39="Adulto 75kg",18,IF(Atletas!E39="Adulto 82kg",19,IF(Atletas!E39="Adulto 90kg",20,IF(Atletas!E39="Adulto 100kg",21,IF(Atletas!E39="Adulto +100kg",22,""))))))))))))))))))))))))</f>
        <v/>
      </c>
      <c r="AX48" s="6" t="str">
        <f>IF(Atletas!F39="","",IF(Atletas!B39="Feminino",100,IF(Atletas!B39="Masculino",200,""))+(IF(Atletas!F39="Adulto 48kg",1,IF(Atletas!F39="Adulto 56kg",2,IF(Atletas!F39="Adulto 65kg",3,IF(Atletas!F39="Adulto 75kg",4,IF(Atletas!F39="Adulto +75kg",5,IF(Atletas!F39="Adulto 52kg",6,IF(Atletas!F39="Adulto 60kg",7,IF(Atletas!F39="Adulto 70kg",8,IF(Atletas!F39="Adulto 80kg",9,IF(Atletas!F39="Adulto 90kg",10,IF(Atletas!F39="Adulto +90kg",11,"")))))))))))))</f>
        <v/>
      </c>
      <c r="BC48" s="6" t="str">
        <f>IF(Atletas!G39="","",IF(Atletas!B39="Feminino",10,IF(Atletas!B39="Masculino",20,""))+(IF(Atletas!G39="Baduanjin A",1,IF(Atletas!G39="Baduanjin B",2))))</f>
        <v/>
      </c>
      <c r="BF48" s="52" t="str">
        <f>IF(Atletas!H39="","",IF(Atletas!B39="Feminino",100,IF(Atletas!B39="Masculino",200,""))+(IF(Atletas!H39="Changquan Mirim",1,IF(Atletas!H39="Nanquan Mirim",2,IF(Atletas!H39="Taijiquan Mirim",3,IF(Atletas!H39="Changquan Grupo C",4,IF(Atletas!H39="Nanquan Grupo C",5,IF(Atletas!H39="Taijiquan Grupo C",6,IF(Atletas!H39="Changquan Grupo B",7,IF(Atletas!H39="Nanquan Grupo B",8,IF(Atletas!H39="Taijiquan Grupo B",9,IF(Atletas!H39="Changquan Grupo A",10,IF(Atletas!H39="Nanquan Grupo A",11,IF(Atletas!H39="Taijiquan Grupo A",12,IF(Atletas!H39="Changquan Opcional",13,IF(Atletas!H39="Nanquan Opcional",14,IF(Atletas!H39="Taijiquan Opcional",15,IF(Atletas!H39="Changquan Adulto",16,IF(Atletas!H39="Nanquan Adulto",17,IF(Atletas!H39="Taijiquan Adulto",18,""))))))))))))))))))))</f>
        <v/>
      </c>
      <c r="BG48" s="52" t="str">
        <f>IF(Atletas!I39="","",IF(Atletas!B39="Feminino",100,IF(Atletas!B39="Masculino",200,""))+(IF(Atletas!I39="Daoshu Mirim",19,IF(Atletas!I39="Jianshu Mirim",20,IF(Atletas!I39="Nandao Mirim",21,IF(Atletas!I39="Taijijian Mirim",22,IF(Atletas!I39="Daoshu Grupo C",23,IF(Atletas!I39="Jianshu Grupo C",24,IF(Atletas!I39="Nandao Grupo C",25,IF(Atletas!I39="Taijijian Grupo C",26,IF(Atletas!I39="Daoshu Grupo B",27,IF(Atletas!I39="Jianshu Grupo B",28,IF(Atletas!I39="Nandao Grupo B",29,IF(Atletas!I39="Taijijian Grupo B",30,IF(Atletas!I39="Daoshu Grupo A",31,IF(Atletas!I39="Jianshu Grupo A",32,IF(Atletas!I39="Nandao Grupo A",33,IF(Atletas!I39="Taijijian Grupo A",34,IF(Atletas!I39="Daoshu Opcional",35,IF(Atletas!I39="Jianshu Opcional",36,IF(Atletas!I39="Nandao Opcional",37,IF(Atletas!I39="Taijijian Opcional",38,IF(Atletas!I39="Daoshu Adulto",39,IF(Atletas!I39="Jianshu Adulto",40,IF(Atletas!I39="Nandao Adulto",41,IF(Atletas!I39="Taijijian Adulto",42,""))))))))))))))))))))))))))</f>
        <v/>
      </c>
      <c r="BH48" s="52" t="str">
        <f>IF(Atletas!J39="","",IF(Atletas!B39="Feminino",100,IF(Atletas!B39="Masculino",200,""))+(IF(Atletas!J39="Gunshu Mirim",43,IF(Atletas!J39="Qiangshu Mirim",44,IF(Atletas!J39="Nangun Mirim",45,IF(Atletas!J39="Gunshu Grupo C",46,IF(Atletas!J39="Qiangshu Grupo C",47,IF(Atletas!J39="Nangun Grupo C",48,IF(Atletas!J39="Gunshu Grupo B",49,IF(Atletas!J39="Qiangshu Grupo B",50,IF(Atletas!J39="Nangun Grupo B",51,IF(Atletas!J39="Gunshu Grupo A",52,IF(Atletas!J39="Qiangshu Grupo A",53,IF(Atletas!J39="Nangun Grupo A",54,IF(Atletas!J39="Gunshu Opcional",55,IF(Atletas!J39="Qiangshu Opcional",56,IF(Atletas!J39="Nangun Opcional",57,IF(Atletas!J39="Gunshu Adulto",58,IF(Atletas!J39="Qiangshu Adulto",59,IF(Atletas!J39="Nangun Adulto",60,IF(Atletas!J39="Taijishan Grupo B",61,IF(Atletas!J39="Taijishan Grupo A",62,""))))))))))))))))))))))</f>
        <v/>
      </c>
      <c r="BI48" s="6" t="str">
        <f>IF(BJ48&lt;&gt;"","Taijishan Grupo A","")</f>
        <v/>
      </c>
      <c r="BJ48" s="50" t="str">
        <f>IF(COUNTIF(BF:BH,162)&gt;0,COUNTIF(BF:BH,162),"")</f>
        <v/>
      </c>
      <c r="BK48" s="6" t="str">
        <f>IF(BL48&lt;&gt;"","Taijishan Grupo A","")</f>
        <v/>
      </c>
      <c r="BL48" s="50" t="str">
        <f>IF(COUNTIF(BF:BH,262)&gt;0,COUNTIF(BF:BH,262),"")</f>
        <v/>
      </c>
      <c r="BM48" s="50" t="str">
        <f>IF(Atletas!K39="","",IF(Atletas!B39="Feminino",100,IF(Atletas!B39="Masculino",200,""))+(IF(Atletas!K39="Equipe 1 Grupo B",1,IF(Atletas!K39="Equipe 2 Grupo B",2,IF(Atletas!K39="Equipe 1 Grupo A",3,IF(Atletas!K39="Equipe 2 Grupo A",4,IF(Atletas!K39="Equipe 1 Adulto",5,IF(Atletas!K39="Equipe 2 Adulto",6,""))))))))</f>
        <v/>
      </c>
      <c r="BR48" s="50" t="str">
        <f>IF(Atletas!L39="","",IF(Atletas!X39&lt;&gt;"",10000,0)+(IF(Atletas!B39="Feminino",1000,IF(Atletas!B39="Masculino",2000,""))+IF(Atletas!L39="Choylayfut A",1,IF(Atletas!L39="Hunggar A",2,IF(Atletas!L39="Wuzuquan A",3,IF(Atletas!L39="Wingchun A",4,IF(Atletas!L39="Outra Mão de Sul A",5,IF(Atletas!L39="Choylayfut B",6,IF(Atletas!L39="Hunggar B",7,IF(Atletas!L39="Wuzuquan B",8,IF(Atletas!L39="Wingchun B",9,IF(Atletas!L39="Outra Mão de Sul B",10,IF(Atletas!L39="Choylayfut C",11,IF(Atletas!L39="Hunggar C",12,IF(Atletas!L39="Wuzuquan C",13,IF(Atletas!L39="Wingchun C",14,IF(Atletas!L39="Outra Mão de Sul C",15,IF(Atletas!L39="Choylayfut D",16,IF(Atletas!L39="Hunggar D",17,IF(Atletas!L39="Wuzuquan D",18,IF(Atletas!L39="Wingchun D",19,IF(Atletas!L39="Outra Mão de Sul D",20,IF(Atletas!L39="Choylayfut E",21,IF(Atletas!L39="Hunggar E",22,IF(Atletas!L39="Wuzuquan E",23,IF(Atletas!L39="Wingchun E",24,IF(Atletas!L39="Outra Mão de Sul E",25,IF(Atletas!L39="Choylayfut F",26,IF(Atletas!L39="Hunggar F",27,IF(Atletas!L39="Wuzuquan F",28,IF(Atletas!L39="Wingchun F",29,IF(Atletas!L39="Outra Mão de Sul F",30,IF(Atletas!L39="Dishuquan A",31,IF(Atletas!L39="Dishuquan B",32,IF(Atletas!L39="Dishuquan C",33,IF(Atletas!L39="Dishuquan D",34,IF(Atletas!L39="Dishuquan E",35,IF(Atletas!L39="Dishuquan F",36,""))))))))))))))))))))))))))))))))))))))</f>
        <v/>
      </c>
      <c r="BS48" s="50" t="str">
        <f>IF(Atletas!M39="","",IF(Atletas!X39&lt;&gt;"",10000,0)+(IF(Atletas!B39="Feminino",1000,IF(Atletas!B39="Masculino",2000,""))+(IF(Atletas!M39="Chaquan A",101,IF(Atletas!M39="Emeiquan A",102,IF(Atletas!M39="Fanziquan A",103,IF(Atletas!M39="Huaquan A",104,IF(Atletas!M39="Hongquan A",105,IF(Atletas!M39="Paoquan A",106,IF(Atletas!M39="Piguaquan A",107,IF(Atletas!M39="Shaolinquan A",108,IF(Atletas!M39="Tanglangquan A",109,IF(Atletas!M39="Yingzhaoquan A",110,IF(Atletas!M39="Tongbeiquan A",111,IF(Atletas!M39="Wudangquan A",112,IF(Atletas!M39="Outros Estilos A",113,IF(Atletas!M39="Chaquan B",114,IF(Atletas!M39="Emeiquan B",115,IF(Atletas!M39="Fanziquan B",116,IF(Atletas!M39="Huaquan B",117,IF(Atletas!M39="Hongquan B",118,IF(Atletas!M39="Paoquan B",119,IF(Atletas!M39="Piguaquan B",120,IF(Atletas!M39="Shaolinquan B",121,IF(Atletas!M39="Tanglangquan B",122,IF(Atletas!M39="Yingzhaoquan B",123,IF(Atletas!M39="Tongbeiquan B",124,IF(Atletas!M39="Wudangquan B",125,IF(Atletas!M39="Outros Estilos B",126,IF(Atletas!M39="Chaquan C",127,IF(Atletas!M39="Emeiquan C",128,IF(Atletas!M39="Fanziquan C",129,IF(Atletas!M39="Huaquan C",130,IF(Atletas!M39="Hongquan C",131,IF(Atletas!M39="Paoquan C",132,IF(Atletas!M39="Piguaquan C",133,IF(Atletas!M39="Shaolinquan C",134,IF(Atletas!M39="Tanglangquan C",135,IF(Atletas!M39="Yingzhaoquan C",136,IF(Atletas!M39="Tongbeiquan C",137,IF(Atletas!M39="Wudangquan C",138,IF(Atletas!M39="Outros Estilos C",139,0))))))))))))))))))))))))))))))))))))))))))</f>
        <v/>
      </c>
      <c r="BT48" s="50" t="str">
        <f>IF(Atletas!M39="","",IF(Atletas!X39&lt;&gt;"",10000,0)+(IF(Atletas!B39="Feminino",1000,IF(Atletas!B39="Masculino",2000,""))+(IF(Atletas!M39="Chaquan D",140,IF(Atletas!M39="Emeiquan D",141,IF(Atletas!M39="Fanziquan D",142,IF(Atletas!M39="Huaquan D",143,IF(Atletas!M39="Hongquan D",144,IF(Atletas!M39="Paoquan D",145,IF(Atletas!M39="Piguaquan D",146,IF(Atletas!M39="Shaolinquan D",147,IF(Atletas!M39="Tanglangquan D",148,IF(Atletas!M39="Yingzhaoquan D",149,IF(Atletas!M39="Tongbeiquan D",150,IF(Atletas!M39="Wudangquan D",151,IF(Atletas!M39="Outros Estilos D",152,IF(Atletas!M39="Chaquan E",153,IF(Atletas!M39="Emeiquan E",154,IF(Atletas!M39="Fanziquan E",155,IF(Atletas!M39="Huaquan E",156,IF(Atletas!M39="Hongquan E",157,IF(Atletas!M39="Paoquan E",158,IF(Atletas!M39="Piguaquan E",159,IF(Atletas!M39="Shaolinquan E",160,IF(Atletas!M39="Tanglangquan E",161,IF(Atletas!M39="Yingzhaoquan E",162,IF(Atletas!M39="Tongbeiquan E",163,IF(Atletas!M39="Wudangquan E",164,IF(Atletas!M39="Outros Estilos E",165,IF(Atletas!M39="Chaquan F",166,IF(Atletas!M39="Emeiquan F",167,IF(Atletas!M39="Fanziquan F",168,IF(Atletas!M39="Huaquan F",169,IF(Atletas!M39="Hongquan F",170,IF(Atletas!M39="Paoquan F",171,IF(Atletas!M39="Piguaquan F",172,IF(Atletas!M39="Shaolinquan F",173,IF(Atletas!M39="Tanglangquan F",174,IF(Atletas!M39="Yingzhaoquan F",175,IF(Atletas!M39="Tongbeiquan F",176,IF(Atletas!M39="Wudangquan F",177,IF(Atletas!M39="Outros Estilos F",178,0))))))))))))))))))))))))))))))))))))))))))</f>
        <v/>
      </c>
      <c r="BU48" s="50" t="str">
        <f>IF(Atletas!N39="","",IF(Atletas!X39&lt;&gt;"",10000,0)+(IF(Atletas!B39="Feminino",1000,IF(Atletas!B39="Masculino",2000,""))+(IF(Atletas!N39="Ditangquan A",201,IF(Atletas!N39="Houquan A",202,IF(Atletas!N39="Zuiquan A",203,IF(Atletas!N39="Ditangquan B",204,IF(Atletas!N39="Houquan B",205,IF(Atletas!N39="Zuiquan B",206,IF(Atletas!N39="Ditangquan C",207,IF(Atletas!N39="Houquan C",208,IF(Atletas!N39="Zuiquan C",209,IF(Atletas!N39="Ditangquan D",210,IF(Atletas!N39="Houquan D",211,IF(Atletas!N39="Zuiquan D",212,IF(Atletas!N39="Ditangquan E",213,IF(Atletas!N39="Houquan E",214,IF(Atletas!N39="Zuiquan E",215,IF(Atletas!N39="Ditangquan F",216,IF(Atletas!N39="Houquan F",217,IF(Atletas!N39="Zuiquan F",218,"")))))))))))))))))))))</f>
        <v/>
      </c>
      <c r="BV48" s="50" t="str">
        <f>IF(Atletas!O39="","",IF(Atletas!X39&lt;&gt;"",10000,0)+IF(Atletas!B39="Feminino",1000,IF(Atletas!B39="Masculino",2000,""))+IF(Atletas!O39="Yang A",301,IF(Atletas!O39="Chen A",302,IF(Atletas!O39="Sun A",303,IF(Atletas!O39="Wu A",304,IF(Atletas!O39="Wu-Hao A",305,IF(Atletas!O39="Outro Taijiquan A",306,IF(Atletas!O39="Yang B",307,IF(Atletas!O39="Chen B",308,IF(Atletas!O39="Sun B",309,IF(Atletas!O39="Wu B",310,IF(Atletas!O39="Wu-Hao B",311,IF(Atletas!O39="Outro Taijiquan B",312,IF(Atletas!O39="Yang C",313,IF(Atletas!O39="Chen C",314,IF(Atletas!O39="Sun C",315,IF(Atletas!O39="Wu C",316,IF(Atletas!O39="Wu-Hao C",317,IF(Atletas!O39="Outro Taijiquan C",318,IF(Atletas!O39="Yang D",319,IF(Atletas!O39="Chen D",320,IF(Atletas!O39="Sun D",321,IF(Atletas!O39="Wu D",322,IF(Atletas!O39="Wu-Hao D",323,IF(Atletas!O39="Outro Taijiquan D",324,IF(Atletas!O39="Yang E",325,IF(Atletas!O39="Chen E",326,IF(Atletas!O39="Sun E",327,IF(Atletas!O39="Wu E",328,IF(Atletas!O39="Wu-Hao E",329,IF(Atletas!O39="Outro Taijiquan E",330,IF(Atletas!O39="Yang F",331,IF(Atletas!O39="Chen F",332,IF(Atletas!O39="Sun F",333,IF(Atletas!O39="Wu F",334,IF(Atletas!O39="Wu-Hao F",335,IF(Atletas!O39="Outro Taijiquan F",336,"")))))))))))))))))))))))))))))))))))))</f>
        <v/>
      </c>
      <c r="BW48" s="50" t="str">
        <f>IF(Atletas!P39="","",IF(Atletas!X39&lt;&gt;"",10000,0)+IF(Atletas!B39="Feminino",1000,IF(Atletas!B39="Masculino",2000,""))+IF(OR(Atletas!P39="Yang 26 A",Atletas!P39="Yang 40 A"),401,IF(OR(Atletas!P39="Chen 25 A",Atletas!P39="Chen 36 A",Atletas!P39="Chen 56 A"),402,IF(Atletas!P39="Sun 73 A",403,IF(Atletas!P39="Wu 45 A",404,IF(Atletas!P39="Wu-Hao 46 A",405,IF(OR(Atletas!P39="Taijiquan 16 A",Atletas!P39="Taijiquan 24 A",Atletas!P39="Taijiquan 32 A",Atletas!P39="Taijiquan 42 A"),406,IF(OR(Atletas!P39="Yang 26 B",Atletas!P39="Yang 40 B"),407,IF(OR(Atletas!P39="Chen 25 B",Atletas!P39="Chen 36 B",Atletas!P39="Chen 56 B"),408,IF(Atletas!P39="Sun 73 B",409,IF(Atletas!P39="Wu 45 B",410,IF(Atletas!P39="Wu-Hao 46 B",411,IF(OR(Atletas!P39="Taijiquan 16 B",Atletas!P39="Taijiquan 24 B",Atletas!P39="Taijiquan 32 B",Atletas!P39="Taijiquan 42 B"),412,IF(OR(Atletas!P39="Yang 26 C",Atletas!P39="Yang 40 C"),413,IF(OR(Atletas!P39="Chen 25 C",Atletas!P39="Chen 36 C",Atletas!P39="Chen 56 C"),414,IF(Atletas!P39="Sun 73 C",415,IF(Atletas!P39="Wu 45 C",416,IF(Atletas!P39="Wu-Hao 46 C",417,IF(OR(Atletas!P39="Taijiquan 16 C",Atletas!P39="Taijiquan 24 C",Atletas!P39="Taijiquan 32 C",Atletas!P39="Taijiquan 42 C"),418,0)))))))))))))))))))</f>
        <v/>
      </c>
      <c r="BX48" s="50" t="str">
        <f>IF(Atletas!P39="","",IF(Atletas!X39&lt;&gt;"",10000,0)+IF(Atletas!B39="Feminino",1000,IF(Atletas!B39="Masculino",2000,""))+IF(OR(Atletas!P39="Yang 26 D",Atletas!P39="Yang 40 D"),419,IF(OR(Atletas!P39="Chen 25 D",Atletas!P39="Chen 36 D",Atletas!P39="Chen 56 D"),420,IF(Atletas!P39="Sun 73 D",421,IF(Atletas!P39="Wu 45 D",422,IF(Atletas!P39="Wu-Hao 46 D",423,IF(OR(Atletas!P39="Taijiquan 16 D",Atletas!P39="Taijiquan 24 D",Atletas!P39="Taijiquan 32 D",Atletas!P39="Taijiquan 42 D"),424,IF(OR(Atletas!P39="Yang 26 E",Atletas!P39="Yang 40 E"),425,IF(OR(Atletas!P39="Chen 25 E",Atletas!P39="Chen 36 E",Atletas!P39="Chen 56 E"),426,IF(Atletas!P39="Sun 73 E",427,IF(Atletas!P39="Wu 45 E",428,IF(Atletas!P39="Wu-Hao 46 E",429,IF(OR(Atletas!P39="Taijiquan 16 E",Atletas!P39="Taijiquan 24 E",Atletas!P39="Taijiquan 32 E",Atletas!P39="Taijiquan 42 E"),430,IF(OR(Atletas!P39="Yang 26 F",Atletas!P39="Yang 40 F"),431,IF(OR(Atletas!P39="Chen 25 F",Atletas!P39="Chen 36 F",Atletas!P39="Chen 56 F"),432,IF(Atletas!P39="Sun 73 F",433,IF(Atletas!P39="Wu 45 F",434,IF(Atletas!P39="Wu-Hao 46 F",435,IF(OR(Atletas!P39="Taijiquan 16 F",Atletas!P39="Taijiquan 24 F",Atletas!P39="Taijiquan 32 F",Atletas!P39="Taijiquan 42 F"),436,0)))))))))))))))))))</f>
        <v/>
      </c>
      <c r="BY48" s="50" t="str">
        <f>IF(Atletas!Q39="","",IF(Atletas!X39&lt;&gt;"",10000,0)+IF(Atletas!B39="Feminino",1000,IF(Atletas!B39="Masculino",2000,""))+IF(Atletas!Q39="Xingyiquan A",501,IF(Atletas!Q39="Baguazhang A",502,IF(Atletas!Q39="Outro Estilo Interno A",503,IF(Atletas!Q39="Xingyiquan B",504,IF(Atletas!Q39="Baguazhang B",505,IF(Atletas!Q39="Outro Estilo Interno B",506,IF(Atletas!Q39="Xingyiquan C",507,IF(Atletas!Q39="Baguazhang C",508,IF(Atletas!Q39="Outro Estilo Interno C",509,IF(Atletas!Q39="Xingyiquan D",510,IF(Atletas!Q39="Baguazhang D",511,IF(Atletas!Q39="Outro Estilo Interno D",512,IF(Atletas!Q39="Xingyiquan E",513,IF(Atletas!Q39="Baguazhang E",514,IF(Atletas!Q39="Outro Estilo Interno E",515,IF(Atletas!Q39="Xingyiquan F",516,IF(Atletas!Q39="Baguazhang F",517,IF(Atletas!Q39="Outro Estilo Interno F",518, "")))))))))))))))))))</f>
        <v/>
      </c>
      <c r="BZ48" s="50" t="str">
        <f>IF(Atletas!R39="","",IF(Atletas!X39&lt;&gt;"",10000,0)+IF(Atletas!B39="Feminino",1000,IF(Atletas!B39="Masculino",2000,""))+IF(Atletas!R39="Dao A",601,IF(Atletas!R39="Jian A",602,IF(Atletas!R39="Bishou A",603,IF(Atletas!R39="Shanzi A",604,IF(Atletas!R39="Outra Arma Curta A",605,IF(Atletas!R39="Dao B",606,IF(Atletas!R39="Jian B",607,IF(Atletas!R39="Bishou B",608,IF(Atletas!R39="Shanzi B",609,IF(Atletas!R39="Outra Arma Curta B",610,IF(Atletas!R39="Dao C",611,IF(Atletas!R39="Jian C",612,IF(Atletas!R39="Bishou C",613,IF(Atletas!R39="Shanzi C",614,IF(Atletas!R39="Outra Arma Curta C",615,IF(Atletas!R39="Dao D",616,IF(Atletas!R39="Jian D",617,IF(Atletas!R39="Bishou D",618,IF(Atletas!R39="Shanzi D",619,IF(Atletas!R39="Outra Arma Curta D",620,IF(Atletas!R39="Dao E",621,IF(Atletas!R39="Jian E",622,IF(Atletas!R39="Bishou E",623,IF(Atletas!R39="Shanzi E",624,IF(Atletas!R39="Outra Arma Curta E",625,IF(Atletas!R39="Dao F",626,IF(Atletas!R39="Jian F",627,IF(Atletas!R39="Bishou F",628,IF(Atletas!R39="Shanzi F",629,IF(Atletas!R39="Outra Arma Curta F",630, "")))))))))))))))))))))))))))))))</f>
        <v/>
      </c>
      <c r="CA48" s="50" t="str">
        <f>IF(Atletas!S39="","",IF(Atletas!X39&lt;&gt;"",10000,0)+IF(Atletas!B39="Feminino",1000,IF(Atletas!B39="Masculino",2000,""))+IF(Atletas!S39="Gun A",701,IF(Atletas!S39="Qiang A",702,IF(Atletas!S39="Pudao / Guandao A",703,IF(Atletas!S39="Outra Arma Longa A",704,IF(Atletas!S39="Gun B",705,IF(Atletas!S39="Qiang B",706,IF(Atletas!S39="Pudao / Guandao B",707,IF(Atletas!S39="Outra Arma Longa B",708,IF(Atletas!S39="Gun C",709,IF(Atletas!S39="Qiang C",710,IF(Atletas!S39="Pudao / Guandao C",711,IF(Atletas!S39="Outra Arma Longa C",712,IF(Atletas!S39="Gun D",713,IF(Atletas!S39="Qiang D",714,IF(Atletas!S39="Pudao / Guandao D",715,IF(Atletas!S39="Outra Arma Longa D",716,IF(Atletas!S39="Gun E",717,IF(Atletas!S39="Qiang E",718,IF(Atletas!S39="Pudao / Guandao E",719,IF(Atletas!S39="Outra Arma Longa E",720,IF(Atletas!S39="Gun F",721,IF(Atletas!S39="Qiang F",722,IF(Atletas!S39="Pudao / Guandao F",723,IF(Atletas!S39="Outra Arma Longa F",724,"")))))))))))))))))))))))))</f>
        <v/>
      </c>
      <c r="CB48" s="50" t="str">
        <f>IF(Atletas!T39="","",IF(Atletas!X39&lt;&gt;"",10000,0)+IF(Atletas!B39="Feminino",1000,IF(Atletas!B39="Masculino",2000,""))+IF(Atletas!T39="Outra Arma Dupla A",801,IF(Atletas!T39="Arma Maleável A",802,IF(Atletas!T39="Outra Arma Dupla B",803,IF(Atletas!T39="Arma Maleável B",804,IF(Atletas!T39="Outra Arma Dupla C",805,IF(Atletas!T39="Arma Maleável C",806,IF(Atletas!T39="Outra Arma Dupla D",807,IF(Atletas!T39="Arma Maleável D",808,IF(Atletas!T39="Outra Arma Dupla E",809,IF(Atletas!T39="Arma Maleável E",810,IF(Atletas!T39="Outra Arma Dupla F",811,IF(Atletas!T39="Arma Maleável F",812,IF(Atletas!T39="Shuangdao A",813,IF(Atletas!T39="Shuangdao B",814,IF(Atletas!T39="Shuangdao C",815,IF(Atletas!T39="Shuangdao D",816,IF(Atletas!T39="Shuangdao E",817,IF(Atletas!T39="Shuangdao F",818,"")))))))))))))))))))</f>
        <v/>
      </c>
      <c r="CC48" s="50" t="str">
        <f>IF(Atletas!U39="","",IF(Atletas!X39&lt;&gt;"",10000,0)+IF(Atletas!B39="Feminino",1000,IF(Atletas!B39="Masculino",2000,""))+IF(OR(Atletas!U39="Taijijian Yang A",Atletas!U39="Taijijian Yang Standard A"),901,IF(OR(Atletas!U39="Taijijian Chen A", Atletas!U39="Taijijian Chen Standard A"),902,IF(Atletas!U39="Taijijian Sun A",903,IF(Atletas!U39="Taijijian Wu A",904,IF(Atletas!U39="Taijijian Wu-Hao A",905,IF(OR(Atletas!U39="Taijijian 32 A",Atletas!U39="Taijijian 42 A"),906,IF(OR(Atletas!U39="Taijijian Yang B",Atletas!U39="Taijijian Yang Standard B"),907,IF(OR(Atletas!U39="Taijijian Chen B", Atletas!U39="Taijijian Chen Standard B"),908,IF(Atletas!U39="Taijijian Sun B",909,IF(Atletas!U39="Taijijian Wu B",910,IF(Atletas!U39="Taijijian Wu-Hao B",911,IF(OR(Atletas!U39="Taijijian 32 B",Atletas!U39="Taijijian 42 B"),912,IF(OR(Atletas!U39="Taijijian Yang C",Atletas!U39="Taijijian Yang Standard C"),913,IF(OR(Atletas!U39="Taijijian Chen C", Atletas!U39="Taijijian Chen Standard C"),914,IF(Atletas!U39="Taijijian Sun C",915,IF(Atletas!U39="Taijijian Wu C",916,IF(Atletas!U39="Taijijian Wu-Hao C",917,IF(OR(Atletas!U39="Taijijian 32 C",Atletas!U39="Taijijian 42 C"),918,IF(OR(Atletas!U39="Taijijian Yang D",Atletas!U39="Taijijian Yang Standard D"),919,IF(OR(Atletas!U39="Taijijian Chen D", Atletas!U39="Taijijian Chen Standard D"),920,IF(Atletas!U39="Taijijian Sun D",921,IF(Atletas!U39="Taijijian Wu D",922,IF(Atletas!U39="Taijijian Wu-Hao D",923,IF(OR(Atletas!U39="Taijijian 32 D",Atletas!U39="Taijijian 42 D"),924,IF(OR(Atletas!U39="Taijijian Yang E",Atletas!U39="Taijijian Yang Standard E"),925,IF(OR(Atletas!U39="Taijijian Chen E", Atletas!U39="Taijijian Chen Standard E"),926,IF(Atletas!U39="Taijijian Sun E",927,IF(Atletas!U39="Taijijian Wu E",928,IF(Atletas!U39="Taijijian Wu-Hao E",929,IF(OR(Atletas!U39="Taijijian 32 E",Atletas!U39="Taijijian 42 E"),930,IF(OR(Atletas!U39="Taijijian Yang F",Atletas!U39="Taijijian Yang Standard F"),931,IF(OR(Atletas!U39="Taijijian Chen F", Atletas!U39="Taijijian Chen Standard F"),932,IF(Atletas!U39="Taijijian Sun F",933,IF(Atletas!U39="Taijijian Wu F",934,IF(Atletas!U39="Taijijian Wu-Hao F",935,IF(OR(Atletas!U39="Taijijian 32 F",Atletas!U39="Taijijian 42 F"),936,"")))))))))))))))))))))))))))))))))))))</f>
        <v/>
      </c>
      <c r="CD48" s="50" t="str">
        <f>IF(Atletas!V39="","",IF(Atletas!X39&lt;&gt;"",10000,0)+IF(Atletas!B39="Feminino",1000,IF(Atletas!B39="Masculino",2000,""))+IF(Atletas!V39="Taijidao A",937,IF(Atletas!V39="TaijiShanzi A",938,IF(Atletas!V39="Taijiqiang A",939,IF(Atletas!V39="Bagua de Arma A",940,IF(Atletas!V39="Xingyi de Arma A",941,IF(Atletas!V39="Taijidao B",942,IF(Atletas!V39="TaijiShanzi B",943,IF(Atletas!V39="Taijiqiang B",944,IF(Atletas!V39="Bagua de Arma B",945,IF(Atletas!V39="Xingyi de Arma B",946,IF(Atletas!V39="Taijidao C",947,IF(Atletas!V39="TaijiShanzi C",948,IF(Atletas!V39="Taijiqiang C",949,IF(Atletas!V39="Bagua de Arma C",950,IF(Atletas!V39="Xingyi de Arma C",951,IF(Atletas!V39="Taijidao D",952,IF(Atletas!V39="TaijiShanzi D",953,IF(Atletas!V39="Taijiqiang D",954,IF(Atletas!V39="Bagua de Arma D",955,IF(Atletas!V39="Xingyi de Arma D",956,IF(Atletas!V39="Taijidao E",957,IF(Atletas!V39="TaijiShanzi E",958,IF(Atletas!V39="Taijiqiang E",959,IF(Atletas!V39="Bagua de Arma E",960,IF(Atletas!V39="Xingyi de Arma E",961,IF(Atletas!V39="Taijidao F",962,IF(Atletas!V39="TaijiShanzi F",963,IF(Atletas!V39="Taijiqiang F",964,IF(Atletas!V39="Bagua de Arma F",965,IF(Atletas!V39="Xingyi de Arma F",966,"")))))))))))))))))))))))))))))))</f>
        <v/>
      </c>
      <c r="CE48" s="66" t="str">
        <f>IF(CF48&lt;&gt;"","Paoquan A","")</f>
        <v/>
      </c>
      <c r="CF48" s="66" t="str">
        <f>IF(COUNTIF(BR:CD,1106)&gt;0,COUNTIF(BR:CD,1106),"")</f>
        <v/>
      </c>
      <c r="CG48" s="66" t="str">
        <f>IF(CH48&lt;&gt;"","Paoquan A","")</f>
        <v/>
      </c>
      <c r="CH48" s="66" t="str">
        <f>IF(COUNTIF(BR:CD,2106)&gt;0,COUNTIF(BR:CD,2106),"")</f>
        <v/>
      </c>
      <c r="CI48" s="66" t="str">
        <f>IF(CJ48&lt;&gt;"","Wudangquan A","")</f>
        <v/>
      </c>
      <c r="CJ48" s="66" t="str">
        <f>IF(COUNTIF(BR:CD,11112)&gt;0,COUNTIF(BR:CD,11112),"")</f>
        <v/>
      </c>
      <c r="CK48" s="66" t="str">
        <f>IF(CL48&lt;&gt;"","Wudangquan A","")</f>
        <v/>
      </c>
      <c r="CL48" s="66" t="str">
        <f>IF(COUNTIF(BR:CD,12112)&gt;0,COUNTIF(BR:CD,12112),"")</f>
        <v/>
      </c>
      <c r="CM48" s="50" t="str">
        <f xml:space="preserve"> IF(Atletas!W39="","",IF(Atletas!W39="Duilian de Mãos BC - Equipe 1",1,IF(Atletas!W39="Duilian de Mãos BC - Equipe 2",2,IF(Atletas!W39="Duilian de Armas BC - Equipe 1",3,IF(Atletas!W39="Duilian de Armas BC - Equipe 2",4,IF(Atletas!W39="Duilian de Mãos DE - Equipe 1",5,IF(Atletas!W39="Duilian de Mãos DE - Equipe 2",6,IF(Atletas!W39="Duilian de Armas DE - Equipe 1",7,IF(Atletas!W39="Duilian de Armas DE - Equipe 2",8,IF(Atletas!W39="Duilian de Tuishou - Equipe 1",9,IF(Atletas!W39="Duilian de Tuishou - Equipe 2",10,IF(Atletas!W39="Grupo Externo ABC - Equipe 1",11,IF(Atletas!W39="Grupo Externo ABC - Equipe 2",12,IF(Atletas!W39="Grupo Interno ABC - Equipe 1",13,IF(Atletas!W39="Grupo Interno ABC - Equipe 2",14,IF(Atletas!W39="Grupo Externo DEF - Equipe 1",15,IF(Atletas!W39="Grupo Externo DEF - Equipe 2",16,IF(Atletas!W39="Grupo Interno DEF - Equipe 1",17,IF(Atletas!W39="Grupo Interno DEF - Equipe 2",18,"")))))))))))))))))))</f>
        <v/>
      </c>
      <c r="CY48" s="41"/>
    </row>
    <row r="49" spans="2:103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 t="str">
        <f t="array" ref="R49">IFERROR(INDEX(BI$7:BI$68,SMALL(IF(BI$7:BI$68&lt;&gt;"",ROW(BI$7:BI$68)-ROW(BI$7)+1),ROWS(BI$7:BI48))),"")</f>
        <v/>
      </c>
      <c r="S49" s="3" t="str">
        <f t="array" ref="S49">IFERROR(INDEX(BJ$7:BJ$68,SMALL(IF(BJ$7:BJ$68&lt;&gt;"",ROW(BJ$7:BJ$68)-ROW(BJ$7)+1),ROWS(BJ$7:BJ48))),"")</f>
        <v/>
      </c>
      <c r="T49" s="3" t="str">
        <f t="array" ref="T49">IFERROR(INDEX(BK$7:BK$68,SMALL(IF(BK$7:BK$68&lt;&gt;"",ROW(BK$7:BK$68)-ROW(BK$7)+1),ROWS(BK$7:BK48))),"")</f>
        <v/>
      </c>
      <c r="U49" s="3" t="str">
        <f t="array" ref="U49">IFERROR(INDEX(BL$7:BL$68,SMALL(IF(BL$7:BL$68&lt;&gt;"",ROW(BL$7:BL$68)-ROW(BL$7)+1),ROWS(BL$7:BL48))),"")</f>
        <v/>
      </c>
      <c r="V49" s="3"/>
      <c r="W49" s="3"/>
      <c r="X49" s="20"/>
      <c r="Y49" s="3"/>
      <c r="Z49" s="3" t="str">
        <f t="array" ref="Z49">IFERROR(INDEX(CE$7:CE$348,SMALL(IF(CE$7:CE$348&lt;&gt;"",ROW(CE$7:CE$348)-ROW(CE$7)+1),ROWS(CE$7:CE48))),"")</f>
        <v/>
      </c>
      <c r="AA49" s="3" t="str">
        <f t="array" ref="AA49">IFERROR(INDEX(CF$7:CF$348,SMALL(IF(CF$7:CF$348&lt;&gt;"",ROW(CF$7:CF$348)-ROW(CF$7)+1),ROWS(CF$7:CF48))),"")</f>
        <v/>
      </c>
      <c r="AB49" s="3" t="str">
        <f t="array" ref="AB49">IFERROR(INDEX(CG$7:CG$348,SMALL(IF(CG$7:CG$348&lt;&gt;"",ROW(CG$7:CG$348)-ROW(CG$7)+1),ROWS(CG$7:CG48))),"")</f>
        <v/>
      </c>
      <c r="AC49" s="3" t="str">
        <f t="array" ref="AC49">IFERROR(INDEX(CH$7:CH$348,SMALL(IF(CH$7:CH$348&lt;&gt;"",ROW(CH$7:CH$348)-ROW(CH$7)+1),ROWS(CH$7:CH48))),"")</f>
        <v/>
      </c>
      <c r="AD49" s="3" t="str">
        <f t="array" ref="AD49">IFERROR(INDEX(CI$7:CI$377,SMALL(IF(CI$7:CI$377&lt;&gt;"",ROW(CI$7:CI$377)-ROW(CI$7)+1),ROWS(CI$7:CI48))),"")</f>
        <v/>
      </c>
      <c r="AE49" s="3" t="str">
        <f t="array" ref="AE49">IFERROR(INDEX(CJ$7:CJ$378,SMALL(IF(CJ$7:CJ$378&lt;&gt;"",ROW(CJ$7:CJ$378)-ROW(CJ$7)+1),ROWS(CJ$7:CJ48))),"")</f>
        <v/>
      </c>
      <c r="AF49" s="3" t="str">
        <f t="array" ref="AF49">IFERROR(INDEX(CK$7:CK$378,SMALL(IF(CK$7:CK$378&lt;&gt;"",ROW(CK$7:CK$378)-ROW(CK$7)+1),ROWS(CK$7:CK48))),"")</f>
        <v/>
      </c>
      <c r="AG49" s="3" t="str">
        <f t="array" ref="AG49">IFERROR(INDEX(CL$7:CL$378,SMALL(IF(CL$7:CL$378&lt;&gt;"",ROW(CL$7:CL$378)-ROW(CL$7)+1),ROWS(CL$7:CL48))),"")</f>
        <v/>
      </c>
      <c r="AH49" s="3"/>
      <c r="AI49" s="3"/>
      <c r="AJ49" s="3"/>
      <c r="AK49" s="3"/>
      <c r="AL49" s="3"/>
      <c r="AM49" s="3"/>
      <c r="AN49" s="52" t="str">
        <f>IF(Atletas!D40="","",IF(Atletas!B40="Feminino",100,IF(Atletas!B40="Masculino",200,""))+(IF(Atletas!D40="Kids 30kg",1,IF(Atletas!D40="Kids 32kg",2, IF(Atletas!D40="Kids 34kg",3,IF(Atletas!D40="Kids 36kg",4,IF(Atletas!D40="Kids 39kg",5,IF(Atletas!D40="Kids 42kg",6,IF(Atletas!D40="Kids 45kg",7, IF(Atletas!D40="Infantil 39kg",8,IF(Atletas!D40="Infantil 42kg",9,IF(Atletas!D40="Infantil 45kg",10,IF(Atletas!D40="Infantil 48kg",11,IF(Atletas!D40="Infantil 52kg",12,IF(Atletas!D40="Infantil 56kg",13,IF(Atletas!D40="Infantil 60kg",14,IF(Atletas!D40="Juvenil 48kg",15,IF(Atletas!D40="Juvenil 52kg",16,IF(Atletas!D40="Juvenil 56kg",17,IF(Atletas!D40="Juvenil 60kg",18,IF(Atletas!D40="Juvenil 65kg",19,IF(Atletas!D40="Juvenil 70kg",20,IF(Atletas!D40="Juvenil 75kg",21,IF(Atletas!D40="Juvenil 80kg",22, IF(Atletas!D40="Juvenil 85kg",23,IF(Atletas!D40="Adulto 48kg",24,IF(Atletas!D40="Adulto 52kg",25,IF(Atletas!D40="Adulto 56kg",26,IF(Atletas!D40="Adulto 60kg",27,IF(Atletas!D40="Adulto 65kg",28,IF(Atletas!D40="Adulto 70kg",29,IF(Atletas!D40="Adulto 75kg",30,IF(Atletas!D40="Adulto 80kg",31,IF(Atletas!D40="Adulto 85kg",32,IF(Atletas!D40="Adulto 90kg",33,IF(Atletas!D40="Adulto 100kg",34, IF(Atletas!D40="Adulto +100kg",35,"")))))))))))))))))))))))))))))))))))))</f>
        <v/>
      </c>
      <c r="AS49" s="6" t="str">
        <f>IF(Atletas!E40="","",IF(Atletas!B40="Feminino",100,IF(Atletas!B40="Masculino",200,""))+(IF(Atletas!E40="Juvenil 44kg",1,IF(Atletas!E40="Juvenil 48kg",2,IF(Atletas!E40="Juvenil 52kg",3,IF(Atletas!E40="Juvenil 56kg",4,IF(Atletas!E40="Juvenil 60kg",5,IF(Atletas!E40="Juvenil 65kg",6,IF(Atletas!E40="Juvenil 70kg",7,IF(Atletas!E40="Juvenil 75kg",8,IF(Atletas!E40="Juvenil 82kg",9,IF(Atletas!E40="Juvenil 90kg",10,IF(Atletas!E40="Juvenil 100kg",11,IF(Atletas!E40="Adulto 48kg",12,IF(Atletas!E40="Adulto 52kg",13,IF(Atletas!E40="Adulto 56kg",14,IF(Atletas!E40="Adulto 60kg",15,IF(Atletas!E40="Adulto 65kg",16,IF(Atletas!E40="Adulto 70kg",17,IF(Atletas!E40="Adulto 75kg",18,IF(Atletas!E40="Adulto 82kg",19,IF(Atletas!E40="Adulto 90kg",20,IF(Atletas!E40="Adulto 100kg",21,IF(Atletas!E40="Adulto +100kg",22,""))))))))))))))))))))))))</f>
        <v/>
      </c>
      <c r="AX49" s="6" t="str">
        <f>IF(Atletas!F40="","",IF(Atletas!B40="Feminino",100,IF(Atletas!B40="Masculino",200,""))+(IF(Atletas!F40="Adulto 48kg",1,IF(Atletas!F40="Adulto 56kg",2,IF(Atletas!F40="Adulto 65kg",3,IF(Atletas!F40="Adulto 75kg",4,IF(Atletas!F40="Adulto +75kg",5,IF(Atletas!F40="Adulto 52kg",6,IF(Atletas!F40="Adulto 60kg",7,IF(Atletas!F40="Adulto 70kg",8,IF(Atletas!F40="Adulto 80kg",9,IF(Atletas!F40="Adulto 90kg",10,IF(Atletas!F40="Adulto +90kg",11,"")))))))))))))</f>
        <v/>
      </c>
      <c r="BC49" s="6" t="str">
        <f>IF(Atletas!G40="","",IF(Atletas!B40="Feminino",10,IF(Atletas!B40="Masculino",20,""))+(IF(Atletas!G40="Baduanjin A",1,IF(Atletas!G40="Baduanjin B",2))))</f>
        <v/>
      </c>
      <c r="BF49" s="52" t="str">
        <f>IF(Atletas!H40="","",IF(Atletas!B40="Feminino",100,IF(Atletas!B40="Masculino",200,""))+(IF(Atletas!H40="Changquan Mirim",1,IF(Atletas!H40="Nanquan Mirim",2,IF(Atletas!H40="Taijiquan Mirim",3,IF(Atletas!H40="Changquan Grupo C",4,IF(Atletas!H40="Nanquan Grupo C",5,IF(Atletas!H40="Taijiquan Grupo C",6,IF(Atletas!H40="Changquan Grupo B",7,IF(Atletas!H40="Nanquan Grupo B",8,IF(Atletas!H40="Taijiquan Grupo B",9,IF(Atletas!H40="Changquan Grupo A",10,IF(Atletas!H40="Nanquan Grupo A",11,IF(Atletas!H40="Taijiquan Grupo A",12,IF(Atletas!H40="Changquan Opcional",13,IF(Atletas!H40="Nanquan Opcional",14,IF(Atletas!H40="Taijiquan Opcional",15,IF(Atletas!H40="Changquan Adulto",16,IF(Atletas!H40="Nanquan Adulto",17,IF(Atletas!H40="Taijiquan Adulto",18,""))))))))))))))))))))</f>
        <v/>
      </c>
      <c r="BG49" s="52" t="str">
        <f>IF(Atletas!I40="","",IF(Atletas!B40="Feminino",100,IF(Atletas!B40="Masculino",200,""))+(IF(Atletas!I40="Daoshu Mirim",19,IF(Atletas!I40="Jianshu Mirim",20,IF(Atletas!I40="Nandao Mirim",21,IF(Atletas!I40="Taijijian Mirim",22,IF(Atletas!I40="Daoshu Grupo C",23,IF(Atletas!I40="Jianshu Grupo C",24,IF(Atletas!I40="Nandao Grupo C",25,IF(Atletas!I40="Taijijian Grupo C",26,IF(Atletas!I40="Daoshu Grupo B",27,IF(Atletas!I40="Jianshu Grupo B",28,IF(Atletas!I40="Nandao Grupo B",29,IF(Atletas!I40="Taijijian Grupo B",30,IF(Atletas!I40="Daoshu Grupo A",31,IF(Atletas!I40="Jianshu Grupo A",32,IF(Atletas!I40="Nandao Grupo A",33,IF(Atletas!I40="Taijijian Grupo A",34,IF(Atletas!I40="Daoshu Opcional",35,IF(Atletas!I40="Jianshu Opcional",36,IF(Atletas!I40="Nandao Opcional",37,IF(Atletas!I40="Taijijian Opcional",38,IF(Atletas!I40="Daoshu Adulto",39,IF(Atletas!I40="Jianshu Adulto",40,IF(Atletas!I40="Nandao Adulto",41,IF(Atletas!I40="Taijijian Adulto",42,""))))))))))))))))))))))))))</f>
        <v/>
      </c>
      <c r="BH49" s="52" t="str">
        <f>IF(Atletas!J40="","",IF(Atletas!B40="Feminino",100,IF(Atletas!B40="Masculino",200,""))+(IF(Atletas!J40="Gunshu Mirim",43,IF(Atletas!J40="Qiangshu Mirim",44,IF(Atletas!J40="Nangun Mirim",45,IF(Atletas!J40="Gunshu Grupo C",46,IF(Atletas!J40="Qiangshu Grupo C",47,IF(Atletas!J40="Nangun Grupo C",48,IF(Atletas!J40="Gunshu Grupo B",49,IF(Atletas!J40="Qiangshu Grupo B",50,IF(Atletas!J40="Nangun Grupo B",51,IF(Atletas!J40="Gunshu Grupo A",52,IF(Atletas!J40="Qiangshu Grupo A",53,IF(Atletas!J40="Nangun Grupo A",54,IF(Atletas!J40="Gunshu Opcional",55,IF(Atletas!J40="Qiangshu Opcional",56,IF(Atletas!J40="Nangun Opcional",57,IF(Atletas!J40="Gunshu Adulto",58,IF(Atletas!J40="Qiangshu Adulto",59,IF(Atletas!J40="Nangun Adulto",60,IF(Atletas!J40="Taijishan Grupo B",61,IF(Atletas!J40="Taijishan Grupo A",62,""))))))))))))))))))))))</f>
        <v/>
      </c>
      <c r="BI49" s="6" t="str">
        <f>IF(BJ49&lt;&gt;"","Changquan Opcional","")</f>
        <v/>
      </c>
      <c r="BJ49" s="50" t="str">
        <f>IF(COUNTIF(BF:BH,113)&gt;0,COUNTIF(BF:BH,113),"")</f>
        <v/>
      </c>
      <c r="BK49" s="6" t="str">
        <f>IF(BL49&lt;&gt;"","Changquan Opcional","")</f>
        <v/>
      </c>
      <c r="BL49" s="50" t="str">
        <f>IF(COUNTIF(BF:BH,213)&gt;0,COUNTIF(BF:BH,213),"")</f>
        <v/>
      </c>
      <c r="BM49" s="50" t="str">
        <f>IF(Atletas!K40="","",IF(Atletas!B40="Feminino",100,IF(Atletas!B40="Masculino",200,""))+(IF(Atletas!K40="Equipe 1 Grupo B",1,IF(Atletas!K40="Equipe 2 Grupo B",2,IF(Atletas!K40="Equipe 1 Grupo A",3,IF(Atletas!K40="Equipe 2 Grupo A",4,IF(Atletas!K40="Equipe 1 Adulto",5,IF(Atletas!K40="Equipe 2 Adulto",6,""))))))))</f>
        <v/>
      </c>
      <c r="BR49" s="50" t="str">
        <f>IF(Atletas!L40="","",IF(Atletas!X40&lt;&gt;"",10000,0)+(IF(Atletas!B40="Feminino",1000,IF(Atletas!B40="Masculino",2000,""))+IF(Atletas!L40="Choylayfut A",1,IF(Atletas!L40="Hunggar A",2,IF(Atletas!L40="Wuzuquan A",3,IF(Atletas!L40="Wingchun A",4,IF(Atletas!L40="Outra Mão de Sul A",5,IF(Atletas!L40="Choylayfut B",6,IF(Atletas!L40="Hunggar B",7,IF(Atletas!L40="Wuzuquan B",8,IF(Atletas!L40="Wingchun B",9,IF(Atletas!L40="Outra Mão de Sul B",10,IF(Atletas!L40="Choylayfut C",11,IF(Atletas!L40="Hunggar C",12,IF(Atletas!L40="Wuzuquan C",13,IF(Atletas!L40="Wingchun C",14,IF(Atletas!L40="Outra Mão de Sul C",15,IF(Atletas!L40="Choylayfut D",16,IF(Atletas!L40="Hunggar D",17,IF(Atletas!L40="Wuzuquan D",18,IF(Atletas!L40="Wingchun D",19,IF(Atletas!L40="Outra Mão de Sul D",20,IF(Atletas!L40="Choylayfut E",21,IF(Atletas!L40="Hunggar E",22,IF(Atletas!L40="Wuzuquan E",23,IF(Atletas!L40="Wingchun E",24,IF(Atletas!L40="Outra Mão de Sul E",25,IF(Atletas!L40="Choylayfut F",26,IF(Atletas!L40="Hunggar F",27,IF(Atletas!L40="Wuzuquan F",28,IF(Atletas!L40="Wingchun F",29,IF(Atletas!L40="Outra Mão de Sul F",30,IF(Atletas!L40="Dishuquan A",31,IF(Atletas!L40="Dishuquan B",32,IF(Atletas!L40="Dishuquan C",33,IF(Atletas!L40="Dishuquan D",34,IF(Atletas!L40="Dishuquan E",35,IF(Atletas!L40="Dishuquan F",36,""))))))))))))))))))))))))))))))))))))))</f>
        <v/>
      </c>
      <c r="BS49" s="50" t="str">
        <f>IF(Atletas!M40="","",IF(Atletas!X40&lt;&gt;"",10000,0)+(IF(Atletas!B40="Feminino",1000,IF(Atletas!B40="Masculino",2000,""))+(IF(Atletas!M40="Chaquan A",101,IF(Atletas!M40="Emeiquan A",102,IF(Atletas!M40="Fanziquan A",103,IF(Atletas!M40="Huaquan A",104,IF(Atletas!M40="Hongquan A",105,IF(Atletas!M40="Paoquan A",106,IF(Atletas!M40="Piguaquan A",107,IF(Atletas!M40="Shaolinquan A",108,IF(Atletas!M40="Tanglangquan A",109,IF(Atletas!M40="Yingzhaoquan A",110,IF(Atletas!M40="Tongbeiquan A",111,IF(Atletas!M40="Wudangquan A",112,IF(Atletas!M40="Outros Estilos A",113,IF(Atletas!M40="Chaquan B",114,IF(Atletas!M40="Emeiquan B",115,IF(Atletas!M40="Fanziquan B",116,IF(Atletas!M40="Huaquan B",117,IF(Atletas!M40="Hongquan B",118,IF(Atletas!M40="Paoquan B",119,IF(Atletas!M40="Piguaquan B",120,IF(Atletas!M40="Shaolinquan B",121,IF(Atletas!M40="Tanglangquan B",122,IF(Atletas!M40="Yingzhaoquan B",123,IF(Atletas!M40="Tongbeiquan B",124,IF(Atletas!M40="Wudangquan B",125,IF(Atletas!M40="Outros Estilos B",126,IF(Atletas!M40="Chaquan C",127,IF(Atletas!M40="Emeiquan C",128,IF(Atletas!M40="Fanziquan C",129,IF(Atletas!M40="Huaquan C",130,IF(Atletas!M40="Hongquan C",131,IF(Atletas!M40="Paoquan C",132,IF(Atletas!M40="Piguaquan C",133,IF(Atletas!M40="Shaolinquan C",134,IF(Atletas!M40="Tanglangquan C",135,IF(Atletas!M40="Yingzhaoquan C",136,IF(Atletas!M40="Tongbeiquan C",137,IF(Atletas!M40="Wudangquan C",138,IF(Atletas!M40="Outros Estilos C",139,0))))))))))))))))))))))))))))))))))))))))))</f>
        <v/>
      </c>
      <c r="BT49" s="50" t="str">
        <f>IF(Atletas!M40="","",IF(Atletas!X40&lt;&gt;"",10000,0)+(IF(Atletas!B40="Feminino",1000,IF(Atletas!B40="Masculino",2000,""))+(IF(Atletas!M40="Chaquan D",140,IF(Atletas!M40="Emeiquan D",141,IF(Atletas!M40="Fanziquan D",142,IF(Atletas!M40="Huaquan D",143,IF(Atletas!M40="Hongquan D",144,IF(Atletas!M40="Paoquan D",145,IF(Atletas!M40="Piguaquan D",146,IF(Atletas!M40="Shaolinquan D",147,IF(Atletas!M40="Tanglangquan D",148,IF(Atletas!M40="Yingzhaoquan D",149,IF(Atletas!M40="Tongbeiquan D",150,IF(Atletas!M40="Wudangquan D",151,IF(Atletas!M40="Outros Estilos D",152,IF(Atletas!M40="Chaquan E",153,IF(Atletas!M40="Emeiquan E",154,IF(Atletas!M40="Fanziquan E",155,IF(Atletas!M40="Huaquan E",156,IF(Atletas!M40="Hongquan E",157,IF(Atletas!M40="Paoquan E",158,IF(Atletas!M40="Piguaquan E",159,IF(Atletas!M40="Shaolinquan E",160,IF(Atletas!M40="Tanglangquan E",161,IF(Atletas!M40="Yingzhaoquan E",162,IF(Atletas!M40="Tongbeiquan E",163,IF(Atletas!M40="Wudangquan E",164,IF(Atletas!M40="Outros Estilos E",165,IF(Atletas!M40="Chaquan F",166,IF(Atletas!M40="Emeiquan F",167,IF(Atletas!M40="Fanziquan F",168,IF(Atletas!M40="Huaquan F",169,IF(Atletas!M40="Hongquan F",170,IF(Atletas!M40="Paoquan F",171,IF(Atletas!M40="Piguaquan F",172,IF(Atletas!M40="Shaolinquan F",173,IF(Atletas!M40="Tanglangquan F",174,IF(Atletas!M40="Yingzhaoquan F",175,IF(Atletas!M40="Tongbeiquan F",176,IF(Atletas!M40="Wudangquan F",177,IF(Atletas!M40="Outros Estilos F",178,0))))))))))))))))))))))))))))))))))))))))))</f>
        <v/>
      </c>
      <c r="BU49" s="50" t="str">
        <f>IF(Atletas!N40="","",IF(Atletas!X40&lt;&gt;"",10000,0)+(IF(Atletas!B40="Feminino",1000,IF(Atletas!B40="Masculino",2000,""))+(IF(Atletas!N40="Ditangquan A",201,IF(Atletas!N40="Houquan A",202,IF(Atletas!N40="Zuiquan A",203,IF(Atletas!N40="Ditangquan B",204,IF(Atletas!N40="Houquan B",205,IF(Atletas!N40="Zuiquan B",206,IF(Atletas!N40="Ditangquan C",207,IF(Atletas!N40="Houquan C",208,IF(Atletas!N40="Zuiquan C",209,IF(Atletas!N40="Ditangquan D",210,IF(Atletas!N40="Houquan D",211,IF(Atletas!N40="Zuiquan D",212,IF(Atletas!N40="Ditangquan E",213,IF(Atletas!N40="Houquan E",214,IF(Atletas!N40="Zuiquan E",215,IF(Atletas!N40="Ditangquan F",216,IF(Atletas!N40="Houquan F",217,IF(Atletas!N40="Zuiquan F",218,"")))))))))))))))))))))</f>
        <v/>
      </c>
      <c r="BV49" s="50" t="str">
        <f>IF(Atletas!O40="","",IF(Atletas!X40&lt;&gt;"",10000,0)+IF(Atletas!B40="Feminino",1000,IF(Atletas!B40="Masculino",2000,""))+IF(Atletas!O40="Yang A",301,IF(Atletas!O40="Chen A",302,IF(Atletas!O40="Sun A",303,IF(Atletas!O40="Wu A",304,IF(Atletas!O40="Wu-Hao A",305,IF(Atletas!O40="Outro Taijiquan A",306,IF(Atletas!O40="Yang B",307,IF(Atletas!O40="Chen B",308,IF(Atletas!O40="Sun B",309,IF(Atletas!O40="Wu B",310,IF(Atletas!O40="Wu-Hao B",311,IF(Atletas!O40="Outro Taijiquan B",312,IF(Atletas!O40="Yang C",313,IF(Atletas!O40="Chen C",314,IF(Atletas!O40="Sun C",315,IF(Atletas!O40="Wu C",316,IF(Atletas!O40="Wu-Hao C",317,IF(Atletas!O40="Outro Taijiquan C",318,IF(Atletas!O40="Yang D",319,IF(Atletas!O40="Chen D",320,IF(Atletas!O40="Sun D",321,IF(Atletas!O40="Wu D",322,IF(Atletas!O40="Wu-Hao D",323,IF(Atletas!O40="Outro Taijiquan D",324,IF(Atletas!O40="Yang E",325,IF(Atletas!O40="Chen E",326,IF(Atletas!O40="Sun E",327,IF(Atletas!O40="Wu E",328,IF(Atletas!O40="Wu-Hao E",329,IF(Atletas!O40="Outro Taijiquan E",330,IF(Atletas!O40="Yang F",331,IF(Atletas!O40="Chen F",332,IF(Atletas!O40="Sun F",333,IF(Atletas!O40="Wu F",334,IF(Atletas!O40="Wu-Hao F",335,IF(Atletas!O40="Outro Taijiquan F",336,"")))))))))))))))))))))))))))))))))))))</f>
        <v/>
      </c>
      <c r="BW49" s="50" t="str">
        <f>IF(Atletas!P40="","",IF(Atletas!X40&lt;&gt;"",10000,0)+IF(Atletas!B40="Feminino",1000,IF(Atletas!B40="Masculino",2000,""))+IF(OR(Atletas!P40="Yang 26 A",Atletas!P40="Yang 40 A"),401,IF(OR(Atletas!P40="Chen 25 A",Atletas!P40="Chen 36 A",Atletas!P40="Chen 56 A"),402,IF(Atletas!P40="Sun 73 A",403,IF(Atletas!P40="Wu 45 A",404,IF(Atletas!P40="Wu-Hao 46 A",405,IF(OR(Atletas!P40="Taijiquan 16 A",Atletas!P40="Taijiquan 24 A",Atletas!P40="Taijiquan 32 A",Atletas!P40="Taijiquan 42 A"),406,IF(OR(Atletas!P40="Yang 26 B",Atletas!P40="Yang 40 B"),407,IF(OR(Atletas!P40="Chen 25 B",Atletas!P40="Chen 36 B",Atletas!P40="Chen 56 B"),408,IF(Atletas!P40="Sun 73 B",409,IF(Atletas!P40="Wu 45 B",410,IF(Atletas!P40="Wu-Hao 46 B",411,IF(OR(Atletas!P40="Taijiquan 16 B",Atletas!P40="Taijiquan 24 B",Atletas!P40="Taijiquan 32 B",Atletas!P40="Taijiquan 42 B"),412,IF(OR(Atletas!P40="Yang 26 C",Atletas!P40="Yang 40 C"),413,IF(OR(Atletas!P40="Chen 25 C",Atletas!P40="Chen 36 C",Atletas!P40="Chen 56 C"),414,IF(Atletas!P40="Sun 73 C",415,IF(Atletas!P40="Wu 45 C",416,IF(Atletas!P40="Wu-Hao 46 C",417,IF(OR(Atletas!P40="Taijiquan 16 C",Atletas!P40="Taijiquan 24 C",Atletas!P40="Taijiquan 32 C",Atletas!P40="Taijiquan 42 C"),418,0)))))))))))))))))))</f>
        <v/>
      </c>
      <c r="BX49" s="50" t="str">
        <f>IF(Atletas!P40="","",IF(Atletas!X40&lt;&gt;"",10000,0)+IF(Atletas!B40="Feminino",1000,IF(Atletas!B40="Masculino",2000,""))+IF(OR(Atletas!P40="Yang 26 D",Atletas!P40="Yang 40 D"),419,IF(OR(Atletas!P40="Chen 25 D",Atletas!P40="Chen 36 D",Atletas!P40="Chen 56 D"),420,IF(Atletas!P40="Sun 73 D",421,IF(Atletas!P40="Wu 45 D",422,IF(Atletas!P40="Wu-Hao 46 D",423,IF(OR(Atletas!P40="Taijiquan 16 D",Atletas!P40="Taijiquan 24 D",Atletas!P40="Taijiquan 32 D",Atletas!P40="Taijiquan 42 D"),424,IF(OR(Atletas!P40="Yang 26 E",Atletas!P40="Yang 40 E"),425,IF(OR(Atletas!P40="Chen 25 E",Atletas!P40="Chen 36 E",Atletas!P40="Chen 56 E"),426,IF(Atletas!P40="Sun 73 E",427,IF(Atletas!P40="Wu 45 E",428,IF(Atletas!P40="Wu-Hao 46 E",429,IF(OR(Atletas!P40="Taijiquan 16 E",Atletas!P40="Taijiquan 24 E",Atletas!P40="Taijiquan 32 E",Atletas!P40="Taijiquan 42 E"),430,IF(OR(Atletas!P40="Yang 26 F",Atletas!P40="Yang 40 F"),431,IF(OR(Atletas!P40="Chen 25 F",Atletas!P40="Chen 36 F",Atletas!P40="Chen 56 F"),432,IF(Atletas!P40="Sun 73 F",433,IF(Atletas!P40="Wu 45 F",434,IF(Atletas!P40="Wu-Hao 46 F",435,IF(OR(Atletas!P40="Taijiquan 16 F",Atletas!P40="Taijiquan 24 F",Atletas!P40="Taijiquan 32 F",Atletas!P40="Taijiquan 42 F"),436,0)))))))))))))))))))</f>
        <v/>
      </c>
      <c r="BY49" s="50" t="str">
        <f>IF(Atletas!Q40="","",IF(Atletas!X40&lt;&gt;"",10000,0)+IF(Atletas!B40="Feminino",1000,IF(Atletas!B40="Masculino",2000,""))+IF(Atletas!Q40="Xingyiquan A",501,IF(Atletas!Q40="Baguazhang A",502,IF(Atletas!Q40="Outro Estilo Interno A",503,IF(Atletas!Q40="Xingyiquan B",504,IF(Atletas!Q40="Baguazhang B",505,IF(Atletas!Q40="Outro Estilo Interno B",506,IF(Atletas!Q40="Xingyiquan C",507,IF(Atletas!Q40="Baguazhang C",508,IF(Atletas!Q40="Outro Estilo Interno C",509,IF(Atletas!Q40="Xingyiquan D",510,IF(Atletas!Q40="Baguazhang D",511,IF(Atletas!Q40="Outro Estilo Interno D",512,IF(Atletas!Q40="Xingyiquan E",513,IF(Atletas!Q40="Baguazhang E",514,IF(Atletas!Q40="Outro Estilo Interno E",515,IF(Atletas!Q40="Xingyiquan F",516,IF(Atletas!Q40="Baguazhang F",517,IF(Atletas!Q40="Outro Estilo Interno F",518, "")))))))))))))))))))</f>
        <v/>
      </c>
      <c r="BZ49" s="50" t="str">
        <f>IF(Atletas!R40="","",IF(Atletas!X40&lt;&gt;"",10000,0)+IF(Atletas!B40="Feminino",1000,IF(Atletas!B40="Masculino",2000,""))+IF(Atletas!R40="Dao A",601,IF(Atletas!R40="Jian A",602,IF(Atletas!R40="Bishou A",603,IF(Atletas!R40="Shanzi A",604,IF(Atletas!R40="Outra Arma Curta A",605,IF(Atletas!R40="Dao B",606,IF(Atletas!R40="Jian B",607,IF(Atletas!R40="Bishou B",608,IF(Atletas!R40="Shanzi B",609,IF(Atletas!R40="Outra Arma Curta B",610,IF(Atletas!R40="Dao C",611,IF(Atletas!R40="Jian C",612,IF(Atletas!R40="Bishou C",613,IF(Atletas!R40="Shanzi C",614,IF(Atletas!R40="Outra Arma Curta C",615,IF(Atletas!R40="Dao D",616,IF(Atletas!R40="Jian D",617,IF(Atletas!R40="Bishou D",618,IF(Atletas!R40="Shanzi D",619,IF(Atletas!R40="Outra Arma Curta D",620,IF(Atletas!R40="Dao E",621,IF(Atletas!R40="Jian E",622,IF(Atletas!R40="Bishou E",623,IF(Atletas!R40="Shanzi E",624,IF(Atletas!R40="Outra Arma Curta E",625,IF(Atletas!R40="Dao F",626,IF(Atletas!R40="Jian F",627,IF(Atletas!R40="Bishou F",628,IF(Atletas!R40="Shanzi F",629,IF(Atletas!R40="Outra Arma Curta F",630, "")))))))))))))))))))))))))))))))</f>
        <v/>
      </c>
      <c r="CA49" s="50" t="str">
        <f>IF(Atletas!S40="","",IF(Atletas!X40&lt;&gt;"",10000,0)+IF(Atletas!B40="Feminino",1000,IF(Atletas!B40="Masculino",2000,""))+IF(Atletas!S40="Gun A",701,IF(Atletas!S40="Qiang A",702,IF(Atletas!S40="Pudao / Guandao A",703,IF(Atletas!S40="Outra Arma Longa A",704,IF(Atletas!S40="Gun B",705,IF(Atletas!S40="Qiang B",706,IF(Atletas!S40="Pudao / Guandao B",707,IF(Atletas!S40="Outra Arma Longa B",708,IF(Atletas!S40="Gun C",709,IF(Atletas!S40="Qiang C",710,IF(Atletas!S40="Pudao / Guandao C",711,IF(Atletas!S40="Outra Arma Longa C",712,IF(Atletas!S40="Gun D",713,IF(Atletas!S40="Qiang D",714,IF(Atletas!S40="Pudao / Guandao D",715,IF(Atletas!S40="Outra Arma Longa D",716,IF(Atletas!S40="Gun E",717,IF(Atletas!S40="Qiang E",718,IF(Atletas!S40="Pudao / Guandao E",719,IF(Atletas!S40="Outra Arma Longa E",720,IF(Atletas!S40="Gun F",721,IF(Atletas!S40="Qiang F",722,IF(Atletas!S40="Pudao / Guandao F",723,IF(Atletas!S40="Outra Arma Longa F",724,"")))))))))))))))))))))))))</f>
        <v/>
      </c>
      <c r="CB49" s="50" t="str">
        <f>IF(Atletas!T40="","",IF(Atletas!X40&lt;&gt;"",10000,0)+IF(Atletas!B40="Feminino",1000,IF(Atletas!B40="Masculino",2000,""))+IF(Atletas!T40="Outra Arma Dupla A",801,IF(Atletas!T40="Arma Maleável A",802,IF(Atletas!T40="Outra Arma Dupla B",803,IF(Atletas!T40="Arma Maleável B",804,IF(Atletas!T40="Outra Arma Dupla C",805,IF(Atletas!T40="Arma Maleável C",806,IF(Atletas!T40="Outra Arma Dupla D",807,IF(Atletas!T40="Arma Maleável D",808,IF(Atletas!T40="Outra Arma Dupla E",809,IF(Atletas!T40="Arma Maleável E",810,IF(Atletas!T40="Outra Arma Dupla F",811,IF(Atletas!T40="Arma Maleável F",812,IF(Atletas!T40="Shuangdao A",813,IF(Atletas!T40="Shuangdao B",814,IF(Atletas!T40="Shuangdao C",815,IF(Atletas!T40="Shuangdao D",816,IF(Atletas!T40="Shuangdao E",817,IF(Atletas!T40="Shuangdao F",818,"")))))))))))))))))))</f>
        <v/>
      </c>
      <c r="CC49" s="50" t="str">
        <f>IF(Atletas!U40="","",IF(Atletas!X40&lt;&gt;"",10000,0)+IF(Atletas!B40="Feminino",1000,IF(Atletas!B40="Masculino",2000,""))+IF(OR(Atletas!U40="Taijijian Yang A",Atletas!U40="Taijijian Yang Standard A"),901,IF(OR(Atletas!U40="Taijijian Chen A", Atletas!U40="Taijijian Chen Standard A"),902,IF(Atletas!U40="Taijijian Sun A",903,IF(Atletas!U40="Taijijian Wu A",904,IF(Atletas!U40="Taijijian Wu-Hao A",905,IF(OR(Atletas!U40="Taijijian 32 A",Atletas!U40="Taijijian 42 A"),906,IF(OR(Atletas!U40="Taijijian Yang B",Atletas!U40="Taijijian Yang Standard B"),907,IF(OR(Atletas!U40="Taijijian Chen B", Atletas!U40="Taijijian Chen Standard B"),908,IF(Atletas!U40="Taijijian Sun B",909,IF(Atletas!U40="Taijijian Wu B",910,IF(Atletas!U40="Taijijian Wu-Hao B",911,IF(OR(Atletas!U40="Taijijian 32 B",Atletas!U40="Taijijian 42 B"),912,IF(OR(Atletas!U40="Taijijian Yang C",Atletas!U40="Taijijian Yang Standard C"),913,IF(OR(Atletas!U40="Taijijian Chen C", Atletas!U40="Taijijian Chen Standard C"),914,IF(Atletas!U40="Taijijian Sun C",915,IF(Atletas!U40="Taijijian Wu C",916,IF(Atletas!U40="Taijijian Wu-Hao C",917,IF(OR(Atletas!U40="Taijijian 32 C",Atletas!U40="Taijijian 42 C"),918,IF(OR(Atletas!U40="Taijijian Yang D",Atletas!U40="Taijijian Yang Standard D"),919,IF(OR(Atletas!U40="Taijijian Chen D", Atletas!U40="Taijijian Chen Standard D"),920,IF(Atletas!U40="Taijijian Sun D",921,IF(Atletas!U40="Taijijian Wu D",922,IF(Atletas!U40="Taijijian Wu-Hao D",923,IF(OR(Atletas!U40="Taijijian 32 D",Atletas!U40="Taijijian 42 D"),924,IF(OR(Atletas!U40="Taijijian Yang E",Atletas!U40="Taijijian Yang Standard E"),925,IF(OR(Atletas!U40="Taijijian Chen E", Atletas!U40="Taijijian Chen Standard E"),926,IF(Atletas!U40="Taijijian Sun E",927,IF(Atletas!U40="Taijijian Wu E",928,IF(Atletas!U40="Taijijian Wu-Hao E",929,IF(OR(Atletas!U40="Taijijian 32 E",Atletas!U40="Taijijian 42 E"),930,IF(OR(Atletas!U40="Taijijian Yang F",Atletas!U40="Taijijian Yang Standard F"),931,IF(OR(Atletas!U40="Taijijian Chen F", Atletas!U40="Taijijian Chen Standard F"),932,IF(Atletas!U40="Taijijian Sun F",933,IF(Atletas!U40="Taijijian Wu F",934,IF(Atletas!U40="Taijijian Wu-Hao F",935,IF(OR(Atletas!U40="Taijijian 32 F",Atletas!U40="Taijijian 42 F"),936,"")))))))))))))))))))))))))))))))))))))</f>
        <v/>
      </c>
      <c r="CD49" s="50" t="str">
        <f>IF(Atletas!V40="","",IF(Atletas!X40&lt;&gt;"",10000,0)+IF(Atletas!B40="Feminino",1000,IF(Atletas!B40="Masculino",2000,""))+IF(Atletas!V40="Taijidao A",937,IF(Atletas!V40="TaijiShanzi A",938,IF(Atletas!V40="Taijiqiang A",939,IF(Atletas!V40="Bagua de Arma A",940,IF(Atletas!V40="Xingyi de Arma A",941,IF(Atletas!V40="Taijidao B",942,IF(Atletas!V40="TaijiShanzi B",943,IF(Atletas!V40="Taijiqiang B",944,IF(Atletas!V40="Bagua de Arma B",945,IF(Atletas!V40="Xingyi de Arma B",946,IF(Atletas!V40="Taijidao C",947,IF(Atletas!V40="TaijiShanzi C",948,IF(Atletas!V40="Taijiqiang C",949,IF(Atletas!V40="Bagua de Arma C",950,IF(Atletas!V40="Xingyi de Arma C",951,IF(Atletas!V40="Taijidao D",952,IF(Atletas!V40="TaijiShanzi D",953,IF(Atletas!V40="Taijiqiang D",954,IF(Atletas!V40="Bagua de Arma D",955,IF(Atletas!V40="Xingyi de Arma D",956,IF(Atletas!V40="Taijidao E",957,IF(Atletas!V40="TaijiShanzi E",958,IF(Atletas!V40="Taijiqiang E",959,IF(Atletas!V40="Bagua de Arma E",960,IF(Atletas!V40="Xingyi de Arma E",961,IF(Atletas!V40="Taijidao F",962,IF(Atletas!V40="TaijiShanzi F",963,IF(Atletas!V40="Taijiqiang F",964,IF(Atletas!V40="Bagua de Arma F",965,IF(Atletas!V40="Xingyi de Arma F",966,"")))))))))))))))))))))))))))))))</f>
        <v/>
      </c>
      <c r="CE49" s="66" t="str">
        <f>IF(CF49&lt;&gt;"","Piguaquan A","")</f>
        <v/>
      </c>
      <c r="CF49" s="66" t="str">
        <f>IF(COUNTIF(BR:CD,1107)&gt;0,COUNTIF(BR:CD,1107),"")</f>
        <v/>
      </c>
      <c r="CG49" s="66" t="str">
        <f>IF(CH49&lt;&gt;"","Piguaquan A","")</f>
        <v/>
      </c>
      <c r="CH49" s="66" t="str">
        <f>IF(COUNTIF(BR:CD,2107)&gt;0,COUNTIF(BR:CD,2107),"")</f>
        <v/>
      </c>
      <c r="CI49" s="66" t="str">
        <f>IF(CJ49&lt;&gt;"","Outros Estilos A","")</f>
        <v/>
      </c>
      <c r="CJ49" s="66" t="str">
        <f>IF(COUNTIF(BR:CD,11113)&gt;0,COUNTIF(BR:CD,11113),"")</f>
        <v/>
      </c>
      <c r="CK49" s="66" t="str">
        <f>IF(CL49&lt;&gt;"","Outros Estilos A","")</f>
        <v/>
      </c>
      <c r="CL49" s="66" t="str">
        <f>IF(COUNTIF(BR:CD,12113)&gt;0,COUNTIF(BR:CD,12113),"")</f>
        <v/>
      </c>
      <c r="CM49" s="50" t="str">
        <f xml:space="preserve"> IF(Atletas!W40="","",IF(Atletas!W40="Duilian de Mãos BC - Equipe 1",1,IF(Atletas!W40="Duilian de Mãos BC - Equipe 2",2,IF(Atletas!W40="Duilian de Armas BC - Equipe 1",3,IF(Atletas!W40="Duilian de Armas BC - Equipe 2",4,IF(Atletas!W40="Duilian de Mãos DE - Equipe 1",5,IF(Atletas!W40="Duilian de Mãos DE - Equipe 2",6,IF(Atletas!W40="Duilian de Armas DE - Equipe 1",7,IF(Atletas!W40="Duilian de Armas DE - Equipe 2",8,IF(Atletas!W40="Duilian de Tuishou - Equipe 1",9,IF(Atletas!W40="Duilian de Tuishou - Equipe 2",10,IF(Atletas!W40="Grupo Externo ABC - Equipe 1",11,IF(Atletas!W40="Grupo Externo ABC - Equipe 2",12,IF(Atletas!W40="Grupo Interno ABC - Equipe 1",13,IF(Atletas!W40="Grupo Interno ABC - Equipe 2",14,IF(Atletas!W40="Grupo Externo DEF - Equipe 1",15,IF(Atletas!W40="Grupo Externo DEF - Equipe 2",16,IF(Atletas!W40="Grupo Interno DEF - Equipe 1",17,IF(Atletas!W40="Grupo Interno DEF - Equipe 2",18,"")))))))))))))))))))</f>
        <v/>
      </c>
      <c r="CY49" s="41"/>
    </row>
    <row r="50" spans="2:103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 t="str">
        <f t="array" ref="R50">IFERROR(INDEX(BI$7:BI$68,SMALL(IF(BI$7:BI$68&lt;&gt;"",ROW(BI$7:BI$68)-ROW(BI$7)+1),ROWS(BI$7:BI49))),"")</f>
        <v/>
      </c>
      <c r="S50" s="3" t="str">
        <f t="array" ref="S50">IFERROR(INDEX(BJ$7:BJ$68,SMALL(IF(BJ$7:BJ$68&lt;&gt;"",ROW(BJ$7:BJ$68)-ROW(BJ$7)+1),ROWS(BJ$7:BJ49))),"")</f>
        <v/>
      </c>
      <c r="T50" s="3" t="str">
        <f t="array" ref="T50">IFERROR(INDEX(BK$7:BK$68,SMALL(IF(BK$7:BK$68&lt;&gt;"",ROW(BK$7:BK$68)-ROW(BK$7)+1),ROWS(BK$7:BK49))),"")</f>
        <v/>
      </c>
      <c r="U50" s="3" t="str">
        <f t="array" ref="U50">IFERROR(INDEX(BL$7:BL$68,SMALL(IF(BL$7:BL$68&lt;&gt;"",ROW(BL$7:BL$68)-ROW(BL$7)+1),ROWS(BL$7:BL49))),"")</f>
        <v/>
      </c>
      <c r="V50" s="3"/>
      <c r="W50" s="3"/>
      <c r="X50" s="20"/>
      <c r="Y50" s="3"/>
      <c r="Z50" s="3" t="str">
        <f t="array" ref="Z50">IFERROR(INDEX(CE$7:CE$348,SMALL(IF(CE$7:CE$348&lt;&gt;"",ROW(CE$7:CE$348)-ROW(CE$7)+1),ROWS(CE$7:CE49))),"")</f>
        <v/>
      </c>
      <c r="AA50" s="3" t="str">
        <f t="array" ref="AA50">IFERROR(INDEX(CF$7:CF$348,SMALL(IF(CF$7:CF$348&lt;&gt;"",ROW(CF$7:CF$348)-ROW(CF$7)+1),ROWS(CF$7:CF49))),"")</f>
        <v/>
      </c>
      <c r="AB50" s="3" t="str">
        <f t="array" ref="AB50">IFERROR(INDEX(CG$7:CG$348,SMALL(IF(CG$7:CG$348&lt;&gt;"",ROW(CG$7:CG$348)-ROW(CG$7)+1),ROWS(CG$7:CG49))),"")</f>
        <v/>
      </c>
      <c r="AC50" s="3" t="str">
        <f t="array" ref="AC50">IFERROR(INDEX(CH$7:CH$348,SMALL(IF(CH$7:CH$348&lt;&gt;"",ROW(CH$7:CH$348)-ROW(CH$7)+1),ROWS(CH$7:CH49))),"")</f>
        <v/>
      </c>
      <c r="AD50" s="3" t="str">
        <f t="array" ref="AD50">IFERROR(INDEX(CI$7:CI$377,SMALL(IF(CI$7:CI$377&lt;&gt;"",ROW(CI$7:CI$377)-ROW(CI$7)+1),ROWS(CI$7:CI49))),"")</f>
        <v/>
      </c>
      <c r="AE50" s="3" t="str">
        <f t="array" ref="AE50">IFERROR(INDEX(CJ$7:CJ$378,SMALL(IF(CJ$7:CJ$378&lt;&gt;"",ROW(CJ$7:CJ$378)-ROW(CJ$7)+1),ROWS(CJ$7:CJ49))),"")</f>
        <v/>
      </c>
      <c r="AF50" s="3" t="str">
        <f t="array" ref="AF50">IFERROR(INDEX(CK$7:CK$378,SMALL(IF(CK$7:CK$378&lt;&gt;"",ROW(CK$7:CK$378)-ROW(CK$7)+1),ROWS(CK$7:CK49))),"")</f>
        <v/>
      </c>
      <c r="AG50" s="3" t="str">
        <f t="array" ref="AG50">IFERROR(INDEX(CL$7:CL$378,SMALL(IF(CL$7:CL$378&lt;&gt;"",ROW(CL$7:CL$378)-ROW(CL$7)+1),ROWS(CL$7:CL49))),"")</f>
        <v/>
      </c>
      <c r="AH50" s="3"/>
      <c r="AI50" s="3"/>
      <c r="AJ50" s="3"/>
      <c r="AK50" s="3"/>
      <c r="AL50" s="3"/>
      <c r="AM50" s="3"/>
      <c r="AN50" s="52" t="str">
        <f>IF(Atletas!D41="","",IF(Atletas!B41="Feminino",100,IF(Atletas!B41="Masculino",200,""))+(IF(Atletas!D41="Kids 30kg",1,IF(Atletas!D41="Kids 32kg",2, IF(Atletas!D41="Kids 34kg",3,IF(Atletas!D41="Kids 36kg",4,IF(Atletas!D41="Kids 39kg",5,IF(Atletas!D41="Kids 42kg",6,IF(Atletas!D41="Kids 45kg",7, IF(Atletas!D41="Infantil 39kg",8,IF(Atletas!D41="Infantil 42kg",9,IF(Atletas!D41="Infantil 45kg",10,IF(Atletas!D41="Infantil 48kg",11,IF(Atletas!D41="Infantil 52kg",12,IF(Atletas!D41="Infantil 56kg",13,IF(Atletas!D41="Infantil 60kg",14,IF(Atletas!D41="Juvenil 48kg",15,IF(Atletas!D41="Juvenil 52kg",16,IF(Atletas!D41="Juvenil 56kg",17,IF(Atletas!D41="Juvenil 60kg",18,IF(Atletas!D41="Juvenil 65kg",19,IF(Atletas!D41="Juvenil 70kg",20,IF(Atletas!D41="Juvenil 75kg",21,IF(Atletas!D41="Juvenil 80kg",22, IF(Atletas!D41="Juvenil 85kg",23,IF(Atletas!D41="Adulto 48kg",24,IF(Atletas!D41="Adulto 52kg",25,IF(Atletas!D41="Adulto 56kg",26,IF(Atletas!D41="Adulto 60kg",27,IF(Atletas!D41="Adulto 65kg",28,IF(Atletas!D41="Adulto 70kg",29,IF(Atletas!D41="Adulto 75kg",30,IF(Atletas!D41="Adulto 80kg",31,IF(Atletas!D41="Adulto 85kg",32,IF(Atletas!D41="Adulto 90kg",33,IF(Atletas!D41="Adulto 100kg",34, IF(Atletas!D41="Adulto +100kg",35,"")))))))))))))))))))))))))))))))))))))</f>
        <v/>
      </c>
      <c r="AS50" s="6" t="str">
        <f>IF(Atletas!E41="","",IF(Atletas!B41="Feminino",100,IF(Atletas!B41="Masculino",200,""))+(IF(Atletas!E41="Juvenil 44kg",1,IF(Atletas!E41="Juvenil 48kg",2,IF(Atletas!E41="Juvenil 52kg",3,IF(Atletas!E41="Juvenil 56kg",4,IF(Atletas!E41="Juvenil 60kg",5,IF(Atletas!E41="Juvenil 65kg",6,IF(Atletas!E41="Juvenil 70kg",7,IF(Atletas!E41="Juvenil 75kg",8,IF(Atletas!E41="Juvenil 82kg",9,IF(Atletas!E41="Juvenil 90kg",10,IF(Atletas!E41="Juvenil 100kg",11,IF(Atletas!E41="Adulto 48kg",12,IF(Atletas!E41="Adulto 52kg",13,IF(Atletas!E41="Adulto 56kg",14,IF(Atletas!E41="Adulto 60kg",15,IF(Atletas!E41="Adulto 65kg",16,IF(Atletas!E41="Adulto 70kg",17,IF(Atletas!E41="Adulto 75kg",18,IF(Atletas!E41="Adulto 82kg",19,IF(Atletas!E41="Adulto 90kg",20,IF(Atletas!E41="Adulto 100kg",21,IF(Atletas!E41="Adulto +100kg",22,""))))))))))))))))))))))))</f>
        <v/>
      </c>
      <c r="AX50" s="6" t="str">
        <f>IF(Atletas!F41="","",IF(Atletas!B41="Feminino",100,IF(Atletas!B41="Masculino",200,""))+(IF(Atletas!F41="Adulto 48kg",1,IF(Atletas!F41="Adulto 56kg",2,IF(Atletas!F41="Adulto 65kg",3,IF(Atletas!F41="Adulto 75kg",4,IF(Atletas!F41="Adulto +75kg",5,IF(Atletas!F41="Adulto 52kg",6,IF(Atletas!F41="Adulto 60kg",7,IF(Atletas!F41="Adulto 70kg",8,IF(Atletas!F41="Adulto 80kg",9,IF(Atletas!F41="Adulto 90kg",10,IF(Atletas!F41="Adulto +90kg",11,"")))))))))))))</f>
        <v/>
      </c>
      <c r="BC50" s="6" t="str">
        <f>IF(Atletas!G41="","",IF(Atletas!B41="Feminino",10,IF(Atletas!B41="Masculino",20,""))+(IF(Atletas!G41="Baduanjin A",1,IF(Atletas!G41="Baduanjin B",2))))</f>
        <v/>
      </c>
      <c r="BF50" s="52" t="str">
        <f>IF(Atletas!H41="","",IF(Atletas!B41="Feminino",100,IF(Atletas!B41="Masculino",200,""))+(IF(Atletas!H41="Changquan Mirim",1,IF(Atletas!H41="Nanquan Mirim",2,IF(Atletas!H41="Taijiquan Mirim",3,IF(Atletas!H41="Changquan Grupo C",4,IF(Atletas!H41="Nanquan Grupo C",5,IF(Atletas!H41="Taijiquan Grupo C",6,IF(Atletas!H41="Changquan Grupo B",7,IF(Atletas!H41="Nanquan Grupo B",8,IF(Atletas!H41="Taijiquan Grupo B",9,IF(Atletas!H41="Changquan Grupo A",10,IF(Atletas!H41="Nanquan Grupo A",11,IF(Atletas!H41="Taijiquan Grupo A",12,IF(Atletas!H41="Changquan Opcional",13,IF(Atletas!H41="Nanquan Opcional",14,IF(Atletas!H41="Taijiquan Opcional",15,IF(Atletas!H41="Changquan Adulto",16,IF(Atletas!H41="Nanquan Adulto",17,IF(Atletas!H41="Taijiquan Adulto",18,""))))))))))))))))))))</f>
        <v/>
      </c>
      <c r="BG50" s="52" t="str">
        <f>IF(Atletas!I41="","",IF(Atletas!B41="Feminino",100,IF(Atletas!B41="Masculino",200,""))+(IF(Atletas!I41="Daoshu Mirim",19,IF(Atletas!I41="Jianshu Mirim",20,IF(Atletas!I41="Nandao Mirim",21,IF(Atletas!I41="Taijijian Mirim",22,IF(Atletas!I41="Daoshu Grupo C",23,IF(Atletas!I41="Jianshu Grupo C",24,IF(Atletas!I41="Nandao Grupo C",25,IF(Atletas!I41="Taijijian Grupo C",26,IF(Atletas!I41="Daoshu Grupo B",27,IF(Atletas!I41="Jianshu Grupo B",28,IF(Atletas!I41="Nandao Grupo B",29,IF(Atletas!I41="Taijijian Grupo B",30,IF(Atletas!I41="Daoshu Grupo A",31,IF(Atletas!I41="Jianshu Grupo A",32,IF(Atletas!I41="Nandao Grupo A",33,IF(Atletas!I41="Taijijian Grupo A",34,IF(Atletas!I41="Daoshu Opcional",35,IF(Atletas!I41="Jianshu Opcional",36,IF(Atletas!I41="Nandao Opcional",37,IF(Atletas!I41="Taijijian Opcional",38,IF(Atletas!I41="Daoshu Adulto",39,IF(Atletas!I41="Jianshu Adulto",40,IF(Atletas!I41="Nandao Adulto",41,IF(Atletas!I41="Taijijian Adulto",42,""))))))))))))))))))))))))))</f>
        <v/>
      </c>
      <c r="BH50" s="52" t="str">
        <f>IF(Atletas!J41="","",IF(Atletas!B41="Feminino",100,IF(Atletas!B41="Masculino",200,""))+(IF(Atletas!J41="Gunshu Mirim",43,IF(Atletas!J41="Qiangshu Mirim",44,IF(Atletas!J41="Nangun Mirim",45,IF(Atletas!J41="Gunshu Grupo C",46,IF(Atletas!J41="Qiangshu Grupo C",47,IF(Atletas!J41="Nangun Grupo C",48,IF(Atletas!J41="Gunshu Grupo B",49,IF(Atletas!J41="Qiangshu Grupo B",50,IF(Atletas!J41="Nangun Grupo B",51,IF(Atletas!J41="Gunshu Grupo A",52,IF(Atletas!J41="Qiangshu Grupo A",53,IF(Atletas!J41="Nangun Grupo A",54,IF(Atletas!J41="Gunshu Opcional",55,IF(Atletas!J41="Qiangshu Opcional",56,IF(Atletas!J41="Nangun Opcional",57,IF(Atletas!J41="Gunshu Adulto",58,IF(Atletas!J41="Qiangshu Adulto",59,IF(Atletas!J41="Nangun Adulto",60,IF(Atletas!J41="Taijishan Grupo B",61,IF(Atletas!J41="Taijishan Grupo A",62,""))))))))))))))))))))))</f>
        <v/>
      </c>
      <c r="BI50" s="6" t="str">
        <f>IF(BJ50&lt;&gt;"","Nanquan Opcional","")</f>
        <v/>
      </c>
      <c r="BJ50" s="50" t="str">
        <f>IF(COUNTIF(BF:BH,114)&gt;0,COUNTIF(BF:BH,114),"")</f>
        <v/>
      </c>
      <c r="BK50" s="6" t="str">
        <f>IF(BL50&lt;&gt;"","Nanquan Opcional","")</f>
        <v/>
      </c>
      <c r="BL50" s="50" t="str">
        <f>IF(COUNTIF(BF:BH,214)&gt;0,COUNTIF(BF:BH,214),"")</f>
        <v/>
      </c>
      <c r="BM50" s="50" t="str">
        <f>IF(Atletas!K41="","",IF(Atletas!B41="Feminino",100,IF(Atletas!B41="Masculino",200,""))+(IF(Atletas!K41="Equipe 1 Grupo B",1,IF(Atletas!K41="Equipe 2 Grupo B",2,IF(Atletas!K41="Equipe 1 Grupo A",3,IF(Atletas!K41="Equipe 2 Grupo A",4,IF(Atletas!K41="Equipe 1 Adulto",5,IF(Atletas!K41="Equipe 2 Adulto",6,""))))))))</f>
        <v/>
      </c>
      <c r="BR50" s="50" t="str">
        <f>IF(Atletas!L41="","",IF(Atletas!X41&lt;&gt;"",10000,0)+(IF(Atletas!B41="Feminino",1000,IF(Atletas!B41="Masculino",2000,""))+IF(Atletas!L41="Choylayfut A",1,IF(Atletas!L41="Hunggar A",2,IF(Atletas!L41="Wuzuquan A",3,IF(Atletas!L41="Wingchun A",4,IF(Atletas!L41="Outra Mão de Sul A",5,IF(Atletas!L41="Choylayfut B",6,IF(Atletas!L41="Hunggar B",7,IF(Atletas!L41="Wuzuquan B",8,IF(Atletas!L41="Wingchun B",9,IF(Atletas!L41="Outra Mão de Sul B",10,IF(Atletas!L41="Choylayfut C",11,IF(Atletas!L41="Hunggar C",12,IF(Atletas!L41="Wuzuquan C",13,IF(Atletas!L41="Wingchun C",14,IF(Atletas!L41="Outra Mão de Sul C",15,IF(Atletas!L41="Choylayfut D",16,IF(Atletas!L41="Hunggar D",17,IF(Atletas!L41="Wuzuquan D",18,IF(Atletas!L41="Wingchun D",19,IF(Atletas!L41="Outra Mão de Sul D",20,IF(Atletas!L41="Choylayfut E",21,IF(Atletas!L41="Hunggar E",22,IF(Atletas!L41="Wuzuquan E",23,IF(Atletas!L41="Wingchun E",24,IF(Atletas!L41="Outra Mão de Sul E",25,IF(Atletas!L41="Choylayfut F",26,IF(Atletas!L41="Hunggar F",27,IF(Atletas!L41="Wuzuquan F",28,IF(Atletas!L41="Wingchun F",29,IF(Atletas!L41="Outra Mão de Sul F",30,IF(Atletas!L41="Dishuquan A",31,IF(Atletas!L41="Dishuquan B",32,IF(Atletas!L41="Dishuquan C",33,IF(Atletas!L41="Dishuquan D",34,IF(Atletas!L41="Dishuquan E",35,IF(Atletas!L41="Dishuquan F",36,""))))))))))))))))))))))))))))))))))))))</f>
        <v/>
      </c>
      <c r="BS50" s="50" t="str">
        <f>IF(Atletas!M41="","",IF(Atletas!X41&lt;&gt;"",10000,0)+(IF(Atletas!B41="Feminino",1000,IF(Atletas!B41="Masculino",2000,""))+(IF(Atletas!M41="Chaquan A",101,IF(Atletas!M41="Emeiquan A",102,IF(Atletas!M41="Fanziquan A",103,IF(Atletas!M41="Huaquan A",104,IF(Atletas!M41="Hongquan A",105,IF(Atletas!M41="Paoquan A",106,IF(Atletas!M41="Piguaquan A",107,IF(Atletas!M41="Shaolinquan A",108,IF(Atletas!M41="Tanglangquan A",109,IF(Atletas!M41="Yingzhaoquan A",110,IF(Atletas!M41="Tongbeiquan A",111,IF(Atletas!M41="Wudangquan A",112,IF(Atletas!M41="Outros Estilos A",113,IF(Atletas!M41="Chaquan B",114,IF(Atletas!M41="Emeiquan B",115,IF(Atletas!M41="Fanziquan B",116,IF(Atletas!M41="Huaquan B",117,IF(Atletas!M41="Hongquan B",118,IF(Atletas!M41="Paoquan B",119,IF(Atletas!M41="Piguaquan B",120,IF(Atletas!M41="Shaolinquan B",121,IF(Atletas!M41="Tanglangquan B",122,IF(Atletas!M41="Yingzhaoquan B",123,IF(Atletas!M41="Tongbeiquan B",124,IF(Atletas!M41="Wudangquan B",125,IF(Atletas!M41="Outros Estilos B",126,IF(Atletas!M41="Chaquan C",127,IF(Atletas!M41="Emeiquan C",128,IF(Atletas!M41="Fanziquan C",129,IF(Atletas!M41="Huaquan C",130,IF(Atletas!M41="Hongquan C",131,IF(Atletas!M41="Paoquan C",132,IF(Atletas!M41="Piguaquan C",133,IF(Atletas!M41="Shaolinquan C",134,IF(Atletas!M41="Tanglangquan C",135,IF(Atletas!M41="Yingzhaoquan C",136,IF(Atletas!M41="Tongbeiquan C",137,IF(Atletas!M41="Wudangquan C",138,IF(Atletas!M41="Outros Estilos C",139,0))))))))))))))))))))))))))))))))))))))))))</f>
        <v/>
      </c>
      <c r="BT50" s="50" t="str">
        <f>IF(Atletas!M41="","",IF(Atletas!X41&lt;&gt;"",10000,0)+(IF(Atletas!B41="Feminino",1000,IF(Atletas!B41="Masculino",2000,""))+(IF(Atletas!M41="Chaquan D",140,IF(Atletas!M41="Emeiquan D",141,IF(Atletas!M41="Fanziquan D",142,IF(Atletas!M41="Huaquan D",143,IF(Atletas!M41="Hongquan D",144,IF(Atletas!M41="Paoquan D",145,IF(Atletas!M41="Piguaquan D",146,IF(Atletas!M41="Shaolinquan D",147,IF(Atletas!M41="Tanglangquan D",148,IF(Atletas!M41="Yingzhaoquan D",149,IF(Atletas!M41="Tongbeiquan D",150,IF(Atletas!M41="Wudangquan D",151,IF(Atletas!M41="Outros Estilos D",152,IF(Atletas!M41="Chaquan E",153,IF(Atletas!M41="Emeiquan E",154,IF(Atletas!M41="Fanziquan E",155,IF(Atletas!M41="Huaquan E",156,IF(Atletas!M41="Hongquan E",157,IF(Atletas!M41="Paoquan E",158,IF(Atletas!M41="Piguaquan E",159,IF(Atletas!M41="Shaolinquan E",160,IF(Atletas!M41="Tanglangquan E",161,IF(Atletas!M41="Yingzhaoquan E",162,IF(Atletas!M41="Tongbeiquan E",163,IF(Atletas!M41="Wudangquan E",164,IF(Atletas!M41="Outros Estilos E",165,IF(Atletas!M41="Chaquan F",166,IF(Atletas!M41="Emeiquan F",167,IF(Atletas!M41="Fanziquan F",168,IF(Atletas!M41="Huaquan F",169,IF(Atletas!M41="Hongquan F",170,IF(Atletas!M41="Paoquan F",171,IF(Atletas!M41="Piguaquan F",172,IF(Atletas!M41="Shaolinquan F",173,IF(Atletas!M41="Tanglangquan F",174,IF(Atletas!M41="Yingzhaoquan F",175,IF(Atletas!M41="Tongbeiquan F",176,IF(Atletas!M41="Wudangquan F",177,IF(Atletas!M41="Outros Estilos F",178,0))))))))))))))))))))))))))))))))))))))))))</f>
        <v/>
      </c>
      <c r="BU50" s="50" t="str">
        <f>IF(Atletas!N41="","",IF(Atletas!X41&lt;&gt;"",10000,0)+(IF(Atletas!B41="Feminino",1000,IF(Atletas!B41="Masculino",2000,""))+(IF(Atletas!N41="Ditangquan A",201,IF(Atletas!N41="Houquan A",202,IF(Atletas!N41="Zuiquan A",203,IF(Atletas!N41="Ditangquan B",204,IF(Atletas!N41="Houquan B",205,IF(Atletas!N41="Zuiquan B",206,IF(Atletas!N41="Ditangquan C",207,IF(Atletas!N41="Houquan C",208,IF(Atletas!N41="Zuiquan C",209,IF(Atletas!N41="Ditangquan D",210,IF(Atletas!N41="Houquan D",211,IF(Atletas!N41="Zuiquan D",212,IF(Atletas!N41="Ditangquan E",213,IF(Atletas!N41="Houquan E",214,IF(Atletas!N41="Zuiquan E",215,IF(Atletas!N41="Ditangquan F",216,IF(Atletas!N41="Houquan F",217,IF(Atletas!N41="Zuiquan F",218,"")))))))))))))))))))))</f>
        <v/>
      </c>
      <c r="BV50" s="50" t="str">
        <f>IF(Atletas!O41="","",IF(Atletas!X41&lt;&gt;"",10000,0)+IF(Atletas!B41="Feminino",1000,IF(Atletas!B41="Masculino",2000,""))+IF(Atletas!O41="Yang A",301,IF(Atletas!O41="Chen A",302,IF(Atletas!O41="Sun A",303,IF(Atletas!O41="Wu A",304,IF(Atletas!O41="Wu-Hao A",305,IF(Atletas!O41="Outro Taijiquan A",306,IF(Atletas!O41="Yang B",307,IF(Atletas!O41="Chen B",308,IF(Atletas!O41="Sun B",309,IF(Atletas!O41="Wu B",310,IF(Atletas!O41="Wu-Hao B",311,IF(Atletas!O41="Outro Taijiquan B",312,IF(Atletas!O41="Yang C",313,IF(Atletas!O41="Chen C",314,IF(Atletas!O41="Sun C",315,IF(Atletas!O41="Wu C",316,IF(Atletas!O41="Wu-Hao C",317,IF(Atletas!O41="Outro Taijiquan C",318,IF(Atletas!O41="Yang D",319,IF(Atletas!O41="Chen D",320,IF(Atletas!O41="Sun D",321,IF(Atletas!O41="Wu D",322,IF(Atletas!O41="Wu-Hao D",323,IF(Atletas!O41="Outro Taijiquan D",324,IF(Atletas!O41="Yang E",325,IF(Atletas!O41="Chen E",326,IF(Atletas!O41="Sun E",327,IF(Atletas!O41="Wu E",328,IF(Atletas!O41="Wu-Hao E",329,IF(Atletas!O41="Outro Taijiquan E",330,IF(Atletas!O41="Yang F",331,IF(Atletas!O41="Chen F",332,IF(Atletas!O41="Sun F",333,IF(Atletas!O41="Wu F",334,IF(Atletas!O41="Wu-Hao F",335,IF(Atletas!O41="Outro Taijiquan F",336,"")))))))))))))))))))))))))))))))))))))</f>
        <v/>
      </c>
      <c r="BW50" s="50" t="str">
        <f>IF(Atletas!P41="","",IF(Atletas!X41&lt;&gt;"",10000,0)+IF(Atletas!B41="Feminino",1000,IF(Atletas!B41="Masculino",2000,""))+IF(OR(Atletas!P41="Yang 26 A",Atletas!P41="Yang 40 A"),401,IF(OR(Atletas!P41="Chen 25 A",Atletas!P41="Chen 36 A",Atletas!P41="Chen 56 A"),402,IF(Atletas!P41="Sun 73 A",403,IF(Atletas!P41="Wu 45 A",404,IF(Atletas!P41="Wu-Hao 46 A",405,IF(OR(Atletas!P41="Taijiquan 16 A",Atletas!P41="Taijiquan 24 A",Atletas!P41="Taijiquan 32 A",Atletas!P41="Taijiquan 42 A"),406,IF(OR(Atletas!P41="Yang 26 B",Atletas!P41="Yang 40 B"),407,IF(OR(Atletas!P41="Chen 25 B",Atletas!P41="Chen 36 B",Atletas!P41="Chen 56 B"),408,IF(Atletas!P41="Sun 73 B",409,IF(Atletas!P41="Wu 45 B",410,IF(Atletas!P41="Wu-Hao 46 B",411,IF(OR(Atletas!P41="Taijiquan 16 B",Atletas!P41="Taijiquan 24 B",Atletas!P41="Taijiquan 32 B",Atletas!P41="Taijiquan 42 B"),412,IF(OR(Atletas!P41="Yang 26 C",Atletas!P41="Yang 40 C"),413,IF(OR(Atletas!P41="Chen 25 C",Atletas!P41="Chen 36 C",Atletas!P41="Chen 56 C"),414,IF(Atletas!P41="Sun 73 C",415,IF(Atletas!P41="Wu 45 C",416,IF(Atletas!P41="Wu-Hao 46 C",417,IF(OR(Atletas!P41="Taijiquan 16 C",Atletas!P41="Taijiquan 24 C",Atletas!P41="Taijiquan 32 C",Atletas!P41="Taijiquan 42 C"),418,0)))))))))))))))))))</f>
        <v/>
      </c>
      <c r="BX50" s="50" t="str">
        <f>IF(Atletas!P41="","",IF(Atletas!X41&lt;&gt;"",10000,0)+IF(Atletas!B41="Feminino",1000,IF(Atletas!B41="Masculino",2000,""))+IF(OR(Atletas!P41="Yang 26 D",Atletas!P41="Yang 40 D"),419,IF(OR(Atletas!P41="Chen 25 D",Atletas!P41="Chen 36 D",Atletas!P41="Chen 56 D"),420,IF(Atletas!P41="Sun 73 D",421,IF(Atletas!P41="Wu 45 D",422,IF(Atletas!P41="Wu-Hao 46 D",423,IF(OR(Atletas!P41="Taijiquan 16 D",Atletas!P41="Taijiquan 24 D",Atletas!P41="Taijiquan 32 D",Atletas!P41="Taijiquan 42 D"),424,IF(OR(Atletas!P41="Yang 26 E",Atletas!P41="Yang 40 E"),425,IF(OR(Atletas!P41="Chen 25 E",Atletas!P41="Chen 36 E",Atletas!P41="Chen 56 E"),426,IF(Atletas!P41="Sun 73 E",427,IF(Atletas!P41="Wu 45 E",428,IF(Atletas!P41="Wu-Hao 46 E",429,IF(OR(Atletas!P41="Taijiquan 16 E",Atletas!P41="Taijiquan 24 E",Atletas!P41="Taijiquan 32 E",Atletas!P41="Taijiquan 42 E"),430,IF(OR(Atletas!P41="Yang 26 F",Atletas!P41="Yang 40 F"),431,IF(OR(Atletas!P41="Chen 25 F",Atletas!P41="Chen 36 F",Atletas!P41="Chen 56 F"),432,IF(Atletas!P41="Sun 73 F",433,IF(Atletas!P41="Wu 45 F",434,IF(Atletas!P41="Wu-Hao 46 F",435,IF(OR(Atletas!P41="Taijiquan 16 F",Atletas!P41="Taijiquan 24 F",Atletas!P41="Taijiquan 32 F",Atletas!P41="Taijiquan 42 F"),436,0)))))))))))))))))))</f>
        <v/>
      </c>
      <c r="BY50" s="50" t="str">
        <f>IF(Atletas!Q41="","",IF(Atletas!X41&lt;&gt;"",10000,0)+IF(Atletas!B41="Feminino",1000,IF(Atletas!B41="Masculino",2000,""))+IF(Atletas!Q41="Xingyiquan A",501,IF(Atletas!Q41="Baguazhang A",502,IF(Atletas!Q41="Outro Estilo Interno A",503,IF(Atletas!Q41="Xingyiquan B",504,IF(Atletas!Q41="Baguazhang B",505,IF(Atletas!Q41="Outro Estilo Interno B",506,IF(Atletas!Q41="Xingyiquan C",507,IF(Atletas!Q41="Baguazhang C",508,IF(Atletas!Q41="Outro Estilo Interno C",509,IF(Atletas!Q41="Xingyiquan D",510,IF(Atletas!Q41="Baguazhang D",511,IF(Atletas!Q41="Outro Estilo Interno D",512,IF(Atletas!Q41="Xingyiquan E",513,IF(Atletas!Q41="Baguazhang E",514,IF(Atletas!Q41="Outro Estilo Interno E",515,IF(Atletas!Q41="Xingyiquan F",516,IF(Atletas!Q41="Baguazhang F",517,IF(Atletas!Q41="Outro Estilo Interno F",518, "")))))))))))))))))))</f>
        <v/>
      </c>
      <c r="BZ50" s="50" t="str">
        <f>IF(Atletas!R41="","",IF(Atletas!X41&lt;&gt;"",10000,0)+IF(Atletas!B41="Feminino",1000,IF(Atletas!B41="Masculino",2000,""))+IF(Atletas!R41="Dao A",601,IF(Atletas!R41="Jian A",602,IF(Atletas!R41="Bishou A",603,IF(Atletas!R41="Shanzi A",604,IF(Atletas!R41="Outra Arma Curta A",605,IF(Atletas!R41="Dao B",606,IF(Atletas!R41="Jian B",607,IF(Atletas!R41="Bishou B",608,IF(Atletas!R41="Shanzi B",609,IF(Atletas!R41="Outra Arma Curta B",610,IF(Atletas!R41="Dao C",611,IF(Atletas!R41="Jian C",612,IF(Atletas!R41="Bishou C",613,IF(Atletas!R41="Shanzi C",614,IF(Atletas!R41="Outra Arma Curta C",615,IF(Atletas!R41="Dao D",616,IF(Atletas!R41="Jian D",617,IF(Atletas!R41="Bishou D",618,IF(Atletas!R41="Shanzi D",619,IF(Atletas!R41="Outra Arma Curta D",620,IF(Atletas!R41="Dao E",621,IF(Atletas!R41="Jian E",622,IF(Atletas!R41="Bishou E",623,IF(Atletas!R41="Shanzi E",624,IF(Atletas!R41="Outra Arma Curta E",625,IF(Atletas!R41="Dao F",626,IF(Atletas!R41="Jian F",627,IF(Atletas!R41="Bishou F",628,IF(Atletas!R41="Shanzi F",629,IF(Atletas!R41="Outra Arma Curta F",630, "")))))))))))))))))))))))))))))))</f>
        <v/>
      </c>
      <c r="CA50" s="50" t="str">
        <f>IF(Atletas!S41="","",IF(Atletas!X41&lt;&gt;"",10000,0)+IF(Atletas!B41="Feminino",1000,IF(Atletas!B41="Masculino",2000,""))+IF(Atletas!S41="Gun A",701,IF(Atletas!S41="Qiang A",702,IF(Atletas!S41="Pudao / Guandao A",703,IF(Atletas!S41="Outra Arma Longa A",704,IF(Atletas!S41="Gun B",705,IF(Atletas!S41="Qiang B",706,IF(Atletas!S41="Pudao / Guandao B",707,IF(Atletas!S41="Outra Arma Longa B",708,IF(Atletas!S41="Gun C",709,IF(Atletas!S41="Qiang C",710,IF(Atletas!S41="Pudao / Guandao C",711,IF(Atletas!S41="Outra Arma Longa C",712,IF(Atletas!S41="Gun D",713,IF(Atletas!S41="Qiang D",714,IF(Atletas!S41="Pudao / Guandao D",715,IF(Atletas!S41="Outra Arma Longa D",716,IF(Atletas!S41="Gun E",717,IF(Atletas!S41="Qiang E",718,IF(Atletas!S41="Pudao / Guandao E",719,IF(Atletas!S41="Outra Arma Longa E",720,IF(Atletas!S41="Gun F",721,IF(Atletas!S41="Qiang F",722,IF(Atletas!S41="Pudao / Guandao F",723,IF(Atletas!S41="Outra Arma Longa F",724,"")))))))))))))))))))))))))</f>
        <v/>
      </c>
      <c r="CB50" s="50" t="str">
        <f>IF(Atletas!T41="","",IF(Atletas!X41&lt;&gt;"",10000,0)+IF(Atletas!B41="Feminino",1000,IF(Atletas!B41="Masculino",2000,""))+IF(Atletas!T41="Outra Arma Dupla A",801,IF(Atletas!T41="Arma Maleável A",802,IF(Atletas!T41="Outra Arma Dupla B",803,IF(Atletas!T41="Arma Maleável B",804,IF(Atletas!T41="Outra Arma Dupla C",805,IF(Atletas!T41="Arma Maleável C",806,IF(Atletas!T41="Outra Arma Dupla D",807,IF(Atletas!T41="Arma Maleável D",808,IF(Atletas!T41="Outra Arma Dupla E",809,IF(Atletas!T41="Arma Maleável E",810,IF(Atletas!T41="Outra Arma Dupla F",811,IF(Atletas!T41="Arma Maleável F",812,IF(Atletas!T41="Shuangdao A",813,IF(Atletas!T41="Shuangdao B",814,IF(Atletas!T41="Shuangdao C",815,IF(Atletas!T41="Shuangdao D",816,IF(Atletas!T41="Shuangdao E",817,IF(Atletas!T41="Shuangdao F",818,"")))))))))))))))))))</f>
        <v/>
      </c>
      <c r="CC50" s="50" t="str">
        <f>IF(Atletas!U41="","",IF(Atletas!X41&lt;&gt;"",10000,0)+IF(Atletas!B41="Feminino",1000,IF(Atletas!B41="Masculino",2000,""))+IF(OR(Atletas!U41="Taijijian Yang A",Atletas!U41="Taijijian Yang Standard A"),901,IF(OR(Atletas!U41="Taijijian Chen A", Atletas!U41="Taijijian Chen Standard A"),902,IF(Atletas!U41="Taijijian Sun A",903,IF(Atletas!U41="Taijijian Wu A",904,IF(Atletas!U41="Taijijian Wu-Hao A",905,IF(OR(Atletas!U41="Taijijian 32 A",Atletas!U41="Taijijian 42 A"),906,IF(OR(Atletas!U41="Taijijian Yang B",Atletas!U41="Taijijian Yang Standard B"),907,IF(OR(Atletas!U41="Taijijian Chen B", Atletas!U41="Taijijian Chen Standard B"),908,IF(Atletas!U41="Taijijian Sun B",909,IF(Atletas!U41="Taijijian Wu B",910,IF(Atletas!U41="Taijijian Wu-Hao B",911,IF(OR(Atletas!U41="Taijijian 32 B",Atletas!U41="Taijijian 42 B"),912,IF(OR(Atletas!U41="Taijijian Yang C",Atletas!U41="Taijijian Yang Standard C"),913,IF(OR(Atletas!U41="Taijijian Chen C", Atletas!U41="Taijijian Chen Standard C"),914,IF(Atletas!U41="Taijijian Sun C",915,IF(Atletas!U41="Taijijian Wu C",916,IF(Atletas!U41="Taijijian Wu-Hao C",917,IF(OR(Atletas!U41="Taijijian 32 C",Atletas!U41="Taijijian 42 C"),918,IF(OR(Atletas!U41="Taijijian Yang D",Atletas!U41="Taijijian Yang Standard D"),919,IF(OR(Atletas!U41="Taijijian Chen D", Atletas!U41="Taijijian Chen Standard D"),920,IF(Atletas!U41="Taijijian Sun D",921,IF(Atletas!U41="Taijijian Wu D",922,IF(Atletas!U41="Taijijian Wu-Hao D",923,IF(OR(Atletas!U41="Taijijian 32 D",Atletas!U41="Taijijian 42 D"),924,IF(OR(Atletas!U41="Taijijian Yang E",Atletas!U41="Taijijian Yang Standard E"),925,IF(OR(Atletas!U41="Taijijian Chen E", Atletas!U41="Taijijian Chen Standard E"),926,IF(Atletas!U41="Taijijian Sun E",927,IF(Atletas!U41="Taijijian Wu E",928,IF(Atletas!U41="Taijijian Wu-Hao E",929,IF(OR(Atletas!U41="Taijijian 32 E",Atletas!U41="Taijijian 42 E"),930,IF(OR(Atletas!U41="Taijijian Yang F",Atletas!U41="Taijijian Yang Standard F"),931,IF(OR(Atletas!U41="Taijijian Chen F", Atletas!U41="Taijijian Chen Standard F"),932,IF(Atletas!U41="Taijijian Sun F",933,IF(Atletas!U41="Taijijian Wu F",934,IF(Atletas!U41="Taijijian Wu-Hao F",935,IF(OR(Atletas!U41="Taijijian 32 F",Atletas!U41="Taijijian 42 F"),936,"")))))))))))))))))))))))))))))))))))))</f>
        <v/>
      </c>
      <c r="CD50" s="50" t="str">
        <f>IF(Atletas!V41="","",IF(Atletas!X41&lt;&gt;"",10000,0)+IF(Atletas!B41="Feminino",1000,IF(Atletas!B41="Masculino",2000,""))+IF(Atletas!V41="Taijidao A",937,IF(Atletas!V41="TaijiShanzi A",938,IF(Atletas!V41="Taijiqiang A",939,IF(Atletas!V41="Bagua de Arma A",940,IF(Atletas!V41="Xingyi de Arma A",941,IF(Atletas!V41="Taijidao B",942,IF(Atletas!V41="TaijiShanzi B",943,IF(Atletas!V41="Taijiqiang B",944,IF(Atletas!V41="Bagua de Arma B",945,IF(Atletas!V41="Xingyi de Arma B",946,IF(Atletas!V41="Taijidao C",947,IF(Atletas!V41="TaijiShanzi C",948,IF(Atletas!V41="Taijiqiang C",949,IF(Atletas!V41="Bagua de Arma C",950,IF(Atletas!V41="Xingyi de Arma C",951,IF(Atletas!V41="Taijidao D",952,IF(Atletas!V41="TaijiShanzi D",953,IF(Atletas!V41="Taijiqiang D",954,IF(Atletas!V41="Bagua de Arma D",955,IF(Atletas!V41="Xingyi de Arma D",956,IF(Atletas!V41="Taijidao E",957,IF(Atletas!V41="TaijiShanzi E",958,IF(Atletas!V41="Taijiqiang E",959,IF(Atletas!V41="Bagua de Arma E",960,IF(Atletas!V41="Xingyi de Arma E",961,IF(Atletas!V41="Taijidao F",962,IF(Atletas!V41="TaijiShanzi F",963,IF(Atletas!V41="Taijiqiang F",964,IF(Atletas!V41="Bagua de Arma F",965,IF(Atletas!V41="Xingyi de Arma F",966,"")))))))))))))))))))))))))))))))</f>
        <v/>
      </c>
      <c r="CE50" s="66" t="str">
        <f>IF(CF50&lt;&gt;"","Shaolinquan A","")</f>
        <v/>
      </c>
      <c r="CF50" s="66" t="str">
        <f>IF(COUNTIF(BR:CD,1108)&gt;0,COUNTIF(BR:CD,1108),"")</f>
        <v/>
      </c>
      <c r="CG50" s="66" t="str">
        <f>IF(CH50&lt;&gt;"","Shaolinquan A","")</f>
        <v/>
      </c>
      <c r="CH50" s="66" t="str">
        <f>IF(COUNTIF(BR:CD,2108)&gt;0,COUNTIF(BR:CD,2108),"")</f>
        <v/>
      </c>
      <c r="CI50" s="66" t="str">
        <f>IF(CJ50&lt;&gt;"","Chaquan B","")</f>
        <v/>
      </c>
      <c r="CJ50" s="66" t="str">
        <f>IF(COUNTIF(BR:CD,11114)&gt;0,COUNTIF(BR:CD,11114),"")</f>
        <v/>
      </c>
      <c r="CK50" s="66" t="str">
        <f>IF(CL50&lt;&gt;"","Chaquan B","")</f>
        <v/>
      </c>
      <c r="CL50" s="66" t="str">
        <f>IF(COUNTIF(BR:CD,12114)&gt;0,COUNTIF(BR:CD,12114),"")</f>
        <v/>
      </c>
      <c r="CM50" s="50" t="str">
        <f xml:space="preserve"> IF(Atletas!W41="","",IF(Atletas!W41="Duilian de Mãos BC - Equipe 1",1,IF(Atletas!W41="Duilian de Mãos BC - Equipe 2",2,IF(Atletas!W41="Duilian de Armas BC - Equipe 1",3,IF(Atletas!W41="Duilian de Armas BC - Equipe 2",4,IF(Atletas!W41="Duilian de Mãos DE - Equipe 1",5,IF(Atletas!W41="Duilian de Mãos DE - Equipe 2",6,IF(Atletas!W41="Duilian de Armas DE - Equipe 1",7,IF(Atletas!W41="Duilian de Armas DE - Equipe 2",8,IF(Atletas!W41="Duilian de Tuishou - Equipe 1",9,IF(Atletas!W41="Duilian de Tuishou - Equipe 2",10,IF(Atletas!W41="Grupo Externo ABC - Equipe 1",11,IF(Atletas!W41="Grupo Externo ABC - Equipe 2",12,IF(Atletas!W41="Grupo Interno ABC - Equipe 1",13,IF(Atletas!W41="Grupo Interno ABC - Equipe 2",14,IF(Atletas!W41="Grupo Externo DEF - Equipe 1",15,IF(Atletas!W41="Grupo Externo DEF - Equipe 2",16,IF(Atletas!W41="Grupo Interno DEF - Equipe 1",17,IF(Atletas!W41="Grupo Interno DEF - Equipe 2",18,"")))))))))))))))))))</f>
        <v/>
      </c>
      <c r="CY50" s="41"/>
    </row>
    <row r="51" spans="2:103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 t="str">
        <f t="array" ref="R51">IFERROR(INDEX(BI$7:BI$68,SMALL(IF(BI$7:BI$68&lt;&gt;"",ROW(BI$7:BI$68)-ROW(BI$7)+1),ROWS(BI$7:BI50))),"")</f>
        <v/>
      </c>
      <c r="S51" s="3" t="str">
        <f t="array" ref="S51">IFERROR(INDEX(BJ$7:BJ$68,SMALL(IF(BJ$7:BJ$68&lt;&gt;"",ROW(BJ$7:BJ$68)-ROW(BJ$7)+1),ROWS(BJ$7:BJ50))),"")</f>
        <v/>
      </c>
      <c r="T51" s="3" t="str">
        <f t="array" ref="T51">IFERROR(INDEX(BK$7:BK$68,SMALL(IF(BK$7:BK$68&lt;&gt;"",ROW(BK$7:BK$68)-ROW(BK$7)+1),ROWS(BK$7:BK50))),"")</f>
        <v/>
      </c>
      <c r="U51" s="3" t="str">
        <f t="array" ref="U51">IFERROR(INDEX(BL$7:BL$68,SMALL(IF(BL$7:BL$68&lt;&gt;"",ROW(BL$7:BL$68)-ROW(BL$7)+1),ROWS(BL$7:BL50))),"")</f>
        <v/>
      </c>
      <c r="V51" s="3"/>
      <c r="W51" s="3"/>
      <c r="X51" s="20"/>
      <c r="Y51" s="3"/>
      <c r="Z51" s="3" t="str">
        <f t="array" ref="Z51">IFERROR(INDEX(CE$7:CE$348,SMALL(IF(CE$7:CE$348&lt;&gt;"",ROW(CE$7:CE$348)-ROW(CE$7)+1),ROWS(CE$7:CE50))),"")</f>
        <v/>
      </c>
      <c r="AA51" s="3" t="str">
        <f t="array" ref="AA51">IFERROR(INDEX(CF$7:CF$348,SMALL(IF(CF$7:CF$348&lt;&gt;"",ROW(CF$7:CF$348)-ROW(CF$7)+1),ROWS(CF$7:CF50))),"")</f>
        <v/>
      </c>
      <c r="AB51" s="3" t="str">
        <f t="array" ref="AB51">IFERROR(INDEX(CG$7:CG$348,SMALL(IF(CG$7:CG$348&lt;&gt;"",ROW(CG$7:CG$348)-ROW(CG$7)+1),ROWS(CG$7:CG50))),"")</f>
        <v/>
      </c>
      <c r="AC51" s="3" t="str">
        <f t="array" ref="AC51">IFERROR(INDEX(CH$7:CH$348,SMALL(IF(CH$7:CH$348&lt;&gt;"",ROW(CH$7:CH$348)-ROW(CH$7)+1),ROWS(CH$7:CH50))),"")</f>
        <v/>
      </c>
      <c r="AD51" s="3" t="str">
        <f t="array" ref="AD51">IFERROR(INDEX(CI$7:CI$377,SMALL(IF(CI$7:CI$377&lt;&gt;"",ROW(CI$7:CI$377)-ROW(CI$7)+1),ROWS(CI$7:CI50))),"")</f>
        <v/>
      </c>
      <c r="AE51" s="3" t="str">
        <f t="array" ref="AE51">IFERROR(INDEX(CJ$7:CJ$378,SMALL(IF(CJ$7:CJ$378&lt;&gt;"",ROW(CJ$7:CJ$378)-ROW(CJ$7)+1),ROWS(CJ$7:CJ50))),"")</f>
        <v/>
      </c>
      <c r="AF51" s="3" t="str">
        <f t="array" ref="AF51">IFERROR(INDEX(CK$7:CK$378,SMALL(IF(CK$7:CK$378&lt;&gt;"",ROW(CK$7:CK$378)-ROW(CK$7)+1),ROWS(CK$7:CK50))),"")</f>
        <v/>
      </c>
      <c r="AG51" s="3" t="str">
        <f t="array" ref="AG51">IFERROR(INDEX(CL$7:CL$378,SMALL(IF(CL$7:CL$378&lt;&gt;"",ROW(CL$7:CL$378)-ROW(CL$7)+1),ROWS(CL$7:CL50))),"")</f>
        <v/>
      </c>
      <c r="AH51" s="3"/>
      <c r="AI51" s="3"/>
      <c r="AJ51" s="3"/>
      <c r="AK51" s="3"/>
      <c r="AL51" s="3"/>
      <c r="AM51" s="3"/>
      <c r="AN51" s="52" t="str">
        <f>IF(Atletas!D42="","",IF(Atletas!B42="Feminino",100,IF(Atletas!B42="Masculino",200,""))+(IF(Atletas!D42="Kids 30kg",1,IF(Atletas!D42="Kids 32kg",2, IF(Atletas!D42="Kids 34kg",3,IF(Atletas!D42="Kids 36kg",4,IF(Atletas!D42="Kids 39kg",5,IF(Atletas!D42="Kids 42kg",6,IF(Atletas!D42="Kids 45kg",7, IF(Atletas!D42="Infantil 39kg",8,IF(Atletas!D42="Infantil 42kg",9,IF(Atletas!D42="Infantil 45kg",10,IF(Atletas!D42="Infantil 48kg",11,IF(Atletas!D42="Infantil 52kg",12,IF(Atletas!D42="Infantil 56kg",13,IF(Atletas!D42="Infantil 60kg",14,IF(Atletas!D42="Juvenil 48kg",15,IF(Atletas!D42="Juvenil 52kg",16,IF(Atletas!D42="Juvenil 56kg",17,IF(Atletas!D42="Juvenil 60kg",18,IF(Atletas!D42="Juvenil 65kg",19,IF(Atletas!D42="Juvenil 70kg",20,IF(Atletas!D42="Juvenil 75kg",21,IF(Atletas!D42="Juvenil 80kg",22, IF(Atletas!D42="Juvenil 85kg",23,IF(Atletas!D42="Adulto 48kg",24,IF(Atletas!D42="Adulto 52kg",25,IF(Atletas!D42="Adulto 56kg",26,IF(Atletas!D42="Adulto 60kg",27,IF(Atletas!D42="Adulto 65kg",28,IF(Atletas!D42="Adulto 70kg",29,IF(Atletas!D42="Adulto 75kg",30,IF(Atletas!D42="Adulto 80kg",31,IF(Atletas!D42="Adulto 85kg",32,IF(Atletas!D42="Adulto 90kg",33,IF(Atletas!D42="Adulto 100kg",34, IF(Atletas!D42="Adulto +100kg",35,"")))))))))))))))))))))))))))))))))))))</f>
        <v/>
      </c>
      <c r="AS51" s="6" t="str">
        <f>IF(Atletas!E42="","",IF(Atletas!B42="Feminino",100,IF(Atletas!B42="Masculino",200,""))+(IF(Atletas!E42="Juvenil 44kg",1,IF(Atletas!E42="Juvenil 48kg",2,IF(Atletas!E42="Juvenil 52kg",3,IF(Atletas!E42="Juvenil 56kg",4,IF(Atletas!E42="Juvenil 60kg",5,IF(Atletas!E42="Juvenil 65kg",6,IF(Atletas!E42="Juvenil 70kg",7,IF(Atletas!E42="Juvenil 75kg",8,IF(Atletas!E42="Juvenil 82kg",9,IF(Atletas!E42="Juvenil 90kg",10,IF(Atletas!E42="Juvenil 100kg",11,IF(Atletas!E42="Adulto 48kg",12,IF(Atletas!E42="Adulto 52kg",13,IF(Atletas!E42="Adulto 56kg",14,IF(Atletas!E42="Adulto 60kg",15,IF(Atletas!E42="Adulto 65kg",16,IF(Atletas!E42="Adulto 70kg",17,IF(Atletas!E42="Adulto 75kg",18,IF(Atletas!E42="Adulto 82kg",19,IF(Atletas!E42="Adulto 90kg",20,IF(Atletas!E42="Adulto 100kg",21,IF(Atletas!E42="Adulto +100kg",22,""))))))))))))))))))))))))</f>
        <v/>
      </c>
      <c r="AX51" s="6" t="str">
        <f>IF(Atletas!F42="","",IF(Atletas!B42="Feminino",100,IF(Atletas!B42="Masculino",200,""))+(IF(Atletas!F42="Adulto 48kg",1,IF(Atletas!F42="Adulto 56kg",2,IF(Atletas!F42="Adulto 65kg",3,IF(Atletas!F42="Adulto 75kg",4,IF(Atletas!F42="Adulto +75kg",5,IF(Atletas!F42="Adulto 52kg",6,IF(Atletas!F42="Adulto 60kg",7,IF(Atletas!F42="Adulto 70kg",8,IF(Atletas!F42="Adulto 80kg",9,IF(Atletas!F42="Adulto 90kg",10,IF(Atletas!F42="Adulto +90kg",11,"")))))))))))))</f>
        <v/>
      </c>
      <c r="BC51" s="6" t="str">
        <f>IF(Atletas!G42="","",IF(Atletas!B42="Feminino",10,IF(Atletas!B42="Masculino",20,""))+(IF(Atletas!G42="Baduanjin A",1,IF(Atletas!G42="Baduanjin B",2))))</f>
        <v/>
      </c>
      <c r="BF51" s="52" t="str">
        <f>IF(Atletas!H42="","",IF(Atletas!B42="Feminino",100,IF(Atletas!B42="Masculino",200,""))+(IF(Atletas!H42="Changquan Mirim",1,IF(Atletas!H42="Nanquan Mirim",2,IF(Atletas!H42="Taijiquan Mirim",3,IF(Atletas!H42="Changquan Grupo C",4,IF(Atletas!H42="Nanquan Grupo C",5,IF(Atletas!H42="Taijiquan Grupo C",6,IF(Atletas!H42="Changquan Grupo B",7,IF(Atletas!H42="Nanquan Grupo B",8,IF(Atletas!H42="Taijiquan Grupo B",9,IF(Atletas!H42="Changquan Grupo A",10,IF(Atletas!H42="Nanquan Grupo A",11,IF(Atletas!H42="Taijiquan Grupo A",12,IF(Atletas!H42="Changquan Opcional",13,IF(Atletas!H42="Nanquan Opcional",14,IF(Atletas!H42="Taijiquan Opcional",15,IF(Atletas!H42="Changquan Adulto",16,IF(Atletas!H42="Nanquan Adulto",17,IF(Atletas!H42="Taijiquan Adulto",18,""))))))))))))))))))))</f>
        <v/>
      </c>
      <c r="BG51" s="52" t="str">
        <f>IF(Atletas!I42="","",IF(Atletas!B42="Feminino",100,IF(Atletas!B42="Masculino",200,""))+(IF(Atletas!I42="Daoshu Mirim",19,IF(Atletas!I42="Jianshu Mirim",20,IF(Atletas!I42="Nandao Mirim",21,IF(Atletas!I42="Taijijian Mirim",22,IF(Atletas!I42="Daoshu Grupo C",23,IF(Atletas!I42="Jianshu Grupo C",24,IF(Atletas!I42="Nandao Grupo C",25,IF(Atletas!I42="Taijijian Grupo C",26,IF(Atletas!I42="Daoshu Grupo B",27,IF(Atletas!I42="Jianshu Grupo B",28,IF(Atletas!I42="Nandao Grupo B",29,IF(Atletas!I42="Taijijian Grupo B",30,IF(Atletas!I42="Daoshu Grupo A",31,IF(Atletas!I42="Jianshu Grupo A",32,IF(Atletas!I42="Nandao Grupo A",33,IF(Atletas!I42="Taijijian Grupo A",34,IF(Atletas!I42="Daoshu Opcional",35,IF(Atletas!I42="Jianshu Opcional",36,IF(Atletas!I42="Nandao Opcional",37,IF(Atletas!I42="Taijijian Opcional",38,IF(Atletas!I42="Daoshu Adulto",39,IF(Atletas!I42="Jianshu Adulto",40,IF(Atletas!I42="Nandao Adulto",41,IF(Atletas!I42="Taijijian Adulto",42,""))))))))))))))))))))))))))</f>
        <v/>
      </c>
      <c r="BH51" s="52" t="str">
        <f>IF(Atletas!J42="","",IF(Atletas!B42="Feminino",100,IF(Atletas!B42="Masculino",200,""))+(IF(Atletas!J42="Gunshu Mirim",43,IF(Atletas!J42="Qiangshu Mirim",44,IF(Atletas!J42="Nangun Mirim",45,IF(Atletas!J42="Gunshu Grupo C",46,IF(Atletas!J42="Qiangshu Grupo C",47,IF(Atletas!J42="Nangun Grupo C",48,IF(Atletas!J42="Gunshu Grupo B",49,IF(Atletas!J42="Qiangshu Grupo B",50,IF(Atletas!J42="Nangun Grupo B",51,IF(Atletas!J42="Gunshu Grupo A",52,IF(Atletas!J42="Qiangshu Grupo A",53,IF(Atletas!J42="Nangun Grupo A",54,IF(Atletas!J42="Gunshu Opcional",55,IF(Atletas!J42="Qiangshu Opcional",56,IF(Atletas!J42="Nangun Opcional",57,IF(Atletas!J42="Gunshu Adulto",58,IF(Atletas!J42="Qiangshu Adulto",59,IF(Atletas!J42="Nangun Adulto",60,IF(Atletas!J42="Taijishan Grupo B",61,IF(Atletas!J42="Taijishan Grupo A",62,""))))))))))))))))))))))</f>
        <v/>
      </c>
      <c r="BI51" s="6" t="str">
        <f>IF(BJ51&lt;&gt;"","Taijiquan Opcional","")</f>
        <v/>
      </c>
      <c r="BJ51" s="50" t="str">
        <f>IF(COUNTIF(BF:BH,115)&gt;0,COUNTIF(BF:BH,115),"")</f>
        <v/>
      </c>
      <c r="BK51" s="6" t="str">
        <f>IF(BL51&lt;&gt;"","Taijiquan Opcional","")</f>
        <v/>
      </c>
      <c r="BL51" s="50" t="str">
        <f>IF(COUNTIF(BF:BH,215)&gt;0,COUNTIF(BF:BH,215),"")</f>
        <v/>
      </c>
      <c r="BM51" s="50" t="str">
        <f>IF(Atletas!K42="","",IF(Atletas!B42="Feminino",100,IF(Atletas!B42="Masculino",200,""))+(IF(Atletas!K42="Equipe 1 Grupo B",1,IF(Atletas!K42="Equipe 2 Grupo B",2,IF(Atletas!K42="Equipe 1 Grupo A",3,IF(Atletas!K42="Equipe 2 Grupo A",4,IF(Atletas!K42="Equipe 1 Adulto",5,IF(Atletas!K42="Equipe 2 Adulto",6,""))))))))</f>
        <v/>
      </c>
      <c r="BR51" s="50" t="str">
        <f>IF(Atletas!L42="","",IF(Atletas!X42&lt;&gt;"",10000,0)+(IF(Atletas!B42="Feminino",1000,IF(Atletas!B42="Masculino",2000,""))+IF(Atletas!L42="Choylayfut A",1,IF(Atletas!L42="Hunggar A",2,IF(Atletas!L42="Wuzuquan A",3,IF(Atletas!L42="Wingchun A",4,IF(Atletas!L42="Outra Mão de Sul A",5,IF(Atletas!L42="Choylayfut B",6,IF(Atletas!L42="Hunggar B",7,IF(Atletas!L42="Wuzuquan B",8,IF(Atletas!L42="Wingchun B",9,IF(Atletas!L42="Outra Mão de Sul B",10,IF(Atletas!L42="Choylayfut C",11,IF(Atletas!L42="Hunggar C",12,IF(Atletas!L42="Wuzuquan C",13,IF(Atletas!L42="Wingchun C",14,IF(Atletas!L42="Outra Mão de Sul C",15,IF(Atletas!L42="Choylayfut D",16,IF(Atletas!L42="Hunggar D",17,IF(Atletas!L42="Wuzuquan D",18,IF(Atletas!L42="Wingchun D",19,IF(Atletas!L42="Outra Mão de Sul D",20,IF(Atletas!L42="Choylayfut E",21,IF(Atletas!L42="Hunggar E",22,IF(Atletas!L42="Wuzuquan E",23,IF(Atletas!L42="Wingchun E",24,IF(Atletas!L42="Outra Mão de Sul E",25,IF(Atletas!L42="Choylayfut F",26,IF(Atletas!L42="Hunggar F",27,IF(Atletas!L42="Wuzuquan F",28,IF(Atletas!L42="Wingchun F",29,IF(Atletas!L42="Outra Mão de Sul F",30,IF(Atletas!L42="Dishuquan A",31,IF(Atletas!L42="Dishuquan B",32,IF(Atletas!L42="Dishuquan C",33,IF(Atletas!L42="Dishuquan D",34,IF(Atletas!L42="Dishuquan E",35,IF(Atletas!L42="Dishuquan F",36,""))))))))))))))))))))))))))))))))))))))</f>
        <v/>
      </c>
      <c r="BS51" s="50" t="str">
        <f>IF(Atletas!M42="","",IF(Atletas!X42&lt;&gt;"",10000,0)+(IF(Atletas!B42="Feminino",1000,IF(Atletas!B42="Masculino",2000,""))+(IF(Atletas!M42="Chaquan A",101,IF(Atletas!M42="Emeiquan A",102,IF(Atletas!M42="Fanziquan A",103,IF(Atletas!M42="Huaquan A",104,IF(Atletas!M42="Hongquan A",105,IF(Atletas!M42="Paoquan A",106,IF(Atletas!M42="Piguaquan A",107,IF(Atletas!M42="Shaolinquan A",108,IF(Atletas!M42="Tanglangquan A",109,IF(Atletas!M42="Yingzhaoquan A",110,IF(Atletas!M42="Tongbeiquan A",111,IF(Atletas!M42="Wudangquan A",112,IF(Atletas!M42="Outros Estilos A",113,IF(Atletas!M42="Chaquan B",114,IF(Atletas!M42="Emeiquan B",115,IF(Atletas!M42="Fanziquan B",116,IF(Atletas!M42="Huaquan B",117,IF(Atletas!M42="Hongquan B",118,IF(Atletas!M42="Paoquan B",119,IF(Atletas!M42="Piguaquan B",120,IF(Atletas!M42="Shaolinquan B",121,IF(Atletas!M42="Tanglangquan B",122,IF(Atletas!M42="Yingzhaoquan B",123,IF(Atletas!M42="Tongbeiquan B",124,IF(Atletas!M42="Wudangquan B",125,IF(Atletas!M42="Outros Estilos B",126,IF(Atletas!M42="Chaquan C",127,IF(Atletas!M42="Emeiquan C",128,IF(Atletas!M42="Fanziquan C",129,IF(Atletas!M42="Huaquan C",130,IF(Atletas!M42="Hongquan C",131,IF(Atletas!M42="Paoquan C",132,IF(Atletas!M42="Piguaquan C",133,IF(Atletas!M42="Shaolinquan C",134,IF(Atletas!M42="Tanglangquan C",135,IF(Atletas!M42="Yingzhaoquan C",136,IF(Atletas!M42="Tongbeiquan C",137,IF(Atletas!M42="Wudangquan C",138,IF(Atletas!M42="Outros Estilos C",139,0))))))))))))))))))))))))))))))))))))))))))</f>
        <v/>
      </c>
      <c r="BT51" s="50" t="str">
        <f>IF(Atletas!M42="","",IF(Atletas!X42&lt;&gt;"",10000,0)+(IF(Atletas!B42="Feminino",1000,IF(Atletas!B42="Masculino",2000,""))+(IF(Atletas!M42="Chaquan D",140,IF(Atletas!M42="Emeiquan D",141,IF(Atletas!M42="Fanziquan D",142,IF(Atletas!M42="Huaquan D",143,IF(Atletas!M42="Hongquan D",144,IF(Atletas!M42="Paoquan D",145,IF(Atletas!M42="Piguaquan D",146,IF(Atletas!M42="Shaolinquan D",147,IF(Atletas!M42="Tanglangquan D",148,IF(Atletas!M42="Yingzhaoquan D",149,IF(Atletas!M42="Tongbeiquan D",150,IF(Atletas!M42="Wudangquan D",151,IF(Atletas!M42="Outros Estilos D",152,IF(Atletas!M42="Chaquan E",153,IF(Atletas!M42="Emeiquan E",154,IF(Atletas!M42="Fanziquan E",155,IF(Atletas!M42="Huaquan E",156,IF(Atletas!M42="Hongquan E",157,IF(Atletas!M42="Paoquan E",158,IF(Atletas!M42="Piguaquan E",159,IF(Atletas!M42="Shaolinquan E",160,IF(Atletas!M42="Tanglangquan E",161,IF(Atletas!M42="Yingzhaoquan E",162,IF(Atletas!M42="Tongbeiquan E",163,IF(Atletas!M42="Wudangquan E",164,IF(Atletas!M42="Outros Estilos E",165,IF(Atletas!M42="Chaquan F",166,IF(Atletas!M42="Emeiquan F",167,IF(Atletas!M42="Fanziquan F",168,IF(Atletas!M42="Huaquan F",169,IF(Atletas!M42="Hongquan F",170,IF(Atletas!M42="Paoquan F",171,IF(Atletas!M42="Piguaquan F",172,IF(Atletas!M42="Shaolinquan F",173,IF(Atletas!M42="Tanglangquan F",174,IF(Atletas!M42="Yingzhaoquan F",175,IF(Atletas!M42="Tongbeiquan F",176,IF(Atletas!M42="Wudangquan F",177,IF(Atletas!M42="Outros Estilos F",178,0))))))))))))))))))))))))))))))))))))))))))</f>
        <v/>
      </c>
      <c r="BU51" s="50" t="str">
        <f>IF(Atletas!N42="","",IF(Atletas!X42&lt;&gt;"",10000,0)+(IF(Atletas!B42="Feminino",1000,IF(Atletas!B42="Masculino",2000,""))+(IF(Atletas!N42="Ditangquan A",201,IF(Atletas!N42="Houquan A",202,IF(Atletas!N42="Zuiquan A",203,IF(Atletas!N42="Ditangquan B",204,IF(Atletas!N42="Houquan B",205,IF(Atletas!N42="Zuiquan B",206,IF(Atletas!N42="Ditangquan C",207,IF(Atletas!N42="Houquan C",208,IF(Atletas!N42="Zuiquan C",209,IF(Atletas!N42="Ditangquan D",210,IF(Atletas!N42="Houquan D",211,IF(Atletas!N42="Zuiquan D",212,IF(Atletas!N42="Ditangquan E",213,IF(Atletas!N42="Houquan E",214,IF(Atletas!N42="Zuiquan E",215,IF(Atletas!N42="Ditangquan F",216,IF(Atletas!N42="Houquan F",217,IF(Atletas!N42="Zuiquan F",218,"")))))))))))))))))))))</f>
        <v/>
      </c>
      <c r="BV51" s="50" t="str">
        <f>IF(Atletas!O42="","",IF(Atletas!X42&lt;&gt;"",10000,0)+IF(Atletas!B42="Feminino",1000,IF(Atletas!B42="Masculino",2000,""))+IF(Atletas!O42="Yang A",301,IF(Atletas!O42="Chen A",302,IF(Atletas!O42="Sun A",303,IF(Atletas!O42="Wu A",304,IF(Atletas!O42="Wu-Hao A",305,IF(Atletas!O42="Outro Taijiquan A",306,IF(Atletas!O42="Yang B",307,IF(Atletas!O42="Chen B",308,IF(Atletas!O42="Sun B",309,IF(Atletas!O42="Wu B",310,IF(Atletas!O42="Wu-Hao B",311,IF(Atletas!O42="Outro Taijiquan B",312,IF(Atletas!O42="Yang C",313,IF(Atletas!O42="Chen C",314,IF(Atletas!O42="Sun C",315,IF(Atletas!O42="Wu C",316,IF(Atletas!O42="Wu-Hao C",317,IF(Atletas!O42="Outro Taijiquan C",318,IF(Atletas!O42="Yang D",319,IF(Atletas!O42="Chen D",320,IF(Atletas!O42="Sun D",321,IF(Atletas!O42="Wu D",322,IF(Atletas!O42="Wu-Hao D",323,IF(Atletas!O42="Outro Taijiquan D",324,IF(Atletas!O42="Yang E",325,IF(Atletas!O42="Chen E",326,IF(Atletas!O42="Sun E",327,IF(Atletas!O42="Wu E",328,IF(Atletas!O42="Wu-Hao E",329,IF(Atletas!O42="Outro Taijiquan E",330,IF(Atletas!O42="Yang F",331,IF(Atletas!O42="Chen F",332,IF(Atletas!O42="Sun F",333,IF(Atletas!O42="Wu F",334,IF(Atletas!O42="Wu-Hao F",335,IF(Atletas!O42="Outro Taijiquan F",336,"")))))))))))))))))))))))))))))))))))))</f>
        <v/>
      </c>
      <c r="BW51" s="50" t="str">
        <f>IF(Atletas!P42="","",IF(Atletas!X42&lt;&gt;"",10000,0)+IF(Atletas!B42="Feminino",1000,IF(Atletas!B42="Masculino",2000,""))+IF(OR(Atletas!P42="Yang 26 A",Atletas!P42="Yang 40 A"),401,IF(OR(Atletas!P42="Chen 25 A",Atletas!P42="Chen 36 A",Atletas!P42="Chen 56 A"),402,IF(Atletas!P42="Sun 73 A",403,IF(Atletas!P42="Wu 45 A",404,IF(Atletas!P42="Wu-Hao 46 A",405,IF(OR(Atletas!P42="Taijiquan 16 A",Atletas!P42="Taijiquan 24 A",Atletas!P42="Taijiquan 32 A",Atletas!P42="Taijiquan 42 A"),406,IF(OR(Atletas!P42="Yang 26 B",Atletas!P42="Yang 40 B"),407,IF(OR(Atletas!P42="Chen 25 B",Atletas!P42="Chen 36 B",Atletas!P42="Chen 56 B"),408,IF(Atletas!P42="Sun 73 B",409,IF(Atletas!P42="Wu 45 B",410,IF(Atletas!P42="Wu-Hao 46 B",411,IF(OR(Atletas!P42="Taijiquan 16 B",Atletas!P42="Taijiquan 24 B",Atletas!P42="Taijiquan 32 B",Atletas!P42="Taijiquan 42 B"),412,IF(OR(Atletas!P42="Yang 26 C",Atletas!P42="Yang 40 C"),413,IF(OR(Atletas!P42="Chen 25 C",Atletas!P42="Chen 36 C",Atletas!P42="Chen 56 C"),414,IF(Atletas!P42="Sun 73 C",415,IF(Atletas!P42="Wu 45 C",416,IF(Atletas!P42="Wu-Hao 46 C",417,IF(OR(Atletas!P42="Taijiquan 16 C",Atletas!P42="Taijiquan 24 C",Atletas!P42="Taijiquan 32 C",Atletas!P42="Taijiquan 42 C"),418,0)))))))))))))))))))</f>
        <v/>
      </c>
      <c r="BX51" s="50" t="str">
        <f>IF(Atletas!P42="","",IF(Atletas!X42&lt;&gt;"",10000,0)+IF(Atletas!B42="Feminino",1000,IF(Atletas!B42="Masculino",2000,""))+IF(OR(Atletas!P42="Yang 26 D",Atletas!P42="Yang 40 D"),419,IF(OR(Atletas!P42="Chen 25 D",Atletas!P42="Chen 36 D",Atletas!P42="Chen 56 D"),420,IF(Atletas!P42="Sun 73 D",421,IF(Atletas!P42="Wu 45 D",422,IF(Atletas!P42="Wu-Hao 46 D",423,IF(OR(Atletas!P42="Taijiquan 16 D",Atletas!P42="Taijiquan 24 D",Atletas!P42="Taijiquan 32 D",Atletas!P42="Taijiquan 42 D"),424,IF(OR(Atletas!P42="Yang 26 E",Atletas!P42="Yang 40 E"),425,IF(OR(Atletas!P42="Chen 25 E",Atletas!P42="Chen 36 E",Atletas!P42="Chen 56 E"),426,IF(Atletas!P42="Sun 73 E",427,IF(Atletas!P42="Wu 45 E",428,IF(Atletas!P42="Wu-Hao 46 E",429,IF(OR(Atletas!P42="Taijiquan 16 E",Atletas!P42="Taijiquan 24 E",Atletas!P42="Taijiquan 32 E",Atletas!P42="Taijiquan 42 E"),430,IF(OR(Atletas!P42="Yang 26 F",Atletas!P42="Yang 40 F"),431,IF(OR(Atletas!P42="Chen 25 F",Atletas!P42="Chen 36 F",Atletas!P42="Chen 56 F"),432,IF(Atletas!P42="Sun 73 F",433,IF(Atletas!P42="Wu 45 F",434,IF(Atletas!P42="Wu-Hao 46 F",435,IF(OR(Atletas!P42="Taijiquan 16 F",Atletas!P42="Taijiquan 24 F",Atletas!P42="Taijiquan 32 F",Atletas!P42="Taijiquan 42 F"),436,0)))))))))))))))))))</f>
        <v/>
      </c>
      <c r="BY51" s="50" t="str">
        <f>IF(Atletas!Q42="","",IF(Atletas!X42&lt;&gt;"",10000,0)+IF(Atletas!B42="Feminino",1000,IF(Atletas!B42="Masculino",2000,""))+IF(Atletas!Q42="Xingyiquan A",501,IF(Atletas!Q42="Baguazhang A",502,IF(Atletas!Q42="Outro Estilo Interno A",503,IF(Atletas!Q42="Xingyiquan B",504,IF(Atletas!Q42="Baguazhang B",505,IF(Atletas!Q42="Outro Estilo Interno B",506,IF(Atletas!Q42="Xingyiquan C",507,IF(Atletas!Q42="Baguazhang C",508,IF(Atletas!Q42="Outro Estilo Interno C",509,IF(Atletas!Q42="Xingyiquan D",510,IF(Atletas!Q42="Baguazhang D",511,IF(Atletas!Q42="Outro Estilo Interno D",512,IF(Atletas!Q42="Xingyiquan E",513,IF(Atletas!Q42="Baguazhang E",514,IF(Atletas!Q42="Outro Estilo Interno E",515,IF(Atletas!Q42="Xingyiquan F",516,IF(Atletas!Q42="Baguazhang F",517,IF(Atletas!Q42="Outro Estilo Interno F",518, "")))))))))))))))))))</f>
        <v/>
      </c>
      <c r="BZ51" s="50" t="str">
        <f>IF(Atletas!R42="","",IF(Atletas!X42&lt;&gt;"",10000,0)+IF(Atletas!B42="Feminino",1000,IF(Atletas!B42="Masculino",2000,""))+IF(Atletas!R42="Dao A",601,IF(Atletas!R42="Jian A",602,IF(Atletas!R42="Bishou A",603,IF(Atletas!R42="Shanzi A",604,IF(Atletas!R42="Outra Arma Curta A",605,IF(Atletas!R42="Dao B",606,IF(Atletas!R42="Jian B",607,IF(Atletas!R42="Bishou B",608,IF(Atletas!R42="Shanzi B",609,IF(Atletas!R42="Outra Arma Curta B",610,IF(Atletas!R42="Dao C",611,IF(Atletas!R42="Jian C",612,IF(Atletas!R42="Bishou C",613,IF(Atletas!R42="Shanzi C",614,IF(Atletas!R42="Outra Arma Curta C",615,IF(Atletas!R42="Dao D",616,IF(Atletas!R42="Jian D",617,IF(Atletas!R42="Bishou D",618,IF(Atletas!R42="Shanzi D",619,IF(Atletas!R42="Outra Arma Curta D",620,IF(Atletas!R42="Dao E",621,IF(Atletas!R42="Jian E",622,IF(Atletas!R42="Bishou E",623,IF(Atletas!R42="Shanzi E",624,IF(Atletas!R42="Outra Arma Curta E",625,IF(Atletas!R42="Dao F",626,IF(Atletas!R42="Jian F",627,IF(Atletas!R42="Bishou F",628,IF(Atletas!R42="Shanzi F",629,IF(Atletas!R42="Outra Arma Curta F",630, "")))))))))))))))))))))))))))))))</f>
        <v/>
      </c>
      <c r="CA51" s="50" t="str">
        <f>IF(Atletas!S42="","",IF(Atletas!X42&lt;&gt;"",10000,0)+IF(Atletas!B42="Feminino",1000,IF(Atletas!B42="Masculino",2000,""))+IF(Atletas!S42="Gun A",701,IF(Atletas!S42="Qiang A",702,IF(Atletas!S42="Pudao / Guandao A",703,IF(Atletas!S42="Outra Arma Longa A",704,IF(Atletas!S42="Gun B",705,IF(Atletas!S42="Qiang B",706,IF(Atletas!S42="Pudao / Guandao B",707,IF(Atletas!S42="Outra Arma Longa B",708,IF(Atletas!S42="Gun C",709,IF(Atletas!S42="Qiang C",710,IF(Atletas!S42="Pudao / Guandao C",711,IF(Atletas!S42="Outra Arma Longa C",712,IF(Atletas!S42="Gun D",713,IF(Atletas!S42="Qiang D",714,IF(Atletas!S42="Pudao / Guandao D",715,IF(Atletas!S42="Outra Arma Longa D",716,IF(Atletas!S42="Gun E",717,IF(Atletas!S42="Qiang E",718,IF(Atletas!S42="Pudao / Guandao E",719,IF(Atletas!S42="Outra Arma Longa E",720,IF(Atletas!S42="Gun F",721,IF(Atletas!S42="Qiang F",722,IF(Atletas!S42="Pudao / Guandao F",723,IF(Atletas!S42="Outra Arma Longa F",724,"")))))))))))))))))))))))))</f>
        <v/>
      </c>
      <c r="CB51" s="50" t="str">
        <f>IF(Atletas!T42="","",IF(Atletas!X42&lt;&gt;"",10000,0)+IF(Atletas!B42="Feminino",1000,IF(Atletas!B42="Masculino",2000,""))+IF(Atletas!T42="Outra Arma Dupla A",801,IF(Atletas!T42="Arma Maleável A",802,IF(Atletas!T42="Outra Arma Dupla B",803,IF(Atletas!T42="Arma Maleável B",804,IF(Atletas!T42="Outra Arma Dupla C",805,IF(Atletas!T42="Arma Maleável C",806,IF(Atletas!T42="Outra Arma Dupla D",807,IF(Atletas!T42="Arma Maleável D",808,IF(Atletas!T42="Outra Arma Dupla E",809,IF(Atletas!T42="Arma Maleável E",810,IF(Atletas!T42="Outra Arma Dupla F",811,IF(Atletas!T42="Arma Maleável F",812,IF(Atletas!T42="Shuangdao A",813,IF(Atletas!T42="Shuangdao B",814,IF(Atletas!T42="Shuangdao C",815,IF(Atletas!T42="Shuangdao D",816,IF(Atletas!T42="Shuangdao E",817,IF(Atletas!T42="Shuangdao F",818,"")))))))))))))))))))</f>
        <v/>
      </c>
      <c r="CC51" s="50" t="str">
        <f>IF(Atletas!U42="","",IF(Atletas!X42&lt;&gt;"",10000,0)+IF(Atletas!B42="Feminino",1000,IF(Atletas!B42="Masculino",2000,""))+IF(OR(Atletas!U42="Taijijian Yang A",Atletas!U42="Taijijian Yang Standard A"),901,IF(OR(Atletas!U42="Taijijian Chen A", Atletas!U42="Taijijian Chen Standard A"),902,IF(Atletas!U42="Taijijian Sun A",903,IF(Atletas!U42="Taijijian Wu A",904,IF(Atletas!U42="Taijijian Wu-Hao A",905,IF(OR(Atletas!U42="Taijijian 32 A",Atletas!U42="Taijijian 42 A"),906,IF(OR(Atletas!U42="Taijijian Yang B",Atletas!U42="Taijijian Yang Standard B"),907,IF(OR(Atletas!U42="Taijijian Chen B", Atletas!U42="Taijijian Chen Standard B"),908,IF(Atletas!U42="Taijijian Sun B",909,IF(Atletas!U42="Taijijian Wu B",910,IF(Atletas!U42="Taijijian Wu-Hao B",911,IF(OR(Atletas!U42="Taijijian 32 B",Atletas!U42="Taijijian 42 B"),912,IF(OR(Atletas!U42="Taijijian Yang C",Atletas!U42="Taijijian Yang Standard C"),913,IF(OR(Atletas!U42="Taijijian Chen C", Atletas!U42="Taijijian Chen Standard C"),914,IF(Atletas!U42="Taijijian Sun C",915,IF(Atletas!U42="Taijijian Wu C",916,IF(Atletas!U42="Taijijian Wu-Hao C",917,IF(OR(Atletas!U42="Taijijian 32 C",Atletas!U42="Taijijian 42 C"),918,IF(OR(Atletas!U42="Taijijian Yang D",Atletas!U42="Taijijian Yang Standard D"),919,IF(OR(Atletas!U42="Taijijian Chen D", Atletas!U42="Taijijian Chen Standard D"),920,IF(Atletas!U42="Taijijian Sun D",921,IF(Atletas!U42="Taijijian Wu D",922,IF(Atletas!U42="Taijijian Wu-Hao D",923,IF(OR(Atletas!U42="Taijijian 32 D",Atletas!U42="Taijijian 42 D"),924,IF(OR(Atletas!U42="Taijijian Yang E",Atletas!U42="Taijijian Yang Standard E"),925,IF(OR(Atletas!U42="Taijijian Chen E", Atletas!U42="Taijijian Chen Standard E"),926,IF(Atletas!U42="Taijijian Sun E",927,IF(Atletas!U42="Taijijian Wu E",928,IF(Atletas!U42="Taijijian Wu-Hao E",929,IF(OR(Atletas!U42="Taijijian 32 E",Atletas!U42="Taijijian 42 E"),930,IF(OR(Atletas!U42="Taijijian Yang F",Atletas!U42="Taijijian Yang Standard F"),931,IF(OR(Atletas!U42="Taijijian Chen F", Atletas!U42="Taijijian Chen Standard F"),932,IF(Atletas!U42="Taijijian Sun F",933,IF(Atletas!U42="Taijijian Wu F",934,IF(Atletas!U42="Taijijian Wu-Hao F",935,IF(OR(Atletas!U42="Taijijian 32 F",Atletas!U42="Taijijian 42 F"),936,"")))))))))))))))))))))))))))))))))))))</f>
        <v/>
      </c>
      <c r="CD51" s="50" t="str">
        <f>IF(Atletas!V42="","",IF(Atletas!X42&lt;&gt;"",10000,0)+IF(Atletas!B42="Feminino",1000,IF(Atletas!B42="Masculino",2000,""))+IF(Atletas!V42="Taijidao A",937,IF(Atletas!V42="TaijiShanzi A",938,IF(Atletas!V42="Taijiqiang A",939,IF(Atletas!V42="Bagua de Arma A",940,IF(Atletas!V42="Xingyi de Arma A",941,IF(Atletas!V42="Taijidao B",942,IF(Atletas!V42="TaijiShanzi B",943,IF(Atletas!V42="Taijiqiang B",944,IF(Atletas!V42="Bagua de Arma B",945,IF(Atletas!V42="Xingyi de Arma B",946,IF(Atletas!V42="Taijidao C",947,IF(Atletas!V42="TaijiShanzi C",948,IF(Atletas!V42="Taijiqiang C",949,IF(Atletas!V42="Bagua de Arma C",950,IF(Atletas!V42="Xingyi de Arma C",951,IF(Atletas!V42="Taijidao D",952,IF(Atletas!V42="TaijiShanzi D",953,IF(Atletas!V42="Taijiqiang D",954,IF(Atletas!V42="Bagua de Arma D",955,IF(Atletas!V42="Xingyi de Arma D",956,IF(Atletas!V42="Taijidao E",957,IF(Atletas!V42="TaijiShanzi E",958,IF(Atletas!V42="Taijiqiang E",959,IF(Atletas!V42="Bagua de Arma E",960,IF(Atletas!V42="Xingyi de Arma E",961,IF(Atletas!V42="Taijidao F",962,IF(Atletas!V42="TaijiShanzi F",963,IF(Atletas!V42="Taijiqiang F",964,IF(Atletas!V42="Bagua de Arma F",965,IF(Atletas!V42="Xingyi de Arma F",966,"")))))))))))))))))))))))))))))))</f>
        <v/>
      </c>
      <c r="CE51" s="66" t="str">
        <f>IF(CF51&lt;&gt;"","Tanglangquan A","")</f>
        <v/>
      </c>
      <c r="CF51" s="66" t="str">
        <f>IF(COUNTIF(BR:CD,1109)&gt;0,COUNTIF(BR:CD,1109),"")</f>
        <v/>
      </c>
      <c r="CG51" s="66" t="str">
        <f>IF(CH51&lt;&gt;"","Tanglangquan A","")</f>
        <v/>
      </c>
      <c r="CH51" s="66" t="str">
        <f>IF(COUNTIF(BR:CD,2109)&gt;0,COUNTIF(BR:CD,2109),"")</f>
        <v/>
      </c>
      <c r="CI51" s="66" t="str">
        <f>IF(CJ51&lt;&gt;"","Emeiquan B","")</f>
        <v/>
      </c>
      <c r="CJ51" s="66" t="str">
        <f>IF(COUNTIF(BR:CD,11115)&gt;0,COUNTIF(BR:CD,11115),"")</f>
        <v/>
      </c>
      <c r="CK51" s="66" t="str">
        <f>IF(CL51&lt;&gt;"","Emeiquan B","")</f>
        <v/>
      </c>
      <c r="CL51" s="66" t="str">
        <f>IF(COUNTIF(BR:CD,12115)&gt;0,COUNTIF(BR:CD,12115),"")</f>
        <v/>
      </c>
      <c r="CM51" s="50" t="str">
        <f xml:space="preserve"> IF(Atletas!W42="","",IF(Atletas!W42="Duilian de Mãos BC - Equipe 1",1,IF(Atletas!W42="Duilian de Mãos BC - Equipe 2",2,IF(Atletas!W42="Duilian de Armas BC - Equipe 1",3,IF(Atletas!W42="Duilian de Armas BC - Equipe 2",4,IF(Atletas!W42="Duilian de Mãos DE - Equipe 1",5,IF(Atletas!W42="Duilian de Mãos DE - Equipe 2",6,IF(Atletas!W42="Duilian de Armas DE - Equipe 1",7,IF(Atletas!W42="Duilian de Armas DE - Equipe 2",8,IF(Atletas!W42="Duilian de Tuishou - Equipe 1",9,IF(Atletas!W42="Duilian de Tuishou - Equipe 2",10,IF(Atletas!W42="Grupo Externo ABC - Equipe 1",11,IF(Atletas!W42="Grupo Externo ABC - Equipe 2",12,IF(Atletas!W42="Grupo Interno ABC - Equipe 1",13,IF(Atletas!W42="Grupo Interno ABC - Equipe 2",14,IF(Atletas!W42="Grupo Externo DEF - Equipe 1",15,IF(Atletas!W42="Grupo Externo DEF - Equipe 2",16,IF(Atletas!W42="Grupo Interno DEF - Equipe 1",17,IF(Atletas!W42="Grupo Interno DEF - Equipe 2",18,"")))))))))))))))))))</f>
        <v/>
      </c>
      <c r="CY51" s="41"/>
    </row>
    <row r="52" spans="2:103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 t="str">
        <f t="array" ref="R52">IFERROR(INDEX(BI$7:BI$68,SMALL(IF(BI$7:BI$68&lt;&gt;"",ROW(BI$7:BI$68)-ROW(BI$7)+1),ROWS(BI$7:BI51))),"")</f>
        <v/>
      </c>
      <c r="S52" s="3" t="str">
        <f t="array" ref="S52">IFERROR(INDEX(BJ$7:BJ$68,SMALL(IF(BJ$7:BJ$68&lt;&gt;"",ROW(BJ$7:BJ$68)-ROW(BJ$7)+1),ROWS(BJ$7:BJ51))),"")</f>
        <v/>
      </c>
      <c r="T52" s="3" t="str">
        <f t="array" ref="T52">IFERROR(INDEX(BK$7:BK$68,SMALL(IF(BK$7:BK$68&lt;&gt;"",ROW(BK$7:BK$68)-ROW(BK$7)+1),ROWS(BK$7:BK51))),"")</f>
        <v/>
      </c>
      <c r="U52" s="3" t="str">
        <f t="array" ref="U52">IFERROR(INDEX(BL$7:BL$68,SMALL(IF(BL$7:BL$68&lt;&gt;"",ROW(BL$7:BL$68)-ROW(BL$7)+1),ROWS(BL$7:BL51))),"")</f>
        <v/>
      </c>
      <c r="V52" s="3"/>
      <c r="W52" s="3"/>
      <c r="X52" s="20"/>
      <c r="Y52" s="3"/>
      <c r="Z52" s="3" t="str">
        <f t="array" ref="Z52">IFERROR(INDEX(CE$7:CE$348,SMALL(IF(CE$7:CE$348&lt;&gt;"",ROW(CE$7:CE$348)-ROW(CE$7)+1),ROWS(CE$7:CE51))),"")</f>
        <v/>
      </c>
      <c r="AA52" s="3" t="str">
        <f t="array" ref="AA52">IFERROR(INDEX(CF$7:CF$348,SMALL(IF(CF$7:CF$348&lt;&gt;"",ROW(CF$7:CF$348)-ROW(CF$7)+1),ROWS(CF$7:CF51))),"")</f>
        <v/>
      </c>
      <c r="AB52" s="3" t="str">
        <f t="array" ref="AB52">IFERROR(INDEX(CG$7:CG$348,SMALL(IF(CG$7:CG$348&lt;&gt;"",ROW(CG$7:CG$348)-ROW(CG$7)+1),ROWS(CG$7:CG51))),"")</f>
        <v/>
      </c>
      <c r="AC52" s="3" t="str">
        <f t="array" ref="AC52">IFERROR(INDEX(CH$7:CH$348,SMALL(IF(CH$7:CH$348&lt;&gt;"",ROW(CH$7:CH$348)-ROW(CH$7)+1),ROWS(CH$7:CH51))),"")</f>
        <v/>
      </c>
      <c r="AD52" s="3" t="str">
        <f t="array" ref="AD52">IFERROR(INDEX(CI$7:CI$377,SMALL(IF(CI$7:CI$377&lt;&gt;"",ROW(CI$7:CI$377)-ROW(CI$7)+1),ROWS(CI$7:CI51))),"")</f>
        <v/>
      </c>
      <c r="AE52" s="3" t="str">
        <f t="array" ref="AE52">IFERROR(INDEX(CJ$7:CJ$378,SMALL(IF(CJ$7:CJ$378&lt;&gt;"",ROW(CJ$7:CJ$378)-ROW(CJ$7)+1),ROWS(CJ$7:CJ51))),"")</f>
        <v/>
      </c>
      <c r="AF52" s="3" t="str">
        <f t="array" ref="AF52">IFERROR(INDEX(CK$7:CK$378,SMALL(IF(CK$7:CK$378&lt;&gt;"",ROW(CK$7:CK$378)-ROW(CK$7)+1),ROWS(CK$7:CK51))),"")</f>
        <v/>
      </c>
      <c r="AG52" s="3" t="str">
        <f t="array" ref="AG52">IFERROR(INDEX(CL$7:CL$378,SMALL(IF(CL$7:CL$378&lt;&gt;"",ROW(CL$7:CL$378)-ROW(CL$7)+1),ROWS(CL$7:CL51))),"")</f>
        <v/>
      </c>
      <c r="AH52" s="3"/>
      <c r="AI52" s="3"/>
      <c r="AJ52" s="3"/>
      <c r="AK52" s="3"/>
      <c r="AL52" s="3"/>
      <c r="AM52" s="3"/>
      <c r="AN52" s="52" t="str">
        <f>IF(Atletas!D43="","",IF(Atletas!B43="Feminino",100,IF(Atletas!B43="Masculino",200,""))+(IF(Atletas!D43="Kids 30kg",1,IF(Atletas!D43="Kids 32kg",2, IF(Atletas!D43="Kids 34kg",3,IF(Atletas!D43="Kids 36kg",4,IF(Atletas!D43="Kids 39kg",5,IF(Atletas!D43="Kids 42kg",6,IF(Atletas!D43="Kids 45kg",7, IF(Atletas!D43="Infantil 39kg",8,IF(Atletas!D43="Infantil 42kg",9,IF(Atletas!D43="Infantil 45kg",10,IF(Atletas!D43="Infantil 48kg",11,IF(Atletas!D43="Infantil 52kg",12,IF(Atletas!D43="Infantil 56kg",13,IF(Atletas!D43="Infantil 60kg",14,IF(Atletas!D43="Juvenil 48kg",15,IF(Atletas!D43="Juvenil 52kg",16,IF(Atletas!D43="Juvenil 56kg",17,IF(Atletas!D43="Juvenil 60kg",18,IF(Atletas!D43="Juvenil 65kg",19,IF(Atletas!D43="Juvenil 70kg",20,IF(Atletas!D43="Juvenil 75kg",21,IF(Atletas!D43="Juvenil 80kg",22, IF(Atletas!D43="Juvenil 85kg",23,IF(Atletas!D43="Adulto 48kg",24,IF(Atletas!D43="Adulto 52kg",25,IF(Atletas!D43="Adulto 56kg",26,IF(Atletas!D43="Adulto 60kg",27,IF(Atletas!D43="Adulto 65kg",28,IF(Atletas!D43="Adulto 70kg",29,IF(Atletas!D43="Adulto 75kg",30,IF(Atletas!D43="Adulto 80kg",31,IF(Atletas!D43="Adulto 85kg",32,IF(Atletas!D43="Adulto 90kg",33,IF(Atletas!D43="Adulto 100kg",34, IF(Atletas!D43="Adulto +100kg",35,"")))))))))))))))))))))))))))))))))))))</f>
        <v/>
      </c>
      <c r="AS52" s="6" t="str">
        <f>IF(Atletas!E43="","",IF(Atletas!B43="Feminino",100,IF(Atletas!B43="Masculino",200,""))+(IF(Atletas!E43="Juvenil 44kg",1,IF(Atletas!E43="Juvenil 48kg",2,IF(Atletas!E43="Juvenil 52kg",3,IF(Atletas!E43="Juvenil 56kg",4,IF(Atletas!E43="Juvenil 60kg",5,IF(Atletas!E43="Juvenil 65kg",6,IF(Atletas!E43="Juvenil 70kg",7,IF(Atletas!E43="Juvenil 75kg",8,IF(Atletas!E43="Juvenil 82kg",9,IF(Atletas!E43="Juvenil 90kg",10,IF(Atletas!E43="Juvenil 100kg",11,IF(Atletas!E43="Adulto 48kg",12,IF(Atletas!E43="Adulto 52kg",13,IF(Atletas!E43="Adulto 56kg",14,IF(Atletas!E43="Adulto 60kg",15,IF(Atletas!E43="Adulto 65kg",16,IF(Atletas!E43="Adulto 70kg",17,IF(Atletas!E43="Adulto 75kg",18,IF(Atletas!E43="Adulto 82kg",19,IF(Atletas!E43="Adulto 90kg",20,IF(Atletas!E43="Adulto 100kg",21,IF(Atletas!E43="Adulto +100kg",22,""))))))))))))))))))))))))</f>
        <v/>
      </c>
      <c r="AX52" s="6" t="str">
        <f>IF(Atletas!F43="","",IF(Atletas!B43="Feminino",100,IF(Atletas!B43="Masculino",200,""))+(IF(Atletas!F43="Adulto 48kg",1,IF(Atletas!F43="Adulto 56kg",2,IF(Atletas!F43="Adulto 65kg",3,IF(Atletas!F43="Adulto 75kg",4,IF(Atletas!F43="Adulto +75kg",5,IF(Atletas!F43="Adulto 52kg",6,IF(Atletas!F43="Adulto 60kg",7,IF(Atletas!F43="Adulto 70kg",8,IF(Atletas!F43="Adulto 80kg",9,IF(Atletas!F43="Adulto 90kg",10,IF(Atletas!F43="Adulto +90kg",11,"")))))))))))))</f>
        <v/>
      </c>
      <c r="BC52" s="6" t="str">
        <f>IF(Atletas!G43="","",IF(Atletas!B43="Feminino",10,IF(Atletas!B43="Masculino",20,""))+(IF(Atletas!G43="Baduanjin A",1,IF(Atletas!G43="Baduanjin B",2))))</f>
        <v/>
      </c>
      <c r="BF52" s="52" t="str">
        <f>IF(Atletas!H43="","",IF(Atletas!B43="Feminino",100,IF(Atletas!B43="Masculino",200,""))+(IF(Atletas!H43="Changquan Mirim",1,IF(Atletas!H43="Nanquan Mirim",2,IF(Atletas!H43="Taijiquan Mirim",3,IF(Atletas!H43="Changquan Grupo C",4,IF(Atletas!H43="Nanquan Grupo C",5,IF(Atletas!H43="Taijiquan Grupo C",6,IF(Atletas!H43="Changquan Grupo B",7,IF(Atletas!H43="Nanquan Grupo B",8,IF(Atletas!H43="Taijiquan Grupo B",9,IF(Atletas!H43="Changquan Grupo A",10,IF(Atletas!H43="Nanquan Grupo A",11,IF(Atletas!H43="Taijiquan Grupo A",12,IF(Atletas!H43="Changquan Opcional",13,IF(Atletas!H43="Nanquan Opcional",14,IF(Atletas!H43="Taijiquan Opcional",15,IF(Atletas!H43="Changquan Adulto",16,IF(Atletas!H43="Nanquan Adulto",17,IF(Atletas!H43="Taijiquan Adulto",18,""))))))))))))))))))))</f>
        <v/>
      </c>
      <c r="BG52" s="52" t="str">
        <f>IF(Atletas!I43="","",IF(Atletas!B43="Feminino",100,IF(Atletas!B43="Masculino",200,""))+(IF(Atletas!I43="Daoshu Mirim",19,IF(Atletas!I43="Jianshu Mirim",20,IF(Atletas!I43="Nandao Mirim",21,IF(Atletas!I43="Taijijian Mirim",22,IF(Atletas!I43="Daoshu Grupo C",23,IF(Atletas!I43="Jianshu Grupo C",24,IF(Atletas!I43="Nandao Grupo C",25,IF(Atletas!I43="Taijijian Grupo C",26,IF(Atletas!I43="Daoshu Grupo B",27,IF(Atletas!I43="Jianshu Grupo B",28,IF(Atletas!I43="Nandao Grupo B",29,IF(Atletas!I43="Taijijian Grupo B",30,IF(Atletas!I43="Daoshu Grupo A",31,IF(Atletas!I43="Jianshu Grupo A",32,IF(Atletas!I43="Nandao Grupo A",33,IF(Atletas!I43="Taijijian Grupo A",34,IF(Atletas!I43="Daoshu Opcional",35,IF(Atletas!I43="Jianshu Opcional",36,IF(Atletas!I43="Nandao Opcional",37,IF(Atletas!I43="Taijijian Opcional",38,IF(Atletas!I43="Daoshu Adulto",39,IF(Atletas!I43="Jianshu Adulto",40,IF(Atletas!I43="Nandao Adulto",41,IF(Atletas!I43="Taijijian Adulto",42,""))))))))))))))))))))))))))</f>
        <v/>
      </c>
      <c r="BH52" s="52" t="str">
        <f>IF(Atletas!J43="","",IF(Atletas!B43="Feminino",100,IF(Atletas!B43="Masculino",200,""))+(IF(Atletas!J43="Gunshu Mirim",43,IF(Atletas!J43="Qiangshu Mirim",44,IF(Atletas!J43="Nangun Mirim",45,IF(Atletas!J43="Gunshu Grupo C",46,IF(Atletas!J43="Qiangshu Grupo C",47,IF(Atletas!J43="Nangun Grupo C",48,IF(Atletas!J43="Gunshu Grupo B",49,IF(Atletas!J43="Qiangshu Grupo B",50,IF(Atletas!J43="Nangun Grupo B",51,IF(Atletas!J43="Gunshu Grupo A",52,IF(Atletas!J43="Qiangshu Grupo A",53,IF(Atletas!J43="Nangun Grupo A",54,IF(Atletas!J43="Gunshu Opcional",55,IF(Atletas!J43="Qiangshu Opcional",56,IF(Atletas!J43="Nangun Opcional",57,IF(Atletas!J43="Gunshu Adulto",58,IF(Atletas!J43="Qiangshu Adulto",59,IF(Atletas!J43="Nangun Adulto",60,IF(Atletas!J43="Taijishan Grupo B",61,IF(Atletas!J43="Taijishan Grupo A",62,""))))))))))))))))))))))</f>
        <v/>
      </c>
      <c r="BI52" s="6" t="str">
        <f>IF(BJ52&lt;&gt;"","Daoshu Opcional","")</f>
        <v/>
      </c>
      <c r="BJ52" s="50" t="str">
        <f>IF(COUNTIF(BF:BH,135)&gt;0,COUNTIF(BF:BH,135),"")</f>
        <v/>
      </c>
      <c r="BK52" s="6" t="str">
        <f>IF(BL52&lt;&gt;"","Daoshu Opcional","")</f>
        <v/>
      </c>
      <c r="BL52" s="50" t="str">
        <f>IF(COUNTIF(BF:BH,235)&gt;0,COUNTIF(BF:BH,235),"")</f>
        <v/>
      </c>
      <c r="BM52" s="50" t="str">
        <f>IF(Atletas!K43="","",IF(Atletas!B43="Feminino",100,IF(Atletas!B43="Masculino",200,""))+(IF(Atletas!K43="Equipe 1 Grupo B",1,IF(Atletas!K43="Equipe 2 Grupo B",2,IF(Atletas!K43="Equipe 1 Grupo A",3,IF(Atletas!K43="Equipe 2 Grupo A",4,IF(Atletas!K43="Equipe 1 Adulto",5,IF(Atletas!K43="Equipe 2 Adulto",6,""))))))))</f>
        <v/>
      </c>
      <c r="BR52" s="50" t="str">
        <f>IF(Atletas!L43="","",IF(Atletas!X43&lt;&gt;"",10000,0)+(IF(Atletas!B43="Feminino",1000,IF(Atletas!B43="Masculino",2000,""))+IF(Atletas!L43="Choylayfut A",1,IF(Atletas!L43="Hunggar A",2,IF(Atletas!L43="Wuzuquan A",3,IF(Atletas!L43="Wingchun A",4,IF(Atletas!L43="Outra Mão de Sul A",5,IF(Atletas!L43="Choylayfut B",6,IF(Atletas!L43="Hunggar B",7,IF(Atletas!L43="Wuzuquan B",8,IF(Atletas!L43="Wingchun B",9,IF(Atletas!L43="Outra Mão de Sul B",10,IF(Atletas!L43="Choylayfut C",11,IF(Atletas!L43="Hunggar C",12,IF(Atletas!L43="Wuzuquan C",13,IF(Atletas!L43="Wingchun C",14,IF(Atletas!L43="Outra Mão de Sul C",15,IF(Atletas!L43="Choylayfut D",16,IF(Atletas!L43="Hunggar D",17,IF(Atletas!L43="Wuzuquan D",18,IF(Atletas!L43="Wingchun D",19,IF(Atletas!L43="Outra Mão de Sul D",20,IF(Atletas!L43="Choylayfut E",21,IF(Atletas!L43="Hunggar E",22,IF(Atletas!L43="Wuzuquan E",23,IF(Atletas!L43="Wingchun E",24,IF(Atletas!L43="Outra Mão de Sul E",25,IF(Atletas!L43="Choylayfut F",26,IF(Atletas!L43="Hunggar F",27,IF(Atletas!L43="Wuzuquan F",28,IF(Atletas!L43="Wingchun F",29,IF(Atletas!L43="Outra Mão de Sul F",30,IF(Atletas!L43="Dishuquan A",31,IF(Atletas!L43="Dishuquan B",32,IF(Atletas!L43="Dishuquan C",33,IF(Atletas!L43="Dishuquan D",34,IF(Atletas!L43="Dishuquan E",35,IF(Atletas!L43="Dishuquan F",36,""))))))))))))))))))))))))))))))))))))))</f>
        <v/>
      </c>
      <c r="BS52" s="50" t="str">
        <f>IF(Atletas!M43="","",IF(Atletas!X43&lt;&gt;"",10000,0)+(IF(Atletas!B43="Feminino",1000,IF(Atletas!B43="Masculino",2000,""))+(IF(Atletas!M43="Chaquan A",101,IF(Atletas!M43="Emeiquan A",102,IF(Atletas!M43="Fanziquan A",103,IF(Atletas!M43="Huaquan A",104,IF(Atletas!M43="Hongquan A",105,IF(Atletas!M43="Paoquan A",106,IF(Atletas!M43="Piguaquan A",107,IF(Atletas!M43="Shaolinquan A",108,IF(Atletas!M43="Tanglangquan A",109,IF(Atletas!M43="Yingzhaoquan A",110,IF(Atletas!M43="Tongbeiquan A",111,IF(Atletas!M43="Wudangquan A",112,IF(Atletas!M43="Outros Estilos A",113,IF(Atletas!M43="Chaquan B",114,IF(Atletas!M43="Emeiquan B",115,IF(Atletas!M43="Fanziquan B",116,IF(Atletas!M43="Huaquan B",117,IF(Atletas!M43="Hongquan B",118,IF(Atletas!M43="Paoquan B",119,IF(Atletas!M43="Piguaquan B",120,IF(Atletas!M43="Shaolinquan B",121,IF(Atletas!M43="Tanglangquan B",122,IF(Atletas!M43="Yingzhaoquan B",123,IF(Atletas!M43="Tongbeiquan B",124,IF(Atletas!M43="Wudangquan B",125,IF(Atletas!M43="Outros Estilos B",126,IF(Atletas!M43="Chaquan C",127,IF(Atletas!M43="Emeiquan C",128,IF(Atletas!M43="Fanziquan C",129,IF(Atletas!M43="Huaquan C",130,IF(Atletas!M43="Hongquan C",131,IF(Atletas!M43="Paoquan C",132,IF(Atletas!M43="Piguaquan C",133,IF(Atletas!M43="Shaolinquan C",134,IF(Atletas!M43="Tanglangquan C",135,IF(Atletas!M43="Yingzhaoquan C",136,IF(Atletas!M43="Tongbeiquan C",137,IF(Atletas!M43="Wudangquan C",138,IF(Atletas!M43="Outros Estilos C",139,0))))))))))))))))))))))))))))))))))))))))))</f>
        <v/>
      </c>
      <c r="BT52" s="50" t="str">
        <f>IF(Atletas!M43="","",IF(Atletas!X43&lt;&gt;"",10000,0)+(IF(Atletas!B43="Feminino",1000,IF(Atletas!B43="Masculino",2000,""))+(IF(Atletas!M43="Chaquan D",140,IF(Atletas!M43="Emeiquan D",141,IF(Atletas!M43="Fanziquan D",142,IF(Atletas!M43="Huaquan D",143,IF(Atletas!M43="Hongquan D",144,IF(Atletas!M43="Paoquan D",145,IF(Atletas!M43="Piguaquan D",146,IF(Atletas!M43="Shaolinquan D",147,IF(Atletas!M43="Tanglangquan D",148,IF(Atletas!M43="Yingzhaoquan D",149,IF(Atletas!M43="Tongbeiquan D",150,IF(Atletas!M43="Wudangquan D",151,IF(Atletas!M43="Outros Estilos D",152,IF(Atletas!M43="Chaquan E",153,IF(Atletas!M43="Emeiquan E",154,IF(Atletas!M43="Fanziquan E",155,IF(Atletas!M43="Huaquan E",156,IF(Atletas!M43="Hongquan E",157,IF(Atletas!M43="Paoquan E",158,IF(Atletas!M43="Piguaquan E",159,IF(Atletas!M43="Shaolinquan E",160,IF(Atletas!M43="Tanglangquan E",161,IF(Atletas!M43="Yingzhaoquan E",162,IF(Atletas!M43="Tongbeiquan E",163,IF(Atletas!M43="Wudangquan E",164,IF(Atletas!M43="Outros Estilos E",165,IF(Atletas!M43="Chaquan F",166,IF(Atletas!M43="Emeiquan F",167,IF(Atletas!M43="Fanziquan F",168,IF(Atletas!M43="Huaquan F",169,IF(Atletas!M43="Hongquan F",170,IF(Atletas!M43="Paoquan F",171,IF(Atletas!M43="Piguaquan F",172,IF(Atletas!M43="Shaolinquan F",173,IF(Atletas!M43="Tanglangquan F",174,IF(Atletas!M43="Yingzhaoquan F",175,IF(Atletas!M43="Tongbeiquan F",176,IF(Atletas!M43="Wudangquan F",177,IF(Atletas!M43="Outros Estilos F",178,0))))))))))))))))))))))))))))))))))))))))))</f>
        <v/>
      </c>
      <c r="BU52" s="50" t="str">
        <f>IF(Atletas!N43="","",IF(Atletas!X43&lt;&gt;"",10000,0)+(IF(Atletas!B43="Feminino",1000,IF(Atletas!B43="Masculino",2000,""))+(IF(Atletas!N43="Ditangquan A",201,IF(Atletas!N43="Houquan A",202,IF(Atletas!N43="Zuiquan A",203,IF(Atletas!N43="Ditangquan B",204,IF(Atletas!N43="Houquan B",205,IF(Atletas!N43="Zuiquan B",206,IF(Atletas!N43="Ditangquan C",207,IF(Atletas!N43="Houquan C",208,IF(Atletas!N43="Zuiquan C",209,IF(Atletas!N43="Ditangquan D",210,IF(Atletas!N43="Houquan D",211,IF(Atletas!N43="Zuiquan D",212,IF(Atletas!N43="Ditangquan E",213,IF(Atletas!N43="Houquan E",214,IF(Atletas!N43="Zuiquan E",215,IF(Atletas!N43="Ditangquan F",216,IF(Atletas!N43="Houquan F",217,IF(Atletas!N43="Zuiquan F",218,"")))))))))))))))))))))</f>
        <v/>
      </c>
      <c r="BV52" s="50" t="str">
        <f>IF(Atletas!O43="","",IF(Atletas!X43&lt;&gt;"",10000,0)+IF(Atletas!B43="Feminino",1000,IF(Atletas!B43="Masculino",2000,""))+IF(Atletas!O43="Yang A",301,IF(Atletas!O43="Chen A",302,IF(Atletas!O43="Sun A",303,IF(Atletas!O43="Wu A",304,IF(Atletas!O43="Wu-Hao A",305,IF(Atletas!O43="Outro Taijiquan A",306,IF(Atletas!O43="Yang B",307,IF(Atletas!O43="Chen B",308,IF(Atletas!O43="Sun B",309,IF(Atletas!O43="Wu B",310,IF(Atletas!O43="Wu-Hao B",311,IF(Atletas!O43="Outro Taijiquan B",312,IF(Atletas!O43="Yang C",313,IF(Atletas!O43="Chen C",314,IF(Atletas!O43="Sun C",315,IF(Atletas!O43="Wu C",316,IF(Atletas!O43="Wu-Hao C",317,IF(Atletas!O43="Outro Taijiquan C",318,IF(Atletas!O43="Yang D",319,IF(Atletas!O43="Chen D",320,IF(Atletas!O43="Sun D",321,IF(Atletas!O43="Wu D",322,IF(Atletas!O43="Wu-Hao D",323,IF(Atletas!O43="Outro Taijiquan D",324,IF(Atletas!O43="Yang E",325,IF(Atletas!O43="Chen E",326,IF(Atletas!O43="Sun E",327,IF(Atletas!O43="Wu E",328,IF(Atletas!O43="Wu-Hao E",329,IF(Atletas!O43="Outro Taijiquan E",330,IF(Atletas!O43="Yang F",331,IF(Atletas!O43="Chen F",332,IF(Atletas!O43="Sun F",333,IF(Atletas!O43="Wu F",334,IF(Atletas!O43="Wu-Hao F",335,IF(Atletas!O43="Outro Taijiquan F",336,"")))))))))))))))))))))))))))))))))))))</f>
        <v/>
      </c>
      <c r="BW52" s="50" t="str">
        <f>IF(Atletas!P43="","",IF(Atletas!X43&lt;&gt;"",10000,0)+IF(Atletas!B43="Feminino",1000,IF(Atletas!B43="Masculino",2000,""))+IF(OR(Atletas!P43="Yang 26 A",Atletas!P43="Yang 40 A"),401,IF(OR(Atletas!P43="Chen 25 A",Atletas!P43="Chen 36 A",Atletas!P43="Chen 56 A"),402,IF(Atletas!P43="Sun 73 A",403,IF(Atletas!P43="Wu 45 A",404,IF(Atletas!P43="Wu-Hao 46 A",405,IF(OR(Atletas!P43="Taijiquan 16 A",Atletas!P43="Taijiquan 24 A",Atletas!P43="Taijiquan 32 A",Atletas!P43="Taijiquan 42 A"),406,IF(OR(Atletas!P43="Yang 26 B",Atletas!P43="Yang 40 B"),407,IF(OR(Atletas!P43="Chen 25 B",Atletas!P43="Chen 36 B",Atletas!P43="Chen 56 B"),408,IF(Atletas!P43="Sun 73 B",409,IF(Atletas!P43="Wu 45 B",410,IF(Atletas!P43="Wu-Hao 46 B",411,IF(OR(Atletas!P43="Taijiquan 16 B",Atletas!P43="Taijiquan 24 B",Atletas!P43="Taijiquan 32 B",Atletas!P43="Taijiquan 42 B"),412,IF(OR(Atletas!P43="Yang 26 C",Atletas!P43="Yang 40 C"),413,IF(OR(Atletas!P43="Chen 25 C",Atletas!P43="Chen 36 C",Atletas!P43="Chen 56 C"),414,IF(Atletas!P43="Sun 73 C",415,IF(Atletas!P43="Wu 45 C",416,IF(Atletas!P43="Wu-Hao 46 C",417,IF(OR(Atletas!P43="Taijiquan 16 C",Atletas!P43="Taijiquan 24 C",Atletas!P43="Taijiquan 32 C",Atletas!P43="Taijiquan 42 C"),418,0)))))))))))))))))))</f>
        <v/>
      </c>
      <c r="BX52" s="50" t="str">
        <f>IF(Atletas!P43="","",IF(Atletas!X43&lt;&gt;"",10000,0)+IF(Atletas!B43="Feminino",1000,IF(Atletas!B43="Masculino",2000,""))+IF(OR(Atletas!P43="Yang 26 D",Atletas!P43="Yang 40 D"),419,IF(OR(Atletas!P43="Chen 25 D",Atletas!P43="Chen 36 D",Atletas!P43="Chen 56 D"),420,IF(Atletas!P43="Sun 73 D",421,IF(Atletas!P43="Wu 45 D",422,IF(Atletas!P43="Wu-Hao 46 D",423,IF(OR(Atletas!P43="Taijiquan 16 D",Atletas!P43="Taijiquan 24 D",Atletas!P43="Taijiquan 32 D",Atletas!P43="Taijiquan 42 D"),424,IF(OR(Atletas!P43="Yang 26 E",Atletas!P43="Yang 40 E"),425,IF(OR(Atletas!P43="Chen 25 E",Atletas!P43="Chen 36 E",Atletas!P43="Chen 56 E"),426,IF(Atletas!P43="Sun 73 E",427,IF(Atletas!P43="Wu 45 E",428,IF(Atletas!P43="Wu-Hao 46 E",429,IF(OR(Atletas!P43="Taijiquan 16 E",Atletas!P43="Taijiquan 24 E",Atletas!P43="Taijiquan 32 E",Atletas!P43="Taijiquan 42 E"),430,IF(OR(Atletas!P43="Yang 26 F",Atletas!P43="Yang 40 F"),431,IF(OR(Atletas!P43="Chen 25 F",Atletas!P43="Chen 36 F",Atletas!P43="Chen 56 F"),432,IF(Atletas!P43="Sun 73 F",433,IF(Atletas!P43="Wu 45 F",434,IF(Atletas!P43="Wu-Hao 46 F",435,IF(OR(Atletas!P43="Taijiquan 16 F",Atletas!P43="Taijiquan 24 F",Atletas!P43="Taijiquan 32 F",Atletas!P43="Taijiquan 42 F"),436,0)))))))))))))))))))</f>
        <v/>
      </c>
      <c r="BY52" s="50" t="str">
        <f>IF(Atletas!Q43="","",IF(Atletas!X43&lt;&gt;"",10000,0)+IF(Atletas!B43="Feminino",1000,IF(Atletas!B43="Masculino",2000,""))+IF(Atletas!Q43="Xingyiquan A",501,IF(Atletas!Q43="Baguazhang A",502,IF(Atletas!Q43="Outro Estilo Interno A",503,IF(Atletas!Q43="Xingyiquan B",504,IF(Atletas!Q43="Baguazhang B",505,IF(Atletas!Q43="Outro Estilo Interno B",506,IF(Atletas!Q43="Xingyiquan C",507,IF(Atletas!Q43="Baguazhang C",508,IF(Atletas!Q43="Outro Estilo Interno C",509,IF(Atletas!Q43="Xingyiquan D",510,IF(Atletas!Q43="Baguazhang D",511,IF(Atletas!Q43="Outro Estilo Interno D",512,IF(Atletas!Q43="Xingyiquan E",513,IF(Atletas!Q43="Baguazhang E",514,IF(Atletas!Q43="Outro Estilo Interno E",515,IF(Atletas!Q43="Xingyiquan F",516,IF(Atletas!Q43="Baguazhang F",517,IF(Atletas!Q43="Outro Estilo Interno F",518, "")))))))))))))))))))</f>
        <v/>
      </c>
      <c r="BZ52" s="50" t="str">
        <f>IF(Atletas!R43="","",IF(Atletas!X43&lt;&gt;"",10000,0)+IF(Atletas!B43="Feminino",1000,IF(Atletas!B43="Masculino",2000,""))+IF(Atletas!R43="Dao A",601,IF(Atletas!R43="Jian A",602,IF(Atletas!R43="Bishou A",603,IF(Atletas!R43="Shanzi A",604,IF(Atletas!R43="Outra Arma Curta A",605,IF(Atletas!R43="Dao B",606,IF(Atletas!R43="Jian B",607,IF(Atletas!R43="Bishou B",608,IF(Atletas!R43="Shanzi B",609,IF(Atletas!R43="Outra Arma Curta B",610,IF(Atletas!R43="Dao C",611,IF(Atletas!R43="Jian C",612,IF(Atletas!R43="Bishou C",613,IF(Atletas!R43="Shanzi C",614,IF(Atletas!R43="Outra Arma Curta C",615,IF(Atletas!R43="Dao D",616,IF(Atletas!R43="Jian D",617,IF(Atletas!R43="Bishou D",618,IF(Atletas!R43="Shanzi D",619,IF(Atletas!R43="Outra Arma Curta D",620,IF(Atletas!R43="Dao E",621,IF(Atletas!R43="Jian E",622,IF(Atletas!R43="Bishou E",623,IF(Atletas!R43="Shanzi E",624,IF(Atletas!R43="Outra Arma Curta E",625,IF(Atletas!R43="Dao F",626,IF(Atletas!R43="Jian F",627,IF(Atletas!R43="Bishou F",628,IF(Atletas!R43="Shanzi F",629,IF(Atletas!R43="Outra Arma Curta F",630, "")))))))))))))))))))))))))))))))</f>
        <v/>
      </c>
      <c r="CA52" s="50" t="str">
        <f>IF(Atletas!S43="","",IF(Atletas!X43&lt;&gt;"",10000,0)+IF(Atletas!B43="Feminino",1000,IF(Atletas!B43="Masculino",2000,""))+IF(Atletas!S43="Gun A",701,IF(Atletas!S43="Qiang A",702,IF(Atletas!S43="Pudao / Guandao A",703,IF(Atletas!S43="Outra Arma Longa A",704,IF(Atletas!S43="Gun B",705,IF(Atletas!S43="Qiang B",706,IF(Atletas!S43="Pudao / Guandao B",707,IF(Atletas!S43="Outra Arma Longa B",708,IF(Atletas!S43="Gun C",709,IF(Atletas!S43="Qiang C",710,IF(Atletas!S43="Pudao / Guandao C",711,IF(Atletas!S43="Outra Arma Longa C",712,IF(Atletas!S43="Gun D",713,IF(Atletas!S43="Qiang D",714,IF(Atletas!S43="Pudao / Guandao D",715,IF(Atletas!S43="Outra Arma Longa D",716,IF(Atletas!S43="Gun E",717,IF(Atletas!S43="Qiang E",718,IF(Atletas!S43="Pudao / Guandao E",719,IF(Atletas!S43="Outra Arma Longa E",720,IF(Atletas!S43="Gun F",721,IF(Atletas!S43="Qiang F",722,IF(Atletas!S43="Pudao / Guandao F",723,IF(Atletas!S43="Outra Arma Longa F",724,"")))))))))))))))))))))))))</f>
        <v/>
      </c>
      <c r="CB52" s="50" t="str">
        <f>IF(Atletas!T43="","",IF(Atletas!X43&lt;&gt;"",10000,0)+IF(Atletas!B43="Feminino",1000,IF(Atletas!B43="Masculino",2000,""))+IF(Atletas!T43="Outra Arma Dupla A",801,IF(Atletas!T43="Arma Maleável A",802,IF(Atletas!T43="Outra Arma Dupla B",803,IF(Atletas!T43="Arma Maleável B",804,IF(Atletas!T43="Outra Arma Dupla C",805,IF(Atletas!T43="Arma Maleável C",806,IF(Atletas!T43="Outra Arma Dupla D",807,IF(Atletas!T43="Arma Maleável D",808,IF(Atletas!T43="Outra Arma Dupla E",809,IF(Atletas!T43="Arma Maleável E",810,IF(Atletas!T43="Outra Arma Dupla F",811,IF(Atletas!T43="Arma Maleável F",812,IF(Atletas!T43="Shuangdao A",813,IF(Atletas!T43="Shuangdao B",814,IF(Atletas!T43="Shuangdao C",815,IF(Atletas!T43="Shuangdao D",816,IF(Atletas!T43="Shuangdao E",817,IF(Atletas!T43="Shuangdao F",818,"")))))))))))))))))))</f>
        <v/>
      </c>
      <c r="CC52" s="50" t="str">
        <f>IF(Atletas!U43="","",IF(Atletas!X43&lt;&gt;"",10000,0)+IF(Atletas!B43="Feminino",1000,IF(Atletas!B43="Masculino",2000,""))+IF(OR(Atletas!U43="Taijijian Yang A",Atletas!U43="Taijijian Yang Standard A"),901,IF(OR(Atletas!U43="Taijijian Chen A", Atletas!U43="Taijijian Chen Standard A"),902,IF(Atletas!U43="Taijijian Sun A",903,IF(Atletas!U43="Taijijian Wu A",904,IF(Atletas!U43="Taijijian Wu-Hao A",905,IF(OR(Atletas!U43="Taijijian 32 A",Atletas!U43="Taijijian 42 A"),906,IF(OR(Atletas!U43="Taijijian Yang B",Atletas!U43="Taijijian Yang Standard B"),907,IF(OR(Atletas!U43="Taijijian Chen B", Atletas!U43="Taijijian Chen Standard B"),908,IF(Atletas!U43="Taijijian Sun B",909,IF(Atletas!U43="Taijijian Wu B",910,IF(Atletas!U43="Taijijian Wu-Hao B",911,IF(OR(Atletas!U43="Taijijian 32 B",Atletas!U43="Taijijian 42 B"),912,IF(OR(Atletas!U43="Taijijian Yang C",Atletas!U43="Taijijian Yang Standard C"),913,IF(OR(Atletas!U43="Taijijian Chen C", Atletas!U43="Taijijian Chen Standard C"),914,IF(Atletas!U43="Taijijian Sun C",915,IF(Atletas!U43="Taijijian Wu C",916,IF(Atletas!U43="Taijijian Wu-Hao C",917,IF(OR(Atletas!U43="Taijijian 32 C",Atletas!U43="Taijijian 42 C"),918,IF(OR(Atletas!U43="Taijijian Yang D",Atletas!U43="Taijijian Yang Standard D"),919,IF(OR(Atletas!U43="Taijijian Chen D", Atletas!U43="Taijijian Chen Standard D"),920,IF(Atletas!U43="Taijijian Sun D",921,IF(Atletas!U43="Taijijian Wu D",922,IF(Atletas!U43="Taijijian Wu-Hao D",923,IF(OR(Atletas!U43="Taijijian 32 D",Atletas!U43="Taijijian 42 D"),924,IF(OR(Atletas!U43="Taijijian Yang E",Atletas!U43="Taijijian Yang Standard E"),925,IF(OR(Atletas!U43="Taijijian Chen E", Atletas!U43="Taijijian Chen Standard E"),926,IF(Atletas!U43="Taijijian Sun E",927,IF(Atletas!U43="Taijijian Wu E",928,IF(Atletas!U43="Taijijian Wu-Hao E",929,IF(OR(Atletas!U43="Taijijian 32 E",Atletas!U43="Taijijian 42 E"),930,IF(OR(Atletas!U43="Taijijian Yang F",Atletas!U43="Taijijian Yang Standard F"),931,IF(OR(Atletas!U43="Taijijian Chen F", Atletas!U43="Taijijian Chen Standard F"),932,IF(Atletas!U43="Taijijian Sun F",933,IF(Atletas!U43="Taijijian Wu F",934,IF(Atletas!U43="Taijijian Wu-Hao F",935,IF(OR(Atletas!U43="Taijijian 32 F",Atletas!U43="Taijijian 42 F"),936,"")))))))))))))))))))))))))))))))))))))</f>
        <v/>
      </c>
      <c r="CD52" s="50" t="str">
        <f>IF(Atletas!V43="","",IF(Atletas!X43&lt;&gt;"",10000,0)+IF(Atletas!B43="Feminino",1000,IF(Atletas!B43="Masculino",2000,""))+IF(Atletas!V43="Taijidao A",937,IF(Atletas!V43="TaijiShanzi A",938,IF(Atletas!V43="Taijiqiang A",939,IF(Atletas!V43="Bagua de Arma A",940,IF(Atletas!V43="Xingyi de Arma A",941,IF(Atletas!V43="Taijidao B",942,IF(Atletas!V43="TaijiShanzi B",943,IF(Atletas!V43="Taijiqiang B",944,IF(Atletas!V43="Bagua de Arma B",945,IF(Atletas!V43="Xingyi de Arma B",946,IF(Atletas!V43="Taijidao C",947,IF(Atletas!V43="TaijiShanzi C",948,IF(Atletas!V43="Taijiqiang C",949,IF(Atletas!V43="Bagua de Arma C",950,IF(Atletas!V43="Xingyi de Arma C",951,IF(Atletas!V43="Taijidao D",952,IF(Atletas!V43="TaijiShanzi D",953,IF(Atletas!V43="Taijiqiang D",954,IF(Atletas!V43="Bagua de Arma D",955,IF(Atletas!V43="Xingyi de Arma D",956,IF(Atletas!V43="Taijidao E",957,IF(Atletas!V43="TaijiShanzi E",958,IF(Atletas!V43="Taijiqiang E",959,IF(Atletas!V43="Bagua de Arma E",960,IF(Atletas!V43="Xingyi de Arma E",961,IF(Atletas!V43="Taijidao F",962,IF(Atletas!V43="TaijiShanzi F",963,IF(Atletas!V43="Taijiqiang F",964,IF(Atletas!V43="Bagua de Arma F",965,IF(Atletas!V43="Xingyi de Arma F",966,"")))))))))))))))))))))))))))))))</f>
        <v/>
      </c>
      <c r="CE52" s="66" t="str">
        <f>IF(CF52&lt;&gt;"","Yingzhaoquan A","")</f>
        <v/>
      </c>
      <c r="CF52" s="66" t="str">
        <f>IF(COUNTIF(BR:CD,1110)&gt;0,COUNTIF(BR:CD,1110),"")</f>
        <v/>
      </c>
      <c r="CG52" s="66" t="str">
        <f>IF(CH52&lt;&gt;"","Yingzhaoquan A","")</f>
        <v/>
      </c>
      <c r="CH52" s="66" t="str">
        <f>IF(COUNTIF(BR:CD,2110)&gt;0,COUNTIF(BR:CD,2110),"")</f>
        <v/>
      </c>
      <c r="CI52" s="66" t="str">
        <f>IF(CJ52&lt;&gt;"","Fanziquan B","")</f>
        <v/>
      </c>
      <c r="CJ52" s="66" t="str">
        <f>IF(COUNTIF(BR:CD,11116)&gt;0,COUNTIF(BR:CD,11116),"")</f>
        <v/>
      </c>
      <c r="CK52" s="66" t="str">
        <f>IF(CL52&lt;&gt;"","Fanziquan B","")</f>
        <v/>
      </c>
      <c r="CL52" s="66" t="str">
        <f>IF(COUNTIF(BR:CD,12116)&gt;0,COUNTIF(BR:CD,12116),"")</f>
        <v/>
      </c>
      <c r="CM52" s="50" t="str">
        <f xml:space="preserve"> IF(Atletas!W43="","",IF(Atletas!W43="Duilian de Mãos BC - Equipe 1",1,IF(Atletas!W43="Duilian de Mãos BC - Equipe 2",2,IF(Atletas!W43="Duilian de Armas BC - Equipe 1",3,IF(Atletas!W43="Duilian de Armas BC - Equipe 2",4,IF(Atletas!W43="Duilian de Mãos DE - Equipe 1",5,IF(Atletas!W43="Duilian de Mãos DE - Equipe 2",6,IF(Atletas!W43="Duilian de Armas DE - Equipe 1",7,IF(Atletas!W43="Duilian de Armas DE - Equipe 2",8,IF(Atletas!W43="Duilian de Tuishou - Equipe 1",9,IF(Atletas!W43="Duilian de Tuishou - Equipe 2",10,IF(Atletas!W43="Grupo Externo ABC - Equipe 1",11,IF(Atletas!W43="Grupo Externo ABC - Equipe 2",12,IF(Atletas!W43="Grupo Interno ABC - Equipe 1",13,IF(Atletas!W43="Grupo Interno ABC - Equipe 2",14,IF(Atletas!W43="Grupo Externo DEF - Equipe 1",15,IF(Atletas!W43="Grupo Externo DEF - Equipe 2",16,IF(Atletas!W43="Grupo Interno DEF - Equipe 1",17,IF(Atletas!W43="Grupo Interno DEF - Equipe 2",18,"")))))))))))))))))))</f>
        <v/>
      </c>
      <c r="CY52" s="41"/>
    </row>
    <row r="53" spans="2:103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 t="str">
        <f t="array" ref="R53">IFERROR(INDEX(BI$7:BI$68,SMALL(IF(BI$7:BI$68&lt;&gt;"",ROW(BI$7:BI$68)-ROW(BI$7)+1),ROWS(BI$7:BI52))),"")</f>
        <v/>
      </c>
      <c r="S53" s="3" t="str">
        <f t="array" ref="S53">IFERROR(INDEX(BJ$7:BJ$68,SMALL(IF(BJ$7:BJ$68&lt;&gt;"",ROW(BJ$7:BJ$68)-ROW(BJ$7)+1),ROWS(BJ$7:BJ52))),"")</f>
        <v/>
      </c>
      <c r="T53" s="3" t="str">
        <f t="array" ref="T53">IFERROR(INDEX(BK$7:BK$68,SMALL(IF(BK$7:BK$68&lt;&gt;"",ROW(BK$7:BK$68)-ROW(BK$7)+1),ROWS(BK$7:BK52))),"")</f>
        <v/>
      </c>
      <c r="U53" s="3" t="str">
        <f t="array" ref="U53">IFERROR(INDEX(BL$7:BL$68,SMALL(IF(BL$7:BL$68&lt;&gt;"",ROW(BL$7:BL$68)-ROW(BL$7)+1),ROWS(BL$7:BL52))),"")</f>
        <v/>
      </c>
      <c r="V53" s="3"/>
      <c r="W53" s="3"/>
      <c r="X53" s="20"/>
      <c r="Y53" s="3"/>
      <c r="Z53" s="3" t="str">
        <f t="array" ref="Z53">IFERROR(INDEX(CE$7:CE$348,SMALL(IF(CE$7:CE$348&lt;&gt;"",ROW(CE$7:CE$348)-ROW(CE$7)+1),ROWS(CE$7:CE52))),"")</f>
        <v/>
      </c>
      <c r="AA53" s="3" t="str">
        <f t="array" ref="AA53">IFERROR(INDEX(CF$7:CF$348,SMALL(IF(CF$7:CF$348&lt;&gt;"",ROW(CF$7:CF$348)-ROW(CF$7)+1),ROWS(CF$7:CF52))),"")</f>
        <v/>
      </c>
      <c r="AB53" s="3" t="str">
        <f t="array" ref="AB53">IFERROR(INDEX(CG$7:CG$348,SMALL(IF(CG$7:CG$348&lt;&gt;"",ROW(CG$7:CG$348)-ROW(CG$7)+1),ROWS(CG$7:CG52))),"")</f>
        <v/>
      </c>
      <c r="AC53" s="3" t="str">
        <f t="array" ref="AC53">IFERROR(INDEX(CH$7:CH$348,SMALL(IF(CH$7:CH$348&lt;&gt;"",ROW(CH$7:CH$348)-ROW(CH$7)+1),ROWS(CH$7:CH52))),"")</f>
        <v/>
      </c>
      <c r="AD53" s="3" t="str">
        <f t="array" ref="AD53">IFERROR(INDEX(CI$7:CI$377,SMALL(IF(CI$7:CI$377&lt;&gt;"",ROW(CI$7:CI$377)-ROW(CI$7)+1),ROWS(CI$7:CI52))),"")</f>
        <v/>
      </c>
      <c r="AE53" s="3" t="str">
        <f t="array" ref="AE53">IFERROR(INDEX(CJ$7:CJ$378,SMALL(IF(CJ$7:CJ$378&lt;&gt;"",ROW(CJ$7:CJ$378)-ROW(CJ$7)+1),ROWS(CJ$7:CJ52))),"")</f>
        <v/>
      </c>
      <c r="AF53" s="3" t="str">
        <f t="array" ref="AF53">IFERROR(INDEX(CK$7:CK$378,SMALL(IF(CK$7:CK$378&lt;&gt;"",ROW(CK$7:CK$378)-ROW(CK$7)+1),ROWS(CK$7:CK52))),"")</f>
        <v/>
      </c>
      <c r="AG53" s="3" t="str">
        <f t="array" ref="AG53">IFERROR(INDEX(CL$7:CL$378,SMALL(IF(CL$7:CL$378&lt;&gt;"",ROW(CL$7:CL$378)-ROW(CL$7)+1),ROWS(CL$7:CL52))),"")</f>
        <v/>
      </c>
      <c r="AH53" s="3"/>
      <c r="AI53" s="3"/>
      <c r="AJ53" s="3"/>
      <c r="AK53" s="3"/>
      <c r="AL53" s="3"/>
      <c r="AM53" s="3"/>
      <c r="AN53" s="52" t="str">
        <f>IF(Atletas!D44="","",IF(Atletas!B44="Feminino",100,IF(Atletas!B44="Masculino",200,""))+(IF(Atletas!D44="Kids 30kg",1,IF(Atletas!D44="Kids 32kg",2, IF(Atletas!D44="Kids 34kg",3,IF(Atletas!D44="Kids 36kg",4,IF(Atletas!D44="Kids 39kg",5,IF(Atletas!D44="Kids 42kg",6,IF(Atletas!D44="Kids 45kg",7, IF(Atletas!D44="Infantil 39kg",8,IF(Atletas!D44="Infantil 42kg",9,IF(Atletas!D44="Infantil 45kg",10,IF(Atletas!D44="Infantil 48kg",11,IF(Atletas!D44="Infantil 52kg",12,IF(Atletas!D44="Infantil 56kg",13,IF(Atletas!D44="Infantil 60kg",14,IF(Atletas!D44="Juvenil 48kg",15,IF(Atletas!D44="Juvenil 52kg",16,IF(Atletas!D44="Juvenil 56kg",17,IF(Atletas!D44="Juvenil 60kg",18,IF(Atletas!D44="Juvenil 65kg",19,IF(Atletas!D44="Juvenil 70kg",20,IF(Atletas!D44="Juvenil 75kg",21,IF(Atletas!D44="Juvenil 80kg",22, IF(Atletas!D44="Juvenil 85kg",23,IF(Atletas!D44="Adulto 48kg",24,IF(Atletas!D44="Adulto 52kg",25,IF(Atletas!D44="Adulto 56kg",26,IF(Atletas!D44="Adulto 60kg",27,IF(Atletas!D44="Adulto 65kg",28,IF(Atletas!D44="Adulto 70kg",29,IF(Atletas!D44="Adulto 75kg",30,IF(Atletas!D44="Adulto 80kg",31,IF(Atletas!D44="Adulto 85kg",32,IF(Atletas!D44="Adulto 90kg",33,IF(Atletas!D44="Adulto 100kg",34, IF(Atletas!D44="Adulto +100kg",35,"")))))))))))))))))))))))))))))))))))))</f>
        <v/>
      </c>
      <c r="AS53" s="6" t="str">
        <f>IF(Atletas!E44="","",IF(Atletas!B44="Feminino",100,IF(Atletas!B44="Masculino",200,""))+(IF(Atletas!E44="Juvenil 44kg",1,IF(Atletas!E44="Juvenil 48kg",2,IF(Atletas!E44="Juvenil 52kg",3,IF(Atletas!E44="Juvenil 56kg",4,IF(Atletas!E44="Juvenil 60kg",5,IF(Atletas!E44="Juvenil 65kg",6,IF(Atletas!E44="Juvenil 70kg",7,IF(Atletas!E44="Juvenil 75kg",8,IF(Atletas!E44="Juvenil 82kg",9,IF(Atletas!E44="Juvenil 90kg",10,IF(Atletas!E44="Juvenil 100kg",11,IF(Atletas!E44="Adulto 48kg",12,IF(Atletas!E44="Adulto 52kg",13,IF(Atletas!E44="Adulto 56kg",14,IF(Atletas!E44="Adulto 60kg",15,IF(Atletas!E44="Adulto 65kg",16,IF(Atletas!E44="Adulto 70kg",17,IF(Atletas!E44="Adulto 75kg",18,IF(Atletas!E44="Adulto 82kg",19,IF(Atletas!E44="Adulto 90kg",20,IF(Atletas!E44="Adulto 100kg",21,IF(Atletas!E44="Adulto +100kg",22,""))))))))))))))))))))))))</f>
        <v/>
      </c>
      <c r="AX53" s="6" t="str">
        <f>IF(Atletas!F44="","",IF(Atletas!B44="Feminino",100,IF(Atletas!B44="Masculino",200,""))+(IF(Atletas!F44="Adulto 48kg",1,IF(Atletas!F44="Adulto 56kg",2,IF(Atletas!F44="Adulto 65kg",3,IF(Atletas!F44="Adulto 75kg",4,IF(Atletas!F44="Adulto +75kg",5,IF(Atletas!F44="Adulto 52kg",6,IF(Atletas!F44="Adulto 60kg",7,IF(Atletas!F44="Adulto 70kg",8,IF(Atletas!F44="Adulto 80kg",9,IF(Atletas!F44="Adulto 90kg",10,IF(Atletas!F44="Adulto +90kg",11,"")))))))))))))</f>
        <v/>
      </c>
      <c r="BC53" s="6" t="str">
        <f>IF(Atletas!G44="","",IF(Atletas!B44="Feminino",10,IF(Atletas!B44="Masculino",20,""))+(IF(Atletas!G44="Baduanjin A",1,IF(Atletas!G44="Baduanjin B",2))))</f>
        <v/>
      </c>
      <c r="BF53" s="52" t="str">
        <f>IF(Atletas!H44="","",IF(Atletas!B44="Feminino",100,IF(Atletas!B44="Masculino",200,""))+(IF(Atletas!H44="Changquan Mirim",1,IF(Atletas!H44="Nanquan Mirim",2,IF(Atletas!H44="Taijiquan Mirim",3,IF(Atletas!H44="Changquan Grupo C",4,IF(Atletas!H44="Nanquan Grupo C",5,IF(Atletas!H44="Taijiquan Grupo C",6,IF(Atletas!H44="Changquan Grupo B",7,IF(Atletas!H44="Nanquan Grupo B",8,IF(Atletas!H44="Taijiquan Grupo B",9,IF(Atletas!H44="Changquan Grupo A",10,IF(Atletas!H44="Nanquan Grupo A",11,IF(Atletas!H44="Taijiquan Grupo A",12,IF(Atletas!H44="Changquan Opcional",13,IF(Atletas!H44="Nanquan Opcional",14,IF(Atletas!H44="Taijiquan Opcional",15,IF(Atletas!H44="Changquan Adulto",16,IF(Atletas!H44="Nanquan Adulto",17,IF(Atletas!H44="Taijiquan Adulto",18,""))))))))))))))))))))</f>
        <v/>
      </c>
      <c r="BG53" s="52" t="str">
        <f>IF(Atletas!I44="","",IF(Atletas!B44="Feminino",100,IF(Atletas!B44="Masculino",200,""))+(IF(Atletas!I44="Daoshu Mirim",19,IF(Atletas!I44="Jianshu Mirim",20,IF(Atletas!I44="Nandao Mirim",21,IF(Atletas!I44="Taijijian Mirim",22,IF(Atletas!I44="Daoshu Grupo C",23,IF(Atletas!I44="Jianshu Grupo C",24,IF(Atletas!I44="Nandao Grupo C",25,IF(Atletas!I44="Taijijian Grupo C",26,IF(Atletas!I44="Daoshu Grupo B",27,IF(Atletas!I44="Jianshu Grupo B",28,IF(Atletas!I44="Nandao Grupo B",29,IF(Atletas!I44="Taijijian Grupo B",30,IF(Atletas!I44="Daoshu Grupo A",31,IF(Atletas!I44="Jianshu Grupo A",32,IF(Atletas!I44="Nandao Grupo A",33,IF(Atletas!I44="Taijijian Grupo A",34,IF(Atletas!I44="Daoshu Opcional",35,IF(Atletas!I44="Jianshu Opcional",36,IF(Atletas!I44="Nandao Opcional",37,IF(Atletas!I44="Taijijian Opcional",38,IF(Atletas!I44="Daoshu Adulto",39,IF(Atletas!I44="Jianshu Adulto",40,IF(Atletas!I44="Nandao Adulto",41,IF(Atletas!I44="Taijijian Adulto",42,""))))))))))))))))))))))))))</f>
        <v/>
      </c>
      <c r="BH53" s="52" t="str">
        <f>IF(Atletas!J44="","",IF(Atletas!B44="Feminino",100,IF(Atletas!B44="Masculino",200,""))+(IF(Atletas!J44="Gunshu Mirim",43,IF(Atletas!J44="Qiangshu Mirim",44,IF(Atletas!J44="Nangun Mirim",45,IF(Atletas!J44="Gunshu Grupo C",46,IF(Atletas!J44="Qiangshu Grupo C",47,IF(Atletas!J44="Nangun Grupo C",48,IF(Atletas!J44="Gunshu Grupo B",49,IF(Atletas!J44="Qiangshu Grupo B",50,IF(Atletas!J44="Nangun Grupo B",51,IF(Atletas!J44="Gunshu Grupo A",52,IF(Atletas!J44="Qiangshu Grupo A",53,IF(Atletas!J44="Nangun Grupo A",54,IF(Atletas!J44="Gunshu Opcional",55,IF(Atletas!J44="Qiangshu Opcional",56,IF(Atletas!J44="Nangun Opcional",57,IF(Atletas!J44="Gunshu Adulto",58,IF(Atletas!J44="Qiangshu Adulto",59,IF(Atletas!J44="Nangun Adulto",60,IF(Atletas!J44="Taijishan Grupo B",61,IF(Atletas!J44="Taijishan Grupo A",62,""))))))))))))))))))))))</f>
        <v/>
      </c>
      <c r="BI53" s="6" t="str">
        <f>IF(BJ53&lt;&gt;"","Jianshu Opcional","")</f>
        <v/>
      </c>
      <c r="BJ53" s="50" t="str">
        <f>IF(COUNTIF(BF:BH,136)&gt;0,COUNTIF(BF:BH,136),"")</f>
        <v/>
      </c>
      <c r="BK53" s="6" t="str">
        <f>IF(BL53&lt;&gt;"","Jianshu Opcional","")</f>
        <v/>
      </c>
      <c r="BL53" s="50" t="str">
        <f>IF(COUNTIF(BF:BH,236)&gt;0,COUNTIF(BF:BH,236),"")</f>
        <v/>
      </c>
      <c r="BM53" s="50" t="str">
        <f>IF(Atletas!K44="","",IF(Atletas!B44="Feminino",100,IF(Atletas!B44="Masculino",200,""))+(IF(Atletas!K44="Equipe 1 Grupo B",1,IF(Atletas!K44="Equipe 2 Grupo B",2,IF(Atletas!K44="Equipe 1 Grupo A",3,IF(Atletas!K44="Equipe 2 Grupo A",4,IF(Atletas!K44="Equipe 1 Adulto",5,IF(Atletas!K44="Equipe 2 Adulto",6,""))))))))</f>
        <v/>
      </c>
      <c r="BR53" s="50" t="str">
        <f>IF(Atletas!L44="","",IF(Atletas!X44&lt;&gt;"",10000,0)+(IF(Atletas!B44="Feminino",1000,IF(Atletas!B44="Masculino",2000,""))+IF(Atletas!L44="Choylayfut A",1,IF(Atletas!L44="Hunggar A",2,IF(Atletas!L44="Wuzuquan A",3,IF(Atletas!L44="Wingchun A",4,IF(Atletas!L44="Outra Mão de Sul A",5,IF(Atletas!L44="Choylayfut B",6,IF(Atletas!L44="Hunggar B",7,IF(Atletas!L44="Wuzuquan B",8,IF(Atletas!L44="Wingchun B",9,IF(Atletas!L44="Outra Mão de Sul B",10,IF(Atletas!L44="Choylayfut C",11,IF(Atletas!L44="Hunggar C",12,IF(Atletas!L44="Wuzuquan C",13,IF(Atletas!L44="Wingchun C",14,IF(Atletas!L44="Outra Mão de Sul C",15,IF(Atletas!L44="Choylayfut D",16,IF(Atletas!L44="Hunggar D",17,IF(Atletas!L44="Wuzuquan D",18,IF(Atletas!L44="Wingchun D",19,IF(Atletas!L44="Outra Mão de Sul D",20,IF(Atletas!L44="Choylayfut E",21,IF(Atletas!L44="Hunggar E",22,IF(Atletas!L44="Wuzuquan E",23,IF(Atletas!L44="Wingchun E",24,IF(Atletas!L44="Outra Mão de Sul E",25,IF(Atletas!L44="Choylayfut F",26,IF(Atletas!L44="Hunggar F",27,IF(Atletas!L44="Wuzuquan F",28,IF(Atletas!L44="Wingchun F",29,IF(Atletas!L44="Outra Mão de Sul F",30,IF(Atletas!L44="Dishuquan A",31,IF(Atletas!L44="Dishuquan B",32,IF(Atletas!L44="Dishuquan C",33,IF(Atletas!L44="Dishuquan D",34,IF(Atletas!L44="Dishuquan E",35,IF(Atletas!L44="Dishuquan F",36,""))))))))))))))))))))))))))))))))))))))</f>
        <v/>
      </c>
      <c r="BS53" s="50" t="str">
        <f>IF(Atletas!M44="","",IF(Atletas!X44&lt;&gt;"",10000,0)+(IF(Atletas!B44="Feminino",1000,IF(Atletas!B44="Masculino",2000,""))+(IF(Atletas!M44="Chaquan A",101,IF(Atletas!M44="Emeiquan A",102,IF(Atletas!M44="Fanziquan A",103,IF(Atletas!M44="Huaquan A",104,IF(Atletas!M44="Hongquan A",105,IF(Atletas!M44="Paoquan A",106,IF(Atletas!M44="Piguaquan A",107,IF(Atletas!M44="Shaolinquan A",108,IF(Atletas!M44="Tanglangquan A",109,IF(Atletas!M44="Yingzhaoquan A",110,IF(Atletas!M44="Tongbeiquan A",111,IF(Atletas!M44="Wudangquan A",112,IF(Atletas!M44="Outros Estilos A",113,IF(Atletas!M44="Chaquan B",114,IF(Atletas!M44="Emeiquan B",115,IF(Atletas!M44="Fanziquan B",116,IF(Atletas!M44="Huaquan B",117,IF(Atletas!M44="Hongquan B",118,IF(Atletas!M44="Paoquan B",119,IF(Atletas!M44="Piguaquan B",120,IF(Atletas!M44="Shaolinquan B",121,IF(Atletas!M44="Tanglangquan B",122,IF(Atletas!M44="Yingzhaoquan B",123,IF(Atletas!M44="Tongbeiquan B",124,IF(Atletas!M44="Wudangquan B",125,IF(Atletas!M44="Outros Estilos B",126,IF(Atletas!M44="Chaquan C",127,IF(Atletas!M44="Emeiquan C",128,IF(Atletas!M44="Fanziquan C",129,IF(Atletas!M44="Huaquan C",130,IF(Atletas!M44="Hongquan C",131,IF(Atletas!M44="Paoquan C",132,IF(Atletas!M44="Piguaquan C",133,IF(Atletas!M44="Shaolinquan C",134,IF(Atletas!M44="Tanglangquan C",135,IF(Atletas!M44="Yingzhaoquan C",136,IF(Atletas!M44="Tongbeiquan C",137,IF(Atletas!M44="Wudangquan C",138,IF(Atletas!M44="Outros Estilos C",139,0))))))))))))))))))))))))))))))))))))))))))</f>
        <v/>
      </c>
      <c r="BT53" s="50" t="str">
        <f>IF(Atletas!M44="","",IF(Atletas!X44&lt;&gt;"",10000,0)+(IF(Atletas!B44="Feminino",1000,IF(Atletas!B44="Masculino",2000,""))+(IF(Atletas!M44="Chaquan D",140,IF(Atletas!M44="Emeiquan D",141,IF(Atletas!M44="Fanziquan D",142,IF(Atletas!M44="Huaquan D",143,IF(Atletas!M44="Hongquan D",144,IF(Atletas!M44="Paoquan D",145,IF(Atletas!M44="Piguaquan D",146,IF(Atletas!M44="Shaolinquan D",147,IF(Atletas!M44="Tanglangquan D",148,IF(Atletas!M44="Yingzhaoquan D",149,IF(Atletas!M44="Tongbeiquan D",150,IF(Atletas!M44="Wudangquan D",151,IF(Atletas!M44="Outros Estilos D",152,IF(Atletas!M44="Chaquan E",153,IF(Atletas!M44="Emeiquan E",154,IF(Atletas!M44="Fanziquan E",155,IF(Atletas!M44="Huaquan E",156,IF(Atletas!M44="Hongquan E",157,IF(Atletas!M44="Paoquan E",158,IF(Atletas!M44="Piguaquan E",159,IF(Atletas!M44="Shaolinquan E",160,IF(Atletas!M44="Tanglangquan E",161,IF(Atletas!M44="Yingzhaoquan E",162,IF(Atletas!M44="Tongbeiquan E",163,IF(Atletas!M44="Wudangquan E",164,IF(Atletas!M44="Outros Estilos E",165,IF(Atletas!M44="Chaquan F",166,IF(Atletas!M44="Emeiquan F",167,IF(Atletas!M44="Fanziquan F",168,IF(Atletas!M44="Huaquan F",169,IF(Atletas!M44="Hongquan F",170,IF(Atletas!M44="Paoquan F",171,IF(Atletas!M44="Piguaquan F",172,IF(Atletas!M44="Shaolinquan F",173,IF(Atletas!M44="Tanglangquan F",174,IF(Atletas!M44="Yingzhaoquan F",175,IF(Atletas!M44="Tongbeiquan F",176,IF(Atletas!M44="Wudangquan F",177,IF(Atletas!M44="Outros Estilos F",178,0))))))))))))))))))))))))))))))))))))))))))</f>
        <v/>
      </c>
      <c r="BU53" s="50" t="str">
        <f>IF(Atletas!N44="","",IF(Atletas!X44&lt;&gt;"",10000,0)+(IF(Atletas!B44="Feminino",1000,IF(Atletas!B44="Masculino",2000,""))+(IF(Atletas!N44="Ditangquan A",201,IF(Atletas!N44="Houquan A",202,IF(Atletas!N44="Zuiquan A",203,IF(Atletas!N44="Ditangquan B",204,IF(Atletas!N44="Houquan B",205,IF(Atletas!N44="Zuiquan B",206,IF(Atletas!N44="Ditangquan C",207,IF(Atletas!N44="Houquan C",208,IF(Atletas!N44="Zuiquan C",209,IF(Atletas!N44="Ditangquan D",210,IF(Atletas!N44="Houquan D",211,IF(Atletas!N44="Zuiquan D",212,IF(Atletas!N44="Ditangquan E",213,IF(Atletas!N44="Houquan E",214,IF(Atletas!N44="Zuiquan E",215,IF(Atletas!N44="Ditangquan F",216,IF(Atletas!N44="Houquan F",217,IF(Atletas!N44="Zuiquan F",218,"")))))))))))))))))))))</f>
        <v/>
      </c>
      <c r="BV53" s="50" t="str">
        <f>IF(Atletas!O44="","",IF(Atletas!X44&lt;&gt;"",10000,0)+IF(Atletas!B44="Feminino",1000,IF(Atletas!B44="Masculino",2000,""))+IF(Atletas!O44="Yang A",301,IF(Atletas!O44="Chen A",302,IF(Atletas!O44="Sun A",303,IF(Atletas!O44="Wu A",304,IF(Atletas!O44="Wu-Hao A",305,IF(Atletas!O44="Outro Taijiquan A",306,IF(Atletas!O44="Yang B",307,IF(Atletas!O44="Chen B",308,IF(Atletas!O44="Sun B",309,IF(Atletas!O44="Wu B",310,IF(Atletas!O44="Wu-Hao B",311,IF(Atletas!O44="Outro Taijiquan B",312,IF(Atletas!O44="Yang C",313,IF(Atletas!O44="Chen C",314,IF(Atletas!O44="Sun C",315,IF(Atletas!O44="Wu C",316,IF(Atletas!O44="Wu-Hao C",317,IF(Atletas!O44="Outro Taijiquan C",318,IF(Atletas!O44="Yang D",319,IF(Atletas!O44="Chen D",320,IF(Atletas!O44="Sun D",321,IF(Atletas!O44="Wu D",322,IF(Atletas!O44="Wu-Hao D",323,IF(Atletas!O44="Outro Taijiquan D",324,IF(Atletas!O44="Yang E",325,IF(Atletas!O44="Chen E",326,IF(Atletas!O44="Sun E",327,IF(Atletas!O44="Wu E",328,IF(Atletas!O44="Wu-Hao E",329,IF(Atletas!O44="Outro Taijiquan E",330,IF(Atletas!O44="Yang F",331,IF(Atletas!O44="Chen F",332,IF(Atletas!O44="Sun F",333,IF(Atletas!O44="Wu F",334,IF(Atletas!O44="Wu-Hao F",335,IF(Atletas!O44="Outro Taijiquan F",336,"")))))))))))))))))))))))))))))))))))))</f>
        <v/>
      </c>
      <c r="BW53" s="50" t="str">
        <f>IF(Atletas!P44="","",IF(Atletas!X44&lt;&gt;"",10000,0)+IF(Atletas!B44="Feminino",1000,IF(Atletas!B44="Masculino",2000,""))+IF(OR(Atletas!P44="Yang 26 A",Atletas!P44="Yang 40 A"),401,IF(OR(Atletas!P44="Chen 25 A",Atletas!P44="Chen 36 A",Atletas!P44="Chen 56 A"),402,IF(Atletas!P44="Sun 73 A",403,IF(Atletas!P44="Wu 45 A",404,IF(Atletas!P44="Wu-Hao 46 A",405,IF(OR(Atletas!P44="Taijiquan 16 A",Atletas!P44="Taijiquan 24 A",Atletas!P44="Taijiquan 32 A",Atletas!P44="Taijiquan 42 A"),406,IF(OR(Atletas!P44="Yang 26 B",Atletas!P44="Yang 40 B"),407,IF(OR(Atletas!P44="Chen 25 B",Atletas!P44="Chen 36 B",Atletas!P44="Chen 56 B"),408,IF(Atletas!P44="Sun 73 B",409,IF(Atletas!P44="Wu 45 B",410,IF(Atletas!P44="Wu-Hao 46 B",411,IF(OR(Atletas!P44="Taijiquan 16 B",Atletas!P44="Taijiquan 24 B",Atletas!P44="Taijiquan 32 B",Atletas!P44="Taijiquan 42 B"),412,IF(OR(Atletas!P44="Yang 26 C",Atletas!P44="Yang 40 C"),413,IF(OR(Atletas!P44="Chen 25 C",Atletas!P44="Chen 36 C",Atletas!P44="Chen 56 C"),414,IF(Atletas!P44="Sun 73 C",415,IF(Atletas!P44="Wu 45 C",416,IF(Atletas!P44="Wu-Hao 46 C",417,IF(OR(Atletas!P44="Taijiquan 16 C",Atletas!P44="Taijiquan 24 C",Atletas!P44="Taijiquan 32 C",Atletas!P44="Taijiquan 42 C"),418,0)))))))))))))))))))</f>
        <v/>
      </c>
      <c r="BX53" s="50" t="str">
        <f>IF(Atletas!P44="","",IF(Atletas!X44&lt;&gt;"",10000,0)+IF(Atletas!B44="Feminino",1000,IF(Atletas!B44="Masculino",2000,""))+IF(OR(Atletas!P44="Yang 26 D",Atletas!P44="Yang 40 D"),419,IF(OR(Atletas!P44="Chen 25 D",Atletas!P44="Chen 36 D",Atletas!P44="Chen 56 D"),420,IF(Atletas!P44="Sun 73 D",421,IF(Atletas!P44="Wu 45 D",422,IF(Atletas!P44="Wu-Hao 46 D",423,IF(OR(Atletas!P44="Taijiquan 16 D",Atletas!P44="Taijiquan 24 D",Atletas!P44="Taijiquan 32 D",Atletas!P44="Taijiquan 42 D"),424,IF(OR(Atletas!P44="Yang 26 E",Atletas!P44="Yang 40 E"),425,IF(OR(Atletas!P44="Chen 25 E",Atletas!P44="Chen 36 E",Atletas!P44="Chen 56 E"),426,IF(Atletas!P44="Sun 73 E",427,IF(Atletas!P44="Wu 45 E",428,IF(Atletas!P44="Wu-Hao 46 E",429,IF(OR(Atletas!P44="Taijiquan 16 E",Atletas!P44="Taijiquan 24 E",Atletas!P44="Taijiquan 32 E",Atletas!P44="Taijiquan 42 E"),430,IF(OR(Atletas!P44="Yang 26 F",Atletas!P44="Yang 40 F"),431,IF(OR(Atletas!P44="Chen 25 F",Atletas!P44="Chen 36 F",Atletas!P44="Chen 56 F"),432,IF(Atletas!P44="Sun 73 F",433,IF(Atletas!P44="Wu 45 F",434,IF(Atletas!P44="Wu-Hao 46 F",435,IF(OR(Atletas!P44="Taijiquan 16 F",Atletas!P44="Taijiquan 24 F",Atletas!P44="Taijiquan 32 F",Atletas!P44="Taijiquan 42 F"),436,0)))))))))))))))))))</f>
        <v/>
      </c>
      <c r="BY53" s="50" t="str">
        <f>IF(Atletas!Q44="","",IF(Atletas!X44&lt;&gt;"",10000,0)+IF(Atletas!B44="Feminino",1000,IF(Atletas!B44="Masculino",2000,""))+IF(Atletas!Q44="Xingyiquan A",501,IF(Atletas!Q44="Baguazhang A",502,IF(Atletas!Q44="Outro Estilo Interno A",503,IF(Atletas!Q44="Xingyiquan B",504,IF(Atletas!Q44="Baguazhang B",505,IF(Atletas!Q44="Outro Estilo Interno B",506,IF(Atletas!Q44="Xingyiquan C",507,IF(Atletas!Q44="Baguazhang C",508,IF(Atletas!Q44="Outro Estilo Interno C",509,IF(Atletas!Q44="Xingyiquan D",510,IF(Atletas!Q44="Baguazhang D",511,IF(Atletas!Q44="Outro Estilo Interno D",512,IF(Atletas!Q44="Xingyiquan E",513,IF(Atletas!Q44="Baguazhang E",514,IF(Atletas!Q44="Outro Estilo Interno E",515,IF(Atletas!Q44="Xingyiquan F",516,IF(Atletas!Q44="Baguazhang F",517,IF(Atletas!Q44="Outro Estilo Interno F",518, "")))))))))))))))))))</f>
        <v/>
      </c>
      <c r="BZ53" s="50" t="str">
        <f>IF(Atletas!R44="","",IF(Atletas!X44&lt;&gt;"",10000,0)+IF(Atletas!B44="Feminino",1000,IF(Atletas!B44="Masculino",2000,""))+IF(Atletas!R44="Dao A",601,IF(Atletas!R44="Jian A",602,IF(Atletas!R44="Bishou A",603,IF(Atletas!R44="Shanzi A",604,IF(Atletas!R44="Outra Arma Curta A",605,IF(Atletas!R44="Dao B",606,IF(Atletas!R44="Jian B",607,IF(Atletas!R44="Bishou B",608,IF(Atletas!R44="Shanzi B",609,IF(Atletas!R44="Outra Arma Curta B",610,IF(Atletas!R44="Dao C",611,IF(Atletas!R44="Jian C",612,IF(Atletas!R44="Bishou C",613,IF(Atletas!R44="Shanzi C",614,IF(Atletas!R44="Outra Arma Curta C",615,IF(Atletas!R44="Dao D",616,IF(Atletas!R44="Jian D",617,IF(Atletas!R44="Bishou D",618,IF(Atletas!R44="Shanzi D",619,IF(Atletas!R44="Outra Arma Curta D",620,IF(Atletas!R44="Dao E",621,IF(Atletas!R44="Jian E",622,IF(Atletas!R44="Bishou E",623,IF(Atletas!R44="Shanzi E",624,IF(Atletas!R44="Outra Arma Curta E",625,IF(Atletas!R44="Dao F",626,IF(Atletas!R44="Jian F",627,IF(Atletas!R44="Bishou F",628,IF(Atletas!R44="Shanzi F",629,IF(Atletas!R44="Outra Arma Curta F",630, "")))))))))))))))))))))))))))))))</f>
        <v/>
      </c>
      <c r="CA53" s="50" t="str">
        <f>IF(Atletas!S44="","",IF(Atletas!X44&lt;&gt;"",10000,0)+IF(Atletas!B44="Feminino",1000,IF(Atletas!B44="Masculino",2000,""))+IF(Atletas!S44="Gun A",701,IF(Atletas!S44="Qiang A",702,IF(Atletas!S44="Pudao / Guandao A",703,IF(Atletas!S44="Outra Arma Longa A",704,IF(Atletas!S44="Gun B",705,IF(Atletas!S44="Qiang B",706,IF(Atletas!S44="Pudao / Guandao B",707,IF(Atletas!S44="Outra Arma Longa B",708,IF(Atletas!S44="Gun C",709,IF(Atletas!S44="Qiang C",710,IF(Atletas!S44="Pudao / Guandao C",711,IF(Atletas!S44="Outra Arma Longa C",712,IF(Atletas!S44="Gun D",713,IF(Atletas!S44="Qiang D",714,IF(Atletas!S44="Pudao / Guandao D",715,IF(Atletas!S44="Outra Arma Longa D",716,IF(Atletas!S44="Gun E",717,IF(Atletas!S44="Qiang E",718,IF(Atletas!S44="Pudao / Guandao E",719,IF(Atletas!S44="Outra Arma Longa E",720,IF(Atletas!S44="Gun F",721,IF(Atletas!S44="Qiang F",722,IF(Atletas!S44="Pudao / Guandao F",723,IF(Atletas!S44="Outra Arma Longa F",724,"")))))))))))))))))))))))))</f>
        <v/>
      </c>
      <c r="CB53" s="50" t="str">
        <f>IF(Atletas!T44="","",IF(Atletas!X44&lt;&gt;"",10000,0)+IF(Atletas!B44="Feminino",1000,IF(Atletas!B44="Masculino",2000,""))+IF(Atletas!T44="Outra Arma Dupla A",801,IF(Atletas!T44="Arma Maleável A",802,IF(Atletas!T44="Outra Arma Dupla B",803,IF(Atletas!T44="Arma Maleável B",804,IF(Atletas!T44="Outra Arma Dupla C",805,IF(Atletas!T44="Arma Maleável C",806,IF(Atletas!T44="Outra Arma Dupla D",807,IF(Atletas!T44="Arma Maleável D",808,IF(Atletas!T44="Outra Arma Dupla E",809,IF(Atletas!T44="Arma Maleável E",810,IF(Atletas!T44="Outra Arma Dupla F",811,IF(Atletas!T44="Arma Maleável F",812,IF(Atletas!T44="Shuangdao A",813,IF(Atletas!T44="Shuangdao B",814,IF(Atletas!T44="Shuangdao C",815,IF(Atletas!T44="Shuangdao D",816,IF(Atletas!T44="Shuangdao E",817,IF(Atletas!T44="Shuangdao F",818,"")))))))))))))))))))</f>
        <v/>
      </c>
      <c r="CC53" s="50" t="str">
        <f>IF(Atletas!U44="","",IF(Atletas!X44&lt;&gt;"",10000,0)+IF(Atletas!B44="Feminino",1000,IF(Atletas!B44="Masculino",2000,""))+IF(OR(Atletas!U44="Taijijian Yang A",Atletas!U44="Taijijian Yang Standard A"),901,IF(OR(Atletas!U44="Taijijian Chen A", Atletas!U44="Taijijian Chen Standard A"),902,IF(Atletas!U44="Taijijian Sun A",903,IF(Atletas!U44="Taijijian Wu A",904,IF(Atletas!U44="Taijijian Wu-Hao A",905,IF(OR(Atletas!U44="Taijijian 32 A",Atletas!U44="Taijijian 42 A"),906,IF(OR(Atletas!U44="Taijijian Yang B",Atletas!U44="Taijijian Yang Standard B"),907,IF(OR(Atletas!U44="Taijijian Chen B", Atletas!U44="Taijijian Chen Standard B"),908,IF(Atletas!U44="Taijijian Sun B",909,IF(Atletas!U44="Taijijian Wu B",910,IF(Atletas!U44="Taijijian Wu-Hao B",911,IF(OR(Atletas!U44="Taijijian 32 B",Atletas!U44="Taijijian 42 B"),912,IF(OR(Atletas!U44="Taijijian Yang C",Atletas!U44="Taijijian Yang Standard C"),913,IF(OR(Atletas!U44="Taijijian Chen C", Atletas!U44="Taijijian Chen Standard C"),914,IF(Atletas!U44="Taijijian Sun C",915,IF(Atletas!U44="Taijijian Wu C",916,IF(Atletas!U44="Taijijian Wu-Hao C",917,IF(OR(Atletas!U44="Taijijian 32 C",Atletas!U44="Taijijian 42 C"),918,IF(OR(Atletas!U44="Taijijian Yang D",Atletas!U44="Taijijian Yang Standard D"),919,IF(OR(Atletas!U44="Taijijian Chen D", Atletas!U44="Taijijian Chen Standard D"),920,IF(Atletas!U44="Taijijian Sun D",921,IF(Atletas!U44="Taijijian Wu D",922,IF(Atletas!U44="Taijijian Wu-Hao D",923,IF(OR(Atletas!U44="Taijijian 32 D",Atletas!U44="Taijijian 42 D"),924,IF(OR(Atletas!U44="Taijijian Yang E",Atletas!U44="Taijijian Yang Standard E"),925,IF(OR(Atletas!U44="Taijijian Chen E", Atletas!U44="Taijijian Chen Standard E"),926,IF(Atletas!U44="Taijijian Sun E",927,IF(Atletas!U44="Taijijian Wu E",928,IF(Atletas!U44="Taijijian Wu-Hao E",929,IF(OR(Atletas!U44="Taijijian 32 E",Atletas!U44="Taijijian 42 E"),930,IF(OR(Atletas!U44="Taijijian Yang F",Atletas!U44="Taijijian Yang Standard F"),931,IF(OR(Atletas!U44="Taijijian Chen F", Atletas!U44="Taijijian Chen Standard F"),932,IF(Atletas!U44="Taijijian Sun F",933,IF(Atletas!U44="Taijijian Wu F",934,IF(Atletas!U44="Taijijian Wu-Hao F",935,IF(OR(Atletas!U44="Taijijian 32 F",Atletas!U44="Taijijian 42 F"),936,"")))))))))))))))))))))))))))))))))))))</f>
        <v/>
      </c>
      <c r="CD53" s="50" t="str">
        <f>IF(Atletas!V44="","",IF(Atletas!X44&lt;&gt;"",10000,0)+IF(Atletas!B44="Feminino",1000,IF(Atletas!B44="Masculino",2000,""))+IF(Atletas!V44="Taijidao A",937,IF(Atletas!V44="TaijiShanzi A",938,IF(Atletas!V44="Taijiqiang A",939,IF(Atletas!V44="Bagua de Arma A",940,IF(Atletas!V44="Xingyi de Arma A",941,IF(Atletas!V44="Taijidao B",942,IF(Atletas!V44="TaijiShanzi B",943,IF(Atletas!V44="Taijiqiang B",944,IF(Atletas!V44="Bagua de Arma B",945,IF(Atletas!V44="Xingyi de Arma B",946,IF(Atletas!V44="Taijidao C",947,IF(Atletas!V44="TaijiShanzi C",948,IF(Atletas!V44="Taijiqiang C",949,IF(Atletas!V44="Bagua de Arma C",950,IF(Atletas!V44="Xingyi de Arma C",951,IF(Atletas!V44="Taijidao D",952,IF(Atletas!V44="TaijiShanzi D",953,IF(Atletas!V44="Taijiqiang D",954,IF(Atletas!V44="Bagua de Arma D",955,IF(Atletas!V44="Xingyi de Arma D",956,IF(Atletas!V44="Taijidao E",957,IF(Atletas!V44="TaijiShanzi E",958,IF(Atletas!V44="Taijiqiang E",959,IF(Atletas!V44="Bagua de Arma E",960,IF(Atletas!V44="Xingyi de Arma E",961,IF(Atletas!V44="Taijidao F",962,IF(Atletas!V44="TaijiShanzi F",963,IF(Atletas!V44="Taijiqiang F",964,IF(Atletas!V44="Bagua de Arma F",965,IF(Atletas!V44="Xingyi de Arma F",966,"")))))))))))))))))))))))))))))))</f>
        <v/>
      </c>
      <c r="CE53" s="66" t="str">
        <f>IF(CF53&lt;&gt;"","Tongbeiquan A","")</f>
        <v/>
      </c>
      <c r="CF53" s="66" t="str">
        <f>IF(COUNTIF(BR:CD,1111)&gt;0,COUNTIF(BR:CD,1111),"")</f>
        <v/>
      </c>
      <c r="CG53" s="66" t="str">
        <f>IF(CH53&lt;&gt;"","Tongbeiquan A","")</f>
        <v/>
      </c>
      <c r="CH53" s="66" t="str">
        <f>IF(COUNTIF(BR:CD,2111)&gt;0,COUNTIF(BR:CD,2111),"")</f>
        <v/>
      </c>
      <c r="CI53" s="66" t="str">
        <f>IF(CJ53&lt;&gt;"","Huaquan B","")</f>
        <v/>
      </c>
      <c r="CJ53" s="66" t="str">
        <f>IF(COUNTIF(BR:CD,11117)&gt;0,COUNTIF(BR:CD,11117),"")</f>
        <v/>
      </c>
      <c r="CK53" s="66" t="str">
        <f>IF(CL53&lt;&gt;"","Huaquan B","")</f>
        <v/>
      </c>
      <c r="CL53" s="66" t="str">
        <f>IF(COUNTIF(BR:CD,12117)&gt;0,COUNTIF(BR:CD,12117),"")</f>
        <v/>
      </c>
      <c r="CM53" s="50" t="str">
        <f xml:space="preserve"> IF(Atletas!W44="","",IF(Atletas!W44="Duilian de Mãos BC - Equipe 1",1,IF(Atletas!W44="Duilian de Mãos BC - Equipe 2",2,IF(Atletas!W44="Duilian de Armas BC - Equipe 1",3,IF(Atletas!W44="Duilian de Armas BC - Equipe 2",4,IF(Atletas!W44="Duilian de Mãos DE - Equipe 1",5,IF(Atletas!W44="Duilian de Mãos DE - Equipe 2",6,IF(Atletas!W44="Duilian de Armas DE - Equipe 1",7,IF(Atletas!W44="Duilian de Armas DE - Equipe 2",8,IF(Atletas!W44="Duilian de Tuishou - Equipe 1",9,IF(Atletas!W44="Duilian de Tuishou - Equipe 2",10,IF(Atletas!W44="Grupo Externo ABC - Equipe 1",11,IF(Atletas!W44="Grupo Externo ABC - Equipe 2",12,IF(Atletas!W44="Grupo Interno ABC - Equipe 1",13,IF(Atletas!W44="Grupo Interno ABC - Equipe 2",14,IF(Atletas!W44="Grupo Externo DEF - Equipe 1",15,IF(Atletas!W44="Grupo Externo DEF - Equipe 2",16,IF(Atletas!W44="Grupo Interno DEF - Equipe 1",17,IF(Atletas!W44="Grupo Interno DEF - Equipe 2",18,"")))))))))))))))))))</f>
        <v/>
      </c>
      <c r="CY53" s="41"/>
    </row>
    <row r="54" spans="2:103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 t="str">
        <f t="array" ref="R54">IFERROR(INDEX(BI$7:BI$68,SMALL(IF(BI$7:BI$68&lt;&gt;"",ROW(BI$7:BI$68)-ROW(BI$7)+1),ROWS(BI$7:BI53))),"")</f>
        <v/>
      </c>
      <c r="S54" s="3" t="str">
        <f t="array" ref="S54">IFERROR(INDEX(BJ$7:BJ$68,SMALL(IF(BJ$7:BJ$68&lt;&gt;"",ROW(BJ$7:BJ$68)-ROW(BJ$7)+1),ROWS(BJ$7:BJ53))),"")</f>
        <v/>
      </c>
      <c r="T54" s="3" t="str">
        <f t="array" ref="T54">IFERROR(INDEX(BK$7:BK$68,SMALL(IF(BK$7:BK$68&lt;&gt;"",ROW(BK$7:BK$68)-ROW(BK$7)+1),ROWS(BK$7:BK53))),"")</f>
        <v/>
      </c>
      <c r="U54" s="3" t="str">
        <f t="array" ref="U54">IFERROR(INDEX(BL$7:BL$68,SMALL(IF(BL$7:BL$68&lt;&gt;"",ROW(BL$7:BL$68)-ROW(BL$7)+1),ROWS(BL$7:BL53))),"")</f>
        <v/>
      </c>
      <c r="V54" s="3"/>
      <c r="W54" s="3"/>
      <c r="X54" s="20"/>
      <c r="Y54" s="3"/>
      <c r="Z54" s="3" t="str">
        <f t="array" ref="Z54">IFERROR(INDEX(CE$7:CE$348,SMALL(IF(CE$7:CE$348&lt;&gt;"",ROW(CE$7:CE$348)-ROW(CE$7)+1),ROWS(CE$7:CE53))),"")</f>
        <v/>
      </c>
      <c r="AA54" s="3" t="str">
        <f t="array" ref="AA54">IFERROR(INDEX(CF$7:CF$348,SMALL(IF(CF$7:CF$348&lt;&gt;"",ROW(CF$7:CF$348)-ROW(CF$7)+1),ROWS(CF$7:CF53))),"")</f>
        <v/>
      </c>
      <c r="AB54" s="3" t="str">
        <f t="array" ref="AB54">IFERROR(INDEX(CG$7:CG$348,SMALL(IF(CG$7:CG$348&lt;&gt;"",ROW(CG$7:CG$348)-ROW(CG$7)+1),ROWS(CG$7:CG53))),"")</f>
        <v/>
      </c>
      <c r="AC54" s="3" t="str">
        <f t="array" ref="AC54">IFERROR(INDEX(CH$7:CH$348,SMALL(IF(CH$7:CH$348&lt;&gt;"",ROW(CH$7:CH$348)-ROW(CH$7)+1),ROWS(CH$7:CH53))),"")</f>
        <v/>
      </c>
      <c r="AD54" s="3" t="str">
        <f t="array" ref="AD54">IFERROR(INDEX(CI$7:CI$377,SMALL(IF(CI$7:CI$377&lt;&gt;"",ROW(CI$7:CI$377)-ROW(CI$7)+1),ROWS(CI$7:CI53))),"")</f>
        <v/>
      </c>
      <c r="AE54" s="3" t="str">
        <f t="array" ref="AE54">IFERROR(INDEX(CJ$7:CJ$378,SMALL(IF(CJ$7:CJ$378&lt;&gt;"",ROW(CJ$7:CJ$378)-ROW(CJ$7)+1),ROWS(CJ$7:CJ53))),"")</f>
        <v/>
      </c>
      <c r="AF54" s="3" t="str">
        <f t="array" ref="AF54">IFERROR(INDEX(CK$7:CK$378,SMALL(IF(CK$7:CK$378&lt;&gt;"",ROW(CK$7:CK$378)-ROW(CK$7)+1),ROWS(CK$7:CK53))),"")</f>
        <v/>
      </c>
      <c r="AG54" s="3" t="str">
        <f t="array" ref="AG54">IFERROR(INDEX(CL$7:CL$378,SMALL(IF(CL$7:CL$378&lt;&gt;"",ROW(CL$7:CL$378)-ROW(CL$7)+1),ROWS(CL$7:CL53))),"")</f>
        <v/>
      </c>
      <c r="AH54" s="3"/>
      <c r="AI54" s="3"/>
      <c r="AJ54" s="3"/>
      <c r="AK54" s="3"/>
      <c r="AL54" s="3"/>
      <c r="AM54" s="3"/>
      <c r="AN54" s="52" t="str">
        <f>IF(Atletas!D45="","",IF(Atletas!B45="Feminino",100,IF(Atletas!B45="Masculino",200,""))+(IF(Atletas!D45="Kids 30kg",1,IF(Atletas!D45="Kids 32kg",2, IF(Atletas!D45="Kids 34kg",3,IF(Atletas!D45="Kids 36kg",4,IF(Atletas!D45="Kids 39kg",5,IF(Atletas!D45="Kids 42kg",6,IF(Atletas!D45="Kids 45kg",7, IF(Atletas!D45="Infantil 39kg",8,IF(Atletas!D45="Infantil 42kg",9,IF(Atletas!D45="Infantil 45kg",10,IF(Atletas!D45="Infantil 48kg",11,IF(Atletas!D45="Infantil 52kg",12,IF(Atletas!D45="Infantil 56kg",13,IF(Atletas!D45="Infantil 60kg",14,IF(Atletas!D45="Juvenil 48kg",15,IF(Atletas!D45="Juvenil 52kg",16,IF(Atletas!D45="Juvenil 56kg",17,IF(Atletas!D45="Juvenil 60kg",18,IF(Atletas!D45="Juvenil 65kg",19,IF(Atletas!D45="Juvenil 70kg",20,IF(Atletas!D45="Juvenil 75kg",21,IF(Atletas!D45="Juvenil 80kg",22, IF(Atletas!D45="Juvenil 85kg",23,IF(Atletas!D45="Adulto 48kg",24,IF(Atletas!D45="Adulto 52kg",25,IF(Atletas!D45="Adulto 56kg",26,IF(Atletas!D45="Adulto 60kg",27,IF(Atletas!D45="Adulto 65kg",28,IF(Atletas!D45="Adulto 70kg",29,IF(Atletas!D45="Adulto 75kg",30,IF(Atletas!D45="Adulto 80kg",31,IF(Atletas!D45="Adulto 85kg",32,IF(Atletas!D45="Adulto 90kg",33,IF(Atletas!D45="Adulto 100kg",34, IF(Atletas!D45="Adulto +100kg",35,"")))))))))))))))))))))))))))))))))))))</f>
        <v/>
      </c>
      <c r="AS54" s="6" t="str">
        <f>IF(Atletas!E45="","",IF(Atletas!B45="Feminino",100,IF(Atletas!B45="Masculino",200,""))+(IF(Atletas!E45="Juvenil 44kg",1,IF(Atletas!E45="Juvenil 48kg",2,IF(Atletas!E45="Juvenil 52kg",3,IF(Atletas!E45="Juvenil 56kg",4,IF(Atletas!E45="Juvenil 60kg",5,IF(Atletas!E45="Juvenil 65kg",6,IF(Atletas!E45="Juvenil 70kg",7,IF(Atletas!E45="Juvenil 75kg",8,IF(Atletas!E45="Juvenil 82kg",9,IF(Atletas!E45="Juvenil 90kg",10,IF(Atletas!E45="Juvenil 100kg",11,IF(Atletas!E45="Adulto 48kg",12,IF(Atletas!E45="Adulto 52kg",13,IF(Atletas!E45="Adulto 56kg",14,IF(Atletas!E45="Adulto 60kg",15,IF(Atletas!E45="Adulto 65kg",16,IF(Atletas!E45="Adulto 70kg",17,IF(Atletas!E45="Adulto 75kg",18,IF(Atletas!E45="Adulto 82kg",19,IF(Atletas!E45="Adulto 90kg",20,IF(Atletas!E45="Adulto 100kg",21,IF(Atletas!E45="Adulto +100kg",22,""))))))))))))))))))))))))</f>
        <v/>
      </c>
      <c r="AX54" s="6" t="str">
        <f>IF(Atletas!F45="","",IF(Atletas!B45="Feminino",100,IF(Atletas!B45="Masculino",200,""))+(IF(Atletas!F45="Adulto 48kg",1,IF(Atletas!F45="Adulto 56kg",2,IF(Atletas!F45="Adulto 65kg",3,IF(Atletas!F45="Adulto 75kg",4,IF(Atletas!F45="Adulto +75kg",5,IF(Atletas!F45="Adulto 52kg",6,IF(Atletas!F45="Adulto 60kg",7,IF(Atletas!F45="Adulto 70kg",8,IF(Atletas!F45="Adulto 80kg",9,IF(Atletas!F45="Adulto 90kg",10,IF(Atletas!F45="Adulto +90kg",11,"")))))))))))))</f>
        <v/>
      </c>
      <c r="BC54" s="6" t="str">
        <f>IF(Atletas!G45="","",IF(Atletas!B45="Feminino",10,IF(Atletas!B45="Masculino",20,""))+(IF(Atletas!G45="Baduanjin A",1,IF(Atletas!G45="Baduanjin B",2))))</f>
        <v/>
      </c>
      <c r="BF54" s="52" t="str">
        <f>IF(Atletas!H45="","",IF(Atletas!B45="Feminino",100,IF(Atletas!B45="Masculino",200,""))+(IF(Atletas!H45="Changquan Mirim",1,IF(Atletas!H45="Nanquan Mirim",2,IF(Atletas!H45="Taijiquan Mirim",3,IF(Atletas!H45="Changquan Grupo C",4,IF(Atletas!H45="Nanquan Grupo C",5,IF(Atletas!H45="Taijiquan Grupo C",6,IF(Atletas!H45="Changquan Grupo B",7,IF(Atletas!H45="Nanquan Grupo B",8,IF(Atletas!H45="Taijiquan Grupo B",9,IF(Atletas!H45="Changquan Grupo A",10,IF(Atletas!H45="Nanquan Grupo A",11,IF(Atletas!H45="Taijiquan Grupo A",12,IF(Atletas!H45="Changquan Opcional",13,IF(Atletas!H45="Nanquan Opcional",14,IF(Atletas!H45="Taijiquan Opcional",15,IF(Atletas!H45="Changquan Adulto",16,IF(Atletas!H45="Nanquan Adulto",17,IF(Atletas!H45="Taijiquan Adulto",18,""))))))))))))))))))))</f>
        <v/>
      </c>
      <c r="BG54" s="52" t="str">
        <f>IF(Atletas!I45="","",IF(Atletas!B45="Feminino",100,IF(Atletas!B45="Masculino",200,""))+(IF(Atletas!I45="Daoshu Mirim",19,IF(Atletas!I45="Jianshu Mirim",20,IF(Atletas!I45="Nandao Mirim",21,IF(Atletas!I45="Taijijian Mirim",22,IF(Atletas!I45="Daoshu Grupo C",23,IF(Atletas!I45="Jianshu Grupo C",24,IF(Atletas!I45="Nandao Grupo C",25,IF(Atletas!I45="Taijijian Grupo C",26,IF(Atletas!I45="Daoshu Grupo B",27,IF(Atletas!I45="Jianshu Grupo B",28,IF(Atletas!I45="Nandao Grupo B",29,IF(Atletas!I45="Taijijian Grupo B",30,IF(Atletas!I45="Daoshu Grupo A",31,IF(Atletas!I45="Jianshu Grupo A",32,IF(Atletas!I45="Nandao Grupo A",33,IF(Atletas!I45="Taijijian Grupo A",34,IF(Atletas!I45="Daoshu Opcional",35,IF(Atletas!I45="Jianshu Opcional",36,IF(Atletas!I45="Nandao Opcional",37,IF(Atletas!I45="Taijijian Opcional",38,IF(Atletas!I45="Daoshu Adulto",39,IF(Atletas!I45="Jianshu Adulto",40,IF(Atletas!I45="Nandao Adulto",41,IF(Atletas!I45="Taijijian Adulto",42,""))))))))))))))))))))))))))</f>
        <v/>
      </c>
      <c r="BH54" s="52" t="str">
        <f>IF(Atletas!J45="","",IF(Atletas!B45="Feminino",100,IF(Atletas!B45="Masculino",200,""))+(IF(Atletas!J45="Gunshu Mirim",43,IF(Atletas!J45="Qiangshu Mirim",44,IF(Atletas!J45="Nangun Mirim",45,IF(Atletas!J45="Gunshu Grupo C",46,IF(Atletas!J45="Qiangshu Grupo C",47,IF(Atletas!J45="Nangun Grupo C",48,IF(Atletas!J45="Gunshu Grupo B",49,IF(Atletas!J45="Qiangshu Grupo B",50,IF(Atletas!J45="Nangun Grupo B",51,IF(Atletas!J45="Gunshu Grupo A",52,IF(Atletas!J45="Qiangshu Grupo A",53,IF(Atletas!J45="Nangun Grupo A",54,IF(Atletas!J45="Gunshu Opcional",55,IF(Atletas!J45="Qiangshu Opcional",56,IF(Atletas!J45="Nangun Opcional",57,IF(Atletas!J45="Gunshu Adulto",58,IF(Atletas!J45="Qiangshu Adulto",59,IF(Atletas!J45="Nangun Adulto",60,IF(Atletas!J45="Taijishan Grupo B",61,IF(Atletas!J45="Taijishan Grupo A",62,""))))))))))))))))))))))</f>
        <v/>
      </c>
      <c r="BI54" s="6" t="str">
        <f>IF(BJ54&lt;&gt;"","Nandao Opcional","")</f>
        <v/>
      </c>
      <c r="BJ54" s="50" t="str">
        <f>IF(COUNTIF(BF:BH,137)&gt;0,COUNTIF(BF:BH,137),"")</f>
        <v/>
      </c>
      <c r="BK54" s="6" t="str">
        <f>IF(BL54&lt;&gt;"","Nandao Opcional","")</f>
        <v/>
      </c>
      <c r="BL54" s="50" t="str">
        <f>IF(COUNTIF(BF:BH,237)&gt;0,COUNTIF(BF:BH,237),"")</f>
        <v/>
      </c>
      <c r="BM54" s="50" t="str">
        <f>IF(Atletas!K45="","",IF(Atletas!B45="Feminino",100,IF(Atletas!B45="Masculino",200,""))+(IF(Atletas!K45="Equipe 1 Grupo B",1,IF(Atletas!K45="Equipe 2 Grupo B",2,IF(Atletas!K45="Equipe 1 Grupo A",3,IF(Atletas!K45="Equipe 2 Grupo A",4,IF(Atletas!K45="Equipe 1 Adulto",5,IF(Atletas!K45="Equipe 2 Adulto",6,""))))))))</f>
        <v/>
      </c>
      <c r="BR54" s="50" t="str">
        <f>IF(Atletas!L45="","",IF(Atletas!X45&lt;&gt;"",10000,0)+(IF(Atletas!B45="Feminino",1000,IF(Atletas!B45="Masculino",2000,""))+IF(Atletas!L45="Choylayfut A",1,IF(Atletas!L45="Hunggar A",2,IF(Atletas!L45="Wuzuquan A",3,IF(Atletas!L45="Wingchun A",4,IF(Atletas!L45="Outra Mão de Sul A",5,IF(Atletas!L45="Choylayfut B",6,IF(Atletas!L45="Hunggar B",7,IF(Atletas!L45="Wuzuquan B",8,IF(Atletas!L45="Wingchun B",9,IF(Atletas!L45="Outra Mão de Sul B",10,IF(Atletas!L45="Choylayfut C",11,IF(Atletas!L45="Hunggar C",12,IF(Atletas!L45="Wuzuquan C",13,IF(Atletas!L45="Wingchun C",14,IF(Atletas!L45="Outra Mão de Sul C",15,IF(Atletas!L45="Choylayfut D",16,IF(Atletas!L45="Hunggar D",17,IF(Atletas!L45="Wuzuquan D",18,IF(Atletas!L45="Wingchun D",19,IF(Atletas!L45="Outra Mão de Sul D",20,IF(Atletas!L45="Choylayfut E",21,IF(Atletas!L45="Hunggar E",22,IF(Atletas!L45="Wuzuquan E",23,IF(Atletas!L45="Wingchun E",24,IF(Atletas!L45="Outra Mão de Sul E",25,IF(Atletas!L45="Choylayfut F",26,IF(Atletas!L45="Hunggar F",27,IF(Atletas!L45="Wuzuquan F",28,IF(Atletas!L45="Wingchun F",29,IF(Atletas!L45="Outra Mão de Sul F",30,IF(Atletas!L45="Dishuquan A",31,IF(Atletas!L45="Dishuquan B",32,IF(Atletas!L45="Dishuquan C",33,IF(Atletas!L45="Dishuquan D",34,IF(Atletas!L45="Dishuquan E",35,IF(Atletas!L45="Dishuquan F",36,""))))))))))))))))))))))))))))))))))))))</f>
        <v/>
      </c>
      <c r="BS54" s="50" t="str">
        <f>IF(Atletas!M45="","",IF(Atletas!X45&lt;&gt;"",10000,0)+(IF(Atletas!B45="Feminino",1000,IF(Atletas!B45="Masculino",2000,""))+(IF(Atletas!M45="Chaquan A",101,IF(Atletas!M45="Emeiquan A",102,IF(Atletas!M45="Fanziquan A",103,IF(Atletas!M45="Huaquan A",104,IF(Atletas!M45="Hongquan A",105,IF(Atletas!M45="Paoquan A",106,IF(Atletas!M45="Piguaquan A",107,IF(Atletas!M45="Shaolinquan A",108,IF(Atletas!M45="Tanglangquan A",109,IF(Atletas!M45="Yingzhaoquan A",110,IF(Atletas!M45="Tongbeiquan A",111,IF(Atletas!M45="Wudangquan A",112,IF(Atletas!M45="Outros Estilos A",113,IF(Atletas!M45="Chaquan B",114,IF(Atletas!M45="Emeiquan B",115,IF(Atletas!M45="Fanziquan B",116,IF(Atletas!M45="Huaquan B",117,IF(Atletas!M45="Hongquan B",118,IF(Atletas!M45="Paoquan B",119,IF(Atletas!M45="Piguaquan B",120,IF(Atletas!M45="Shaolinquan B",121,IF(Atletas!M45="Tanglangquan B",122,IF(Atletas!M45="Yingzhaoquan B",123,IF(Atletas!M45="Tongbeiquan B",124,IF(Atletas!M45="Wudangquan B",125,IF(Atletas!M45="Outros Estilos B",126,IF(Atletas!M45="Chaquan C",127,IF(Atletas!M45="Emeiquan C",128,IF(Atletas!M45="Fanziquan C",129,IF(Atletas!M45="Huaquan C",130,IF(Atletas!M45="Hongquan C",131,IF(Atletas!M45="Paoquan C",132,IF(Atletas!M45="Piguaquan C",133,IF(Atletas!M45="Shaolinquan C",134,IF(Atletas!M45="Tanglangquan C",135,IF(Atletas!M45="Yingzhaoquan C",136,IF(Atletas!M45="Tongbeiquan C",137,IF(Atletas!M45="Wudangquan C",138,IF(Atletas!M45="Outros Estilos C",139,0))))))))))))))))))))))))))))))))))))))))))</f>
        <v/>
      </c>
      <c r="BT54" s="50" t="str">
        <f>IF(Atletas!M45="","",IF(Atletas!X45&lt;&gt;"",10000,0)+(IF(Atletas!B45="Feminino",1000,IF(Atletas!B45="Masculino",2000,""))+(IF(Atletas!M45="Chaquan D",140,IF(Atletas!M45="Emeiquan D",141,IF(Atletas!M45="Fanziquan D",142,IF(Atletas!M45="Huaquan D",143,IF(Atletas!M45="Hongquan D",144,IF(Atletas!M45="Paoquan D",145,IF(Atletas!M45="Piguaquan D",146,IF(Atletas!M45="Shaolinquan D",147,IF(Atletas!M45="Tanglangquan D",148,IF(Atletas!M45="Yingzhaoquan D",149,IF(Atletas!M45="Tongbeiquan D",150,IF(Atletas!M45="Wudangquan D",151,IF(Atletas!M45="Outros Estilos D",152,IF(Atletas!M45="Chaquan E",153,IF(Atletas!M45="Emeiquan E",154,IF(Atletas!M45="Fanziquan E",155,IF(Atletas!M45="Huaquan E",156,IF(Atletas!M45="Hongquan E",157,IF(Atletas!M45="Paoquan E",158,IF(Atletas!M45="Piguaquan E",159,IF(Atletas!M45="Shaolinquan E",160,IF(Atletas!M45="Tanglangquan E",161,IF(Atletas!M45="Yingzhaoquan E",162,IF(Atletas!M45="Tongbeiquan E",163,IF(Atletas!M45="Wudangquan E",164,IF(Atletas!M45="Outros Estilos E",165,IF(Atletas!M45="Chaquan F",166,IF(Atletas!M45="Emeiquan F",167,IF(Atletas!M45="Fanziquan F",168,IF(Atletas!M45="Huaquan F",169,IF(Atletas!M45="Hongquan F",170,IF(Atletas!M45="Paoquan F",171,IF(Atletas!M45="Piguaquan F",172,IF(Atletas!M45="Shaolinquan F",173,IF(Atletas!M45="Tanglangquan F",174,IF(Atletas!M45="Yingzhaoquan F",175,IF(Atletas!M45="Tongbeiquan F",176,IF(Atletas!M45="Wudangquan F",177,IF(Atletas!M45="Outros Estilos F",178,0))))))))))))))))))))))))))))))))))))))))))</f>
        <v/>
      </c>
      <c r="BU54" s="50" t="str">
        <f>IF(Atletas!N45="","",IF(Atletas!X45&lt;&gt;"",10000,0)+(IF(Atletas!B45="Feminino",1000,IF(Atletas!B45="Masculino",2000,""))+(IF(Atletas!N45="Ditangquan A",201,IF(Atletas!N45="Houquan A",202,IF(Atletas!N45="Zuiquan A",203,IF(Atletas!N45="Ditangquan B",204,IF(Atletas!N45="Houquan B",205,IF(Atletas!N45="Zuiquan B",206,IF(Atletas!N45="Ditangquan C",207,IF(Atletas!N45="Houquan C",208,IF(Atletas!N45="Zuiquan C",209,IF(Atletas!N45="Ditangquan D",210,IF(Atletas!N45="Houquan D",211,IF(Atletas!N45="Zuiquan D",212,IF(Atletas!N45="Ditangquan E",213,IF(Atletas!N45="Houquan E",214,IF(Atletas!N45="Zuiquan E",215,IF(Atletas!N45="Ditangquan F",216,IF(Atletas!N45="Houquan F",217,IF(Atletas!N45="Zuiquan F",218,"")))))))))))))))))))))</f>
        <v/>
      </c>
      <c r="BV54" s="50" t="str">
        <f>IF(Atletas!O45="","",IF(Atletas!X45&lt;&gt;"",10000,0)+IF(Atletas!B45="Feminino",1000,IF(Atletas!B45="Masculino",2000,""))+IF(Atletas!O45="Yang A",301,IF(Atletas!O45="Chen A",302,IF(Atletas!O45="Sun A",303,IF(Atletas!O45="Wu A",304,IF(Atletas!O45="Wu-Hao A",305,IF(Atletas!O45="Outro Taijiquan A",306,IF(Atletas!O45="Yang B",307,IF(Atletas!O45="Chen B",308,IF(Atletas!O45="Sun B",309,IF(Atletas!O45="Wu B",310,IF(Atletas!O45="Wu-Hao B",311,IF(Atletas!O45="Outro Taijiquan B",312,IF(Atletas!O45="Yang C",313,IF(Atletas!O45="Chen C",314,IF(Atletas!O45="Sun C",315,IF(Atletas!O45="Wu C",316,IF(Atletas!O45="Wu-Hao C",317,IF(Atletas!O45="Outro Taijiquan C",318,IF(Atletas!O45="Yang D",319,IF(Atletas!O45="Chen D",320,IF(Atletas!O45="Sun D",321,IF(Atletas!O45="Wu D",322,IF(Atletas!O45="Wu-Hao D",323,IF(Atletas!O45="Outro Taijiquan D",324,IF(Atletas!O45="Yang E",325,IF(Atletas!O45="Chen E",326,IF(Atletas!O45="Sun E",327,IF(Atletas!O45="Wu E",328,IF(Atletas!O45="Wu-Hao E",329,IF(Atletas!O45="Outro Taijiquan E",330,IF(Atletas!O45="Yang F",331,IF(Atletas!O45="Chen F",332,IF(Atletas!O45="Sun F",333,IF(Atletas!O45="Wu F",334,IF(Atletas!O45="Wu-Hao F",335,IF(Atletas!O45="Outro Taijiquan F",336,"")))))))))))))))))))))))))))))))))))))</f>
        <v/>
      </c>
      <c r="BW54" s="50" t="str">
        <f>IF(Atletas!P45="","",IF(Atletas!X45&lt;&gt;"",10000,0)+IF(Atletas!B45="Feminino",1000,IF(Atletas!B45="Masculino",2000,""))+IF(OR(Atletas!P45="Yang 26 A",Atletas!P45="Yang 40 A"),401,IF(OR(Atletas!P45="Chen 25 A",Atletas!P45="Chen 36 A",Atletas!P45="Chen 56 A"),402,IF(Atletas!P45="Sun 73 A",403,IF(Atletas!P45="Wu 45 A",404,IF(Atletas!P45="Wu-Hao 46 A",405,IF(OR(Atletas!P45="Taijiquan 16 A",Atletas!P45="Taijiquan 24 A",Atletas!P45="Taijiquan 32 A",Atletas!P45="Taijiquan 42 A"),406,IF(OR(Atletas!P45="Yang 26 B",Atletas!P45="Yang 40 B"),407,IF(OR(Atletas!P45="Chen 25 B",Atletas!P45="Chen 36 B",Atletas!P45="Chen 56 B"),408,IF(Atletas!P45="Sun 73 B",409,IF(Atletas!P45="Wu 45 B",410,IF(Atletas!P45="Wu-Hao 46 B",411,IF(OR(Atletas!P45="Taijiquan 16 B",Atletas!P45="Taijiquan 24 B",Atletas!P45="Taijiquan 32 B",Atletas!P45="Taijiquan 42 B"),412,IF(OR(Atletas!P45="Yang 26 C",Atletas!P45="Yang 40 C"),413,IF(OR(Atletas!P45="Chen 25 C",Atletas!P45="Chen 36 C",Atletas!P45="Chen 56 C"),414,IF(Atletas!P45="Sun 73 C",415,IF(Atletas!P45="Wu 45 C",416,IF(Atletas!P45="Wu-Hao 46 C",417,IF(OR(Atletas!P45="Taijiquan 16 C",Atletas!P45="Taijiquan 24 C",Atletas!P45="Taijiquan 32 C",Atletas!P45="Taijiquan 42 C"),418,0)))))))))))))))))))</f>
        <v/>
      </c>
      <c r="BX54" s="50" t="str">
        <f>IF(Atletas!P45="","",IF(Atletas!X45&lt;&gt;"",10000,0)+IF(Atletas!B45="Feminino",1000,IF(Atletas!B45="Masculino",2000,""))+IF(OR(Atletas!P45="Yang 26 D",Atletas!P45="Yang 40 D"),419,IF(OR(Atletas!P45="Chen 25 D",Atletas!P45="Chen 36 D",Atletas!P45="Chen 56 D"),420,IF(Atletas!P45="Sun 73 D",421,IF(Atletas!P45="Wu 45 D",422,IF(Atletas!P45="Wu-Hao 46 D",423,IF(OR(Atletas!P45="Taijiquan 16 D",Atletas!P45="Taijiquan 24 D",Atletas!P45="Taijiquan 32 D",Atletas!P45="Taijiquan 42 D"),424,IF(OR(Atletas!P45="Yang 26 E",Atletas!P45="Yang 40 E"),425,IF(OR(Atletas!P45="Chen 25 E",Atletas!P45="Chen 36 E",Atletas!P45="Chen 56 E"),426,IF(Atletas!P45="Sun 73 E",427,IF(Atletas!P45="Wu 45 E",428,IF(Atletas!P45="Wu-Hao 46 E",429,IF(OR(Atletas!P45="Taijiquan 16 E",Atletas!P45="Taijiquan 24 E",Atletas!P45="Taijiquan 32 E",Atletas!P45="Taijiquan 42 E"),430,IF(OR(Atletas!P45="Yang 26 F",Atletas!P45="Yang 40 F"),431,IF(OR(Atletas!P45="Chen 25 F",Atletas!P45="Chen 36 F",Atletas!P45="Chen 56 F"),432,IF(Atletas!P45="Sun 73 F",433,IF(Atletas!P45="Wu 45 F",434,IF(Atletas!P45="Wu-Hao 46 F",435,IF(OR(Atletas!P45="Taijiquan 16 F",Atletas!P45="Taijiquan 24 F",Atletas!P45="Taijiquan 32 F",Atletas!P45="Taijiquan 42 F"),436,0)))))))))))))))))))</f>
        <v/>
      </c>
      <c r="BY54" s="50" t="str">
        <f>IF(Atletas!Q45="","",IF(Atletas!X45&lt;&gt;"",10000,0)+IF(Atletas!B45="Feminino",1000,IF(Atletas!B45="Masculino",2000,""))+IF(Atletas!Q45="Xingyiquan A",501,IF(Atletas!Q45="Baguazhang A",502,IF(Atletas!Q45="Outro Estilo Interno A",503,IF(Atletas!Q45="Xingyiquan B",504,IF(Atletas!Q45="Baguazhang B",505,IF(Atletas!Q45="Outro Estilo Interno B",506,IF(Atletas!Q45="Xingyiquan C",507,IF(Atletas!Q45="Baguazhang C",508,IF(Atletas!Q45="Outro Estilo Interno C",509,IF(Atletas!Q45="Xingyiquan D",510,IF(Atletas!Q45="Baguazhang D",511,IF(Atletas!Q45="Outro Estilo Interno D",512,IF(Atletas!Q45="Xingyiquan E",513,IF(Atletas!Q45="Baguazhang E",514,IF(Atletas!Q45="Outro Estilo Interno E",515,IF(Atletas!Q45="Xingyiquan F",516,IF(Atletas!Q45="Baguazhang F",517,IF(Atletas!Q45="Outro Estilo Interno F",518, "")))))))))))))))))))</f>
        <v/>
      </c>
      <c r="BZ54" s="50" t="str">
        <f>IF(Atletas!R45="","",IF(Atletas!X45&lt;&gt;"",10000,0)+IF(Atletas!B45="Feminino",1000,IF(Atletas!B45="Masculino",2000,""))+IF(Atletas!R45="Dao A",601,IF(Atletas!R45="Jian A",602,IF(Atletas!R45="Bishou A",603,IF(Atletas!R45="Shanzi A",604,IF(Atletas!R45="Outra Arma Curta A",605,IF(Atletas!R45="Dao B",606,IF(Atletas!R45="Jian B",607,IF(Atletas!R45="Bishou B",608,IF(Atletas!R45="Shanzi B",609,IF(Atletas!R45="Outra Arma Curta B",610,IF(Atletas!R45="Dao C",611,IF(Atletas!R45="Jian C",612,IF(Atletas!R45="Bishou C",613,IF(Atletas!R45="Shanzi C",614,IF(Atletas!R45="Outra Arma Curta C",615,IF(Atletas!R45="Dao D",616,IF(Atletas!R45="Jian D",617,IF(Atletas!R45="Bishou D",618,IF(Atletas!R45="Shanzi D",619,IF(Atletas!R45="Outra Arma Curta D",620,IF(Atletas!R45="Dao E",621,IF(Atletas!R45="Jian E",622,IF(Atletas!R45="Bishou E",623,IF(Atletas!R45="Shanzi E",624,IF(Atletas!R45="Outra Arma Curta E",625,IF(Atletas!R45="Dao F",626,IF(Atletas!R45="Jian F",627,IF(Atletas!R45="Bishou F",628,IF(Atletas!R45="Shanzi F",629,IF(Atletas!R45="Outra Arma Curta F",630, "")))))))))))))))))))))))))))))))</f>
        <v/>
      </c>
      <c r="CA54" s="50" t="str">
        <f>IF(Atletas!S45="","",IF(Atletas!X45&lt;&gt;"",10000,0)+IF(Atletas!B45="Feminino",1000,IF(Atletas!B45="Masculino",2000,""))+IF(Atletas!S45="Gun A",701,IF(Atletas!S45="Qiang A",702,IF(Atletas!S45="Pudao / Guandao A",703,IF(Atletas!S45="Outra Arma Longa A",704,IF(Atletas!S45="Gun B",705,IF(Atletas!S45="Qiang B",706,IF(Atletas!S45="Pudao / Guandao B",707,IF(Atletas!S45="Outra Arma Longa B",708,IF(Atletas!S45="Gun C",709,IF(Atletas!S45="Qiang C",710,IF(Atletas!S45="Pudao / Guandao C",711,IF(Atletas!S45="Outra Arma Longa C",712,IF(Atletas!S45="Gun D",713,IF(Atletas!S45="Qiang D",714,IF(Atletas!S45="Pudao / Guandao D",715,IF(Atletas!S45="Outra Arma Longa D",716,IF(Atletas!S45="Gun E",717,IF(Atletas!S45="Qiang E",718,IF(Atletas!S45="Pudao / Guandao E",719,IF(Atletas!S45="Outra Arma Longa E",720,IF(Atletas!S45="Gun F",721,IF(Atletas!S45="Qiang F",722,IF(Atletas!S45="Pudao / Guandao F",723,IF(Atletas!S45="Outra Arma Longa F",724,"")))))))))))))))))))))))))</f>
        <v/>
      </c>
      <c r="CB54" s="50" t="str">
        <f>IF(Atletas!T45="","",IF(Atletas!X45&lt;&gt;"",10000,0)+IF(Atletas!B45="Feminino",1000,IF(Atletas!B45="Masculino",2000,""))+IF(Atletas!T45="Outra Arma Dupla A",801,IF(Atletas!T45="Arma Maleável A",802,IF(Atletas!T45="Outra Arma Dupla B",803,IF(Atletas!T45="Arma Maleável B",804,IF(Atletas!T45="Outra Arma Dupla C",805,IF(Atletas!T45="Arma Maleável C",806,IF(Atletas!T45="Outra Arma Dupla D",807,IF(Atletas!T45="Arma Maleável D",808,IF(Atletas!T45="Outra Arma Dupla E",809,IF(Atletas!T45="Arma Maleável E",810,IF(Atletas!T45="Outra Arma Dupla F",811,IF(Atletas!T45="Arma Maleável F",812,IF(Atletas!T45="Shuangdao A",813,IF(Atletas!T45="Shuangdao B",814,IF(Atletas!T45="Shuangdao C",815,IF(Atletas!T45="Shuangdao D",816,IF(Atletas!T45="Shuangdao E",817,IF(Atletas!T45="Shuangdao F",818,"")))))))))))))))))))</f>
        <v/>
      </c>
      <c r="CC54" s="50" t="str">
        <f>IF(Atletas!U45="","",IF(Atletas!X45&lt;&gt;"",10000,0)+IF(Atletas!B45="Feminino",1000,IF(Atletas!B45="Masculino",2000,""))+IF(OR(Atletas!U45="Taijijian Yang A",Atletas!U45="Taijijian Yang Standard A"),901,IF(OR(Atletas!U45="Taijijian Chen A", Atletas!U45="Taijijian Chen Standard A"),902,IF(Atletas!U45="Taijijian Sun A",903,IF(Atletas!U45="Taijijian Wu A",904,IF(Atletas!U45="Taijijian Wu-Hao A",905,IF(OR(Atletas!U45="Taijijian 32 A",Atletas!U45="Taijijian 42 A"),906,IF(OR(Atletas!U45="Taijijian Yang B",Atletas!U45="Taijijian Yang Standard B"),907,IF(OR(Atletas!U45="Taijijian Chen B", Atletas!U45="Taijijian Chen Standard B"),908,IF(Atletas!U45="Taijijian Sun B",909,IF(Atletas!U45="Taijijian Wu B",910,IF(Atletas!U45="Taijijian Wu-Hao B",911,IF(OR(Atletas!U45="Taijijian 32 B",Atletas!U45="Taijijian 42 B"),912,IF(OR(Atletas!U45="Taijijian Yang C",Atletas!U45="Taijijian Yang Standard C"),913,IF(OR(Atletas!U45="Taijijian Chen C", Atletas!U45="Taijijian Chen Standard C"),914,IF(Atletas!U45="Taijijian Sun C",915,IF(Atletas!U45="Taijijian Wu C",916,IF(Atletas!U45="Taijijian Wu-Hao C",917,IF(OR(Atletas!U45="Taijijian 32 C",Atletas!U45="Taijijian 42 C"),918,IF(OR(Atletas!U45="Taijijian Yang D",Atletas!U45="Taijijian Yang Standard D"),919,IF(OR(Atletas!U45="Taijijian Chen D", Atletas!U45="Taijijian Chen Standard D"),920,IF(Atletas!U45="Taijijian Sun D",921,IF(Atletas!U45="Taijijian Wu D",922,IF(Atletas!U45="Taijijian Wu-Hao D",923,IF(OR(Atletas!U45="Taijijian 32 D",Atletas!U45="Taijijian 42 D"),924,IF(OR(Atletas!U45="Taijijian Yang E",Atletas!U45="Taijijian Yang Standard E"),925,IF(OR(Atletas!U45="Taijijian Chen E", Atletas!U45="Taijijian Chen Standard E"),926,IF(Atletas!U45="Taijijian Sun E",927,IF(Atletas!U45="Taijijian Wu E",928,IF(Atletas!U45="Taijijian Wu-Hao E",929,IF(OR(Atletas!U45="Taijijian 32 E",Atletas!U45="Taijijian 42 E"),930,IF(OR(Atletas!U45="Taijijian Yang F",Atletas!U45="Taijijian Yang Standard F"),931,IF(OR(Atletas!U45="Taijijian Chen F", Atletas!U45="Taijijian Chen Standard F"),932,IF(Atletas!U45="Taijijian Sun F",933,IF(Atletas!U45="Taijijian Wu F",934,IF(Atletas!U45="Taijijian Wu-Hao F",935,IF(OR(Atletas!U45="Taijijian 32 F",Atletas!U45="Taijijian 42 F"),936,"")))))))))))))))))))))))))))))))))))))</f>
        <v/>
      </c>
      <c r="CD54" s="50" t="str">
        <f>IF(Atletas!V45="","",IF(Atletas!X45&lt;&gt;"",10000,0)+IF(Atletas!B45="Feminino",1000,IF(Atletas!B45="Masculino",2000,""))+IF(Atletas!V45="Taijidao A",937,IF(Atletas!V45="TaijiShanzi A",938,IF(Atletas!V45="Taijiqiang A",939,IF(Atletas!V45="Bagua de Arma A",940,IF(Atletas!V45="Xingyi de Arma A",941,IF(Atletas!V45="Taijidao B",942,IF(Atletas!V45="TaijiShanzi B",943,IF(Atletas!V45="Taijiqiang B",944,IF(Atletas!V45="Bagua de Arma B",945,IF(Atletas!V45="Xingyi de Arma B",946,IF(Atletas!V45="Taijidao C",947,IF(Atletas!V45="TaijiShanzi C",948,IF(Atletas!V45="Taijiqiang C",949,IF(Atletas!V45="Bagua de Arma C",950,IF(Atletas!V45="Xingyi de Arma C",951,IF(Atletas!V45="Taijidao D",952,IF(Atletas!V45="TaijiShanzi D",953,IF(Atletas!V45="Taijiqiang D",954,IF(Atletas!V45="Bagua de Arma D",955,IF(Atletas!V45="Xingyi de Arma D",956,IF(Atletas!V45="Taijidao E",957,IF(Atletas!V45="TaijiShanzi E",958,IF(Atletas!V45="Taijiqiang E",959,IF(Atletas!V45="Bagua de Arma E",960,IF(Atletas!V45="Xingyi de Arma E",961,IF(Atletas!V45="Taijidao F",962,IF(Atletas!V45="TaijiShanzi F",963,IF(Atletas!V45="Taijiqiang F",964,IF(Atletas!V45="Bagua de Arma F",965,IF(Atletas!V45="Xingyi de Arma F",966,"")))))))))))))))))))))))))))))))</f>
        <v/>
      </c>
      <c r="CE54" s="66" t="str">
        <f>IF(CF54&lt;&gt;"","Wudangquan A","")</f>
        <v/>
      </c>
      <c r="CF54" s="66" t="str">
        <f>IF(COUNTIF(BR:CD,1112)&gt;0,COUNTIF(BR:CD,1112),"")</f>
        <v/>
      </c>
      <c r="CG54" s="66" t="str">
        <f>IF(CH54&lt;&gt;"","Wudangquan A","")</f>
        <v/>
      </c>
      <c r="CH54" s="66" t="str">
        <f>IF(COUNTIF(BR:CD,2112)&gt;0,COUNTIF(BR:CD,2112),"")</f>
        <v/>
      </c>
      <c r="CI54" s="66" t="str">
        <f>IF(CJ54&lt;&gt;"","Hongquan B","")</f>
        <v/>
      </c>
      <c r="CJ54" s="66" t="str">
        <f>IF(COUNTIF(BR:CD,11118)&gt;0,COUNTIF(BR:CD,11118),"")</f>
        <v/>
      </c>
      <c r="CK54" s="66" t="str">
        <f>IF(CL54&lt;&gt;"","Hongquan B","")</f>
        <v/>
      </c>
      <c r="CL54" s="66" t="str">
        <f>IF(COUNTIF(BR:CD,12118)&gt;0,COUNTIF(BR:CD,12118),"")</f>
        <v/>
      </c>
      <c r="CM54" s="50" t="str">
        <f xml:space="preserve"> IF(Atletas!W45="","",IF(Atletas!W45="Duilian de Mãos BC - Equipe 1",1,IF(Atletas!W45="Duilian de Mãos BC - Equipe 2",2,IF(Atletas!W45="Duilian de Armas BC - Equipe 1",3,IF(Atletas!W45="Duilian de Armas BC - Equipe 2",4,IF(Atletas!W45="Duilian de Mãos DE - Equipe 1",5,IF(Atletas!W45="Duilian de Mãos DE - Equipe 2",6,IF(Atletas!W45="Duilian de Armas DE - Equipe 1",7,IF(Atletas!W45="Duilian de Armas DE - Equipe 2",8,IF(Atletas!W45="Duilian de Tuishou - Equipe 1",9,IF(Atletas!W45="Duilian de Tuishou - Equipe 2",10,IF(Atletas!W45="Grupo Externo ABC - Equipe 1",11,IF(Atletas!W45="Grupo Externo ABC - Equipe 2",12,IF(Atletas!W45="Grupo Interno ABC - Equipe 1",13,IF(Atletas!W45="Grupo Interno ABC - Equipe 2",14,IF(Atletas!W45="Grupo Externo DEF - Equipe 1",15,IF(Atletas!W45="Grupo Externo DEF - Equipe 2",16,IF(Atletas!W45="Grupo Interno DEF - Equipe 1",17,IF(Atletas!W45="Grupo Interno DEF - Equipe 2",18,"")))))))))))))))))))</f>
        <v/>
      </c>
      <c r="CY54" s="41"/>
    </row>
    <row r="55" spans="2:103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 t="str">
        <f t="array" ref="R55">IFERROR(INDEX(BI$7:BI$68,SMALL(IF(BI$7:BI$68&lt;&gt;"",ROW(BI$7:BI$68)-ROW(BI$7)+1),ROWS(BI$7:BI54))),"")</f>
        <v/>
      </c>
      <c r="S55" s="3" t="str">
        <f t="array" ref="S55">IFERROR(INDEX(BJ$7:BJ$68,SMALL(IF(BJ$7:BJ$68&lt;&gt;"",ROW(BJ$7:BJ$68)-ROW(BJ$7)+1),ROWS(BJ$7:BJ54))),"")</f>
        <v/>
      </c>
      <c r="T55" s="3" t="str">
        <f t="array" ref="T55">IFERROR(INDEX(BK$7:BK$68,SMALL(IF(BK$7:BK$68&lt;&gt;"",ROW(BK$7:BK$68)-ROW(BK$7)+1),ROWS(BK$7:BK54))),"")</f>
        <v/>
      </c>
      <c r="U55" s="3" t="str">
        <f t="array" ref="U55">IFERROR(INDEX(BL$7:BL$68,SMALL(IF(BL$7:BL$68&lt;&gt;"",ROW(BL$7:BL$68)-ROW(BL$7)+1),ROWS(BL$7:BL54))),"")</f>
        <v/>
      </c>
      <c r="V55" s="3"/>
      <c r="W55" s="3"/>
      <c r="X55" s="37"/>
      <c r="Y55" s="3"/>
      <c r="Z55" s="3" t="str">
        <f t="array" ref="Z55">IFERROR(INDEX(CE$7:CE$348,SMALL(IF(CE$7:CE$348&lt;&gt;"",ROW(CE$7:CE$348)-ROW(CE$7)+1),ROWS(CE$7:CE54))),"")</f>
        <v/>
      </c>
      <c r="AA55" s="3" t="str">
        <f t="array" ref="AA55">IFERROR(INDEX(CF$7:CF$348,SMALL(IF(CF$7:CF$348&lt;&gt;"",ROW(CF$7:CF$348)-ROW(CF$7)+1),ROWS(CF$7:CF54))),"")</f>
        <v/>
      </c>
      <c r="AB55" s="3" t="str">
        <f t="array" ref="AB55">IFERROR(INDEX(CG$7:CG$348,SMALL(IF(CG$7:CG$348&lt;&gt;"",ROW(CG$7:CG$348)-ROW(CG$7)+1),ROWS(CG$7:CG54))),"")</f>
        <v/>
      </c>
      <c r="AC55" s="3" t="str">
        <f t="array" ref="AC55">IFERROR(INDEX(CH$7:CH$348,SMALL(IF(CH$7:CH$348&lt;&gt;"",ROW(CH$7:CH$348)-ROW(CH$7)+1),ROWS(CH$7:CH54))),"")</f>
        <v/>
      </c>
      <c r="AD55" s="3" t="str">
        <f t="array" ref="AD55">IFERROR(INDEX(CI$7:CI$377,SMALL(IF(CI$7:CI$377&lt;&gt;"",ROW(CI$7:CI$377)-ROW(CI$7)+1),ROWS(CI$7:CI54))),"")</f>
        <v/>
      </c>
      <c r="AE55" s="3" t="str">
        <f t="array" ref="AE55">IFERROR(INDEX(CJ$7:CJ$378,SMALL(IF(CJ$7:CJ$378&lt;&gt;"",ROW(CJ$7:CJ$378)-ROW(CJ$7)+1),ROWS(CJ$7:CJ54))),"")</f>
        <v/>
      </c>
      <c r="AF55" s="3" t="str">
        <f t="array" ref="AF55">IFERROR(INDEX(CK$7:CK$378,SMALL(IF(CK$7:CK$378&lt;&gt;"",ROW(CK$7:CK$378)-ROW(CK$7)+1),ROWS(CK$7:CK54))),"")</f>
        <v/>
      </c>
      <c r="AG55" s="3" t="str">
        <f t="array" ref="AG55">IFERROR(INDEX(CL$7:CL$378,SMALL(IF(CL$7:CL$378&lt;&gt;"",ROW(CL$7:CL$378)-ROW(CL$7)+1),ROWS(CL$7:CL54))),"")</f>
        <v/>
      </c>
      <c r="AH55" s="3"/>
      <c r="AI55" s="3"/>
      <c r="AJ55" s="3"/>
      <c r="AK55" s="3"/>
      <c r="AL55" s="3"/>
      <c r="AM55" s="3"/>
      <c r="AN55" s="52" t="str">
        <f>IF(Atletas!D46="","",IF(Atletas!B46="Feminino",100,IF(Atletas!B46="Masculino",200,""))+(IF(Atletas!D46="Kids 30kg",1,IF(Atletas!D46="Kids 32kg",2, IF(Atletas!D46="Kids 34kg",3,IF(Atletas!D46="Kids 36kg",4,IF(Atletas!D46="Kids 39kg",5,IF(Atletas!D46="Kids 42kg",6,IF(Atletas!D46="Kids 45kg",7, IF(Atletas!D46="Infantil 39kg",8,IF(Atletas!D46="Infantil 42kg",9,IF(Atletas!D46="Infantil 45kg",10,IF(Atletas!D46="Infantil 48kg",11,IF(Atletas!D46="Infantil 52kg",12,IF(Atletas!D46="Infantil 56kg",13,IF(Atletas!D46="Infantil 60kg",14,IF(Atletas!D46="Juvenil 48kg",15,IF(Atletas!D46="Juvenil 52kg",16,IF(Atletas!D46="Juvenil 56kg",17,IF(Atletas!D46="Juvenil 60kg",18,IF(Atletas!D46="Juvenil 65kg",19,IF(Atletas!D46="Juvenil 70kg",20,IF(Atletas!D46="Juvenil 75kg",21,IF(Atletas!D46="Juvenil 80kg",22, IF(Atletas!D46="Juvenil 85kg",23,IF(Atletas!D46="Adulto 48kg",24,IF(Atletas!D46="Adulto 52kg",25,IF(Atletas!D46="Adulto 56kg",26,IF(Atletas!D46="Adulto 60kg",27,IF(Atletas!D46="Adulto 65kg",28,IF(Atletas!D46="Adulto 70kg",29,IF(Atletas!D46="Adulto 75kg",30,IF(Atletas!D46="Adulto 80kg",31,IF(Atletas!D46="Adulto 85kg",32,IF(Atletas!D46="Adulto 90kg",33,IF(Atletas!D46="Adulto 100kg",34, IF(Atletas!D46="Adulto +100kg",35,"")))))))))))))))))))))))))))))))))))))</f>
        <v/>
      </c>
      <c r="AS55" s="6" t="str">
        <f>IF(Atletas!E46="","",IF(Atletas!B46="Feminino",100,IF(Atletas!B46="Masculino",200,""))+(IF(Atletas!E46="Juvenil 44kg",1,IF(Atletas!E46="Juvenil 48kg",2,IF(Atletas!E46="Juvenil 52kg",3,IF(Atletas!E46="Juvenil 56kg",4,IF(Atletas!E46="Juvenil 60kg",5,IF(Atletas!E46="Juvenil 65kg",6,IF(Atletas!E46="Juvenil 70kg",7,IF(Atletas!E46="Juvenil 75kg",8,IF(Atletas!E46="Juvenil 82kg",9,IF(Atletas!E46="Juvenil 90kg",10,IF(Atletas!E46="Juvenil 100kg",11,IF(Atletas!E46="Adulto 48kg",12,IF(Atletas!E46="Adulto 52kg",13,IF(Atletas!E46="Adulto 56kg",14,IF(Atletas!E46="Adulto 60kg",15,IF(Atletas!E46="Adulto 65kg",16,IF(Atletas!E46="Adulto 70kg",17,IF(Atletas!E46="Adulto 75kg",18,IF(Atletas!E46="Adulto 82kg",19,IF(Atletas!E46="Adulto 90kg",20,IF(Atletas!E46="Adulto 100kg",21,IF(Atletas!E46="Adulto +100kg",22,""))))))))))))))))))))))))</f>
        <v/>
      </c>
      <c r="AX55" s="6" t="str">
        <f>IF(Atletas!F46="","",IF(Atletas!B46="Feminino",100,IF(Atletas!B46="Masculino",200,""))+(IF(Atletas!F46="Adulto 48kg",1,IF(Atletas!F46="Adulto 56kg",2,IF(Atletas!F46="Adulto 65kg",3,IF(Atletas!F46="Adulto 75kg",4,IF(Atletas!F46="Adulto +75kg",5,IF(Atletas!F46="Adulto 52kg",6,IF(Atletas!F46="Adulto 60kg",7,IF(Atletas!F46="Adulto 70kg",8,IF(Atletas!F46="Adulto 80kg",9,IF(Atletas!F46="Adulto 90kg",10,IF(Atletas!F46="Adulto +90kg",11,"")))))))))))))</f>
        <v/>
      </c>
      <c r="BC55" s="6" t="str">
        <f>IF(Atletas!G46="","",IF(Atletas!B46="Feminino",10,IF(Atletas!B46="Masculino",20,""))+(IF(Atletas!G46="Baduanjin A",1,IF(Atletas!G46="Baduanjin B",2))))</f>
        <v/>
      </c>
      <c r="BF55" s="52" t="str">
        <f>IF(Atletas!H46="","",IF(Atletas!B46="Feminino",100,IF(Atletas!B46="Masculino",200,""))+(IF(Atletas!H46="Changquan Mirim",1,IF(Atletas!H46="Nanquan Mirim",2,IF(Atletas!H46="Taijiquan Mirim",3,IF(Atletas!H46="Changquan Grupo C",4,IF(Atletas!H46="Nanquan Grupo C",5,IF(Atletas!H46="Taijiquan Grupo C",6,IF(Atletas!H46="Changquan Grupo B",7,IF(Atletas!H46="Nanquan Grupo B",8,IF(Atletas!H46="Taijiquan Grupo B",9,IF(Atletas!H46="Changquan Grupo A",10,IF(Atletas!H46="Nanquan Grupo A",11,IF(Atletas!H46="Taijiquan Grupo A",12,IF(Atletas!H46="Changquan Opcional",13,IF(Atletas!H46="Nanquan Opcional",14,IF(Atletas!H46="Taijiquan Opcional",15,IF(Atletas!H46="Changquan Adulto",16,IF(Atletas!H46="Nanquan Adulto",17,IF(Atletas!H46="Taijiquan Adulto",18,""))))))))))))))))))))</f>
        <v/>
      </c>
      <c r="BG55" s="52" t="str">
        <f>IF(Atletas!I46="","",IF(Atletas!B46="Feminino",100,IF(Atletas!B46="Masculino",200,""))+(IF(Atletas!I46="Daoshu Mirim",19,IF(Atletas!I46="Jianshu Mirim",20,IF(Atletas!I46="Nandao Mirim",21,IF(Atletas!I46="Taijijian Mirim",22,IF(Atletas!I46="Daoshu Grupo C",23,IF(Atletas!I46="Jianshu Grupo C",24,IF(Atletas!I46="Nandao Grupo C",25,IF(Atletas!I46="Taijijian Grupo C",26,IF(Atletas!I46="Daoshu Grupo B",27,IF(Atletas!I46="Jianshu Grupo B",28,IF(Atletas!I46="Nandao Grupo B",29,IF(Atletas!I46="Taijijian Grupo B",30,IF(Atletas!I46="Daoshu Grupo A",31,IF(Atletas!I46="Jianshu Grupo A",32,IF(Atletas!I46="Nandao Grupo A",33,IF(Atletas!I46="Taijijian Grupo A",34,IF(Atletas!I46="Daoshu Opcional",35,IF(Atletas!I46="Jianshu Opcional",36,IF(Atletas!I46="Nandao Opcional",37,IF(Atletas!I46="Taijijian Opcional",38,IF(Atletas!I46="Daoshu Adulto",39,IF(Atletas!I46="Jianshu Adulto",40,IF(Atletas!I46="Nandao Adulto",41,IF(Atletas!I46="Taijijian Adulto",42,""))))))))))))))))))))))))))</f>
        <v/>
      </c>
      <c r="BH55" s="52" t="str">
        <f>IF(Atletas!J46="","",IF(Atletas!B46="Feminino",100,IF(Atletas!B46="Masculino",200,""))+(IF(Atletas!J46="Gunshu Mirim",43,IF(Atletas!J46="Qiangshu Mirim",44,IF(Atletas!J46="Nangun Mirim",45,IF(Atletas!J46="Gunshu Grupo C",46,IF(Atletas!J46="Qiangshu Grupo C",47,IF(Atletas!J46="Nangun Grupo C",48,IF(Atletas!J46="Gunshu Grupo B",49,IF(Atletas!J46="Qiangshu Grupo B",50,IF(Atletas!J46="Nangun Grupo B",51,IF(Atletas!J46="Gunshu Grupo A",52,IF(Atletas!J46="Qiangshu Grupo A",53,IF(Atletas!J46="Nangun Grupo A",54,IF(Atletas!J46="Gunshu Opcional",55,IF(Atletas!J46="Qiangshu Opcional",56,IF(Atletas!J46="Nangun Opcional",57,IF(Atletas!J46="Gunshu Adulto",58,IF(Atletas!J46="Qiangshu Adulto",59,IF(Atletas!J46="Nangun Adulto",60,IF(Atletas!J46="Taijishan Grupo B",61,IF(Atletas!J46="Taijishan Grupo A",62,""))))))))))))))))))))))</f>
        <v/>
      </c>
      <c r="BI55" s="6" t="str">
        <f>IF(BJ55&lt;&gt;"","Taijijian Opcional","")</f>
        <v/>
      </c>
      <c r="BJ55" s="50" t="str">
        <f>IF(COUNTIF(BF:BH,138)&gt;0,COUNTIF(BF:BH,138),"")</f>
        <v/>
      </c>
      <c r="BK55" s="6" t="str">
        <f>IF(BL55&lt;&gt;"","Taijijian Opcional","")</f>
        <v/>
      </c>
      <c r="BL55" s="50" t="str">
        <f>IF(COUNTIF(BF:BH,238)&gt;0,COUNTIF(BF:BH,238),"")</f>
        <v/>
      </c>
      <c r="BM55" s="50" t="str">
        <f>IF(Atletas!K46="","",IF(Atletas!B46="Feminino",100,IF(Atletas!B46="Masculino",200,""))+(IF(Atletas!K46="Equipe 1 Grupo B",1,IF(Atletas!K46="Equipe 2 Grupo B",2,IF(Atletas!K46="Equipe 1 Grupo A",3,IF(Atletas!K46="Equipe 2 Grupo A",4,IF(Atletas!K46="Equipe 1 Adulto",5,IF(Atletas!K46="Equipe 2 Adulto",6,""))))))))</f>
        <v/>
      </c>
      <c r="BR55" s="50" t="str">
        <f>IF(Atletas!L46="","",IF(Atletas!X46&lt;&gt;"",10000,0)+(IF(Atletas!B46="Feminino",1000,IF(Atletas!B46="Masculino",2000,""))+IF(Atletas!L46="Choylayfut A",1,IF(Atletas!L46="Hunggar A",2,IF(Atletas!L46="Wuzuquan A",3,IF(Atletas!L46="Wingchun A",4,IF(Atletas!L46="Outra Mão de Sul A",5,IF(Atletas!L46="Choylayfut B",6,IF(Atletas!L46="Hunggar B",7,IF(Atletas!L46="Wuzuquan B",8,IF(Atletas!L46="Wingchun B",9,IF(Atletas!L46="Outra Mão de Sul B",10,IF(Atletas!L46="Choylayfut C",11,IF(Atletas!L46="Hunggar C",12,IF(Atletas!L46="Wuzuquan C",13,IF(Atletas!L46="Wingchun C",14,IF(Atletas!L46="Outra Mão de Sul C",15,IF(Atletas!L46="Choylayfut D",16,IF(Atletas!L46="Hunggar D",17,IF(Atletas!L46="Wuzuquan D",18,IF(Atletas!L46="Wingchun D",19,IF(Atletas!L46="Outra Mão de Sul D",20,IF(Atletas!L46="Choylayfut E",21,IF(Atletas!L46="Hunggar E",22,IF(Atletas!L46="Wuzuquan E",23,IF(Atletas!L46="Wingchun E",24,IF(Atletas!L46="Outra Mão de Sul E",25,IF(Atletas!L46="Choylayfut F",26,IF(Atletas!L46="Hunggar F",27,IF(Atletas!L46="Wuzuquan F",28,IF(Atletas!L46="Wingchun F",29,IF(Atletas!L46="Outra Mão de Sul F",30,IF(Atletas!L46="Dishuquan A",31,IF(Atletas!L46="Dishuquan B",32,IF(Atletas!L46="Dishuquan C",33,IF(Atletas!L46="Dishuquan D",34,IF(Atletas!L46="Dishuquan E",35,IF(Atletas!L46="Dishuquan F",36,""))))))))))))))))))))))))))))))))))))))</f>
        <v/>
      </c>
      <c r="BS55" s="50" t="str">
        <f>IF(Atletas!M46="","",IF(Atletas!X46&lt;&gt;"",10000,0)+(IF(Atletas!B46="Feminino",1000,IF(Atletas!B46="Masculino",2000,""))+(IF(Atletas!M46="Chaquan A",101,IF(Atletas!M46="Emeiquan A",102,IF(Atletas!M46="Fanziquan A",103,IF(Atletas!M46="Huaquan A",104,IF(Atletas!M46="Hongquan A",105,IF(Atletas!M46="Paoquan A",106,IF(Atletas!M46="Piguaquan A",107,IF(Atletas!M46="Shaolinquan A",108,IF(Atletas!M46="Tanglangquan A",109,IF(Atletas!M46="Yingzhaoquan A",110,IF(Atletas!M46="Tongbeiquan A",111,IF(Atletas!M46="Wudangquan A",112,IF(Atletas!M46="Outros Estilos A",113,IF(Atletas!M46="Chaquan B",114,IF(Atletas!M46="Emeiquan B",115,IF(Atletas!M46="Fanziquan B",116,IF(Atletas!M46="Huaquan B",117,IF(Atletas!M46="Hongquan B",118,IF(Atletas!M46="Paoquan B",119,IF(Atletas!M46="Piguaquan B",120,IF(Atletas!M46="Shaolinquan B",121,IF(Atletas!M46="Tanglangquan B",122,IF(Atletas!M46="Yingzhaoquan B",123,IF(Atletas!M46="Tongbeiquan B",124,IF(Atletas!M46="Wudangquan B",125,IF(Atletas!M46="Outros Estilos B",126,IF(Atletas!M46="Chaquan C",127,IF(Atletas!M46="Emeiquan C",128,IF(Atletas!M46="Fanziquan C",129,IF(Atletas!M46="Huaquan C",130,IF(Atletas!M46="Hongquan C",131,IF(Atletas!M46="Paoquan C",132,IF(Atletas!M46="Piguaquan C",133,IF(Atletas!M46="Shaolinquan C",134,IF(Atletas!M46="Tanglangquan C",135,IF(Atletas!M46="Yingzhaoquan C",136,IF(Atletas!M46="Tongbeiquan C",137,IF(Atletas!M46="Wudangquan C",138,IF(Atletas!M46="Outros Estilos C",139,0))))))))))))))))))))))))))))))))))))))))))</f>
        <v/>
      </c>
      <c r="BT55" s="50" t="str">
        <f>IF(Atletas!M46="","",IF(Atletas!X46&lt;&gt;"",10000,0)+(IF(Atletas!B46="Feminino",1000,IF(Atletas!B46="Masculino",2000,""))+(IF(Atletas!M46="Chaquan D",140,IF(Atletas!M46="Emeiquan D",141,IF(Atletas!M46="Fanziquan D",142,IF(Atletas!M46="Huaquan D",143,IF(Atletas!M46="Hongquan D",144,IF(Atletas!M46="Paoquan D",145,IF(Atletas!M46="Piguaquan D",146,IF(Atletas!M46="Shaolinquan D",147,IF(Atletas!M46="Tanglangquan D",148,IF(Atletas!M46="Yingzhaoquan D",149,IF(Atletas!M46="Tongbeiquan D",150,IF(Atletas!M46="Wudangquan D",151,IF(Atletas!M46="Outros Estilos D",152,IF(Atletas!M46="Chaquan E",153,IF(Atletas!M46="Emeiquan E",154,IF(Atletas!M46="Fanziquan E",155,IF(Atletas!M46="Huaquan E",156,IF(Atletas!M46="Hongquan E",157,IF(Atletas!M46="Paoquan E",158,IF(Atletas!M46="Piguaquan E",159,IF(Atletas!M46="Shaolinquan E",160,IF(Atletas!M46="Tanglangquan E",161,IF(Atletas!M46="Yingzhaoquan E",162,IF(Atletas!M46="Tongbeiquan E",163,IF(Atletas!M46="Wudangquan E",164,IF(Atletas!M46="Outros Estilos E",165,IF(Atletas!M46="Chaquan F",166,IF(Atletas!M46="Emeiquan F",167,IF(Atletas!M46="Fanziquan F",168,IF(Atletas!M46="Huaquan F",169,IF(Atletas!M46="Hongquan F",170,IF(Atletas!M46="Paoquan F",171,IF(Atletas!M46="Piguaquan F",172,IF(Atletas!M46="Shaolinquan F",173,IF(Atletas!M46="Tanglangquan F",174,IF(Atletas!M46="Yingzhaoquan F",175,IF(Atletas!M46="Tongbeiquan F",176,IF(Atletas!M46="Wudangquan F",177,IF(Atletas!M46="Outros Estilos F",178,0))))))))))))))))))))))))))))))))))))))))))</f>
        <v/>
      </c>
      <c r="BU55" s="50" t="str">
        <f>IF(Atletas!N46="","",IF(Atletas!X46&lt;&gt;"",10000,0)+(IF(Atletas!B46="Feminino",1000,IF(Atletas!B46="Masculino",2000,""))+(IF(Atletas!N46="Ditangquan A",201,IF(Atletas!N46="Houquan A",202,IF(Atletas!N46="Zuiquan A",203,IF(Atletas!N46="Ditangquan B",204,IF(Atletas!N46="Houquan B",205,IF(Atletas!N46="Zuiquan B",206,IF(Atletas!N46="Ditangquan C",207,IF(Atletas!N46="Houquan C",208,IF(Atletas!N46="Zuiquan C",209,IF(Atletas!N46="Ditangquan D",210,IF(Atletas!N46="Houquan D",211,IF(Atletas!N46="Zuiquan D",212,IF(Atletas!N46="Ditangquan E",213,IF(Atletas!N46="Houquan E",214,IF(Atletas!N46="Zuiquan E",215,IF(Atletas!N46="Ditangquan F",216,IF(Atletas!N46="Houquan F",217,IF(Atletas!N46="Zuiquan F",218,"")))))))))))))))))))))</f>
        <v/>
      </c>
      <c r="BV55" s="50" t="str">
        <f>IF(Atletas!O46="","",IF(Atletas!X46&lt;&gt;"",10000,0)+IF(Atletas!B46="Feminino",1000,IF(Atletas!B46="Masculino",2000,""))+IF(Atletas!O46="Yang A",301,IF(Atletas!O46="Chen A",302,IF(Atletas!O46="Sun A",303,IF(Atletas!O46="Wu A",304,IF(Atletas!O46="Wu-Hao A",305,IF(Atletas!O46="Outro Taijiquan A",306,IF(Atletas!O46="Yang B",307,IF(Atletas!O46="Chen B",308,IF(Atletas!O46="Sun B",309,IF(Atletas!O46="Wu B",310,IF(Atletas!O46="Wu-Hao B",311,IF(Atletas!O46="Outro Taijiquan B",312,IF(Atletas!O46="Yang C",313,IF(Atletas!O46="Chen C",314,IF(Atletas!O46="Sun C",315,IF(Atletas!O46="Wu C",316,IF(Atletas!O46="Wu-Hao C",317,IF(Atletas!O46="Outro Taijiquan C",318,IF(Atletas!O46="Yang D",319,IF(Atletas!O46="Chen D",320,IF(Atletas!O46="Sun D",321,IF(Atletas!O46="Wu D",322,IF(Atletas!O46="Wu-Hao D",323,IF(Atletas!O46="Outro Taijiquan D",324,IF(Atletas!O46="Yang E",325,IF(Atletas!O46="Chen E",326,IF(Atletas!O46="Sun E",327,IF(Atletas!O46="Wu E",328,IF(Atletas!O46="Wu-Hao E",329,IF(Atletas!O46="Outro Taijiquan E",330,IF(Atletas!O46="Yang F",331,IF(Atletas!O46="Chen F",332,IF(Atletas!O46="Sun F",333,IF(Atletas!O46="Wu F",334,IF(Atletas!O46="Wu-Hao F",335,IF(Atletas!O46="Outro Taijiquan F",336,"")))))))))))))))))))))))))))))))))))))</f>
        <v/>
      </c>
      <c r="BW55" s="50" t="str">
        <f>IF(Atletas!P46="","",IF(Atletas!X46&lt;&gt;"",10000,0)+IF(Atletas!B46="Feminino",1000,IF(Atletas!B46="Masculino",2000,""))+IF(OR(Atletas!P46="Yang 26 A",Atletas!P46="Yang 40 A"),401,IF(OR(Atletas!P46="Chen 25 A",Atletas!P46="Chen 36 A",Atletas!P46="Chen 56 A"),402,IF(Atletas!P46="Sun 73 A",403,IF(Atletas!P46="Wu 45 A",404,IF(Atletas!P46="Wu-Hao 46 A",405,IF(OR(Atletas!P46="Taijiquan 16 A",Atletas!P46="Taijiquan 24 A",Atletas!P46="Taijiquan 32 A",Atletas!P46="Taijiquan 42 A"),406,IF(OR(Atletas!P46="Yang 26 B",Atletas!P46="Yang 40 B"),407,IF(OR(Atletas!P46="Chen 25 B",Atletas!P46="Chen 36 B",Atletas!P46="Chen 56 B"),408,IF(Atletas!P46="Sun 73 B",409,IF(Atletas!P46="Wu 45 B",410,IF(Atletas!P46="Wu-Hao 46 B",411,IF(OR(Atletas!P46="Taijiquan 16 B",Atletas!P46="Taijiquan 24 B",Atletas!P46="Taijiquan 32 B",Atletas!P46="Taijiquan 42 B"),412,IF(OR(Atletas!P46="Yang 26 C",Atletas!P46="Yang 40 C"),413,IF(OR(Atletas!P46="Chen 25 C",Atletas!P46="Chen 36 C",Atletas!P46="Chen 56 C"),414,IF(Atletas!P46="Sun 73 C",415,IF(Atletas!P46="Wu 45 C",416,IF(Atletas!P46="Wu-Hao 46 C",417,IF(OR(Atletas!P46="Taijiquan 16 C",Atletas!P46="Taijiquan 24 C",Atletas!P46="Taijiquan 32 C",Atletas!P46="Taijiquan 42 C"),418,0)))))))))))))))))))</f>
        <v/>
      </c>
      <c r="BX55" s="50" t="str">
        <f>IF(Atletas!P46="","",IF(Atletas!X46&lt;&gt;"",10000,0)+IF(Atletas!B46="Feminino",1000,IF(Atletas!B46="Masculino",2000,""))+IF(OR(Atletas!P46="Yang 26 D",Atletas!P46="Yang 40 D"),419,IF(OR(Atletas!P46="Chen 25 D",Atletas!P46="Chen 36 D",Atletas!P46="Chen 56 D"),420,IF(Atletas!P46="Sun 73 D",421,IF(Atletas!P46="Wu 45 D",422,IF(Atletas!P46="Wu-Hao 46 D",423,IF(OR(Atletas!P46="Taijiquan 16 D",Atletas!P46="Taijiquan 24 D",Atletas!P46="Taijiquan 32 D",Atletas!P46="Taijiquan 42 D"),424,IF(OR(Atletas!P46="Yang 26 E",Atletas!P46="Yang 40 E"),425,IF(OR(Atletas!P46="Chen 25 E",Atletas!P46="Chen 36 E",Atletas!P46="Chen 56 E"),426,IF(Atletas!P46="Sun 73 E",427,IF(Atletas!P46="Wu 45 E",428,IF(Atletas!P46="Wu-Hao 46 E",429,IF(OR(Atletas!P46="Taijiquan 16 E",Atletas!P46="Taijiquan 24 E",Atletas!P46="Taijiquan 32 E",Atletas!P46="Taijiquan 42 E"),430,IF(OR(Atletas!P46="Yang 26 F",Atletas!P46="Yang 40 F"),431,IF(OR(Atletas!P46="Chen 25 F",Atletas!P46="Chen 36 F",Atletas!P46="Chen 56 F"),432,IF(Atletas!P46="Sun 73 F",433,IF(Atletas!P46="Wu 45 F",434,IF(Atletas!P46="Wu-Hao 46 F",435,IF(OR(Atletas!P46="Taijiquan 16 F",Atletas!P46="Taijiquan 24 F",Atletas!P46="Taijiquan 32 F",Atletas!P46="Taijiquan 42 F"),436,0)))))))))))))))))))</f>
        <v/>
      </c>
      <c r="BY55" s="50" t="str">
        <f>IF(Atletas!Q46="","",IF(Atletas!X46&lt;&gt;"",10000,0)+IF(Atletas!B46="Feminino",1000,IF(Atletas!B46="Masculino",2000,""))+IF(Atletas!Q46="Xingyiquan A",501,IF(Atletas!Q46="Baguazhang A",502,IF(Atletas!Q46="Outro Estilo Interno A",503,IF(Atletas!Q46="Xingyiquan B",504,IF(Atletas!Q46="Baguazhang B",505,IF(Atletas!Q46="Outro Estilo Interno B",506,IF(Atletas!Q46="Xingyiquan C",507,IF(Atletas!Q46="Baguazhang C",508,IF(Atletas!Q46="Outro Estilo Interno C",509,IF(Atletas!Q46="Xingyiquan D",510,IF(Atletas!Q46="Baguazhang D",511,IF(Atletas!Q46="Outro Estilo Interno D",512,IF(Atletas!Q46="Xingyiquan E",513,IF(Atletas!Q46="Baguazhang E",514,IF(Atletas!Q46="Outro Estilo Interno E",515,IF(Atletas!Q46="Xingyiquan F",516,IF(Atletas!Q46="Baguazhang F",517,IF(Atletas!Q46="Outro Estilo Interno F",518, "")))))))))))))))))))</f>
        <v/>
      </c>
      <c r="BZ55" s="50" t="str">
        <f>IF(Atletas!R46="","",IF(Atletas!X46&lt;&gt;"",10000,0)+IF(Atletas!B46="Feminino",1000,IF(Atletas!B46="Masculino",2000,""))+IF(Atletas!R46="Dao A",601,IF(Atletas!R46="Jian A",602,IF(Atletas!R46="Bishou A",603,IF(Atletas!R46="Shanzi A",604,IF(Atletas!R46="Outra Arma Curta A",605,IF(Atletas!R46="Dao B",606,IF(Atletas!R46="Jian B",607,IF(Atletas!R46="Bishou B",608,IF(Atletas!R46="Shanzi B",609,IF(Atletas!R46="Outra Arma Curta B",610,IF(Atletas!R46="Dao C",611,IF(Atletas!R46="Jian C",612,IF(Atletas!R46="Bishou C",613,IF(Atletas!R46="Shanzi C",614,IF(Atletas!R46="Outra Arma Curta C",615,IF(Atletas!R46="Dao D",616,IF(Atletas!R46="Jian D",617,IF(Atletas!R46="Bishou D",618,IF(Atletas!R46="Shanzi D",619,IF(Atletas!R46="Outra Arma Curta D",620,IF(Atletas!R46="Dao E",621,IF(Atletas!R46="Jian E",622,IF(Atletas!R46="Bishou E",623,IF(Atletas!R46="Shanzi E",624,IF(Atletas!R46="Outra Arma Curta E",625,IF(Atletas!R46="Dao F",626,IF(Atletas!R46="Jian F",627,IF(Atletas!R46="Bishou F",628,IF(Atletas!R46="Shanzi F",629,IF(Atletas!R46="Outra Arma Curta F",630, "")))))))))))))))))))))))))))))))</f>
        <v/>
      </c>
      <c r="CA55" s="50" t="str">
        <f>IF(Atletas!S46="","",IF(Atletas!X46&lt;&gt;"",10000,0)+IF(Atletas!B46="Feminino",1000,IF(Atletas!B46="Masculino",2000,""))+IF(Atletas!S46="Gun A",701,IF(Atletas!S46="Qiang A",702,IF(Atletas!S46="Pudao / Guandao A",703,IF(Atletas!S46="Outra Arma Longa A",704,IF(Atletas!S46="Gun B",705,IF(Atletas!S46="Qiang B",706,IF(Atletas!S46="Pudao / Guandao B",707,IF(Atletas!S46="Outra Arma Longa B",708,IF(Atletas!S46="Gun C",709,IF(Atletas!S46="Qiang C",710,IF(Atletas!S46="Pudao / Guandao C",711,IF(Atletas!S46="Outra Arma Longa C",712,IF(Atletas!S46="Gun D",713,IF(Atletas!S46="Qiang D",714,IF(Atletas!S46="Pudao / Guandao D",715,IF(Atletas!S46="Outra Arma Longa D",716,IF(Atletas!S46="Gun E",717,IF(Atletas!S46="Qiang E",718,IF(Atletas!S46="Pudao / Guandao E",719,IF(Atletas!S46="Outra Arma Longa E",720,IF(Atletas!S46="Gun F",721,IF(Atletas!S46="Qiang F",722,IF(Atletas!S46="Pudao / Guandao F",723,IF(Atletas!S46="Outra Arma Longa F",724,"")))))))))))))))))))))))))</f>
        <v/>
      </c>
      <c r="CB55" s="50" t="str">
        <f>IF(Atletas!T46="","",IF(Atletas!X46&lt;&gt;"",10000,0)+IF(Atletas!B46="Feminino",1000,IF(Atletas!B46="Masculino",2000,""))+IF(Atletas!T46="Outra Arma Dupla A",801,IF(Atletas!T46="Arma Maleável A",802,IF(Atletas!T46="Outra Arma Dupla B",803,IF(Atletas!T46="Arma Maleável B",804,IF(Atletas!T46="Outra Arma Dupla C",805,IF(Atletas!T46="Arma Maleável C",806,IF(Atletas!T46="Outra Arma Dupla D",807,IF(Atletas!T46="Arma Maleável D",808,IF(Atletas!T46="Outra Arma Dupla E",809,IF(Atletas!T46="Arma Maleável E",810,IF(Atletas!T46="Outra Arma Dupla F",811,IF(Atletas!T46="Arma Maleável F",812,IF(Atletas!T46="Shuangdao A",813,IF(Atletas!T46="Shuangdao B",814,IF(Atletas!T46="Shuangdao C",815,IF(Atletas!T46="Shuangdao D",816,IF(Atletas!T46="Shuangdao E",817,IF(Atletas!T46="Shuangdao F",818,"")))))))))))))))))))</f>
        <v/>
      </c>
      <c r="CC55" s="50" t="str">
        <f>IF(Atletas!U46="","",IF(Atletas!X46&lt;&gt;"",10000,0)+IF(Atletas!B46="Feminino",1000,IF(Atletas!B46="Masculino",2000,""))+IF(OR(Atletas!U46="Taijijian Yang A",Atletas!U46="Taijijian Yang Standard A"),901,IF(OR(Atletas!U46="Taijijian Chen A", Atletas!U46="Taijijian Chen Standard A"),902,IF(Atletas!U46="Taijijian Sun A",903,IF(Atletas!U46="Taijijian Wu A",904,IF(Atletas!U46="Taijijian Wu-Hao A",905,IF(OR(Atletas!U46="Taijijian 32 A",Atletas!U46="Taijijian 42 A"),906,IF(OR(Atletas!U46="Taijijian Yang B",Atletas!U46="Taijijian Yang Standard B"),907,IF(OR(Atletas!U46="Taijijian Chen B", Atletas!U46="Taijijian Chen Standard B"),908,IF(Atletas!U46="Taijijian Sun B",909,IF(Atletas!U46="Taijijian Wu B",910,IF(Atletas!U46="Taijijian Wu-Hao B",911,IF(OR(Atletas!U46="Taijijian 32 B",Atletas!U46="Taijijian 42 B"),912,IF(OR(Atletas!U46="Taijijian Yang C",Atletas!U46="Taijijian Yang Standard C"),913,IF(OR(Atletas!U46="Taijijian Chen C", Atletas!U46="Taijijian Chen Standard C"),914,IF(Atletas!U46="Taijijian Sun C",915,IF(Atletas!U46="Taijijian Wu C",916,IF(Atletas!U46="Taijijian Wu-Hao C",917,IF(OR(Atletas!U46="Taijijian 32 C",Atletas!U46="Taijijian 42 C"),918,IF(OR(Atletas!U46="Taijijian Yang D",Atletas!U46="Taijijian Yang Standard D"),919,IF(OR(Atletas!U46="Taijijian Chen D", Atletas!U46="Taijijian Chen Standard D"),920,IF(Atletas!U46="Taijijian Sun D",921,IF(Atletas!U46="Taijijian Wu D",922,IF(Atletas!U46="Taijijian Wu-Hao D",923,IF(OR(Atletas!U46="Taijijian 32 D",Atletas!U46="Taijijian 42 D"),924,IF(OR(Atletas!U46="Taijijian Yang E",Atletas!U46="Taijijian Yang Standard E"),925,IF(OR(Atletas!U46="Taijijian Chen E", Atletas!U46="Taijijian Chen Standard E"),926,IF(Atletas!U46="Taijijian Sun E",927,IF(Atletas!U46="Taijijian Wu E",928,IF(Atletas!U46="Taijijian Wu-Hao E",929,IF(OR(Atletas!U46="Taijijian 32 E",Atletas!U46="Taijijian 42 E"),930,IF(OR(Atletas!U46="Taijijian Yang F",Atletas!U46="Taijijian Yang Standard F"),931,IF(OR(Atletas!U46="Taijijian Chen F", Atletas!U46="Taijijian Chen Standard F"),932,IF(Atletas!U46="Taijijian Sun F",933,IF(Atletas!U46="Taijijian Wu F",934,IF(Atletas!U46="Taijijian Wu-Hao F",935,IF(OR(Atletas!U46="Taijijian 32 F",Atletas!U46="Taijijian 42 F"),936,"")))))))))))))))))))))))))))))))))))))</f>
        <v/>
      </c>
      <c r="CD55" s="50" t="str">
        <f>IF(Atletas!V46="","",IF(Atletas!X46&lt;&gt;"",10000,0)+IF(Atletas!B46="Feminino",1000,IF(Atletas!B46="Masculino",2000,""))+IF(Atletas!V46="Taijidao A",937,IF(Atletas!V46="TaijiShanzi A",938,IF(Atletas!V46="Taijiqiang A",939,IF(Atletas!V46="Bagua de Arma A",940,IF(Atletas!V46="Xingyi de Arma A",941,IF(Atletas!V46="Taijidao B",942,IF(Atletas!V46="TaijiShanzi B",943,IF(Atletas!V46="Taijiqiang B",944,IF(Atletas!V46="Bagua de Arma B",945,IF(Atletas!V46="Xingyi de Arma B",946,IF(Atletas!V46="Taijidao C",947,IF(Atletas!V46="TaijiShanzi C",948,IF(Atletas!V46="Taijiqiang C",949,IF(Atletas!V46="Bagua de Arma C",950,IF(Atletas!V46="Xingyi de Arma C",951,IF(Atletas!V46="Taijidao D",952,IF(Atletas!V46="TaijiShanzi D",953,IF(Atletas!V46="Taijiqiang D",954,IF(Atletas!V46="Bagua de Arma D",955,IF(Atletas!V46="Xingyi de Arma D",956,IF(Atletas!V46="Taijidao E",957,IF(Atletas!V46="TaijiShanzi E",958,IF(Atletas!V46="Taijiqiang E",959,IF(Atletas!V46="Bagua de Arma E",960,IF(Atletas!V46="Xingyi de Arma E",961,IF(Atletas!V46="Taijidao F",962,IF(Atletas!V46="TaijiShanzi F",963,IF(Atletas!V46="Taijiqiang F",964,IF(Atletas!V46="Bagua de Arma F",965,IF(Atletas!V46="Xingyi de Arma F",966,"")))))))))))))))))))))))))))))))</f>
        <v/>
      </c>
      <c r="CE55" s="66" t="str">
        <f>IF(CF55&lt;&gt;"","Outros Estilos A","")</f>
        <v/>
      </c>
      <c r="CF55" s="66" t="str">
        <f>IF(COUNTIF(BR:CD,1113)&gt;0,COUNTIF(BR:CD,1113),"")</f>
        <v/>
      </c>
      <c r="CG55" s="66" t="str">
        <f>IF(CH55&lt;&gt;"","Outros Estilos A","")</f>
        <v/>
      </c>
      <c r="CH55" s="66" t="str">
        <f>IF(COUNTIF(BR:CD,2113)&gt;0,COUNTIF(BR:CD,2113),"")</f>
        <v/>
      </c>
      <c r="CI55" s="66" t="str">
        <f>IF(CJ55&lt;&gt;"","Paoquan B","")</f>
        <v/>
      </c>
      <c r="CJ55" s="66" t="str">
        <f>IF(COUNTIF(BR:CD,11119)&gt;0,COUNTIF(BR:CD,11119),"")</f>
        <v/>
      </c>
      <c r="CK55" s="66" t="str">
        <f>IF(CL55&lt;&gt;"","Paoquan B","")</f>
        <v/>
      </c>
      <c r="CL55" s="66" t="str">
        <f>IF(COUNTIF(BR:CD,12119)&gt;0,COUNTIF(BR:CD,12119),"")</f>
        <v/>
      </c>
      <c r="CM55" s="50" t="str">
        <f xml:space="preserve"> IF(Atletas!W46="","",IF(Atletas!W46="Duilian de Mãos BC - Equipe 1",1,IF(Atletas!W46="Duilian de Mãos BC - Equipe 2",2,IF(Atletas!W46="Duilian de Armas BC - Equipe 1",3,IF(Atletas!W46="Duilian de Armas BC - Equipe 2",4,IF(Atletas!W46="Duilian de Mãos DE - Equipe 1",5,IF(Atletas!W46="Duilian de Mãos DE - Equipe 2",6,IF(Atletas!W46="Duilian de Armas DE - Equipe 1",7,IF(Atletas!W46="Duilian de Armas DE - Equipe 2",8,IF(Atletas!W46="Duilian de Tuishou - Equipe 1",9,IF(Atletas!W46="Duilian de Tuishou - Equipe 2",10,IF(Atletas!W46="Grupo Externo ABC - Equipe 1",11,IF(Atletas!W46="Grupo Externo ABC - Equipe 2",12,IF(Atletas!W46="Grupo Interno ABC - Equipe 1",13,IF(Atletas!W46="Grupo Interno ABC - Equipe 2",14,IF(Atletas!W46="Grupo Externo DEF - Equipe 1",15,IF(Atletas!W46="Grupo Externo DEF - Equipe 2",16,IF(Atletas!W46="Grupo Interno DEF - Equipe 1",17,IF(Atletas!W46="Grupo Interno DEF - Equipe 2",18,"")))))))))))))))))))</f>
        <v/>
      </c>
      <c r="CY55" s="41"/>
    </row>
    <row r="56" spans="2:103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 t="str">
        <f t="array" ref="R56">IFERROR(INDEX(BI$7:BI$68,SMALL(IF(BI$7:BI$68&lt;&gt;"",ROW(BI$7:BI$68)-ROW(BI$7)+1),ROWS(BI$7:BI55))),"")</f>
        <v/>
      </c>
      <c r="S56" s="3" t="str">
        <f t="array" ref="S56">IFERROR(INDEX(BJ$7:BJ$68,SMALL(IF(BJ$7:BJ$68&lt;&gt;"",ROW(BJ$7:BJ$68)-ROW(BJ$7)+1),ROWS(BJ$7:BJ55))),"")</f>
        <v/>
      </c>
      <c r="T56" s="3" t="str">
        <f t="array" ref="T56">IFERROR(INDEX(BK$7:BK$68,SMALL(IF(BK$7:BK$68&lt;&gt;"",ROW(BK$7:BK$68)-ROW(BK$7)+1),ROWS(BK$7:BK55))),"")</f>
        <v/>
      </c>
      <c r="U56" s="3" t="str">
        <f t="array" ref="U56">IFERROR(INDEX(BL$7:BL$68,SMALL(IF(BL$7:BL$68&lt;&gt;"",ROW(BL$7:BL$68)-ROW(BL$7)+1),ROWS(BL$7:BL55))),"")</f>
        <v/>
      </c>
      <c r="V56" s="3"/>
      <c r="W56" s="3"/>
      <c r="X56" s="20"/>
      <c r="Y56" s="3"/>
      <c r="Z56" s="3" t="str">
        <f t="array" ref="Z56">IFERROR(INDEX(CE$7:CE$348,SMALL(IF(CE$7:CE$348&lt;&gt;"",ROW(CE$7:CE$348)-ROW(CE$7)+1),ROWS(CE$7:CE55))),"")</f>
        <v/>
      </c>
      <c r="AA56" s="3" t="str">
        <f t="array" ref="AA56">IFERROR(INDEX(CF$7:CF$348,SMALL(IF(CF$7:CF$348&lt;&gt;"",ROW(CF$7:CF$348)-ROW(CF$7)+1),ROWS(CF$7:CF55))),"")</f>
        <v/>
      </c>
      <c r="AB56" s="3" t="str">
        <f t="array" ref="AB56">IFERROR(INDEX(CG$7:CG$348,SMALL(IF(CG$7:CG$348&lt;&gt;"",ROW(CG$7:CG$348)-ROW(CG$7)+1),ROWS(CG$7:CG55))),"")</f>
        <v/>
      </c>
      <c r="AC56" s="3" t="str">
        <f t="array" ref="AC56">IFERROR(INDEX(CH$7:CH$348,SMALL(IF(CH$7:CH$348&lt;&gt;"",ROW(CH$7:CH$348)-ROW(CH$7)+1),ROWS(CH$7:CH55))),"")</f>
        <v/>
      </c>
      <c r="AD56" s="3" t="str">
        <f t="array" ref="AD56">IFERROR(INDEX(CI$7:CI$377,SMALL(IF(CI$7:CI$377&lt;&gt;"",ROW(CI$7:CI$377)-ROW(CI$7)+1),ROWS(CI$7:CI55))),"")</f>
        <v/>
      </c>
      <c r="AE56" s="3" t="str">
        <f t="array" ref="AE56">IFERROR(INDEX(CJ$7:CJ$378,SMALL(IF(CJ$7:CJ$378&lt;&gt;"",ROW(CJ$7:CJ$378)-ROW(CJ$7)+1),ROWS(CJ$7:CJ55))),"")</f>
        <v/>
      </c>
      <c r="AF56" s="3" t="str">
        <f t="array" ref="AF56">IFERROR(INDEX(CK$7:CK$378,SMALL(IF(CK$7:CK$378&lt;&gt;"",ROW(CK$7:CK$378)-ROW(CK$7)+1),ROWS(CK$7:CK55))),"")</f>
        <v/>
      </c>
      <c r="AG56" s="3" t="str">
        <f t="array" ref="AG56">IFERROR(INDEX(CL$7:CL$378,SMALL(IF(CL$7:CL$378&lt;&gt;"",ROW(CL$7:CL$378)-ROW(CL$7)+1),ROWS(CL$7:CL55))),"")</f>
        <v/>
      </c>
      <c r="AH56" s="3"/>
      <c r="AI56" s="3"/>
      <c r="AJ56" s="3"/>
      <c r="AK56" s="3"/>
      <c r="AL56" s="3"/>
      <c r="AM56" s="3"/>
      <c r="AN56" s="52" t="str">
        <f>IF(Atletas!D47="","",IF(Atletas!B47="Feminino",100,IF(Atletas!B47="Masculino",200,""))+(IF(Atletas!D47="Kids 30kg",1,IF(Atletas!D47="Kids 32kg",2, IF(Atletas!D47="Kids 34kg",3,IF(Atletas!D47="Kids 36kg",4,IF(Atletas!D47="Kids 39kg",5,IF(Atletas!D47="Kids 42kg",6,IF(Atletas!D47="Kids 45kg",7, IF(Atletas!D47="Infantil 39kg",8,IF(Atletas!D47="Infantil 42kg",9,IF(Atletas!D47="Infantil 45kg",10,IF(Atletas!D47="Infantil 48kg",11,IF(Atletas!D47="Infantil 52kg",12,IF(Atletas!D47="Infantil 56kg",13,IF(Atletas!D47="Infantil 60kg",14,IF(Atletas!D47="Juvenil 48kg",15,IF(Atletas!D47="Juvenil 52kg",16,IF(Atletas!D47="Juvenil 56kg",17,IF(Atletas!D47="Juvenil 60kg",18,IF(Atletas!D47="Juvenil 65kg",19,IF(Atletas!D47="Juvenil 70kg",20,IF(Atletas!D47="Juvenil 75kg",21,IF(Atletas!D47="Juvenil 80kg",22, IF(Atletas!D47="Juvenil 85kg",23,IF(Atletas!D47="Adulto 48kg",24,IF(Atletas!D47="Adulto 52kg",25,IF(Atletas!D47="Adulto 56kg",26,IF(Atletas!D47="Adulto 60kg",27,IF(Atletas!D47="Adulto 65kg",28,IF(Atletas!D47="Adulto 70kg",29,IF(Atletas!D47="Adulto 75kg",30,IF(Atletas!D47="Adulto 80kg",31,IF(Atletas!D47="Adulto 85kg",32,IF(Atletas!D47="Adulto 90kg",33,IF(Atletas!D47="Adulto 100kg",34, IF(Atletas!D47="Adulto +100kg",35,"")))))))))))))))))))))))))))))))))))))</f>
        <v/>
      </c>
      <c r="AS56" s="6" t="str">
        <f>IF(Atletas!E47="","",IF(Atletas!B47="Feminino",100,IF(Atletas!B47="Masculino",200,""))+(IF(Atletas!E47="Juvenil 44kg",1,IF(Atletas!E47="Juvenil 48kg",2,IF(Atletas!E47="Juvenil 52kg",3,IF(Atletas!E47="Juvenil 56kg",4,IF(Atletas!E47="Juvenil 60kg",5,IF(Atletas!E47="Juvenil 65kg",6,IF(Atletas!E47="Juvenil 70kg",7,IF(Atletas!E47="Juvenil 75kg",8,IF(Atletas!E47="Juvenil 82kg",9,IF(Atletas!E47="Juvenil 90kg",10,IF(Atletas!E47="Juvenil 100kg",11,IF(Atletas!E47="Adulto 48kg",12,IF(Atletas!E47="Adulto 52kg",13,IF(Atletas!E47="Adulto 56kg",14,IF(Atletas!E47="Adulto 60kg",15,IF(Atletas!E47="Adulto 65kg",16,IF(Atletas!E47="Adulto 70kg",17,IF(Atletas!E47="Adulto 75kg",18,IF(Atletas!E47="Adulto 82kg",19,IF(Atletas!E47="Adulto 90kg",20,IF(Atletas!E47="Adulto 100kg",21,IF(Atletas!E47="Adulto +100kg",22,""))))))))))))))))))))))))</f>
        <v/>
      </c>
      <c r="AX56" s="6" t="str">
        <f>IF(Atletas!F47="","",IF(Atletas!B47="Feminino",100,IF(Atletas!B47="Masculino",200,""))+(IF(Atletas!F47="Adulto 48kg",1,IF(Atletas!F47="Adulto 56kg",2,IF(Atletas!F47="Adulto 65kg",3,IF(Atletas!F47="Adulto 75kg",4,IF(Atletas!F47="Adulto +75kg",5,IF(Atletas!F47="Adulto 52kg",6,IF(Atletas!F47="Adulto 60kg",7,IF(Atletas!F47="Adulto 70kg",8,IF(Atletas!F47="Adulto 80kg",9,IF(Atletas!F47="Adulto 90kg",10,IF(Atletas!F47="Adulto +90kg",11,"")))))))))))))</f>
        <v/>
      </c>
      <c r="BC56" s="6" t="str">
        <f>IF(Atletas!G47="","",IF(Atletas!B47="Feminino",10,IF(Atletas!B47="Masculino",20,""))+(IF(Atletas!G47="Baduanjin A",1,IF(Atletas!G47="Baduanjin B",2))))</f>
        <v/>
      </c>
      <c r="BF56" s="52" t="str">
        <f>IF(Atletas!H47="","",IF(Atletas!B47="Feminino",100,IF(Atletas!B47="Masculino",200,""))+(IF(Atletas!H47="Changquan Mirim",1,IF(Atletas!H47="Nanquan Mirim",2,IF(Atletas!H47="Taijiquan Mirim",3,IF(Atletas!H47="Changquan Grupo C",4,IF(Atletas!H47="Nanquan Grupo C",5,IF(Atletas!H47="Taijiquan Grupo C",6,IF(Atletas!H47="Changquan Grupo B",7,IF(Atletas!H47="Nanquan Grupo B",8,IF(Atletas!H47="Taijiquan Grupo B",9,IF(Atletas!H47="Changquan Grupo A",10,IF(Atletas!H47="Nanquan Grupo A",11,IF(Atletas!H47="Taijiquan Grupo A",12,IF(Atletas!H47="Changquan Opcional",13,IF(Atletas!H47="Nanquan Opcional",14,IF(Atletas!H47="Taijiquan Opcional",15,IF(Atletas!H47="Changquan Adulto",16,IF(Atletas!H47="Nanquan Adulto",17,IF(Atletas!H47="Taijiquan Adulto",18,""))))))))))))))))))))</f>
        <v/>
      </c>
      <c r="BG56" s="52" t="str">
        <f>IF(Atletas!I47="","",IF(Atletas!B47="Feminino",100,IF(Atletas!B47="Masculino",200,""))+(IF(Atletas!I47="Daoshu Mirim",19,IF(Atletas!I47="Jianshu Mirim",20,IF(Atletas!I47="Nandao Mirim",21,IF(Atletas!I47="Taijijian Mirim",22,IF(Atletas!I47="Daoshu Grupo C",23,IF(Atletas!I47="Jianshu Grupo C",24,IF(Atletas!I47="Nandao Grupo C",25,IF(Atletas!I47="Taijijian Grupo C",26,IF(Atletas!I47="Daoshu Grupo B",27,IF(Atletas!I47="Jianshu Grupo B",28,IF(Atletas!I47="Nandao Grupo B",29,IF(Atletas!I47="Taijijian Grupo B",30,IF(Atletas!I47="Daoshu Grupo A",31,IF(Atletas!I47="Jianshu Grupo A",32,IF(Atletas!I47="Nandao Grupo A",33,IF(Atletas!I47="Taijijian Grupo A",34,IF(Atletas!I47="Daoshu Opcional",35,IF(Atletas!I47="Jianshu Opcional",36,IF(Atletas!I47="Nandao Opcional",37,IF(Atletas!I47="Taijijian Opcional",38,IF(Atletas!I47="Daoshu Adulto",39,IF(Atletas!I47="Jianshu Adulto",40,IF(Atletas!I47="Nandao Adulto",41,IF(Atletas!I47="Taijijian Adulto",42,""))))))))))))))))))))))))))</f>
        <v/>
      </c>
      <c r="BH56" s="52" t="str">
        <f>IF(Atletas!J47="","",IF(Atletas!B47="Feminino",100,IF(Atletas!B47="Masculino",200,""))+(IF(Atletas!J47="Gunshu Mirim",43,IF(Atletas!J47="Qiangshu Mirim",44,IF(Atletas!J47="Nangun Mirim",45,IF(Atletas!J47="Gunshu Grupo C",46,IF(Atletas!J47="Qiangshu Grupo C",47,IF(Atletas!J47="Nangun Grupo C",48,IF(Atletas!J47="Gunshu Grupo B",49,IF(Atletas!J47="Qiangshu Grupo B",50,IF(Atletas!J47="Nangun Grupo B",51,IF(Atletas!J47="Gunshu Grupo A",52,IF(Atletas!J47="Qiangshu Grupo A",53,IF(Atletas!J47="Nangun Grupo A",54,IF(Atletas!J47="Gunshu Opcional",55,IF(Atletas!J47="Qiangshu Opcional",56,IF(Atletas!J47="Nangun Opcional",57,IF(Atletas!J47="Gunshu Adulto",58,IF(Atletas!J47="Qiangshu Adulto",59,IF(Atletas!J47="Nangun Adulto",60,IF(Atletas!J47="Taijishan Grupo B",61,IF(Atletas!J47="Taijishan Grupo A",62,""))))))))))))))))))))))</f>
        <v/>
      </c>
      <c r="BI56" s="6" t="str">
        <f>IF(BJ56&lt;&gt;"","Gunshu Opcional","")</f>
        <v/>
      </c>
      <c r="BJ56" s="50" t="str">
        <f>IF(COUNTIF(BF:BH,155)&gt;0,COUNTIF(BF:BH,155),"")</f>
        <v/>
      </c>
      <c r="BK56" s="6" t="str">
        <f>IF(BL56&lt;&gt;"","Gunshu Opcional","")</f>
        <v/>
      </c>
      <c r="BL56" s="50" t="str">
        <f>IF(COUNTIF(BF:BH,255)&gt;0,COUNTIF(BF:BH,255),"")</f>
        <v/>
      </c>
      <c r="BM56" s="50" t="str">
        <f>IF(Atletas!K47="","",IF(Atletas!B47="Feminino",100,IF(Atletas!B47="Masculino",200,""))+(IF(Atletas!K47="Equipe 1 Grupo B",1,IF(Atletas!K47="Equipe 2 Grupo B",2,IF(Atletas!K47="Equipe 1 Grupo A",3,IF(Atletas!K47="Equipe 2 Grupo A",4,IF(Atletas!K47="Equipe 1 Adulto",5,IF(Atletas!K47="Equipe 2 Adulto",6,""))))))))</f>
        <v/>
      </c>
      <c r="BR56" s="50" t="str">
        <f>IF(Atletas!L47="","",IF(Atletas!X47&lt;&gt;"",10000,0)+(IF(Atletas!B47="Feminino",1000,IF(Atletas!B47="Masculino",2000,""))+IF(Atletas!L47="Choylayfut A",1,IF(Atletas!L47="Hunggar A",2,IF(Atletas!L47="Wuzuquan A",3,IF(Atletas!L47="Wingchun A",4,IF(Atletas!L47="Outra Mão de Sul A",5,IF(Atletas!L47="Choylayfut B",6,IF(Atletas!L47="Hunggar B",7,IF(Atletas!L47="Wuzuquan B",8,IF(Atletas!L47="Wingchun B",9,IF(Atletas!L47="Outra Mão de Sul B",10,IF(Atletas!L47="Choylayfut C",11,IF(Atletas!L47="Hunggar C",12,IF(Atletas!L47="Wuzuquan C",13,IF(Atletas!L47="Wingchun C",14,IF(Atletas!L47="Outra Mão de Sul C",15,IF(Atletas!L47="Choylayfut D",16,IF(Atletas!L47="Hunggar D",17,IF(Atletas!L47="Wuzuquan D",18,IF(Atletas!L47="Wingchun D",19,IF(Atletas!L47="Outra Mão de Sul D",20,IF(Atletas!L47="Choylayfut E",21,IF(Atletas!L47="Hunggar E",22,IF(Atletas!L47="Wuzuquan E",23,IF(Atletas!L47="Wingchun E",24,IF(Atletas!L47="Outra Mão de Sul E",25,IF(Atletas!L47="Choylayfut F",26,IF(Atletas!L47="Hunggar F",27,IF(Atletas!L47="Wuzuquan F",28,IF(Atletas!L47="Wingchun F",29,IF(Atletas!L47="Outra Mão de Sul F",30,IF(Atletas!L47="Dishuquan A",31,IF(Atletas!L47="Dishuquan B",32,IF(Atletas!L47="Dishuquan C",33,IF(Atletas!L47="Dishuquan D",34,IF(Atletas!L47="Dishuquan E",35,IF(Atletas!L47="Dishuquan F",36,""))))))))))))))))))))))))))))))))))))))</f>
        <v/>
      </c>
      <c r="BS56" s="50" t="str">
        <f>IF(Atletas!M47="","",IF(Atletas!X47&lt;&gt;"",10000,0)+(IF(Atletas!B47="Feminino",1000,IF(Atletas!B47="Masculino",2000,""))+(IF(Atletas!M47="Chaquan A",101,IF(Atletas!M47="Emeiquan A",102,IF(Atletas!M47="Fanziquan A",103,IF(Atletas!M47="Huaquan A",104,IF(Atletas!M47="Hongquan A",105,IF(Atletas!M47="Paoquan A",106,IF(Atletas!M47="Piguaquan A",107,IF(Atletas!M47="Shaolinquan A",108,IF(Atletas!M47="Tanglangquan A",109,IF(Atletas!M47="Yingzhaoquan A",110,IF(Atletas!M47="Tongbeiquan A",111,IF(Atletas!M47="Wudangquan A",112,IF(Atletas!M47="Outros Estilos A",113,IF(Atletas!M47="Chaquan B",114,IF(Atletas!M47="Emeiquan B",115,IF(Atletas!M47="Fanziquan B",116,IF(Atletas!M47="Huaquan B",117,IF(Atletas!M47="Hongquan B",118,IF(Atletas!M47="Paoquan B",119,IF(Atletas!M47="Piguaquan B",120,IF(Atletas!M47="Shaolinquan B",121,IF(Atletas!M47="Tanglangquan B",122,IF(Atletas!M47="Yingzhaoquan B",123,IF(Atletas!M47="Tongbeiquan B",124,IF(Atletas!M47="Wudangquan B",125,IF(Atletas!M47="Outros Estilos B",126,IF(Atletas!M47="Chaquan C",127,IF(Atletas!M47="Emeiquan C",128,IF(Atletas!M47="Fanziquan C",129,IF(Atletas!M47="Huaquan C",130,IF(Atletas!M47="Hongquan C",131,IF(Atletas!M47="Paoquan C",132,IF(Atletas!M47="Piguaquan C",133,IF(Atletas!M47="Shaolinquan C",134,IF(Atletas!M47="Tanglangquan C",135,IF(Atletas!M47="Yingzhaoquan C",136,IF(Atletas!M47="Tongbeiquan C",137,IF(Atletas!M47="Wudangquan C",138,IF(Atletas!M47="Outros Estilos C",139,0))))))))))))))))))))))))))))))))))))))))))</f>
        <v/>
      </c>
      <c r="BT56" s="50" t="str">
        <f>IF(Atletas!M47="","",IF(Atletas!X47&lt;&gt;"",10000,0)+(IF(Atletas!B47="Feminino",1000,IF(Atletas!B47="Masculino",2000,""))+(IF(Atletas!M47="Chaquan D",140,IF(Atletas!M47="Emeiquan D",141,IF(Atletas!M47="Fanziquan D",142,IF(Atletas!M47="Huaquan D",143,IF(Atletas!M47="Hongquan D",144,IF(Atletas!M47="Paoquan D",145,IF(Atletas!M47="Piguaquan D",146,IF(Atletas!M47="Shaolinquan D",147,IF(Atletas!M47="Tanglangquan D",148,IF(Atletas!M47="Yingzhaoquan D",149,IF(Atletas!M47="Tongbeiquan D",150,IF(Atletas!M47="Wudangquan D",151,IF(Atletas!M47="Outros Estilos D",152,IF(Atletas!M47="Chaquan E",153,IF(Atletas!M47="Emeiquan E",154,IF(Atletas!M47="Fanziquan E",155,IF(Atletas!M47="Huaquan E",156,IF(Atletas!M47="Hongquan E",157,IF(Atletas!M47="Paoquan E",158,IF(Atletas!M47="Piguaquan E",159,IF(Atletas!M47="Shaolinquan E",160,IF(Atletas!M47="Tanglangquan E",161,IF(Atletas!M47="Yingzhaoquan E",162,IF(Atletas!M47="Tongbeiquan E",163,IF(Atletas!M47="Wudangquan E",164,IF(Atletas!M47="Outros Estilos E",165,IF(Atletas!M47="Chaquan F",166,IF(Atletas!M47="Emeiquan F",167,IF(Atletas!M47="Fanziquan F",168,IF(Atletas!M47="Huaquan F",169,IF(Atletas!M47="Hongquan F",170,IF(Atletas!M47="Paoquan F",171,IF(Atletas!M47="Piguaquan F",172,IF(Atletas!M47="Shaolinquan F",173,IF(Atletas!M47="Tanglangquan F",174,IF(Atletas!M47="Yingzhaoquan F",175,IF(Atletas!M47="Tongbeiquan F",176,IF(Atletas!M47="Wudangquan F",177,IF(Atletas!M47="Outros Estilos F",178,0))))))))))))))))))))))))))))))))))))))))))</f>
        <v/>
      </c>
      <c r="BU56" s="50" t="str">
        <f>IF(Atletas!N47="","",IF(Atletas!X47&lt;&gt;"",10000,0)+(IF(Atletas!B47="Feminino",1000,IF(Atletas!B47="Masculino",2000,""))+(IF(Atletas!N47="Ditangquan A",201,IF(Atletas!N47="Houquan A",202,IF(Atletas!N47="Zuiquan A",203,IF(Atletas!N47="Ditangquan B",204,IF(Atletas!N47="Houquan B",205,IF(Atletas!N47="Zuiquan B",206,IF(Atletas!N47="Ditangquan C",207,IF(Atletas!N47="Houquan C",208,IF(Atletas!N47="Zuiquan C",209,IF(Atletas!N47="Ditangquan D",210,IF(Atletas!N47="Houquan D",211,IF(Atletas!N47="Zuiquan D",212,IF(Atletas!N47="Ditangquan E",213,IF(Atletas!N47="Houquan E",214,IF(Atletas!N47="Zuiquan E",215,IF(Atletas!N47="Ditangquan F",216,IF(Atletas!N47="Houquan F",217,IF(Atletas!N47="Zuiquan F",218,"")))))))))))))))))))))</f>
        <v/>
      </c>
      <c r="BV56" s="50" t="str">
        <f>IF(Atletas!O47="","",IF(Atletas!X47&lt;&gt;"",10000,0)+IF(Atletas!B47="Feminino",1000,IF(Atletas!B47="Masculino",2000,""))+IF(Atletas!O47="Yang A",301,IF(Atletas!O47="Chen A",302,IF(Atletas!O47="Sun A",303,IF(Atletas!O47="Wu A",304,IF(Atletas!O47="Wu-Hao A",305,IF(Atletas!O47="Outro Taijiquan A",306,IF(Atletas!O47="Yang B",307,IF(Atletas!O47="Chen B",308,IF(Atletas!O47="Sun B",309,IF(Atletas!O47="Wu B",310,IF(Atletas!O47="Wu-Hao B",311,IF(Atletas!O47="Outro Taijiquan B",312,IF(Atletas!O47="Yang C",313,IF(Atletas!O47="Chen C",314,IF(Atletas!O47="Sun C",315,IF(Atletas!O47="Wu C",316,IF(Atletas!O47="Wu-Hao C",317,IF(Atletas!O47="Outro Taijiquan C",318,IF(Atletas!O47="Yang D",319,IF(Atletas!O47="Chen D",320,IF(Atletas!O47="Sun D",321,IF(Atletas!O47="Wu D",322,IF(Atletas!O47="Wu-Hao D",323,IF(Atletas!O47="Outro Taijiquan D",324,IF(Atletas!O47="Yang E",325,IF(Atletas!O47="Chen E",326,IF(Atletas!O47="Sun E",327,IF(Atletas!O47="Wu E",328,IF(Atletas!O47="Wu-Hao E",329,IF(Atletas!O47="Outro Taijiquan E",330,IF(Atletas!O47="Yang F",331,IF(Atletas!O47="Chen F",332,IF(Atletas!O47="Sun F",333,IF(Atletas!O47="Wu F",334,IF(Atletas!O47="Wu-Hao F",335,IF(Atletas!O47="Outro Taijiquan F",336,"")))))))))))))))))))))))))))))))))))))</f>
        <v/>
      </c>
      <c r="BW56" s="50" t="str">
        <f>IF(Atletas!P47="","",IF(Atletas!X47&lt;&gt;"",10000,0)+IF(Atletas!B47="Feminino",1000,IF(Atletas!B47="Masculino",2000,""))+IF(OR(Atletas!P47="Yang 26 A",Atletas!P47="Yang 40 A"),401,IF(OR(Atletas!P47="Chen 25 A",Atletas!P47="Chen 36 A",Atletas!P47="Chen 56 A"),402,IF(Atletas!P47="Sun 73 A",403,IF(Atletas!P47="Wu 45 A",404,IF(Atletas!P47="Wu-Hao 46 A",405,IF(OR(Atletas!P47="Taijiquan 16 A",Atletas!P47="Taijiquan 24 A",Atletas!P47="Taijiquan 32 A",Atletas!P47="Taijiquan 42 A"),406,IF(OR(Atletas!P47="Yang 26 B",Atletas!P47="Yang 40 B"),407,IF(OR(Atletas!P47="Chen 25 B",Atletas!P47="Chen 36 B",Atletas!P47="Chen 56 B"),408,IF(Atletas!P47="Sun 73 B",409,IF(Atletas!P47="Wu 45 B",410,IF(Atletas!P47="Wu-Hao 46 B",411,IF(OR(Atletas!P47="Taijiquan 16 B",Atletas!P47="Taijiquan 24 B",Atletas!P47="Taijiquan 32 B",Atletas!P47="Taijiquan 42 B"),412,IF(OR(Atletas!P47="Yang 26 C",Atletas!P47="Yang 40 C"),413,IF(OR(Atletas!P47="Chen 25 C",Atletas!P47="Chen 36 C",Atletas!P47="Chen 56 C"),414,IF(Atletas!P47="Sun 73 C",415,IF(Atletas!P47="Wu 45 C",416,IF(Atletas!P47="Wu-Hao 46 C",417,IF(OR(Atletas!P47="Taijiquan 16 C",Atletas!P47="Taijiquan 24 C",Atletas!P47="Taijiquan 32 C",Atletas!P47="Taijiquan 42 C"),418,0)))))))))))))))))))</f>
        <v/>
      </c>
      <c r="BX56" s="50" t="str">
        <f>IF(Atletas!P47="","",IF(Atletas!X47&lt;&gt;"",10000,0)+IF(Atletas!B47="Feminino",1000,IF(Atletas!B47="Masculino",2000,""))+IF(OR(Atletas!P47="Yang 26 D",Atletas!P47="Yang 40 D"),419,IF(OR(Atletas!P47="Chen 25 D",Atletas!P47="Chen 36 D",Atletas!P47="Chen 56 D"),420,IF(Atletas!P47="Sun 73 D",421,IF(Atletas!P47="Wu 45 D",422,IF(Atletas!P47="Wu-Hao 46 D",423,IF(OR(Atletas!P47="Taijiquan 16 D",Atletas!P47="Taijiquan 24 D",Atletas!P47="Taijiquan 32 D",Atletas!P47="Taijiquan 42 D"),424,IF(OR(Atletas!P47="Yang 26 E",Atletas!P47="Yang 40 E"),425,IF(OR(Atletas!P47="Chen 25 E",Atletas!P47="Chen 36 E",Atletas!P47="Chen 56 E"),426,IF(Atletas!P47="Sun 73 E",427,IF(Atletas!P47="Wu 45 E",428,IF(Atletas!P47="Wu-Hao 46 E",429,IF(OR(Atletas!P47="Taijiquan 16 E",Atletas!P47="Taijiquan 24 E",Atletas!P47="Taijiquan 32 E",Atletas!P47="Taijiquan 42 E"),430,IF(OR(Atletas!P47="Yang 26 F",Atletas!P47="Yang 40 F"),431,IF(OR(Atletas!P47="Chen 25 F",Atletas!P47="Chen 36 F",Atletas!P47="Chen 56 F"),432,IF(Atletas!P47="Sun 73 F",433,IF(Atletas!P47="Wu 45 F",434,IF(Atletas!P47="Wu-Hao 46 F",435,IF(OR(Atletas!P47="Taijiquan 16 F",Atletas!P47="Taijiquan 24 F",Atletas!P47="Taijiquan 32 F",Atletas!P47="Taijiquan 42 F"),436,0)))))))))))))))))))</f>
        <v/>
      </c>
      <c r="BY56" s="50" t="str">
        <f>IF(Atletas!Q47="","",IF(Atletas!X47&lt;&gt;"",10000,0)+IF(Atletas!B47="Feminino",1000,IF(Atletas!B47="Masculino",2000,""))+IF(Atletas!Q47="Xingyiquan A",501,IF(Atletas!Q47="Baguazhang A",502,IF(Atletas!Q47="Outro Estilo Interno A",503,IF(Atletas!Q47="Xingyiquan B",504,IF(Atletas!Q47="Baguazhang B",505,IF(Atletas!Q47="Outro Estilo Interno B",506,IF(Atletas!Q47="Xingyiquan C",507,IF(Atletas!Q47="Baguazhang C",508,IF(Atletas!Q47="Outro Estilo Interno C",509,IF(Atletas!Q47="Xingyiquan D",510,IF(Atletas!Q47="Baguazhang D",511,IF(Atletas!Q47="Outro Estilo Interno D",512,IF(Atletas!Q47="Xingyiquan E",513,IF(Atletas!Q47="Baguazhang E",514,IF(Atletas!Q47="Outro Estilo Interno E",515,IF(Atletas!Q47="Xingyiquan F",516,IF(Atletas!Q47="Baguazhang F",517,IF(Atletas!Q47="Outro Estilo Interno F",518, "")))))))))))))))))))</f>
        <v/>
      </c>
      <c r="BZ56" s="50" t="str">
        <f>IF(Atletas!R47="","",IF(Atletas!X47&lt;&gt;"",10000,0)+IF(Atletas!B47="Feminino",1000,IF(Atletas!B47="Masculino",2000,""))+IF(Atletas!R47="Dao A",601,IF(Atletas!R47="Jian A",602,IF(Atletas!R47="Bishou A",603,IF(Atletas!R47="Shanzi A",604,IF(Atletas!R47="Outra Arma Curta A",605,IF(Atletas!R47="Dao B",606,IF(Atletas!R47="Jian B",607,IF(Atletas!R47="Bishou B",608,IF(Atletas!R47="Shanzi B",609,IF(Atletas!R47="Outra Arma Curta B",610,IF(Atletas!R47="Dao C",611,IF(Atletas!R47="Jian C",612,IF(Atletas!R47="Bishou C",613,IF(Atletas!R47="Shanzi C",614,IF(Atletas!R47="Outra Arma Curta C",615,IF(Atletas!R47="Dao D",616,IF(Atletas!R47="Jian D",617,IF(Atletas!R47="Bishou D",618,IF(Atletas!R47="Shanzi D",619,IF(Atletas!R47="Outra Arma Curta D",620,IF(Atletas!R47="Dao E",621,IF(Atletas!R47="Jian E",622,IF(Atletas!R47="Bishou E",623,IF(Atletas!R47="Shanzi E",624,IF(Atletas!R47="Outra Arma Curta E",625,IF(Atletas!R47="Dao F",626,IF(Atletas!R47="Jian F",627,IF(Atletas!R47="Bishou F",628,IF(Atletas!R47="Shanzi F",629,IF(Atletas!R47="Outra Arma Curta F",630, "")))))))))))))))))))))))))))))))</f>
        <v/>
      </c>
      <c r="CA56" s="50" t="str">
        <f>IF(Atletas!S47="","",IF(Atletas!X47&lt;&gt;"",10000,0)+IF(Atletas!B47="Feminino",1000,IF(Atletas!B47="Masculino",2000,""))+IF(Atletas!S47="Gun A",701,IF(Atletas!S47="Qiang A",702,IF(Atletas!S47="Pudao / Guandao A",703,IF(Atletas!S47="Outra Arma Longa A",704,IF(Atletas!S47="Gun B",705,IF(Atletas!S47="Qiang B",706,IF(Atletas!S47="Pudao / Guandao B",707,IF(Atletas!S47="Outra Arma Longa B",708,IF(Atletas!S47="Gun C",709,IF(Atletas!S47="Qiang C",710,IF(Atletas!S47="Pudao / Guandao C",711,IF(Atletas!S47="Outra Arma Longa C",712,IF(Atletas!S47="Gun D",713,IF(Atletas!S47="Qiang D",714,IF(Atletas!S47="Pudao / Guandao D",715,IF(Atletas!S47="Outra Arma Longa D",716,IF(Atletas!S47="Gun E",717,IF(Atletas!S47="Qiang E",718,IF(Atletas!S47="Pudao / Guandao E",719,IF(Atletas!S47="Outra Arma Longa E",720,IF(Atletas!S47="Gun F",721,IF(Atletas!S47="Qiang F",722,IF(Atletas!S47="Pudao / Guandao F",723,IF(Atletas!S47="Outra Arma Longa F",724,"")))))))))))))))))))))))))</f>
        <v/>
      </c>
      <c r="CB56" s="50" t="str">
        <f>IF(Atletas!T47="","",IF(Atletas!X47&lt;&gt;"",10000,0)+IF(Atletas!B47="Feminino",1000,IF(Atletas!B47="Masculino",2000,""))+IF(Atletas!T47="Outra Arma Dupla A",801,IF(Atletas!T47="Arma Maleável A",802,IF(Atletas!T47="Outra Arma Dupla B",803,IF(Atletas!T47="Arma Maleável B",804,IF(Atletas!T47="Outra Arma Dupla C",805,IF(Atletas!T47="Arma Maleável C",806,IF(Atletas!T47="Outra Arma Dupla D",807,IF(Atletas!T47="Arma Maleável D",808,IF(Atletas!T47="Outra Arma Dupla E",809,IF(Atletas!T47="Arma Maleável E",810,IF(Atletas!T47="Outra Arma Dupla F",811,IF(Atletas!T47="Arma Maleável F",812,IF(Atletas!T47="Shuangdao A",813,IF(Atletas!T47="Shuangdao B",814,IF(Atletas!T47="Shuangdao C",815,IF(Atletas!T47="Shuangdao D",816,IF(Atletas!T47="Shuangdao E",817,IF(Atletas!T47="Shuangdao F",818,"")))))))))))))))))))</f>
        <v/>
      </c>
      <c r="CC56" s="50" t="str">
        <f>IF(Atletas!U47="","",IF(Atletas!X47&lt;&gt;"",10000,0)+IF(Atletas!B47="Feminino",1000,IF(Atletas!B47="Masculino",2000,""))+IF(OR(Atletas!U47="Taijijian Yang A",Atletas!U47="Taijijian Yang Standard A"),901,IF(OR(Atletas!U47="Taijijian Chen A", Atletas!U47="Taijijian Chen Standard A"),902,IF(Atletas!U47="Taijijian Sun A",903,IF(Atletas!U47="Taijijian Wu A",904,IF(Atletas!U47="Taijijian Wu-Hao A",905,IF(OR(Atletas!U47="Taijijian 32 A",Atletas!U47="Taijijian 42 A"),906,IF(OR(Atletas!U47="Taijijian Yang B",Atletas!U47="Taijijian Yang Standard B"),907,IF(OR(Atletas!U47="Taijijian Chen B", Atletas!U47="Taijijian Chen Standard B"),908,IF(Atletas!U47="Taijijian Sun B",909,IF(Atletas!U47="Taijijian Wu B",910,IF(Atletas!U47="Taijijian Wu-Hao B",911,IF(OR(Atletas!U47="Taijijian 32 B",Atletas!U47="Taijijian 42 B"),912,IF(OR(Atletas!U47="Taijijian Yang C",Atletas!U47="Taijijian Yang Standard C"),913,IF(OR(Atletas!U47="Taijijian Chen C", Atletas!U47="Taijijian Chen Standard C"),914,IF(Atletas!U47="Taijijian Sun C",915,IF(Atletas!U47="Taijijian Wu C",916,IF(Atletas!U47="Taijijian Wu-Hao C",917,IF(OR(Atletas!U47="Taijijian 32 C",Atletas!U47="Taijijian 42 C"),918,IF(OR(Atletas!U47="Taijijian Yang D",Atletas!U47="Taijijian Yang Standard D"),919,IF(OR(Atletas!U47="Taijijian Chen D", Atletas!U47="Taijijian Chen Standard D"),920,IF(Atletas!U47="Taijijian Sun D",921,IF(Atletas!U47="Taijijian Wu D",922,IF(Atletas!U47="Taijijian Wu-Hao D",923,IF(OR(Atletas!U47="Taijijian 32 D",Atletas!U47="Taijijian 42 D"),924,IF(OR(Atletas!U47="Taijijian Yang E",Atletas!U47="Taijijian Yang Standard E"),925,IF(OR(Atletas!U47="Taijijian Chen E", Atletas!U47="Taijijian Chen Standard E"),926,IF(Atletas!U47="Taijijian Sun E",927,IF(Atletas!U47="Taijijian Wu E",928,IF(Atletas!U47="Taijijian Wu-Hao E",929,IF(OR(Atletas!U47="Taijijian 32 E",Atletas!U47="Taijijian 42 E"),930,IF(OR(Atletas!U47="Taijijian Yang F",Atletas!U47="Taijijian Yang Standard F"),931,IF(OR(Atletas!U47="Taijijian Chen F", Atletas!U47="Taijijian Chen Standard F"),932,IF(Atletas!U47="Taijijian Sun F",933,IF(Atletas!U47="Taijijian Wu F",934,IF(Atletas!U47="Taijijian Wu-Hao F",935,IF(OR(Atletas!U47="Taijijian 32 F",Atletas!U47="Taijijian 42 F"),936,"")))))))))))))))))))))))))))))))))))))</f>
        <v/>
      </c>
      <c r="CD56" s="50" t="str">
        <f>IF(Atletas!V47="","",IF(Atletas!X47&lt;&gt;"",10000,0)+IF(Atletas!B47="Feminino",1000,IF(Atletas!B47="Masculino",2000,""))+IF(Atletas!V47="Taijidao A",937,IF(Atletas!V47="TaijiShanzi A",938,IF(Atletas!V47="Taijiqiang A",939,IF(Atletas!V47="Bagua de Arma A",940,IF(Atletas!V47="Xingyi de Arma A",941,IF(Atletas!V47="Taijidao B",942,IF(Atletas!V47="TaijiShanzi B",943,IF(Atletas!V47="Taijiqiang B",944,IF(Atletas!V47="Bagua de Arma B",945,IF(Atletas!V47="Xingyi de Arma B",946,IF(Atletas!V47="Taijidao C",947,IF(Atletas!V47="TaijiShanzi C",948,IF(Atletas!V47="Taijiqiang C",949,IF(Atletas!V47="Bagua de Arma C",950,IF(Atletas!V47="Xingyi de Arma C",951,IF(Atletas!V47="Taijidao D",952,IF(Atletas!V47="TaijiShanzi D",953,IF(Atletas!V47="Taijiqiang D",954,IF(Atletas!V47="Bagua de Arma D",955,IF(Atletas!V47="Xingyi de Arma D",956,IF(Atletas!V47="Taijidao E",957,IF(Atletas!V47="TaijiShanzi E",958,IF(Atletas!V47="Taijiqiang E",959,IF(Atletas!V47="Bagua de Arma E",960,IF(Atletas!V47="Xingyi de Arma E",961,IF(Atletas!V47="Taijidao F",962,IF(Atletas!V47="TaijiShanzi F",963,IF(Atletas!V47="Taijiqiang F",964,IF(Atletas!V47="Bagua de Arma F",965,IF(Atletas!V47="Xingyi de Arma F",966,"")))))))))))))))))))))))))))))))</f>
        <v/>
      </c>
      <c r="CE56" s="66" t="str">
        <f>IF(CF56&lt;&gt;"","Chaquan B","")</f>
        <v/>
      </c>
      <c r="CF56" s="66" t="str">
        <f>IF(COUNTIF(BR:CD,1114)&gt;0,COUNTIF(BR:CD,1114),"")</f>
        <v/>
      </c>
      <c r="CG56" s="66" t="str">
        <f>IF(CH56&lt;&gt;"","Chaquan B","")</f>
        <v/>
      </c>
      <c r="CH56" s="66" t="str">
        <f>IF(COUNTIF(BR:CD,2114)&gt;0,COUNTIF(BR:CD,2114),"")</f>
        <v/>
      </c>
      <c r="CI56" s="66" t="str">
        <f>IF(CJ56&lt;&gt;"","Piguaquan B","")</f>
        <v/>
      </c>
      <c r="CJ56" s="66" t="str">
        <f>IF(COUNTIF(BR:CD,11120)&gt;0,COUNTIF(BR:CD,11120),"")</f>
        <v/>
      </c>
      <c r="CK56" s="66" t="str">
        <f>IF(CL56&lt;&gt;"","Piguaquan B","")</f>
        <v/>
      </c>
      <c r="CL56" s="66" t="str">
        <f>IF(COUNTIF(BR:CD,12120)&gt;0,COUNTIF(BR:CD,12120),"")</f>
        <v/>
      </c>
      <c r="CM56" s="50" t="str">
        <f xml:space="preserve"> IF(Atletas!W47="","",IF(Atletas!W47="Duilian de Mãos BC - Equipe 1",1,IF(Atletas!W47="Duilian de Mãos BC - Equipe 2",2,IF(Atletas!W47="Duilian de Armas BC - Equipe 1",3,IF(Atletas!W47="Duilian de Armas BC - Equipe 2",4,IF(Atletas!W47="Duilian de Mãos DE - Equipe 1",5,IF(Atletas!W47="Duilian de Mãos DE - Equipe 2",6,IF(Atletas!W47="Duilian de Armas DE - Equipe 1",7,IF(Atletas!W47="Duilian de Armas DE - Equipe 2",8,IF(Atletas!W47="Duilian de Tuishou - Equipe 1",9,IF(Atletas!W47="Duilian de Tuishou - Equipe 2",10,IF(Atletas!W47="Grupo Externo ABC - Equipe 1",11,IF(Atletas!W47="Grupo Externo ABC - Equipe 2",12,IF(Atletas!W47="Grupo Interno ABC - Equipe 1",13,IF(Atletas!W47="Grupo Interno ABC - Equipe 2",14,IF(Atletas!W47="Grupo Externo DEF - Equipe 1",15,IF(Atletas!W47="Grupo Externo DEF - Equipe 2",16,IF(Atletas!W47="Grupo Interno DEF - Equipe 1",17,IF(Atletas!W47="Grupo Interno DEF - Equipe 2",18,"")))))))))))))))))))</f>
        <v/>
      </c>
      <c r="CY56" s="41"/>
    </row>
    <row r="57" spans="2:103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 t="str">
        <f t="array" ref="R57">IFERROR(INDEX(BI$7:BI$68,SMALL(IF(BI$7:BI$68&lt;&gt;"",ROW(BI$7:BI$68)-ROW(BI$7)+1),ROWS(BI$7:BI56))),"")</f>
        <v/>
      </c>
      <c r="S57" s="3" t="str">
        <f t="array" ref="S57">IFERROR(INDEX(BJ$7:BJ$68,SMALL(IF(BJ$7:BJ$68&lt;&gt;"",ROW(BJ$7:BJ$68)-ROW(BJ$7)+1),ROWS(BJ$7:BJ56))),"")</f>
        <v/>
      </c>
      <c r="T57" s="3" t="str">
        <f t="array" ref="T57">IFERROR(INDEX(BK$7:BK$68,SMALL(IF(BK$7:BK$68&lt;&gt;"",ROW(BK$7:BK$68)-ROW(BK$7)+1),ROWS(BK$7:BK56))),"")</f>
        <v/>
      </c>
      <c r="U57" s="3" t="str">
        <f t="array" ref="U57">IFERROR(INDEX(BL$7:BL$68,SMALL(IF(BL$7:BL$68&lt;&gt;"",ROW(BL$7:BL$68)-ROW(BL$7)+1),ROWS(BL$7:BL56))),"")</f>
        <v/>
      </c>
      <c r="V57" s="3"/>
      <c r="W57" s="3"/>
      <c r="X57" s="20"/>
      <c r="Y57" s="3"/>
      <c r="Z57" s="3" t="str">
        <f t="array" ref="Z57">IFERROR(INDEX(CE$7:CE$348,SMALL(IF(CE$7:CE$348&lt;&gt;"",ROW(CE$7:CE$348)-ROW(CE$7)+1),ROWS(CE$7:CE56))),"")</f>
        <v/>
      </c>
      <c r="AA57" s="3" t="str">
        <f t="array" ref="AA57">IFERROR(INDEX(CF$7:CF$348,SMALL(IF(CF$7:CF$348&lt;&gt;"",ROW(CF$7:CF$348)-ROW(CF$7)+1),ROWS(CF$7:CF56))),"")</f>
        <v/>
      </c>
      <c r="AB57" s="3" t="str">
        <f t="array" ref="AB57">IFERROR(INDEX(CG$7:CG$348,SMALL(IF(CG$7:CG$348&lt;&gt;"",ROW(CG$7:CG$348)-ROW(CG$7)+1),ROWS(CG$7:CG56))),"")</f>
        <v/>
      </c>
      <c r="AC57" s="3" t="str">
        <f t="array" ref="AC57">IFERROR(INDEX(CH$7:CH$348,SMALL(IF(CH$7:CH$348&lt;&gt;"",ROW(CH$7:CH$348)-ROW(CH$7)+1),ROWS(CH$7:CH56))),"")</f>
        <v/>
      </c>
      <c r="AD57" s="3" t="str">
        <f t="array" ref="AD57">IFERROR(INDEX(CI$7:CI$377,SMALL(IF(CI$7:CI$377&lt;&gt;"",ROW(CI$7:CI$377)-ROW(CI$7)+1),ROWS(CI$7:CI56))),"")</f>
        <v/>
      </c>
      <c r="AE57" s="3" t="str">
        <f t="array" ref="AE57">IFERROR(INDEX(CJ$7:CJ$378,SMALL(IF(CJ$7:CJ$378&lt;&gt;"",ROW(CJ$7:CJ$378)-ROW(CJ$7)+1),ROWS(CJ$7:CJ56))),"")</f>
        <v/>
      </c>
      <c r="AF57" s="3" t="str">
        <f t="array" ref="AF57">IFERROR(INDEX(CK$7:CK$378,SMALL(IF(CK$7:CK$378&lt;&gt;"",ROW(CK$7:CK$378)-ROW(CK$7)+1),ROWS(CK$7:CK56))),"")</f>
        <v/>
      </c>
      <c r="AG57" s="3" t="str">
        <f t="array" ref="AG57">IFERROR(INDEX(CL$7:CL$378,SMALL(IF(CL$7:CL$378&lt;&gt;"",ROW(CL$7:CL$378)-ROW(CL$7)+1),ROWS(CL$7:CL56))),"")</f>
        <v/>
      </c>
      <c r="AH57" s="3"/>
      <c r="AI57" s="3"/>
      <c r="AJ57" s="3"/>
      <c r="AK57" s="3"/>
      <c r="AL57" s="3"/>
      <c r="AM57" s="3"/>
      <c r="AN57" s="52" t="str">
        <f>IF(Atletas!D48="","",IF(Atletas!B48="Feminino",100,IF(Atletas!B48="Masculino",200,""))+(IF(Atletas!D48="Kids 30kg",1,IF(Atletas!D48="Kids 32kg",2, IF(Atletas!D48="Kids 34kg",3,IF(Atletas!D48="Kids 36kg",4,IF(Atletas!D48="Kids 39kg",5,IF(Atletas!D48="Kids 42kg",6,IF(Atletas!D48="Kids 45kg",7, IF(Atletas!D48="Infantil 39kg",8,IF(Atletas!D48="Infantil 42kg",9,IF(Atletas!D48="Infantil 45kg",10,IF(Atletas!D48="Infantil 48kg",11,IF(Atletas!D48="Infantil 52kg",12,IF(Atletas!D48="Infantil 56kg",13,IF(Atletas!D48="Infantil 60kg",14,IF(Atletas!D48="Juvenil 48kg",15,IF(Atletas!D48="Juvenil 52kg",16,IF(Atletas!D48="Juvenil 56kg",17,IF(Atletas!D48="Juvenil 60kg",18,IF(Atletas!D48="Juvenil 65kg",19,IF(Atletas!D48="Juvenil 70kg",20,IF(Atletas!D48="Juvenil 75kg",21,IF(Atletas!D48="Juvenil 80kg",22, IF(Atletas!D48="Juvenil 85kg",23,IF(Atletas!D48="Adulto 48kg",24,IF(Atletas!D48="Adulto 52kg",25,IF(Atletas!D48="Adulto 56kg",26,IF(Atletas!D48="Adulto 60kg",27,IF(Atletas!D48="Adulto 65kg",28,IF(Atletas!D48="Adulto 70kg",29,IF(Atletas!D48="Adulto 75kg",30,IF(Atletas!D48="Adulto 80kg",31,IF(Atletas!D48="Adulto 85kg",32,IF(Atletas!D48="Adulto 90kg",33,IF(Atletas!D48="Adulto 100kg",34, IF(Atletas!D48="Adulto +100kg",35,"")))))))))))))))))))))))))))))))))))))</f>
        <v/>
      </c>
      <c r="AS57" s="6" t="str">
        <f>IF(Atletas!E48="","",IF(Atletas!B48="Feminino",100,IF(Atletas!B48="Masculino",200,""))+(IF(Atletas!E48="Juvenil 44kg",1,IF(Atletas!E48="Juvenil 48kg",2,IF(Atletas!E48="Juvenil 52kg",3,IF(Atletas!E48="Juvenil 56kg",4,IF(Atletas!E48="Juvenil 60kg",5,IF(Atletas!E48="Juvenil 65kg",6,IF(Atletas!E48="Juvenil 70kg",7,IF(Atletas!E48="Juvenil 75kg",8,IF(Atletas!E48="Juvenil 82kg",9,IF(Atletas!E48="Juvenil 90kg",10,IF(Atletas!E48="Juvenil 100kg",11,IF(Atletas!E48="Adulto 48kg",12,IF(Atletas!E48="Adulto 52kg",13,IF(Atletas!E48="Adulto 56kg",14,IF(Atletas!E48="Adulto 60kg",15,IF(Atletas!E48="Adulto 65kg",16,IF(Atletas!E48="Adulto 70kg",17,IF(Atletas!E48="Adulto 75kg",18,IF(Atletas!E48="Adulto 82kg",19,IF(Atletas!E48="Adulto 90kg",20,IF(Atletas!E48="Adulto 100kg",21,IF(Atletas!E48="Adulto +100kg",22,""))))))))))))))))))))))))</f>
        <v/>
      </c>
      <c r="AX57" s="6" t="str">
        <f>IF(Atletas!F48="","",IF(Atletas!B48="Feminino",100,IF(Atletas!B48="Masculino",200,""))+(IF(Atletas!F48="Adulto 48kg",1,IF(Atletas!F48="Adulto 56kg",2,IF(Atletas!F48="Adulto 65kg",3,IF(Atletas!F48="Adulto 75kg",4,IF(Atletas!F48="Adulto +75kg",5,IF(Atletas!F48="Adulto 52kg",6,IF(Atletas!F48="Adulto 60kg",7,IF(Atletas!F48="Adulto 70kg",8,IF(Atletas!F48="Adulto 80kg",9,IF(Atletas!F48="Adulto 90kg",10,IF(Atletas!F48="Adulto +90kg",11,"")))))))))))))</f>
        <v/>
      </c>
      <c r="BC57" s="6" t="str">
        <f>IF(Atletas!G48="","",IF(Atletas!B48="Feminino",10,IF(Atletas!B48="Masculino",20,""))+(IF(Atletas!G48="Baduanjin A",1,IF(Atletas!G48="Baduanjin B",2))))</f>
        <v/>
      </c>
      <c r="BF57" s="52" t="str">
        <f>IF(Atletas!H48="","",IF(Atletas!B48="Feminino",100,IF(Atletas!B48="Masculino",200,""))+(IF(Atletas!H48="Changquan Mirim",1,IF(Atletas!H48="Nanquan Mirim",2,IF(Atletas!H48="Taijiquan Mirim",3,IF(Atletas!H48="Changquan Grupo C",4,IF(Atletas!H48="Nanquan Grupo C",5,IF(Atletas!H48="Taijiquan Grupo C",6,IF(Atletas!H48="Changquan Grupo B",7,IF(Atletas!H48="Nanquan Grupo B",8,IF(Atletas!H48="Taijiquan Grupo B",9,IF(Atletas!H48="Changquan Grupo A",10,IF(Atletas!H48="Nanquan Grupo A",11,IF(Atletas!H48="Taijiquan Grupo A",12,IF(Atletas!H48="Changquan Opcional",13,IF(Atletas!H48="Nanquan Opcional",14,IF(Atletas!H48="Taijiquan Opcional",15,IF(Atletas!H48="Changquan Adulto",16,IF(Atletas!H48="Nanquan Adulto",17,IF(Atletas!H48="Taijiquan Adulto",18,""))))))))))))))))))))</f>
        <v/>
      </c>
      <c r="BG57" s="52" t="str">
        <f>IF(Atletas!I48="","",IF(Atletas!B48="Feminino",100,IF(Atletas!B48="Masculino",200,""))+(IF(Atletas!I48="Daoshu Mirim",19,IF(Atletas!I48="Jianshu Mirim",20,IF(Atletas!I48="Nandao Mirim",21,IF(Atletas!I48="Taijijian Mirim",22,IF(Atletas!I48="Daoshu Grupo C",23,IF(Atletas!I48="Jianshu Grupo C",24,IF(Atletas!I48="Nandao Grupo C",25,IF(Atletas!I48="Taijijian Grupo C",26,IF(Atletas!I48="Daoshu Grupo B",27,IF(Atletas!I48="Jianshu Grupo B",28,IF(Atletas!I48="Nandao Grupo B",29,IF(Atletas!I48="Taijijian Grupo B",30,IF(Atletas!I48="Daoshu Grupo A",31,IF(Atletas!I48="Jianshu Grupo A",32,IF(Atletas!I48="Nandao Grupo A",33,IF(Atletas!I48="Taijijian Grupo A",34,IF(Atletas!I48="Daoshu Opcional",35,IF(Atletas!I48="Jianshu Opcional",36,IF(Atletas!I48="Nandao Opcional",37,IF(Atletas!I48="Taijijian Opcional",38,IF(Atletas!I48="Daoshu Adulto",39,IF(Atletas!I48="Jianshu Adulto",40,IF(Atletas!I48="Nandao Adulto",41,IF(Atletas!I48="Taijijian Adulto",42,""))))))))))))))))))))))))))</f>
        <v/>
      </c>
      <c r="BH57" s="52" t="str">
        <f>IF(Atletas!J48="","",IF(Atletas!B48="Feminino",100,IF(Atletas!B48="Masculino",200,""))+(IF(Atletas!J48="Gunshu Mirim",43,IF(Atletas!J48="Qiangshu Mirim",44,IF(Atletas!J48="Nangun Mirim",45,IF(Atletas!J48="Gunshu Grupo C",46,IF(Atletas!J48="Qiangshu Grupo C",47,IF(Atletas!J48="Nangun Grupo C",48,IF(Atletas!J48="Gunshu Grupo B",49,IF(Atletas!J48="Qiangshu Grupo B",50,IF(Atletas!J48="Nangun Grupo B",51,IF(Atletas!J48="Gunshu Grupo A",52,IF(Atletas!J48="Qiangshu Grupo A",53,IF(Atletas!J48="Nangun Grupo A",54,IF(Atletas!J48="Gunshu Opcional",55,IF(Atletas!J48="Qiangshu Opcional",56,IF(Atletas!J48="Nangun Opcional",57,IF(Atletas!J48="Gunshu Adulto",58,IF(Atletas!J48="Qiangshu Adulto",59,IF(Atletas!J48="Nangun Adulto",60,IF(Atletas!J48="Taijishan Grupo B",61,IF(Atletas!J48="Taijishan Grupo A",62,""))))))))))))))))))))))</f>
        <v/>
      </c>
      <c r="BI57" s="6" t="str">
        <f>IF(BJ57&lt;&gt;"","Qiangshu Opcional","")</f>
        <v/>
      </c>
      <c r="BJ57" s="50" t="str">
        <f>IF(COUNTIF(BF:BH,156)&gt;0,COUNTIF(BF:BH,156),"")</f>
        <v/>
      </c>
      <c r="BK57" s="6" t="str">
        <f>IF(BL57&lt;&gt;"","Qiangshu Opcional","")</f>
        <v/>
      </c>
      <c r="BL57" s="50" t="str">
        <f>IF(COUNTIF(BF:BH,256)&gt;0,COUNTIF(BF:BH,256),"")</f>
        <v/>
      </c>
      <c r="BM57" s="50" t="str">
        <f>IF(Atletas!K48="","",IF(Atletas!B48="Feminino",100,IF(Atletas!B48="Masculino",200,""))+(IF(Atletas!K48="Equipe 1 Grupo B",1,IF(Atletas!K48="Equipe 2 Grupo B",2,IF(Atletas!K48="Equipe 1 Grupo A",3,IF(Atletas!K48="Equipe 2 Grupo A",4,IF(Atletas!K48="Equipe 1 Adulto",5,IF(Atletas!K48="Equipe 2 Adulto",6,""))))))))</f>
        <v/>
      </c>
      <c r="BR57" s="50" t="str">
        <f>IF(Atletas!L48="","",IF(Atletas!X48&lt;&gt;"",10000,0)+(IF(Atletas!B48="Feminino",1000,IF(Atletas!B48="Masculino",2000,""))+IF(Atletas!L48="Choylayfut A",1,IF(Atletas!L48="Hunggar A",2,IF(Atletas!L48="Wuzuquan A",3,IF(Atletas!L48="Wingchun A",4,IF(Atletas!L48="Outra Mão de Sul A",5,IF(Atletas!L48="Choylayfut B",6,IF(Atletas!L48="Hunggar B",7,IF(Atletas!L48="Wuzuquan B",8,IF(Atletas!L48="Wingchun B",9,IF(Atletas!L48="Outra Mão de Sul B",10,IF(Atletas!L48="Choylayfut C",11,IF(Atletas!L48="Hunggar C",12,IF(Atletas!L48="Wuzuquan C",13,IF(Atletas!L48="Wingchun C",14,IF(Atletas!L48="Outra Mão de Sul C",15,IF(Atletas!L48="Choylayfut D",16,IF(Atletas!L48="Hunggar D",17,IF(Atletas!L48="Wuzuquan D",18,IF(Atletas!L48="Wingchun D",19,IF(Atletas!L48="Outra Mão de Sul D",20,IF(Atletas!L48="Choylayfut E",21,IF(Atletas!L48="Hunggar E",22,IF(Atletas!L48="Wuzuquan E",23,IF(Atletas!L48="Wingchun E",24,IF(Atletas!L48="Outra Mão de Sul E",25,IF(Atletas!L48="Choylayfut F",26,IF(Atletas!L48="Hunggar F",27,IF(Atletas!L48="Wuzuquan F",28,IF(Atletas!L48="Wingchun F",29,IF(Atletas!L48="Outra Mão de Sul F",30,IF(Atletas!L48="Dishuquan A",31,IF(Atletas!L48="Dishuquan B",32,IF(Atletas!L48="Dishuquan C",33,IF(Atletas!L48="Dishuquan D",34,IF(Atletas!L48="Dishuquan E",35,IF(Atletas!L48="Dishuquan F",36,""))))))))))))))))))))))))))))))))))))))</f>
        <v/>
      </c>
      <c r="BS57" s="50" t="str">
        <f>IF(Atletas!M48="","",IF(Atletas!X48&lt;&gt;"",10000,0)+(IF(Atletas!B48="Feminino",1000,IF(Atletas!B48="Masculino",2000,""))+(IF(Atletas!M48="Chaquan A",101,IF(Atletas!M48="Emeiquan A",102,IF(Atletas!M48="Fanziquan A",103,IF(Atletas!M48="Huaquan A",104,IF(Atletas!M48="Hongquan A",105,IF(Atletas!M48="Paoquan A",106,IF(Atletas!M48="Piguaquan A",107,IF(Atletas!M48="Shaolinquan A",108,IF(Atletas!M48="Tanglangquan A",109,IF(Atletas!M48="Yingzhaoquan A",110,IF(Atletas!M48="Tongbeiquan A",111,IF(Atletas!M48="Wudangquan A",112,IF(Atletas!M48="Outros Estilos A",113,IF(Atletas!M48="Chaquan B",114,IF(Atletas!M48="Emeiquan B",115,IF(Atletas!M48="Fanziquan B",116,IF(Atletas!M48="Huaquan B",117,IF(Atletas!M48="Hongquan B",118,IF(Atletas!M48="Paoquan B",119,IF(Atletas!M48="Piguaquan B",120,IF(Atletas!M48="Shaolinquan B",121,IF(Atletas!M48="Tanglangquan B",122,IF(Atletas!M48="Yingzhaoquan B",123,IF(Atletas!M48="Tongbeiquan B",124,IF(Atletas!M48="Wudangquan B",125,IF(Atletas!M48="Outros Estilos B",126,IF(Atletas!M48="Chaquan C",127,IF(Atletas!M48="Emeiquan C",128,IF(Atletas!M48="Fanziquan C",129,IF(Atletas!M48="Huaquan C",130,IF(Atletas!M48="Hongquan C",131,IF(Atletas!M48="Paoquan C",132,IF(Atletas!M48="Piguaquan C",133,IF(Atletas!M48="Shaolinquan C",134,IF(Atletas!M48="Tanglangquan C",135,IF(Atletas!M48="Yingzhaoquan C",136,IF(Atletas!M48="Tongbeiquan C",137,IF(Atletas!M48="Wudangquan C",138,IF(Atletas!M48="Outros Estilos C",139,0))))))))))))))))))))))))))))))))))))))))))</f>
        <v/>
      </c>
      <c r="BT57" s="50" t="str">
        <f>IF(Atletas!M48="","",IF(Atletas!X48&lt;&gt;"",10000,0)+(IF(Atletas!B48="Feminino",1000,IF(Atletas!B48="Masculino",2000,""))+(IF(Atletas!M48="Chaquan D",140,IF(Atletas!M48="Emeiquan D",141,IF(Atletas!M48="Fanziquan D",142,IF(Atletas!M48="Huaquan D",143,IF(Atletas!M48="Hongquan D",144,IF(Atletas!M48="Paoquan D",145,IF(Atletas!M48="Piguaquan D",146,IF(Atletas!M48="Shaolinquan D",147,IF(Atletas!M48="Tanglangquan D",148,IF(Atletas!M48="Yingzhaoquan D",149,IF(Atletas!M48="Tongbeiquan D",150,IF(Atletas!M48="Wudangquan D",151,IF(Atletas!M48="Outros Estilos D",152,IF(Atletas!M48="Chaquan E",153,IF(Atletas!M48="Emeiquan E",154,IF(Atletas!M48="Fanziquan E",155,IF(Atletas!M48="Huaquan E",156,IF(Atletas!M48="Hongquan E",157,IF(Atletas!M48="Paoquan E",158,IF(Atletas!M48="Piguaquan E",159,IF(Atletas!M48="Shaolinquan E",160,IF(Atletas!M48="Tanglangquan E",161,IF(Atletas!M48="Yingzhaoquan E",162,IF(Atletas!M48="Tongbeiquan E",163,IF(Atletas!M48="Wudangquan E",164,IF(Atletas!M48="Outros Estilos E",165,IF(Atletas!M48="Chaquan F",166,IF(Atletas!M48="Emeiquan F",167,IF(Atletas!M48="Fanziquan F",168,IF(Atletas!M48="Huaquan F",169,IF(Atletas!M48="Hongquan F",170,IF(Atletas!M48="Paoquan F",171,IF(Atletas!M48="Piguaquan F",172,IF(Atletas!M48="Shaolinquan F",173,IF(Atletas!M48="Tanglangquan F",174,IF(Atletas!M48="Yingzhaoquan F",175,IF(Atletas!M48="Tongbeiquan F",176,IF(Atletas!M48="Wudangquan F",177,IF(Atletas!M48="Outros Estilos F",178,0))))))))))))))))))))))))))))))))))))))))))</f>
        <v/>
      </c>
      <c r="BU57" s="50" t="str">
        <f>IF(Atletas!N48="","",IF(Atletas!X48&lt;&gt;"",10000,0)+(IF(Atletas!B48="Feminino",1000,IF(Atletas!B48="Masculino",2000,""))+(IF(Atletas!N48="Ditangquan A",201,IF(Atletas!N48="Houquan A",202,IF(Atletas!N48="Zuiquan A",203,IF(Atletas!N48="Ditangquan B",204,IF(Atletas!N48="Houquan B",205,IF(Atletas!N48="Zuiquan B",206,IF(Atletas!N48="Ditangquan C",207,IF(Atletas!N48="Houquan C",208,IF(Atletas!N48="Zuiquan C",209,IF(Atletas!N48="Ditangquan D",210,IF(Atletas!N48="Houquan D",211,IF(Atletas!N48="Zuiquan D",212,IF(Atletas!N48="Ditangquan E",213,IF(Atletas!N48="Houquan E",214,IF(Atletas!N48="Zuiquan E",215,IF(Atletas!N48="Ditangquan F",216,IF(Atletas!N48="Houquan F",217,IF(Atletas!N48="Zuiquan F",218,"")))))))))))))))))))))</f>
        <v/>
      </c>
      <c r="BV57" s="50" t="str">
        <f>IF(Atletas!O48="","",IF(Atletas!X48&lt;&gt;"",10000,0)+IF(Atletas!B48="Feminino",1000,IF(Atletas!B48="Masculino",2000,""))+IF(Atletas!O48="Yang A",301,IF(Atletas!O48="Chen A",302,IF(Atletas!O48="Sun A",303,IF(Atletas!O48="Wu A",304,IF(Atletas!O48="Wu-Hao A",305,IF(Atletas!O48="Outro Taijiquan A",306,IF(Atletas!O48="Yang B",307,IF(Atletas!O48="Chen B",308,IF(Atletas!O48="Sun B",309,IF(Atletas!O48="Wu B",310,IF(Atletas!O48="Wu-Hao B",311,IF(Atletas!O48="Outro Taijiquan B",312,IF(Atletas!O48="Yang C",313,IF(Atletas!O48="Chen C",314,IF(Atletas!O48="Sun C",315,IF(Atletas!O48="Wu C",316,IF(Atletas!O48="Wu-Hao C",317,IF(Atletas!O48="Outro Taijiquan C",318,IF(Atletas!O48="Yang D",319,IF(Atletas!O48="Chen D",320,IF(Atletas!O48="Sun D",321,IF(Atletas!O48="Wu D",322,IF(Atletas!O48="Wu-Hao D",323,IF(Atletas!O48="Outro Taijiquan D",324,IF(Atletas!O48="Yang E",325,IF(Atletas!O48="Chen E",326,IF(Atletas!O48="Sun E",327,IF(Atletas!O48="Wu E",328,IF(Atletas!O48="Wu-Hao E",329,IF(Atletas!O48="Outro Taijiquan E",330,IF(Atletas!O48="Yang F",331,IF(Atletas!O48="Chen F",332,IF(Atletas!O48="Sun F",333,IF(Atletas!O48="Wu F",334,IF(Atletas!O48="Wu-Hao F",335,IF(Atletas!O48="Outro Taijiquan F",336,"")))))))))))))))))))))))))))))))))))))</f>
        <v/>
      </c>
      <c r="BW57" s="50" t="str">
        <f>IF(Atletas!P48="","",IF(Atletas!X48&lt;&gt;"",10000,0)+IF(Atletas!B48="Feminino",1000,IF(Atletas!B48="Masculino",2000,""))+IF(OR(Atletas!P48="Yang 26 A",Atletas!P48="Yang 40 A"),401,IF(OR(Atletas!P48="Chen 25 A",Atletas!P48="Chen 36 A",Atletas!P48="Chen 56 A"),402,IF(Atletas!P48="Sun 73 A",403,IF(Atletas!P48="Wu 45 A",404,IF(Atletas!P48="Wu-Hao 46 A",405,IF(OR(Atletas!P48="Taijiquan 16 A",Atletas!P48="Taijiquan 24 A",Atletas!P48="Taijiquan 32 A",Atletas!P48="Taijiquan 42 A"),406,IF(OR(Atletas!P48="Yang 26 B",Atletas!P48="Yang 40 B"),407,IF(OR(Atletas!P48="Chen 25 B",Atletas!P48="Chen 36 B",Atletas!P48="Chen 56 B"),408,IF(Atletas!P48="Sun 73 B",409,IF(Atletas!P48="Wu 45 B",410,IF(Atletas!P48="Wu-Hao 46 B",411,IF(OR(Atletas!P48="Taijiquan 16 B",Atletas!P48="Taijiquan 24 B",Atletas!P48="Taijiquan 32 B",Atletas!P48="Taijiquan 42 B"),412,IF(OR(Atletas!P48="Yang 26 C",Atletas!P48="Yang 40 C"),413,IF(OR(Atletas!P48="Chen 25 C",Atletas!P48="Chen 36 C",Atletas!P48="Chen 56 C"),414,IF(Atletas!P48="Sun 73 C",415,IF(Atletas!P48="Wu 45 C",416,IF(Atletas!P48="Wu-Hao 46 C",417,IF(OR(Atletas!P48="Taijiquan 16 C",Atletas!P48="Taijiquan 24 C",Atletas!P48="Taijiquan 32 C",Atletas!P48="Taijiquan 42 C"),418,0)))))))))))))))))))</f>
        <v/>
      </c>
      <c r="BX57" s="50" t="str">
        <f>IF(Atletas!P48="","",IF(Atletas!X48&lt;&gt;"",10000,0)+IF(Atletas!B48="Feminino",1000,IF(Atletas!B48="Masculino",2000,""))+IF(OR(Atletas!P48="Yang 26 D",Atletas!P48="Yang 40 D"),419,IF(OR(Atletas!P48="Chen 25 D",Atletas!P48="Chen 36 D",Atletas!P48="Chen 56 D"),420,IF(Atletas!P48="Sun 73 D",421,IF(Atletas!P48="Wu 45 D",422,IF(Atletas!P48="Wu-Hao 46 D",423,IF(OR(Atletas!P48="Taijiquan 16 D",Atletas!P48="Taijiquan 24 D",Atletas!P48="Taijiquan 32 D",Atletas!P48="Taijiquan 42 D"),424,IF(OR(Atletas!P48="Yang 26 E",Atletas!P48="Yang 40 E"),425,IF(OR(Atletas!P48="Chen 25 E",Atletas!P48="Chen 36 E",Atletas!P48="Chen 56 E"),426,IF(Atletas!P48="Sun 73 E",427,IF(Atletas!P48="Wu 45 E",428,IF(Atletas!P48="Wu-Hao 46 E",429,IF(OR(Atletas!P48="Taijiquan 16 E",Atletas!P48="Taijiquan 24 E",Atletas!P48="Taijiquan 32 E",Atletas!P48="Taijiquan 42 E"),430,IF(OR(Atletas!P48="Yang 26 F",Atletas!P48="Yang 40 F"),431,IF(OR(Atletas!P48="Chen 25 F",Atletas!P48="Chen 36 F",Atletas!P48="Chen 56 F"),432,IF(Atletas!P48="Sun 73 F",433,IF(Atletas!P48="Wu 45 F",434,IF(Atletas!P48="Wu-Hao 46 F",435,IF(OR(Atletas!P48="Taijiquan 16 F",Atletas!P48="Taijiquan 24 F",Atletas!P48="Taijiquan 32 F",Atletas!P48="Taijiquan 42 F"),436,0)))))))))))))))))))</f>
        <v/>
      </c>
      <c r="BY57" s="50" t="str">
        <f>IF(Atletas!Q48="","",IF(Atletas!X48&lt;&gt;"",10000,0)+IF(Atletas!B48="Feminino",1000,IF(Atletas!B48="Masculino",2000,""))+IF(Atletas!Q48="Xingyiquan A",501,IF(Atletas!Q48="Baguazhang A",502,IF(Atletas!Q48="Outro Estilo Interno A",503,IF(Atletas!Q48="Xingyiquan B",504,IF(Atletas!Q48="Baguazhang B",505,IF(Atletas!Q48="Outro Estilo Interno B",506,IF(Atletas!Q48="Xingyiquan C",507,IF(Atletas!Q48="Baguazhang C",508,IF(Atletas!Q48="Outro Estilo Interno C",509,IF(Atletas!Q48="Xingyiquan D",510,IF(Atletas!Q48="Baguazhang D",511,IF(Atletas!Q48="Outro Estilo Interno D",512,IF(Atletas!Q48="Xingyiquan E",513,IF(Atletas!Q48="Baguazhang E",514,IF(Atletas!Q48="Outro Estilo Interno E",515,IF(Atletas!Q48="Xingyiquan F",516,IF(Atletas!Q48="Baguazhang F",517,IF(Atletas!Q48="Outro Estilo Interno F",518, "")))))))))))))))))))</f>
        <v/>
      </c>
      <c r="BZ57" s="50" t="str">
        <f>IF(Atletas!R48="","",IF(Atletas!X48&lt;&gt;"",10000,0)+IF(Atletas!B48="Feminino",1000,IF(Atletas!B48="Masculino",2000,""))+IF(Atletas!R48="Dao A",601,IF(Atletas!R48="Jian A",602,IF(Atletas!R48="Bishou A",603,IF(Atletas!R48="Shanzi A",604,IF(Atletas!R48="Outra Arma Curta A",605,IF(Atletas!R48="Dao B",606,IF(Atletas!R48="Jian B",607,IF(Atletas!R48="Bishou B",608,IF(Atletas!R48="Shanzi B",609,IF(Atletas!R48="Outra Arma Curta B",610,IF(Atletas!R48="Dao C",611,IF(Atletas!R48="Jian C",612,IF(Atletas!R48="Bishou C",613,IF(Atletas!R48="Shanzi C",614,IF(Atletas!R48="Outra Arma Curta C",615,IF(Atletas!R48="Dao D",616,IF(Atletas!R48="Jian D",617,IF(Atletas!R48="Bishou D",618,IF(Atletas!R48="Shanzi D",619,IF(Atletas!R48="Outra Arma Curta D",620,IF(Atletas!R48="Dao E",621,IF(Atletas!R48="Jian E",622,IF(Atletas!R48="Bishou E",623,IF(Atletas!R48="Shanzi E",624,IF(Atletas!R48="Outra Arma Curta E",625,IF(Atletas!R48="Dao F",626,IF(Atletas!R48="Jian F",627,IF(Atletas!R48="Bishou F",628,IF(Atletas!R48="Shanzi F",629,IF(Atletas!R48="Outra Arma Curta F",630, "")))))))))))))))))))))))))))))))</f>
        <v/>
      </c>
      <c r="CA57" s="50" t="str">
        <f>IF(Atletas!S48="","",IF(Atletas!X48&lt;&gt;"",10000,0)+IF(Atletas!B48="Feminino",1000,IF(Atletas!B48="Masculino",2000,""))+IF(Atletas!S48="Gun A",701,IF(Atletas!S48="Qiang A",702,IF(Atletas!S48="Pudao / Guandao A",703,IF(Atletas!S48="Outra Arma Longa A",704,IF(Atletas!S48="Gun B",705,IF(Atletas!S48="Qiang B",706,IF(Atletas!S48="Pudao / Guandao B",707,IF(Atletas!S48="Outra Arma Longa B",708,IF(Atletas!S48="Gun C",709,IF(Atletas!S48="Qiang C",710,IF(Atletas!S48="Pudao / Guandao C",711,IF(Atletas!S48="Outra Arma Longa C",712,IF(Atletas!S48="Gun D",713,IF(Atletas!S48="Qiang D",714,IF(Atletas!S48="Pudao / Guandao D",715,IF(Atletas!S48="Outra Arma Longa D",716,IF(Atletas!S48="Gun E",717,IF(Atletas!S48="Qiang E",718,IF(Atletas!S48="Pudao / Guandao E",719,IF(Atletas!S48="Outra Arma Longa E",720,IF(Atletas!S48="Gun F",721,IF(Atletas!S48="Qiang F",722,IF(Atletas!S48="Pudao / Guandao F",723,IF(Atletas!S48="Outra Arma Longa F",724,"")))))))))))))))))))))))))</f>
        <v/>
      </c>
      <c r="CB57" s="50" t="str">
        <f>IF(Atletas!T48="","",IF(Atletas!X48&lt;&gt;"",10000,0)+IF(Atletas!B48="Feminino",1000,IF(Atletas!B48="Masculino",2000,""))+IF(Atletas!T48="Outra Arma Dupla A",801,IF(Atletas!T48="Arma Maleável A",802,IF(Atletas!T48="Outra Arma Dupla B",803,IF(Atletas!T48="Arma Maleável B",804,IF(Atletas!T48="Outra Arma Dupla C",805,IF(Atletas!T48="Arma Maleável C",806,IF(Atletas!T48="Outra Arma Dupla D",807,IF(Atletas!T48="Arma Maleável D",808,IF(Atletas!T48="Outra Arma Dupla E",809,IF(Atletas!T48="Arma Maleável E",810,IF(Atletas!T48="Outra Arma Dupla F",811,IF(Atletas!T48="Arma Maleável F",812,IF(Atletas!T48="Shuangdao A",813,IF(Atletas!T48="Shuangdao B",814,IF(Atletas!T48="Shuangdao C",815,IF(Atletas!T48="Shuangdao D",816,IF(Atletas!T48="Shuangdao E",817,IF(Atletas!T48="Shuangdao F",818,"")))))))))))))))))))</f>
        <v/>
      </c>
      <c r="CC57" s="50" t="str">
        <f>IF(Atletas!U48="","",IF(Atletas!X48&lt;&gt;"",10000,0)+IF(Atletas!B48="Feminino",1000,IF(Atletas!B48="Masculino",2000,""))+IF(OR(Atletas!U48="Taijijian Yang A",Atletas!U48="Taijijian Yang Standard A"),901,IF(OR(Atletas!U48="Taijijian Chen A", Atletas!U48="Taijijian Chen Standard A"),902,IF(Atletas!U48="Taijijian Sun A",903,IF(Atletas!U48="Taijijian Wu A",904,IF(Atletas!U48="Taijijian Wu-Hao A",905,IF(OR(Atletas!U48="Taijijian 32 A",Atletas!U48="Taijijian 42 A"),906,IF(OR(Atletas!U48="Taijijian Yang B",Atletas!U48="Taijijian Yang Standard B"),907,IF(OR(Atletas!U48="Taijijian Chen B", Atletas!U48="Taijijian Chen Standard B"),908,IF(Atletas!U48="Taijijian Sun B",909,IF(Atletas!U48="Taijijian Wu B",910,IF(Atletas!U48="Taijijian Wu-Hao B",911,IF(OR(Atletas!U48="Taijijian 32 B",Atletas!U48="Taijijian 42 B"),912,IF(OR(Atletas!U48="Taijijian Yang C",Atletas!U48="Taijijian Yang Standard C"),913,IF(OR(Atletas!U48="Taijijian Chen C", Atletas!U48="Taijijian Chen Standard C"),914,IF(Atletas!U48="Taijijian Sun C",915,IF(Atletas!U48="Taijijian Wu C",916,IF(Atletas!U48="Taijijian Wu-Hao C",917,IF(OR(Atletas!U48="Taijijian 32 C",Atletas!U48="Taijijian 42 C"),918,IF(OR(Atletas!U48="Taijijian Yang D",Atletas!U48="Taijijian Yang Standard D"),919,IF(OR(Atletas!U48="Taijijian Chen D", Atletas!U48="Taijijian Chen Standard D"),920,IF(Atletas!U48="Taijijian Sun D",921,IF(Atletas!U48="Taijijian Wu D",922,IF(Atletas!U48="Taijijian Wu-Hao D",923,IF(OR(Atletas!U48="Taijijian 32 D",Atletas!U48="Taijijian 42 D"),924,IF(OR(Atletas!U48="Taijijian Yang E",Atletas!U48="Taijijian Yang Standard E"),925,IF(OR(Atletas!U48="Taijijian Chen E", Atletas!U48="Taijijian Chen Standard E"),926,IF(Atletas!U48="Taijijian Sun E",927,IF(Atletas!U48="Taijijian Wu E",928,IF(Atletas!U48="Taijijian Wu-Hao E",929,IF(OR(Atletas!U48="Taijijian 32 E",Atletas!U48="Taijijian 42 E"),930,IF(OR(Atletas!U48="Taijijian Yang F",Atletas!U48="Taijijian Yang Standard F"),931,IF(OR(Atletas!U48="Taijijian Chen F", Atletas!U48="Taijijian Chen Standard F"),932,IF(Atletas!U48="Taijijian Sun F",933,IF(Atletas!U48="Taijijian Wu F",934,IF(Atletas!U48="Taijijian Wu-Hao F",935,IF(OR(Atletas!U48="Taijijian 32 F",Atletas!U48="Taijijian 42 F"),936,"")))))))))))))))))))))))))))))))))))))</f>
        <v/>
      </c>
      <c r="CD57" s="50" t="str">
        <f>IF(Atletas!V48="","",IF(Atletas!X48&lt;&gt;"",10000,0)+IF(Atletas!B48="Feminino",1000,IF(Atletas!B48="Masculino",2000,""))+IF(Atletas!V48="Taijidao A",937,IF(Atletas!V48="TaijiShanzi A",938,IF(Atletas!V48="Taijiqiang A",939,IF(Atletas!V48="Bagua de Arma A",940,IF(Atletas!V48="Xingyi de Arma A",941,IF(Atletas!V48="Taijidao B",942,IF(Atletas!V48="TaijiShanzi B",943,IF(Atletas!V48="Taijiqiang B",944,IF(Atletas!V48="Bagua de Arma B",945,IF(Atletas!V48="Xingyi de Arma B",946,IF(Atletas!V48="Taijidao C",947,IF(Atletas!V48="TaijiShanzi C",948,IF(Atletas!V48="Taijiqiang C",949,IF(Atletas!V48="Bagua de Arma C",950,IF(Atletas!V48="Xingyi de Arma C",951,IF(Atletas!V48="Taijidao D",952,IF(Atletas!V48="TaijiShanzi D",953,IF(Atletas!V48="Taijiqiang D",954,IF(Atletas!V48="Bagua de Arma D",955,IF(Atletas!V48="Xingyi de Arma D",956,IF(Atletas!V48="Taijidao E",957,IF(Atletas!V48="TaijiShanzi E",958,IF(Atletas!V48="Taijiqiang E",959,IF(Atletas!V48="Bagua de Arma E",960,IF(Atletas!V48="Xingyi de Arma E",961,IF(Atletas!V48="Taijidao F",962,IF(Atletas!V48="TaijiShanzi F",963,IF(Atletas!V48="Taijiqiang F",964,IF(Atletas!V48="Bagua de Arma F",965,IF(Atletas!V48="Xingyi de Arma F",966,"")))))))))))))))))))))))))))))))</f>
        <v/>
      </c>
      <c r="CE57" s="66" t="str">
        <f>IF(CF57&lt;&gt;"","Emeiquan B","")</f>
        <v/>
      </c>
      <c r="CF57" s="66" t="str">
        <f>IF(COUNTIF(BR:CD,1115)&gt;0,COUNTIF(BR:CD,1115),"")</f>
        <v/>
      </c>
      <c r="CG57" s="66" t="str">
        <f>IF(CH57&lt;&gt;"","Emeiquan B","")</f>
        <v/>
      </c>
      <c r="CH57" s="66" t="str">
        <f>IF(COUNTIF(BR:CD,2115)&gt;0,COUNTIF(BR:CD,2115),"")</f>
        <v/>
      </c>
      <c r="CI57" s="66" t="str">
        <f>IF(CJ57&lt;&gt;"","Shaolinquan B","")</f>
        <v/>
      </c>
      <c r="CJ57" s="66" t="str">
        <f>IF(COUNTIF(BR:CD,11121)&gt;0,COUNTIF(BR:CD,11121),"")</f>
        <v/>
      </c>
      <c r="CK57" s="66" t="str">
        <f>IF(CL57&lt;&gt;"","Shaolinquan B","")</f>
        <v/>
      </c>
      <c r="CL57" s="66" t="str">
        <f>IF(COUNTIF(BR:CD,12121)&gt;0,COUNTIF(BR:CD,12121),"")</f>
        <v/>
      </c>
      <c r="CM57" s="50" t="str">
        <f xml:space="preserve"> IF(Atletas!W48="","",IF(Atletas!W48="Duilian de Mãos BC - Equipe 1",1,IF(Atletas!W48="Duilian de Mãos BC - Equipe 2",2,IF(Atletas!W48="Duilian de Armas BC - Equipe 1",3,IF(Atletas!W48="Duilian de Armas BC - Equipe 2",4,IF(Atletas!W48="Duilian de Mãos DE - Equipe 1",5,IF(Atletas!W48="Duilian de Mãos DE - Equipe 2",6,IF(Atletas!W48="Duilian de Armas DE - Equipe 1",7,IF(Atletas!W48="Duilian de Armas DE - Equipe 2",8,IF(Atletas!W48="Duilian de Tuishou - Equipe 1",9,IF(Atletas!W48="Duilian de Tuishou - Equipe 2",10,IF(Atletas!W48="Grupo Externo ABC - Equipe 1",11,IF(Atletas!W48="Grupo Externo ABC - Equipe 2",12,IF(Atletas!W48="Grupo Interno ABC - Equipe 1",13,IF(Atletas!W48="Grupo Interno ABC - Equipe 2",14,IF(Atletas!W48="Grupo Externo DEF - Equipe 1",15,IF(Atletas!W48="Grupo Externo DEF - Equipe 2",16,IF(Atletas!W48="Grupo Interno DEF - Equipe 1",17,IF(Atletas!W48="Grupo Interno DEF - Equipe 2",18,"")))))))))))))))))))</f>
        <v/>
      </c>
      <c r="CY57" s="41"/>
    </row>
    <row r="58" spans="2:103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 t="str">
        <f t="array" ref="R58">IFERROR(INDEX(BI$7:BI$68,SMALL(IF(BI$7:BI$68&lt;&gt;"",ROW(BI$7:BI$68)-ROW(BI$7)+1),ROWS(BI$7:BI57))),"")</f>
        <v/>
      </c>
      <c r="S58" s="3" t="str">
        <f t="array" ref="S58">IFERROR(INDEX(BJ$7:BJ$68,SMALL(IF(BJ$7:BJ$68&lt;&gt;"",ROW(BJ$7:BJ$68)-ROW(BJ$7)+1),ROWS(BJ$7:BJ57))),"")</f>
        <v/>
      </c>
      <c r="T58" s="3" t="str">
        <f t="array" ref="T58">IFERROR(INDEX(BK$7:BK$68,SMALL(IF(BK$7:BK$68&lt;&gt;"",ROW(BK$7:BK$68)-ROW(BK$7)+1),ROWS(BK$7:BK57))),"")</f>
        <v/>
      </c>
      <c r="U58" s="3" t="str">
        <f t="array" ref="U58">IFERROR(INDEX(BL$7:BL$68,SMALL(IF(BL$7:BL$68&lt;&gt;"",ROW(BL$7:BL$68)-ROW(BL$7)+1),ROWS(BL$7:BL57))),"")</f>
        <v/>
      </c>
      <c r="V58" s="3"/>
      <c r="W58" s="3"/>
      <c r="X58" s="20"/>
      <c r="Y58" s="3"/>
      <c r="Z58" s="3" t="str">
        <f t="array" ref="Z58">IFERROR(INDEX(CE$7:CE$348,SMALL(IF(CE$7:CE$348&lt;&gt;"",ROW(CE$7:CE$348)-ROW(CE$7)+1),ROWS(CE$7:CE57))),"")</f>
        <v/>
      </c>
      <c r="AA58" s="3" t="str">
        <f t="array" ref="AA58">IFERROR(INDEX(CF$7:CF$348,SMALL(IF(CF$7:CF$348&lt;&gt;"",ROW(CF$7:CF$348)-ROW(CF$7)+1),ROWS(CF$7:CF57))),"")</f>
        <v/>
      </c>
      <c r="AB58" s="3" t="str">
        <f t="array" ref="AB58">IFERROR(INDEX(CG$7:CG$348,SMALL(IF(CG$7:CG$348&lt;&gt;"",ROW(CG$7:CG$348)-ROW(CG$7)+1),ROWS(CG$7:CG57))),"")</f>
        <v/>
      </c>
      <c r="AC58" s="3" t="str">
        <f t="array" ref="AC58">IFERROR(INDEX(CH$7:CH$348,SMALL(IF(CH$7:CH$348&lt;&gt;"",ROW(CH$7:CH$348)-ROW(CH$7)+1),ROWS(CH$7:CH57))),"")</f>
        <v/>
      </c>
      <c r="AD58" s="3" t="str">
        <f t="array" ref="AD58">IFERROR(INDEX(CI$7:CI$377,SMALL(IF(CI$7:CI$377&lt;&gt;"",ROW(CI$7:CI$377)-ROW(CI$7)+1),ROWS(CI$7:CI57))),"")</f>
        <v/>
      </c>
      <c r="AE58" s="3" t="str">
        <f t="array" ref="AE58">IFERROR(INDEX(CJ$7:CJ$378,SMALL(IF(CJ$7:CJ$378&lt;&gt;"",ROW(CJ$7:CJ$378)-ROW(CJ$7)+1),ROWS(CJ$7:CJ57))),"")</f>
        <v/>
      </c>
      <c r="AF58" s="3" t="str">
        <f t="array" ref="AF58">IFERROR(INDEX(CK$7:CK$378,SMALL(IF(CK$7:CK$378&lt;&gt;"",ROW(CK$7:CK$378)-ROW(CK$7)+1),ROWS(CK$7:CK57))),"")</f>
        <v/>
      </c>
      <c r="AG58" s="3" t="str">
        <f t="array" ref="AG58">IFERROR(INDEX(CL$7:CL$378,SMALL(IF(CL$7:CL$378&lt;&gt;"",ROW(CL$7:CL$378)-ROW(CL$7)+1),ROWS(CL$7:CL57))),"")</f>
        <v/>
      </c>
      <c r="AH58" s="3"/>
      <c r="AI58" s="3"/>
      <c r="AJ58" s="3"/>
      <c r="AK58" s="3"/>
      <c r="AL58" s="3"/>
      <c r="AM58" s="3"/>
      <c r="AN58" s="52" t="str">
        <f>IF(Atletas!D49="","",IF(Atletas!B49="Feminino",100,IF(Atletas!B49="Masculino",200,""))+(IF(Atletas!D49="Kids 30kg",1,IF(Atletas!D49="Kids 32kg",2, IF(Atletas!D49="Kids 34kg",3,IF(Atletas!D49="Kids 36kg",4,IF(Atletas!D49="Kids 39kg",5,IF(Atletas!D49="Kids 42kg",6,IF(Atletas!D49="Kids 45kg",7, IF(Atletas!D49="Infantil 39kg",8,IF(Atletas!D49="Infantil 42kg",9,IF(Atletas!D49="Infantil 45kg",10,IF(Atletas!D49="Infantil 48kg",11,IF(Atletas!D49="Infantil 52kg",12,IF(Atletas!D49="Infantil 56kg",13,IF(Atletas!D49="Infantil 60kg",14,IF(Atletas!D49="Juvenil 48kg",15,IF(Atletas!D49="Juvenil 52kg",16,IF(Atletas!D49="Juvenil 56kg",17,IF(Atletas!D49="Juvenil 60kg",18,IF(Atletas!D49="Juvenil 65kg",19,IF(Atletas!D49="Juvenil 70kg",20,IF(Atletas!D49="Juvenil 75kg",21,IF(Atletas!D49="Juvenil 80kg",22, IF(Atletas!D49="Juvenil 85kg",23,IF(Atletas!D49="Adulto 48kg",24,IF(Atletas!D49="Adulto 52kg",25,IF(Atletas!D49="Adulto 56kg",26,IF(Atletas!D49="Adulto 60kg",27,IF(Atletas!D49="Adulto 65kg",28,IF(Atletas!D49="Adulto 70kg",29,IF(Atletas!D49="Adulto 75kg",30,IF(Atletas!D49="Adulto 80kg",31,IF(Atletas!D49="Adulto 85kg",32,IF(Atletas!D49="Adulto 90kg",33,IF(Atletas!D49="Adulto 100kg",34, IF(Atletas!D49="Adulto +100kg",35,"")))))))))))))))))))))))))))))))))))))</f>
        <v/>
      </c>
      <c r="AS58" s="6" t="str">
        <f>IF(Atletas!E49="","",IF(Atletas!B49="Feminino",100,IF(Atletas!B49="Masculino",200,""))+(IF(Atletas!E49="Juvenil 44kg",1,IF(Atletas!E49="Juvenil 48kg",2,IF(Atletas!E49="Juvenil 52kg",3,IF(Atletas!E49="Juvenil 56kg",4,IF(Atletas!E49="Juvenil 60kg",5,IF(Atletas!E49="Juvenil 65kg",6,IF(Atletas!E49="Juvenil 70kg",7,IF(Atletas!E49="Juvenil 75kg",8,IF(Atletas!E49="Juvenil 82kg",9,IF(Atletas!E49="Juvenil 90kg",10,IF(Atletas!E49="Juvenil 100kg",11,IF(Atletas!E49="Adulto 48kg",12,IF(Atletas!E49="Adulto 52kg",13,IF(Atletas!E49="Adulto 56kg",14,IF(Atletas!E49="Adulto 60kg",15,IF(Atletas!E49="Adulto 65kg",16,IF(Atletas!E49="Adulto 70kg",17,IF(Atletas!E49="Adulto 75kg",18,IF(Atletas!E49="Adulto 82kg",19,IF(Atletas!E49="Adulto 90kg",20,IF(Atletas!E49="Adulto 100kg",21,IF(Atletas!E49="Adulto +100kg",22,""))))))))))))))))))))))))</f>
        <v/>
      </c>
      <c r="AX58" s="6" t="str">
        <f>IF(Atletas!F49="","",IF(Atletas!B49="Feminino",100,IF(Atletas!B49="Masculino",200,""))+(IF(Atletas!F49="Adulto 48kg",1,IF(Atletas!F49="Adulto 56kg",2,IF(Atletas!F49="Adulto 65kg",3,IF(Atletas!F49="Adulto 75kg",4,IF(Atletas!F49="Adulto +75kg",5,IF(Atletas!F49="Adulto 52kg",6,IF(Atletas!F49="Adulto 60kg",7,IF(Atletas!F49="Adulto 70kg",8,IF(Atletas!F49="Adulto 80kg",9,IF(Atletas!F49="Adulto 90kg",10,IF(Atletas!F49="Adulto +90kg",11,"")))))))))))))</f>
        <v/>
      </c>
      <c r="BC58" s="6" t="str">
        <f>IF(Atletas!G49="","",IF(Atletas!B49="Feminino",10,IF(Atletas!B49="Masculino",20,""))+(IF(Atletas!G49="Baduanjin A",1,IF(Atletas!G49="Baduanjin B",2))))</f>
        <v/>
      </c>
      <c r="BF58" s="52" t="str">
        <f>IF(Atletas!H49="","",IF(Atletas!B49="Feminino",100,IF(Atletas!B49="Masculino",200,""))+(IF(Atletas!H49="Changquan Mirim",1,IF(Atletas!H49="Nanquan Mirim",2,IF(Atletas!H49="Taijiquan Mirim",3,IF(Atletas!H49="Changquan Grupo C",4,IF(Atletas!H49="Nanquan Grupo C",5,IF(Atletas!H49="Taijiquan Grupo C",6,IF(Atletas!H49="Changquan Grupo B",7,IF(Atletas!H49="Nanquan Grupo B",8,IF(Atletas!H49="Taijiquan Grupo B",9,IF(Atletas!H49="Changquan Grupo A",10,IF(Atletas!H49="Nanquan Grupo A",11,IF(Atletas!H49="Taijiquan Grupo A",12,IF(Atletas!H49="Changquan Opcional",13,IF(Atletas!H49="Nanquan Opcional",14,IF(Atletas!H49="Taijiquan Opcional",15,IF(Atletas!H49="Changquan Adulto",16,IF(Atletas!H49="Nanquan Adulto",17,IF(Atletas!H49="Taijiquan Adulto",18,""))))))))))))))))))))</f>
        <v/>
      </c>
      <c r="BG58" s="52" t="str">
        <f>IF(Atletas!I49="","",IF(Atletas!B49="Feminino",100,IF(Atletas!B49="Masculino",200,""))+(IF(Atletas!I49="Daoshu Mirim",19,IF(Atletas!I49="Jianshu Mirim",20,IF(Atletas!I49="Nandao Mirim",21,IF(Atletas!I49="Taijijian Mirim",22,IF(Atletas!I49="Daoshu Grupo C",23,IF(Atletas!I49="Jianshu Grupo C",24,IF(Atletas!I49="Nandao Grupo C",25,IF(Atletas!I49="Taijijian Grupo C",26,IF(Atletas!I49="Daoshu Grupo B",27,IF(Atletas!I49="Jianshu Grupo B",28,IF(Atletas!I49="Nandao Grupo B",29,IF(Atletas!I49="Taijijian Grupo B",30,IF(Atletas!I49="Daoshu Grupo A",31,IF(Atletas!I49="Jianshu Grupo A",32,IF(Atletas!I49="Nandao Grupo A",33,IF(Atletas!I49="Taijijian Grupo A",34,IF(Atletas!I49="Daoshu Opcional",35,IF(Atletas!I49="Jianshu Opcional",36,IF(Atletas!I49="Nandao Opcional",37,IF(Atletas!I49="Taijijian Opcional",38,IF(Atletas!I49="Daoshu Adulto",39,IF(Atletas!I49="Jianshu Adulto",40,IF(Atletas!I49="Nandao Adulto",41,IF(Atletas!I49="Taijijian Adulto",42,""))))))))))))))))))))))))))</f>
        <v/>
      </c>
      <c r="BH58" s="52" t="str">
        <f>IF(Atletas!J49="","",IF(Atletas!B49="Feminino",100,IF(Atletas!B49="Masculino",200,""))+(IF(Atletas!J49="Gunshu Mirim",43,IF(Atletas!J49="Qiangshu Mirim",44,IF(Atletas!J49="Nangun Mirim",45,IF(Atletas!J49="Gunshu Grupo C",46,IF(Atletas!J49="Qiangshu Grupo C",47,IF(Atletas!J49="Nangun Grupo C",48,IF(Atletas!J49="Gunshu Grupo B",49,IF(Atletas!J49="Qiangshu Grupo B",50,IF(Atletas!J49="Nangun Grupo B",51,IF(Atletas!J49="Gunshu Grupo A",52,IF(Atletas!J49="Qiangshu Grupo A",53,IF(Atletas!J49="Nangun Grupo A",54,IF(Atletas!J49="Gunshu Opcional",55,IF(Atletas!J49="Qiangshu Opcional",56,IF(Atletas!J49="Nangun Opcional",57,IF(Atletas!J49="Gunshu Adulto",58,IF(Atletas!J49="Qiangshu Adulto",59,IF(Atletas!J49="Nangun Adulto",60,IF(Atletas!J49="Taijishan Grupo B",61,IF(Atletas!J49="Taijishan Grupo A",62,""))))))))))))))))))))))</f>
        <v/>
      </c>
      <c r="BI58" s="6" t="str">
        <f>IF(BJ58&lt;&gt;"","Nangun Opcional","")</f>
        <v/>
      </c>
      <c r="BJ58" s="50" t="str">
        <f>IF(COUNTIF(BF:BH,157)&gt;0,COUNTIF(BF:BH,157),"")</f>
        <v/>
      </c>
      <c r="BK58" s="6" t="str">
        <f>IF(BL58&lt;&gt;"","Nangun Opcional","")</f>
        <v/>
      </c>
      <c r="BL58" s="50" t="str">
        <f>IF(COUNTIF(BF:BH,257)&gt;0,COUNTIF(BF:BH,257),"")</f>
        <v/>
      </c>
      <c r="BM58" s="50" t="str">
        <f>IF(Atletas!K49="","",IF(Atletas!B49="Feminino",100,IF(Atletas!B49="Masculino",200,""))+(IF(Atletas!K49="Equipe 1 Grupo B",1,IF(Atletas!K49="Equipe 2 Grupo B",2,IF(Atletas!K49="Equipe 1 Grupo A",3,IF(Atletas!K49="Equipe 2 Grupo A",4,IF(Atletas!K49="Equipe 1 Adulto",5,IF(Atletas!K49="Equipe 2 Adulto",6,""))))))))</f>
        <v/>
      </c>
      <c r="BR58" s="50" t="str">
        <f>IF(Atletas!L49="","",IF(Atletas!X49&lt;&gt;"",10000,0)+(IF(Atletas!B49="Feminino",1000,IF(Atletas!B49="Masculino",2000,""))+IF(Atletas!L49="Choylayfut A",1,IF(Atletas!L49="Hunggar A",2,IF(Atletas!L49="Wuzuquan A",3,IF(Atletas!L49="Wingchun A",4,IF(Atletas!L49="Outra Mão de Sul A",5,IF(Atletas!L49="Choylayfut B",6,IF(Atletas!L49="Hunggar B",7,IF(Atletas!L49="Wuzuquan B",8,IF(Atletas!L49="Wingchun B",9,IF(Atletas!L49="Outra Mão de Sul B",10,IF(Atletas!L49="Choylayfut C",11,IF(Atletas!L49="Hunggar C",12,IF(Atletas!L49="Wuzuquan C",13,IF(Atletas!L49="Wingchun C",14,IF(Atletas!L49="Outra Mão de Sul C",15,IF(Atletas!L49="Choylayfut D",16,IF(Atletas!L49="Hunggar D",17,IF(Atletas!L49="Wuzuquan D",18,IF(Atletas!L49="Wingchun D",19,IF(Atletas!L49="Outra Mão de Sul D",20,IF(Atletas!L49="Choylayfut E",21,IF(Atletas!L49="Hunggar E",22,IF(Atletas!L49="Wuzuquan E",23,IF(Atletas!L49="Wingchun E",24,IF(Atletas!L49="Outra Mão de Sul E",25,IF(Atletas!L49="Choylayfut F",26,IF(Atletas!L49="Hunggar F",27,IF(Atletas!L49="Wuzuquan F",28,IF(Atletas!L49="Wingchun F",29,IF(Atletas!L49="Outra Mão de Sul F",30,IF(Atletas!L49="Dishuquan A",31,IF(Atletas!L49="Dishuquan B",32,IF(Atletas!L49="Dishuquan C",33,IF(Atletas!L49="Dishuquan D",34,IF(Atletas!L49="Dishuquan E",35,IF(Atletas!L49="Dishuquan F",36,""))))))))))))))))))))))))))))))))))))))</f>
        <v/>
      </c>
      <c r="BS58" s="50" t="str">
        <f>IF(Atletas!M49="","",IF(Atletas!X49&lt;&gt;"",10000,0)+(IF(Atletas!B49="Feminino",1000,IF(Atletas!B49="Masculino",2000,""))+(IF(Atletas!M49="Chaquan A",101,IF(Atletas!M49="Emeiquan A",102,IF(Atletas!M49="Fanziquan A",103,IF(Atletas!M49="Huaquan A",104,IF(Atletas!M49="Hongquan A",105,IF(Atletas!M49="Paoquan A",106,IF(Atletas!M49="Piguaquan A",107,IF(Atletas!M49="Shaolinquan A",108,IF(Atletas!M49="Tanglangquan A",109,IF(Atletas!M49="Yingzhaoquan A",110,IF(Atletas!M49="Tongbeiquan A",111,IF(Atletas!M49="Wudangquan A",112,IF(Atletas!M49="Outros Estilos A",113,IF(Atletas!M49="Chaquan B",114,IF(Atletas!M49="Emeiquan B",115,IF(Atletas!M49="Fanziquan B",116,IF(Atletas!M49="Huaquan B",117,IF(Atletas!M49="Hongquan B",118,IF(Atletas!M49="Paoquan B",119,IF(Atletas!M49="Piguaquan B",120,IF(Atletas!M49="Shaolinquan B",121,IF(Atletas!M49="Tanglangquan B",122,IF(Atletas!M49="Yingzhaoquan B",123,IF(Atletas!M49="Tongbeiquan B",124,IF(Atletas!M49="Wudangquan B",125,IF(Atletas!M49="Outros Estilos B",126,IF(Atletas!M49="Chaquan C",127,IF(Atletas!M49="Emeiquan C",128,IF(Atletas!M49="Fanziquan C",129,IF(Atletas!M49="Huaquan C",130,IF(Atletas!M49="Hongquan C",131,IF(Atletas!M49="Paoquan C",132,IF(Atletas!M49="Piguaquan C",133,IF(Atletas!M49="Shaolinquan C",134,IF(Atletas!M49="Tanglangquan C",135,IF(Atletas!M49="Yingzhaoquan C",136,IF(Atletas!M49="Tongbeiquan C",137,IF(Atletas!M49="Wudangquan C",138,IF(Atletas!M49="Outros Estilos C",139,0))))))))))))))))))))))))))))))))))))))))))</f>
        <v/>
      </c>
      <c r="BT58" s="50" t="str">
        <f>IF(Atletas!M49="","",IF(Atletas!X49&lt;&gt;"",10000,0)+(IF(Atletas!B49="Feminino",1000,IF(Atletas!B49="Masculino",2000,""))+(IF(Atletas!M49="Chaquan D",140,IF(Atletas!M49="Emeiquan D",141,IF(Atletas!M49="Fanziquan D",142,IF(Atletas!M49="Huaquan D",143,IF(Atletas!M49="Hongquan D",144,IF(Atletas!M49="Paoquan D",145,IF(Atletas!M49="Piguaquan D",146,IF(Atletas!M49="Shaolinquan D",147,IF(Atletas!M49="Tanglangquan D",148,IF(Atletas!M49="Yingzhaoquan D",149,IF(Atletas!M49="Tongbeiquan D",150,IF(Atletas!M49="Wudangquan D",151,IF(Atletas!M49="Outros Estilos D",152,IF(Atletas!M49="Chaquan E",153,IF(Atletas!M49="Emeiquan E",154,IF(Atletas!M49="Fanziquan E",155,IF(Atletas!M49="Huaquan E",156,IF(Atletas!M49="Hongquan E",157,IF(Atletas!M49="Paoquan E",158,IF(Atletas!M49="Piguaquan E",159,IF(Atletas!M49="Shaolinquan E",160,IF(Atletas!M49="Tanglangquan E",161,IF(Atletas!M49="Yingzhaoquan E",162,IF(Atletas!M49="Tongbeiquan E",163,IF(Atletas!M49="Wudangquan E",164,IF(Atletas!M49="Outros Estilos E",165,IF(Atletas!M49="Chaquan F",166,IF(Atletas!M49="Emeiquan F",167,IF(Atletas!M49="Fanziquan F",168,IF(Atletas!M49="Huaquan F",169,IF(Atletas!M49="Hongquan F",170,IF(Atletas!M49="Paoquan F",171,IF(Atletas!M49="Piguaquan F",172,IF(Atletas!M49="Shaolinquan F",173,IF(Atletas!M49="Tanglangquan F",174,IF(Atletas!M49="Yingzhaoquan F",175,IF(Atletas!M49="Tongbeiquan F",176,IF(Atletas!M49="Wudangquan F",177,IF(Atletas!M49="Outros Estilos F",178,0))))))))))))))))))))))))))))))))))))))))))</f>
        <v/>
      </c>
      <c r="BU58" s="50" t="str">
        <f>IF(Atletas!N49="","",IF(Atletas!X49&lt;&gt;"",10000,0)+(IF(Atletas!B49="Feminino",1000,IF(Atletas!B49="Masculino",2000,""))+(IF(Atletas!N49="Ditangquan A",201,IF(Atletas!N49="Houquan A",202,IF(Atletas!N49="Zuiquan A",203,IF(Atletas!N49="Ditangquan B",204,IF(Atletas!N49="Houquan B",205,IF(Atletas!N49="Zuiquan B",206,IF(Atletas!N49="Ditangquan C",207,IF(Atletas!N49="Houquan C",208,IF(Atletas!N49="Zuiquan C",209,IF(Atletas!N49="Ditangquan D",210,IF(Atletas!N49="Houquan D",211,IF(Atletas!N49="Zuiquan D",212,IF(Atletas!N49="Ditangquan E",213,IF(Atletas!N49="Houquan E",214,IF(Atletas!N49="Zuiquan E",215,IF(Atletas!N49="Ditangquan F",216,IF(Atletas!N49="Houquan F",217,IF(Atletas!N49="Zuiquan F",218,"")))))))))))))))))))))</f>
        <v/>
      </c>
      <c r="BV58" s="50" t="str">
        <f>IF(Atletas!O49="","",IF(Atletas!X49&lt;&gt;"",10000,0)+IF(Atletas!B49="Feminino",1000,IF(Atletas!B49="Masculino",2000,""))+IF(Atletas!O49="Yang A",301,IF(Atletas!O49="Chen A",302,IF(Atletas!O49="Sun A",303,IF(Atletas!O49="Wu A",304,IF(Atletas!O49="Wu-Hao A",305,IF(Atletas!O49="Outro Taijiquan A",306,IF(Atletas!O49="Yang B",307,IF(Atletas!O49="Chen B",308,IF(Atletas!O49="Sun B",309,IF(Atletas!O49="Wu B",310,IF(Atletas!O49="Wu-Hao B",311,IF(Atletas!O49="Outro Taijiquan B",312,IF(Atletas!O49="Yang C",313,IF(Atletas!O49="Chen C",314,IF(Atletas!O49="Sun C",315,IF(Atletas!O49="Wu C",316,IF(Atletas!O49="Wu-Hao C",317,IF(Atletas!O49="Outro Taijiquan C",318,IF(Atletas!O49="Yang D",319,IF(Atletas!O49="Chen D",320,IF(Atletas!O49="Sun D",321,IF(Atletas!O49="Wu D",322,IF(Atletas!O49="Wu-Hao D",323,IF(Atletas!O49="Outro Taijiquan D",324,IF(Atletas!O49="Yang E",325,IF(Atletas!O49="Chen E",326,IF(Atletas!O49="Sun E",327,IF(Atletas!O49="Wu E",328,IF(Atletas!O49="Wu-Hao E",329,IF(Atletas!O49="Outro Taijiquan E",330,IF(Atletas!O49="Yang F",331,IF(Atletas!O49="Chen F",332,IF(Atletas!O49="Sun F",333,IF(Atletas!O49="Wu F",334,IF(Atletas!O49="Wu-Hao F",335,IF(Atletas!O49="Outro Taijiquan F",336,"")))))))))))))))))))))))))))))))))))))</f>
        <v/>
      </c>
      <c r="BW58" s="50" t="str">
        <f>IF(Atletas!P49="","",IF(Atletas!X49&lt;&gt;"",10000,0)+IF(Atletas!B49="Feminino",1000,IF(Atletas!B49="Masculino",2000,""))+IF(OR(Atletas!P49="Yang 26 A",Atletas!P49="Yang 40 A"),401,IF(OR(Atletas!P49="Chen 25 A",Atletas!P49="Chen 36 A",Atletas!P49="Chen 56 A"),402,IF(Atletas!P49="Sun 73 A",403,IF(Atletas!P49="Wu 45 A",404,IF(Atletas!P49="Wu-Hao 46 A",405,IF(OR(Atletas!P49="Taijiquan 16 A",Atletas!P49="Taijiquan 24 A",Atletas!P49="Taijiquan 32 A",Atletas!P49="Taijiquan 42 A"),406,IF(OR(Atletas!P49="Yang 26 B",Atletas!P49="Yang 40 B"),407,IF(OR(Atletas!P49="Chen 25 B",Atletas!P49="Chen 36 B",Atletas!P49="Chen 56 B"),408,IF(Atletas!P49="Sun 73 B",409,IF(Atletas!P49="Wu 45 B",410,IF(Atletas!P49="Wu-Hao 46 B",411,IF(OR(Atletas!P49="Taijiquan 16 B",Atletas!P49="Taijiquan 24 B",Atletas!P49="Taijiquan 32 B",Atletas!P49="Taijiquan 42 B"),412,IF(OR(Atletas!P49="Yang 26 C",Atletas!P49="Yang 40 C"),413,IF(OR(Atletas!P49="Chen 25 C",Atletas!P49="Chen 36 C",Atletas!P49="Chen 56 C"),414,IF(Atletas!P49="Sun 73 C",415,IF(Atletas!P49="Wu 45 C",416,IF(Atletas!P49="Wu-Hao 46 C",417,IF(OR(Atletas!P49="Taijiquan 16 C",Atletas!P49="Taijiquan 24 C",Atletas!P49="Taijiquan 32 C",Atletas!P49="Taijiquan 42 C"),418,0)))))))))))))))))))</f>
        <v/>
      </c>
      <c r="BX58" s="50" t="str">
        <f>IF(Atletas!P49="","",IF(Atletas!X49&lt;&gt;"",10000,0)+IF(Atletas!B49="Feminino",1000,IF(Atletas!B49="Masculino",2000,""))+IF(OR(Atletas!P49="Yang 26 D",Atletas!P49="Yang 40 D"),419,IF(OR(Atletas!P49="Chen 25 D",Atletas!P49="Chen 36 D",Atletas!P49="Chen 56 D"),420,IF(Atletas!P49="Sun 73 D",421,IF(Atletas!P49="Wu 45 D",422,IF(Atletas!P49="Wu-Hao 46 D",423,IF(OR(Atletas!P49="Taijiquan 16 D",Atletas!P49="Taijiquan 24 D",Atletas!P49="Taijiquan 32 D",Atletas!P49="Taijiquan 42 D"),424,IF(OR(Atletas!P49="Yang 26 E",Atletas!P49="Yang 40 E"),425,IF(OR(Atletas!P49="Chen 25 E",Atletas!P49="Chen 36 E",Atletas!P49="Chen 56 E"),426,IF(Atletas!P49="Sun 73 E",427,IF(Atletas!P49="Wu 45 E",428,IF(Atletas!P49="Wu-Hao 46 E",429,IF(OR(Atletas!P49="Taijiquan 16 E",Atletas!P49="Taijiquan 24 E",Atletas!P49="Taijiquan 32 E",Atletas!P49="Taijiquan 42 E"),430,IF(OR(Atletas!P49="Yang 26 F",Atletas!P49="Yang 40 F"),431,IF(OR(Atletas!P49="Chen 25 F",Atletas!P49="Chen 36 F",Atletas!P49="Chen 56 F"),432,IF(Atletas!P49="Sun 73 F",433,IF(Atletas!P49="Wu 45 F",434,IF(Atletas!P49="Wu-Hao 46 F",435,IF(OR(Atletas!P49="Taijiquan 16 F",Atletas!P49="Taijiquan 24 F",Atletas!P49="Taijiquan 32 F",Atletas!P49="Taijiquan 42 F"),436,0)))))))))))))))))))</f>
        <v/>
      </c>
      <c r="BY58" s="50" t="str">
        <f>IF(Atletas!Q49="","",IF(Atletas!X49&lt;&gt;"",10000,0)+IF(Atletas!B49="Feminino",1000,IF(Atletas!B49="Masculino",2000,""))+IF(Atletas!Q49="Xingyiquan A",501,IF(Atletas!Q49="Baguazhang A",502,IF(Atletas!Q49="Outro Estilo Interno A",503,IF(Atletas!Q49="Xingyiquan B",504,IF(Atletas!Q49="Baguazhang B",505,IF(Atletas!Q49="Outro Estilo Interno B",506,IF(Atletas!Q49="Xingyiquan C",507,IF(Atletas!Q49="Baguazhang C",508,IF(Atletas!Q49="Outro Estilo Interno C",509,IF(Atletas!Q49="Xingyiquan D",510,IF(Atletas!Q49="Baguazhang D",511,IF(Atletas!Q49="Outro Estilo Interno D",512,IF(Atletas!Q49="Xingyiquan E",513,IF(Atletas!Q49="Baguazhang E",514,IF(Atletas!Q49="Outro Estilo Interno E",515,IF(Atletas!Q49="Xingyiquan F",516,IF(Atletas!Q49="Baguazhang F",517,IF(Atletas!Q49="Outro Estilo Interno F",518, "")))))))))))))))))))</f>
        <v/>
      </c>
      <c r="BZ58" s="50" t="str">
        <f>IF(Atletas!R49="","",IF(Atletas!X49&lt;&gt;"",10000,0)+IF(Atletas!B49="Feminino",1000,IF(Atletas!B49="Masculino",2000,""))+IF(Atletas!R49="Dao A",601,IF(Atletas!R49="Jian A",602,IF(Atletas!R49="Bishou A",603,IF(Atletas!R49="Shanzi A",604,IF(Atletas!R49="Outra Arma Curta A",605,IF(Atletas!R49="Dao B",606,IF(Atletas!R49="Jian B",607,IF(Atletas!R49="Bishou B",608,IF(Atletas!R49="Shanzi B",609,IF(Atletas!R49="Outra Arma Curta B",610,IF(Atletas!R49="Dao C",611,IF(Atletas!R49="Jian C",612,IF(Atletas!R49="Bishou C",613,IF(Atletas!R49="Shanzi C",614,IF(Atletas!R49="Outra Arma Curta C",615,IF(Atletas!R49="Dao D",616,IF(Atletas!R49="Jian D",617,IF(Atletas!R49="Bishou D",618,IF(Atletas!R49="Shanzi D",619,IF(Atletas!R49="Outra Arma Curta D",620,IF(Atletas!R49="Dao E",621,IF(Atletas!R49="Jian E",622,IF(Atletas!R49="Bishou E",623,IF(Atletas!R49="Shanzi E",624,IF(Atletas!R49="Outra Arma Curta E",625,IF(Atletas!R49="Dao F",626,IF(Atletas!R49="Jian F",627,IF(Atletas!R49="Bishou F",628,IF(Atletas!R49="Shanzi F",629,IF(Atletas!R49="Outra Arma Curta F",630, "")))))))))))))))))))))))))))))))</f>
        <v/>
      </c>
      <c r="CA58" s="50" t="str">
        <f>IF(Atletas!S49="","",IF(Atletas!X49&lt;&gt;"",10000,0)+IF(Atletas!B49="Feminino",1000,IF(Atletas!B49="Masculino",2000,""))+IF(Atletas!S49="Gun A",701,IF(Atletas!S49="Qiang A",702,IF(Atletas!S49="Pudao / Guandao A",703,IF(Atletas!S49="Outra Arma Longa A",704,IF(Atletas!S49="Gun B",705,IF(Atletas!S49="Qiang B",706,IF(Atletas!S49="Pudao / Guandao B",707,IF(Atletas!S49="Outra Arma Longa B",708,IF(Atletas!S49="Gun C",709,IF(Atletas!S49="Qiang C",710,IF(Atletas!S49="Pudao / Guandao C",711,IF(Atletas!S49="Outra Arma Longa C",712,IF(Atletas!S49="Gun D",713,IF(Atletas!S49="Qiang D",714,IF(Atletas!S49="Pudao / Guandao D",715,IF(Atletas!S49="Outra Arma Longa D",716,IF(Atletas!S49="Gun E",717,IF(Atletas!S49="Qiang E",718,IF(Atletas!S49="Pudao / Guandao E",719,IF(Atletas!S49="Outra Arma Longa E",720,IF(Atletas!S49="Gun F",721,IF(Atletas!S49="Qiang F",722,IF(Atletas!S49="Pudao / Guandao F",723,IF(Atletas!S49="Outra Arma Longa F",724,"")))))))))))))))))))))))))</f>
        <v/>
      </c>
      <c r="CB58" s="50" t="str">
        <f>IF(Atletas!T49="","",IF(Atletas!X49&lt;&gt;"",10000,0)+IF(Atletas!B49="Feminino",1000,IF(Atletas!B49="Masculino",2000,""))+IF(Atletas!T49="Outra Arma Dupla A",801,IF(Atletas!T49="Arma Maleável A",802,IF(Atletas!T49="Outra Arma Dupla B",803,IF(Atletas!T49="Arma Maleável B",804,IF(Atletas!T49="Outra Arma Dupla C",805,IF(Atletas!T49="Arma Maleável C",806,IF(Atletas!T49="Outra Arma Dupla D",807,IF(Atletas!T49="Arma Maleável D",808,IF(Atletas!T49="Outra Arma Dupla E",809,IF(Atletas!T49="Arma Maleável E",810,IF(Atletas!T49="Outra Arma Dupla F",811,IF(Atletas!T49="Arma Maleável F",812,IF(Atletas!T49="Shuangdao A",813,IF(Atletas!T49="Shuangdao B",814,IF(Atletas!T49="Shuangdao C",815,IF(Atletas!T49="Shuangdao D",816,IF(Atletas!T49="Shuangdao E",817,IF(Atletas!T49="Shuangdao F",818,"")))))))))))))))))))</f>
        <v/>
      </c>
      <c r="CC58" s="50" t="str">
        <f>IF(Atletas!U49="","",IF(Atletas!X49&lt;&gt;"",10000,0)+IF(Atletas!B49="Feminino",1000,IF(Atletas!B49="Masculino",2000,""))+IF(OR(Atletas!U49="Taijijian Yang A",Atletas!U49="Taijijian Yang Standard A"),901,IF(OR(Atletas!U49="Taijijian Chen A", Atletas!U49="Taijijian Chen Standard A"),902,IF(Atletas!U49="Taijijian Sun A",903,IF(Atletas!U49="Taijijian Wu A",904,IF(Atletas!U49="Taijijian Wu-Hao A",905,IF(OR(Atletas!U49="Taijijian 32 A",Atletas!U49="Taijijian 42 A"),906,IF(OR(Atletas!U49="Taijijian Yang B",Atletas!U49="Taijijian Yang Standard B"),907,IF(OR(Atletas!U49="Taijijian Chen B", Atletas!U49="Taijijian Chen Standard B"),908,IF(Atletas!U49="Taijijian Sun B",909,IF(Atletas!U49="Taijijian Wu B",910,IF(Atletas!U49="Taijijian Wu-Hao B",911,IF(OR(Atletas!U49="Taijijian 32 B",Atletas!U49="Taijijian 42 B"),912,IF(OR(Atletas!U49="Taijijian Yang C",Atletas!U49="Taijijian Yang Standard C"),913,IF(OR(Atletas!U49="Taijijian Chen C", Atletas!U49="Taijijian Chen Standard C"),914,IF(Atletas!U49="Taijijian Sun C",915,IF(Atletas!U49="Taijijian Wu C",916,IF(Atletas!U49="Taijijian Wu-Hao C",917,IF(OR(Atletas!U49="Taijijian 32 C",Atletas!U49="Taijijian 42 C"),918,IF(OR(Atletas!U49="Taijijian Yang D",Atletas!U49="Taijijian Yang Standard D"),919,IF(OR(Atletas!U49="Taijijian Chen D", Atletas!U49="Taijijian Chen Standard D"),920,IF(Atletas!U49="Taijijian Sun D",921,IF(Atletas!U49="Taijijian Wu D",922,IF(Atletas!U49="Taijijian Wu-Hao D",923,IF(OR(Atletas!U49="Taijijian 32 D",Atletas!U49="Taijijian 42 D"),924,IF(OR(Atletas!U49="Taijijian Yang E",Atletas!U49="Taijijian Yang Standard E"),925,IF(OR(Atletas!U49="Taijijian Chen E", Atletas!U49="Taijijian Chen Standard E"),926,IF(Atletas!U49="Taijijian Sun E",927,IF(Atletas!U49="Taijijian Wu E",928,IF(Atletas!U49="Taijijian Wu-Hao E",929,IF(OR(Atletas!U49="Taijijian 32 E",Atletas!U49="Taijijian 42 E"),930,IF(OR(Atletas!U49="Taijijian Yang F",Atletas!U49="Taijijian Yang Standard F"),931,IF(OR(Atletas!U49="Taijijian Chen F", Atletas!U49="Taijijian Chen Standard F"),932,IF(Atletas!U49="Taijijian Sun F",933,IF(Atletas!U49="Taijijian Wu F",934,IF(Atletas!U49="Taijijian Wu-Hao F",935,IF(OR(Atletas!U49="Taijijian 32 F",Atletas!U49="Taijijian 42 F"),936,"")))))))))))))))))))))))))))))))))))))</f>
        <v/>
      </c>
      <c r="CD58" s="50" t="str">
        <f>IF(Atletas!V49="","",IF(Atletas!X49&lt;&gt;"",10000,0)+IF(Atletas!B49="Feminino",1000,IF(Atletas!B49="Masculino",2000,""))+IF(Atletas!V49="Taijidao A",937,IF(Atletas!V49="TaijiShanzi A",938,IF(Atletas!V49="Taijiqiang A",939,IF(Atletas!V49="Bagua de Arma A",940,IF(Atletas!V49="Xingyi de Arma A",941,IF(Atletas!V49="Taijidao B",942,IF(Atletas!V49="TaijiShanzi B",943,IF(Atletas!V49="Taijiqiang B",944,IF(Atletas!V49="Bagua de Arma B",945,IF(Atletas!V49="Xingyi de Arma B",946,IF(Atletas!V49="Taijidao C",947,IF(Atletas!V49="TaijiShanzi C",948,IF(Atletas!V49="Taijiqiang C",949,IF(Atletas!V49="Bagua de Arma C",950,IF(Atletas!V49="Xingyi de Arma C",951,IF(Atletas!V49="Taijidao D",952,IF(Atletas!V49="TaijiShanzi D",953,IF(Atletas!V49="Taijiqiang D",954,IF(Atletas!V49="Bagua de Arma D",955,IF(Atletas!V49="Xingyi de Arma D",956,IF(Atletas!V49="Taijidao E",957,IF(Atletas!V49="TaijiShanzi E",958,IF(Atletas!V49="Taijiqiang E",959,IF(Atletas!V49="Bagua de Arma E",960,IF(Atletas!V49="Xingyi de Arma E",961,IF(Atletas!V49="Taijidao F",962,IF(Atletas!V49="TaijiShanzi F",963,IF(Atletas!V49="Taijiqiang F",964,IF(Atletas!V49="Bagua de Arma F",965,IF(Atletas!V49="Xingyi de Arma F",966,"")))))))))))))))))))))))))))))))</f>
        <v/>
      </c>
      <c r="CE58" s="66" t="str">
        <f>IF(CF58&lt;&gt;"","Fanziquan B","")</f>
        <v/>
      </c>
      <c r="CF58" s="66" t="str">
        <f>IF(COUNTIF(BR:CD,1116)&gt;0,COUNTIF(BR:CD,1116),"")</f>
        <v/>
      </c>
      <c r="CG58" s="66" t="str">
        <f>IF(CH58&lt;&gt;"","Fanziquan B","")</f>
        <v/>
      </c>
      <c r="CH58" s="66" t="str">
        <f>IF(COUNTIF(BR:CD,2116)&gt;0,COUNTIF(BR:CD,2116),"")</f>
        <v/>
      </c>
      <c r="CI58" s="66" t="str">
        <f>IF(CJ58&lt;&gt;"","Tanglangquan B","")</f>
        <v/>
      </c>
      <c r="CJ58" s="66" t="str">
        <f>IF(COUNTIF(BR:CD,11122)&gt;0,COUNTIF(BR:CD,11122),"")</f>
        <v/>
      </c>
      <c r="CK58" s="66" t="str">
        <f>IF(CL58&lt;&gt;"","Tanglangquan B","")</f>
        <v/>
      </c>
      <c r="CL58" s="66" t="str">
        <f>IF(COUNTIF(BR:CD,12122)&gt;0,COUNTIF(BR:CD,12122),"")</f>
        <v/>
      </c>
      <c r="CM58" s="50" t="str">
        <f xml:space="preserve"> IF(Atletas!W49="","",IF(Atletas!W49="Duilian de Mãos BC - Equipe 1",1,IF(Atletas!W49="Duilian de Mãos BC - Equipe 2",2,IF(Atletas!W49="Duilian de Armas BC - Equipe 1",3,IF(Atletas!W49="Duilian de Armas BC - Equipe 2",4,IF(Atletas!W49="Duilian de Mãos DE - Equipe 1",5,IF(Atletas!W49="Duilian de Mãos DE - Equipe 2",6,IF(Atletas!W49="Duilian de Armas DE - Equipe 1",7,IF(Atletas!W49="Duilian de Armas DE - Equipe 2",8,IF(Atletas!W49="Duilian de Tuishou - Equipe 1",9,IF(Atletas!W49="Duilian de Tuishou - Equipe 2",10,IF(Atletas!W49="Grupo Externo ABC - Equipe 1",11,IF(Atletas!W49="Grupo Externo ABC - Equipe 2",12,IF(Atletas!W49="Grupo Interno ABC - Equipe 1",13,IF(Atletas!W49="Grupo Interno ABC - Equipe 2",14,IF(Atletas!W49="Grupo Externo DEF - Equipe 1",15,IF(Atletas!W49="Grupo Externo DEF - Equipe 2",16,IF(Atletas!W49="Grupo Interno DEF - Equipe 1",17,IF(Atletas!W49="Grupo Interno DEF - Equipe 2",18,"")))))))))))))))))))</f>
        <v/>
      </c>
      <c r="CY58" s="41"/>
    </row>
    <row r="59" spans="2:103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 t="str">
        <f t="array" ref="R59">IFERROR(INDEX(BI$7:BI$68,SMALL(IF(BI$7:BI$68&lt;&gt;"",ROW(BI$7:BI$68)-ROW(BI$7)+1),ROWS(BI$7:BI58))),"")</f>
        <v/>
      </c>
      <c r="S59" s="3" t="str">
        <f t="array" ref="S59">IFERROR(INDEX(BJ$7:BJ$68,SMALL(IF(BJ$7:BJ$68&lt;&gt;"",ROW(BJ$7:BJ$68)-ROW(BJ$7)+1),ROWS(BJ$7:BJ58))),"")</f>
        <v/>
      </c>
      <c r="T59" s="3" t="str">
        <f t="array" ref="T59">IFERROR(INDEX(BK$7:BK$68,SMALL(IF(BK$7:BK$68&lt;&gt;"",ROW(BK$7:BK$68)-ROW(BK$7)+1),ROWS(BK$7:BK58))),"")</f>
        <v/>
      </c>
      <c r="U59" s="3" t="str">
        <f t="array" ref="U59">IFERROR(INDEX(BL$7:BL$68,SMALL(IF(BL$7:BL$68&lt;&gt;"",ROW(BL$7:BL$68)-ROW(BL$7)+1),ROWS(BL$7:BL58))),"")</f>
        <v/>
      </c>
      <c r="V59" s="3"/>
      <c r="W59" s="3"/>
      <c r="X59" s="20"/>
      <c r="Y59" s="3"/>
      <c r="Z59" s="3" t="str">
        <f t="array" ref="Z59">IFERROR(INDEX(CE$7:CE$348,SMALL(IF(CE$7:CE$348&lt;&gt;"",ROW(CE$7:CE$348)-ROW(CE$7)+1),ROWS(CE$7:CE58))),"")</f>
        <v/>
      </c>
      <c r="AA59" s="3" t="str">
        <f t="array" ref="AA59">IFERROR(INDEX(CF$7:CF$348,SMALL(IF(CF$7:CF$348&lt;&gt;"",ROW(CF$7:CF$348)-ROW(CF$7)+1),ROWS(CF$7:CF58))),"")</f>
        <v/>
      </c>
      <c r="AB59" s="3" t="str">
        <f t="array" ref="AB59">IFERROR(INDEX(CG$7:CG$348,SMALL(IF(CG$7:CG$348&lt;&gt;"",ROW(CG$7:CG$348)-ROW(CG$7)+1),ROWS(CG$7:CG58))),"")</f>
        <v/>
      </c>
      <c r="AC59" s="3" t="str">
        <f t="array" ref="AC59">IFERROR(INDEX(CH$7:CH$348,SMALL(IF(CH$7:CH$348&lt;&gt;"",ROW(CH$7:CH$348)-ROW(CH$7)+1),ROWS(CH$7:CH58))),"")</f>
        <v/>
      </c>
      <c r="AD59" s="3" t="str">
        <f t="array" ref="AD59">IFERROR(INDEX(CI$7:CI$377,SMALL(IF(CI$7:CI$377&lt;&gt;"",ROW(CI$7:CI$377)-ROW(CI$7)+1),ROWS(CI$7:CI58))),"")</f>
        <v/>
      </c>
      <c r="AE59" s="3" t="str">
        <f t="array" ref="AE59">IFERROR(INDEX(CJ$7:CJ$378,SMALL(IF(CJ$7:CJ$378&lt;&gt;"",ROW(CJ$7:CJ$378)-ROW(CJ$7)+1),ROWS(CJ$7:CJ58))),"")</f>
        <v/>
      </c>
      <c r="AF59" s="3" t="str">
        <f t="array" ref="AF59">IFERROR(INDEX(CK$7:CK$378,SMALL(IF(CK$7:CK$378&lt;&gt;"",ROW(CK$7:CK$378)-ROW(CK$7)+1),ROWS(CK$7:CK58))),"")</f>
        <v/>
      </c>
      <c r="AG59" s="3" t="str">
        <f t="array" ref="AG59">IFERROR(INDEX(CL$7:CL$378,SMALL(IF(CL$7:CL$378&lt;&gt;"",ROW(CL$7:CL$378)-ROW(CL$7)+1),ROWS(CL$7:CL58))),"")</f>
        <v/>
      </c>
      <c r="AH59" s="3"/>
      <c r="AI59" s="3"/>
      <c r="AJ59" s="3"/>
      <c r="AK59" s="3"/>
      <c r="AL59" s="3"/>
      <c r="AM59" s="3"/>
      <c r="AN59" s="52" t="str">
        <f>IF(Atletas!D50="","",IF(Atletas!B50="Feminino",100,IF(Atletas!B50="Masculino",200,""))+(IF(Atletas!D50="Kids 30kg",1,IF(Atletas!D50="Kids 32kg",2, IF(Atletas!D50="Kids 34kg",3,IF(Atletas!D50="Kids 36kg",4,IF(Atletas!D50="Kids 39kg",5,IF(Atletas!D50="Kids 42kg",6,IF(Atletas!D50="Kids 45kg",7, IF(Atletas!D50="Infantil 39kg",8,IF(Atletas!D50="Infantil 42kg",9,IF(Atletas!D50="Infantil 45kg",10,IF(Atletas!D50="Infantil 48kg",11,IF(Atletas!D50="Infantil 52kg",12,IF(Atletas!D50="Infantil 56kg",13,IF(Atletas!D50="Infantil 60kg",14,IF(Atletas!D50="Juvenil 48kg",15,IF(Atletas!D50="Juvenil 52kg",16,IF(Atletas!D50="Juvenil 56kg",17,IF(Atletas!D50="Juvenil 60kg",18,IF(Atletas!D50="Juvenil 65kg",19,IF(Atletas!D50="Juvenil 70kg",20,IF(Atletas!D50="Juvenil 75kg",21,IF(Atletas!D50="Juvenil 80kg",22, IF(Atletas!D50="Juvenil 85kg",23,IF(Atletas!D50="Adulto 48kg",24,IF(Atletas!D50="Adulto 52kg",25,IF(Atletas!D50="Adulto 56kg",26,IF(Atletas!D50="Adulto 60kg",27,IF(Atletas!D50="Adulto 65kg",28,IF(Atletas!D50="Adulto 70kg",29,IF(Atletas!D50="Adulto 75kg",30,IF(Atletas!D50="Adulto 80kg",31,IF(Atletas!D50="Adulto 85kg",32,IF(Atletas!D50="Adulto 90kg",33,IF(Atletas!D50="Adulto 100kg",34, IF(Atletas!D50="Adulto +100kg",35,"")))))))))))))))))))))))))))))))))))))</f>
        <v/>
      </c>
      <c r="AS59" s="6" t="str">
        <f>IF(Atletas!E50="","",IF(Atletas!B50="Feminino",100,IF(Atletas!B50="Masculino",200,""))+(IF(Atletas!E50="Juvenil 44kg",1,IF(Atletas!E50="Juvenil 48kg",2,IF(Atletas!E50="Juvenil 52kg",3,IF(Atletas!E50="Juvenil 56kg",4,IF(Atletas!E50="Juvenil 60kg",5,IF(Atletas!E50="Juvenil 65kg",6,IF(Atletas!E50="Juvenil 70kg",7,IF(Atletas!E50="Juvenil 75kg",8,IF(Atletas!E50="Juvenil 82kg",9,IF(Atletas!E50="Juvenil 90kg",10,IF(Atletas!E50="Juvenil 100kg",11,IF(Atletas!E50="Adulto 48kg",12,IF(Atletas!E50="Adulto 52kg",13,IF(Atletas!E50="Adulto 56kg",14,IF(Atletas!E50="Adulto 60kg",15,IF(Atletas!E50="Adulto 65kg",16,IF(Atletas!E50="Adulto 70kg",17,IF(Atletas!E50="Adulto 75kg",18,IF(Atletas!E50="Adulto 82kg",19,IF(Atletas!E50="Adulto 90kg",20,IF(Atletas!E50="Adulto 100kg",21,IF(Atletas!E50="Adulto +100kg",22,""))))))))))))))))))))))))</f>
        <v/>
      </c>
      <c r="AX59" s="6" t="str">
        <f>IF(Atletas!F50="","",IF(Atletas!B50="Feminino",100,IF(Atletas!B50="Masculino",200,""))+(IF(Atletas!F50="Adulto 48kg",1,IF(Atletas!F50="Adulto 56kg",2,IF(Atletas!F50="Adulto 65kg",3,IF(Atletas!F50="Adulto 75kg",4,IF(Atletas!F50="Adulto +75kg",5,IF(Atletas!F50="Adulto 52kg",6,IF(Atletas!F50="Adulto 60kg",7,IF(Atletas!F50="Adulto 70kg",8,IF(Atletas!F50="Adulto 80kg",9,IF(Atletas!F50="Adulto 90kg",10,IF(Atletas!F50="Adulto +90kg",11,"")))))))))))))</f>
        <v/>
      </c>
      <c r="BC59" s="6" t="str">
        <f>IF(Atletas!G50="","",IF(Atletas!B50="Feminino",10,IF(Atletas!B50="Masculino",20,""))+(IF(Atletas!G50="Baduanjin A",1,IF(Atletas!G50="Baduanjin B",2))))</f>
        <v/>
      </c>
      <c r="BF59" s="52" t="str">
        <f>IF(Atletas!H50="","",IF(Atletas!B50="Feminino",100,IF(Atletas!B50="Masculino",200,""))+(IF(Atletas!H50="Changquan Mirim",1,IF(Atletas!H50="Nanquan Mirim",2,IF(Atletas!H50="Taijiquan Mirim",3,IF(Atletas!H50="Changquan Grupo C",4,IF(Atletas!H50="Nanquan Grupo C",5,IF(Atletas!H50="Taijiquan Grupo C",6,IF(Atletas!H50="Changquan Grupo B",7,IF(Atletas!H50="Nanquan Grupo B",8,IF(Atletas!H50="Taijiquan Grupo B",9,IF(Atletas!H50="Changquan Grupo A",10,IF(Atletas!H50="Nanquan Grupo A",11,IF(Atletas!H50="Taijiquan Grupo A",12,IF(Atletas!H50="Changquan Opcional",13,IF(Atletas!H50="Nanquan Opcional",14,IF(Atletas!H50="Taijiquan Opcional",15,IF(Atletas!H50="Changquan Adulto",16,IF(Atletas!H50="Nanquan Adulto",17,IF(Atletas!H50="Taijiquan Adulto",18,""))))))))))))))))))))</f>
        <v/>
      </c>
      <c r="BG59" s="52" t="str">
        <f>IF(Atletas!I50="","",IF(Atletas!B50="Feminino",100,IF(Atletas!B50="Masculino",200,""))+(IF(Atletas!I50="Daoshu Mirim",19,IF(Atletas!I50="Jianshu Mirim",20,IF(Atletas!I50="Nandao Mirim",21,IF(Atletas!I50="Taijijian Mirim",22,IF(Atletas!I50="Daoshu Grupo C",23,IF(Atletas!I50="Jianshu Grupo C",24,IF(Atletas!I50="Nandao Grupo C",25,IF(Atletas!I50="Taijijian Grupo C",26,IF(Atletas!I50="Daoshu Grupo B",27,IF(Atletas!I50="Jianshu Grupo B",28,IF(Atletas!I50="Nandao Grupo B",29,IF(Atletas!I50="Taijijian Grupo B",30,IF(Atletas!I50="Daoshu Grupo A",31,IF(Atletas!I50="Jianshu Grupo A",32,IF(Atletas!I50="Nandao Grupo A",33,IF(Atletas!I50="Taijijian Grupo A",34,IF(Atletas!I50="Daoshu Opcional",35,IF(Atletas!I50="Jianshu Opcional",36,IF(Atletas!I50="Nandao Opcional",37,IF(Atletas!I50="Taijijian Opcional",38,IF(Atletas!I50="Daoshu Adulto",39,IF(Atletas!I50="Jianshu Adulto",40,IF(Atletas!I50="Nandao Adulto",41,IF(Atletas!I50="Taijijian Adulto",42,""))))))))))))))))))))))))))</f>
        <v/>
      </c>
      <c r="BH59" s="52" t="str">
        <f>IF(Atletas!J50="","",IF(Atletas!B50="Feminino",100,IF(Atletas!B50="Masculino",200,""))+(IF(Atletas!J50="Gunshu Mirim",43,IF(Atletas!J50="Qiangshu Mirim",44,IF(Atletas!J50="Nangun Mirim",45,IF(Atletas!J50="Gunshu Grupo C",46,IF(Atletas!J50="Qiangshu Grupo C",47,IF(Atletas!J50="Nangun Grupo C",48,IF(Atletas!J50="Gunshu Grupo B",49,IF(Atletas!J50="Qiangshu Grupo B",50,IF(Atletas!J50="Nangun Grupo B",51,IF(Atletas!J50="Gunshu Grupo A",52,IF(Atletas!J50="Qiangshu Grupo A",53,IF(Atletas!J50="Nangun Grupo A",54,IF(Atletas!J50="Gunshu Opcional",55,IF(Atletas!J50="Qiangshu Opcional",56,IF(Atletas!J50="Nangun Opcional",57,IF(Atletas!J50="Gunshu Adulto",58,IF(Atletas!J50="Qiangshu Adulto",59,IF(Atletas!J50="Nangun Adulto",60,IF(Atletas!J50="Taijishan Grupo B",61,IF(Atletas!J50="Taijishan Grupo A",62,""))))))))))))))))))))))</f>
        <v/>
      </c>
      <c r="BI59" s="6" t="str">
        <f>IF(BJ59&lt;&gt;"","Chanquan Alternativo","")</f>
        <v/>
      </c>
      <c r="BJ59" s="50" t="str">
        <f>IF(COUNTIF(BF:BH,116)&gt;0,COUNTIF(BF:BH,116),"")</f>
        <v/>
      </c>
      <c r="BK59" s="6" t="str">
        <f>IF(BL59&lt;&gt;"","Chanquan Alternativo","")</f>
        <v/>
      </c>
      <c r="BL59" s="50" t="str">
        <f>IF(COUNTIF(BF:BH,216)&gt;0,COUNTIF(BF:BH,216),"")</f>
        <v/>
      </c>
      <c r="BM59" s="50" t="str">
        <f>IF(Atletas!K50="","",IF(Atletas!B50="Feminino",100,IF(Atletas!B50="Masculino",200,""))+(IF(Atletas!K50="Equipe 1 Grupo B",1,IF(Atletas!K50="Equipe 2 Grupo B",2,IF(Atletas!K50="Equipe 1 Grupo A",3,IF(Atletas!K50="Equipe 2 Grupo A",4,IF(Atletas!K50="Equipe 1 Adulto",5,IF(Atletas!K50="Equipe 2 Adulto",6,""))))))))</f>
        <v/>
      </c>
      <c r="BR59" s="50" t="str">
        <f>IF(Atletas!L50="","",IF(Atletas!X50&lt;&gt;"",10000,0)+(IF(Atletas!B50="Feminino",1000,IF(Atletas!B50="Masculino",2000,""))+IF(Atletas!L50="Choylayfut A",1,IF(Atletas!L50="Hunggar A",2,IF(Atletas!L50="Wuzuquan A",3,IF(Atletas!L50="Wingchun A",4,IF(Atletas!L50="Outra Mão de Sul A",5,IF(Atletas!L50="Choylayfut B",6,IF(Atletas!L50="Hunggar B",7,IF(Atletas!L50="Wuzuquan B",8,IF(Atletas!L50="Wingchun B",9,IF(Atletas!L50="Outra Mão de Sul B",10,IF(Atletas!L50="Choylayfut C",11,IF(Atletas!L50="Hunggar C",12,IF(Atletas!L50="Wuzuquan C",13,IF(Atletas!L50="Wingchun C",14,IF(Atletas!L50="Outra Mão de Sul C",15,IF(Atletas!L50="Choylayfut D",16,IF(Atletas!L50="Hunggar D",17,IF(Atletas!L50="Wuzuquan D",18,IF(Atletas!L50="Wingchun D",19,IF(Atletas!L50="Outra Mão de Sul D",20,IF(Atletas!L50="Choylayfut E",21,IF(Atletas!L50="Hunggar E",22,IF(Atletas!L50="Wuzuquan E",23,IF(Atletas!L50="Wingchun E",24,IF(Atletas!L50="Outra Mão de Sul E",25,IF(Atletas!L50="Choylayfut F",26,IF(Atletas!L50="Hunggar F",27,IF(Atletas!L50="Wuzuquan F",28,IF(Atletas!L50="Wingchun F",29,IF(Atletas!L50="Outra Mão de Sul F",30,IF(Atletas!L50="Dishuquan A",31,IF(Atletas!L50="Dishuquan B",32,IF(Atletas!L50="Dishuquan C",33,IF(Atletas!L50="Dishuquan D",34,IF(Atletas!L50="Dishuquan E",35,IF(Atletas!L50="Dishuquan F",36,""))))))))))))))))))))))))))))))))))))))</f>
        <v/>
      </c>
      <c r="BS59" s="50" t="str">
        <f>IF(Atletas!M50="","",IF(Atletas!X50&lt;&gt;"",10000,0)+(IF(Atletas!B50="Feminino",1000,IF(Atletas!B50="Masculino",2000,""))+(IF(Atletas!M50="Chaquan A",101,IF(Atletas!M50="Emeiquan A",102,IF(Atletas!M50="Fanziquan A",103,IF(Atletas!M50="Huaquan A",104,IF(Atletas!M50="Hongquan A",105,IF(Atletas!M50="Paoquan A",106,IF(Atletas!M50="Piguaquan A",107,IF(Atletas!M50="Shaolinquan A",108,IF(Atletas!M50="Tanglangquan A",109,IF(Atletas!M50="Yingzhaoquan A",110,IF(Atletas!M50="Tongbeiquan A",111,IF(Atletas!M50="Wudangquan A",112,IF(Atletas!M50="Outros Estilos A",113,IF(Atletas!M50="Chaquan B",114,IF(Atletas!M50="Emeiquan B",115,IF(Atletas!M50="Fanziquan B",116,IF(Atletas!M50="Huaquan B",117,IF(Atletas!M50="Hongquan B",118,IF(Atletas!M50="Paoquan B",119,IF(Atletas!M50="Piguaquan B",120,IF(Atletas!M50="Shaolinquan B",121,IF(Atletas!M50="Tanglangquan B",122,IF(Atletas!M50="Yingzhaoquan B",123,IF(Atletas!M50="Tongbeiquan B",124,IF(Atletas!M50="Wudangquan B",125,IF(Atletas!M50="Outros Estilos B",126,IF(Atletas!M50="Chaquan C",127,IF(Atletas!M50="Emeiquan C",128,IF(Atletas!M50="Fanziquan C",129,IF(Atletas!M50="Huaquan C",130,IF(Atletas!M50="Hongquan C",131,IF(Atletas!M50="Paoquan C",132,IF(Atletas!M50="Piguaquan C",133,IF(Atletas!M50="Shaolinquan C",134,IF(Atletas!M50="Tanglangquan C",135,IF(Atletas!M50="Yingzhaoquan C",136,IF(Atletas!M50="Tongbeiquan C",137,IF(Atletas!M50="Wudangquan C",138,IF(Atletas!M50="Outros Estilos C",139,0))))))))))))))))))))))))))))))))))))))))))</f>
        <v/>
      </c>
      <c r="BT59" s="50" t="str">
        <f>IF(Atletas!M50="","",IF(Atletas!X50&lt;&gt;"",10000,0)+(IF(Atletas!B50="Feminino",1000,IF(Atletas!B50="Masculino",2000,""))+(IF(Atletas!M50="Chaquan D",140,IF(Atletas!M50="Emeiquan D",141,IF(Atletas!M50="Fanziquan D",142,IF(Atletas!M50="Huaquan D",143,IF(Atletas!M50="Hongquan D",144,IF(Atletas!M50="Paoquan D",145,IF(Atletas!M50="Piguaquan D",146,IF(Atletas!M50="Shaolinquan D",147,IF(Atletas!M50="Tanglangquan D",148,IF(Atletas!M50="Yingzhaoquan D",149,IF(Atletas!M50="Tongbeiquan D",150,IF(Atletas!M50="Wudangquan D",151,IF(Atletas!M50="Outros Estilos D",152,IF(Atletas!M50="Chaquan E",153,IF(Atletas!M50="Emeiquan E",154,IF(Atletas!M50="Fanziquan E",155,IF(Atletas!M50="Huaquan E",156,IF(Atletas!M50="Hongquan E",157,IF(Atletas!M50="Paoquan E",158,IF(Atletas!M50="Piguaquan E",159,IF(Atletas!M50="Shaolinquan E",160,IF(Atletas!M50="Tanglangquan E",161,IF(Atletas!M50="Yingzhaoquan E",162,IF(Atletas!M50="Tongbeiquan E",163,IF(Atletas!M50="Wudangquan E",164,IF(Atletas!M50="Outros Estilos E",165,IF(Atletas!M50="Chaquan F",166,IF(Atletas!M50="Emeiquan F",167,IF(Atletas!M50="Fanziquan F",168,IF(Atletas!M50="Huaquan F",169,IF(Atletas!M50="Hongquan F",170,IF(Atletas!M50="Paoquan F",171,IF(Atletas!M50="Piguaquan F",172,IF(Atletas!M50="Shaolinquan F",173,IF(Atletas!M50="Tanglangquan F",174,IF(Atletas!M50="Yingzhaoquan F",175,IF(Atletas!M50="Tongbeiquan F",176,IF(Atletas!M50="Wudangquan F",177,IF(Atletas!M50="Outros Estilos F",178,0))))))))))))))))))))))))))))))))))))))))))</f>
        <v/>
      </c>
      <c r="BU59" s="50" t="str">
        <f>IF(Atletas!N50="","",IF(Atletas!X50&lt;&gt;"",10000,0)+(IF(Atletas!B50="Feminino",1000,IF(Atletas!B50="Masculino",2000,""))+(IF(Atletas!N50="Ditangquan A",201,IF(Atletas!N50="Houquan A",202,IF(Atletas!N50="Zuiquan A",203,IF(Atletas!N50="Ditangquan B",204,IF(Atletas!N50="Houquan B",205,IF(Atletas!N50="Zuiquan B",206,IF(Atletas!N50="Ditangquan C",207,IF(Atletas!N50="Houquan C",208,IF(Atletas!N50="Zuiquan C",209,IF(Atletas!N50="Ditangquan D",210,IF(Atletas!N50="Houquan D",211,IF(Atletas!N50="Zuiquan D",212,IF(Atletas!N50="Ditangquan E",213,IF(Atletas!N50="Houquan E",214,IF(Atletas!N50="Zuiquan E",215,IF(Atletas!N50="Ditangquan F",216,IF(Atletas!N50="Houquan F",217,IF(Atletas!N50="Zuiquan F",218,"")))))))))))))))))))))</f>
        <v/>
      </c>
      <c r="BV59" s="50" t="str">
        <f>IF(Atletas!O50="","",IF(Atletas!X50&lt;&gt;"",10000,0)+IF(Atletas!B50="Feminino",1000,IF(Atletas!B50="Masculino",2000,""))+IF(Atletas!O50="Yang A",301,IF(Atletas!O50="Chen A",302,IF(Atletas!O50="Sun A",303,IF(Atletas!O50="Wu A",304,IF(Atletas!O50="Wu-Hao A",305,IF(Atletas!O50="Outro Taijiquan A",306,IF(Atletas!O50="Yang B",307,IF(Atletas!O50="Chen B",308,IF(Atletas!O50="Sun B",309,IF(Atletas!O50="Wu B",310,IF(Atletas!O50="Wu-Hao B",311,IF(Atletas!O50="Outro Taijiquan B",312,IF(Atletas!O50="Yang C",313,IF(Atletas!O50="Chen C",314,IF(Atletas!O50="Sun C",315,IF(Atletas!O50="Wu C",316,IF(Atletas!O50="Wu-Hao C",317,IF(Atletas!O50="Outro Taijiquan C",318,IF(Atletas!O50="Yang D",319,IF(Atletas!O50="Chen D",320,IF(Atletas!O50="Sun D",321,IF(Atletas!O50="Wu D",322,IF(Atletas!O50="Wu-Hao D",323,IF(Atletas!O50="Outro Taijiquan D",324,IF(Atletas!O50="Yang E",325,IF(Atletas!O50="Chen E",326,IF(Atletas!O50="Sun E",327,IF(Atletas!O50="Wu E",328,IF(Atletas!O50="Wu-Hao E",329,IF(Atletas!O50="Outro Taijiquan E",330,IF(Atletas!O50="Yang F",331,IF(Atletas!O50="Chen F",332,IF(Atletas!O50="Sun F",333,IF(Atletas!O50="Wu F",334,IF(Atletas!O50="Wu-Hao F",335,IF(Atletas!O50="Outro Taijiquan F",336,"")))))))))))))))))))))))))))))))))))))</f>
        <v/>
      </c>
      <c r="BW59" s="50" t="str">
        <f>IF(Atletas!P50="","",IF(Atletas!X50&lt;&gt;"",10000,0)+IF(Atletas!B50="Feminino",1000,IF(Atletas!B50="Masculino",2000,""))+IF(OR(Atletas!P50="Yang 26 A",Atletas!P50="Yang 40 A"),401,IF(OR(Atletas!P50="Chen 25 A",Atletas!P50="Chen 36 A",Atletas!P50="Chen 56 A"),402,IF(Atletas!P50="Sun 73 A",403,IF(Atletas!P50="Wu 45 A",404,IF(Atletas!P50="Wu-Hao 46 A",405,IF(OR(Atletas!P50="Taijiquan 16 A",Atletas!P50="Taijiquan 24 A",Atletas!P50="Taijiquan 32 A",Atletas!P50="Taijiquan 42 A"),406,IF(OR(Atletas!P50="Yang 26 B",Atletas!P50="Yang 40 B"),407,IF(OR(Atletas!P50="Chen 25 B",Atletas!P50="Chen 36 B",Atletas!P50="Chen 56 B"),408,IF(Atletas!P50="Sun 73 B",409,IF(Atletas!P50="Wu 45 B",410,IF(Atletas!P50="Wu-Hao 46 B",411,IF(OR(Atletas!P50="Taijiquan 16 B",Atletas!P50="Taijiquan 24 B",Atletas!P50="Taijiquan 32 B",Atletas!P50="Taijiquan 42 B"),412,IF(OR(Atletas!P50="Yang 26 C",Atletas!P50="Yang 40 C"),413,IF(OR(Atletas!P50="Chen 25 C",Atletas!P50="Chen 36 C",Atletas!P50="Chen 56 C"),414,IF(Atletas!P50="Sun 73 C",415,IF(Atletas!P50="Wu 45 C",416,IF(Atletas!P50="Wu-Hao 46 C",417,IF(OR(Atletas!P50="Taijiquan 16 C",Atletas!P50="Taijiquan 24 C",Atletas!P50="Taijiquan 32 C",Atletas!P50="Taijiquan 42 C"),418,0)))))))))))))))))))</f>
        <v/>
      </c>
      <c r="BX59" s="50" t="str">
        <f>IF(Atletas!P50="","",IF(Atletas!X50&lt;&gt;"",10000,0)+IF(Atletas!B50="Feminino",1000,IF(Atletas!B50="Masculino",2000,""))+IF(OR(Atletas!P50="Yang 26 D",Atletas!P50="Yang 40 D"),419,IF(OR(Atletas!P50="Chen 25 D",Atletas!P50="Chen 36 D",Atletas!P50="Chen 56 D"),420,IF(Atletas!P50="Sun 73 D",421,IF(Atletas!P50="Wu 45 D",422,IF(Atletas!P50="Wu-Hao 46 D",423,IF(OR(Atletas!P50="Taijiquan 16 D",Atletas!P50="Taijiquan 24 D",Atletas!P50="Taijiquan 32 D",Atletas!P50="Taijiquan 42 D"),424,IF(OR(Atletas!P50="Yang 26 E",Atletas!P50="Yang 40 E"),425,IF(OR(Atletas!P50="Chen 25 E",Atletas!P50="Chen 36 E",Atletas!P50="Chen 56 E"),426,IF(Atletas!P50="Sun 73 E",427,IF(Atletas!P50="Wu 45 E",428,IF(Atletas!P50="Wu-Hao 46 E",429,IF(OR(Atletas!P50="Taijiquan 16 E",Atletas!P50="Taijiquan 24 E",Atletas!P50="Taijiquan 32 E",Atletas!P50="Taijiquan 42 E"),430,IF(OR(Atletas!P50="Yang 26 F",Atletas!P50="Yang 40 F"),431,IF(OR(Atletas!P50="Chen 25 F",Atletas!P50="Chen 36 F",Atletas!P50="Chen 56 F"),432,IF(Atletas!P50="Sun 73 F",433,IF(Atletas!P50="Wu 45 F",434,IF(Atletas!P50="Wu-Hao 46 F",435,IF(OR(Atletas!P50="Taijiquan 16 F",Atletas!P50="Taijiquan 24 F",Atletas!P50="Taijiquan 32 F",Atletas!P50="Taijiquan 42 F"),436,0)))))))))))))))))))</f>
        <v/>
      </c>
      <c r="BY59" s="50" t="str">
        <f>IF(Atletas!Q50="","",IF(Atletas!X50&lt;&gt;"",10000,0)+IF(Atletas!B50="Feminino",1000,IF(Atletas!B50="Masculino",2000,""))+IF(Atletas!Q50="Xingyiquan A",501,IF(Atletas!Q50="Baguazhang A",502,IF(Atletas!Q50="Outro Estilo Interno A",503,IF(Atletas!Q50="Xingyiquan B",504,IF(Atletas!Q50="Baguazhang B",505,IF(Atletas!Q50="Outro Estilo Interno B",506,IF(Atletas!Q50="Xingyiquan C",507,IF(Atletas!Q50="Baguazhang C",508,IF(Atletas!Q50="Outro Estilo Interno C",509,IF(Atletas!Q50="Xingyiquan D",510,IF(Atletas!Q50="Baguazhang D",511,IF(Atletas!Q50="Outro Estilo Interno D",512,IF(Atletas!Q50="Xingyiquan E",513,IF(Atletas!Q50="Baguazhang E",514,IF(Atletas!Q50="Outro Estilo Interno E",515,IF(Atletas!Q50="Xingyiquan F",516,IF(Atletas!Q50="Baguazhang F",517,IF(Atletas!Q50="Outro Estilo Interno F",518, "")))))))))))))))))))</f>
        <v/>
      </c>
      <c r="BZ59" s="50" t="str">
        <f>IF(Atletas!R50="","",IF(Atletas!X50&lt;&gt;"",10000,0)+IF(Atletas!B50="Feminino",1000,IF(Atletas!B50="Masculino",2000,""))+IF(Atletas!R50="Dao A",601,IF(Atletas!R50="Jian A",602,IF(Atletas!R50="Bishou A",603,IF(Atletas!R50="Shanzi A",604,IF(Atletas!R50="Outra Arma Curta A",605,IF(Atletas!R50="Dao B",606,IF(Atletas!R50="Jian B",607,IF(Atletas!R50="Bishou B",608,IF(Atletas!R50="Shanzi B",609,IF(Atletas!R50="Outra Arma Curta B",610,IF(Atletas!R50="Dao C",611,IF(Atletas!R50="Jian C",612,IF(Atletas!R50="Bishou C",613,IF(Atletas!R50="Shanzi C",614,IF(Atletas!R50="Outra Arma Curta C",615,IF(Atletas!R50="Dao D",616,IF(Atletas!R50="Jian D",617,IF(Atletas!R50="Bishou D",618,IF(Atletas!R50="Shanzi D",619,IF(Atletas!R50="Outra Arma Curta D",620,IF(Atletas!R50="Dao E",621,IF(Atletas!R50="Jian E",622,IF(Atletas!R50="Bishou E",623,IF(Atletas!R50="Shanzi E",624,IF(Atletas!R50="Outra Arma Curta E",625,IF(Atletas!R50="Dao F",626,IF(Atletas!R50="Jian F",627,IF(Atletas!R50="Bishou F",628,IF(Atletas!R50="Shanzi F",629,IF(Atletas!R50="Outra Arma Curta F",630, "")))))))))))))))))))))))))))))))</f>
        <v/>
      </c>
      <c r="CA59" s="50" t="str">
        <f>IF(Atletas!S50="","",IF(Atletas!X50&lt;&gt;"",10000,0)+IF(Atletas!B50="Feminino",1000,IF(Atletas!B50="Masculino",2000,""))+IF(Atletas!S50="Gun A",701,IF(Atletas!S50="Qiang A",702,IF(Atletas!S50="Pudao / Guandao A",703,IF(Atletas!S50="Outra Arma Longa A",704,IF(Atletas!S50="Gun B",705,IF(Atletas!S50="Qiang B",706,IF(Atletas!S50="Pudao / Guandao B",707,IF(Atletas!S50="Outra Arma Longa B",708,IF(Atletas!S50="Gun C",709,IF(Atletas!S50="Qiang C",710,IF(Atletas!S50="Pudao / Guandao C",711,IF(Atletas!S50="Outra Arma Longa C",712,IF(Atletas!S50="Gun D",713,IF(Atletas!S50="Qiang D",714,IF(Atletas!S50="Pudao / Guandao D",715,IF(Atletas!S50="Outra Arma Longa D",716,IF(Atletas!S50="Gun E",717,IF(Atletas!S50="Qiang E",718,IF(Atletas!S50="Pudao / Guandao E",719,IF(Atletas!S50="Outra Arma Longa E",720,IF(Atletas!S50="Gun F",721,IF(Atletas!S50="Qiang F",722,IF(Atletas!S50="Pudao / Guandao F",723,IF(Atletas!S50="Outra Arma Longa F",724,"")))))))))))))))))))))))))</f>
        <v/>
      </c>
      <c r="CB59" s="50" t="str">
        <f>IF(Atletas!T50="","",IF(Atletas!X50&lt;&gt;"",10000,0)+IF(Atletas!B50="Feminino",1000,IF(Atletas!B50="Masculino",2000,""))+IF(Atletas!T50="Outra Arma Dupla A",801,IF(Atletas!T50="Arma Maleável A",802,IF(Atletas!T50="Outra Arma Dupla B",803,IF(Atletas!T50="Arma Maleável B",804,IF(Atletas!T50="Outra Arma Dupla C",805,IF(Atletas!T50="Arma Maleável C",806,IF(Atletas!T50="Outra Arma Dupla D",807,IF(Atletas!T50="Arma Maleável D",808,IF(Atletas!T50="Outra Arma Dupla E",809,IF(Atletas!T50="Arma Maleável E",810,IF(Atletas!T50="Outra Arma Dupla F",811,IF(Atletas!T50="Arma Maleável F",812,IF(Atletas!T50="Shuangdao A",813,IF(Atletas!T50="Shuangdao B",814,IF(Atletas!T50="Shuangdao C",815,IF(Atletas!T50="Shuangdao D",816,IF(Atletas!T50="Shuangdao E",817,IF(Atletas!T50="Shuangdao F",818,"")))))))))))))))))))</f>
        <v/>
      </c>
      <c r="CC59" s="50" t="str">
        <f>IF(Atletas!U50="","",IF(Atletas!X50&lt;&gt;"",10000,0)+IF(Atletas!B50="Feminino",1000,IF(Atletas!B50="Masculino",2000,""))+IF(OR(Atletas!U50="Taijijian Yang A",Atletas!U50="Taijijian Yang Standard A"),901,IF(OR(Atletas!U50="Taijijian Chen A", Atletas!U50="Taijijian Chen Standard A"),902,IF(Atletas!U50="Taijijian Sun A",903,IF(Atletas!U50="Taijijian Wu A",904,IF(Atletas!U50="Taijijian Wu-Hao A",905,IF(OR(Atletas!U50="Taijijian 32 A",Atletas!U50="Taijijian 42 A"),906,IF(OR(Atletas!U50="Taijijian Yang B",Atletas!U50="Taijijian Yang Standard B"),907,IF(OR(Atletas!U50="Taijijian Chen B", Atletas!U50="Taijijian Chen Standard B"),908,IF(Atletas!U50="Taijijian Sun B",909,IF(Atletas!U50="Taijijian Wu B",910,IF(Atletas!U50="Taijijian Wu-Hao B",911,IF(OR(Atletas!U50="Taijijian 32 B",Atletas!U50="Taijijian 42 B"),912,IF(OR(Atletas!U50="Taijijian Yang C",Atletas!U50="Taijijian Yang Standard C"),913,IF(OR(Atletas!U50="Taijijian Chen C", Atletas!U50="Taijijian Chen Standard C"),914,IF(Atletas!U50="Taijijian Sun C",915,IF(Atletas!U50="Taijijian Wu C",916,IF(Atletas!U50="Taijijian Wu-Hao C",917,IF(OR(Atletas!U50="Taijijian 32 C",Atletas!U50="Taijijian 42 C"),918,IF(OR(Atletas!U50="Taijijian Yang D",Atletas!U50="Taijijian Yang Standard D"),919,IF(OR(Atletas!U50="Taijijian Chen D", Atletas!U50="Taijijian Chen Standard D"),920,IF(Atletas!U50="Taijijian Sun D",921,IF(Atletas!U50="Taijijian Wu D",922,IF(Atletas!U50="Taijijian Wu-Hao D",923,IF(OR(Atletas!U50="Taijijian 32 D",Atletas!U50="Taijijian 42 D"),924,IF(OR(Atletas!U50="Taijijian Yang E",Atletas!U50="Taijijian Yang Standard E"),925,IF(OR(Atletas!U50="Taijijian Chen E", Atletas!U50="Taijijian Chen Standard E"),926,IF(Atletas!U50="Taijijian Sun E",927,IF(Atletas!U50="Taijijian Wu E",928,IF(Atletas!U50="Taijijian Wu-Hao E",929,IF(OR(Atletas!U50="Taijijian 32 E",Atletas!U50="Taijijian 42 E"),930,IF(OR(Atletas!U50="Taijijian Yang F",Atletas!U50="Taijijian Yang Standard F"),931,IF(OR(Atletas!U50="Taijijian Chen F", Atletas!U50="Taijijian Chen Standard F"),932,IF(Atletas!U50="Taijijian Sun F",933,IF(Atletas!U50="Taijijian Wu F",934,IF(Atletas!U50="Taijijian Wu-Hao F",935,IF(OR(Atletas!U50="Taijijian 32 F",Atletas!U50="Taijijian 42 F"),936,"")))))))))))))))))))))))))))))))))))))</f>
        <v/>
      </c>
      <c r="CD59" s="50" t="str">
        <f>IF(Atletas!V50="","",IF(Atletas!X50&lt;&gt;"",10000,0)+IF(Atletas!B50="Feminino",1000,IF(Atletas!B50="Masculino",2000,""))+IF(Atletas!V50="Taijidao A",937,IF(Atletas!V50="TaijiShanzi A",938,IF(Atletas!V50="Taijiqiang A",939,IF(Atletas!V50="Bagua de Arma A",940,IF(Atletas!V50="Xingyi de Arma A",941,IF(Atletas!V50="Taijidao B",942,IF(Atletas!V50="TaijiShanzi B",943,IF(Atletas!V50="Taijiqiang B",944,IF(Atletas!V50="Bagua de Arma B",945,IF(Atletas!V50="Xingyi de Arma B",946,IF(Atletas!V50="Taijidao C",947,IF(Atletas!V50="TaijiShanzi C",948,IF(Atletas!V50="Taijiqiang C",949,IF(Atletas!V50="Bagua de Arma C",950,IF(Atletas!V50="Xingyi de Arma C",951,IF(Atletas!V50="Taijidao D",952,IF(Atletas!V50="TaijiShanzi D",953,IF(Atletas!V50="Taijiqiang D",954,IF(Atletas!V50="Bagua de Arma D",955,IF(Atletas!V50="Xingyi de Arma D",956,IF(Atletas!V50="Taijidao E",957,IF(Atletas!V50="TaijiShanzi E",958,IF(Atletas!V50="Taijiqiang E",959,IF(Atletas!V50="Bagua de Arma E",960,IF(Atletas!V50="Xingyi de Arma E",961,IF(Atletas!V50="Taijidao F",962,IF(Atletas!V50="TaijiShanzi F",963,IF(Atletas!V50="Taijiqiang F",964,IF(Atletas!V50="Bagua de Arma F",965,IF(Atletas!V50="Xingyi de Arma F",966,"")))))))))))))))))))))))))))))))</f>
        <v/>
      </c>
      <c r="CE59" s="66" t="str">
        <f>IF(CF59&lt;&gt;"","Huaquan B","")</f>
        <v/>
      </c>
      <c r="CF59" s="66" t="str">
        <f>IF(COUNTIF(BR:CD,1117)&gt;0,COUNTIF(BR:CD,1117),"")</f>
        <v/>
      </c>
      <c r="CG59" s="66" t="str">
        <f>IF(CH59&lt;&gt;"","Huaquan B","")</f>
        <v/>
      </c>
      <c r="CH59" s="66" t="str">
        <f>IF(COUNTIF(BR:CD,2117)&gt;0,COUNTIF(BR:CD,2117),"")</f>
        <v/>
      </c>
      <c r="CI59" s="66" t="str">
        <f>IF(CJ59&lt;&gt;"","Yingzhaoquan B","")</f>
        <v/>
      </c>
      <c r="CJ59" s="66" t="str">
        <f>IF(COUNTIF(BR:CD,11123)&gt;0,COUNTIF(BR:CD,11123),"")</f>
        <v/>
      </c>
      <c r="CK59" s="66" t="str">
        <f>IF(CL59&lt;&gt;"","Yingzhaoquan B","")</f>
        <v/>
      </c>
      <c r="CL59" s="66" t="str">
        <f>IF(COUNTIF(BR:CD,12123)&gt;0,COUNTIF(BR:CD,12123),"")</f>
        <v/>
      </c>
      <c r="CM59" s="50" t="str">
        <f xml:space="preserve"> IF(Atletas!W50="","",IF(Atletas!W50="Duilian de Mãos BC - Equipe 1",1,IF(Atletas!W50="Duilian de Mãos BC - Equipe 2",2,IF(Atletas!W50="Duilian de Armas BC - Equipe 1",3,IF(Atletas!W50="Duilian de Armas BC - Equipe 2",4,IF(Atletas!W50="Duilian de Mãos DE - Equipe 1",5,IF(Atletas!W50="Duilian de Mãos DE - Equipe 2",6,IF(Atletas!W50="Duilian de Armas DE - Equipe 1",7,IF(Atletas!W50="Duilian de Armas DE - Equipe 2",8,IF(Atletas!W50="Duilian de Tuishou - Equipe 1",9,IF(Atletas!W50="Duilian de Tuishou - Equipe 2",10,IF(Atletas!W50="Grupo Externo ABC - Equipe 1",11,IF(Atletas!W50="Grupo Externo ABC - Equipe 2",12,IF(Atletas!W50="Grupo Interno ABC - Equipe 1",13,IF(Atletas!W50="Grupo Interno ABC - Equipe 2",14,IF(Atletas!W50="Grupo Externo DEF - Equipe 1",15,IF(Atletas!W50="Grupo Externo DEF - Equipe 2",16,IF(Atletas!W50="Grupo Interno DEF - Equipe 1",17,IF(Atletas!W50="Grupo Interno DEF - Equipe 2",18,"")))))))))))))))))))</f>
        <v/>
      </c>
      <c r="CY59" s="41"/>
    </row>
    <row r="60" spans="2:103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 t="str">
        <f t="array" ref="R60">IFERROR(INDEX(BI$7:BI$68,SMALL(IF(BI$7:BI$68&lt;&gt;"",ROW(BI$7:BI$68)-ROW(BI$7)+1),ROWS(BI$7:BI59))),"")</f>
        <v/>
      </c>
      <c r="S60" s="3" t="str">
        <f t="array" ref="S60">IFERROR(INDEX(BJ$7:BJ$68,SMALL(IF(BJ$7:BJ$68&lt;&gt;"",ROW(BJ$7:BJ$68)-ROW(BJ$7)+1),ROWS(BJ$7:BJ59))),"")</f>
        <v/>
      </c>
      <c r="T60" s="3" t="str">
        <f t="array" ref="T60">IFERROR(INDEX(BK$7:BK$68,SMALL(IF(BK$7:BK$68&lt;&gt;"",ROW(BK$7:BK$68)-ROW(BK$7)+1),ROWS(BK$7:BK59))),"")</f>
        <v/>
      </c>
      <c r="U60" s="3" t="str">
        <f t="array" ref="U60">IFERROR(INDEX(BL$7:BL$68,SMALL(IF(BL$7:BL$68&lt;&gt;"",ROW(BL$7:BL$68)-ROW(BL$7)+1),ROWS(BL$7:BL59))),"")</f>
        <v/>
      </c>
      <c r="V60" s="3"/>
      <c r="W60" s="3"/>
      <c r="X60" s="20"/>
      <c r="Y60" s="3"/>
      <c r="Z60" s="3" t="str">
        <f t="array" ref="Z60">IFERROR(INDEX(CE$7:CE$348,SMALL(IF(CE$7:CE$348&lt;&gt;"",ROW(CE$7:CE$348)-ROW(CE$7)+1),ROWS(CE$7:CE59))),"")</f>
        <v/>
      </c>
      <c r="AA60" s="3" t="str">
        <f t="array" ref="AA60">IFERROR(INDEX(CF$7:CF$348,SMALL(IF(CF$7:CF$348&lt;&gt;"",ROW(CF$7:CF$348)-ROW(CF$7)+1),ROWS(CF$7:CF59))),"")</f>
        <v/>
      </c>
      <c r="AB60" s="3" t="str">
        <f t="array" ref="AB60">IFERROR(INDEX(CG$7:CG$348,SMALL(IF(CG$7:CG$348&lt;&gt;"",ROW(CG$7:CG$348)-ROW(CG$7)+1),ROWS(CG$7:CG59))),"")</f>
        <v/>
      </c>
      <c r="AC60" s="3" t="str">
        <f t="array" ref="AC60">IFERROR(INDEX(CH$7:CH$348,SMALL(IF(CH$7:CH$348&lt;&gt;"",ROW(CH$7:CH$348)-ROW(CH$7)+1),ROWS(CH$7:CH59))),"")</f>
        <v/>
      </c>
      <c r="AD60" s="3" t="str">
        <f t="array" ref="AD60">IFERROR(INDEX(CI$7:CI$377,SMALL(IF(CI$7:CI$377&lt;&gt;"",ROW(CI$7:CI$377)-ROW(CI$7)+1),ROWS(CI$7:CI59))),"")</f>
        <v/>
      </c>
      <c r="AE60" s="3" t="str">
        <f t="array" ref="AE60">IFERROR(INDEX(CJ$7:CJ$378,SMALL(IF(CJ$7:CJ$378&lt;&gt;"",ROW(CJ$7:CJ$378)-ROW(CJ$7)+1),ROWS(CJ$7:CJ59))),"")</f>
        <v/>
      </c>
      <c r="AF60" s="3" t="str">
        <f t="array" ref="AF60">IFERROR(INDEX(CK$7:CK$378,SMALL(IF(CK$7:CK$378&lt;&gt;"",ROW(CK$7:CK$378)-ROW(CK$7)+1),ROWS(CK$7:CK59))),"")</f>
        <v/>
      </c>
      <c r="AG60" s="3" t="str">
        <f t="array" ref="AG60">IFERROR(INDEX(CL$7:CL$378,SMALL(IF(CL$7:CL$378&lt;&gt;"",ROW(CL$7:CL$378)-ROW(CL$7)+1),ROWS(CL$7:CL59))),"")</f>
        <v/>
      </c>
      <c r="AH60" s="3"/>
      <c r="AI60" s="3"/>
      <c r="AJ60" s="3"/>
      <c r="AK60" s="3"/>
      <c r="AL60" s="3"/>
      <c r="AM60" s="3"/>
      <c r="AN60" s="52" t="str">
        <f>IF(Atletas!D51="","",IF(Atletas!B51="Feminino",100,IF(Atletas!B51="Masculino",200,""))+(IF(Atletas!D51="Kids 30kg",1,IF(Atletas!D51="Kids 32kg",2, IF(Atletas!D51="Kids 34kg",3,IF(Atletas!D51="Kids 36kg",4,IF(Atletas!D51="Kids 39kg",5,IF(Atletas!D51="Kids 42kg",6,IF(Atletas!D51="Kids 45kg",7, IF(Atletas!D51="Infantil 39kg",8,IF(Atletas!D51="Infantil 42kg",9,IF(Atletas!D51="Infantil 45kg",10,IF(Atletas!D51="Infantil 48kg",11,IF(Atletas!D51="Infantil 52kg",12,IF(Atletas!D51="Infantil 56kg",13,IF(Atletas!D51="Infantil 60kg",14,IF(Atletas!D51="Juvenil 48kg",15,IF(Atletas!D51="Juvenil 52kg",16,IF(Atletas!D51="Juvenil 56kg",17,IF(Atletas!D51="Juvenil 60kg",18,IF(Atletas!D51="Juvenil 65kg",19,IF(Atletas!D51="Juvenil 70kg",20,IF(Atletas!D51="Juvenil 75kg",21,IF(Atletas!D51="Juvenil 80kg",22, IF(Atletas!D51="Juvenil 85kg",23,IF(Atletas!D51="Adulto 48kg",24,IF(Atletas!D51="Adulto 52kg",25,IF(Atletas!D51="Adulto 56kg",26,IF(Atletas!D51="Adulto 60kg",27,IF(Atletas!D51="Adulto 65kg",28,IF(Atletas!D51="Adulto 70kg",29,IF(Atletas!D51="Adulto 75kg",30,IF(Atletas!D51="Adulto 80kg",31,IF(Atletas!D51="Adulto 85kg",32,IF(Atletas!D51="Adulto 90kg",33,IF(Atletas!D51="Adulto 100kg",34, IF(Atletas!D51="Adulto +100kg",35,"")))))))))))))))))))))))))))))))))))))</f>
        <v/>
      </c>
      <c r="AS60" s="6" t="str">
        <f>IF(Atletas!E51="","",IF(Atletas!B51="Feminino",100,IF(Atletas!B51="Masculino",200,""))+(IF(Atletas!E51="Juvenil 44kg",1,IF(Atletas!E51="Juvenil 48kg",2,IF(Atletas!E51="Juvenil 52kg",3,IF(Atletas!E51="Juvenil 56kg",4,IF(Atletas!E51="Juvenil 60kg",5,IF(Atletas!E51="Juvenil 65kg",6,IF(Atletas!E51="Juvenil 70kg",7,IF(Atletas!E51="Juvenil 75kg",8,IF(Atletas!E51="Juvenil 82kg",9,IF(Atletas!E51="Juvenil 90kg",10,IF(Atletas!E51="Juvenil 100kg",11,IF(Atletas!E51="Adulto 48kg",12,IF(Atletas!E51="Adulto 52kg",13,IF(Atletas!E51="Adulto 56kg",14,IF(Atletas!E51="Adulto 60kg",15,IF(Atletas!E51="Adulto 65kg",16,IF(Atletas!E51="Adulto 70kg",17,IF(Atletas!E51="Adulto 75kg",18,IF(Atletas!E51="Adulto 82kg",19,IF(Atletas!E51="Adulto 90kg",20,IF(Atletas!E51="Adulto 100kg",21,IF(Atletas!E51="Adulto +100kg",22,""))))))))))))))))))))))))</f>
        <v/>
      </c>
      <c r="AX60" s="6" t="str">
        <f>IF(Atletas!F51="","",IF(Atletas!B51="Feminino",100,IF(Atletas!B51="Masculino",200,""))+(IF(Atletas!F51="Adulto 48kg",1,IF(Atletas!F51="Adulto 56kg",2,IF(Atletas!F51="Adulto 65kg",3,IF(Atletas!F51="Adulto 75kg",4,IF(Atletas!F51="Adulto +75kg",5,IF(Atletas!F51="Adulto 52kg",6,IF(Atletas!F51="Adulto 60kg",7,IF(Atletas!F51="Adulto 70kg",8,IF(Atletas!F51="Adulto 80kg",9,IF(Atletas!F51="Adulto 90kg",10,IF(Atletas!F51="Adulto +90kg",11,"")))))))))))))</f>
        <v/>
      </c>
      <c r="BC60" s="6" t="str">
        <f>IF(Atletas!G51="","",IF(Atletas!B51="Feminino",10,IF(Atletas!B51="Masculino",20,""))+(IF(Atletas!G51="Baduanjin A",1,IF(Atletas!G51="Baduanjin B",2))))</f>
        <v/>
      </c>
      <c r="BF60" s="52" t="str">
        <f>IF(Atletas!H51="","",IF(Atletas!B51="Feminino",100,IF(Atletas!B51="Masculino",200,""))+(IF(Atletas!H51="Changquan Mirim",1,IF(Atletas!H51="Nanquan Mirim",2,IF(Atletas!H51="Taijiquan Mirim",3,IF(Atletas!H51="Changquan Grupo C",4,IF(Atletas!H51="Nanquan Grupo C",5,IF(Atletas!H51="Taijiquan Grupo C",6,IF(Atletas!H51="Changquan Grupo B",7,IF(Atletas!H51="Nanquan Grupo B",8,IF(Atletas!H51="Taijiquan Grupo B",9,IF(Atletas!H51="Changquan Grupo A",10,IF(Atletas!H51="Nanquan Grupo A",11,IF(Atletas!H51="Taijiquan Grupo A",12,IF(Atletas!H51="Changquan Opcional",13,IF(Atletas!H51="Nanquan Opcional",14,IF(Atletas!H51="Taijiquan Opcional",15,IF(Atletas!H51="Changquan Adulto",16,IF(Atletas!H51="Nanquan Adulto",17,IF(Atletas!H51="Taijiquan Adulto",18,""))))))))))))))))))))</f>
        <v/>
      </c>
      <c r="BG60" s="52" t="str">
        <f>IF(Atletas!I51="","",IF(Atletas!B51="Feminino",100,IF(Atletas!B51="Masculino",200,""))+(IF(Atletas!I51="Daoshu Mirim",19,IF(Atletas!I51="Jianshu Mirim",20,IF(Atletas!I51="Nandao Mirim",21,IF(Atletas!I51="Taijijian Mirim",22,IF(Atletas!I51="Daoshu Grupo C",23,IF(Atletas!I51="Jianshu Grupo C",24,IF(Atletas!I51="Nandao Grupo C",25,IF(Atletas!I51="Taijijian Grupo C",26,IF(Atletas!I51="Daoshu Grupo B",27,IF(Atletas!I51="Jianshu Grupo B",28,IF(Atletas!I51="Nandao Grupo B",29,IF(Atletas!I51="Taijijian Grupo B",30,IF(Atletas!I51="Daoshu Grupo A",31,IF(Atletas!I51="Jianshu Grupo A",32,IF(Atletas!I51="Nandao Grupo A",33,IF(Atletas!I51="Taijijian Grupo A",34,IF(Atletas!I51="Daoshu Opcional",35,IF(Atletas!I51="Jianshu Opcional",36,IF(Atletas!I51="Nandao Opcional",37,IF(Atletas!I51="Taijijian Opcional",38,IF(Atletas!I51="Daoshu Adulto",39,IF(Atletas!I51="Jianshu Adulto",40,IF(Atletas!I51="Nandao Adulto",41,IF(Atletas!I51="Taijijian Adulto",42,""))))))))))))))))))))))))))</f>
        <v/>
      </c>
      <c r="BH60" s="52" t="str">
        <f>IF(Atletas!J51="","",IF(Atletas!B51="Feminino",100,IF(Atletas!B51="Masculino",200,""))+(IF(Atletas!J51="Gunshu Mirim",43,IF(Atletas!J51="Qiangshu Mirim",44,IF(Atletas!J51="Nangun Mirim",45,IF(Atletas!J51="Gunshu Grupo C",46,IF(Atletas!J51="Qiangshu Grupo C",47,IF(Atletas!J51="Nangun Grupo C",48,IF(Atletas!J51="Gunshu Grupo B",49,IF(Atletas!J51="Qiangshu Grupo B",50,IF(Atletas!J51="Nangun Grupo B",51,IF(Atletas!J51="Gunshu Grupo A",52,IF(Atletas!J51="Qiangshu Grupo A",53,IF(Atletas!J51="Nangun Grupo A",54,IF(Atletas!J51="Gunshu Opcional",55,IF(Atletas!J51="Qiangshu Opcional",56,IF(Atletas!J51="Nangun Opcional",57,IF(Atletas!J51="Gunshu Adulto",58,IF(Atletas!J51="Qiangshu Adulto",59,IF(Atletas!J51="Nangun Adulto",60,IF(Atletas!J51="Taijishan Grupo B",61,IF(Atletas!J51="Taijishan Grupo A",62,""))))))))))))))))))))))</f>
        <v/>
      </c>
      <c r="BI60" s="6" t="str">
        <f>IF(BJ60&lt;&gt;"","Nanquan Alternativo","")</f>
        <v/>
      </c>
      <c r="BJ60" s="50" t="str">
        <f>IF(COUNTIF(BF:BH,117)&gt;0,COUNTIF(BF:BH,117),"")</f>
        <v/>
      </c>
      <c r="BK60" s="6" t="str">
        <f>IF(BL60&lt;&gt;"","Nanquan Alternativo","")</f>
        <v/>
      </c>
      <c r="BL60" s="50" t="str">
        <f>IF(COUNTIF(BF:BH,217)&gt;0,COUNTIF(BF:BH,217),"")</f>
        <v/>
      </c>
      <c r="BM60" s="50" t="str">
        <f>IF(Atletas!K51="","",IF(Atletas!B51="Feminino",100,IF(Atletas!B51="Masculino",200,""))+(IF(Atletas!K51="Equipe 1 Grupo B",1,IF(Atletas!K51="Equipe 2 Grupo B",2,IF(Atletas!K51="Equipe 1 Grupo A",3,IF(Atletas!K51="Equipe 2 Grupo A",4,IF(Atletas!K51="Equipe 1 Adulto",5,IF(Atletas!K51="Equipe 2 Adulto",6,""))))))))</f>
        <v/>
      </c>
      <c r="BR60" s="50" t="str">
        <f>IF(Atletas!L51="","",IF(Atletas!X51&lt;&gt;"",10000,0)+(IF(Atletas!B51="Feminino",1000,IF(Atletas!B51="Masculino",2000,""))+IF(Atletas!L51="Choylayfut A",1,IF(Atletas!L51="Hunggar A",2,IF(Atletas!L51="Wuzuquan A",3,IF(Atletas!L51="Wingchun A",4,IF(Atletas!L51="Outra Mão de Sul A",5,IF(Atletas!L51="Choylayfut B",6,IF(Atletas!L51="Hunggar B",7,IF(Atletas!L51="Wuzuquan B",8,IF(Atletas!L51="Wingchun B",9,IF(Atletas!L51="Outra Mão de Sul B",10,IF(Atletas!L51="Choylayfut C",11,IF(Atletas!L51="Hunggar C",12,IF(Atletas!L51="Wuzuquan C",13,IF(Atletas!L51="Wingchun C",14,IF(Atletas!L51="Outra Mão de Sul C",15,IF(Atletas!L51="Choylayfut D",16,IF(Atletas!L51="Hunggar D",17,IF(Atletas!L51="Wuzuquan D",18,IF(Atletas!L51="Wingchun D",19,IF(Atletas!L51="Outra Mão de Sul D",20,IF(Atletas!L51="Choylayfut E",21,IF(Atletas!L51="Hunggar E",22,IF(Atletas!L51="Wuzuquan E",23,IF(Atletas!L51="Wingchun E",24,IF(Atletas!L51="Outra Mão de Sul E",25,IF(Atletas!L51="Choylayfut F",26,IF(Atletas!L51="Hunggar F",27,IF(Atletas!L51="Wuzuquan F",28,IF(Atletas!L51="Wingchun F",29,IF(Atletas!L51="Outra Mão de Sul F",30,IF(Atletas!L51="Dishuquan A",31,IF(Atletas!L51="Dishuquan B",32,IF(Atletas!L51="Dishuquan C",33,IF(Atletas!L51="Dishuquan D",34,IF(Atletas!L51="Dishuquan E",35,IF(Atletas!L51="Dishuquan F",36,""))))))))))))))))))))))))))))))))))))))</f>
        <v/>
      </c>
      <c r="BS60" s="50" t="str">
        <f>IF(Atletas!M51="","",IF(Atletas!X51&lt;&gt;"",10000,0)+(IF(Atletas!B51="Feminino",1000,IF(Atletas!B51="Masculino",2000,""))+(IF(Atletas!M51="Chaquan A",101,IF(Atletas!M51="Emeiquan A",102,IF(Atletas!M51="Fanziquan A",103,IF(Atletas!M51="Huaquan A",104,IF(Atletas!M51="Hongquan A",105,IF(Atletas!M51="Paoquan A",106,IF(Atletas!M51="Piguaquan A",107,IF(Atletas!M51="Shaolinquan A",108,IF(Atletas!M51="Tanglangquan A",109,IF(Atletas!M51="Yingzhaoquan A",110,IF(Atletas!M51="Tongbeiquan A",111,IF(Atletas!M51="Wudangquan A",112,IF(Atletas!M51="Outros Estilos A",113,IF(Atletas!M51="Chaquan B",114,IF(Atletas!M51="Emeiquan B",115,IF(Atletas!M51="Fanziquan B",116,IF(Atletas!M51="Huaquan B",117,IF(Atletas!M51="Hongquan B",118,IF(Atletas!M51="Paoquan B",119,IF(Atletas!M51="Piguaquan B",120,IF(Atletas!M51="Shaolinquan B",121,IF(Atletas!M51="Tanglangquan B",122,IF(Atletas!M51="Yingzhaoquan B",123,IF(Atletas!M51="Tongbeiquan B",124,IF(Atletas!M51="Wudangquan B",125,IF(Atletas!M51="Outros Estilos B",126,IF(Atletas!M51="Chaquan C",127,IF(Atletas!M51="Emeiquan C",128,IF(Atletas!M51="Fanziquan C",129,IF(Atletas!M51="Huaquan C",130,IF(Atletas!M51="Hongquan C",131,IF(Atletas!M51="Paoquan C",132,IF(Atletas!M51="Piguaquan C",133,IF(Atletas!M51="Shaolinquan C",134,IF(Atletas!M51="Tanglangquan C",135,IF(Atletas!M51="Yingzhaoquan C",136,IF(Atletas!M51="Tongbeiquan C",137,IF(Atletas!M51="Wudangquan C",138,IF(Atletas!M51="Outros Estilos C",139,0))))))))))))))))))))))))))))))))))))))))))</f>
        <v/>
      </c>
      <c r="BT60" s="50" t="str">
        <f>IF(Atletas!M51="","",IF(Atletas!X51&lt;&gt;"",10000,0)+(IF(Atletas!B51="Feminino",1000,IF(Atletas!B51="Masculino",2000,""))+(IF(Atletas!M51="Chaquan D",140,IF(Atletas!M51="Emeiquan D",141,IF(Atletas!M51="Fanziquan D",142,IF(Atletas!M51="Huaquan D",143,IF(Atletas!M51="Hongquan D",144,IF(Atletas!M51="Paoquan D",145,IF(Atletas!M51="Piguaquan D",146,IF(Atletas!M51="Shaolinquan D",147,IF(Atletas!M51="Tanglangquan D",148,IF(Atletas!M51="Yingzhaoquan D",149,IF(Atletas!M51="Tongbeiquan D",150,IF(Atletas!M51="Wudangquan D",151,IF(Atletas!M51="Outros Estilos D",152,IF(Atletas!M51="Chaquan E",153,IF(Atletas!M51="Emeiquan E",154,IF(Atletas!M51="Fanziquan E",155,IF(Atletas!M51="Huaquan E",156,IF(Atletas!M51="Hongquan E",157,IF(Atletas!M51="Paoquan E",158,IF(Atletas!M51="Piguaquan E",159,IF(Atletas!M51="Shaolinquan E",160,IF(Atletas!M51="Tanglangquan E",161,IF(Atletas!M51="Yingzhaoquan E",162,IF(Atletas!M51="Tongbeiquan E",163,IF(Atletas!M51="Wudangquan E",164,IF(Atletas!M51="Outros Estilos E",165,IF(Atletas!M51="Chaquan F",166,IF(Atletas!M51="Emeiquan F",167,IF(Atletas!M51="Fanziquan F",168,IF(Atletas!M51="Huaquan F",169,IF(Atletas!M51="Hongquan F",170,IF(Atletas!M51="Paoquan F",171,IF(Atletas!M51="Piguaquan F",172,IF(Atletas!M51="Shaolinquan F",173,IF(Atletas!M51="Tanglangquan F",174,IF(Atletas!M51="Yingzhaoquan F",175,IF(Atletas!M51="Tongbeiquan F",176,IF(Atletas!M51="Wudangquan F",177,IF(Atletas!M51="Outros Estilos F",178,0))))))))))))))))))))))))))))))))))))))))))</f>
        <v/>
      </c>
      <c r="BU60" s="50" t="str">
        <f>IF(Atletas!N51="","",IF(Atletas!X51&lt;&gt;"",10000,0)+(IF(Atletas!B51="Feminino",1000,IF(Atletas!B51="Masculino",2000,""))+(IF(Atletas!N51="Ditangquan A",201,IF(Atletas!N51="Houquan A",202,IF(Atletas!N51="Zuiquan A",203,IF(Atletas!N51="Ditangquan B",204,IF(Atletas!N51="Houquan B",205,IF(Atletas!N51="Zuiquan B",206,IF(Atletas!N51="Ditangquan C",207,IF(Atletas!N51="Houquan C",208,IF(Atletas!N51="Zuiquan C",209,IF(Atletas!N51="Ditangquan D",210,IF(Atletas!N51="Houquan D",211,IF(Atletas!N51="Zuiquan D",212,IF(Atletas!N51="Ditangquan E",213,IF(Atletas!N51="Houquan E",214,IF(Atletas!N51="Zuiquan E",215,IF(Atletas!N51="Ditangquan F",216,IF(Atletas!N51="Houquan F",217,IF(Atletas!N51="Zuiquan F",218,"")))))))))))))))))))))</f>
        <v/>
      </c>
      <c r="BV60" s="50" t="str">
        <f>IF(Atletas!O51="","",IF(Atletas!X51&lt;&gt;"",10000,0)+IF(Atletas!B51="Feminino",1000,IF(Atletas!B51="Masculino",2000,""))+IF(Atletas!O51="Yang A",301,IF(Atletas!O51="Chen A",302,IF(Atletas!O51="Sun A",303,IF(Atletas!O51="Wu A",304,IF(Atletas!O51="Wu-Hao A",305,IF(Atletas!O51="Outro Taijiquan A",306,IF(Atletas!O51="Yang B",307,IF(Atletas!O51="Chen B",308,IF(Atletas!O51="Sun B",309,IF(Atletas!O51="Wu B",310,IF(Atletas!O51="Wu-Hao B",311,IF(Atletas!O51="Outro Taijiquan B",312,IF(Atletas!O51="Yang C",313,IF(Atletas!O51="Chen C",314,IF(Atletas!O51="Sun C",315,IF(Atletas!O51="Wu C",316,IF(Atletas!O51="Wu-Hao C",317,IF(Atletas!O51="Outro Taijiquan C",318,IF(Atletas!O51="Yang D",319,IF(Atletas!O51="Chen D",320,IF(Atletas!O51="Sun D",321,IF(Atletas!O51="Wu D",322,IF(Atletas!O51="Wu-Hao D",323,IF(Atletas!O51="Outro Taijiquan D",324,IF(Atletas!O51="Yang E",325,IF(Atletas!O51="Chen E",326,IF(Atletas!O51="Sun E",327,IF(Atletas!O51="Wu E",328,IF(Atletas!O51="Wu-Hao E",329,IF(Atletas!O51="Outro Taijiquan E",330,IF(Atletas!O51="Yang F",331,IF(Atletas!O51="Chen F",332,IF(Atletas!O51="Sun F",333,IF(Atletas!O51="Wu F",334,IF(Atletas!O51="Wu-Hao F",335,IF(Atletas!O51="Outro Taijiquan F",336,"")))))))))))))))))))))))))))))))))))))</f>
        <v/>
      </c>
      <c r="BW60" s="50" t="str">
        <f>IF(Atletas!P51="","",IF(Atletas!X51&lt;&gt;"",10000,0)+IF(Atletas!B51="Feminino",1000,IF(Atletas!B51="Masculino",2000,""))+IF(OR(Atletas!P51="Yang 26 A",Atletas!P51="Yang 40 A"),401,IF(OR(Atletas!P51="Chen 25 A",Atletas!P51="Chen 36 A",Atletas!P51="Chen 56 A"),402,IF(Atletas!P51="Sun 73 A",403,IF(Atletas!P51="Wu 45 A",404,IF(Atletas!P51="Wu-Hao 46 A",405,IF(OR(Atletas!P51="Taijiquan 16 A",Atletas!P51="Taijiquan 24 A",Atletas!P51="Taijiquan 32 A",Atletas!P51="Taijiquan 42 A"),406,IF(OR(Atletas!P51="Yang 26 B",Atletas!P51="Yang 40 B"),407,IF(OR(Atletas!P51="Chen 25 B",Atletas!P51="Chen 36 B",Atletas!P51="Chen 56 B"),408,IF(Atletas!P51="Sun 73 B",409,IF(Atletas!P51="Wu 45 B",410,IF(Atletas!P51="Wu-Hao 46 B",411,IF(OR(Atletas!P51="Taijiquan 16 B",Atletas!P51="Taijiquan 24 B",Atletas!P51="Taijiquan 32 B",Atletas!P51="Taijiquan 42 B"),412,IF(OR(Atletas!P51="Yang 26 C",Atletas!P51="Yang 40 C"),413,IF(OR(Atletas!P51="Chen 25 C",Atletas!P51="Chen 36 C",Atletas!P51="Chen 56 C"),414,IF(Atletas!P51="Sun 73 C",415,IF(Atletas!P51="Wu 45 C",416,IF(Atletas!P51="Wu-Hao 46 C",417,IF(OR(Atletas!P51="Taijiquan 16 C",Atletas!P51="Taijiquan 24 C",Atletas!P51="Taijiquan 32 C",Atletas!P51="Taijiquan 42 C"),418,0)))))))))))))))))))</f>
        <v/>
      </c>
      <c r="BX60" s="50" t="str">
        <f>IF(Atletas!P51="","",IF(Atletas!X51&lt;&gt;"",10000,0)+IF(Atletas!B51="Feminino",1000,IF(Atletas!B51="Masculino",2000,""))+IF(OR(Atletas!P51="Yang 26 D",Atletas!P51="Yang 40 D"),419,IF(OR(Atletas!P51="Chen 25 D",Atletas!P51="Chen 36 D",Atletas!P51="Chen 56 D"),420,IF(Atletas!P51="Sun 73 D",421,IF(Atletas!P51="Wu 45 D",422,IF(Atletas!P51="Wu-Hao 46 D",423,IF(OR(Atletas!P51="Taijiquan 16 D",Atletas!P51="Taijiquan 24 D",Atletas!P51="Taijiquan 32 D",Atletas!P51="Taijiquan 42 D"),424,IF(OR(Atletas!P51="Yang 26 E",Atletas!P51="Yang 40 E"),425,IF(OR(Atletas!P51="Chen 25 E",Atletas!P51="Chen 36 E",Atletas!P51="Chen 56 E"),426,IF(Atletas!P51="Sun 73 E",427,IF(Atletas!P51="Wu 45 E",428,IF(Atletas!P51="Wu-Hao 46 E",429,IF(OR(Atletas!P51="Taijiquan 16 E",Atletas!P51="Taijiquan 24 E",Atletas!P51="Taijiquan 32 E",Atletas!P51="Taijiquan 42 E"),430,IF(OR(Atletas!P51="Yang 26 F",Atletas!P51="Yang 40 F"),431,IF(OR(Atletas!P51="Chen 25 F",Atletas!P51="Chen 36 F",Atletas!P51="Chen 56 F"),432,IF(Atletas!P51="Sun 73 F",433,IF(Atletas!P51="Wu 45 F",434,IF(Atletas!P51="Wu-Hao 46 F",435,IF(OR(Atletas!P51="Taijiquan 16 F",Atletas!P51="Taijiquan 24 F",Atletas!P51="Taijiquan 32 F",Atletas!P51="Taijiquan 42 F"),436,0)))))))))))))))))))</f>
        <v/>
      </c>
      <c r="BY60" s="50" t="str">
        <f>IF(Atletas!Q51="","",IF(Atletas!X51&lt;&gt;"",10000,0)+IF(Atletas!B51="Feminino",1000,IF(Atletas!B51="Masculino",2000,""))+IF(Atletas!Q51="Xingyiquan A",501,IF(Atletas!Q51="Baguazhang A",502,IF(Atletas!Q51="Outro Estilo Interno A",503,IF(Atletas!Q51="Xingyiquan B",504,IF(Atletas!Q51="Baguazhang B",505,IF(Atletas!Q51="Outro Estilo Interno B",506,IF(Atletas!Q51="Xingyiquan C",507,IF(Atletas!Q51="Baguazhang C",508,IF(Atletas!Q51="Outro Estilo Interno C",509,IF(Atletas!Q51="Xingyiquan D",510,IF(Atletas!Q51="Baguazhang D",511,IF(Atletas!Q51="Outro Estilo Interno D",512,IF(Atletas!Q51="Xingyiquan E",513,IF(Atletas!Q51="Baguazhang E",514,IF(Atletas!Q51="Outro Estilo Interno E",515,IF(Atletas!Q51="Xingyiquan F",516,IF(Atletas!Q51="Baguazhang F",517,IF(Atletas!Q51="Outro Estilo Interno F",518, "")))))))))))))))))))</f>
        <v/>
      </c>
      <c r="BZ60" s="50" t="str">
        <f>IF(Atletas!R51="","",IF(Atletas!X51&lt;&gt;"",10000,0)+IF(Atletas!B51="Feminino",1000,IF(Atletas!B51="Masculino",2000,""))+IF(Atletas!R51="Dao A",601,IF(Atletas!R51="Jian A",602,IF(Atletas!R51="Bishou A",603,IF(Atletas!R51="Shanzi A",604,IF(Atletas!R51="Outra Arma Curta A",605,IF(Atletas!R51="Dao B",606,IF(Atletas!R51="Jian B",607,IF(Atletas!R51="Bishou B",608,IF(Atletas!R51="Shanzi B",609,IF(Atletas!R51="Outra Arma Curta B",610,IF(Atletas!R51="Dao C",611,IF(Atletas!R51="Jian C",612,IF(Atletas!R51="Bishou C",613,IF(Atletas!R51="Shanzi C",614,IF(Atletas!R51="Outra Arma Curta C",615,IF(Atletas!R51="Dao D",616,IF(Atletas!R51="Jian D",617,IF(Atletas!R51="Bishou D",618,IF(Atletas!R51="Shanzi D",619,IF(Atletas!R51="Outra Arma Curta D",620,IF(Atletas!R51="Dao E",621,IF(Atletas!R51="Jian E",622,IF(Atletas!R51="Bishou E",623,IF(Atletas!R51="Shanzi E",624,IF(Atletas!R51="Outra Arma Curta E",625,IF(Atletas!R51="Dao F",626,IF(Atletas!R51="Jian F",627,IF(Atletas!R51="Bishou F",628,IF(Atletas!R51="Shanzi F",629,IF(Atletas!R51="Outra Arma Curta F",630, "")))))))))))))))))))))))))))))))</f>
        <v/>
      </c>
      <c r="CA60" s="50" t="str">
        <f>IF(Atletas!S51="","",IF(Atletas!X51&lt;&gt;"",10000,0)+IF(Atletas!B51="Feminino",1000,IF(Atletas!B51="Masculino",2000,""))+IF(Atletas!S51="Gun A",701,IF(Atletas!S51="Qiang A",702,IF(Atletas!S51="Pudao / Guandao A",703,IF(Atletas!S51="Outra Arma Longa A",704,IF(Atletas!S51="Gun B",705,IF(Atletas!S51="Qiang B",706,IF(Atletas!S51="Pudao / Guandao B",707,IF(Atletas!S51="Outra Arma Longa B",708,IF(Atletas!S51="Gun C",709,IF(Atletas!S51="Qiang C",710,IF(Atletas!S51="Pudao / Guandao C",711,IF(Atletas!S51="Outra Arma Longa C",712,IF(Atletas!S51="Gun D",713,IF(Atletas!S51="Qiang D",714,IF(Atletas!S51="Pudao / Guandao D",715,IF(Atletas!S51="Outra Arma Longa D",716,IF(Atletas!S51="Gun E",717,IF(Atletas!S51="Qiang E",718,IF(Atletas!S51="Pudao / Guandao E",719,IF(Atletas!S51="Outra Arma Longa E",720,IF(Atletas!S51="Gun F",721,IF(Atletas!S51="Qiang F",722,IF(Atletas!S51="Pudao / Guandao F",723,IF(Atletas!S51="Outra Arma Longa F",724,"")))))))))))))))))))))))))</f>
        <v/>
      </c>
      <c r="CB60" s="50" t="str">
        <f>IF(Atletas!T51="","",IF(Atletas!X51&lt;&gt;"",10000,0)+IF(Atletas!B51="Feminino",1000,IF(Atletas!B51="Masculino",2000,""))+IF(Atletas!T51="Outra Arma Dupla A",801,IF(Atletas!T51="Arma Maleável A",802,IF(Atletas!T51="Outra Arma Dupla B",803,IF(Atletas!T51="Arma Maleável B",804,IF(Atletas!T51="Outra Arma Dupla C",805,IF(Atletas!T51="Arma Maleável C",806,IF(Atletas!T51="Outra Arma Dupla D",807,IF(Atletas!T51="Arma Maleável D",808,IF(Atletas!T51="Outra Arma Dupla E",809,IF(Atletas!T51="Arma Maleável E",810,IF(Atletas!T51="Outra Arma Dupla F",811,IF(Atletas!T51="Arma Maleável F",812,IF(Atletas!T51="Shuangdao A",813,IF(Atletas!T51="Shuangdao B",814,IF(Atletas!T51="Shuangdao C",815,IF(Atletas!T51="Shuangdao D",816,IF(Atletas!T51="Shuangdao E",817,IF(Atletas!T51="Shuangdao F",818,"")))))))))))))))))))</f>
        <v/>
      </c>
      <c r="CC60" s="50" t="str">
        <f>IF(Atletas!U51="","",IF(Atletas!X51&lt;&gt;"",10000,0)+IF(Atletas!B51="Feminino",1000,IF(Atletas!B51="Masculino",2000,""))+IF(OR(Atletas!U51="Taijijian Yang A",Atletas!U51="Taijijian Yang Standard A"),901,IF(OR(Atletas!U51="Taijijian Chen A", Atletas!U51="Taijijian Chen Standard A"),902,IF(Atletas!U51="Taijijian Sun A",903,IF(Atletas!U51="Taijijian Wu A",904,IF(Atletas!U51="Taijijian Wu-Hao A",905,IF(OR(Atletas!U51="Taijijian 32 A",Atletas!U51="Taijijian 42 A"),906,IF(OR(Atletas!U51="Taijijian Yang B",Atletas!U51="Taijijian Yang Standard B"),907,IF(OR(Atletas!U51="Taijijian Chen B", Atletas!U51="Taijijian Chen Standard B"),908,IF(Atletas!U51="Taijijian Sun B",909,IF(Atletas!U51="Taijijian Wu B",910,IF(Atletas!U51="Taijijian Wu-Hao B",911,IF(OR(Atletas!U51="Taijijian 32 B",Atletas!U51="Taijijian 42 B"),912,IF(OR(Atletas!U51="Taijijian Yang C",Atletas!U51="Taijijian Yang Standard C"),913,IF(OR(Atletas!U51="Taijijian Chen C", Atletas!U51="Taijijian Chen Standard C"),914,IF(Atletas!U51="Taijijian Sun C",915,IF(Atletas!U51="Taijijian Wu C",916,IF(Atletas!U51="Taijijian Wu-Hao C",917,IF(OR(Atletas!U51="Taijijian 32 C",Atletas!U51="Taijijian 42 C"),918,IF(OR(Atletas!U51="Taijijian Yang D",Atletas!U51="Taijijian Yang Standard D"),919,IF(OR(Atletas!U51="Taijijian Chen D", Atletas!U51="Taijijian Chen Standard D"),920,IF(Atletas!U51="Taijijian Sun D",921,IF(Atletas!U51="Taijijian Wu D",922,IF(Atletas!U51="Taijijian Wu-Hao D",923,IF(OR(Atletas!U51="Taijijian 32 D",Atletas!U51="Taijijian 42 D"),924,IF(OR(Atletas!U51="Taijijian Yang E",Atletas!U51="Taijijian Yang Standard E"),925,IF(OR(Atletas!U51="Taijijian Chen E", Atletas!U51="Taijijian Chen Standard E"),926,IF(Atletas!U51="Taijijian Sun E",927,IF(Atletas!U51="Taijijian Wu E",928,IF(Atletas!U51="Taijijian Wu-Hao E",929,IF(OR(Atletas!U51="Taijijian 32 E",Atletas!U51="Taijijian 42 E"),930,IF(OR(Atletas!U51="Taijijian Yang F",Atletas!U51="Taijijian Yang Standard F"),931,IF(OR(Atletas!U51="Taijijian Chen F", Atletas!U51="Taijijian Chen Standard F"),932,IF(Atletas!U51="Taijijian Sun F",933,IF(Atletas!U51="Taijijian Wu F",934,IF(Atletas!U51="Taijijian Wu-Hao F",935,IF(OR(Atletas!U51="Taijijian 32 F",Atletas!U51="Taijijian 42 F"),936,"")))))))))))))))))))))))))))))))))))))</f>
        <v/>
      </c>
      <c r="CD60" s="50" t="str">
        <f>IF(Atletas!V51="","",IF(Atletas!X51&lt;&gt;"",10000,0)+IF(Atletas!B51="Feminino",1000,IF(Atletas!B51="Masculino",2000,""))+IF(Atletas!V51="Taijidao A",937,IF(Atletas!V51="TaijiShanzi A",938,IF(Atletas!V51="Taijiqiang A",939,IF(Atletas!V51="Bagua de Arma A",940,IF(Atletas!V51="Xingyi de Arma A",941,IF(Atletas!V51="Taijidao B",942,IF(Atletas!V51="TaijiShanzi B",943,IF(Atletas!V51="Taijiqiang B",944,IF(Atletas!V51="Bagua de Arma B",945,IF(Atletas!V51="Xingyi de Arma B",946,IF(Atletas!V51="Taijidao C",947,IF(Atletas!V51="TaijiShanzi C",948,IF(Atletas!V51="Taijiqiang C",949,IF(Atletas!V51="Bagua de Arma C",950,IF(Atletas!V51="Xingyi de Arma C",951,IF(Atletas!V51="Taijidao D",952,IF(Atletas!V51="TaijiShanzi D",953,IF(Atletas!V51="Taijiqiang D",954,IF(Atletas!V51="Bagua de Arma D",955,IF(Atletas!V51="Xingyi de Arma D",956,IF(Atletas!V51="Taijidao E",957,IF(Atletas!V51="TaijiShanzi E",958,IF(Atletas!V51="Taijiqiang E",959,IF(Atletas!V51="Bagua de Arma E",960,IF(Atletas!V51="Xingyi de Arma E",961,IF(Atletas!V51="Taijidao F",962,IF(Atletas!V51="TaijiShanzi F",963,IF(Atletas!V51="Taijiqiang F",964,IF(Atletas!V51="Bagua de Arma F",965,IF(Atletas!V51="Xingyi de Arma F",966,"")))))))))))))))))))))))))))))))</f>
        <v/>
      </c>
      <c r="CE60" s="66" t="str">
        <f>IF(CF60&lt;&gt;"","Hongquan B","")</f>
        <v/>
      </c>
      <c r="CF60" s="66" t="str">
        <f>IF(COUNTIF(BR:CD,1118)&gt;0,COUNTIF(BR:CD,1118),"")</f>
        <v/>
      </c>
      <c r="CG60" s="66" t="str">
        <f>IF(CH60&lt;&gt;"","Hongquan B","")</f>
        <v/>
      </c>
      <c r="CH60" s="66" t="str">
        <f>IF(COUNTIF(BR:CD,2118)&gt;0,COUNTIF(BR:CD,2118),"")</f>
        <v/>
      </c>
      <c r="CI60" s="66" t="str">
        <f>IF(CJ60&lt;&gt;"","Tongbeiquan B","")</f>
        <v/>
      </c>
      <c r="CJ60" s="66" t="str">
        <f>IF(COUNTIF(BR:CD,11124)&gt;0,COUNTIF(BR:CD,11124),"")</f>
        <v/>
      </c>
      <c r="CK60" s="66" t="str">
        <f>IF(CL60&lt;&gt;"","Tongbeiquan B","")</f>
        <v/>
      </c>
      <c r="CL60" s="66" t="str">
        <f>IF(COUNTIF(BR:CD,12124)&gt;0,COUNTIF(BR:CD,12124),"")</f>
        <v/>
      </c>
      <c r="CM60" s="50" t="str">
        <f xml:space="preserve"> IF(Atletas!W51="","",IF(Atletas!W51="Duilian de Mãos BC - Equipe 1",1,IF(Atletas!W51="Duilian de Mãos BC - Equipe 2",2,IF(Atletas!W51="Duilian de Armas BC - Equipe 1",3,IF(Atletas!W51="Duilian de Armas BC - Equipe 2",4,IF(Atletas!W51="Duilian de Mãos DE - Equipe 1",5,IF(Atletas!W51="Duilian de Mãos DE - Equipe 2",6,IF(Atletas!W51="Duilian de Armas DE - Equipe 1",7,IF(Atletas!W51="Duilian de Armas DE - Equipe 2",8,IF(Atletas!W51="Duilian de Tuishou - Equipe 1",9,IF(Atletas!W51="Duilian de Tuishou - Equipe 2",10,IF(Atletas!W51="Grupo Externo ABC - Equipe 1",11,IF(Atletas!W51="Grupo Externo ABC - Equipe 2",12,IF(Atletas!W51="Grupo Interno ABC - Equipe 1",13,IF(Atletas!W51="Grupo Interno ABC - Equipe 2",14,IF(Atletas!W51="Grupo Externo DEF - Equipe 1",15,IF(Atletas!W51="Grupo Externo DEF - Equipe 2",16,IF(Atletas!W51="Grupo Interno DEF - Equipe 1",17,IF(Atletas!W51="Grupo Interno DEF - Equipe 2",18,"")))))))))))))))))))</f>
        <v/>
      </c>
      <c r="CY60" s="41"/>
    </row>
    <row r="61" spans="2:103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 t="str">
        <f t="array" ref="R61">IFERROR(INDEX(BI$7:BI$68,SMALL(IF(BI$7:BI$68&lt;&gt;"",ROW(BI$7:BI$68)-ROW(BI$7)+1),ROWS(BI$7:BI60))),"")</f>
        <v/>
      </c>
      <c r="S61" s="3" t="str">
        <f t="array" ref="S61">IFERROR(INDEX(BJ$7:BJ$68,SMALL(IF(BJ$7:BJ$68&lt;&gt;"",ROW(BJ$7:BJ$68)-ROW(BJ$7)+1),ROWS(BJ$7:BJ60))),"")</f>
        <v/>
      </c>
      <c r="T61" s="3" t="str">
        <f t="array" ref="T61">IFERROR(INDEX(BK$7:BK$68,SMALL(IF(BK$7:BK$68&lt;&gt;"",ROW(BK$7:BK$68)-ROW(BK$7)+1),ROWS(BK$7:BK60))),"")</f>
        <v/>
      </c>
      <c r="U61" s="3" t="str">
        <f t="array" ref="U61">IFERROR(INDEX(BL$7:BL$68,SMALL(IF(BL$7:BL$68&lt;&gt;"",ROW(BL$7:BL$68)-ROW(BL$7)+1),ROWS(BL$7:BL60))),"")</f>
        <v/>
      </c>
      <c r="V61" s="3"/>
      <c r="W61" s="3"/>
      <c r="X61" s="20"/>
      <c r="Y61" s="3"/>
      <c r="Z61" s="3" t="str">
        <f t="array" ref="Z61">IFERROR(INDEX(CE$7:CE$348,SMALL(IF(CE$7:CE$348&lt;&gt;"",ROW(CE$7:CE$348)-ROW(CE$7)+1),ROWS(CE$7:CE60))),"")</f>
        <v/>
      </c>
      <c r="AA61" s="3" t="str">
        <f t="array" ref="AA61">IFERROR(INDEX(CF$7:CF$348,SMALL(IF(CF$7:CF$348&lt;&gt;"",ROW(CF$7:CF$348)-ROW(CF$7)+1),ROWS(CF$7:CF60))),"")</f>
        <v/>
      </c>
      <c r="AB61" s="3" t="str">
        <f t="array" ref="AB61">IFERROR(INDEX(CG$7:CG$348,SMALL(IF(CG$7:CG$348&lt;&gt;"",ROW(CG$7:CG$348)-ROW(CG$7)+1),ROWS(CG$7:CG60))),"")</f>
        <v/>
      </c>
      <c r="AC61" s="3" t="str">
        <f t="array" ref="AC61">IFERROR(INDEX(CH$7:CH$348,SMALL(IF(CH$7:CH$348&lt;&gt;"",ROW(CH$7:CH$348)-ROW(CH$7)+1),ROWS(CH$7:CH60))),"")</f>
        <v/>
      </c>
      <c r="AD61" s="3" t="str">
        <f t="array" ref="AD61">IFERROR(INDEX(CI$7:CI$377,SMALL(IF(CI$7:CI$377&lt;&gt;"",ROW(CI$7:CI$377)-ROW(CI$7)+1),ROWS(CI$7:CI60))),"")</f>
        <v/>
      </c>
      <c r="AE61" s="3" t="str">
        <f t="array" ref="AE61">IFERROR(INDEX(CJ$7:CJ$378,SMALL(IF(CJ$7:CJ$378&lt;&gt;"",ROW(CJ$7:CJ$378)-ROW(CJ$7)+1),ROWS(CJ$7:CJ60))),"")</f>
        <v/>
      </c>
      <c r="AF61" s="3" t="str">
        <f t="array" ref="AF61">IFERROR(INDEX(CK$7:CK$378,SMALL(IF(CK$7:CK$378&lt;&gt;"",ROW(CK$7:CK$378)-ROW(CK$7)+1),ROWS(CK$7:CK60))),"")</f>
        <v/>
      </c>
      <c r="AG61" s="3" t="str">
        <f t="array" ref="AG61">IFERROR(INDEX(CL$7:CL$378,SMALL(IF(CL$7:CL$378&lt;&gt;"",ROW(CL$7:CL$378)-ROW(CL$7)+1),ROWS(CL$7:CL60))),"")</f>
        <v/>
      </c>
      <c r="AH61" s="3"/>
      <c r="AI61" s="3"/>
      <c r="AJ61" s="3"/>
      <c r="AK61" s="3"/>
      <c r="AL61" s="3"/>
      <c r="AM61" s="3"/>
      <c r="AN61" s="52" t="str">
        <f>IF(Atletas!D52="","",IF(Atletas!B52="Feminino",100,IF(Atletas!B52="Masculino",200,""))+(IF(Atletas!D52="Kids 30kg",1,IF(Atletas!D52="Kids 32kg",2, IF(Atletas!D52="Kids 34kg",3,IF(Atletas!D52="Kids 36kg",4,IF(Atletas!D52="Kids 39kg",5,IF(Atletas!D52="Kids 42kg",6,IF(Atletas!D52="Kids 45kg",7, IF(Atletas!D52="Infantil 39kg",8,IF(Atletas!D52="Infantil 42kg",9,IF(Atletas!D52="Infantil 45kg",10,IF(Atletas!D52="Infantil 48kg",11,IF(Atletas!D52="Infantil 52kg",12,IF(Atletas!D52="Infantil 56kg",13,IF(Atletas!D52="Infantil 60kg",14,IF(Atletas!D52="Juvenil 48kg",15,IF(Atletas!D52="Juvenil 52kg",16,IF(Atletas!D52="Juvenil 56kg",17,IF(Atletas!D52="Juvenil 60kg",18,IF(Atletas!D52="Juvenil 65kg",19,IF(Atletas!D52="Juvenil 70kg",20,IF(Atletas!D52="Juvenil 75kg",21,IF(Atletas!D52="Juvenil 80kg",22, IF(Atletas!D52="Juvenil 85kg",23,IF(Atletas!D52="Adulto 48kg",24,IF(Atletas!D52="Adulto 52kg",25,IF(Atletas!D52="Adulto 56kg",26,IF(Atletas!D52="Adulto 60kg",27,IF(Atletas!D52="Adulto 65kg",28,IF(Atletas!D52="Adulto 70kg",29,IF(Atletas!D52="Adulto 75kg",30,IF(Atletas!D52="Adulto 80kg",31,IF(Atletas!D52="Adulto 85kg",32,IF(Atletas!D52="Adulto 90kg",33,IF(Atletas!D52="Adulto 100kg",34, IF(Atletas!D52="Adulto +100kg",35,"")))))))))))))))))))))))))))))))))))))</f>
        <v/>
      </c>
      <c r="AS61" s="6" t="str">
        <f>IF(Atletas!E52="","",IF(Atletas!B52="Feminino",100,IF(Atletas!B52="Masculino",200,""))+(IF(Atletas!E52="Juvenil 44kg",1,IF(Atletas!E52="Juvenil 48kg",2,IF(Atletas!E52="Juvenil 52kg",3,IF(Atletas!E52="Juvenil 56kg",4,IF(Atletas!E52="Juvenil 60kg",5,IF(Atletas!E52="Juvenil 65kg",6,IF(Atletas!E52="Juvenil 70kg",7,IF(Atletas!E52="Juvenil 75kg",8,IF(Atletas!E52="Juvenil 82kg",9,IF(Atletas!E52="Juvenil 90kg",10,IF(Atletas!E52="Juvenil 100kg",11,IF(Atletas!E52="Adulto 48kg",12,IF(Atletas!E52="Adulto 52kg",13,IF(Atletas!E52="Adulto 56kg",14,IF(Atletas!E52="Adulto 60kg",15,IF(Atletas!E52="Adulto 65kg",16,IF(Atletas!E52="Adulto 70kg",17,IF(Atletas!E52="Adulto 75kg",18,IF(Atletas!E52="Adulto 82kg",19,IF(Atletas!E52="Adulto 90kg",20,IF(Atletas!E52="Adulto 100kg",21,IF(Atletas!E52="Adulto +100kg",22,""))))))))))))))))))))))))</f>
        <v/>
      </c>
      <c r="AX61" s="6" t="str">
        <f>IF(Atletas!F52="","",IF(Atletas!B52="Feminino",100,IF(Atletas!B52="Masculino",200,""))+(IF(Atletas!F52="Adulto 48kg",1,IF(Atletas!F52="Adulto 56kg",2,IF(Atletas!F52="Adulto 65kg",3,IF(Atletas!F52="Adulto 75kg",4,IF(Atletas!F52="Adulto +75kg",5,IF(Atletas!F52="Adulto 52kg",6,IF(Atletas!F52="Adulto 60kg",7,IF(Atletas!F52="Adulto 70kg",8,IF(Atletas!F52="Adulto 80kg",9,IF(Atletas!F52="Adulto 90kg",10,IF(Atletas!F52="Adulto +90kg",11,"")))))))))))))</f>
        <v/>
      </c>
      <c r="BC61" s="6" t="str">
        <f>IF(Atletas!G52="","",IF(Atletas!B52="Feminino",10,IF(Atletas!B52="Masculino",20,""))+(IF(Atletas!G52="Baduanjin A",1,IF(Atletas!G52="Baduanjin B",2))))</f>
        <v/>
      </c>
      <c r="BF61" s="52" t="str">
        <f>IF(Atletas!H52="","",IF(Atletas!B52="Feminino",100,IF(Atletas!B52="Masculino",200,""))+(IF(Atletas!H52="Changquan Mirim",1,IF(Atletas!H52="Nanquan Mirim",2,IF(Atletas!H52="Taijiquan Mirim",3,IF(Atletas!H52="Changquan Grupo C",4,IF(Atletas!H52="Nanquan Grupo C",5,IF(Atletas!H52="Taijiquan Grupo C",6,IF(Atletas!H52="Changquan Grupo B",7,IF(Atletas!H52="Nanquan Grupo B",8,IF(Atletas!H52="Taijiquan Grupo B",9,IF(Atletas!H52="Changquan Grupo A",10,IF(Atletas!H52="Nanquan Grupo A",11,IF(Atletas!H52="Taijiquan Grupo A",12,IF(Atletas!H52="Changquan Opcional",13,IF(Atletas!H52="Nanquan Opcional",14,IF(Atletas!H52="Taijiquan Opcional",15,IF(Atletas!H52="Changquan Adulto",16,IF(Atletas!H52="Nanquan Adulto",17,IF(Atletas!H52="Taijiquan Adulto",18,""))))))))))))))))))))</f>
        <v/>
      </c>
      <c r="BG61" s="52" t="str">
        <f>IF(Atletas!I52="","",IF(Atletas!B52="Feminino",100,IF(Atletas!B52="Masculino",200,""))+(IF(Atletas!I52="Daoshu Mirim",19,IF(Atletas!I52="Jianshu Mirim",20,IF(Atletas!I52="Nandao Mirim",21,IF(Atletas!I52="Taijijian Mirim",22,IF(Atletas!I52="Daoshu Grupo C",23,IF(Atletas!I52="Jianshu Grupo C",24,IF(Atletas!I52="Nandao Grupo C",25,IF(Atletas!I52="Taijijian Grupo C",26,IF(Atletas!I52="Daoshu Grupo B",27,IF(Atletas!I52="Jianshu Grupo B",28,IF(Atletas!I52="Nandao Grupo B",29,IF(Atletas!I52="Taijijian Grupo B",30,IF(Atletas!I52="Daoshu Grupo A",31,IF(Atletas!I52="Jianshu Grupo A",32,IF(Atletas!I52="Nandao Grupo A",33,IF(Atletas!I52="Taijijian Grupo A",34,IF(Atletas!I52="Daoshu Opcional",35,IF(Atletas!I52="Jianshu Opcional",36,IF(Atletas!I52="Nandao Opcional",37,IF(Atletas!I52="Taijijian Opcional",38,IF(Atletas!I52="Daoshu Adulto",39,IF(Atletas!I52="Jianshu Adulto",40,IF(Atletas!I52="Nandao Adulto",41,IF(Atletas!I52="Taijijian Adulto",42,""))))))))))))))))))))))))))</f>
        <v/>
      </c>
      <c r="BH61" s="52" t="str">
        <f>IF(Atletas!J52="","",IF(Atletas!B52="Feminino",100,IF(Atletas!B52="Masculino",200,""))+(IF(Atletas!J52="Gunshu Mirim",43,IF(Atletas!J52="Qiangshu Mirim",44,IF(Atletas!J52="Nangun Mirim",45,IF(Atletas!J52="Gunshu Grupo C",46,IF(Atletas!J52="Qiangshu Grupo C",47,IF(Atletas!J52="Nangun Grupo C",48,IF(Atletas!J52="Gunshu Grupo B",49,IF(Atletas!J52="Qiangshu Grupo B",50,IF(Atletas!J52="Nangun Grupo B",51,IF(Atletas!J52="Gunshu Grupo A",52,IF(Atletas!J52="Qiangshu Grupo A",53,IF(Atletas!J52="Nangun Grupo A",54,IF(Atletas!J52="Gunshu Opcional",55,IF(Atletas!J52="Qiangshu Opcional",56,IF(Atletas!J52="Nangun Opcional",57,IF(Atletas!J52="Gunshu Adulto",58,IF(Atletas!J52="Qiangshu Adulto",59,IF(Atletas!J52="Nangun Adulto",60,IF(Atletas!J52="Taijishan Grupo B",61,IF(Atletas!J52="Taijishan Grupo A",62,""))))))))))))))))))))))</f>
        <v/>
      </c>
      <c r="BI61" s="6" t="str">
        <f>IF(BJ61&lt;&gt;"","Taijiquan Alternativo","")</f>
        <v/>
      </c>
      <c r="BJ61" s="50" t="str">
        <f>IF(COUNTIF(BF:BH,118)&gt;0,COUNTIF(BF:BH,118),"")</f>
        <v/>
      </c>
      <c r="BK61" s="6" t="str">
        <f>IF(BL61&lt;&gt;"","Taijiquan Alternativo","")</f>
        <v/>
      </c>
      <c r="BL61" s="50" t="str">
        <f>IF(COUNTIF(BF:BH,218)&gt;0,COUNTIF(BF:BH,218),"")</f>
        <v/>
      </c>
      <c r="BM61" s="50" t="str">
        <f>IF(Atletas!K52="","",IF(Atletas!B52="Feminino",100,IF(Atletas!B52="Masculino",200,""))+(IF(Atletas!K52="Equipe 1 Grupo B",1,IF(Atletas!K52="Equipe 2 Grupo B",2,IF(Atletas!K52="Equipe 1 Grupo A",3,IF(Atletas!K52="Equipe 2 Grupo A",4,IF(Atletas!K52="Equipe 1 Adulto",5,IF(Atletas!K52="Equipe 2 Adulto",6,""))))))))</f>
        <v/>
      </c>
      <c r="BR61" s="50" t="str">
        <f>IF(Atletas!L52="","",IF(Atletas!X52&lt;&gt;"",10000,0)+(IF(Atletas!B52="Feminino",1000,IF(Atletas!B52="Masculino",2000,""))+IF(Atletas!L52="Choylayfut A",1,IF(Atletas!L52="Hunggar A",2,IF(Atletas!L52="Wuzuquan A",3,IF(Atletas!L52="Wingchun A",4,IF(Atletas!L52="Outra Mão de Sul A",5,IF(Atletas!L52="Choylayfut B",6,IF(Atletas!L52="Hunggar B",7,IF(Atletas!L52="Wuzuquan B",8,IF(Atletas!L52="Wingchun B",9,IF(Atletas!L52="Outra Mão de Sul B",10,IF(Atletas!L52="Choylayfut C",11,IF(Atletas!L52="Hunggar C",12,IF(Atletas!L52="Wuzuquan C",13,IF(Atletas!L52="Wingchun C",14,IF(Atletas!L52="Outra Mão de Sul C",15,IF(Atletas!L52="Choylayfut D",16,IF(Atletas!L52="Hunggar D",17,IF(Atletas!L52="Wuzuquan D",18,IF(Atletas!L52="Wingchun D",19,IF(Atletas!L52="Outra Mão de Sul D",20,IF(Atletas!L52="Choylayfut E",21,IF(Atletas!L52="Hunggar E",22,IF(Atletas!L52="Wuzuquan E",23,IF(Atletas!L52="Wingchun E",24,IF(Atletas!L52="Outra Mão de Sul E",25,IF(Atletas!L52="Choylayfut F",26,IF(Atletas!L52="Hunggar F",27,IF(Atletas!L52="Wuzuquan F",28,IF(Atletas!L52="Wingchun F",29,IF(Atletas!L52="Outra Mão de Sul F",30,IF(Atletas!L52="Dishuquan A",31,IF(Atletas!L52="Dishuquan B",32,IF(Atletas!L52="Dishuquan C",33,IF(Atletas!L52="Dishuquan D",34,IF(Atletas!L52="Dishuquan E",35,IF(Atletas!L52="Dishuquan F",36,""))))))))))))))))))))))))))))))))))))))</f>
        <v/>
      </c>
      <c r="BS61" s="50" t="str">
        <f>IF(Atletas!M52="","",IF(Atletas!X52&lt;&gt;"",10000,0)+(IF(Atletas!B52="Feminino",1000,IF(Atletas!B52="Masculino",2000,""))+(IF(Atletas!M52="Chaquan A",101,IF(Atletas!M52="Emeiquan A",102,IF(Atletas!M52="Fanziquan A",103,IF(Atletas!M52="Huaquan A",104,IF(Atletas!M52="Hongquan A",105,IF(Atletas!M52="Paoquan A",106,IF(Atletas!M52="Piguaquan A",107,IF(Atletas!M52="Shaolinquan A",108,IF(Atletas!M52="Tanglangquan A",109,IF(Atletas!M52="Yingzhaoquan A",110,IF(Atletas!M52="Tongbeiquan A",111,IF(Atletas!M52="Wudangquan A",112,IF(Atletas!M52="Outros Estilos A",113,IF(Atletas!M52="Chaquan B",114,IF(Atletas!M52="Emeiquan B",115,IF(Atletas!M52="Fanziquan B",116,IF(Atletas!M52="Huaquan B",117,IF(Atletas!M52="Hongquan B",118,IF(Atletas!M52="Paoquan B",119,IF(Atletas!M52="Piguaquan B",120,IF(Atletas!M52="Shaolinquan B",121,IF(Atletas!M52="Tanglangquan B",122,IF(Atletas!M52="Yingzhaoquan B",123,IF(Atletas!M52="Tongbeiquan B",124,IF(Atletas!M52="Wudangquan B",125,IF(Atletas!M52="Outros Estilos B",126,IF(Atletas!M52="Chaquan C",127,IF(Atletas!M52="Emeiquan C",128,IF(Atletas!M52="Fanziquan C",129,IF(Atletas!M52="Huaquan C",130,IF(Atletas!M52="Hongquan C",131,IF(Atletas!M52="Paoquan C",132,IF(Atletas!M52="Piguaquan C",133,IF(Atletas!M52="Shaolinquan C",134,IF(Atletas!M52="Tanglangquan C",135,IF(Atletas!M52="Yingzhaoquan C",136,IF(Atletas!M52="Tongbeiquan C",137,IF(Atletas!M52="Wudangquan C",138,IF(Atletas!M52="Outros Estilos C",139,0))))))))))))))))))))))))))))))))))))))))))</f>
        <v/>
      </c>
      <c r="BT61" s="50" t="str">
        <f>IF(Atletas!M52="","",IF(Atletas!X52&lt;&gt;"",10000,0)+(IF(Atletas!B52="Feminino",1000,IF(Atletas!B52="Masculino",2000,""))+(IF(Atletas!M52="Chaquan D",140,IF(Atletas!M52="Emeiquan D",141,IF(Atletas!M52="Fanziquan D",142,IF(Atletas!M52="Huaquan D",143,IF(Atletas!M52="Hongquan D",144,IF(Atletas!M52="Paoquan D",145,IF(Atletas!M52="Piguaquan D",146,IF(Atletas!M52="Shaolinquan D",147,IF(Atletas!M52="Tanglangquan D",148,IF(Atletas!M52="Yingzhaoquan D",149,IF(Atletas!M52="Tongbeiquan D",150,IF(Atletas!M52="Wudangquan D",151,IF(Atletas!M52="Outros Estilos D",152,IF(Atletas!M52="Chaquan E",153,IF(Atletas!M52="Emeiquan E",154,IF(Atletas!M52="Fanziquan E",155,IF(Atletas!M52="Huaquan E",156,IF(Atletas!M52="Hongquan E",157,IF(Atletas!M52="Paoquan E",158,IF(Atletas!M52="Piguaquan E",159,IF(Atletas!M52="Shaolinquan E",160,IF(Atletas!M52="Tanglangquan E",161,IF(Atletas!M52="Yingzhaoquan E",162,IF(Atletas!M52="Tongbeiquan E",163,IF(Atletas!M52="Wudangquan E",164,IF(Atletas!M52="Outros Estilos E",165,IF(Atletas!M52="Chaquan F",166,IF(Atletas!M52="Emeiquan F",167,IF(Atletas!M52="Fanziquan F",168,IF(Atletas!M52="Huaquan F",169,IF(Atletas!M52="Hongquan F",170,IF(Atletas!M52="Paoquan F",171,IF(Atletas!M52="Piguaquan F",172,IF(Atletas!M52="Shaolinquan F",173,IF(Atletas!M52="Tanglangquan F",174,IF(Atletas!M52="Yingzhaoquan F",175,IF(Atletas!M52="Tongbeiquan F",176,IF(Atletas!M52="Wudangquan F",177,IF(Atletas!M52="Outros Estilos F",178,0))))))))))))))))))))))))))))))))))))))))))</f>
        <v/>
      </c>
      <c r="BU61" s="50" t="str">
        <f>IF(Atletas!N52="","",IF(Atletas!X52&lt;&gt;"",10000,0)+(IF(Atletas!B52="Feminino",1000,IF(Atletas!B52="Masculino",2000,""))+(IF(Atletas!N52="Ditangquan A",201,IF(Atletas!N52="Houquan A",202,IF(Atletas!N52="Zuiquan A",203,IF(Atletas!N52="Ditangquan B",204,IF(Atletas!N52="Houquan B",205,IF(Atletas!N52="Zuiquan B",206,IF(Atletas!N52="Ditangquan C",207,IF(Atletas!N52="Houquan C",208,IF(Atletas!N52="Zuiquan C",209,IF(Atletas!N52="Ditangquan D",210,IF(Atletas!N52="Houquan D",211,IF(Atletas!N52="Zuiquan D",212,IF(Atletas!N52="Ditangquan E",213,IF(Atletas!N52="Houquan E",214,IF(Atletas!N52="Zuiquan E",215,IF(Atletas!N52="Ditangquan F",216,IF(Atletas!N52="Houquan F",217,IF(Atletas!N52="Zuiquan F",218,"")))))))))))))))))))))</f>
        <v/>
      </c>
      <c r="BV61" s="50" t="str">
        <f>IF(Atletas!O52="","",IF(Atletas!X52&lt;&gt;"",10000,0)+IF(Atletas!B52="Feminino",1000,IF(Atletas!B52="Masculino",2000,""))+IF(Atletas!O52="Yang A",301,IF(Atletas!O52="Chen A",302,IF(Atletas!O52="Sun A",303,IF(Atletas!O52="Wu A",304,IF(Atletas!O52="Wu-Hao A",305,IF(Atletas!O52="Outro Taijiquan A",306,IF(Atletas!O52="Yang B",307,IF(Atletas!O52="Chen B",308,IF(Atletas!O52="Sun B",309,IF(Atletas!O52="Wu B",310,IF(Atletas!O52="Wu-Hao B",311,IF(Atletas!O52="Outro Taijiquan B",312,IF(Atletas!O52="Yang C",313,IF(Atletas!O52="Chen C",314,IF(Atletas!O52="Sun C",315,IF(Atletas!O52="Wu C",316,IF(Atletas!O52="Wu-Hao C",317,IF(Atletas!O52="Outro Taijiquan C",318,IF(Atletas!O52="Yang D",319,IF(Atletas!O52="Chen D",320,IF(Atletas!O52="Sun D",321,IF(Atletas!O52="Wu D",322,IF(Atletas!O52="Wu-Hao D",323,IF(Atletas!O52="Outro Taijiquan D",324,IF(Atletas!O52="Yang E",325,IF(Atletas!O52="Chen E",326,IF(Atletas!O52="Sun E",327,IF(Atletas!O52="Wu E",328,IF(Atletas!O52="Wu-Hao E",329,IF(Atletas!O52="Outro Taijiquan E",330,IF(Atletas!O52="Yang F",331,IF(Atletas!O52="Chen F",332,IF(Atletas!O52="Sun F",333,IF(Atletas!O52="Wu F",334,IF(Atletas!O52="Wu-Hao F",335,IF(Atletas!O52="Outro Taijiquan F",336,"")))))))))))))))))))))))))))))))))))))</f>
        <v/>
      </c>
      <c r="BW61" s="50" t="str">
        <f>IF(Atletas!P52="","",IF(Atletas!X52&lt;&gt;"",10000,0)+IF(Atletas!B52="Feminino",1000,IF(Atletas!B52="Masculino",2000,""))+IF(OR(Atletas!P52="Yang 26 A",Atletas!P52="Yang 40 A"),401,IF(OR(Atletas!P52="Chen 25 A",Atletas!P52="Chen 36 A",Atletas!P52="Chen 56 A"),402,IF(Atletas!P52="Sun 73 A",403,IF(Atletas!P52="Wu 45 A",404,IF(Atletas!P52="Wu-Hao 46 A",405,IF(OR(Atletas!P52="Taijiquan 16 A",Atletas!P52="Taijiquan 24 A",Atletas!P52="Taijiquan 32 A",Atletas!P52="Taijiquan 42 A"),406,IF(OR(Atletas!P52="Yang 26 B",Atletas!P52="Yang 40 B"),407,IF(OR(Atletas!P52="Chen 25 B",Atletas!P52="Chen 36 B",Atletas!P52="Chen 56 B"),408,IF(Atletas!P52="Sun 73 B",409,IF(Atletas!P52="Wu 45 B",410,IF(Atletas!P52="Wu-Hao 46 B",411,IF(OR(Atletas!P52="Taijiquan 16 B",Atletas!P52="Taijiquan 24 B",Atletas!P52="Taijiquan 32 B",Atletas!P52="Taijiquan 42 B"),412,IF(OR(Atletas!P52="Yang 26 C",Atletas!P52="Yang 40 C"),413,IF(OR(Atletas!P52="Chen 25 C",Atletas!P52="Chen 36 C",Atletas!P52="Chen 56 C"),414,IF(Atletas!P52="Sun 73 C",415,IF(Atletas!P52="Wu 45 C",416,IF(Atletas!P52="Wu-Hao 46 C",417,IF(OR(Atletas!P52="Taijiquan 16 C",Atletas!P52="Taijiquan 24 C",Atletas!P52="Taijiquan 32 C",Atletas!P52="Taijiquan 42 C"),418,0)))))))))))))))))))</f>
        <v/>
      </c>
      <c r="BX61" s="50" t="str">
        <f>IF(Atletas!P52="","",IF(Atletas!X52&lt;&gt;"",10000,0)+IF(Atletas!B52="Feminino",1000,IF(Atletas!B52="Masculino",2000,""))+IF(OR(Atletas!P52="Yang 26 D",Atletas!P52="Yang 40 D"),419,IF(OR(Atletas!P52="Chen 25 D",Atletas!P52="Chen 36 D",Atletas!P52="Chen 56 D"),420,IF(Atletas!P52="Sun 73 D",421,IF(Atletas!P52="Wu 45 D",422,IF(Atletas!P52="Wu-Hao 46 D",423,IF(OR(Atletas!P52="Taijiquan 16 D",Atletas!P52="Taijiquan 24 D",Atletas!P52="Taijiquan 32 D",Atletas!P52="Taijiquan 42 D"),424,IF(OR(Atletas!P52="Yang 26 E",Atletas!P52="Yang 40 E"),425,IF(OR(Atletas!P52="Chen 25 E",Atletas!P52="Chen 36 E",Atletas!P52="Chen 56 E"),426,IF(Atletas!P52="Sun 73 E",427,IF(Atletas!P52="Wu 45 E",428,IF(Atletas!P52="Wu-Hao 46 E",429,IF(OR(Atletas!P52="Taijiquan 16 E",Atletas!P52="Taijiquan 24 E",Atletas!P52="Taijiquan 32 E",Atletas!P52="Taijiquan 42 E"),430,IF(OR(Atletas!P52="Yang 26 F",Atletas!P52="Yang 40 F"),431,IF(OR(Atletas!P52="Chen 25 F",Atletas!P52="Chen 36 F",Atletas!P52="Chen 56 F"),432,IF(Atletas!P52="Sun 73 F",433,IF(Atletas!P52="Wu 45 F",434,IF(Atletas!P52="Wu-Hao 46 F",435,IF(OR(Atletas!P52="Taijiquan 16 F",Atletas!P52="Taijiquan 24 F",Atletas!P52="Taijiquan 32 F",Atletas!P52="Taijiquan 42 F"),436,0)))))))))))))))))))</f>
        <v/>
      </c>
      <c r="BY61" s="50" t="str">
        <f>IF(Atletas!Q52="","",IF(Atletas!X52&lt;&gt;"",10000,0)+IF(Atletas!B52="Feminino",1000,IF(Atletas!B52="Masculino",2000,""))+IF(Atletas!Q52="Xingyiquan A",501,IF(Atletas!Q52="Baguazhang A",502,IF(Atletas!Q52="Outro Estilo Interno A",503,IF(Atletas!Q52="Xingyiquan B",504,IF(Atletas!Q52="Baguazhang B",505,IF(Atletas!Q52="Outro Estilo Interno B",506,IF(Atletas!Q52="Xingyiquan C",507,IF(Atletas!Q52="Baguazhang C",508,IF(Atletas!Q52="Outro Estilo Interno C",509,IF(Atletas!Q52="Xingyiquan D",510,IF(Atletas!Q52="Baguazhang D",511,IF(Atletas!Q52="Outro Estilo Interno D",512,IF(Atletas!Q52="Xingyiquan E",513,IF(Atletas!Q52="Baguazhang E",514,IF(Atletas!Q52="Outro Estilo Interno E",515,IF(Atletas!Q52="Xingyiquan F",516,IF(Atletas!Q52="Baguazhang F",517,IF(Atletas!Q52="Outro Estilo Interno F",518, "")))))))))))))))))))</f>
        <v/>
      </c>
      <c r="BZ61" s="50" t="str">
        <f>IF(Atletas!R52="","",IF(Atletas!X52&lt;&gt;"",10000,0)+IF(Atletas!B52="Feminino",1000,IF(Atletas!B52="Masculino",2000,""))+IF(Atletas!R52="Dao A",601,IF(Atletas!R52="Jian A",602,IF(Atletas!R52="Bishou A",603,IF(Atletas!R52="Shanzi A",604,IF(Atletas!R52="Outra Arma Curta A",605,IF(Atletas!R52="Dao B",606,IF(Atletas!R52="Jian B",607,IF(Atletas!R52="Bishou B",608,IF(Atletas!R52="Shanzi B",609,IF(Atletas!R52="Outra Arma Curta B",610,IF(Atletas!R52="Dao C",611,IF(Atletas!R52="Jian C",612,IF(Atletas!R52="Bishou C",613,IF(Atletas!R52="Shanzi C",614,IF(Atletas!R52="Outra Arma Curta C",615,IF(Atletas!R52="Dao D",616,IF(Atletas!R52="Jian D",617,IF(Atletas!R52="Bishou D",618,IF(Atletas!R52="Shanzi D",619,IF(Atletas!R52="Outra Arma Curta D",620,IF(Atletas!R52="Dao E",621,IF(Atletas!R52="Jian E",622,IF(Atletas!R52="Bishou E",623,IF(Atletas!R52="Shanzi E",624,IF(Atletas!R52="Outra Arma Curta E",625,IF(Atletas!R52="Dao F",626,IF(Atletas!R52="Jian F",627,IF(Atletas!R52="Bishou F",628,IF(Atletas!R52="Shanzi F",629,IF(Atletas!R52="Outra Arma Curta F",630, "")))))))))))))))))))))))))))))))</f>
        <v/>
      </c>
      <c r="CA61" s="50" t="str">
        <f>IF(Atletas!S52="","",IF(Atletas!X52&lt;&gt;"",10000,0)+IF(Atletas!B52="Feminino",1000,IF(Atletas!B52="Masculino",2000,""))+IF(Atletas!S52="Gun A",701,IF(Atletas!S52="Qiang A",702,IF(Atletas!S52="Pudao / Guandao A",703,IF(Atletas!S52="Outra Arma Longa A",704,IF(Atletas!S52="Gun B",705,IF(Atletas!S52="Qiang B",706,IF(Atletas!S52="Pudao / Guandao B",707,IF(Atletas!S52="Outra Arma Longa B",708,IF(Atletas!S52="Gun C",709,IF(Atletas!S52="Qiang C",710,IF(Atletas!S52="Pudao / Guandao C",711,IF(Atletas!S52="Outra Arma Longa C",712,IF(Atletas!S52="Gun D",713,IF(Atletas!S52="Qiang D",714,IF(Atletas!S52="Pudao / Guandao D",715,IF(Atletas!S52="Outra Arma Longa D",716,IF(Atletas!S52="Gun E",717,IF(Atletas!S52="Qiang E",718,IF(Atletas!S52="Pudao / Guandao E",719,IF(Atletas!S52="Outra Arma Longa E",720,IF(Atletas!S52="Gun F",721,IF(Atletas!S52="Qiang F",722,IF(Atletas!S52="Pudao / Guandao F",723,IF(Atletas!S52="Outra Arma Longa F",724,"")))))))))))))))))))))))))</f>
        <v/>
      </c>
      <c r="CB61" s="50" t="str">
        <f>IF(Atletas!T52="","",IF(Atletas!X52&lt;&gt;"",10000,0)+IF(Atletas!B52="Feminino",1000,IF(Atletas!B52="Masculino",2000,""))+IF(Atletas!T52="Outra Arma Dupla A",801,IF(Atletas!T52="Arma Maleável A",802,IF(Atletas!T52="Outra Arma Dupla B",803,IF(Atletas!T52="Arma Maleável B",804,IF(Atletas!T52="Outra Arma Dupla C",805,IF(Atletas!T52="Arma Maleável C",806,IF(Atletas!T52="Outra Arma Dupla D",807,IF(Atletas!T52="Arma Maleável D",808,IF(Atletas!T52="Outra Arma Dupla E",809,IF(Atletas!T52="Arma Maleável E",810,IF(Atletas!T52="Outra Arma Dupla F",811,IF(Atletas!T52="Arma Maleável F",812,IF(Atletas!T52="Shuangdao A",813,IF(Atletas!T52="Shuangdao B",814,IF(Atletas!T52="Shuangdao C",815,IF(Atletas!T52="Shuangdao D",816,IF(Atletas!T52="Shuangdao E",817,IF(Atletas!T52="Shuangdao F",818,"")))))))))))))))))))</f>
        <v/>
      </c>
      <c r="CC61" s="50" t="str">
        <f>IF(Atletas!U52="","",IF(Atletas!X52&lt;&gt;"",10000,0)+IF(Atletas!B52="Feminino",1000,IF(Atletas!B52="Masculino",2000,""))+IF(OR(Atletas!U52="Taijijian Yang A",Atletas!U52="Taijijian Yang Standard A"),901,IF(OR(Atletas!U52="Taijijian Chen A", Atletas!U52="Taijijian Chen Standard A"),902,IF(Atletas!U52="Taijijian Sun A",903,IF(Atletas!U52="Taijijian Wu A",904,IF(Atletas!U52="Taijijian Wu-Hao A",905,IF(OR(Atletas!U52="Taijijian 32 A",Atletas!U52="Taijijian 42 A"),906,IF(OR(Atletas!U52="Taijijian Yang B",Atletas!U52="Taijijian Yang Standard B"),907,IF(OR(Atletas!U52="Taijijian Chen B", Atletas!U52="Taijijian Chen Standard B"),908,IF(Atletas!U52="Taijijian Sun B",909,IF(Atletas!U52="Taijijian Wu B",910,IF(Atletas!U52="Taijijian Wu-Hao B",911,IF(OR(Atletas!U52="Taijijian 32 B",Atletas!U52="Taijijian 42 B"),912,IF(OR(Atletas!U52="Taijijian Yang C",Atletas!U52="Taijijian Yang Standard C"),913,IF(OR(Atletas!U52="Taijijian Chen C", Atletas!U52="Taijijian Chen Standard C"),914,IF(Atletas!U52="Taijijian Sun C",915,IF(Atletas!U52="Taijijian Wu C",916,IF(Atletas!U52="Taijijian Wu-Hao C",917,IF(OR(Atletas!U52="Taijijian 32 C",Atletas!U52="Taijijian 42 C"),918,IF(OR(Atletas!U52="Taijijian Yang D",Atletas!U52="Taijijian Yang Standard D"),919,IF(OR(Atletas!U52="Taijijian Chen D", Atletas!U52="Taijijian Chen Standard D"),920,IF(Atletas!U52="Taijijian Sun D",921,IF(Atletas!U52="Taijijian Wu D",922,IF(Atletas!U52="Taijijian Wu-Hao D",923,IF(OR(Atletas!U52="Taijijian 32 D",Atletas!U52="Taijijian 42 D"),924,IF(OR(Atletas!U52="Taijijian Yang E",Atletas!U52="Taijijian Yang Standard E"),925,IF(OR(Atletas!U52="Taijijian Chen E", Atletas!U52="Taijijian Chen Standard E"),926,IF(Atletas!U52="Taijijian Sun E",927,IF(Atletas!U52="Taijijian Wu E",928,IF(Atletas!U52="Taijijian Wu-Hao E",929,IF(OR(Atletas!U52="Taijijian 32 E",Atletas!U52="Taijijian 42 E"),930,IF(OR(Atletas!U52="Taijijian Yang F",Atletas!U52="Taijijian Yang Standard F"),931,IF(OR(Atletas!U52="Taijijian Chen F", Atletas!U52="Taijijian Chen Standard F"),932,IF(Atletas!U52="Taijijian Sun F",933,IF(Atletas!U52="Taijijian Wu F",934,IF(Atletas!U52="Taijijian Wu-Hao F",935,IF(OR(Atletas!U52="Taijijian 32 F",Atletas!U52="Taijijian 42 F"),936,"")))))))))))))))))))))))))))))))))))))</f>
        <v/>
      </c>
      <c r="CD61" s="50" t="str">
        <f>IF(Atletas!V52="","",IF(Atletas!X52&lt;&gt;"",10000,0)+IF(Atletas!B52="Feminino",1000,IF(Atletas!B52="Masculino",2000,""))+IF(Atletas!V52="Taijidao A",937,IF(Atletas!V52="TaijiShanzi A",938,IF(Atletas!V52="Taijiqiang A",939,IF(Atletas!V52="Bagua de Arma A",940,IF(Atletas!V52="Xingyi de Arma A",941,IF(Atletas!V52="Taijidao B",942,IF(Atletas!V52="TaijiShanzi B",943,IF(Atletas!V52="Taijiqiang B",944,IF(Atletas!V52="Bagua de Arma B",945,IF(Atletas!V52="Xingyi de Arma B",946,IF(Atletas!V52="Taijidao C",947,IF(Atletas!V52="TaijiShanzi C",948,IF(Atletas!V52="Taijiqiang C",949,IF(Atletas!V52="Bagua de Arma C",950,IF(Atletas!V52="Xingyi de Arma C",951,IF(Atletas!V52="Taijidao D",952,IF(Atletas!V52="TaijiShanzi D",953,IF(Atletas!V52="Taijiqiang D",954,IF(Atletas!V52="Bagua de Arma D",955,IF(Atletas!V52="Xingyi de Arma D",956,IF(Atletas!V52="Taijidao E",957,IF(Atletas!V52="TaijiShanzi E",958,IF(Atletas!V52="Taijiqiang E",959,IF(Atletas!V52="Bagua de Arma E",960,IF(Atletas!V52="Xingyi de Arma E",961,IF(Atletas!V52="Taijidao F",962,IF(Atletas!V52="TaijiShanzi F",963,IF(Atletas!V52="Taijiqiang F",964,IF(Atletas!V52="Bagua de Arma F",965,IF(Atletas!V52="Xingyi de Arma F",966,"")))))))))))))))))))))))))))))))</f>
        <v/>
      </c>
      <c r="CE61" s="66" t="str">
        <f>IF(CF61&lt;&gt;"","Paoquan B","")</f>
        <v/>
      </c>
      <c r="CF61" s="66" t="str">
        <f>IF(COUNTIF(BR:CD,1119)&gt;0,COUNTIF(BR:CD,1119),"")</f>
        <v/>
      </c>
      <c r="CG61" s="66" t="str">
        <f>IF(CH61&lt;&gt;"","Paoquan B","")</f>
        <v/>
      </c>
      <c r="CH61" s="66" t="str">
        <f>IF(COUNTIF(BR:CD,2119)&gt;0,COUNTIF(BR:CD,2119),"")</f>
        <v/>
      </c>
      <c r="CI61" s="66" t="str">
        <f>IF(CJ61&lt;&gt;"","Wudangquan B","")</f>
        <v/>
      </c>
      <c r="CJ61" s="66" t="str">
        <f>IF(COUNTIF(BR:CD,11125)&gt;0,COUNTIF(BR:CD,11125),"")</f>
        <v/>
      </c>
      <c r="CK61" s="66" t="str">
        <f>IF(CL61&lt;&gt;"","Wudangquan B","")</f>
        <v/>
      </c>
      <c r="CL61" s="66" t="str">
        <f>IF(COUNTIF(BR:CD,12125)&gt;0,COUNTIF(BR:CD,12125),"")</f>
        <v/>
      </c>
      <c r="CM61" s="50" t="str">
        <f xml:space="preserve"> IF(Atletas!W52="","",IF(Atletas!W52="Duilian de Mãos BC - Equipe 1",1,IF(Atletas!W52="Duilian de Mãos BC - Equipe 2",2,IF(Atletas!W52="Duilian de Armas BC - Equipe 1",3,IF(Atletas!W52="Duilian de Armas BC - Equipe 2",4,IF(Atletas!W52="Duilian de Mãos DE - Equipe 1",5,IF(Atletas!W52="Duilian de Mãos DE - Equipe 2",6,IF(Atletas!W52="Duilian de Armas DE - Equipe 1",7,IF(Atletas!W52="Duilian de Armas DE - Equipe 2",8,IF(Atletas!W52="Duilian de Tuishou - Equipe 1",9,IF(Atletas!W52="Duilian de Tuishou - Equipe 2",10,IF(Atletas!W52="Grupo Externo ABC - Equipe 1",11,IF(Atletas!W52="Grupo Externo ABC - Equipe 2",12,IF(Atletas!W52="Grupo Interno ABC - Equipe 1",13,IF(Atletas!W52="Grupo Interno ABC - Equipe 2",14,IF(Atletas!W52="Grupo Externo DEF - Equipe 1",15,IF(Atletas!W52="Grupo Externo DEF - Equipe 2",16,IF(Atletas!W52="Grupo Interno DEF - Equipe 1",17,IF(Atletas!W52="Grupo Interno DEF - Equipe 2",18,"")))))))))))))))))))</f>
        <v/>
      </c>
      <c r="CY61" s="41"/>
    </row>
    <row r="62" spans="2:103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 t="str">
        <f t="array" ref="R62">IFERROR(INDEX(BI$7:BI$68,SMALL(IF(BI$7:BI$68&lt;&gt;"",ROW(BI$7:BI$68)-ROW(BI$7)+1),ROWS(BI$7:BI61))),"")</f>
        <v/>
      </c>
      <c r="S62" s="3" t="str">
        <f t="array" ref="S62">IFERROR(INDEX(BJ$7:BJ$68,SMALL(IF(BJ$7:BJ$68&lt;&gt;"",ROW(BJ$7:BJ$68)-ROW(BJ$7)+1),ROWS(BJ$7:BJ61))),"")</f>
        <v/>
      </c>
      <c r="T62" s="3" t="str">
        <f t="array" ref="T62">IFERROR(INDEX(BK$7:BK$68,SMALL(IF(BK$7:BK$68&lt;&gt;"",ROW(BK$7:BK$68)-ROW(BK$7)+1),ROWS(BK$7:BK61))),"")</f>
        <v/>
      </c>
      <c r="U62" s="3" t="str">
        <f t="array" ref="U62">IFERROR(INDEX(BL$7:BL$68,SMALL(IF(BL$7:BL$68&lt;&gt;"",ROW(BL$7:BL$68)-ROW(BL$7)+1),ROWS(BL$7:BL61))),"")</f>
        <v/>
      </c>
      <c r="V62" s="3"/>
      <c r="W62" s="3"/>
      <c r="X62" s="20"/>
      <c r="Y62" s="3"/>
      <c r="Z62" s="3" t="str">
        <f t="array" ref="Z62">IFERROR(INDEX(CE$7:CE$348,SMALL(IF(CE$7:CE$348&lt;&gt;"",ROW(CE$7:CE$348)-ROW(CE$7)+1),ROWS(CE$7:CE61))),"")</f>
        <v/>
      </c>
      <c r="AA62" s="3" t="str">
        <f t="array" ref="AA62">IFERROR(INDEX(CF$7:CF$348,SMALL(IF(CF$7:CF$348&lt;&gt;"",ROW(CF$7:CF$348)-ROW(CF$7)+1),ROWS(CF$7:CF61))),"")</f>
        <v/>
      </c>
      <c r="AB62" s="3" t="str">
        <f t="array" ref="AB62">IFERROR(INDEX(CG$7:CG$348,SMALL(IF(CG$7:CG$348&lt;&gt;"",ROW(CG$7:CG$348)-ROW(CG$7)+1),ROWS(CG$7:CG61))),"")</f>
        <v/>
      </c>
      <c r="AC62" s="3" t="str">
        <f t="array" ref="AC62">IFERROR(INDEX(CH$7:CH$348,SMALL(IF(CH$7:CH$348&lt;&gt;"",ROW(CH$7:CH$348)-ROW(CH$7)+1),ROWS(CH$7:CH61))),"")</f>
        <v/>
      </c>
      <c r="AD62" s="3" t="str">
        <f t="array" ref="AD62">IFERROR(INDEX(CI$7:CI$377,SMALL(IF(CI$7:CI$377&lt;&gt;"",ROW(CI$7:CI$377)-ROW(CI$7)+1),ROWS(CI$7:CI61))),"")</f>
        <v/>
      </c>
      <c r="AE62" s="3" t="str">
        <f t="array" ref="AE62">IFERROR(INDEX(CJ$7:CJ$378,SMALL(IF(CJ$7:CJ$378&lt;&gt;"",ROW(CJ$7:CJ$378)-ROW(CJ$7)+1),ROWS(CJ$7:CJ61))),"")</f>
        <v/>
      </c>
      <c r="AF62" s="3" t="str">
        <f t="array" ref="AF62">IFERROR(INDEX(CK$7:CK$378,SMALL(IF(CK$7:CK$378&lt;&gt;"",ROW(CK$7:CK$378)-ROW(CK$7)+1),ROWS(CK$7:CK61))),"")</f>
        <v/>
      </c>
      <c r="AG62" s="3" t="str">
        <f t="array" ref="AG62">IFERROR(INDEX(CL$7:CL$378,SMALL(IF(CL$7:CL$378&lt;&gt;"",ROW(CL$7:CL$378)-ROW(CL$7)+1),ROWS(CL$7:CL61))),"")</f>
        <v/>
      </c>
      <c r="AH62" s="3"/>
      <c r="AI62" s="3"/>
      <c r="AJ62" s="3"/>
      <c r="AK62" s="3"/>
      <c r="AL62" s="3"/>
      <c r="AM62" s="3"/>
      <c r="AN62" s="52" t="str">
        <f>IF(Atletas!D53="","",IF(Atletas!B53="Feminino",100,IF(Atletas!B53="Masculino",200,""))+(IF(Atletas!D53="Kids 30kg",1,IF(Atletas!D53="Kids 32kg",2, IF(Atletas!D53="Kids 34kg",3,IF(Atletas!D53="Kids 36kg",4,IF(Atletas!D53="Kids 39kg",5,IF(Atletas!D53="Kids 42kg",6,IF(Atletas!D53="Kids 45kg",7, IF(Atletas!D53="Infantil 39kg",8,IF(Atletas!D53="Infantil 42kg",9,IF(Atletas!D53="Infantil 45kg",10,IF(Atletas!D53="Infantil 48kg",11,IF(Atletas!D53="Infantil 52kg",12,IF(Atletas!D53="Infantil 56kg",13,IF(Atletas!D53="Infantil 60kg",14,IF(Atletas!D53="Juvenil 48kg",15,IF(Atletas!D53="Juvenil 52kg",16,IF(Atletas!D53="Juvenil 56kg",17,IF(Atletas!D53="Juvenil 60kg",18,IF(Atletas!D53="Juvenil 65kg",19,IF(Atletas!D53="Juvenil 70kg",20,IF(Atletas!D53="Juvenil 75kg",21,IF(Atletas!D53="Juvenil 80kg",22, IF(Atletas!D53="Juvenil 85kg",23,IF(Atletas!D53="Adulto 48kg",24,IF(Atletas!D53="Adulto 52kg",25,IF(Atletas!D53="Adulto 56kg",26,IF(Atletas!D53="Adulto 60kg",27,IF(Atletas!D53="Adulto 65kg",28,IF(Atletas!D53="Adulto 70kg",29,IF(Atletas!D53="Adulto 75kg",30,IF(Atletas!D53="Adulto 80kg",31,IF(Atletas!D53="Adulto 85kg",32,IF(Atletas!D53="Adulto 90kg",33,IF(Atletas!D53="Adulto 100kg",34, IF(Atletas!D53="Adulto +100kg",35,"")))))))))))))))))))))))))))))))))))))</f>
        <v/>
      </c>
      <c r="AS62" s="6" t="str">
        <f>IF(Atletas!E53="","",IF(Atletas!B53="Feminino",100,IF(Atletas!B53="Masculino",200,""))+(IF(Atletas!E53="Juvenil 44kg",1,IF(Atletas!E53="Juvenil 48kg",2,IF(Atletas!E53="Juvenil 52kg",3,IF(Atletas!E53="Juvenil 56kg",4,IF(Atletas!E53="Juvenil 60kg",5,IF(Atletas!E53="Juvenil 65kg",6,IF(Atletas!E53="Juvenil 70kg",7,IF(Atletas!E53="Juvenil 75kg",8,IF(Atletas!E53="Juvenil 82kg",9,IF(Atletas!E53="Juvenil 90kg",10,IF(Atletas!E53="Juvenil 100kg",11,IF(Atletas!E53="Adulto 48kg",12,IF(Atletas!E53="Adulto 52kg",13,IF(Atletas!E53="Adulto 56kg",14,IF(Atletas!E53="Adulto 60kg",15,IF(Atletas!E53="Adulto 65kg",16,IF(Atletas!E53="Adulto 70kg",17,IF(Atletas!E53="Adulto 75kg",18,IF(Atletas!E53="Adulto 82kg",19,IF(Atletas!E53="Adulto 90kg",20,IF(Atletas!E53="Adulto 100kg",21,IF(Atletas!E53="Adulto +100kg",22,""))))))))))))))))))))))))</f>
        <v/>
      </c>
      <c r="AX62" s="6" t="str">
        <f>IF(Atletas!F53="","",IF(Atletas!B53="Feminino",100,IF(Atletas!B53="Masculino",200,""))+(IF(Atletas!F53="Adulto 48kg",1,IF(Atletas!F53="Adulto 56kg",2,IF(Atletas!F53="Adulto 65kg",3,IF(Atletas!F53="Adulto 75kg",4,IF(Atletas!F53="Adulto +75kg",5,IF(Atletas!F53="Adulto 52kg",6,IF(Atletas!F53="Adulto 60kg",7,IF(Atletas!F53="Adulto 70kg",8,IF(Atletas!F53="Adulto 80kg",9,IF(Atletas!F53="Adulto 90kg",10,IF(Atletas!F53="Adulto +90kg",11,"")))))))))))))</f>
        <v/>
      </c>
      <c r="BC62" s="6" t="str">
        <f>IF(Atletas!G53="","",IF(Atletas!B53="Feminino",10,IF(Atletas!B53="Masculino",20,""))+(IF(Atletas!G53="Baduanjin A",1,IF(Atletas!G53="Baduanjin B",2))))</f>
        <v/>
      </c>
      <c r="BF62" s="52" t="str">
        <f>IF(Atletas!H53="","",IF(Atletas!B53="Feminino",100,IF(Atletas!B53="Masculino",200,""))+(IF(Atletas!H53="Changquan Mirim",1,IF(Atletas!H53="Nanquan Mirim",2,IF(Atletas!H53="Taijiquan Mirim",3,IF(Atletas!H53="Changquan Grupo C",4,IF(Atletas!H53="Nanquan Grupo C",5,IF(Atletas!H53="Taijiquan Grupo C",6,IF(Atletas!H53="Changquan Grupo B",7,IF(Atletas!H53="Nanquan Grupo B",8,IF(Atletas!H53="Taijiquan Grupo B",9,IF(Atletas!H53="Changquan Grupo A",10,IF(Atletas!H53="Nanquan Grupo A",11,IF(Atletas!H53="Taijiquan Grupo A",12,IF(Atletas!H53="Changquan Opcional",13,IF(Atletas!H53="Nanquan Opcional",14,IF(Atletas!H53="Taijiquan Opcional",15,IF(Atletas!H53="Changquan Adulto",16,IF(Atletas!H53="Nanquan Adulto",17,IF(Atletas!H53="Taijiquan Adulto",18,""))))))))))))))))))))</f>
        <v/>
      </c>
      <c r="BG62" s="52" t="str">
        <f>IF(Atletas!I53="","",IF(Atletas!B53="Feminino",100,IF(Atletas!B53="Masculino",200,""))+(IF(Atletas!I53="Daoshu Mirim",19,IF(Atletas!I53="Jianshu Mirim",20,IF(Atletas!I53="Nandao Mirim",21,IF(Atletas!I53="Taijijian Mirim",22,IF(Atletas!I53="Daoshu Grupo C",23,IF(Atletas!I53="Jianshu Grupo C",24,IF(Atletas!I53="Nandao Grupo C",25,IF(Atletas!I53="Taijijian Grupo C",26,IF(Atletas!I53="Daoshu Grupo B",27,IF(Atletas!I53="Jianshu Grupo B",28,IF(Atletas!I53="Nandao Grupo B",29,IF(Atletas!I53="Taijijian Grupo B",30,IF(Atletas!I53="Daoshu Grupo A",31,IF(Atletas!I53="Jianshu Grupo A",32,IF(Atletas!I53="Nandao Grupo A",33,IF(Atletas!I53="Taijijian Grupo A",34,IF(Atletas!I53="Daoshu Opcional",35,IF(Atletas!I53="Jianshu Opcional",36,IF(Atletas!I53="Nandao Opcional",37,IF(Atletas!I53="Taijijian Opcional",38,IF(Atletas!I53="Daoshu Adulto",39,IF(Atletas!I53="Jianshu Adulto",40,IF(Atletas!I53="Nandao Adulto",41,IF(Atletas!I53="Taijijian Adulto",42,""))))))))))))))))))))))))))</f>
        <v/>
      </c>
      <c r="BH62" s="52" t="str">
        <f>IF(Atletas!J53="","",IF(Atletas!B53="Feminino",100,IF(Atletas!B53="Masculino",200,""))+(IF(Atletas!J53="Gunshu Mirim",43,IF(Atletas!J53="Qiangshu Mirim",44,IF(Atletas!J53="Nangun Mirim",45,IF(Atletas!J53="Gunshu Grupo C",46,IF(Atletas!J53="Qiangshu Grupo C",47,IF(Atletas!J53="Nangun Grupo C",48,IF(Atletas!J53="Gunshu Grupo B",49,IF(Atletas!J53="Qiangshu Grupo B",50,IF(Atletas!J53="Nangun Grupo B",51,IF(Atletas!J53="Gunshu Grupo A",52,IF(Atletas!J53="Qiangshu Grupo A",53,IF(Atletas!J53="Nangun Grupo A",54,IF(Atletas!J53="Gunshu Opcional",55,IF(Atletas!J53="Qiangshu Opcional",56,IF(Atletas!J53="Nangun Opcional",57,IF(Atletas!J53="Gunshu Adulto",58,IF(Atletas!J53="Qiangshu Adulto",59,IF(Atletas!J53="Nangun Adulto",60,IF(Atletas!J53="Taijishan Grupo B",61,IF(Atletas!J53="Taijishan Grupo A",62,""))))))))))))))))))))))</f>
        <v/>
      </c>
      <c r="BI62" s="6" t="str">
        <f>IF(BJ62&lt;&gt;"","Daoshu Alternativo","")</f>
        <v/>
      </c>
      <c r="BJ62" s="50" t="str">
        <f>IF(COUNTIF(BF:BH,139)&gt;0,COUNTIF(BF:BH,139),"")</f>
        <v/>
      </c>
      <c r="BK62" s="6" t="str">
        <f>IF(BL62&lt;&gt;"","Daoshu Alternativo","")</f>
        <v/>
      </c>
      <c r="BL62" s="50" t="str">
        <f>IF(COUNTIF(BF:BH,239)&gt;0,COUNTIF(BF:BH,239),"")</f>
        <v/>
      </c>
      <c r="BM62" s="50" t="str">
        <f>IF(Atletas!K53="","",IF(Atletas!B53="Feminino",100,IF(Atletas!B53="Masculino",200,""))+(IF(Atletas!K53="Equipe 1 Grupo B",1,IF(Atletas!K53="Equipe 2 Grupo B",2,IF(Atletas!K53="Equipe 1 Grupo A",3,IF(Atletas!K53="Equipe 2 Grupo A",4,IF(Atletas!K53="Equipe 1 Adulto",5,IF(Atletas!K53="Equipe 2 Adulto",6,""))))))))</f>
        <v/>
      </c>
      <c r="BR62" s="50" t="str">
        <f>IF(Atletas!L53="","",IF(Atletas!X53&lt;&gt;"",10000,0)+(IF(Atletas!B53="Feminino",1000,IF(Atletas!B53="Masculino",2000,""))+IF(Atletas!L53="Choylayfut A",1,IF(Atletas!L53="Hunggar A",2,IF(Atletas!L53="Wuzuquan A",3,IF(Atletas!L53="Wingchun A",4,IF(Atletas!L53="Outra Mão de Sul A",5,IF(Atletas!L53="Choylayfut B",6,IF(Atletas!L53="Hunggar B",7,IF(Atletas!L53="Wuzuquan B",8,IF(Atletas!L53="Wingchun B",9,IF(Atletas!L53="Outra Mão de Sul B",10,IF(Atletas!L53="Choylayfut C",11,IF(Atletas!L53="Hunggar C",12,IF(Atletas!L53="Wuzuquan C",13,IF(Atletas!L53="Wingchun C",14,IF(Atletas!L53="Outra Mão de Sul C",15,IF(Atletas!L53="Choylayfut D",16,IF(Atletas!L53="Hunggar D",17,IF(Atletas!L53="Wuzuquan D",18,IF(Atletas!L53="Wingchun D",19,IF(Atletas!L53="Outra Mão de Sul D",20,IF(Atletas!L53="Choylayfut E",21,IF(Atletas!L53="Hunggar E",22,IF(Atletas!L53="Wuzuquan E",23,IF(Atletas!L53="Wingchun E",24,IF(Atletas!L53="Outra Mão de Sul E",25,IF(Atletas!L53="Choylayfut F",26,IF(Atletas!L53="Hunggar F",27,IF(Atletas!L53="Wuzuquan F",28,IF(Atletas!L53="Wingchun F",29,IF(Atletas!L53="Outra Mão de Sul F",30,IF(Atletas!L53="Dishuquan A",31,IF(Atletas!L53="Dishuquan B",32,IF(Atletas!L53="Dishuquan C",33,IF(Atletas!L53="Dishuquan D",34,IF(Atletas!L53="Dishuquan E",35,IF(Atletas!L53="Dishuquan F",36,""))))))))))))))))))))))))))))))))))))))</f>
        <v/>
      </c>
      <c r="BS62" s="50" t="str">
        <f>IF(Atletas!M53="","",IF(Atletas!X53&lt;&gt;"",10000,0)+(IF(Atletas!B53="Feminino",1000,IF(Atletas!B53="Masculino",2000,""))+(IF(Atletas!M53="Chaquan A",101,IF(Atletas!M53="Emeiquan A",102,IF(Atletas!M53="Fanziquan A",103,IF(Atletas!M53="Huaquan A",104,IF(Atletas!M53="Hongquan A",105,IF(Atletas!M53="Paoquan A",106,IF(Atletas!M53="Piguaquan A",107,IF(Atletas!M53="Shaolinquan A",108,IF(Atletas!M53="Tanglangquan A",109,IF(Atletas!M53="Yingzhaoquan A",110,IF(Atletas!M53="Tongbeiquan A",111,IF(Atletas!M53="Wudangquan A",112,IF(Atletas!M53="Outros Estilos A",113,IF(Atletas!M53="Chaquan B",114,IF(Atletas!M53="Emeiquan B",115,IF(Atletas!M53="Fanziquan B",116,IF(Atletas!M53="Huaquan B",117,IF(Atletas!M53="Hongquan B",118,IF(Atletas!M53="Paoquan B",119,IF(Atletas!M53="Piguaquan B",120,IF(Atletas!M53="Shaolinquan B",121,IF(Atletas!M53="Tanglangquan B",122,IF(Atletas!M53="Yingzhaoquan B",123,IF(Atletas!M53="Tongbeiquan B",124,IF(Atletas!M53="Wudangquan B",125,IF(Atletas!M53="Outros Estilos B",126,IF(Atletas!M53="Chaquan C",127,IF(Atletas!M53="Emeiquan C",128,IF(Atletas!M53="Fanziquan C",129,IF(Atletas!M53="Huaquan C",130,IF(Atletas!M53="Hongquan C",131,IF(Atletas!M53="Paoquan C",132,IF(Atletas!M53="Piguaquan C",133,IF(Atletas!M53="Shaolinquan C",134,IF(Atletas!M53="Tanglangquan C",135,IF(Atletas!M53="Yingzhaoquan C",136,IF(Atletas!M53="Tongbeiquan C",137,IF(Atletas!M53="Wudangquan C",138,IF(Atletas!M53="Outros Estilos C",139,0))))))))))))))))))))))))))))))))))))))))))</f>
        <v/>
      </c>
      <c r="BT62" s="50" t="str">
        <f>IF(Atletas!M53="","",IF(Atletas!X53&lt;&gt;"",10000,0)+(IF(Atletas!B53="Feminino",1000,IF(Atletas!B53="Masculino",2000,""))+(IF(Atletas!M53="Chaquan D",140,IF(Atletas!M53="Emeiquan D",141,IF(Atletas!M53="Fanziquan D",142,IF(Atletas!M53="Huaquan D",143,IF(Atletas!M53="Hongquan D",144,IF(Atletas!M53="Paoquan D",145,IF(Atletas!M53="Piguaquan D",146,IF(Atletas!M53="Shaolinquan D",147,IF(Atletas!M53="Tanglangquan D",148,IF(Atletas!M53="Yingzhaoquan D",149,IF(Atletas!M53="Tongbeiquan D",150,IF(Atletas!M53="Wudangquan D",151,IF(Atletas!M53="Outros Estilos D",152,IF(Atletas!M53="Chaquan E",153,IF(Atletas!M53="Emeiquan E",154,IF(Atletas!M53="Fanziquan E",155,IF(Atletas!M53="Huaquan E",156,IF(Atletas!M53="Hongquan E",157,IF(Atletas!M53="Paoquan E",158,IF(Atletas!M53="Piguaquan E",159,IF(Atletas!M53="Shaolinquan E",160,IF(Atletas!M53="Tanglangquan E",161,IF(Atletas!M53="Yingzhaoquan E",162,IF(Atletas!M53="Tongbeiquan E",163,IF(Atletas!M53="Wudangquan E",164,IF(Atletas!M53="Outros Estilos E",165,IF(Atletas!M53="Chaquan F",166,IF(Atletas!M53="Emeiquan F",167,IF(Atletas!M53="Fanziquan F",168,IF(Atletas!M53="Huaquan F",169,IF(Atletas!M53="Hongquan F",170,IF(Atletas!M53="Paoquan F",171,IF(Atletas!M53="Piguaquan F",172,IF(Atletas!M53="Shaolinquan F",173,IF(Atletas!M53="Tanglangquan F",174,IF(Atletas!M53="Yingzhaoquan F",175,IF(Atletas!M53="Tongbeiquan F",176,IF(Atletas!M53="Wudangquan F",177,IF(Atletas!M53="Outros Estilos F",178,0))))))))))))))))))))))))))))))))))))))))))</f>
        <v/>
      </c>
      <c r="BU62" s="50" t="str">
        <f>IF(Atletas!N53="","",IF(Atletas!X53&lt;&gt;"",10000,0)+(IF(Atletas!B53="Feminino",1000,IF(Atletas!B53="Masculino",2000,""))+(IF(Atletas!N53="Ditangquan A",201,IF(Atletas!N53="Houquan A",202,IF(Atletas!N53="Zuiquan A",203,IF(Atletas!N53="Ditangquan B",204,IF(Atletas!N53="Houquan B",205,IF(Atletas!N53="Zuiquan B",206,IF(Atletas!N53="Ditangquan C",207,IF(Atletas!N53="Houquan C",208,IF(Atletas!N53="Zuiquan C",209,IF(Atletas!N53="Ditangquan D",210,IF(Atletas!N53="Houquan D",211,IF(Atletas!N53="Zuiquan D",212,IF(Atletas!N53="Ditangquan E",213,IF(Atletas!N53="Houquan E",214,IF(Atletas!N53="Zuiquan E",215,IF(Atletas!N53="Ditangquan F",216,IF(Atletas!N53="Houquan F",217,IF(Atletas!N53="Zuiquan F",218,"")))))))))))))))))))))</f>
        <v/>
      </c>
      <c r="BV62" s="50" t="str">
        <f>IF(Atletas!O53="","",IF(Atletas!X53&lt;&gt;"",10000,0)+IF(Atletas!B53="Feminino",1000,IF(Atletas!B53="Masculino",2000,""))+IF(Atletas!O53="Yang A",301,IF(Atletas!O53="Chen A",302,IF(Atletas!O53="Sun A",303,IF(Atletas!O53="Wu A",304,IF(Atletas!O53="Wu-Hao A",305,IF(Atletas!O53="Outro Taijiquan A",306,IF(Atletas!O53="Yang B",307,IF(Atletas!O53="Chen B",308,IF(Atletas!O53="Sun B",309,IF(Atletas!O53="Wu B",310,IF(Atletas!O53="Wu-Hao B",311,IF(Atletas!O53="Outro Taijiquan B",312,IF(Atletas!O53="Yang C",313,IF(Atletas!O53="Chen C",314,IF(Atletas!O53="Sun C",315,IF(Atletas!O53="Wu C",316,IF(Atletas!O53="Wu-Hao C",317,IF(Atletas!O53="Outro Taijiquan C",318,IF(Atletas!O53="Yang D",319,IF(Atletas!O53="Chen D",320,IF(Atletas!O53="Sun D",321,IF(Atletas!O53="Wu D",322,IF(Atletas!O53="Wu-Hao D",323,IF(Atletas!O53="Outro Taijiquan D",324,IF(Atletas!O53="Yang E",325,IF(Atletas!O53="Chen E",326,IF(Atletas!O53="Sun E",327,IF(Atletas!O53="Wu E",328,IF(Atletas!O53="Wu-Hao E",329,IF(Atletas!O53="Outro Taijiquan E",330,IF(Atletas!O53="Yang F",331,IF(Atletas!O53="Chen F",332,IF(Atletas!O53="Sun F",333,IF(Atletas!O53="Wu F",334,IF(Atletas!O53="Wu-Hao F",335,IF(Atletas!O53="Outro Taijiquan F",336,"")))))))))))))))))))))))))))))))))))))</f>
        <v/>
      </c>
      <c r="BW62" s="50" t="str">
        <f>IF(Atletas!P53="","",IF(Atletas!X53&lt;&gt;"",10000,0)+IF(Atletas!B53="Feminino",1000,IF(Atletas!B53="Masculino",2000,""))+IF(OR(Atletas!P53="Yang 26 A",Atletas!P53="Yang 40 A"),401,IF(OR(Atletas!P53="Chen 25 A",Atletas!P53="Chen 36 A",Atletas!P53="Chen 56 A"),402,IF(Atletas!P53="Sun 73 A",403,IF(Atletas!P53="Wu 45 A",404,IF(Atletas!P53="Wu-Hao 46 A",405,IF(OR(Atletas!P53="Taijiquan 16 A",Atletas!P53="Taijiquan 24 A",Atletas!P53="Taijiquan 32 A",Atletas!P53="Taijiquan 42 A"),406,IF(OR(Atletas!P53="Yang 26 B",Atletas!P53="Yang 40 B"),407,IF(OR(Atletas!P53="Chen 25 B",Atletas!P53="Chen 36 B",Atletas!P53="Chen 56 B"),408,IF(Atletas!P53="Sun 73 B",409,IF(Atletas!P53="Wu 45 B",410,IF(Atletas!P53="Wu-Hao 46 B",411,IF(OR(Atletas!P53="Taijiquan 16 B",Atletas!P53="Taijiquan 24 B",Atletas!P53="Taijiquan 32 B",Atletas!P53="Taijiquan 42 B"),412,IF(OR(Atletas!P53="Yang 26 C",Atletas!P53="Yang 40 C"),413,IF(OR(Atletas!P53="Chen 25 C",Atletas!P53="Chen 36 C",Atletas!P53="Chen 56 C"),414,IF(Atletas!P53="Sun 73 C",415,IF(Atletas!P53="Wu 45 C",416,IF(Atletas!P53="Wu-Hao 46 C",417,IF(OR(Atletas!P53="Taijiquan 16 C",Atletas!P53="Taijiquan 24 C",Atletas!P53="Taijiquan 32 C",Atletas!P53="Taijiquan 42 C"),418,0)))))))))))))))))))</f>
        <v/>
      </c>
      <c r="BX62" s="50" t="str">
        <f>IF(Atletas!P53="","",IF(Atletas!X53&lt;&gt;"",10000,0)+IF(Atletas!B53="Feminino",1000,IF(Atletas!B53="Masculino",2000,""))+IF(OR(Atletas!P53="Yang 26 D",Atletas!P53="Yang 40 D"),419,IF(OR(Atletas!P53="Chen 25 D",Atletas!P53="Chen 36 D",Atletas!P53="Chen 56 D"),420,IF(Atletas!P53="Sun 73 D",421,IF(Atletas!P53="Wu 45 D",422,IF(Atletas!P53="Wu-Hao 46 D",423,IF(OR(Atletas!P53="Taijiquan 16 D",Atletas!P53="Taijiquan 24 D",Atletas!P53="Taijiquan 32 D",Atletas!P53="Taijiquan 42 D"),424,IF(OR(Atletas!P53="Yang 26 E",Atletas!P53="Yang 40 E"),425,IF(OR(Atletas!P53="Chen 25 E",Atletas!P53="Chen 36 E",Atletas!P53="Chen 56 E"),426,IF(Atletas!P53="Sun 73 E",427,IF(Atletas!P53="Wu 45 E",428,IF(Atletas!P53="Wu-Hao 46 E",429,IF(OR(Atletas!P53="Taijiquan 16 E",Atletas!P53="Taijiquan 24 E",Atletas!P53="Taijiquan 32 E",Atletas!P53="Taijiquan 42 E"),430,IF(OR(Atletas!P53="Yang 26 F",Atletas!P53="Yang 40 F"),431,IF(OR(Atletas!P53="Chen 25 F",Atletas!P53="Chen 36 F",Atletas!P53="Chen 56 F"),432,IF(Atletas!P53="Sun 73 F",433,IF(Atletas!P53="Wu 45 F",434,IF(Atletas!P53="Wu-Hao 46 F",435,IF(OR(Atletas!P53="Taijiquan 16 F",Atletas!P53="Taijiquan 24 F",Atletas!P53="Taijiquan 32 F",Atletas!P53="Taijiquan 42 F"),436,0)))))))))))))))))))</f>
        <v/>
      </c>
      <c r="BY62" s="50" t="str">
        <f>IF(Atletas!Q53="","",IF(Atletas!X53&lt;&gt;"",10000,0)+IF(Atletas!B53="Feminino",1000,IF(Atletas!B53="Masculino",2000,""))+IF(Atletas!Q53="Xingyiquan A",501,IF(Atletas!Q53="Baguazhang A",502,IF(Atletas!Q53="Outro Estilo Interno A",503,IF(Atletas!Q53="Xingyiquan B",504,IF(Atletas!Q53="Baguazhang B",505,IF(Atletas!Q53="Outro Estilo Interno B",506,IF(Atletas!Q53="Xingyiquan C",507,IF(Atletas!Q53="Baguazhang C",508,IF(Atletas!Q53="Outro Estilo Interno C",509,IF(Atletas!Q53="Xingyiquan D",510,IF(Atletas!Q53="Baguazhang D",511,IF(Atletas!Q53="Outro Estilo Interno D",512,IF(Atletas!Q53="Xingyiquan E",513,IF(Atletas!Q53="Baguazhang E",514,IF(Atletas!Q53="Outro Estilo Interno E",515,IF(Atletas!Q53="Xingyiquan F",516,IF(Atletas!Q53="Baguazhang F",517,IF(Atletas!Q53="Outro Estilo Interno F",518, "")))))))))))))))))))</f>
        <v/>
      </c>
      <c r="BZ62" s="50" t="str">
        <f>IF(Atletas!R53="","",IF(Atletas!X53&lt;&gt;"",10000,0)+IF(Atletas!B53="Feminino",1000,IF(Atletas!B53="Masculino",2000,""))+IF(Atletas!R53="Dao A",601,IF(Atletas!R53="Jian A",602,IF(Atletas!R53="Bishou A",603,IF(Atletas!R53="Shanzi A",604,IF(Atletas!R53="Outra Arma Curta A",605,IF(Atletas!R53="Dao B",606,IF(Atletas!R53="Jian B",607,IF(Atletas!R53="Bishou B",608,IF(Atletas!R53="Shanzi B",609,IF(Atletas!R53="Outra Arma Curta B",610,IF(Atletas!R53="Dao C",611,IF(Atletas!R53="Jian C",612,IF(Atletas!R53="Bishou C",613,IF(Atletas!R53="Shanzi C",614,IF(Atletas!R53="Outra Arma Curta C",615,IF(Atletas!R53="Dao D",616,IF(Atletas!R53="Jian D",617,IF(Atletas!R53="Bishou D",618,IF(Atletas!R53="Shanzi D",619,IF(Atletas!R53="Outra Arma Curta D",620,IF(Atletas!R53="Dao E",621,IF(Atletas!R53="Jian E",622,IF(Atletas!R53="Bishou E",623,IF(Atletas!R53="Shanzi E",624,IF(Atletas!R53="Outra Arma Curta E",625,IF(Atletas!R53="Dao F",626,IF(Atletas!R53="Jian F",627,IF(Atletas!R53="Bishou F",628,IF(Atletas!R53="Shanzi F",629,IF(Atletas!R53="Outra Arma Curta F",630, "")))))))))))))))))))))))))))))))</f>
        <v/>
      </c>
      <c r="CA62" s="50" t="str">
        <f>IF(Atletas!S53="","",IF(Atletas!X53&lt;&gt;"",10000,0)+IF(Atletas!B53="Feminino",1000,IF(Atletas!B53="Masculino",2000,""))+IF(Atletas!S53="Gun A",701,IF(Atletas!S53="Qiang A",702,IF(Atletas!S53="Pudao / Guandao A",703,IF(Atletas!S53="Outra Arma Longa A",704,IF(Atletas!S53="Gun B",705,IF(Atletas!S53="Qiang B",706,IF(Atletas!S53="Pudao / Guandao B",707,IF(Atletas!S53="Outra Arma Longa B",708,IF(Atletas!S53="Gun C",709,IF(Atletas!S53="Qiang C",710,IF(Atletas!S53="Pudao / Guandao C",711,IF(Atletas!S53="Outra Arma Longa C",712,IF(Atletas!S53="Gun D",713,IF(Atletas!S53="Qiang D",714,IF(Atletas!S53="Pudao / Guandao D",715,IF(Atletas!S53="Outra Arma Longa D",716,IF(Atletas!S53="Gun E",717,IF(Atletas!S53="Qiang E",718,IF(Atletas!S53="Pudao / Guandao E",719,IF(Atletas!S53="Outra Arma Longa E",720,IF(Atletas!S53="Gun F",721,IF(Atletas!S53="Qiang F",722,IF(Atletas!S53="Pudao / Guandao F",723,IF(Atletas!S53="Outra Arma Longa F",724,"")))))))))))))))))))))))))</f>
        <v/>
      </c>
      <c r="CB62" s="50" t="str">
        <f>IF(Atletas!T53="","",IF(Atletas!X53&lt;&gt;"",10000,0)+IF(Atletas!B53="Feminino",1000,IF(Atletas!B53="Masculino",2000,""))+IF(Atletas!T53="Outra Arma Dupla A",801,IF(Atletas!T53="Arma Maleável A",802,IF(Atletas!T53="Outra Arma Dupla B",803,IF(Atletas!T53="Arma Maleável B",804,IF(Atletas!T53="Outra Arma Dupla C",805,IF(Atletas!T53="Arma Maleável C",806,IF(Atletas!T53="Outra Arma Dupla D",807,IF(Atletas!T53="Arma Maleável D",808,IF(Atletas!T53="Outra Arma Dupla E",809,IF(Atletas!T53="Arma Maleável E",810,IF(Atletas!T53="Outra Arma Dupla F",811,IF(Atletas!T53="Arma Maleável F",812,IF(Atletas!T53="Shuangdao A",813,IF(Atletas!T53="Shuangdao B",814,IF(Atletas!T53="Shuangdao C",815,IF(Atletas!T53="Shuangdao D",816,IF(Atletas!T53="Shuangdao E",817,IF(Atletas!T53="Shuangdao F",818,"")))))))))))))))))))</f>
        <v/>
      </c>
      <c r="CC62" s="50" t="str">
        <f>IF(Atletas!U53="","",IF(Atletas!X53&lt;&gt;"",10000,0)+IF(Atletas!B53="Feminino",1000,IF(Atletas!B53="Masculino",2000,""))+IF(OR(Atletas!U53="Taijijian Yang A",Atletas!U53="Taijijian Yang Standard A"),901,IF(OR(Atletas!U53="Taijijian Chen A", Atletas!U53="Taijijian Chen Standard A"),902,IF(Atletas!U53="Taijijian Sun A",903,IF(Atletas!U53="Taijijian Wu A",904,IF(Atletas!U53="Taijijian Wu-Hao A",905,IF(OR(Atletas!U53="Taijijian 32 A",Atletas!U53="Taijijian 42 A"),906,IF(OR(Atletas!U53="Taijijian Yang B",Atletas!U53="Taijijian Yang Standard B"),907,IF(OR(Atletas!U53="Taijijian Chen B", Atletas!U53="Taijijian Chen Standard B"),908,IF(Atletas!U53="Taijijian Sun B",909,IF(Atletas!U53="Taijijian Wu B",910,IF(Atletas!U53="Taijijian Wu-Hao B",911,IF(OR(Atletas!U53="Taijijian 32 B",Atletas!U53="Taijijian 42 B"),912,IF(OR(Atletas!U53="Taijijian Yang C",Atletas!U53="Taijijian Yang Standard C"),913,IF(OR(Atletas!U53="Taijijian Chen C", Atletas!U53="Taijijian Chen Standard C"),914,IF(Atletas!U53="Taijijian Sun C",915,IF(Atletas!U53="Taijijian Wu C",916,IF(Atletas!U53="Taijijian Wu-Hao C",917,IF(OR(Atletas!U53="Taijijian 32 C",Atletas!U53="Taijijian 42 C"),918,IF(OR(Atletas!U53="Taijijian Yang D",Atletas!U53="Taijijian Yang Standard D"),919,IF(OR(Atletas!U53="Taijijian Chen D", Atletas!U53="Taijijian Chen Standard D"),920,IF(Atletas!U53="Taijijian Sun D",921,IF(Atletas!U53="Taijijian Wu D",922,IF(Atletas!U53="Taijijian Wu-Hao D",923,IF(OR(Atletas!U53="Taijijian 32 D",Atletas!U53="Taijijian 42 D"),924,IF(OR(Atletas!U53="Taijijian Yang E",Atletas!U53="Taijijian Yang Standard E"),925,IF(OR(Atletas!U53="Taijijian Chen E", Atletas!U53="Taijijian Chen Standard E"),926,IF(Atletas!U53="Taijijian Sun E",927,IF(Atletas!U53="Taijijian Wu E",928,IF(Atletas!U53="Taijijian Wu-Hao E",929,IF(OR(Atletas!U53="Taijijian 32 E",Atletas!U53="Taijijian 42 E"),930,IF(OR(Atletas!U53="Taijijian Yang F",Atletas!U53="Taijijian Yang Standard F"),931,IF(OR(Atletas!U53="Taijijian Chen F", Atletas!U53="Taijijian Chen Standard F"),932,IF(Atletas!U53="Taijijian Sun F",933,IF(Atletas!U53="Taijijian Wu F",934,IF(Atletas!U53="Taijijian Wu-Hao F",935,IF(OR(Atletas!U53="Taijijian 32 F",Atletas!U53="Taijijian 42 F"),936,"")))))))))))))))))))))))))))))))))))))</f>
        <v/>
      </c>
      <c r="CD62" s="50" t="str">
        <f>IF(Atletas!V53="","",IF(Atletas!X53&lt;&gt;"",10000,0)+IF(Atletas!B53="Feminino",1000,IF(Atletas!B53="Masculino",2000,""))+IF(Atletas!V53="Taijidao A",937,IF(Atletas!V53="TaijiShanzi A",938,IF(Atletas!V53="Taijiqiang A",939,IF(Atletas!V53="Bagua de Arma A",940,IF(Atletas!V53="Xingyi de Arma A",941,IF(Atletas!V53="Taijidao B",942,IF(Atletas!V53="TaijiShanzi B",943,IF(Atletas!V53="Taijiqiang B",944,IF(Atletas!V53="Bagua de Arma B",945,IF(Atletas!V53="Xingyi de Arma B",946,IF(Atletas!V53="Taijidao C",947,IF(Atletas!V53="TaijiShanzi C",948,IF(Atletas!V53="Taijiqiang C",949,IF(Atletas!V53="Bagua de Arma C",950,IF(Atletas!V53="Xingyi de Arma C",951,IF(Atletas!V53="Taijidao D",952,IF(Atletas!V53="TaijiShanzi D",953,IF(Atletas!V53="Taijiqiang D",954,IF(Atletas!V53="Bagua de Arma D",955,IF(Atletas!V53="Xingyi de Arma D",956,IF(Atletas!V53="Taijidao E",957,IF(Atletas!V53="TaijiShanzi E",958,IF(Atletas!V53="Taijiqiang E",959,IF(Atletas!V53="Bagua de Arma E",960,IF(Atletas!V53="Xingyi de Arma E",961,IF(Atletas!V53="Taijidao F",962,IF(Atletas!V53="TaijiShanzi F",963,IF(Atletas!V53="Taijiqiang F",964,IF(Atletas!V53="Bagua de Arma F",965,IF(Atletas!V53="Xingyi de Arma F",966,"")))))))))))))))))))))))))))))))</f>
        <v/>
      </c>
      <c r="CE62" s="66" t="str">
        <f>IF(CF62&lt;&gt;"","Piguaquan B","")</f>
        <v/>
      </c>
      <c r="CF62" s="66" t="str">
        <f>IF(COUNTIF(BR:CD,1120)&gt;0,COUNTIF(BR:CD,1120),"")</f>
        <v/>
      </c>
      <c r="CG62" s="66" t="str">
        <f>IF(CH62&lt;&gt;"","Piguaquan B","")</f>
        <v/>
      </c>
      <c r="CH62" s="66" t="str">
        <f>IF(COUNTIF(BR:CD,2120)&gt;0,COUNTIF(BR:CD,2120),"")</f>
        <v/>
      </c>
      <c r="CI62" s="66" t="str">
        <f>IF(CJ62&lt;&gt;"","Outros Estilos B","")</f>
        <v/>
      </c>
      <c r="CJ62" s="66" t="str">
        <f>IF(COUNTIF(BR:CD,11126)&gt;0,COUNTIF(BR:CD,11126),"")</f>
        <v/>
      </c>
      <c r="CK62" s="66" t="str">
        <f>IF(CL62&lt;&gt;"","Outros Estilos B","")</f>
        <v/>
      </c>
      <c r="CL62" s="66" t="str">
        <f>IF(COUNTIF(BR:CD,12126)&gt;0,COUNTIF(BR:CD,12126),"")</f>
        <v/>
      </c>
      <c r="CM62" s="50" t="str">
        <f xml:space="preserve"> IF(Atletas!W53="","",IF(Atletas!W53="Duilian de Mãos BC - Equipe 1",1,IF(Atletas!W53="Duilian de Mãos BC - Equipe 2",2,IF(Atletas!W53="Duilian de Armas BC - Equipe 1",3,IF(Atletas!W53="Duilian de Armas BC - Equipe 2",4,IF(Atletas!W53="Duilian de Mãos DE - Equipe 1",5,IF(Atletas!W53="Duilian de Mãos DE - Equipe 2",6,IF(Atletas!W53="Duilian de Armas DE - Equipe 1",7,IF(Atletas!W53="Duilian de Armas DE - Equipe 2",8,IF(Atletas!W53="Duilian de Tuishou - Equipe 1",9,IF(Atletas!W53="Duilian de Tuishou - Equipe 2",10,IF(Atletas!W53="Grupo Externo ABC - Equipe 1",11,IF(Atletas!W53="Grupo Externo ABC - Equipe 2",12,IF(Atletas!W53="Grupo Interno ABC - Equipe 1",13,IF(Atletas!W53="Grupo Interno ABC - Equipe 2",14,IF(Atletas!W53="Grupo Externo DEF - Equipe 1",15,IF(Atletas!W53="Grupo Externo DEF - Equipe 2",16,IF(Atletas!W53="Grupo Interno DEF - Equipe 1",17,IF(Atletas!W53="Grupo Interno DEF - Equipe 2",18,"")))))))))))))))))))</f>
        <v/>
      </c>
      <c r="CY62" s="41"/>
    </row>
    <row r="63" spans="2:103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 t="str">
        <f t="array" ref="R63">IFERROR(INDEX(BI$7:BI$68,SMALL(IF(BI$7:BI$68&lt;&gt;"",ROW(BI$7:BI$68)-ROW(BI$7)+1),ROWS(BI$7:BI62))),"")</f>
        <v/>
      </c>
      <c r="S63" s="3" t="str">
        <f t="array" ref="S63">IFERROR(INDEX(BJ$7:BJ$68,SMALL(IF(BJ$7:BJ$68&lt;&gt;"",ROW(BJ$7:BJ$68)-ROW(BJ$7)+1),ROWS(BJ$7:BJ62))),"")</f>
        <v/>
      </c>
      <c r="T63" s="3" t="str">
        <f t="array" ref="T63">IFERROR(INDEX(BK$7:BK$68,SMALL(IF(BK$7:BK$68&lt;&gt;"",ROW(BK$7:BK$68)-ROW(BK$7)+1),ROWS(BK$7:BK62))),"")</f>
        <v/>
      </c>
      <c r="U63" s="3" t="str">
        <f t="array" ref="U63">IFERROR(INDEX(BL$7:BL$68,SMALL(IF(BL$7:BL$68&lt;&gt;"",ROW(BL$7:BL$68)-ROW(BL$7)+1),ROWS(BL$7:BL62))),"")</f>
        <v/>
      </c>
      <c r="V63" s="3"/>
      <c r="W63" s="3"/>
      <c r="X63" s="20"/>
      <c r="Y63" s="3"/>
      <c r="Z63" s="3" t="str">
        <f t="array" ref="Z63">IFERROR(INDEX(CE$7:CE$348,SMALL(IF(CE$7:CE$348&lt;&gt;"",ROW(CE$7:CE$348)-ROW(CE$7)+1),ROWS(CE$7:CE62))),"")</f>
        <v/>
      </c>
      <c r="AA63" s="3" t="str">
        <f t="array" ref="AA63">IFERROR(INDEX(CF$7:CF$348,SMALL(IF(CF$7:CF$348&lt;&gt;"",ROW(CF$7:CF$348)-ROW(CF$7)+1),ROWS(CF$7:CF62))),"")</f>
        <v/>
      </c>
      <c r="AB63" s="3" t="str">
        <f t="array" ref="AB63">IFERROR(INDEX(CG$7:CG$348,SMALL(IF(CG$7:CG$348&lt;&gt;"",ROW(CG$7:CG$348)-ROW(CG$7)+1),ROWS(CG$7:CG62))),"")</f>
        <v/>
      </c>
      <c r="AC63" s="3" t="str">
        <f t="array" ref="AC63">IFERROR(INDEX(CH$7:CH$348,SMALL(IF(CH$7:CH$348&lt;&gt;"",ROW(CH$7:CH$348)-ROW(CH$7)+1),ROWS(CH$7:CH62))),"")</f>
        <v/>
      </c>
      <c r="AD63" s="3" t="str">
        <f t="array" ref="AD63">IFERROR(INDEX(CI$7:CI$377,SMALL(IF(CI$7:CI$377&lt;&gt;"",ROW(CI$7:CI$377)-ROW(CI$7)+1),ROWS(CI$7:CI62))),"")</f>
        <v/>
      </c>
      <c r="AE63" s="3" t="str">
        <f t="array" ref="AE63">IFERROR(INDEX(CJ$7:CJ$378,SMALL(IF(CJ$7:CJ$378&lt;&gt;"",ROW(CJ$7:CJ$378)-ROW(CJ$7)+1),ROWS(CJ$7:CJ62))),"")</f>
        <v/>
      </c>
      <c r="AF63" s="3" t="str">
        <f t="array" ref="AF63">IFERROR(INDEX(CK$7:CK$378,SMALL(IF(CK$7:CK$378&lt;&gt;"",ROW(CK$7:CK$378)-ROW(CK$7)+1),ROWS(CK$7:CK62))),"")</f>
        <v/>
      </c>
      <c r="AG63" s="3" t="str">
        <f t="array" ref="AG63">IFERROR(INDEX(CL$7:CL$378,SMALL(IF(CL$7:CL$378&lt;&gt;"",ROW(CL$7:CL$378)-ROW(CL$7)+1),ROWS(CL$7:CL62))),"")</f>
        <v/>
      </c>
      <c r="AH63" s="3"/>
      <c r="AI63" s="3"/>
      <c r="AJ63" s="3"/>
      <c r="AK63" s="3"/>
      <c r="AL63" s="3"/>
      <c r="AM63" s="3"/>
      <c r="AN63" s="52" t="str">
        <f>IF(Atletas!D54="","",IF(Atletas!B54="Feminino",100,IF(Atletas!B54="Masculino",200,""))+(IF(Atletas!D54="Kids 30kg",1,IF(Atletas!D54="Kids 32kg",2, IF(Atletas!D54="Kids 34kg",3,IF(Atletas!D54="Kids 36kg",4,IF(Atletas!D54="Kids 39kg",5,IF(Atletas!D54="Kids 42kg",6,IF(Atletas!D54="Kids 45kg",7, IF(Atletas!D54="Infantil 39kg",8,IF(Atletas!D54="Infantil 42kg",9,IF(Atletas!D54="Infantil 45kg",10,IF(Atletas!D54="Infantil 48kg",11,IF(Atletas!D54="Infantil 52kg",12,IF(Atletas!D54="Infantil 56kg",13,IF(Atletas!D54="Infantil 60kg",14,IF(Atletas!D54="Juvenil 48kg",15,IF(Atletas!D54="Juvenil 52kg",16,IF(Atletas!D54="Juvenil 56kg",17,IF(Atletas!D54="Juvenil 60kg",18,IF(Atletas!D54="Juvenil 65kg",19,IF(Atletas!D54="Juvenil 70kg",20,IF(Atletas!D54="Juvenil 75kg",21,IF(Atletas!D54="Juvenil 80kg",22, IF(Atletas!D54="Juvenil 85kg",23,IF(Atletas!D54="Adulto 48kg",24,IF(Atletas!D54="Adulto 52kg",25,IF(Atletas!D54="Adulto 56kg",26,IF(Atletas!D54="Adulto 60kg",27,IF(Atletas!D54="Adulto 65kg",28,IF(Atletas!D54="Adulto 70kg",29,IF(Atletas!D54="Adulto 75kg",30,IF(Atletas!D54="Adulto 80kg",31,IF(Atletas!D54="Adulto 85kg",32,IF(Atletas!D54="Adulto 90kg",33,IF(Atletas!D54="Adulto 100kg",34, IF(Atletas!D54="Adulto +100kg",35,"")))))))))))))))))))))))))))))))))))))</f>
        <v/>
      </c>
      <c r="AS63" s="6" t="str">
        <f>IF(Atletas!E54="","",IF(Atletas!B54="Feminino",100,IF(Atletas!B54="Masculino",200,""))+(IF(Atletas!E54="Juvenil 44kg",1,IF(Atletas!E54="Juvenil 48kg",2,IF(Atletas!E54="Juvenil 52kg",3,IF(Atletas!E54="Juvenil 56kg",4,IF(Atletas!E54="Juvenil 60kg",5,IF(Atletas!E54="Juvenil 65kg",6,IF(Atletas!E54="Juvenil 70kg",7,IF(Atletas!E54="Juvenil 75kg",8,IF(Atletas!E54="Juvenil 82kg",9,IF(Atletas!E54="Juvenil 90kg",10,IF(Atletas!E54="Juvenil 100kg",11,IF(Atletas!E54="Adulto 48kg",12,IF(Atletas!E54="Adulto 52kg",13,IF(Atletas!E54="Adulto 56kg",14,IF(Atletas!E54="Adulto 60kg",15,IF(Atletas!E54="Adulto 65kg",16,IF(Atletas!E54="Adulto 70kg",17,IF(Atletas!E54="Adulto 75kg",18,IF(Atletas!E54="Adulto 82kg",19,IF(Atletas!E54="Adulto 90kg",20,IF(Atletas!E54="Adulto 100kg",21,IF(Atletas!E54="Adulto +100kg",22,""))))))))))))))))))))))))</f>
        <v/>
      </c>
      <c r="AX63" s="6" t="str">
        <f>IF(Atletas!F54="","",IF(Atletas!B54="Feminino",100,IF(Atletas!B54="Masculino",200,""))+(IF(Atletas!F54="Adulto 48kg",1,IF(Atletas!F54="Adulto 56kg",2,IF(Atletas!F54="Adulto 65kg",3,IF(Atletas!F54="Adulto 75kg",4,IF(Atletas!F54="Adulto +75kg",5,IF(Atletas!F54="Adulto 52kg",6,IF(Atletas!F54="Adulto 60kg",7,IF(Atletas!F54="Adulto 70kg",8,IF(Atletas!F54="Adulto 80kg",9,IF(Atletas!F54="Adulto 90kg",10,IF(Atletas!F54="Adulto +90kg",11,"")))))))))))))</f>
        <v/>
      </c>
      <c r="BC63" s="6" t="str">
        <f>IF(Atletas!G54="","",IF(Atletas!B54="Feminino",10,IF(Atletas!B54="Masculino",20,""))+(IF(Atletas!G54="Baduanjin A",1,IF(Atletas!G54="Baduanjin B",2))))</f>
        <v/>
      </c>
      <c r="BF63" s="52" t="str">
        <f>IF(Atletas!H54="","",IF(Atletas!B54="Feminino",100,IF(Atletas!B54="Masculino",200,""))+(IF(Atletas!H54="Changquan Mirim",1,IF(Atletas!H54="Nanquan Mirim",2,IF(Atletas!H54="Taijiquan Mirim",3,IF(Atletas!H54="Changquan Grupo C",4,IF(Atletas!H54="Nanquan Grupo C",5,IF(Atletas!H54="Taijiquan Grupo C",6,IF(Atletas!H54="Changquan Grupo B",7,IF(Atletas!H54="Nanquan Grupo B",8,IF(Atletas!H54="Taijiquan Grupo B",9,IF(Atletas!H54="Changquan Grupo A",10,IF(Atletas!H54="Nanquan Grupo A",11,IF(Atletas!H54="Taijiquan Grupo A",12,IF(Atletas!H54="Changquan Opcional",13,IF(Atletas!H54="Nanquan Opcional",14,IF(Atletas!H54="Taijiquan Opcional",15,IF(Atletas!H54="Changquan Adulto",16,IF(Atletas!H54="Nanquan Adulto",17,IF(Atletas!H54="Taijiquan Adulto",18,""))))))))))))))))))))</f>
        <v/>
      </c>
      <c r="BG63" s="52" t="str">
        <f>IF(Atletas!I54="","",IF(Atletas!B54="Feminino",100,IF(Atletas!B54="Masculino",200,""))+(IF(Atletas!I54="Daoshu Mirim",19,IF(Atletas!I54="Jianshu Mirim",20,IF(Atletas!I54="Nandao Mirim",21,IF(Atletas!I54="Taijijian Mirim",22,IF(Atletas!I54="Daoshu Grupo C",23,IF(Atletas!I54="Jianshu Grupo C",24,IF(Atletas!I54="Nandao Grupo C",25,IF(Atletas!I54="Taijijian Grupo C",26,IF(Atletas!I54="Daoshu Grupo B",27,IF(Atletas!I54="Jianshu Grupo B",28,IF(Atletas!I54="Nandao Grupo B",29,IF(Atletas!I54="Taijijian Grupo B",30,IF(Atletas!I54="Daoshu Grupo A",31,IF(Atletas!I54="Jianshu Grupo A",32,IF(Atletas!I54="Nandao Grupo A",33,IF(Atletas!I54="Taijijian Grupo A",34,IF(Atletas!I54="Daoshu Opcional",35,IF(Atletas!I54="Jianshu Opcional",36,IF(Atletas!I54="Nandao Opcional",37,IF(Atletas!I54="Taijijian Opcional",38,IF(Atletas!I54="Daoshu Adulto",39,IF(Atletas!I54="Jianshu Adulto",40,IF(Atletas!I54="Nandao Adulto",41,IF(Atletas!I54="Taijijian Adulto",42,""))))))))))))))))))))))))))</f>
        <v/>
      </c>
      <c r="BH63" s="52" t="str">
        <f>IF(Atletas!J54="","",IF(Atletas!B54="Feminino",100,IF(Atletas!B54="Masculino",200,""))+(IF(Atletas!J54="Gunshu Mirim",43,IF(Atletas!J54="Qiangshu Mirim",44,IF(Atletas!J54="Nangun Mirim",45,IF(Atletas!J54="Gunshu Grupo C",46,IF(Atletas!J54="Qiangshu Grupo C",47,IF(Atletas!J54="Nangun Grupo C",48,IF(Atletas!J54="Gunshu Grupo B",49,IF(Atletas!J54="Qiangshu Grupo B",50,IF(Atletas!J54="Nangun Grupo B",51,IF(Atletas!J54="Gunshu Grupo A",52,IF(Atletas!J54="Qiangshu Grupo A",53,IF(Atletas!J54="Nangun Grupo A",54,IF(Atletas!J54="Gunshu Opcional",55,IF(Atletas!J54="Qiangshu Opcional",56,IF(Atletas!J54="Nangun Opcional",57,IF(Atletas!J54="Gunshu Adulto",58,IF(Atletas!J54="Qiangshu Adulto",59,IF(Atletas!J54="Nangun Adulto",60,IF(Atletas!J54="Taijishan Grupo B",61,IF(Atletas!J54="Taijishan Grupo A",62,""))))))))))))))))))))))</f>
        <v/>
      </c>
      <c r="BI63" s="6" t="str">
        <f>IF(BJ63&lt;&gt;"","Jianshu Alternativo","")</f>
        <v/>
      </c>
      <c r="BJ63" s="50" t="str">
        <f>IF(COUNTIF(BF:BH,140)&gt;0,COUNTIF(BF:BH,140),"")</f>
        <v/>
      </c>
      <c r="BK63" s="6" t="str">
        <f>IF(BL63&lt;&gt;"","Jianshu Alternativo","")</f>
        <v/>
      </c>
      <c r="BL63" s="50" t="str">
        <f>IF(COUNTIF(BF:BH,240)&gt;0,COUNTIF(BF:BH,240),"")</f>
        <v/>
      </c>
      <c r="BM63" s="50" t="str">
        <f>IF(Atletas!K54="","",IF(Atletas!B54="Feminino",100,IF(Atletas!B54="Masculino",200,""))+(IF(Atletas!K54="Equipe 1 Grupo B",1,IF(Atletas!K54="Equipe 2 Grupo B",2,IF(Atletas!K54="Equipe 1 Grupo A",3,IF(Atletas!K54="Equipe 2 Grupo A",4,IF(Atletas!K54="Equipe 1 Adulto",5,IF(Atletas!K54="Equipe 2 Adulto",6,""))))))))</f>
        <v/>
      </c>
      <c r="BR63" s="50" t="str">
        <f>IF(Atletas!L54="","",IF(Atletas!X54&lt;&gt;"",10000,0)+(IF(Atletas!B54="Feminino",1000,IF(Atletas!B54="Masculino",2000,""))+IF(Atletas!L54="Choylayfut A",1,IF(Atletas!L54="Hunggar A",2,IF(Atletas!L54="Wuzuquan A",3,IF(Atletas!L54="Wingchun A",4,IF(Atletas!L54="Outra Mão de Sul A",5,IF(Atletas!L54="Choylayfut B",6,IF(Atletas!L54="Hunggar B",7,IF(Atletas!L54="Wuzuquan B",8,IF(Atletas!L54="Wingchun B",9,IF(Atletas!L54="Outra Mão de Sul B",10,IF(Atletas!L54="Choylayfut C",11,IF(Atletas!L54="Hunggar C",12,IF(Atletas!L54="Wuzuquan C",13,IF(Atletas!L54="Wingchun C",14,IF(Atletas!L54="Outra Mão de Sul C",15,IF(Atletas!L54="Choylayfut D",16,IF(Atletas!L54="Hunggar D",17,IF(Atletas!L54="Wuzuquan D",18,IF(Atletas!L54="Wingchun D",19,IF(Atletas!L54="Outra Mão de Sul D",20,IF(Atletas!L54="Choylayfut E",21,IF(Atletas!L54="Hunggar E",22,IF(Atletas!L54="Wuzuquan E",23,IF(Atletas!L54="Wingchun E",24,IF(Atletas!L54="Outra Mão de Sul E",25,IF(Atletas!L54="Choylayfut F",26,IF(Atletas!L54="Hunggar F",27,IF(Atletas!L54="Wuzuquan F",28,IF(Atletas!L54="Wingchun F",29,IF(Atletas!L54="Outra Mão de Sul F",30,IF(Atletas!L54="Dishuquan A",31,IF(Atletas!L54="Dishuquan B",32,IF(Atletas!L54="Dishuquan C",33,IF(Atletas!L54="Dishuquan D",34,IF(Atletas!L54="Dishuquan E",35,IF(Atletas!L54="Dishuquan F",36,""))))))))))))))))))))))))))))))))))))))</f>
        <v/>
      </c>
      <c r="BS63" s="50" t="str">
        <f>IF(Atletas!M54="","",IF(Atletas!X54&lt;&gt;"",10000,0)+(IF(Atletas!B54="Feminino",1000,IF(Atletas!B54="Masculino",2000,""))+(IF(Atletas!M54="Chaquan A",101,IF(Atletas!M54="Emeiquan A",102,IF(Atletas!M54="Fanziquan A",103,IF(Atletas!M54="Huaquan A",104,IF(Atletas!M54="Hongquan A",105,IF(Atletas!M54="Paoquan A",106,IF(Atletas!M54="Piguaquan A",107,IF(Atletas!M54="Shaolinquan A",108,IF(Atletas!M54="Tanglangquan A",109,IF(Atletas!M54="Yingzhaoquan A",110,IF(Atletas!M54="Tongbeiquan A",111,IF(Atletas!M54="Wudangquan A",112,IF(Atletas!M54="Outros Estilos A",113,IF(Atletas!M54="Chaquan B",114,IF(Atletas!M54="Emeiquan B",115,IF(Atletas!M54="Fanziquan B",116,IF(Atletas!M54="Huaquan B",117,IF(Atletas!M54="Hongquan B",118,IF(Atletas!M54="Paoquan B",119,IF(Atletas!M54="Piguaquan B",120,IF(Atletas!M54="Shaolinquan B",121,IF(Atletas!M54="Tanglangquan B",122,IF(Atletas!M54="Yingzhaoquan B",123,IF(Atletas!M54="Tongbeiquan B",124,IF(Atletas!M54="Wudangquan B",125,IF(Atletas!M54="Outros Estilos B",126,IF(Atletas!M54="Chaquan C",127,IF(Atletas!M54="Emeiquan C",128,IF(Atletas!M54="Fanziquan C",129,IF(Atletas!M54="Huaquan C",130,IF(Atletas!M54="Hongquan C",131,IF(Atletas!M54="Paoquan C",132,IF(Atletas!M54="Piguaquan C",133,IF(Atletas!M54="Shaolinquan C",134,IF(Atletas!M54="Tanglangquan C",135,IF(Atletas!M54="Yingzhaoquan C",136,IF(Atletas!M54="Tongbeiquan C",137,IF(Atletas!M54="Wudangquan C",138,IF(Atletas!M54="Outros Estilos C",139,0))))))))))))))))))))))))))))))))))))))))))</f>
        <v/>
      </c>
      <c r="BT63" s="50" t="str">
        <f>IF(Atletas!M54="","",IF(Atletas!X54&lt;&gt;"",10000,0)+(IF(Atletas!B54="Feminino",1000,IF(Atletas!B54="Masculino",2000,""))+(IF(Atletas!M54="Chaquan D",140,IF(Atletas!M54="Emeiquan D",141,IF(Atletas!M54="Fanziquan D",142,IF(Atletas!M54="Huaquan D",143,IF(Atletas!M54="Hongquan D",144,IF(Atletas!M54="Paoquan D",145,IF(Atletas!M54="Piguaquan D",146,IF(Atletas!M54="Shaolinquan D",147,IF(Atletas!M54="Tanglangquan D",148,IF(Atletas!M54="Yingzhaoquan D",149,IF(Atletas!M54="Tongbeiquan D",150,IF(Atletas!M54="Wudangquan D",151,IF(Atletas!M54="Outros Estilos D",152,IF(Atletas!M54="Chaquan E",153,IF(Atletas!M54="Emeiquan E",154,IF(Atletas!M54="Fanziquan E",155,IF(Atletas!M54="Huaquan E",156,IF(Atletas!M54="Hongquan E",157,IF(Atletas!M54="Paoquan E",158,IF(Atletas!M54="Piguaquan E",159,IF(Atletas!M54="Shaolinquan E",160,IF(Atletas!M54="Tanglangquan E",161,IF(Atletas!M54="Yingzhaoquan E",162,IF(Atletas!M54="Tongbeiquan E",163,IF(Atletas!M54="Wudangquan E",164,IF(Atletas!M54="Outros Estilos E",165,IF(Atletas!M54="Chaquan F",166,IF(Atletas!M54="Emeiquan F",167,IF(Atletas!M54="Fanziquan F",168,IF(Atletas!M54="Huaquan F",169,IF(Atletas!M54="Hongquan F",170,IF(Atletas!M54="Paoquan F",171,IF(Atletas!M54="Piguaquan F",172,IF(Atletas!M54="Shaolinquan F",173,IF(Atletas!M54="Tanglangquan F",174,IF(Atletas!M54="Yingzhaoquan F",175,IF(Atletas!M54="Tongbeiquan F",176,IF(Atletas!M54="Wudangquan F",177,IF(Atletas!M54="Outros Estilos F",178,0))))))))))))))))))))))))))))))))))))))))))</f>
        <v/>
      </c>
      <c r="BU63" s="50" t="str">
        <f>IF(Atletas!N54="","",IF(Atletas!X54&lt;&gt;"",10000,0)+(IF(Atletas!B54="Feminino",1000,IF(Atletas!B54="Masculino",2000,""))+(IF(Atletas!N54="Ditangquan A",201,IF(Atletas!N54="Houquan A",202,IF(Atletas!N54="Zuiquan A",203,IF(Atletas!N54="Ditangquan B",204,IF(Atletas!N54="Houquan B",205,IF(Atletas!N54="Zuiquan B",206,IF(Atletas!N54="Ditangquan C",207,IF(Atletas!N54="Houquan C",208,IF(Atletas!N54="Zuiquan C",209,IF(Atletas!N54="Ditangquan D",210,IF(Atletas!N54="Houquan D",211,IF(Atletas!N54="Zuiquan D",212,IF(Atletas!N54="Ditangquan E",213,IF(Atletas!N54="Houquan E",214,IF(Atletas!N54="Zuiquan E",215,IF(Atletas!N54="Ditangquan F",216,IF(Atletas!N54="Houquan F",217,IF(Atletas!N54="Zuiquan F",218,"")))))))))))))))))))))</f>
        <v/>
      </c>
      <c r="BV63" s="50" t="str">
        <f>IF(Atletas!O54="","",IF(Atletas!X54&lt;&gt;"",10000,0)+IF(Atletas!B54="Feminino",1000,IF(Atletas!B54="Masculino",2000,""))+IF(Atletas!O54="Yang A",301,IF(Atletas!O54="Chen A",302,IF(Atletas!O54="Sun A",303,IF(Atletas!O54="Wu A",304,IF(Atletas!O54="Wu-Hao A",305,IF(Atletas!O54="Outro Taijiquan A",306,IF(Atletas!O54="Yang B",307,IF(Atletas!O54="Chen B",308,IF(Atletas!O54="Sun B",309,IF(Atletas!O54="Wu B",310,IF(Atletas!O54="Wu-Hao B",311,IF(Atletas!O54="Outro Taijiquan B",312,IF(Atletas!O54="Yang C",313,IF(Atletas!O54="Chen C",314,IF(Atletas!O54="Sun C",315,IF(Atletas!O54="Wu C",316,IF(Atletas!O54="Wu-Hao C",317,IF(Atletas!O54="Outro Taijiquan C",318,IF(Atletas!O54="Yang D",319,IF(Atletas!O54="Chen D",320,IF(Atletas!O54="Sun D",321,IF(Atletas!O54="Wu D",322,IF(Atletas!O54="Wu-Hao D",323,IF(Atletas!O54="Outro Taijiquan D",324,IF(Atletas!O54="Yang E",325,IF(Atletas!O54="Chen E",326,IF(Atletas!O54="Sun E",327,IF(Atletas!O54="Wu E",328,IF(Atletas!O54="Wu-Hao E",329,IF(Atletas!O54="Outro Taijiquan E",330,IF(Atletas!O54="Yang F",331,IF(Atletas!O54="Chen F",332,IF(Atletas!O54="Sun F",333,IF(Atletas!O54="Wu F",334,IF(Atletas!O54="Wu-Hao F",335,IF(Atletas!O54="Outro Taijiquan F",336,"")))))))))))))))))))))))))))))))))))))</f>
        <v/>
      </c>
      <c r="BW63" s="50" t="str">
        <f>IF(Atletas!P54="","",IF(Atletas!X54&lt;&gt;"",10000,0)+IF(Atletas!B54="Feminino",1000,IF(Atletas!B54="Masculino",2000,""))+IF(OR(Atletas!P54="Yang 26 A",Atletas!P54="Yang 40 A"),401,IF(OR(Atletas!P54="Chen 25 A",Atletas!P54="Chen 36 A",Atletas!P54="Chen 56 A"),402,IF(Atletas!P54="Sun 73 A",403,IF(Atletas!P54="Wu 45 A",404,IF(Atletas!P54="Wu-Hao 46 A",405,IF(OR(Atletas!P54="Taijiquan 16 A",Atletas!P54="Taijiquan 24 A",Atletas!P54="Taijiquan 32 A",Atletas!P54="Taijiquan 42 A"),406,IF(OR(Atletas!P54="Yang 26 B",Atletas!P54="Yang 40 B"),407,IF(OR(Atletas!P54="Chen 25 B",Atletas!P54="Chen 36 B",Atletas!P54="Chen 56 B"),408,IF(Atletas!P54="Sun 73 B",409,IF(Atletas!P54="Wu 45 B",410,IF(Atletas!P54="Wu-Hao 46 B",411,IF(OR(Atletas!P54="Taijiquan 16 B",Atletas!P54="Taijiquan 24 B",Atletas!P54="Taijiquan 32 B",Atletas!P54="Taijiquan 42 B"),412,IF(OR(Atletas!P54="Yang 26 C",Atletas!P54="Yang 40 C"),413,IF(OR(Atletas!P54="Chen 25 C",Atletas!P54="Chen 36 C",Atletas!P54="Chen 56 C"),414,IF(Atletas!P54="Sun 73 C",415,IF(Atletas!P54="Wu 45 C",416,IF(Atletas!P54="Wu-Hao 46 C",417,IF(OR(Atletas!P54="Taijiquan 16 C",Atletas!P54="Taijiquan 24 C",Atletas!P54="Taijiquan 32 C",Atletas!P54="Taijiquan 42 C"),418,0)))))))))))))))))))</f>
        <v/>
      </c>
      <c r="BX63" s="50" t="str">
        <f>IF(Atletas!P54="","",IF(Atletas!X54&lt;&gt;"",10000,0)+IF(Atletas!B54="Feminino",1000,IF(Atletas!B54="Masculino",2000,""))+IF(OR(Atletas!P54="Yang 26 D",Atletas!P54="Yang 40 D"),419,IF(OR(Atletas!P54="Chen 25 D",Atletas!P54="Chen 36 D",Atletas!P54="Chen 56 D"),420,IF(Atletas!P54="Sun 73 D",421,IF(Atletas!P54="Wu 45 D",422,IF(Atletas!P54="Wu-Hao 46 D",423,IF(OR(Atletas!P54="Taijiquan 16 D",Atletas!P54="Taijiquan 24 D",Atletas!P54="Taijiquan 32 D",Atletas!P54="Taijiquan 42 D"),424,IF(OR(Atletas!P54="Yang 26 E",Atletas!P54="Yang 40 E"),425,IF(OR(Atletas!P54="Chen 25 E",Atletas!P54="Chen 36 E",Atletas!P54="Chen 56 E"),426,IF(Atletas!P54="Sun 73 E",427,IF(Atletas!P54="Wu 45 E",428,IF(Atletas!P54="Wu-Hao 46 E",429,IF(OR(Atletas!P54="Taijiquan 16 E",Atletas!P54="Taijiquan 24 E",Atletas!P54="Taijiquan 32 E",Atletas!P54="Taijiquan 42 E"),430,IF(OR(Atletas!P54="Yang 26 F",Atletas!P54="Yang 40 F"),431,IF(OR(Atletas!P54="Chen 25 F",Atletas!P54="Chen 36 F",Atletas!P54="Chen 56 F"),432,IF(Atletas!P54="Sun 73 F",433,IF(Atletas!P54="Wu 45 F",434,IF(Atletas!P54="Wu-Hao 46 F",435,IF(OR(Atletas!P54="Taijiquan 16 F",Atletas!P54="Taijiquan 24 F",Atletas!P54="Taijiquan 32 F",Atletas!P54="Taijiquan 42 F"),436,0)))))))))))))))))))</f>
        <v/>
      </c>
      <c r="BY63" s="50" t="str">
        <f>IF(Atletas!Q54="","",IF(Atletas!X54&lt;&gt;"",10000,0)+IF(Atletas!B54="Feminino",1000,IF(Atletas!B54="Masculino",2000,""))+IF(Atletas!Q54="Xingyiquan A",501,IF(Atletas!Q54="Baguazhang A",502,IF(Atletas!Q54="Outro Estilo Interno A",503,IF(Atletas!Q54="Xingyiquan B",504,IF(Atletas!Q54="Baguazhang B",505,IF(Atletas!Q54="Outro Estilo Interno B",506,IF(Atletas!Q54="Xingyiquan C",507,IF(Atletas!Q54="Baguazhang C",508,IF(Atletas!Q54="Outro Estilo Interno C",509,IF(Atletas!Q54="Xingyiquan D",510,IF(Atletas!Q54="Baguazhang D",511,IF(Atletas!Q54="Outro Estilo Interno D",512,IF(Atletas!Q54="Xingyiquan E",513,IF(Atletas!Q54="Baguazhang E",514,IF(Atletas!Q54="Outro Estilo Interno E",515,IF(Atletas!Q54="Xingyiquan F",516,IF(Atletas!Q54="Baguazhang F",517,IF(Atletas!Q54="Outro Estilo Interno F",518, "")))))))))))))))))))</f>
        <v/>
      </c>
      <c r="BZ63" s="50" t="str">
        <f>IF(Atletas!R54="","",IF(Atletas!X54&lt;&gt;"",10000,0)+IF(Atletas!B54="Feminino",1000,IF(Atletas!B54="Masculino",2000,""))+IF(Atletas!R54="Dao A",601,IF(Atletas!R54="Jian A",602,IF(Atletas!R54="Bishou A",603,IF(Atletas!R54="Shanzi A",604,IF(Atletas!R54="Outra Arma Curta A",605,IF(Atletas!R54="Dao B",606,IF(Atletas!R54="Jian B",607,IF(Atletas!R54="Bishou B",608,IF(Atletas!R54="Shanzi B",609,IF(Atletas!R54="Outra Arma Curta B",610,IF(Atletas!R54="Dao C",611,IF(Atletas!R54="Jian C",612,IF(Atletas!R54="Bishou C",613,IF(Atletas!R54="Shanzi C",614,IF(Atletas!R54="Outra Arma Curta C",615,IF(Atletas!R54="Dao D",616,IF(Atletas!R54="Jian D",617,IF(Atletas!R54="Bishou D",618,IF(Atletas!R54="Shanzi D",619,IF(Atletas!R54="Outra Arma Curta D",620,IF(Atletas!R54="Dao E",621,IF(Atletas!R54="Jian E",622,IF(Atletas!R54="Bishou E",623,IF(Atletas!R54="Shanzi E",624,IF(Atletas!R54="Outra Arma Curta E",625,IF(Atletas!R54="Dao F",626,IF(Atletas!R54="Jian F",627,IF(Atletas!R54="Bishou F",628,IF(Atletas!R54="Shanzi F",629,IF(Atletas!R54="Outra Arma Curta F",630, "")))))))))))))))))))))))))))))))</f>
        <v/>
      </c>
      <c r="CA63" s="50" t="str">
        <f>IF(Atletas!S54="","",IF(Atletas!X54&lt;&gt;"",10000,0)+IF(Atletas!B54="Feminino",1000,IF(Atletas!B54="Masculino",2000,""))+IF(Atletas!S54="Gun A",701,IF(Atletas!S54="Qiang A",702,IF(Atletas!S54="Pudao / Guandao A",703,IF(Atletas!S54="Outra Arma Longa A",704,IF(Atletas!S54="Gun B",705,IF(Atletas!S54="Qiang B",706,IF(Atletas!S54="Pudao / Guandao B",707,IF(Atletas!S54="Outra Arma Longa B",708,IF(Atletas!S54="Gun C",709,IF(Atletas!S54="Qiang C",710,IF(Atletas!S54="Pudao / Guandao C",711,IF(Atletas!S54="Outra Arma Longa C",712,IF(Atletas!S54="Gun D",713,IF(Atletas!S54="Qiang D",714,IF(Atletas!S54="Pudao / Guandao D",715,IF(Atletas!S54="Outra Arma Longa D",716,IF(Atletas!S54="Gun E",717,IF(Atletas!S54="Qiang E",718,IF(Atletas!S54="Pudao / Guandao E",719,IF(Atletas!S54="Outra Arma Longa E",720,IF(Atletas!S54="Gun F",721,IF(Atletas!S54="Qiang F",722,IF(Atletas!S54="Pudao / Guandao F",723,IF(Atletas!S54="Outra Arma Longa F",724,"")))))))))))))))))))))))))</f>
        <v/>
      </c>
      <c r="CB63" s="50" t="str">
        <f>IF(Atletas!T54="","",IF(Atletas!X54&lt;&gt;"",10000,0)+IF(Atletas!B54="Feminino",1000,IF(Atletas!B54="Masculino",2000,""))+IF(Atletas!T54="Outra Arma Dupla A",801,IF(Atletas!T54="Arma Maleável A",802,IF(Atletas!T54="Outra Arma Dupla B",803,IF(Atletas!T54="Arma Maleável B",804,IF(Atletas!T54="Outra Arma Dupla C",805,IF(Atletas!T54="Arma Maleável C",806,IF(Atletas!T54="Outra Arma Dupla D",807,IF(Atletas!T54="Arma Maleável D",808,IF(Atletas!T54="Outra Arma Dupla E",809,IF(Atletas!T54="Arma Maleável E",810,IF(Atletas!T54="Outra Arma Dupla F",811,IF(Atletas!T54="Arma Maleável F",812,IF(Atletas!T54="Shuangdao A",813,IF(Atletas!T54="Shuangdao B",814,IF(Atletas!T54="Shuangdao C",815,IF(Atletas!T54="Shuangdao D",816,IF(Atletas!T54="Shuangdao E",817,IF(Atletas!T54="Shuangdao F",818,"")))))))))))))))))))</f>
        <v/>
      </c>
      <c r="CC63" s="50" t="str">
        <f>IF(Atletas!U54="","",IF(Atletas!X54&lt;&gt;"",10000,0)+IF(Atletas!B54="Feminino",1000,IF(Atletas!B54="Masculino",2000,""))+IF(OR(Atletas!U54="Taijijian Yang A",Atletas!U54="Taijijian Yang Standard A"),901,IF(OR(Atletas!U54="Taijijian Chen A", Atletas!U54="Taijijian Chen Standard A"),902,IF(Atletas!U54="Taijijian Sun A",903,IF(Atletas!U54="Taijijian Wu A",904,IF(Atletas!U54="Taijijian Wu-Hao A",905,IF(OR(Atletas!U54="Taijijian 32 A",Atletas!U54="Taijijian 42 A"),906,IF(OR(Atletas!U54="Taijijian Yang B",Atletas!U54="Taijijian Yang Standard B"),907,IF(OR(Atletas!U54="Taijijian Chen B", Atletas!U54="Taijijian Chen Standard B"),908,IF(Atletas!U54="Taijijian Sun B",909,IF(Atletas!U54="Taijijian Wu B",910,IF(Atletas!U54="Taijijian Wu-Hao B",911,IF(OR(Atletas!U54="Taijijian 32 B",Atletas!U54="Taijijian 42 B"),912,IF(OR(Atletas!U54="Taijijian Yang C",Atletas!U54="Taijijian Yang Standard C"),913,IF(OR(Atletas!U54="Taijijian Chen C", Atletas!U54="Taijijian Chen Standard C"),914,IF(Atletas!U54="Taijijian Sun C",915,IF(Atletas!U54="Taijijian Wu C",916,IF(Atletas!U54="Taijijian Wu-Hao C",917,IF(OR(Atletas!U54="Taijijian 32 C",Atletas!U54="Taijijian 42 C"),918,IF(OR(Atletas!U54="Taijijian Yang D",Atletas!U54="Taijijian Yang Standard D"),919,IF(OR(Atletas!U54="Taijijian Chen D", Atletas!U54="Taijijian Chen Standard D"),920,IF(Atletas!U54="Taijijian Sun D",921,IF(Atletas!U54="Taijijian Wu D",922,IF(Atletas!U54="Taijijian Wu-Hao D",923,IF(OR(Atletas!U54="Taijijian 32 D",Atletas!U54="Taijijian 42 D"),924,IF(OR(Atletas!U54="Taijijian Yang E",Atletas!U54="Taijijian Yang Standard E"),925,IF(OR(Atletas!U54="Taijijian Chen E", Atletas!U54="Taijijian Chen Standard E"),926,IF(Atletas!U54="Taijijian Sun E",927,IF(Atletas!U54="Taijijian Wu E",928,IF(Atletas!U54="Taijijian Wu-Hao E",929,IF(OR(Atletas!U54="Taijijian 32 E",Atletas!U54="Taijijian 42 E"),930,IF(OR(Atletas!U54="Taijijian Yang F",Atletas!U54="Taijijian Yang Standard F"),931,IF(OR(Atletas!U54="Taijijian Chen F", Atletas!U54="Taijijian Chen Standard F"),932,IF(Atletas!U54="Taijijian Sun F",933,IF(Atletas!U54="Taijijian Wu F",934,IF(Atletas!U54="Taijijian Wu-Hao F",935,IF(OR(Atletas!U54="Taijijian 32 F",Atletas!U54="Taijijian 42 F"),936,"")))))))))))))))))))))))))))))))))))))</f>
        <v/>
      </c>
      <c r="CD63" s="50" t="str">
        <f>IF(Atletas!V54="","",IF(Atletas!X54&lt;&gt;"",10000,0)+IF(Atletas!B54="Feminino",1000,IF(Atletas!B54="Masculino",2000,""))+IF(Atletas!V54="Taijidao A",937,IF(Atletas!V54="TaijiShanzi A",938,IF(Atletas!V54="Taijiqiang A",939,IF(Atletas!V54="Bagua de Arma A",940,IF(Atletas!V54="Xingyi de Arma A",941,IF(Atletas!V54="Taijidao B",942,IF(Atletas!V54="TaijiShanzi B",943,IF(Atletas!V54="Taijiqiang B",944,IF(Atletas!V54="Bagua de Arma B",945,IF(Atletas!V54="Xingyi de Arma B",946,IF(Atletas!V54="Taijidao C",947,IF(Atletas!V54="TaijiShanzi C",948,IF(Atletas!V54="Taijiqiang C",949,IF(Atletas!V54="Bagua de Arma C",950,IF(Atletas!V54="Xingyi de Arma C",951,IF(Atletas!V54="Taijidao D",952,IF(Atletas!V54="TaijiShanzi D",953,IF(Atletas!V54="Taijiqiang D",954,IF(Atletas!V54="Bagua de Arma D",955,IF(Atletas!V54="Xingyi de Arma D",956,IF(Atletas!V54="Taijidao E",957,IF(Atletas!V54="TaijiShanzi E",958,IF(Atletas!V54="Taijiqiang E",959,IF(Atletas!V54="Bagua de Arma E",960,IF(Atletas!V54="Xingyi de Arma E",961,IF(Atletas!V54="Taijidao F",962,IF(Atletas!V54="TaijiShanzi F",963,IF(Atletas!V54="Taijiqiang F",964,IF(Atletas!V54="Bagua de Arma F",965,IF(Atletas!V54="Xingyi de Arma F",966,"")))))))))))))))))))))))))))))))</f>
        <v/>
      </c>
      <c r="CE63" s="66" t="str">
        <f>IF(CF63&lt;&gt;"","Shaolinquan B","")</f>
        <v/>
      </c>
      <c r="CF63" s="66" t="str">
        <f>IF(COUNTIF(BR:CD,1121)&gt;0,COUNTIF(BR:CD,1121),"")</f>
        <v/>
      </c>
      <c r="CG63" s="66" t="str">
        <f>IF(CH63&lt;&gt;"","Shaolinquan B","")</f>
        <v/>
      </c>
      <c r="CH63" s="66" t="str">
        <f>IF(COUNTIF(BR:CD,2121)&gt;0,COUNTIF(BR:CD,2121),"")</f>
        <v/>
      </c>
      <c r="CI63" s="66" t="str">
        <f>IF(CJ63&lt;&gt;"","Chaquan C","")</f>
        <v/>
      </c>
      <c r="CJ63" s="66" t="str">
        <f>IF(COUNTIF(BR:CD,11127)&gt;0,COUNTIF(BR:CD,11127),"")</f>
        <v/>
      </c>
      <c r="CK63" s="66" t="str">
        <f>IF(CL63&lt;&gt;"","Chaquan C","")</f>
        <v/>
      </c>
      <c r="CL63" s="66" t="str">
        <f>IF(COUNTIF(BR:CD,12127)&gt;0,COUNTIF(BR:CD,12127),"")</f>
        <v/>
      </c>
      <c r="CM63" s="50" t="str">
        <f xml:space="preserve"> IF(Atletas!W54="","",IF(Atletas!W54="Duilian de Mãos BC - Equipe 1",1,IF(Atletas!W54="Duilian de Mãos BC - Equipe 2",2,IF(Atletas!W54="Duilian de Armas BC - Equipe 1",3,IF(Atletas!W54="Duilian de Armas BC - Equipe 2",4,IF(Atletas!W54="Duilian de Mãos DE - Equipe 1",5,IF(Atletas!W54="Duilian de Mãos DE - Equipe 2",6,IF(Atletas!W54="Duilian de Armas DE - Equipe 1",7,IF(Atletas!W54="Duilian de Armas DE - Equipe 2",8,IF(Atletas!W54="Duilian de Tuishou - Equipe 1",9,IF(Atletas!W54="Duilian de Tuishou - Equipe 2",10,IF(Atletas!W54="Grupo Externo ABC - Equipe 1",11,IF(Atletas!W54="Grupo Externo ABC - Equipe 2",12,IF(Atletas!W54="Grupo Interno ABC - Equipe 1",13,IF(Atletas!W54="Grupo Interno ABC - Equipe 2",14,IF(Atletas!W54="Grupo Externo DEF - Equipe 1",15,IF(Atletas!W54="Grupo Externo DEF - Equipe 2",16,IF(Atletas!W54="Grupo Interno DEF - Equipe 1",17,IF(Atletas!W54="Grupo Interno DEF - Equipe 2",18,"")))))))))))))))))))</f>
        <v/>
      </c>
      <c r="CY63" s="41"/>
    </row>
    <row r="64" spans="2:103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 t="str">
        <f t="array" ref="R64">IFERROR(INDEX(BI$7:BI$68,SMALL(IF(BI$7:BI$68&lt;&gt;"",ROW(BI$7:BI$68)-ROW(BI$7)+1),ROWS(BI$7:BI63))),"")</f>
        <v/>
      </c>
      <c r="S64" s="3" t="str">
        <f t="array" ref="S64">IFERROR(INDEX(BJ$7:BJ$68,SMALL(IF(BJ$7:BJ$68&lt;&gt;"",ROW(BJ$7:BJ$68)-ROW(BJ$7)+1),ROWS(BJ$7:BJ63))),"")</f>
        <v/>
      </c>
      <c r="T64" s="3" t="str">
        <f t="array" ref="T64">IFERROR(INDEX(BK$7:BK$68,SMALL(IF(BK$7:BK$68&lt;&gt;"",ROW(BK$7:BK$68)-ROW(BK$7)+1),ROWS(BK$7:BK63))),"")</f>
        <v/>
      </c>
      <c r="U64" s="3" t="str">
        <f t="array" ref="U64">IFERROR(INDEX(BL$7:BL$68,SMALL(IF(BL$7:BL$68&lt;&gt;"",ROW(BL$7:BL$68)-ROW(BL$7)+1),ROWS(BL$7:BL63))),"")</f>
        <v/>
      </c>
      <c r="V64" s="3"/>
      <c r="W64" s="3"/>
      <c r="X64" s="20"/>
      <c r="Y64" s="3"/>
      <c r="Z64" s="3" t="str">
        <f t="array" ref="Z64">IFERROR(INDEX(CE$7:CE$348,SMALL(IF(CE$7:CE$348&lt;&gt;"",ROW(CE$7:CE$348)-ROW(CE$7)+1),ROWS(CE$7:CE63))),"")</f>
        <v/>
      </c>
      <c r="AA64" s="3" t="str">
        <f t="array" ref="AA64">IFERROR(INDEX(CF$7:CF$348,SMALL(IF(CF$7:CF$348&lt;&gt;"",ROW(CF$7:CF$348)-ROW(CF$7)+1),ROWS(CF$7:CF63))),"")</f>
        <v/>
      </c>
      <c r="AB64" s="3" t="str">
        <f t="array" ref="AB64">IFERROR(INDEX(CG$7:CG$348,SMALL(IF(CG$7:CG$348&lt;&gt;"",ROW(CG$7:CG$348)-ROW(CG$7)+1),ROWS(CG$7:CG63))),"")</f>
        <v/>
      </c>
      <c r="AC64" s="3" t="str">
        <f t="array" ref="AC64">IFERROR(INDEX(CH$7:CH$348,SMALL(IF(CH$7:CH$348&lt;&gt;"",ROW(CH$7:CH$348)-ROW(CH$7)+1),ROWS(CH$7:CH63))),"")</f>
        <v/>
      </c>
      <c r="AD64" s="3" t="str">
        <f t="array" ref="AD64">IFERROR(INDEX(CI$7:CI$377,SMALL(IF(CI$7:CI$377&lt;&gt;"",ROW(CI$7:CI$377)-ROW(CI$7)+1),ROWS(CI$7:CI63))),"")</f>
        <v/>
      </c>
      <c r="AE64" s="3" t="str">
        <f t="array" ref="AE64">IFERROR(INDEX(CJ$7:CJ$378,SMALL(IF(CJ$7:CJ$378&lt;&gt;"",ROW(CJ$7:CJ$378)-ROW(CJ$7)+1),ROWS(CJ$7:CJ63))),"")</f>
        <v/>
      </c>
      <c r="AF64" s="3" t="str">
        <f t="array" ref="AF64">IFERROR(INDEX(CK$7:CK$378,SMALL(IF(CK$7:CK$378&lt;&gt;"",ROW(CK$7:CK$378)-ROW(CK$7)+1),ROWS(CK$7:CK63))),"")</f>
        <v/>
      </c>
      <c r="AG64" s="3" t="str">
        <f t="array" ref="AG64">IFERROR(INDEX(CL$7:CL$378,SMALL(IF(CL$7:CL$378&lt;&gt;"",ROW(CL$7:CL$378)-ROW(CL$7)+1),ROWS(CL$7:CL63))),"")</f>
        <v/>
      </c>
      <c r="AH64" s="3"/>
      <c r="AI64" s="3"/>
      <c r="AJ64" s="3"/>
      <c r="AK64" s="3"/>
      <c r="AL64" s="3"/>
      <c r="AM64" s="3"/>
      <c r="AN64" s="52" t="str">
        <f>IF(Atletas!D55="","",IF(Atletas!B55="Feminino",100,IF(Atletas!B55="Masculino",200,""))+(IF(Atletas!D55="Kids 30kg",1,IF(Atletas!D55="Kids 32kg",2, IF(Atletas!D55="Kids 34kg",3,IF(Atletas!D55="Kids 36kg",4,IF(Atletas!D55="Kids 39kg",5,IF(Atletas!D55="Kids 42kg",6,IF(Atletas!D55="Kids 45kg",7, IF(Atletas!D55="Infantil 39kg",8,IF(Atletas!D55="Infantil 42kg",9,IF(Atletas!D55="Infantil 45kg",10,IF(Atletas!D55="Infantil 48kg",11,IF(Atletas!D55="Infantil 52kg",12,IF(Atletas!D55="Infantil 56kg",13,IF(Atletas!D55="Infantil 60kg",14,IF(Atletas!D55="Juvenil 48kg",15,IF(Atletas!D55="Juvenil 52kg",16,IF(Atletas!D55="Juvenil 56kg",17,IF(Atletas!D55="Juvenil 60kg",18,IF(Atletas!D55="Juvenil 65kg",19,IF(Atletas!D55="Juvenil 70kg",20,IF(Atletas!D55="Juvenil 75kg",21,IF(Atletas!D55="Juvenil 80kg",22, IF(Atletas!D55="Juvenil 85kg",23,IF(Atletas!D55="Adulto 48kg",24,IF(Atletas!D55="Adulto 52kg",25,IF(Atletas!D55="Adulto 56kg",26,IF(Atletas!D55="Adulto 60kg",27,IF(Atletas!D55="Adulto 65kg",28,IF(Atletas!D55="Adulto 70kg",29,IF(Atletas!D55="Adulto 75kg",30,IF(Atletas!D55="Adulto 80kg",31,IF(Atletas!D55="Adulto 85kg",32,IF(Atletas!D55="Adulto 90kg",33,IF(Atletas!D55="Adulto 100kg",34, IF(Atletas!D55="Adulto +100kg",35,"")))))))))))))))))))))))))))))))))))))</f>
        <v/>
      </c>
      <c r="AS64" s="6" t="str">
        <f>IF(Atletas!E55="","",IF(Atletas!B55="Feminino",100,IF(Atletas!B55="Masculino",200,""))+(IF(Atletas!E55="Juvenil 44kg",1,IF(Atletas!E55="Juvenil 48kg",2,IF(Atletas!E55="Juvenil 52kg",3,IF(Atletas!E55="Juvenil 56kg",4,IF(Atletas!E55="Juvenil 60kg",5,IF(Atletas!E55="Juvenil 65kg",6,IF(Atletas!E55="Juvenil 70kg",7,IF(Atletas!E55="Juvenil 75kg",8,IF(Atletas!E55="Juvenil 82kg",9,IF(Atletas!E55="Juvenil 90kg",10,IF(Atletas!E55="Juvenil 100kg",11,IF(Atletas!E55="Adulto 48kg",12,IF(Atletas!E55="Adulto 52kg",13,IF(Atletas!E55="Adulto 56kg",14,IF(Atletas!E55="Adulto 60kg",15,IF(Atletas!E55="Adulto 65kg",16,IF(Atletas!E55="Adulto 70kg",17,IF(Atletas!E55="Adulto 75kg",18,IF(Atletas!E55="Adulto 82kg",19,IF(Atletas!E55="Adulto 90kg",20,IF(Atletas!E55="Adulto 100kg",21,IF(Atletas!E55="Adulto +100kg",22,""))))))))))))))))))))))))</f>
        <v/>
      </c>
      <c r="AX64" s="6" t="str">
        <f>IF(Atletas!F55="","",IF(Atletas!B55="Feminino",100,IF(Atletas!B55="Masculino",200,""))+(IF(Atletas!F55="Adulto 48kg",1,IF(Atletas!F55="Adulto 56kg",2,IF(Atletas!F55="Adulto 65kg",3,IF(Atletas!F55="Adulto 75kg",4,IF(Atletas!F55="Adulto +75kg",5,IF(Atletas!F55="Adulto 52kg",6,IF(Atletas!F55="Adulto 60kg",7,IF(Atletas!F55="Adulto 70kg",8,IF(Atletas!F55="Adulto 80kg",9,IF(Atletas!F55="Adulto 90kg",10,IF(Atletas!F55="Adulto +90kg",11,"")))))))))))))</f>
        <v/>
      </c>
      <c r="BC64" s="6" t="str">
        <f>IF(Atletas!G55="","",IF(Atletas!B55="Feminino",10,IF(Atletas!B55="Masculino",20,""))+(IF(Atletas!G55="Baduanjin A",1,IF(Atletas!G55="Baduanjin B",2))))</f>
        <v/>
      </c>
      <c r="BF64" s="52" t="str">
        <f>IF(Atletas!H55="","",IF(Atletas!B55="Feminino",100,IF(Atletas!B55="Masculino",200,""))+(IF(Atletas!H55="Changquan Mirim",1,IF(Atletas!H55="Nanquan Mirim",2,IF(Atletas!H55="Taijiquan Mirim",3,IF(Atletas!H55="Changquan Grupo C",4,IF(Atletas!H55="Nanquan Grupo C",5,IF(Atletas!H55="Taijiquan Grupo C",6,IF(Atletas!H55="Changquan Grupo B",7,IF(Atletas!H55="Nanquan Grupo B",8,IF(Atletas!H55="Taijiquan Grupo B",9,IF(Atletas!H55="Changquan Grupo A",10,IF(Atletas!H55="Nanquan Grupo A",11,IF(Atletas!H55="Taijiquan Grupo A",12,IF(Atletas!H55="Changquan Opcional",13,IF(Atletas!H55="Nanquan Opcional",14,IF(Atletas!H55="Taijiquan Opcional",15,IF(Atletas!H55="Changquan Adulto",16,IF(Atletas!H55="Nanquan Adulto",17,IF(Atletas!H55="Taijiquan Adulto",18,""))))))))))))))))))))</f>
        <v/>
      </c>
      <c r="BG64" s="52" t="str">
        <f>IF(Atletas!I55="","",IF(Atletas!B55="Feminino",100,IF(Atletas!B55="Masculino",200,""))+(IF(Atletas!I55="Daoshu Mirim",19,IF(Atletas!I55="Jianshu Mirim",20,IF(Atletas!I55="Nandao Mirim",21,IF(Atletas!I55="Taijijian Mirim",22,IF(Atletas!I55="Daoshu Grupo C",23,IF(Atletas!I55="Jianshu Grupo C",24,IF(Atletas!I55="Nandao Grupo C",25,IF(Atletas!I55="Taijijian Grupo C",26,IF(Atletas!I55="Daoshu Grupo B",27,IF(Atletas!I55="Jianshu Grupo B",28,IF(Atletas!I55="Nandao Grupo B",29,IF(Atletas!I55="Taijijian Grupo B",30,IF(Atletas!I55="Daoshu Grupo A",31,IF(Atletas!I55="Jianshu Grupo A",32,IF(Atletas!I55="Nandao Grupo A",33,IF(Atletas!I55="Taijijian Grupo A",34,IF(Atletas!I55="Daoshu Opcional",35,IF(Atletas!I55="Jianshu Opcional",36,IF(Atletas!I55="Nandao Opcional",37,IF(Atletas!I55="Taijijian Opcional",38,IF(Atletas!I55="Daoshu Adulto",39,IF(Atletas!I55="Jianshu Adulto",40,IF(Atletas!I55="Nandao Adulto",41,IF(Atletas!I55="Taijijian Adulto",42,""))))))))))))))))))))))))))</f>
        <v/>
      </c>
      <c r="BH64" s="52" t="str">
        <f>IF(Atletas!J55="","",IF(Atletas!B55="Feminino",100,IF(Atletas!B55="Masculino",200,""))+(IF(Atletas!J55="Gunshu Mirim",43,IF(Atletas!J55="Qiangshu Mirim",44,IF(Atletas!J55="Nangun Mirim",45,IF(Atletas!J55="Gunshu Grupo C",46,IF(Atletas!J55="Qiangshu Grupo C",47,IF(Atletas!J55="Nangun Grupo C",48,IF(Atletas!J55="Gunshu Grupo B",49,IF(Atletas!J55="Qiangshu Grupo B",50,IF(Atletas!J55="Nangun Grupo B",51,IF(Atletas!J55="Gunshu Grupo A",52,IF(Atletas!J55="Qiangshu Grupo A",53,IF(Atletas!J55="Nangun Grupo A",54,IF(Atletas!J55="Gunshu Opcional",55,IF(Atletas!J55="Qiangshu Opcional",56,IF(Atletas!J55="Nangun Opcional",57,IF(Atletas!J55="Gunshu Adulto",58,IF(Atletas!J55="Qiangshu Adulto",59,IF(Atletas!J55="Nangun Adulto",60,IF(Atletas!J55="Taijishan Grupo B",61,IF(Atletas!J55="Taijishan Grupo A",62,""))))))))))))))))))))))</f>
        <v/>
      </c>
      <c r="BI64" s="6" t="str">
        <f>IF(BJ64&lt;&gt;"","Nandao Alternativo","")</f>
        <v/>
      </c>
      <c r="BJ64" s="50" t="str">
        <f>IF(COUNTIF(BF:BH,141)&gt;0,COUNTIF(BF:BH,141),"")</f>
        <v/>
      </c>
      <c r="BK64" s="6" t="str">
        <f>IF(BL64&lt;&gt;"","Nandao Alternativo","")</f>
        <v/>
      </c>
      <c r="BL64" s="50" t="str">
        <f>IF(COUNTIF(BF:BH,241)&gt;0,COUNTIF(BF:BH,241),"")</f>
        <v/>
      </c>
      <c r="BM64" s="50" t="str">
        <f>IF(Atletas!K55="","",IF(Atletas!B55="Feminino",100,IF(Atletas!B55="Masculino",200,""))+(IF(Atletas!K55="Equipe 1 Grupo B",1,IF(Atletas!K55="Equipe 2 Grupo B",2,IF(Atletas!K55="Equipe 1 Grupo A",3,IF(Atletas!K55="Equipe 2 Grupo A",4,IF(Atletas!K55="Equipe 1 Adulto",5,IF(Atletas!K55="Equipe 2 Adulto",6,""))))))))</f>
        <v/>
      </c>
      <c r="BR64" s="50" t="str">
        <f>IF(Atletas!L55="","",IF(Atletas!X55&lt;&gt;"",10000,0)+(IF(Atletas!B55="Feminino",1000,IF(Atletas!B55="Masculino",2000,""))+IF(Atletas!L55="Choylayfut A",1,IF(Atletas!L55="Hunggar A",2,IF(Atletas!L55="Wuzuquan A",3,IF(Atletas!L55="Wingchun A",4,IF(Atletas!L55="Outra Mão de Sul A",5,IF(Atletas!L55="Choylayfut B",6,IF(Atletas!L55="Hunggar B",7,IF(Atletas!L55="Wuzuquan B",8,IF(Atletas!L55="Wingchun B",9,IF(Atletas!L55="Outra Mão de Sul B",10,IF(Atletas!L55="Choylayfut C",11,IF(Atletas!L55="Hunggar C",12,IF(Atletas!L55="Wuzuquan C",13,IF(Atletas!L55="Wingchun C",14,IF(Atletas!L55="Outra Mão de Sul C",15,IF(Atletas!L55="Choylayfut D",16,IF(Atletas!L55="Hunggar D",17,IF(Atletas!L55="Wuzuquan D",18,IF(Atletas!L55="Wingchun D",19,IF(Atletas!L55="Outra Mão de Sul D",20,IF(Atletas!L55="Choylayfut E",21,IF(Atletas!L55="Hunggar E",22,IF(Atletas!L55="Wuzuquan E",23,IF(Atletas!L55="Wingchun E",24,IF(Atletas!L55="Outra Mão de Sul E",25,IF(Atletas!L55="Choylayfut F",26,IF(Atletas!L55="Hunggar F",27,IF(Atletas!L55="Wuzuquan F",28,IF(Atletas!L55="Wingchun F",29,IF(Atletas!L55="Outra Mão de Sul F",30,IF(Atletas!L55="Dishuquan A",31,IF(Atletas!L55="Dishuquan B",32,IF(Atletas!L55="Dishuquan C",33,IF(Atletas!L55="Dishuquan D",34,IF(Atletas!L55="Dishuquan E",35,IF(Atletas!L55="Dishuquan F",36,""))))))))))))))))))))))))))))))))))))))</f>
        <v/>
      </c>
      <c r="BS64" s="50" t="str">
        <f>IF(Atletas!M55="","",IF(Atletas!X55&lt;&gt;"",10000,0)+(IF(Atletas!B55="Feminino",1000,IF(Atletas!B55="Masculino",2000,""))+(IF(Atletas!M55="Chaquan A",101,IF(Atletas!M55="Emeiquan A",102,IF(Atletas!M55="Fanziquan A",103,IF(Atletas!M55="Huaquan A",104,IF(Atletas!M55="Hongquan A",105,IF(Atletas!M55="Paoquan A",106,IF(Atletas!M55="Piguaquan A",107,IF(Atletas!M55="Shaolinquan A",108,IF(Atletas!M55="Tanglangquan A",109,IF(Atletas!M55="Yingzhaoquan A",110,IF(Atletas!M55="Tongbeiquan A",111,IF(Atletas!M55="Wudangquan A",112,IF(Atletas!M55="Outros Estilos A",113,IF(Atletas!M55="Chaquan B",114,IF(Atletas!M55="Emeiquan B",115,IF(Atletas!M55="Fanziquan B",116,IF(Atletas!M55="Huaquan B",117,IF(Atletas!M55="Hongquan B",118,IF(Atletas!M55="Paoquan B",119,IF(Atletas!M55="Piguaquan B",120,IF(Atletas!M55="Shaolinquan B",121,IF(Atletas!M55="Tanglangquan B",122,IF(Atletas!M55="Yingzhaoquan B",123,IF(Atletas!M55="Tongbeiquan B",124,IF(Atletas!M55="Wudangquan B",125,IF(Atletas!M55="Outros Estilos B",126,IF(Atletas!M55="Chaquan C",127,IF(Atletas!M55="Emeiquan C",128,IF(Atletas!M55="Fanziquan C",129,IF(Atletas!M55="Huaquan C",130,IF(Atletas!M55="Hongquan C",131,IF(Atletas!M55="Paoquan C",132,IF(Atletas!M55="Piguaquan C",133,IF(Atletas!M55="Shaolinquan C",134,IF(Atletas!M55="Tanglangquan C",135,IF(Atletas!M55="Yingzhaoquan C",136,IF(Atletas!M55="Tongbeiquan C",137,IF(Atletas!M55="Wudangquan C",138,IF(Atletas!M55="Outros Estilos C",139,0))))))))))))))))))))))))))))))))))))))))))</f>
        <v/>
      </c>
      <c r="BT64" s="50" t="str">
        <f>IF(Atletas!M55="","",IF(Atletas!X55&lt;&gt;"",10000,0)+(IF(Atletas!B55="Feminino",1000,IF(Atletas!B55="Masculino",2000,""))+(IF(Atletas!M55="Chaquan D",140,IF(Atletas!M55="Emeiquan D",141,IF(Atletas!M55="Fanziquan D",142,IF(Atletas!M55="Huaquan D",143,IF(Atletas!M55="Hongquan D",144,IF(Atletas!M55="Paoquan D",145,IF(Atletas!M55="Piguaquan D",146,IF(Atletas!M55="Shaolinquan D",147,IF(Atletas!M55="Tanglangquan D",148,IF(Atletas!M55="Yingzhaoquan D",149,IF(Atletas!M55="Tongbeiquan D",150,IF(Atletas!M55="Wudangquan D",151,IF(Atletas!M55="Outros Estilos D",152,IF(Atletas!M55="Chaquan E",153,IF(Atletas!M55="Emeiquan E",154,IF(Atletas!M55="Fanziquan E",155,IF(Atletas!M55="Huaquan E",156,IF(Atletas!M55="Hongquan E",157,IF(Atletas!M55="Paoquan E",158,IF(Atletas!M55="Piguaquan E",159,IF(Atletas!M55="Shaolinquan E",160,IF(Atletas!M55="Tanglangquan E",161,IF(Atletas!M55="Yingzhaoquan E",162,IF(Atletas!M55="Tongbeiquan E",163,IF(Atletas!M55="Wudangquan E",164,IF(Atletas!M55="Outros Estilos E",165,IF(Atletas!M55="Chaquan F",166,IF(Atletas!M55="Emeiquan F",167,IF(Atletas!M55="Fanziquan F",168,IF(Atletas!M55="Huaquan F",169,IF(Atletas!M55="Hongquan F",170,IF(Atletas!M55="Paoquan F",171,IF(Atletas!M55="Piguaquan F",172,IF(Atletas!M55="Shaolinquan F",173,IF(Atletas!M55="Tanglangquan F",174,IF(Atletas!M55="Yingzhaoquan F",175,IF(Atletas!M55="Tongbeiquan F",176,IF(Atletas!M55="Wudangquan F",177,IF(Atletas!M55="Outros Estilos F",178,0))))))))))))))))))))))))))))))))))))))))))</f>
        <v/>
      </c>
      <c r="BU64" s="50" t="str">
        <f>IF(Atletas!N55="","",IF(Atletas!X55&lt;&gt;"",10000,0)+(IF(Atletas!B55="Feminino",1000,IF(Atletas!B55="Masculino",2000,""))+(IF(Atletas!N55="Ditangquan A",201,IF(Atletas!N55="Houquan A",202,IF(Atletas!N55="Zuiquan A",203,IF(Atletas!N55="Ditangquan B",204,IF(Atletas!N55="Houquan B",205,IF(Atletas!N55="Zuiquan B",206,IF(Atletas!N55="Ditangquan C",207,IF(Atletas!N55="Houquan C",208,IF(Atletas!N55="Zuiquan C",209,IF(Atletas!N55="Ditangquan D",210,IF(Atletas!N55="Houquan D",211,IF(Atletas!N55="Zuiquan D",212,IF(Atletas!N55="Ditangquan E",213,IF(Atletas!N55="Houquan E",214,IF(Atletas!N55="Zuiquan E",215,IF(Atletas!N55="Ditangquan F",216,IF(Atletas!N55="Houquan F",217,IF(Atletas!N55="Zuiquan F",218,"")))))))))))))))))))))</f>
        <v/>
      </c>
      <c r="BV64" s="50" t="str">
        <f>IF(Atletas!O55="","",IF(Atletas!X55&lt;&gt;"",10000,0)+IF(Atletas!B55="Feminino",1000,IF(Atletas!B55="Masculino",2000,""))+IF(Atletas!O55="Yang A",301,IF(Atletas!O55="Chen A",302,IF(Atletas!O55="Sun A",303,IF(Atletas!O55="Wu A",304,IF(Atletas!O55="Wu-Hao A",305,IF(Atletas!O55="Outro Taijiquan A",306,IF(Atletas!O55="Yang B",307,IF(Atletas!O55="Chen B",308,IF(Atletas!O55="Sun B",309,IF(Atletas!O55="Wu B",310,IF(Atletas!O55="Wu-Hao B",311,IF(Atletas!O55="Outro Taijiquan B",312,IF(Atletas!O55="Yang C",313,IF(Atletas!O55="Chen C",314,IF(Atletas!O55="Sun C",315,IF(Atletas!O55="Wu C",316,IF(Atletas!O55="Wu-Hao C",317,IF(Atletas!O55="Outro Taijiquan C",318,IF(Atletas!O55="Yang D",319,IF(Atletas!O55="Chen D",320,IF(Atletas!O55="Sun D",321,IF(Atletas!O55="Wu D",322,IF(Atletas!O55="Wu-Hao D",323,IF(Atletas!O55="Outro Taijiquan D",324,IF(Atletas!O55="Yang E",325,IF(Atletas!O55="Chen E",326,IF(Atletas!O55="Sun E",327,IF(Atletas!O55="Wu E",328,IF(Atletas!O55="Wu-Hao E",329,IF(Atletas!O55="Outro Taijiquan E",330,IF(Atletas!O55="Yang F",331,IF(Atletas!O55="Chen F",332,IF(Atletas!O55="Sun F",333,IF(Atletas!O55="Wu F",334,IF(Atletas!O55="Wu-Hao F",335,IF(Atletas!O55="Outro Taijiquan F",336,"")))))))))))))))))))))))))))))))))))))</f>
        <v/>
      </c>
      <c r="BW64" s="50" t="str">
        <f>IF(Atletas!P55="","",IF(Atletas!X55&lt;&gt;"",10000,0)+IF(Atletas!B55="Feminino",1000,IF(Atletas!B55="Masculino",2000,""))+IF(OR(Atletas!P55="Yang 26 A",Atletas!P55="Yang 40 A"),401,IF(OR(Atletas!P55="Chen 25 A",Atletas!P55="Chen 36 A",Atletas!P55="Chen 56 A"),402,IF(Atletas!P55="Sun 73 A",403,IF(Atletas!P55="Wu 45 A",404,IF(Atletas!P55="Wu-Hao 46 A",405,IF(OR(Atletas!P55="Taijiquan 16 A",Atletas!P55="Taijiquan 24 A",Atletas!P55="Taijiquan 32 A",Atletas!P55="Taijiquan 42 A"),406,IF(OR(Atletas!P55="Yang 26 B",Atletas!P55="Yang 40 B"),407,IF(OR(Atletas!P55="Chen 25 B",Atletas!P55="Chen 36 B",Atletas!P55="Chen 56 B"),408,IF(Atletas!P55="Sun 73 B",409,IF(Atletas!P55="Wu 45 B",410,IF(Atletas!P55="Wu-Hao 46 B",411,IF(OR(Atletas!P55="Taijiquan 16 B",Atletas!P55="Taijiquan 24 B",Atletas!P55="Taijiquan 32 B",Atletas!P55="Taijiquan 42 B"),412,IF(OR(Atletas!P55="Yang 26 C",Atletas!P55="Yang 40 C"),413,IF(OR(Atletas!P55="Chen 25 C",Atletas!P55="Chen 36 C",Atletas!P55="Chen 56 C"),414,IF(Atletas!P55="Sun 73 C",415,IF(Atletas!P55="Wu 45 C",416,IF(Atletas!P55="Wu-Hao 46 C",417,IF(OR(Atletas!P55="Taijiquan 16 C",Atletas!P55="Taijiquan 24 C",Atletas!P55="Taijiquan 32 C",Atletas!P55="Taijiquan 42 C"),418,0)))))))))))))))))))</f>
        <v/>
      </c>
      <c r="BX64" s="50" t="str">
        <f>IF(Atletas!P55="","",IF(Atletas!X55&lt;&gt;"",10000,0)+IF(Atletas!B55="Feminino",1000,IF(Atletas!B55="Masculino",2000,""))+IF(OR(Atletas!P55="Yang 26 D",Atletas!P55="Yang 40 D"),419,IF(OR(Atletas!P55="Chen 25 D",Atletas!P55="Chen 36 D",Atletas!P55="Chen 56 D"),420,IF(Atletas!P55="Sun 73 D",421,IF(Atletas!P55="Wu 45 D",422,IF(Atletas!P55="Wu-Hao 46 D",423,IF(OR(Atletas!P55="Taijiquan 16 D",Atletas!P55="Taijiquan 24 D",Atletas!P55="Taijiquan 32 D",Atletas!P55="Taijiquan 42 D"),424,IF(OR(Atletas!P55="Yang 26 E",Atletas!P55="Yang 40 E"),425,IF(OR(Atletas!P55="Chen 25 E",Atletas!P55="Chen 36 E",Atletas!P55="Chen 56 E"),426,IF(Atletas!P55="Sun 73 E",427,IF(Atletas!P55="Wu 45 E",428,IF(Atletas!P55="Wu-Hao 46 E",429,IF(OR(Atletas!P55="Taijiquan 16 E",Atletas!P55="Taijiquan 24 E",Atletas!P55="Taijiquan 32 E",Atletas!P55="Taijiquan 42 E"),430,IF(OR(Atletas!P55="Yang 26 F",Atletas!P55="Yang 40 F"),431,IF(OR(Atletas!P55="Chen 25 F",Atletas!P55="Chen 36 F",Atletas!P55="Chen 56 F"),432,IF(Atletas!P55="Sun 73 F",433,IF(Atletas!P55="Wu 45 F",434,IF(Atletas!P55="Wu-Hao 46 F",435,IF(OR(Atletas!P55="Taijiquan 16 F",Atletas!P55="Taijiquan 24 F",Atletas!P55="Taijiquan 32 F",Atletas!P55="Taijiquan 42 F"),436,0)))))))))))))))))))</f>
        <v/>
      </c>
      <c r="BY64" s="50" t="str">
        <f>IF(Atletas!Q55="","",IF(Atletas!X55&lt;&gt;"",10000,0)+IF(Atletas!B55="Feminino",1000,IF(Atletas!B55="Masculino",2000,""))+IF(Atletas!Q55="Xingyiquan A",501,IF(Atletas!Q55="Baguazhang A",502,IF(Atletas!Q55="Outro Estilo Interno A",503,IF(Atletas!Q55="Xingyiquan B",504,IF(Atletas!Q55="Baguazhang B",505,IF(Atletas!Q55="Outro Estilo Interno B",506,IF(Atletas!Q55="Xingyiquan C",507,IF(Atletas!Q55="Baguazhang C",508,IF(Atletas!Q55="Outro Estilo Interno C",509,IF(Atletas!Q55="Xingyiquan D",510,IF(Atletas!Q55="Baguazhang D",511,IF(Atletas!Q55="Outro Estilo Interno D",512,IF(Atletas!Q55="Xingyiquan E",513,IF(Atletas!Q55="Baguazhang E",514,IF(Atletas!Q55="Outro Estilo Interno E",515,IF(Atletas!Q55="Xingyiquan F",516,IF(Atletas!Q55="Baguazhang F",517,IF(Atletas!Q55="Outro Estilo Interno F",518, "")))))))))))))))))))</f>
        <v/>
      </c>
      <c r="BZ64" s="50" t="str">
        <f>IF(Atletas!R55="","",IF(Atletas!X55&lt;&gt;"",10000,0)+IF(Atletas!B55="Feminino",1000,IF(Atletas!B55="Masculino",2000,""))+IF(Atletas!R55="Dao A",601,IF(Atletas!R55="Jian A",602,IF(Atletas!R55="Bishou A",603,IF(Atletas!R55="Shanzi A",604,IF(Atletas!R55="Outra Arma Curta A",605,IF(Atletas!R55="Dao B",606,IF(Atletas!R55="Jian B",607,IF(Atletas!R55="Bishou B",608,IF(Atletas!R55="Shanzi B",609,IF(Atletas!R55="Outra Arma Curta B",610,IF(Atletas!R55="Dao C",611,IF(Atletas!R55="Jian C",612,IF(Atletas!R55="Bishou C",613,IF(Atletas!R55="Shanzi C",614,IF(Atletas!R55="Outra Arma Curta C",615,IF(Atletas!R55="Dao D",616,IF(Atletas!R55="Jian D",617,IF(Atletas!R55="Bishou D",618,IF(Atletas!R55="Shanzi D",619,IF(Atletas!R55="Outra Arma Curta D",620,IF(Atletas!R55="Dao E",621,IF(Atletas!R55="Jian E",622,IF(Atletas!R55="Bishou E",623,IF(Atletas!R55="Shanzi E",624,IF(Atletas!R55="Outra Arma Curta E",625,IF(Atletas!R55="Dao F",626,IF(Atletas!R55="Jian F",627,IF(Atletas!R55="Bishou F",628,IF(Atletas!R55="Shanzi F",629,IF(Atletas!R55="Outra Arma Curta F",630, "")))))))))))))))))))))))))))))))</f>
        <v/>
      </c>
      <c r="CA64" s="50" t="str">
        <f>IF(Atletas!S55="","",IF(Atletas!X55&lt;&gt;"",10000,0)+IF(Atletas!B55="Feminino",1000,IF(Atletas!B55="Masculino",2000,""))+IF(Atletas!S55="Gun A",701,IF(Atletas!S55="Qiang A",702,IF(Atletas!S55="Pudao / Guandao A",703,IF(Atletas!S55="Outra Arma Longa A",704,IF(Atletas!S55="Gun B",705,IF(Atletas!S55="Qiang B",706,IF(Atletas!S55="Pudao / Guandao B",707,IF(Atletas!S55="Outra Arma Longa B",708,IF(Atletas!S55="Gun C",709,IF(Atletas!S55="Qiang C",710,IF(Atletas!S55="Pudao / Guandao C",711,IF(Atletas!S55="Outra Arma Longa C",712,IF(Atletas!S55="Gun D",713,IF(Atletas!S55="Qiang D",714,IF(Atletas!S55="Pudao / Guandao D",715,IF(Atletas!S55="Outra Arma Longa D",716,IF(Atletas!S55="Gun E",717,IF(Atletas!S55="Qiang E",718,IF(Atletas!S55="Pudao / Guandao E",719,IF(Atletas!S55="Outra Arma Longa E",720,IF(Atletas!S55="Gun F",721,IF(Atletas!S55="Qiang F",722,IF(Atletas!S55="Pudao / Guandao F",723,IF(Atletas!S55="Outra Arma Longa F",724,"")))))))))))))))))))))))))</f>
        <v/>
      </c>
      <c r="CB64" s="50" t="str">
        <f>IF(Atletas!T55="","",IF(Atletas!X55&lt;&gt;"",10000,0)+IF(Atletas!B55="Feminino",1000,IF(Atletas!B55="Masculino",2000,""))+IF(Atletas!T55="Outra Arma Dupla A",801,IF(Atletas!T55="Arma Maleável A",802,IF(Atletas!T55="Outra Arma Dupla B",803,IF(Atletas!T55="Arma Maleável B",804,IF(Atletas!T55="Outra Arma Dupla C",805,IF(Atletas!T55="Arma Maleável C",806,IF(Atletas!T55="Outra Arma Dupla D",807,IF(Atletas!T55="Arma Maleável D",808,IF(Atletas!T55="Outra Arma Dupla E",809,IF(Atletas!T55="Arma Maleável E",810,IF(Atletas!T55="Outra Arma Dupla F",811,IF(Atletas!T55="Arma Maleável F",812,IF(Atletas!T55="Shuangdao A",813,IF(Atletas!T55="Shuangdao B",814,IF(Atletas!T55="Shuangdao C",815,IF(Atletas!T55="Shuangdao D",816,IF(Atletas!T55="Shuangdao E",817,IF(Atletas!T55="Shuangdao F",818,"")))))))))))))))))))</f>
        <v/>
      </c>
      <c r="CC64" s="50" t="str">
        <f>IF(Atletas!U55="","",IF(Atletas!X55&lt;&gt;"",10000,0)+IF(Atletas!B55="Feminino",1000,IF(Atletas!B55="Masculino",2000,""))+IF(OR(Atletas!U55="Taijijian Yang A",Atletas!U55="Taijijian Yang Standard A"),901,IF(OR(Atletas!U55="Taijijian Chen A", Atletas!U55="Taijijian Chen Standard A"),902,IF(Atletas!U55="Taijijian Sun A",903,IF(Atletas!U55="Taijijian Wu A",904,IF(Atletas!U55="Taijijian Wu-Hao A",905,IF(OR(Atletas!U55="Taijijian 32 A",Atletas!U55="Taijijian 42 A"),906,IF(OR(Atletas!U55="Taijijian Yang B",Atletas!U55="Taijijian Yang Standard B"),907,IF(OR(Atletas!U55="Taijijian Chen B", Atletas!U55="Taijijian Chen Standard B"),908,IF(Atletas!U55="Taijijian Sun B",909,IF(Atletas!U55="Taijijian Wu B",910,IF(Atletas!U55="Taijijian Wu-Hao B",911,IF(OR(Atletas!U55="Taijijian 32 B",Atletas!U55="Taijijian 42 B"),912,IF(OR(Atletas!U55="Taijijian Yang C",Atletas!U55="Taijijian Yang Standard C"),913,IF(OR(Atletas!U55="Taijijian Chen C", Atletas!U55="Taijijian Chen Standard C"),914,IF(Atletas!U55="Taijijian Sun C",915,IF(Atletas!U55="Taijijian Wu C",916,IF(Atletas!U55="Taijijian Wu-Hao C",917,IF(OR(Atletas!U55="Taijijian 32 C",Atletas!U55="Taijijian 42 C"),918,IF(OR(Atletas!U55="Taijijian Yang D",Atletas!U55="Taijijian Yang Standard D"),919,IF(OR(Atletas!U55="Taijijian Chen D", Atletas!U55="Taijijian Chen Standard D"),920,IF(Atletas!U55="Taijijian Sun D",921,IF(Atletas!U55="Taijijian Wu D",922,IF(Atletas!U55="Taijijian Wu-Hao D",923,IF(OR(Atletas!U55="Taijijian 32 D",Atletas!U55="Taijijian 42 D"),924,IF(OR(Atletas!U55="Taijijian Yang E",Atletas!U55="Taijijian Yang Standard E"),925,IF(OR(Atletas!U55="Taijijian Chen E", Atletas!U55="Taijijian Chen Standard E"),926,IF(Atletas!U55="Taijijian Sun E",927,IF(Atletas!U55="Taijijian Wu E",928,IF(Atletas!U55="Taijijian Wu-Hao E",929,IF(OR(Atletas!U55="Taijijian 32 E",Atletas!U55="Taijijian 42 E"),930,IF(OR(Atletas!U55="Taijijian Yang F",Atletas!U55="Taijijian Yang Standard F"),931,IF(OR(Atletas!U55="Taijijian Chen F", Atletas!U55="Taijijian Chen Standard F"),932,IF(Atletas!U55="Taijijian Sun F",933,IF(Atletas!U55="Taijijian Wu F",934,IF(Atletas!U55="Taijijian Wu-Hao F",935,IF(OR(Atletas!U55="Taijijian 32 F",Atletas!U55="Taijijian 42 F"),936,"")))))))))))))))))))))))))))))))))))))</f>
        <v/>
      </c>
      <c r="CD64" s="50" t="str">
        <f>IF(Atletas!V55="","",IF(Atletas!X55&lt;&gt;"",10000,0)+IF(Atletas!B55="Feminino",1000,IF(Atletas!B55="Masculino",2000,""))+IF(Atletas!V55="Taijidao A",937,IF(Atletas!V55="TaijiShanzi A",938,IF(Atletas!V55="Taijiqiang A",939,IF(Atletas!V55="Bagua de Arma A",940,IF(Atletas!V55="Xingyi de Arma A",941,IF(Atletas!V55="Taijidao B",942,IF(Atletas!V55="TaijiShanzi B",943,IF(Atletas!V55="Taijiqiang B",944,IF(Atletas!V55="Bagua de Arma B",945,IF(Atletas!V55="Xingyi de Arma B",946,IF(Atletas!V55="Taijidao C",947,IF(Atletas!V55="TaijiShanzi C",948,IF(Atletas!V55="Taijiqiang C",949,IF(Atletas!V55="Bagua de Arma C",950,IF(Atletas!V55="Xingyi de Arma C",951,IF(Atletas!V55="Taijidao D",952,IF(Atletas!V55="TaijiShanzi D",953,IF(Atletas!V55="Taijiqiang D",954,IF(Atletas!V55="Bagua de Arma D",955,IF(Atletas!V55="Xingyi de Arma D",956,IF(Atletas!V55="Taijidao E",957,IF(Atletas!V55="TaijiShanzi E",958,IF(Atletas!V55="Taijiqiang E",959,IF(Atletas!V55="Bagua de Arma E",960,IF(Atletas!V55="Xingyi de Arma E",961,IF(Atletas!V55="Taijidao F",962,IF(Atletas!V55="TaijiShanzi F",963,IF(Atletas!V55="Taijiqiang F",964,IF(Atletas!V55="Bagua de Arma F",965,IF(Atletas!V55="Xingyi de Arma F",966,"")))))))))))))))))))))))))))))))</f>
        <v/>
      </c>
      <c r="CE64" s="66" t="str">
        <f>IF(CF64&lt;&gt;"","Tanglangquan B","")</f>
        <v/>
      </c>
      <c r="CF64" s="66" t="str">
        <f>IF(COUNTIF(BR:CD,1122)&gt;0,COUNTIF(BR:CD,1122),"")</f>
        <v/>
      </c>
      <c r="CG64" s="66" t="str">
        <f>IF(CH64&lt;&gt;"","Tanglangquan B","")</f>
        <v/>
      </c>
      <c r="CH64" s="66" t="str">
        <f>IF(COUNTIF(BR:CD,2122)&gt;0,COUNTIF(BR:CD,2122),"")</f>
        <v/>
      </c>
      <c r="CI64" s="66" t="str">
        <f>IF(CJ64&lt;&gt;"","Emeiquan C","")</f>
        <v/>
      </c>
      <c r="CJ64" s="66" t="str">
        <f>IF(COUNTIF(BR:CD,11128)&gt;0,COUNTIF(BR:CD,11128),"")</f>
        <v/>
      </c>
      <c r="CK64" s="66" t="str">
        <f>IF(CL64&lt;&gt;"","Emeiquan C","")</f>
        <v/>
      </c>
      <c r="CL64" s="66" t="str">
        <f>IF(COUNTIF(BR:CD,12128)&gt;0,COUNTIF(BR:CD,12128),"")</f>
        <v/>
      </c>
      <c r="CM64" s="50" t="str">
        <f xml:space="preserve"> IF(Atletas!W55="","",IF(Atletas!W55="Duilian de Mãos BC - Equipe 1",1,IF(Atletas!W55="Duilian de Mãos BC - Equipe 2",2,IF(Atletas!W55="Duilian de Armas BC - Equipe 1",3,IF(Atletas!W55="Duilian de Armas BC - Equipe 2",4,IF(Atletas!W55="Duilian de Mãos DE - Equipe 1",5,IF(Atletas!W55="Duilian de Mãos DE - Equipe 2",6,IF(Atletas!W55="Duilian de Armas DE - Equipe 1",7,IF(Atletas!W55="Duilian de Armas DE - Equipe 2",8,IF(Atletas!W55="Duilian de Tuishou - Equipe 1",9,IF(Atletas!W55="Duilian de Tuishou - Equipe 2",10,IF(Atletas!W55="Grupo Externo ABC - Equipe 1",11,IF(Atletas!W55="Grupo Externo ABC - Equipe 2",12,IF(Atletas!W55="Grupo Interno ABC - Equipe 1",13,IF(Atletas!W55="Grupo Interno ABC - Equipe 2",14,IF(Atletas!W55="Grupo Externo DEF - Equipe 1",15,IF(Atletas!W55="Grupo Externo DEF - Equipe 2",16,IF(Atletas!W55="Grupo Interno DEF - Equipe 1",17,IF(Atletas!W55="Grupo Interno DEF - Equipe 2",18,"")))))))))))))))))))</f>
        <v/>
      </c>
      <c r="CY64" s="41"/>
    </row>
    <row r="65" spans="2:103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 t="str">
        <f t="array" ref="R65">IFERROR(INDEX(BI$7:BI$68,SMALL(IF(BI$7:BI$68&lt;&gt;"",ROW(BI$7:BI$68)-ROW(BI$7)+1),ROWS(BI$7:BI64))),"")</f>
        <v/>
      </c>
      <c r="S65" s="3" t="str">
        <f t="array" ref="S65">IFERROR(INDEX(BJ$7:BJ$68,SMALL(IF(BJ$7:BJ$68&lt;&gt;"",ROW(BJ$7:BJ$68)-ROW(BJ$7)+1),ROWS(BJ$7:BJ64))),"")</f>
        <v/>
      </c>
      <c r="T65" s="3" t="str">
        <f t="array" ref="T65">IFERROR(INDEX(BK$7:BK$68,SMALL(IF(BK$7:BK$68&lt;&gt;"",ROW(BK$7:BK$68)-ROW(BK$7)+1),ROWS(BK$7:BK64))),"")</f>
        <v/>
      </c>
      <c r="U65" s="3" t="str">
        <f t="array" ref="U65">IFERROR(INDEX(BL$7:BL$68,SMALL(IF(BL$7:BL$68&lt;&gt;"",ROW(BL$7:BL$68)-ROW(BL$7)+1),ROWS(BL$7:BL64))),"")</f>
        <v/>
      </c>
      <c r="V65" s="3"/>
      <c r="W65" s="3"/>
      <c r="X65" s="20"/>
      <c r="Y65" s="3"/>
      <c r="Z65" s="3" t="str">
        <f t="array" ref="Z65">IFERROR(INDEX(CE$7:CE$348,SMALL(IF(CE$7:CE$348&lt;&gt;"",ROW(CE$7:CE$348)-ROW(CE$7)+1),ROWS(CE$7:CE64))),"")</f>
        <v/>
      </c>
      <c r="AA65" s="3" t="str">
        <f t="array" ref="AA65">IFERROR(INDEX(CF$7:CF$348,SMALL(IF(CF$7:CF$348&lt;&gt;"",ROW(CF$7:CF$348)-ROW(CF$7)+1),ROWS(CF$7:CF64))),"")</f>
        <v/>
      </c>
      <c r="AB65" s="3" t="str">
        <f t="array" ref="AB65">IFERROR(INDEX(CG$7:CG$348,SMALL(IF(CG$7:CG$348&lt;&gt;"",ROW(CG$7:CG$348)-ROW(CG$7)+1),ROWS(CG$7:CG64))),"")</f>
        <v/>
      </c>
      <c r="AC65" s="3" t="str">
        <f t="array" ref="AC65">IFERROR(INDEX(CH$7:CH$348,SMALL(IF(CH$7:CH$348&lt;&gt;"",ROW(CH$7:CH$348)-ROW(CH$7)+1),ROWS(CH$7:CH64))),"")</f>
        <v/>
      </c>
      <c r="AD65" s="3" t="str">
        <f t="array" ref="AD65">IFERROR(INDEX(CI$7:CI$377,SMALL(IF(CI$7:CI$377&lt;&gt;"",ROW(CI$7:CI$377)-ROW(CI$7)+1),ROWS(CI$7:CI64))),"")</f>
        <v/>
      </c>
      <c r="AE65" s="3" t="str">
        <f t="array" ref="AE65">IFERROR(INDEX(CJ$7:CJ$378,SMALL(IF(CJ$7:CJ$378&lt;&gt;"",ROW(CJ$7:CJ$378)-ROW(CJ$7)+1),ROWS(CJ$7:CJ64))),"")</f>
        <v/>
      </c>
      <c r="AF65" s="3" t="str">
        <f t="array" ref="AF65">IFERROR(INDEX(CK$7:CK$378,SMALL(IF(CK$7:CK$378&lt;&gt;"",ROW(CK$7:CK$378)-ROW(CK$7)+1),ROWS(CK$7:CK64))),"")</f>
        <v/>
      </c>
      <c r="AG65" s="3" t="str">
        <f t="array" ref="AG65">IFERROR(INDEX(CL$7:CL$378,SMALL(IF(CL$7:CL$378&lt;&gt;"",ROW(CL$7:CL$378)-ROW(CL$7)+1),ROWS(CL$7:CL64))),"")</f>
        <v/>
      </c>
      <c r="AH65" s="3"/>
      <c r="AI65" s="3"/>
      <c r="AJ65" s="3"/>
      <c r="AK65" s="3"/>
      <c r="AL65" s="3"/>
      <c r="AM65" s="3"/>
      <c r="AN65" s="52" t="str">
        <f>IF(Atletas!D56="","",IF(Atletas!B56="Feminino",100,IF(Atletas!B56="Masculino",200,""))+(IF(Atletas!D56="Kids 30kg",1,IF(Atletas!D56="Kids 32kg",2, IF(Atletas!D56="Kids 34kg",3,IF(Atletas!D56="Kids 36kg",4,IF(Atletas!D56="Kids 39kg",5,IF(Atletas!D56="Kids 42kg",6,IF(Atletas!D56="Kids 45kg",7, IF(Atletas!D56="Infantil 39kg",8,IF(Atletas!D56="Infantil 42kg",9,IF(Atletas!D56="Infantil 45kg",10,IF(Atletas!D56="Infantil 48kg",11,IF(Atletas!D56="Infantil 52kg",12,IF(Atletas!D56="Infantil 56kg",13,IF(Atletas!D56="Infantil 60kg",14,IF(Atletas!D56="Juvenil 48kg",15,IF(Atletas!D56="Juvenil 52kg",16,IF(Atletas!D56="Juvenil 56kg",17,IF(Atletas!D56="Juvenil 60kg",18,IF(Atletas!D56="Juvenil 65kg",19,IF(Atletas!D56="Juvenil 70kg",20,IF(Atletas!D56="Juvenil 75kg",21,IF(Atletas!D56="Juvenil 80kg",22, IF(Atletas!D56="Juvenil 85kg",23,IF(Atletas!D56="Adulto 48kg",24,IF(Atletas!D56="Adulto 52kg",25,IF(Atletas!D56="Adulto 56kg",26,IF(Atletas!D56="Adulto 60kg",27,IF(Atletas!D56="Adulto 65kg",28,IF(Atletas!D56="Adulto 70kg",29,IF(Atletas!D56="Adulto 75kg",30,IF(Atletas!D56="Adulto 80kg",31,IF(Atletas!D56="Adulto 85kg",32,IF(Atletas!D56="Adulto 90kg",33,IF(Atletas!D56="Adulto 100kg",34, IF(Atletas!D56="Adulto +100kg",35,"")))))))))))))))))))))))))))))))))))))</f>
        <v/>
      </c>
      <c r="AS65" s="6" t="str">
        <f>IF(Atletas!E56="","",IF(Atletas!B56="Feminino",100,IF(Atletas!B56="Masculino",200,""))+(IF(Atletas!E56="Juvenil 44kg",1,IF(Atletas!E56="Juvenil 48kg",2,IF(Atletas!E56="Juvenil 52kg",3,IF(Atletas!E56="Juvenil 56kg",4,IF(Atletas!E56="Juvenil 60kg",5,IF(Atletas!E56="Juvenil 65kg",6,IF(Atletas!E56="Juvenil 70kg",7,IF(Atletas!E56="Juvenil 75kg",8,IF(Atletas!E56="Juvenil 82kg",9,IF(Atletas!E56="Juvenil 90kg",10,IF(Atletas!E56="Juvenil 100kg",11,IF(Atletas!E56="Adulto 48kg",12,IF(Atletas!E56="Adulto 52kg",13,IF(Atletas!E56="Adulto 56kg",14,IF(Atletas!E56="Adulto 60kg",15,IF(Atletas!E56="Adulto 65kg",16,IF(Atletas!E56="Adulto 70kg",17,IF(Atletas!E56="Adulto 75kg",18,IF(Atletas!E56="Adulto 82kg",19,IF(Atletas!E56="Adulto 90kg",20,IF(Atletas!E56="Adulto 100kg",21,IF(Atletas!E56="Adulto +100kg",22,""))))))))))))))))))))))))</f>
        <v/>
      </c>
      <c r="AX65" s="6" t="str">
        <f>IF(Atletas!F56="","",IF(Atletas!B56="Feminino",100,IF(Atletas!B56="Masculino",200,""))+(IF(Atletas!F56="Adulto 48kg",1,IF(Atletas!F56="Adulto 56kg",2,IF(Atletas!F56="Adulto 65kg",3,IF(Atletas!F56="Adulto 75kg",4,IF(Atletas!F56="Adulto +75kg",5,IF(Atletas!F56="Adulto 52kg",6,IF(Atletas!F56="Adulto 60kg",7,IF(Atletas!F56="Adulto 70kg",8,IF(Atletas!F56="Adulto 80kg",9,IF(Atletas!F56="Adulto 90kg",10,IF(Atletas!F56="Adulto +90kg",11,"")))))))))))))</f>
        <v/>
      </c>
      <c r="BC65" s="6" t="str">
        <f>IF(Atletas!G56="","",IF(Atletas!B56="Feminino",10,IF(Atletas!B56="Masculino",20,""))+(IF(Atletas!G56="Baduanjin A",1,IF(Atletas!G56="Baduanjin B",2))))</f>
        <v/>
      </c>
      <c r="BF65" s="52" t="str">
        <f>IF(Atletas!H56="","",IF(Atletas!B56="Feminino",100,IF(Atletas!B56="Masculino",200,""))+(IF(Atletas!H56="Changquan Mirim",1,IF(Atletas!H56="Nanquan Mirim",2,IF(Atletas!H56="Taijiquan Mirim",3,IF(Atletas!H56="Changquan Grupo C",4,IF(Atletas!H56="Nanquan Grupo C",5,IF(Atletas!H56="Taijiquan Grupo C",6,IF(Atletas!H56="Changquan Grupo B",7,IF(Atletas!H56="Nanquan Grupo B",8,IF(Atletas!H56="Taijiquan Grupo B",9,IF(Atletas!H56="Changquan Grupo A",10,IF(Atletas!H56="Nanquan Grupo A",11,IF(Atletas!H56="Taijiquan Grupo A",12,IF(Atletas!H56="Changquan Opcional",13,IF(Atletas!H56="Nanquan Opcional",14,IF(Atletas!H56="Taijiquan Opcional",15,IF(Atletas!H56="Changquan Adulto",16,IF(Atletas!H56="Nanquan Adulto",17,IF(Atletas!H56="Taijiquan Adulto",18,""))))))))))))))))))))</f>
        <v/>
      </c>
      <c r="BG65" s="52" t="str">
        <f>IF(Atletas!I56="","",IF(Atletas!B56="Feminino",100,IF(Atletas!B56="Masculino",200,""))+(IF(Atletas!I56="Daoshu Mirim",19,IF(Atletas!I56="Jianshu Mirim",20,IF(Atletas!I56="Nandao Mirim",21,IF(Atletas!I56="Taijijian Mirim",22,IF(Atletas!I56="Daoshu Grupo C",23,IF(Atletas!I56="Jianshu Grupo C",24,IF(Atletas!I56="Nandao Grupo C",25,IF(Atletas!I56="Taijijian Grupo C",26,IF(Atletas!I56="Daoshu Grupo B",27,IF(Atletas!I56="Jianshu Grupo B",28,IF(Atletas!I56="Nandao Grupo B",29,IF(Atletas!I56="Taijijian Grupo B",30,IF(Atletas!I56="Daoshu Grupo A",31,IF(Atletas!I56="Jianshu Grupo A",32,IF(Atletas!I56="Nandao Grupo A",33,IF(Atletas!I56="Taijijian Grupo A",34,IF(Atletas!I56="Daoshu Opcional",35,IF(Atletas!I56="Jianshu Opcional",36,IF(Atletas!I56="Nandao Opcional",37,IF(Atletas!I56="Taijijian Opcional",38,IF(Atletas!I56="Daoshu Adulto",39,IF(Atletas!I56="Jianshu Adulto",40,IF(Atletas!I56="Nandao Adulto",41,IF(Atletas!I56="Taijijian Adulto",42,""))))))))))))))))))))))))))</f>
        <v/>
      </c>
      <c r="BH65" s="52" t="str">
        <f>IF(Atletas!J56="","",IF(Atletas!B56="Feminino",100,IF(Atletas!B56="Masculino",200,""))+(IF(Atletas!J56="Gunshu Mirim",43,IF(Atletas!J56="Qiangshu Mirim",44,IF(Atletas!J56="Nangun Mirim",45,IF(Atletas!J56="Gunshu Grupo C",46,IF(Atletas!J56="Qiangshu Grupo C",47,IF(Atletas!J56="Nangun Grupo C",48,IF(Atletas!J56="Gunshu Grupo B",49,IF(Atletas!J56="Qiangshu Grupo B",50,IF(Atletas!J56="Nangun Grupo B",51,IF(Atletas!J56="Gunshu Grupo A",52,IF(Atletas!J56="Qiangshu Grupo A",53,IF(Atletas!J56="Nangun Grupo A",54,IF(Atletas!J56="Gunshu Opcional",55,IF(Atletas!J56="Qiangshu Opcional",56,IF(Atletas!J56="Nangun Opcional",57,IF(Atletas!J56="Gunshu Adulto",58,IF(Atletas!J56="Qiangshu Adulto",59,IF(Atletas!J56="Nangun Adulto",60,IF(Atletas!J56="Taijishan Grupo B",61,IF(Atletas!J56="Taijishan Grupo A",62,""))))))))))))))))))))))</f>
        <v/>
      </c>
      <c r="BI65" s="6" t="str">
        <f>IF(BJ65&lt;&gt;"","Taijijian Alternativo","")</f>
        <v/>
      </c>
      <c r="BJ65" s="50" t="str">
        <f>IF(COUNTIF(BF:BH,142)&gt;0,COUNTIF(BF:BH,142),"")</f>
        <v/>
      </c>
      <c r="BK65" s="6" t="str">
        <f>IF(BL65&lt;&gt;"","Taijijian Alternativo","")</f>
        <v/>
      </c>
      <c r="BL65" s="50" t="str">
        <f>IF(COUNTIF(BF:BH,242)&gt;0,COUNTIF(BF:BH,242),"")</f>
        <v/>
      </c>
      <c r="BM65" s="50" t="str">
        <f>IF(Atletas!K56="","",IF(Atletas!B56="Feminino",100,IF(Atletas!B56="Masculino",200,""))+(IF(Atletas!K56="Equipe 1 Grupo B",1,IF(Atletas!K56="Equipe 2 Grupo B",2,IF(Atletas!K56="Equipe 1 Grupo A",3,IF(Atletas!K56="Equipe 2 Grupo A",4,IF(Atletas!K56="Equipe 1 Adulto",5,IF(Atletas!K56="Equipe 2 Adulto",6,""))))))))</f>
        <v/>
      </c>
      <c r="BR65" s="50" t="str">
        <f>IF(Atletas!L56="","",IF(Atletas!X56&lt;&gt;"",10000,0)+(IF(Atletas!B56="Feminino",1000,IF(Atletas!B56="Masculino",2000,""))+IF(Atletas!L56="Choylayfut A",1,IF(Atletas!L56="Hunggar A",2,IF(Atletas!L56="Wuzuquan A",3,IF(Atletas!L56="Wingchun A",4,IF(Atletas!L56="Outra Mão de Sul A",5,IF(Atletas!L56="Choylayfut B",6,IF(Atletas!L56="Hunggar B",7,IF(Atletas!L56="Wuzuquan B",8,IF(Atletas!L56="Wingchun B",9,IF(Atletas!L56="Outra Mão de Sul B",10,IF(Atletas!L56="Choylayfut C",11,IF(Atletas!L56="Hunggar C",12,IF(Atletas!L56="Wuzuquan C",13,IF(Atletas!L56="Wingchun C",14,IF(Atletas!L56="Outra Mão de Sul C",15,IF(Atletas!L56="Choylayfut D",16,IF(Atletas!L56="Hunggar D",17,IF(Atletas!L56="Wuzuquan D",18,IF(Atletas!L56="Wingchun D",19,IF(Atletas!L56="Outra Mão de Sul D",20,IF(Atletas!L56="Choylayfut E",21,IF(Atletas!L56="Hunggar E",22,IF(Atletas!L56="Wuzuquan E",23,IF(Atletas!L56="Wingchun E",24,IF(Atletas!L56="Outra Mão de Sul E",25,IF(Atletas!L56="Choylayfut F",26,IF(Atletas!L56="Hunggar F",27,IF(Atletas!L56="Wuzuquan F",28,IF(Atletas!L56="Wingchun F",29,IF(Atletas!L56="Outra Mão de Sul F",30,IF(Atletas!L56="Dishuquan A",31,IF(Atletas!L56="Dishuquan B",32,IF(Atletas!L56="Dishuquan C",33,IF(Atletas!L56="Dishuquan D",34,IF(Atletas!L56="Dishuquan E",35,IF(Atletas!L56="Dishuquan F",36,""))))))))))))))))))))))))))))))))))))))</f>
        <v/>
      </c>
      <c r="BS65" s="50" t="str">
        <f>IF(Atletas!M56="","",IF(Atletas!X56&lt;&gt;"",10000,0)+(IF(Atletas!B56="Feminino",1000,IF(Atletas!B56="Masculino",2000,""))+(IF(Atletas!M56="Chaquan A",101,IF(Atletas!M56="Emeiquan A",102,IF(Atletas!M56="Fanziquan A",103,IF(Atletas!M56="Huaquan A",104,IF(Atletas!M56="Hongquan A",105,IF(Atletas!M56="Paoquan A",106,IF(Atletas!M56="Piguaquan A",107,IF(Atletas!M56="Shaolinquan A",108,IF(Atletas!M56="Tanglangquan A",109,IF(Atletas!M56="Yingzhaoquan A",110,IF(Atletas!M56="Tongbeiquan A",111,IF(Atletas!M56="Wudangquan A",112,IF(Atletas!M56="Outros Estilos A",113,IF(Atletas!M56="Chaquan B",114,IF(Atletas!M56="Emeiquan B",115,IF(Atletas!M56="Fanziquan B",116,IF(Atletas!M56="Huaquan B",117,IF(Atletas!M56="Hongquan B",118,IF(Atletas!M56="Paoquan B",119,IF(Atletas!M56="Piguaquan B",120,IF(Atletas!M56="Shaolinquan B",121,IF(Atletas!M56="Tanglangquan B",122,IF(Atletas!M56="Yingzhaoquan B",123,IF(Atletas!M56="Tongbeiquan B",124,IF(Atletas!M56="Wudangquan B",125,IF(Atletas!M56="Outros Estilos B",126,IF(Atletas!M56="Chaquan C",127,IF(Atletas!M56="Emeiquan C",128,IF(Atletas!M56="Fanziquan C",129,IF(Atletas!M56="Huaquan C",130,IF(Atletas!M56="Hongquan C",131,IF(Atletas!M56="Paoquan C",132,IF(Atletas!M56="Piguaquan C",133,IF(Atletas!M56="Shaolinquan C",134,IF(Atletas!M56="Tanglangquan C",135,IF(Atletas!M56="Yingzhaoquan C",136,IF(Atletas!M56="Tongbeiquan C",137,IF(Atletas!M56="Wudangquan C",138,IF(Atletas!M56="Outros Estilos C",139,0))))))))))))))))))))))))))))))))))))))))))</f>
        <v/>
      </c>
      <c r="BT65" s="50" t="str">
        <f>IF(Atletas!M56="","",IF(Atletas!X56&lt;&gt;"",10000,0)+(IF(Atletas!B56="Feminino",1000,IF(Atletas!B56="Masculino",2000,""))+(IF(Atletas!M56="Chaquan D",140,IF(Atletas!M56="Emeiquan D",141,IF(Atletas!M56="Fanziquan D",142,IF(Atletas!M56="Huaquan D",143,IF(Atletas!M56="Hongquan D",144,IF(Atletas!M56="Paoquan D",145,IF(Atletas!M56="Piguaquan D",146,IF(Atletas!M56="Shaolinquan D",147,IF(Atletas!M56="Tanglangquan D",148,IF(Atletas!M56="Yingzhaoquan D",149,IF(Atletas!M56="Tongbeiquan D",150,IF(Atletas!M56="Wudangquan D",151,IF(Atletas!M56="Outros Estilos D",152,IF(Atletas!M56="Chaquan E",153,IF(Atletas!M56="Emeiquan E",154,IF(Atletas!M56="Fanziquan E",155,IF(Atletas!M56="Huaquan E",156,IF(Atletas!M56="Hongquan E",157,IF(Atletas!M56="Paoquan E",158,IF(Atletas!M56="Piguaquan E",159,IF(Atletas!M56="Shaolinquan E",160,IF(Atletas!M56="Tanglangquan E",161,IF(Atletas!M56="Yingzhaoquan E",162,IF(Atletas!M56="Tongbeiquan E",163,IF(Atletas!M56="Wudangquan E",164,IF(Atletas!M56="Outros Estilos E",165,IF(Atletas!M56="Chaquan F",166,IF(Atletas!M56="Emeiquan F",167,IF(Atletas!M56="Fanziquan F",168,IF(Atletas!M56="Huaquan F",169,IF(Atletas!M56="Hongquan F",170,IF(Atletas!M56="Paoquan F",171,IF(Atletas!M56="Piguaquan F",172,IF(Atletas!M56="Shaolinquan F",173,IF(Atletas!M56="Tanglangquan F",174,IF(Atletas!M56="Yingzhaoquan F",175,IF(Atletas!M56="Tongbeiquan F",176,IF(Atletas!M56="Wudangquan F",177,IF(Atletas!M56="Outros Estilos F",178,0))))))))))))))))))))))))))))))))))))))))))</f>
        <v/>
      </c>
      <c r="BU65" s="50" t="str">
        <f>IF(Atletas!N56="","",IF(Atletas!X56&lt;&gt;"",10000,0)+(IF(Atletas!B56="Feminino",1000,IF(Atletas!B56="Masculino",2000,""))+(IF(Atletas!N56="Ditangquan A",201,IF(Atletas!N56="Houquan A",202,IF(Atletas!N56="Zuiquan A",203,IF(Atletas!N56="Ditangquan B",204,IF(Atletas!N56="Houquan B",205,IF(Atletas!N56="Zuiquan B",206,IF(Atletas!N56="Ditangquan C",207,IF(Atletas!N56="Houquan C",208,IF(Atletas!N56="Zuiquan C",209,IF(Atletas!N56="Ditangquan D",210,IF(Atletas!N56="Houquan D",211,IF(Atletas!N56="Zuiquan D",212,IF(Atletas!N56="Ditangquan E",213,IF(Atletas!N56="Houquan E",214,IF(Atletas!N56="Zuiquan E",215,IF(Atletas!N56="Ditangquan F",216,IF(Atletas!N56="Houquan F",217,IF(Atletas!N56="Zuiquan F",218,"")))))))))))))))))))))</f>
        <v/>
      </c>
      <c r="BV65" s="50" t="str">
        <f>IF(Atletas!O56="","",IF(Atletas!X56&lt;&gt;"",10000,0)+IF(Atletas!B56="Feminino",1000,IF(Atletas!B56="Masculino",2000,""))+IF(Atletas!O56="Yang A",301,IF(Atletas!O56="Chen A",302,IF(Atletas!O56="Sun A",303,IF(Atletas!O56="Wu A",304,IF(Atletas!O56="Wu-Hao A",305,IF(Atletas!O56="Outro Taijiquan A",306,IF(Atletas!O56="Yang B",307,IF(Atletas!O56="Chen B",308,IF(Atletas!O56="Sun B",309,IF(Atletas!O56="Wu B",310,IF(Atletas!O56="Wu-Hao B",311,IF(Atletas!O56="Outro Taijiquan B",312,IF(Atletas!O56="Yang C",313,IF(Atletas!O56="Chen C",314,IF(Atletas!O56="Sun C",315,IF(Atletas!O56="Wu C",316,IF(Atletas!O56="Wu-Hao C",317,IF(Atletas!O56="Outro Taijiquan C",318,IF(Atletas!O56="Yang D",319,IF(Atletas!O56="Chen D",320,IF(Atletas!O56="Sun D",321,IF(Atletas!O56="Wu D",322,IF(Atletas!O56="Wu-Hao D",323,IF(Atletas!O56="Outro Taijiquan D",324,IF(Atletas!O56="Yang E",325,IF(Atletas!O56="Chen E",326,IF(Atletas!O56="Sun E",327,IF(Atletas!O56="Wu E",328,IF(Atletas!O56="Wu-Hao E",329,IF(Atletas!O56="Outro Taijiquan E",330,IF(Atletas!O56="Yang F",331,IF(Atletas!O56="Chen F",332,IF(Atletas!O56="Sun F",333,IF(Atletas!O56="Wu F",334,IF(Atletas!O56="Wu-Hao F",335,IF(Atletas!O56="Outro Taijiquan F",336,"")))))))))))))))))))))))))))))))))))))</f>
        <v/>
      </c>
      <c r="BW65" s="50" t="str">
        <f>IF(Atletas!P56="","",IF(Atletas!X56&lt;&gt;"",10000,0)+IF(Atletas!B56="Feminino",1000,IF(Atletas!B56="Masculino",2000,""))+IF(OR(Atletas!P56="Yang 26 A",Atletas!P56="Yang 40 A"),401,IF(OR(Atletas!P56="Chen 25 A",Atletas!P56="Chen 36 A",Atletas!P56="Chen 56 A"),402,IF(Atletas!P56="Sun 73 A",403,IF(Atletas!P56="Wu 45 A",404,IF(Atletas!P56="Wu-Hao 46 A",405,IF(OR(Atletas!P56="Taijiquan 16 A",Atletas!P56="Taijiquan 24 A",Atletas!P56="Taijiquan 32 A",Atletas!P56="Taijiquan 42 A"),406,IF(OR(Atletas!P56="Yang 26 B",Atletas!P56="Yang 40 B"),407,IF(OR(Atletas!P56="Chen 25 B",Atletas!P56="Chen 36 B",Atletas!P56="Chen 56 B"),408,IF(Atletas!P56="Sun 73 B",409,IF(Atletas!P56="Wu 45 B",410,IF(Atletas!P56="Wu-Hao 46 B",411,IF(OR(Atletas!P56="Taijiquan 16 B",Atletas!P56="Taijiquan 24 B",Atletas!P56="Taijiquan 32 B",Atletas!P56="Taijiquan 42 B"),412,IF(OR(Atletas!P56="Yang 26 C",Atletas!P56="Yang 40 C"),413,IF(OR(Atletas!P56="Chen 25 C",Atletas!P56="Chen 36 C",Atletas!P56="Chen 56 C"),414,IF(Atletas!P56="Sun 73 C",415,IF(Atletas!P56="Wu 45 C",416,IF(Atletas!P56="Wu-Hao 46 C",417,IF(OR(Atletas!P56="Taijiquan 16 C",Atletas!P56="Taijiquan 24 C",Atletas!P56="Taijiquan 32 C",Atletas!P56="Taijiquan 42 C"),418,0)))))))))))))))))))</f>
        <v/>
      </c>
      <c r="BX65" s="50" t="str">
        <f>IF(Atletas!P56="","",IF(Atletas!X56&lt;&gt;"",10000,0)+IF(Atletas!B56="Feminino",1000,IF(Atletas!B56="Masculino",2000,""))+IF(OR(Atletas!P56="Yang 26 D",Atletas!P56="Yang 40 D"),419,IF(OR(Atletas!P56="Chen 25 D",Atletas!P56="Chen 36 D",Atletas!P56="Chen 56 D"),420,IF(Atletas!P56="Sun 73 D",421,IF(Atletas!P56="Wu 45 D",422,IF(Atletas!P56="Wu-Hao 46 D",423,IF(OR(Atletas!P56="Taijiquan 16 D",Atletas!P56="Taijiquan 24 D",Atletas!P56="Taijiquan 32 D",Atletas!P56="Taijiquan 42 D"),424,IF(OR(Atletas!P56="Yang 26 E",Atletas!P56="Yang 40 E"),425,IF(OR(Atletas!P56="Chen 25 E",Atletas!P56="Chen 36 E",Atletas!P56="Chen 56 E"),426,IF(Atletas!P56="Sun 73 E",427,IF(Atletas!P56="Wu 45 E",428,IF(Atletas!P56="Wu-Hao 46 E",429,IF(OR(Atletas!P56="Taijiquan 16 E",Atletas!P56="Taijiquan 24 E",Atletas!P56="Taijiquan 32 E",Atletas!P56="Taijiquan 42 E"),430,IF(OR(Atletas!P56="Yang 26 F",Atletas!P56="Yang 40 F"),431,IF(OR(Atletas!P56="Chen 25 F",Atletas!P56="Chen 36 F",Atletas!P56="Chen 56 F"),432,IF(Atletas!P56="Sun 73 F",433,IF(Atletas!P56="Wu 45 F",434,IF(Atletas!P56="Wu-Hao 46 F",435,IF(OR(Atletas!P56="Taijiquan 16 F",Atletas!P56="Taijiquan 24 F",Atletas!P56="Taijiquan 32 F",Atletas!P56="Taijiquan 42 F"),436,0)))))))))))))))))))</f>
        <v/>
      </c>
      <c r="BY65" s="50" t="str">
        <f>IF(Atletas!Q56="","",IF(Atletas!X56&lt;&gt;"",10000,0)+IF(Atletas!B56="Feminino",1000,IF(Atletas!B56="Masculino",2000,""))+IF(Atletas!Q56="Xingyiquan A",501,IF(Atletas!Q56="Baguazhang A",502,IF(Atletas!Q56="Outro Estilo Interno A",503,IF(Atletas!Q56="Xingyiquan B",504,IF(Atletas!Q56="Baguazhang B",505,IF(Atletas!Q56="Outro Estilo Interno B",506,IF(Atletas!Q56="Xingyiquan C",507,IF(Atletas!Q56="Baguazhang C",508,IF(Atletas!Q56="Outro Estilo Interno C",509,IF(Atletas!Q56="Xingyiquan D",510,IF(Atletas!Q56="Baguazhang D",511,IF(Atletas!Q56="Outro Estilo Interno D",512,IF(Atletas!Q56="Xingyiquan E",513,IF(Atletas!Q56="Baguazhang E",514,IF(Atletas!Q56="Outro Estilo Interno E",515,IF(Atletas!Q56="Xingyiquan F",516,IF(Atletas!Q56="Baguazhang F",517,IF(Atletas!Q56="Outro Estilo Interno F",518, "")))))))))))))))))))</f>
        <v/>
      </c>
      <c r="BZ65" s="50" t="str">
        <f>IF(Atletas!R56="","",IF(Atletas!X56&lt;&gt;"",10000,0)+IF(Atletas!B56="Feminino",1000,IF(Atletas!B56="Masculino",2000,""))+IF(Atletas!R56="Dao A",601,IF(Atletas!R56="Jian A",602,IF(Atletas!R56="Bishou A",603,IF(Atletas!R56="Shanzi A",604,IF(Atletas!R56="Outra Arma Curta A",605,IF(Atletas!R56="Dao B",606,IF(Atletas!R56="Jian B",607,IF(Atletas!R56="Bishou B",608,IF(Atletas!R56="Shanzi B",609,IF(Atletas!R56="Outra Arma Curta B",610,IF(Atletas!R56="Dao C",611,IF(Atletas!R56="Jian C",612,IF(Atletas!R56="Bishou C",613,IF(Atletas!R56="Shanzi C",614,IF(Atletas!R56="Outra Arma Curta C",615,IF(Atletas!R56="Dao D",616,IF(Atletas!R56="Jian D",617,IF(Atletas!R56="Bishou D",618,IF(Atletas!R56="Shanzi D",619,IF(Atletas!R56="Outra Arma Curta D",620,IF(Atletas!R56="Dao E",621,IF(Atletas!R56="Jian E",622,IF(Atletas!R56="Bishou E",623,IF(Atletas!R56="Shanzi E",624,IF(Atletas!R56="Outra Arma Curta E",625,IF(Atletas!R56="Dao F",626,IF(Atletas!R56="Jian F",627,IF(Atletas!R56="Bishou F",628,IF(Atletas!R56="Shanzi F",629,IF(Atletas!R56="Outra Arma Curta F",630, "")))))))))))))))))))))))))))))))</f>
        <v/>
      </c>
      <c r="CA65" s="50" t="str">
        <f>IF(Atletas!S56="","",IF(Atletas!X56&lt;&gt;"",10000,0)+IF(Atletas!B56="Feminino",1000,IF(Atletas!B56="Masculino",2000,""))+IF(Atletas!S56="Gun A",701,IF(Atletas!S56="Qiang A",702,IF(Atletas!S56="Pudao / Guandao A",703,IF(Atletas!S56="Outra Arma Longa A",704,IF(Atletas!S56="Gun B",705,IF(Atletas!S56="Qiang B",706,IF(Atletas!S56="Pudao / Guandao B",707,IF(Atletas!S56="Outra Arma Longa B",708,IF(Atletas!S56="Gun C",709,IF(Atletas!S56="Qiang C",710,IF(Atletas!S56="Pudao / Guandao C",711,IF(Atletas!S56="Outra Arma Longa C",712,IF(Atletas!S56="Gun D",713,IF(Atletas!S56="Qiang D",714,IF(Atletas!S56="Pudao / Guandao D",715,IF(Atletas!S56="Outra Arma Longa D",716,IF(Atletas!S56="Gun E",717,IF(Atletas!S56="Qiang E",718,IF(Atletas!S56="Pudao / Guandao E",719,IF(Atletas!S56="Outra Arma Longa E",720,IF(Atletas!S56="Gun F",721,IF(Atletas!S56="Qiang F",722,IF(Atletas!S56="Pudao / Guandao F",723,IF(Atletas!S56="Outra Arma Longa F",724,"")))))))))))))))))))))))))</f>
        <v/>
      </c>
      <c r="CB65" s="50" t="str">
        <f>IF(Atletas!T56="","",IF(Atletas!X56&lt;&gt;"",10000,0)+IF(Atletas!B56="Feminino",1000,IF(Atletas!B56="Masculino",2000,""))+IF(Atletas!T56="Outra Arma Dupla A",801,IF(Atletas!T56="Arma Maleável A",802,IF(Atletas!T56="Outra Arma Dupla B",803,IF(Atletas!T56="Arma Maleável B",804,IF(Atletas!T56="Outra Arma Dupla C",805,IF(Atletas!T56="Arma Maleável C",806,IF(Atletas!T56="Outra Arma Dupla D",807,IF(Atletas!T56="Arma Maleável D",808,IF(Atletas!T56="Outra Arma Dupla E",809,IF(Atletas!T56="Arma Maleável E",810,IF(Atletas!T56="Outra Arma Dupla F",811,IF(Atletas!T56="Arma Maleável F",812,IF(Atletas!T56="Shuangdao A",813,IF(Atletas!T56="Shuangdao B",814,IF(Atletas!T56="Shuangdao C",815,IF(Atletas!T56="Shuangdao D",816,IF(Atletas!T56="Shuangdao E",817,IF(Atletas!T56="Shuangdao F",818,"")))))))))))))))))))</f>
        <v/>
      </c>
      <c r="CC65" s="50" t="str">
        <f>IF(Atletas!U56="","",IF(Atletas!X56&lt;&gt;"",10000,0)+IF(Atletas!B56="Feminino",1000,IF(Atletas!B56="Masculino",2000,""))+IF(OR(Atletas!U56="Taijijian Yang A",Atletas!U56="Taijijian Yang Standard A"),901,IF(OR(Atletas!U56="Taijijian Chen A", Atletas!U56="Taijijian Chen Standard A"),902,IF(Atletas!U56="Taijijian Sun A",903,IF(Atletas!U56="Taijijian Wu A",904,IF(Atletas!U56="Taijijian Wu-Hao A",905,IF(OR(Atletas!U56="Taijijian 32 A",Atletas!U56="Taijijian 42 A"),906,IF(OR(Atletas!U56="Taijijian Yang B",Atletas!U56="Taijijian Yang Standard B"),907,IF(OR(Atletas!U56="Taijijian Chen B", Atletas!U56="Taijijian Chen Standard B"),908,IF(Atletas!U56="Taijijian Sun B",909,IF(Atletas!U56="Taijijian Wu B",910,IF(Atletas!U56="Taijijian Wu-Hao B",911,IF(OR(Atletas!U56="Taijijian 32 B",Atletas!U56="Taijijian 42 B"),912,IF(OR(Atletas!U56="Taijijian Yang C",Atletas!U56="Taijijian Yang Standard C"),913,IF(OR(Atletas!U56="Taijijian Chen C", Atletas!U56="Taijijian Chen Standard C"),914,IF(Atletas!U56="Taijijian Sun C",915,IF(Atletas!U56="Taijijian Wu C",916,IF(Atletas!U56="Taijijian Wu-Hao C",917,IF(OR(Atletas!U56="Taijijian 32 C",Atletas!U56="Taijijian 42 C"),918,IF(OR(Atletas!U56="Taijijian Yang D",Atletas!U56="Taijijian Yang Standard D"),919,IF(OR(Atletas!U56="Taijijian Chen D", Atletas!U56="Taijijian Chen Standard D"),920,IF(Atletas!U56="Taijijian Sun D",921,IF(Atletas!U56="Taijijian Wu D",922,IF(Atletas!U56="Taijijian Wu-Hao D",923,IF(OR(Atletas!U56="Taijijian 32 D",Atletas!U56="Taijijian 42 D"),924,IF(OR(Atletas!U56="Taijijian Yang E",Atletas!U56="Taijijian Yang Standard E"),925,IF(OR(Atletas!U56="Taijijian Chen E", Atletas!U56="Taijijian Chen Standard E"),926,IF(Atletas!U56="Taijijian Sun E",927,IF(Atletas!U56="Taijijian Wu E",928,IF(Atletas!U56="Taijijian Wu-Hao E",929,IF(OR(Atletas!U56="Taijijian 32 E",Atletas!U56="Taijijian 42 E"),930,IF(OR(Atletas!U56="Taijijian Yang F",Atletas!U56="Taijijian Yang Standard F"),931,IF(OR(Atletas!U56="Taijijian Chen F", Atletas!U56="Taijijian Chen Standard F"),932,IF(Atletas!U56="Taijijian Sun F",933,IF(Atletas!U56="Taijijian Wu F",934,IF(Atletas!U56="Taijijian Wu-Hao F",935,IF(OR(Atletas!U56="Taijijian 32 F",Atletas!U56="Taijijian 42 F"),936,"")))))))))))))))))))))))))))))))))))))</f>
        <v/>
      </c>
      <c r="CD65" s="50" t="str">
        <f>IF(Atletas!V56="","",IF(Atletas!X56&lt;&gt;"",10000,0)+IF(Atletas!B56="Feminino",1000,IF(Atletas!B56="Masculino",2000,""))+IF(Atletas!V56="Taijidao A",937,IF(Atletas!V56="TaijiShanzi A",938,IF(Atletas!V56="Taijiqiang A",939,IF(Atletas!V56="Bagua de Arma A",940,IF(Atletas!V56="Xingyi de Arma A",941,IF(Atletas!V56="Taijidao B",942,IF(Atletas!V56="TaijiShanzi B",943,IF(Atletas!V56="Taijiqiang B",944,IF(Atletas!V56="Bagua de Arma B",945,IF(Atletas!V56="Xingyi de Arma B",946,IF(Atletas!V56="Taijidao C",947,IF(Atletas!V56="TaijiShanzi C",948,IF(Atletas!V56="Taijiqiang C",949,IF(Atletas!V56="Bagua de Arma C",950,IF(Atletas!V56="Xingyi de Arma C",951,IF(Atletas!V56="Taijidao D",952,IF(Atletas!V56="TaijiShanzi D",953,IF(Atletas!V56="Taijiqiang D",954,IF(Atletas!V56="Bagua de Arma D",955,IF(Atletas!V56="Xingyi de Arma D",956,IF(Atletas!V56="Taijidao E",957,IF(Atletas!V56="TaijiShanzi E",958,IF(Atletas!V56="Taijiqiang E",959,IF(Atletas!V56="Bagua de Arma E",960,IF(Atletas!V56="Xingyi de Arma E",961,IF(Atletas!V56="Taijidao F",962,IF(Atletas!V56="TaijiShanzi F",963,IF(Atletas!V56="Taijiqiang F",964,IF(Atletas!V56="Bagua de Arma F",965,IF(Atletas!V56="Xingyi de Arma F",966,"")))))))))))))))))))))))))))))))</f>
        <v/>
      </c>
      <c r="CE65" s="66" t="str">
        <f>IF(CF65&lt;&gt;"","Yingzhaoquan B","")</f>
        <v/>
      </c>
      <c r="CF65" s="66" t="str">
        <f>IF(COUNTIF(BR:CD,1123)&gt;0,COUNTIF(BR:CD,1123),"")</f>
        <v/>
      </c>
      <c r="CG65" s="66" t="str">
        <f>IF(CH65&lt;&gt;"","Yingzhaoquan B","")</f>
        <v/>
      </c>
      <c r="CH65" s="66" t="str">
        <f>IF(COUNTIF(BR:CD,2123)&gt;0,COUNTIF(BR:CD,2123),"")</f>
        <v/>
      </c>
      <c r="CI65" s="66" t="str">
        <f>IF(CJ65&lt;&gt;"","Fanziquan C","")</f>
        <v/>
      </c>
      <c r="CJ65" s="66" t="str">
        <f>IF(COUNTIF(BR:CD,11129)&gt;0,COUNTIF(BR:CD,11129),"")</f>
        <v/>
      </c>
      <c r="CK65" s="66" t="str">
        <f>IF(CL65&lt;&gt;"","Fanziquan C","")</f>
        <v/>
      </c>
      <c r="CL65" s="66" t="str">
        <f>IF(COUNTIF(BR:CD,12129)&gt;0,COUNTIF(BR:CD,12129),"")</f>
        <v/>
      </c>
      <c r="CM65" s="50" t="str">
        <f xml:space="preserve"> IF(Atletas!W56="","",IF(Atletas!W56="Duilian de Mãos BC - Equipe 1",1,IF(Atletas!W56="Duilian de Mãos BC - Equipe 2",2,IF(Atletas!W56="Duilian de Armas BC - Equipe 1",3,IF(Atletas!W56="Duilian de Armas BC - Equipe 2",4,IF(Atletas!W56="Duilian de Mãos DE - Equipe 1",5,IF(Atletas!W56="Duilian de Mãos DE - Equipe 2",6,IF(Atletas!W56="Duilian de Armas DE - Equipe 1",7,IF(Atletas!W56="Duilian de Armas DE - Equipe 2",8,IF(Atletas!W56="Duilian de Tuishou - Equipe 1",9,IF(Atletas!W56="Duilian de Tuishou - Equipe 2",10,IF(Atletas!W56="Grupo Externo ABC - Equipe 1",11,IF(Atletas!W56="Grupo Externo ABC - Equipe 2",12,IF(Atletas!W56="Grupo Interno ABC - Equipe 1",13,IF(Atletas!W56="Grupo Interno ABC - Equipe 2",14,IF(Atletas!W56="Grupo Externo DEF - Equipe 1",15,IF(Atletas!W56="Grupo Externo DEF - Equipe 2",16,IF(Atletas!W56="Grupo Interno DEF - Equipe 1",17,IF(Atletas!W56="Grupo Interno DEF - Equipe 2",18,"")))))))))))))))))))</f>
        <v/>
      </c>
      <c r="CY65" s="41"/>
    </row>
    <row r="66" spans="2:103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 t="str">
        <f t="array" ref="R66">IFERROR(INDEX(BI$7:BI$68,SMALL(IF(BI$7:BI$68&lt;&gt;"",ROW(BI$7:BI$68)-ROW(BI$7)+1),ROWS(BI$7:BI65))),"")</f>
        <v/>
      </c>
      <c r="S66" s="3" t="str">
        <f t="array" ref="S66">IFERROR(INDEX(BJ$7:BJ$68,SMALL(IF(BJ$7:BJ$68&lt;&gt;"",ROW(BJ$7:BJ$68)-ROW(BJ$7)+1),ROWS(BJ$7:BJ65))),"")</f>
        <v/>
      </c>
      <c r="T66" s="3" t="str">
        <f t="array" ref="T66">IFERROR(INDEX(BK$7:BK$68,SMALL(IF(BK$7:BK$68&lt;&gt;"",ROW(BK$7:BK$68)-ROW(BK$7)+1),ROWS(BK$7:BK65))),"")</f>
        <v/>
      </c>
      <c r="U66" s="3" t="str">
        <f t="array" ref="U66">IFERROR(INDEX(BL$7:BL$68,SMALL(IF(BL$7:BL$68&lt;&gt;"",ROW(BL$7:BL$68)-ROW(BL$7)+1),ROWS(BL$7:BL65))),"")</f>
        <v/>
      </c>
      <c r="V66" s="3"/>
      <c r="W66" s="3"/>
      <c r="X66" s="20"/>
      <c r="Y66" s="3"/>
      <c r="Z66" s="3" t="str">
        <f t="array" ref="Z66">IFERROR(INDEX(CE$7:CE$348,SMALL(IF(CE$7:CE$348&lt;&gt;"",ROW(CE$7:CE$348)-ROW(CE$7)+1),ROWS(CE$7:CE65))),"")</f>
        <v/>
      </c>
      <c r="AA66" s="3" t="str">
        <f t="array" ref="AA66">IFERROR(INDEX(CF$7:CF$348,SMALL(IF(CF$7:CF$348&lt;&gt;"",ROW(CF$7:CF$348)-ROW(CF$7)+1),ROWS(CF$7:CF65))),"")</f>
        <v/>
      </c>
      <c r="AB66" s="3" t="str">
        <f t="array" ref="AB66">IFERROR(INDEX(CG$7:CG$348,SMALL(IF(CG$7:CG$348&lt;&gt;"",ROW(CG$7:CG$348)-ROW(CG$7)+1),ROWS(CG$7:CG65))),"")</f>
        <v/>
      </c>
      <c r="AC66" s="3" t="str">
        <f t="array" ref="AC66">IFERROR(INDEX(CH$7:CH$348,SMALL(IF(CH$7:CH$348&lt;&gt;"",ROW(CH$7:CH$348)-ROW(CH$7)+1),ROWS(CH$7:CH65))),"")</f>
        <v/>
      </c>
      <c r="AD66" s="3" t="str">
        <f t="array" ref="AD66">IFERROR(INDEX(CI$7:CI$377,SMALL(IF(CI$7:CI$377&lt;&gt;"",ROW(CI$7:CI$377)-ROW(CI$7)+1),ROWS(CI$7:CI65))),"")</f>
        <v/>
      </c>
      <c r="AE66" s="3" t="str">
        <f t="array" ref="AE66">IFERROR(INDEX(CJ$7:CJ$378,SMALL(IF(CJ$7:CJ$378&lt;&gt;"",ROW(CJ$7:CJ$378)-ROW(CJ$7)+1),ROWS(CJ$7:CJ65))),"")</f>
        <v/>
      </c>
      <c r="AF66" s="3" t="str">
        <f t="array" ref="AF66">IFERROR(INDEX(CK$7:CK$378,SMALL(IF(CK$7:CK$378&lt;&gt;"",ROW(CK$7:CK$378)-ROW(CK$7)+1),ROWS(CK$7:CK65))),"")</f>
        <v/>
      </c>
      <c r="AG66" s="3" t="str">
        <f t="array" ref="AG66">IFERROR(INDEX(CL$7:CL$378,SMALL(IF(CL$7:CL$378&lt;&gt;"",ROW(CL$7:CL$378)-ROW(CL$7)+1),ROWS(CL$7:CL65))),"")</f>
        <v/>
      </c>
      <c r="AH66" s="3"/>
      <c r="AI66" s="3"/>
      <c r="AJ66" s="3"/>
      <c r="AK66" s="3"/>
      <c r="AL66" s="3"/>
      <c r="AM66" s="3"/>
      <c r="AN66" s="52" t="str">
        <f>IF(Atletas!D57="","",IF(Atletas!B57="Feminino",100,IF(Atletas!B57="Masculino",200,""))+(IF(Atletas!D57="Kids 30kg",1,IF(Atletas!D57="Kids 32kg",2, IF(Atletas!D57="Kids 34kg",3,IF(Atletas!D57="Kids 36kg",4,IF(Atletas!D57="Kids 39kg",5,IF(Atletas!D57="Kids 42kg",6,IF(Atletas!D57="Kids 45kg",7, IF(Atletas!D57="Infantil 39kg",8,IF(Atletas!D57="Infantil 42kg",9,IF(Atletas!D57="Infantil 45kg",10,IF(Atletas!D57="Infantil 48kg",11,IF(Atletas!D57="Infantil 52kg",12,IF(Atletas!D57="Infantil 56kg",13,IF(Atletas!D57="Infantil 60kg",14,IF(Atletas!D57="Juvenil 48kg",15,IF(Atletas!D57="Juvenil 52kg",16,IF(Atletas!D57="Juvenil 56kg",17,IF(Atletas!D57="Juvenil 60kg",18,IF(Atletas!D57="Juvenil 65kg",19,IF(Atletas!D57="Juvenil 70kg",20,IF(Atletas!D57="Juvenil 75kg",21,IF(Atletas!D57="Juvenil 80kg",22, IF(Atletas!D57="Juvenil 85kg",23,IF(Atletas!D57="Adulto 48kg",24,IF(Atletas!D57="Adulto 52kg",25,IF(Atletas!D57="Adulto 56kg",26,IF(Atletas!D57="Adulto 60kg",27,IF(Atletas!D57="Adulto 65kg",28,IF(Atletas!D57="Adulto 70kg",29,IF(Atletas!D57="Adulto 75kg",30,IF(Atletas!D57="Adulto 80kg",31,IF(Atletas!D57="Adulto 85kg",32,IF(Atletas!D57="Adulto 90kg",33,IF(Atletas!D57="Adulto 100kg",34, IF(Atletas!D57="Adulto +100kg",35,"")))))))))))))))))))))))))))))))))))))</f>
        <v/>
      </c>
      <c r="AS66" s="6" t="str">
        <f>IF(Atletas!E57="","",IF(Atletas!B57="Feminino",100,IF(Atletas!B57="Masculino",200,""))+(IF(Atletas!E57="Juvenil 44kg",1,IF(Atletas!E57="Juvenil 48kg",2,IF(Atletas!E57="Juvenil 52kg",3,IF(Atletas!E57="Juvenil 56kg",4,IF(Atletas!E57="Juvenil 60kg",5,IF(Atletas!E57="Juvenil 65kg",6,IF(Atletas!E57="Juvenil 70kg",7,IF(Atletas!E57="Juvenil 75kg",8,IF(Atletas!E57="Juvenil 82kg",9,IF(Atletas!E57="Juvenil 90kg",10,IF(Atletas!E57="Juvenil 100kg",11,IF(Atletas!E57="Adulto 48kg",12,IF(Atletas!E57="Adulto 52kg",13,IF(Atletas!E57="Adulto 56kg",14,IF(Atletas!E57="Adulto 60kg",15,IF(Atletas!E57="Adulto 65kg",16,IF(Atletas!E57="Adulto 70kg",17,IF(Atletas!E57="Adulto 75kg",18,IF(Atletas!E57="Adulto 82kg",19,IF(Atletas!E57="Adulto 90kg",20,IF(Atletas!E57="Adulto 100kg",21,IF(Atletas!E57="Adulto +100kg",22,""))))))))))))))))))))))))</f>
        <v/>
      </c>
      <c r="AX66" s="6" t="str">
        <f>IF(Atletas!F57="","",IF(Atletas!B57="Feminino",100,IF(Atletas!B57="Masculino",200,""))+(IF(Atletas!F57="Adulto 48kg",1,IF(Atletas!F57="Adulto 56kg",2,IF(Atletas!F57="Adulto 65kg",3,IF(Atletas!F57="Adulto 75kg",4,IF(Atletas!F57="Adulto +75kg",5,IF(Atletas!F57="Adulto 52kg",6,IF(Atletas!F57="Adulto 60kg",7,IF(Atletas!F57="Adulto 70kg",8,IF(Atletas!F57="Adulto 80kg",9,IF(Atletas!F57="Adulto 90kg",10,IF(Atletas!F57="Adulto +90kg",11,"")))))))))))))</f>
        <v/>
      </c>
      <c r="BC66" s="6" t="str">
        <f>IF(Atletas!G57="","",IF(Atletas!B57="Feminino",10,IF(Atletas!B57="Masculino",20,""))+(IF(Atletas!G57="Baduanjin A",1,IF(Atletas!G57="Baduanjin B",2))))</f>
        <v/>
      </c>
      <c r="BF66" s="52" t="str">
        <f>IF(Atletas!H57="","",IF(Atletas!B57="Feminino",100,IF(Atletas!B57="Masculino",200,""))+(IF(Atletas!H57="Changquan Mirim",1,IF(Atletas!H57="Nanquan Mirim",2,IF(Atletas!H57="Taijiquan Mirim",3,IF(Atletas!H57="Changquan Grupo C",4,IF(Atletas!H57="Nanquan Grupo C",5,IF(Atletas!H57="Taijiquan Grupo C",6,IF(Atletas!H57="Changquan Grupo B",7,IF(Atletas!H57="Nanquan Grupo B",8,IF(Atletas!H57="Taijiquan Grupo B",9,IF(Atletas!H57="Changquan Grupo A",10,IF(Atletas!H57="Nanquan Grupo A",11,IF(Atletas!H57="Taijiquan Grupo A",12,IF(Atletas!H57="Changquan Opcional",13,IF(Atletas!H57="Nanquan Opcional",14,IF(Atletas!H57="Taijiquan Opcional",15,IF(Atletas!H57="Changquan Adulto",16,IF(Atletas!H57="Nanquan Adulto",17,IF(Atletas!H57="Taijiquan Adulto",18,""))))))))))))))))))))</f>
        <v/>
      </c>
      <c r="BG66" s="52" t="str">
        <f>IF(Atletas!I57="","",IF(Atletas!B57="Feminino",100,IF(Atletas!B57="Masculino",200,""))+(IF(Atletas!I57="Daoshu Mirim",19,IF(Atletas!I57="Jianshu Mirim",20,IF(Atletas!I57="Nandao Mirim",21,IF(Atletas!I57="Taijijian Mirim",22,IF(Atletas!I57="Daoshu Grupo C",23,IF(Atletas!I57="Jianshu Grupo C",24,IF(Atletas!I57="Nandao Grupo C",25,IF(Atletas!I57="Taijijian Grupo C",26,IF(Atletas!I57="Daoshu Grupo B",27,IF(Atletas!I57="Jianshu Grupo B",28,IF(Atletas!I57="Nandao Grupo B",29,IF(Atletas!I57="Taijijian Grupo B",30,IF(Atletas!I57="Daoshu Grupo A",31,IF(Atletas!I57="Jianshu Grupo A",32,IF(Atletas!I57="Nandao Grupo A",33,IF(Atletas!I57="Taijijian Grupo A",34,IF(Atletas!I57="Daoshu Opcional",35,IF(Atletas!I57="Jianshu Opcional",36,IF(Atletas!I57="Nandao Opcional",37,IF(Atletas!I57="Taijijian Opcional",38,IF(Atletas!I57="Daoshu Adulto",39,IF(Atletas!I57="Jianshu Adulto",40,IF(Atletas!I57="Nandao Adulto",41,IF(Atletas!I57="Taijijian Adulto",42,""))))))))))))))))))))))))))</f>
        <v/>
      </c>
      <c r="BH66" s="52" t="str">
        <f>IF(Atletas!J57="","",IF(Atletas!B57="Feminino",100,IF(Atletas!B57="Masculino",200,""))+(IF(Atletas!J57="Gunshu Mirim",43,IF(Atletas!J57="Qiangshu Mirim",44,IF(Atletas!J57="Nangun Mirim",45,IF(Atletas!J57="Gunshu Grupo C",46,IF(Atletas!J57="Qiangshu Grupo C",47,IF(Atletas!J57="Nangun Grupo C",48,IF(Atletas!J57="Gunshu Grupo B",49,IF(Atletas!J57="Qiangshu Grupo B",50,IF(Atletas!J57="Nangun Grupo B",51,IF(Atletas!J57="Gunshu Grupo A",52,IF(Atletas!J57="Qiangshu Grupo A",53,IF(Atletas!J57="Nangun Grupo A",54,IF(Atletas!J57="Gunshu Opcional",55,IF(Atletas!J57="Qiangshu Opcional",56,IF(Atletas!J57="Nangun Opcional",57,IF(Atletas!J57="Gunshu Adulto",58,IF(Atletas!J57="Qiangshu Adulto",59,IF(Atletas!J57="Nangun Adulto",60,IF(Atletas!J57="Taijishan Grupo B",61,IF(Atletas!J57="Taijishan Grupo A",62,""))))))))))))))))))))))</f>
        <v/>
      </c>
      <c r="BI66" s="6" t="str">
        <f>IF(BJ66&lt;&gt;"","Gunshu Alternativo","")</f>
        <v/>
      </c>
      <c r="BJ66" s="50" t="str">
        <f>IF(COUNTIF(BF:BH,158)&gt;0,COUNTIF(BF:BH,158),"")</f>
        <v/>
      </c>
      <c r="BK66" s="6" t="str">
        <f>IF(BL66&lt;&gt;"","Gunshu Alternativo","")</f>
        <v/>
      </c>
      <c r="BL66" s="50" t="str">
        <f>IF(COUNTIF(BF:BH,258)&gt;0,COUNTIF(BF:BH,258),"")</f>
        <v/>
      </c>
      <c r="BM66" s="50" t="str">
        <f>IF(Atletas!K57="","",IF(Atletas!B57="Feminino",100,IF(Atletas!B57="Masculino",200,""))+(IF(Atletas!K57="Equipe 1 Grupo B",1,IF(Atletas!K57="Equipe 2 Grupo B",2,IF(Atletas!K57="Equipe 1 Grupo A",3,IF(Atletas!K57="Equipe 2 Grupo A",4,IF(Atletas!K57="Equipe 1 Adulto",5,IF(Atletas!K57="Equipe 2 Adulto",6,""))))))))</f>
        <v/>
      </c>
      <c r="BR66" s="50" t="str">
        <f>IF(Atletas!L57="","",IF(Atletas!X57&lt;&gt;"",10000,0)+(IF(Atletas!B57="Feminino",1000,IF(Atletas!B57="Masculino",2000,""))+IF(Atletas!L57="Choylayfut A",1,IF(Atletas!L57="Hunggar A",2,IF(Atletas!L57="Wuzuquan A",3,IF(Atletas!L57="Wingchun A",4,IF(Atletas!L57="Outra Mão de Sul A",5,IF(Atletas!L57="Choylayfut B",6,IF(Atletas!L57="Hunggar B",7,IF(Atletas!L57="Wuzuquan B",8,IF(Atletas!L57="Wingchun B",9,IF(Atletas!L57="Outra Mão de Sul B",10,IF(Atletas!L57="Choylayfut C",11,IF(Atletas!L57="Hunggar C",12,IF(Atletas!L57="Wuzuquan C",13,IF(Atletas!L57="Wingchun C",14,IF(Atletas!L57="Outra Mão de Sul C",15,IF(Atletas!L57="Choylayfut D",16,IF(Atletas!L57="Hunggar D",17,IF(Atletas!L57="Wuzuquan D",18,IF(Atletas!L57="Wingchun D",19,IF(Atletas!L57="Outra Mão de Sul D",20,IF(Atletas!L57="Choylayfut E",21,IF(Atletas!L57="Hunggar E",22,IF(Atletas!L57="Wuzuquan E",23,IF(Atletas!L57="Wingchun E",24,IF(Atletas!L57="Outra Mão de Sul E",25,IF(Atletas!L57="Choylayfut F",26,IF(Atletas!L57="Hunggar F",27,IF(Atletas!L57="Wuzuquan F",28,IF(Atletas!L57="Wingchun F",29,IF(Atletas!L57="Outra Mão de Sul F",30,IF(Atletas!L57="Dishuquan A",31,IF(Atletas!L57="Dishuquan B",32,IF(Atletas!L57="Dishuquan C",33,IF(Atletas!L57="Dishuquan D",34,IF(Atletas!L57="Dishuquan E",35,IF(Atletas!L57="Dishuquan F",36,""))))))))))))))))))))))))))))))))))))))</f>
        <v/>
      </c>
      <c r="BS66" s="50" t="str">
        <f>IF(Atletas!M57="","",IF(Atletas!X57&lt;&gt;"",10000,0)+(IF(Atletas!B57="Feminino",1000,IF(Atletas!B57="Masculino",2000,""))+(IF(Atletas!M57="Chaquan A",101,IF(Atletas!M57="Emeiquan A",102,IF(Atletas!M57="Fanziquan A",103,IF(Atletas!M57="Huaquan A",104,IF(Atletas!M57="Hongquan A",105,IF(Atletas!M57="Paoquan A",106,IF(Atletas!M57="Piguaquan A",107,IF(Atletas!M57="Shaolinquan A",108,IF(Atletas!M57="Tanglangquan A",109,IF(Atletas!M57="Yingzhaoquan A",110,IF(Atletas!M57="Tongbeiquan A",111,IF(Atletas!M57="Wudangquan A",112,IF(Atletas!M57="Outros Estilos A",113,IF(Atletas!M57="Chaquan B",114,IF(Atletas!M57="Emeiquan B",115,IF(Atletas!M57="Fanziquan B",116,IF(Atletas!M57="Huaquan B",117,IF(Atletas!M57="Hongquan B",118,IF(Atletas!M57="Paoquan B",119,IF(Atletas!M57="Piguaquan B",120,IF(Atletas!M57="Shaolinquan B",121,IF(Atletas!M57="Tanglangquan B",122,IF(Atletas!M57="Yingzhaoquan B",123,IF(Atletas!M57="Tongbeiquan B",124,IF(Atletas!M57="Wudangquan B",125,IF(Atletas!M57="Outros Estilos B",126,IF(Atletas!M57="Chaquan C",127,IF(Atletas!M57="Emeiquan C",128,IF(Atletas!M57="Fanziquan C",129,IF(Atletas!M57="Huaquan C",130,IF(Atletas!M57="Hongquan C",131,IF(Atletas!M57="Paoquan C",132,IF(Atletas!M57="Piguaquan C",133,IF(Atletas!M57="Shaolinquan C",134,IF(Atletas!M57="Tanglangquan C",135,IF(Atletas!M57="Yingzhaoquan C",136,IF(Atletas!M57="Tongbeiquan C",137,IF(Atletas!M57="Wudangquan C",138,IF(Atletas!M57="Outros Estilos C",139,0))))))))))))))))))))))))))))))))))))))))))</f>
        <v/>
      </c>
      <c r="BT66" s="50" t="str">
        <f>IF(Atletas!M57="","",IF(Atletas!X57&lt;&gt;"",10000,0)+(IF(Atletas!B57="Feminino",1000,IF(Atletas!B57="Masculino",2000,""))+(IF(Atletas!M57="Chaquan D",140,IF(Atletas!M57="Emeiquan D",141,IF(Atletas!M57="Fanziquan D",142,IF(Atletas!M57="Huaquan D",143,IF(Atletas!M57="Hongquan D",144,IF(Atletas!M57="Paoquan D",145,IF(Atletas!M57="Piguaquan D",146,IF(Atletas!M57="Shaolinquan D",147,IF(Atletas!M57="Tanglangquan D",148,IF(Atletas!M57="Yingzhaoquan D",149,IF(Atletas!M57="Tongbeiquan D",150,IF(Atletas!M57="Wudangquan D",151,IF(Atletas!M57="Outros Estilos D",152,IF(Atletas!M57="Chaquan E",153,IF(Atletas!M57="Emeiquan E",154,IF(Atletas!M57="Fanziquan E",155,IF(Atletas!M57="Huaquan E",156,IF(Atletas!M57="Hongquan E",157,IF(Atletas!M57="Paoquan E",158,IF(Atletas!M57="Piguaquan E",159,IF(Atletas!M57="Shaolinquan E",160,IF(Atletas!M57="Tanglangquan E",161,IF(Atletas!M57="Yingzhaoquan E",162,IF(Atletas!M57="Tongbeiquan E",163,IF(Atletas!M57="Wudangquan E",164,IF(Atletas!M57="Outros Estilos E",165,IF(Atletas!M57="Chaquan F",166,IF(Atletas!M57="Emeiquan F",167,IF(Atletas!M57="Fanziquan F",168,IF(Atletas!M57="Huaquan F",169,IF(Atletas!M57="Hongquan F",170,IF(Atletas!M57="Paoquan F",171,IF(Atletas!M57="Piguaquan F",172,IF(Atletas!M57="Shaolinquan F",173,IF(Atletas!M57="Tanglangquan F",174,IF(Atletas!M57="Yingzhaoquan F",175,IF(Atletas!M57="Tongbeiquan F",176,IF(Atletas!M57="Wudangquan F",177,IF(Atletas!M57="Outros Estilos F",178,0))))))))))))))))))))))))))))))))))))))))))</f>
        <v/>
      </c>
      <c r="BU66" s="50" t="str">
        <f>IF(Atletas!N57="","",IF(Atletas!X57&lt;&gt;"",10000,0)+(IF(Atletas!B57="Feminino",1000,IF(Atletas!B57="Masculino",2000,""))+(IF(Atletas!N57="Ditangquan A",201,IF(Atletas!N57="Houquan A",202,IF(Atletas!N57="Zuiquan A",203,IF(Atletas!N57="Ditangquan B",204,IF(Atletas!N57="Houquan B",205,IF(Atletas!N57="Zuiquan B",206,IF(Atletas!N57="Ditangquan C",207,IF(Atletas!N57="Houquan C",208,IF(Atletas!N57="Zuiquan C",209,IF(Atletas!N57="Ditangquan D",210,IF(Atletas!N57="Houquan D",211,IF(Atletas!N57="Zuiquan D",212,IF(Atletas!N57="Ditangquan E",213,IF(Atletas!N57="Houquan E",214,IF(Atletas!N57="Zuiquan E",215,IF(Atletas!N57="Ditangquan F",216,IF(Atletas!N57="Houquan F",217,IF(Atletas!N57="Zuiquan F",218,"")))))))))))))))))))))</f>
        <v/>
      </c>
      <c r="BV66" s="50" t="str">
        <f>IF(Atletas!O57="","",IF(Atletas!X57&lt;&gt;"",10000,0)+IF(Atletas!B57="Feminino",1000,IF(Atletas!B57="Masculino",2000,""))+IF(Atletas!O57="Yang A",301,IF(Atletas!O57="Chen A",302,IF(Atletas!O57="Sun A",303,IF(Atletas!O57="Wu A",304,IF(Atletas!O57="Wu-Hao A",305,IF(Atletas!O57="Outro Taijiquan A",306,IF(Atletas!O57="Yang B",307,IF(Atletas!O57="Chen B",308,IF(Atletas!O57="Sun B",309,IF(Atletas!O57="Wu B",310,IF(Atletas!O57="Wu-Hao B",311,IF(Atletas!O57="Outro Taijiquan B",312,IF(Atletas!O57="Yang C",313,IF(Atletas!O57="Chen C",314,IF(Atletas!O57="Sun C",315,IF(Atletas!O57="Wu C",316,IF(Atletas!O57="Wu-Hao C",317,IF(Atletas!O57="Outro Taijiquan C",318,IF(Atletas!O57="Yang D",319,IF(Atletas!O57="Chen D",320,IF(Atletas!O57="Sun D",321,IF(Atletas!O57="Wu D",322,IF(Atletas!O57="Wu-Hao D",323,IF(Atletas!O57="Outro Taijiquan D",324,IF(Atletas!O57="Yang E",325,IF(Atletas!O57="Chen E",326,IF(Atletas!O57="Sun E",327,IF(Atletas!O57="Wu E",328,IF(Atletas!O57="Wu-Hao E",329,IF(Atletas!O57="Outro Taijiquan E",330,IF(Atletas!O57="Yang F",331,IF(Atletas!O57="Chen F",332,IF(Atletas!O57="Sun F",333,IF(Atletas!O57="Wu F",334,IF(Atletas!O57="Wu-Hao F",335,IF(Atletas!O57="Outro Taijiquan F",336,"")))))))))))))))))))))))))))))))))))))</f>
        <v/>
      </c>
      <c r="BW66" s="50" t="str">
        <f>IF(Atletas!P57="","",IF(Atletas!X57&lt;&gt;"",10000,0)+IF(Atletas!B57="Feminino",1000,IF(Atletas!B57="Masculino",2000,""))+IF(OR(Atletas!P57="Yang 26 A",Atletas!P57="Yang 40 A"),401,IF(OR(Atletas!P57="Chen 25 A",Atletas!P57="Chen 36 A",Atletas!P57="Chen 56 A"),402,IF(Atletas!P57="Sun 73 A",403,IF(Atletas!P57="Wu 45 A",404,IF(Atletas!P57="Wu-Hao 46 A",405,IF(OR(Atletas!P57="Taijiquan 16 A",Atletas!P57="Taijiquan 24 A",Atletas!P57="Taijiquan 32 A",Atletas!P57="Taijiquan 42 A"),406,IF(OR(Atletas!P57="Yang 26 B",Atletas!P57="Yang 40 B"),407,IF(OR(Atletas!P57="Chen 25 B",Atletas!P57="Chen 36 B",Atletas!P57="Chen 56 B"),408,IF(Atletas!P57="Sun 73 B",409,IF(Atletas!P57="Wu 45 B",410,IF(Atletas!P57="Wu-Hao 46 B",411,IF(OR(Atletas!P57="Taijiquan 16 B",Atletas!P57="Taijiquan 24 B",Atletas!P57="Taijiquan 32 B",Atletas!P57="Taijiquan 42 B"),412,IF(OR(Atletas!P57="Yang 26 C",Atletas!P57="Yang 40 C"),413,IF(OR(Atletas!P57="Chen 25 C",Atletas!P57="Chen 36 C",Atletas!P57="Chen 56 C"),414,IF(Atletas!P57="Sun 73 C",415,IF(Atletas!P57="Wu 45 C",416,IF(Atletas!P57="Wu-Hao 46 C",417,IF(OR(Atletas!P57="Taijiquan 16 C",Atletas!P57="Taijiquan 24 C",Atletas!P57="Taijiquan 32 C",Atletas!P57="Taijiquan 42 C"),418,0)))))))))))))))))))</f>
        <v/>
      </c>
      <c r="BX66" s="50" t="str">
        <f>IF(Atletas!P57="","",IF(Atletas!X57&lt;&gt;"",10000,0)+IF(Atletas!B57="Feminino",1000,IF(Atletas!B57="Masculino",2000,""))+IF(OR(Atletas!P57="Yang 26 D",Atletas!P57="Yang 40 D"),419,IF(OR(Atletas!P57="Chen 25 D",Atletas!P57="Chen 36 D",Atletas!P57="Chen 56 D"),420,IF(Atletas!P57="Sun 73 D",421,IF(Atletas!P57="Wu 45 D",422,IF(Atletas!P57="Wu-Hao 46 D",423,IF(OR(Atletas!P57="Taijiquan 16 D",Atletas!P57="Taijiquan 24 D",Atletas!P57="Taijiquan 32 D",Atletas!P57="Taijiquan 42 D"),424,IF(OR(Atletas!P57="Yang 26 E",Atletas!P57="Yang 40 E"),425,IF(OR(Atletas!P57="Chen 25 E",Atletas!P57="Chen 36 E",Atletas!P57="Chen 56 E"),426,IF(Atletas!P57="Sun 73 E",427,IF(Atletas!P57="Wu 45 E",428,IF(Atletas!P57="Wu-Hao 46 E",429,IF(OR(Atletas!P57="Taijiquan 16 E",Atletas!P57="Taijiquan 24 E",Atletas!P57="Taijiquan 32 E",Atletas!P57="Taijiquan 42 E"),430,IF(OR(Atletas!P57="Yang 26 F",Atletas!P57="Yang 40 F"),431,IF(OR(Atletas!P57="Chen 25 F",Atletas!P57="Chen 36 F",Atletas!P57="Chen 56 F"),432,IF(Atletas!P57="Sun 73 F",433,IF(Atletas!P57="Wu 45 F",434,IF(Atletas!P57="Wu-Hao 46 F",435,IF(OR(Atletas!P57="Taijiquan 16 F",Atletas!P57="Taijiquan 24 F",Atletas!P57="Taijiquan 32 F",Atletas!P57="Taijiquan 42 F"),436,0)))))))))))))))))))</f>
        <v/>
      </c>
      <c r="BY66" s="50" t="str">
        <f>IF(Atletas!Q57="","",IF(Atletas!X57&lt;&gt;"",10000,0)+IF(Atletas!B57="Feminino",1000,IF(Atletas!B57="Masculino",2000,""))+IF(Atletas!Q57="Xingyiquan A",501,IF(Atletas!Q57="Baguazhang A",502,IF(Atletas!Q57="Outro Estilo Interno A",503,IF(Atletas!Q57="Xingyiquan B",504,IF(Atletas!Q57="Baguazhang B",505,IF(Atletas!Q57="Outro Estilo Interno B",506,IF(Atletas!Q57="Xingyiquan C",507,IF(Atletas!Q57="Baguazhang C",508,IF(Atletas!Q57="Outro Estilo Interno C",509,IF(Atletas!Q57="Xingyiquan D",510,IF(Atletas!Q57="Baguazhang D",511,IF(Atletas!Q57="Outro Estilo Interno D",512,IF(Atletas!Q57="Xingyiquan E",513,IF(Atletas!Q57="Baguazhang E",514,IF(Atletas!Q57="Outro Estilo Interno E",515,IF(Atletas!Q57="Xingyiquan F",516,IF(Atletas!Q57="Baguazhang F",517,IF(Atletas!Q57="Outro Estilo Interno F",518, "")))))))))))))))))))</f>
        <v/>
      </c>
      <c r="BZ66" s="50" t="str">
        <f>IF(Atletas!R57="","",IF(Atletas!X57&lt;&gt;"",10000,0)+IF(Atletas!B57="Feminino",1000,IF(Atletas!B57="Masculino",2000,""))+IF(Atletas!R57="Dao A",601,IF(Atletas!R57="Jian A",602,IF(Atletas!R57="Bishou A",603,IF(Atletas!R57="Shanzi A",604,IF(Atletas!R57="Outra Arma Curta A",605,IF(Atletas!R57="Dao B",606,IF(Atletas!R57="Jian B",607,IF(Atletas!R57="Bishou B",608,IF(Atletas!R57="Shanzi B",609,IF(Atletas!R57="Outra Arma Curta B",610,IF(Atletas!R57="Dao C",611,IF(Atletas!R57="Jian C",612,IF(Atletas!R57="Bishou C",613,IF(Atletas!R57="Shanzi C",614,IF(Atletas!R57="Outra Arma Curta C",615,IF(Atletas!R57="Dao D",616,IF(Atletas!R57="Jian D",617,IF(Atletas!R57="Bishou D",618,IF(Atletas!R57="Shanzi D",619,IF(Atletas!R57="Outra Arma Curta D",620,IF(Atletas!R57="Dao E",621,IF(Atletas!R57="Jian E",622,IF(Atletas!R57="Bishou E",623,IF(Atletas!R57="Shanzi E",624,IF(Atletas!R57="Outra Arma Curta E",625,IF(Atletas!R57="Dao F",626,IF(Atletas!R57="Jian F",627,IF(Atletas!R57="Bishou F",628,IF(Atletas!R57="Shanzi F",629,IF(Atletas!R57="Outra Arma Curta F",630, "")))))))))))))))))))))))))))))))</f>
        <v/>
      </c>
      <c r="CA66" s="50" t="str">
        <f>IF(Atletas!S57="","",IF(Atletas!X57&lt;&gt;"",10000,0)+IF(Atletas!B57="Feminino",1000,IF(Atletas!B57="Masculino",2000,""))+IF(Atletas!S57="Gun A",701,IF(Atletas!S57="Qiang A",702,IF(Atletas!S57="Pudao / Guandao A",703,IF(Atletas!S57="Outra Arma Longa A",704,IF(Atletas!S57="Gun B",705,IF(Atletas!S57="Qiang B",706,IF(Atletas!S57="Pudao / Guandao B",707,IF(Atletas!S57="Outra Arma Longa B",708,IF(Atletas!S57="Gun C",709,IF(Atletas!S57="Qiang C",710,IF(Atletas!S57="Pudao / Guandao C",711,IF(Atletas!S57="Outra Arma Longa C",712,IF(Atletas!S57="Gun D",713,IF(Atletas!S57="Qiang D",714,IF(Atletas!S57="Pudao / Guandao D",715,IF(Atletas!S57="Outra Arma Longa D",716,IF(Atletas!S57="Gun E",717,IF(Atletas!S57="Qiang E",718,IF(Atletas!S57="Pudao / Guandao E",719,IF(Atletas!S57="Outra Arma Longa E",720,IF(Atletas!S57="Gun F",721,IF(Atletas!S57="Qiang F",722,IF(Atletas!S57="Pudao / Guandao F",723,IF(Atletas!S57="Outra Arma Longa F",724,"")))))))))))))))))))))))))</f>
        <v/>
      </c>
      <c r="CB66" s="50" t="str">
        <f>IF(Atletas!T57="","",IF(Atletas!X57&lt;&gt;"",10000,0)+IF(Atletas!B57="Feminino",1000,IF(Atletas!B57="Masculino",2000,""))+IF(Atletas!T57="Outra Arma Dupla A",801,IF(Atletas!T57="Arma Maleável A",802,IF(Atletas!T57="Outra Arma Dupla B",803,IF(Atletas!T57="Arma Maleável B",804,IF(Atletas!T57="Outra Arma Dupla C",805,IF(Atletas!T57="Arma Maleável C",806,IF(Atletas!T57="Outra Arma Dupla D",807,IF(Atletas!T57="Arma Maleável D",808,IF(Atletas!T57="Outra Arma Dupla E",809,IF(Atletas!T57="Arma Maleável E",810,IF(Atletas!T57="Outra Arma Dupla F",811,IF(Atletas!T57="Arma Maleável F",812,IF(Atletas!T57="Shuangdao A",813,IF(Atletas!T57="Shuangdao B",814,IF(Atletas!T57="Shuangdao C",815,IF(Atletas!T57="Shuangdao D",816,IF(Atletas!T57="Shuangdao E",817,IF(Atletas!T57="Shuangdao F",818,"")))))))))))))))))))</f>
        <v/>
      </c>
      <c r="CC66" s="50" t="str">
        <f>IF(Atletas!U57="","",IF(Atletas!X57&lt;&gt;"",10000,0)+IF(Atletas!B57="Feminino",1000,IF(Atletas!B57="Masculino",2000,""))+IF(OR(Atletas!U57="Taijijian Yang A",Atletas!U57="Taijijian Yang Standard A"),901,IF(OR(Atletas!U57="Taijijian Chen A", Atletas!U57="Taijijian Chen Standard A"),902,IF(Atletas!U57="Taijijian Sun A",903,IF(Atletas!U57="Taijijian Wu A",904,IF(Atletas!U57="Taijijian Wu-Hao A",905,IF(OR(Atletas!U57="Taijijian 32 A",Atletas!U57="Taijijian 42 A"),906,IF(OR(Atletas!U57="Taijijian Yang B",Atletas!U57="Taijijian Yang Standard B"),907,IF(OR(Atletas!U57="Taijijian Chen B", Atletas!U57="Taijijian Chen Standard B"),908,IF(Atletas!U57="Taijijian Sun B",909,IF(Atletas!U57="Taijijian Wu B",910,IF(Atletas!U57="Taijijian Wu-Hao B",911,IF(OR(Atletas!U57="Taijijian 32 B",Atletas!U57="Taijijian 42 B"),912,IF(OR(Atletas!U57="Taijijian Yang C",Atletas!U57="Taijijian Yang Standard C"),913,IF(OR(Atletas!U57="Taijijian Chen C", Atletas!U57="Taijijian Chen Standard C"),914,IF(Atletas!U57="Taijijian Sun C",915,IF(Atletas!U57="Taijijian Wu C",916,IF(Atletas!U57="Taijijian Wu-Hao C",917,IF(OR(Atletas!U57="Taijijian 32 C",Atletas!U57="Taijijian 42 C"),918,IF(OR(Atletas!U57="Taijijian Yang D",Atletas!U57="Taijijian Yang Standard D"),919,IF(OR(Atletas!U57="Taijijian Chen D", Atletas!U57="Taijijian Chen Standard D"),920,IF(Atletas!U57="Taijijian Sun D",921,IF(Atletas!U57="Taijijian Wu D",922,IF(Atletas!U57="Taijijian Wu-Hao D",923,IF(OR(Atletas!U57="Taijijian 32 D",Atletas!U57="Taijijian 42 D"),924,IF(OR(Atletas!U57="Taijijian Yang E",Atletas!U57="Taijijian Yang Standard E"),925,IF(OR(Atletas!U57="Taijijian Chen E", Atletas!U57="Taijijian Chen Standard E"),926,IF(Atletas!U57="Taijijian Sun E",927,IF(Atletas!U57="Taijijian Wu E",928,IF(Atletas!U57="Taijijian Wu-Hao E",929,IF(OR(Atletas!U57="Taijijian 32 E",Atletas!U57="Taijijian 42 E"),930,IF(OR(Atletas!U57="Taijijian Yang F",Atletas!U57="Taijijian Yang Standard F"),931,IF(OR(Atletas!U57="Taijijian Chen F", Atletas!U57="Taijijian Chen Standard F"),932,IF(Atletas!U57="Taijijian Sun F",933,IF(Atletas!U57="Taijijian Wu F",934,IF(Atletas!U57="Taijijian Wu-Hao F",935,IF(OR(Atletas!U57="Taijijian 32 F",Atletas!U57="Taijijian 42 F"),936,"")))))))))))))))))))))))))))))))))))))</f>
        <v/>
      </c>
      <c r="CD66" s="50" t="str">
        <f>IF(Atletas!V57="","",IF(Atletas!X57&lt;&gt;"",10000,0)+IF(Atletas!B57="Feminino",1000,IF(Atletas!B57="Masculino",2000,""))+IF(Atletas!V57="Taijidao A",937,IF(Atletas!V57="TaijiShanzi A",938,IF(Atletas!V57="Taijiqiang A",939,IF(Atletas!V57="Bagua de Arma A",940,IF(Atletas!V57="Xingyi de Arma A",941,IF(Atletas!V57="Taijidao B",942,IF(Atletas!V57="TaijiShanzi B",943,IF(Atletas!V57="Taijiqiang B",944,IF(Atletas!V57="Bagua de Arma B",945,IF(Atletas!V57="Xingyi de Arma B",946,IF(Atletas!V57="Taijidao C",947,IF(Atletas!V57="TaijiShanzi C",948,IF(Atletas!V57="Taijiqiang C",949,IF(Atletas!V57="Bagua de Arma C",950,IF(Atletas!V57="Xingyi de Arma C",951,IF(Atletas!V57="Taijidao D",952,IF(Atletas!V57="TaijiShanzi D",953,IF(Atletas!V57="Taijiqiang D",954,IF(Atletas!V57="Bagua de Arma D",955,IF(Atletas!V57="Xingyi de Arma D",956,IF(Atletas!V57="Taijidao E",957,IF(Atletas!V57="TaijiShanzi E",958,IF(Atletas!V57="Taijiqiang E",959,IF(Atletas!V57="Bagua de Arma E",960,IF(Atletas!V57="Xingyi de Arma E",961,IF(Atletas!V57="Taijidao F",962,IF(Atletas!V57="TaijiShanzi F",963,IF(Atletas!V57="Taijiqiang F",964,IF(Atletas!V57="Bagua de Arma F",965,IF(Atletas!V57="Xingyi de Arma F",966,"")))))))))))))))))))))))))))))))</f>
        <v/>
      </c>
      <c r="CE66" s="66" t="str">
        <f>IF(CF66&lt;&gt;"","Tongbeiquan B","")</f>
        <v/>
      </c>
      <c r="CF66" s="66" t="str">
        <f>IF(COUNTIF(BR:CD,1124)&gt;0,COUNTIF(BR:CD,1124),"")</f>
        <v/>
      </c>
      <c r="CG66" s="66" t="str">
        <f>IF(CH66&lt;&gt;"","Tongbeiquan B","")</f>
        <v/>
      </c>
      <c r="CH66" s="66" t="str">
        <f>IF(COUNTIF(BR:CD,2124)&gt;0,COUNTIF(BR:CD,2124),"")</f>
        <v/>
      </c>
      <c r="CI66" s="66" t="str">
        <f>IF(CJ66&lt;&gt;"","Huaquan C","")</f>
        <v/>
      </c>
      <c r="CJ66" s="66" t="str">
        <f>IF(COUNTIF(BR:CD,11130)&gt;0,COUNTIF(BR:CD,11130),"")</f>
        <v/>
      </c>
      <c r="CK66" s="66" t="str">
        <f>IF(CL66&lt;&gt;"","Huaquan C","")</f>
        <v/>
      </c>
      <c r="CL66" s="66" t="str">
        <f>IF(COUNTIF(BR:CD,12130)&gt;0,COUNTIF(BR:CD,12130),"")</f>
        <v/>
      </c>
      <c r="CM66" s="50" t="str">
        <f xml:space="preserve"> IF(Atletas!W57="","",IF(Atletas!W57="Duilian de Mãos BC - Equipe 1",1,IF(Atletas!W57="Duilian de Mãos BC - Equipe 2",2,IF(Atletas!W57="Duilian de Armas BC - Equipe 1",3,IF(Atletas!W57="Duilian de Armas BC - Equipe 2",4,IF(Atletas!W57="Duilian de Mãos DE - Equipe 1",5,IF(Atletas!W57="Duilian de Mãos DE - Equipe 2",6,IF(Atletas!W57="Duilian de Armas DE - Equipe 1",7,IF(Atletas!W57="Duilian de Armas DE - Equipe 2",8,IF(Atletas!W57="Duilian de Tuishou - Equipe 1",9,IF(Atletas!W57="Duilian de Tuishou - Equipe 2",10,IF(Atletas!W57="Grupo Externo ABC - Equipe 1",11,IF(Atletas!W57="Grupo Externo ABC - Equipe 2",12,IF(Atletas!W57="Grupo Interno ABC - Equipe 1",13,IF(Atletas!W57="Grupo Interno ABC - Equipe 2",14,IF(Atletas!W57="Grupo Externo DEF - Equipe 1",15,IF(Atletas!W57="Grupo Externo DEF - Equipe 2",16,IF(Atletas!W57="Grupo Interno DEF - Equipe 1",17,IF(Atletas!W57="Grupo Interno DEF - Equipe 2",18,"")))))))))))))))))))</f>
        <v/>
      </c>
      <c r="CY66" s="41"/>
    </row>
    <row r="67" spans="2:103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 t="str">
        <f t="array" ref="R67">IFERROR(INDEX(BI$7:BI$68,SMALL(IF(BI$7:BI$68&lt;&gt;"",ROW(BI$7:BI$68)-ROW(BI$7)+1),ROWS(BI$7:BI66))),"")</f>
        <v/>
      </c>
      <c r="S67" s="3" t="str">
        <f t="array" ref="S67">IFERROR(INDEX(BJ$7:BJ$68,SMALL(IF(BJ$7:BJ$68&lt;&gt;"",ROW(BJ$7:BJ$68)-ROW(BJ$7)+1),ROWS(BJ$7:BJ66))),"")</f>
        <v/>
      </c>
      <c r="T67" s="3" t="str">
        <f t="array" ref="T67">IFERROR(INDEX(BK$7:BK$68,SMALL(IF(BK$7:BK$68&lt;&gt;"",ROW(BK$7:BK$68)-ROW(BK$7)+1),ROWS(BK$7:BK66))),"")</f>
        <v/>
      </c>
      <c r="U67" s="3" t="str">
        <f t="array" ref="U67">IFERROR(INDEX(BL$7:BL$68,SMALL(IF(BL$7:BL$68&lt;&gt;"",ROW(BL$7:BL$68)-ROW(BL$7)+1),ROWS(BL$7:BL66))),"")</f>
        <v/>
      </c>
      <c r="V67" s="3"/>
      <c r="W67" s="3"/>
      <c r="X67" s="20"/>
      <c r="Y67" s="3"/>
      <c r="Z67" s="3" t="str">
        <f t="array" ref="Z67">IFERROR(INDEX(CE$7:CE$348,SMALL(IF(CE$7:CE$348&lt;&gt;"",ROW(CE$7:CE$348)-ROW(CE$7)+1),ROWS(CE$7:CE66))),"")</f>
        <v/>
      </c>
      <c r="AA67" s="3" t="str">
        <f t="array" ref="AA67">IFERROR(INDEX(CF$7:CF$348,SMALL(IF(CF$7:CF$348&lt;&gt;"",ROW(CF$7:CF$348)-ROW(CF$7)+1),ROWS(CF$7:CF66))),"")</f>
        <v/>
      </c>
      <c r="AB67" s="3" t="str">
        <f t="array" ref="AB67">IFERROR(INDEX(CG$7:CG$348,SMALL(IF(CG$7:CG$348&lt;&gt;"",ROW(CG$7:CG$348)-ROW(CG$7)+1),ROWS(CG$7:CG66))),"")</f>
        <v/>
      </c>
      <c r="AC67" s="3" t="str">
        <f t="array" ref="AC67">IFERROR(INDEX(CH$7:CH$348,SMALL(IF(CH$7:CH$348&lt;&gt;"",ROW(CH$7:CH$348)-ROW(CH$7)+1),ROWS(CH$7:CH66))),"")</f>
        <v/>
      </c>
      <c r="AD67" s="3" t="str">
        <f t="array" ref="AD67">IFERROR(INDEX(CI$7:CI$377,SMALL(IF(CI$7:CI$377&lt;&gt;"",ROW(CI$7:CI$377)-ROW(CI$7)+1),ROWS(CI$7:CI66))),"")</f>
        <v/>
      </c>
      <c r="AE67" s="3" t="str">
        <f t="array" ref="AE67">IFERROR(INDEX(CJ$7:CJ$378,SMALL(IF(CJ$7:CJ$378&lt;&gt;"",ROW(CJ$7:CJ$378)-ROW(CJ$7)+1),ROWS(CJ$7:CJ66))),"")</f>
        <v/>
      </c>
      <c r="AF67" s="3" t="str">
        <f t="array" ref="AF67">IFERROR(INDEX(CK$7:CK$378,SMALL(IF(CK$7:CK$378&lt;&gt;"",ROW(CK$7:CK$378)-ROW(CK$7)+1),ROWS(CK$7:CK66))),"")</f>
        <v/>
      </c>
      <c r="AG67" s="3" t="str">
        <f t="array" ref="AG67">IFERROR(INDEX(CL$7:CL$378,SMALL(IF(CL$7:CL$378&lt;&gt;"",ROW(CL$7:CL$378)-ROW(CL$7)+1),ROWS(CL$7:CL66))),"")</f>
        <v/>
      </c>
      <c r="AH67" s="3"/>
      <c r="AI67" s="3"/>
      <c r="AJ67" s="3"/>
      <c r="AK67" s="3"/>
      <c r="AL67" s="3"/>
      <c r="AM67" s="3"/>
      <c r="AN67" s="52" t="str">
        <f>IF(Atletas!D58="","",IF(Atletas!B58="Feminino",100,IF(Atletas!B58="Masculino",200,""))+(IF(Atletas!D58="Kids 30kg",1,IF(Atletas!D58="Kids 32kg",2, IF(Atletas!D58="Kids 34kg",3,IF(Atletas!D58="Kids 36kg",4,IF(Atletas!D58="Kids 39kg",5,IF(Atletas!D58="Kids 42kg",6,IF(Atletas!D58="Kids 45kg",7, IF(Atletas!D58="Infantil 39kg",8,IF(Atletas!D58="Infantil 42kg",9,IF(Atletas!D58="Infantil 45kg",10,IF(Atletas!D58="Infantil 48kg",11,IF(Atletas!D58="Infantil 52kg",12,IF(Atletas!D58="Infantil 56kg",13,IF(Atletas!D58="Infantil 60kg",14,IF(Atletas!D58="Juvenil 48kg",15,IF(Atletas!D58="Juvenil 52kg",16,IF(Atletas!D58="Juvenil 56kg",17,IF(Atletas!D58="Juvenil 60kg",18,IF(Atletas!D58="Juvenil 65kg",19,IF(Atletas!D58="Juvenil 70kg",20,IF(Atletas!D58="Juvenil 75kg",21,IF(Atletas!D58="Juvenil 80kg",22, IF(Atletas!D58="Juvenil 85kg",23,IF(Atletas!D58="Adulto 48kg",24,IF(Atletas!D58="Adulto 52kg",25,IF(Atletas!D58="Adulto 56kg",26,IF(Atletas!D58="Adulto 60kg",27,IF(Atletas!D58="Adulto 65kg",28,IF(Atletas!D58="Adulto 70kg",29,IF(Atletas!D58="Adulto 75kg",30,IF(Atletas!D58="Adulto 80kg",31,IF(Atletas!D58="Adulto 85kg",32,IF(Atletas!D58="Adulto 90kg",33,IF(Atletas!D58="Adulto 100kg",34, IF(Atletas!D58="Adulto +100kg",35,"")))))))))))))))))))))))))))))))))))))</f>
        <v/>
      </c>
      <c r="AS67" s="6" t="str">
        <f>IF(Atletas!E58="","",IF(Atletas!B58="Feminino",100,IF(Atletas!B58="Masculino",200,""))+(IF(Atletas!E58="Juvenil 44kg",1,IF(Atletas!E58="Juvenil 48kg",2,IF(Atletas!E58="Juvenil 52kg",3,IF(Atletas!E58="Juvenil 56kg",4,IF(Atletas!E58="Juvenil 60kg",5,IF(Atletas!E58="Juvenil 65kg",6,IF(Atletas!E58="Juvenil 70kg",7,IF(Atletas!E58="Juvenil 75kg",8,IF(Atletas!E58="Juvenil 82kg",9,IF(Atletas!E58="Juvenil 90kg",10,IF(Atletas!E58="Juvenil 100kg",11,IF(Atletas!E58="Adulto 48kg",12,IF(Atletas!E58="Adulto 52kg",13,IF(Atletas!E58="Adulto 56kg",14,IF(Atletas!E58="Adulto 60kg",15,IF(Atletas!E58="Adulto 65kg",16,IF(Atletas!E58="Adulto 70kg",17,IF(Atletas!E58="Adulto 75kg",18,IF(Atletas!E58="Adulto 82kg",19,IF(Atletas!E58="Adulto 90kg",20,IF(Atletas!E58="Adulto 100kg",21,IF(Atletas!E58="Adulto +100kg",22,""))))))))))))))))))))))))</f>
        <v/>
      </c>
      <c r="AX67" s="6" t="str">
        <f>IF(Atletas!F58="","",IF(Atletas!B58="Feminino",100,IF(Atletas!B58="Masculino",200,""))+(IF(Atletas!F58="Adulto 48kg",1,IF(Atletas!F58="Adulto 56kg",2,IF(Atletas!F58="Adulto 65kg",3,IF(Atletas!F58="Adulto 75kg",4,IF(Atletas!F58="Adulto +75kg",5,IF(Atletas!F58="Adulto 52kg",6,IF(Atletas!F58="Adulto 60kg",7,IF(Atletas!F58="Adulto 70kg",8,IF(Atletas!F58="Adulto 80kg",9,IF(Atletas!F58="Adulto 90kg",10,IF(Atletas!F58="Adulto +90kg",11,"")))))))))))))</f>
        <v/>
      </c>
      <c r="BC67" s="6" t="str">
        <f>IF(Atletas!G58="","",IF(Atletas!B58="Feminino",10,IF(Atletas!B58="Masculino",20,""))+(IF(Atletas!G58="Baduanjin A",1,IF(Atletas!G58="Baduanjin B",2))))</f>
        <v/>
      </c>
      <c r="BF67" s="52" t="str">
        <f>IF(Atletas!H58="","",IF(Atletas!B58="Feminino",100,IF(Atletas!B58="Masculino",200,""))+(IF(Atletas!H58="Changquan Mirim",1,IF(Atletas!H58="Nanquan Mirim",2,IF(Atletas!H58="Taijiquan Mirim",3,IF(Atletas!H58="Changquan Grupo C",4,IF(Atletas!H58="Nanquan Grupo C",5,IF(Atletas!H58="Taijiquan Grupo C",6,IF(Atletas!H58="Changquan Grupo B",7,IF(Atletas!H58="Nanquan Grupo B",8,IF(Atletas!H58="Taijiquan Grupo B",9,IF(Atletas!H58="Changquan Grupo A",10,IF(Atletas!H58="Nanquan Grupo A",11,IF(Atletas!H58="Taijiquan Grupo A",12,IF(Atletas!H58="Changquan Opcional",13,IF(Atletas!H58="Nanquan Opcional",14,IF(Atletas!H58="Taijiquan Opcional",15,IF(Atletas!H58="Changquan Adulto",16,IF(Atletas!H58="Nanquan Adulto",17,IF(Atletas!H58="Taijiquan Adulto",18,""))))))))))))))))))))</f>
        <v/>
      </c>
      <c r="BG67" s="52" t="str">
        <f>IF(Atletas!I58="","",IF(Atletas!B58="Feminino",100,IF(Atletas!B58="Masculino",200,""))+(IF(Atletas!I58="Daoshu Mirim",19,IF(Atletas!I58="Jianshu Mirim",20,IF(Atletas!I58="Nandao Mirim",21,IF(Atletas!I58="Taijijian Mirim",22,IF(Atletas!I58="Daoshu Grupo C",23,IF(Atletas!I58="Jianshu Grupo C",24,IF(Atletas!I58="Nandao Grupo C",25,IF(Atletas!I58="Taijijian Grupo C",26,IF(Atletas!I58="Daoshu Grupo B",27,IF(Atletas!I58="Jianshu Grupo B",28,IF(Atletas!I58="Nandao Grupo B",29,IF(Atletas!I58="Taijijian Grupo B",30,IF(Atletas!I58="Daoshu Grupo A",31,IF(Atletas!I58="Jianshu Grupo A",32,IF(Atletas!I58="Nandao Grupo A",33,IF(Atletas!I58="Taijijian Grupo A",34,IF(Atletas!I58="Daoshu Opcional",35,IF(Atletas!I58="Jianshu Opcional",36,IF(Atletas!I58="Nandao Opcional",37,IF(Atletas!I58="Taijijian Opcional",38,IF(Atletas!I58="Daoshu Adulto",39,IF(Atletas!I58="Jianshu Adulto",40,IF(Atletas!I58="Nandao Adulto",41,IF(Atletas!I58="Taijijian Adulto",42,""))))))))))))))))))))))))))</f>
        <v/>
      </c>
      <c r="BH67" s="52" t="str">
        <f>IF(Atletas!J58="","",IF(Atletas!B58="Feminino",100,IF(Atletas!B58="Masculino",200,""))+(IF(Atletas!J58="Gunshu Mirim",43,IF(Atletas!J58="Qiangshu Mirim",44,IF(Atletas!J58="Nangun Mirim",45,IF(Atletas!J58="Gunshu Grupo C",46,IF(Atletas!J58="Qiangshu Grupo C",47,IF(Atletas!J58="Nangun Grupo C",48,IF(Atletas!J58="Gunshu Grupo B",49,IF(Atletas!J58="Qiangshu Grupo B",50,IF(Atletas!J58="Nangun Grupo B",51,IF(Atletas!J58="Gunshu Grupo A",52,IF(Atletas!J58="Qiangshu Grupo A",53,IF(Atletas!J58="Nangun Grupo A",54,IF(Atletas!J58="Gunshu Opcional",55,IF(Atletas!J58="Qiangshu Opcional",56,IF(Atletas!J58="Nangun Opcional",57,IF(Atletas!J58="Gunshu Adulto",58,IF(Atletas!J58="Qiangshu Adulto",59,IF(Atletas!J58="Nangun Adulto",60,IF(Atletas!J58="Taijishan Grupo B",61,IF(Atletas!J58="Taijishan Grupo A",62,""))))))))))))))))))))))</f>
        <v/>
      </c>
      <c r="BI67" s="50" t="str">
        <f>IF(BJ67&lt;&gt;"","Qiangshu Alternativo","")</f>
        <v/>
      </c>
      <c r="BJ67" s="50" t="str">
        <f>IF(COUNTIF(BF:BH,159)&gt;0,COUNTIF(BF:BH,159),"")</f>
        <v/>
      </c>
      <c r="BK67" s="50" t="str">
        <f>IF(BL67&lt;&gt;"","Qiangshu Alternativo","")</f>
        <v/>
      </c>
      <c r="BL67" s="50" t="str">
        <f>IF(COUNTIF(BF:BH,259)&gt;0,COUNTIF(BF:BH,259),"")</f>
        <v/>
      </c>
      <c r="BM67" s="50" t="str">
        <f>IF(Atletas!K58="","",IF(Atletas!B58="Feminino",100,IF(Atletas!B58="Masculino",200,""))+(IF(Atletas!K58="Equipe 1 Grupo B",1,IF(Atletas!K58="Equipe 2 Grupo B",2,IF(Atletas!K58="Equipe 1 Grupo A",3,IF(Atletas!K58="Equipe 2 Grupo A",4,IF(Atletas!K58="Equipe 1 Adulto",5,IF(Atletas!K58="Equipe 2 Adulto",6,""))))))))</f>
        <v/>
      </c>
      <c r="BR67" s="50" t="str">
        <f>IF(Atletas!L58="","",IF(Atletas!X58&lt;&gt;"",10000,0)+(IF(Atletas!B58="Feminino",1000,IF(Atletas!B58="Masculino",2000,""))+IF(Atletas!L58="Choylayfut A",1,IF(Atletas!L58="Hunggar A",2,IF(Atletas!L58="Wuzuquan A",3,IF(Atletas!L58="Wingchun A",4,IF(Atletas!L58="Outra Mão de Sul A",5,IF(Atletas!L58="Choylayfut B",6,IF(Atletas!L58="Hunggar B",7,IF(Atletas!L58="Wuzuquan B",8,IF(Atletas!L58="Wingchun B",9,IF(Atletas!L58="Outra Mão de Sul B",10,IF(Atletas!L58="Choylayfut C",11,IF(Atletas!L58="Hunggar C",12,IF(Atletas!L58="Wuzuquan C",13,IF(Atletas!L58="Wingchun C",14,IF(Atletas!L58="Outra Mão de Sul C",15,IF(Atletas!L58="Choylayfut D",16,IF(Atletas!L58="Hunggar D",17,IF(Atletas!L58="Wuzuquan D",18,IF(Atletas!L58="Wingchun D",19,IF(Atletas!L58="Outra Mão de Sul D",20,IF(Atletas!L58="Choylayfut E",21,IF(Atletas!L58="Hunggar E",22,IF(Atletas!L58="Wuzuquan E",23,IF(Atletas!L58="Wingchun E",24,IF(Atletas!L58="Outra Mão de Sul E",25,IF(Atletas!L58="Choylayfut F",26,IF(Atletas!L58="Hunggar F",27,IF(Atletas!L58="Wuzuquan F",28,IF(Atletas!L58="Wingchun F",29,IF(Atletas!L58="Outra Mão de Sul F",30,IF(Atletas!L58="Dishuquan A",31,IF(Atletas!L58="Dishuquan B",32,IF(Atletas!L58="Dishuquan C",33,IF(Atletas!L58="Dishuquan D",34,IF(Atletas!L58="Dishuquan E",35,IF(Atletas!L58="Dishuquan F",36,""))))))))))))))))))))))))))))))))))))))</f>
        <v/>
      </c>
      <c r="BS67" s="50" t="str">
        <f>IF(Atletas!M58="","",IF(Atletas!X58&lt;&gt;"",10000,0)+(IF(Atletas!B58="Feminino",1000,IF(Atletas!B58="Masculino",2000,""))+(IF(Atletas!M58="Chaquan A",101,IF(Atletas!M58="Emeiquan A",102,IF(Atletas!M58="Fanziquan A",103,IF(Atletas!M58="Huaquan A",104,IF(Atletas!M58="Hongquan A",105,IF(Atletas!M58="Paoquan A",106,IF(Atletas!M58="Piguaquan A",107,IF(Atletas!M58="Shaolinquan A",108,IF(Atletas!M58="Tanglangquan A",109,IF(Atletas!M58="Yingzhaoquan A",110,IF(Atletas!M58="Tongbeiquan A",111,IF(Atletas!M58="Wudangquan A",112,IF(Atletas!M58="Outros Estilos A",113,IF(Atletas!M58="Chaquan B",114,IF(Atletas!M58="Emeiquan B",115,IF(Atletas!M58="Fanziquan B",116,IF(Atletas!M58="Huaquan B",117,IF(Atletas!M58="Hongquan B",118,IF(Atletas!M58="Paoquan B",119,IF(Atletas!M58="Piguaquan B",120,IF(Atletas!M58="Shaolinquan B",121,IF(Atletas!M58="Tanglangquan B",122,IF(Atletas!M58="Yingzhaoquan B",123,IF(Atletas!M58="Tongbeiquan B",124,IF(Atletas!M58="Wudangquan B",125,IF(Atletas!M58="Outros Estilos B",126,IF(Atletas!M58="Chaquan C",127,IF(Atletas!M58="Emeiquan C",128,IF(Atletas!M58="Fanziquan C",129,IF(Atletas!M58="Huaquan C",130,IF(Atletas!M58="Hongquan C",131,IF(Atletas!M58="Paoquan C",132,IF(Atletas!M58="Piguaquan C",133,IF(Atletas!M58="Shaolinquan C",134,IF(Atletas!M58="Tanglangquan C",135,IF(Atletas!M58="Yingzhaoquan C",136,IF(Atletas!M58="Tongbeiquan C",137,IF(Atletas!M58="Wudangquan C",138,IF(Atletas!M58="Outros Estilos C",139,0))))))))))))))))))))))))))))))))))))))))))</f>
        <v/>
      </c>
      <c r="BT67" s="50" t="str">
        <f>IF(Atletas!M58="","",IF(Atletas!X58&lt;&gt;"",10000,0)+(IF(Atletas!B58="Feminino",1000,IF(Atletas!B58="Masculino",2000,""))+(IF(Atletas!M58="Chaquan D",140,IF(Atletas!M58="Emeiquan D",141,IF(Atletas!M58="Fanziquan D",142,IF(Atletas!M58="Huaquan D",143,IF(Atletas!M58="Hongquan D",144,IF(Atletas!M58="Paoquan D",145,IF(Atletas!M58="Piguaquan D",146,IF(Atletas!M58="Shaolinquan D",147,IF(Atletas!M58="Tanglangquan D",148,IF(Atletas!M58="Yingzhaoquan D",149,IF(Atletas!M58="Tongbeiquan D",150,IF(Atletas!M58="Wudangquan D",151,IF(Atletas!M58="Outros Estilos D",152,IF(Atletas!M58="Chaquan E",153,IF(Atletas!M58="Emeiquan E",154,IF(Atletas!M58="Fanziquan E",155,IF(Atletas!M58="Huaquan E",156,IF(Atletas!M58="Hongquan E",157,IF(Atletas!M58="Paoquan E",158,IF(Atletas!M58="Piguaquan E",159,IF(Atletas!M58="Shaolinquan E",160,IF(Atletas!M58="Tanglangquan E",161,IF(Atletas!M58="Yingzhaoquan E",162,IF(Atletas!M58="Tongbeiquan E",163,IF(Atletas!M58="Wudangquan E",164,IF(Atletas!M58="Outros Estilos E",165,IF(Atletas!M58="Chaquan F",166,IF(Atletas!M58="Emeiquan F",167,IF(Atletas!M58="Fanziquan F",168,IF(Atletas!M58="Huaquan F",169,IF(Atletas!M58="Hongquan F",170,IF(Atletas!M58="Paoquan F",171,IF(Atletas!M58="Piguaquan F",172,IF(Atletas!M58="Shaolinquan F",173,IF(Atletas!M58="Tanglangquan F",174,IF(Atletas!M58="Yingzhaoquan F",175,IF(Atletas!M58="Tongbeiquan F",176,IF(Atletas!M58="Wudangquan F",177,IF(Atletas!M58="Outros Estilos F",178,0))))))))))))))))))))))))))))))))))))))))))</f>
        <v/>
      </c>
      <c r="BU67" s="50" t="str">
        <f>IF(Atletas!N58="","",IF(Atletas!X58&lt;&gt;"",10000,0)+(IF(Atletas!B58="Feminino",1000,IF(Atletas!B58="Masculino",2000,""))+(IF(Atletas!N58="Ditangquan A",201,IF(Atletas!N58="Houquan A",202,IF(Atletas!N58="Zuiquan A",203,IF(Atletas!N58="Ditangquan B",204,IF(Atletas!N58="Houquan B",205,IF(Atletas!N58="Zuiquan B",206,IF(Atletas!N58="Ditangquan C",207,IF(Atletas!N58="Houquan C",208,IF(Atletas!N58="Zuiquan C",209,IF(Atletas!N58="Ditangquan D",210,IF(Atletas!N58="Houquan D",211,IF(Atletas!N58="Zuiquan D",212,IF(Atletas!N58="Ditangquan E",213,IF(Atletas!N58="Houquan E",214,IF(Atletas!N58="Zuiquan E",215,IF(Atletas!N58="Ditangquan F",216,IF(Atletas!N58="Houquan F",217,IF(Atletas!N58="Zuiquan F",218,"")))))))))))))))))))))</f>
        <v/>
      </c>
      <c r="BV67" s="50" t="str">
        <f>IF(Atletas!O58="","",IF(Atletas!X58&lt;&gt;"",10000,0)+IF(Atletas!B58="Feminino",1000,IF(Atletas!B58="Masculino",2000,""))+IF(Atletas!O58="Yang A",301,IF(Atletas!O58="Chen A",302,IF(Atletas!O58="Sun A",303,IF(Atletas!O58="Wu A",304,IF(Atletas!O58="Wu-Hao A",305,IF(Atletas!O58="Outro Taijiquan A",306,IF(Atletas!O58="Yang B",307,IF(Atletas!O58="Chen B",308,IF(Atletas!O58="Sun B",309,IF(Atletas!O58="Wu B",310,IF(Atletas!O58="Wu-Hao B",311,IF(Atletas!O58="Outro Taijiquan B",312,IF(Atletas!O58="Yang C",313,IF(Atletas!O58="Chen C",314,IF(Atletas!O58="Sun C",315,IF(Atletas!O58="Wu C",316,IF(Atletas!O58="Wu-Hao C",317,IF(Atletas!O58="Outro Taijiquan C",318,IF(Atletas!O58="Yang D",319,IF(Atletas!O58="Chen D",320,IF(Atletas!O58="Sun D",321,IF(Atletas!O58="Wu D",322,IF(Atletas!O58="Wu-Hao D",323,IF(Atletas!O58="Outro Taijiquan D",324,IF(Atletas!O58="Yang E",325,IF(Atletas!O58="Chen E",326,IF(Atletas!O58="Sun E",327,IF(Atletas!O58="Wu E",328,IF(Atletas!O58="Wu-Hao E",329,IF(Atletas!O58="Outro Taijiquan E",330,IF(Atletas!O58="Yang F",331,IF(Atletas!O58="Chen F",332,IF(Atletas!O58="Sun F",333,IF(Atletas!O58="Wu F",334,IF(Atletas!O58="Wu-Hao F",335,IF(Atletas!O58="Outro Taijiquan F",336,"")))))))))))))))))))))))))))))))))))))</f>
        <v/>
      </c>
      <c r="BW67" s="50" t="str">
        <f>IF(Atletas!P58="","",IF(Atletas!X58&lt;&gt;"",10000,0)+IF(Atletas!B58="Feminino",1000,IF(Atletas!B58="Masculino",2000,""))+IF(OR(Atletas!P58="Yang 26 A",Atletas!P58="Yang 40 A"),401,IF(OR(Atletas!P58="Chen 25 A",Atletas!P58="Chen 36 A",Atletas!P58="Chen 56 A"),402,IF(Atletas!P58="Sun 73 A",403,IF(Atletas!P58="Wu 45 A",404,IF(Atletas!P58="Wu-Hao 46 A",405,IF(OR(Atletas!P58="Taijiquan 16 A",Atletas!P58="Taijiquan 24 A",Atletas!P58="Taijiquan 32 A",Atletas!P58="Taijiquan 42 A"),406,IF(OR(Atletas!P58="Yang 26 B",Atletas!P58="Yang 40 B"),407,IF(OR(Atletas!P58="Chen 25 B",Atletas!P58="Chen 36 B",Atletas!P58="Chen 56 B"),408,IF(Atletas!P58="Sun 73 B",409,IF(Atletas!P58="Wu 45 B",410,IF(Atletas!P58="Wu-Hao 46 B",411,IF(OR(Atletas!P58="Taijiquan 16 B",Atletas!P58="Taijiquan 24 B",Atletas!P58="Taijiquan 32 B",Atletas!P58="Taijiquan 42 B"),412,IF(OR(Atletas!P58="Yang 26 C",Atletas!P58="Yang 40 C"),413,IF(OR(Atletas!P58="Chen 25 C",Atletas!P58="Chen 36 C",Atletas!P58="Chen 56 C"),414,IF(Atletas!P58="Sun 73 C",415,IF(Atletas!P58="Wu 45 C",416,IF(Atletas!P58="Wu-Hao 46 C",417,IF(OR(Atletas!P58="Taijiquan 16 C",Atletas!P58="Taijiquan 24 C",Atletas!P58="Taijiquan 32 C",Atletas!P58="Taijiquan 42 C"),418,0)))))))))))))))))))</f>
        <v/>
      </c>
      <c r="BX67" s="50" t="str">
        <f>IF(Atletas!P58="","",IF(Atletas!X58&lt;&gt;"",10000,0)+IF(Atletas!B58="Feminino",1000,IF(Atletas!B58="Masculino",2000,""))+IF(OR(Atletas!P58="Yang 26 D",Atletas!P58="Yang 40 D"),419,IF(OR(Atletas!P58="Chen 25 D",Atletas!P58="Chen 36 D",Atletas!P58="Chen 56 D"),420,IF(Atletas!P58="Sun 73 D",421,IF(Atletas!P58="Wu 45 D",422,IF(Atletas!P58="Wu-Hao 46 D",423,IF(OR(Atletas!P58="Taijiquan 16 D",Atletas!P58="Taijiquan 24 D",Atletas!P58="Taijiquan 32 D",Atletas!P58="Taijiquan 42 D"),424,IF(OR(Atletas!P58="Yang 26 E",Atletas!P58="Yang 40 E"),425,IF(OR(Atletas!P58="Chen 25 E",Atletas!P58="Chen 36 E",Atletas!P58="Chen 56 E"),426,IF(Atletas!P58="Sun 73 E",427,IF(Atletas!P58="Wu 45 E",428,IF(Atletas!P58="Wu-Hao 46 E",429,IF(OR(Atletas!P58="Taijiquan 16 E",Atletas!P58="Taijiquan 24 E",Atletas!P58="Taijiquan 32 E",Atletas!P58="Taijiquan 42 E"),430,IF(OR(Atletas!P58="Yang 26 F",Atletas!P58="Yang 40 F"),431,IF(OR(Atletas!P58="Chen 25 F",Atletas!P58="Chen 36 F",Atletas!P58="Chen 56 F"),432,IF(Atletas!P58="Sun 73 F",433,IF(Atletas!P58="Wu 45 F",434,IF(Atletas!P58="Wu-Hao 46 F",435,IF(OR(Atletas!P58="Taijiquan 16 F",Atletas!P58="Taijiquan 24 F",Atletas!P58="Taijiquan 32 F",Atletas!P58="Taijiquan 42 F"),436,0)))))))))))))))))))</f>
        <v/>
      </c>
      <c r="BY67" s="50" t="str">
        <f>IF(Atletas!Q58="","",IF(Atletas!X58&lt;&gt;"",10000,0)+IF(Atletas!B58="Feminino",1000,IF(Atletas!B58="Masculino",2000,""))+IF(Atletas!Q58="Xingyiquan A",501,IF(Atletas!Q58="Baguazhang A",502,IF(Atletas!Q58="Outro Estilo Interno A",503,IF(Atletas!Q58="Xingyiquan B",504,IF(Atletas!Q58="Baguazhang B",505,IF(Atletas!Q58="Outro Estilo Interno B",506,IF(Atletas!Q58="Xingyiquan C",507,IF(Atletas!Q58="Baguazhang C",508,IF(Atletas!Q58="Outro Estilo Interno C",509,IF(Atletas!Q58="Xingyiquan D",510,IF(Atletas!Q58="Baguazhang D",511,IF(Atletas!Q58="Outro Estilo Interno D",512,IF(Atletas!Q58="Xingyiquan E",513,IF(Atletas!Q58="Baguazhang E",514,IF(Atletas!Q58="Outro Estilo Interno E",515,IF(Atletas!Q58="Xingyiquan F",516,IF(Atletas!Q58="Baguazhang F",517,IF(Atletas!Q58="Outro Estilo Interno F",518, "")))))))))))))))))))</f>
        <v/>
      </c>
      <c r="BZ67" s="50" t="str">
        <f>IF(Atletas!R58="","",IF(Atletas!X58&lt;&gt;"",10000,0)+IF(Atletas!B58="Feminino",1000,IF(Atletas!B58="Masculino",2000,""))+IF(Atletas!R58="Dao A",601,IF(Atletas!R58="Jian A",602,IF(Atletas!R58="Bishou A",603,IF(Atletas!R58="Shanzi A",604,IF(Atletas!R58="Outra Arma Curta A",605,IF(Atletas!R58="Dao B",606,IF(Atletas!R58="Jian B",607,IF(Atletas!R58="Bishou B",608,IF(Atletas!R58="Shanzi B",609,IF(Atletas!R58="Outra Arma Curta B",610,IF(Atletas!R58="Dao C",611,IF(Atletas!R58="Jian C",612,IF(Atletas!R58="Bishou C",613,IF(Atletas!R58="Shanzi C",614,IF(Atletas!R58="Outra Arma Curta C",615,IF(Atletas!R58="Dao D",616,IF(Atletas!R58="Jian D",617,IF(Atletas!R58="Bishou D",618,IF(Atletas!R58="Shanzi D",619,IF(Atletas!R58="Outra Arma Curta D",620,IF(Atletas!R58="Dao E",621,IF(Atletas!R58="Jian E",622,IF(Atletas!R58="Bishou E",623,IF(Atletas!R58="Shanzi E",624,IF(Atletas!R58="Outra Arma Curta E",625,IF(Atletas!R58="Dao F",626,IF(Atletas!R58="Jian F",627,IF(Atletas!R58="Bishou F",628,IF(Atletas!R58="Shanzi F",629,IF(Atletas!R58="Outra Arma Curta F",630, "")))))))))))))))))))))))))))))))</f>
        <v/>
      </c>
      <c r="CA67" s="50" t="str">
        <f>IF(Atletas!S58="","",IF(Atletas!X58&lt;&gt;"",10000,0)+IF(Atletas!B58="Feminino",1000,IF(Atletas!B58="Masculino",2000,""))+IF(Atletas!S58="Gun A",701,IF(Atletas!S58="Qiang A",702,IF(Atletas!S58="Pudao / Guandao A",703,IF(Atletas!S58="Outra Arma Longa A",704,IF(Atletas!S58="Gun B",705,IF(Atletas!S58="Qiang B",706,IF(Atletas!S58="Pudao / Guandao B",707,IF(Atletas!S58="Outra Arma Longa B",708,IF(Atletas!S58="Gun C",709,IF(Atletas!S58="Qiang C",710,IF(Atletas!S58="Pudao / Guandao C",711,IF(Atletas!S58="Outra Arma Longa C",712,IF(Atletas!S58="Gun D",713,IF(Atletas!S58="Qiang D",714,IF(Atletas!S58="Pudao / Guandao D",715,IF(Atletas!S58="Outra Arma Longa D",716,IF(Atletas!S58="Gun E",717,IF(Atletas!S58="Qiang E",718,IF(Atletas!S58="Pudao / Guandao E",719,IF(Atletas!S58="Outra Arma Longa E",720,IF(Atletas!S58="Gun F",721,IF(Atletas!S58="Qiang F",722,IF(Atletas!S58="Pudao / Guandao F",723,IF(Atletas!S58="Outra Arma Longa F",724,"")))))))))))))))))))))))))</f>
        <v/>
      </c>
      <c r="CB67" s="50" t="str">
        <f>IF(Atletas!T58="","",IF(Atletas!X58&lt;&gt;"",10000,0)+IF(Atletas!B58="Feminino",1000,IF(Atletas!B58="Masculino",2000,""))+IF(Atletas!T58="Outra Arma Dupla A",801,IF(Atletas!T58="Arma Maleável A",802,IF(Atletas!T58="Outra Arma Dupla B",803,IF(Atletas!T58="Arma Maleável B",804,IF(Atletas!T58="Outra Arma Dupla C",805,IF(Atletas!T58="Arma Maleável C",806,IF(Atletas!T58="Outra Arma Dupla D",807,IF(Atletas!T58="Arma Maleável D",808,IF(Atletas!T58="Outra Arma Dupla E",809,IF(Atletas!T58="Arma Maleável E",810,IF(Atletas!T58="Outra Arma Dupla F",811,IF(Atletas!T58="Arma Maleável F",812,IF(Atletas!T58="Shuangdao A",813,IF(Atletas!T58="Shuangdao B",814,IF(Atletas!T58="Shuangdao C",815,IF(Atletas!T58="Shuangdao D",816,IF(Atletas!T58="Shuangdao E",817,IF(Atletas!T58="Shuangdao F",818,"")))))))))))))))))))</f>
        <v/>
      </c>
      <c r="CC67" s="50" t="str">
        <f>IF(Atletas!U58="","",IF(Atletas!X58&lt;&gt;"",10000,0)+IF(Atletas!B58="Feminino",1000,IF(Atletas!B58="Masculino",2000,""))+IF(OR(Atletas!U58="Taijijian Yang A",Atletas!U58="Taijijian Yang Standard A"),901,IF(OR(Atletas!U58="Taijijian Chen A", Atletas!U58="Taijijian Chen Standard A"),902,IF(Atletas!U58="Taijijian Sun A",903,IF(Atletas!U58="Taijijian Wu A",904,IF(Atletas!U58="Taijijian Wu-Hao A",905,IF(OR(Atletas!U58="Taijijian 32 A",Atletas!U58="Taijijian 42 A"),906,IF(OR(Atletas!U58="Taijijian Yang B",Atletas!U58="Taijijian Yang Standard B"),907,IF(OR(Atletas!U58="Taijijian Chen B", Atletas!U58="Taijijian Chen Standard B"),908,IF(Atletas!U58="Taijijian Sun B",909,IF(Atletas!U58="Taijijian Wu B",910,IF(Atletas!U58="Taijijian Wu-Hao B",911,IF(OR(Atletas!U58="Taijijian 32 B",Atletas!U58="Taijijian 42 B"),912,IF(OR(Atletas!U58="Taijijian Yang C",Atletas!U58="Taijijian Yang Standard C"),913,IF(OR(Atletas!U58="Taijijian Chen C", Atletas!U58="Taijijian Chen Standard C"),914,IF(Atletas!U58="Taijijian Sun C",915,IF(Atletas!U58="Taijijian Wu C",916,IF(Atletas!U58="Taijijian Wu-Hao C",917,IF(OR(Atletas!U58="Taijijian 32 C",Atletas!U58="Taijijian 42 C"),918,IF(OR(Atletas!U58="Taijijian Yang D",Atletas!U58="Taijijian Yang Standard D"),919,IF(OR(Atletas!U58="Taijijian Chen D", Atletas!U58="Taijijian Chen Standard D"),920,IF(Atletas!U58="Taijijian Sun D",921,IF(Atletas!U58="Taijijian Wu D",922,IF(Atletas!U58="Taijijian Wu-Hao D",923,IF(OR(Atletas!U58="Taijijian 32 D",Atletas!U58="Taijijian 42 D"),924,IF(OR(Atletas!U58="Taijijian Yang E",Atletas!U58="Taijijian Yang Standard E"),925,IF(OR(Atletas!U58="Taijijian Chen E", Atletas!U58="Taijijian Chen Standard E"),926,IF(Atletas!U58="Taijijian Sun E",927,IF(Atletas!U58="Taijijian Wu E",928,IF(Atletas!U58="Taijijian Wu-Hao E",929,IF(OR(Atletas!U58="Taijijian 32 E",Atletas!U58="Taijijian 42 E"),930,IF(OR(Atletas!U58="Taijijian Yang F",Atletas!U58="Taijijian Yang Standard F"),931,IF(OR(Atletas!U58="Taijijian Chen F", Atletas!U58="Taijijian Chen Standard F"),932,IF(Atletas!U58="Taijijian Sun F",933,IF(Atletas!U58="Taijijian Wu F",934,IF(Atletas!U58="Taijijian Wu-Hao F",935,IF(OR(Atletas!U58="Taijijian 32 F",Atletas!U58="Taijijian 42 F"),936,"")))))))))))))))))))))))))))))))))))))</f>
        <v/>
      </c>
      <c r="CD67" s="50" t="str">
        <f>IF(Atletas!V58="","",IF(Atletas!X58&lt;&gt;"",10000,0)+IF(Atletas!B58="Feminino",1000,IF(Atletas!B58="Masculino",2000,""))+IF(Atletas!V58="Taijidao A",937,IF(Atletas!V58="TaijiShanzi A",938,IF(Atletas!V58="Taijiqiang A",939,IF(Atletas!V58="Bagua de Arma A",940,IF(Atletas!V58="Xingyi de Arma A",941,IF(Atletas!V58="Taijidao B",942,IF(Atletas!V58="TaijiShanzi B",943,IF(Atletas!V58="Taijiqiang B",944,IF(Atletas!V58="Bagua de Arma B",945,IF(Atletas!V58="Xingyi de Arma B",946,IF(Atletas!V58="Taijidao C",947,IF(Atletas!V58="TaijiShanzi C",948,IF(Atletas!V58="Taijiqiang C",949,IF(Atletas!V58="Bagua de Arma C",950,IF(Atletas!V58="Xingyi de Arma C",951,IF(Atletas!V58="Taijidao D",952,IF(Atletas!V58="TaijiShanzi D",953,IF(Atletas!V58="Taijiqiang D",954,IF(Atletas!V58="Bagua de Arma D",955,IF(Atletas!V58="Xingyi de Arma D",956,IF(Atletas!V58="Taijidao E",957,IF(Atletas!V58="TaijiShanzi E",958,IF(Atletas!V58="Taijiqiang E",959,IF(Atletas!V58="Bagua de Arma E",960,IF(Atletas!V58="Xingyi de Arma E",961,IF(Atletas!V58="Taijidao F",962,IF(Atletas!V58="TaijiShanzi F",963,IF(Atletas!V58="Taijiqiang F",964,IF(Atletas!V58="Bagua de Arma F",965,IF(Atletas!V58="Xingyi de Arma F",966,"")))))))))))))))))))))))))))))))</f>
        <v/>
      </c>
      <c r="CE67" s="66" t="str">
        <f>IF(CF67&lt;&gt;"","Wudangquan B","")</f>
        <v/>
      </c>
      <c r="CF67" s="66" t="str">
        <f>IF(COUNTIF(BR:CD,1125)&gt;0,COUNTIF(BR:CD,1125),"")</f>
        <v/>
      </c>
      <c r="CG67" s="66" t="str">
        <f>IF(CH67&lt;&gt;"","Wudangquan B","")</f>
        <v/>
      </c>
      <c r="CH67" s="66" t="str">
        <f>IF(COUNTIF(BR:CD,2125)&gt;0,COUNTIF(BR:CD,2125),"")</f>
        <v/>
      </c>
      <c r="CI67" s="66" t="str">
        <f>IF(CJ67&lt;&gt;"","Hongquan C","")</f>
        <v/>
      </c>
      <c r="CJ67" s="66" t="str">
        <f>IF(COUNTIF(BR:CD,11131)&gt;0,COUNTIF(BR:CD,11131),"")</f>
        <v/>
      </c>
      <c r="CK67" s="66" t="str">
        <f>IF(CL67&lt;&gt;"","Hongquan C","")</f>
        <v/>
      </c>
      <c r="CL67" s="66" t="str">
        <f>IF(COUNTIF(BR:CD,12131)&gt;0,COUNTIF(BR:CD,12131),"")</f>
        <v/>
      </c>
      <c r="CM67" s="50" t="str">
        <f xml:space="preserve"> IF(Atletas!W58="","",IF(Atletas!W58="Duilian de Mãos BC - Equipe 1",1,IF(Atletas!W58="Duilian de Mãos BC - Equipe 2",2,IF(Atletas!W58="Duilian de Armas BC - Equipe 1",3,IF(Atletas!W58="Duilian de Armas BC - Equipe 2",4,IF(Atletas!W58="Duilian de Mãos DE - Equipe 1",5,IF(Atletas!W58="Duilian de Mãos DE - Equipe 2",6,IF(Atletas!W58="Duilian de Armas DE - Equipe 1",7,IF(Atletas!W58="Duilian de Armas DE - Equipe 2",8,IF(Atletas!W58="Duilian de Tuishou - Equipe 1",9,IF(Atletas!W58="Duilian de Tuishou - Equipe 2",10,IF(Atletas!W58="Grupo Externo ABC - Equipe 1",11,IF(Atletas!W58="Grupo Externo ABC - Equipe 2",12,IF(Atletas!W58="Grupo Interno ABC - Equipe 1",13,IF(Atletas!W58="Grupo Interno ABC - Equipe 2",14,IF(Atletas!W58="Grupo Externo DEF - Equipe 1",15,IF(Atletas!W58="Grupo Externo DEF - Equipe 2",16,IF(Atletas!W58="Grupo Interno DEF - Equipe 1",17,IF(Atletas!W58="Grupo Interno DEF - Equipe 2",18,"")))))))))))))))))))</f>
        <v/>
      </c>
      <c r="CY67" s="41"/>
    </row>
    <row r="68" spans="2:103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 t="str">
        <f t="array" ref="R68">IFERROR(INDEX(BI$7:BI$68,SMALL(IF(BI$7:BI$68&lt;&gt;"",ROW(BI$7:BI$68)-ROW(BI$7)+1),ROWS(BI$7:BI67))),"")</f>
        <v/>
      </c>
      <c r="S68" s="3" t="str">
        <f t="array" ref="S68">IFERROR(INDEX(BJ$7:BJ$68,SMALL(IF(BJ$7:BJ$68&lt;&gt;"",ROW(BJ$7:BJ$68)-ROW(BJ$7)+1),ROWS(BJ$7:BJ67))),"")</f>
        <v/>
      </c>
      <c r="T68" s="3" t="str">
        <f t="array" ref="T68">IFERROR(INDEX(BK$7:BK$68,SMALL(IF(BK$7:BK$68&lt;&gt;"",ROW(BK$7:BK$68)-ROW(BK$7)+1),ROWS(BK$7:BK67))),"")</f>
        <v/>
      </c>
      <c r="U68" s="3" t="str">
        <f t="array" ref="U68">IFERROR(INDEX(BL$7:BL$68,SMALL(IF(BL$7:BL$68&lt;&gt;"",ROW(BL$7:BL$68)-ROW(BL$7)+1),ROWS(BL$7:BL67))),"")</f>
        <v/>
      </c>
      <c r="V68" s="3"/>
      <c r="W68" s="3"/>
      <c r="X68" s="20"/>
      <c r="Y68" s="3"/>
      <c r="Z68" s="3" t="str">
        <f t="array" ref="Z68">IFERROR(INDEX(CE$7:CE$348,SMALL(IF(CE$7:CE$348&lt;&gt;"",ROW(CE$7:CE$348)-ROW(CE$7)+1),ROWS(CE$7:CE67))),"")</f>
        <v/>
      </c>
      <c r="AA68" s="3" t="str">
        <f t="array" ref="AA68">IFERROR(INDEX(CF$7:CF$348,SMALL(IF(CF$7:CF$348&lt;&gt;"",ROW(CF$7:CF$348)-ROW(CF$7)+1),ROWS(CF$7:CF67))),"")</f>
        <v/>
      </c>
      <c r="AB68" s="3" t="str">
        <f t="array" ref="AB68">IFERROR(INDEX(CG$7:CG$348,SMALL(IF(CG$7:CG$348&lt;&gt;"",ROW(CG$7:CG$348)-ROW(CG$7)+1),ROWS(CG$7:CG67))),"")</f>
        <v/>
      </c>
      <c r="AC68" s="3" t="str">
        <f t="array" ref="AC68">IFERROR(INDEX(CH$7:CH$348,SMALL(IF(CH$7:CH$348&lt;&gt;"",ROW(CH$7:CH$348)-ROW(CH$7)+1),ROWS(CH$7:CH67))),"")</f>
        <v/>
      </c>
      <c r="AD68" s="3" t="str">
        <f t="array" ref="AD68">IFERROR(INDEX(CI$7:CI$377,SMALL(IF(CI$7:CI$377&lt;&gt;"",ROW(CI$7:CI$377)-ROW(CI$7)+1),ROWS(CI$7:CI67))),"")</f>
        <v/>
      </c>
      <c r="AE68" s="3" t="str">
        <f t="array" ref="AE68">IFERROR(INDEX(CJ$7:CJ$378,SMALL(IF(CJ$7:CJ$378&lt;&gt;"",ROW(CJ$7:CJ$378)-ROW(CJ$7)+1),ROWS(CJ$7:CJ67))),"")</f>
        <v/>
      </c>
      <c r="AF68" s="3" t="str">
        <f t="array" ref="AF68">IFERROR(INDEX(CK$7:CK$378,SMALL(IF(CK$7:CK$378&lt;&gt;"",ROW(CK$7:CK$378)-ROW(CK$7)+1),ROWS(CK$7:CK67))),"")</f>
        <v/>
      </c>
      <c r="AG68" s="3" t="str">
        <f t="array" ref="AG68">IFERROR(INDEX(CL$7:CL$378,SMALL(IF(CL$7:CL$378&lt;&gt;"",ROW(CL$7:CL$378)-ROW(CL$7)+1),ROWS(CL$7:CL67))),"")</f>
        <v/>
      </c>
      <c r="AH68" s="3"/>
      <c r="AI68" s="3"/>
      <c r="AJ68" s="3"/>
      <c r="AK68" s="3"/>
      <c r="AL68" s="3"/>
      <c r="AM68" s="3"/>
      <c r="AN68" s="52" t="str">
        <f>IF(Atletas!D59="","",IF(Atletas!B59="Feminino",100,IF(Atletas!B59="Masculino",200,""))+(IF(Atletas!D59="Kids 30kg",1,IF(Atletas!D59="Kids 32kg",2, IF(Atletas!D59="Kids 34kg",3,IF(Atletas!D59="Kids 36kg",4,IF(Atletas!D59="Kids 39kg",5,IF(Atletas!D59="Kids 42kg",6,IF(Atletas!D59="Kids 45kg",7, IF(Atletas!D59="Infantil 39kg",8,IF(Atletas!D59="Infantil 42kg",9,IF(Atletas!D59="Infantil 45kg",10,IF(Atletas!D59="Infantil 48kg",11,IF(Atletas!D59="Infantil 52kg",12,IF(Atletas!D59="Infantil 56kg",13,IF(Atletas!D59="Infantil 60kg",14,IF(Atletas!D59="Juvenil 48kg",15,IF(Atletas!D59="Juvenil 52kg",16,IF(Atletas!D59="Juvenil 56kg",17,IF(Atletas!D59="Juvenil 60kg",18,IF(Atletas!D59="Juvenil 65kg",19,IF(Atletas!D59="Juvenil 70kg",20,IF(Atletas!D59="Juvenil 75kg",21,IF(Atletas!D59="Juvenil 80kg",22, IF(Atletas!D59="Juvenil 85kg",23,IF(Atletas!D59="Adulto 48kg",24,IF(Atletas!D59="Adulto 52kg",25,IF(Atletas!D59="Adulto 56kg",26,IF(Atletas!D59="Adulto 60kg",27,IF(Atletas!D59="Adulto 65kg",28,IF(Atletas!D59="Adulto 70kg",29,IF(Atletas!D59="Adulto 75kg",30,IF(Atletas!D59="Adulto 80kg",31,IF(Atletas!D59="Adulto 85kg",32,IF(Atletas!D59="Adulto 90kg",33,IF(Atletas!D59="Adulto 100kg",34, IF(Atletas!D59="Adulto +100kg",35,"")))))))))))))))))))))))))))))))))))))</f>
        <v/>
      </c>
      <c r="AS68" s="6" t="str">
        <f>IF(Atletas!E59="","",IF(Atletas!B59="Feminino",100,IF(Atletas!B59="Masculino",200,""))+(IF(Atletas!E59="Juvenil 44kg",1,IF(Atletas!E59="Juvenil 48kg",2,IF(Atletas!E59="Juvenil 52kg",3,IF(Atletas!E59="Juvenil 56kg",4,IF(Atletas!E59="Juvenil 60kg",5,IF(Atletas!E59="Juvenil 65kg",6,IF(Atletas!E59="Juvenil 70kg",7,IF(Atletas!E59="Juvenil 75kg",8,IF(Atletas!E59="Juvenil 82kg",9,IF(Atletas!E59="Juvenil 90kg",10,IF(Atletas!E59="Juvenil 100kg",11,IF(Atletas!E59="Adulto 48kg",12,IF(Atletas!E59="Adulto 52kg",13,IF(Atletas!E59="Adulto 56kg",14,IF(Atletas!E59="Adulto 60kg",15,IF(Atletas!E59="Adulto 65kg",16,IF(Atletas!E59="Adulto 70kg",17,IF(Atletas!E59="Adulto 75kg",18,IF(Atletas!E59="Adulto 82kg",19,IF(Atletas!E59="Adulto 90kg",20,IF(Atletas!E59="Adulto 100kg",21,IF(Atletas!E59="Adulto +100kg",22,""))))))))))))))))))))))))</f>
        <v/>
      </c>
      <c r="AX68" s="6" t="str">
        <f>IF(Atletas!F59="","",IF(Atletas!B59="Feminino",100,IF(Atletas!B59="Masculino",200,""))+(IF(Atletas!F59="Adulto 48kg",1,IF(Atletas!F59="Adulto 56kg",2,IF(Atletas!F59="Adulto 65kg",3,IF(Atletas!F59="Adulto 75kg",4,IF(Atletas!F59="Adulto +75kg",5,IF(Atletas!F59="Adulto 52kg",6,IF(Atletas!F59="Adulto 60kg",7,IF(Atletas!F59="Adulto 70kg",8,IF(Atletas!F59="Adulto 80kg",9,IF(Atletas!F59="Adulto 90kg",10,IF(Atletas!F59="Adulto +90kg",11,"")))))))))))))</f>
        <v/>
      </c>
      <c r="BC68" s="6" t="str">
        <f>IF(Atletas!G59="","",IF(Atletas!B59="Feminino",10,IF(Atletas!B59="Masculino",20,""))+(IF(Atletas!G59="Baduanjin A",1,IF(Atletas!G59="Baduanjin B",2))))</f>
        <v/>
      </c>
      <c r="BF68" s="52" t="str">
        <f>IF(Atletas!H59="","",IF(Atletas!B59="Feminino",100,IF(Atletas!B59="Masculino",200,""))+(IF(Atletas!H59="Changquan Mirim",1,IF(Atletas!H59="Nanquan Mirim",2,IF(Atletas!H59="Taijiquan Mirim",3,IF(Atletas!H59="Changquan Grupo C",4,IF(Atletas!H59="Nanquan Grupo C",5,IF(Atletas!H59="Taijiquan Grupo C",6,IF(Atletas!H59="Changquan Grupo B",7,IF(Atletas!H59="Nanquan Grupo B",8,IF(Atletas!H59="Taijiquan Grupo B",9,IF(Atletas!H59="Changquan Grupo A",10,IF(Atletas!H59="Nanquan Grupo A",11,IF(Atletas!H59="Taijiquan Grupo A",12,IF(Atletas!H59="Changquan Opcional",13,IF(Atletas!H59="Nanquan Opcional",14,IF(Atletas!H59="Taijiquan Opcional",15,IF(Atletas!H59="Changquan Adulto",16,IF(Atletas!H59="Nanquan Adulto",17,IF(Atletas!H59="Taijiquan Adulto",18,""))))))))))))))))))))</f>
        <v/>
      </c>
      <c r="BG68" s="52" t="str">
        <f>IF(Atletas!I59="","",IF(Atletas!B59="Feminino",100,IF(Atletas!B59="Masculino",200,""))+(IF(Atletas!I59="Daoshu Mirim",19,IF(Atletas!I59="Jianshu Mirim",20,IF(Atletas!I59="Nandao Mirim",21,IF(Atletas!I59="Taijijian Mirim",22,IF(Atletas!I59="Daoshu Grupo C",23,IF(Atletas!I59="Jianshu Grupo C",24,IF(Atletas!I59="Nandao Grupo C",25,IF(Atletas!I59="Taijijian Grupo C",26,IF(Atletas!I59="Daoshu Grupo B",27,IF(Atletas!I59="Jianshu Grupo B",28,IF(Atletas!I59="Nandao Grupo B",29,IF(Atletas!I59="Taijijian Grupo B",30,IF(Atletas!I59="Daoshu Grupo A",31,IF(Atletas!I59="Jianshu Grupo A",32,IF(Atletas!I59="Nandao Grupo A",33,IF(Atletas!I59="Taijijian Grupo A",34,IF(Atletas!I59="Daoshu Opcional",35,IF(Atletas!I59="Jianshu Opcional",36,IF(Atletas!I59="Nandao Opcional",37,IF(Atletas!I59="Taijijian Opcional",38,IF(Atletas!I59="Daoshu Adulto",39,IF(Atletas!I59="Jianshu Adulto",40,IF(Atletas!I59="Nandao Adulto",41,IF(Atletas!I59="Taijijian Adulto",42,""))))))))))))))))))))))))))</f>
        <v/>
      </c>
      <c r="BH68" s="52" t="str">
        <f>IF(Atletas!J59="","",IF(Atletas!B59="Feminino",100,IF(Atletas!B59="Masculino",200,""))+(IF(Atletas!J59="Gunshu Mirim",43,IF(Atletas!J59="Qiangshu Mirim",44,IF(Atletas!J59="Nangun Mirim",45,IF(Atletas!J59="Gunshu Grupo C",46,IF(Atletas!J59="Qiangshu Grupo C",47,IF(Atletas!J59="Nangun Grupo C",48,IF(Atletas!J59="Gunshu Grupo B",49,IF(Atletas!J59="Qiangshu Grupo B",50,IF(Atletas!J59="Nangun Grupo B",51,IF(Atletas!J59="Gunshu Grupo A",52,IF(Atletas!J59="Qiangshu Grupo A",53,IF(Atletas!J59="Nangun Grupo A",54,IF(Atletas!J59="Gunshu Opcional",55,IF(Atletas!J59="Qiangshu Opcional",56,IF(Atletas!J59="Nangun Opcional",57,IF(Atletas!J59="Gunshu Adulto",58,IF(Atletas!J59="Qiangshu Adulto",59,IF(Atletas!J59="Nangun Adulto",60,IF(Atletas!J59="Taijishan Grupo B",61,IF(Atletas!J59="Taijishan Grupo A",62,""))))))))))))))))))))))</f>
        <v/>
      </c>
      <c r="BI68" s="50" t="str">
        <f>IF(BJ68&lt;&gt;"","Nangun Alternativo","")</f>
        <v/>
      </c>
      <c r="BJ68" s="50" t="str">
        <f>IF(COUNTIF(BF:BH,160)&gt;0,COUNTIF(BF:BH,160),"")</f>
        <v/>
      </c>
      <c r="BK68" s="50" t="str">
        <f>IF(BL68&lt;&gt;"","Nangun Alternativo","")</f>
        <v/>
      </c>
      <c r="BL68" s="50" t="str">
        <f>IF(COUNTIF(BF:BH,260)&gt;0,COUNTIF(BF:BH,260),"")</f>
        <v/>
      </c>
      <c r="BM68" s="50" t="str">
        <f>IF(Atletas!K59="","",IF(Atletas!B59="Feminino",100,IF(Atletas!B59="Masculino",200,""))+(IF(Atletas!K59="Equipe 1 Grupo B",1,IF(Atletas!K59="Equipe 2 Grupo B",2,IF(Atletas!K59="Equipe 1 Grupo A",3,IF(Atletas!K59="Equipe 2 Grupo A",4,IF(Atletas!K59="Equipe 1 Adulto",5,IF(Atletas!K59="Equipe 2 Adulto",6,""))))))))</f>
        <v/>
      </c>
      <c r="BR68" s="50" t="str">
        <f>IF(Atletas!L59="","",IF(Atletas!X59&lt;&gt;"",10000,0)+(IF(Atletas!B59="Feminino",1000,IF(Atletas!B59="Masculino",2000,""))+IF(Atletas!L59="Choylayfut A",1,IF(Atletas!L59="Hunggar A",2,IF(Atletas!L59="Wuzuquan A",3,IF(Atletas!L59="Wingchun A",4,IF(Atletas!L59="Outra Mão de Sul A",5,IF(Atletas!L59="Choylayfut B",6,IF(Atletas!L59="Hunggar B",7,IF(Atletas!L59="Wuzuquan B",8,IF(Atletas!L59="Wingchun B",9,IF(Atletas!L59="Outra Mão de Sul B",10,IF(Atletas!L59="Choylayfut C",11,IF(Atletas!L59="Hunggar C",12,IF(Atletas!L59="Wuzuquan C",13,IF(Atletas!L59="Wingchun C",14,IF(Atletas!L59="Outra Mão de Sul C",15,IF(Atletas!L59="Choylayfut D",16,IF(Atletas!L59="Hunggar D",17,IF(Atletas!L59="Wuzuquan D",18,IF(Atletas!L59="Wingchun D",19,IF(Atletas!L59="Outra Mão de Sul D",20,IF(Atletas!L59="Choylayfut E",21,IF(Atletas!L59="Hunggar E",22,IF(Atletas!L59="Wuzuquan E",23,IF(Atletas!L59="Wingchun E",24,IF(Atletas!L59="Outra Mão de Sul E",25,IF(Atletas!L59="Choylayfut F",26,IF(Atletas!L59="Hunggar F",27,IF(Atletas!L59="Wuzuquan F",28,IF(Atletas!L59="Wingchun F",29,IF(Atletas!L59="Outra Mão de Sul F",30,IF(Atletas!L59="Dishuquan A",31,IF(Atletas!L59="Dishuquan B",32,IF(Atletas!L59="Dishuquan C",33,IF(Atletas!L59="Dishuquan D",34,IF(Atletas!L59="Dishuquan E",35,IF(Atletas!L59="Dishuquan F",36,""))))))))))))))))))))))))))))))))))))))</f>
        <v/>
      </c>
      <c r="BS68" s="50" t="str">
        <f>IF(Atletas!M59="","",IF(Atletas!X59&lt;&gt;"",10000,0)+(IF(Atletas!B59="Feminino",1000,IF(Atletas!B59="Masculino",2000,""))+(IF(Atletas!M59="Chaquan A",101,IF(Atletas!M59="Emeiquan A",102,IF(Atletas!M59="Fanziquan A",103,IF(Atletas!M59="Huaquan A",104,IF(Atletas!M59="Hongquan A",105,IF(Atletas!M59="Paoquan A",106,IF(Atletas!M59="Piguaquan A",107,IF(Atletas!M59="Shaolinquan A",108,IF(Atletas!M59="Tanglangquan A",109,IF(Atletas!M59="Yingzhaoquan A",110,IF(Atletas!M59="Tongbeiquan A",111,IF(Atletas!M59="Wudangquan A",112,IF(Atletas!M59="Outros Estilos A",113,IF(Atletas!M59="Chaquan B",114,IF(Atletas!M59="Emeiquan B",115,IF(Atletas!M59="Fanziquan B",116,IF(Atletas!M59="Huaquan B",117,IF(Atletas!M59="Hongquan B",118,IF(Atletas!M59="Paoquan B",119,IF(Atletas!M59="Piguaquan B",120,IF(Atletas!M59="Shaolinquan B",121,IF(Atletas!M59="Tanglangquan B",122,IF(Atletas!M59="Yingzhaoquan B",123,IF(Atletas!M59="Tongbeiquan B",124,IF(Atletas!M59="Wudangquan B",125,IF(Atletas!M59="Outros Estilos B",126,IF(Atletas!M59="Chaquan C",127,IF(Atletas!M59="Emeiquan C",128,IF(Atletas!M59="Fanziquan C",129,IF(Atletas!M59="Huaquan C",130,IF(Atletas!M59="Hongquan C",131,IF(Atletas!M59="Paoquan C",132,IF(Atletas!M59="Piguaquan C",133,IF(Atletas!M59="Shaolinquan C",134,IF(Atletas!M59="Tanglangquan C",135,IF(Atletas!M59="Yingzhaoquan C",136,IF(Atletas!M59="Tongbeiquan C",137,IF(Atletas!M59="Wudangquan C",138,IF(Atletas!M59="Outros Estilos C",139,0))))))))))))))))))))))))))))))))))))))))))</f>
        <v/>
      </c>
      <c r="BT68" s="50" t="str">
        <f>IF(Atletas!M59="","",IF(Atletas!X59&lt;&gt;"",10000,0)+(IF(Atletas!B59="Feminino",1000,IF(Atletas!B59="Masculino",2000,""))+(IF(Atletas!M59="Chaquan D",140,IF(Atletas!M59="Emeiquan D",141,IF(Atletas!M59="Fanziquan D",142,IF(Atletas!M59="Huaquan D",143,IF(Atletas!M59="Hongquan D",144,IF(Atletas!M59="Paoquan D",145,IF(Atletas!M59="Piguaquan D",146,IF(Atletas!M59="Shaolinquan D",147,IF(Atletas!M59="Tanglangquan D",148,IF(Atletas!M59="Yingzhaoquan D",149,IF(Atletas!M59="Tongbeiquan D",150,IF(Atletas!M59="Wudangquan D",151,IF(Atletas!M59="Outros Estilos D",152,IF(Atletas!M59="Chaquan E",153,IF(Atletas!M59="Emeiquan E",154,IF(Atletas!M59="Fanziquan E",155,IF(Atletas!M59="Huaquan E",156,IF(Atletas!M59="Hongquan E",157,IF(Atletas!M59="Paoquan E",158,IF(Atletas!M59="Piguaquan E",159,IF(Atletas!M59="Shaolinquan E",160,IF(Atletas!M59="Tanglangquan E",161,IF(Atletas!M59="Yingzhaoquan E",162,IF(Atletas!M59="Tongbeiquan E",163,IF(Atletas!M59="Wudangquan E",164,IF(Atletas!M59="Outros Estilos E",165,IF(Atletas!M59="Chaquan F",166,IF(Atletas!M59="Emeiquan F",167,IF(Atletas!M59="Fanziquan F",168,IF(Atletas!M59="Huaquan F",169,IF(Atletas!M59="Hongquan F",170,IF(Atletas!M59="Paoquan F",171,IF(Atletas!M59="Piguaquan F",172,IF(Atletas!M59="Shaolinquan F",173,IF(Atletas!M59="Tanglangquan F",174,IF(Atletas!M59="Yingzhaoquan F",175,IF(Atletas!M59="Tongbeiquan F",176,IF(Atletas!M59="Wudangquan F",177,IF(Atletas!M59="Outros Estilos F",178,0))))))))))))))))))))))))))))))))))))))))))</f>
        <v/>
      </c>
      <c r="BU68" s="50" t="str">
        <f>IF(Atletas!N59="","",IF(Atletas!X59&lt;&gt;"",10000,0)+(IF(Atletas!B59="Feminino",1000,IF(Atletas!B59="Masculino",2000,""))+(IF(Atletas!N59="Ditangquan A",201,IF(Atletas!N59="Houquan A",202,IF(Atletas!N59="Zuiquan A",203,IF(Atletas!N59="Ditangquan B",204,IF(Atletas!N59="Houquan B",205,IF(Atletas!N59="Zuiquan B",206,IF(Atletas!N59="Ditangquan C",207,IF(Atletas!N59="Houquan C",208,IF(Atletas!N59="Zuiquan C",209,IF(Atletas!N59="Ditangquan D",210,IF(Atletas!N59="Houquan D",211,IF(Atletas!N59="Zuiquan D",212,IF(Atletas!N59="Ditangquan E",213,IF(Atletas!N59="Houquan E",214,IF(Atletas!N59="Zuiquan E",215,IF(Atletas!N59="Ditangquan F",216,IF(Atletas!N59="Houquan F",217,IF(Atletas!N59="Zuiquan F",218,"")))))))))))))))))))))</f>
        <v/>
      </c>
      <c r="BV68" s="50" t="str">
        <f>IF(Atletas!O59="","",IF(Atletas!X59&lt;&gt;"",10000,0)+IF(Atletas!B59="Feminino",1000,IF(Atletas!B59="Masculino",2000,""))+IF(Atletas!O59="Yang A",301,IF(Atletas!O59="Chen A",302,IF(Atletas!O59="Sun A",303,IF(Atletas!O59="Wu A",304,IF(Atletas!O59="Wu-Hao A",305,IF(Atletas!O59="Outro Taijiquan A",306,IF(Atletas!O59="Yang B",307,IF(Atletas!O59="Chen B",308,IF(Atletas!O59="Sun B",309,IF(Atletas!O59="Wu B",310,IF(Atletas!O59="Wu-Hao B",311,IF(Atletas!O59="Outro Taijiquan B",312,IF(Atletas!O59="Yang C",313,IF(Atletas!O59="Chen C",314,IF(Atletas!O59="Sun C",315,IF(Atletas!O59="Wu C",316,IF(Atletas!O59="Wu-Hao C",317,IF(Atletas!O59="Outro Taijiquan C",318,IF(Atletas!O59="Yang D",319,IF(Atletas!O59="Chen D",320,IF(Atletas!O59="Sun D",321,IF(Atletas!O59="Wu D",322,IF(Atletas!O59="Wu-Hao D",323,IF(Atletas!O59="Outro Taijiquan D",324,IF(Atletas!O59="Yang E",325,IF(Atletas!O59="Chen E",326,IF(Atletas!O59="Sun E",327,IF(Atletas!O59="Wu E",328,IF(Atletas!O59="Wu-Hao E",329,IF(Atletas!O59="Outro Taijiquan E",330,IF(Atletas!O59="Yang F",331,IF(Atletas!O59="Chen F",332,IF(Atletas!O59="Sun F",333,IF(Atletas!O59="Wu F",334,IF(Atletas!O59="Wu-Hao F",335,IF(Atletas!O59="Outro Taijiquan F",336,"")))))))))))))))))))))))))))))))))))))</f>
        <v/>
      </c>
      <c r="BW68" s="50" t="str">
        <f>IF(Atletas!P59="","",IF(Atletas!X59&lt;&gt;"",10000,0)+IF(Atletas!B59="Feminino",1000,IF(Atletas!B59="Masculino",2000,""))+IF(OR(Atletas!P59="Yang 26 A",Atletas!P59="Yang 40 A"),401,IF(OR(Atletas!P59="Chen 25 A",Atletas!P59="Chen 36 A",Atletas!P59="Chen 56 A"),402,IF(Atletas!P59="Sun 73 A",403,IF(Atletas!P59="Wu 45 A",404,IF(Atletas!P59="Wu-Hao 46 A",405,IF(OR(Atletas!P59="Taijiquan 16 A",Atletas!P59="Taijiquan 24 A",Atletas!P59="Taijiquan 32 A",Atletas!P59="Taijiquan 42 A"),406,IF(OR(Atletas!P59="Yang 26 B",Atletas!P59="Yang 40 B"),407,IF(OR(Atletas!P59="Chen 25 B",Atletas!P59="Chen 36 B",Atletas!P59="Chen 56 B"),408,IF(Atletas!P59="Sun 73 B",409,IF(Atletas!P59="Wu 45 B",410,IF(Atletas!P59="Wu-Hao 46 B",411,IF(OR(Atletas!P59="Taijiquan 16 B",Atletas!P59="Taijiquan 24 B",Atletas!P59="Taijiquan 32 B",Atletas!P59="Taijiquan 42 B"),412,IF(OR(Atletas!P59="Yang 26 C",Atletas!P59="Yang 40 C"),413,IF(OR(Atletas!P59="Chen 25 C",Atletas!P59="Chen 36 C",Atletas!P59="Chen 56 C"),414,IF(Atletas!P59="Sun 73 C",415,IF(Atletas!P59="Wu 45 C",416,IF(Atletas!P59="Wu-Hao 46 C",417,IF(OR(Atletas!P59="Taijiquan 16 C",Atletas!P59="Taijiquan 24 C",Atletas!P59="Taijiquan 32 C",Atletas!P59="Taijiquan 42 C"),418,0)))))))))))))))))))</f>
        <v/>
      </c>
      <c r="BX68" s="50" t="str">
        <f>IF(Atletas!P59="","",IF(Atletas!X59&lt;&gt;"",10000,0)+IF(Atletas!B59="Feminino",1000,IF(Atletas!B59="Masculino",2000,""))+IF(OR(Atletas!P59="Yang 26 D",Atletas!P59="Yang 40 D"),419,IF(OR(Atletas!P59="Chen 25 D",Atletas!P59="Chen 36 D",Atletas!P59="Chen 56 D"),420,IF(Atletas!P59="Sun 73 D",421,IF(Atletas!P59="Wu 45 D",422,IF(Atletas!P59="Wu-Hao 46 D",423,IF(OR(Atletas!P59="Taijiquan 16 D",Atletas!P59="Taijiquan 24 D",Atletas!P59="Taijiquan 32 D",Atletas!P59="Taijiquan 42 D"),424,IF(OR(Atletas!P59="Yang 26 E",Atletas!P59="Yang 40 E"),425,IF(OR(Atletas!P59="Chen 25 E",Atletas!P59="Chen 36 E",Atletas!P59="Chen 56 E"),426,IF(Atletas!P59="Sun 73 E",427,IF(Atletas!P59="Wu 45 E",428,IF(Atletas!P59="Wu-Hao 46 E",429,IF(OR(Atletas!P59="Taijiquan 16 E",Atletas!P59="Taijiquan 24 E",Atletas!P59="Taijiquan 32 E",Atletas!P59="Taijiquan 42 E"),430,IF(OR(Atletas!P59="Yang 26 F",Atletas!P59="Yang 40 F"),431,IF(OR(Atletas!P59="Chen 25 F",Atletas!P59="Chen 36 F",Atletas!P59="Chen 56 F"),432,IF(Atletas!P59="Sun 73 F",433,IF(Atletas!P59="Wu 45 F",434,IF(Atletas!P59="Wu-Hao 46 F",435,IF(OR(Atletas!P59="Taijiquan 16 F",Atletas!P59="Taijiquan 24 F",Atletas!P59="Taijiquan 32 F",Atletas!P59="Taijiquan 42 F"),436,0)))))))))))))))))))</f>
        <v/>
      </c>
      <c r="BY68" s="50" t="str">
        <f>IF(Atletas!Q59="","",IF(Atletas!X59&lt;&gt;"",10000,0)+IF(Atletas!B59="Feminino",1000,IF(Atletas!B59="Masculino",2000,""))+IF(Atletas!Q59="Xingyiquan A",501,IF(Atletas!Q59="Baguazhang A",502,IF(Atletas!Q59="Outro Estilo Interno A",503,IF(Atletas!Q59="Xingyiquan B",504,IF(Atletas!Q59="Baguazhang B",505,IF(Atletas!Q59="Outro Estilo Interno B",506,IF(Atletas!Q59="Xingyiquan C",507,IF(Atletas!Q59="Baguazhang C",508,IF(Atletas!Q59="Outro Estilo Interno C",509,IF(Atletas!Q59="Xingyiquan D",510,IF(Atletas!Q59="Baguazhang D",511,IF(Atletas!Q59="Outro Estilo Interno D",512,IF(Atletas!Q59="Xingyiquan E",513,IF(Atletas!Q59="Baguazhang E",514,IF(Atletas!Q59="Outro Estilo Interno E",515,IF(Atletas!Q59="Xingyiquan F",516,IF(Atletas!Q59="Baguazhang F",517,IF(Atletas!Q59="Outro Estilo Interno F",518, "")))))))))))))))))))</f>
        <v/>
      </c>
      <c r="BZ68" s="50" t="str">
        <f>IF(Atletas!R59="","",IF(Atletas!X59&lt;&gt;"",10000,0)+IF(Atletas!B59="Feminino",1000,IF(Atletas!B59="Masculino",2000,""))+IF(Atletas!R59="Dao A",601,IF(Atletas!R59="Jian A",602,IF(Atletas!R59="Bishou A",603,IF(Atletas!R59="Shanzi A",604,IF(Atletas!R59="Outra Arma Curta A",605,IF(Atletas!R59="Dao B",606,IF(Atletas!R59="Jian B",607,IF(Atletas!R59="Bishou B",608,IF(Atletas!R59="Shanzi B",609,IF(Atletas!R59="Outra Arma Curta B",610,IF(Atletas!R59="Dao C",611,IF(Atletas!R59="Jian C",612,IF(Atletas!R59="Bishou C",613,IF(Atletas!R59="Shanzi C",614,IF(Atletas!R59="Outra Arma Curta C",615,IF(Atletas!R59="Dao D",616,IF(Atletas!R59="Jian D",617,IF(Atletas!R59="Bishou D",618,IF(Atletas!R59="Shanzi D",619,IF(Atletas!R59="Outra Arma Curta D",620,IF(Atletas!R59="Dao E",621,IF(Atletas!R59="Jian E",622,IF(Atletas!R59="Bishou E",623,IF(Atletas!R59="Shanzi E",624,IF(Atletas!R59="Outra Arma Curta E",625,IF(Atletas!R59="Dao F",626,IF(Atletas!R59="Jian F",627,IF(Atletas!R59="Bishou F",628,IF(Atletas!R59="Shanzi F",629,IF(Atletas!R59="Outra Arma Curta F",630, "")))))))))))))))))))))))))))))))</f>
        <v/>
      </c>
      <c r="CA68" s="50" t="str">
        <f>IF(Atletas!S59="","",IF(Atletas!X59&lt;&gt;"",10000,0)+IF(Atletas!B59="Feminino",1000,IF(Atletas!B59="Masculino",2000,""))+IF(Atletas!S59="Gun A",701,IF(Atletas!S59="Qiang A",702,IF(Atletas!S59="Pudao / Guandao A",703,IF(Atletas!S59="Outra Arma Longa A",704,IF(Atletas!S59="Gun B",705,IF(Atletas!S59="Qiang B",706,IF(Atletas!S59="Pudao / Guandao B",707,IF(Atletas!S59="Outra Arma Longa B",708,IF(Atletas!S59="Gun C",709,IF(Atletas!S59="Qiang C",710,IF(Atletas!S59="Pudao / Guandao C",711,IF(Atletas!S59="Outra Arma Longa C",712,IF(Atletas!S59="Gun D",713,IF(Atletas!S59="Qiang D",714,IF(Atletas!S59="Pudao / Guandao D",715,IF(Atletas!S59="Outra Arma Longa D",716,IF(Atletas!S59="Gun E",717,IF(Atletas!S59="Qiang E",718,IF(Atletas!S59="Pudao / Guandao E",719,IF(Atletas!S59="Outra Arma Longa E",720,IF(Atletas!S59="Gun F",721,IF(Atletas!S59="Qiang F",722,IF(Atletas!S59="Pudao / Guandao F",723,IF(Atletas!S59="Outra Arma Longa F",724,"")))))))))))))))))))))))))</f>
        <v/>
      </c>
      <c r="CB68" s="50" t="str">
        <f>IF(Atletas!T59="","",IF(Atletas!X59&lt;&gt;"",10000,0)+IF(Atletas!B59="Feminino",1000,IF(Atletas!B59="Masculino",2000,""))+IF(Atletas!T59="Outra Arma Dupla A",801,IF(Atletas!T59="Arma Maleável A",802,IF(Atletas!T59="Outra Arma Dupla B",803,IF(Atletas!T59="Arma Maleável B",804,IF(Atletas!T59="Outra Arma Dupla C",805,IF(Atletas!T59="Arma Maleável C",806,IF(Atletas!T59="Outra Arma Dupla D",807,IF(Atletas!T59="Arma Maleável D",808,IF(Atletas!T59="Outra Arma Dupla E",809,IF(Atletas!T59="Arma Maleável E",810,IF(Atletas!T59="Outra Arma Dupla F",811,IF(Atletas!T59="Arma Maleável F",812,IF(Atletas!T59="Shuangdao A",813,IF(Atletas!T59="Shuangdao B",814,IF(Atletas!T59="Shuangdao C",815,IF(Atletas!T59="Shuangdao D",816,IF(Atletas!T59="Shuangdao E",817,IF(Atletas!T59="Shuangdao F",818,"")))))))))))))))))))</f>
        <v/>
      </c>
      <c r="CC68" s="50" t="str">
        <f>IF(Atletas!U59="","",IF(Atletas!X59&lt;&gt;"",10000,0)+IF(Atletas!B59="Feminino",1000,IF(Atletas!B59="Masculino",2000,""))+IF(OR(Atletas!U59="Taijijian Yang A",Atletas!U59="Taijijian Yang Standard A"),901,IF(OR(Atletas!U59="Taijijian Chen A", Atletas!U59="Taijijian Chen Standard A"),902,IF(Atletas!U59="Taijijian Sun A",903,IF(Atletas!U59="Taijijian Wu A",904,IF(Atletas!U59="Taijijian Wu-Hao A",905,IF(OR(Atletas!U59="Taijijian 32 A",Atletas!U59="Taijijian 42 A"),906,IF(OR(Atletas!U59="Taijijian Yang B",Atletas!U59="Taijijian Yang Standard B"),907,IF(OR(Atletas!U59="Taijijian Chen B", Atletas!U59="Taijijian Chen Standard B"),908,IF(Atletas!U59="Taijijian Sun B",909,IF(Atletas!U59="Taijijian Wu B",910,IF(Atletas!U59="Taijijian Wu-Hao B",911,IF(OR(Atletas!U59="Taijijian 32 B",Atletas!U59="Taijijian 42 B"),912,IF(OR(Atletas!U59="Taijijian Yang C",Atletas!U59="Taijijian Yang Standard C"),913,IF(OR(Atletas!U59="Taijijian Chen C", Atletas!U59="Taijijian Chen Standard C"),914,IF(Atletas!U59="Taijijian Sun C",915,IF(Atletas!U59="Taijijian Wu C",916,IF(Atletas!U59="Taijijian Wu-Hao C",917,IF(OR(Atletas!U59="Taijijian 32 C",Atletas!U59="Taijijian 42 C"),918,IF(OR(Atletas!U59="Taijijian Yang D",Atletas!U59="Taijijian Yang Standard D"),919,IF(OR(Atletas!U59="Taijijian Chen D", Atletas!U59="Taijijian Chen Standard D"),920,IF(Atletas!U59="Taijijian Sun D",921,IF(Atletas!U59="Taijijian Wu D",922,IF(Atletas!U59="Taijijian Wu-Hao D",923,IF(OR(Atletas!U59="Taijijian 32 D",Atletas!U59="Taijijian 42 D"),924,IF(OR(Atletas!U59="Taijijian Yang E",Atletas!U59="Taijijian Yang Standard E"),925,IF(OR(Atletas!U59="Taijijian Chen E", Atletas!U59="Taijijian Chen Standard E"),926,IF(Atletas!U59="Taijijian Sun E",927,IF(Atletas!U59="Taijijian Wu E",928,IF(Atletas!U59="Taijijian Wu-Hao E",929,IF(OR(Atletas!U59="Taijijian 32 E",Atletas!U59="Taijijian 42 E"),930,IF(OR(Atletas!U59="Taijijian Yang F",Atletas!U59="Taijijian Yang Standard F"),931,IF(OR(Atletas!U59="Taijijian Chen F", Atletas!U59="Taijijian Chen Standard F"),932,IF(Atletas!U59="Taijijian Sun F",933,IF(Atletas!U59="Taijijian Wu F",934,IF(Atletas!U59="Taijijian Wu-Hao F",935,IF(OR(Atletas!U59="Taijijian 32 F",Atletas!U59="Taijijian 42 F"),936,"")))))))))))))))))))))))))))))))))))))</f>
        <v/>
      </c>
      <c r="CD68" s="50" t="str">
        <f>IF(Atletas!V59="","",IF(Atletas!X59&lt;&gt;"",10000,0)+IF(Atletas!B59="Feminino",1000,IF(Atletas!B59="Masculino",2000,""))+IF(Atletas!V59="Taijidao A",937,IF(Atletas!V59="TaijiShanzi A",938,IF(Atletas!V59="Taijiqiang A",939,IF(Atletas!V59="Bagua de Arma A",940,IF(Atletas!V59="Xingyi de Arma A",941,IF(Atletas!V59="Taijidao B",942,IF(Atletas!V59="TaijiShanzi B",943,IF(Atletas!V59="Taijiqiang B",944,IF(Atletas!V59="Bagua de Arma B",945,IF(Atletas!V59="Xingyi de Arma B",946,IF(Atletas!V59="Taijidao C",947,IF(Atletas!V59="TaijiShanzi C",948,IF(Atletas!V59="Taijiqiang C",949,IF(Atletas!V59="Bagua de Arma C",950,IF(Atletas!V59="Xingyi de Arma C",951,IF(Atletas!V59="Taijidao D",952,IF(Atletas!V59="TaijiShanzi D",953,IF(Atletas!V59="Taijiqiang D",954,IF(Atletas!V59="Bagua de Arma D",955,IF(Atletas!V59="Xingyi de Arma D",956,IF(Atletas!V59="Taijidao E",957,IF(Atletas!V59="TaijiShanzi E",958,IF(Atletas!V59="Taijiqiang E",959,IF(Atletas!V59="Bagua de Arma E",960,IF(Atletas!V59="Xingyi de Arma E",961,IF(Atletas!V59="Taijidao F",962,IF(Atletas!V59="TaijiShanzi F",963,IF(Atletas!V59="Taijiqiang F",964,IF(Atletas!V59="Bagua de Arma F",965,IF(Atletas!V59="Xingyi de Arma F",966,"")))))))))))))))))))))))))))))))</f>
        <v/>
      </c>
      <c r="CE68" s="66" t="str">
        <f>IF(CF68&lt;&gt;"","Outros Estilos B","")</f>
        <v/>
      </c>
      <c r="CF68" s="66" t="str">
        <f>IF(COUNTIF(BR:CD,1126)&gt;0,COUNTIF(BR:CD,1126),"")</f>
        <v/>
      </c>
      <c r="CG68" s="66" t="str">
        <f>IF(CH68&lt;&gt;"","Outros Estilos B","")</f>
        <v/>
      </c>
      <c r="CH68" s="66" t="str">
        <f>IF(COUNTIF(BR:CD,2126)&gt;0,COUNTIF(BR:CD,2126),"")</f>
        <v/>
      </c>
      <c r="CI68" s="66" t="str">
        <f>IF(CJ68&lt;&gt;"","Paoquan C","")</f>
        <v/>
      </c>
      <c r="CJ68" s="66" t="str">
        <f>IF(COUNTIF(BR:CD,11132)&gt;0,COUNTIF(BR:CD,11132),"")</f>
        <v/>
      </c>
      <c r="CK68" s="66" t="str">
        <f>IF(CL68&lt;&gt;"","Paoquan C","")</f>
        <v/>
      </c>
      <c r="CL68" s="66" t="str">
        <f>IF(COUNTIF(BR:CD,12132)&gt;0,COUNTIF(BR:CD,12132),"")</f>
        <v/>
      </c>
      <c r="CM68" s="50" t="str">
        <f xml:space="preserve"> IF(Atletas!W59="","",IF(Atletas!W59="Duilian de Mãos BC - Equipe 1",1,IF(Atletas!W59="Duilian de Mãos BC - Equipe 2",2,IF(Atletas!W59="Duilian de Armas BC - Equipe 1",3,IF(Atletas!W59="Duilian de Armas BC - Equipe 2",4,IF(Atletas!W59="Duilian de Mãos DE - Equipe 1",5,IF(Atletas!W59="Duilian de Mãos DE - Equipe 2",6,IF(Atletas!W59="Duilian de Armas DE - Equipe 1",7,IF(Atletas!W59="Duilian de Armas DE - Equipe 2",8,IF(Atletas!W59="Duilian de Tuishou - Equipe 1",9,IF(Atletas!W59="Duilian de Tuishou - Equipe 2",10,IF(Atletas!W59="Grupo Externo ABC - Equipe 1",11,IF(Atletas!W59="Grupo Externo ABC - Equipe 2",12,IF(Atletas!W59="Grupo Interno ABC - Equipe 1",13,IF(Atletas!W59="Grupo Interno ABC - Equipe 2",14,IF(Atletas!W59="Grupo Externo DEF - Equipe 1",15,IF(Atletas!W59="Grupo Externo DEF - Equipe 2",16,IF(Atletas!W59="Grupo Interno DEF - Equipe 1",17,IF(Atletas!W59="Grupo Interno DEF - Equipe 2",18,"")))))))))))))))))))</f>
        <v/>
      </c>
    </row>
    <row r="69" spans="2:103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 t="str">
        <f t="array" ref="R69">IFERROR(INDEX(BI$7:BI$68,SMALL(IF(BI$7:BI$68&lt;&gt;"",ROW(BI$7:BI$68)-ROW(BI$7)+1),ROWS(BI$7:BI68))),"")</f>
        <v/>
      </c>
      <c r="S69" s="3" t="str">
        <f t="array" ref="S69">IFERROR(INDEX(BJ$7:BJ$68,SMALL(IF(BJ$7:BJ$68&lt;&gt;"",ROW(BJ$7:BJ$68)-ROW(BJ$7)+1),ROWS(BJ$7:BJ68))),"")</f>
        <v/>
      </c>
      <c r="T69" s="3" t="str">
        <f t="array" ref="T69">IFERROR(INDEX(BK$7:BK$68,SMALL(IF(BK$7:BK$68&lt;&gt;"",ROW(BK$7:BK$68)-ROW(BK$7)+1),ROWS(BK$7:BK68))),"")</f>
        <v/>
      </c>
      <c r="U69" s="3" t="str">
        <f t="array" ref="U69">IFERROR(INDEX(BL$7:BL$68,SMALL(IF(BL$7:BL$68&lt;&gt;"",ROW(BL$7:BL$68)-ROW(BL$7)+1),ROWS(BL$7:BL68))),"")</f>
        <v/>
      </c>
      <c r="V69" s="3"/>
      <c r="W69" s="3"/>
      <c r="X69" s="20"/>
      <c r="Y69" s="3"/>
      <c r="Z69" s="3" t="str">
        <f t="array" ref="Z69">IFERROR(INDEX(CE$7:CE$348,SMALL(IF(CE$7:CE$348&lt;&gt;"",ROW(CE$7:CE$348)-ROW(CE$7)+1),ROWS(CE$7:CE68))),"")</f>
        <v/>
      </c>
      <c r="AA69" s="3" t="str">
        <f t="array" ref="AA69">IFERROR(INDEX(CF$7:CF$348,SMALL(IF(CF$7:CF$348&lt;&gt;"",ROW(CF$7:CF$348)-ROW(CF$7)+1),ROWS(CF$7:CF68))),"")</f>
        <v/>
      </c>
      <c r="AB69" s="3" t="str">
        <f t="array" ref="AB69">IFERROR(INDEX(CG$7:CG$348,SMALL(IF(CG$7:CG$348&lt;&gt;"",ROW(CG$7:CG$348)-ROW(CG$7)+1),ROWS(CG$7:CG68))),"")</f>
        <v/>
      </c>
      <c r="AC69" s="3" t="str">
        <f t="array" ref="AC69">IFERROR(INDEX(CH$7:CH$348,SMALL(IF(CH$7:CH$348&lt;&gt;"",ROW(CH$7:CH$348)-ROW(CH$7)+1),ROWS(CH$7:CH68))),"")</f>
        <v/>
      </c>
      <c r="AD69" s="3" t="str">
        <f t="array" ref="AD69">IFERROR(INDEX(CI$7:CI$377,SMALL(IF(CI$7:CI$377&lt;&gt;"",ROW(CI$7:CI$377)-ROW(CI$7)+1),ROWS(CI$7:CI68))),"")</f>
        <v/>
      </c>
      <c r="AE69" s="3" t="str">
        <f t="array" ref="AE69">IFERROR(INDEX(CJ$7:CJ$378,SMALL(IF(CJ$7:CJ$378&lt;&gt;"",ROW(CJ$7:CJ$378)-ROW(CJ$7)+1),ROWS(CJ$7:CJ68))),"")</f>
        <v/>
      </c>
      <c r="AF69" s="3" t="str">
        <f t="array" ref="AF69">IFERROR(INDEX(CK$7:CK$378,SMALL(IF(CK$7:CK$378&lt;&gt;"",ROW(CK$7:CK$378)-ROW(CK$7)+1),ROWS(CK$7:CK68))),"")</f>
        <v/>
      </c>
      <c r="AG69" s="3" t="str">
        <f t="array" ref="AG69">IFERROR(INDEX(CL$7:CL$378,SMALL(IF(CL$7:CL$378&lt;&gt;"",ROW(CL$7:CL$378)-ROW(CL$7)+1),ROWS(CL$7:CL68))),"")</f>
        <v/>
      </c>
      <c r="AH69" s="3"/>
      <c r="AI69" s="3"/>
      <c r="AJ69" s="3"/>
      <c r="AK69" s="3"/>
      <c r="AL69" s="3"/>
      <c r="AM69" s="3"/>
      <c r="AN69" s="52" t="str">
        <f>IF(Atletas!D60="","",IF(Atletas!B60="Feminino",100,IF(Atletas!B60="Masculino",200,""))+(IF(Atletas!D60="Kids 30kg",1,IF(Atletas!D60="Kids 32kg",2, IF(Atletas!D60="Kids 34kg",3,IF(Atletas!D60="Kids 36kg",4,IF(Atletas!D60="Kids 39kg",5,IF(Atletas!D60="Kids 42kg",6,IF(Atletas!D60="Kids 45kg",7, IF(Atletas!D60="Infantil 39kg",8,IF(Atletas!D60="Infantil 42kg",9,IF(Atletas!D60="Infantil 45kg",10,IF(Atletas!D60="Infantil 48kg",11,IF(Atletas!D60="Infantil 52kg",12,IF(Atletas!D60="Infantil 56kg",13,IF(Atletas!D60="Infantil 60kg",14,IF(Atletas!D60="Juvenil 48kg",15,IF(Atletas!D60="Juvenil 52kg",16,IF(Atletas!D60="Juvenil 56kg",17,IF(Atletas!D60="Juvenil 60kg",18,IF(Atletas!D60="Juvenil 65kg",19,IF(Atletas!D60="Juvenil 70kg",20,IF(Atletas!D60="Juvenil 75kg",21,IF(Atletas!D60="Juvenil 80kg",22, IF(Atletas!D60="Juvenil 85kg",23,IF(Atletas!D60="Adulto 48kg",24,IF(Atletas!D60="Adulto 52kg",25,IF(Atletas!D60="Adulto 56kg",26,IF(Atletas!D60="Adulto 60kg",27,IF(Atletas!D60="Adulto 65kg",28,IF(Atletas!D60="Adulto 70kg",29,IF(Atletas!D60="Adulto 75kg",30,IF(Atletas!D60="Adulto 80kg",31,IF(Atletas!D60="Adulto 85kg",32,IF(Atletas!D60="Adulto 90kg",33,IF(Atletas!D60="Adulto 100kg",34, IF(Atletas!D60="Adulto +100kg",35,"")))))))))))))))))))))))))))))))))))))</f>
        <v/>
      </c>
      <c r="AS69" s="6" t="str">
        <f>IF(Atletas!E60="","",IF(Atletas!B60="Feminino",100,IF(Atletas!B60="Masculino",200,""))+(IF(Atletas!E60="Juvenil 44kg",1,IF(Atletas!E60="Juvenil 48kg",2,IF(Atletas!E60="Juvenil 52kg",3,IF(Atletas!E60="Juvenil 56kg",4,IF(Atletas!E60="Juvenil 60kg",5,IF(Atletas!E60="Juvenil 65kg",6,IF(Atletas!E60="Juvenil 70kg",7,IF(Atletas!E60="Juvenil 75kg",8,IF(Atletas!E60="Juvenil 82kg",9,IF(Atletas!E60="Juvenil 90kg",10,IF(Atletas!E60="Juvenil 100kg",11,IF(Atletas!E60="Adulto 48kg",12,IF(Atletas!E60="Adulto 52kg",13,IF(Atletas!E60="Adulto 56kg",14,IF(Atletas!E60="Adulto 60kg",15,IF(Atletas!E60="Adulto 65kg",16,IF(Atletas!E60="Adulto 70kg",17,IF(Atletas!E60="Adulto 75kg",18,IF(Atletas!E60="Adulto 82kg",19,IF(Atletas!E60="Adulto 90kg",20,IF(Atletas!E60="Adulto 100kg",21,IF(Atletas!E60="Adulto +100kg",22,""))))))))))))))))))))))))</f>
        <v/>
      </c>
      <c r="AX69" s="6" t="str">
        <f>IF(Atletas!F60="","",IF(Atletas!B60="Feminino",100,IF(Atletas!B60="Masculino",200,""))+(IF(Atletas!F60="Adulto 48kg",1,IF(Atletas!F60="Adulto 56kg",2,IF(Atletas!F60="Adulto 65kg",3,IF(Atletas!F60="Adulto 75kg",4,IF(Atletas!F60="Adulto +75kg",5,IF(Atletas!F60="Adulto 52kg",6,IF(Atletas!F60="Adulto 60kg",7,IF(Atletas!F60="Adulto 70kg",8,IF(Atletas!F60="Adulto 80kg",9,IF(Atletas!F60="Adulto 90kg",10,IF(Atletas!F60="Adulto +90kg",11,"")))))))))))))</f>
        <v/>
      </c>
      <c r="BC69" s="6" t="str">
        <f>IF(Atletas!G60="","",IF(Atletas!B60="Feminino",10,IF(Atletas!B60="Masculino",20,""))+(IF(Atletas!G60="Baduanjin A",1,IF(Atletas!G60="Baduanjin B",2))))</f>
        <v/>
      </c>
      <c r="BF69" s="52" t="str">
        <f>IF(Atletas!H60="","",IF(Atletas!B60="Feminino",100,IF(Atletas!B60="Masculino",200,""))+(IF(Atletas!H60="Changquan Mirim",1,IF(Atletas!H60="Nanquan Mirim",2,IF(Atletas!H60="Taijiquan Mirim",3,IF(Atletas!H60="Changquan Grupo C",4,IF(Atletas!H60="Nanquan Grupo C",5,IF(Atletas!H60="Taijiquan Grupo C",6,IF(Atletas!H60="Changquan Grupo B",7,IF(Atletas!H60="Nanquan Grupo B",8,IF(Atletas!H60="Taijiquan Grupo B",9,IF(Atletas!H60="Changquan Grupo A",10,IF(Atletas!H60="Nanquan Grupo A",11,IF(Atletas!H60="Taijiquan Grupo A",12,IF(Atletas!H60="Changquan Opcional",13,IF(Atletas!H60="Nanquan Opcional",14,IF(Atletas!H60="Taijiquan Opcional",15,IF(Atletas!H60="Changquan Adulto",16,IF(Atletas!H60="Nanquan Adulto",17,IF(Atletas!H60="Taijiquan Adulto",18,""))))))))))))))))))))</f>
        <v/>
      </c>
      <c r="BG69" s="52" t="str">
        <f>IF(Atletas!I60="","",IF(Atletas!B60="Feminino",100,IF(Atletas!B60="Masculino",200,""))+(IF(Atletas!I60="Daoshu Mirim",19,IF(Atletas!I60="Jianshu Mirim",20,IF(Atletas!I60="Nandao Mirim",21,IF(Atletas!I60="Taijijian Mirim",22,IF(Atletas!I60="Daoshu Grupo C",23,IF(Atletas!I60="Jianshu Grupo C",24,IF(Atletas!I60="Nandao Grupo C",25,IF(Atletas!I60="Taijijian Grupo C",26,IF(Atletas!I60="Daoshu Grupo B",27,IF(Atletas!I60="Jianshu Grupo B",28,IF(Atletas!I60="Nandao Grupo B",29,IF(Atletas!I60="Taijijian Grupo B",30,IF(Atletas!I60="Daoshu Grupo A",31,IF(Atletas!I60="Jianshu Grupo A",32,IF(Atletas!I60="Nandao Grupo A",33,IF(Atletas!I60="Taijijian Grupo A",34,IF(Atletas!I60="Daoshu Opcional",35,IF(Atletas!I60="Jianshu Opcional",36,IF(Atletas!I60="Nandao Opcional",37,IF(Atletas!I60="Taijijian Opcional",38,IF(Atletas!I60="Daoshu Adulto",39,IF(Atletas!I60="Jianshu Adulto",40,IF(Atletas!I60="Nandao Adulto",41,IF(Atletas!I60="Taijijian Adulto",42,""))))))))))))))))))))))))))</f>
        <v/>
      </c>
      <c r="BH69" s="52" t="str">
        <f>IF(Atletas!J60="","",IF(Atletas!B60="Feminino",100,IF(Atletas!B60="Masculino",200,""))+(IF(Atletas!J60="Gunshu Mirim",43,IF(Atletas!J60="Qiangshu Mirim",44,IF(Atletas!J60="Nangun Mirim",45,IF(Atletas!J60="Gunshu Grupo C",46,IF(Atletas!J60="Qiangshu Grupo C",47,IF(Atletas!J60="Nangun Grupo C",48,IF(Atletas!J60="Gunshu Grupo B",49,IF(Atletas!J60="Qiangshu Grupo B",50,IF(Atletas!J60="Nangun Grupo B",51,IF(Atletas!J60="Gunshu Grupo A",52,IF(Atletas!J60="Qiangshu Grupo A",53,IF(Atletas!J60="Nangun Grupo A",54,IF(Atletas!J60="Gunshu Opcional",55,IF(Atletas!J60="Qiangshu Opcional",56,IF(Atletas!J60="Nangun Opcional",57,IF(Atletas!J60="Gunshu Adulto",58,IF(Atletas!J60="Qiangshu Adulto",59,IF(Atletas!J60="Nangun Adulto",60,IF(Atletas!J60="Taijishan Grupo B",61,IF(Atletas!J60="Taijishan Grupo A",62,""))))))))))))))))))))))</f>
        <v/>
      </c>
      <c r="BM69" s="50" t="str">
        <f>IF(Atletas!K60="","",IF(Atletas!B60="Feminino",100,IF(Atletas!B60="Masculino",200,""))+(IF(Atletas!K60="Equipe 1 Grupo B",1,IF(Atletas!K60="Equipe 2 Grupo B",2,IF(Atletas!K60="Equipe 1 Grupo A",3,IF(Atletas!K60="Equipe 2 Grupo A",4,IF(Atletas!K60="Equipe 1 Adulto",5,IF(Atletas!K60="Equipe 2 Adulto",6,""))))))))</f>
        <v/>
      </c>
      <c r="BR69" s="50" t="str">
        <f>IF(Atletas!L60="","",IF(Atletas!X60&lt;&gt;"",10000,0)+(IF(Atletas!B60="Feminino",1000,IF(Atletas!B60="Masculino",2000,""))+IF(Atletas!L60="Choylayfut A",1,IF(Atletas!L60="Hunggar A",2,IF(Atletas!L60="Wuzuquan A",3,IF(Atletas!L60="Wingchun A",4,IF(Atletas!L60="Outra Mão de Sul A",5,IF(Atletas!L60="Choylayfut B",6,IF(Atletas!L60="Hunggar B",7,IF(Atletas!L60="Wuzuquan B",8,IF(Atletas!L60="Wingchun B",9,IF(Atletas!L60="Outra Mão de Sul B",10,IF(Atletas!L60="Choylayfut C",11,IF(Atletas!L60="Hunggar C",12,IF(Atletas!L60="Wuzuquan C",13,IF(Atletas!L60="Wingchun C",14,IF(Atletas!L60="Outra Mão de Sul C",15,IF(Atletas!L60="Choylayfut D",16,IF(Atletas!L60="Hunggar D",17,IF(Atletas!L60="Wuzuquan D",18,IF(Atletas!L60="Wingchun D",19,IF(Atletas!L60="Outra Mão de Sul D",20,IF(Atletas!L60="Choylayfut E",21,IF(Atletas!L60="Hunggar E",22,IF(Atletas!L60="Wuzuquan E",23,IF(Atletas!L60="Wingchun E",24,IF(Atletas!L60="Outra Mão de Sul E",25,IF(Atletas!L60="Choylayfut F",26,IF(Atletas!L60="Hunggar F",27,IF(Atletas!L60="Wuzuquan F",28,IF(Atletas!L60="Wingchun F",29,IF(Atletas!L60="Outra Mão de Sul F",30,IF(Atletas!L60="Dishuquan A",31,IF(Atletas!L60="Dishuquan B",32,IF(Atletas!L60="Dishuquan C",33,IF(Atletas!L60="Dishuquan D",34,IF(Atletas!L60="Dishuquan E",35,IF(Atletas!L60="Dishuquan F",36,""))))))))))))))))))))))))))))))))))))))</f>
        <v/>
      </c>
      <c r="BS69" s="50" t="str">
        <f>IF(Atletas!M60="","",IF(Atletas!X60&lt;&gt;"",10000,0)+(IF(Atletas!B60="Feminino",1000,IF(Atletas!B60="Masculino",2000,""))+(IF(Atletas!M60="Chaquan A",101,IF(Atletas!M60="Emeiquan A",102,IF(Atletas!M60="Fanziquan A",103,IF(Atletas!M60="Huaquan A",104,IF(Atletas!M60="Hongquan A",105,IF(Atletas!M60="Paoquan A",106,IF(Atletas!M60="Piguaquan A",107,IF(Atletas!M60="Shaolinquan A",108,IF(Atletas!M60="Tanglangquan A",109,IF(Atletas!M60="Yingzhaoquan A",110,IF(Atletas!M60="Tongbeiquan A",111,IF(Atletas!M60="Wudangquan A",112,IF(Atletas!M60="Outros Estilos A",113,IF(Atletas!M60="Chaquan B",114,IF(Atletas!M60="Emeiquan B",115,IF(Atletas!M60="Fanziquan B",116,IF(Atletas!M60="Huaquan B",117,IF(Atletas!M60="Hongquan B",118,IF(Atletas!M60="Paoquan B",119,IF(Atletas!M60="Piguaquan B",120,IF(Atletas!M60="Shaolinquan B",121,IF(Atletas!M60="Tanglangquan B",122,IF(Atletas!M60="Yingzhaoquan B",123,IF(Atletas!M60="Tongbeiquan B",124,IF(Atletas!M60="Wudangquan B",125,IF(Atletas!M60="Outros Estilos B",126,IF(Atletas!M60="Chaquan C",127,IF(Atletas!M60="Emeiquan C",128,IF(Atletas!M60="Fanziquan C",129,IF(Atletas!M60="Huaquan C",130,IF(Atletas!M60="Hongquan C",131,IF(Atletas!M60="Paoquan C",132,IF(Atletas!M60="Piguaquan C",133,IF(Atletas!M60="Shaolinquan C",134,IF(Atletas!M60="Tanglangquan C",135,IF(Atletas!M60="Yingzhaoquan C",136,IF(Atletas!M60="Tongbeiquan C",137,IF(Atletas!M60="Wudangquan C",138,IF(Atletas!M60="Outros Estilos C",139,0))))))))))))))))))))))))))))))))))))))))))</f>
        <v/>
      </c>
      <c r="BT69" s="50" t="str">
        <f>IF(Atletas!M60="","",IF(Atletas!X60&lt;&gt;"",10000,0)+(IF(Atletas!B60="Feminino",1000,IF(Atletas!B60="Masculino",2000,""))+(IF(Atletas!M60="Chaquan D",140,IF(Atletas!M60="Emeiquan D",141,IF(Atletas!M60="Fanziquan D",142,IF(Atletas!M60="Huaquan D",143,IF(Atletas!M60="Hongquan D",144,IF(Atletas!M60="Paoquan D",145,IF(Atletas!M60="Piguaquan D",146,IF(Atletas!M60="Shaolinquan D",147,IF(Atletas!M60="Tanglangquan D",148,IF(Atletas!M60="Yingzhaoquan D",149,IF(Atletas!M60="Tongbeiquan D",150,IF(Atletas!M60="Wudangquan D",151,IF(Atletas!M60="Outros Estilos D",152,IF(Atletas!M60="Chaquan E",153,IF(Atletas!M60="Emeiquan E",154,IF(Atletas!M60="Fanziquan E",155,IF(Atletas!M60="Huaquan E",156,IF(Atletas!M60="Hongquan E",157,IF(Atletas!M60="Paoquan E",158,IF(Atletas!M60="Piguaquan E",159,IF(Atletas!M60="Shaolinquan E",160,IF(Atletas!M60="Tanglangquan E",161,IF(Atletas!M60="Yingzhaoquan E",162,IF(Atletas!M60="Tongbeiquan E",163,IF(Atletas!M60="Wudangquan E",164,IF(Atletas!M60="Outros Estilos E",165,IF(Atletas!M60="Chaquan F",166,IF(Atletas!M60="Emeiquan F",167,IF(Atletas!M60="Fanziquan F",168,IF(Atletas!M60="Huaquan F",169,IF(Atletas!M60="Hongquan F",170,IF(Atletas!M60="Paoquan F",171,IF(Atletas!M60="Piguaquan F",172,IF(Atletas!M60="Shaolinquan F",173,IF(Atletas!M60="Tanglangquan F",174,IF(Atletas!M60="Yingzhaoquan F",175,IF(Atletas!M60="Tongbeiquan F",176,IF(Atletas!M60="Wudangquan F",177,IF(Atletas!M60="Outros Estilos F",178,0))))))))))))))))))))))))))))))))))))))))))</f>
        <v/>
      </c>
      <c r="BU69" s="50" t="str">
        <f>IF(Atletas!N60="","",IF(Atletas!X60&lt;&gt;"",10000,0)+(IF(Atletas!B60="Feminino",1000,IF(Atletas!B60="Masculino",2000,""))+(IF(Atletas!N60="Ditangquan A",201,IF(Atletas!N60="Houquan A",202,IF(Atletas!N60="Zuiquan A",203,IF(Atletas!N60="Ditangquan B",204,IF(Atletas!N60="Houquan B",205,IF(Atletas!N60="Zuiquan B",206,IF(Atletas!N60="Ditangquan C",207,IF(Atletas!N60="Houquan C",208,IF(Atletas!N60="Zuiquan C",209,IF(Atletas!N60="Ditangquan D",210,IF(Atletas!N60="Houquan D",211,IF(Atletas!N60="Zuiquan D",212,IF(Atletas!N60="Ditangquan E",213,IF(Atletas!N60="Houquan E",214,IF(Atletas!N60="Zuiquan E",215,IF(Atletas!N60="Ditangquan F",216,IF(Atletas!N60="Houquan F",217,IF(Atletas!N60="Zuiquan F",218,"")))))))))))))))))))))</f>
        <v/>
      </c>
      <c r="BV69" s="50" t="str">
        <f>IF(Atletas!O60="","",IF(Atletas!X60&lt;&gt;"",10000,0)+IF(Atletas!B60="Feminino",1000,IF(Atletas!B60="Masculino",2000,""))+IF(Atletas!O60="Yang A",301,IF(Atletas!O60="Chen A",302,IF(Atletas!O60="Sun A",303,IF(Atletas!O60="Wu A",304,IF(Atletas!O60="Wu-Hao A",305,IF(Atletas!O60="Outro Taijiquan A",306,IF(Atletas!O60="Yang B",307,IF(Atletas!O60="Chen B",308,IF(Atletas!O60="Sun B",309,IF(Atletas!O60="Wu B",310,IF(Atletas!O60="Wu-Hao B",311,IF(Atletas!O60="Outro Taijiquan B",312,IF(Atletas!O60="Yang C",313,IF(Atletas!O60="Chen C",314,IF(Atletas!O60="Sun C",315,IF(Atletas!O60="Wu C",316,IF(Atletas!O60="Wu-Hao C",317,IF(Atletas!O60="Outro Taijiquan C",318,IF(Atletas!O60="Yang D",319,IF(Atletas!O60="Chen D",320,IF(Atletas!O60="Sun D",321,IF(Atletas!O60="Wu D",322,IF(Atletas!O60="Wu-Hao D",323,IF(Atletas!O60="Outro Taijiquan D",324,IF(Atletas!O60="Yang E",325,IF(Atletas!O60="Chen E",326,IF(Atletas!O60="Sun E",327,IF(Atletas!O60="Wu E",328,IF(Atletas!O60="Wu-Hao E",329,IF(Atletas!O60="Outro Taijiquan E",330,IF(Atletas!O60="Yang F",331,IF(Atletas!O60="Chen F",332,IF(Atletas!O60="Sun F",333,IF(Atletas!O60="Wu F",334,IF(Atletas!O60="Wu-Hao F",335,IF(Atletas!O60="Outro Taijiquan F",336,"")))))))))))))))))))))))))))))))))))))</f>
        <v/>
      </c>
      <c r="BW69" s="50" t="str">
        <f>IF(Atletas!P60="","",IF(Atletas!X60&lt;&gt;"",10000,0)+IF(Atletas!B60="Feminino",1000,IF(Atletas!B60="Masculino",2000,""))+IF(OR(Atletas!P60="Yang 26 A",Atletas!P60="Yang 40 A"),401,IF(OR(Atletas!P60="Chen 25 A",Atletas!P60="Chen 36 A",Atletas!P60="Chen 56 A"),402,IF(Atletas!P60="Sun 73 A",403,IF(Atletas!P60="Wu 45 A",404,IF(Atletas!P60="Wu-Hao 46 A",405,IF(OR(Atletas!P60="Taijiquan 16 A",Atletas!P60="Taijiquan 24 A",Atletas!P60="Taijiquan 32 A",Atletas!P60="Taijiquan 42 A"),406,IF(OR(Atletas!P60="Yang 26 B",Atletas!P60="Yang 40 B"),407,IF(OR(Atletas!P60="Chen 25 B",Atletas!P60="Chen 36 B",Atletas!P60="Chen 56 B"),408,IF(Atletas!P60="Sun 73 B",409,IF(Atletas!P60="Wu 45 B",410,IF(Atletas!P60="Wu-Hao 46 B",411,IF(OR(Atletas!P60="Taijiquan 16 B",Atletas!P60="Taijiquan 24 B",Atletas!P60="Taijiquan 32 B",Atletas!P60="Taijiquan 42 B"),412,IF(OR(Atletas!P60="Yang 26 C",Atletas!P60="Yang 40 C"),413,IF(OR(Atletas!P60="Chen 25 C",Atletas!P60="Chen 36 C",Atletas!P60="Chen 56 C"),414,IF(Atletas!P60="Sun 73 C",415,IF(Atletas!P60="Wu 45 C",416,IF(Atletas!P60="Wu-Hao 46 C",417,IF(OR(Atletas!P60="Taijiquan 16 C",Atletas!P60="Taijiquan 24 C",Atletas!P60="Taijiquan 32 C",Atletas!P60="Taijiquan 42 C"),418,0)))))))))))))))))))</f>
        <v/>
      </c>
      <c r="BX69" s="50" t="str">
        <f>IF(Atletas!P60="","",IF(Atletas!X60&lt;&gt;"",10000,0)+IF(Atletas!B60="Feminino",1000,IF(Atletas!B60="Masculino",2000,""))+IF(OR(Atletas!P60="Yang 26 D",Atletas!P60="Yang 40 D"),419,IF(OR(Atletas!P60="Chen 25 D",Atletas!P60="Chen 36 D",Atletas!P60="Chen 56 D"),420,IF(Atletas!P60="Sun 73 D",421,IF(Atletas!P60="Wu 45 D",422,IF(Atletas!P60="Wu-Hao 46 D",423,IF(OR(Atletas!P60="Taijiquan 16 D",Atletas!P60="Taijiquan 24 D",Atletas!P60="Taijiquan 32 D",Atletas!P60="Taijiquan 42 D"),424,IF(OR(Atletas!P60="Yang 26 E",Atletas!P60="Yang 40 E"),425,IF(OR(Atletas!P60="Chen 25 E",Atletas!P60="Chen 36 E",Atletas!P60="Chen 56 E"),426,IF(Atletas!P60="Sun 73 E",427,IF(Atletas!P60="Wu 45 E",428,IF(Atletas!P60="Wu-Hao 46 E",429,IF(OR(Atletas!P60="Taijiquan 16 E",Atletas!P60="Taijiquan 24 E",Atletas!P60="Taijiquan 32 E",Atletas!P60="Taijiquan 42 E"),430,IF(OR(Atletas!P60="Yang 26 F",Atletas!P60="Yang 40 F"),431,IF(OR(Atletas!P60="Chen 25 F",Atletas!P60="Chen 36 F",Atletas!P60="Chen 56 F"),432,IF(Atletas!P60="Sun 73 F",433,IF(Atletas!P60="Wu 45 F",434,IF(Atletas!P60="Wu-Hao 46 F",435,IF(OR(Atletas!P60="Taijiquan 16 F",Atletas!P60="Taijiquan 24 F",Atletas!P60="Taijiquan 32 F",Atletas!P60="Taijiquan 42 F"),436,0)))))))))))))))))))</f>
        <v/>
      </c>
      <c r="BY69" s="50" t="str">
        <f>IF(Atletas!Q60="","",IF(Atletas!X60&lt;&gt;"",10000,0)+IF(Atletas!B60="Feminino",1000,IF(Atletas!B60="Masculino",2000,""))+IF(Atletas!Q60="Xingyiquan A",501,IF(Atletas!Q60="Baguazhang A",502,IF(Atletas!Q60="Outro Estilo Interno A",503,IF(Atletas!Q60="Xingyiquan B",504,IF(Atletas!Q60="Baguazhang B",505,IF(Atletas!Q60="Outro Estilo Interno B",506,IF(Atletas!Q60="Xingyiquan C",507,IF(Atletas!Q60="Baguazhang C",508,IF(Atletas!Q60="Outro Estilo Interno C",509,IF(Atletas!Q60="Xingyiquan D",510,IF(Atletas!Q60="Baguazhang D",511,IF(Atletas!Q60="Outro Estilo Interno D",512,IF(Atletas!Q60="Xingyiquan E",513,IF(Atletas!Q60="Baguazhang E",514,IF(Atletas!Q60="Outro Estilo Interno E",515,IF(Atletas!Q60="Xingyiquan F",516,IF(Atletas!Q60="Baguazhang F",517,IF(Atletas!Q60="Outro Estilo Interno F",518, "")))))))))))))))))))</f>
        <v/>
      </c>
      <c r="BZ69" s="50" t="str">
        <f>IF(Atletas!R60="","",IF(Atletas!X60&lt;&gt;"",10000,0)+IF(Atletas!B60="Feminino",1000,IF(Atletas!B60="Masculino",2000,""))+IF(Atletas!R60="Dao A",601,IF(Atletas!R60="Jian A",602,IF(Atletas!R60="Bishou A",603,IF(Atletas!R60="Shanzi A",604,IF(Atletas!R60="Outra Arma Curta A",605,IF(Atletas!R60="Dao B",606,IF(Atletas!R60="Jian B",607,IF(Atletas!R60="Bishou B",608,IF(Atletas!R60="Shanzi B",609,IF(Atletas!R60="Outra Arma Curta B",610,IF(Atletas!R60="Dao C",611,IF(Atletas!R60="Jian C",612,IF(Atletas!R60="Bishou C",613,IF(Atletas!R60="Shanzi C",614,IF(Atletas!R60="Outra Arma Curta C",615,IF(Atletas!R60="Dao D",616,IF(Atletas!R60="Jian D",617,IF(Atletas!R60="Bishou D",618,IF(Atletas!R60="Shanzi D",619,IF(Atletas!R60="Outra Arma Curta D",620,IF(Atletas!R60="Dao E",621,IF(Atletas!R60="Jian E",622,IF(Atletas!R60="Bishou E",623,IF(Atletas!R60="Shanzi E",624,IF(Atletas!R60="Outra Arma Curta E",625,IF(Atletas!R60="Dao F",626,IF(Atletas!R60="Jian F",627,IF(Atletas!R60="Bishou F",628,IF(Atletas!R60="Shanzi F",629,IF(Atletas!R60="Outra Arma Curta F",630, "")))))))))))))))))))))))))))))))</f>
        <v/>
      </c>
      <c r="CA69" s="50" t="str">
        <f>IF(Atletas!S60="","",IF(Atletas!X60&lt;&gt;"",10000,0)+IF(Atletas!B60="Feminino",1000,IF(Atletas!B60="Masculino",2000,""))+IF(Atletas!S60="Gun A",701,IF(Atletas!S60="Qiang A",702,IF(Atletas!S60="Pudao / Guandao A",703,IF(Atletas!S60="Outra Arma Longa A",704,IF(Atletas!S60="Gun B",705,IF(Atletas!S60="Qiang B",706,IF(Atletas!S60="Pudao / Guandao B",707,IF(Atletas!S60="Outra Arma Longa B",708,IF(Atletas!S60="Gun C",709,IF(Atletas!S60="Qiang C",710,IF(Atletas!S60="Pudao / Guandao C",711,IF(Atletas!S60="Outra Arma Longa C",712,IF(Atletas!S60="Gun D",713,IF(Atletas!S60="Qiang D",714,IF(Atletas!S60="Pudao / Guandao D",715,IF(Atletas!S60="Outra Arma Longa D",716,IF(Atletas!S60="Gun E",717,IF(Atletas!S60="Qiang E",718,IF(Atletas!S60="Pudao / Guandao E",719,IF(Atletas!S60="Outra Arma Longa E",720,IF(Atletas!S60="Gun F",721,IF(Atletas!S60="Qiang F",722,IF(Atletas!S60="Pudao / Guandao F",723,IF(Atletas!S60="Outra Arma Longa F",724,"")))))))))))))))))))))))))</f>
        <v/>
      </c>
      <c r="CB69" s="50" t="str">
        <f>IF(Atletas!T60="","",IF(Atletas!X60&lt;&gt;"",10000,0)+IF(Atletas!B60="Feminino",1000,IF(Atletas!B60="Masculino",2000,""))+IF(Atletas!T60="Outra Arma Dupla A",801,IF(Atletas!T60="Arma Maleável A",802,IF(Atletas!T60="Outra Arma Dupla B",803,IF(Atletas!T60="Arma Maleável B",804,IF(Atletas!T60="Outra Arma Dupla C",805,IF(Atletas!T60="Arma Maleável C",806,IF(Atletas!T60="Outra Arma Dupla D",807,IF(Atletas!T60="Arma Maleável D",808,IF(Atletas!T60="Outra Arma Dupla E",809,IF(Atletas!T60="Arma Maleável E",810,IF(Atletas!T60="Outra Arma Dupla F",811,IF(Atletas!T60="Arma Maleável F",812,IF(Atletas!T60="Shuangdao A",813,IF(Atletas!T60="Shuangdao B",814,IF(Atletas!T60="Shuangdao C",815,IF(Atletas!T60="Shuangdao D",816,IF(Atletas!T60="Shuangdao E",817,IF(Atletas!T60="Shuangdao F",818,"")))))))))))))))))))</f>
        <v/>
      </c>
      <c r="CC69" s="50" t="str">
        <f>IF(Atletas!U60="","",IF(Atletas!X60&lt;&gt;"",10000,0)+IF(Atletas!B60="Feminino",1000,IF(Atletas!B60="Masculino",2000,""))+IF(OR(Atletas!U60="Taijijian Yang A",Atletas!U60="Taijijian Yang Standard A"),901,IF(OR(Atletas!U60="Taijijian Chen A", Atletas!U60="Taijijian Chen Standard A"),902,IF(Atletas!U60="Taijijian Sun A",903,IF(Atletas!U60="Taijijian Wu A",904,IF(Atletas!U60="Taijijian Wu-Hao A",905,IF(OR(Atletas!U60="Taijijian 32 A",Atletas!U60="Taijijian 42 A"),906,IF(OR(Atletas!U60="Taijijian Yang B",Atletas!U60="Taijijian Yang Standard B"),907,IF(OR(Atletas!U60="Taijijian Chen B", Atletas!U60="Taijijian Chen Standard B"),908,IF(Atletas!U60="Taijijian Sun B",909,IF(Atletas!U60="Taijijian Wu B",910,IF(Atletas!U60="Taijijian Wu-Hao B",911,IF(OR(Atletas!U60="Taijijian 32 B",Atletas!U60="Taijijian 42 B"),912,IF(OR(Atletas!U60="Taijijian Yang C",Atletas!U60="Taijijian Yang Standard C"),913,IF(OR(Atletas!U60="Taijijian Chen C", Atletas!U60="Taijijian Chen Standard C"),914,IF(Atletas!U60="Taijijian Sun C",915,IF(Atletas!U60="Taijijian Wu C",916,IF(Atletas!U60="Taijijian Wu-Hao C",917,IF(OR(Atletas!U60="Taijijian 32 C",Atletas!U60="Taijijian 42 C"),918,IF(OR(Atletas!U60="Taijijian Yang D",Atletas!U60="Taijijian Yang Standard D"),919,IF(OR(Atletas!U60="Taijijian Chen D", Atletas!U60="Taijijian Chen Standard D"),920,IF(Atletas!U60="Taijijian Sun D",921,IF(Atletas!U60="Taijijian Wu D",922,IF(Atletas!U60="Taijijian Wu-Hao D",923,IF(OR(Atletas!U60="Taijijian 32 D",Atletas!U60="Taijijian 42 D"),924,IF(OR(Atletas!U60="Taijijian Yang E",Atletas!U60="Taijijian Yang Standard E"),925,IF(OR(Atletas!U60="Taijijian Chen E", Atletas!U60="Taijijian Chen Standard E"),926,IF(Atletas!U60="Taijijian Sun E",927,IF(Atletas!U60="Taijijian Wu E",928,IF(Atletas!U60="Taijijian Wu-Hao E",929,IF(OR(Atletas!U60="Taijijian 32 E",Atletas!U60="Taijijian 42 E"),930,IF(OR(Atletas!U60="Taijijian Yang F",Atletas!U60="Taijijian Yang Standard F"),931,IF(OR(Atletas!U60="Taijijian Chen F", Atletas!U60="Taijijian Chen Standard F"),932,IF(Atletas!U60="Taijijian Sun F",933,IF(Atletas!U60="Taijijian Wu F",934,IF(Atletas!U60="Taijijian Wu-Hao F",935,IF(OR(Atletas!U60="Taijijian 32 F",Atletas!U60="Taijijian 42 F"),936,"")))))))))))))))))))))))))))))))))))))</f>
        <v/>
      </c>
      <c r="CD69" s="50" t="str">
        <f>IF(Atletas!V60="","",IF(Atletas!X60&lt;&gt;"",10000,0)+IF(Atletas!B60="Feminino",1000,IF(Atletas!B60="Masculino",2000,""))+IF(Atletas!V60="Taijidao A",937,IF(Atletas!V60="TaijiShanzi A",938,IF(Atletas!V60="Taijiqiang A",939,IF(Atletas!V60="Bagua de Arma A",940,IF(Atletas!V60="Xingyi de Arma A",941,IF(Atletas!V60="Taijidao B",942,IF(Atletas!V60="TaijiShanzi B",943,IF(Atletas!V60="Taijiqiang B",944,IF(Atletas!V60="Bagua de Arma B",945,IF(Atletas!V60="Xingyi de Arma B",946,IF(Atletas!V60="Taijidao C",947,IF(Atletas!V60="TaijiShanzi C",948,IF(Atletas!V60="Taijiqiang C",949,IF(Atletas!V60="Bagua de Arma C",950,IF(Atletas!V60="Xingyi de Arma C",951,IF(Atletas!V60="Taijidao D",952,IF(Atletas!V60="TaijiShanzi D",953,IF(Atletas!V60="Taijiqiang D",954,IF(Atletas!V60="Bagua de Arma D",955,IF(Atletas!V60="Xingyi de Arma D",956,IF(Atletas!V60="Taijidao E",957,IF(Atletas!V60="TaijiShanzi E",958,IF(Atletas!V60="Taijiqiang E",959,IF(Atletas!V60="Bagua de Arma E",960,IF(Atletas!V60="Xingyi de Arma E",961,IF(Atletas!V60="Taijidao F",962,IF(Atletas!V60="TaijiShanzi F",963,IF(Atletas!V60="Taijiqiang F",964,IF(Atletas!V60="Bagua de Arma F",965,IF(Atletas!V60="Xingyi de Arma F",966,"")))))))))))))))))))))))))))))))</f>
        <v/>
      </c>
      <c r="CE69" s="66" t="str">
        <f>IF(CF69&lt;&gt;"","Chaquan C","")</f>
        <v/>
      </c>
      <c r="CF69" s="66" t="str">
        <f>IF(COUNTIF(BR:CD,1127)&gt;0,COUNTIF(BR:CD,1127),"")</f>
        <v/>
      </c>
      <c r="CG69" s="66" t="str">
        <f>IF(CH69&lt;&gt;"","Chaquan C","")</f>
        <v/>
      </c>
      <c r="CH69" s="66" t="str">
        <f>IF(COUNTIF(BR:CD,2127)&gt;0,COUNTIF(BR:CD,2127),"")</f>
        <v/>
      </c>
      <c r="CI69" s="66" t="str">
        <f>IF(CJ69&lt;&gt;"","Piguaquan C","")</f>
        <v/>
      </c>
      <c r="CJ69" s="66" t="str">
        <f>IF(COUNTIF(BR:CD,11133)&gt;0,COUNTIF(BR:CD,11133),"")</f>
        <v/>
      </c>
      <c r="CK69" s="66" t="str">
        <f>IF(CL69&lt;&gt;"","Piguaquan C","")</f>
        <v/>
      </c>
      <c r="CL69" s="66" t="str">
        <f>IF(COUNTIF(BR:CD,12133)&gt;0,COUNTIF(BR:CD,12133),"")</f>
        <v/>
      </c>
      <c r="CM69" s="50" t="str">
        <f xml:space="preserve"> IF(Atletas!W60="","",IF(Atletas!W60="Duilian de Mãos BC - Equipe 1",1,IF(Atletas!W60="Duilian de Mãos BC - Equipe 2",2,IF(Atletas!W60="Duilian de Armas BC - Equipe 1",3,IF(Atletas!W60="Duilian de Armas BC - Equipe 2",4,IF(Atletas!W60="Duilian de Mãos DE - Equipe 1",5,IF(Atletas!W60="Duilian de Mãos DE - Equipe 2",6,IF(Atletas!W60="Duilian de Armas DE - Equipe 1",7,IF(Atletas!W60="Duilian de Armas DE - Equipe 2",8,IF(Atletas!W60="Duilian de Tuishou - Equipe 1",9,IF(Atletas!W60="Duilian de Tuishou - Equipe 2",10,IF(Atletas!W60="Grupo Externo ABC - Equipe 1",11,IF(Atletas!W60="Grupo Externo ABC - Equipe 2",12,IF(Atletas!W60="Grupo Interno ABC - Equipe 1",13,IF(Atletas!W60="Grupo Interno ABC - Equipe 2",14,IF(Atletas!W60="Grupo Externo DEF - Equipe 1",15,IF(Atletas!W60="Grupo Externo DEF - Equipe 2",16,IF(Atletas!W60="Grupo Interno DEF - Equipe 1",17,IF(Atletas!W60="Grupo Interno DEF - Equipe 2",18,"")))))))))))))))))))</f>
        <v/>
      </c>
    </row>
    <row r="70" spans="2:103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 t="str">
        <f t="array" ref="R70">IFERROR(INDEX(BI$7:BI$68,SMALL(IF(BI$7:BI$68&lt;&gt;"",ROW(BI$7:BI$68)-ROW(BI$7)+1),ROWS(BI$7:BI69))),"")</f>
        <v/>
      </c>
      <c r="S70" s="3" t="str">
        <f t="array" ref="S70">IFERROR(INDEX(BJ$7:BJ$66,SMALL(IF(BJ$7:BJ$66&lt;&gt;"",ROW(BJ$7:BJ$66)-ROW(BJ$7)+1),ROWS(BJ$7:BJ69))),"")</f>
        <v/>
      </c>
      <c r="T70" s="3" t="str">
        <f t="array" ref="T70">IFERROR(INDEX(BK$7:BK$66,SMALL(IF(BK$7:BK$66&lt;&gt;"",ROW(BK$7:BK$66)-ROW(BK$7)+1),ROWS(BK$7:BK69))),"")</f>
        <v/>
      </c>
      <c r="U70" s="3" t="str">
        <f t="array" ref="U70">IFERROR(INDEX(BL$7:BL$66,SMALL(IF(BL$7:BL$66&lt;&gt;"",ROW(BL$7:BL$66)-ROW(BL$7)+1),ROWS(BL$7:BL69))),"")</f>
        <v/>
      </c>
      <c r="V70" s="3"/>
      <c r="W70" s="3"/>
      <c r="X70" s="20"/>
      <c r="Y70" s="3"/>
      <c r="Z70" s="3" t="str">
        <f t="array" ref="Z70">IFERROR(INDEX(CE$7:CE$348,SMALL(IF(CE$7:CE$348&lt;&gt;"",ROW(CE$7:CE$348)-ROW(CE$7)+1),ROWS(CE$7:CE69))),"")</f>
        <v/>
      </c>
      <c r="AA70" s="3" t="str">
        <f t="array" ref="AA70">IFERROR(INDEX(CF$7:CF$348,SMALL(IF(CF$7:CF$348&lt;&gt;"",ROW(CF$7:CF$348)-ROW(CF$7)+1),ROWS(CF$7:CF69))),"")</f>
        <v/>
      </c>
      <c r="AB70" s="3" t="str">
        <f t="array" ref="AB70">IFERROR(INDEX(CG$7:CG$348,SMALL(IF(CG$7:CG$348&lt;&gt;"",ROW(CG$7:CG$348)-ROW(CG$7)+1),ROWS(CG$7:CG69))),"")</f>
        <v/>
      </c>
      <c r="AC70" s="3" t="str">
        <f t="array" ref="AC70">IFERROR(INDEX(CH$7:CH$348,SMALL(IF(CH$7:CH$348&lt;&gt;"",ROW(CH$7:CH$348)-ROW(CH$7)+1),ROWS(CH$7:CH69))),"")</f>
        <v/>
      </c>
      <c r="AD70" s="3" t="str">
        <f t="array" ref="AD70">IFERROR(INDEX(CI$7:CI$377,SMALL(IF(CI$7:CI$377&lt;&gt;"",ROW(CI$7:CI$377)-ROW(CI$7)+1),ROWS(CI$7:CI69))),"")</f>
        <v/>
      </c>
      <c r="AE70" s="3" t="str">
        <f t="array" ref="AE70">IFERROR(INDEX(CJ$7:CJ$378,SMALL(IF(CJ$7:CJ$378&lt;&gt;"",ROW(CJ$7:CJ$378)-ROW(CJ$7)+1),ROWS(CJ$7:CJ69))),"")</f>
        <v/>
      </c>
      <c r="AF70" s="3" t="str">
        <f t="array" ref="AF70">IFERROR(INDEX(CK$7:CK$378,SMALL(IF(CK$7:CK$378&lt;&gt;"",ROW(CK$7:CK$378)-ROW(CK$7)+1),ROWS(CK$7:CK69))),"")</f>
        <v/>
      </c>
      <c r="AG70" s="3" t="str">
        <f t="array" ref="AG70">IFERROR(INDEX(CL$7:CL$378,SMALL(IF(CL$7:CL$378&lt;&gt;"",ROW(CL$7:CL$378)-ROW(CL$7)+1),ROWS(CL$7:CL69))),"")</f>
        <v/>
      </c>
      <c r="AH70" s="3"/>
      <c r="AI70" s="3"/>
      <c r="AJ70" s="3"/>
      <c r="AK70" s="3"/>
      <c r="AL70" s="3"/>
      <c r="AM70" s="3"/>
      <c r="AN70" s="52" t="str">
        <f>IF(Atletas!D61="","",IF(Atletas!B61="Feminino",100,IF(Atletas!B61="Masculino",200,""))+(IF(Atletas!D61="Kids 30kg",1,IF(Atletas!D61="Kids 32kg",2, IF(Atletas!D61="Kids 34kg",3,IF(Atletas!D61="Kids 36kg",4,IF(Atletas!D61="Kids 39kg",5,IF(Atletas!D61="Kids 42kg",6,IF(Atletas!D61="Kids 45kg",7, IF(Atletas!D61="Infantil 39kg",8,IF(Atletas!D61="Infantil 42kg",9,IF(Atletas!D61="Infantil 45kg",10,IF(Atletas!D61="Infantil 48kg",11,IF(Atletas!D61="Infantil 52kg",12,IF(Atletas!D61="Infantil 56kg",13,IF(Atletas!D61="Infantil 60kg",14,IF(Atletas!D61="Juvenil 48kg",15,IF(Atletas!D61="Juvenil 52kg",16,IF(Atletas!D61="Juvenil 56kg",17,IF(Atletas!D61="Juvenil 60kg",18,IF(Atletas!D61="Juvenil 65kg",19,IF(Atletas!D61="Juvenil 70kg",20,IF(Atletas!D61="Juvenil 75kg",21,IF(Atletas!D61="Juvenil 80kg",22, IF(Atletas!D61="Juvenil 85kg",23,IF(Atletas!D61="Adulto 48kg",24,IF(Atletas!D61="Adulto 52kg",25,IF(Atletas!D61="Adulto 56kg",26,IF(Atletas!D61="Adulto 60kg",27,IF(Atletas!D61="Adulto 65kg",28,IF(Atletas!D61="Adulto 70kg",29,IF(Atletas!D61="Adulto 75kg",30,IF(Atletas!D61="Adulto 80kg",31,IF(Atletas!D61="Adulto 85kg",32,IF(Atletas!D61="Adulto 90kg",33,IF(Atletas!D61="Adulto 100kg",34, IF(Atletas!D61="Adulto +100kg",35,"")))))))))))))))))))))))))))))))))))))</f>
        <v/>
      </c>
      <c r="AS70" s="6" t="str">
        <f>IF(Atletas!E61="","",IF(Atletas!B61="Feminino",100,IF(Atletas!B61="Masculino",200,""))+(IF(Atletas!E61="Juvenil 44kg",1,IF(Atletas!E61="Juvenil 48kg",2,IF(Atletas!E61="Juvenil 52kg",3,IF(Atletas!E61="Juvenil 56kg",4,IF(Atletas!E61="Juvenil 60kg",5,IF(Atletas!E61="Juvenil 65kg",6,IF(Atletas!E61="Juvenil 70kg",7,IF(Atletas!E61="Juvenil 75kg",8,IF(Atletas!E61="Juvenil 82kg",9,IF(Atletas!E61="Juvenil 90kg",10,IF(Atletas!E61="Juvenil 100kg",11,IF(Atletas!E61="Adulto 48kg",12,IF(Atletas!E61="Adulto 52kg",13,IF(Atletas!E61="Adulto 56kg",14,IF(Atletas!E61="Adulto 60kg",15,IF(Atletas!E61="Adulto 65kg",16,IF(Atletas!E61="Adulto 70kg",17,IF(Atletas!E61="Adulto 75kg",18,IF(Atletas!E61="Adulto 82kg",19,IF(Atletas!E61="Adulto 90kg",20,IF(Atletas!E61="Adulto 100kg",21,IF(Atletas!E61="Adulto +100kg",22,""))))))))))))))))))))))))</f>
        <v/>
      </c>
      <c r="AX70" s="6" t="str">
        <f>IF(Atletas!F61="","",IF(Atletas!B61="Feminino",100,IF(Atletas!B61="Masculino",200,""))+(IF(Atletas!F61="Adulto 48kg",1,IF(Atletas!F61="Adulto 56kg",2,IF(Atletas!F61="Adulto 65kg",3,IF(Atletas!F61="Adulto 75kg",4,IF(Atletas!F61="Adulto +75kg",5,IF(Atletas!F61="Adulto 52kg",6,IF(Atletas!F61="Adulto 60kg",7,IF(Atletas!F61="Adulto 70kg",8,IF(Atletas!F61="Adulto 80kg",9,IF(Atletas!F61="Adulto 90kg",10,IF(Atletas!F61="Adulto +90kg",11,"")))))))))))))</f>
        <v/>
      </c>
      <c r="BC70" s="6" t="str">
        <f>IF(Atletas!G61="","",IF(Atletas!B61="Feminino",10,IF(Atletas!B61="Masculino",20,""))+(IF(Atletas!G61="Baduanjin A",1,IF(Atletas!G61="Baduanjin B",2))))</f>
        <v/>
      </c>
      <c r="BF70" s="52" t="str">
        <f>IF(Atletas!H61="","",IF(Atletas!B61="Feminino",100,IF(Atletas!B61="Masculino",200,""))+(IF(Atletas!H61="Changquan Mirim",1,IF(Atletas!H61="Nanquan Mirim",2,IF(Atletas!H61="Taijiquan Mirim",3,IF(Atletas!H61="Changquan Grupo C",4,IF(Atletas!H61="Nanquan Grupo C",5,IF(Atletas!H61="Taijiquan Grupo C",6,IF(Atletas!H61="Changquan Grupo B",7,IF(Atletas!H61="Nanquan Grupo B",8,IF(Atletas!H61="Taijiquan Grupo B",9,IF(Atletas!H61="Changquan Grupo A",10,IF(Atletas!H61="Nanquan Grupo A",11,IF(Atletas!H61="Taijiquan Grupo A",12,IF(Atletas!H61="Changquan Opcional",13,IF(Atletas!H61="Nanquan Opcional",14,IF(Atletas!H61="Taijiquan Opcional",15,IF(Atletas!H61="Changquan Adulto",16,IF(Atletas!H61="Nanquan Adulto",17,IF(Atletas!H61="Taijiquan Adulto",18,""))))))))))))))))))))</f>
        <v/>
      </c>
      <c r="BG70" s="52" t="str">
        <f>IF(Atletas!I61="","",IF(Atletas!B61="Feminino",100,IF(Atletas!B61="Masculino",200,""))+(IF(Atletas!I61="Daoshu Mirim",19,IF(Atletas!I61="Jianshu Mirim",20,IF(Atletas!I61="Nandao Mirim",21,IF(Atletas!I61="Taijijian Mirim",22,IF(Atletas!I61="Daoshu Grupo C",23,IF(Atletas!I61="Jianshu Grupo C",24,IF(Atletas!I61="Nandao Grupo C",25,IF(Atletas!I61="Taijijian Grupo C",26,IF(Atletas!I61="Daoshu Grupo B",27,IF(Atletas!I61="Jianshu Grupo B",28,IF(Atletas!I61="Nandao Grupo B",29,IF(Atletas!I61="Taijijian Grupo B",30,IF(Atletas!I61="Daoshu Grupo A",31,IF(Atletas!I61="Jianshu Grupo A",32,IF(Atletas!I61="Nandao Grupo A",33,IF(Atletas!I61="Taijijian Grupo A",34,IF(Atletas!I61="Daoshu Opcional",35,IF(Atletas!I61="Jianshu Opcional",36,IF(Atletas!I61="Nandao Opcional",37,IF(Atletas!I61="Taijijian Opcional",38,IF(Atletas!I61="Daoshu Adulto",39,IF(Atletas!I61="Jianshu Adulto",40,IF(Atletas!I61="Nandao Adulto",41,IF(Atletas!I61="Taijijian Adulto",42,""))))))))))))))))))))))))))</f>
        <v/>
      </c>
      <c r="BH70" s="52" t="str">
        <f>IF(Atletas!J61="","",IF(Atletas!B61="Feminino",100,IF(Atletas!B61="Masculino",200,""))+(IF(Atletas!J61="Gunshu Mirim",43,IF(Atletas!J61="Qiangshu Mirim",44,IF(Atletas!J61="Nangun Mirim",45,IF(Atletas!J61="Gunshu Grupo C",46,IF(Atletas!J61="Qiangshu Grupo C",47,IF(Atletas!J61="Nangun Grupo C",48,IF(Atletas!J61="Gunshu Grupo B",49,IF(Atletas!J61="Qiangshu Grupo B",50,IF(Atletas!J61="Nangun Grupo B",51,IF(Atletas!J61="Gunshu Grupo A",52,IF(Atletas!J61="Qiangshu Grupo A",53,IF(Atletas!J61="Nangun Grupo A",54,IF(Atletas!J61="Gunshu Opcional",55,IF(Atletas!J61="Qiangshu Opcional",56,IF(Atletas!J61="Nangun Opcional",57,IF(Atletas!J61="Gunshu Adulto",58,IF(Atletas!J61="Qiangshu Adulto",59,IF(Atletas!J61="Nangun Adulto",60,IF(Atletas!J61="Taijishan Grupo B",61,IF(Atletas!J61="Taijishan Grupo A",62,""))))))))))))))))))))))</f>
        <v/>
      </c>
      <c r="BM70" s="50" t="str">
        <f>IF(Atletas!K61="","",IF(Atletas!B61="Feminino",100,IF(Atletas!B61="Masculino",200,""))+(IF(Atletas!K61="Equipe 1 Grupo B",1,IF(Atletas!K61="Equipe 2 Grupo B",2,IF(Atletas!K61="Equipe 1 Grupo A",3,IF(Atletas!K61="Equipe 2 Grupo A",4,IF(Atletas!K61="Equipe 1 Adulto",5,IF(Atletas!K61="Equipe 2 Adulto",6,""))))))))</f>
        <v/>
      </c>
      <c r="BR70" s="50" t="str">
        <f>IF(Atletas!L61="","",IF(Atletas!X61&lt;&gt;"",10000,0)+(IF(Atletas!B61="Feminino",1000,IF(Atletas!B61="Masculino",2000,""))+IF(Atletas!L61="Choylayfut A",1,IF(Atletas!L61="Hunggar A",2,IF(Atletas!L61="Wuzuquan A",3,IF(Atletas!L61="Wingchun A",4,IF(Atletas!L61="Outra Mão de Sul A",5,IF(Atletas!L61="Choylayfut B",6,IF(Atletas!L61="Hunggar B",7,IF(Atletas!L61="Wuzuquan B",8,IF(Atletas!L61="Wingchun B",9,IF(Atletas!L61="Outra Mão de Sul B",10,IF(Atletas!L61="Choylayfut C",11,IF(Atletas!L61="Hunggar C",12,IF(Atletas!L61="Wuzuquan C",13,IF(Atletas!L61="Wingchun C",14,IF(Atletas!L61="Outra Mão de Sul C",15,IF(Atletas!L61="Choylayfut D",16,IF(Atletas!L61="Hunggar D",17,IF(Atletas!L61="Wuzuquan D",18,IF(Atletas!L61="Wingchun D",19,IF(Atletas!L61="Outra Mão de Sul D",20,IF(Atletas!L61="Choylayfut E",21,IF(Atletas!L61="Hunggar E",22,IF(Atletas!L61="Wuzuquan E",23,IF(Atletas!L61="Wingchun E",24,IF(Atletas!L61="Outra Mão de Sul E",25,IF(Atletas!L61="Choylayfut F",26,IF(Atletas!L61="Hunggar F",27,IF(Atletas!L61="Wuzuquan F",28,IF(Atletas!L61="Wingchun F",29,IF(Atletas!L61="Outra Mão de Sul F",30,IF(Atletas!L61="Dishuquan A",31,IF(Atletas!L61="Dishuquan B",32,IF(Atletas!L61="Dishuquan C",33,IF(Atletas!L61="Dishuquan D",34,IF(Atletas!L61="Dishuquan E",35,IF(Atletas!L61="Dishuquan F",36,""))))))))))))))))))))))))))))))))))))))</f>
        <v/>
      </c>
      <c r="BS70" s="50" t="str">
        <f>IF(Atletas!M61="","",IF(Atletas!X61&lt;&gt;"",10000,0)+(IF(Atletas!B61="Feminino",1000,IF(Atletas!B61="Masculino",2000,""))+(IF(Atletas!M61="Chaquan A",101,IF(Atletas!M61="Emeiquan A",102,IF(Atletas!M61="Fanziquan A",103,IF(Atletas!M61="Huaquan A",104,IF(Atletas!M61="Hongquan A",105,IF(Atletas!M61="Paoquan A",106,IF(Atletas!M61="Piguaquan A",107,IF(Atletas!M61="Shaolinquan A",108,IF(Atletas!M61="Tanglangquan A",109,IF(Atletas!M61="Yingzhaoquan A",110,IF(Atletas!M61="Tongbeiquan A",111,IF(Atletas!M61="Wudangquan A",112,IF(Atletas!M61="Outros Estilos A",113,IF(Atletas!M61="Chaquan B",114,IF(Atletas!M61="Emeiquan B",115,IF(Atletas!M61="Fanziquan B",116,IF(Atletas!M61="Huaquan B",117,IF(Atletas!M61="Hongquan B",118,IF(Atletas!M61="Paoquan B",119,IF(Atletas!M61="Piguaquan B",120,IF(Atletas!M61="Shaolinquan B",121,IF(Atletas!M61="Tanglangquan B",122,IF(Atletas!M61="Yingzhaoquan B",123,IF(Atletas!M61="Tongbeiquan B",124,IF(Atletas!M61="Wudangquan B",125,IF(Atletas!M61="Outros Estilos B",126,IF(Atletas!M61="Chaquan C",127,IF(Atletas!M61="Emeiquan C",128,IF(Atletas!M61="Fanziquan C",129,IF(Atletas!M61="Huaquan C",130,IF(Atletas!M61="Hongquan C",131,IF(Atletas!M61="Paoquan C",132,IF(Atletas!M61="Piguaquan C",133,IF(Atletas!M61="Shaolinquan C",134,IF(Atletas!M61="Tanglangquan C",135,IF(Atletas!M61="Yingzhaoquan C",136,IF(Atletas!M61="Tongbeiquan C",137,IF(Atletas!M61="Wudangquan C",138,IF(Atletas!M61="Outros Estilos C",139,0))))))))))))))))))))))))))))))))))))))))))</f>
        <v/>
      </c>
      <c r="BT70" s="50" t="str">
        <f>IF(Atletas!M61="","",IF(Atletas!X61&lt;&gt;"",10000,0)+(IF(Atletas!B61="Feminino",1000,IF(Atletas!B61="Masculino",2000,""))+(IF(Atletas!M61="Chaquan D",140,IF(Atletas!M61="Emeiquan D",141,IF(Atletas!M61="Fanziquan D",142,IF(Atletas!M61="Huaquan D",143,IF(Atletas!M61="Hongquan D",144,IF(Atletas!M61="Paoquan D",145,IF(Atletas!M61="Piguaquan D",146,IF(Atletas!M61="Shaolinquan D",147,IF(Atletas!M61="Tanglangquan D",148,IF(Atletas!M61="Yingzhaoquan D",149,IF(Atletas!M61="Tongbeiquan D",150,IF(Atletas!M61="Wudangquan D",151,IF(Atletas!M61="Outros Estilos D",152,IF(Atletas!M61="Chaquan E",153,IF(Atletas!M61="Emeiquan E",154,IF(Atletas!M61="Fanziquan E",155,IF(Atletas!M61="Huaquan E",156,IF(Atletas!M61="Hongquan E",157,IF(Atletas!M61="Paoquan E",158,IF(Atletas!M61="Piguaquan E",159,IF(Atletas!M61="Shaolinquan E",160,IF(Atletas!M61="Tanglangquan E",161,IF(Atletas!M61="Yingzhaoquan E",162,IF(Atletas!M61="Tongbeiquan E",163,IF(Atletas!M61="Wudangquan E",164,IF(Atletas!M61="Outros Estilos E",165,IF(Atletas!M61="Chaquan F",166,IF(Atletas!M61="Emeiquan F",167,IF(Atletas!M61="Fanziquan F",168,IF(Atletas!M61="Huaquan F",169,IF(Atletas!M61="Hongquan F",170,IF(Atletas!M61="Paoquan F",171,IF(Atletas!M61="Piguaquan F",172,IF(Atletas!M61="Shaolinquan F",173,IF(Atletas!M61="Tanglangquan F",174,IF(Atletas!M61="Yingzhaoquan F",175,IF(Atletas!M61="Tongbeiquan F",176,IF(Atletas!M61="Wudangquan F",177,IF(Atletas!M61="Outros Estilos F",178,0))))))))))))))))))))))))))))))))))))))))))</f>
        <v/>
      </c>
      <c r="BU70" s="50" t="str">
        <f>IF(Atletas!N61="","",IF(Atletas!X61&lt;&gt;"",10000,0)+(IF(Atletas!B61="Feminino",1000,IF(Atletas!B61="Masculino",2000,""))+(IF(Atletas!N61="Ditangquan A",201,IF(Atletas!N61="Houquan A",202,IF(Atletas!N61="Zuiquan A",203,IF(Atletas!N61="Ditangquan B",204,IF(Atletas!N61="Houquan B",205,IF(Atletas!N61="Zuiquan B",206,IF(Atletas!N61="Ditangquan C",207,IF(Atletas!N61="Houquan C",208,IF(Atletas!N61="Zuiquan C",209,IF(Atletas!N61="Ditangquan D",210,IF(Atletas!N61="Houquan D",211,IF(Atletas!N61="Zuiquan D",212,IF(Atletas!N61="Ditangquan E",213,IF(Atletas!N61="Houquan E",214,IF(Atletas!N61="Zuiquan E",215,IF(Atletas!N61="Ditangquan F",216,IF(Atletas!N61="Houquan F",217,IF(Atletas!N61="Zuiquan F",218,"")))))))))))))))))))))</f>
        <v/>
      </c>
      <c r="BV70" s="50" t="str">
        <f>IF(Atletas!O61="","",IF(Atletas!X61&lt;&gt;"",10000,0)+IF(Atletas!B61="Feminino",1000,IF(Atletas!B61="Masculino",2000,""))+IF(Atletas!O61="Yang A",301,IF(Atletas!O61="Chen A",302,IF(Atletas!O61="Sun A",303,IF(Atletas!O61="Wu A",304,IF(Atletas!O61="Wu-Hao A",305,IF(Atletas!O61="Outro Taijiquan A",306,IF(Atletas!O61="Yang B",307,IF(Atletas!O61="Chen B",308,IF(Atletas!O61="Sun B",309,IF(Atletas!O61="Wu B",310,IF(Atletas!O61="Wu-Hao B",311,IF(Atletas!O61="Outro Taijiquan B",312,IF(Atletas!O61="Yang C",313,IF(Atletas!O61="Chen C",314,IF(Atletas!O61="Sun C",315,IF(Atletas!O61="Wu C",316,IF(Atletas!O61="Wu-Hao C",317,IF(Atletas!O61="Outro Taijiquan C",318,IF(Atletas!O61="Yang D",319,IF(Atletas!O61="Chen D",320,IF(Atletas!O61="Sun D",321,IF(Atletas!O61="Wu D",322,IF(Atletas!O61="Wu-Hao D",323,IF(Atletas!O61="Outro Taijiquan D",324,IF(Atletas!O61="Yang E",325,IF(Atletas!O61="Chen E",326,IF(Atletas!O61="Sun E",327,IF(Atletas!O61="Wu E",328,IF(Atletas!O61="Wu-Hao E",329,IF(Atletas!O61="Outro Taijiquan E",330,IF(Atletas!O61="Yang F",331,IF(Atletas!O61="Chen F",332,IF(Atletas!O61="Sun F",333,IF(Atletas!O61="Wu F",334,IF(Atletas!O61="Wu-Hao F",335,IF(Atletas!O61="Outro Taijiquan F",336,"")))))))))))))))))))))))))))))))))))))</f>
        <v/>
      </c>
      <c r="BW70" s="50" t="str">
        <f>IF(Atletas!P61="","",IF(Atletas!X61&lt;&gt;"",10000,0)+IF(Atletas!B61="Feminino",1000,IF(Atletas!B61="Masculino",2000,""))+IF(OR(Atletas!P61="Yang 26 A",Atletas!P61="Yang 40 A"),401,IF(OR(Atletas!P61="Chen 25 A",Atletas!P61="Chen 36 A",Atletas!P61="Chen 56 A"),402,IF(Atletas!P61="Sun 73 A",403,IF(Atletas!P61="Wu 45 A",404,IF(Atletas!P61="Wu-Hao 46 A",405,IF(OR(Atletas!P61="Taijiquan 16 A",Atletas!P61="Taijiquan 24 A",Atletas!P61="Taijiquan 32 A",Atletas!P61="Taijiquan 42 A"),406,IF(OR(Atletas!P61="Yang 26 B",Atletas!P61="Yang 40 B"),407,IF(OR(Atletas!P61="Chen 25 B",Atletas!P61="Chen 36 B",Atletas!P61="Chen 56 B"),408,IF(Atletas!P61="Sun 73 B",409,IF(Atletas!P61="Wu 45 B",410,IF(Atletas!P61="Wu-Hao 46 B",411,IF(OR(Atletas!P61="Taijiquan 16 B",Atletas!P61="Taijiquan 24 B",Atletas!P61="Taijiquan 32 B",Atletas!P61="Taijiquan 42 B"),412,IF(OR(Atletas!P61="Yang 26 C",Atletas!P61="Yang 40 C"),413,IF(OR(Atletas!P61="Chen 25 C",Atletas!P61="Chen 36 C",Atletas!P61="Chen 56 C"),414,IF(Atletas!P61="Sun 73 C",415,IF(Atletas!P61="Wu 45 C",416,IF(Atletas!P61="Wu-Hao 46 C",417,IF(OR(Atletas!P61="Taijiquan 16 C",Atletas!P61="Taijiquan 24 C",Atletas!P61="Taijiquan 32 C",Atletas!P61="Taijiquan 42 C"),418,0)))))))))))))))))))</f>
        <v/>
      </c>
      <c r="BX70" s="50" t="str">
        <f>IF(Atletas!P61="","",IF(Atletas!X61&lt;&gt;"",10000,0)+IF(Atletas!B61="Feminino",1000,IF(Atletas!B61="Masculino",2000,""))+IF(OR(Atletas!P61="Yang 26 D",Atletas!P61="Yang 40 D"),419,IF(OR(Atletas!P61="Chen 25 D",Atletas!P61="Chen 36 D",Atletas!P61="Chen 56 D"),420,IF(Atletas!P61="Sun 73 D",421,IF(Atletas!P61="Wu 45 D",422,IF(Atletas!P61="Wu-Hao 46 D",423,IF(OR(Atletas!P61="Taijiquan 16 D",Atletas!P61="Taijiquan 24 D",Atletas!P61="Taijiquan 32 D",Atletas!P61="Taijiquan 42 D"),424,IF(OR(Atletas!P61="Yang 26 E",Atletas!P61="Yang 40 E"),425,IF(OR(Atletas!P61="Chen 25 E",Atletas!P61="Chen 36 E",Atletas!P61="Chen 56 E"),426,IF(Atletas!P61="Sun 73 E",427,IF(Atletas!P61="Wu 45 E",428,IF(Atletas!P61="Wu-Hao 46 E",429,IF(OR(Atletas!P61="Taijiquan 16 E",Atletas!P61="Taijiquan 24 E",Atletas!P61="Taijiquan 32 E",Atletas!P61="Taijiquan 42 E"),430,IF(OR(Atletas!P61="Yang 26 F",Atletas!P61="Yang 40 F"),431,IF(OR(Atletas!P61="Chen 25 F",Atletas!P61="Chen 36 F",Atletas!P61="Chen 56 F"),432,IF(Atletas!P61="Sun 73 F",433,IF(Atletas!P61="Wu 45 F",434,IF(Atletas!P61="Wu-Hao 46 F",435,IF(OR(Atletas!P61="Taijiquan 16 F",Atletas!P61="Taijiquan 24 F",Atletas!P61="Taijiquan 32 F",Atletas!P61="Taijiquan 42 F"),436,0)))))))))))))))))))</f>
        <v/>
      </c>
      <c r="BY70" s="50" t="str">
        <f>IF(Atletas!Q61="","",IF(Atletas!X61&lt;&gt;"",10000,0)+IF(Atletas!B61="Feminino",1000,IF(Atletas!B61="Masculino",2000,""))+IF(Atletas!Q61="Xingyiquan A",501,IF(Atletas!Q61="Baguazhang A",502,IF(Atletas!Q61="Outro Estilo Interno A",503,IF(Atletas!Q61="Xingyiquan B",504,IF(Atletas!Q61="Baguazhang B",505,IF(Atletas!Q61="Outro Estilo Interno B",506,IF(Atletas!Q61="Xingyiquan C",507,IF(Atletas!Q61="Baguazhang C",508,IF(Atletas!Q61="Outro Estilo Interno C",509,IF(Atletas!Q61="Xingyiquan D",510,IF(Atletas!Q61="Baguazhang D",511,IF(Atletas!Q61="Outro Estilo Interno D",512,IF(Atletas!Q61="Xingyiquan E",513,IF(Atletas!Q61="Baguazhang E",514,IF(Atletas!Q61="Outro Estilo Interno E",515,IF(Atletas!Q61="Xingyiquan F",516,IF(Atletas!Q61="Baguazhang F",517,IF(Atletas!Q61="Outro Estilo Interno F",518, "")))))))))))))))))))</f>
        <v/>
      </c>
      <c r="BZ70" s="50" t="str">
        <f>IF(Atletas!R61="","",IF(Atletas!X61&lt;&gt;"",10000,0)+IF(Atletas!B61="Feminino",1000,IF(Atletas!B61="Masculino",2000,""))+IF(Atletas!R61="Dao A",601,IF(Atletas!R61="Jian A",602,IF(Atletas!R61="Bishou A",603,IF(Atletas!R61="Shanzi A",604,IF(Atletas!R61="Outra Arma Curta A",605,IF(Atletas!R61="Dao B",606,IF(Atletas!R61="Jian B",607,IF(Atletas!R61="Bishou B",608,IF(Atletas!R61="Shanzi B",609,IF(Atletas!R61="Outra Arma Curta B",610,IF(Atletas!R61="Dao C",611,IF(Atletas!R61="Jian C",612,IF(Atletas!R61="Bishou C",613,IF(Atletas!R61="Shanzi C",614,IF(Atletas!R61="Outra Arma Curta C",615,IF(Atletas!R61="Dao D",616,IF(Atletas!R61="Jian D",617,IF(Atletas!R61="Bishou D",618,IF(Atletas!R61="Shanzi D",619,IF(Atletas!R61="Outra Arma Curta D",620,IF(Atletas!R61="Dao E",621,IF(Atletas!R61="Jian E",622,IF(Atletas!R61="Bishou E",623,IF(Atletas!R61="Shanzi E",624,IF(Atletas!R61="Outra Arma Curta E",625,IF(Atletas!R61="Dao F",626,IF(Atletas!R61="Jian F",627,IF(Atletas!R61="Bishou F",628,IF(Atletas!R61="Shanzi F",629,IF(Atletas!R61="Outra Arma Curta F",630, "")))))))))))))))))))))))))))))))</f>
        <v/>
      </c>
      <c r="CA70" s="50" t="str">
        <f>IF(Atletas!S61="","",IF(Atletas!X61&lt;&gt;"",10000,0)+IF(Atletas!B61="Feminino",1000,IF(Atletas!B61="Masculino",2000,""))+IF(Atletas!S61="Gun A",701,IF(Atletas!S61="Qiang A",702,IF(Atletas!S61="Pudao / Guandao A",703,IF(Atletas!S61="Outra Arma Longa A",704,IF(Atletas!S61="Gun B",705,IF(Atletas!S61="Qiang B",706,IF(Atletas!S61="Pudao / Guandao B",707,IF(Atletas!S61="Outra Arma Longa B",708,IF(Atletas!S61="Gun C",709,IF(Atletas!S61="Qiang C",710,IF(Atletas!S61="Pudao / Guandao C",711,IF(Atletas!S61="Outra Arma Longa C",712,IF(Atletas!S61="Gun D",713,IF(Atletas!S61="Qiang D",714,IF(Atletas!S61="Pudao / Guandao D",715,IF(Atletas!S61="Outra Arma Longa D",716,IF(Atletas!S61="Gun E",717,IF(Atletas!S61="Qiang E",718,IF(Atletas!S61="Pudao / Guandao E",719,IF(Atletas!S61="Outra Arma Longa E",720,IF(Atletas!S61="Gun F",721,IF(Atletas!S61="Qiang F",722,IF(Atletas!S61="Pudao / Guandao F",723,IF(Atletas!S61="Outra Arma Longa F",724,"")))))))))))))))))))))))))</f>
        <v/>
      </c>
      <c r="CB70" s="50" t="str">
        <f>IF(Atletas!T61="","",IF(Atletas!X61&lt;&gt;"",10000,0)+IF(Atletas!B61="Feminino",1000,IF(Atletas!B61="Masculino",2000,""))+IF(Atletas!T61="Outra Arma Dupla A",801,IF(Atletas!T61="Arma Maleável A",802,IF(Atletas!T61="Outra Arma Dupla B",803,IF(Atletas!T61="Arma Maleável B",804,IF(Atletas!T61="Outra Arma Dupla C",805,IF(Atletas!T61="Arma Maleável C",806,IF(Atletas!T61="Outra Arma Dupla D",807,IF(Atletas!T61="Arma Maleável D",808,IF(Atletas!T61="Outra Arma Dupla E",809,IF(Atletas!T61="Arma Maleável E",810,IF(Atletas!T61="Outra Arma Dupla F",811,IF(Atletas!T61="Arma Maleável F",812,IF(Atletas!T61="Shuangdao A",813,IF(Atletas!T61="Shuangdao B",814,IF(Atletas!T61="Shuangdao C",815,IF(Atletas!T61="Shuangdao D",816,IF(Atletas!T61="Shuangdao E",817,IF(Atletas!T61="Shuangdao F",818,"")))))))))))))))))))</f>
        <v/>
      </c>
      <c r="CC70" s="50" t="str">
        <f>IF(Atletas!U61="","",IF(Atletas!X61&lt;&gt;"",10000,0)+IF(Atletas!B61="Feminino",1000,IF(Atletas!B61="Masculino",2000,""))+IF(OR(Atletas!U61="Taijijian Yang A",Atletas!U61="Taijijian Yang Standard A"),901,IF(OR(Atletas!U61="Taijijian Chen A", Atletas!U61="Taijijian Chen Standard A"),902,IF(Atletas!U61="Taijijian Sun A",903,IF(Atletas!U61="Taijijian Wu A",904,IF(Atletas!U61="Taijijian Wu-Hao A",905,IF(OR(Atletas!U61="Taijijian 32 A",Atletas!U61="Taijijian 42 A"),906,IF(OR(Atletas!U61="Taijijian Yang B",Atletas!U61="Taijijian Yang Standard B"),907,IF(OR(Atletas!U61="Taijijian Chen B", Atletas!U61="Taijijian Chen Standard B"),908,IF(Atletas!U61="Taijijian Sun B",909,IF(Atletas!U61="Taijijian Wu B",910,IF(Atletas!U61="Taijijian Wu-Hao B",911,IF(OR(Atletas!U61="Taijijian 32 B",Atletas!U61="Taijijian 42 B"),912,IF(OR(Atletas!U61="Taijijian Yang C",Atletas!U61="Taijijian Yang Standard C"),913,IF(OR(Atletas!U61="Taijijian Chen C", Atletas!U61="Taijijian Chen Standard C"),914,IF(Atletas!U61="Taijijian Sun C",915,IF(Atletas!U61="Taijijian Wu C",916,IF(Atletas!U61="Taijijian Wu-Hao C",917,IF(OR(Atletas!U61="Taijijian 32 C",Atletas!U61="Taijijian 42 C"),918,IF(OR(Atletas!U61="Taijijian Yang D",Atletas!U61="Taijijian Yang Standard D"),919,IF(OR(Atletas!U61="Taijijian Chen D", Atletas!U61="Taijijian Chen Standard D"),920,IF(Atletas!U61="Taijijian Sun D",921,IF(Atletas!U61="Taijijian Wu D",922,IF(Atletas!U61="Taijijian Wu-Hao D",923,IF(OR(Atletas!U61="Taijijian 32 D",Atletas!U61="Taijijian 42 D"),924,IF(OR(Atletas!U61="Taijijian Yang E",Atletas!U61="Taijijian Yang Standard E"),925,IF(OR(Atletas!U61="Taijijian Chen E", Atletas!U61="Taijijian Chen Standard E"),926,IF(Atletas!U61="Taijijian Sun E",927,IF(Atletas!U61="Taijijian Wu E",928,IF(Atletas!U61="Taijijian Wu-Hao E",929,IF(OR(Atletas!U61="Taijijian 32 E",Atletas!U61="Taijijian 42 E"),930,IF(OR(Atletas!U61="Taijijian Yang F",Atletas!U61="Taijijian Yang Standard F"),931,IF(OR(Atletas!U61="Taijijian Chen F", Atletas!U61="Taijijian Chen Standard F"),932,IF(Atletas!U61="Taijijian Sun F",933,IF(Atletas!U61="Taijijian Wu F",934,IF(Atletas!U61="Taijijian Wu-Hao F",935,IF(OR(Atletas!U61="Taijijian 32 F",Atletas!U61="Taijijian 42 F"),936,"")))))))))))))))))))))))))))))))))))))</f>
        <v/>
      </c>
      <c r="CD70" s="50" t="str">
        <f>IF(Atletas!V61="","",IF(Atletas!X61&lt;&gt;"",10000,0)+IF(Atletas!B61="Feminino",1000,IF(Atletas!B61="Masculino",2000,""))+IF(Atletas!V61="Taijidao A",937,IF(Atletas!V61="TaijiShanzi A",938,IF(Atletas!V61="Taijiqiang A",939,IF(Atletas!V61="Bagua de Arma A",940,IF(Atletas!V61="Xingyi de Arma A",941,IF(Atletas!V61="Taijidao B",942,IF(Atletas!V61="TaijiShanzi B",943,IF(Atletas!V61="Taijiqiang B",944,IF(Atletas!V61="Bagua de Arma B",945,IF(Atletas!V61="Xingyi de Arma B",946,IF(Atletas!V61="Taijidao C",947,IF(Atletas!V61="TaijiShanzi C",948,IF(Atletas!V61="Taijiqiang C",949,IF(Atletas!V61="Bagua de Arma C",950,IF(Atletas!V61="Xingyi de Arma C",951,IF(Atletas!V61="Taijidao D",952,IF(Atletas!V61="TaijiShanzi D",953,IF(Atletas!V61="Taijiqiang D",954,IF(Atletas!V61="Bagua de Arma D",955,IF(Atletas!V61="Xingyi de Arma D",956,IF(Atletas!V61="Taijidao E",957,IF(Atletas!V61="TaijiShanzi E",958,IF(Atletas!V61="Taijiqiang E",959,IF(Atletas!V61="Bagua de Arma E",960,IF(Atletas!V61="Xingyi de Arma E",961,IF(Atletas!V61="Taijidao F",962,IF(Atletas!V61="TaijiShanzi F",963,IF(Atletas!V61="Taijiqiang F",964,IF(Atletas!V61="Bagua de Arma F",965,IF(Atletas!V61="Xingyi de Arma F",966,"")))))))))))))))))))))))))))))))</f>
        <v/>
      </c>
      <c r="CE70" s="66" t="str">
        <f>IF(CF70&lt;&gt;"","Emeiquan C","")</f>
        <v/>
      </c>
      <c r="CF70" s="66" t="str">
        <f>IF(COUNTIF(BR:CD,1128)&gt;0,COUNTIF(BR:CD,1128),"")</f>
        <v/>
      </c>
      <c r="CG70" s="66" t="str">
        <f>IF(CH70&lt;&gt;"","Emeiquan C","")</f>
        <v/>
      </c>
      <c r="CH70" s="66" t="str">
        <f>IF(COUNTIF(BR:CD,2128)&gt;0,COUNTIF(BR:CD,2128),"")</f>
        <v/>
      </c>
      <c r="CI70" s="66" t="str">
        <f>IF(CJ70&lt;&gt;"","Shaolinquan C","")</f>
        <v/>
      </c>
      <c r="CJ70" s="66" t="str">
        <f>IF(COUNTIF(BR:CD,11134)&gt;0,COUNTIF(BR:CD,11134),"")</f>
        <v/>
      </c>
      <c r="CK70" s="66" t="str">
        <f>IF(CL70&lt;&gt;"","Shaolinquan C","")</f>
        <v/>
      </c>
      <c r="CL70" s="66" t="str">
        <f>IF(COUNTIF(BR:CD,12134)&gt;0,COUNTIF(BR:CD,12134),"")</f>
        <v/>
      </c>
      <c r="CM70" s="50" t="str">
        <f xml:space="preserve"> IF(Atletas!W61="","",IF(Atletas!W61="Duilian de Mãos BC - Equipe 1",1,IF(Atletas!W61="Duilian de Mãos BC - Equipe 2",2,IF(Atletas!W61="Duilian de Armas BC - Equipe 1",3,IF(Atletas!W61="Duilian de Armas BC - Equipe 2",4,IF(Atletas!W61="Duilian de Mãos DE - Equipe 1",5,IF(Atletas!W61="Duilian de Mãos DE - Equipe 2",6,IF(Atletas!W61="Duilian de Armas DE - Equipe 1",7,IF(Atletas!W61="Duilian de Armas DE - Equipe 2",8,IF(Atletas!W61="Duilian de Tuishou - Equipe 1",9,IF(Atletas!W61="Duilian de Tuishou - Equipe 2",10,IF(Atletas!W61="Grupo Externo ABC - Equipe 1",11,IF(Atletas!W61="Grupo Externo ABC - Equipe 2",12,IF(Atletas!W61="Grupo Interno ABC - Equipe 1",13,IF(Atletas!W61="Grupo Interno ABC - Equipe 2",14,IF(Atletas!W61="Grupo Externo DEF - Equipe 1",15,IF(Atletas!W61="Grupo Externo DEF - Equipe 2",16,IF(Atletas!W61="Grupo Interno DEF - Equipe 1",17,IF(Atletas!W61="Grupo Interno DEF - Equipe 2",18,"")))))))))))))))))))</f>
        <v/>
      </c>
    </row>
    <row r="71" spans="2:103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20"/>
      <c r="Y71" s="3"/>
      <c r="Z71" s="3" t="str">
        <f t="array" ref="Z71">IFERROR(INDEX(CE$7:CE$348,SMALL(IF(CE$7:CE$348&lt;&gt;"",ROW(CE$7:CE$348)-ROW(CE$7)+1),ROWS(CE$7:CE70))),"")</f>
        <v/>
      </c>
      <c r="AA71" s="3" t="str">
        <f t="array" ref="AA71">IFERROR(INDEX(CF$7:CF$348,SMALL(IF(CF$7:CF$348&lt;&gt;"",ROW(CF$7:CF$348)-ROW(CF$7)+1),ROWS(CF$7:CF70))),"")</f>
        <v/>
      </c>
      <c r="AB71" s="3" t="str">
        <f t="array" ref="AB71">IFERROR(INDEX(CG$7:CG$348,SMALL(IF(CG$7:CG$348&lt;&gt;"",ROW(CG$7:CG$348)-ROW(CG$7)+1),ROWS(CG$7:CG70))),"")</f>
        <v/>
      </c>
      <c r="AC71" s="3" t="str">
        <f t="array" ref="AC71">IFERROR(INDEX(CH$7:CH$348,SMALL(IF(CH$7:CH$348&lt;&gt;"",ROW(CH$7:CH$348)-ROW(CH$7)+1),ROWS(CH$7:CH70))),"")</f>
        <v/>
      </c>
      <c r="AD71" s="3" t="str">
        <f t="array" ref="AD71">IFERROR(INDEX(CI$7:CI$377,SMALL(IF(CI$7:CI$377&lt;&gt;"",ROW(CI$7:CI$377)-ROW(CI$7)+1),ROWS(CI$7:CI70))),"")</f>
        <v/>
      </c>
      <c r="AE71" s="3" t="str">
        <f t="array" ref="AE71">IFERROR(INDEX(CJ$7:CJ$378,SMALL(IF(CJ$7:CJ$378&lt;&gt;"",ROW(CJ$7:CJ$378)-ROW(CJ$7)+1),ROWS(CJ$7:CJ70))),"")</f>
        <v/>
      </c>
      <c r="AF71" s="3" t="str">
        <f t="array" ref="AF71">IFERROR(INDEX(CK$7:CK$378,SMALL(IF(CK$7:CK$378&lt;&gt;"",ROW(CK$7:CK$378)-ROW(CK$7)+1),ROWS(CK$7:CK70))),"")</f>
        <v/>
      </c>
      <c r="AG71" s="3" t="str">
        <f t="array" ref="AG71">IFERROR(INDEX(CL$7:CL$378,SMALL(IF(CL$7:CL$378&lt;&gt;"",ROW(CL$7:CL$378)-ROW(CL$7)+1),ROWS(CL$7:CL70))),"")</f>
        <v/>
      </c>
      <c r="AH71" s="3"/>
      <c r="AI71" s="3"/>
      <c r="AJ71" s="3"/>
      <c r="AK71" s="3"/>
      <c r="AL71" s="3"/>
      <c r="AM71" s="3"/>
      <c r="AN71" s="52" t="str">
        <f>IF(Atletas!D62="","",IF(Atletas!B62="Feminino",100,IF(Atletas!B62="Masculino",200,""))+(IF(Atletas!D62="Kids 30kg",1,IF(Atletas!D62="Kids 32kg",2, IF(Atletas!D62="Kids 34kg",3,IF(Atletas!D62="Kids 36kg",4,IF(Atletas!D62="Kids 39kg",5,IF(Atletas!D62="Kids 42kg",6,IF(Atletas!D62="Kids 45kg",7, IF(Atletas!D62="Infantil 39kg",8,IF(Atletas!D62="Infantil 42kg",9,IF(Atletas!D62="Infantil 45kg",10,IF(Atletas!D62="Infantil 48kg",11,IF(Atletas!D62="Infantil 52kg",12,IF(Atletas!D62="Infantil 56kg",13,IF(Atletas!D62="Infantil 60kg",14,IF(Atletas!D62="Juvenil 48kg",15,IF(Atletas!D62="Juvenil 52kg",16,IF(Atletas!D62="Juvenil 56kg",17,IF(Atletas!D62="Juvenil 60kg",18,IF(Atletas!D62="Juvenil 65kg",19,IF(Atletas!D62="Juvenil 70kg",20,IF(Atletas!D62="Juvenil 75kg",21,IF(Atletas!D62="Juvenil 80kg",22, IF(Atletas!D62="Juvenil 85kg",23,IF(Atletas!D62="Adulto 48kg",24,IF(Atletas!D62="Adulto 52kg",25,IF(Atletas!D62="Adulto 56kg",26,IF(Atletas!D62="Adulto 60kg",27,IF(Atletas!D62="Adulto 65kg",28,IF(Atletas!D62="Adulto 70kg",29,IF(Atletas!D62="Adulto 75kg",30,IF(Atletas!D62="Adulto 80kg",31,IF(Atletas!D62="Adulto 85kg",32,IF(Atletas!D62="Adulto 90kg",33,IF(Atletas!D62="Adulto 100kg",34, IF(Atletas!D62="Adulto +100kg",35,"")))))))))))))))))))))))))))))))))))))</f>
        <v/>
      </c>
      <c r="AS71" s="6" t="str">
        <f>IF(Atletas!E62="","",IF(Atletas!B62="Feminino",100,IF(Atletas!B62="Masculino",200,""))+(IF(Atletas!E62="Juvenil 44kg",1,IF(Atletas!E62="Juvenil 48kg",2,IF(Atletas!E62="Juvenil 52kg",3,IF(Atletas!E62="Juvenil 56kg",4,IF(Atletas!E62="Juvenil 60kg",5,IF(Atletas!E62="Juvenil 65kg",6,IF(Atletas!E62="Juvenil 70kg",7,IF(Atletas!E62="Juvenil 75kg",8,IF(Atletas!E62="Juvenil 82kg",9,IF(Atletas!E62="Juvenil 90kg",10,IF(Atletas!E62="Juvenil 100kg",11,IF(Atletas!E62="Adulto 48kg",12,IF(Atletas!E62="Adulto 52kg",13,IF(Atletas!E62="Adulto 56kg",14,IF(Atletas!E62="Adulto 60kg",15,IF(Atletas!E62="Adulto 65kg",16,IF(Atletas!E62="Adulto 70kg",17,IF(Atletas!E62="Adulto 75kg",18,IF(Atletas!E62="Adulto 82kg",19,IF(Atletas!E62="Adulto 90kg",20,IF(Atletas!E62="Adulto 100kg",21,IF(Atletas!E62="Adulto +100kg",22,""))))))))))))))))))))))))</f>
        <v/>
      </c>
      <c r="AX71" s="6" t="str">
        <f>IF(Atletas!F62="","",IF(Atletas!B62="Feminino",100,IF(Atletas!B62="Masculino",200,""))+(IF(Atletas!F62="Adulto 48kg",1,IF(Atletas!F62="Adulto 56kg",2,IF(Atletas!F62="Adulto 65kg",3,IF(Atletas!F62="Adulto 75kg",4,IF(Atletas!F62="Adulto +75kg",5,IF(Atletas!F62="Adulto 52kg",6,IF(Atletas!F62="Adulto 60kg",7,IF(Atletas!F62="Adulto 70kg",8,IF(Atletas!F62="Adulto 80kg",9,IF(Atletas!F62="Adulto 90kg",10,IF(Atletas!F62="Adulto +90kg",11,"")))))))))))))</f>
        <v/>
      </c>
      <c r="BC71" s="6" t="str">
        <f>IF(Atletas!G62="","",IF(Atletas!B62="Feminino",10,IF(Atletas!B62="Masculino",20,""))+(IF(Atletas!G62="Baduanjin A",1,IF(Atletas!G62="Baduanjin B",2))))</f>
        <v/>
      </c>
      <c r="BF71" s="52" t="str">
        <f>IF(Atletas!H62="","",IF(Atletas!B62="Feminino",100,IF(Atletas!B62="Masculino",200,""))+(IF(Atletas!H62="Changquan Mirim",1,IF(Atletas!H62="Nanquan Mirim",2,IF(Atletas!H62="Taijiquan Mirim",3,IF(Atletas!H62="Changquan Grupo C",4,IF(Atletas!H62="Nanquan Grupo C",5,IF(Atletas!H62="Taijiquan Grupo C",6,IF(Atletas!H62="Changquan Grupo B",7,IF(Atletas!H62="Nanquan Grupo B",8,IF(Atletas!H62="Taijiquan Grupo B",9,IF(Atletas!H62="Changquan Grupo A",10,IF(Atletas!H62="Nanquan Grupo A",11,IF(Atletas!H62="Taijiquan Grupo A",12,IF(Atletas!H62="Changquan Opcional",13,IF(Atletas!H62="Nanquan Opcional",14,IF(Atletas!H62="Taijiquan Opcional",15,IF(Atletas!H62="Changquan Adulto",16,IF(Atletas!H62="Nanquan Adulto",17,IF(Atletas!H62="Taijiquan Adulto",18,""))))))))))))))))))))</f>
        <v/>
      </c>
      <c r="BG71" s="52" t="str">
        <f>IF(Atletas!I62="","",IF(Atletas!B62="Feminino",100,IF(Atletas!B62="Masculino",200,""))+(IF(Atletas!I62="Daoshu Mirim",19,IF(Atletas!I62="Jianshu Mirim",20,IF(Atletas!I62="Nandao Mirim",21,IF(Atletas!I62="Taijijian Mirim",22,IF(Atletas!I62="Daoshu Grupo C",23,IF(Atletas!I62="Jianshu Grupo C",24,IF(Atletas!I62="Nandao Grupo C",25,IF(Atletas!I62="Taijijian Grupo C",26,IF(Atletas!I62="Daoshu Grupo B",27,IF(Atletas!I62="Jianshu Grupo B",28,IF(Atletas!I62="Nandao Grupo B",29,IF(Atletas!I62="Taijijian Grupo B",30,IF(Atletas!I62="Daoshu Grupo A",31,IF(Atletas!I62="Jianshu Grupo A",32,IF(Atletas!I62="Nandao Grupo A",33,IF(Atletas!I62="Taijijian Grupo A",34,IF(Atletas!I62="Daoshu Opcional",35,IF(Atletas!I62="Jianshu Opcional",36,IF(Atletas!I62="Nandao Opcional",37,IF(Atletas!I62="Taijijian Opcional",38,IF(Atletas!I62="Daoshu Adulto",39,IF(Atletas!I62="Jianshu Adulto",40,IF(Atletas!I62="Nandao Adulto",41,IF(Atletas!I62="Taijijian Adulto",42,""))))))))))))))))))))))))))</f>
        <v/>
      </c>
      <c r="BH71" s="52" t="str">
        <f>IF(Atletas!J62="","",IF(Atletas!B62="Feminino",100,IF(Atletas!B62="Masculino",200,""))+(IF(Atletas!J62="Gunshu Mirim",43,IF(Atletas!J62="Qiangshu Mirim",44,IF(Atletas!J62="Nangun Mirim",45,IF(Atletas!J62="Gunshu Grupo C",46,IF(Atletas!J62="Qiangshu Grupo C",47,IF(Atletas!J62="Nangun Grupo C",48,IF(Atletas!J62="Gunshu Grupo B",49,IF(Atletas!J62="Qiangshu Grupo B",50,IF(Atletas!J62="Nangun Grupo B",51,IF(Atletas!J62="Gunshu Grupo A",52,IF(Atletas!J62="Qiangshu Grupo A",53,IF(Atletas!J62="Nangun Grupo A",54,IF(Atletas!J62="Gunshu Opcional",55,IF(Atletas!J62="Qiangshu Opcional",56,IF(Atletas!J62="Nangun Opcional",57,IF(Atletas!J62="Gunshu Adulto",58,IF(Atletas!J62="Qiangshu Adulto",59,IF(Atletas!J62="Nangun Adulto",60,IF(Atletas!J62="Taijishan Grupo B",61,IF(Atletas!J62="Taijishan Grupo A",62,""))))))))))))))))))))))</f>
        <v/>
      </c>
      <c r="BM71" s="50" t="str">
        <f>IF(Atletas!K62="","",IF(Atletas!B62="Feminino",100,IF(Atletas!B62="Masculino",200,""))+(IF(Atletas!K62="Equipe 1 Grupo B",1,IF(Atletas!K62="Equipe 2 Grupo B",2,IF(Atletas!K62="Equipe 1 Grupo A",3,IF(Atletas!K62="Equipe 2 Grupo A",4,IF(Atletas!K62="Equipe 1 Adulto",5,IF(Atletas!K62="Equipe 2 Adulto",6,""))))))))</f>
        <v/>
      </c>
      <c r="BR71" s="50" t="str">
        <f>IF(Atletas!L62="","",IF(Atletas!X62&lt;&gt;"",10000,0)+(IF(Atletas!B62="Feminino",1000,IF(Atletas!B62="Masculino",2000,""))+IF(Atletas!L62="Choylayfut A",1,IF(Atletas!L62="Hunggar A",2,IF(Atletas!L62="Wuzuquan A",3,IF(Atletas!L62="Wingchun A",4,IF(Atletas!L62="Outra Mão de Sul A",5,IF(Atletas!L62="Choylayfut B",6,IF(Atletas!L62="Hunggar B",7,IF(Atletas!L62="Wuzuquan B",8,IF(Atletas!L62="Wingchun B",9,IF(Atletas!L62="Outra Mão de Sul B",10,IF(Atletas!L62="Choylayfut C",11,IF(Atletas!L62="Hunggar C",12,IF(Atletas!L62="Wuzuquan C",13,IF(Atletas!L62="Wingchun C",14,IF(Atletas!L62="Outra Mão de Sul C",15,IF(Atletas!L62="Choylayfut D",16,IF(Atletas!L62="Hunggar D",17,IF(Atletas!L62="Wuzuquan D",18,IF(Atletas!L62="Wingchun D",19,IF(Atletas!L62="Outra Mão de Sul D",20,IF(Atletas!L62="Choylayfut E",21,IF(Atletas!L62="Hunggar E",22,IF(Atletas!L62="Wuzuquan E",23,IF(Atletas!L62="Wingchun E",24,IF(Atletas!L62="Outra Mão de Sul E",25,IF(Atletas!L62="Choylayfut F",26,IF(Atletas!L62="Hunggar F",27,IF(Atletas!L62="Wuzuquan F",28,IF(Atletas!L62="Wingchun F",29,IF(Atletas!L62="Outra Mão de Sul F",30,IF(Atletas!L62="Dishuquan A",31,IF(Atletas!L62="Dishuquan B",32,IF(Atletas!L62="Dishuquan C",33,IF(Atletas!L62="Dishuquan D",34,IF(Atletas!L62="Dishuquan E",35,IF(Atletas!L62="Dishuquan F",36,""))))))))))))))))))))))))))))))))))))))</f>
        <v/>
      </c>
      <c r="BS71" s="50" t="str">
        <f>IF(Atletas!M62="","",IF(Atletas!X62&lt;&gt;"",10000,0)+(IF(Atletas!B62="Feminino",1000,IF(Atletas!B62="Masculino",2000,""))+(IF(Atletas!M62="Chaquan A",101,IF(Atletas!M62="Emeiquan A",102,IF(Atletas!M62="Fanziquan A",103,IF(Atletas!M62="Huaquan A",104,IF(Atletas!M62="Hongquan A",105,IF(Atletas!M62="Paoquan A",106,IF(Atletas!M62="Piguaquan A",107,IF(Atletas!M62="Shaolinquan A",108,IF(Atletas!M62="Tanglangquan A",109,IF(Atletas!M62="Yingzhaoquan A",110,IF(Atletas!M62="Tongbeiquan A",111,IF(Atletas!M62="Wudangquan A",112,IF(Atletas!M62="Outros Estilos A",113,IF(Atletas!M62="Chaquan B",114,IF(Atletas!M62="Emeiquan B",115,IF(Atletas!M62="Fanziquan B",116,IF(Atletas!M62="Huaquan B",117,IF(Atletas!M62="Hongquan B",118,IF(Atletas!M62="Paoquan B",119,IF(Atletas!M62="Piguaquan B",120,IF(Atletas!M62="Shaolinquan B",121,IF(Atletas!M62="Tanglangquan B",122,IF(Atletas!M62="Yingzhaoquan B",123,IF(Atletas!M62="Tongbeiquan B",124,IF(Atletas!M62="Wudangquan B",125,IF(Atletas!M62="Outros Estilos B",126,IF(Atletas!M62="Chaquan C",127,IF(Atletas!M62="Emeiquan C",128,IF(Atletas!M62="Fanziquan C",129,IF(Atletas!M62="Huaquan C",130,IF(Atletas!M62="Hongquan C",131,IF(Atletas!M62="Paoquan C",132,IF(Atletas!M62="Piguaquan C",133,IF(Atletas!M62="Shaolinquan C",134,IF(Atletas!M62="Tanglangquan C",135,IF(Atletas!M62="Yingzhaoquan C",136,IF(Atletas!M62="Tongbeiquan C",137,IF(Atletas!M62="Wudangquan C",138,IF(Atletas!M62="Outros Estilos C",139,0))))))))))))))))))))))))))))))))))))))))))</f>
        <v/>
      </c>
      <c r="BT71" s="50" t="str">
        <f>IF(Atletas!M62="","",IF(Atletas!X62&lt;&gt;"",10000,0)+(IF(Atletas!B62="Feminino",1000,IF(Atletas!B62="Masculino",2000,""))+(IF(Atletas!M62="Chaquan D",140,IF(Atletas!M62="Emeiquan D",141,IF(Atletas!M62="Fanziquan D",142,IF(Atletas!M62="Huaquan D",143,IF(Atletas!M62="Hongquan D",144,IF(Atletas!M62="Paoquan D",145,IF(Atletas!M62="Piguaquan D",146,IF(Atletas!M62="Shaolinquan D",147,IF(Atletas!M62="Tanglangquan D",148,IF(Atletas!M62="Yingzhaoquan D",149,IF(Atletas!M62="Tongbeiquan D",150,IF(Atletas!M62="Wudangquan D",151,IF(Atletas!M62="Outros Estilos D",152,IF(Atletas!M62="Chaquan E",153,IF(Atletas!M62="Emeiquan E",154,IF(Atletas!M62="Fanziquan E",155,IF(Atletas!M62="Huaquan E",156,IF(Atletas!M62="Hongquan E",157,IF(Atletas!M62="Paoquan E",158,IF(Atletas!M62="Piguaquan E",159,IF(Atletas!M62="Shaolinquan E",160,IF(Atletas!M62="Tanglangquan E",161,IF(Atletas!M62="Yingzhaoquan E",162,IF(Atletas!M62="Tongbeiquan E",163,IF(Atletas!M62="Wudangquan E",164,IF(Atletas!M62="Outros Estilos E",165,IF(Atletas!M62="Chaquan F",166,IF(Atletas!M62="Emeiquan F",167,IF(Atletas!M62="Fanziquan F",168,IF(Atletas!M62="Huaquan F",169,IF(Atletas!M62="Hongquan F",170,IF(Atletas!M62="Paoquan F",171,IF(Atletas!M62="Piguaquan F",172,IF(Atletas!M62="Shaolinquan F",173,IF(Atletas!M62="Tanglangquan F",174,IF(Atletas!M62="Yingzhaoquan F",175,IF(Atletas!M62="Tongbeiquan F",176,IF(Atletas!M62="Wudangquan F",177,IF(Atletas!M62="Outros Estilos F",178,0))))))))))))))))))))))))))))))))))))))))))</f>
        <v/>
      </c>
      <c r="BU71" s="50" t="str">
        <f>IF(Atletas!N62="","",IF(Atletas!X62&lt;&gt;"",10000,0)+(IF(Atletas!B62="Feminino",1000,IF(Atletas!B62="Masculino",2000,""))+(IF(Atletas!N62="Ditangquan A",201,IF(Atletas!N62="Houquan A",202,IF(Atletas!N62="Zuiquan A",203,IF(Atletas!N62="Ditangquan B",204,IF(Atletas!N62="Houquan B",205,IF(Atletas!N62="Zuiquan B",206,IF(Atletas!N62="Ditangquan C",207,IF(Atletas!N62="Houquan C",208,IF(Atletas!N62="Zuiquan C",209,IF(Atletas!N62="Ditangquan D",210,IF(Atletas!N62="Houquan D",211,IF(Atletas!N62="Zuiquan D",212,IF(Atletas!N62="Ditangquan E",213,IF(Atletas!N62="Houquan E",214,IF(Atletas!N62="Zuiquan E",215,IF(Atletas!N62="Ditangquan F",216,IF(Atletas!N62="Houquan F",217,IF(Atletas!N62="Zuiquan F",218,"")))))))))))))))))))))</f>
        <v/>
      </c>
      <c r="BV71" s="50" t="str">
        <f>IF(Atletas!O62="","",IF(Atletas!X62&lt;&gt;"",10000,0)+IF(Atletas!B62="Feminino",1000,IF(Atletas!B62="Masculino",2000,""))+IF(Atletas!O62="Yang A",301,IF(Atletas!O62="Chen A",302,IF(Atletas!O62="Sun A",303,IF(Atletas!O62="Wu A",304,IF(Atletas!O62="Wu-Hao A",305,IF(Atletas!O62="Outro Taijiquan A",306,IF(Atletas!O62="Yang B",307,IF(Atletas!O62="Chen B",308,IF(Atletas!O62="Sun B",309,IF(Atletas!O62="Wu B",310,IF(Atletas!O62="Wu-Hao B",311,IF(Atletas!O62="Outro Taijiquan B",312,IF(Atletas!O62="Yang C",313,IF(Atletas!O62="Chen C",314,IF(Atletas!O62="Sun C",315,IF(Atletas!O62="Wu C",316,IF(Atletas!O62="Wu-Hao C",317,IF(Atletas!O62="Outro Taijiquan C",318,IF(Atletas!O62="Yang D",319,IF(Atletas!O62="Chen D",320,IF(Atletas!O62="Sun D",321,IF(Atletas!O62="Wu D",322,IF(Atletas!O62="Wu-Hao D",323,IF(Atletas!O62="Outro Taijiquan D",324,IF(Atletas!O62="Yang E",325,IF(Atletas!O62="Chen E",326,IF(Atletas!O62="Sun E",327,IF(Atletas!O62="Wu E",328,IF(Atletas!O62="Wu-Hao E",329,IF(Atletas!O62="Outro Taijiquan E",330,IF(Atletas!O62="Yang F",331,IF(Atletas!O62="Chen F",332,IF(Atletas!O62="Sun F",333,IF(Atletas!O62="Wu F",334,IF(Atletas!O62="Wu-Hao F",335,IF(Atletas!O62="Outro Taijiquan F",336,"")))))))))))))))))))))))))))))))))))))</f>
        <v/>
      </c>
      <c r="BW71" s="50" t="str">
        <f>IF(Atletas!P62="","",IF(Atletas!X62&lt;&gt;"",10000,0)+IF(Atletas!B62="Feminino",1000,IF(Atletas!B62="Masculino",2000,""))+IF(OR(Atletas!P62="Yang 26 A",Atletas!P62="Yang 40 A"),401,IF(OR(Atletas!P62="Chen 25 A",Atletas!P62="Chen 36 A",Atletas!P62="Chen 56 A"),402,IF(Atletas!P62="Sun 73 A",403,IF(Atletas!P62="Wu 45 A",404,IF(Atletas!P62="Wu-Hao 46 A",405,IF(OR(Atletas!P62="Taijiquan 16 A",Atletas!P62="Taijiquan 24 A",Atletas!P62="Taijiquan 32 A",Atletas!P62="Taijiquan 42 A"),406,IF(OR(Atletas!P62="Yang 26 B",Atletas!P62="Yang 40 B"),407,IF(OR(Atletas!P62="Chen 25 B",Atletas!P62="Chen 36 B",Atletas!P62="Chen 56 B"),408,IF(Atletas!P62="Sun 73 B",409,IF(Atletas!P62="Wu 45 B",410,IF(Atletas!P62="Wu-Hao 46 B",411,IF(OR(Atletas!P62="Taijiquan 16 B",Atletas!P62="Taijiquan 24 B",Atletas!P62="Taijiquan 32 B",Atletas!P62="Taijiquan 42 B"),412,IF(OR(Atletas!P62="Yang 26 C",Atletas!P62="Yang 40 C"),413,IF(OR(Atletas!P62="Chen 25 C",Atletas!P62="Chen 36 C",Atletas!P62="Chen 56 C"),414,IF(Atletas!P62="Sun 73 C",415,IF(Atletas!P62="Wu 45 C",416,IF(Atletas!P62="Wu-Hao 46 C",417,IF(OR(Atletas!P62="Taijiquan 16 C",Atletas!P62="Taijiquan 24 C",Atletas!P62="Taijiquan 32 C",Atletas!P62="Taijiquan 42 C"),418,0)))))))))))))))))))</f>
        <v/>
      </c>
      <c r="BX71" s="50" t="str">
        <f>IF(Atletas!P62="","",IF(Atletas!X62&lt;&gt;"",10000,0)+IF(Atletas!B62="Feminino",1000,IF(Atletas!B62="Masculino",2000,""))+IF(OR(Atletas!P62="Yang 26 D",Atletas!P62="Yang 40 D"),419,IF(OR(Atletas!P62="Chen 25 D",Atletas!P62="Chen 36 D",Atletas!P62="Chen 56 D"),420,IF(Atletas!P62="Sun 73 D",421,IF(Atletas!P62="Wu 45 D",422,IF(Atletas!P62="Wu-Hao 46 D",423,IF(OR(Atletas!P62="Taijiquan 16 D",Atletas!P62="Taijiquan 24 D",Atletas!P62="Taijiquan 32 D",Atletas!P62="Taijiquan 42 D"),424,IF(OR(Atletas!P62="Yang 26 E",Atletas!P62="Yang 40 E"),425,IF(OR(Atletas!P62="Chen 25 E",Atletas!P62="Chen 36 E",Atletas!P62="Chen 56 E"),426,IF(Atletas!P62="Sun 73 E",427,IF(Atletas!P62="Wu 45 E",428,IF(Atletas!P62="Wu-Hao 46 E",429,IF(OR(Atletas!P62="Taijiquan 16 E",Atletas!P62="Taijiquan 24 E",Atletas!P62="Taijiquan 32 E",Atletas!P62="Taijiquan 42 E"),430,IF(OR(Atletas!P62="Yang 26 F",Atletas!P62="Yang 40 F"),431,IF(OR(Atletas!P62="Chen 25 F",Atletas!P62="Chen 36 F",Atletas!P62="Chen 56 F"),432,IF(Atletas!P62="Sun 73 F",433,IF(Atletas!P62="Wu 45 F",434,IF(Atletas!P62="Wu-Hao 46 F",435,IF(OR(Atletas!P62="Taijiquan 16 F",Atletas!P62="Taijiquan 24 F",Atletas!P62="Taijiquan 32 F",Atletas!P62="Taijiquan 42 F"),436,0)))))))))))))))))))</f>
        <v/>
      </c>
      <c r="BY71" s="50" t="str">
        <f>IF(Atletas!Q62="","",IF(Atletas!X62&lt;&gt;"",10000,0)+IF(Atletas!B62="Feminino",1000,IF(Atletas!B62="Masculino",2000,""))+IF(Atletas!Q62="Xingyiquan A",501,IF(Atletas!Q62="Baguazhang A",502,IF(Atletas!Q62="Outro Estilo Interno A",503,IF(Atletas!Q62="Xingyiquan B",504,IF(Atletas!Q62="Baguazhang B",505,IF(Atletas!Q62="Outro Estilo Interno B",506,IF(Atletas!Q62="Xingyiquan C",507,IF(Atletas!Q62="Baguazhang C",508,IF(Atletas!Q62="Outro Estilo Interno C",509,IF(Atletas!Q62="Xingyiquan D",510,IF(Atletas!Q62="Baguazhang D",511,IF(Atletas!Q62="Outro Estilo Interno D",512,IF(Atletas!Q62="Xingyiquan E",513,IF(Atletas!Q62="Baguazhang E",514,IF(Atletas!Q62="Outro Estilo Interno E",515,IF(Atletas!Q62="Xingyiquan F",516,IF(Atletas!Q62="Baguazhang F",517,IF(Atletas!Q62="Outro Estilo Interno F",518, "")))))))))))))))))))</f>
        <v/>
      </c>
      <c r="BZ71" s="50" t="str">
        <f>IF(Atletas!R62="","",IF(Atletas!X62&lt;&gt;"",10000,0)+IF(Atletas!B62="Feminino",1000,IF(Atletas!B62="Masculino",2000,""))+IF(Atletas!R62="Dao A",601,IF(Atletas!R62="Jian A",602,IF(Atletas!R62="Bishou A",603,IF(Atletas!R62="Shanzi A",604,IF(Atletas!R62="Outra Arma Curta A",605,IF(Atletas!R62="Dao B",606,IF(Atletas!R62="Jian B",607,IF(Atletas!R62="Bishou B",608,IF(Atletas!R62="Shanzi B",609,IF(Atletas!R62="Outra Arma Curta B",610,IF(Atletas!R62="Dao C",611,IF(Atletas!R62="Jian C",612,IF(Atletas!R62="Bishou C",613,IF(Atletas!R62="Shanzi C",614,IF(Atletas!R62="Outra Arma Curta C",615,IF(Atletas!R62="Dao D",616,IF(Atletas!R62="Jian D",617,IF(Atletas!R62="Bishou D",618,IF(Atletas!R62="Shanzi D",619,IF(Atletas!R62="Outra Arma Curta D",620,IF(Atletas!R62="Dao E",621,IF(Atletas!R62="Jian E",622,IF(Atletas!R62="Bishou E",623,IF(Atletas!R62="Shanzi E",624,IF(Atletas!R62="Outra Arma Curta E",625,IF(Atletas!R62="Dao F",626,IF(Atletas!R62="Jian F",627,IF(Atletas!R62="Bishou F",628,IF(Atletas!R62="Shanzi F",629,IF(Atletas!R62="Outra Arma Curta F",630, "")))))))))))))))))))))))))))))))</f>
        <v/>
      </c>
      <c r="CA71" s="50" t="str">
        <f>IF(Atletas!S62="","",IF(Atletas!X62&lt;&gt;"",10000,0)+IF(Atletas!B62="Feminino",1000,IF(Atletas!B62="Masculino",2000,""))+IF(Atletas!S62="Gun A",701,IF(Atletas!S62="Qiang A",702,IF(Atletas!S62="Pudao / Guandao A",703,IF(Atletas!S62="Outra Arma Longa A",704,IF(Atletas!S62="Gun B",705,IF(Atletas!S62="Qiang B",706,IF(Atletas!S62="Pudao / Guandao B",707,IF(Atletas!S62="Outra Arma Longa B",708,IF(Atletas!S62="Gun C",709,IF(Atletas!S62="Qiang C",710,IF(Atletas!S62="Pudao / Guandao C",711,IF(Atletas!S62="Outra Arma Longa C",712,IF(Atletas!S62="Gun D",713,IF(Atletas!S62="Qiang D",714,IF(Atletas!S62="Pudao / Guandao D",715,IF(Atletas!S62="Outra Arma Longa D",716,IF(Atletas!S62="Gun E",717,IF(Atletas!S62="Qiang E",718,IF(Atletas!S62="Pudao / Guandao E",719,IF(Atletas!S62="Outra Arma Longa E",720,IF(Atletas!S62="Gun F",721,IF(Atletas!S62="Qiang F",722,IF(Atletas!S62="Pudao / Guandao F",723,IF(Atletas!S62="Outra Arma Longa F",724,"")))))))))))))))))))))))))</f>
        <v/>
      </c>
      <c r="CB71" s="50" t="str">
        <f>IF(Atletas!T62="","",IF(Atletas!X62&lt;&gt;"",10000,0)+IF(Atletas!B62="Feminino",1000,IF(Atletas!B62="Masculino",2000,""))+IF(Atletas!T62="Outra Arma Dupla A",801,IF(Atletas!T62="Arma Maleável A",802,IF(Atletas!T62="Outra Arma Dupla B",803,IF(Atletas!T62="Arma Maleável B",804,IF(Atletas!T62="Outra Arma Dupla C",805,IF(Atletas!T62="Arma Maleável C",806,IF(Atletas!T62="Outra Arma Dupla D",807,IF(Atletas!T62="Arma Maleável D",808,IF(Atletas!T62="Outra Arma Dupla E",809,IF(Atletas!T62="Arma Maleável E",810,IF(Atletas!T62="Outra Arma Dupla F",811,IF(Atletas!T62="Arma Maleável F",812,IF(Atletas!T62="Shuangdao A",813,IF(Atletas!T62="Shuangdao B",814,IF(Atletas!T62="Shuangdao C",815,IF(Atletas!T62="Shuangdao D",816,IF(Atletas!T62="Shuangdao E",817,IF(Atletas!T62="Shuangdao F",818,"")))))))))))))))))))</f>
        <v/>
      </c>
      <c r="CC71" s="50" t="str">
        <f>IF(Atletas!U62="","",IF(Atletas!X62&lt;&gt;"",10000,0)+IF(Atletas!B62="Feminino",1000,IF(Atletas!B62="Masculino",2000,""))+IF(OR(Atletas!U62="Taijijian Yang A",Atletas!U62="Taijijian Yang Standard A"),901,IF(OR(Atletas!U62="Taijijian Chen A", Atletas!U62="Taijijian Chen Standard A"),902,IF(Atletas!U62="Taijijian Sun A",903,IF(Atletas!U62="Taijijian Wu A",904,IF(Atletas!U62="Taijijian Wu-Hao A",905,IF(OR(Atletas!U62="Taijijian 32 A",Atletas!U62="Taijijian 42 A"),906,IF(OR(Atletas!U62="Taijijian Yang B",Atletas!U62="Taijijian Yang Standard B"),907,IF(OR(Atletas!U62="Taijijian Chen B", Atletas!U62="Taijijian Chen Standard B"),908,IF(Atletas!U62="Taijijian Sun B",909,IF(Atletas!U62="Taijijian Wu B",910,IF(Atletas!U62="Taijijian Wu-Hao B",911,IF(OR(Atletas!U62="Taijijian 32 B",Atletas!U62="Taijijian 42 B"),912,IF(OR(Atletas!U62="Taijijian Yang C",Atletas!U62="Taijijian Yang Standard C"),913,IF(OR(Atletas!U62="Taijijian Chen C", Atletas!U62="Taijijian Chen Standard C"),914,IF(Atletas!U62="Taijijian Sun C",915,IF(Atletas!U62="Taijijian Wu C",916,IF(Atletas!U62="Taijijian Wu-Hao C",917,IF(OR(Atletas!U62="Taijijian 32 C",Atletas!U62="Taijijian 42 C"),918,IF(OR(Atletas!U62="Taijijian Yang D",Atletas!U62="Taijijian Yang Standard D"),919,IF(OR(Atletas!U62="Taijijian Chen D", Atletas!U62="Taijijian Chen Standard D"),920,IF(Atletas!U62="Taijijian Sun D",921,IF(Atletas!U62="Taijijian Wu D",922,IF(Atletas!U62="Taijijian Wu-Hao D",923,IF(OR(Atletas!U62="Taijijian 32 D",Atletas!U62="Taijijian 42 D"),924,IF(OR(Atletas!U62="Taijijian Yang E",Atletas!U62="Taijijian Yang Standard E"),925,IF(OR(Atletas!U62="Taijijian Chen E", Atletas!U62="Taijijian Chen Standard E"),926,IF(Atletas!U62="Taijijian Sun E",927,IF(Atletas!U62="Taijijian Wu E",928,IF(Atletas!U62="Taijijian Wu-Hao E",929,IF(OR(Atletas!U62="Taijijian 32 E",Atletas!U62="Taijijian 42 E"),930,IF(OR(Atletas!U62="Taijijian Yang F",Atletas!U62="Taijijian Yang Standard F"),931,IF(OR(Atletas!U62="Taijijian Chen F", Atletas!U62="Taijijian Chen Standard F"),932,IF(Atletas!U62="Taijijian Sun F",933,IF(Atletas!U62="Taijijian Wu F",934,IF(Atletas!U62="Taijijian Wu-Hao F",935,IF(OR(Atletas!U62="Taijijian 32 F",Atletas!U62="Taijijian 42 F"),936,"")))))))))))))))))))))))))))))))))))))</f>
        <v/>
      </c>
      <c r="CD71" s="50" t="str">
        <f>IF(Atletas!V62="","",IF(Atletas!X62&lt;&gt;"",10000,0)+IF(Atletas!B62="Feminino",1000,IF(Atletas!B62="Masculino",2000,""))+IF(Atletas!V62="Taijidao A",937,IF(Atletas!V62="TaijiShanzi A",938,IF(Atletas!V62="Taijiqiang A",939,IF(Atletas!V62="Bagua de Arma A",940,IF(Atletas!V62="Xingyi de Arma A",941,IF(Atletas!V62="Taijidao B",942,IF(Atletas!V62="TaijiShanzi B",943,IF(Atletas!V62="Taijiqiang B",944,IF(Atletas!V62="Bagua de Arma B",945,IF(Atletas!V62="Xingyi de Arma B",946,IF(Atletas!V62="Taijidao C",947,IF(Atletas!V62="TaijiShanzi C",948,IF(Atletas!V62="Taijiqiang C",949,IF(Atletas!V62="Bagua de Arma C",950,IF(Atletas!V62="Xingyi de Arma C",951,IF(Atletas!V62="Taijidao D",952,IF(Atletas!V62="TaijiShanzi D",953,IF(Atletas!V62="Taijiqiang D",954,IF(Atletas!V62="Bagua de Arma D",955,IF(Atletas!V62="Xingyi de Arma D",956,IF(Atletas!V62="Taijidao E",957,IF(Atletas!V62="TaijiShanzi E",958,IF(Atletas!V62="Taijiqiang E",959,IF(Atletas!V62="Bagua de Arma E",960,IF(Atletas!V62="Xingyi de Arma E",961,IF(Atletas!V62="Taijidao F",962,IF(Atletas!V62="TaijiShanzi F",963,IF(Atletas!V62="Taijiqiang F",964,IF(Atletas!V62="Bagua de Arma F",965,IF(Atletas!V62="Xingyi de Arma F",966,"")))))))))))))))))))))))))))))))</f>
        <v/>
      </c>
      <c r="CE71" s="66" t="str">
        <f>IF(CF71&lt;&gt;"","Fanziquan C","")</f>
        <v/>
      </c>
      <c r="CF71" s="66" t="str">
        <f>IF(COUNTIF(BR:CD,1129)&gt;0,COUNTIF(BR:CD,1129),"")</f>
        <v/>
      </c>
      <c r="CG71" s="66" t="str">
        <f>IF(CH71&lt;&gt;"","Fanziquan C","")</f>
        <v/>
      </c>
      <c r="CH71" s="66" t="str">
        <f>IF(COUNTIF(BR:CD,2129)&gt;0,COUNTIF(BR:CD,2129),"")</f>
        <v/>
      </c>
      <c r="CI71" s="66" t="str">
        <f>IF(CJ71&lt;&gt;"","Tanglangquan C","")</f>
        <v/>
      </c>
      <c r="CJ71" s="66" t="str">
        <f>IF(COUNTIF(BR:CD,11135)&gt;0,COUNTIF(BR:CD,11135),"")</f>
        <v/>
      </c>
      <c r="CK71" s="66" t="str">
        <f>IF(CL71&lt;&gt;"","Tanglangquan C","")</f>
        <v/>
      </c>
      <c r="CL71" s="66" t="str">
        <f>IF(COUNTIF(BR:CD,12135)&gt;0,COUNTIF(BR:CD,12135),"")</f>
        <v/>
      </c>
      <c r="CM71" s="50" t="str">
        <f xml:space="preserve"> IF(Atletas!W62="","",IF(Atletas!W62="Duilian de Mãos BC - Equipe 1",1,IF(Atletas!W62="Duilian de Mãos BC - Equipe 2",2,IF(Atletas!W62="Duilian de Armas BC - Equipe 1",3,IF(Atletas!W62="Duilian de Armas BC - Equipe 2",4,IF(Atletas!W62="Duilian de Mãos DE - Equipe 1",5,IF(Atletas!W62="Duilian de Mãos DE - Equipe 2",6,IF(Atletas!W62="Duilian de Armas DE - Equipe 1",7,IF(Atletas!W62="Duilian de Armas DE - Equipe 2",8,IF(Atletas!W62="Duilian de Tuishou - Equipe 1",9,IF(Atletas!W62="Duilian de Tuishou - Equipe 2",10,IF(Atletas!W62="Grupo Externo ABC - Equipe 1",11,IF(Atletas!W62="Grupo Externo ABC - Equipe 2",12,IF(Atletas!W62="Grupo Interno ABC - Equipe 1",13,IF(Atletas!W62="Grupo Interno ABC - Equipe 2",14,IF(Atletas!W62="Grupo Externo DEF - Equipe 1",15,IF(Atletas!W62="Grupo Externo DEF - Equipe 2",16,IF(Atletas!W62="Grupo Interno DEF - Equipe 1",17,IF(Atletas!W62="Grupo Interno DEF - Equipe 2",18,"")))))))))))))))))))</f>
        <v/>
      </c>
    </row>
    <row r="72" spans="2:103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20"/>
      <c r="Y72" s="3"/>
      <c r="Z72" s="3" t="str">
        <f t="array" ref="Z72">IFERROR(INDEX(CE$7:CE$348,SMALL(IF(CE$7:CE$348&lt;&gt;"",ROW(CE$7:CE$348)-ROW(CE$7)+1),ROWS(CE$7:CE71))),"")</f>
        <v/>
      </c>
      <c r="AA72" s="3" t="str">
        <f t="array" ref="AA72">IFERROR(INDEX(CF$7:CF$348,SMALL(IF(CF$7:CF$348&lt;&gt;"",ROW(CF$7:CF$348)-ROW(CF$7)+1),ROWS(CF$7:CF71))),"")</f>
        <v/>
      </c>
      <c r="AB72" s="3" t="str">
        <f t="array" ref="AB72">IFERROR(INDEX(CG$7:CG$348,SMALL(IF(CG$7:CG$348&lt;&gt;"",ROW(CG$7:CG$348)-ROW(CG$7)+1),ROWS(CG$7:CG71))),"")</f>
        <v/>
      </c>
      <c r="AC72" s="3" t="str">
        <f t="array" ref="AC72">IFERROR(INDEX(CH$7:CH$348,SMALL(IF(CH$7:CH$348&lt;&gt;"",ROW(CH$7:CH$348)-ROW(CH$7)+1),ROWS(CH$7:CH71))),"")</f>
        <v/>
      </c>
      <c r="AD72" s="3" t="str">
        <f t="array" ref="AD72">IFERROR(INDEX(CI$7:CI$377,SMALL(IF(CI$7:CI$377&lt;&gt;"",ROW(CI$7:CI$377)-ROW(CI$7)+1),ROWS(CI$7:CI71))),"")</f>
        <v/>
      </c>
      <c r="AE72" s="3" t="str">
        <f t="array" ref="AE72">IFERROR(INDEX(CJ$7:CJ$378,SMALL(IF(CJ$7:CJ$378&lt;&gt;"",ROW(CJ$7:CJ$378)-ROW(CJ$7)+1),ROWS(CJ$7:CJ71))),"")</f>
        <v/>
      </c>
      <c r="AF72" s="3" t="str">
        <f t="array" ref="AF72">IFERROR(INDEX(CK$7:CK$378,SMALL(IF(CK$7:CK$378&lt;&gt;"",ROW(CK$7:CK$378)-ROW(CK$7)+1),ROWS(CK$7:CK71))),"")</f>
        <v/>
      </c>
      <c r="AG72" s="3" t="str">
        <f t="array" ref="AG72">IFERROR(INDEX(CL$7:CL$378,SMALL(IF(CL$7:CL$378&lt;&gt;"",ROW(CL$7:CL$378)-ROW(CL$7)+1),ROWS(CL$7:CL71))),"")</f>
        <v/>
      </c>
      <c r="AH72" s="3"/>
      <c r="AI72" s="3"/>
      <c r="AJ72" s="3"/>
      <c r="AK72" s="3"/>
      <c r="AL72" s="3"/>
      <c r="AM72" s="3"/>
      <c r="AN72" s="52" t="str">
        <f>IF(Atletas!D63="","",IF(Atletas!B63="Feminino",100,IF(Atletas!B63="Masculino",200,""))+(IF(Atletas!D63="Kids 30kg",1,IF(Atletas!D63="Kids 32kg",2, IF(Atletas!D63="Kids 34kg",3,IF(Atletas!D63="Kids 36kg",4,IF(Atletas!D63="Kids 39kg",5,IF(Atletas!D63="Kids 42kg",6,IF(Atletas!D63="Kids 45kg",7, IF(Atletas!D63="Infantil 39kg",8,IF(Atletas!D63="Infantil 42kg",9,IF(Atletas!D63="Infantil 45kg",10,IF(Atletas!D63="Infantil 48kg",11,IF(Atletas!D63="Infantil 52kg",12,IF(Atletas!D63="Infantil 56kg",13,IF(Atletas!D63="Infantil 60kg",14,IF(Atletas!D63="Juvenil 48kg",15,IF(Atletas!D63="Juvenil 52kg",16,IF(Atletas!D63="Juvenil 56kg",17,IF(Atletas!D63="Juvenil 60kg",18,IF(Atletas!D63="Juvenil 65kg",19,IF(Atletas!D63="Juvenil 70kg",20,IF(Atletas!D63="Juvenil 75kg",21,IF(Atletas!D63="Juvenil 80kg",22, IF(Atletas!D63="Juvenil 85kg",23,IF(Atletas!D63="Adulto 48kg",24,IF(Atletas!D63="Adulto 52kg",25,IF(Atletas!D63="Adulto 56kg",26,IF(Atletas!D63="Adulto 60kg",27,IF(Atletas!D63="Adulto 65kg",28,IF(Atletas!D63="Adulto 70kg",29,IF(Atletas!D63="Adulto 75kg",30,IF(Atletas!D63="Adulto 80kg",31,IF(Atletas!D63="Adulto 85kg",32,IF(Atletas!D63="Adulto 90kg",33,IF(Atletas!D63="Adulto 100kg",34, IF(Atletas!D63="Adulto +100kg",35,"")))))))))))))))))))))))))))))))))))))</f>
        <v/>
      </c>
      <c r="AS72" s="6" t="str">
        <f>IF(Atletas!E63="","",IF(Atletas!B63="Feminino",100,IF(Atletas!B63="Masculino",200,""))+(IF(Atletas!E63="Juvenil 44kg",1,IF(Atletas!E63="Juvenil 48kg",2,IF(Atletas!E63="Juvenil 52kg",3,IF(Atletas!E63="Juvenil 56kg",4,IF(Atletas!E63="Juvenil 60kg",5,IF(Atletas!E63="Juvenil 65kg",6,IF(Atletas!E63="Juvenil 70kg",7,IF(Atletas!E63="Juvenil 75kg",8,IF(Atletas!E63="Juvenil 82kg",9,IF(Atletas!E63="Juvenil 90kg",10,IF(Atletas!E63="Juvenil 100kg",11,IF(Atletas!E63="Adulto 48kg",12,IF(Atletas!E63="Adulto 52kg",13,IF(Atletas!E63="Adulto 56kg",14,IF(Atletas!E63="Adulto 60kg",15,IF(Atletas!E63="Adulto 65kg",16,IF(Atletas!E63="Adulto 70kg",17,IF(Atletas!E63="Adulto 75kg",18,IF(Atletas!E63="Adulto 82kg",19,IF(Atletas!E63="Adulto 90kg",20,IF(Atletas!E63="Adulto 100kg",21,IF(Atletas!E63="Adulto +100kg",22,""))))))))))))))))))))))))</f>
        <v/>
      </c>
      <c r="AX72" s="6" t="str">
        <f>IF(Atletas!F63="","",IF(Atletas!B63="Feminino",100,IF(Atletas!B63="Masculino",200,""))+(IF(Atletas!F63="Adulto 48kg",1,IF(Atletas!F63="Adulto 56kg",2,IF(Atletas!F63="Adulto 65kg",3,IF(Atletas!F63="Adulto 75kg",4,IF(Atletas!F63="Adulto +75kg",5,IF(Atletas!F63="Adulto 52kg",6,IF(Atletas!F63="Adulto 60kg",7,IF(Atletas!F63="Adulto 70kg",8,IF(Atletas!F63="Adulto 80kg",9,IF(Atletas!F63="Adulto 90kg",10,IF(Atletas!F63="Adulto +90kg",11,"")))))))))))))</f>
        <v/>
      </c>
      <c r="BC72" s="6" t="str">
        <f>IF(Atletas!G63="","",IF(Atletas!B63="Feminino",10,IF(Atletas!B63="Masculino",20,""))+(IF(Atletas!G63="Baduanjin A",1,IF(Atletas!G63="Baduanjin B",2))))</f>
        <v/>
      </c>
      <c r="BF72" s="52" t="str">
        <f>IF(Atletas!H63="","",IF(Atletas!B63="Feminino",100,IF(Atletas!B63="Masculino",200,""))+(IF(Atletas!H63="Changquan Mirim",1,IF(Atletas!H63="Nanquan Mirim",2,IF(Atletas!H63="Taijiquan Mirim",3,IF(Atletas!H63="Changquan Grupo C",4,IF(Atletas!H63="Nanquan Grupo C",5,IF(Atletas!H63="Taijiquan Grupo C",6,IF(Atletas!H63="Changquan Grupo B",7,IF(Atletas!H63="Nanquan Grupo B",8,IF(Atletas!H63="Taijiquan Grupo B",9,IF(Atletas!H63="Changquan Grupo A",10,IF(Atletas!H63="Nanquan Grupo A",11,IF(Atletas!H63="Taijiquan Grupo A",12,IF(Atletas!H63="Changquan Opcional",13,IF(Atletas!H63="Nanquan Opcional",14,IF(Atletas!H63="Taijiquan Opcional",15,IF(Atletas!H63="Changquan Adulto",16,IF(Atletas!H63="Nanquan Adulto",17,IF(Atletas!H63="Taijiquan Adulto",18,""))))))))))))))))))))</f>
        <v/>
      </c>
      <c r="BG72" s="52" t="str">
        <f>IF(Atletas!I63="","",IF(Atletas!B63="Feminino",100,IF(Atletas!B63="Masculino",200,""))+(IF(Atletas!I63="Daoshu Mirim",19,IF(Atletas!I63="Jianshu Mirim",20,IF(Atletas!I63="Nandao Mirim",21,IF(Atletas!I63="Taijijian Mirim",22,IF(Atletas!I63="Daoshu Grupo C",23,IF(Atletas!I63="Jianshu Grupo C",24,IF(Atletas!I63="Nandao Grupo C",25,IF(Atletas!I63="Taijijian Grupo C",26,IF(Atletas!I63="Daoshu Grupo B",27,IF(Atletas!I63="Jianshu Grupo B",28,IF(Atletas!I63="Nandao Grupo B",29,IF(Atletas!I63="Taijijian Grupo B",30,IF(Atletas!I63="Daoshu Grupo A",31,IF(Atletas!I63="Jianshu Grupo A",32,IF(Atletas!I63="Nandao Grupo A",33,IF(Atletas!I63="Taijijian Grupo A",34,IF(Atletas!I63="Daoshu Opcional",35,IF(Atletas!I63="Jianshu Opcional",36,IF(Atletas!I63="Nandao Opcional",37,IF(Atletas!I63="Taijijian Opcional",38,IF(Atletas!I63="Daoshu Adulto",39,IF(Atletas!I63="Jianshu Adulto",40,IF(Atletas!I63="Nandao Adulto",41,IF(Atletas!I63="Taijijian Adulto",42,""))))))))))))))))))))))))))</f>
        <v/>
      </c>
      <c r="BH72" s="52" t="str">
        <f>IF(Atletas!J63="","",IF(Atletas!B63="Feminino",100,IF(Atletas!B63="Masculino",200,""))+(IF(Atletas!J63="Gunshu Mirim",43,IF(Atletas!J63="Qiangshu Mirim",44,IF(Atletas!J63="Nangun Mirim",45,IF(Atletas!J63="Gunshu Grupo C",46,IF(Atletas!J63="Qiangshu Grupo C",47,IF(Atletas!J63="Nangun Grupo C",48,IF(Atletas!J63="Gunshu Grupo B",49,IF(Atletas!J63="Qiangshu Grupo B",50,IF(Atletas!J63="Nangun Grupo B",51,IF(Atletas!J63="Gunshu Grupo A",52,IF(Atletas!J63="Qiangshu Grupo A",53,IF(Atletas!J63="Nangun Grupo A",54,IF(Atletas!J63="Gunshu Opcional",55,IF(Atletas!J63="Qiangshu Opcional",56,IF(Atletas!J63="Nangun Opcional",57,IF(Atletas!J63="Gunshu Adulto",58,IF(Atletas!J63="Qiangshu Adulto",59,IF(Atletas!J63="Nangun Adulto",60,IF(Atletas!J63="Taijishan Grupo B",61,IF(Atletas!J63="Taijishan Grupo A",62,""))))))))))))))))))))))</f>
        <v/>
      </c>
      <c r="BM72" s="50" t="str">
        <f>IF(Atletas!K63="","",IF(Atletas!B63="Feminino",100,IF(Atletas!B63="Masculino",200,""))+(IF(Atletas!K63="Equipe 1 Grupo B",1,IF(Atletas!K63="Equipe 2 Grupo B",2,IF(Atletas!K63="Equipe 1 Grupo A",3,IF(Atletas!K63="Equipe 2 Grupo A",4,IF(Atletas!K63="Equipe 1 Adulto",5,IF(Atletas!K63="Equipe 2 Adulto",6,""))))))))</f>
        <v/>
      </c>
      <c r="BR72" s="50" t="str">
        <f>IF(Atletas!L63="","",IF(Atletas!X63&lt;&gt;"",10000,0)+(IF(Atletas!B63="Feminino",1000,IF(Atletas!B63="Masculino",2000,""))+IF(Atletas!L63="Choylayfut A",1,IF(Atletas!L63="Hunggar A",2,IF(Atletas!L63="Wuzuquan A",3,IF(Atletas!L63="Wingchun A",4,IF(Atletas!L63="Outra Mão de Sul A",5,IF(Atletas!L63="Choylayfut B",6,IF(Atletas!L63="Hunggar B",7,IF(Atletas!L63="Wuzuquan B",8,IF(Atletas!L63="Wingchun B",9,IF(Atletas!L63="Outra Mão de Sul B",10,IF(Atletas!L63="Choylayfut C",11,IF(Atletas!L63="Hunggar C",12,IF(Atletas!L63="Wuzuquan C",13,IF(Atletas!L63="Wingchun C",14,IF(Atletas!L63="Outra Mão de Sul C",15,IF(Atletas!L63="Choylayfut D",16,IF(Atletas!L63="Hunggar D",17,IF(Atletas!L63="Wuzuquan D",18,IF(Atletas!L63="Wingchun D",19,IF(Atletas!L63="Outra Mão de Sul D",20,IF(Atletas!L63="Choylayfut E",21,IF(Atletas!L63="Hunggar E",22,IF(Atletas!L63="Wuzuquan E",23,IF(Atletas!L63="Wingchun E",24,IF(Atletas!L63="Outra Mão de Sul E",25,IF(Atletas!L63="Choylayfut F",26,IF(Atletas!L63="Hunggar F",27,IF(Atletas!L63="Wuzuquan F",28,IF(Atletas!L63="Wingchun F",29,IF(Atletas!L63="Outra Mão de Sul F",30,IF(Atletas!L63="Dishuquan A",31,IF(Atletas!L63="Dishuquan B",32,IF(Atletas!L63="Dishuquan C",33,IF(Atletas!L63="Dishuquan D",34,IF(Atletas!L63="Dishuquan E",35,IF(Atletas!L63="Dishuquan F",36,""))))))))))))))))))))))))))))))))))))))</f>
        <v/>
      </c>
      <c r="BS72" s="50" t="str">
        <f>IF(Atletas!M63="","",IF(Atletas!X63&lt;&gt;"",10000,0)+(IF(Atletas!B63="Feminino",1000,IF(Atletas!B63="Masculino",2000,""))+(IF(Atletas!M63="Chaquan A",101,IF(Atletas!M63="Emeiquan A",102,IF(Atletas!M63="Fanziquan A",103,IF(Atletas!M63="Huaquan A",104,IF(Atletas!M63="Hongquan A",105,IF(Atletas!M63="Paoquan A",106,IF(Atletas!M63="Piguaquan A",107,IF(Atletas!M63="Shaolinquan A",108,IF(Atletas!M63="Tanglangquan A",109,IF(Atletas!M63="Yingzhaoquan A",110,IF(Atletas!M63="Tongbeiquan A",111,IF(Atletas!M63="Wudangquan A",112,IF(Atletas!M63="Outros Estilos A",113,IF(Atletas!M63="Chaquan B",114,IF(Atletas!M63="Emeiquan B",115,IF(Atletas!M63="Fanziquan B",116,IF(Atletas!M63="Huaquan B",117,IF(Atletas!M63="Hongquan B",118,IF(Atletas!M63="Paoquan B",119,IF(Atletas!M63="Piguaquan B",120,IF(Atletas!M63="Shaolinquan B",121,IF(Atletas!M63="Tanglangquan B",122,IF(Atletas!M63="Yingzhaoquan B",123,IF(Atletas!M63="Tongbeiquan B",124,IF(Atletas!M63="Wudangquan B",125,IF(Atletas!M63="Outros Estilos B",126,IF(Atletas!M63="Chaquan C",127,IF(Atletas!M63="Emeiquan C",128,IF(Atletas!M63="Fanziquan C",129,IF(Atletas!M63="Huaquan C",130,IF(Atletas!M63="Hongquan C",131,IF(Atletas!M63="Paoquan C",132,IF(Atletas!M63="Piguaquan C",133,IF(Atletas!M63="Shaolinquan C",134,IF(Atletas!M63="Tanglangquan C",135,IF(Atletas!M63="Yingzhaoquan C",136,IF(Atletas!M63="Tongbeiquan C",137,IF(Atletas!M63="Wudangquan C",138,IF(Atletas!M63="Outros Estilos C",139,0))))))))))))))))))))))))))))))))))))))))))</f>
        <v/>
      </c>
      <c r="BT72" s="50" t="str">
        <f>IF(Atletas!M63="","",IF(Atletas!X63&lt;&gt;"",10000,0)+(IF(Atletas!B63="Feminino",1000,IF(Atletas!B63="Masculino",2000,""))+(IF(Atletas!M63="Chaquan D",140,IF(Atletas!M63="Emeiquan D",141,IF(Atletas!M63="Fanziquan D",142,IF(Atletas!M63="Huaquan D",143,IF(Atletas!M63="Hongquan D",144,IF(Atletas!M63="Paoquan D",145,IF(Atletas!M63="Piguaquan D",146,IF(Atletas!M63="Shaolinquan D",147,IF(Atletas!M63="Tanglangquan D",148,IF(Atletas!M63="Yingzhaoquan D",149,IF(Atletas!M63="Tongbeiquan D",150,IF(Atletas!M63="Wudangquan D",151,IF(Atletas!M63="Outros Estilos D",152,IF(Atletas!M63="Chaquan E",153,IF(Atletas!M63="Emeiquan E",154,IF(Atletas!M63="Fanziquan E",155,IF(Atletas!M63="Huaquan E",156,IF(Atletas!M63="Hongquan E",157,IF(Atletas!M63="Paoquan E",158,IF(Atletas!M63="Piguaquan E",159,IF(Atletas!M63="Shaolinquan E",160,IF(Atletas!M63="Tanglangquan E",161,IF(Atletas!M63="Yingzhaoquan E",162,IF(Atletas!M63="Tongbeiquan E",163,IF(Atletas!M63="Wudangquan E",164,IF(Atletas!M63="Outros Estilos E",165,IF(Atletas!M63="Chaquan F",166,IF(Atletas!M63="Emeiquan F",167,IF(Atletas!M63="Fanziquan F",168,IF(Atletas!M63="Huaquan F",169,IF(Atletas!M63="Hongquan F",170,IF(Atletas!M63="Paoquan F",171,IF(Atletas!M63="Piguaquan F",172,IF(Atletas!M63="Shaolinquan F",173,IF(Atletas!M63="Tanglangquan F",174,IF(Atletas!M63="Yingzhaoquan F",175,IF(Atletas!M63="Tongbeiquan F",176,IF(Atletas!M63="Wudangquan F",177,IF(Atletas!M63="Outros Estilos F",178,0))))))))))))))))))))))))))))))))))))))))))</f>
        <v/>
      </c>
      <c r="BU72" s="50" t="str">
        <f>IF(Atletas!N63="","",IF(Atletas!X63&lt;&gt;"",10000,0)+(IF(Atletas!B63="Feminino",1000,IF(Atletas!B63="Masculino",2000,""))+(IF(Atletas!N63="Ditangquan A",201,IF(Atletas!N63="Houquan A",202,IF(Atletas!N63="Zuiquan A",203,IF(Atletas!N63="Ditangquan B",204,IF(Atletas!N63="Houquan B",205,IF(Atletas!N63="Zuiquan B",206,IF(Atletas!N63="Ditangquan C",207,IF(Atletas!N63="Houquan C",208,IF(Atletas!N63="Zuiquan C",209,IF(Atletas!N63="Ditangquan D",210,IF(Atletas!N63="Houquan D",211,IF(Atletas!N63="Zuiquan D",212,IF(Atletas!N63="Ditangquan E",213,IF(Atletas!N63="Houquan E",214,IF(Atletas!N63="Zuiquan E",215,IF(Atletas!N63="Ditangquan F",216,IF(Atletas!N63="Houquan F",217,IF(Atletas!N63="Zuiquan F",218,"")))))))))))))))))))))</f>
        <v/>
      </c>
      <c r="BV72" s="50" t="str">
        <f>IF(Atletas!O63="","",IF(Atletas!X63&lt;&gt;"",10000,0)+IF(Atletas!B63="Feminino",1000,IF(Atletas!B63="Masculino",2000,""))+IF(Atletas!O63="Yang A",301,IF(Atletas!O63="Chen A",302,IF(Atletas!O63="Sun A",303,IF(Atletas!O63="Wu A",304,IF(Atletas!O63="Wu-Hao A",305,IF(Atletas!O63="Outro Taijiquan A",306,IF(Atletas!O63="Yang B",307,IF(Atletas!O63="Chen B",308,IF(Atletas!O63="Sun B",309,IF(Atletas!O63="Wu B",310,IF(Atletas!O63="Wu-Hao B",311,IF(Atletas!O63="Outro Taijiquan B",312,IF(Atletas!O63="Yang C",313,IF(Atletas!O63="Chen C",314,IF(Atletas!O63="Sun C",315,IF(Atletas!O63="Wu C",316,IF(Atletas!O63="Wu-Hao C",317,IF(Atletas!O63="Outro Taijiquan C",318,IF(Atletas!O63="Yang D",319,IF(Atletas!O63="Chen D",320,IF(Atletas!O63="Sun D",321,IF(Atletas!O63="Wu D",322,IF(Atletas!O63="Wu-Hao D",323,IF(Atletas!O63="Outro Taijiquan D",324,IF(Atletas!O63="Yang E",325,IF(Atletas!O63="Chen E",326,IF(Atletas!O63="Sun E",327,IF(Atletas!O63="Wu E",328,IF(Atletas!O63="Wu-Hao E",329,IF(Atletas!O63="Outro Taijiquan E",330,IF(Atletas!O63="Yang F",331,IF(Atletas!O63="Chen F",332,IF(Atletas!O63="Sun F",333,IF(Atletas!O63="Wu F",334,IF(Atletas!O63="Wu-Hao F",335,IF(Atletas!O63="Outro Taijiquan F",336,"")))))))))))))))))))))))))))))))))))))</f>
        <v/>
      </c>
      <c r="BW72" s="50" t="str">
        <f>IF(Atletas!P63="","",IF(Atletas!X63&lt;&gt;"",10000,0)+IF(Atletas!B63="Feminino",1000,IF(Atletas!B63="Masculino",2000,""))+IF(OR(Atletas!P63="Yang 26 A",Atletas!P63="Yang 40 A"),401,IF(OR(Atletas!P63="Chen 25 A",Atletas!P63="Chen 36 A",Atletas!P63="Chen 56 A"),402,IF(Atletas!P63="Sun 73 A",403,IF(Atletas!P63="Wu 45 A",404,IF(Atletas!P63="Wu-Hao 46 A",405,IF(OR(Atletas!P63="Taijiquan 16 A",Atletas!P63="Taijiquan 24 A",Atletas!P63="Taijiquan 32 A",Atletas!P63="Taijiquan 42 A"),406,IF(OR(Atletas!P63="Yang 26 B",Atletas!P63="Yang 40 B"),407,IF(OR(Atletas!P63="Chen 25 B",Atletas!P63="Chen 36 B",Atletas!P63="Chen 56 B"),408,IF(Atletas!P63="Sun 73 B",409,IF(Atletas!P63="Wu 45 B",410,IF(Atletas!P63="Wu-Hao 46 B",411,IF(OR(Atletas!P63="Taijiquan 16 B",Atletas!P63="Taijiquan 24 B",Atletas!P63="Taijiquan 32 B",Atletas!P63="Taijiquan 42 B"),412,IF(OR(Atletas!P63="Yang 26 C",Atletas!P63="Yang 40 C"),413,IF(OR(Atletas!P63="Chen 25 C",Atletas!P63="Chen 36 C",Atletas!P63="Chen 56 C"),414,IF(Atletas!P63="Sun 73 C",415,IF(Atletas!P63="Wu 45 C",416,IF(Atletas!P63="Wu-Hao 46 C",417,IF(OR(Atletas!P63="Taijiquan 16 C",Atletas!P63="Taijiquan 24 C",Atletas!P63="Taijiquan 32 C",Atletas!P63="Taijiquan 42 C"),418,0)))))))))))))))))))</f>
        <v/>
      </c>
      <c r="BX72" s="50" t="str">
        <f>IF(Atletas!P63="","",IF(Atletas!X63&lt;&gt;"",10000,0)+IF(Atletas!B63="Feminino",1000,IF(Atletas!B63="Masculino",2000,""))+IF(OR(Atletas!P63="Yang 26 D",Atletas!P63="Yang 40 D"),419,IF(OR(Atletas!P63="Chen 25 D",Atletas!P63="Chen 36 D",Atletas!P63="Chen 56 D"),420,IF(Atletas!P63="Sun 73 D",421,IF(Atletas!P63="Wu 45 D",422,IF(Atletas!P63="Wu-Hao 46 D",423,IF(OR(Atletas!P63="Taijiquan 16 D",Atletas!P63="Taijiquan 24 D",Atletas!P63="Taijiquan 32 D",Atletas!P63="Taijiquan 42 D"),424,IF(OR(Atletas!P63="Yang 26 E",Atletas!P63="Yang 40 E"),425,IF(OR(Atletas!P63="Chen 25 E",Atletas!P63="Chen 36 E",Atletas!P63="Chen 56 E"),426,IF(Atletas!P63="Sun 73 E",427,IF(Atletas!P63="Wu 45 E",428,IF(Atletas!P63="Wu-Hao 46 E",429,IF(OR(Atletas!P63="Taijiquan 16 E",Atletas!P63="Taijiquan 24 E",Atletas!P63="Taijiquan 32 E",Atletas!P63="Taijiquan 42 E"),430,IF(OR(Atletas!P63="Yang 26 F",Atletas!P63="Yang 40 F"),431,IF(OR(Atletas!P63="Chen 25 F",Atletas!P63="Chen 36 F",Atletas!P63="Chen 56 F"),432,IF(Atletas!P63="Sun 73 F",433,IF(Atletas!P63="Wu 45 F",434,IF(Atletas!P63="Wu-Hao 46 F",435,IF(OR(Atletas!P63="Taijiquan 16 F",Atletas!P63="Taijiquan 24 F",Atletas!P63="Taijiquan 32 F",Atletas!P63="Taijiquan 42 F"),436,0)))))))))))))))))))</f>
        <v/>
      </c>
      <c r="BY72" s="50" t="str">
        <f>IF(Atletas!Q63="","",IF(Atletas!X63&lt;&gt;"",10000,0)+IF(Atletas!B63="Feminino",1000,IF(Atletas!B63="Masculino",2000,""))+IF(Atletas!Q63="Xingyiquan A",501,IF(Atletas!Q63="Baguazhang A",502,IF(Atletas!Q63="Outro Estilo Interno A",503,IF(Atletas!Q63="Xingyiquan B",504,IF(Atletas!Q63="Baguazhang B",505,IF(Atletas!Q63="Outro Estilo Interno B",506,IF(Atletas!Q63="Xingyiquan C",507,IF(Atletas!Q63="Baguazhang C",508,IF(Atletas!Q63="Outro Estilo Interno C",509,IF(Atletas!Q63="Xingyiquan D",510,IF(Atletas!Q63="Baguazhang D",511,IF(Atletas!Q63="Outro Estilo Interno D",512,IF(Atletas!Q63="Xingyiquan E",513,IF(Atletas!Q63="Baguazhang E",514,IF(Atletas!Q63="Outro Estilo Interno E",515,IF(Atletas!Q63="Xingyiquan F",516,IF(Atletas!Q63="Baguazhang F",517,IF(Atletas!Q63="Outro Estilo Interno F",518, "")))))))))))))))))))</f>
        <v/>
      </c>
      <c r="BZ72" s="50" t="str">
        <f>IF(Atletas!R63="","",IF(Atletas!X63&lt;&gt;"",10000,0)+IF(Atletas!B63="Feminino",1000,IF(Atletas!B63="Masculino",2000,""))+IF(Atletas!R63="Dao A",601,IF(Atletas!R63="Jian A",602,IF(Atletas!R63="Bishou A",603,IF(Atletas!R63="Shanzi A",604,IF(Atletas!R63="Outra Arma Curta A",605,IF(Atletas!R63="Dao B",606,IF(Atletas!R63="Jian B",607,IF(Atletas!R63="Bishou B",608,IF(Atletas!R63="Shanzi B",609,IF(Atletas!R63="Outra Arma Curta B",610,IF(Atletas!R63="Dao C",611,IF(Atletas!R63="Jian C",612,IF(Atletas!R63="Bishou C",613,IF(Atletas!R63="Shanzi C",614,IF(Atletas!R63="Outra Arma Curta C",615,IF(Atletas!R63="Dao D",616,IF(Atletas!R63="Jian D",617,IF(Atletas!R63="Bishou D",618,IF(Atletas!R63="Shanzi D",619,IF(Atletas!R63="Outra Arma Curta D",620,IF(Atletas!R63="Dao E",621,IF(Atletas!R63="Jian E",622,IF(Atletas!R63="Bishou E",623,IF(Atletas!R63="Shanzi E",624,IF(Atletas!R63="Outra Arma Curta E",625,IF(Atletas!R63="Dao F",626,IF(Atletas!R63="Jian F",627,IF(Atletas!R63="Bishou F",628,IF(Atletas!R63="Shanzi F",629,IF(Atletas!R63="Outra Arma Curta F",630, "")))))))))))))))))))))))))))))))</f>
        <v/>
      </c>
      <c r="CA72" s="50" t="str">
        <f>IF(Atletas!S63="","",IF(Atletas!X63&lt;&gt;"",10000,0)+IF(Atletas!B63="Feminino",1000,IF(Atletas!B63="Masculino",2000,""))+IF(Atletas!S63="Gun A",701,IF(Atletas!S63="Qiang A",702,IF(Atletas!S63="Pudao / Guandao A",703,IF(Atletas!S63="Outra Arma Longa A",704,IF(Atletas!S63="Gun B",705,IF(Atletas!S63="Qiang B",706,IF(Atletas!S63="Pudao / Guandao B",707,IF(Atletas!S63="Outra Arma Longa B",708,IF(Atletas!S63="Gun C",709,IF(Atletas!S63="Qiang C",710,IF(Atletas!S63="Pudao / Guandao C",711,IF(Atletas!S63="Outra Arma Longa C",712,IF(Atletas!S63="Gun D",713,IF(Atletas!S63="Qiang D",714,IF(Atletas!S63="Pudao / Guandao D",715,IF(Atletas!S63="Outra Arma Longa D",716,IF(Atletas!S63="Gun E",717,IF(Atletas!S63="Qiang E",718,IF(Atletas!S63="Pudao / Guandao E",719,IF(Atletas!S63="Outra Arma Longa E",720,IF(Atletas!S63="Gun F",721,IF(Atletas!S63="Qiang F",722,IF(Atletas!S63="Pudao / Guandao F",723,IF(Atletas!S63="Outra Arma Longa F",724,"")))))))))))))))))))))))))</f>
        <v/>
      </c>
      <c r="CB72" s="50" t="str">
        <f>IF(Atletas!T63="","",IF(Atletas!X63&lt;&gt;"",10000,0)+IF(Atletas!B63="Feminino",1000,IF(Atletas!B63="Masculino",2000,""))+IF(Atletas!T63="Outra Arma Dupla A",801,IF(Atletas!T63="Arma Maleável A",802,IF(Atletas!T63="Outra Arma Dupla B",803,IF(Atletas!T63="Arma Maleável B",804,IF(Atletas!T63="Outra Arma Dupla C",805,IF(Atletas!T63="Arma Maleável C",806,IF(Atletas!T63="Outra Arma Dupla D",807,IF(Atletas!T63="Arma Maleável D",808,IF(Atletas!T63="Outra Arma Dupla E",809,IF(Atletas!T63="Arma Maleável E",810,IF(Atletas!T63="Outra Arma Dupla F",811,IF(Atletas!T63="Arma Maleável F",812,IF(Atletas!T63="Shuangdao A",813,IF(Atletas!T63="Shuangdao B",814,IF(Atletas!T63="Shuangdao C",815,IF(Atletas!T63="Shuangdao D",816,IF(Atletas!T63="Shuangdao E",817,IF(Atletas!T63="Shuangdao F",818,"")))))))))))))))))))</f>
        <v/>
      </c>
      <c r="CC72" s="50" t="str">
        <f>IF(Atletas!U63="","",IF(Atletas!X63&lt;&gt;"",10000,0)+IF(Atletas!B63="Feminino",1000,IF(Atletas!B63="Masculino",2000,""))+IF(OR(Atletas!U63="Taijijian Yang A",Atletas!U63="Taijijian Yang Standard A"),901,IF(OR(Atletas!U63="Taijijian Chen A", Atletas!U63="Taijijian Chen Standard A"),902,IF(Atletas!U63="Taijijian Sun A",903,IF(Atletas!U63="Taijijian Wu A",904,IF(Atletas!U63="Taijijian Wu-Hao A",905,IF(OR(Atletas!U63="Taijijian 32 A",Atletas!U63="Taijijian 42 A"),906,IF(OR(Atletas!U63="Taijijian Yang B",Atletas!U63="Taijijian Yang Standard B"),907,IF(OR(Atletas!U63="Taijijian Chen B", Atletas!U63="Taijijian Chen Standard B"),908,IF(Atletas!U63="Taijijian Sun B",909,IF(Atletas!U63="Taijijian Wu B",910,IF(Atletas!U63="Taijijian Wu-Hao B",911,IF(OR(Atletas!U63="Taijijian 32 B",Atletas!U63="Taijijian 42 B"),912,IF(OR(Atletas!U63="Taijijian Yang C",Atletas!U63="Taijijian Yang Standard C"),913,IF(OR(Atletas!U63="Taijijian Chen C", Atletas!U63="Taijijian Chen Standard C"),914,IF(Atletas!U63="Taijijian Sun C",915,IF(Atletas!U63="Taijijian Wu C",916,IF(Atletas!U63="Taijijian Wu-Hao C",917,IF(OR(Atletas!U63="Taijijian 32 C",Atletas!U63="Taijijian 42 C"),918,IF(OR(Atletas!U63="Taijijian Yang D",Atletas!U63="Taijijian Yang Standard D"),919,IF(OR(Atletas!U63="Taijijian Chen D", Atletas!U63="Taijijian Chen Standard D"),920,IF(Atletas!U63="Taijijian Sun D",921,IF(Atletas!U63="Taijijian Wu D",922,IF(Atletas!U63="Taijijian Wu-Hao D",923,IF(OR(Atletas!U63="Taijijian 32 D",Atletas!U63="Taijijian 42 D"),924,IF(OR(Atletas!U63="Taijijian Yang E",Atletas!U63="Taijijian Yang Standard E"),925,IF(OR(Atletas!U63="Taijijian Chen E", Atletas!U63="Taijijian Chen Standard E"),926,IF(Atletas!U63="Taijijian Sun E",927,IF(Atletas!U63="Taijijian Wu E",928,IF(Atletas!U63="Taijijian Wu-Hao E",929,IF(OR(Atletas!U63="Taijijian 32 E",Atletas!U63="Taijijian 42 E"),930,IF(OR(Atletas!U63="Taijijian Yang F",Atletas!U63="Taijijian Yang Standard F"),931,IF(OR(Atletas!U63="Taijijian Chen F", Atletas!U63="Taijijian Chen Standard F"),932,IF(Atletas!U63="Taijijian Sun F",933,IF(Atletas!U63="Taijijian Wu F",934,IF(Atletas!U63="Taijijian Wu-Hao F",935,IF(OR(Atletas!U63="Taijijian 32 F",Atletas!U63="Taijijian 42 F"),936,"")))))))))))))))))))))))))))))))))))))</f>
        <v/>
      </c>
      <c r="CD72" s="50" t="str">
        <f>IF(Atletas!V63="","",IF(Atletas!X63&lt;&gt;"",10000,0)+IF(Atletas!B63="Feminino",1000,IF(Atletas!B63="Masculino",2000,""))+IF(Atletas!V63="Taijidao A",937,IF(Atletas!V63="TaijiShanzi A",938,IF(Atletas!V63="Taijiqiang A",939,IF(Atletas!V63="Bagua de Arma A",940,IF(Atletas!V63="Xingyi de Arma A",941,IF(Atletas!V63="Taijidao B",942,IF(Atletas!V63="TaijiShanzi B",943,IF(Atletas!V63="Taijiqiang B",944,IF(Atletas!V63="Bagua de Arma B",945,IF(Atletas!V63="Xingyi de Arma B",946,IF(Atletas!V63="Taijidao C",947,IF(Atletas!V63="TaijiShanzi C",948,IF(Atletas!V63="Taijiqiang C",949,IF(Atletas!V63="Bagua de Arma C",950,IF(Atletas!V63="Xingyi de Arma C",951,IF(Atletas!V63="Taijidao D",952,IF(Atletas!V63="TaijiShanzi D",953,IF(Atletas!V63="Taijiqiang D",954,IF(Atletas!V63="Bagua de Arma D",955,IF(Atletas!V63="Xingyi de Arma D",956,IF(Atletas!V63="Taijidao E",957,IF(Atletas!V63="TaijiShanzi E",958,IF(Atletas!V63="Taijiqiang E",959,IF(Atletas!V63="Bagua de Arma E",960,IF(Atletas!V63="Xingyi de Arma E",961,IF(Atletas!V63="Taijidao F",962,IF(Atletas!V63="TaijiShanzi F",963,IF(Atletas!V63="Taijiqiang F",964,IF(Atletas!V63="Bagua de Arma F",965,IF(Atletas!V63="Xingyi de Arma F",966,"")))))))))))))))))))))))))))))))</f>
        <v/>
      </c>
      <c r="CE72" s="66" t="str">
        <f>IF(CF72&lt;&gt;"","Huaquan C","")</f>
        <v/>
      </c>
      <c r="CF72" s="66" t="str">
        <f>IF(COUNTIF(BR:CD,1130)&gt;0,COUNTIF(BR:CD,1130),"")</f>
        <v/>
      </c>
      <c r="CG72" s="66" t="str">
        <f>IF(CH72&lt;&gt;"","Huaquan C","")</f>
        <v/>
      </c>
      <c r="CH72" s="66" t="str">
        <f>IF(COUNTIF(BR:CD,2130)&gt;0,COUNTIF(BR:CD,2130),"")</f>
        <v/>
      </c>
      <c r="CI72" s="66" t="str">
        <f>IF(CJ72&lt;&gt;"","Yingzhaoquan C","")</f>
        <v/>
      </c>
      <c r="CJ72" s="66" t="str">
        <f>IF(COUNTIF(BR:CD,11136)&gt;0,COUNTIF(BR:CD,11136),"")</f>
        <v/>
      </c>
      <c r="CK72" s="66" t="str">
        <f>IF(CL72&lt;&gt;"","Yingzhaoquan C","")</f>
        <v/>
      </c>
      <c r="CL72" s="66" t="str">
        <f>IF(COUNTIF(BR:CD,12136)&gt;0,COUNTIF(BR:CD,12136),"")</f>
        <v/>
      </c>
      <c r="CM72" s="50" t="str">
        <f xml:space="preserve"> IF(Atletas!W63="","",IF(Atletas!W63="Duilian de Mãos BC - Equipe 1",1,IF(Atletas!W63="Duilian de Mãos BC - Equipe 2",2,IF(Atletas!W63="Duilian de Armas BC - Equipe 1",3,IF(Atletas!W63="Duilian de Armas BC - Equipe 2",4,IF(Atletas!W63="Duilian de Mãos DE - Equipe 1",5,IF(Atletas!W63="Duilian de Mãos DE - Equipe 2",6,IF(Atletas!W63="Duilian de Armas DE - Equipe 1",7,IF(Atletas!W63="Duilian de Armas DE - Equipe 2",8,IF(Atletas!W63="Duilian de Tuishou - Equipe 1",9,IF(Atletas!W63="Duilian de Tuishou - Equipe 2",10,IF(Atletas!W63="Grupo Externo ABC - Equipe 1",11,IF(Atletas!W63="Grupo Externo ABC - Equipe 2",12,IF(Atletas!W63="Grupo Interno ABC - Equipe 1",13,IF(Atletas!W63="Grupo Interno ABC - Equipe 2",14,IF(Atletas!W63="Grupo Externo DEF - Equipe 1",15,IF(Atletas!W63="Grupo Externo DEF - Equipe 2",16,IF(Atletas!W63="Grupo Interno DEF - Equipe 1",17,IF(Atletas!W63="Grupo Interno DEF - Equipe 2",18,"")))))))))))))))))))</f>
        <v/>
      </c>
    </row>
    <row r="73" spans="2:103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20"/>
      <c r="Y73" s="3"/>
      <c r="Z73" s="3" t="str">
        <f t="array" ref="Z73">IFERROR(INDEX(CE$7:CE$348,SMALL(IF(CE$7:CE$348&lt;&gt;"",ROW(CE$7:CE$348)-ROW(CE$7)+1),ROWS(CE$7:CE72))),"")</f>
        <v/>
      </c>
      <c r="AA73" s="3" t="str">
        <f t="array" ref="AA73">IFERROR(INDEX(CF$7:CF$348,SMALL(IF(CF$7:CF$348&lt;&gt;"",ROW(CF$7:CF$348)-ROW(CF$7)+1),ROWS(CF$7:CF72))),"")</f>
        <v/>
      </c>
      <c r="AB73" s="3" t="str">
        <f t="array" ref="AB73">IFERROR(INDEX(CG$7:CG$348,SMALL(IF(CG$7:CG$348&lt;&gt;"",ROW(CG$7:CG$348)-ROW(CG$7)+1),ROWS(CG$7:CG72))),"")</f>
        <v/>
      </c>
      <c r="AC73" s="3" t="str">
        <f t="array" ref="AC73">IFERROR(INDEX(CH$7:CH$348,SMALL(IF(CH$7:CH$348&lt;&gt;"",ROW(CH$7:CH$348)-ROW(CH$7)+1),ROWS(CH$7:CH72))),"")</f>
        <v/>
      </c>
      <c r="AD73" s="3" t="str">
        <f t="array" ref="AD73">IFERROR(INDEX(CI$7:CI$377,SMALL(IF(CI$7:CI$377&lt;&gt;"",ROW(CI$7:CI$377)-ROW(CI$7)+1),ROWS(CI$7:CI72))),"")</f>
        <v/>
      </c>
      <c r="AE73" s="3" t="str">
        <f t="array" ref="AE73">IFERROR(INDEX(CJ$7:CJ$378,SMALL(IF(CJ$7:CJ$378&lt;&gt;"",ROW(CJ$7:CJ$378)-ROW(CJ$7)+1),ROWS(CJ$7:CJ72))),"")</f>
        <v/>
      </c>
      <c r="AF73" s="3" t="str">
        <f t="array" ref="AF73">IFERROR(INDEX(CK$7:CK$378,SMALL(IF(CK$7:CK$378&lt;&gt;"",ROW(CK$7:CK$378)-ROW(CK$7)+1),ROWS(CK$7:CK72))),"")</f>
        <v/>
      </c>
      <c r="AG73" s="3" t="str">
        <f t="array" ref="AG73">IFERROR(INDEX(CL$7:CL$378,SMALL(IF(CL$7:CL$378&lt;&gt;"",ROW(CL$7:CL$378)-ROW(CL$7)+1),ROWS(CL$7:CL72))),"")</f>
        <v/>
      </c>
      <c r="AH73" s="3"/>
      <c r="AI73" s="3"/>
      <c r="AJ73" s="3"/>
      <c r="AK73" s="3"/>
      <c r="AL73" s="3"/>
      <c r="AM73" s="3"/>
      <c r="AN73" s="52" t="str">
        <f>IF(Atletas!D64="","",IF(Atletas!B64="Feminino",100,IF(Atletas!B64="Masculino",200,""))+(IF(Atletas!D64="Kids 30kg",1,IF(Atletas!D64="Kids 32kg",2, IF(Atletas!D64="Kids 34kg",3,IF(Atletas!D64="Kids 36kg",4,IF(Atletas!D64="Kids 39kg",5,IF(Atletas!D64="Kids 42kg",6,IF(Atletas!D64="Kids 45kg",7, IF(Atletas!D64="Infantil 39kg",8,IF(Atletas!D64="Infantil 42kg",9,IF(Atletas!D64="Infantil 45kg",10,IF(Atletas!D64="Infantil 48kg",11,IF(Atletas!D64="Infantil 52kg",12,IF(Atletas!D64="Infantil 56kg",13,IF(Atletas!D64="Infantil 60kg",14,IF(Atletas!D64="Juvenil 48kg",15,IF(Atletas!D64="Juvenil 52kg",16,IF(Atletas!D64="Juvenil 56kg",17,IF(Atletas!D64="Juvenil 60kg",18,IF(Atletas!D64="Juvenil 65kg",19,IF(Atletas!D64="Juvenil 70kg",20,IF(Atletas!D64="Juvenil 75kg",21,IF(Atletas!D64="Juvenil 80kg",22, IF(Atletas!D64="Juvenil 85kg",23,IF(Atletas!D64="Adulto 48kg",24,IF(Atletas!D64="Adulto 52kg",25,IF(Atletas!D64="Adulto 56kg",26,IF(Atletas!D64="Adulto 60kg",27,IF(Atletas!D64="Adulto 65kg",28,IF(Atletas!D64="Adulto 70kg",29,IF(Atletas!D64="Adulto 75kg",30,IF(Atletas!D64="Adulto 80kg",31,IF(Atletas!D64="Adulto 85kg",32,IF(Atletas!D64="Adulto 90kg",33,IF(Atletas!D64="Adulto 100kg",34, IF(Atletas!D64="Adulto +100kg",35,"")))))))))))))))))))))))))))))))))))))</f>
        <v/>
      </c>
      <c r="AS73" s="6" t="str">
        <f>IF(Atletas!E64="","",IF(Atletas!B64="Feminino",100,IF(Atletas!B64="Masculino",200,""))+(IF(Atletas!E64="Juvenil 44kg",1,IF(Atletas!E64="Juvenil 48kg",2,IF(Atletas!E64="Juvenil 52kg",3,IF(Atletas!E64="Juvenil 56kg",4,IF(Atletas!E64="Juvenil 60kg",5,IF(Atletas!E64="Juvenil 65kg",6,IF(Atletas!E64="Juvenil 70kg",7,IF(Atletas!E64="Juvenil 75kg",8,IF(Atletas!E64="Juvenil 82kg",9,IF(Atletas!E64="Juvenil 90kg",10,IF(Atletas!E64="Juvenil 100kg",11,IF(Atletas!E64="Adulto 48kg",12,IF(Atletas!E64="Adulto 52kg",13,IF(Atletas!E64="Adulto 56kg",14,IF(Atletas!E64="Adulto 60kg",15,IF(Atletas!E64="Adulto 65kg",16,IF(Atletas!E64="Adulto 70kg",17,IF(Atletas!E64="Adulto 75kg",18,IF(Atletas!E64="Adulto 82kg",19,IF(Atletas!E64="Adulto 90kg",20,IF(Atletas!E64="Adulto 100kg",21,IF(Atletas!E64="Adulto +100kg",22,""))))))))))))))))))))))))</f>
        <v/>
      </c>
      <c r="AX73" s="6" t="str">
        <f>IF(Atletas!F64="","",IF(Atletas!B64="Feminino",100,IF(Atletas!B64="Masculino",200,""))+(IF(Atletas!F64="Adulto 48kg",1,IF(Atletas!F64="Adulto 56kg",2,IF(Atletas!F64="Adulto 65kg",3,IF(Atletas!F64="Adulto 75kg",4,IF(Atletas!F64="Adulto +75kg",5,IF(Atletas!F64="Adulto 52kg",6,IF(Atletas!F64="Adulto 60kg",7,IF(Atletas!F64="Adulto 70kg",8,IF(Atletas!F64="Adulto 80kg",9,IF(Atletas!F64="Adulto 90kg",10,IF(Atletas!F64="Adulto +90kg",11,"")))))))))))))</f>
        <v/>
      </c>
      <c r="BC73" s="6" t="str">
        <f>IF(Atletas!G64="","",IF(Atletas!B64="Feminino",10,IF(Atletas!B64="Masculino",20,""))+(IF(Atletas!G64="Baduanjin A",1,IF(Atletas!G64="Baduanjin B",2))))</f>
        <v/>
      </c>
      <c r="BF73" s="52" t="str">
        <f>IF(Atletas!H64="","",IF(Atletas!B64="Feminino",100,IF(Atletas!B64="Masculino",200,""))+(IF(Atletas!H64="Changquan Mirim",1,IF(Atletas!H64="Nanquan Mirim",2,IF(Atletas!H64="Taijiquan Mirim",3,IF(Atletas!H64="Changquan Grupo C",4,IF(Atletas!H64="Nanquan Grupo C",5,IF(Atletas!H64="Taijiquan Grupo C",6,IF(Atletas!H64="Changquan Grupo B",7,IF(Atletas!H64="Nanquan Grupo B",8,IF(Atletas!H64="Taijiquan Grupo B",9,IF(Atletas!H64="Changquan Grupo A",10,IF(Atletas!H64="Nanquan Grupo A",11,IF(Atletas!H64="Taijiquan Grupo A",12,IF(Atletas!H64="Changquan Opcional",13,IF(Atletas!H64="Nanquan Opcional",14,IF(Atletas!H64="Taijiquan Opcional",15,IF(Atletas!H64="Changquan Adulto",16,IF(Atletas!H64="Nanquan Adulto",17,IF(Atletas!H64="Taijiquan Adulto",18,""))))))))))))))))))))</f>
        <v/>
      </c>
      <c r="BG73" s="52" t="str">
        <f>IF(Atletas!I64="","",IF(Atletas!B64="Feminino",100,IF(Atletas!B64="Masculino",200,""))+(IF(Atletas!I64="Daoshu Mirim",19,IF(Atletas!I64="Jianshu Mirim",20,IF(Atletas!I64="Nandao Mirim",21,IF(Atletas!I64="Taijijian Mirim",22,IF(Atletas!I64="Daoshu Grupo C",23,IF(Atletas!I64="Jianshu Grupo C",24,IF(Atletas!I64="Nandao Grupo C",25,IF(Atletas!I64="Taijijian Grupo C",26,IF(Atletas!I64="Daoshu Grupo B",27,IF(Atletas!I64="Jianshu Grupo B",28,IF(Atletas!I64="Nandao Grupo B",29,IF(Atletas!I64="Taijijian Grupo B",30,IF(Atletas!I64="Daoshu Grupo A",31,IF(Atletas!I64="Jianshu Grupo A",32,IF(Atletas!I64="Nandao Grupo A",33,IF(Atletas!I64="Taijijian Grupo A",34,IF(Atletas!I64="Daoshu Opcional",35,IF(Atletas!I64="Jianshu Opcional",36,IF(Atletas!I64="Nandao Opcional",37,IF(Atletas!I64="Taijijian Opcional",38,IF(Atletas!I64="Daoshu Adulto",39,IF(Atletas!I64="Jianshu Adulto",40,IF(Atletas!I64="Nandao Adulto",41,IF(Atletas!I64="Taijijian Adulto",42,""))))))))))))))))))))))))))</f>
        <v/>
      </c>
      <c r="BH73" s="52" t="str">
        <f>IF(Atletas!J64="","",IF(Atletas!B64="Feminino",100,IF(Atletas!B64="Masculino",200,""))+(IF(Atletas!J64="Gunshu Mirim",43,IF(Atletas!J64="Qiangshu Mirim",44,IF(Atletas!J64="Nangun Mirim",45,IF(Atletas!J64="Gunshu Grupo C",46,IF(Atletas!J64="Qiangshu Grupo C",47,IF(Atletas!J64="Nangun Grupo C",48,IF(Atletas!J64="Gunshu Grupo B",49,IF(Atletas!J64="Qiangshu Grupo B",50,IF(Atletas!J64="Nangun Grupo B",51,IF(Atletas!J64="Gunshu Grupo A",52,IF(Atletas!J64="Qiangshu Grupo A",53,IF(Atletas!J64="Nangun Grupo A",54,IF(Atletas!J64="Gunshu Opcional",55,IF(Atletas!J64="Qiangshu Opcional",56,IF(Atletas!J64="Nangun Opcional",57,IF(Atletas!J64="Gunshu Adulto",58,IF(Atletas!J64="Qiangshu Adulto",59,IF(Atletas!J64="Nangun Adulto",60,IF(Atletas!J64="Taijishan Grupo B",61,IF(Atletas!J64="Taijishan Grupo A",62,""))))))))))))))))))))))</f>
        <v/>
      </c>
      <c r="BM73" s="50" t="str">
        <f>IF(Atletas!K64="","",IF(Atletas!B64="Feminino",100,IF(Atletas!B64="Masculino",200,""))+(IF(Atletas!K64="Equipe 1 Grupo B",1,IF(Atletas!K64="Equipe 2 Grupo B",2,IF(Atletas!K64="Equipe 1 Grupo A",3,IF(Atletas!K64="Equipe 2 Grupo A",4,IF(Atletas!K64="Equipe 1 Adulto",5,IF(Atletas!K64="Equipe 2 Adulto",6,""))))))))</f>
        <v/>
      </c>
      <c r="BR73" s="50" t="str">
        <f>IF(Atletas!L64="","",IF(Atletas!X64&lt;&gt;"",10000,0)+(IF(Atletas!B64="Feminino",1000,IF(Atletas!B64="Masculino",2000,""))+IF(Atletas!L64="Choylayfut A",1,IF(Atletas!L64="Hunggar A",2,IF(Atletas!L64="Wuzuquan A",3,IF(Atletas!L64="Wingchun A",4,IF(Atletas!L64="Outra Mão de Sul A",5,IF(Atletas!L64="Choylayfut B",6,IF(Atletas!L64="Hunggar B",7,IF(Atletas!L64="Wuzuquan B",8,IF(Atletas!L64="Wingchun B",9,IF(Atletas!L64="Outra Mão de Sul B",10,IF(Atletas!L64="Choylayfut C",11,IF(Atletas!L64="Hunggar C",12,IF(Atletas!L64="Wuzuquan C",13,IF(Atletas!L64="Wingchun C",14,IF(Atletas!L64="Outra Mão de Sul C",15,IF(Atletas!L64="Choylayfut D",16,IF(Atletas!L64="Hunggar D",17,IF(Atletas!L64="Wuzuquan D",18,IF(Atletas!L64="Wingchun D",19,IF(Atletas!L64="Outra Mão de Sul D",20,IF(Atletas!L64="Choylayfut E",21,IF(Atletas!L64="Hunggar E",22,IF(Atletas!L64="Wuzuquan E",23,IF(Atletas!L64="Wingchun E",24,IF(Atletas!L64="Outra Mão de Sul E",25,IF(Atletas!L64="Choylayfut F",26,IF(Atletas!L64="Hunggar F",27,IF(Atletas!L64="Wuzuquan F",28,IF(Atletas!L64="Wingchun F",29,IF(Atletas!L64="Outra Mão de Sul F",30,IF(Atletas!L64="Dishuquan A",31,IF(Atletas!L64="Dishuquan B",32,IF(Atletas!L64="Dishuquan C",33,IF(Atletas!L64="Dishuquan D",34,IF(Atletas!L64="Dishuquan E",35,IF(Atletas!L64="Dishuquan F",36,""))))))))))))))))))))))))))))))))))))))</f>
        <v/>
      </c>
      <c r="BS73" s="50" t="str">
        <f>IF(Atletas!M64="","",IF(Atletas!X64&lt;&gt;"",10000,0)+(IF(Atletas!B64="Feminino",1000,IF(Atletas!B64="Masculino",2000,""))+(IF(Atletas!M64="Chaquan A",101,IF(Atletas!M64="Emeiquan A",102,IF(Atletas!M64="Fanziquan A",103,IF(Atletas!M64="Huaquan A",104,IF(Atletas!M64="Hongquan A",105,IF(Atletas!M64="Paoquan A",106,IF(Atletas!M64="Piguaquan A",107,IF(Atletas!M64="Shaolinquan A",108,IF(Atletas!M64="Tanglangquan A",109,IF(Atletas!M64="Yingzhaoquan A",110,IF(Atletas!M64="Tongbeiquan A",111,IF(Atletas!M64="Wudangquan A",112,IF(Atletas!M64="Outros Estilos A",113,IF(Atletas!M64="Chaquan B",114,IF(Atletas!M64="Emeiquan B",115,IF(Atletas!M64="Fanziquan B",116,IF(Atletas!M64="Huaquan B",117,IF(Atletas!M64="Hongquan B",118,IF(Atletas!M64="Paoquan B",119,IF(Atletas!M64="Piguaquan B",120,IF(Atletas!M64="Shaolinquan B",121,IF(Atletas!M64="Tanglangquan B",122,IF(Atletas!M64="Yingzhaoquan B",123,IF(Atletas!M64="Tongbeiquan B",124,IF(Atletas!M64="Wudangquan B",125,IF(Atletas!M64="Outros Estilos B",126,IF(Atletas!M64="Chaquan C",127,IF(Atletas!M64="Emeiquan C",128,IF(Atletas!M64="Fanziquan C",129,IF(Atletas!M64="Huaquan C",130,IF(Atletas!M64="Hongquan C",131,IF(Atletas!M64="Paoquan C",132,IF(Atletas!M64="Piguaquan C",133,IF(Atletas!M64="Shaolinquan C",134,IF(Atletas!M64="Tanglangquan C",135,IF(Atletas!M64="Yingzhaoquan C",136,IF(Atletas!M64="Tongbeiquan C",137,IF(Atletas!M64="Wudangquan C",138,IF(Atletas!M64="Outros Estilos C",139,0))))))))))))))))))))))))))))))))))))))))))</f>
        <v/>
      </c>
      <c r="BT73" s="50" t="str">
        <f>IF(Atletas!M64="","",IF(Atletas!X64&lt;&gt;"",10000,0)+(IF(Atletas!B64="Feminino",1000,IF(Atletas!B64="Masculino",2000,""))+(IF(Atletas!M64="Chaquan D",140,IF(Atletas!M64="Emeiquan D",141,IF(Atletas!M64="Fanziquan D",142,IF(Atletas!M64="Huaquan D",143,IF(Atletas!M64="Hongquan D",144,IF(Atletas!M64="Paoquan D",145,IF(Atletas!M64="Piguaquan D",146,IF(Atletas!M64="Shaolinquan D",147,IF(Atletas!M64="Tanglangquan D",148,IF(Atletas!M64="Yingzhaoquan D",149,IF(Atletas!M64="Tongbeiquan D",150,IF(Atletas!M64="Wudangquan D",151,IF(Atletas!M64="Outros Estilos D",152,IF(Atletas!M64="Chaquan E",153,IF(Atletas!M64="Emeiquan E",154,IF(Atletas!M64="Fanziquan E",155,IF(Atletas!M64="Huaquan E",156,IF(Atletas!M64="Hongquan E",157,IF(Atletas!M64="Paoquan E",158,IF(Atletas!M64="Piguaquan E",159,IF(Atletas!M64="Shaolinquan E",160,IF(Atletas!M64="Tanglangquan E",161,IF(Atletas!M64="Yingzhaoquan E",162,IF(Atletas!M64="Tongbeiquan E",163,IF(Atletas!M64="Wudangquan E",164,IF(Atletas!M64="Outros Estilos E",165,IF(Atletas!M64="Chaquan F",166,IF(Atletas!M64="Emeiquan F",167,IF(Atletas!M64="Fanziquan F",168,IF(Atletas!M64="Huaquan F",169,IF(Atletas!M64="Hongquan F",170,IF(Atletas!M64="Paoquan F",171,IF(Atletas!M64="Piguaquan F",172,IF(Atletas!M64="Shaolinquan F",173,IF(Atletas!M64="Tanglangquan F",174,IF(Atletas!M64="Yingzhaoquan F",175,IF(Atletas!M64="Tongbeiquan F",176,IF(Atletas!M64="Wudangquan F",177,IF(Atletas!M64="Outros Estilos F",178,0))))))))))))))))))))))))))))))))))))))))))</f>
        <v/>
      </c>
      <c r="BU73" s="50" t="str">
        <f>IF(Atletas!N64="","",IF(Atletas!X64&lt;&gt;"",10000,0)+(IF(Atletas!B64="Feminino",1000,IF(Atletas!B64="Masculino",2000,""))+(IF(Atletas!N64="Ditangquan A",201,IF(Atletas!N64="Houquan A",202,IF(Atletas!N64="Zuiquan A",203,IF(Atletas!N64="Ditangquan B",204,IF(Atletas!N64="Houquan B",205,IF(Atletas!N64="Zuiquan B",206,IF(Atletas!N64="Ditangquan C",207,IF(Atletas!N64="Houquan C",208,IF(Atletas!N64="Zuiquan C",209,IF(Atletas!N64="Ditangquan D",210,IF(Atletas!N64="Houquan D",211,IF(Atletas!N64="Zuiquan D",212,IF(Atletas!N64="Ditangquan E",213,IF(Atletas!N64="Houquan E",214,IF(Atletas!N64="Zuiquan E",215,IF(Atletas!N64="Ditangquan F",216,IF(Atletas!N64="Houquan F",217,IF(Atletas!N64="Zuiquan F",218,"")))))))))))))))))))))</f>
        <v/>
      </c>
      <c r="BV73" s="50" t="str">
        <f>IF(Atletas!O64="","",IF(Atletas!X64&lt;&gt;"",10000,0)+IF(Atletas!B64="Feminino",1000,IF(Atletas!B64="Masculino",2000,""))+IF(Atletas!O64="Yang A",301,IF(Atletas!O64="Chen A",302,IF(Atletas!O64="Sun A",303,IF(Atletas!O64="Wu A",304,IF(Atletas!O64="Wu-Hao A",305,IF(Atletas!O64="Outro Taijiquan A",306,IF(Atletas!O64="Yang B",307,IF(Atletas!O64="Chen B",308,IF(Atletas!O64="Sun B",309,IF(Atletas!O64="Wu B",310,IF(Atletas!O64="Wu-Hao B",311,IF(Atletas!O64="Outro Taijiquan B",312,IF(Atletas!O64="Yang C",313,IF(Atletas!O64="Chen C",314,IF(Atletas!O64="Sun C",315,IF(Atletas!O64="Wu C",316,IF(Atletas!O64="Wu-Hao C",317,IF(Atletas!O64="Outro Taijiquan C",318,IF(Atletas!O64="Yang D",319,IF(Atletas!O64="Chen D",320,IF(Atletas!O64="Sun D",321,IF(Atletas!O64="Wu D",322,IF(Atletas!O64="Wu-Hao D",323,IF(Atletas!O64="Outro Taijiquan D",324,IF(Atletas!O64="Yang E",325,IF(Atletas!O64="Chen E",326,IF(Atletas!O64="Sun E",327,IF(Atletas!O64="Wu E",328,IF(Atletas!O64="Wu-Hao E",329,IF(Atletas!O64="Outro Taijiquan E",330,IF(Atletas!O64="Yang F",331,IF(Atletas!O64="Chen F",332,IF(Atletas!O64="Sun F",333,IF(Atletas!O64="Wu F",334,IF(Atletas!O64="Wu-Hao F",335,IF(Atletas!O64="Outro Taijiquan F",336,"")))))))))))))))))))))))))))))))))))))</f>
        <v/>
      </c>
      <c r="BW73" s="50" t="str">
        <f>IF(Atletas!P64="","",IF(Atletas!X64&lt;&gt;"",10000,0)+IF(Atletas!B64="Feminino",1000,IF(Atletas!B64="Masculino",2000,""))+IF(OR(Atletas!P64="Yang 26 A",Atletas!P64="Yang 40 A"),401,IF(OR(Atletas!P64="Chen 25 A",Atletas!P64="Chen 36 A",Atletas!P64="Chen 56 A"),402,IF(Atletas!P64="Sun 73 A",403,IF(Atletas!P64="Wu 45 A",404,IF(Atletas!P64="Wu-Hao 46 A",405,IF(OR(Atletas!P64="Taijiquan 16 A",Atletas!P64="Taijiquan 24 A",Atletas!P64="Taijiquan 32 A",Atletas!P64="Taijiquan 42 A"),406,IF(OR(Atletas!P64="Yang 26 B",Atletas!P64="Yang 40 B"),407,IF(OR(Atletas!P64="Chen 25 B",Atletas!P64="Chen 36 B",Atletas!P64="Chen 56 B"),408,IF(Atletas!P64="Sun 73 B",409,IF(Atletas!P64="Wu 45 B",410,IF(Atletas!P64="Wu-Hao 46 B",411,IF(OR(Atletas!P64="Taijiquan 16 B",Atletas!P64="Taijiquan 24 B",Atletas!P64="Taijiquan 32 B",Atletas!P64="Taijiquan 42 B"),412,IF(OR(Atletas!P64="Yang 26 C",Atletas!P64="Yang 40 C"),413,IF(OR(Atletas!P64="Chen 25 C",Atletas!P64="Chen 36 C",Atletas!P64="Chen 56 C"),414,IF(Atletas!P64="Sun 73 C",415,IF(Atletas!P64="Wu 45 C",416,IF(Atletas!P64="Wu-Hao 46 C",417,IF(OR(Atletas!P64="Taijiquan 16 C",Atletas!P64="Taijiquan 24 C",Atletas!P64="Taijiquan 32 C",Atletas!P64="Taijiquan 42 C"),418,0)))))))))))))))))))</f>
        <v/>
      </c>
      <c r="BX73" s="50" t="str">
        <f>IF(Atletas!P64="","",IF(Atletas!X64&lt;&gt;"",10000,0)+IF(Atletas!B64="Feminino",1000,IF(Atletas!B64="Masculino",2000,""))+IF(OR(Atletas!P64="Yang 26 D",Atletas!P64="Yang 40 D"),419,IF(OR(Atletas!P64="Chen 25 D",Atletas!P64="Chen 36 D",Atletas!P64="Chen 56 D"),420,IF(Atletas!P64="Sun 73 D",421,IF(Atletas!P64="Wu 45 D",422,IF(Atletas!P64="Wu-Hao 46 D",423,IF(OR(Atletas!P64="Taijiquan 16 D",Atletas!P64="Taijiquan 24 D",Atletas!P64="Taijiquan 32 D",Atletas!P64="Taijiquan 42 D"),424,IF(OR(Atletas!P64="Yang 26 E",Atletas!P64="Yang 40 E"),425,IF(OR(Atletas!P64="Chen 25 E",Atletas!P64="Chen 36 E",Atletas!P64="Chen 56 E"),426,IF(Atletas!P64="Sun 73 E",427,IF(Atletas!P64="Wu 45 E",428,IF(Atletas!P64="Wu-Hao 46 E",429,IF(OR(Atletas!P64="Taijiquan 16 E",Atletas!P64="Taijiquan 24 E",Atletas!P64="Taijiquan 32 E",Atletas!P64="Taijiquan 42 E"),430,IF(OR(Atletas!P64="Yang 26 F",Atletas!P64="Yang 40 F"),431,IF(OR(Atletas!P64="Chen 25 F",Atletas!P64="Chen 36 F",Atletas!P64="Chen 56 F"),432,IF(Atletas!P64="Sun 73 F",433,IF(Atletas!P64="Wu 45 F",434,IF(Atletas!P64="Wu-Hao 46 F",435,IF(OR(Atletas!P64="Taijiquan 16 F",Atletas!P64="Taijiquan 24 F",Atletas!P64="Taijiquan 32 F",Atletas!P64="Taijiquan 42 F"),436,0)))))))))))))))))))</f>
        <v/>
      </c>
      <c r="BY73" s="50" t="str">
        <f>IF(Atletas!Q64="","",IF(Atletas!X64&lt;&gt;"",10000,0)+IF(Atletas!B64="Feminino",1000,IF(Atletas!B64="Masculino",2000,""))+IF(Atletas!Q64="Xingyiquan A",501,IF(Atletas!Q64="Baguazhang A",502,IF(Atletas!Q64="Outro Estilo Interno A",503,IF(Atletas!Q64="Xingyiquan B",504,IF(Atletas!Q64="Baguazhang B",505,IF(Atletas!Q64="Outro Estilo Interno B",506,IF(Atletas!Q64="Xingyiquan C",507,IF(Atletas!Q64="Baguazhang C",508,IF(Atletas!Q64="Outro Estilo Interno C",509,IF(Atletas!Q64="Xingyiquan D",510,IF(Atletas!Q64="Baguazhang D",511,IF(Atletas!Q64="Outro Estilo Interno D",512,IF(Atletas!Q64="Xingyiquan E",513,IF(Atletas!Q64="Baguazhang E",514,IF(Atletas!Q64="Outro Estilo Interno E",515,IF(Atletas!Q64="Xingyiquan F",516,IF(Atletas!Q64="Baguazhang F",517,IF(Atletas!Q64="Outro Estilo Interno F",518, "")))))))))))))))))))</f>
        <v/>
      </c>
      <c r="BZ73" s="50" t="str">
        <f>IF(Atletas!R64="","",IF(Atletas!X64&lt;&gt;"",10000,0)+IF(Atletas!B64="Feminino",1000,IF(Atletas!B64="Masculino",2000,""))+IF(Atletas!R64="Dao A",601,IF(Atletas!R64="Jian A",602,IF(Atletas!R64="Bishou A",603,IF(Atletas!R64="Shanzi A",604,IF(Atletas!R64="Outra Arma Curta A",605,IF(Atletas!R64="Dao B",606,IF(Atletas!R64="Jian B",607,IF(Atletas!R64="Bishou B",608,IF(Atletas!R64="Shanzi B",609,IF(Atletas!R64="Outra Arma Curta B",610,IF(Atletas!R64="Dao C",611,IF(Atletas!R64="Jian C",612,IF(Atletas!R64="Bishou C",613,IF(Atletas!R64="Shanzi C",614,IF(Atletas!R64="Outra Arma Curta C",615,IF(Atletas!R64="Dao D",616,IF(Atletas!R64="Jian D",617,IF(Atletas!R64="Bishou D",618,IF(Atletas!R64="Shanzi D",619,IF(Atletas!R64="Outra Arma Curta D",620,IF(Atletas!R64="Dao E",621,IF(Atletas!R64="Jian E",622,IF(Atletas!R64="Bishou E",623,IF(Atletas!R64="Shanzi E",624,IF(Atletas!R64="Outra Arma Curta E",625,IF(Atletas!R64="Dao F",626,IF(Atletas!R64="Jian F",627,IF(Atletas!R64="Bishou F",628,IF(Atletas!R64="Shanzi F",629,IF(Atletas!R64="Outra Arma Curta F",630, "")))))))))))))))))))))))))))))))</f>
        <v/>
      </c>
      <c r="CA73" s="50" t="str">
        <f>IF(Atletas!S64="","",IF(Atletas!X64&lt;&gt;"",10000,0)+IF(Atletas!B64="Feminino",1000,IF(Atletas!B64="Masculino",2000,""))+IF(Atletas!S64="Gun A",701,IF(Atletas!S64="Qiang A",702,IF(Atletas!S64="Pudao / Guandao A",703,IF(Atletas!S64="Outra Arma Longa A",704,IF(Atletas!S64="Gun B",705,IF(Atletas!S64="Qiang B",706,IF(Atletas!S64="Pudao / Guandao B",707,IF(Atletas!S64="Outra Arma Longa B",708,IF(Atletas!S64="Gun C",709,IF(Atletas!S64="Qiang C",710,IF(Atletas!S64="Pudao / Guandao C",711,IF(Atletas!S64="Outra Arma Longa C",712,IF(Atletas!S64="Gun D",713,IF(Atletas!S64="Qiang D",714,IF(Atletas!S64="Pudao / Guandao D",715,IF(Atletas!S64="Outra Arma Longa D",716,IF(Atletas!S64="Gun E",717,IF(Atletas!S64="Qiang E",718,IF(Atletas!S64="Pudao / Guandao E",719,IF(Atletas!S64="Outra Arma Longa E",720,IF(Atletas!S64="Gun F",721,IF(Atletas!S64="Qiang F",722,IF(Atletas!S64="Pudao / Guandao F",723,IF(Atletas!S64="Outra Arma Longa F",724,"")))))))))))))))))))))))))</f>
        <v/>
      </c>
      <c r="CB73" s="50" t="str">
        <f>IF(Atletas!T64="","",IF(Atletas!X64&lt;&gt;"",10000,0)+IF(Atletas!B64="Feminino",1000,IF(Atletas!B64="Masculino",2000,""))+IF(Atletas!T64="Outra Arma Dupla A",801,IF(Atletas!T64="Arma Maleável A",802,IF(Atletas!T64="Outra Arma Dupla B",803,IF(Atletas!T64="Arma Maleável B",804,IF(Atletas!T64="Outra Arma Dupla C",805,IF(Atletas!T64="Arma Maleável C",806,IF(Atletas!T64="Outra Arma Dupla D",807,IF(Atletas!T64="Arma Maleável D",808,IF(Atletas!T64="Outra Arma Dupla E",809,IF(Atletas!T64="Arma Maleável E",810,IF(Atletas!T64="Outra Arma Dupla F",811,IF(Atletas!T64="Arma Maleável F",812,IF(Atletas!T64="Shuangdao A",813,IF(Atletas!T64="Shuangdao B",814,IF(Atletas!T64="Shuangdao C",815,IF(Atletas!T64="Shuangdao D",816,IF(Atletas!T64="Shuangdao E",817,IF(Atletas!T64="Shuangdao F",818,"")))))))))))))))))))</f>
        <v/>
      </c>
      <c r="CC73" s="50" t="str">
        <f>IF(Atletas!U64="","",IF(Atletas!X64&lt;&gt;"",10000,0)+IF(Atletas!B64="Feminino",1000,IF(Atletas!B64="Masculino",2000,""))+IF(OR(Atletas!U64="Taijijian Yang A",Atletas!U64="Taijijian Yang Standard A"),901,IF(OR(Atletas!U64="Taijijian Chen A", Atletas!U64="Taijijian Chen Standard A"),902,IF(Atletas!U64="Taijijian Sun A",903,IF(Atletas!U64="Taijijian Wu A",904,IF(Atletas!U64="Taijijian Wu-Hao A",905,IF(OR(Atletas!U64="Taijijian 32 A",Atletas!U64="Taijijian 42 A"),906,IF(OR(Atletas!U64="Taijijian Yang B",Atletas!U64="Taijijian Yang Standard B"),907,IF(OR(Atletas!U64="Taijijian Chen B", Atletas!U64="Taijijian Chen Standard B"),908,IF(Atletas!U64="Taijijian Sun B",909,IF(Atletas!U64="Taijijian Wu B",910,IF(Atletas!U64="Taijijian Wu-Hao B",911,IF(OR(Atletas!U64="Taijijian 32 B",Atletas!U64="Taijijian 42 B"),912,IF(OR(Atletas!U64="Taijijian Yang C",Atletas!U64="Taijijian Yang Standard C"),913,IF(OR(Atletas!U64="Taijijian Chen C", Atletas!U64="Taijijian Chen Standard C"),914,IF(Atletas!U64="Taijijian Sun C",915,IF(Atletas!U64="Taijijian Wu C",916,IF(Atletas!U64="Taijijian Wu-Hao C",917,IF(OR(Atletas!U64="Taijijian 32 C",Atletas!U64="Taijijian 42 C"),918,IF(OR(Atletas!U64="Taijijian Yang D",Atletas!U64="Taijijian Yang Standard D"),919,IF(OR(Atletas!U64="Taijijian Chen D", Atletas!U64="Taijijian Chen Standard D"),920,IF(Atletas!U64="Taijijian Sun D",921,IF(Atletas!U64="Taijijian Wu D",922,IF(Atletas!U64="Taijijian Wu-Hao D",923,IF(OR(Atletas!U64="Taijijian 32 D",Atletas!U64="Taijijian 42 D"),924,IF(OR(Atletas!U64="Taijijian Yang E",Atletas!U64="Taijijian Yang Standard E"),925,IF(OR(Atletas!U64="Taijijian Chen E", Atletas!U64="Taijijian Chen Standard E"),926,IF(Atletas!U64="Taijijian Sun E",927,IF(Atletas!U64="Taijijian Wu E",928,IF(Atletas!U64="Taijijian Wu-Hao E",929,IF(OR(Atletas!U64="Taijijian 32 E",Atletas!U64="Taijijian 42 E"),930,IF(OR(Atletas!U64="Taijijian Yang F",Atletas!U64="Taijijian Yang Standard F"),931,IF(OR(Atletas!U64="Taijijian Chen F", Atletas!U64="Taijijian Chen Standard F"),932,IF(Atletas!U64="Taijijian Sun F",933,IF(Atletas!U64="Taijijian Wu F",934,IF(Atletas!U64="Taijijian Wu-Hao F",935,IF(OR(Atletas!U64="Taijijian 32 F",Atletas!U64="Taijijian 42 F"),936,"")))))))))))))))))))))))))))))))))))))</f>
        <v/>
      </c>
      <c r="CD73" s="50" t="str">
        <f>IF(Atletas!V64="","",IF(Atletas!X64&lt;&gt;"",10000,0)+IF(Atletas!B64="Feminino",1000,IF(Atletas!B64="Masculino",2000,""))+IF(Atletas!V64="Taijidao A",937,IF(Atletas!V64="TaijiShanzi A",938,IF(Atletas!V64="Taijiqiang A",939,IF(Atletas!V64="Bagua de Arma A",940,IF(Atletas!V64="Xingyi de Arma A",941,IF(Atletas!V64="Taijidao B",942,IF(Atletas!V64="TaijiShanzi B",943,IF(Atletas!V64="Taijiqiang B",944,IF(Atletas!V64="Bagua de Arma B",945,IF(Atletas!V64="Xingyi de Arma B",946,IF(Atletas!V64="Taijidao C",947,IF(Atletas!V64="TaijiShanzi C",948,IF(Atletas!V64="Taijiqiang C",949,IF(Atletas!V64="Bagua de Arma C",950,IF(Atletas!V64="Xingyi de Arma C",951,IF(Atletas!V64="Taijidao D",952,IF(Atletas!V64="TaijiShanzi D",953,IF(Atletas!V64="Taijiqiang D",954,IF(Atletas!V64="Bagua de Arma D",955,IF(Atletas!V64="Xingyi de Arma D",956,IF(Atletas!V64="Taijidao E",957,IF(Atletas!V64="TaijiShanzi E",958,IF(Atletas!V64="Taijiqiang E",959,IF(Atletas!V64="Bagua de Arma E",960,IF(Atletas!V64="Xingyi de Arma E",961,IF(Atletas!V64="Taijidao F",962,IF(Atletas!V64="TaijiShanzi F",963,IF(Atletas!V64="Taijiqiang F",964,IF(Atletas!V64="Bagua de Arma F",965,IF(Atletas!V64="Xingyi de Arma F",966,"")))))))))))))))))))))))))))))))</f>
        <v/>
      </c>
      <c r="CE73" s="66" t="str">
        <f>IF(CF73&lt;&gt;"","Hongquan C","")</f>
        <v/>
      </c>
      <c r="CF73" s="66" t="str">
        <f>IF(COUNTIF(BR:CD,1131)&gt;0,COUNTIF(BR:CD,1131),"")</f>
        <v/>
      </c>
      <c r="CG73" s="66" t="str">
        <f>IF(CH73&lt;&gt;"","Hongquan C","")</f>
        <v/>
      </c>
      <c r="CH73" s="66" t="str">
        <f>IF(COUNTIF(BR:CD,2131)&gt;0,COUNTIF(BR:CD,2131),"")</f>
        <v/>
      </c>
      <c r="CI73" s="66" t="str">
        <f>IF(CJ73&lt;&gt;"","Tongbeiquan C","")</f>
        <v/>
      </c>
      <c r="CJ73" s="66" t="str">
        <f>IF(COUNTIF(BR:CD,11137)&gt;0,COUNTIF(BR:CD,11137),"")</f>
        <v/>
      </c>
      <c r="CK73" s="66" t="str">
        <f>IF(CL73&lt;&gt;"","Tongbeiquan C","")</f>
        <v/>
      </c>
      <c r="CL73" s="66" t="str">
        <f>IF(COUNTIF(BR:CD,12137)&gt;0,COUNTIF(BR:CD,12137),"")</f>
        <v/>
      </c>
      <c r="CM73" s="50" t="str">
        <f xml:space="preserve"> IF(Atletas!W64="","",IF(Atletas!W64="Duilian de Mãos BC - Equipe 1",1,IF(Atletas!W64="Duilian de Mãos BC - Equipe 2",2,IF(Atletas!W64="Duilian de Armas BC - Equipe 1",3,IF(Atletas!W64="Duilian de Armas BC - Equipe 2",4,IF(Atletas!W64="Duilian de Mãos DE - Equipe 1",5,IF(Atletas!W64="Duilian de Mãos DE - Equipe 2",6,IF(Atletas!W64="Duilian de Armas DE - Equipe 1",7,IF(Atletas!W64="Duilian de Armas DE - Equipe 2",8,IF(Atletas!W64="Duilian de Tuishou - Equipe 1",9,IF(Atletas!W64="Duilian de Tuishou - Equipe 2",10,IF(Atletas!W64="Grupo Externo ABC - Equipe 1",11,IF(Atletas!W64="Grupo Externo ABC - Equipe 2",12,IF(Atletas!W64="Grupo Interno ABC - Equipe 1",13,IF(Atletas!W64="Grupo Interno ABC - Equipe 2",14,IF(Atletas!W64="Grupo Externo DEF - Equipe 1",15,IF(Atletas!W64="Grupo Externo DEF - Equipe 2",16,IF(Atletas!W64="Grupo Interno DEF - Equipe 1",17,IF(Atletas!W64="Grupo Interno DEF - Equipe 2",18,"")))))))))))))))))))</f>
        <v/>
      </c>
    </row>
    <row r="74" spans="2:103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20"/>
      <c r="Y74" s="3"/>
      <c r="Z74" s="3" t="str">
        <f t="array" ref="Z74">IFERROR(INDEX(CE$7:CE$348,SMALL(IF(CE$7:CE$348&lt;&gt;"",ROW(CE$7:CE$348)-ROW(CE$7)+1),ROWS(CE$7:CE73))),"")</f>
        <v/>
      </c>
      <c r="AA74" s="3" t="str">
        <f t="array" ref="AA74">IFERROR(INDEX(CF$7:CF$348,SMALL(IF(CF$7:CF$348&lt;&gt;"",ROW(CF$7:CF$348)-ROW(CF$7)+1),ROWS(CF$7:CF73))),"")</f>
        <v/>
      </c>
      <c r="AB74" s="3" t="str">
        <f t="array" ref="AB74">IFERROR(INDEX(CG$7:CG$348,SMALL(IF(CG$7:CG$348&lt;&gt;"",ROW(CG$7:CG$348)-ROW(CG$7)+1),ROWS(CG$7:CG73))),"")</f>
        <v/>
      </c>
      <c r="AC74" s="3" t="str">
        <f t="array" ref="AC74">IFERROR(INDEX(CH$7:CH$348,SMALL(IF(CH$7:CH$348&lt;&gt;"",ROW(CH$7:CH$348)-ROW(CH$7)+1),ROWS(CH$7:CH73))),"")</f>
        <v/>
      </c>
      <c r="AD74" s="3" t="str">
        <f t="array" ref="AD74">IFERROR(INDEX(CI$7:CI$377,SMALL(IF(CI$7:CI$377&lt;&gt;"",ROW(CI$7:CI$377)-ROW(CI$7)+1),ROWS(CI$7:CI73))),"")</f>
        <v/>
      </c>
      <c r="AE74" s="3" t="str">
        <f t="array" ref="AE74">IFERROR(INDEX(CJ$7:CJ$378,SMALL(IF(CJ$7:CJ$378&lt;&gt;"",ROW(CJ$7:CJ$378)-ROW(CJ$7)+1),ROWS(CJ$7:CJ73))),"")</f>
        <v/>
      </c>
      <c r="AF74" s="3" t="str">
        <f t="array" ref="AF74">IFERROR(INDEX(CK$7:CK$378,SMALL(IF(CK$7:CK$378&lt;&gt;"",ROW(CK$7:CK$378)-ROW(CK$7)+1),ROWS(CK$7:CK73))),"")</f>
        <v/>
      </c>
      <c r="AG74" s="3" t="str">
        <f t="array" ref="AG74">IFERROR(INDEX(CL$7:CL$378,SMALL(IF(CL$7:CL$378&lt;&gt;"",ROW(CL$7:CL$378)-ROW(CL$7)+1),ROWS(CL$7:CL73))),"")</f>
        <v/>
      </c>
      <c r="AH74" s="3"/>
      <c r="AI74" s="3"/>
      <c r="AJ74" s="3"/>
      <c r="AK74" s="3"/>
      <c r="AL74" s="3"/>
      <c r="AM74" s="3"/>
      <c r="AN74" s="52" t="str">
        <f>IF(Atletas!D65="","",IF(Atletas!B65="Feminino",100,IF(Atletas!B65="Masculino",200,""))+(IF(Atletas!D65="Kids 30kg",1,IF(Atletas!D65="Kids 32kg",2, IF(Atletas!D65="Kids 34kg",3,IF(Atletas!D65="Kids 36kg",4,IF(Atletas!D65="Kids 39kg",5,IF(Atletas!D65="Kids 42kg",6,IF(Atletas!D65="Kids 45kg",7, IF(Atletas!D65="Infantil 39kg",8,IF(Atletas!D65="Infantil 42kg",9,IF(Atletas!D65="Infantil 45kg",10,IF(Atletas!D65="Infantil 48kg",11,IF(Atletas!D65="Infantil 52kg",12,IF(Atletas!D65="Infantil 56kg",13,IF(Atletas!D65="Infantil 60kg",14,IF(Atletas!D65="Juvenil 48kg",15,IF(Atletas!D65="Juvenil 52kg",16,IF(Atletas!D65="Juvenil 56kg",17,IF(Atletas!D65="Juvenil 60kg",18,IF(Atletas!D65="Juvenil 65kg",19,IF(Atletas!D65="Juvenil 70kg",20,IF(Atletas!D65="Juvenil 75kg",21,IF(Atletas!D65="Juvenil 80kg",22, IF(Atletas!D65="Juvenil 85kg",23,IF(Atletas!D65="Adulto 48kg",24,IF(Atletas!D65="Adulto 52kg",25,IF(Atletas!D65="Adulto 56kg",26,IF(Atletas!D65="Adulto 60kg",27,IF(Atletas!D65="Adulto 65kg",28,IF(Atletas!D65="Adulto 70kg",29,IF(Atletas!D65="Adulto 75kg",30,IF(Atletas!D65="Adulto 80kg",31,IF(Atletas!D65="Adulto 85kg",32,IF(Atletas!D65="Adulto 90kg",33,IF(Atletas!D65="Adulto 100kg",34, IF(Atletas!D65="Adulto +100kg",35,"")))))))))))))))))))))))))))))))))))))</f>
        <v/>
      </c>
      <c r="AS74" s="6" t="str">
        <f>IF(Atletas!E65="","",IF(Atletas!B65="Feminino",100,IF(Atletas!B65="Masculino",200,""))+(IF(Atletas!E65="Juvenil 44kg",1,IF(Atletas!E65="Juvenil 48kg",2,IF(Atletas!E65="Juvenil 52kg",3,IF(Atletas!E65="Juvenil 56kg",4,IF(Atletas!E65="Juvenil 60kg",5,IF(Atletas!E65="Juvenil 65kg",6,IF(Atletas!E65="Juvenil 70kg",7,IF(Atletas!E65="Juvenil 75kg",8,IF(Atletas!E65="Juvenil 82kg",9,IF(Atletas!E65="Juvenil 90kg",10,IF(Atletas!E65="Juvenil 100kg",11,IF(Atletas!E65="Adulto 48kg",12,IF(Atletas!E65="Adulto 52kg",13,IF(Atletas!E65="Adulto 56kg",14,IF(Atletas!E65="Adulto 60kg",15,IF(Atletas!E65="Adulto 65kg",16,IF(Atletas!E65="Adulto 70kg",17,IF(Atletas!E65="Adulto 75kg",18,IF(Atletas!E65="Adulto 82kg",19,IF(Atletas!E65="Adulto 90kg",20,IF(Atletas!E65="Adulto 100kg",21,IF(Atletas!E65="Adulto +100kg",22,""))))))))))))))))))))))))</f>
        <v/>
      </c>
      <c r="AX74" s="6" t="str">
        <f>IF(Atletas!F65="","",IF(Atletas!B65="Feminino",100,IF(Atletas!B65="Masculino",200,""))+(IF(Atletas!F65="Adulto 48kg",1,IF(Atletas!F65="Adulto 56kg",2,IF(Atletas!F65="Adulto 65kg",3,IF(Atletas!F65="Adulto 75kg",4,IF(Atletas!F65="Adulto +75kg",5,IF(Atletas!F65="Adulto 52kg",6,IF(Atletas!F65="Adulto 60kg",7,IF(Atletas!F65="Adulto 70kg",8,IF(Atletas!F65="Adulto 80kg",9,IF(Atletas!F65="Adulto 90kg",10,IF(Atletas!F65="Adulto +90kg",11,"")))))))))))))</f>
        <v/>
      </c>
      <c r="BC74" s="6" t="str">
        <f>IF(Atletas!G65="","",IF(Atletas!B65="Feminino",10,IF(Atletas!B65="Masculino",20,""))+(IF(Atletas!G65="Baduanjin A",1,IF(Atletas!G65="Baduanjin B",2))))</f>
        <v/>
      </c>
      <c r="BF74" s="52" t="str">
        <f>IF(Atletas!H65="","",IF(Atletas!B65="Feminino",100,IF(Atletas!B65="Masculino",200,""))+(IF(Atletas!H65="Changquan Mirim",1,IF(Atletas!H65="Nanquan Mirim",2,IF(Atletas!H65="Taijiquan Mirim",3,IF(Atletas!H65="Changquan Grupo C",4,IF(Atletas!H65="Nanquan Grupo C",5,IF(Atletas!H65="Taijiquan Grupo C",6,IF(Atletas!H65="Changquan Grupo B",7,IF(Atletas!H65="Nanquan Grupo B",8,IF(Atletas!H65="Taijiquan Grupo B",9,IF(Atletas!H65="Changquan Grupo A",10,IF(Atletas!H65="Nanquan Grupo A",11,IF(Atletas!H65="Taijiquan Grupo A",12,IF(Atletas!H65="Changquan Opcional",13,IF(Atletas!H65="Nanquan Opcional",14,IF(Atletas!H65="Taijiquan Opcional",15,IF(Atletas!H65="Changquan Adulto",16,IF(Atletas!H65="Nanquan Adulto",17,IF(Atletas!H65="Taijiquan Adulto",18,""))))))))))))))))))))</f>
        <v/>
      </c>
      <c r="BG74" s="52" t="str">
        <f>IF(Atletas!I65="","",IF(Atletas!B65="Feminino",100,IF(Atletas!B65="Masculino",200,""))+(IF(Atletas!I65="Daoshu Mirim",19,IF(Atletas!I65="Jianshu Mirim",20,IF(Atletas!I65="Nandao Mirim",21,IF(Atletas!I65="Taijijian Mirim",22,IF(Atletas!I65="Daoshu Grupo C",23,IF(Atletas!I65="Jianshu Grupo C",24,IF(Atletas!I65="Nandao Grupo C",25,IF(Atletas!I65="Taijijian Grupo C",26,IF(Atletas!I65="Daoshu Grupo B",27,IF(Atletas!I65="Jianshu Grupo B",28,IF(Atletas!I65="Nandao Grupo B",29,IF(Atletas!I65="Taijijian Grupo B",30,IF(Atletas!I65="Daoshu Grupo A",31,IF(Atletas!I65="Jianshu Grupo A",32,IF(Atletas!I65="Nandao Grupo A",33,IF(Atletas!I65="Taijijian Grupo A",34,IF(Atletas!I65="Daoshu Opcional",35,IF(Atletas!I65="Jianshu Opcional",36,IF(Atletas!I65="Nandao Opcional",37,IF(Atletas!I65="Taijijian Opcional",38,IF(Atletas!I65="Daoshu Adulto",39,IF(Atletas!I65="Jianshu Adulto",40,IF(Atletas!I65="Nandao Adulto",41,IF(Atletas!I65="Taijijian Adulto",42,""))))))))))))))))))))))))))</f>
        <v/>
      </c>
      <c r="BH74" s="52" t="str">
        <f>IF(Atletas!J65="","",IF(Atletas!B65="Feminino",100,IF(Atletas!B65="Masculino",200,""))+(IF(Atletas!J65="Gunshu Mirim",43,IF(Atletas!J65="Qiangshu Mirim",44,IF(Atletas!J65="Nangun Mirim",45,IF(Atletas!J65="Gunshu Grupo C",46,IF(Atletas!J65="Qiangshu Grupo C",47,IF(Atletas!J65="Nangun Grupo C",48,IF(Atletas!J65="Gunshu Grupo B",49,IF(Atletas!J65="Qiangshu Grupo B",50,IF(Atletas!J65="Nangun Grupo B",51,IF(Atletas!J65="Gunshu Grupo A",52,IF(Atletas!J65="Qiangshu Grupo A",53,IF(Atletas!J65="Nangun Grupo A",54,IF(Atletas!J65="Gunshu Opcional",55,IF(Atletas!J65="Qiangshu Opcional",56,IF(Atletas!J65="Nangun Opcional",57,IF(Atletas!J65="Gunshu Adulto",58,IF(Atletas!J65="Qiangshu Adulto",59,IF(Atletas!J65="Nangun Adulto",60,IF(Atletas!J65="Taijishan Grupo B",61,IF(Atletas!J65="Taijishan Grupo A",62,""))))))))))))))))))))))</f>
        <v/>
      </c>
      <c r="BM74" s="50" t="str">
        <f>IF(Atletas!K65="","",IF(Atletas!B65="Feminino",100,IF(Atletas!B65="Masculino",200,""))+(IF(Atletas!K65="Equipe 1 Grupo B",1,IF(Atletas!K65="Equipe 2 Grupo B",2,IF(Atletas!K65="Equipe 1 Grupo A",3,IF(Atletas!K65="Equipe 2 Grupo A",4,IF(Atletas!K65="Equipe 1 Adulto",5,IF(Atletas!K65="Equipe 2 Adulto",6,""))))))))</f>
        <v/>
      </c>
      <c r="BR74" s="50" t="str">
        <f>IF(Atletas!L65="","",IF(Atletas!X65&lt;&gt;"",10000,0)+(IF(Atletas!B65="Feminino",1000,IF(Atletas!B65="Masculino",2000,""))+IF(Atletas!L65="Choylayfut A",1,IF(Atletas!L65="Hunggar A",2,IF(Atletas!L65="Wuzuquan A",3,IF(Atletas!L65="Wingchun A",4,IF(Atletas!L65="Outra Mão de Sul A",5,IF(Atletas!L65="Choylayfut B",6,IF(Atletas!L65="Hunggar B",7,IF(Atletas!L65="Wuzuquan B",8,IF(Atletas!L65="Wingchun B",9,IF(Atletas!L65="Outra Mão de Sul B",10,IF(Atletas!L65="Choylayfut C",11,IF(Atletas!L65="Hunggar C",12,IF(Atletas!L65="Wuzuquan C",13,IF(Atletas!L65="Wingchun C",14,IF(Atletas!L65="Outra Mão de Sul C",15,IF(Atletas!L65="Choylayfut D",16,IF(Atletas!L65="Hunggar D",17,IF(Atletas!L65="Wuzuquan D",18,IF(Atletas!L65="Wingchun D",19,IF(Atletas!L65="Outra Mão de Sul D",20,IF(Atletas!L65="Choylayfut E",21,IF(Atletas!L65="Hunggar E",22,IF(Atletas!L65="Wuzuquan E",23,IF(Atletas!L65="Wingchun E",24,IF(Atletas!L65="Outra Mão de Sul E",25,IF(Atletas!L65="Choylayfut F",26,IF(Atletas!L65="Hunggar F",27,IF(Atletas!L65="Wuzuquan F",28,IF(Atletas!L65="Wingchun F",29,IF(Atletas!L65="Outra Mão de Sul F",30,IF(Atletas!L65="Dishuquan A",31,IF(Atletas!L65="Dishuquan B",32,IF(Atletas!L65="Dishuquan C",33,IF(Atletas!L65="Dishuquan D",34,IF(Atletas!L65="Dishuquan E",35,IF(Atletas!L65="Dishuquan F",36,""))))))))))))))))))))))))))))))))))))))</f>
        <v/>
      </c>
      <c r="BS74" s="50" t="str">
        <f>IF(Atletas!M65="","",IF(Atletas!X65&lt;&gt;"",10000,0)+(IF(Atletas!B65="Feminino",1000,IF(Atletas!B65="Masculino",2000,""))+(IF(Atletas!M65="Chaquan A",101,IF(Atletas!M65="Emeiquan A",102,IF(Atletas!M65="Fanziquan A",103,IF(Atletas!M65="Huaquan A",104,IF(Atletas!M65="Hongquan A",105,IF(Atletas!M65="Paoquan A",106,IF(Atletas!M65="Piguaquan A",107,IF(Atletas!M65="Shaolinquan A",108,IF(Atletas!M65="Tanglangquan A",109,IF(Atletas!M65="Yingzhaoquan A",110,IF(Atletas!M65="Tongbeiquan A",111,IF(Atletas!M65="Wudangquan A",112,IF(Atletas!M65="Outros Estilos A",113,IF(Atletas!M65="Chaquan B",114,IF(Atletas!M65="Emeiquan B",115,IF(Atletas!M65="Fanziquan B",116,IF(Atletas!M65="Huaquan B",117,IF(Atletas!M65="Hongquan B",118,IF(Atletas!M65="Paoquan B",119,IF(Atletas!M65="Piguaquan B",120,IF(Atletas!M65="Shaolinquan B",121,IF(Atletas!M65="Tanglangquan B",122,IF(Atletas!M65="Yingzhaoquan B",123,IF(Atletas!M65="Tongbeiquan B",124,IF(Atletas!M65="Wudangquan B",125,IF(Atletas!M65="Outros Estilos B",126,IF(Atletas!M65="Chaquan C",127,IF(Atletas!M65="Emeiquan C",128,IF(Atletas!M65="Fanziquan C",129,IF(Atletas!M65="Huaquan C",130,IF(Atletas!M65="Hongquan C",131,IF(Atletas!M65="Paoquan C",132,IF(Atletas!M65="Piguaquan C",133,IF(Atletas!M65="Shaolinquan C",134,IF(Atletas!M65="Tanglangquan C",135,IF(Atletas!M65="Yingzhaoquan C",136,IF(Atletas!M65="Tongbeiquan C",137,IF(Atletas!M65="Wudangquan C",138,IF(Atletas!M65="Outros Estilos C",139,0))))))))))))))))))))))))))))))))))))))))))</f>
        <v/>
      </c>
      <c r="BT74" s="50" t="str">
        <f>IF(Atletas!M65="","",IF(Atletas!X65&lt;&gt;"",10000,0)+(IF(Atletas!B65="Feminino",1000,IF(Atletas!B65="Masculino",2000,""))+(IF(Atletas!M65="Chaquan D",140,IF(Atletas!M65="Emeiquan D",141,IF(Atletas!M65="Fanziquan D",142,IF(Atletas!M65="Huaquan D",143,IF(Atletas!M65="Hongquan D",144,IF(Atletas!M65="Paoquan D",145,IF(Atletas!M65="Piguaquan D",146,IF(Atletas!M65="Shaolinquan D",147,IF(Atletas!M65="Tanglangquan D",148,IF(Atletas!M65="Yingzhaoquan D",149,IF(Atletas!M65="Tongbeiquan D",150,IF(Atletas!M65="Wudangquan D",151,IF(Atletas!M65="Outros Estilos D",152,IF(Atletas!M65="Chaquan E",153,IF(Atletas!M65="Emeiquan E",154,IF(Atletas!M65="Fanziquan E",155,IF(Atletas!M65="Huaquan E",156,IF(Atletas!M65="Hongquan E",157,IF(Atletas!M65="Paoquan E",158,IF(Atletas!M65="Piguaquan E",159,IF(Atletas!M65="Shaolinquan E",160,IF(Atletas!M65="Tanglangquan E",161,IF(Atletas!M65="Yingzhaoquan E",162,IF(Atletas!M65="Tongbeiquan E",163,IF(Atletas!M65="Wudangquan E",164,IF(Atletas!M65="Outros Estilos E",165,IF(Atletas!M65="Chaquan F",166,IF(Atletas!M65="Emeiquan F",167,IF(Atletas!M65="Fanziquan F",168,IF(Atletas!M65="Huaquan F",169,IF(Atletas!M65="Hongquan F",170,IF(Atletas!M65="Paoquan F",171,IF(Atletas!M65="Piguaquan F",172,IF(Atletas!M65="Shaolinquan F",173,IF(Atletas!M65="Tanglangquan F",174,IF(Atletas!M65="Yingzhaoquan F",175,IF(Atletas!M65="Tongbeiquan F",176,IF(Atletas!M65="Wudangquan F",177,IF(Atletas!M65="Outros Estilos F",178,0))))))))))))))))))))))))))))))))))))))))))</f>
        <v/>
      </c>
      <c r="BU74" s="50" t="str">
        <f>IF(Atletas!N65="","",IF(Atletas!X65&lt;&gt;"",10000,0)+(IF(Atletas!B65="Feminino",1000,IF(Atletas!B65="Masculino",2000,""))+(IF(Atletas!N65="Ditangquan A",201,IF(Atletas!N65="Houquan A",202,IF(Atletas!N65="Zuiquan A",203,IF(Atletas!N65="Ditangquan B",204,IF(Atletas!N65="Houquan B",205,IF(Atletas!N65="Zuiquan B",206,IF(Atletas!N65="Ditangquan C",207,IF(Atletas!N65="Houquan C",208,IF(Atletas!N65="Zuiquan C",209,IF(Atletas!N65="Ditangquan D",210,IF(Atletas!N65="Houquan D",211,IF(Atletas!N65="Zuiquan D",212,IF(Atletas!N65="Ditangquan E",213,IF(Atletas!N65="Houquan E",214,IF(Atletas!N65="Zuiquan E",215,IF(Atletas!N65="Ditangquan F",216,IF(Atletas!N65="Houquan F",217,IF(Atletas!N65="Zuiquan F",218,"")))))))))))))))))))))</f>
        <v/>
      </c>
      <c r="BV74" s="50" t="str">
        <f>IF(Atletas!O65="","",IF(Atletas!X65&lt;&gt;"",10000,0)+IF(Atletas!B65="Feminino",1000,IF(Atletas!B65="Masculino",2000,""))+IF(Atletas!O65="Yang A",301,IF(Atletas!O65="Chen A",302,IF(Atletas!O65="Sun A",303,IF(Atletas!O65="Wu A",304,IF(Atletas!O65="Wu-Hao A",305,IF(Atletas!O65="Outro Taijiquan A",306,IF(Atletas!O65="Yang B",307,IF(Atletas!O65="Chen B",308,IF(Atletas!O65="Sun B",309,IF(Atletas!O65="Wu B",310,IF(Atletas!O65="Wu-Hao B",311,IF(Atletas!O65="Outro Taijiquan B",312,IF(Atletas!O65="Yang C",313,IF(Atletas!O65="Chen C",314,IF(Atletas!O65="Sun C",315,IF(Atletas!O65="Wu C",316,IF(Atletas!O65="Wu-Hao C",317,IF(Atletas!O65="Outro Taijiquan C",318,IF(Atletas!O65="Yang D",319,IF(Atletas!O65="Chen D",320,IF(Atletas!O65="Sun D",321,IF(Atletas!O65="Wu D",322,IF(Atletas!O65="Wu-Hao D",323,IF(Atletas!O65="Outro Taijiquan D",324,IF(Atletas!O65="Yang E",325,IF(Atletas!O65="Chen E",326,IF(Atletas!O65="Sun E",327,IF(Atletas!O65="Wu E",328,IF(Atletas!O65="Wu-Hao E",329,IF(Atletas!O65="Outro Taijiquan E",330,IF(Atletas!O65="Yang F",331,IF(Atletas!O65="Chen F",332,IF(Atletas!O65="Sun F",333,IF(Atletas!O65="Wu F",334,IF(Atletas!O65="Wu-Hao F",335,IF(Atletas!O65="Outro Taijiquan F",336,"")))))))))))))))))))))))))))))))))))))</f>
        <v/>
      </c>
      <c r="BW74" s="50" t="str">
        <f>IF(Atletas!P65="","",IF(Atletas!X65&lt;&gt;"",10000,0)+IF(Atletas!B65="Feminino",1000,IF(Atletas!B65="Masculino",2000,""))+IF(OR(Atletas!P65="Yang 26 A",Atletas!P65="Yang 40 A"),401,IF(OR(Atletas!P65="Chen 25 A",Atletas!P65="Chen 36 A",Atletas!P65="Chen 56 A"),402,IF(Atletas!P65="Sun 73 A",403,IF(Atletas!P65="Wu 45 A",404,IF(Atletas!P65="Wu-Hao 46 A",405,IF(OR(Atletas!P65="Taijiquan 16 A",Atletas!P65="Taijiquan 24 A",Atletas!P65="Taijiquan 32 A",Atletas!P65="Taijiquan 42 A"),406,IF(OR(Atletas!P65="Yang 26 B",Atletas!P65="Yang 40 B"),407,IF(OR(Atletas!P65="Chen 25 B",Atletas!P65="Chen 36 B",Atletas!P65="Chen 56 B"),408,IF(Atletas!P65="Sun 73 B",409,IF(Atletas!P65="Wu 45 B",410,IF(Atletas!P65="Wu-Hao 46 B",411,IF(OR(Atletas!P65="Taijiquan 16 B",Atletas!P65="Taijiquan 24 B",Atletas!P65="Taijiquan 32 B",Atletas!P65="Taijiquan 42 B"),412,IF(OR(Atletas!P65="Yang 26 C",Atletas!P65="Yang 40 C"),413,IF(OR(Atletas!P65="Chen 25 C",Atletas!P65="Chen 36 C",Atletas!P65="Chen 56 C"),414,IF(Atletas!P65="Sun 73 C",415,IF(Atletas!P65="Wu 45 C",416,IF(Atletas!P65="Wu-Hao 46 C",417,IF(OR(Atletas!P65="Taijiquan 16 C",Atletas!P65="Taijiquan 24 C",Atletas!P65="Taijiquan 32 C",Atletas!P65="Taijiquan 42 C"),418,0)))))))))))))))))))</f>
        <v/>
      </c>
      <c r="BX74" s="50" t="str">
        <f>IF(Atletas!P65="","",IF(Atletas!X65&lt;&gt;"",10000,0)+IF(Atletas!B65="Feminino",1000,IF(Atletas!B65="Masculino",2000,""))+IF(OR(Atletas!P65="Yang 26 D",Atletas!P65="Yang 40 D"),419,IF(OR(Atletas!P65="Chen 25 D",Atletas!P65="Chen 36 D",Atletas!P65="Chen 56 D"),420,IF(Atletas!P65="Sun 73 D",421,IF(Atletas!P65="Wu 45 D",422,IF(Atletas!P65="Wu-Hao 46 D",423,IF(OR(Atletas!P65="Taijiquan 16 D",Atletas!P65="Taijiquan 24 D",Atletas!P65="Taijiquan 32 D",Atletas!P65="Taijiquan 42 D"),424,IF(OR(Atletas!P65="Yang 26 E",Atletas!P65="Yang 40 E"),425,IF(OR(Atletas!P65="Chen 25 E",Atletas!P65="Chen 36 E",Atletas!P65="Chen 56 E"),426,IF(Atletas!P65="Sun 73 E",427,IF(Atletas!P65="Wu 45 E",428,IF(Atletas!P65="Wu-Hao 46 E",429,IF(OR(Atletas!P65="Taijiquan 16 E",Atletas!P65="Taijiquan 24 E",Atletas!P65="Taijiquan 32 E",Atletas!P65="Taijiquan 42 E"),430,IF(OR(Atletas!P65="Yang 26 F",Atletas!P65="Yang 40 F"),431,IF(OR(Atletas!P65="Chen 25 F",Atletas!P65="Chen 36 F",Atletas!P65="Chen 56 F"),432,IF(Atletas!P65="Sun 73 F",433,IF(Atletas!P65="Wu 45 F",434,IF(Atletas!P65="Wu-Hao 46 F",435,IF(OR(Atletas!P65="Taijiquan 16 F",Atletas!P65="Taijiquan 24 F",Atletas!P65="Taijiquan 32 F",Atletas!P65="Taijiquan 42 F"),436,0)))))))))))))))))))</f>
        <v/>
      </c>
      <c r="BY74" s="50" t="str">
        <f>IF(Atletas!Q65="","",IF(Atletas!X65&lt;&gt;"",10000,0)+IF(Atletas!B65="Feminino",1000,IF(Atletas!B65="Masculino",2000,""))+IF(Atletas!Q65="Xingyiquan A",501,IF(Atletas!Q65="Baguazhang A",502,IF(Atletas!Q65="Outro Estilo Interno A",503,IF(Atletas!Q65="Xingyiquan B",504,IF(Atletas!Q65="Baguazhang B",505,IF(Atletas!Q65="Outro Estilo Interno B",506,IF(Atletas!Q65="Xingyiquan C",507,IF(Atletas!Q65="Baguazhang C",508,IF(Atletas!Q65="Outro Estilo Interno C",509,IF(Atletas!Q65="Xingyiquan D",510,IF(Atletas!Q65="Baguazhang D",511,IF(Atletas!Q65="Outro Estilo Interno D",512,IF(Atletas!Q65="Xingyiquan E",513,IF(Atletas!Q65="Baguazhang E",514,IF(Atletas!Q65="Outro Estilo Interno E",515,IF(Atletas!Q65="Xingyiquan F",516,IF(Atletas!Q65="Baguazhang F",517,IF(Atletas!Q65="Outro Estilo Interno F",518, "")))))))))))))))))))</f>
        <v/>
      </c>
      <c r="BZ74" s="50" t="str">
        <f>IF(Atletas!R65="","",IF(Atletas!X65&lt;&gt;"",10000,0)+IF(Atletas!B65="Feminino",1000,IF(Atletas!B65="Masculino",2000,""))+IF(Atletas!R65="Dao A",601,IF(Atletas!R65="Jian A",602,IF(Atletas!R65="Bishou A",603,IF(Atletas!R65="Shanzi A",604,IF(Atletas!R65="Outra Arma Curta A",605,IF(Atletas!R65="Dao B",606,IF(Atletas!R65="Jian B",607,IF(Atletas!R65="Bishou B",608,IF(Atletas!R65="Shanzi B",609,IF(Atletas!R65="Outra Arma Curta B",610,IF(Atletas!R65="Dao C",611,IF(Atletas!R65="Jian C",612,IF(Atletas!R65="Bishou C",613,IF(Atletas!R65="Shanzi C",614,IF(Atletas!R65="Outra Arma Curta C",615,IF(Atletas!R65="Dao D",616,IF(Atletas!R65="Jian D",617,IF(Atletas!R65="Bishou D",618,IF(Atletas!R65="Shanzi D",619,IF(Atletas!R65="Outra Arma Curta D",620,IF(Atletas!R65="Dao E",621,IF(Atletas!R65="Jian E",622,IF(Atletas!R65="Bishou E",623,IF(Atletas!R65="Shanzi E",624,IF(Atletas!R65="Outra Arma Curta E",625,IF(Atletas!R65="Dao F",626,IF(Atletas!R65="Jian F",627,IF(Atletas!R65="Bishou F",628,IF(Atletas!R65="Shanzi F",629,IF(Atletas!R65="Outra Arma Curta F",630, "")))))))))))))))))))))))))))))))</f>
        <v/>
      </c>
      <c r="CA74" s="50" t="str">
        <f>IF(Atletas!S65="","",IF(Atletas!X65&lt;&gt;"",10000,0)+IF(Atletas!B65="Feminino",1000,IF(Atletas!B65="Masculino",2000,""))+IF(Atletas!S65="Gun A",701,IF(Atletas!S65="Qiang A",702,IF(Atletas!S65="Pudao / Guandao A",703,IF(Atletas!S65="Outra Arma Longa A",704,IF(Atletas!S65="Gun B",705,IF(Atletas!S65="Qiang B",706,IF(Atletas!S65="Pudao / Guandao B",707,IF(Atletas!S65="Outra Arma Longa B",708,IF(Atletas!S65="Gun C",709,IF(Atletas!S65="Qiang C",710,IF(Atletas!S65="Pudao / Guandao C",711,IF(Atletas!S65="Outra Arma Longa C",712,IF(Atletas!S65="Gun D",713,IF(Atletas!S65="Qiang D",714,IF(Atletas!S65="Pudao / Guandao D",715,IF(Atletas!S65="Outra Arma Longa D",716,IF(Atletas!S65="Gun E",717,IF(Atletas!S65="Qiang E",718,IF(Atletas!S65="Pudao / Guandao E",719,IF(Atletas!S65="Outra Arma Longa E",720,IF(Atletas!S65="Gun F",721,IF(Atletas!S65="Qiang F",722,IF(Atletas!S65="Pudao / Guandao F",723,IF(Atletas!S65="Outra Arma Longa F",724,"")))))))))))))))))))))))))</f>
        <v/>
      </c>
      <c r="CB74" s="50" t="str">
        <f>IF(Atletas!T65="","",IF(Atletas!X65&lt;&gt;"",10000,0)+IF(Atletas!B65="Feminino",1000,IF(Atletas!B65="Masculino",2000,""))+IF(Atletas!T65="Outra Arma Dupla A",801,IF(Atletas!T65="Arma Maleável A",802,IF(Atletas!T65="Outra Arma Dupla B",803,IF(Atletas!T65="Arma Maleável B",804,IF(Atletas!T65="Outra Arma Dupla C",805,IF(Atletas!T65="Arma Maleável C",806,IF(Atletas!T65="Outra Arma Dupla D",807,IF(Atletas!T65="Arma Maleável D",808,IF(Atletas!T65="Outra Arma Dupla E",809,IF(Atletas!T65="Arma Maleável E",810,IF(Atletas!T65="Outra Arma Dupla F",811,IF(Atletas!T65="Arma Maleável F",812,IF(Atletas!T65="Shuangdao A",813,IF(Atletas!T65="Shuangdao B",814,IF(Atletas!T65="Shuangdao C",815,IF(Atletas!T65="Shuangdao D",816,IF(Atletas!T65="Shuangdao E",817,IF(Atletas!T65="Shuangdao F",818,"")))))))))))))))))))</f>
        <v/>
      </c>
      <c r="CC74" s="50" t="str">
        <f>IF(Atletas!U65="","",IF(Atletas!X65&lt;&gt;"",10000,0)+IF(Atletas!B65="Feminino",1000,IF(Atletas!B65="Masculino",2000,""))+IF(OR(Atletas!U65="Taijijian Yang A",Atletas!U65="Taijijian Yang Standard A"),901,IF(OR(Atletas!U65="Taijijian Chen A", Atletas!U65="Taijijian Chen Standard A"),902,IF(Atletas!U65="Taijijian Sun A",903,IF(Atletas!U65="Taijijian Wu A",904,IF(Atletas!U65="Taijijian Wu-Hao A",905,IF(OR(Atletas!U65="Taijijian 32 A",Atletas!U65="Taijijian 42 A"),906,IF(OR(Atletas!U65="Taijijian Yang B",Atletas!U65="Taijijian Yang Standard B"),907,IF(OR(Atletas!U65="Taijijian Chen B", Atletas!U65="Taijijian Chen Standard B"),908,IF(Atletas!U65="Taijijian Sun B",909,IF(Atletas!U65="Taijijian Wu B",910,IF(Atletas!U65="Taijijian Wu-Hao B",911,IF(OR(Atletas!U65="Taijijian 32 B",Atletas!U65="Taijijian 42 B"),912,IF(OR(Atletas!U65="Taijijian Yang C",Atletas!U65="Taijijian Yang Standard C"),913,IF(OR(Atletas!U65="Taijijian Chen C", Atletas!U65="Taijijian Chen Standard C"),914,IF(Atletas!U65="Taijijian Sun C",915,IF(Atletas!U65="Taijijian Wu C",916,IF(Atletas!U65="Taijijian Wu-Hao C",917,IF(OR(Atletas!U65="Taijijian 32 C",Atletas!U65="Taijijian 42 C"),918,IF(OR(Atletas!U65="Taijijian Yang D",Atletas!U65="Taijijian Yang Standard D"),919,IF(OR(Atletas!U65="Taijijian Chen D", Atletas!U65="Taijijian Chen Standard D"),920,IF(Atletas!U65="Taijijian Sun D",921,IF(Atletas!U65="Taijijian Wu D",922,IF(Atletas!U65="Taijijian Wu-Hao D",923,IF(OR(Atletas!U65="Taijijian 32 D",Atletas!U65="Taijijian 42 D"),924,IF(OR(Atletas!U65="Taijijian Yang E",Atletas!U65="Taijijian Yang Standard E"),925,IF(OR(Atletas!U65="Taijijian Chen E", Atletas!U65="Taijijian Chen Standard E"),926,IF(Atletas!U65="Taijijian Sun E",927,IF(Atletas!U65="Taijijian Wu E",928,IF(Atletas!U65="Taijijian Wu-Hao E",929,IF(OR(Atletas!U65="Taijijian 32 E",Atletas!U65="Taijijian 42 E"),930,IF(OR(Atletas!U65="Taijijian Yang F",Atletas!U65="Taijijian Yang Standard F"),931,IF(OR(Atletas!U65="Taijijian Chen F", Atletas!U65="Taijijian Chen Standard F"),932,IF(Atletas!U65="Taijijian Sun F",933,IF(Atletas!U65="Taijijian Wu F",934,IF(Atletas!U65="Taijijian Wu-Hao F",935,IF(OR(Atletas!U65="Taijijian 32 F",Atletas!U65="Taijijian 42 F"),936,"")))))))))))))))))))))))))))))))))))))</f>
        <v/>
      </c>
      <c r="CD74" s="50" t="str">
        <f>IF(Atletas!V65="","",IF(Atletas!X65&lt;&gt;"",10000,0)+IF(Atletas!B65="Feminino",1000,IF(Atletas!B65="Masculino",2000,""))+IF(Atletas!V65="Taijidao A",937,IF(Atletas!V65="TaijiShanzi A",938,IF(Atletas!V65="Taijiqiang A",939,IF(Atletas!V65="Bagua de Arma A",940,IF(Atletas!V65="Xingyi de Arma A",941,IF(Atletas!V65="Taijidao B",942,IF(Atletas!V65="TaijiShanzi B",943,IF(Atletas!V65="Taijiqiang B",944,IF(Atletas!V65="Bagua de Arma B",945,IF(Atletas!V65="Xingyi de Arma B",946,IF(Atletas!V65="Taijidao C",947,IF(Atletas!V65="TaijiShanzi C",948,IF(Atletas!V65="Taijiqiang C",949,IF(Atletas!V65="Bagua de Arma C",950,IF(Atletas!V65="Xingyi de Arma C",951,IF(Atletas!V65="Taijidao D",952,IF(Atletas!V65="TaijiShanzi D",953,IF(Atletas!V65="Taijiqiang D",954,IF(Atletas!V65="Bagua de Arma D",955,IF(Atletas!V65="Xingyi de Arma D",956,IF(Atletas!V65="Taijidao E",957,IF(Atletas!V65="TaijiShanzi E",958,IF(Atletas!V65="Taijiqiang E",959,IF(Atletas!V65="Bagua de Arma E",960,IF(Atletas!V65="Xingyi de Arma E",961,IF(Atletas!V65="Taijidao F",962,IF(Atletas!V65="TaijiShanzi F",963,IF(Atletas!V65="Taijiqiang F",964,IF(Atletas!V65="Bagua de Arma F",965,IF(Atletas!V65="Xingyi de Arma F",966,"")))))))))))))))))))))))))))))))</f>
        <v/>
      </c>
      <c r="CE74" s="66" t="str">
        <f>IF(CF74&lt;&gt;"","Paoquan C","")</f>
        <v/>
      </c>
      <c r="CF74" s="66" t="str">
        <f>IF(COUNTIF(BR:CD,1132)&gt;0,COUNTIF(BR:CD,1132),"")</f>
        <v/>
      </c>
      <c r="CG74" s="66" t="str">
        <f>IF(CH74&lt;&gt;"","Paoquan C","")</f>
        <v/>
      </c>
      <c r="CH74" s="66" t="str">
        <f>IF(COUNTIF(BR:CD,2132)&gt;0,COUNTIF(BR:CD,2132),"")</f>
        <v/>
      </c>
      <c r="CI74" s="66" t="str">
        <f>IF(CJ74&lt;&gt;"","Wudangquan C","")</f>
        <v/>
      </c>
      <c r="CJ74" s="66" t="str">
        <f>IF(COUNTIF(BR:CD,11138)&gt;0,COUNTIF(BR:CD,11138),"")</f>
        <v/>
      </c>
      <c r="CK74" s="66" t="str">
        <f>IF(CL74&lt;&gt;"","Wudangquan C","")</f>
        <v/>
      </c>
      <c r="CL74" s="66" t="str">
        <f>IF(COUNTIF(BR:CD,12138)&gt;0,COUNTIF(BR:CD,12138),"")</f>
        <v/>
      </c>
      <c r="CM74" s="50" t="str">
        <f xml:space="preserve"> IF(Atletas!W65="","",IF(Atletas!W65="Duilian de Mãos BC - Equipe 1",1,IF(Atletas!W65="Duilian de Mãos BC - Equipe 2",2,IF(Atletas!W65="Duilian de Armas BC - Equipe 1",3,IF(Atletas!W65="Duilian de Armas BC - Equipe 2",4,IF(Atletas!W65="Duilian de Mãos DE - Equipe 1",5,IF(Atletas!W65="Duilian de Mãos DE - Equipe 2",6,IF(Atletas!W65="Duilian de Armas DE - Equipe 1",7,IF(Atletas!W65="Duilian de Armas DE - Equipe 2",8,IF(Atletas!W65="Duilian de Tuishou - Equipe 1",9,IF(Atletas!W65="Duilian de Tuishou - Equipe 2",10,IF(Atletas!W65="Grupo Externo ABC - Equipe 1",11,IF(Atletas!W65="Grupo Externo ABC - Equipe 2",12,IF(Atletas!W65="Grupo Interno ABC - Equipe 1",13,IF(Atletas!W65="Grupo Interno ABC - Equipe 2",14,IF(Atletas!W65="Grupo Externo DEF - Equipe 1",15,IF(Atletas!W65="Grupo Externo DEF - Equipe 2",16,IF(Atletas!W65="Grupo Interno DEF - Equipe 1",17,IF(Atletas!W65="Grupo Interno DEF - Equipe 2",18,"")))))))))))))))))))</f>
        <v/>
      </c>
    </row>
    <row r="75" spans="2:103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20"/>
      <c r="Y75" s="3"/>
      <c r="Z75" s="3" t="str">
        <f t="array" ref="Z75">IFERROR(INDEX(CE$7:CE$348,SMALL(IF(CE$7:CE$348&lt;&gt;"",ROW(CE$7:CE$348)-ROW(CE$7)+1),ROWS(CE$7:CE74))),"")</f>
        <v/>
      </c>
      <c r="AA75" s="3" t="str">
        <f t="array" ref="AA75">IFERROR(INDEX(CF$7:CF$348,SMALL(IF(CF$7:CF$348&lt;&gt;"",ROW(CF$7:CF$348)-ROW(CF$7)+1),ROWS(CF$7:CF74))),"")</f>
        <v/>
      </c>
      <c r="AB75" s="3" t="str">
        <f t="array" ref="AB75">IFERROR(INDEX(CG$7:CG$348,SMALL(IF(CG$7:CG$348&lt;&gt;"",ROW(CG$7:CG$348)-ROW(CG$7)+1),ROWS(CG$7:CG74))),"")</f>
        <v/>
      </c>
      <c r="AC75" s="3" t="str">
        <f t="array" ref="AC75">IFERROR(INDEX(CH$7:CH$348,SMALL(IF(CH$7:CH$348&lt;&gt;"",ROW(CH$7:CH$348)-ROW(CH$7)+1),ROWS(CH$7:CH74))),"")</f>
        <v/>
      </c>
      <c r="AD75" s="3" t="str">
        <f t="array" ref="AD75">IFERROR(INDEX(CI$7:CI$377,SMALL(IF(CI$7:CI$377&lt;&gt;"",ROW(CI$7:CI$377)-ROW(CI$7)+1),ROWS(CI$7:CI74))),"")</f>
        <v/>
      </c>
      <c r="AE75" s="3" t="str">
        <f t="array" ref="AE75">IFERROR(INDEX(CJ$7:CJ$378,SMALL(IF(CJ$7:CJ$378&lt;&gt;"",ROW(CJ$7:CJ$378)-ROW(CJ$7)+1),ROWS(CJ$7:CJ74))),"")</f>
        <v/>
      </c>
      <c r="AF75" s="3" t="str">
        <f t="array" ref="AF75">IFERROR(INDEX(CK$7:CK$378,SMALL(IF(CK$7:CK$378&lt;&gt;"",ROW(CK$7:CK$378)-ROW(CK$7)+1),ROWS(CK$7:CK74))),"")</f>
        <v/>
      </c>
      <c r="AG75" s="3" t="str">
        <f t="array" ref="AG75">IFERROR(INDEX(CL$7:CL$378,SMALL(IF(CL$7:CL$378&lt;&gt;"",ROW(CL$7:CL$378)-ROW(CL$7)+1),ROWS(CL$7:CL74))),"")</f>
        <v/>
      </c>
      <c r="AH75" s="3"/>
      <c r="AI75" s="3"/>
      <c r="AJ75" s="3"/>
      <c r="AK75" s="3"/>
      <c r="AL75" s="3"/>
      <c r="AM75" s="3"/>
      <c r="AN75" s="52" t="str">
        <f>IF(Atletas!D66="","",IF(Atletas!B66="Feminino",100,IF(Atletas!B66="Masculino",200,""))+(IF(Atletas!D66="Kids 30kg",1,IF(Atletas!D66="Kids 32kg",2, IF(Atletas!D66="Kids 34kg",3,IF(Atletas!D66="Kids 36kg",4,IF(Atletas!D66="Kids 39kg",5,IF(Atletas!D66="Kids 42kg",6,IF(Atletas!D66="Kids 45kg",7, IF(Atletas!D66="Infantil 39kg",8,IF(Atletas!D66="Infantil 42kg",9,IF(Atletas!D66="Infantil 45kg",10,IF(Atletas!D66="Infantil 48kg",11,IF(Atletas!D66="Infantil 52kg",12,IF(Atletas!D66="Infantil 56kg",13,IF(Atletas!D66="Infantil 60kg",14,IF(Atletas!D66="Juvenil 48kg",15,IF(Atletas!D66="Juvenil 52kg",16,IF(Atletas!D66="Juvenil 56kg",17,IF(Atletas!D66="Juvenil 60kg",18,IF(Atletas!D66="Juvenil 65kg",19,IF(Atletas!D66="Juvenil 70kg",20,IF(Atletas!D66="Juvenil 75kg",21,IF(Atletas!D66="Juvenil 80kg",22, IF(Atletas!D66="Juvenil 85kg",23,IF(Atletas!D66="Adulto 48kg",24,IF(Atletas!D66="Adulto 52kg",25,IF(Atletas!D66="Adulto 56kg",26,IF(Atletas!D66="Adulto 60kg",27,IF(Atletas!D66="Adulto 65kg",28,IF(Atletas!D66="Adulto 70kg",29,IF(Atletas!D66="Adulto 75kg",30,IF(Atletas!D66="Adulto 80kg",31,IF(Atletas!D66="Adulto 85kg",32,IF(Atletas!D66="Adulto 90kg",33,IF(Atletas!D66="Adulto 100kg",34, IF(Atletas!D66="Adulto +100kg",35,"")))))))))))))))))))))))))))))))))))))</f>
        <v/>
      </c>
      <c r="AS75" s="6" t="str">
        <f>IF(Atletas!E66="","",IF(Atletas!B66="Feminino",100,IF(Atletas!B66="Masculino",200,""))+(IF(Atletas!E66="Juvenil 44kg",1,IF(Atletas!E66="Juvenil 48kg",2,IF(Atletas!E66="Juvenil 52kg",3,IF(Atletas!E66="Juvenil 56kg",4,IF(Atletas!E66="Juvenil 60kg",5,IF(Atletas!E66="Juvenil 65kg",6,IF(Atletas!E66="Juvenil 70kg",7,IF(Atletas!E66="Juvenil 75kg",8,IF(Atletas!E66="Juvenil 82kg",9,IF(Atletas!E66="Juvenil 90kg",10,IF(Atletas!E66="Juvenil 100kg",11,IF(Atletas!E66="Adulto 48kg",12,IF(Atletas!E66="Adulto 52kg",13,IF(Atletas!E66="Adulto 56kg",14,IF(Atletas!E66="Adulto 60kg",15,IF(Atletas!E66="Adulto 65kg",16,IF(Atletas!E66="Adulto 70kg",17,IF(Atletas!E66="Adulto 75kg",18,IF(Atletas!E66="Adulto 82kg",19,IF(Atletas!E66="Adulto 90kg",20,IF(Atletas!E66="Adulto 100kg",21,IF(Atletas!E66="Adulto +100kg",22,""))))))))))))))))))))))))</f>
        <v/>
      </c>
      <c r="AX75" s="6" t="str">
        <f>IF(Atletas!F66="","",IF(Atletas!B66="Feminino",100,IF(Atletas!B66="Masculino",200,""))+(IF(Atletas!F66="Adulto 48kg",1,IF(Atletas!F66="Adulto 56kg",2,IF(Atletas!F66="Adulto 65kg",3,IF(Atletas!F66="Adulto 75kg",4,IF(Atletas!F66="Adulto +75kg",5,IF(Atletas!F66="Adulto 52kg",6,IF(Atletas!F66="Adulto 60kg",7,IF(Atletas!F66="Adulto 70kg",8,IF(Atletas!F66="Adulto 80kg",9,IF(Atletas!F66="Adulto 90kg",10,IF(Atletas!F66="Adulto +90kg",11,"")))))))))))))</f>
        <v/>
      </c>
      <c r="BC75" s="6" t="str">
        <f>IF(Atletas!G66="","",IF(Atletas!B66="Feminino",10,IF(Atletas!B66="Masculino",20,""))+(IF(Atletas!G66="Baduanjin A",1,IF(Atletas!G66="Baduanjin B",2))))</f>
        <v/>
      </c>
      <c r="BF75" s="52" t="str">
        <f>IF(Atletas!H66="","",IF(Atletas!B66="Feminino",100,IF(Atletas!B66="Masculino",200,""))+(IF(Atletas!H66="Changquan Mirim",1,IF(Atletas!H66="Nanquan Mirim",2,IF(Atletas!H66="Taijiquan Mirim",3,IF(Atletas!H66="Changquan Grupo C",4,IF(Atletas!H66="Nanquan Grupo C",5,IF(Atletas!H66="Taijiquan Grupo C",6,IF(Atletas!H66="Changquan Grupo B",7,IF(Atletas!H66="Nanquan Grupo B",8,IF(Atletas!H66="Taijiquan Grupo B",9,IF(Atletas!H66="Changquan Grupo A",10,IF(Atletas!H66="Nanquan Grupo A",11,IF(Atletas!H66="Taijiquan Grupo A",12,IF(Atletas!H66="Changquan Opcional",13,IF(Atletas!H66="Nanquan Opcional",14,IF(Atletas!H66="Taijiquan Opcional",15,IF(Atletas!H66="Changquan Adulto",16,IF(Atletas!H66="Nanquan Adulto",17,IF(Atletas!H66="Taijiquan Adulto",18,""))))))))))))))))))))</f>
        <v/>
      </c>
      <c r="BG75" s="52" t="str">
        <f>IF(Atletas!I66="","",IF(Atletas!B66="Feminino",100,IF(Atletas!B66="Masculino",200,""))+(IF(Atletas!I66="Daoshu Mirim",19,IF(Atletas!I66="Jianshu Mirim",20,IF(Atletas!I66="Nandao Mirim",21,IF(Atletas!I66="Taijijian Mirim",22,IF(Atletas!I66="Daoshu Grupo C",23,IF(Atletas!I66="Jianshu Grupo C",24,IF(Atletas!I66="Nandao Grupo C",25,IF(Atletas!I66="Taijijian Grupo C",26,IF(Atletas!I66="Daoshu Grupo B",27,IF(Atletas!I66="Jianshu Grupo B",28,IF(Atletas!I66="Nandao Grupo B",29,IF(Atletas!I66="Taijijian Grupo B",30,IF(Atletas!I66="Daoshu Grupo A",31,IF(Atletas!I66="Jianshu Grupo A",32,IF(Atletas!I66="Nandao Grupo A",33,IF(Atletas!I66="Taijijian Grupo A",34,IF(Atletas!I66="Daoshu Opcional",35,IF(Atletas!I66="Jianshu Opcional",36,IF(Atletas!I66="Nandao Opcional",37,IF(Atletas!I66="Taijijian Opcional",38,IF(Atletas!I66="Daoshu Adulto",39,IF(Atletas!I66="Jianshu Adulto",40,IF(Atletas!I66="Nandao Adulto",41,IF(Atletas!I66="Taijijian Adulto",42,""))))))))))))))))))))))))))</f>
        <v/>
      </c>
      <c r="BH75" s="52" t="str">
        <f>IF(Atletas!J66="","",IF(Atletas!B66="Feminino",100,IF(Atletas!B66="Masculino",200,""))+(IF(Atletas!J66="Gunshu Mirim",43,IF(Atletas!J66="Qiangshu Mirim",44,IF(Atletas!J66="Nangun Mirim",45,IF(Atletas!J66="Gunshu Grupo C",46,IF(Atletas!J66="Qiangshu Grupo C",47,IF(Atletas!J66="Nangun Grupo C",48,IF(Atletas!J66="Gunshu Grupo B",49,IF(Atletas!J66="Qiangshu Grupo B",50,IF(Atletas!J66="Nangun Grupo B",51,IF(Atletas!J66="Gunshu Grupo A",52,IF(Atletas!J66="Qiangshu Grupo A",53,IF(Atletas!J66="Nangun Grupo A",54,IF(Atletas!J66="Gunshu Opcional",55,IF(Atletas!J66="Qiangshu Opcional",56,IF(Atletas!J66="Nangun Opcional",57,IF(Atletas!J66="Gunshu Adulto",58,IF(Atletas!J66="Qiangshu Adulto",59,IF(Atletas!J66="Nangun Adulto",60,IF(Atletas!J66="Taijishan Grupo B",61,IF(Atletas!J66="Taijishan Grupo A",62,""))))))))))))))))))))))</f>
        <v/>
      </c>
      <c r="BM75" s="50" t="str">
        <f>IF(Atletas!K66="","",IF(Atletas!B66="Feminino",100,IF(Atletas!B66="Masculino",200,""))+(IF(Atletas!K66="Equipe 1 Grupo B",1,IF(Atletas!K66="Equipe 2 Grupo B",2,IF(Atletas!K66="Equipe 1 Grupo A",3,IF(Atletas!K66="Equipe 2 Grupo A",4,IF(Atletas!K66="Equipe 1 Adulto",5,IF(Atletas!K66="Equipe 2 Adulto",6,""))))))))</f>
        <v/>
      </c>
      <c r="BR75" s="50" t="str">
        <f>IF(Atletas!L66="","",IF(Atletas!X66&lt;&gt;"",10000,0)+(IF(Atletas!B66="Feminino",1000,IF(Atletas!B66="Masculino",2000,""))+IF(Atletas!L66="Choylayfut A",1,IF(Atletas!L66="Hunggar A",2,IF(Atletas!L66="Wuzuquan A",3,IF(Atletas!L66="Wingchun A",4,IF(Atletas!L66="Outra Mão de Sul A",5,IF(Atletas!L66="Choylayfut B",6,IF(Atletas!L66="Hunggar B",7,IF(Atletas!L66="Wuzuquan B",8,IF(Atletas!L66="Wingchun B",9,IF(Atletas!L66="Outra Mão de Sul B",10,IF(Atletas!L66="Choylayfut C",11,IF(Atletas!L66="Hunggar C",12,IF(Atletas!L66="Wuzuquan C",13,IF(Atletas!L66="Wingchun C",14,IF(Atletas!L66="Outra Mão de Sul C",15,IF(Atletas!L66="Choylayfut D",16,IF(Atletas!L66="Hunggar D",17,IF(Atletas!L66="Wuzuquan D",18,IF(Atletas!L66="Wingchun D",19,IF(Atletas!L66="Outra Mão de Sul D",20,IF(Atletas!L66="Choylayfut E",21,IF(Atletas!L66="Hunggar E",22,IF(Atletas!L66="Wuzuquan E",23,IF(Atletas!L66="Wingchun E",24,IF(Atletas!L66="Outra Mão de Sul E",25,IF(Atletas!L66="Choylayfut F",26,IF(Atletas!L66="Hunggar F",27,IF(Atletas!L66="Wuzuquan F",28,IF(Atletas!L66="Wingchun F",29,IF(Atletas!L66="Outra Mão de Sul F",30,IF(Atletas!L66="Dishuquan A",31,IF(Atletas!L66="Dishuquan B",32,IF(Atletas!L66="Dishuquan C",33,IF(Atletas!L66="Dishuquan D",34,IF(Atletas!L66="Dishuquan E",35,IF(Atletas!L66="Dishuquan F",36,""))))))))))))))))))))))))))))))))))))))</f>
        <v/>
      </c>
      <c r="BS75" s="50" t="str">
        <f>IF(Atletas!M66="","",IF(Atletas!X66&lt;&gt;"",10000,0)+(IF(Atletas!B66="Feminino",1000,IF(Atletas!B66="Masculino",2000,""))+(IF(Atletas!M66="Chaquan A",101,IF(Atletas!M66="Emeiquan A",102,IF(Atletas!M66="Fanziquan A",103,IF(Atletas!M66="Huaquan A",104,IF(Atletas!M66="Hongquan A",105,IF(Atletas!M66="Paoquan A",106,IF(Atletas!M66="Piguaquan A",107,IF(Atletas!M66="Shaolinquan A",108,IF(Atletas!M66="Tanglangquan A",109,IF(Atletas!M66="Yingzhaoquan A",110,IF(Atletas!M66="Tongbeiquan A",111,IF(Atletas!M66="Wudangquan A",112,IF(Atletas!M66="Outros Estilos A",113,IF(Atletas!M66="Chaquan B",114,IF(Atletas!M66="Emeiquan B",115,IF(Atletas!M66="Fanziquan B",116,IF(Atletas!M66="Huaquan B",117,IF(Atletas!M66="Hongquan B",118,IF(Atletas!M66="Paoquan B",119,IF(Atletas!M66="Piguaquan B",120,IF(Atletas!M66="Shaolinquan B",121,IF(Atletas!M66="Tanglangquan B",122,IF(Atletas!M66="Yingzhaoquan B",123,IF(Atletas!M66="Tongbeiquan B",124,IF(Atletas!M66="Wudangquan B",125,IF(Atletas!M66="Outros Estilos B",126,IF(Atletas!M66="Chaquan C",127,IF(Atletas!M66="Emeiquan C",128,IF(Atletas!M66="Fanziquan C",129,IF(Atletas!M66="Huaquan C",130,IF(Atletas!M66="Hongquan C",131,IF(Atletas!M66="Paoquan C",132,IF(Atletas!M66="Piguaquan C",133,IF(Atletas!M66="Shaolinquan C",134,IF(Atletas!M66="Tanglangquan C",135,IF(Atletas!M66="Yingzhaoquan C",136,IF(Atletas!M66="Tongbeiquan C",137,IF(Atletas!M66="Wudangquan C",138,IF(Atletas!M66="Outros Estilos C",139,0))))))))))))))))))))))))))))))))))))))))))</f>
        <v/>
      </c>
      <c r="BT75" s="50" t="str">
        <f>IF(Atletas!M66="","",IF(Atletas!X66&lt;&gt;"",10000,0)+(IF(Atletas!B66="Feminino",1000,IF(Atletas!B66="Masculino",2000,""))+(IF(Atletas!M66="Chaquan D",140,IF(Atletas!M66="Emeiquan D",141,IF(Atletas!M66="Fanziquan D",142,IF(Atletas!M66="Huaquan D",143,IF(Atletas!M66="Hongquan D",144,IF(Atletas!M66="Paoquan D",145,IF(Atletas!M66="Piguaquan D",146,IF(Atletas!M66="Shaolinquan D",147,IF(Atletas!M66="Tanglangquan D",148,IF(Atletas!M66="Yingzhaoquan D",149,IF(Atletas!M66="Tongbeiquan D",150,IF(Atletas!M66="Wudangquan D",151,IF(Atletas!M66="Outros Estilos D",152,IF(Atletas!M66="Chaquan E",153,IF(Atletas!M66="Emeiquan E",154,IF(Atletas!M66="Fanziquan E",155,IF(Atletas!M66="Huaquan E",156,IF(Atletas!M66="Hongquan E",157,IF(Atletas!M66="Paoquan E",158,IF(Atletas!M66="Piguaquan E",159,IF(Atletas!M66="Shaolinquan E",160,IF(Atletas!M66="Tanglangquan E",161,IF(Atletas!M66="Yingzhaoquan E",162,IF(Atletas!M66="Tongbeiquan E",163,IF(Atletas!M66="Wudangquan E",164,IF(Atletas!M66="Outros Estilos E",165,IF(Atletas!M66="Chaquan F",166,IF(Atletas!M66="Emeiquan F",167,IF(Atletas!M66="Fanziquan F",168,IF(Atletas!M66="Huaquan F",169,IF(Atletas!M66="Hongquan F",170,IF(Atletas!M66="Paoquan F",171,IF(Atletas!M66="Piguaquan F",172,IF(Atletas!M66="Shaolinquan F",173,IF(Atletas!M66="Tanglangquan F",174,IF(Atletas!M66="Yingzhaoquan F",175,IF(Atletas!M66="Tongbeiquan F",176,IF(Atletas!M66="Wudangquan F",177,IF(Atletas!M66="Outros Estilos F",178,0))))))))))))))))))))))))))))))))))))))))))</f>
        <v/>
      </c>
      <c r="BU75" s="50" t="str">
        <f>IF(Atletas!N66="","",IF(Atletas!X66&lt;&gt;"",10000,0)+(IF(Atletas!B66="Feminino",1000,IF(Atletas!B66="Masculino",2000,""))+(IF(Atletas!N66="Ditangquan A",201,IF(Atletas!N66="Houquan A",202,IF(Atletas!N66="Zuiquan A",203,IF(Atletas!N66="Ditangquan B",204,IF(Atletas!N66="Houquan B",205,IF(Atletas!N66="Zuiquan B",206,IF(Atletas!N66="Ditangquan C",207,IF(Atletas!N66="Houquan C",208,IF(Atletas!N66="Zuiquan C",209,IF(Atletas!N66="Ditangquan D",210,IF(Atletas!N66="Houquan D",211,IF(Atletas!N66="Zuiquan D",212,IF(Atletas!N66="Ditangquan E",213,IF(Atletas!N66="Houquan E",214,IF(Atletas!N66="Zuiquan E",215,IF(Atletas!N66="Ditangquan F",216,IF(Atletas!N66="Houquan F",217,IF(Atletas!N66="Zuiquan F",218,"")))))))))))))))))))))</f>
        <v/>
      </c>
      <c r="BV75" s="50" t="str">
        <f>IF(Atletas!O66="","",IF(Atletas!X66&lt;&gt;"",10000,0)+IF(Atletas!B66="Feminino",1000,IF(Atletas!B66="Masculino",2000,""))+IF(Atletas!O66="Yang A",301,IF(Atletas!O66="Chen A",302,IF(Atletas!O66="Sun A",303,IF(Atletas!O66="Wu A",304,IF(Atletas!O66="Wu-Hao A",305,IF(Atletas!O66="Outro Taijiquan A",306,IF(Atletas!O66="Yang B",307,IF(Atletas!O66="Chen B",308,IF(Atletas!O66="Sun B",309,IF(Atletas!O66="Wu B",310,IF(Atletas!O66="Wu-Hao B",311,IF(Atletas!O66="Outro Taijiquan B",312,IF(Atletas!O66="Yang C",313,IF(Atletas!O66="Chen C",314,IF(Atletas!O66="Sun C",315,IF(Atletas!O66="Wu C",316,IF(Atletas!O66="Wu-Hao C",317,IF(Atletas!O66="Outro Taijiquan C",318,IF(Atletas!O66="Yang D",319,IF(Atletas!O66="Chen D",320,IF(Atletas!O66="Sun D",321,IF(Atletas!O66="Wu D",322,IF(Atletas!O66="Wu-Hao D",323,IF(Atletas!O66="Outro Taijiquan D",324,IF(Atletas!O66="Yang E",325,IF(Atletas!O66="Chen E",326,IF(Atletas!O66="Sun E",327,IF(Atletas!O66="Wu E",328,IF(Atletas!O66="Wu-Hao E",329,IF(Atletas!O66="Outro Taijiquan E",330,IF(Atletas!O66="Yang F",331,IF(Atletas!O66="Chen F",332,IF(Atletas!O66="Sun F",333,IF(Atletas!O66="Wu F",334,IF(Atletas!O66="Wu-Hao F",335,IF(Atletas!O66="Outro Taijiquan F",336,"")))))))))))))))))))))))))))))))))))))</f>
        <v/>
      </c>
      <c r="BW75" s="50" t="str">
        <f>IF(Atletas!P66="","",IF(Atletas!X66&lt;&gt;"",10000,0)+IF(Atletas!B66="Feminino",1000,IF(Atletas!B66="Masculino",2000,""))+IF(OR(Atletas!P66="Yang 26 A",Atletas!P66="Yang 40 A"),401,IF(OR(Atletas!P66="Chen 25 A",Atletas!P66="Chen 36 A",Atletas!P66="Chen 56 A"),402,IF(Atletas!P66="Sun 73 A",403,IF(Atletas!P66="Wu 45 A",404,IF(Atletas!P66="Wu-Hao 46 A",405,IF(OR(Atletas!P66="Taijiquan 16 A",Atletas!P66="Taijiquan 24 A",Atletas!P66="Taijiquan 32 A",Atletas!P66="Taijiquan 42 A"),406,IF(OR(Atletas!P66="Yang 26 B",Atletas!P66="Yang 40 B"),407,IF(OR(Atletas!P66="Chen 25 B",Atletas!P66="Chen 36 B",Atletas!P66="Chen 56 B"),408,IF(Atletas!P66="Sun 73 B",409,IF(Atletas!P66="Wu 45 B",410,IF(Atletas!P66="Wu-Hao 46 B",411,IF(OR(Atletas!P66="Taijiquan 16 B",Atletas!P66="Taijiquan 24 B",Atletas!P66="Taijiquan 32 B",Atletas!P66="Taijiquan 42 B"),412,IF(OR(Atletas!P66="Yang 26 C",Atletas!P66="Yang 40 C"),413,IF(OR(Atletas!P66="Chen 25 C",Atletas!P66="Chen 36 C",Atletas!P66="Chen 56 C"),414,IF(Atletas!P66="Sun 73 C",415,IF(Atletas!P66="Wu 45 C",416,IF(Atletas!P66="Wu-Hao 46 C",417,IF(OR(Atletas!P66="Taijiquan 16 C",Atletas!P66="Taijiquan 24 C",Atletas!P66="Taijiquan 32 C",Atletas!P66="Taijiquan 42 C"),418,0)))))))))))))))))))</f>
        <v/>
      </c>
      <c r="BX75" s="50" t="str">
        <f>IF(Atletas!P66="","",IF(Atletas!X66&lt;&gt;"",10000,0)+IF(Atletas!B66="Feminino",1000,IF(Atletas!B66="Masculino",2000,""))+IF(OR(Atletas!P66="Yang 26 D",Atletas!P66="Yang 40 D"),419,IF(OR(Atletas!P66="Chen 25 D",Atletas!P66="Chen 36 D",Atletas!P66="Chen 56 D"),420,IF(Atletas!P66="Sun 73 D",421,IF(Atletas!P66="Wu 45 D",422,IF(Atletas!P66="Wu-Hao 46 D",423,IF(OR(Atletas!P66="Taijiquan 16 D",Atletas!P66="Taijiquan 24 D",Atletas!P66="Taijiquan 32 D",Atletas!P66="Taijiquan 42 D"),424,IF(OR(Atletas!P66="Yang 26 E",Atletas!P66="Yang 40 E"),425,IF(OR(Atletas!P66="Chen 25 E",Atletas!P66="Chen 36 E",Atletas!P66="Chen 56 E"),426,IF(Atletas!P66="Sun 73 E",427,IF(Atletas!P66="Wu 45 E",428,IF(Atletas!P66="Wu-Hao 46 E",429,IF(OR(Atletas!P66="Taijiquan 16 E",Atletas!P66="Taijiquan 24 E",Atletas!P66="Taijiquan 32 E",Atletas!P66="Taijiquan 42 E"),430,IF(OR(Atletas!P66="Yang 26 F",Atletas!P66="Yang 40 F"),431,IF(OR(Atletas!P66="Chen 25 F",Atletas!P66="Chen 36 F",Atletas!P66="Chen 56 F"),432,IF(Atletas!P66="Sun 73 F",433,IF(Atletas!P66="Wu 45 F",434,IF(Atletas!P66="Wu-Hao 46 F",435,IF(OR(Atletas!P66="Taijiquan 16 F",Atletas!P66="Taijiquan 24 F",Atletas!P66="Taijiquan 32 F",Atletas!P66="Taijiquan 42 F"),436,0)))))))))))))))))))</f>
        <v/>
      </c>
      <c r="BY75" s="50" t="str">
        <f>IF(Atletas!Q66="","",IF(Atletas!X66&lt;&gt;"",10000,0)+IF(Atletas!B66="Feminino",1000,IF(Atletas!B66="Masculino",2000,""))+IF(Atletas!Q66="Xingyiquan A",501,IF(Atletas!Q66="Baguazhang A",502,IF(Atletas!Q66="Outro Estilo Interno A",503,IF(Atletas!Q66="Xingyiquan B",504,IF(Atletas!Q66="Baguazhang B",505,IF(Atletas!Q66="Outro Estilo Interno B",506,IF(Atletas!Q66="Xingyiquan C",507,IF(Atletas!Q66="Baguazhang C",508,IF(Atletas!Q66="Outro Estilo Interno C",509,IF(Atletas!Q66="Xingyiquan D",510,IF(Atletas!Q66="Baguazhang D",511,IF(Atletas!Q66="Outro Estilo Interno D",512,IF(Atletas!Q66="Xingyiquan E",513,IF(Atletas!Q66="Baguazhang E",514,IF(Atletas!Q66="Outro Estilo Interno E",515,IF(Atletas!Q66="Xingyiquan F",516,IF(Atletas!Q66="Baguazhang F",517,IF(Atletas!Q66="Outro Estilo Interno F",518, "")))))))))))))))))))</f>
        <v/>
      </c>
      <c r="BZ75" s="50" t="str">
        <f>IF(Atletas!R66="","",IF(Atletas!X66&lt;&gt;"",10000,0)+IF(Atletas!B66="Feminino",1000,IF(Atletas!B66="Masculino",2000,""))+IF(Atletas!R66="Dao A",601,IF(Atletas!R66="Jian A",602,IF(Atletas!R66="Bishou A",603,IF(Atletas!R66="Shanzi A",604,IF(Atletas!R66="Outra Arma Curta A",605,IF(Atletas!R66="Dao B",606,IF(Atletas!R66="Jian B",607,IF(Atletas!R66="Bishou B",608,IF(Atletas!R66="Shanzi B",609,IF(Atletas!R66="Outra Arma Curta B",610,IF(Atletas!R66="Dao C",611,IF(Atletas!R66="Jian C",612,IF(Atletas!R66="Bishou C",613,IF(Atletas!R66="Shanzi C",614,IF(Atletas!R66="Outra Arma Curta C",615,IF(Atletas!R66="Dao D",616,IF(Atletas!R66="Jian D",617,IF(Atletas!R66="Bishou D",618,IF(Atletas!R66="Shanzi D",619,IF(Atletas!R66="Outra Arma Curta D",620,IF(Atletas!R66="Dao E",621,IF(Atletas!R66="Jian E",622,IF(Atletas!R66="Bishou E",623,IF(Atletas!R66="Shanzi E",624,IF(Atletas!R66="Outra Arma Curta E",625,IF(Atletas!R66="Dao F",626,IF(Atletas!R66="Jian F",627,IF(Atletas!R66="Bishou F",628,IF(Atletas!R66="Shanzi F",629,IF(Atletas!R66="Outra Arma Curta F",630, "")))))))))))))))))))))))))))))))</f>
        <v/>
      </c>
      <c r="CA75" s="50" t="str">
        <f>IF(Atletas!S66="","",IF(Atletas!X66&lt;&gt;"",10000,0)+IF(Atletas!B66="Feminino",1000,IF(Atletas!B66="Masculino",2000,""))+IF(Atletas!S66="Gun A",701,IF(Atletas!S66="Qiang A",702,IF(Atletas!S66="Pudao / Guandao A",703,IF(Atletas!S66="Outra Arma Longa A",704,IF(Atletas!S66="Gun B",705,IF(Atletas!S66="Qiang B",706,IF(Atletas!S66="Pudao / Guandao B",707,IF(Atletas!S66="Outra Arma Longa B",708,IF(Atletas!S66="Gun C",709,IF(Atletas!S66="Qiang C",710,IF(Atletas!S66="Pudao / Guandao C",711,IF(Atletas!S66="Outra Arma Longa C",712,IF(Atletas!S66="Gun D",713,IF(Atletas!S66="Qiang D",714,IF(Atletas!S66="Pudao / Guandao D",715,IF(Atletas!S66="Outra Arma Longa D",716,IF(Atletas!S66="Gun E",717,IF(Atletas!S66="Qiang E",718,IF(Atletas!S66="Pudao / Guandao E",719,IF(Atletas!S66="Outra Arma Longa E",720,IF(Atletas!S66="Gun F",721,IF(Atletas!S66="Qiang F",722,IF(Atletas!S66="Pudao / Guandao F",723,IF(Atletas!S66="Outra Arma Longa F",724,"")))))))))))))))))))))))))</f>
        <v/>
      </c>
      <c r="CB75" s="50" t="str">
        <f>IF(Atletas!T66="","",IF(Atletas!X66&lt;&gt;"",10000,0)+IF(Atletas!B66="Feminino",1000,IF(Atletas!B66="Masculino",2000,""))+IF(Atletas!T66="Outra Arma Dupla A",801,IF(Atletas!T66="Arma Maleável A",802,IF(Atletas!T66="Outra Arma Dupla B",803,IF(Atletas!T66="Arma Maleável B",804,IF(Atletas!T66="Outra Arma Dupla C",805,IF(Atletas!T66="Arma Maleável C",806,IF(Atletas!T66="Outra Arma Dupla D",807,IF(Atletas!T66="Arma Maleável D",808,IF(Atletas!T66="Outra Arma Dupla E",809,IF(Atletas!T66="Arma Maleável E",810,IF(Atletas!T66="Outra Arma Dupla F",811,IF(Atletas!T66="Arma Maleável F",812,IF(Atletas!T66="Shuangdao A",813,IF(Atletas!T66="Shuangdao B",814,IF(Atletas!T66="Shuangdao C",815,IF(Atletas!T66="Shuangdao D",816,IF(Atletas!T66="Shuangdao E",817,IF(Atletas!T66="Shuangdao F",818,"")))))))))))))))))))</f>
        <v/>
      </c>
      <c r="CC75" s="50" t="str">
        <f>IF(Atletas!U66="","",IF(Atletas!X66&lt;&gt;"",10000,0)+IF(Atletas!B66="Feminino",1000,IF(Atletas!B66="Masculino",2000,""))+IF(OR(Atletas!U66="Taijijian Yang A",Atletas!U66="Taijijian Yang Standard A"),901,IF(OR(Atletas!U66="Taijijian Chen A", Atletas!U66="Taijijian Chen Standard A"),902,IF(Atletas!U66="Taijijian Sun A",903,IF(Atletas!U66="Taijijian Wu A",904,IF(Atletas!U66="Taijijian Wu-Hao A",905,IF(OR(Atletas!U66="Taijijian 32 A",Atletas!U66="Taijijian 42 A"),906,IF(OR(Atletas!U66="Taijijian Yang B",Atletas!U66="Taijijian Yang Standard B"),907,IF(OR(Atletas!U66="Taijijian Chen B", Atletas!U66="Taijijian Chen Standard B"),908,IF(Atletas!U66="Taijijian Sun B",909,IF(Atletas!U66="Taijijian Wu B",910,IF(Atletas!U66="Taijijian Wu-Hao B",911,IF(OR(Atletas!U66="Taijijian 32 B",Atletas!U66="Taijijian 42 B"),912,IF(OR(Atletas!U66="Taijijian Yang C",Atletas!U66="Taijijian Yang Standard C"),913,IF(OR(Atletas!U66="Taijijian Chen C", Atletas!U66="Taijijian Chen Standard C"),914,IF(Atletas!U66="Taijijian Sun C",915,IF(Atletas!U66="Taijijian Wu C",916,IF(Atletas!U66="Taijijian Wu-Hao C",917,IF(OR(Atletas!U66="Taijijian 32 C",Atletas!U66="Taijijian 42 C"),918,IF(OR(Atletas!U66="Taijijian Yang D",Atletas!U66="Taijijian Yang Standard D"),919,IF(OR(Atletas!U66="Taijijian Chen D", Atletas!U66="Taijijian Chen Standard D"),920,IF(Atletas!U66="Taijijian Sun D",921,IF(Atletas!U66="Taijijian Wu D",922,IF(Atletas!U66="Taijijian Wu-Hao D",923,IF(OR(Atletas!U66="Taijijian 32 D",Atletas!U66="Taijijian 42 D"),924,IF(OR(Atletas!U66="Taijijian Yang E",Atletas!U66="Taijijian Yang Standard E"),925,IF(OR(Atletas!U66="Taijijian Chen E", Atletas!U66="Taijijian Chen Standard E"),926,IF(Atletas!U66="Taijijian Sun E",927,IF(Atletas!U66="Taijijian Wu E",928,IF(Atletas!U66="Taijijian Wu-Hao E",929,IF(OR(Atletas!U66="Taijijian 32 E",Atletas!U66="Taijijian 42 E"),930,IF(OR(Atletas!U66="Taijijian Yang F",Atletas!U66="Taijijian Yang Standard F"),931,IF(OR(Atletas!U66="Taijijian Chen F", Atletas!U66="Taijijian Chen Standard F"),932,IF(Atletas!U66="Taijijian Sun F",933,IF(Atletas!U66="Taijijian Wu F",934,IF(Atletas!U66="Taijijian Wu-Hao F",935,IF(OR(Atletas!U66="Taijijian 32 F",Atletas!U66="Taijijian 42 F"),936,"")))))))))))))))))))))))))))))))))))))</f>
        <v/>
      </c>
      <c r="CD75" s="50" t="str">
        <f>IF(Atletas!V66="","",IF(Atletas!X66&lt;&gt;"",10000,0)+IF(Atletas!B66="Feminino",1000,IF(Atletas!B66="Masculino",2000,""))+IF(Atletas!V66="Taijidao A",937,IF(Atletas!V66="TaijiShanzi A",938,IF(Atletas!V66="Taijiqiang A",939,IF(Atletas!V66="Bagua de Arma A",940,IF(Atletas!V66="Xingyi de Arma A",941,IF(Atletas!V66="Taijidao B",942,IF(Atletas!V66="TaijiShanzi B",943,IF(Atletas!V66="Taijiqiang B",944,IF(Atletas!V66="Bagua de Arma B",945,IF(Atletas!V66="Xingyi de Arma B",946,IF(Atletas!V66="Taijidao C",947,IF(Atletas!V66="TaijiShanzi C",948,IF(Atletas!V66="Taijiqiang C",949,IF(Atletas!V66="Bagua de Arma C",950,IF(Atletas!V66="Xingyi de Arma C",951,IF(Atletas!V66="Taijidao D",952,IF(Atletas!V66="TaijiShanzi D",953,IF(Atletas!V66="Taijiqiang D",954,IF(Atletas!V66="Bagua de Arma D",955,IF(Atletas!V66="Xingyi de Arma D",956,IF(Atletas!V66="Taijidao E",957,IF(Atletas!V66="TaijiShanzi E",958,IF(Atletas!V66="Taijiqiang E",959,IF(Atletas!V66="Bagua de Arma E",960,IF(Atletas!V66="Xingyi de Arma E",961,IF(Atletas!V66="Taijidao F",962,IF(Atletas!V66="TaijiShanzi F",963,IF(Atletas!V66="Taijiqiang F",964,IF(Atletas!V66="Bagua de Arma F",965,IF(Atletas!V66="Xingyi de Arma F",966,"")))))))))))))))))))))))))))))))</f>
        <v/>
      </c>
      <c r="CE75" s="66" t="str">
        <f>IF(CF75&lt;&gt;"","Piguaquan C","")</f>
        <v/>
      </c>
      <c r="CF75" s="66" t="str">
        <f>IF(COUNTIF(BR:CD,1133)&gt;0,COUNTIF(BR:CD,1133),"")</f>
        <v/>
      </c>
      <c r="CG75" s="66" t="str">
        <f>IF(CH75&lt;&gt;"","Piguaquan C","")</f>
        <v/>
      </c>
      <c r="CH75" s="66" t="str">
        <f>IF(COUNTIF(BR:CD,2133)&gt;0,COUNTIF(BR:CD,2133),"")</f>
        <v/>
      </c>
      <c r="CI75" s="66" t="str">
        <f>IF(CJ75&lt;&gt;"","Outros Estilos C","")</f>
        <v/>
      </c>
      <c r="CJ75" s="66" t="str">
        <f>IF(COUNTIF(BR:CD,11139)&gt;0,COUNTIF(BR:CD,11139),"")</f>
        <v/>
      </c>
      <c r="CK75" s="66" t="str">
        <f>IF(CL75&lt;&gt;"","Outros Estilos C","")</f>
        <v/>
      </c>
      <c r="CL75" s="66" t="str">
        <f>IF(COUNTIF(BR:CD,12139)&gt;0,COUNTIF(BR:CD,12139),"")</f>
        <v/>
      </c>
      <c r="CM75" s="50" t="str">
        <f xml:space="preserve"> IF(Atletas!W66="","",IF(Atletas!W66="Duilian de Mãos BC - Equipe 1",1,IF(Atletas!W66="Duilian de Mãos BC - Equipe 2",2,IF(Atletas!W66="Duilian de Armas BC - Equipe 1",3,IF(Atletas!W66="Duilian de Armas BC - Equipe 2",4,IF(Atletas!W66="Duilian de Mãos DE - Equipe 1",5,IF(Atletas!W66="Duilian de Mãos DE - Equipe 2",6,IF(Atletas!W66="Duilian de Armas DE - Equipe 1",7,IF(Atletas!W66="Duilian de Armas DE - Equipe 2",8,IF(Atletas!W66="Duilian de Tuishou - Equipe 1",9,IF(Atletas!W66="Duilian de Tuishou - Equipe 2",10,IF(Atletas!W66="Grupo Externo ABC - Equipe 1",11,IF(Atletas!W66="Grupo Externo ABC - Equipe 2",12,IF(Atletas!W66="Grupo Interno ABC - Equipe 1",13,IF(Atletas!W66="Grupo Interno ABC - Equipe 2",14,IF(Atletas!W66="Grupo Externo DEF - Equipe 1",15,IF(Atletas!W66="Grupo Externo DEF - Equipe 2",16,IF(Atletas!W66="Grupo Interno DEF - Equipe 1",17,IF(Atletas!W66="Grupo Interno DEF - Equipe 2",18,"")))))))))))))))))))</f>
        <v/>
      </c>
    </row>
    <row r="76" spans="2:103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20"/>
      <c r="Y76" s="3"/>
      <c r="Z76" s="3" t="str">
        <f t="array" ref="Z76">IFERROR(INDEX(CE$7:CE$348,SMALL(IF(CE$7:CE$348&lt;&gt;"",ROW(CE$7:CE$348)-ROW(CE$7)+1),ROWS(CE$7:CE75))),"")</f>
        <v/>
      </c>
      <c r="AA76" s="3" t="str">
        <f t="array" ref="AA76">IFERROR(INDEX(CF$7:CF$348,SMALL(IF(CF$7:CF$348&lt;&gt;"",ROW(CF$7:CF$348)-ROW(CF$7)+1),ROWS(CF$7:CF75))),"")</f>
        <v/>
      </c>
      <c r="AB76" s="3" t="str">
        <f t="array" ref="AB76">IFERROR(INDEX(CG$7:CG$348,SMALL(IF(CG$7:CG$348&lt;&gt;"",ROW(CG$7:CG$348)-ROW(CG$7)+1),ROWS(CG$7:CG75))),"")</f>
        <v/>
      </c>
      <c r="AC76" s="3" t="str">
        <f t="array" ref="AC76">IFERROR(INDEX(CH$7:CH$348,SMALL(IF(CH$7:CH$348&lt;&gt;"",ROW(CH$7:CH$348)-ROW(CH$7)+1),ROWS(CH$7:CH75))),"")</f>
        <v/>
      </c>
      <c r="AD76" s="3" t="str">
        <f t="array" ref="AD76">IFERROR(INDEX(CI$7:CI$377,SMALL(IF(CI$7:CI$377&lt;&gt;"",ROW(CI$7:CI$377)-ROW(CI$7)+1),ROWS(CI$7:CI75))),"")</f>
        <v/>
      </c>
      <c r="AE76" s="3" t="str">
        <f t="array" ref="AE76">IFERROR(INDEX(CJ$7:CJ$378,SMALL(IF(CJ$7:CJ$378&lt;&gt;"",ROW(CJ$7:CJ$378)-ROW(CJ$7)+1),ROWS(CJ$7:CJ75))),"")</f>
        <v/>
      </c>
      <c r="AF76" s="3" t="str">
        <f t="array" ref="AF76">IFERROR(INDEX(CK$7:CK$378,SMALL(IF(CK$7:CK$378&lt;&gt;"",ROW(CK$7:CK$378)-ROW(CK$7)+1),ROWS(CK$7:CK75))),"")</f>
        <v/>
      </c>
      <c r="AG76" s="3" t="str">
        <f t="array" ref="AG76">IFERROR(INDEX(CL$7:CL$378,SMALL(IF(CL$7:CL$378&lt;&gt;"",ROW(CL$7:CL$378)-ROW(CL$7)+1),ROWS(CL$7:CL75))),"")</f>
        <v/>
      </c>
      <c r="AH76" s="3"/>
      <c r="AI76" s="3"/>
      <c r="AJ76" s="3"/>
      <c r="AK76" s="3"/>
      <c r="AL76" s="3"/>
      <c r="AM76" s="3"/>
      <c r="AN76" s="52" t="str">
        <f>IF(Atletas!D67="","",IF(Atletas!B67="Feminino",100,IF(Atletas!B67="Masculino",200,""))+(IF(Atletas!D67="Kids 30kg",1,IF(Atletas!D67="Kids 32kg",2, IF(Atletas!D67="Kids 34kg",3,IF(Atletas!D67="Kids 36kg",4,IF(Atletas!D67="Kids 39kg",5,IF(Atletas!D67="Kids 42kg",6,IF(Atletas!D67="Kids 45kg",7, IF(Atletas!D67="Infantil 39kg",8,IF(Atletas!D67="Infantil 42kg",9,IF(Atletas!D67="Infantil 45kg",10,IF(Atletas!D67="Infantil 48kg",11,IF(Atletas!D67="Infantil 52kg",12,IF(Atletas!D67="Infantil 56kg",13,IF(Atletas!D67="Infantil 60kg",14,IF(Atletas!D67="Juvenil 48kg",15,IF(Atletas!D67="Juvenil 52kg",16,IF(Atletas!D67="Juvenil 56kg",17,IF(Atletas!D67="Juvenil 60kg",18,IF(Atletas!D67="Juvenil 65kg",19,IF(Atletas!D67="Juvenil 70kg",20,IF(Atletas!D67="Juvenil 75kg",21,IF(Atletas!D67="Juvenil 80kg",22, IF(Atletas!D67="Juvenil 85kg",23,IF(Atletas!D67="Adulto 48kg",24,IF(Atletas!D67="Adulto 52kg",25,IF(Atletas!D67="Adulto 56kg",26,IF(Atletas!D67="Adulto 60kg",27,IF(Atletas!D67="Adulto 65kg",28,IF(Atletas!D67="Adulto 70kg",29,IF(Atletas!D67="Adulto 75kg",30,IF(Atletas!D67="Adulto 80kg",31,IF(Atletas!D67="Adulto 85kg",32,IF(Atletas!D67="Adulto 90kg",33,IF(Atletas!D67="Adulto 100kg",34, IF(Atletas!D67="Adulto +100kg",35,"")))))))))))))))))))))))))))))))))))))</f>
        <v/>
      </c>
      <c r="AS76" s="6" t="str">
        <f>IF(Atletas!E67="","",IF(Atletas!B67="Feminino",100,IF(Atletas!B67="Masculino",200,""))+(IF(Atletas!E67="Juvenil 44kg",1,IF(Atletas!E67="Juvenil 48kg",2,IF(Atletas!E67="Juvenil 52kg",3,IF(Atletas!E67="Juvenil 56kg",4,IF(Atletas!E67="Juvenil 60kg",5,IF(Atletas!E67="Juvenil 65kg",6,IF(Atletas!E67="Juvenil 70kg",7,IF(Atletas!E67="Juvenil 75kg",8,IF(Atletas!E67="Juvenil 82kg",9,IF(Atletas!E67="Juvenil 90kg",10,IF(Atletas!E67="Juvenil 100kg",11,IF(Atletas!E67="Adulto 48kg",12,IF(Atletas!E67="Adulto 52kg",13,IF(Atletas!E67="Adulto 56kg",14,IF(Atletas!E67="Adulto 60kg",15,IF(Atletas!E67="Adulto 65kg",16,IF(Atletas!E67="Adulto 70kg",17,IF(Atletas!E67="Adulto 75kg",18,IF(Atletas!E67="Adulto 82kg",19,IF(Atletas!E67="Adulto 90kg",20,IF(Atletas!E67="Adulto 100kg",21,IF(Atletas!E67="Adulto +100kg",22,""))))))))))))))))))))))))</f>
        <v/>
      </c>
      <c r="AX76" s="6" t="str">
        <f>IF(Atletas!F67="","",IF(Atletas!B67="Feminino",100,IF(Atletas!B67="Masculino",200,""))+(IF(Atletas!F67="Adulto 48kg",1,IF(Atletas!F67="Adulto 56kg",2,IF(Atletas!F67="Adulto 65kg",3,IF(Atletas!F67="Adulto 75kg",4,IF(Atletas!F67="Adulto +75kg",5,IF(Atletas!F67="Adulto 52kg",6,IF(Atletas!F67="Adulto 60kg",7,IF(Atletas!F67="Adulto 70kg",8,IF(Atletas!F67="Adulto 80kg",9,IF(Atletas!F67="Adulto 90kg",10,IF(Atletas!F67="Adulto +90kg",11,"")))))))))))))</f>
        <v/>
      </c>
      <c r="BC76" s="6" t="str">
        <f>IF(Atletas!G67="","",IF(Atletas!B67="Feminino",10,IF(Atletas!B67="Masculino",20,""))+(IF(Atletas!G67="Baduanjin A",1,IF(Atletas!G67="Baduanjin B",2))))</f>
        <v/>
      </c>
      <c r="BF76" s="52" t="str">
        <f>IF(Atletas!H67="","",IF(Atletas!B67="Feminino",100,IF(Atletas!B67="Masculino",200,""))+(IF(Atletas!H67="Changquan Mirim",1,IF(Atletas!H67="Nanquan Mirim",2,IF(Atletas!H67="Taijiquan Mirim",3,IF(Atletas!H67="Changquan Grupo C",4,IF(Atletas!H67="Nanquan Grupo C",5,IF(Atletas!H67="Taijiquan Grupo C",6,IF(Atletas!H67="Changquan Grupo B",7,IF(Atletas!H67="Nanquan Grupo B",8,IF(Atletas!H67="Taijiquan Grupo B",9,IF(Atletas!H67="Changquan Grupo A",10,IF(Atletas!H67="Nanquan Grupo A",11,IF(Atletas!H67="Taijiquan Grupo A",12,IF(Atletas!H67="Changquan Opcional",13,IF(Atletas!H67="Nanquan Opcional",14,IF(Atletas!H67="Taijiquan Opcional",15,IF(Atletas!H67="Changquan Adulto",16,IF(Atletas!H67="Nanquan Adulto",17,IF(Atletas!H67="Taijiquan Adulto",18,""))))))))))))))))))))</f>
        <v/>
      </c>
      <c r="BG76" s="52" t="str">
        <f>IF(Atletas!I67="","",IF(Atletas!B67="Feminino",100,IF(Atletas!B67="Masculino",200,""))+(IF(Atletas!I67="Daoshu Mirim",19,IF(Atletas!I67="Jianshu Mirim",20,IF(Atletas!I67="Nandao Mirim",21,IF(Atletas!I67="Taijijian Mirim",22,IF(Atletas!I67="Daoshu Grupo C",23,IF(Atletas!I67="Jianshu Grupo C",24,IF(Atletas!I67="Nandao Grupo C",25,IF(Atletas!I67="Taijijian Grupo C",26,IF(Atletas!I67="Daoshu Grupo B",27,IF(Atletas!I67="Jianshu Grupo B",28,IF(Atletas!I67="Nandao Grupo B",29,IF(Atletas!I67="Taijijian Grupo B",30,IF(Atletas!I67="Daoshu Grupo A",31,IF(Atletas!I67="Jianshu Grupo A",32,IF(Atletas!I67="Nandao Grupo A",33,IF(Atletas!I67="Taijijian Grupo A",34,IF(Atletas!I67="Daoshu Opcional",35,IF(Atletas!I67="Jianshu Opcional",36,IF(Atletas!I67="Nandao Opcional",37,IF(Atletas!I67="Taijijian Opcional",38,IF(Atletas!I67="Daoshu Adulto",39,IF(Atletas!I67="Jianshu Adulto",40,IF(Atletas!I67="Nandao Adulto",41,IF(Atletas!I67="Taijijian Adulto",42,""))))))))))))))))))))))))))</f>
        <v/>
      </c>
      <c r="BH76" s="52" t="str">
        <f>IF(Atletas!J67="","",IF(Atletas!B67="Feminino",100,IF(Atletas!B67="Masculino",200,""))+(IF(Atletas!J67="Gunshu Mirim",43,IF(Atletas!J67="Qiangshu Mirim",44,IF(Atletas!J67="Nangun Mirim",45,IF(Atletas!J67="Gunshu Grupo C",46,IF(Atletas!J67="Qiangshu Grupo C",47,IF(Atletas!J67="Nangun Grupo C",48,IF(Atletas!J67="Gunshu Grupo B",49,IF(Atletas!J67="Qiangshu Grupo B",50,IF(Atletas!J67="Nangun Grupo B",51,IF(Atletas!J67="Gunshu Grupo A",52,IF(Atletas!J67="Qiangshu Grupo A",53,IF(Atletas!J67="Nangun Grupo A",54,IF(Atletas!J67="Gunshu Opcional",55,IF(Atletas!J67="Qiangshu Opcional",56,IF(Atletas!J67="Nangun Opcional",57,IF(Atletas!J67="Gunshu Adulto",58,IF(Atletas!J67="Qiangshu Adulto",59,IF(Atletas!J67="Nangun Adulto",60,IF(Atletas!J67="Taijishan Grupo B",61,IF(Atletas!J67="Taijishan Grupo A",62,""))))))))))))))))))))))</f>
        <v/>
      </c>
      <c r="BM76" s="50" t="str">
        <f>IF(Atletas!K67="","",IF(Atletas!B67="Feminino",100,IF(Atletas!B67="Masculino",200,""))+(IF(Atletas!K67="Equipe 1 Grupo B",1,IF(Atletas!K67="Equipe 2 Grupo B",2,IF(Atletas!K67="Equipe 1 Grupo A",3,IF(Atletas!K67="Equipe 2 Grupo A",4,IF(Atletas!K67="Equipe 1 Adulto",5,IF(Atletas!K67="Equipe 2 Adulto",6,""))))))))</f>
        <v/>
      </c>
      <c r="BR76" s="50" t="str">
        <f>IF(Atletas!L67="","",IF(Atletas!X67&lt;&gt;"",10000,0)+(IF(Atletas!B67="Feminino",1000,IF(Atletas!B67="Masculino",2000,""))+IF(Atletas!L67="Choylayfut A",1,IF(Atletas!L67="Hunggar A",2,IF(Atletas!L67="Wuzuquan A",3,IF(Atletas!L67="Wingchun A",4,IF(Atletas!L67="Outra Mão de Sul A",5,IF(Atletas!L67="Choylayfut B",6,IF(Atletas!L67="Hunggar B",7,IF(Atletas!L67="Wuzuquan B",8,IF(Atletas!L67="Wingchun B",9,IF(Atletas!L67="Outra Mão de Sul B",10,IF(Atletas!L67="Choylayfut C",11,IF(Atletas!L67="Hunggar C",12,IF(Atletas!L67="Wuzuquan C",13,IF(Atletas!L67="Wingchun C",14,IF(Atletas!L67="Outra Mão de Sul C",15,IF(Atletas!L67="Choylayfut D",16,IF(Atletas!L67="Hunggar D",17,IF(Atletas!L67="Wuzuquan D",18,IF(Atletas!L67="Wingchun D",19,IF(Atletas!L67="Outra Mão de Sul D",20,IF(Atletas!L67="Choylayfut E",21,IF(Atletas!L67="Hunggar E",22,IF(Atletas!L67="Wuzuquan E",23,IF(Atletas!L67="Wingchun E",24,IF(Atletas!L67="Outra Mão de Sul E",25,IF(Atletas!L67="Choylayfut F",26,IF(Atletas!L67="Hunggar F",27,IF(Atletas!L67="Wuzuquan F",28,IF(Atletas!L67="Wingchun F",29,IF(Atletas!L67="Outra Mão de Sul F",30,IF(Atletas!L67="Dishuquan A",31,IF(Atletas!L67="Dishuquan B",32,IF(Atletas!L67="Dishuquan C",33,IF(Atletas!L67="Dishuquan D",34,IF(Atletas!L67="Dishuquan E",35,IF(Atletas!L67="Dishuquan F",36,""))))))))))))))))))))))))))))))))))))))</f>
        <v/>
      </c>
      <c r="BS76" s="50" t="str">
        <f>IF(Atletas!M67="","",IF(Atletas!X67&lt;&gt;"",10000,0)+(IF(Atletas!B67="Feminino",1000,IF(Atletas!B67="Masculino",2000,""))+(IF(Atletas!M67="Chaquan A",101,IF(Atletas!M67="Emeiquan A",102,IF(Atletas!M67="Fanziquan A",103,IF(Atletas!M67="Huaquan A",104,IF(Atletas!M67="Hongquan A",105,IF(Atletas!M67="Paoquan A",106,IF(Atletas!M67="Piguaquan A",107,IF(Atletas!M67="Shaolinquan A",108,IF(Atletas!M67="Tanglangquan A",109,IF(Atletas!M67="Yingzhaoquan A",110,IF(Atletas!M67="Tongbeiquan A",111,IF(Atletas!M67="Wudangquan A",112,IF(Atletas!M67="Outros Estilos A",113,IF(Atletas!M67="Chaquan B",114,IF(Atletas!M67="Emeiquan B",115,IF(Atletas!M67="Fanziquan B",116,IF(Atletas!M67="Huaquan B",117,IF(Atletas!M67="Hongquan B",118,IF(Atletas!M67="Paoquan B",119,IF(Atletas!M67="Piguaquan B",120,IF(Atletas!M67="Shaolinquan B",121,IF(Atletas!M67="Tanglangquan B",122,IF(Atletas!M67="Yingzhaoquan B",123,IF(Atletas!M67="Tongbeiquan B",124,IF(Atletas!M67="Wudangquan B",125,IF(Atletas!M67="Outros Estilos B",126,IF(Atletas!M67="Chaquan C",127,IF(Atletas!M67="Emeiquan C",128,IF(Atletas!M67="Fanziquan C",129,IF(Atletas!M67="Huaquan C",130,IF(Atletas!M67="Hongquan C",131,IF(Atletas!M67="Paoquan C",132,IF(Atletas!M67="Piguaquan C",133,IF(Atletas!M67="Shaolinquan C",134,IF(Atletas!M67="Tanglangquan C",135,IF(Atletas!M67="Yingzhaoquan C",136,IF(Atletas!M67="Tongbeiquan C",137,IF(Atletas!M67="Wudangquan C",138,IF(Atletas!M67="Outros Estilos C",139,0))))))))))))))))))))))))))))))))))))))))))</f>
        <v/>
      </c>
      <c r="BT76" s="50" t="str">
        <f>IF(Atletas!M67="","",IF(Atletas!X67&lt;&gt;"",10000,0)+(IF(Atletas!B67="Feminino",1000,IF(Atletas!B67="Masculino",2000,""))+(IF(Atletas!M67="Chaquan D",140,IF(Atletas!M67="Emeiquan D",141,IF(Atletas!M67="Fanziquan D",142,IF(Atletas!M67="Huaquan D",143,IF(Atletas!M67="Hongquan D",144,IF(Atletas!M67="Paoquan D",145,IF(Atletas!M67="Piguaquan D",146,IF(Atletas!M67="Shaolinquan D",147,IF(Atletas!M67="Tanglangquan D",148,IF(Atletas!M67="Yingzhaoquan D",149,IF(Atletas!M67="Tongbeiquan D",150,IF(Atletas!M67="Wudangquan D",151,IF(Atletas!M67="Outros Estilos D",152,IF(Atletas!M67="Chaquan E",153,IF(Atletas!M67="Emeiquan E",154,IF(Atletas!M67="Fanziquan E",155,IF(Atletas!M67="Huaquan E",156,IF(Atletas!M67="Hongquan E",157,IF(Atletas!M67="Paoquan E",158,IF(Atletas!M67="Piguaquan E",159,IF(Atletas!M67="Shaolinquan E",160,IF(Atletas!M67="Tanglangquan E",161,IF(Atletas!M67="Yingzhaoquan E",162,IF(Atletas!M67="Tongbeiquan E",163,IF(Atletas!M67="Wudangquan E",164,IF(Atletas!M67="Outros Estilos E",165,IF(Atletas!M67="Chaquan F",166,IF(Atletas!M67="Emeiquan F",167,IF(Atletas!M67="Fanziquan F",168,IF(Atletas!M67="Huaquan F",169,IF(Atletas!M67="Hongquan F",170,IF(Atletas!M67="Paoquan F",171,IF(Atletas!M67="Piguaquan F",172,IF(Atletas!M67="Shaolinquan F",173,IF(Atletas!M67="Tanglangquan F",174,IF(Atletas!M67="Yingzhaoquan F",175,IF(Atletas!M67="Tongbeiquan F",176,IF(Atletas!M67="Wudangquan F",177,IF(Atletas!M67="Outros Estilos F",178,0))))))))))))))))))))))))))))))))))))))))))</f>
        <v/>
      </c>
      <c r="BU76" s="50" t="str">
        <f>IF(Atletas!N67="","",IF(Atletas!X67&lt;&gt;"",10000,0)+(IF(Atletas!B67="Feminino",1000,IF(Atletas!B67="Masculino",2000,""))+(IF(Atletas!N67="Ditangquan A",201,IF(Atletas!N67="Houquan A",202,IF(Atletas!N67="Zuiquan A",203,IF(Atletas!N67="Ditangquan B",204,IF(Atletas!N67="Houquan B",205,IF(Atletas!N67="Zuiquan B",206,IF(Atletas!N67="Ditangquan C",207,IF(Atletas!N67="Houquan C",208,IF(Atletas!N67="Zuiquan C",209,IF(Atletas!N67="Ditangquan D",210,IF(Atletas!N67="Houquan D",211,IF(Atletas!N67="Zuiquan D",212,IF(Atletas!N67="Ditangquan E",213,IF(Atletas!N67="Houquan E",214,IF(Atletas!N67="Zuiquan E",215,IF(Atletas!N67="Ditangquan F",216,IF(Atletas!N67="Houquan F",217,IF(Atletas!N67="Zuiquan F",218,"")))))))))))))))))))))</f>
        <v/>
      </c>
      <c r="BV76" s="50" t="str">
        <f>IF(Atletas!O67="","",IF(Atletas!X67&lt;&gt;"",10000,0)+IF(Atletas!B67="Feminino",1000,IF(Atletas!B67="Masculino",2000,""))+IF(Atletas!O67="Yang A",301,IF(Atletas!O67="Chen A",302,IF(Atletas!O67="Sun A",303,IF(Atletas!O67="Wu A",304,IF(Atletas!O67="Wu-Hao A",305,IF(Atletas!O67="Outro Taijiquan A",306,IF(Atletas!O67="Yang B",307,IF(Atletas!O67="Chen B",308,IF(Atletas!O67="Sun B",309,IF(Atletas!O67="Wu B",310,IF(Atletas!O67="Wu-Hao B",311,IF(Atletas!O67="Outro Taijiquan B",312,IF(Atletas!O67="Yang C",313,IF(Atletas!O67="Chen C",314,IF(Atletas!O67="Sun C",315,IF(Atletas!O67="Wu C",316,IF(Atletas!O67="Wu-Hao C",317,IF(Atletas!O67="Outro Taijiquan C",318,IF(Atletas!O67="Yang D",319,IF(Atletas!O67="Chen D",320,IF(Atletas!O67="Sun D",321,IF(Atletas!O67="Wu D",322,IF(Atletas!O67="Wu-Hao D",323,IF(Atletas!O67="Outro Taijiquan D",324,IF(Atletas!O67="Yang E",325,IF(Atletas!O67="Chen E",326,IF(Atletas!O67="Sun E",327,IF(Atletas!O67="Wu E",328,IF(Atletas!O67="Wu-Hao E",329,IF(Atletas!O67="Outro Taijiquan E",330,IF(Atletas!O67="Yang F",331,IF(Atletas!O67="Chen F",332,IF(Atletas!O67="Sun F",333,IF(Atletas!O67="Wu F",334,IF(Atletas!O67="Wu-Hao F",335,IF(Atletas!O67="Outro Taijiquan F",336,"")))))))))))))))))))))))))))))))))))))</f>
        <v/>
      </c>
      <c r="BW76" s="50" t="str">
        <f>IF(Atletas!P67="","",IF(Atletas!X67&lt;&gt;"",10000,0)+IF(Atletas!B67="Feminino",1000,IF(Atletas!B67="Masculino",2000,""))+IF(OR(Atletas!P67="Yang 26 A",Atletas!P67="Yang 40 A"),401,IF(OR(Atletas!P67="Chen 25 A",Atletas!P67="Chen 36 A",Atletas!P67="Chen 56 A"),402,IF(Atletas!P67="Sun 73 A",403,IF(Atletas!P67="Wu 45 A",404,IF(Atletas!P67="Wu-Hao 46 A",405,IF(OR(Atletas!P67="Taijiquan 16 A",Atletas!P67="Taijiquan 24 A",Atletas!P67="Taijiquan 32 A",Atletas!P67="Taijiquan 42 A"),406,IF(OR(Atletas!P67="Yang 26 B",Atletas!P67="Yang 40 B"),407,IF(OR(Atletas!P67="Chen 25 B",Atletas!P67="Chen 36 B",Atletas!P67="Chen 56 B"),408,IF(Atletas!P67="Sun 73 B",409,IF(Atletas!P67="Wu 45 B",410,IF(Atletas!P67="Wu-Hao 46 B",411,IF(OR(Atletas!P67="Taijiquan 16 B",Atletas!P67="Taijiquan 24 B",Atletas!P67="Taijiquan 32 B",Atletas!P67="Taijiquan 42 B"),412,IF(OR(Atletas!P67="Yang 26 C",Atletas!P67="Yang 40 C"),413,IF(OR(Atletas!P67="Chen 25 C",Atletas!P67="Chen 36 C",Atletas!P67="Chen 56 C"),414,IF(Atletas!P67="Sun 73 C",415,IF(Atletas!P67="Wu 45 C",416,IF(Atletas!P67="Wu-Hao 46 C",417,IF(OR(Atletas!P67="Taijiquan 16 C",Atletas!P67="Taijiquan 24 C",Atletas!P67="Taijiquan 32 C",Atletas!P67="Taijiquan 42 C"),418,0)))))))))))))))))))</f>
        <v/>
      </c>
      <c r="BX76" s="50" t="str">
        <f>IF(Atletas!P67="","",IF(Atletas!X67&lt;&gt;"",10000,0)+IF(Atletas!B67="Feminino",1000,IF(Atletas!B67="Masculino",2000,""))+IF(OR(Atletas!P67="Yang 26 D",Atletas!P67="Yang 40 D"),419,IF(OR(Atletas!P67="Chen 25 D",Atletas!P67="Chen 36 D",Atletas!P67="Chen 56 D"),420,IF(Atletas!P67="Sun 73 D",421,IF(Atletas!P67="Wu 45 D",422,IF(Atletas!P67="Wu-Hao 46 D",423,IF(OR(Atletas!P67="Taijiquan 16 D",Atletas!P67="Taijiquan 24 D",Atletas!P67="Taijiquan 32 D",Atletas!P67="Taijiquan 42 D"),424,IF(OR(Atletas!P67="Yang 26 E",Atletas!P67="Yang 40 E"),425,IF(OR(Atletas!P67="Chen 25 E",Atletas!P67="Chen 36 E",Atletas!P67="Chen 56 E"),426,IF(Atletas!P67="Sun 73 E",427,IF(Atletas!P67="Wu 45 E",428,IF(Atletas!P67="Wu-Hao 46 E",429,IF(OR(Atletas!P67="Taijiquan 16 E",Atletas!P67="Taijiquan 24 E",Atletas!P67="Taijiquan 32 E",Atletas!P67="Taijiquan 42 E"),430,IF(OR(Atletas!P67="Yang 26 F",Atletas!P67="Yang 40 F"),431,IF(OR(Atletas!P67="Chen 25 F",Atletas!P67="Chen 36 F",Atletas!P67="Chen 56 F"),432,IF(Atletas!P67="Sun 73 F",433,IF(Atletas!P67="Wu 45 F",434,IF(Atletas!P67="Wu-Hao 46 F",435,IF(OR(Atletas!P67="Taijiquan 16 F",Atletas!P67="Taijiquan 24 F",Atletas!P67="Taijiquan 32 F",Atletas!P67="Taijiquan 42 F"),436,0)))))))))))))))))))</f>
        <v/>
      </c>
      <c r="BY76" s="50" t="str">
        <f>IF(Atletas!Q67="","",IF(Atletas!X67&lt;&gt;"",10000,0)+IF(Atletas!B67="Feminino",1000,IF(Atletas!B67="Masculino",2000,""))+IF(Atletas!Q67="Xingyiquan A",501,IF(Atletas!Q67="Baguazhang A",502,IF(Atletas!Q67="Outro Estilo Interno A",503,IF(Atletas!Q67="Xingyiquan B",504,IF(Atletas!Q67="Baguazhang B",505,IF(Atletas!Q67="Outro Estilo Interno B",506,IF(Atletas!Q67="Xingyiquan C",507,IF(Atletas!Q67="Baguazhang C",508,IF(Atletas!Q67="Outro Estilo Interno C",509,IF(Atletas!Q67="Xingyiquan D",510,IF(Atletas!Q67="Baguazhang D",511,IF(Atletas!Q67="Outro Estilo Interno D",512,IF(Atletas!Q67="Xingyiquan E",513,IF(Atletas!Q67="Baguazhang E",514,IF(Atletas!Q67="Outro Estilo Interno E",515,IF(Atletas!Q67="Xingyiquan F",516,IF(Atletas!Q67="Baguazhang F",517,IF(Atletas!Q67="Outro Estilo Interno F",518, "")))))))))))))))))))</f>
        <v/>
      </c>
      <c r="BZ76" s="50" t="str">
        <f>IF(Atletas!R67="","",IF(Atletas!X67&lt;&gt;"",10000,0)+IF(Atletas!B67="Feminino",1000,IF(Atletas!B67="Masculino",2000,""))+IF(Atletas!R67="Dao A",601,IF(Atletas!R67="Jian A",602,IF(Atletas!R67="Bishou A",603,IF(Atletas!R67="Shanzi A",604,IF(Atletas!R67="Outra Arma Curta A",605,IF(Atletas!R67="Dao B",606,IF(Atletas!R67="Jian B",607,IF(Atletas!R67="Bishou B",608,IF(Atletas!R67="Shanzi B",609,IF(Atletas!R67="Outra Arma Curta B",610,IF(Atletas!R67="Dao C",611,IF(Atletas!R67="Jian C",612,IF(Atletas!R67="Bishou C",613,IF(Atletas!R67="Shanzi C",614,IF(Atletas!R67="Outra Arma Curta C",615,IF(Atletas!R67="Dao D",616,IF(Atletas!R67="Jian D",617,IF(Atletas!R67="Bishou D",618,IF(Atletas!R67="Shanzi D",619,IF(Atletas!R67="Outra Arma Curta D",620,IF(Atletas!R67="Dao E",621,IF(Atletas!R67="Jian E",622,IF(Atletas!R67="Bishou E",623,IF(Atletas!R67="Shanzi E",624,IF(Atletas!R67="Outra Arma Curta E",625,IF(Atletas!R67="Dao F",626,IF(Atletas!R67="Jian F",627,IF(Atletas!R67="Bishou F",628,IF(Atletas!R67="Shanzi F",629,IF(Atletas!R67="Outra Arma Curta F",630, "")))))))))))))))))))))))))))))))</f>
        <v/>
      </c>
      <c r="CA76" s="50" t="str">
        <f>IF(Atletas!S67="","",IF(Atletas!X67&lt;&gt;"",10000,0)+IF(Atletas!B67="Feminino",1000,IF(Atletas!B67="Masculino",2000,""))+IF(Atletas!S67="Gun A",701,IF(Atletas!S67="Qiang A",702,IF(Atletas!S67="Pudao / Guandao A",703,IF(Atletas!S67="Outra Arma Longa A",704,IF(Atletas!S67="Gun B",705,IF(Atletas!S67="Qiang B",706,IF(Atletas!S67="Pudao / Guandao B",707,IF(Atletas!S67="Outra Arma Longa B",708,IF(Atletas!S67="Gun C",709,IF(Atletas!S67="Qiang C",710,IF(Atletas!S67="Pudao / Guandao C",711,IF(Atletas!S67="Outra Arma Longa C",712,IF(Atletas!S67="Gun D",713,IF(Atletas!S67="Qiang D",714,IF(Atletas!S67="Pudao / Guandao D",715,IF(Atletas!S67="Outra Arma Longa D",716,IF(Atletas!S67="Gun E",717,IF(Atletas!S67="Qiang E",718,IF(Atletas!S67="Pudao / Guandao E",719,IF(Atletas!S67="Outra Arma Longa E",720,IF(Atletas!S67="Gun F",721,IF(Atletas!S67="Qiang F",722,IF(Atletas!S67="Pudao / Guandao F",723,IF(Atletas!S67="Outra Arma Longa F",724,"")))))))))))))))))))))))))</f>
        <v/>
      </c>
      <c r="CB76" s="50" t="str">
        <f>IF(Atletas!T67="","",IF(Atletas!X67&lt;&gt;"",10000,0)+IF(Atletas!B67="Feminino",1000,IF(Atletas!B67="Masculino",2000,""))+IF(Atletas!T67="Outra Arma Dupla A",801,IF(Atletas!T67="Arma Maleável A",802,IF(Atletas!T67="Outra Arma Dupla B",803,IF(Atletas!T67="Arma Maleável B",804,IF(Atletas!T67="Outra Arma Dupla C",805,IF(Atletas!T67="Arma Maleável C",806,IF(Atletas!T67="Outra Arma Dupla D",807,IF(Atletas!T67="Arma Maleável D",808,IF(Atletas!T67="Outra Arma Dupla E",809,IF(Atletas!T67="Arma Maleável E",810,IF(Atletas!T67="Outra Arma Dupla F",811,IF(Atletas!T67="Arma Maleável F",812,IF(Atletas!T67="Shuangdao A",813,IF(Atletas!T67="Shuangdao B",814,IF(Atletas!T67="Shuangdao C",815,IF(Atletas!T67="Shuangdao D",816,IF(Atletas!T67="Shuangdao E",817,IF(Atletas!T67="Shuangdao F",818,"")))))))))))))))))))</f>
        <v/>
      </c>
      <c r="CC76" s="50" t="str">
        <f>IF(Atletas!U67="","",IF(Atletas!X67&lt;&gt;"",10000,0)+IF(Atletas!B67="Feminino",1000,IF(Atletas!B67="Masculino",2000,""))+IF(OR(Atletas!U67="Taijijian Yang A",Atletas!U67="Taijijian Yang Standard A"),901,IF(OR(Atletas!U67="Taijijian Chen A", Atletas!U67="Taijijian Chen Standard A"),902,IF(Atletas!U67="Taijijian Sun A",903,IF(Atletas!U67="Taijijian Wu A",904,IF(Atletas!U67="Taijijian Wu-Hao A",905,IF(OR(Atletas!U67="Taijijian 32 A",Atletas!U67="Taijijian 42 A"),906,IF(OR(Atletas!U67="Taijijian Yang B",Atletas!U67="Taijijian Yang Standard B"),907,IF(OR(Atletas!U67="Taijijian Chen B", Atletas!U67="Taijijian Chen Standard B"),908,IF(Atletas!U67="Taijijian Sun B",909,IF(Atletas!U67="Taijijian Wu B",910,IF(Atletas!U67="Taijijian Wu-Hao B",911,IF(OR(Atletas!U67="Taijijian 32 B",Atletas!U67="Taijijian 42 B"),912,IF(OR(Atletas!U67="Taijijian Yang C",Atletas!U67="Taijijian Yang Standard C"),913,IF(OR(Atletas!U67="Taijijian Chen C", Atletas!U67="Taijijian Chen Standard C"),914,IF(Atletas!U67="Taijijian Sun C",915,IF(Atletas!U67="Taijijian Wu C",916,IF(Atletas!U67="Taijijian Wu-Hao C",917,IF(OR(Atletas!U67="Taijijian 32 C",Atletas!U67="Taijijian 42 C"),918,IF(OR(Atletas!U67="Taijijian Yang D",Atletas!U67="Taijijian Yang Standard D"),919,IF(OR(Atletas!U67="Taijijian Chen D", Atletas!U67="Taijijian Chen Standard D"),920,IF(Atletas!U67="Taijijian Sun D",921,IF(Atletas!U67="Taijijian Wu D",922,IF(Atletas!U67="Taijijian Wu-Hao D",923,IF(OR(Atletas!U67="Taijijian 32 D",Atletas!U67="Taijijian 42 D"),924,IF(OR(Atletas!U67="Taijijian Yang E",Atletas!U67="Taijijian Yang Standard E"),925,IF(OR(Atletas!U67="Taijijian Chen E", Atletas!U67="Taijijian Chen Standard E"),926,IF(Atletas!U67="Taijijian Sun E",927,IF(Atletas!U67="Taijijian Wu E",928,IF(Atletas!U67="Taijijian Wu-Hao E",929,IF(OR(Atletas!U67="Taijijian 32 E",Atletas!U67="Taijijian 42 E"),930,IF(OR(Atletas!U67="Taijijian Yang F",Atletas!U67="Taijijian Yang Standard F"),931,IF(OR(Atletas!U67="Taijijian Chen F", Atletas!U67="Taijijian Chen Standard F"),932,IF(Atletas!U67="Taijijian Sun F",933,IF(Atletas!U67="Taijijian Wu F",934,IF(Atletas!U67="Taijijian Wu-Hao F",935,IF(OR(Atletas!U67="Taijijian 32 F",Atletas!U67="Taijijian 42 F"),936,"")))))))))))))))))))))))))))))))))))))</f>
        <v/>
      </c>
      <c r="CD76" s="50" t="str">
        <f>IF(Atletas!V67="","",IF(Atletas!X67&lt;&gt;"",10000,0)+IF(Atletas!B67="Feminino",1000,IF(Atletas!B67="Masculino",2000,""))+IF(Atletas!V67="Taijidao A",937,IF(Atletas!V67="TaijiShanzi A",938,IF(Atletas!V67="Taijiqiang A",939,IF(Atletas!V67="Bagua de Arma A",940,IF(Atletas!V67="Xingyi de Arma A",941,IF(Atletas!V67="Taijidao B",942,IF(Atletas!V67="TaijiShanzi B",943,IF(Atletas!V67="Taijiqiang B",944,IF(Atletas!V67="Bagua de Arma B",945,IF(Atletas!V67="Xingyi de Arma B",946,IF(Atletas!V67="Taijidao C",947,IF(Atletas!V67="TaijiShanzi C",948,IF(Atletas!V67="Taijiqiang C",949,IF(Atletas!V67="Bagua de Arma C",950,IF(Atletas!V67="Xingyi de Arma C",951,IF(Atletas!V67="Taijidao D",952,IF(Atletas!V67="TaijiShanzi D",953,IF(Atletas!V67="Taijiqiang D",954,IF(Atletas!V67="Bagua de Arma D",955,IF(Atletas!V67="Xingyi de Arma D",956,IF(Atletas!V67="Taijidao E",957,IF(Atletas!V67="TaijiShanzi E",958,IF(Atletas!V67="Taijiqiang E",959,IF(Atletas!V67="Bagua de Arma E",960,IF(Atletas!V67="Xingyi de Arma E",961,IF(Atletas!V67="Taijidao F",962,IF(Atletas!V67="TaijiShanzi F",963,IF(Atletas!V67="Taijiqiang F",964,IF(Atletas!V67="Bagua de Arma F",965,IF(Atletas!V67="Xingyi de Arma F",966,"")))))))))))))))))))))))))))))))</f>
        <v/>
      </c>
      <c r="CE76" s="66" t="str">
        <f>IF(CF76&lt;&gt;"","Shaolinquan C","")</f>
        <v/>
      </c>
      <c r="CF76" s="66" t="str">
        <f>IF(COUNTIF(BR:CD,1134)&gt;0,COUNTIF(BR:CD,1134),"")</f>
        <v/>
      </c>
      <c r="CG76" s="66" t="str">
        <f>IF(CH76&lt;&gt;"","Shaolinquan C","")</f>
        <v/>
      </c>
      <c r="CH76" s="66" t="str">
        <f>IF(COUNTIF(BR:CD,2134)&gt;0,COUNTIF(BR:CD,2134),"")</f>
        <v/>
      </c>
      <c r="CI76" s="66" t="str">
        <f>IF(CJ76&lt;&gt;"","Chaquan D","")</f>
        <v/>
      </c>
      <c r="CJ76" s="66" t="str">
        <f>IF(COUNTIF(BR:CD,11140)&gt;0,COUNTIF(BR:CD,11140),"")</f>
        <v/>
      </c>
      <c r="CK76" s="66" t="str">
        <f>IF(CL76&lt;&gt;"","Chaquan D","")</f>
        <v/>
      </c>
      <c r="CL76" s="66" t="str">
        <f>IF(COUNTIF(BR:CD,12140)&gt;0,COUNTIF(BR:CD,12140),"")</f>
        <v/>
      </c>
      <c r="CM76" s="50" t="str">
        <f xml:space="preserve"> IF(Atletas!W67="","",IF(Atletas!W67="Duilian de Mãos BC - Equipe 1",1,IF(Atletas!W67="Duilian de Mãos BC - Equipe 2",2,IF(Atletas!W67="Duilian de Armas BC - Equipe 1",3,IF(Atletas!W67="Duilian de Armas BC - Equipe 2",4,IF(Atletas!W67="Duilian de Mãos DE - Equipe 1",5,IF(Atletas!W67="Duilian de Mãos DE - Equipe 2",6,IF(Atletas!W67="Duilian de Armas DE - Equipe 1",7,IF(Atletas!W67="Duilian de Armas DE - Equipe 2",8,IF(Atletas!W67="Duilian de Tuishou - Equipe 1",9,IF(Atletas!W67="Duilian de Tuishou - Equipe 2",10,IF(Atletas!W67="Grupo Externo ABC - Equipe 1",11,IF(Atletas!W67="Grupo Externo ABC - Equipe 2",12,IF(Atletas!W67="Grupo Interno ABC - Equipe 1",13,IF(Atletas!W67="Grupo Interno ABC - Equipe 2",14,IF(Atletas!W67="Grupo Externo DEF - Equipe 1",15,IF(Atletas!W67="Grupo Externo DEF - Equipe 2",16,IF(Atletas!W67="Grupo Interno DEF - Equipe 1",17,IF(Atletas!W67="Grupo Interno DEF - Equipe 2",18,"")))))))))))))))))))</f>
        <v/>
      </c>
    </row>
    <row r="77" spans="2:103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20"/>
      <c r="Y77" s="3"/>
      <c r="Z77" s="3" t="str">
        <f t="array" ref="Z77">IFERROR(INDEX(CE$7:CE$348,SMALL(IF(CE$7:CE$348&lt;&gt;"",ROW(CE$7:CE$348)-ROW(CE$7)+1),ROWS(CE$7:CE76))),"")</f>
        <v/>
      </c>
      <c r="AA77" s="3" t="str">
        <f t="array" ref="AA77">IFERROR(INDEX(CF$7:CF$348,SMALL(IF(CF$7:CF$348&lt;&gt;"",ROW(CF$7:CF$348)-ROW(CF$7)+1),ROWS(CF$7:CF76))),"")</f>
        <v/>
      </c>
      <c r="AB77" s="3" t="str">
        <f t="array" ref="AB77">IFERROR(INDEX(CG$7:CG$348,SMALL(IF(CG$7:CG$348&lt;&gt;"",ROW(CG$7:CG$348)-ROW(CG$7)+1),ROWS(CG$7:CG76))),"")</f>
        <v/>
      </c>
      <c r="AC77" s="3" t="str">
        <f t="array" ref="AC77">IFERROR(INDEX(CH$7:CH$348,SMALL(IF(CH$7:CH$348&lt;&gt;"",ROW(CH$7:CH$348)-ROW(CH$7)+1),ROWS(CH$7:CH76))),"")</f>
        <v/>
      </c>
      <c r="AD77" s="3" t="str">
        <f t="array" ref="AD77">IFERROR(INDEX(CI$7:CI$377,SMALL(IF(CI$7:CI$377&lt;&gt;"",ROW(CI$7:CI$377)-ROW(CI$7)+1),ROWS(CI$7:CI76))),"")</f>
        <v/>
      </c>
      <c r="AE77" s="3" t="str">
        <f t="array" ref="AE77">IFERROR(INDEX(CJ$7:CJ$378,SMALL(IF(CJ$7:CJ$378&lt;&gt;"",ROW(CJ$7:CJ$378)-ROW(CJ$7)+1),ROWS(CJ$7:CJ76))),"")</f>
        <v/>
      </c>
      <c r="AF77" s="3" t="str">
        <f t="array" ref="AF77">IFERROR(INDEX(CK$7:CK$378,SMALL(IF(CK$7:CK$378&lt;&gt;"",ROW(CK$7:CK$378)-ROW(CK$7)+1),ROWS(CK$7:CK76))),"")</f>
        <v/>
      </c>
      <c r="AG77" s="3" t="str">
        <f t="array" ref="AG77">IFERROR(INDEX(CL$7:CL$378,SMALL(IF(CL$7:CL$378&lt;&gt;"",ROW(CL$7:CL$378)-ROW(CL$7)+1),ROWS(CL$7:CL76))),"")</f>
        <v/>
      </c>
      <c r="AH77" s="3"/>
      <c r="AI77" s="3"/>
      <c r="AJ77" s="3"/>
      <c r="AK77" s="3"/>
      <c r="AL77" s="3"/>
      <c r="AM77" s="3"/>
      <c r="AN77" s="52" t="str">
        <f>IF(Atletas!D68="","",IF(Atletas!B68="Feminino",100,IF(Atletas!B68="Masculino",200,""))+(IF(Atletas!D68="Kids 30kg",1,IF(Atletas!D68="Kids 32kg",2, IF(Atletas!D68="Kids 34kg",3,IF(Atletas!D68="Kids 36kg",4,IF(Atletas!D68="Kids 39kg",5,IF(Atletas!D68="Kids 42kg",6,IF(Atletas!D68="Kids 45kg",7, IF(Atletas!D68="Infantil 39kg",8,IF(Atletas!D68="Infantil 42kg",9,IF(Atletas!D68="Infantil 45kg",10,IF(Atletas!D68="Infantil 48kg",11,IF(Atletas!D68="Infantil 52kg",12,IF(Atletas!D68="Infantil 56kg",13,IF(Atletas!D68="Infantil 60kg",14,IF(Atletas!D68="Juvenil 48kg",15,IF(Atletas!D68="Juvenil 52kg",16,IF(Atletas!D68="Juvenil 56kg",17,IF(Atletas!D68="Juvenil 60kg",18,IF(Atletas!D68="Juvenil 65kg",19,IF(Atletas!D68="Juvenil 70kg",20,IF(Atletas!D68="Juvenil 75kg",21,IF(Atletas!D68="Juvenil 80kg",22, IF(Atletas!D68="Juvenil 85kg",23,IF(Atletas!D68="Adulto 48kg",24,IF(Atletas!D68="Adulto 52kg",25,IF(Atletas!D68="Adulto 56kg",26,IF(Atletas!D68="Adulto 60kg",27,IF(Atletas!D68="Adulto 65kg",28,IF(Atletas!D68="Adulto 70kg",29,IF(Atletas!D68="Adulto 75kg",30,IF(Atletas!D68="Adulto 80kg",31,IF(Atletas!D68="Adulto 85kg",32,IF(Atletas!D68="Adulto 90kg",33,IF(Atletas!D68="Adulto 100kg",34, IF(Atletas!D68="Adulto +100kg",35,"")))))))))))))))))))))))))))))))))))))</f>
        <v/>
      </c>
      <c r="AS77" s="6" t="str">
        <f>IF(Atletas!E68="","",IF(Atletas!B68="Feminino",100,IF(Atletas!B68="Masculino",200,""))+(IF(Atletas!E68="Juvenil 44kg",1,IF(Atletas!E68="Juvenil 48kg",2,IF(Atletas!E68="Juvenil 52kg",3,IF(Atletas!E68="Juvenil 56kg",4,IF(Atletas!E68="Juvenil 60kg",5,IF(Atletas!E68="Juvenil 65kg",6,IF(Atletas!E68="Juvenil 70kg",7,IF(Atletas!E68="Juvenil 75kg",8,IF(Atletas!E68="Juvenil 82kg",9,IF(Atletas!E68="Juvenil 90kg",10,IF(Atletas!E68="Juvenil 100kg",11,IF(Atletas!E68="Adulto 48kg",12,IF(Atletas!E68="Adulto 52kg",13,IF(Atletas!E68="Adulto 56kg",14,IF(Atletas!E68="Adulto 60kg",15,IF(Atletas!E68="Adulto 65kg",16,IF(Atletas!E68="Adulto 70kg",17,IF(Atletas!E68="Adulto 75kg",18,IF(Atletas!E68="Adulto 82kg",19,IF(Atletas!E68="Adulto 90kg",20,IF(Atletas!E68="Adulto 100kg",21,IF(Atletas!E68="Adulto +100kg",22,""))))))))))))))))))))))))</f>
        <v/>
      </c>
      <c r="AX77" s="6" t="str">
        <f>IF(Atletas!F68="","",IF(Atletas!B68="Feminino",100,IF(Atletas!B68="Masculino",200,""))+(IF(Atletas!F68="Adulto 48kg",1,IF(Atletas!F68="Adulto 56kg",2,IF(Atletas!F68="Adulto 65kg",3,IF(Atletas!F68="Adulto 75kg",4,IF(Atletas!F68="Adulto +75kg",5,IF(Atletas!F68="Adulto 52kg",6,IF(Atletas!F68="Adulto 60kg",7,IF(Atletas!F68="Adulto 70kg",8,IF(Atletas!F68="Adulto 80kg",9,IF(Atletas!F68="Adulto 90kg",10,IF(Atletas!F68="Adulto +90kg",11,"")))))))))))))</f>
        <v/>
      </c>
      <c r="BC77" s="6" t="str">
        <f>IF(Atletas!G68="","",IF(Atletas!B68="Feminino",10,IF(Atletas!B68="Masculino",20,""))+(IF(Atletas!G68="Baduanjin A",1,IF(Atletas!G68="Baduanjin B",2))))</f>
        <v/>
      </c>
      <c r="BF77" s="52" t="str">
        <f>IF(Atletas!H68="","",IF(Atletas!B68="Feminino",100,IF(Atletas!B68="Masculino",200,""))+(IF(Atletas!H68="Changquan Mirim",1,IF(Atletas!H68="Nanquan Mirim",2,IF(Atletas!H68="Taijiquan Mirim",3,IF(Atletas!H68="Changquan Grupo C",4,IF(Atletas!H68="Nanquan Grupo C",5,IF(Atletas!H68="Taijiquan Grupo C",6,IF(Atletas!H68="Changquan Grupo B",7,IF(Atletas!H68="Nanquan Grupo B",8,IF(Atletas!H68="Taijiquan Grupo B",9,IF(Atletas!H68="Changquan Grupo A",10,IF(Atletas!H68="Nanquan Grupo A",11,IF(Atletas!H68="Taijiquan Grupo A",12,IF(Atletas!H68="Changquan Opcional",13,IF(Atletas!H68="Nanquan Opcional",14,IF(Atletas!H68="Taijiquan Opcional",15,IF(Atletas!H68="Changquan Adulto",16,IF(Atletas!H68="Nanquan Adulto",17,IF(Atletas!H68="Taijiquan Adulto",18,""))))))))))))))))))))</f>
        <v/>
      </c>
      <c r="BG77" s="52" t="str">
        <f>IF(Atletas!I68="","",IF(Atletas!B68="Feminino",100,IF(Atletas!B68="Masculino",200,""))+(IF(Atletas!I68="Daoshu Mirim",19,IF(Atletas!I68="Jianshu Mirim",20,IF(Atletas!I68="Nandao Mirim",21,IF(Atletas!I68="Taijijian Mirim",22,IF(Atletas!I68="Daoshu Grupo C",23,IF(Atletas!I68="Jianshu Grupo C",24,IF(Atletas!I68="Nandao Grupo C",25,IF(Atletas!I68="Taijijian Grupo C",26,IF(Atletas!I68="Daoshu Grupo B",27,IF(Atletas!I68="Jianshu Grupo B",28,IF(Atletas!I68="Nandao Grupo B",29,IF(Atletas!I68="Taijijian Grupo B",30,IF(Atletas!I68="Daoshu Grupo A",31,IF(Atletas!I68="Jianshu Grupo A",32,IF(Atletas!I68="Nandao Grupo A",33,IF(Atletas!I68="Taijijian Grupo A",34,IF(Atletas!I68="Daoshu Opcional",35,IF(Atletas!I68="Jianshu Opcional",36,IF(Atletas!I68="Nandao Opcional",37,IF(Atletas!I68="Taijijian Opcional",38,IF(Atletas!I68="Daoshu Adulto",39,IF(Atletas!I68="Jianshu Adulto",40,IF(Atletas!I68="Nandao Adulto",41,IF(Atletas!I68="Taijijian Adulto",42,""))))))))))))))))))))))))))</f>
        <v/>
      </c>
      <c r="BH77" s="52" t="str">
        <f>IF(Atletas!J68="","",IF(Atletas!B68="Feminino",100,IF(Atletas!B68="Masculino",200,""))+(IF(Atletas!J68="Gunshu Mirim",43,IF(Atletas!J68="Qiangshu Mirim",44,IF(Atletas!J68="Nangun Mirim",45,IF(Atletas!J68="Gunshu Grupo C",46,IF(Atletas!J68="Qiangshu Grupo C",47,IF(Atletas!J68="Nangun Grupo C",48,IF(Atletas!J68="Gunshu Grupo B",49,IF(Atletas!J68="Qiangshu Grupo B",50,IF(Atletas!J68="Nangun Grupo B",51,IF(Atletas!J68="Gunshu Grupo A",52,IF(Atletas!J68="Qiangshu Grupo A",53,IF(Atletas!J68="Nangun Grupo A",54,IF(Atletas!J68="Gunshu Opcional",55,IF(Atletas!J68="Qiangshu Opcional",56,IF(Atletas!J68="Nangun Opcional",57,IF(Atletas!J68="Gunshu Adulto",58,IF(Atletas!J68="Qiangshu Adulto",59,IF(Atletas!J68="Nangun Adulto",60,IF(Atletas!J68="Taijishan Grupo B",61,IF(Atletas!J68="Taijishan Grupo A",62,""))))))))))))))))))))))</f>
        <v/>
      </c>
      <c r="BM77" s="50" t="str">
        <f>IF(Atletas!K68="","",IF(Atletas!B68="Feminino",100,IF(Atletas!B68="Masculino",200,""))+(IF(Atletas!K68="Equipe 1 Grupo B",1,IF(Atletas!K68="Equipe 2 Grupo B",2,IF(Atletas!K68="Equipe 1 Grupo A",3,IF(Atletas!K68="Equipe 2 Grupo A",4,IF(Atletas!K68="Equipe 1 Adulto",5,IF(Atletas!K68="Equipe 2 Adulto",6,""))))))))</f>
        <v/>
      </c>
      <c r="BR77" s="50" t="str">
        <f>IF(Atletas!L68="","",IF(Atletas!X68&lt;&gt;"",10000,0)+(IF(Atletas!B68="Feminino",1000,IF(Atletas!B68="Masculino",2000,""))+IF(Atletas!L68="Choylayfut A",1,IF(Atletas!L68="Hunggar A",2,IF(Atletas!L68="Wuzuquan A",3,IF(Atletas!L68="Wingchun A",4,IF(Atletas!L68="Outra Mão de Sul A",5,IF(Atletas!L68="Choylayfut B",6,IF(Atletas!L68="Hunggar B",7,IF(Atletas!L68="Wuzuquan B",8,IF(Atletas!L68="Wingchun B",9,IF(Atletas!L68="Outra Mão de Sul B",10,IF(Atletas!L68="Choylayfut C",11,IF(Atletas!L68="Hunggar C",12,IF(Atletas!L68="Wuzuquan C",13,IF(Atletas!L68="Wingchun C",14,IF(Atletas!L68="Outra Mão de Sul C",15,IF(Atletas!L68="Choylayfut D",16,IF(Atletas!L68="Hunggar D",17,IF(Atletas!L68="Wuzuquan D",18,IF(Atletas!L68="Wingchun D",19,IF(Atletas!L68="Outra Mão de Sul D",20,IF(Atletas!L68="Choylayfut E",21,IF(Atletas!L68="Hunggar E",22,IF(Atletas!L68="Wuzuquan E",23,IF(Atletas!L68="Wingchun E",24,IF(Atletas!L68="Outra Mão de Sul E",25,IF(Atletas!L68="Choylayfut F",26,IF(Atletas!L68="Hunggar F",27,IF(Atletas!L68="Wuzuquan F",28,IF(Atletas!L68="Wingchun F",29,IF(Atletas!L68="Outra Mão de Sul F",30,IF(Atletas!L68="Dishuquan A",31,IF(Atletas!L68="Dishuquan B",32,IF(Atletas!L68="Dishuquan C",33,IF(Atletas!L68="Dishuquan D",34,IF(Atletas!L68="Dishuquan E",35,IF(Atletas!L68="Dishuquan F",36,""))))))))))))))))))))))))))))))))))))))</f>
        <v/>
      </c>
      <c r="BS77" s="50" t="str">
        <f>IF(Atletas!M68="","",IF(Atletas!X68&lt;&gt;"",10000,0)+(IF(Atletas!B68="Feminino",1000,IF(Atletas!B68="Masculino",2000,""))+(IF(Atletas!M68="Chaquan A",101,IF(Atletas!M68="Emeiquan A",102,IF(Atletas!M68="Fanziquan A",103,IF(Atletas!M68="Huaquan A",104,IF(Atletas!M68="Hongquan A",105,IF(Atletas!M68="Paoquan A",106,IF(Atletas!M68="Piguaquan A",107,IF(Atletas!M68="Shaolinquan A",108,IF(Atletas!M68="Tanglangquan A",109,IF(Atletas!M68="Yingzhaoquan A",110,IF(Atletas!M68="Tongbeiquan A",111,IF(Atletas!M68="Wudangquan A",112,IF(Atletas!M68="Outros Estilos A",113,IF(Atletas!M68="Chaquan B",114,IF(Atletas!M68="Emeiquan B",115,IF(Atletas!M68="Fanziquan B",116,IF(Atletas!M68="Huaquan B",117,IF(Atletas!M68="Hongquan B",118,IF(Atletas!M68="Paoquan B",119,IF(Atletas!M68="Piguaquan B",120,IF(Atletas!M68="Shaolinquan B",121,IF(Atletas!M68="Tanglangquan B",122,IF(Atletas!M68="Yingzhaoquan B",123,IF(Atletas!M68="Tongbeiquan B",124,IF(Atletas!M68="Wudangquan B",125,IF(Atletas!M68="Outros Estilos B",126,IF(Atletas!M68="Chaquan C",127,IF(Atletas!M68="Emeiquan C",128,IF(Atletas!M68="Fanziquan C",129,IF(Atletas!M68="Huaquan C",130,IF(Atletas!M68="Hongquan C",131,IF(Atletas!M68="Paoquan C",132,IF(Atletas!M68="Piguaquan C",133,IF(Atletas!M68="Shaolinquan C",134,IF(Atletas!M68="Tanglangquan C",135,IF(Atletas!M68="Yingzhaoquan C",136,IF(Atletas!M68="Tongbeiquan C",137,IF(Atletas!M68="Wudangquan C",138,IF(Atletas!M68="Outros Estilos C",139,0))))))))))))))))))))))))))))))))))))))))))</f>
        <v/>
      </c>
      <c r="BT77" s="50" t="str">
        <f>IF(Atletas!M68="","",IF(Atletas!X68&lt;&gt;"",10000,0)+(IF(Atletas!B68="Feminino",1000,IF(Atletas!B68="Masculino",2000,""))+(IF(Atletas!M68="Chaquan D",140,IF(Atletas!M68="Emeiquan D",141,IF(Atletas!M68="Fanziquan D",142,IF(Atletas!M68="Huaquan D",143,IF(Atletas!M68="Hongquan D",144,IF(Atletas!M68="Paoquan D",145,IF(Atletas!M68="Piguaquan D",146,IF(Atletas!M68="Shaolinquan D",147,IF(Atletas!M68="Tanglangquan D",148,IF(Atletas!M68="Yingzhaoquan D",149,IF(Atletas!M68="Tongbeiquan D",150,IF(Atletas!M68="Wudangquan D",151,IF(Atletas!M68="Outros Estilos D",152,IF(Atletas!M68="Chaquan E",153,IF(Atletas!M68="Emeiquan E",154,IF(Atletas!M68="Fanziquan E",155,IF(Atletas!M68="Huaquan E",156,IF(Atletas!M68="Hongquan E",157,IF(Atletas!M68="Paoquan E",158,IF(Atletas!M68="Piguaquan E",159,IF(Atletas!M68="Shaolinquan E",160,IF(Atletas!M68="Tanglangquan E",161,IF(Atletas!M68="Yingzhaoquan E",162,IF(Atletas!M68="Tongbeiquan E",163,IF(Atletas!M68="Wudangquan E",164,IF(Atletas!M68="Outros Estilos E",165,IF(Atletas!M68="Chaquan F",166,IF(Atletas!M68="Emeiquan F",167,IF(Atletas!M68="Fanziquan F",168,IF(Atletas!M68="Huaquan F",169,IF(Atletas!M68="Hongquan F",170,IF(Atletas!M68="Paoquan F",171,IF(Atletas!M68="Piguaquan F",172,IF(Atletas!M68="Shaolinquan F",173,IF(Atletas!M68="Tanglangquan F",174,IF(Atletas!M68="Yingzhaoquan F",175,IF(Atletas!M68="Tongbeiquan F",176,IF(Atletas!M68="Wudangquan F",177,IF(Atletas!M68="Outros Estilos F",178,0))))))))))))))))))))))))))))))))))))))))))</f>
        <v/>
      </c>
      <c r="BU77" s="50" t="str">
        <f>IF(Atletas!N68="","",IF(Atletas!X68&lt;&gt;"",10000,0)+(IF(Atletas!B68="Feminino",1000,IF(Atletas!B68="Masculino",2000,""))+(IF(Atletas!N68="Ditangquan A",201,IF(Atletas!N68="Houquan A",202,IF(Atletas!N68="Zuiquan A",203,IF(Atletas!N68="Ditangquan B",204,IF(Atletas!N68="Houquan B",205,IF(Atletas!N68="Zuiquan B",206,IF(Atletas!N68="Ditangquan C",207,IF(Atletas!N68="Houquan C",208,IF(Atletas!N68="Zuiquan C",209,IF(Atletas!N68="Ditangquan D",210,IF(Atletas!N68="Houquan D",211,IF(Atletas!N68="Zuiquan D",212,IF(Atletas!N68="Ditangquan E",213,IF(Atletas!N68="Houquan E",214,IF(Atletas!N68="Zuiquan E",215,IF(Atletas!N68="Ditangquan F",216,IF(Atletas!N68="Houquan F",217,IF(Atletas!N68="Zuiquan F",218,"")))))))))))))))))))))</f>
        <v/>
      </c>
      <c r="BV77" s="50" t="str">
        <f>IF(Atletas!O68="","",IF(Atletas!X68&lt;&gt;"",10000,0)+IF(Atletas!B68="Feminino",1000,IF(Atletas!B68="Masculino",2000,""))+IF(Atletas!O68="Yang A",301,IF(Atletas!O68="Chen A",302,IF(Atletas!O68="Sun A",303,IF(Atletas!O68="Wu A",304,IF(Atletas!O68="Wu-Hao A",305,IF(Atletas!O68="Outro Taijiquan A",306,IF(Atletas!O68="Yang B",307,IF(Atletas!O68="Chen B",308,IF(Atletas!O68="Sun B",309,IF(Atletas!O68="Wu B",310,IF(Atletas!O68="Wu-Hao B",311,IF(Atletas!O68="Outro Taijiquan B",312,IF(Atletas!O68="Yang C",313,IF(Atletas!O68="Chen C",314,IF(Atletas!O68="Sun C",315,IF(Atletas!O68="Wu C",316,IF(Atletas!O68="Wu-Hao C",317,IF(Atletas!O68="Outro Taijiquan C",318,IF(Atletas!O68="Yang D",319,IF(Atletas!O68="Chen D",320,IF(Atletas!O68="Sun D",321,IF(Atletas!O68="Wu D",322,IF(Atletas!O68="Wu-Hao D",323,IF(Atletas!O68="Outro Taijiquan D",324,IF(Atletas!O68="Yang E",325,IF(Atletas!O68="Chen E",326,IF(Atletas!O68="Sun E",327,IF(Atletas!O68="Wu E",328,IF(Atletas!O68="Wu-Hao E",329,IF(Atletas!O68="Outro Taijiquan E",330,IF(Atletas!O68="Yang F",331,IF(Atletas!O68="Chen F",332,IF(Atletas!O68="Sun F",333,IF(Atletas!O68="Wu F",334,IF(Atletas!O68="Wu-Hao F",335,IF(Atletas!O68="Outro Taijiquan F",336,"")))))))))))))))))))))))))))))))))))))</f>
        <v/>
      </c>
      <c r="BW77" s="50" t="str">
        <f>IF(Atletas!P68="","",IF(Atletas!X68&lt;&gt;"",10000,0)+IF(Atletas!B68="Feminino",1000,IF(Atletas!B68="Masculino",2000,""))+IF(OR(Atletas!P68="Yang 26 A",Atletas!P68="Yang 40 A"),401,IF(OR(Atletas!P68="Chen 25 A",Atletas!P68="Chen 36 A",Atletas!P68="Chen 56 A"),402,IF(Atletas!P68="Sun 73 A",403,IF(Atletas!P68="Wu 45 A",404,IF(Atletas!P68="Wu-Hao 46 A",405,IF(OR(Atletas!P68="Taijiquan 16 A",Atletas!P68="Taijiquan 24 A",Atletas!P68="Taijiquan 32 A",Atletas!P68="Taijiquan 42 A"),406,IF(OR(Atletas!P68="Yang 26 B",Atletas!P68="Yang 40 B"),407,IF(OR(Atletas!P68="Chen 25 B",Atletas!P68="Chen 36 B",Atletas!P68="Chen 56 B"),408,IF(Atletas!P68="Sun 73 B",409,IF(Atletas!P68="Wu 45 B",410,IF(Atletas!P68="Wu-Hao 46 B",411,IF(OR(Atletas!P68="Taijiquan 16 B",Atletas!P68="Taijiquan 24 B",Atletas!P68="Taijiquan 32 B",Atletas!P68="Taijiquan 42 B"),412,IF(OR(Atletas!P68="Yang 26 C",Atletas!P68="Yang 40 C"),413,IF(OR(Atletas!P68="Chen 25 C",Atletas!P68="Chen 36 C",Atletas!P68="Chen 56 C"),414,IF(Atletas!P68="Sun 73 C",415,IF(Atletas!P68="Wu 45 C",416,IF(Atletas!P68="Wu-Hao 46 C",417,IF(OR(Atletas!P68="Taijiquan 16 C",Atletas!P68="Taijiquan 24 C",Atletas!P68="Taijiquan 32 C",Atletas!P68="Taijiquan 42 C"),418,0)))))))))))))))))))</f>
        <v/>
      </c>
      <c r="BX77" s="50" t="str">
        <f>IF(Atletas!P68="","",IF(Atletas!X68&lt;&gt;"",10000,0)+IF(Atletas!B68="Feminino",1000,IF(Atletas!B68="Masculino",2000,""))+IF(OR(Atletas!P68="Yang 26 D",Atletas!P68="Yang 40 D"),419,IF(OR(Atletas!P68="Chen 25 D",Atletas!P68="Chen 36 D",Atletas!P68="Chen 56 D"),420,IF(Atletas!P68="Sun 73 D",421,IF(Atletas!P68="Wu 45 D",422,IF(Atletas!P68="Wu-Hao 46 D",423,IF(OR(Atletas!P68="Taijiquan 16 D",Atletas!P68="Taijiquan 24 D",Atletas!P68="Taijiquan 32 D",Atletas!P68="Taijiquan 42 D"),424,IF(OR(Atletas!P68="Yang 26 E",Atletas!P68="Yang 40 E"),425,IF(OR(Atletas!P68="Chen 25 E",Atletas!P68="Chen 36 E",Atletas!P68="Chen 56 E"),426,IF(Atletas!P68="Sun 73 E",427,IF(Atletas!P68="Wu 45 E",428,IF(Atletas!P68="Wu-Hao 46 E",429,IF(OR(Atletas!P68="Taijiquan 16 E",Atletas!P68="Taijiquan 24 E",Atletas!P68="Taijiquan 32 E",Atletas!P68="Taijiquan 42 E"),430,IF(OR(Atletas!P68="Yang 26 F",Atletas!P68="Yang 40 F"),431,IF(OR(Atletas!P68="Chen 25 F",Atletas!P68="Chen 36 F",Atletas!P68="Chen 56 F"),432,IF(Atletas!P68="Sun 73 F",433,IF(Atletas!P68="Wu 45 F",434,IF(Atletas!P68="Wu-Hao 46 F",435,IF(OR(Atletas!P68="Taijiquan 16 F",Atletas!P68="Taijiquan 24 F",Atletas!P68="Taijiquan 32 F",Atletas!P68="Taijiquan 42 F"),436,0)))))))))))))))))))</f>
        <v/>
      </c>
      <c r="BY77" s="50" t="str">
        <f>IF(Atletas!Q68="","",IF(Atletas!X68&lt;&gt;"",10000,0)+IF(Atletas!B68="Feminino",1000,IF(Atletas!B68="Masculino",2000,""))+IF(Atletas!Q68="Xingyiquan A",501,IF(Atletas!Q68="Baguazhang A",502,IF(Atletas!Q68="Outro Estilo Interno A",503,IF(Atletas!Q68="Xingyiquan B",504,IF(Atletas!Q68="Baguazhang B",505,IF(Atletas!Q68="Outro Estilo Interno B",506,IF(Atletas!Q68="Xingyiquan C",507,IF(Atletas!Q68="Baguazhang C",508,IF(Atletas!Q68="Outro Estilo Interno C",509,IF(Atletas!Q68="Xingyiquan D",510,IF(Atletas!Q68="Baguazhang D",511,IF(Atletas!Q68="Outro Estilo Interno D",512,IF(Atletas!Q68="Xingyiquan E",513,IF(Atletas!Q68="Baguazhang E",514,IF(Atletas!Q68="Outro Estilo Interno E",515,IF(Atletas!Q68="Xingyiquan F",516,IF(Atletas!Q68="Baguazhang F",517,IF(Atletas!Q68="Outro Estilo Interno F",518, "")))))))))))))))))))</f>
        <v/>
      </c>
      <c r="BZ77" s="50" t="str">
        <f>IF(Atletas!R68="","",IF(Atletas!X68&lt;&gt;"",10000,0)+IF(Atletas!B68="Feminino",1000,IF(Atletas!B68="Masculino",2000,""))+IF(Atletas!R68="Dao A",601,IF(Atletas!R68="Jian A",602,IF(Atletas!R68="Bishou A",603,IF(Atletas!R68="Shanzi A",604,IF(Atletas!R68="Outra Arma Curta A",605,IF(Atletas!R68="Dao B",606,IF(Atletas!R68="Jian B",607,IF(Atletas!R68="Bishou B",608,IF(Atletas!R68="Shanzi B",609,IF(Atletas!R68="Outra Arma Curta B",610,IF(Atletas!R68="Dao C",611,IF(Atletas!R68="Jian C",612,IF(Atletas!R68="Bishou C",613,IF(Atletas!R68="Shanzi C",614,IF(Atletas!R68="Outra Arma Curta C",615,IF(Atletas!R68="Dao D",616,IF(Atletas!R68="Jian D",617,IF(Atletas!R68="Bishou D",618,IF(Atletas!R68="Shanzi D",619,IF(Atletas!R68="Outra Arma Curta D",620,IF(Atletas!R68="Dao E",621,IF(Atletas!R68="Jian E",622,IF(Atletas!R68="Bishou E",623,IF(Atletas!R68="Shanzi E",624,IF(Atletas!R68="Outra Arma Curta E",625,IF(Atletas!R68="Dao F",626,IF(Atletas!R68="Jian F",627,IF(Atletas!R68="Bishou F",628,IF(Atletas!R68="Shanzi F",629,IF(Atletas!R68="Outra Arma Curta F",630, "")))))))))))))))))))))))))))))))</f>
        <v/>
      </c>
      <c r="CA77" s="50" t="str">
        <f>IF(Atletas!S68="","",IF(Atletas!X68&lt;&gt;"",10000,0)+IF(Atletas!B68="Feminino",1000,IF(Atletas!B68="Masculino",2000,""))+IF(Atletas!S68="Gun A",701,IF(Atletas!S68="Qiang A",702,IF(Atletas!S68="Pudao / Guandao A",703,IF(Atletas!S68="Outra Arma Longa A",704,IF(Atletas!S68="Gun B",705,IF(Atletas!S68="Qiang B",706,IF(Atletas!S68="Pudao / Guandao B",707,IF(Atletas!S68="Outra Arma Longa B",708,IF(Atletas!S68="Gun C",709,IF(Atletas!S68="Qiang C",710,IF(Atletas!S68="Pudao / Guandao C",711,IF(Atletas!S68="Outra Arma Longa C",712,IF(Atletas!S68="Gun D",713,IF(Atletas!S68="Qiang D",714,IF(Atletas!S68="Pudao / Guandao D",715,IF(Atletas!S68="Outra Arma Longa D",716,IF(Atletas!S68="Gun E",717,IF(Atletas!S68="Qiang E",718,IF(Atletas!S68="Pudao / Guandao E",719,IF(Atletas!S68="Outra Arma Longa E",720,IF(Atletas!S68="Gun F",721,IF(Atletas!S68="Qiang F",722,IF(Atletas!S68="Pudao / Guandao F",723,IF(Atletas!S68="Outra Arma Longa F",724,"")))))))))))))))))))))))))</f>
        <v/>
      </c>
      <c r="CB77" s="50" t="str">
        <f>IF(Atletas!T68="","",IF(Atletas!X68&lt;&gt;"",10000,0)+IF(Atletas!B68="Feminino",1000,IF(Atletas!B68="Masculino",2000,""))+IF(Atletas!T68="Outra Arma Dupla A",801,IF(Atletas!T68="Arma Maleável A",802,IF(Atletas!T68="Outra Arma Dupla B",803,IF(Atletas!T68="Arma Maleável B",804,IF(Atletas!T68="Outra Arma Dupla C",805,IF(Atletas!T68="Arma Maleável C",806,IF(Atletas!T68="Outra Arma Dupla D",807,IF(Atletas!T68="Arma Maleável D",808,IF(Atletas!T68="Outra Arma Dupla E",809,IF(Atletas!T68="Arma Maleável E",810,IF(Atletas!T68="Outra Arma Dupla F",811,IF(Atletas!T68="Arma Maleável F",812,IF(Atletas!T68="Shuangdao A",813,IF(Atletas!T68="Shuangdao B",814,IF(Atletas!T68="Shuangdao C",815,IF(Atletas!T68="Shuangdao D",816,IF(Atletas!T68="Shuangdao E",817,IF(Atletas!T68="Shuangdao F",818,"")))))))))))))))))))</f>
        <v/>
      </c>
      <c r="CC77" s="50" t="str">
        <f>IF(Atletas!U68="","",IF(Atletas!X68&lt;&gt;"",10000,0)+IF(Atletas!B68="Feminino",1000,IF(Atletas!B68="Masculino",2000,""))+IF(OR(Atletas!U68="Taijijian Yang A",Atletas!U68="Taijijian Yang Standard A"),901,IF(OR(Atletas!U68="Taijijian Chen A", Atletas!U68="Taijijian Chen Standard A"),902,IF(Atletas!U68="Taijijian Sun A",903,IF(Atletas!U68="Taijijian Wu A",904,IF(Atletas!U68="Taijijian Wu-Hao A",905,IF(OR(Atletas!U68="Taijijian 32 A",Atletas!U68="Taijijian 42 A"),906,IF(OR(Atletas!U68="Taijijian Yang B",Atletas!U68="Taijijian Yang Standard B"),907,IF(OR(Atletas!U68="Taijijian Chen B", Atletas!U68="Taijijian Chen Standard B"),908,IF(Atletas!U68="Taijijian Sun B",909,IF(Atletas!U68="Taijijian Wu B",910,IF(Atletas!U68="Taijijian Wu-Hao B",911,IF(OR(Atletas!U68="Taijijian 32 B",Atletas!U68="Taijijian 42 B"),912,IF(OR(Atletas!U68="Taijijian Yang C",Atletas!U68="Taijijian Yang Standard C"),913,IF(OR(Atletas!U68="Taijijian Chen C", Atletas!U68="Taijijian Chen Standard C"),914,IF(Atletas!U68="Taijijian Sun C",915,IF(Atletas!U68="Taijijian Wu C",916,IF(Atletas!U68="Taijijian Wu-Hao C",917,IF(OR(Atletas!U68="Taijijian 32 C",Atletas!U68="Taijijian 42 C"),918,IF(OR(Atletas!U68="Taijijian Yang D",Atletas!U68="Taijijian Yang Standard D"),919,IF(OR(Atletas!U68="Taijijian Chen D", Atletas!U68="Taijijian Chen Standard D"),920,IF(Atletas!U68="Taijijian Sun D",921,IF(Atletas!U68="Taijijian Wu D",922,IF(Atletas!U68="Taijijian Wu-Hao D",923,IF(OR(Atletas!U68="Taijijian 32 D",Atletas!U68="Taijijian 42 D"),924,IF(OR(Atletas!U68="Taijijian Yang E",Atletas!U68="Taijijian Yang Standard E"),925,IF(OR(Atletas!U68="Taijijian Chen E", Atletas!U68="Taijijian Chen Standard E"),926,IF(Atletas!U68="Taijijian Sun E",927,IF(Atletas!U68="Taijijian Wu E",928,IF(Atletas!U68="Taijijian Wu-Hao E",929,IF(OR(Atletas!U68="Taijijian 32 E",Atletas!U68="Taijijian 42 E"),930,IF(OR(Atletas!U68="Taijijian Yang F",Atletas!U68="Taijijian Yang Standard F"),931,IF(OR(Atletas!U68="Taijijian Chen F", Atletas!U68="Taijijian Chen Standard F"),932,IF(Atletas!U68="Taijijian Sun F",933,IF(Atletas!U68="Taijijian Wu F",934,IF(Atletas!U68="Taijijian Wu-Hao F",935,IF(OR(Atletas!U68="Taijijian 32 F",Atletas!U68="Taijijian 42 F"),936,"")))))))))))))))))))))))))))))))))))))</f>
        <v/>
      </c>
      <c r="CD77" s="50" t="str">
        <f>IF(Atletas!V68="","",IF(Atletas!X68&lt;&gt;"",10000,0)+IF(Atletas!B68="Feminino",1000,IF(Atletas!B68="Masculino",2000,""))+IF(Atletas!V68="Taijidao A",937,IF(Atletas!V68="TaijiShanzi A",938,IF(Atletas!V68="Taijiqiang A",939,IF(Atletas!V68="Bagua de Arma A",940,IF(Atletas!V68="Xingyi de Arma A",941,IF(Atletas!V68="Taijidao B",942,IF(Atletas!V68="TaijiShanzi B",943,IF(Atletas!V68="Taijiqiang B",944,IF(Atletas!V68="Bagua de Arma B",945,IF(Atletas!V68="Xingyi de Arma B",946,IF(Atletas!V68="Taijidao C",947,IF(Atletas!V68="TaijiShanzi C",948,IF(Atletas!V68="Taijiqiang C",949,IF(Atletas!V68="Bagua de Arma C",950,IF(Atletas!V68="Xingyi de Arma C",951,IF(Atletas!V68="Taijidao D",952,IF(Atletas!V68="TaijiShanzi D",953,IF(Atletas!V68="Taijiqiang D",954,IF(Atletas!V68="Bagua de Arma D",955,IF(Atletas!V68="Xingyi de Arma D",956,IF(Atletas!V68="Taijidao E",957,IF(Atletas!V68="TaijiShanzi E",958,IF(Atletas!V68="Taijiqiang E",959,IF(Atletas!V68="Bagua de Arma E",960,IF(Atletas!V68="Xingyi de Arma E",961,IF(Atletas!V68="Taijidao F",962,IF(Atletas!V68="TaijiShanzi F",963,IF(Atletas!V68="Taijiqiang F",964,IF(Atletas!V68="Bagua de Arma F",965,IF(Atletas!V68="Xingyi de Arma F",966,"")))))))))))))))))))))))))))))))</f>
        <v/>
      </c>
      <c r="CE77" s="66" t="str">
        <f>IF(CF77&lt;&gt;"","Tanglangquan C","")</f>
        <v/>
      </c>
      <c r="CF77" s="66" t="str">
        <f>IF(COUNTIF(BR:CD,1135)&gt;0,COUNTIF(BR:CD,1135),"")</f>
        <v/>
      </c>
      <c r="CG77" s="66" t="str">
        <f>IF(CH77&lt;&gt;"","Tanglangquan C","")</f>
        <v/>
      </c>
      <c r="CH77" s="66" t="str">
        <f>IF(COUNTIF(BR:CD,2135)&gt;0,COUNTIF(BR:CD,2135),"")</f>
        <v/>
      </c>
      <c r="CI77" s="66" t="str">
        <f>IF(CJ77&lt;&gt;"","Emeiquan D","")</f>
        <v/>
      </c>
      <c r="CJ77" s="66" t="str">
        <f>IF(COUNTIF(BR:CD,11141)&gt;0,COUNTIF(BR:CD,11141),"")</f>
        <v/>
      </c>
      <c r="CK77" s="66" t="str">
        <f>IF(CL77&lt;&gt;"","Emeiquan D","")</f>
        <v/>
      </c>
      <c r="CL77" s="66" t="str">
        <f>IF(COUNTIF(BR:CD,12141)&gt;0,COUNTIF(BR:CD,12141),"")</f>
        <v/>
      </c>
      <c r="CM77" s="50" t="str">
        <f xml:space="preserve"> IF(Atletas!W68="","",IF(Atletas!W68="Duilian de Mãos BC - Equipe 1",1,IF(Atletas!W68="Duilian de Mãos BC - Equipe 2",2,IF(Atletas!W68="Duilian de Armas BC - Equipe 1",3,IF(Atletas!W68="Duilian de Armas BC - Equipe 2",4,IF(Atletas!W68="Duilian de Mãos DE - Equipe 1",5,IF(Atletas!W68="Duilian de Mãos DE - Equipe 2",6,IF(Atletas!W68="Duilian de Armas DE - Equipe 1",7,IF(Atletas!W68="Duilian de Armas DE - Equipe 2",8,IF(Atletas!W68="Duilian de Tuishou - Equipe 1",9,IF(Atletas!W68="Duilian de Tuishou - Equipe 2",10,IF(Atletas!W68="Grupo Externo ABC - Equipe 1",11,IF(Atletas!W68="Grupo Externo ABC - Equipe 2",12,IF(Atletas!W68="Grupo Interno ABC - Equipe 1",13,IF(Atletas!W68="Grupo Interno ABC - Equipe 2",14,IF(Atletas!W68="Grupo Externo DEF - Equipe 1",15,IF(Atletas!W68="Grupo Externo DEF - Equipe 2",16,IF(Atletas!W68="Grupo Interno DEF - Equipe 1",17,IF(Atletas!W68="Grupo Interno DEF - Equipe 2",18,"")))))))))))))))))))</f>
        <v/>
      </c>
    </row>
    <row r="78" spans="2:103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20"/>
      <c r="Y78" s="3"/>
      <c r="Z78" s="3" t="str">
        <f t="array" ref="Z78">IFERROR(INDEX(CE$7:CE$348,SMALL(IF(CE$7:CE$348&lt;&gt;"",ROW(CE$7:CE$348)-ROW(CE$7)+1),ROWS(CE$7:CE77))),"")</f>
        <v/>
      </c>
      <c r="AA78" s="3" t="str">
        <f t="array" ref="AA78">IFERROR(INDEX(CF$7:CF$348,SMALL(IF(CF$7:CF$348&lt;&gt;"",ROW(CF$7:CF$348)-ROW(CF$7)+1),ROWS(CF$7:CF77))),"")</f>
        <v/>
      </c>
      <c r="AB78" s="3" t="str">
        <f t="array" ref="AB78">IFERROR(INDEX(CG$7:CG$348,SMALL(IF(CG$7:CG$348&lt;&gt;"",ROW(CG$7:CG$348)-ROW(CG$7)+1),ROWS(CG$7:CG77))),"")</f>
        <v/>
      </c>
      <c r="AC78" s="3" t="str">
        <f t="array" ref="AC78">IFERROR(INDEX(CH$7:CH$348,SMALL(IF(CH$7:CH$348&lt;&gt;"",ROW(CH$7:CH$348)-ROW(CH$7)+1),ROWS(CH$7:CH77))),"")</f>
        <v/>
      </c>
      <c r="AD78" s="3" t="str">
        <f t="array" ref="AD78">IFERROR(INDEX(CI$7:CI$377,SMALL(IF(CI$7:CI$377&lt;&gt;"",ROW(CI$7:CI$377)-ROW(CI$7)+1),ROWS(CI$7:CI77))),"")</f>
        <v/>
      </c>
      <c r="AE78" s="3" t="str">
        <f t="array" ref="AE78">IFERROR(INDEX(CJ$7:CJ$378,SMALL(IF(CJ$7:CJ$378&lt;&gt;"",ROW(CJ$7:CJ$378)-ROW(CJ$7)+1),ROWS(CJ$7:CJ77))),"")</f>
        <v/>
      </c>
      <c r="AF78" s="3" t="str">
        <f t="array" ref="AF78">IFERROR(INDEX(CK$7:CK$378,SMALL(IF(CK$7:CK$378&lt;&gt;"",ROW(CK$7:CK$378)-ROW(CK$7)+1),ROWS(CK$7:CK77))),"")</f>
        <v/>
      </c>
      <c r="AG78" s="3" t="str">
        <f t="array" ref="AG78">IFERROR(INDEX(CL$7:CL$378,SMALL(IF(CL$7:CL$378&lt;&gt;"",ROW(CL$7:CL$378)-ROW(CL$7)+1),ROWS(CL$7:CL77))),"")</f>
        <v/>
      </c>
      <c r="AH78" s="3"/>
      <c r="AI78" s="3"/>
      <c r="AJ78" s="3"/>
      <c r="AK78" s="3"/>
      <c r="AL78" s="3"/>
      <c r="AM78" s="3"/>
      <c r="AN78" s="52" t="str">
        <f>IF(Atletas!D69="","",IF(Atletas!B69="Feminino",100,IF(Atletas!B69="Masculino",200,""))+(IF(Atletas!D69="Kids 30kg",1,IF(Atletas!D69="Kids 32kg",2, IF(Atletas!D69="Kids 34kg",3,IF(Atletas!D69="Kids 36kg",4,IF(Atletas!D69="Kids 39kg",5,IF(Atletas!D69="Kids 42kg",6,IF(Atletas!D69="Kids 45kg",7, IF(Atletas!D69="Infantil 39kg",8,IF(Atletas!D69="Infantil 42kg",9,IF(Atletas!D69="Infantil 45kg",10,IF(Atletas!D69="Infantil 48kg",11,IF(Atletas!D69="Infantil 52kg",12,IF(Atletas!D69="Infantil 56kg",13,IF(Atletas!D69="Infantil 60kg",14,IF(Atletas!D69="Juvenil 48kg",15,IF(Atletas!D69="Juvenil 52kg",16,IF(Atletas!D69="Juvenil 56kg",17,IF(Atletas!D69="Juvenil 60kg",18,IF(Atletas!D69="Juvenil 65kg",19,IF(Atletas!D69="Juvenil 70kg",20,IF(Atletas!D69="Juvenil 75kg",21,IF(Atletas!D69="Juvenil 80kg",22, IF(Atletas!D69="Juvenil 85kg",23,IF(Atletas!D69="Adulto 48kg",24,IF(Atletas!D69="Adulto 52kg",25,IF(Atletas!D69="Adulto 56kg",26,IF(Atletas!D69="Adulto 60kg",27,IF(Atletas!D69="Adulto 65kg",28,IF(Atletas!D69="Adulto 70kg",29,IF(Atletas!D69="Adulto 75kg",30,IF(Atletas!D69="Adulto 80kg",31,IF(Atletas!D69="Adulto 85kg",32,IF(Atletas!D69="Adulto 90kg",33,IF(Atletas!D69="Adulto 100kg",34, IF(Atletas!D69="Adulto +100kg",35,"")))))))))))))))))))))))))))))))))))))</f>
        <v/>
      </c>
      <c r="AS78" s="6" t="str">
        <f>IF(Atletas!E69="","",IF(Atletas!B69="Feminino",100,IF(Atletas!B69="Masculino",200,""))+(IF(Atletas!E69="Juvenil 44kg",1,IF(Atletas!E69="Juvenil 48kg",2,IF(Atletas!E69="Juvenil 52kg",3,IF(Atletas!E69="Juvenil 56kg",4,IF(Atletas!E69="Juvenil 60kg",5,IF(Atletas!E69="Juvenil 65kg",6,IF(Atletas!E69="Juvenil 70kg",7,IF(Atletas!E69="Juvenil 75kg",8,IF(Atletas!E69="Juvenil 82kg",9,IF(Atletas!E69="Juvenil 90kg",10,IF(Atletas!E69="Juvenil 100kg",11,IF(Atletas!E69="Adulto 48kg",12,IF(Atletas!E69="Adulto 52kg",13,IF(Atletas!E69="Adulto 56kg",14,IF(Atletas!E69="Adulto 60kg",15,IF(Atletas!E69="Adulto 65kg",16,IF(Atletas!E69="Adulto 70kg",17,IF(Atletas!E69="Adulto 75kg",18,IF(Atletas!E69="Adulto 82kg",19,IF(Atletas!E69="Adulto 90kg",20,IF(Atletas!E69="Adulto 100kg",21,IF(Atletas!E69="Adulto +100kg",22,""))))))))))))))))))))))))</f>
        <v/>
      </c>
      <c r="AX78" s="6" t="str">
        <f>IF(Atletas!F69="","",IF(Atletas!B69="Feminino",100,IF(Atletas!B69="Masculino",200,""))+(IF(Atletas!F69="Adulto 48kg",1,IF(Atletas!F69="Adulto 56kg",2,IF(Atletas!F69="Adulto 65kg",3,IF(Atletas!F69="Adulto 75kg",4,IF(Atletas!F69="Adulto +75kg",5,IF(Atletas!F69="Adulto 52kg",6,IF(Atletas!F69="Adulto 60kg",7,IF(Atletas!F69="Adulto 70kg",8,IF(Atletas!F69="Adulto 80kg",9,IF(Atletas!F69="Adulto 90kg",10,IF(Atletas!F69="Adulto +90kg",11,"")))))))))))))</f>
        <v/>
      </c>
      <c r="BC78" s="6" t="str">
        <f>IF(Atletas!G69="","",IF(Atletas!B69="Feminino",10,IF(Atletas!B69="Masculino",20,""))+(IF(Atletas!G69="Baduanjin A",1,IF(Atletas!G69="Baduanjin B",2))))</f>
        <v/>
      </c>
      <c r="BF78" s="52" t="str">
        <f>IF(Atletas!H69="","",IF(Atletas!B69="Feminino",100,IF(Atletas!B69="Masculino",200,""))+(IF(Atletas!H69="Changquan Mirim",1,IF(Atletas!H69="Nanquan Mirim",2,IF(Atletas!H69="Taijiquan Mirim",3,IF(Atletas!H69="Changquan Grupo C",4,IF(Atletas!H69="Nanquan Grupo C",5,IF(Atletas!H69="Taijiquan Grupo C",6,IF(Atletas!H69="Changquan Grupo B",7,IF(Atletas!H69="Nanquan Grupo B",8,IF(Atletas!H69="Taijiquan Grupo B",9,IF(Atletas!H69="Changquan Grupo A",10,IF(Atletas!H69="Nanquan Grupo A",11,IF(Atletas!H69="Taijiquan Grupo A",12,IF(Atletas!H69="Changquan Opcional",13,IF(Atletas!H69="Nanquan Opcional",14,IF(Atletas!H69="Taijiquan Opcional",15,IF(Atletas!H69="Changquan Adulto",16,IF(Atletas!H69="Nanquan Adulto",17,IF(Atletas!H69="Taijiquan Adulto",18,""))))))))))))))))))))</f>
        <v/>
      </c>
      <c r="BG78" s="52" t="str">
        <f>IF(Atletas!I69="","",IF(Atletas!B69="Feminino",100,IF(Atletas!B69="Masculino",200,""))+(IF(Atletas!I69="Daoshu Mirim",19,IF(Atletas!I69="Jianshu Mirim",20,IF(Atletas!I69="Nandao Mirim",21,IF(Atletas!I69="Taijijian Mirim",22,IF(Atletas!I69="Daoshu Grupo C",23,IF(Atletas!I69="Jianshu Grupo C",24,IF(Atletas!I69="Nandao Grupo C",25,IF(Atletas!I69="Taijijian Grupo C",26,IF(Atletas!I69="Daoshu Grupo B",27,IF(Atletas!I69="Jianshu Grupo B",28,IF(Atletas!I69="Nandao Grupo B",29,IF(Atletas!I69="Taijijian Grupo B",30,IF(Atletas!I69="Daoshu Grupo A",31,IF(Atletas!I69="Jianshu Grupo A",32,IF(Atletas!I69="Nandao Grupo A",33,IF(Atletas!I69="Taijijian Grupo A",34,IF(Atletas!I69="Daoshu Opcional",35,IF(Atletas!I69="Jianshu Opcional",36,IF(Atletas!I69="Nandao Opcional",37,IF(Atletas!I69="Taijijian Opcional",38,IF(Atletas!I69="Daoshu Adulto",39,IF(Atletas!I69="Jianshu Adulto",40,IF(Atletas!I69="Nandao Adulto",41,IF(Atletas!I69="Taijijian Adulto",42,""))))))))))))))))))))))))))</f>
        <v/>
      </c>
      <c r="BH78" s="52" t="str">
        <f>IF(Atletas!J69="","",IF(Atletas!B69="Feminino",100,IF(Atletas!B69="Masculino",200,""))+(IF(Atletas!J69="Gunshu Mirim",43,IF(Atletas!J69="Qiangshu Mirim",44,IF(Atletas!J69="Nangun Mirim",45,IF(Atletas!J69="Gunshu Grupo C",46,IF(Atletas!J69="Qiangshu Grupo C",47,IF(Atletas!J69="Nangun Grupo C",48,IF(Atletas!J69="Gunshu Grupo B",49,IF(Atletas!J69="Qiangshu Grupo B",50,IF(Atletas!J69="Nangun Grupo B",51,IF(Atletas!J69="Gunshu Grupo A",52,IF(Atletas!J69="Qiangshu Grupo A",53,IF(Atletas!J69="Nangun Grupo A",54,IF(Atletas!J69="Gunshu Opcional",55,IF(Atletas!J69="Qiangshu Opcional",56,IF(Atletas!J69="Nangun Opcional",57,IF(Atletas!J69="Gunshu Adulto",58,IF(Atletas!J69="Qiangshu Adulto",59,IF(Atletas!J69="Nangun Adulto",60,IF(Atletas!J69="Taijishan Grupo B",61,IF(Atletas!J69="Taijishan Grupo A",62,""))))))))))))))))))))))</f>
        <v/>
      </c>
      <c r="BM78" s="50" t="str">
        <f>IF(Atletas!K69="","",IF(Atletas!B69="Feminino",100,IF(Atletas!B69="Masculino",200,""))+(IF(Atletas!K69="Equipe 1 Grupo B",1,IF(Atletas!K69="Equipe 2 Grupo B",2,IF(Atletas!K69="Equipe 1 Grupo A",3,IF(Atletas!K69="Equipe 2 Grupo A",4,IF(Atletas!K69="Equipe 1 Adulto",5,IF(Atletas!K69="Equipe 2 Adulto",6,""))))))))</f>
        <v/>
      </c>
      <c r="BR78" s="50" t="str">
        <f>IF(Atletas!L69="","",IF(Atletas!X69&lt;&gt;"",10000,0)+(IF(Atletas!B69="Feminino",1000,IF(Atletas!B69="Masculino",2000,""))+IF(Atletas!L69="Choylayfut A",1,IF(Atletas!L69="Hunggar A",2,IF(Atletas!L69="Wuzuquan A",3,IF(Atletas!L69="Wingchun A",4,IF(Atletas!L69="Outra Mão de Sul A",5,IF(Atletas!L69="Choylayfut B",6,IF(Atletas!L69="Hunggar B",7,IF(Atletas!L69="Wuzuquan B",8,IF(Atletas!L69="Wingchun B",9,IF(Atletas!L69="Outra Mão de Sul B",10,IF(Atletas!L69="Choylayfut C",11,IF(Atletas!L69="Hunggar C",12,IF(Atletas!L69="Wuzuquan C",13,IF(Atletas!L69="Wingchun C",14,IF(Atletas!L69="Outra Mão de Sul C",15,IF(Atletas!L69="Choylayfut D",16,IF(Atletas!L69="Hunggar D",17,IF(Atletas!L69="Wuzuquan D",18,IF(Atletas!L69="Wingchun D",19,IF(Atletas!L69="Outra Mão de Sul D",20,IF(Atletas!L69="Choylayfut E",21,IF(Atletas!L69="Hunggar E",22,IF(Atletas!L69="Wuzuquan E",23,IF(Atletas!L69="Wingchun E",24,IF(Atletas!L69="Outra Mão de Sul E",25,IF(Atletas!L69="Choylayfut F",26,IF(Atletas!L69="Hunggar F",27,IF(Atletas!L69="Wuzuquan F",28,IF(Atletas!L69="Wingchun F",29,IF(Atletas!L69="Outra Mão de Sul F",30,IF(Atletas!L69="Dishuquan A",31,IF(Atletas!L69="Dishuquan B",32,IF(Atletas!L69="Dishuquan C",33,IF(Atletas!L69="Dishuquan D",34,IF(Atletas!L69="Dishuquan E",35,IF(Atletas!L69="Dishuquan F",36,""))))))))))))))))))))))))))))))))))))))</f>
        <v/>
      </c>
      <c r="BS78" s="50" t="str">
        <f>IF(Atletas!M69="","",IF(Atletas!X69&lt;&gt;"",10000,0)+(IF(Atletas!B69="Feminino",1000,IF(Atletas!B69="Masculino",2000,""))+(IF(Atletas!M69="Chaquan A",101,IF(Atletas!M69="Emeiquan A",102,IF(Atletas!M69="Fanziquan A",103,IF(Atletas!M69="Huaquan A",104,IF(Atletas!M69="Hongquan A",105,IF(Atletas!M69="Paoquan A",106,IF(Atletas!M69="Piguaquan A",107,IF(Atletas!M69="Shaolinquan A",108,IF(Atletas!M69="Tanglangquan A",109,IF(Atletas!M69="Yingzhaoquan A",110,IF(Atletas!M69="Tongbeiquan A",111,IF(Atletas!M69="Wudangquan A",112,IF(Atletas!M69="Outros Estilos A",113,IF(Atletas!M69="Chaquan B",114,IF(Atletas!M69="Emeiquan B",115,IF(Atletas!M69="Fanziquan B",116,IF(Atletas!M69="Huaquan B",117,IF(Atletas!M69="Hongquan B",118,IF(Atletas!M69="Paoquan B",119,IF(Atletas!M69="Piguaquan B",120,IF(Atletas!M69="Shaolinquan B",121,IF(Atletas!M69="Tanglangquan B",122,IF(Atletas!M69="Yingzhaoquan B",123,IF(Atletas!M69="Tongbeiquan B",124,IF(Atletas!M69="Wudangquan B",125,IF(Atletas!M69="Outros Estilos B",126,IF(Atletas!M69="Chaquan C",127,IF(Atletas!M69="Emeiquan C",128,IF(Atletas!M69="Fanziquan C",129,IF(Atletas!M69="Huaquan C",130,IF(Atletas!M69="Hongquan C",131,IF(Atletas!M69="Paoquan C",132,IF(Atletas!M69="Piguaquan C",133,IF(Atletas!M69="Shaolinquan C",134,IF(Atletas!M69="Tanglangquan C",135,IF(Atletas!M69="Yingzhaoquan C",136,IF(Atletas!M69="Tongbeiquan C",137,IF(Atletas!M69="Wudangquan C",138,IF(Atletas!M69="Outros Estilos C",139,0))))))))))))))))))))))))))))))))))))))))))</f>
        <v/>
      </c>
      <c r="BT78" s="50" t="str">
        <f>IF(Atletas!M69="","",IF(Atletas!X69&lt;&gt;"",10000,0)+(IF(Atletas!B69="Feminino",1000,IF(Atletas!B69="Masculino",2000,""))+(IF(Atletas!M69="Chaquan D",140,IF(Atletas!M69="Emeiquan D",141,IF(Atletas!M69="Fanziquan D",142,IF(Atletas!M69="Huaquan D",143,IF(Atletas!M69="Hongquan D",144,IF(Atletas!M69="Paoquan D",145,IF(Atletas!M69="Piguaquan D",146,IF(Atletas!M69="Shaolinquan D",147,IF(Atletas!M69="Tanglangquan D",148,IF(Atletas!M69="Yingzhaoquan D",149,IF(Atletas!M69="Tongbeiquan D",150,IF(Atletas!M69="Wudangquan D",151,IF(Atletas!M69="Outros Estilos D",152,IF(Atletas!M69="Chaquan E",153,IF(Atletas!M69="Emeiquan E",154,IF(Atletas!M69="Fanziquan E",155,IF(Atletas!M69="Huaquan E",156,IF(Atletas!M69="Hongquan E",157,IF(Atletas!M69="Paoquan E",158,IF(Atletas!M69="Piguaquan E",159,IF(Atletas!M69="Shaolinquan E",160,IF(Atletas!M69="Tanglangquan E",161,IF(Atletas!M69="Yingzhaoquan E",162,IF(Atletas!M69="Tongbeiquan E",163,IF(Atletas!M69="Wudangquan E",164,IF(Atletas!M69="Outros Estilos E",165,IF(Atletas!M69="Chaquan F",166,IF(Atletas!M69="Emeiquan F",167,IF(Atletas!M69="Fanziquan F",168,IF(Atletas!M69="Huaquan F",169,IF(Atletas!M69="Hongquan F",170,IF(Atletas!M69="Paoquan F",171,IF(Atletas!M69="Piguaquan F",172,IF(Atletas!M69="Shaolinquan F",173,IF(Atletas!M69="Tanglangquan F",174,IF(Atletas!M69="Yingzhaoquan F",175,IF(Atletas!M69="Tongbeiquan F",176,IF(Atletas!M69="Wudangquan F",177,IF(Atletas!M69="Outros Estilos F",178,0))))))))))))))))))))))))))))))))))))))))))</f>
        <v/>
      </c>
      <c r="BU78" s="50" t="str">
        <f>IF(Atletas!N69="","",IF(Atletas!X69&lt;&gt;"",10000,0)+(IF(Atletas!B69="Feminino",1000,IF(Atletas!B69="Masculino",2000,""))+(IF(Atletas!N69="Ditangquan A",201,IF(Atletas!N69="Houquan A",202,IF(Atletas!N69="Zuiquan A",203,IF(Atletas!N69="Ditangquan B",204,IF(Atletas!N69="Houquan B",205,IF(Atletas!N69="Zuiquan B",206,IF(Atletas!N69="Ditangquan C",207,IF(Atletas!N69="Houquan C",208,IF(Atletas!N69="Zuiquan C",209,IF(Atletas!N69="Ditangquan D",210,IF(Atletas!N69="Houquan D",211,IF(Atletas!N69="Zuiquan D",212,IF(Atletas!N69="Ditangquan E",213,IF(Atletas!N69="Houquan E",214,IF(Atletas!N69="Zuiquan E",215,IF(Atletas!N69="Ditangquan F",216,IF(Atletas!N69="Houquan F",217,IF(Atletas!N69="Zuiquan F",218,"")))))))))))))))))))))</f>
        <v/>
      </c>
      <c r="BV78" s="50" t="str">
        <f>IF(Atletas!O69="","",IF(Atletas!X69&lt;&gt;"",10000,0)+IF(Atletas!B69="Feminino",1000,IF(Atletas!B69="Masculino",2000,""))+IF(Atletas!O69="Yang A",301,IF(Atletas!O69="Chen A",302,IF(Atletas!O69="Sun A",303,IF(Atletas!O69="Wu A",304,IF(Atletas!O69="Wu-Hao A",305,IF(Atletas!O69="Outro Taijiquan A",306,IF(Atletas!O69="Yang B",307,IF(Atletas!O69="Chen B",308,IF(Atletas!O69="Sun B",309,IF(Atletas!O69="Wu B",310,IF(Atletas!O69="Wu-Hao B",311,IF(Atletas!O69="Outro Taijiquan B",312,IF(Atletas!O69="Yang C",313,IF(Atletas!O69="Chen C",314,IF(Atletas!O69="Sun C",315,IF(Atletas!O69="Wu C",316,IF(Atletas!O69="Wu-Hao C",317,IF(Atletas!O69="Outro Taijiquan C",318,IF(Atletas!O69="Yang D",319,IF(Atletas!O69="Chen D",320,IF(Atletas!O69="Sun D",321,IF(Atletas!O69="Wu D",322,IF(Atletas!O69="Wu-Hao D",323,IF(Atletas!O69="Outro Taijiquan D",324,IF(Atletas!O69="Yang E",325,IF(Atletas!O69="Chen E",326,IF(Atletas!O69="Sun E",327,IF(Atletas!O69="Wu E",328,IF(Atletas!O69="Wu-Hao E",329,IF(Atletas!O69="Outro Taijiquan E",330,IF(Atletas!O69="Yang F",331,IF(Atletas!O69="Chen F",332,IF(Atletas!O69="Sun F",333,IF(Atletas!O69="Wu F",334,IF(Atletas!O69="Wu-Hao F",335,IF(Atletas!O69="Outro Taijiquan F",336,"")))))))))))))))))))))))))))))))))))))</f>
        <v/>
      </c>
      <c r="BW78" s="50" t="str">
        <f>IF(Atletas!P69="","",IF(Atletas!X69&lt;&gt;"",10000,0)+IF(Atletas!B69="Feminino",1000,IF(Atletas!B69="Masculino",2000,""))+IF(OR(Atletas!P69="Yang 26 A",Atletas!P69="Yang 40 A"),401,IF(OR(Atletas!P69="Chen 25 A",Atletas!P69="Chen 36 A",Atletas!P69="Chen 56 A"),402,IF(Atletas!P69="Sun 73 A",403,IF(Atletas!P69="Wu 45 A",404,IF(Atletas!P69="Wu-Hao 46 A",405,IF(OR(Atletas!P69="Taijiquan 16 A",Atletas!P69="Taijiquan 24 A",Atletas!P69="Taijiquan 32 A",Atletas!P69="Taijiquan 42 A"),406,IF(OR(Atletas!P69="Yang 26 B",Atletas!P69="Yang 40 B"),407,IF(OR(Atletas!P69="Chen 25 B",Atletas!P69="Chen 36 B",Atletas!P69="Chen 56 B"),408,IF(Atletas!P69="Sun 73 B",409,IF(Atletas!P69="Wu 45 B",410,IF(Atletas!P69="Wu-Hao 46 B",411,IF(OR(Atletas!P69="Taijiquan 16 B",Atletas!P69="Taijiquan 24 B",Atletas!P69="Taijiquan 32 B",Atletas!P69="Taijiquan 42 B"),412,IF(OR(Atletas!P69="Yang 26 C",Atletas!P69="Yang 40 C"),413,IF(OR(Atletas!P69="Chen 25 C",Atletas!P69="Chen 36 C",Atletas!P69="Chen 56 C"),414,IF(Atletas!P69="Sun 73 C",415,IF(Atletas!P69="Wu 45 C",416,IF(Atletas!P69="Wu-Hao 46 C",417,IF(OR(Atletas!P69="Taijiquan 16 C",Atletas!P69="Taijiquan 24 C",Atletas!P69="Taijiquan 32 C",Atletas!P69="Taijiquan 42 C"),418,0)))))))))))))))))))</f>
        <v/>
      </c>
      <c r="BX78" s="50" t="str">
        <f>IF(Atletas!P69="","",IF(Atletas!X69&lt;&gt;"",10000,0)+IF(Atletas!B69="Feminino",1000,IF(Atletas!B69="Masculino",2000,""))+IF(OR(Atletas!P69="Yang 26 D",Atletas!P69="Yang 40 D"),419,IF(OR(Atletas!P69="Chen 25 D",Atletas!P69="Chen 36 D",Atletas!P69="Chen 56 D"),420,IF(Atletas!P69="Sun 73 D",421,IF(Atletas!P69="Wu 45 D",422,IF(Atletas!P69="Wu-Hao 46 D",423,IF(OR(Atletas!P69="Taijiquan 16 D",Atletas!P69="Taijiquan 24 D",Atletas!P69="Taijiquan 32 D",Atletas!P69="Taijiquan 42 D"),424,IF(OR(Atletas!P69="Yang 26 E",Atletas!P69="Yang 40 E"),425,IF(OR(Atletas!P69="Chen 25 E",Atletas!P69="Chen 36 E",Atletas!P69="Chen 56 E"),426,IF(Atletas!P69="Sun 73 E",427,IF(Atletas!P69="Wu 45 E",428,IF(Atletas!P69="Wu-Hao 46 E",429,IF(OR(Atletas!P69="Taijiquan 16 E",Atletas!P69="Taijiquan 24 E",Atletas!P69="Taijiquan 32 E",Atletas!P69="Taijiquan 42 E"),430,IF(OR(Atletas!P69="Yang 26 F",Atletas!P69="Yang 40 F"),431,IF(OR(Atletas!P69="Chen 25 F",Atletas!P69="Chen 36 F",Atletas!P69="Chen 56 F"),432,IF(Atletas!P69="Sun 73 F",433,IF(Atletas!P69="Wu 45 F",434,IF(Atletas!P69="Wu-Hao 46 F",435,IF(OR(Atletas!P69="Taijiquan 16 F",Atletas!P69="Taijiquan 24 F",Atletas!P69="Taijiquan 32 F",Atletas!P69="Taijiquan 42 F"),436,0)))))))))))))))))))</f>
        <v/>
      </c>
      <c r="BY78" s="50" t="str">
        <f>IF(Atletas!Q69="","",IF(Atletas!X69&lt;&gt;"",10000,0)+IF(Atletas!B69="Feminino",1000,IF(Atletas!B69="Masculino",2000,""))+IF(Atletas!Q69="Xingyiquan A",501,IF(Atletas!Q69="Baguazhang A",502,IF(Atletas!Q69="Outro Estilo Interno A",503,IF(Atletas!Q69="Xingyiquan B",504,IF(Atletas!Q69="Baguazhang B",505,IF(Atletas!Q69="Outro Estilo Interno B",506,IF(Atletas!Q69="Xingyiquan C",507,IF(Atletas!Q69="Baguazhang C",508,IF(Atletas!Q69="Outro Estilo Interno C",509,IF(Atletas!Q69="Xingyiquan D",510,IF(Atletas!Q69="Baguazhang D",511,IF(Atletas!Q69="Outro Estilo Interno D",512,IF(Atletas!Q69="Xingyiquan E",513,IF(Atletas!Q69="Baguazhang E",514,IF(Atletas!Q69="Outro Estilo Interno E",515,IF(Atletas!Q69="Xingyiquan F",516,IF(Atletas!Q69="Baguazhang F",517,IF(Atletas!Q69="Outro Estilo Interno F",518, "")))))))))))))))))))</f>
        <v/>
      </c>
      <c r="BZ78" s="50" t="str">
        <f>IF(Atletas!R69="","",IF(Atletas!X69&lt;&gt;"",10000,0)+IF(Atletas!B69="Feminino",1000,IF(Atletas!B69="Masculino",2000,""))+IF(Atletas!R69="Dao A",601,IF(Atletas!R69="Jian A",602,IF(Atletas!R69="Bishou A",603,IF(Atletas!R69="Shanzi A",604,IF(Atletas!R69="Outra Arma Curta A",605,IF(Atletas!R69="Dao B",606,IF(Atletas!R69="Jian B",607,IF(Atletas!R69="Bishou B",608,IF(Atletas!R69="Shanzi B",609,IF(Atletas!R69="Outra Arma Curta B",610,IF(Atletas!R69="Dao C",611,IF(Atletas!R69="Jian C",612,IF(Atletas!R69="Bishou C",613,IF(Atletas!R69="Shanzi C",614,IF(Atletas!R69="Outra Arma Curta C",615,IF(Atletas!R69="Dao D",616,IF(Atletas!R69="Jian D",617,IF(Atletas!R69="Bishou D",618,IF(Atletas!R69="Shanzi D",619,IF(Atletas!R69="Outra Arma Curta D",620,IF(Atletas!R69="Dao E",621,IF(Atletas!R69="Jian E",622,IF(Atletas!R69="Bishou E",623,IF(Atletas!R69="Shanzi E",624,IF(Atletas!R69="Outra Arma Curta E",625,IF(Atletas!R69="Dao F",626,IF(Atletas!R69="Jian F",627,IF(Atletas!R69="Bishou F",628,IF(Atletas!R69="Shanzi F",629,IF(Atletas!R69="Outra Arma Curta F",630, "")))))))))))))))))))))))))))))))</f>
        <v/>
      </c>
      <c r="CA78" s="50" t="str">
        <f>IF(Atletas!S69="","",IF(Atletas!X69&lt;&gt;"",10000,0)+IF(Atletas!B69="Feminino",1000,IF(Atletas!B69="Masculino",2000,""))+IF(Atletas!S69="Gun A",701,IF(Atletas!S69="Qiang A",702,IF(Atletas!S69="Pudao / Guandao A",703,IF(Atletas!S69="Outra Arma Longa A",704,IF(Atletas!S69="Gun B",705,IF(Atletas!S69="Qiang B",706,IF(Atletas!S69="Pudao / Guandao B",707,IF(Atletas!S69="Outra Arma Longa B",708,IF(Atletas!S69="Gun C",709,IF(Atletas!S69="Qiang C",710,IF(Atletas!S69="Pudao / Guandao C",711,IF(Atletas!S69="Outra Arma Longa C",712,IF(Atletas!S69="Gun D",713,IF(Atletas!S69="Qiang D",714,IF(Atletas!S69="Pudao / Guandao D",715,IF(Atletas!S69="Outra Arma Longa D",716,IF(Atletas!S69="Gun E",717,IF(Atletas!S69="Qiang E",718,IF(Atletas!S69="Pudao / Guandao E",719,IF(Atletas!S69="Outra Arma Longa E",720,IF(Atletas!S69="Gun F",721,IF(Atletas!S69="Qiang F",722,IF(Atletas!S69="Pudao / Guandao F",723,IF(Atletas!S69="Outra Arma Longa F",724,"")))))))))))))))))))))))))</f>
        <v/>
      </c>
      <c r="CB78" s="50" t="str">
        <f>IF(Atletas!T69="","",IF(Atletas!X69&lt;&gt;"",10000,0)+IF(Atletas!B69="Feminino",1000,IF(Atletas!B69="Masculino",2000,""))+IF(Atletas!T69="Outra Arma Dupla A",801,IF(Atletas!T69="Arma Maleável A",802,IF(Atletas!T69="Outra Arma Dupla B",803,IF(Atletas!T69="Arma Maleável B",804,IF(Atletas!T69="Outra Arma Dupla C",805,IF(Atletas!T69="Arma Maleável C",806,IF(Atletas!T69="Outra Arma Dupla D",807,IF(Atletas!T69="Arma Maleável D",808,IF(Atletas!T69="Outra Arma Dupla E",809,IF(Atletas!T69="Arma Maleável E",810,IF(Atletas!T69="Outra Arma Dupla F",811,IF(Atletas!T69="Arma Maleável F",812,IF(Atletas!T69="Shuangdao A",813,IF(Atletas!T69="Shuangdao B",814,IF(Atletas!T69="Shuangdao C",815,IF(Atletas!T69="Shuangdao D",816,IF(Atletas!T69="Shuangdao E",817,IF(Atletas!T69="Shuangdao F",818,"")))))))))))))))))))</f>
        <v/>
      </c>
      <c r="CC78" s="50" t="str">
        <f>IF(Atletas!U69="","",IF(Atletas!X69&lt;&gt;"",10000,0)+IF(Atletas!B69="Feminino",1000,IF(Atletas!B69="Masculino",2000,""))+IF(OR(Atletas!U69="Taijijian Yang A",Atletas!U69="Taijijian Yang Standard A"),901,IF(OR(Atletas!U69="Taijijian Chen A", Atletas!U69="Taijijian Chen Standard A"),902,IF(Atletas!U69="Taijijian Sun A",903,IF(Atletas!U69="Taijijian Wu A",904,IF(Atletas!U69="Taijijian Wu-Hao A",905,IF(OR(Atletas!U69="Taijijian 32 A",Atletas!U69="Taijijian 42 A"),906,IF(OR(Atletas!U69="Taijijian Yang B",Atletas!U69="Taijijian Yang Standard B"),907,IF(OR(Atletas!U69="Taijijian Chen B", Atletas!U69="Taijijian Chen Standard B"),908,IF(Atletas!U69="Taijijian Sun B",909,IF(Atletas!U69="Taijijian Wu B",910,IF(Atletas!U69="Taijijian Wu-Hao B",911,IF(OR(Atletas!U69="Taijijian 32 B",Atletas!U69="Taijijian 42 B"),912,IF(OR(Atletas!U69="Taijijian Yang C",Atletas!U69="Taijijian Yang Standard C"),913,IF(OR(Atletas!U69="Taijijian Chen C", Atletas!U69="Taijijian Chen Standard C"),914,IF(Atletas!U69="Taijijian Sun C",915,IF(Atletas!U69="Taijijian Wu C",916,IF(Atletas!U69="Taijijian Wu-Hao C",917,IF(OR(Atletas!U69="Taijijian 32 C",Atletas!U69="Taijijian 42 C"),918,IF(OR(Atletas!U69="Taijijian Yang D",Atletas!U69="Taijijian Yang Standard D"),919,IF(OR(Atletas!U69="Taijijian Chen D", Atletas!U69="Taijijian Chen Standard D"),920,IF(Atletas!U69="Taijijian Sun D",921,IF(Atletas!U69="Taijijian Wu D",922,IF(Atletas!U69="Taijijian Wu-Hao D",923,IF(OR(Atletas!U69="Taijijian 32 D",Atletas!U69="Taijijian 42 D"),924,IF(OR(Atletas!U69="Taijijian Yang E",Atletas!U69="Taijijian Yang Standard E"),925,IF(OR(Atletas!U69="Taijijian Chen E", Atletas!U69="Taijijian Chen Standard E"),926,IF(Atletas!U69="Taijijian Sun E",927,IF(Atletas!U69="Taijijian Wu E",928,IF(Atletas!U69="Taijijian Wu-Hao E",929,IF(OR(Atletas!U69="Taijijian 32 E",Atletas!U69="Taijijian 42 E"),930,IF(OR(Atletas!U69="Taijijian Yang F",Atletas!U69="Taijijian Yang Standard F"),931,IF(OR(Atletas!U69="Taijijian Chen F", Atletas!U69="Taijijian Chen Standard F"),932,IF(Atletas!U69="Taijijian Sun F",933,IF(Atletas!U69="Taijijian Wu F",934,IF(Atletas!U69="Taijijian Wu-Hao F",935,IF(OR(Atletas!U69="Taijijian 32 F",Atletas!U69="Taijijian 42 F"),936,"")))))))))))))))))))))))))))))))))))))</f>
        <v/>
      </c>
      <c r="CD78" s="50" t="str">
        <f>IF(Atletas!V69="","",IF(Atletas!X69&lt;&gt;"",10000,0)+IF(Atletas!B69="Feminino",1000,IF(Atletas!B69="Masculino",2000,""))+IF(Atletas!V69="Taijidao A",937,IF(Atletas!V69="TaijiShanzi A",938,IF(Atletas!V69="Taijiqiang A",939,IF(Atletas!V69="Bagua de Arma A",940,IF(Atletas!V69="Xingyi de Arma A",941,IF(Atletas!V69="Taijidao B",942,IF(Atletas!V69="TaijiShanzi B",943,IF(Atletas!V69="Taijiqiang B",944,IF(Atletas!V69="Bagua de Arma B",945,IF(Atletas!V69="Xingyi de Arma B",946,IF(Atletas!V69="Taijidao C",947,IF(Atletas!V69="TaijiShanzi C",948,IF(Atletas!V69="Taijiqiang C",949,IF(Atletas!V69="Bagua de Arma C",950,IF(Atletas!V69="Xingyi de Arma C",951,IF(Atletas!V69="Taijidao D",952,IF(Atletas!V69="TaijiShanzi D",953,IF(Atletas!V69="Taijiqiang D",954,IF(Atletas!V69="Bagua de Arma D",955,IF(Atletas!V69="Xingyi de Arma D",956,IF(Atletas!V69="Taijidao E",957,IF(Atletas!V69="TaijiShanzi E",958,IF(Atletas!V69="Taijiqiang E",959,IF(Atletas!V69="Bagua de Arma E",960,IF(Atletas!V69="Xingyi de Arma E",961,IF(Atletas!V69="Taijidao F",962,IF(Atletas!V69="TaijiShanzi F",963,IF(Atletas!V69="Taijiqiang F",964,IF(Atletas!V69="Bagua de Arma F",965,IF(Atletas!V69="Xingyi de Arma F",966,"")))))))))))))))))))))))))))))))</f>
        <v/>
      </c>
      <c r="CE78" s="66" t="str">
        <f>IF(CF78&lt;&gt;"","Yingzhaoquan C","")</f>
        <v/>
      </c>
      <c r="CF78" s="66" t="str">
        <f>IF(COUNTIF(BR:CD,1136)&gt;0,COUNTIF(BR:CD,1136),"")</f>
        <v/>
      </c>
      <c r="CG78" s="66" t="str">
        <f>IF(CH78&lt;&gt;"","Yingzhaoquan C","")</f>
        <v/>
      </c>
      <c r="CH78" s="66" t="str">
        <f>IF(COUNTIF(BR:CD,2136)&gt;0,COUNTIF(BR:CD,2136),"")</f>
        <v/>
      </c>
      <c r="CI78" s="66" t="str">
        <f>IF(CJ78&lt;&gt;"","Fanziquan D","")</f>
        <v/>
      </c>
      <c r="CJ78" s="66" t="str">
        <f>IF(COUNTIF(BR:CD,11142)&gt;0,COUNTIF(BR:CD,11142),"")</f>
        <v/>
      </c>
      <c r="CK78" s="66" t="str">
        <f>IF(CL78&lt;&gt;"","Fanziquan D","")</f>
        <v/>
      </c>
      <c r="CL78" s="66" t="str">
        <f>IF(COUNTIF(BR:CD,12142)&gt;0,COUNTIF(BR:CD,12142),"")</f>
        <v/>
      </c>
      <c r="CM78" s="50" t="str">
        <f xml:space="preserve"> IF(Atletas!W69="","",IF(Atletas!W69="Duilian de Mãos BC - Equipe 1",1,IF(Atletas!W69="Duilian de Mãos BC - Equipe 2",2,IF(Atletas!W69="Duilian de Armas BC - Equipe 1",3,IF(Atletas!W69="Duilian de Armas BC - Equipe 2",4,IF(Atletas!W69="Duilian de Mãos DE - Equipe 1",5,IF(Atletas!W69="Duilian de Mãos DE - Equipe 2",6,IF(Atletas!W69="Duilian de Armas DE - Equipe 1",7,IF(Atletas!W69="Duilian de Armas DE - Equipe 2",8,IF(Atletas!W69="Duilian de Tuishou - Equipe 1",9,IF(Atletas!W69="Duilian de Tuishou - Equipe 2",10,IF(Atletas!W69="Grupo Externo ABC - Equipe 1",11,IF(Atletas!W69="Grupo Externo ABC - Equipe 2",12,IF(Atletas!W69="Grupo Interno ABC - Equipe 1",13,IF(Atletas!W69="Grupo Interno ABC - Equipe 2",14,IF(Atletas!W69="Grupo Externo DEF - Equipe 1",15,IF(Atletas!W69="Grupo Externo DEF - Equipe 2",16,IF(Atletas!W69="Grupo Interno DEF - Equipe 1",17,IF(Atletas!W69="Grupo Interno DEF - Equipe 2",18,"")))))))))))))))))))</f>
        <v/>
      </c>
    </row>
    <row r="79" spans="2:103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20"/>
      <c r="Y79" s="3"/>
      <c r="Z79" s="3" t="str">
        <f t="array" ref="Z79">IFERROR(INDEX(CE$7:CE$348,SMALL(IF(CE$7:CE$348&lt;&gt;"",ROW(CE$7:CE$348)-ROW(CE$7)+1),ROWS(CE$7:CE78))),"")</f>
        <v/>
      </c>
      <c r="AA79" s="3" t="str">
        <f t="array" ref="AA79">IFERROR(INDEX(CF$7:CF$348,SMALL(IF(CF$7:CF$348&lt;&gt;"",ROW(CF$7:CF$348)-ROW(CF$7)+1),ROWS(CF$7:CF78))),"")</f>
        <v/>
      </c>
      <c r="AB79" s="3" t="str">
        <f t="array" ref="AB79">IFERROR(INDEX(CG$7:CG$348,SMALL(IF(CG$7:CG$348&lt;&gt;"",ROW(CG$7:CG$348)-ROW(CG$7)+1),ROWS(CG$7:CG78))),"")</f>
        <v/>
      </c>
      <c r="AC79" s="3" t="str">
        <f t="array" ref="AC79">IFERROR(INDEX(CH$7:CH$348,SMALL(IF(CH$7:CH$348&lt;&gt;"",ROW(CH$7:CH$348)-ROW(CH$7)+1),ROWS(CH$7:CH78))),"")</f>
        <v/>
      </c>
      <c r="AD79" s="3" t="str">
        <f t="array" ref="AD79">IFERROR(INDEX(CI$7:CI$377,SMALL(IF(CI$7:CI$377&lt;&gt;"",ROW(CI$7:CI$377)-ROW(CI$7)+1),ROWS(CI$7:CI78))),"")</f>
        <v/>
      </c>
      <c r="AE79" s="3" t="str">
        <f t="array" ref="AE79">IFERROR(INDEX(CJ$7:CJ$378,SMALL(IF(CJ$7:CJ$378&lt;&gt;"",ROW(CJ$7:CJ$378)-ROW(CJ$7)+1),ROWS(CJ$7:CJ78))),"")</f>
        <v/>
      </c>
      <c r="AF79" s="3" t="str">
        <f t="array" ref="AF79">IFERROR(INDEX(CK$7:CK$378,SMALL(IF(CK$7:CK$378&lt;&gt;"",ROW(CK$7:CK$378)-ROW(CK$7)+1),ROWS(CK$7:CK78))),"")</f>
        <v/>
      </c>
      <c r="AG79" s="3" t="str">
        <f t="array" ref="AG79">IFERROR(INDEX(CL$7:CL$378,SMALL(IF(CL$7:CL$378&lt;&gt;"",ROW(CL$7:CL$378)-ROW(CL$7)+1),ROWS(CL$7:CL78))),"")</f>
        <v/>
      </c>
      <c r="AH79" s="3"/>
      <c r="AI79" s="3"/>
      <c r="AJ79" s="3"/>
      <c r="AK79" s="3"/>
      <c r="AL79" s="3"/>
      <c r="AM79" s="3"/>
      <c r="AN79" s="52" t="str">
        <f>IF(Atletas!D70="","",IF(Atletas!B70="Feminino",100,IF(Atletas!B70="Masculino",200,""))+(IF(Atletas!D70="Kids 30kg",1,IF(Atletas!D70="Kids 32kg",2, IF(Atletas!D70="Kids 34kg",3,IF(Atletas!D70="Kids 36kg",4,IF(Atletas!D70="Kids 39kg",5,IF(Atletas!D70="Kids 42kg",6,IF(Atletas!D70="Kids 45kg",7, IF(Atletas!D70="Infantil 39kg",8,IF(Atletas!D70="Infantil 42kg",9,IF(Atletas!D70="Infantil 45kg",10,IF(Atletas!D70="Infantil 48kg",11,IF(Atletas!D70="Infantil 52kg",12,IF(Atletas!D70="Infantil 56kg",13,IF(Atletas!D70="Infantil 60kg",14,IF(Atletas!D70="Juvenil 48kg",15,IF(Atletas!D70="Juvenil 52kg",16,IF(Atletas!D70="Juvenil 56kg",17,IF(Atletas!D70="Juvenil 60kg",18,IF(Atletas!D70="Juvenil 65kg",19,IF(Atletas!D70="Juvenil 70kg",20,IF(Atletas!D70="Juvenil 75kg",21,IF(Atletas!D70="Juvenil 80kg",22, IF(Atletas!D70="Juvenil 85kg",23,IF(Atletas!D70="Adulto 48kg",24,IF(Atletas!D70="Adulto 52kg",25,IF(Atletas!D70="Adulto 56kg",26,IF(Atletas!D70="Adulto 60kg",27,IF(Atletas!D70="Adulto 65kg",28,IF(Atletas!D70="Adulto 70kg",29,IF(Atletas!D70="Adulto 75kg",30,IF(Atletas!D70="Adulto 80kg",31,IF(Atletas!D70="Adulto 85kg",32,IF(Atletas!D70="Adulto 90kg",33,IF(Atletas!D70="Adulto 100kg",34, IF(Atletas!D70="Adulto +100kg",35,"")))))))))))))))))))))))))))))))))))))</f>
        <v/>
      </c>
      <c r="AS79" s="6" t="str">
        <f>IF(Atletas!E70="","",IF(Atletas!B70="Feminino",100,IF(Atletas!B70="Masculino",200,""))+(IF(Atletas!E70="Juvenil 44kg",1,IF(Atletas!E70="Juvenil 48kg",2,IF(Atletas!E70="Juvenil 52kg",3,IF(Atletas!E70="Juvenil 56kg",4,IF(Atletas!E70="Juvenil 60kg",5,IF(Atletas!E70="Juvenil 65kg",6,IF(Atletas!E70="Juvenil 70kg",7,IF(Atletas!E70="Juvenil 75kg",8,IF(Atletas!E70="Juvenil 82kg",9,IF(Atletas!E70="Juvenil 90kg",10,IF(Atletas!E70="Juvenil 100kg",11,IF(Atletas!E70="Adulto 48kg",12,IF(Atletas!E70="Adulto 52kg",13,IF(Atletas!E70="Adulto 56kg",14,IF(Atletas!E70="Adulto 60kg",15,IF(Atletas!E70="Adulto 65kg",16,IF(Atletas!E70="Adulto 70kg",17,IF(Atletas!E70="Adulto 75kg",18,IF(Atletas!E70="Adulto 82kg",19,IF(Atletas!E70="Adulto 90kg",20,IF(Atletas!E70="Adulto 100kg",21,IF(Atletas!E70="Adulto +100kg",22,""))))))))))))))))))))))))</f>
        <v/>
      </c>
      <c r="AX79" s="6" t="str">
        <f>IF(Atletas!F70="","",IF(Atletas!B70="Feminino",100,IF(Atletas!B70="Masculino",200,""))+(IF(Atletas!F70="Adulto 48kg",1,IF(Atletas!F70="Adulto 56kg",2,IF(Atletas!F70="Adulto 65kg",3,IF(Atletas!F70="Adulto 75kg",4,IF(Atletas!F70="Adulto +75kg",5,IF(Atletas!F70="Adulto 52kg",6,IF(Atletas!F70="Adulto 60kg",7,IF(Atletas!F70="Adulto 70kg",8,IF(Atletas!F70="Adulto 80kg",9,IF(Atletas!F70="Adulto 90kg",10,IF(Atletas!F70="Adulto +90kg",11,"")))))))))))))</f>
        <v/>
      </c>
      <c r="BC79" s="6" t="str">
        <f>IF(Atletas!G70="","",IF(Atletas!B70="Feminino",10,IF(Atletas!B70="Masculino",20,""))+(IF(Atletas!G70="Baduanjin A",1,IF(Atletas!G70="Baduanjin B",2))))</f>
        <v/>
      </c>
      <c r="BF79" s="52" t="str">
        <f>IF(Atletas!H70="","",IF(Atletas!B70="Feminino",100,IF(Atletas!B70="Masculino",200,""))+(IF(Atletas!H70="Changquan Mirim",1,IF(Atletas!H70="Nanquan Mirim",2,IF(Atletas!H70="Taijiquan Mirim",3,IF(Atletas!H70="Changquan Grupo C",4,IF(Atletas!H70="Nanquan Grupo C",5,IF(Atletas!H70="Taijiquan Grupo C",6,IF(Atletas!H70="Changquan Grupo B",7,IF(Atletas!H70="Nanquan Grupo B",8,IF(Atletas!H70="Taijiquan Grupo B",9,IF(Atletas!H70="Changquan Grupo A",10,IF(Atletas!H70="Nanquan Grupo A",11,IF(Atletas!H70="Taijiquan Grupo A",12,IF(Atletas!H70="Changquan Opcional",13,IF(Atletas!H70="Nanquan Opcional",14,IF(Atletas!H70="Taijiquan Opcional",15,IF(Atletas!H70="Changquan Adulto",16,IF(Atletas!H70="Nanquan Adulto",17,IF(Atletas!H70="Taijiquan Adulto",18,""))))))))))))))))))))</f>
        <v/>
      </c>
      <c r="BG79" s="52" t="str">
        <f>IF(Atletas!I70="","",IF(Atletas!B70="Feminino",100,IF(Atletas!B70="Masculino",200,""))+(IF(Atletas!I70="Daoshu Mirim",19,IF(Atletas!I70="Jianshu Mirim",20,IF(Atletas!I70="Nandao Mirim",21,IF(Atletas!I70="Taijijian Mirim",22,IF(Atletas!I70="Daoshu Grupo C",23,IF(Atletas!I70="Jianshu Grupo C",24,IF(Atletas!I70="Nandao Grupo C",25,IF(Atletas!I70="Taijijian Grupo C",26,IF(Atletas!I70="Daoshu Grupo B",27,IF(Atletas!I70="Jianshu Grupo B",28,IF(Atletas!I70="Nandao Grupo B",29,IF(Atletas!I70="Taijijian Grupo B",30,IF(Atletas!I70="Daoshu Grupo A",31,IF(Atletas!I70="Jianshu Grupo A",32,IF(Atletas!I70="Nandao Grupo A",33,IF(Atletas!I70="Taijijian Grupo A",34,IF(Atletas!I70="Daoshu Opcional",35,IF(Atletas!I70="Jianshu Opcional",36,IF(Atletas!I70="Nandao Opcional",37,IF(Atletas!I70="Taijijian Opcional",38,IF(Atletas!I70="Daoshu Adulto",39,IF(Atletas!I70="Jianshu Adulto",40,IF(Atletas!I70="Nandao Adulto",41,IF(Atletas!I70="Taijijian Adulto",42,""))))))))))))))))))))))))))</f>
        <v/>
      </c>
      <c r="BH79" s="52" t="str">
        <f>IF(Atletas!J70="","",IF(Atletas!B70="Feminino",100,IF(Atletas!B70="Masculino",200,""))+(IF(Atletas!J70="Gunshu Mirim",43,IF(Atletas!J70="Qiangshu Mirim",44,IF(Atletas!J70="Nangun Mirim",45,IF(Atletas!J70="Gunshu Grupo C",46,IF(Atletas!J70="Qiangshu Grupo C",47,IF(Atletas!J70="Nangun Grupo C",48,IF(Atletas!J70="Gunshu Grupo B",49,IF(Atletas!J70="Qiangshu Grupo B",50,IF(Atletas!J70="Nangun Grupo B",51,IF(Atletas!J70="Gunshu Grupo A",52,IF(Atletas!J70="Qiangshu Grupo A",53,IF(Atletas!J70="Nangun Grupo A",54,IF(Atletas!J70="Gunshu Opcional",55,IF(Atletas!J70="Qiangshu Opcional",56,IF(Atletas!J70="Nangun Opcional",57,IF(Atletas!J70="Gunshu Adulto",58,IF(Atletas!J70="Qiangshu Adulto",59,IF(Atletas!J70="Nangun Adulto",60,IF(Atletas!J70="Taijishan Grupo B",61,IF(Atletas!J70="Taijishan Grupo A",62,""))))))))))))))))))))))</f>
        <v/>
      </c>
      <c r="BM79" s="50" t="str">
        <f>IF(Atletas!K70="","",IF(Atletas!B70="Feminino",100,IF(Atletas!B70="Masculino",200,""))+(IF(Atletas!K70="Equipe 1 Grupo B",1,IF(Atletas!K70="Equipe 2 Grupo B",2,IF(Atletas!K70="Equipe 1 Grupo A",3,IF(Atletas!K70="Equipe 2 Grupo A",4,IF(Atletas!K70="Equipe 1 Adulto",5,IF(Atletas!K70="Equipe 2 Adulto",6,""))))))))</f>
        <v/>
      </c>
      <c r="BR79" s="50" t="str">
        <f>IF(Atletas!L70="","",IF(Atletas!X70&lt;&gt;"",10000,0)+(IF(Atletas!B70="Feminino",1000,IF(Atletas!B70="Masculino",2000,""))+IF(Atletas!L70="Choylayfut A",1,IF(Atletas!L70="Hunggar A",2,IF(Atletas!L70="Wuzuquan A",3,IF(Atletas!L70="Wingchun A",4,IF(Atletas!L70="Outra Mão de Sul A",5,IF(Atletas!L70="Choylayfut B",6,IF(Atletas!L70="Hunggar B",7,IF(Atletas!L70="Wuzuquan B",8,IF(Atletas!L70="Wingchun B",9,IF(Atletas!L70="Outra Mão de Sul B",10,IF(Atletas!L70="Choylayfut C",11,IF(Atletas!L70="Hunggar C",12,IF(Atletas!L70="Wuzuquan C",13,IF(Atletas!L70="Wingchun C",14,IF(Atletas!L70="Outra Mão de Sul C",15,IF(Atletas!L70="Choylayfut D",16,IF(Atletas!L70="Hunggar D",17,IF(Atletas!L70="Wuzuquan D",18,IF(Atletas!L70="Wingchun D",19,IF(Atletas!L70="Outra Mão de Sul D",20,IF(Atletas!L70="Choylayfut E",21,IF(Atletas!L70="Hunggar E",22,IF(Atletas!L70="Wuzuquan E",23,IF(Atletas!L70="Wingchun E",24,IF(Atletas!L70="Outra Mão de Sul E",25,IF(Atletas!L70="Choylayfut F",26,IF(Atletas!L70="Hunggar F",27,IF(Atletas!L70="Wuzuquan F",28,IF(Atletas!L70="Wingchun F",29,IF(Atletas!L70="Outra Mão de Sul F",30,IF(Atletas!L70="Dishuquan A",31,IF(Atletas!L70="Dishuquan B",32,IF(Atletas!L70="Dishuquan C",33,IF(Atletas!L70="Dishuquan D",34,IF(Atletas!L70="Dishuquan E",35,IF(Atletas!L70="Dishuquan F",36,""))))))))))))))))))))))))))))))))))))))</f>
        <v/>
      </c>
      <c r="BS79" s="50" t="str">
        <f>IF(Atletas!M70="","",IF(Atletas!X70&lt;&gt;"",10000,0)+(IF(Atletas!B70="Feminino",1000,IF(Atletas!B70="Masculino",2000,""))+(IF(Atletas!M70="Chaquan A",101,IF(Atletas!M70="Emeiquan A",102,IF(Atletas!M70="Fanziquan A",103,IF(Atletas!M70="Huaquan A",104,IF(Atletas!M70="Hongquan A",105,IF(Atletas!M70="Paoquan A",106,IF(Atletas!M70="Piguaquan A",107,IF(Atletas!M70="Shaolinquan A",108,IF(Atletas!M70="Tanglangquan A",109,IF(Atletas!M70="Yingzhaoquan A",110,IF(Atletas!M70="Tongbeiquan A",111,IF(Atletas!M70="Wudangquan A",112,IF(Atletas!M70="Outros Estilos A",113,IF(Atletas!M70="Chaquan B",114,IF(Atletas!M70="Emeiquan B",115,IF(Atletas!M70="Fanziquan B",116,IF(Atletas!M70="Huaquan B",117,IF(Atletas!M70="Hongquan B",118,IF(Atletas!M70="Paoquan B",119,IF(Atletas!M70="Piguaquan B",120,IF(Atletas!M70="Shaolinquan B",121,IF(Atletas!M70="Tanglangquan B",122,IF(Atletas!M70="Yingzhaoquan B",123,IF(Atletas!M70="Tongbeiquan B",124,IF(Atletas!M70="Wudangquan B",125,IF(Atletas!M70="Outros Estilos B",126,IF(Atletas!M70="Chaquan C",127,IF(Atletas!M70="Emeiquan C",128,IF(Atletas!M70="Fanziquan C",129,IF(Atletas!M70="Huaquan C",130,IF(Atletas!M70="Hongquan C",131,IF(Atletas!M70="Paoquan C",132,IF(Atletas!M70="Piguaquan C",133,IF(Atletas!M70="Shaolinquan C",134,IF(Atletas!M70="Tanglangquan C",135,IF(Atletas!M70="Yingzhaoquan C",136,IF(Atletas!M70="Tongbeiquan C",137,IF(Atletas!M70="Wudangquan C",138,IF(Atletas!M70="Outros Estilos C",139,0))))))))))))))))))))))))))))))))))))))))))</f>
        <v/>
      </c>
      <c r="BT79" s="50" t="str">
        <f>IF(Atletas!M70="","",IF(Atletas!X70&lt;&gt;"",10000,0)+(IF(Atletas!B70="Feminino",1000,IF(Atletas!B70="Masculino",2000,""))+(IF(Atletas!M70="Chaquan D",140,IF(Atletas!M70="Emeiquan D",141,IF(Atletas!M70="Fanziquan D",142,IF(Atletas!M70="Huaquan D",143,IF(Atletas!M70="Hongquan D",144,IF(Atletas!M70="Paoquan D",145,IF(Atletas!M70="Piguaquan D",146,IF(Atletas!M70="Shaolinquan D",147,IF(Atletas!M70="Tanglangquan D",148,IF(Atletas!M70="Yingzhaoquan D",149,IF(Atletas!M70="Tongbeiquan D",150,IF(Atletas!M70="Wudangquan D",151,IF(Atletas!M70="Outros Estilos D",152,IF(Atletas!M70="Chaquan E",153,IF(Atletas!M70="Emeiquan E",154,IF(Atletas!M70="Fanziquan E",155,IF(Atletas!M70="Huaquan E",156,IF(Atletas!M70="Hongquan E",157,IF(Atletas!M70="Paoquan E",158,IF(Atletas!M70="Piguaquan E",159,IF(Atletas!M70="Shaolinquan E",160,IF(Atletas!M70="Tanglangquan E",161,IF(Atletas!M70="Yingzhaoquan E",162,IF(Atletas!M70="Tongbeiquan E",163,IF(Atletas!M70="Wudangquan E",164,IF(Atletas!M70="Outros Estilos E",165,IF(Atletas!M70="Chaquan F",166,IF(Atletas!M70="Emeiquan F",167,IF(Atletas!M70="Fanziquan F",168,IF(Atletas!M70="Huaquan F",169,IF(Atletas!M70="Hongquan F",170,IF(Atletas!M70="Paoquan F",171,IF(Atletas!M70="Piguaquan F",172,IF(Atletas!M70="Shaolinquan F",173,IF(Atletas!M70="Tanglangquan F",174,IF(Atletas!M70="Yingzhaoquan F",175,IF(Atletas!M70="Tongbeiquan F",176,IF(Atletas!M70="Wudangquan F",177,IF(Atletas!M70="Outros Estilos F",178,0))))))))))))))))))))))))))))))))))))))))))</f>
        <v/>
      </c>
      <c r="BU79" s="50" t="str">
        <f>IF(Atletas!N70="","",IF(Atletas!X70&lt;&gt;"",10000,0)+(IF(Atletas!B70="Feminino",1000,IF(Atletas!B70="Masculino",2000,""))+(IF(Atletas!N70="Ditangquan A",201,IF(Atletas!N70="Houquan A",202,IF(Atletas!N70="Zuiquan A",203,IF(Atletas!N70="Ditangquan B",204,IF(Atletas!N70="Houquan B",205,IF(Atletas!N70="Zuiquan B",206,IF(Atletas!N70="Ditangquan C",207,IF(Atletas!N70="Houquan C",208,IF(Atletas!N70="Zuiquan C",209,IF(Atletas!N70="Ditangquan D",210,IF(Atletas!N70="Houquan D",211,IF(Atletas!N70="Zuiquan D",212,IF(Atletas!N70="Ditangquan E",213,IF(Atletas!N70="Houquan E",214,IF(Atletas!N70="Zuiquan E",215,IF(Atletas!N70="Ditangquan F",216,IF(Atletas!N70="Houquan F",217,IF(Atletas!N70="Zuiquan F",218,"")))))))))))))))))))))</f>
        <v/>
      </c>
      <c r="BV79" s="50" t="str">
        <f>IF(Atletas!O70="","",IF(Atletas!X70&lt;&gt;"",10000,0)+IF(Atletas!B70="Feminino",1000,IF(Atletas!B70="Masculino",2000,""))+IF(Atletas!O70="Yang A",301,IF(Atletas!O70="Chen A",302,IF(Atletas!O70="Sun A",303,IF(Atletas!O70="Wu A",304,IF(Atletas!O70="Wu-Hao A",305,IF(Atletas!O70="Outro Taijiquan A",306,IF(Atletas!O70="Yang B",307,IF(Atletas!O70="Chen B",308,IF(Atletas!O70="Sun B",309,IF(Atletas!O70="Wu B",310,IF(Atletas!O70="Wu-Hao B",311,IF(Atletas!O70="Outro Taijiquan B",312,IF(Atletas!O70="Yang C",313,IF(Atletas!O70="Chen C",314,IF(Atletas!O70="Sun C",315,IF(Atletas!O70="Wu C",316,IF(Atletas!O70="Wu-Hao C",317,IF(Atletas!O70="Outro Taijiquan C",318,IF(Atletas!O70="Yang D",319,IF(Atletas!O70="Chen D",320,IF(Atletas!O70="Sun D",321,IF(Atletas!O70="Wu D",322,IF(Atletas!O70="Wu-Hao D",323,IF(Atletas!O70="Outro Taijiquan D",324,IF(Atletas!O70="Yang E",325,IF(Atletas!O70="Chen E",326,IF(Atletas!O70="Sun E",327,IF(Atletas!O70="Wu E",328,IF(Atletas!O70="Wu-Hao E",329,IF(Atletas!O70="Outro Taijiquan E",330,IF(Atletas!O70="Yang F",331,IF(Atletas!O70="Chen F",332,IF(Atletas!O70="Sun F",333,IF(Atletas!O70="Wu F",334,IF(Atletas!O70="Wu-Hao F",335,IF(Atletas!O70="Outro Taijiquan F",336,"")))))))))))))))))))))))))))))))))))))</f>
        <v/>
      </c>
      <c r="BW79" s="50" t="str">
        <f>IF(Atletas!P70="","",IF(Atletas!X70&lt;&gt;"",10000,0)+IF(Atletas!B70="Feminino",1000,IF(Atletas!B70="Masculino",2000,""))+IF(OR(Atletas!P70="Yang 26 A",Atletas!P70="Yang 40 A"),401,IF(OR(Atletas!P70="Chen 25 A",Atletas!P70="Chen 36 A",Atletas!P70="Chen 56 A"),402,IF(Atletas!P70="Sun 73 A",403,IF(Atletas!P70="Wu 45 A",404,IF(Atletas!P70="Wu-Hao 46 A",405,IF(OR(Atletas!P70="Taijiquan 16 A",Atletas!P70="Taijiquan 24 A",Atletas!P70="Taijiquan 32 A",Atletas!P70="Taijiquan 42 A"),406,IF(OR(Atletas!P70="Yang 26 B",Atletas!P70="Yang 40 B"),407,IF(OR(Atletas!P70="Chen 25 B",Atletas!P70="Chen 36 B",Atletas!P70="Chen 56 B"),408,IF(Atletas!P70="Sun 73 B",409,IF(Atletas!P70="Wu 45 B",410,IF(Atletas!P70="Wu-Hao 46 B",411,IF(OR(Atletas!P70="Taijiquan 16 B",Atletas!P70="Taijiquan 24 B",Atletas!P70="Taijiquan 32 B",Atletas!P70="Taijiquan 42 B"),412,IF(OR(Atletas!P70="Yang 26 C",Atletas!P70="Yang 40 C"),413,IF(OR(Atletas!P70="Chen 25 C",Atletas!P70="Chen 36 C",Atletas!P70="Chen 56 C"),414,IF(Atletas!P70="Sun 73 C",415,IF(Atletas!P70="Wu 45 C",416,IF(Atletas!P70="Wu-Hao 46 C",417,IF(OR(Atletas!P70="Taijiquan 16 C",Atletas!P70="Taijiquan 24 C",Atletas!P70="Taijiquan 32 C",Atletas!P70="Taijiquan 42 C"),418,0)))))))))))))))))))</f>
        <v/>
      </c>
      <c r="BX79" s="50" t="str">
        <f>IF(Atletas!P70="","",IF(Atletas!X70&lt;&gt;"",10000,0)+IF(Atletas!B70="Feminino",1000,IF(Atletas!B70="Masculino",2000,""))+IF(OR(Atletas!P70="Yang 26 D",Atletas!P70="Yang 40 D"),419,IF(OR(Atletas!P70="Chen 25 D",Atletas!P70="Chen 36 D",Atletas!P70="Chen 56 D"),420,IF(Atletas!P70="Sun 73 D",421,IF(Atletas!P70="Wu 45 D",422,IF(Atletas!P70="Wu-Hao 46 D",423,IF(OR(Atletas!P70="Taijiquan 16 D",Atletas!P70="Taijiquan 24 D",Atletas!P70="Taijiquan 32 D",Atletas!P70="Taijiquan 42 D"),424,IF(OR(Atletas!P70="Yang 26 E",Atletas!P70="Yang 40 E"),425,IF(OR(Atletas!P70="Chen 25 E",Atletas!P70="Chen 36 E",Atletas!P70="Chen 56 E"),426,IF(Atletas!P70="Sun 73 E",427,IF(Atletas!P70="Wu 45 E",428,IF(Atletas!P70="Wu-Hao 46 E",429,IF(OR(Atletas!P70="Taijiquan 16 E",Atletas!P70="Taijiquan 24 E",Atletas!P70="Taijiquan 32 E",Atletas!P70="Taijiquan 42 E"),430,IF(OR(Atletas!P70="Yang 26 F",Atletas!P70="Yang 40 F"),431,IF(OR(Atletas!P70="Chen 25 F",Atletas!P70="Chen 36 F",Atletas!P70="Chen 56 F"),432,IF(Atletas!P70="Sun 73 F",433,IF(Atletas!P70="Wu 45 F",434,IF(Atletas!P70="Wu-Hao 46 F",435,IF(OR(Atletas!P70="Taijiquan 16 F",Atletas!P70="Taijiquan 24 F",Atletas!P70="Taijiquan 32 F",Atletas!P70="Taijiquan 42 F"),436,0)))))))))))))))))))</f>
        <v/>
      </c>
      <c r="BY79" s="50" t="str">
        <f>IF(Atletas!Q70="","",IF(Atletas!X70&lt;&gt;"",10000,0)+IF(Atletas!B70="Feminino",1000,IF(Atletas!B70="Masculino",2000,""))+IF(Atletas!Q70="Xingyiquan A",501,IF(Atletas!Q70="Baguazhang A",502,IF(Atletas!Q70="Outro Estilo Interno A",503,IF(Atletas!Q70="Xingyiquan B",504,IF(Atletas!Q70="Baguazhang B",505,IF(Atletas!Q70="Outro Estilo Interno B",506,IF(Atletas!Q70="Xingyiquan C",507,IF(Atletas!Q70="Baguazhang C",508,IF(Atletas!Q70="Outro Estilo Interno C",509,IF(Atletas!Q70="Xingyiquan D",510,IF(Atletas!Q70="Baguazhang D",511,IF(Atletas!Q70="Outro Estilo Interno D",512,IF(Atletas!Q70="Xingyiquan E",513,IF(Atletas!Q70="Baguazhang E",514,IF(Atletas!Q70="Outro Estilo Interno E",515,IF(Atletas!Q70="Xingyiquan F",516,IF(Atletas!Q70="Baguazhang F",517,IF(Atletas!Q70="Outro Estilo Interno F",518, "")))))))))))))))))))</f>
        <v/>
      </c>
      <c r="BZ79" s="50" t="str">
        <f>IF(Atletas!R70="","",IF(Atletas!X70&lt;&gt;"",10000,0)+IF(Atletas!B70="Feminino",1000,IF(Atletas!B70="Masculino",2000,""))+IF(Atletas!R70="Dao A",601,IF(Atletas!R70="Jian A",602,IF(Atletas!R70="Bishou A",603,IF(Atletas!R70="Shanzi A",604,IF(Atletas!R70="Outra Arma Curta A",605,IF(Atletas!R70="Dao B",606,IF(Atletas!R70="Jian B",607,IF(Atletas!R70="Bishou B",608,IF(Atletas!R70="Shanzi B",609,IF(Atletas!R70="Outra Arma Curta B",610,IF(Atletas!R70="Dao C",611,IF(Atletas!R70="Jian C",612,IF(Atletas!R70="Bishou C",613,IF(Atletas!R70="Shanzi C",614,IF(Atletas!R70="Outra Arma Curta C",615,IF(Atletas!R70="Dao D",616,IF(Atletas!R70="Jian D",617,IF(Atletas!R70="Bishou D",618,IF(Atletas!R70="Shanzi D",619,IF(Atletas!R70="Outra Arma Curta D",620,IF(Atletas!R70="Dao E",621,IF(Atletas!R70="Jian E",622,IF(Atletas!R70="Bishou E",623,IF(Atletas!R70="Shanzi E",624,IF(Atletas!R70="Outra Arma Curta E",625,IF(Atletas!R70="Dao F",626,IF(Atletas!R70="Jian F",627,IF(Atletas!R70="Bishou F",628,IF(Atletas!R70="Shanzi F",629,IF(Atletas!R70="Outra Arma Curta F",630, "")))))))))))))))))))))))))))))))</f>
        <v/>
      </c>
      <c r="CA79" s="50" t="str">
        <f>IF(Atletas!S70="","",IF(Atletas!X70&lt;&gt;"",10000,0)+IF(Atletas!B70="Feminino",1000,IF(Atletas!B70="Masculino",2000,""))+IF(Atletas!S70="Gun A",701,IF(Atletas!S70="Qiang A",702,IF(Atletas!S70="Pudao / Guandao A",703,IF(Atletas!S70="Outra Arma Longa A",704,IF(Atletas!S70="Gun B",705,IF(Atletas!S70="Qiang B",706,IF(Atletas!S70="Pudao / Guandao B",707,IF(Atletas!S70="Outra Arma Longa B",708,IF(Atletas!S70="Gun C",709,IF(Atletas!S70="Qiang C",710,IF(Atletas!S70="Pudao / Guandao C",711,IF(Atletas!S70="Outra Arma Longa C",712,IF(Atletas!S70="Gun D",713,IF(Atletas!S70="Qiang D",714,IF(Atletas!S70="Pudao / Guandao D",715,IF(Atletas!S70="Outra Arma Longa D",716,IF(Atletas!S70="Gun E",717,IF(Atletas!S70="Qiang E",718,IF(Atletas!S70="Pudao / Guandao E",719,IF(Atletas!S70="Outra Arma Longa E",720,IF(Atletas!S70="Gun F",721,IF(Atletas!S70="Qiang F",722,IF(Atletas!S70="Pudao / Guandao F",723,IF(Atletas!S70="Outra Arma Longa F",724,"")))))))))))))))))))))))))</f>
        <v/>
      </c>
      <c r="CB79" s="50" t="str">
        <f>IF(Atletas!T70="","",IF(Atletas!X70&lt;&gt;"",10000,0)+IF(Atletas!B70="Feminino",1000,IF(Atletas!B70="Masculino",2000,""))+IF(Atletas!T70="Outra Arma Dupla A",801,IF(Atletas!T70="Arma Maleável A",802,IF(Atletas!T70="Outra Arma Dupla B",803,IF(Atletas!T70="Arma Maleável B",804,IF(Atletas!T70="Outra Arma Dupla C",805,IF(Atletas!T70="Arma Maleável C",806,IF(Atletas!T70="Outra Arma Dupla D",807,IF(Atletas!T70="Arma Maleável D",808,IF(Atletas!T70="Outra Arma Dupla E",809,IF(Atletas!T70="Arma Maleável E",810,IF(Atletas!T70="Outra Arma Dupla F",811,IF(Atletas!T70="Arma Maleável F",812,IF(Atletas!T70="Shuangdao A",813,IF(Atletas!T70="Shuangdao B",814,IF(Atletas!T70="Shuangdao C",815,IF(Atletas!T70="Shuangdao D",816,IF(Atletas!T70="Shuangdao E",817,IF(Atletas!T70="Shuangdao F",818,"")))))))))))))))))))</f>
        <v/>
      </c>
      <c r="CC79" s="50" t="str">
        <f>IF(Atletas!U70="","",IF(Atletas!X70&lt;&gt;"",10000,0)+IF(Atletas!B70="Feminino",1000,IF(Atletas!B70="Masculino",2000,""))+IF(OR(Atletas!U70="Taijijian Yang A",Atletas!U70="Taijijian Yang Standard A"),901,IF(OR(Atletas!U70="Taijijian Chen A", Atletas!U70="Taijijian Chen Standard A"),902,IF(Atletas!U70="Taijijian Sun A",903,IF(Atletas!U70="Taijijian Wu A",904,IF(Atletas!U70="Taijijian Wu-Hao A",905,IF(OR(Atletas!U70="Taijijian 32 A",Atletas!U70="Taijijian 42 A"),906,IF(OR(Atletas!U70="Taijijian Yang B",Atletas!U70="Taijijian Yang Standard B"),907,IF(OR(Atletas!U70="Taijijian Chen B", Atletas!U70="Taijijian Chen Standard B"),908,IF(Atletas!U70="Taijijian Sun B",909,IF(Atletas!U70="Taijijian Wu B",910,IF(Atletas!U70="Taijijian Wu-Hao B",911,IF(OR(Atletas!U70="Taijijian 32 B",Atletas!U70="Taijijian 42 B"),912,IF(OR(Atletas!U70="Taijijian Yang C",Atletas!U70="Taijijian Yang Standard C"),913,IF(OR(Atletas!U70="Taijijian Chen C", Atletas!U70="Taijijian Chen Standard C"),914,IF(Atletas!U70="Taijijian Sun C",915,IF(Atletas!U70="Taijijian Wu C",916,IF(Atletas!U70="Taijijian Wu-Hao C",917,IF(OR(Atletas!U70="Taijijian 32 C",Atletas!U70="Taijijian 42 C"),918,IF(OR(Atletas!U70="Taijijian Yang D",Atletas!U70="Taijijian Yang Standard D"),919,IF(OR(Atletas!U70="Taijijian Chen D", Atletas!U70="Taijijian Chen Standard D"),920,IF(Atletas!U70="Taijijian Sun D",921,IF(Atletas!U70="Taijijian Wu D",922,IF(Atletas!U70="Taijijian Wu-Hao D",923,IF(OR(Atletas!U70="Taijijian 32 D",Atletas!U70="Taijijian 42 D"),924,IF(OR(Atletas!U70="Taijijian Yang E",Atletas!U70="Taijijian Yang Standard E"),925,IF(OR(Atletas!U70="Taijijian Chen E", Atletas!U70="Taijijian Chen Standard E"),926,IF(Atletas!U70="Taijijian Sun E",927,IF(Atletas!U70="Taijijian Wu E",928,IF(Atletas!U70="Taijijian Wu-Hao E",929,IF(OR(Atletas!U70="Taijijian 32 E",Atletas!U70="Taijijian 42 E"),930,IF(OR(Atletas!U70="Taijijian Yang F",Atletas!U70="Taijijian Yang Standard F"),931,IF(OR(Atletas!U70="Taijijian Chen F", Atletas!U70="Taijijian Chen Standard F"),932,IF(Atletas!U70="Taijijian Sun F",933,IF(Atletas!U70="Taijijian Wu F",934,IF(Atletas!U70="Taijijian Wu-Hao F",935,IF(OR(Atletas!U70="Taijijian 32 F",Atletas!U70="Taijijian 42 F"),936,"")))))))))))))))))))))))))))))))))))))</f>
        <v/>
      </c>
      <c r="CD79" s="50" t="str">
        <f>IF(Atletas!V70="","",IF(Atletas!X70&lt;&gt;"",10000,0)+IF(Atletas!B70="Feminino",1000,IF(Atletas!B70="Masculino",2000,""))+IF(Atletas!V70="Taijidao A",937,IF(Atletas!V70="TaijiShanzi A",938,IF(Atletas!V70="Taijiqiang A",939,IF(Atletas!V70="Bagua de Arma A",940,IF(Atletas!V70="Xingyi de Arma A",941,IF(Atletas!V70="Taijidao B",942,IF(Atletas!V70="TaijiShanzi B",943,IF(Atletas!V70="Taijiqiang B",944,IF(Atletas!V70="Bagua de Arma B",945,IF(Atletas!V70="Xingyi de Arma B",946,IF(Atletas!V70="Taijidao C",947,IF(Atletas!V70="TaijiShanzi C",948,IF(Atletas!V70="Taijiqiang C",949,IF(Atletas!V70="Bagua de Arma C",950,IF(Atletas!V70="Xingyi de Arma C",951,IF(Atletas!V70="Taijidao D",952,IF(Atletas!V70="TaijiShanzi D",953,IF(Atletas!V70="Taijiqiang D",954,IF(Atletas!V70="Bagua de Arma D",955,IF(Atletas!V70="Xingyi de Arma D",956,IF(Atletas!V70="Taijidao E",957,IF(Atletas!V70="TaijiShanzi E",958,IF(Atletas!V70="Taijiqiang E",959,IF(Atletas!V70="Bagua de Arma E",960,IF(Atletas!V70="Xingyi de Arma E",961,IF(Atletas!V70="Taijidao F",962,IF(Atletas!V70="TaijiShanzi F",963,IF(Atletas!V70="Taijiqiang F",964,IF(Atletas!V70="Bagua de Arma F",965,IF(Atletas!V70="Xingyi de Arma F",966,"")))))))))))))))))))))))))))))))</f>
        <v/>
      </c>
      <c r="CE79" s="66" t="str">
        <f>IF(CF79&lt;&gt;"","Tongbeiquan C","")</f>
        <v/>
      </c>
      <c r="CF79" s="66" t="str">
        <f>IF(COUNTIF(BR:CD,1137)&gt;0,COUNTIF(BR:CD,1137),"")</f>
        <v/>
      </c>
      <c r="CG79" s="66" t="str">
        <f>IF(CH79&lt;&gt;"","Tongbeiquan C","")</f>
        <v/>
      </c>
      <c r="CH79" s="66" t="str">
        <f>IF(COUNTIF(BR:CD,2137)&gt;0,COUNTIF(BR:CD,2137),"")</f>
        <v/>
      </c>
      <c r="CI79" s="66" t="str">
        <f>IF(CJ79&lt;&gt;"","Huaquan D","")</f>
        <v/>
      </c>
      <c r="CJ79" s="66" t="str">
        <f>IF(COUNTIF(BR:CD,11143)&gt;0,COUNTIF(BR:CD,11143),"")</f>
        <v/>
      </c>
      <c r="CK79" s="66" t="str">
        <f>IF(CL79&lt;&gt;"","Huaquan D","")</f>
        <v/>
      </c>
      <c r="CL79" s="66" t="str">
        <f>IF(COUNTIF(BR:CD,12143)&gt;0,COUNTIF(BR:CD,12143),"")</f>
        <v/>
      </c>
      <c r="CM79" s="50" t="str">
        <f xml:space="preserve"> IF(Atletas!W70="","",IF(Atletas!W70="Duilian de Mãos BC - Equipe 1",1,IF(Atletas!W70="Duilian de Mãos BC - Equipe 2",2,IF(Atletas!W70="Duilian de Armas BC - Equipe 1",3,IF(Atletas!W70="Duilian de Armas BC - Equipe 2",4,IF(Atletas!W70="Duilian de Mãos DE - Equipe 1",5,IF(Atletas!W70="Duilian de Mãos DE - Equipe 2",6,IF(Atletas!W70="Duilian de Armas DE - Equipe 1",7,IF(Atletas!W70="Duilian de Armas DE - Equipe 2",8,IF(Atletas!W70="Duilian de Tuishou - Equipe 1",9,IF(Atletas!W70="Duilian de Tuishou - Equipe 2",10,IF(Atletas!W70="Grupo Externo ABC - Equipe 1",11,IF(Atletas!W70="Grupo Externo ABC - Equipe 2",12,IF(Atletas!W70="Grupo Interno ABC - Equipe 1",13,IF(Atletas!W70="Grupo Interno ABC - Equipe 2",14,IF(Atletas!W70="Grupo Externo DEF - Equipe 1",15,IF(Atletas!W70="Grupo Externo DEF - Equipe 2",16,IF(Atletas!W70="Grupo Interno DEF - Equipe 1",17,IF(Atletas!W70="Grupo Interno DEF - Equipe 2",18,"")))))))))))))))))))</f>
        <v/>
      </c>
    </row>
    <row r="80" spans="2:103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20"/>
      <c r="Y80" s="3"/>
      <c r="Z80" s="3" t="str">
        <f t="array" ref="Z80">IFERROR(INDEX(CE$7:CE$348,SMALL(IF(CE$7:CE$348&lt;&gt;"",ROW(CE$7:CE$348)-ROW(CE$7)+1),ROWS(CE$7:CE79))),"")</f>
        <v/>
      </c>
      <c r="AA80" s="3" t="str">
        <f t="array" ref="AA80">IFERROR(INDEX(CF$7:CF$348,SMALL(IF(CF$7:CF$348&lt;&gt;"",ROW(CF$7:CF$348)-ROW(CF$7)+1),ROWS(CF$7:CF79))),"")</f>
        <v/>
      </c>
      <c r="AB80" s="3" t="str">
        <f t="array" ref="AB80">IFERROR(INDEX(CG$7:CG$348,SMALL(IF(CG$7:CG$348&lt;&gt;"",ROW(CG$7:CG$348)-ROW(CG$7)+1),ROWS(CG$7:CG79))),"")</f>
        <v/>
      </c>
      <c r="AC80" s="3" t="str">
        <f t="array" ref="AC80">IFERROR(INDEX(CH$7:CH$348,SMALL(IF(CH$7:CH$348&lt;&gt;"",ROW(CH$7:CH$348)-ROW(CH$7)+1),ROWS(CH$7:CH79))),"")</f>
        <v/>
      </c>
      <c r="AD80" s="3" t="str">
        <f t="array" ref="AD80">IFERROR(INDEX(CI$7:CI$377,SMALL(IF(CI$7:CI$377&lt;&gt;"",ROW(CI$7:CI$377)-ROW(CI$7)+1),ROWS(CI$7:CI79))),"")</f>
        <v/>
      </c>
      <c r="AE80" s="3" t="str">
        <f t="array" ref="AE80">IFERROR(INDEX(CJ$7:CJ$378,SMALL(IF(CJ$7:CJ$378&lt;&gt;"",ROW(CJ$7:CJ$378)-ROW(CJ$7)+1),ROWS(CJ$7:CJ79))),"")</f>
        <v/>
      </c>
      <c r="AF80" s="3" t="str">
        <f t="array" ref="AF80">IFERROR(INDEX(CK$7:CK$378,SMALL(IF(CK$7:CK$378&lt;&gt;"",ROW(CK$7:CK$378)-ROW(CK$7)+1),ROWS(CK$7:CK79))),"")</f>
        <v/>
      </c>
      <c r="AG80" s="3" t="str">
        <f t="array" ref="AG80">IFERROR(INDEX(CL$7:CL$378,SMALL(IF(CL$7:CL$378&lt;&gt;"",ROW(CL$7:CL$378)-ROW(CL$7)+1),ROWS(CL$7:CL79))),"")</f>
        <v/>
      </c>
      <c r="AH80" s="3"/>
      <c r="AI80" s="3"/>
      <c r="AJ80" s="3"/>
      <c r="AK80" s="3"/>
      <c r="AL80" s="3"/>
      <c r="AM80" s="3"/>
      <c r="AN80" s="52" t="str">
        <f>IF(Atletas!D71="","",IF(Atletas!B71="Feminino",100,IF(Atletas!B71="Masculino",200,""))+(IF(Atletas!D71="Kids 30kg",1,IF(Atletas!D71="Kids 32kg",2, IF(Atletas!D71="Kids 34kg",3,IF(Atletas!D71="Kids 36kg",4,IF(Atletas!D71="Kids 39kg",5,IF(Atletas!D71="Kids 42kg",6,IF(Atletas!D71="Kids 45kg",7, IF(Atletas!D71="Infantil 39kg",8,IF(Atletas!D71="Infantil 42kg",9,IF(Atletas!D71="Infantil 45kg",10,IF(Atletas!D71="Infantil 48kg",11,IF(Atletas!D71="Infantil 52kg",12,IF(Atletas!D71="Infantil 56kg",13,IF(Atletas!D71="Infantil 60kg",14,IF(Atletas!D71="Juvenil 48kg",15,IF(Atletas!D71="Juvenil 52kg",16,IF(Atletas!D71="Juvenil 56kg",17,IF(Atletas!D71="Juvenil 60kg",18,IF(Atletas!D71="Juvenil 65kg",19,IF(Atletas!D71="Juvenil 70kg",20,IF(Atletas!D71="Juvenil 75kg",21,IF(Atletas!D71="Juvenil 80kg",22, IF(Atletas!D71="Juvenil 85kg",23,IF(Atletas!D71="Adulto 48kg",24,IF(Atletas!D71="Adulto 52kg",25,IF(Atletas!D71="Adulto 56kg",26,IF(Atletas!D71="Adulto 60kg",27,IF(Atletas!D71="Adulto 65kg",28,IF(Atletas!D71="Adulto 70kg",29,IF(Atletas!D71="Adulto 75kg",30,IF(Atletas!D71="Adulto 80kg",31,IF(Atletas!D71="Adulto 85kg",32,IF(Atletas!D71="Adulto 90kg",33,IF(Atletas!D71="Adulto 100kg",34, IF(Atletas!D71="Adulto +100kg",35,"")))))))))))))))))))))))))))))))))))))</f>
        <v/>
      </c>
      <c r="AS80" s="6" t="str">
        <f>IF(Atletas!E71="","",IF(Atletas!B71="Feminino",100,IF(Atletas!B71="Masculino",200,""))+(IF(Atletas!E71="Juvenil 44kg",1,IF(Atletas!E71="Juvenil 48kg",2,IF(Atletas!E71="Juvenil 52kg",3,IF(Atletas!E71="Juvenil 56kg",4,IF(Atletas!E71="Juvenil 60kg",5,IF(Atletas!E71="Juvenil 65kg",6,IF(Atletas!E71="Juvenil 70kg",7,IF(Atletas!E71="Juvenil 75kg",8,IF(Atletas!E71="Juvenil 82kg",9,IF(Atletas!E71="Juvenil 90kg",10,IF(Atletas!E71="Juvenil 100kg",11,IF(Atletas!E71="Adulto 48kg",12,IF(Atletas!E71="Adulto 52kg",13,IF(Atletas!E71="Adulto 56kg",14,IF(Atletas!E71="Adulto 60kg",15,IF(Atletas!E71="Adulto 65kg",16,IF(Atletas!E71="Adulto 70kg",17,IF(Atletas!E71="Adulto 75kg",18,IF(Atletas!E71="Adulto 82kg",19,IF(Atletas!E71="Adulto 90kg",20,IF(Atletas!E71="Adulto 100kg",21,IF(Atletas!E71="Adulto +100kg",22,""))))))))))))))))))))))))</f>
        <v/>
      </c>
      <c r="AX80" s="6" t="str">
        <f>IF(Atletas!F71="","",IF(Atletas!B71="Feminino",100,IF(Atletas!B71="Masculino",200,""))+(IF(Atletas!F71="Adulto 48kg",1,IF(Atletas!F71="Adulto 56kg",2,IF(Atletas!F71="Adulto 65kg",3,IF(Atletas!F71="Adulto 75kg",4,IF(Atletas!F71="Adulto +75kg",5,IF(Atletas!F71="Adulto 52kg",6,IF(Atletas!F71="Adulto 60kg",7,IF(Atletas!F71="Adulto 70kg",8,IF(Atletas!F71="Adulto 80kg",9,IF(Atletas!F71="Adulto 90kg",10,IF(Atletas!F71="Adulto +90kg",11,"")))))))))))))</f>
        <v/>
      </c>
      <c r="BC80" s="6" t="str">
        <f>IF(Atletas!G71="","",IF(Atletas!B71="Feminino",10,IF(Atletas!B71="Masculino",20,""))+(IF(Atletas!G71="Baduanjin A",1,IF(Atletas!G71="Baduanjin B",2))))</f>
        <v/>
      </c>
      <c r="BF80" s="52" t="str">
        <f>IF(Atletas!H71="","",IF(Atletas!B71="Feminino",100,IF(Atletas!B71="Masculino",200,""))+(IF(Atletas!H71="Changquan Mirim",1,IF(Atletas!H71="Nanquan Mirim",2,IF(Atletas!H71="Taijiquan Mirim",3,IF(Atletas!H71="Changquan Grupo C",4,IF(Atletas!H71="Nanquan Grupo C",5,IF(Atletas!H71="Taijiquan Grupo C",6,IF(Atletas!H71="Changquan Grupo B",7,IF(Atletas!H71="Nanquan Grupo B",8,IF(Atletas!H71="Taijiquan Grupo B",9,IF(Atletas!H71="Changquan Grupo A",10,IF(Atletas!H71="Nanquan Grupo A",11,IF(Atletas!H71="Taijiquan Grupo A",12,IF(Atletas!H71="Changquan Opcional",13,IF(Atletas!H71="Nanquan Opcional",14,IF(Atletas!H71="Taijiquan Opcional",15,IF(Atletas!H71="Changquan Adulto",16,IF(Atletas!H71="Nanquan Adulto",17,IF(Atletas!H71="Taijiquan Adulto",18,""))))))))))))))))))))</f>
        <v/>
      </c>
      <c r="BG80" s="52" t="str">
        <f>IF(Atletas!I71="","",IF(Atletas!B71="Feminino",100,IF(Atletas!B71="Masculino",200,""))+(IF(Atletas!I71="Daoshu Mirim",19,IF(Atletas!I71="Jianshu Mirim",20,IF(Atletas!I71="Nandao Mirim",21,IF(Atletas!I71="Taijijian Mirim",22,IF(Atletas!I71="Daoshu Grupo C",23,IF(Atletas!I71="Jianshu Grupo C",24,IF(Atletas!I71="Nandao Grupo C",25,IF(Atletas!I71="Taijijian Grupo C",26,IF(Atletas!I71="Daoshu Grupo B",27,IF(Atletas!I71="Jianshu Grupo B",28,IF(Atletas!I71="Nandao Grupo B",29,IF(Atletas!I71="Taijijian Grupo B",30,IF(Atletas!I71="Daoshu Grupo A",31,IF(Atletas!I71="Jianshu Grupo A",32,IF(Atletas!I71="Nandao Grupo A",33,IF(Atletas!I71="Taijijian Grupo A",34,IF(Atletas!I71="Daoshu Opcional",35,IF(Atletas!I71="Jianshu Opcional",36,IF(Atletas!I71="Nandao Opcional",37,IF(Atletas!I71="Taijijian Opcional",38,IF(Atletas!I71="Daoshu Adulto",39,IF(Atletas!I71="Jianshu Adulto",40,IF(Atletas!I71="Nandao Adulto",41,IF(Atletas!I71="Taijijian Adulto",42,""))))))))))))))))))))))))))</f>
        <v/>
      </c>
      <c r="BH80" s="52" t="str">
        <f>IF(Atletas!J71="","",IF(Atletas!B71="Feminino",100,IF(Atletas!B71="Masculino",200,""))+(IF(Atletas!J71="Gunshu Mirim",43,IF(Atletas!J71="Qiangshu Mirim",44,IF(Atletas!J71="Nangun Mirim",45,IF(Atletas!J71="Gunshu Grupo C",46,IF(Atletas!J71="Qiangshu Grupo C",47,IF(Atletas!J71="Nangun Grupo C",48,IF(Atletas!J71="Gunshu Grupo B",49,IF(Atletas!J71="Qiangshu Grupo B",50,IF(Atletas!J71="Nangun Grupo B",51,IF(Atletas!J71="Gunshu Grupo A",52,IF(Atletas!J71="Qiangshu Grupo A",53,IF(Atletas!J71="Nangun Grupo A",54,IF(Atletas!J71="Gunshu Opcional",55,IF(Atletas!J71="Qiangshu Opcional",56,IF(Atletas!J71="Nangun Opcional",57,IF(Atletas!J71="Gunshu Adulto",58,IF(Atletas!J71="Qiangshu Adulto",59,IF(Atletas!J71="Nangun Adulto",60,IF(Atletas!J71="Taijishan Grupo B",61,IF(Atletas!J71="Taijishan Grupo A",62,""))))))))))))))))))))))</f>
        <v/>
      </c>
      <c r="BM80" s="50" t="str">
        <f>IF(Atletas!K71="","",IF(Atletas!B71="Feminino",100,IF(Atletas!B71="Masculino",200,""))+(IF(Atletas!K71="Equipe 1 Grupo B",1,IF(Atletas!K71="Equipe 2 Grupo B",2,IF(Atletas!K71="Equipe 1 Grupo A",3,IF(Atletas!K71="Equipe 2 Grupo A",4,IF(Atletas!K71="Equipe 1 Adulto",5,IF(Atletas!K71="Equipe 2 Adulto",6,""))))))))</f>
        <v/>
      </c>
      <c r="BR80" s="50" t="str">
        <f>IF(Atletas!L71="","",IF(Atletas!X71&lt;&gt;"",10000,0)+(IF(Atletas!B71="Feminino",1000,IF(Atletas!B71="Masculino",2000,""))+IF(Atletas!L71="Choylayfut A",1,IF(Atletas!L71="Hunggar A",2,IF(Atletas!L71="Wuzuquan A",3,IF(Atletas!L71="Wingchun A",4,IF(Atletas!L71="Outra Mão de Sul A",5,IF(Atletas!L71="Choylayfut B",6,IF(Atletas!L71="Hunggar B",7,IF(Atletas!L71="Wuzuquan B",8,IF(Atletas!L71="Wingchun B",9,IF(Atletas!L71="Outra Mão de Sul B",10,IF(Atletas!L71="Choylayfut C",11,IF(Atletas!L71="Hunggar C",12,IF(Atletas!L71="Wuzuquan C",13,IF(Atletas!L71="Wingchun C",14,IF(Atletas!L71="Outra Mão de Sul C",15,IF(Atletas!L71="Choylayfut D",16,IF(Atletas!L71="Hunggar D",17,IF(Atletas!L71="Wuzuquan D",18,IF(Atletas!L71="Wingchun D",19,IF(Atletas!L71="Outra Mão de Sul D",20,IF(Atletas!L71="Choylayfut E",21,IF(Atletas!L71="Hunggar E",22,IF(Atletas!L71="Wuzuquan E",23,IF(Atletas!L71="Wingchun E",24,IF(Atletas!L71="Outra Mão de Sul E",25,IF(Atletas!L71="Choylayfut F",26,IF(Atletas!L71="Hunggar F",27,IF(Atletas!L71="Wuzuquan F",28,IF(Atletas!L71="Wingchun F",29,IF(Atletas!L71="Outra Mão de Sul F",30,IF(Atletas!L71="Dishuquan A",31,IF(Atletas!L71="Dishuquan B",32,IF(Atletas!L71="Dishuquan C",33,IF(Atletas!L71="Dishuquan D",34,IF(Atletas!L71="Dishuquan E",35,IF(Atletas!L71="Dishuquan F",36,""))))))))))))))))))))))))))))))))))))))</f>
        <v/>
      </c>
      <c r="BS80" s="50" t="str">
        <f>IF(Atletas!M71="","",IF(Atletas!X71&lt;&gt;"",10000,0)+(IF(Atletas!B71="Feminino",1000,IF(Atletas!B71="Masculino",2000,""))+(IF(Atletas!M71="Chaquan A",101,IF(Atletas!M71="Emeiquan A",102,IF(Atletas!M71="Fanziquan A",103,IF(Atletas!M71="Huaquan A",104,IF(Atletas!M71="Hongquan A",105,IF(Atletas!M71="Paoquan A",106,IF(Atletas!M71="Piguaquan A",107,IF(Atletas!M71="Shaolinquan A",108,IF(Atletas!M71="Tanglangquan A",109,IF(Atletas!M71="Yingzhaoquan A",110,IF(Atletas!M71="Tongbeiquan A",111,IF(Atletas!M71="Wudangquan A",112,IF(Atletas!M71="Outros Estilos A",113,IF(Atletas!M71="Chaquan B",114,IF(Atletas!M71="Emeiquan B",115,IF(Atletas!M71="Fanziquan B",116,IF(Atletas!M71="Huaquan B",117,IF(Atletas!M71="Hongquan B",118,IF(Atletas!M71="Paoquan B",119,IF(Atletas!M71="Piguaquan B",120,IF(Atletas!M71="Shaolinquan B",121,IF(Atletas!M71="Tanglangquan B",122,IF(Atletas!M71="Yingzhaoquan B",123,IF(Atletas!M71="Tongbeiquan B",124,IF(Atletas!M71="Wudangquan B",125,IF(Atletas!M71="Outros Estilos B",126,IF(Atletas!M71="Chaquan C",127,IF(Atletas!M71="Emeiquan C",128,IF(Atletas!M71="Fanziquan C",129,IF(Atletas!M71="Huaquan C",130,IF(Atletas!M71="Hongquan C",131,IF(Atletas!M71="Paoquan C",132,IF(Atletas!M71="Piguaquan C",133,IF(Atletas!M71="Shaolinquan C",134,IF(Atletas!M71="Tanglangquan C",135,IF(Atletas!M71="Yingzhaoquan C",136,IF(Atletas!M71="Tongbeiquan C",137,IF(Atletas!M71="Wudangquan C",138,IF(Atletas!M71="Outros Estilos C",139,0))))))))))))))))))))))))))))))))))))))))))</f>
        <v/>
      </c>
      <c r="BT80" s="50" t="str">
        <f>IF(Atletas!M71="","",IF(Atletas!X71&lt;&gt;"",10000,0)+(IF(Atletas!B71="Feminino",1000,IF(Atletas!B71="Masculino",2000,""))+(IF(Atletas!M71="Chaquan D",140,IF(Atletas!M71="Emeiquan D",141,IF(Atletas!M71="Fanziquan D",142,IF(Atletas!M71="Huaquan D",143,IF(Atletas!M71="Hongquan D",144,IF(Atletas!M71="Paoquan D",145,IF(Atletas!M71="Piguaquan D",146,IF(Atletas!M71="Shaolinquan D",147,IF(Atletas!M71="Tanglangquan D",148,IF(Atletas!M71="Yingzhaoquan D",149,IF(Atletas!M71="Tongbeiquan D",150,IF(Atletas!M71="Wudangquan D",151,IF(Atletas!M71="Outros Estilos D",152,IF(Atletas!M71="Chaquan E",153,IF(Atletas!M71="Emeiquan E",154,IF(Atletas!M71="Fanziquan E",155,IF(Atletas!M71="Huaquan E",156,IF(Atletas!M71="Hongquan E",157,IF(Atletas!M71="Paoquan E",158,IF(Atletas!M71="Piguaquan E",159,IF(Atletas!M71="Shaolinquan E",160,IF(Atletas!M71="Tanglangquan E",161,IF(Atletas!M71="Yingzhaoquan E",162,IF(Atletas!M71="Tongbeiquan E",163,IF(Atletas!M71="Wudangquan E",164,IF(Atletas!M71="Outros Estilos E",165,IF(Atletas!M71="Chaquan F",166,IF(Atletas!M71="Emeiquan F",167,IF(Atletas!M71="Fanziquan F",168,IF(Atletas!M71="Huaquan F",169,IF(Atletas!M71="Hongquan F",170,IF(Atletas!M71="Paoquan F",171,IF(Atletas!M71="Piguaquan F",172,IF(Atletas!M71="Shaolinquan F",173,IF(Atletas!M71="Tanglangquan F",174,IF(Atletas!M71="Yingzhaoquan F",175,IF(Atletas!M71="Tongbeiquan F",176,IF(Atletas!M71="Wudangquan F",177,IF(Atletas!M71="Outros Estilos F",178,0))))))))))))))))))))))))))))))))))))))))))</f>
        <v/>
      </c>
      <c r="BU80" s="50" t="str">
        <f>IF(Atletas!N71="","",IF(Atletas!X71&lt;&gt;"",10000,0)+(IF(Atletas!B71="Feminino",1000,IF(Atletas!B71="Masculino",2000,""))+(IF(Atletas!N71="Ditangquan A",201,IF(Atletas!N71="Houquan A",202,IF(Atletas!N71="Zuiquan A",203,IF(Atletas!N71="Ditangquan B",204,IF(Atletas!N71="Houquan B",205,IF(Atletas!N71="Zuiquan B",206,IF(Atletas!N71="Ditangquan C",207,IF(Atletas!N71="Houquan C",208,IF(Atletas!N71="Zuiquan C",209,IF(Atletas!N71="Ditangquan D",210,IF(Atletas!N71="Houquan D",211,IF(Atletas!N71="Zuiquan D",212,IF(Atletas!N71="Ditangquan E",213,IF(Atletas!N71="Houquan E",214,IF(Atletas!N71="Zuiquan E",215,IF(Atletas!N71="Ditangquan F",216,IF(Atletas!N71="Houquan F",217,IF(Atletas!N71="Zuiquan F",218,"")))))))))))))))))))))</f>
        <v/>
      </c>
      <c r="BV80" s="50" t="str">
        <f>IF(Atletas!O71="","",IF(Atletas!X71&lt;&gt;"",10000,0)+IF(Atletas!B71="Feminino",1000,IF(Atletas!B71="Masculino",2000,""))+IF(Atletas!O71="Yang A",301,IF(Atletas!O71="Chen A",302,IF(Atletas!O71="Sun A",303,IF(Atletas!O71="Wu A",304,IF(Atletas!O71="Wu-Hao A",305,IF(Atletas!O71="Outro Taijiquan A",306,IF(Atletas!O71="Yang B",307,IF(Atletas!O71="Chen B",308,IF(Atletas!O71="Sun B",309,IF(Atletas!O71="Wu B",310,IF(Atletas!O71="Wu-Hao B",311,IF(Atletas!O71="Outro Taijiquan B",312,IF(Atletas!O71="Yang C",313,IF(Atletas!O71="Chen C",314,IF(Atletas!O71="Sun C",315,IF(Atletas!O71="Wu C",316,IF(Atletas!O71="Wu-Hao C",317,IF(Atletas!O71="Outro Taijiquan C",318,IF(Atletas!O71="Yang D",319,IF(Atletas!O71="Chen D",320,IF(Atletas!O71="Sun D",321,IF(Atletas!O71="Wu D",322,IF(Atletas!O71="Wu-Hao D",323,IF(Atletas!O71="Outro Taijiquan D",324,IF(Atletas!O71="Yang E",325,IF(Atletas!O71="Chen E",326,IF(Atletas!O71="Sun E",327,IF(Atletas!O71="Wu E",328,IF(Atletas!O71="Wu-Hao E",329,IF(Atletas!O71="Outro Taijiquan E",330,IF(Atletas!O71="Yang F",331,IF(Atletas!O71="Chen F",332,IF(Atletas!O71="Sun F",333,IF(Atletas!O71="Wu F",334,IF(Atletas!O71="Wu-Hao F",335,IF(Atletas!O71="Outro Taijiquan F",336,"")))))))))))))))))))))))))))))))))))))</f>
        <v/>
      </c>
      <c r="BW80" s="50" t="str">
        <f>IF(Atletas!P71="","",IF(Atletas!X71&lt;&gt;"",10000,0)+IF(Atletas!B71="Feminino",1000,IF(Atletas!B71="Masculino",2000,""))+IF(OR(Atletas!P71="Yang 26 A",Atletas!P71="Yang 40 A"),401,IF(OR(Atletas!P71="Chen 25 A",Atletas!P71="Chen 36 A",Atletas!P71="Chen 56 A"),402,IF(Atletas!P71="Sun 73 A",403,IF(Atletas!P71="Wu 45 A",404,IF(Atletas!P71="Wu-Hao 46 A",405,IF(OR(Atletas!P71="Taijiquan 16 A",Atletas!P71="Taijiquan 24 A",Atletas!P71="Taijiquan 32 A",Atletas!P71="Taijiquan 42 A"),406,IF(OR(Atletas!P71="Yang 26 B",Atletas!P71="Yang 40 B"),407,IF(OR(Atletas!P71="Chen 25 B",Atletas!P71="Chen 36 B",Atletas!P71="Chen 56 B"),408,IF(Atletas!P71="Sun 73 B",409,IF(Atletas!P71="Wu 45 B",410,IF(Atletas!P71="Wu-Hao 46 B",411,IF(OR(Atletas!P71="Taijiquan 16 B",Atletas!P71="Taijiquan 24 B",Atletas!P71="Taijiquan 32 B",Atletas!P71="Taijiquan 42 B"),412,IF(OR(Atletas!P71="Yang 26 C",Atletas!P71="Yang 40 C"),413,IF(OR(Atletas!P71="Chen 25 C",Atletas!P71="Chen 36 C",Atletas!P71="Chen 56 C"),414,IF(Atletas!P71="Sun 73 C",415,IF(Atletas!P71="Wu 45 C",416,IF(Atletas!P71="Wu-Hao 46 C",417,IF(OR(Atletas!P71="Taijiquan 16 C",Atletas!P71="Taijiquan 24 C",Atletas!P71="Taijiquan 32 C",Atletas!P71="Taijiquan 42 C"),418,0)))))))))))))))))))</f>
        <v/>
      </c>
      <c r="BX80" s="50" t="str">
        <f>IF(Atletas!P71="","",IF(Atletas!X71&lt;&gt;"",10000,0)+IF(Atletas!B71="Feminino",1000,IF(Atletas!B71="Masculino",2000,""))+IF(OR(Atletas!P71="Yang 26 D",Atletas!P71="Yang 40 D"),419,IF(OR(Atletas!P71="Chen 25 D",Atletas!P71="Chen 36 D",Atletas!P71="Chen 56 D"),420,IF(Atletas!P71="Sun 73 D",421,IF(Atletas!P71="Wu 45 D",422,IF(Atletas!P71="Wu-Hao 46 D",423,IF(OR(Atletas!P71="Taijiquan 16 D",Atletas!P71="Taijiquan 24 D",Atletas!P71="Taijiquan 32 D",Atletas!P71="Taijiquan 42 D"),424,IF(OR(Atletas!P71="Yang 26 E",Atletas!P71="Yang 40 E"),425,IF(OR(Atletas!P71="Chen 25 E",Atletas!P71="Chen 36 E",Atletas!P71="Chen 56 E"),426,IF(Atletas!P71="Sun 73 E",427,IF(Atletas!P71="Wu 45 E",428,IF(Atletas!P71="Wu-Hao 46 E",429,IF(OR(Atletas!P71="Taijiquan 16 E",Atletas!P71="Taijiquan 24 E",Atletas!P71="Taijiquan 32 E",Atletas!P71="Taijiquan 42 E"),430,IF(OR(Atletas!P71="Yang 26 F",Atletas!P71="Yang 40 F"),431,IF(OR(Atletas!P71="Chen 25 F",Atletas!P71="Chen 36 F",Atletas!P71="Chen 56 F"),432,IF(Atletas!P71="Sun 73 F",433,IF(Atletas!P71="Wu 45 F",434,IF(Atletas!P71="Wu-Hao 46 F",435,IF(OR(Atletas!P71="Taijiquan 16 F",Atletas!P71="Taijiquan 24 F",Atletas!P71="Taijiquan 32 F",Atletas!P71="Taijiquan 42 F"),436,0)))))))))))))))))))</f>
        <v/>
      </c>
      <c r="BY80" s="50" t="str">
        <f>IF(Atletas!Q71="","",IF(Atletas!X71&lt;&gt;"",10000,0)+IF(Atletas!B71="Feminino",1000,IF(Atletas!B71="Masculino",2000,""))+IF(Atletas!Q71="Xingyiquan A",501,IF(Atletas!Q71="Baguazhang A",502,IF(Atletas!Q71="Outro Estilo Interno A",503,IF(Atletas!Q71="Xingyiquan B",504,IF(Atletas!Q71="Baguazhang B",505,IF(Atletas!Q71="Outro Estilo Interno B",506,IF(Atletas!Q71="Xingyiquan C",507,IF(Atletas!Q71="Baguazhang C",508,IF(Atletas!Q71="Outro Estilo Interno C",509,IF(Atletas!Q71="Xingyiquan D",510,IF(Atletas!Q71="Baguazhang D",511,IF(Atletas!Q71="Outro Estilo Interno D",512,IF(Atletas!Q71="Xingyiquan E",513,IF(Atletas!Q71="Baguazhang E",514,IF(Atletas!Q71="Outro Estilo Interno E",515,IF(Atletas!Q71="Xingyiquan F",516,IF(Atletas!Q71="Baguazhang F",517,IF(Atletas!Q71="Outro Estilo Interno F",518, "")))))))))))))))))))</f>
        <v/>
      </c>
      <c r="BZ80" s="50" t="str">
        <f>IF(Atletas!R71="","",IF(Atletas!X71&lt;&gt;"",10000,0)+IF(Atletas!B71="Feminino",1000,IF(Atletas!B71="Masculino",2000,""))+IF(Atletas!R71="Dao A",601,IF(Atletas!R71="Jian A",602,IF(Atletas!R71="Bishou A",603,IF(Atletas!R71="Shanzi A",604,IF(Atletas!R71="Outra Arma Curta A",605,IF(Atletas!R71="Dao B",606,IF(Atletas!R71="Jian B",607,IF(Atletas!R71="Bishou B",608,IF(Atletas!R71="Shanzi B",609,IF(Atletas!R71="Outra Arma Curta B",610,IF(Atletas!R71="Dao C",611,IF(Atletas!R71="Jian C",612,IF(Atletas!R71="Bishou C",613,IF(Atletas!R71="Shanzi C",614,IF(Atletas!R71="Outra Arma Curta C",615,IF(Atletas!R71="Dao D",616,IF(Atletas!R71="Jian D",617,IF(Atletas!R71="Bishou D",618,IF(Atletas!R71="Shanzi D",619,IF(Atletas!R71="Outra Arma Curta D",620,IF(Atletas!R71="Dao E",621,IF(Atletas!R71="Jian E",622,IF(Atletas!R71="Bishou E",623,IF(Atletas!R71="Shanzi E",624,IF(Atletas!R71="Outra Arma Curta E",625,IF(Atletas!R71="Dao F",626,IF(Atletas!R71="Jian F",627,IF(Atletas!R71="Bishou F",628,IF(Atletas!R71="Shanzi F",629,IF(Atletas!R71="Outra Arma Curta F",630, "")))))))))))))))))))))))))))))))</f>
        <v/>
      </c>
      <c r="CA80" s="50" t="str">
        <f>IF(Atletas!S71="","",IF(Atletas!X71&lt;&gt;"",10000,0)+IF(Atletas!B71="Feminino",1000,IF(Atletas!B71="Masculino",2000,""))+IF(Atletas!S71="Gun A",701,IF(Atletas!S71="Qiang A",702,IF(Atletas!S71="Pudao / Guandao A",703,IF(Atletas!S71="Outra Arma Longa A",704,IF(Atletas!S71="Gun B",705,IF(Atletas!S71="Qiang B",706,IF(Atletas!S71="Pudao / Guandao B",707,IF(Atletas!S71="Outra Arma Longa B",708,IF(Atletas!S71="Gun C",709,IF(Atletas!S71="Qiang C",710,IF(Atletas!S71="Pudao / Guandao C",711,IF(Atletas!S71="Outra Arma Longa C",712,IF(Atletas!S71="Gun D",713,IF(Atletas!S71="Qiang D",714,IF(Atletas!S71="Pudao / Guandao D",715,IF(Atletas!S71="Outra Arma Longa D",716,IF(Atletas!S71="Gun E",717,IF(Atletas!S71="Qiang E",718,IF(Atletas!S71="Pudao / Guandao E",719,IF(Atletas!S71="Outra Arma Longa E",720,IF(Atletas!S71="Gun F",721,IF(Atletas!S71="Qiang F",722,IF(Atletas!S71="Pudao / Guandao F",723,IF(Atletas!S71="Outra Arma Longa F",724,"")))))))))))))))))))))))))</f>
        <v/>
      </c>
      <c r="CB80" s="50" t="str">
        <f>IF(Atletas!T71="","",IF(Atletas!X71&lt;&gt;"",10000,0)+IF(Atletas!B71="Feminino",1000,IF(Atletas!B71="Masculino",2000,""))+IF(Atletas!T71="Outra Arma Dupla A",801,IF(Atletas!T71="Arma Maleável A",802,IF(Atletas!T71="Outra Arma Dupla B",803,IF(Atletas!T71="Arma Maleável B",804,IF(Atletas!T71="Outra Arma Dupla C",805,IF(Atletas!T71="Arma Maleável C",806,IF(Atletas!T71="Outra Arma Dupla D",807,IF(Atletas!T71="Arma Maleável D",808,IF(Atletas!T71="Outra Arma Dupla E",809,IF(Atletas!T71="Arma Maleável E",810,IF(Atletas!T71="Outra Arma Dupla F",811,IF(Atletas!T71="Arma Maleável F",812,IF(Atletas!T71="Shuangdao A",813,IF(Atletas!T71="Shuangdao B",814,IF(Atletas!T71="Shuangdao C",815,IF(Atletas!T71="Shuangdao D",816,IF(Atletas!T71="Shuangdao E",817,IF(Atletas!T71="Shuangdao F",818,"")))))))))))))))))))</f>
        <v/>
      </c>
      <c r="CC80" s="50" t="str">
        <f>IF(Atletas!U71="","",IF(Atletas!X71&lt;&gt;"",10000,0)+IF(Atletas!B71="Feminino",1000,IF(Atletas!B71="Masculino",2000,""))+IF(OR(Atletas!U71="Taijijian Yang A",Atletas!U71="Taijijian Yang Standard A"),901,IF(OR(Atletas!U71="Taijijian Chen A", Atletas!U71="Taijijian Chen Standard A"),902,IF(Atletas!U71="Taijijian Sun A",903,IF(Atletas!U71="Taijijian Wu A",904,IF(Atletas!U71="Taijijian Wu-Hao A",905,IF(OR(Atletas!U71="Taijijian 32 A",Atletas!U71="Taijijian 42 A"),906,IF(OR(Atletas!U71="Taijijian Yang B",Atletas!U71="Taijijian Yang Standard B"),907,IF(OR(Atletas!U71="Taijijian Chen B", Atletas!U71="Taijijian Chen Standard B"),908,IF(Atletas!U71="Taijijian Sun B",909,IF(Atletas!U71="Taijijian Wu B",910,IF(Atletas!U71="Taijijian Wu-Hao B",911,IF(OR(Atletas!U71="Taijijian 32 B",Atletas!U71="Taijijian 42 B"),912,IF(OR(Atletas!U71="Taijijian Yang C",Atletas!U71="Taijijian Yang Standard C"),913,IF(OR(Atletas!U71="Taijijian Chen C", Atletas!U71="Taijijian Chen Standard C"),914,IF(Atletas!U71="Taijijian Sun C",915,IF(Atletas!U71="Taijijian Wu C",916,IF(Atletas!U71="Taijijian Wu-Hao C",917,IF(OR(Atletas!U71="Taijijian 32 C",Atletas!U71="Taijijian 42 C"),918,IF(OR(Atletas!U71="Taijijian Yang D",Atletas!U71="Taijijian Yang Standard D"),919,IF(OR(Atletas!U71="Taijijian Chen D", Atletas!U71="Taijijian Chen Standard D"),920,IF(Atletas!U71="Taijijian Sun D",921,IF(Atletas!U71="Taijijian Wu D",922,IF(Atletas!U71="Taijijian Wu-Hao D",923,IF(OR(Atletas!U71="Taijijian 32 D",Atletas!U71="Taijijian 42 D"),924,IF(OR(Atletas!U71="Taijijian Yang E",Atletas!U71="Taijijian Yang Standard E"),925,IF(OR(Atletas!U71="Taijijian Chen E", Atletas!U71="Taijijian Chen Standard E"),926,IF(Atletas!U71="Taijijian Sun E",927,IF(Atletas!U71="Taijijian Wu E",928,IF(Atletas!U71="Taijijian Wu-Hao E",929,IF(OR(Atletas!U71="Taijijian 32 E",Atletas!U71="Taijijian 42 E"),930,IF(OR(Atletas!U71="Taijijian Yang F",Atletas!U71="Taijijian Yang Standard F"),931,IF(OR(Atletas!U71="Taijijian Chen F", Atletas!U71="Taijijian Chen Standard F"),932,IF(Atletas!U71="Taijijian Sun F",933,IF(Atletas!U71="Taijijian Wu F",934,IF(Atletas!U71="Taijijian Wu-Hao F",935,IF(OR(Atletas!U71="Taijijian 32 F",Atletas!U71="Taijijian 42 F"),936,"")))))))))))))))))))))))))))))))))))))</f>
        <v/>
      </c>
      <c r="CD80" s="50" t="str">
        <f>IF(Atletas!V71="","",IF(Atletas!X71&lt;&gt;"",10000,0)+IF(Atletas!B71="Feminino",1000,IF(Atletas!B71="Masculino",2000,""))+IF(Atletas!V71="Taijidao A",937,IF(Atletas!V71="TaijiShanzi A",938,IF(Atletas!V71="Taijiqiang A",939,IF(Atletas!V71="Bagua de Arma A",940,IF(Atletas!V71="Xingyi de Arma A",941,IF(Atletas!V71="Taijidao B",942,IF(Atletas!V71="TaijiShanzi B",943,IF(Atletas!V71="Taijiqiang B",944,IF(Atletas!V71="Bagua de Arma B",945,IF(Atletas!V71="Xingyi de Arma B",946,IF(Atletas!V71="Taijidao C",947,IF(Atletas!V71="TaijiShanzi C",948,IF(Atletas!V71="Taijiqiang C",949,IF(Atletas!V71="Bagua de Arma C",950,IF(Atletas!V71="Xingyi de Arma C",951,IF(Atletas!V71="Taijidao D",952,IF(Atletas!V71="TaijiShanzi D",953,IF(Atletas!V71="Taijiqiang D",954,IF(Atletas!V71="Bagua de Arma D",955,IF(Atletas!V71="Xingyi de Arma D",956,IF(Atletas!V71="Taijidao E",957,IF(Atletas!V71="TaijiShanzi E",958,IF(Atletas!V71="Taijiqiang E",959,IF(Atletas!V71="Bagua de Arma E",960,IF(Atletas!V71="Xingyi de Arma E",961,IF(Atletas!V71="Taijidao F",962,IF(Atletas!V71="TaijiShanzi F",963,IF(Atletas!V71="Taijiqiang F",964,IF(Atletas!V71="Bagua de Arma F",965,IF(Atletas!V71="Xingyi de Arma F",966,"")))))))))))))))))))))))))))))))</f>
        <v/>
      </c>
      <c r="CE80" s="66" t="str">
        <f>IF(CF80&lt;&gt;"","Wudangquan C","")</f>
        <v/>
      </c>
      <c r="CF80" s="66" t="str">
        <f>IF(COUNTIF(BR:CD,1138)&gt;0,COUNTIF(BR:CD,1138),"")</f>
        <v/>
      </c>
      <c r="CG80" s="66" t="str">
        <f>IF(CH80&lt;&gt;"","Wudangquan C","")</f>
        <v/>
      </c>
      <c r="CH80" s="66" t="str">
        <f>IF(COUNTIF(BR:CD,2138)&gt;0,COUNTIF(BR:CD,2138),"")</f>
        <v/>
      </c>
      <c r="CI80" s="66" t="str">
        <f>IF(CJ80&lt;&gt;"","Hongquan D","")</f>
        <v/>
      </c>
      <c r="CJ80" s="66" t="str">
        <f>IF(COUNTIF(BR:CD,11144)&gt;0,COUNTIF(BR:CD,11144),"")</f>
        <v/>
      </c>
      <c r="CK80" s="66" t="str">
        <f>IF(CL80&lt;&gt;"","Hongquan D","")</f>
        <v/>
      </c>
      <c r="CL80" s="66" t="str">
        <f>IF(COUNTIF(BR:CD,12144)&gt;0,COUNTIF(BR:CD,12144),"")</f>
        <v/>
      </c>
      <c r="CM80" s="50" t="str">
        <f xml:space="preserve"> IF(Atletas!W71="","",IF(Atletas!W71="Duilian de Mãos BC - Equipe 1",1,IF(Atletas!W71="Duilian de Mãos BC - Equipe 2",2,IF(Atletas!W71="Duilian de Armas BC - Equipe 1",3,IF(Atletas!W71="Duilian de Armas BC - Equipe 2",4,IF(Atletas!W71="Duilian de Mãos DE - Equipe 1",5,IF(Atletas!W71="Duilian de Mãos DE - Equipe 2",6,IF(Atletas!W71="Duilian de Armas DE - Equipe 1",7,IF(Atletas!W71="Duilian de Armas DE - Equipe 2",8,IF(Atletas!W71="Duilian de Tuishou - Equipe 1",9,IF(Atletas!W71="Duilian de Tuishou - Equipe 2",10,IF(Atletas!W71="Grupo Externo ABC - Equipe 1",11,IF(Atletas!W71="Grupo Externo ABC - Equipe 2",12,IF(Atletas!W71="Grupo Interno ABC - Equipe 1",13,IF(Atletas!W71="Grupo Interno ABC - Equipe 2",14,IF(Atletas!W71="Grupo Externo DEF - Equipe 1",15,IF(Atletas!W71="Grupo Externo DEF - Equipe 2",16,IF(Atletas!W71="Grupo Interno DEF - Equipe 1",17,IF(Atletas!W71="Grupo Interno DEF - Equipe 2",18,"")))))))))))))))))))</f>
        <v/>
      </c>
    </row>
    <row r="81" spans="2:9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20"/>
      <c r="Y81" s="3"/>
      <c r="Z81" s="3" t="str">
        <f t="array" ref="Z81">IFERROR(INDEX(CE$7:CE$348,SMALL(IF(CE$7:CE$348&lt;&gt;"",ROW(CE$7:CE$348)-ROW(CE$7)+1),ROWS(CE$7:CE80))),"")</f>
        <v/>
      </c>
      <c r="AA81" s="3" t="str">
        <f t="array" ref="AA81">IFERROR(INDEX(CF$7:CF$348,SMALL(IF(CF$7:CF$348&lt;&gt;"",ROW(CF$7:CF$348)-ROW(CF$7)+1),ROWS(CF$7:CF80))),"")</f>
        <v/>
      </c>
      <c r="AB81" s="3" t="str">
        <f t="array" ref="AB81">IFERROR(INDEX(CG$7:CG$348,SMALL(IF(CG$7:CG$348&lt;&gt;"",ROW(CG$7:CG$348)-ROW(CG$7)+1),ROWS(CG$7:CG80))),"")</f>
        <v/>
      </c>
      <c r="AC81" s="3" t="str">
        <f t="array" ref="AC81">IFERROR(INDEX(CH$7:CH$348,SMALL(IF(CH$7:CH$348&lt;&gt;"",ROW(CH$7:CH$348)-ROW(CH$7)+1),ROWS(CH$7:CH80))),"")</f>
        <v/>
      </c>
      <c r="AD81" s="3" t="str">
        <f t="array" ref="AD81">IFERROR(INDEX(CI$7:CI$377,SMALL(IF(CI$7:CI$377&lt;&gt;"",ROW(CI$7:CI$377)-ROW(CI$7)+1),ROWS(CI$7:CI80))),"")</f>
        <v/>
      </c>
      <c r="AE81" s="3" t="str">
        <f t="array" ref="AE81">IFERROR(INDEX(CJ$7:CJ$378,SMALL(IF(CJ$7:CJ$378&lt;&gt;"",ROW(CJ$7:CJ$378)-ROW(CJ$7)+1),ROWS(CJ$7:CJ80))),"")</f>
        <v/>
      </c>
      <c r="AF81" s="3" t="str">
        <f t="array" ref="AF81">IFERROR(INDEX(CK$7:CK$378,SMALL(IF(CK$7:CK$378&lt;&gt;"",ROW(CK$7:CK$378)-ROW(CK$7)+1),ROWS(CK$7:CK80))),"")</f>
        <v/>
      </c>
      <c r="AG81" s="3" t="str">
        <f t="array" ref="AG81">IFERROR(INDEX(CL$7:CL$378,SMALL(IF(CL$7:CL$378&lt;&gt;"",ROW(CL$7:CL$378)-ROW(CL$7)+1),ROWS(CL$7:CL80))),"")</f>
        <v/>
      </c>
      <c r="AH81" s="3"/>
      <c r="AI81" s="3"/>
      <c r="AJ81" s="3"/>
      <c r="AK81" s="3"/>
      <c r="AL81" s="3"/>
      <c r="AM81" s="3"/>
      <c r="AN81" s="52" t="str">
        <f>IF(Atletas!D72="","",IF(Atletas!B72="Feminino",100,IF(Atletas!B72="Masculino",200,""))+(IF(Atletas!D72="Kids 30kg",1,IF(Atletas!D72="Kids 32kg",2, IF(Atletas!D72="Kids 34kg",3,IF(Atletas!D72="Kids 36kg",4,IF(Atletas!D72="Kids 39kg",5,IF(Atletas!D72="Kids 42kg",6,IF(Atletas!D72="Kids 45kg",7, IF(Atletas!D72="Infantil 39kg",8,IF(Atletas!D72="Infantil 42kg",9,IF(Atletas!D72="Infantil 45kg",10,IF(Atletas!D72="Infantil 48kg",11,IF(Atletas!D72="Infantil 52kg",12,IF(Atletas!D72="Infantil 56kg",13,IF(Atletas!D72="Infantil 60kg",14,IF(Atletas!D72="Juvenil 48kg",15,IF(Atletas!D72="Juvenil 52kg",16,IF(Atletas!D72="Juvenil 56kg",17,IF(Atletas!D72="Juvenil 60kg",18,IF(Atletas!D72="Juvenil 65kg",19,IF(Atletas!D72="Juvenil 70kg",20,IF(Atletas!D72="Juvenil 75kg",21,IF(Atletas!D72="Juvenil 80kg",22, IF(Atletas!D72="Juvenil 85kg",23,IF(Atletas!D72="Adulto 48kg",24,IF(Atletas!D72="Adulto 52kg",25,IF(Atletas!D72="Adulto 56kg",26,IF(Atletas!D72="Adulto 60kg",27,IF(Atletas!D72="Adulto 65kg",28,IF(Atletas!D72="Adulto 70kg",29,IF(Atletas!D72="Adulto 75kg",30,IF(Atletas!D72="Adulto 80kg",31,IF(Atletas!D72="Adulto 85kg",32,IF(Atletas!D72="Adulto 90kg",33,IF(Atletas!D72="Adulto 100kg",34, IF(Atletas!D72="Adulto +100kg",35,"")))))))))))))))))))))))))))))))))))))</f>
        <v/>
      </c>
      <c r="AS81" s="6" t="str">
        <f>IF(Atletas!E72="","",IF(Atletas!B72="Feminino",100,IF(Atletas!B72="Masculino",200,""))+(IF(Atletas!E72="Juvenil 44kg",1,IF(Atletas!E72="Juvenil 48kg",2,IF(Atletas!E72="Juvenil 52kg",3,IF(Atletas!E72="Juvenil 56kg",4,IF(Atletas!E72="Juvenil 60kg",5,IF(Atletas!E72="Juvenil 65kg",6,IF(Atletas!E72="Juvenil 70kg",7,IF(Atletas!E72="Juvenil 75kg",8,IF(Atletas!E72="Juvenil 82kg",9,IF(Atletas!E72="Juvenil 90kg",10,IF(Atletas!E72="Juvenil 100kg",11,IF(Atletas!E72="Adulto 48kg",12,IF(Atletas!E72="Adulto 52kg",13,IF(Atletas!E72="Adulto 56kg",14,IF(Atletas!E72="Adulto 60kg",15,IF(Atletas!E72="Adulto 65kg",16,IF(Atletas!E72="Adulto 70kg",17,IF(Atletas!E72="Adulto 75kg",18,IF(Atletas!E72="Adulto 82kg",19,IF(Atletas!E72="Adulto 90kg",20,IF(Atletas!E72="Adulto 100kg",21,IF(Atletas!E72="Adulto +100kg",22,""))))))))))))))))))))))))</f>
        <v/>
      </c>
      <c r="AX81" s="6" t="str">
        <f>IF(Atletas!F72="","",IF(Atletas!B72="Feminino",100,IF(Atletas!B72="Masculino",200,""))+(IF(Atletas!F72="Adulto 48kg",1,IF(Atletas!F72="Adulto 56kg",2,IF(Atletas!F72="Adulto 65kg",3,IF(Atletas!F72="Adulto 75kg",4,IF(Atletas!F72="Adulto +75kg",5,IF(Atletas!F72="Adulto 52kg",6,IF(Atletas!F72="Adulto 60kg",7,IF(Atletas!F72="Adulto 70kg",8,IF(Atletas!F72="Adulto 80kg",9,IF(Atletas!F72="Adulto 90kg",10,IF(Atletas!F72="Adulto +90kg",11,"")))))))))))))</f>
        <v/>
      </c>
      <c r="BC81" s="6" t="str">
        <f>IF(Atletas!G72="","",IF(Atletas!B72="Feminino",10,IF(Atletas!B72="Masculino",20,""))+(IF(Atletas!G72="Baduanjin A",1,IF(Atletas!G72="Baduanjin B",2))))</f>
        <v/>
      </c>
      <c r="BF81" s="52" t="str">
        <f>IF(Atletas!H72="","",IF(Atletas!B72="Feminino",100,IF(Atletas!B72="Masculino",200,""))+(IF(Atletas!H72="Changquan Mirim",1,IF(Atletas!H72="Nanquan Mirim",2,IF(Atletas!H72="Taijiquan Mirim",3,IF(Atletas!H72="Changquan Grupo C",4,IF(Atletas!H72="Nanquan Grupo C",5,IF(Atletas!H72="Taijiquan Grupo C",6,IF(Atletas!H72="Changquan Grupo B",7,IF(Atletas!H72="Nanquan Grupo B",8,IF(Atletas!H72="Taijiquan Grupo B",9,IF(Atletas!H72="Changquan Grupo A",10,IF(Atletas!H72="Nanquan Grupo A",11,IF(Atletas!H72="Taijiquan Grupo A",12,IF(Atletas!H72="Changquan Opcional",13,IF(Atletas!H72="Nanquan Opcional",14,IF(Atletas!H72="Taijiquan Opcional",15,IF(Atletas!H72="Changquan Adulto",16,IF(Atletas!H72="Nanquan Adulto",17,IF(Atletas!H72="Taijiquan Adulto",18,""))))))))))))))))))))</f>
        <v/>
      </c>
      <c r="BG81" s="52" t="str">
        <f>IF(Atletas!I72="","",IF(Atletas!B72="Feminino",100,IF(Atletas!B72="Masculino",200,""))+(IF(Atletas!I72="Daoshu Mirim",19,IF(Atletas!I72="Jianshu Mirim",20,IF(Atletas!I72="Nandao Mirim",21,IF(Atletas!I72="Taijijian Mirim",22,IF(Atletas!I72="Daoshu Grupo C",23,IF(Atletas!I72="Jianshu Grupo C",24,IF(Atletas!I72="Nandao Grupo C",25,IF(Atletas!I72="Taijijian Grupo C",26,IF(Atletas!I72="Daoshu Grupo B",27,IF(Atletas!I72="Jianshu Grupo B",28,IF(Atletas!I72="Nandao Grupo B",29,IF(Atletas!I72="Taijijian Grupo B",30,IF(Atletas!I72="Daoshu Grupo A",31,IF(Atletas!I72="Jianshu Grupo A",32,IF(Atletas!I72="Nandao Grupo A",33,IF(Atletas!I72="Taijijian Grupo A",34,IF(Atletas!I72="Daoshu Opcional",35,IF(Atletas!I72="Jianshu Opcional",36,IF(Atletas!I72="Nandao Opcional",37,IF(Atletas!I72="Taijijian Opcional",38,IF(Atletas!I72="Daoshu Adulto",39,IF(Atletas!I72="Jianshu Adulto",40,IF(Atletas!I72="Nandao Adulto",41,IF(Atletas!I72="Taijijian Adulto",42,""))))))))))))))))))))))))))</f>
        <v/>
      </c>
      <c r="BH81" s="52" t="str">
        <f>IF(Atletas!J72="","",IF(Atletas!B72="Feminino",100,IF(Atletas!B72="Masculino",200,""))+(IF(Atletas!J72="Gunshu Mirim",43,IF(Atletas!J72="Qiangshu Mirim",44,IF(Atletas!J72="Nangun Mirim",45,IF(Atletas!J72="Gunshu Grupo C",46,IF(Atletas!J72="Qiangshu Grupo C",47,IF(Atletas!J72="Nangun Grupo C",48,IF(Atletas!J72="Gunshu Grupo B",49,IF(Atletas!J72="Qiangshu Grupo B",50,IF(Atletas!J72="Nangun Grupo B",51,IF(Atletas!J72="Gunshu Grupo A",52,IF(Atletas!J72="Qiangshu Grupo A",53,IF(Atletas!J72="Nangun Grupo A",54,IF(Atletas!J72="Gunshu Opcional",55,IF(Atletas!J72="Qiangshu Opcional",56,IF(Atletas!J72="Nangun Opcional",57,IF(Atletas!J72="Gunshu Adulto",58,IF(Atletas!J72="Qiangshu Adulto",59,IF(Atletas!J72="Nangun Adulto",60,IF(Atletas!J72="Taijishan Grupo B",61,IF(Atletas!J72="Taijishan Grupo A",62,""))))))))))))))))))))))</f>
        <v/>
      </c>
      <c r="BM81" s="50" t="str">
        <f>IF(Atletas!K72="","",IF(Atletas!B72="Feminino",100,IF(Atletas!B72="Masculino",200,""))+(IF(Atletas!K72="Equipe 1 Grupo B",1,IF(Atletas!K72="Equipe 2 Grupo B",2,IF(Atletas!K72="Equipe 1 Grupo A",3,IF(Atletas!K72="Equipe 2 Grupo A",4,IF(Atletas!K72="Equipe 1 Adulto",5,IF(Atletas!K72="Equipe 2 Adulto",6,""))))))))</f>
        <v/>
      </c>
      <c r="BR81" s="50" t="str">
        <f>IF(Atletas!L72="","",IF(Atletas!X72&lt;&gt;"",10000,0)+(IF(Atletas!B72="Feminino",1000,IF(Atletas!B72="Masculino",2000,""))+IF(Atletas!L72="Choylayfut A",1,IF(Atletas!L72="Hunggar A",2,IF(Atletas!L72="Wuzuquan A",3,IF(Atletas!L72="Wingchun A",4,IF(Atletas!L72="Outra Mão de Sul A",5,IF(Atletas!L72="Choylayfut B",6,IF(Atletas!L72="Hunggar B",7,IF(Atletas!L72="Wuzuquan B",8,IF(Atletas!L72="Wingchun B",9,IF(Atletas!L72="Outra Mão de Sul B",10,IF(Atletas!L72="Choylayfut C",11,IF(Atletas!L72="Hunggar C",12,IF(Atletas!L72="Wuzuquan C",13,IF(Atletas!L72="Wingchun C",14,IF(Atletas!L72="Outra Mão de Sul C",15,IF(Atletas!L72="Choylayfut D",16,IF(Atletas!L72="Hunggar D",17,IF(Atletas!L72="Wuzuquan D",18,IF(Atletas!L72="Wingchun D",19,IF(Atletas!L72="Outra Mão de Sul D",20,IF(Atletas!L72="Choylayfut E",21,IF(Atletas!L72="Hunggar E",22,IF(Atletas!L72="Wuzuquan E",23,IF(Atletas!L72="Wingchun E",24,IF(Atletas!L72="Outra Mão de Sul E",25,IF(Atletas!L72="Choylayfut F",26,IF(Atletas!L72="Hunggar F",27,IF(Atletas!L72="Wuzuquan F",28,IF(Atletas!L72="Wingchun F",29,IF(Atletas!L72="Outra Mão de Sul F",30,IF(Atletas!L72="Dishuquan A",31,IF(Atletas!L72="Dishuquan B",32,IF(Atletas!L72="Dishuquan C",33,IF(Atletas!L72="Dishuquan D",34,IF(Atletas!L72="Dishuquan E",35,IF(Atletas!L72="Dishuquan F",36,""))))))))))))))))))))))))))))))))))))))</f>
        <v/>
      </c>
      <c r="BS81" s="50" t="str">
        <f>IF(Atletas!M72="","",IF(Atletas!X72&lt;&gt;"",10000,0)+(IF(Atletas!B72="Feminino",1000,IF(Atletas!B72="Masculino",2000,""))+(IF(Atletas!M72="Chaquan A",101,IF(Atletas!M72="Emeiquan A",102,IF(Atletas!M72="Fanziquan A",103,IF(Atletas!M72="Huaquan A",104,IF(Atletas!M72="Hongquan A",105,IF(Atletas!M72="Paoquan A",106,IF(Atletas!M72="Piguaquan A",107,IF(Atletas!M72="Shaolinquan A",108,IF(Atletas!M72="Tanglangquan A",109,IF(Atletas!M72="Yingzhaoquan A",110,IF(Atletas!M72="Tongbeiquan A",111,IF(Atletas!M72="Wudangquan A",112,IF(Atletas!M72="Outros Estilos A",113,IF(Atletas!M72="Chaquan B",114,IF(Atletas!M72="Emeiquan B",115,IF(Atletas!M72="Fanziquan B",116,IF(Atletas!M72="Huaquan B",117,IF(Atletas!M72="Hongquan B",118,IF(Atletas!M72="Paoquan B",119,IF(Atletas!M72="Piguaquan B",120,IF(Atletas!M72="Shaolinquan B",121,IF(Atletas!M72="Tanglangquan B",122,IF(Atletas!M72="Yingzhaoquan B",123,IF(Atletas!M72="Tongbeiquan B",124,IF(Atletas!M72="Wudangquan B",125,IF(Atletas!M72="Outros Estilos B",126,IF(Atletas!M72="Chaquan C",127,IF(Atletas!M72="Emeiquan C",128,IF(Atletas!M72="Fanziquan C",129,IF(Atletas!M72="Huaquan C",130,IF(Atletas!M72="Hongquan C",131,IF(Atletas!M72="Paoquan C",132,IF(Atletas!M72="Piguaquan C",133,IF(Atletas!M72="Shaolinquan C",134,IF(Atletas!M72="Tanglangquan C",135,IF(Atletas!M72="Yingzhaoquan C",136,IF(Atletas!M72="Tongbeiquan C",137,IF(Atletas!M72="Wudangquan C",138,IF(Atletas!M72="Outros Estilos C",139,0))))))))))))))))))))))))))))))))))))))))))</f>
        <v/>
      </c>
      <c r="BT81" s="50" t="str">
        <f>IF(Atletas!M72="","",IF(Atletas!X72&lt;&gt;"",10000,0)+(IF(Atletas!B72="Feminino",1000,IF(Atletas!B72="Masculino",2000,""))+(IF(Atletas!M72="Chaquan D",140,IF(Atletas!M72="Emeiquan D",141,IF(Atletas!M72="Fanziquan D",142,IF(Atletas!M72="Huaquan D",143,IF(Atletas!M72="Hongquan D",144,IF(Atletas!M72="Paoquan D",145,IF(Atletas!M72="Piguaquan D",146,IF(Atletas!M72="Shaolinquan D",147,IF(Atletas!M72="Tanglangquan D",148,IF(Atletas!M72="Yingzhaoquan D",149,IF(Atletas!M72="Tongbeiquan D",150,IF(Atletas!M72="Wudangquan D",151,IF(Atletas!M72="Outros Estilos D",152,IF(Atletas!M72="Chaquan E",153,IF(Atletas!M72="Emeiquan E",154,IF(Atletas!M72="Fanziquan E",155,IF(Atletas!M72="Huaquan E",156,IF(Atletas!M72="Hongquan E",157,IF(Atletas!M72="Paoquan E",158,IF(Atletas!M72="Piguaquan E",159,IF(Atletas!M72="Shaolinquan E",160,IF(Atletas!M72="Tanglangquan E",161,IF(Atletas!M72="Yingzhaoquan E",162,IF(Atletas!M72="Tongbeiquan E",163,IF(Atletas!M72="Wudangquan E",164,IF(Atletas!M72="Outros Estilos E",165,IF(Atletas!M72="Chaquan F",166,IF(Atletas!M72="Emeiquan F",167,IF(Atletas!M72="Fanziquan F",168,IF(Atletas!M72="Huaquan F",169,IF(Atletas!M72="Hongquan F",170,IF(Atletas!M72="Paoquan F",171,IF(Atletas!M72="Piguaquan F",172,IF(Atletas!M72="Shaolinquan F",173,IF(Atletas!M72="Tanglangquan F",174,IF(Atletas!M72="Yingzhaoquan F",175,IF(Atletas!M72="Tongbeiquan F",176,IF(Atletas!M72="Wudangquan F",177,IF(Atletas!M72="Outros Estilos F",178,0))))))))))))))))))))))))))))))))))))))))))</f>
        <v/>
      </c>
      <c r="BU81" s="50" t="str">
        <f>IF(Atletas!N72="","",IF(Atletas!X72&lt;&gt;"",10000,0)+(IF(Atletas!B72="Feminino",1000,IF(Atletas!B72="Masculino",2000,""))+(IF(Atletas!N72="Ditangquan A",201,IF(Atletas!N72="Houquan A",202,IF(Atletas!N72="Zuiquan A",203,IF(Atletas!N72="Ditangquan B",204,IF(Atletas!N72="Houquan B",205,IF(Atletas!N72="Zuiquan B",206,IF(Atletas!N72="Ditangquan C",207,IF(Atletas!N72="Houquan C",208,IF(Atletas!N72="Zuiquan C",209,IF(Atletas!N72="Ditangquan D",210,IF(Atletas!N72="Houquan D",211,IF(Atletas!N72="Zuiquan D",212,IF(Atletas!N72="Ditangquan E",213,IF(Atletas!N72="Houquan E",214,IF(Atletas!N72="Zuiquan E",215,IF(Atletas!N72="Ditangquan F",216,IF(Atletas!N72="Houquan F",217,IF(Atletas!N72="Zuiquan F",218,"")))))))))))))))))))))</f>
        <v/>
      </c>
      <c r="BV81" s="50" t="str">
        <f>IF(Atletas!O72="","",IF(Atletas!X72&lt;&gt;"",10000,0)+IF(Atletas!B72="Feminino",1000,IF(Atletas!B72="Masculino",2000,""))+IF(Atletas!O72="Yang A",301,IF(Atletas!O72="Chen A",302,IF(Atletas!O72="Sun A",303,IF(Atletas!O72="Wu A",304,IF(Atletas!O72="Wu-Hao A",305,IF(Atletas!O72="Outro Taijiquan A",306,IF(Atletas!O72="Yang B",307,IF(Atletas!O72="Chen B",308,IF(Atletas!O72="Sun B",309,IF(Atletas!O72="Wu B",310,IF(Atletas!O72="Wu-Hao B",311,IF(Atletas!O72="Outro Taijiquan B",312,IF(Atletas!O72="Yang C",313,IF(Atletas!O72="Chen C",314,IF(Atletas!O72="Sun C",315,IF(Atletas!O72="Wu C",316,IF(Atletas!O72="Wu-Hao C",317,IF(Atletas!O72="Outro Taijiquan C",318,IF(Atletas!O72="Yang D",319,IF(Atletas!O72="Chen D",320,IF(Atletas!O72="Sun D",321,IF(Atletas!O72="Wu D",322,IF(Atletas!O72="Wu-Hao D",323,IF(Atletas!O72="Outro Taijiquan D",324,IF(Atletas!O72="Yang E",325,IF(Atletas!O72="Chen E",326,IF(Atletas!O72="Sun E",327,IF(Atletas!O72="Wu E",328,IF(Atletas!O72="Wu-Hao E",329,IF(Atletas!O72="Outro Taijiquan E",330,IF(Atletas!O72="Yang F",331,IF(Atletas!O72="Chen F",332,IF(Atletas!O72="Sun F",333,IF(Atletas!O72="Wu F",334,IF(Atletas!O72="Wu-Hao F",335,IF(Atletas!O72="Outro Taijiquan F",336,"")))))))))))))))))))))))))))))))))))))</f>
        <v/>
      </c>
      <c r="BW81" s="50" t="str">
        <f>IF(Atletas!P72="","",IF(Atletas!X72&lt;&gt;"",10000,0)+IF(Atletas!B72="Feminino",1000,IF(Atletas!B72="Masculino",2000,""))+IF(OR(Atletas!P72="Yang 26 A",Atletas!P72="Yang 40 A"),401,IF(OR(Atletas!P72="Chen 25 A",Atletas!P72="Chen 36 A",Atletas!P72="Chen 56 A"),402,IF(Atletas!P72="Sun 73 A",403,IF(Atletas!P72="Wu 45 A",404,IF(Atletas!P72="Wu-Hao 46 A",405,IF(OR(Atletas!P72="Taijiquan 16 A",Atletas!P72="Taijiquan 24 A",Atletas!P72="Taijiquan 32 A",Atletas!P72="Taijiquan 42 A"),406,IF(OR(Atletas!P72="Yang 26 B",Atletas!P72="Yang 40 B"),407,IF(OR(Atletas!P72="Chen 25 B",Atletas!P72="Chen 36 B",Atletas!P72="Chen 56 B"),408,IF(Atletas!P72="Sun 73 B",409,IF(Atletas!P72="Wu 45 B",410,IF(Atletas!P72="Wu-Hao 46 B",411,IF(OR(Atletas!P72="Taijiquan 16 B",Atletas!P72="Taijiquan 24 B",Atletas!P72="Taijiquan 32 B",Atletas!P72="Taijiquan 42 B"),412,IF(OR(Atletas!P72="Yang 26 C",Atletas!P72="Yang 40 C"),413,IF(OR(Atletas!P72="Chen 25 C",Atletas!P72="Chen 36 C",Atletas!P72="Chen 56 C"),414,IF(Atletas!P72="Sun 73 C",415,IF(Atletas!P72="Wu 45 C",416,IF(Atletas!P72="Wu-Hao 46 C",417,IF(OR(Atletas!P72="Taijiquan 16 C",Atletas!P72="Taijiquan 24 C",Atletas!P72="Taijiquan 32 C",Atletas!P72="Taijiquan 42 C"),418,0)))))))))))))))))))</f>
        <v/>
      </c>
      <c r="BX81" s="50" t="str">
        <f>IF(Atletas!P72="","",IF(Atletas!X72&lt;&gt;"",10000,0)+IF(Atletas!B72="Feminino",1000,IF(Atletas!B72="Masculino",2000,""))+IF(OR(Atletas!P72="Yang 26 D",Atletas!P72="Yang 40 D"),419,IF(OR(Atletas!P72="Chen 25 D",Atletas!P72="Chen 36 D",Atletas!P72="Chen 56 D"),420,IF(Atletas!P72="Sun 73 D",421,IF(Atletas!P72="Wu 45 D",422,IF(Atletas!P72="Wu-Hao 46 D",423,IF(OR(Atletas!P72="Taijiquan 16 D",Atletas!P72="Taijiquan 24 D",Atletas!P72="Taijiquan 32 D",Atletas!P72="Taijiquan 42 D"),424,IF(OR(Atletas!P72="Yang 26 E",Atletas!P72="Yang 40 E"),425,IF(OR(Atletas!P72="Chen 25 E",Atletas!P72="Chen 36 E",Atletas!P72="Chen 56 E"),426,IF(Atletas!P72="Sun 73 E",427,IF(Atletas!P72="Wu 45 E",428,IF(Atletas!P72="Wu-Hao 46 E",429,IF(OR(Atletas!P72="Taijiquan 16 E",Atletas!P72="Taijiquan 24 E",Atletas!P72="Taijiquan 32 E",Atletas!P72="Taijiquan 42 E"),430,IF(OR(Atletas!P72="Yang 26 F",Atletas!P72="Yang 40 F"),431,IF(OR(Atletas!P72="Chen 25 F",Atletas!P72="Chen 36 F",Atletas!P72="Chen 56 F"),432,IF(Atletas!P72="Sun 73 F",433,IF(Atletas!P72="Wu 45 F",434,IF(Atletas!P72="Wu-Hao 46 F",435,IF(OR(Atletas!P72="Taijiquan 16 F",Atletas!P72="Taijiquan 24 F",Atletas!P72="Taijiquan 32 F",Atletas!P72="Taijiquan 42 F"),436,0)))))))))))))))))))</f>
        <v/>
      </c>
      <c r="BY81" s="50" t="str">
        <f>IF(Atletas!Q72="","",IF(Atletas!X72&lt;&gt;"",10000,0)+IF(Atletas!B72="Feminino",1000,IF(Atletas!B72="Masculino",2000,""))+IF(Atletas!Q72="Xingyiquan A",501,IF(Atletas!Q72="Baguazhang A",502,IF(Atletas!Q72="Outro Estilo Interno A",503,IF(Atletas!Q72="Xingyiquan B",504,IF(Atletas!Q72="Baguazhang B",505,IF(Atletas!Q72="Outro Estilo Interno B",506,IF(Atletas!Q72="Xingyiquan C",507,IF(Atletas!Q72="Baguazhang C",508,IF(Atletas!Q72="Outro Estilo Interno C",509,IF(Atletas!Q72="Xingyiquan D",510,IF(Atletas!Q72="Baguazhang D",511,IF(Atletas!Q72="Outro Estilo Interno D",512,IF(Atletas!Q72="Xingyiquan E",513,IF(Atletas!Q72="Baguazhang E",514,IF(Atletas!Q72="Outro Estilo Interno E",515,IF(Atletas!Q72="Xingyiquan F",516,IF(Atletas!Q72="Baguazhang F",517,IF(Atletas!Q72="Outro Estilo Interno F",518, "")))))))))))))))))))</f>
        <v/>
      </c>
      <c r="BZ81" s="50" t="str">
        <f>IF(Atletas!R72="","",IF(Atletas!X72&lt;&gt;"",10000,0)+IF(Atletas!B72="Feminino",1000,IF(Atletas!B72="Masculino",2000,""))+IF(Atletas!R72="Dao A",601,IF(Atletas!R72="Jian A",602,IF(Atletas!R72="Bishou A",603,IF(Atletas!R72="Shanzi A",604,IF(Atletas!R72="Outra Arma Curta A",605,IF(Atletas!R72="Dao B",606,IF(Atletas!R72="Jian B",607,IF(Atletas!R72="Bishou B",608,IF(Atletas!R72="Shanzi B",609,IF(Atletas!R72="Outra Arma Curta B",610,IF(Atletas!R72="Dao C",611,IF(Atletas!R72="Jian C",612,IF(Atletas!R72="Bishou C",613,IF(Atletas!R72="Shanzi C",614,IF(Atletas!R72="Outra Arma Curta C",615,IF(Atletas!R72="Dao D",616,IF(Atletas!R72="Jian D",617,IF(Atletas!R72="Bishou D",618,IF(Atletas!R72="Shanzi D",619,IF(Atletas!R72="Outra Arma Curta D",620,IF(Atletas!R72="Dao E",621,IF(Atletas!R72="Jian E",622,IF(Atletas!R72="Bishou E",623,IF(Atletas!R72="Shanzi E",624,IF(Atletas!R72="Outra Arma Curta E",625,IF(Atletas!R72="Dao F",626,IF(Atletas!R72="Jian F",627,IF(Atletas!R72="Bishou F",628,IF(Atletas!R72="Shanzi F",629,IF(Atletas!R72="Outra Arma Curta F",630, "")))))))))))))))))))))))))))))))</f>
        <v/>
      </c>
      <c r="CA81" s="50" t="str">
        <f>IF(Atletas!S72="","",IF(Atletas!X72&lt;&gt;"",10000,0)+IF(Atletas!B72="Feminino",1000,IF(Atletas!B72="Masculino",2000,""))+IF(Atletas!S72="Gun A",701,IF(Atletas!S72="Qiang A",702,IF(Atletas!S72="Pudao / Guandao A",703,IF(Atletas!S72="Outra Arma Longa A",704,IF(Atletas!S72="Gun B",705,IF(Atletas!S72="Qiang B",706,IF(Atletas!S72="Pudao / Guandao B",707,IF(Atletas!S72="Outra Arma Longa B",708,IF(Atletas!S72="Gun C",709,IF(Atletas!S72="Qiang C",710,IF(Atletas!S72="Pudao / Guandao C",711,IF(Atletas!S72="Outra Arma Longa C",712,IF(Atletas!S72="Gun D",713,IF(Atletas!S72="Qiang D",714,IF(Atletas!S72="Pudao / Guandao D",715,IF(Atletas!S72="Outra Arma Longa D",716,IF(Atletas!S72="Gun E",717,IF(Atletas!S72="Qiang E",718,IF(Atletas!S72="Pudao / Guandao E",719,IF(Atletas!S72="Outra Arma Longa E",720,IF(Atletas!S72="Gun F",721,IF(Atletas!S72="Qiang F",722,IF(Atletas!S72="Pudao / Guandao F",723,IF(Atletas!S72="Outra Arma Longa F",724,"")))))))))))))))))))))))))</f>
        <v/>
      </c>
      <c r="CB81" s="50" t="str">
        <f>IF(Atletas!T72="","",IF(Atletas!X72&lt;&gt;"",10000,0)+IF(Atletas!B72="Feminino",1000,IF(Atletas!B72="Masculino",2000,""))+IF(Atletas!T72="Outra Arma Dupla A",801,IF(Atletas!T72="Arma Maleável A",802,IF(Atletas!T72="Outra Arma Dupla B",803,IF(Atletas!T72="Arma Maleável B",804,IF(Atletas!T72="Outra Arma Dupla C",805,IF(Atletas!T72="Arma Maleável C",806,IF(Atletas!T72="Outra Arma Dupla D",807,IF(Atletas!T72="Arma Maleável D",808,IF(Atletas!T72="Outra Arma Dupla E",809,IF(Atletas!T72="Arma Maleável E",810,IF(Atletas!T72="Outra Arma Dupla F",811,IF(Atletas!T72="Arma Maleável F",812,IF(Atletas!T72="Shuangdao A",813,IF(Atletas!T72="Shuangdao B",814,IF(Atletas!T72="Shuangdao C",815,IF(Atletas!T72="Shuangdao D",816,IF(Atletas!T72="Shuangdao E",817,IF(Atletas!T72="Shuangdao F",818,"")))))))))))))))))))</f>
        <v/>
      </c>
      <c r="CC81" s="50" t="str">
        <f>IF(Atletas!U72="","",IF(Atletas!X72&lt;&gt;"",10000,0)+IF(Atletas!B72="Feminino",1000,IF(Atletas!B72="Masculino",2000,""))+IF(OR(Atletas!U72="Taijijian Yang A",Atletas!U72="Taijijian Yang Standard A"),901,IF(OR(Atletas!U72="Taijijian Chen A", Atletas!U72="Taijijian Chen Standard A"),902,IF(Atletas!U72="Taijijian Sun A",903,IF(Atletas!U72="Taijijian Wu A",904,IF(Atletas!U72="Taijijian Wu-Hao A",905,IF(OR(Atletas!U72="Taijijian 32 A",Atletas!U72="Taijijian 42 A"),906,IF(OR(Atletas!U72="Taijijian Yang B",Atletas!U72="Taijijian Yang Standard B"),907,IF(OR(Atletas!U72="Taijijian Chen B", Atletas!U72="Taijijian Chen Standard B"),908,IF(Atletas!U72="Taijijian Sun B",909,IF(Atletas!U72="Taijijian Wu B",910,IF(Atletas!U72="Taijijian Wu-Hao B",911,IF(OR(Atletas!U72="Taijijian 32 B",Atletas!U72="Taijijian 42 B"),912,IF(OR(Atletas!U72="Taijijian Yang C",Atletas!U72="Taijijian Yang Standard C"),913,IF(OR(Atletas!U72="Taijijian Chen C", Atletas!U72="Taijijian Chen Standard C"),914,IF(Atletas!U72="Taijijian Sun C",915,IF(Atletas!U72="Taijijian Wu C",916,IF(Atletas!U72="Taijijian Wu-Hao C",917,IF(OR(Atletas!U72="Taijijian 32 C",Atletas!U72="Taijijian 42 C"),918,IF(OR(Atletas!U72="Taijijian Yang D",Atletas!U72="Taijijian Yang Standard D"),919,IF(OR(Atletas!U72="Taijijian Chen D", Atletas!U72="Taijijian Chen Standard D"),920,IF(Atletas!U72="Taijijian Sun D",921,IF(Atletas!U72="Taijijian Wu D",922,IF(Atletas!U72="Taijijian Wu-Hao D",923,IF(OR(Atletas!U72="Taijijian 32 D",Atletas!U72="Taijijian 42 D"),924,IF(OR(Atletas!U72="Taijijian Yang E",Atletas!U72="Taijijian Yang Standard E"),925,IF(OR(Atletas!U72="Taijijian Chen E", Atletas!U72="Taijijian Chen Standard E"),926,IF(Atletas!U72="Taijijian Sun E",927,IF(Atletas!U72="Taijijian Wu E",928,IF(Atletas!U72="Taijijian Wu-Hao E",929,IF(OR(Atletas!U72="Taijijian 32 E",Atletas!U72="Taijijian 42 E"),930,IF(OR(Atletas!U72="Taijijian Yang F",Atletas!U72="Taijijian Yang Standard F"),931,IF(OR(Atletas!U72="Taijijian Chen F", Atletas!U72="Taijijian Chen Standard F"),932,IF(Atletas!U72="Taijijian Sun F",933,IF(Atletas!U72="Taijijian Wu F",934,IF(Atletas!U72="Taijijian Wu-Hao F",935,IF(OR(Atletas!U72="Taijijian 32 F",Atletas!U72="Taijijian 42 F"),936,"")))))))))))))))))))))))))))))))))))))</f>
        <v/>
      </c>
      <c r="CD81" s="50" t="str">
        <f>IF(Atletas!V72="","",IF(Atletas!X72&lt;&gt;"",10000,0)+IF(Atletas!B72="Feminino",1000,IF(Atletas!B72="Masculino",2000,""))+IF(Atletas!V72="Taijidao A",937,IF(Atletas!V72="TaijiShanzi A",938,IF(Atletas!V72="Taijiqiang A",939,IF(Atletas!V72="Bagua de Arma A",940,IF(Atletas!V72="Xingyi de Arma A",941,IF(Atletas!V72="Taijidao B",942,IF(Atletas!V72="TaijiShanzi B",943,IF(Atletas!V72="Taijiqiang B",944,IF(Atletas!V72="Bagua de Arma B",945,IF(Atletas!V72="Xingyi de Arma B",946,IF(Atletas!V72="Taijidao C",947,IF(Atletas!V72="TaijiShanzi C",948,IF(Atletas!V72="Taijiqiang C",949,IF(Atletas!V72="Bagua de Arma C",950,IF(Atletas!V72="Xingyi de Arma C",951,IF(Atletas!V72="Taijidao D",952,IF(Atletas!V72="TaijiShanzi D",953,IF(Atletas!V72="Taijiqiang D",954,IF(Atletas!V72="Bagua de Arma D",955,IF(Atletas!V72="Xingyi de Arma D",956,IF(Atletas!V72="Taijidao E",957,IF(Atletas!V72="TaijiShanzi E",958,IF(Atletas!V72="Taijiqiang E",959,IF(Atletas!V72="Bagua de Arma E",960,IF(Atletas!V72="Xingyi de Arma E",961,IF(Atletas!V72="Taijidao F",962,IF(Atletas!V72="TaijiShanzi F",963,IF(Atletas!V72="Taijiqiang F",964,IF(Atletas!V72="Bagua de Arma F",965,IF(Atletas!V72="Xingyi de Arma F",966,"")))))))))))))))))))))))))))))))</f>
        <v/>
      </c>
      <c r="CE81" s="66" t="str">
        <f>IF(CF81&lt;&gt;"","Outros Estilos C","")</f>
        <v/>
      </c>
      <c r="CF81" s="66" t="str">
        <f>IF(COUNTIF(BR:CD,1139)&gt;0,COUNTIF(BR:CD,1139),"")</f>
        <v/>
      </c>
      <c r="CG81" s="66" t="str">
        <f>IF(CH81&lt;&gt;"","Outros Estilos C","")</f>
        <v/>
      </c>
      <c r="CH81" s="66" t="str">
        <f>IF(COUNTIF(BR:CD,2139)&gt;0,COUNTIF(BR:CD,2139),"")</f>
        <v/>
      </c>
      <c r="CI81" s="66" t="str">
        <f>IF(CJ81&lt;&gt;"","Paoquan D","")</f>
        <v/>
      </c>
      <c r="CJ81" s="66" t="str">
        <f>IF(COUNTIF(BR:CD,11145)&gt;0,COUNTIF(BR:CD,11145),"")</f>
        <v/>
      </c>
      <c r="CK81" s="66" t="str">
        <f>IF(CL81&lt;&gt;"","Paoquan D","")</f>
        <v/>
      </c>
      <c r="CL81" s="66" t="str">
        <f>IF(COUNTIF(BR:CD,12145)&gt;0,COUNTIF(BR:CD,12145),"")</f>
        <v/>
      </c>
      <c r="CM81" s="50" t="str">
        <f xml:space="preserve"> IF(Atletas!W72="","",IF(Atletas!W72="Duilian de Mãos BC - Equipe 1",1,IF(Atletas!W72="Duilian de Mãos BC - Equipe 2",2,IF(Atletas!W72="Duilian de Armas BC - Equipe 1",3,IF(Atletas!W72="Duilian de Armas BC - Equipe 2",4,IF(Atletas!W72="Duilian de Mãos DE - Equipe 1",5,IF(Atletas!W72="Duilian de Mãos DE - Equipe 2",6,IF(Atletas!W72="Duilian de Armas DE - Equipe 1",7,IF(Atletas!W72="Duilian de Armas DE - Equipe 2",8,IF(Atletas!W72="Duilian de Tuishou - Equipe 1",9,IF(Atletas!W72="Duilian de Tuishou - Equipe 2",10,IF(Atletas!W72="Grupo Externo ABC - Equipe 1",11,IF(Atletas!W72="Grupo Externo ABC - Equipe 2",12,IF(Atletas!W72="Grupo Interno ABC - Equipe 1",13,IF(Atletas!W72="Grupo Interno ABC - Equipe 2",14,IF(Atletas!W72="Grupo Externo DEF - Equipe 1",15,IF(Atletas!W72="Grupo Externo DEF - Equipe 2",16,IF(Atletas!W72="Grupo Interno DEF - Equipe 1",17,IF(Atletas!W72="Grupo Interno DEF - Equipe 2",18,"")))))))))))))))))))</f>
        <v/>
      </c>
    </row>
    <row r="82" spans="2:9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20"/>
      <c r="Y82" s="3"/>
      <c r="Z82" s="3" t="str">
        <f t="array" ref="Z82">IFERROR(INDEX(CE$7:CE$348,SMALL(IF(CE$7:CE$348&lt;&gt;"",ROW(CE$7:CE$348)-ROW(CE$7)+1),ROWS(CE$7:CE81))),"")</f>
        <v/>
      </c>
      <c r="AA82" s="3" t="str">
        <f t="array" ref="AA82">IFERROR(INDEX(CF$7:CF$348,SMALL(IF(CF$7:CF$348&lt;&gt;"",ROW(CF$7:CF$348)-ROW(CF$7)+1),ROWS(CF$7:CF81))),"")</f>
        <v/>
      </c>
      <c r="AB82" s="3" t="str">
        <f t="array" ref="AB82">IFERROR(INDEX(CG$7:CG$348,SMALL(IF(CG$7:CG$348&lt;&gt;"",ROW(CG$7:CG$348)-ROW(CG$7)+1),ROWS(CG$7:CG81))),"")</f>
        <v/>
      </c>
      <c r="AC82" s="3" t="str">
        <f t="array" ref="AC82">IFERROR(INDEX(CH$7:CH$348,SMALL(IF(CH$7:CH$348&lt;&gt;"",ROW(CH$7:CH$348)-ROW(CH$7)+1),ROWS(CH$7:CH81))),"")</f>
        <v/>
      </c>
      <c r="AD82" s="3" t="str">
        <f t="array" ref="AD82">IFERROR(INDEX(CI$7:CI$377,SMALL(IF(CI$7:CI$377&lt;&gt;"",ROW(CI$7:CI$377)-ROW(CI$7)+1),ROWS(CI$7:CI81))),"")</f>
        <v/>
      </c>
      <c r="AE82" s="3" t="str">
        <f t="array" ref="AE82">IFERROR(INDEX(CJ$7:CJ$378,SMALL(IF(CJ$7:CJ$378&lt;&gt;"",ROW(CJ$7:CJ$378)-ROW(CJ$7)+1),ROWS(CJ$7:CJ81))),"")</f>
        <v/>
      </c>
      <c r="AF82" s="3" t="str">
        <f t="array" ref="AF82">IFERROR(INDEX(CK$7:CK$378,SMALL(IF(CK$7:CK$378&lt;&gt;"",ROW(CK$7:CK$378)-ROW(CK$7)+1),ROWS(CK$7:CK81))),"")</f>
        <v/>
      </c>
      <c r="AG82" s="3" t="str">
        <f t="array" ref="AG82">IFERROR(INDEX(CL$7:CL$378,SMALL(IF(CL$7:CL$378&lt;&gt;"",ROW(CL$7:CL$378)-ROW(CL$7)+1),ROWS(CL$7:CL81))),"")</f>
        <v/>
      </c>
      <c r="AH82" s="3"/>
      <c r="AI82" s="3"/>
      <c r="AJ82" s="3"/>
      <c r="AK82" s="3"/>
      <c r="AL82" s="3"/>
      <c r="AM82" s="3"/>
      <c r="AN82" s="52" t="str">
        <f>IF(Atletas!D73="","",IF(Atletas!B73="Feminino",100,IF(Atletas!B73="Masculino",200,""))+(IF(Atletas!D73="Kids 30kg",1,IF(Atletas!D73="Kids 32kg",2, IF(Atletas!D73="Kids 34kg",3,IF(Atletas!D73="Kids 36kg",4,IF(Atletas!D73="Kids 39kg",5,IF(Atletas!D73="Kids 42kg",6,IF(Atletas!D73="Kids 45kg",7, IF(Atletas!D73="Infantil 39kg",8,IF(Atletas!D73="Infantil 42kg",9,IF(Atletas!D73="Infantil 45kg",10,IF(Atletas!D73="Infantil 48kg",11,IF(Atletas!D73="Infantil 52kg",12,IF(Atletas!D73="Infantil 56kg",13,IF(Atletas!D73="Infantil 60kg",14,IF(Atletas!D73="Juvenil 48kg",15,IF(Atletas!D73="Juvenil 52kg",16,IF(Atletas!D73="Juvenil 56kg",17,IF(Atletas!D73="Juvenil 60kg",18,IF(Atletas!D73="Juvenil 65kg",19,IF(Atletas!D73="Juvenil 70kg",20,IF(Atletas!D73="Juvenil 75kg",21,IF(Atletas!D73="Juvenil 80kg",22, IF(Atletas!D73="Juvenil 85kg",23,IF(Atletas!D73="Adulto 48kg",24,IF(Atletas!D73="Adulto 52kg",25,IF(Atletas!D73="Adulto 56kg",26,IF(Atletas!D73="Adulto 60kg",27,IF(Atletas!D73="Adulto 65kg",28,IF(Atletas!D73="Adulto 70kg",29,IF(Atletas!D73="Adulto 75kg",30,IF(Atletas!D73="Adulto 80kg",31,IF(Atletas!D73="Adulto 85kg",32,IF(Atletas!D73="Adulto 90kg",33,IF(Atletas!D73="Adulto 100kg",34, IF(Atletas!D73="Adulto +100kg",35,"")))))))))))))))))))))))))))))))))))))</f>
        <v/>
      </c>
      <c r="AS82" s="6" t="str">
        <f>IF(Atletas!E73="","",IF(Atletas!B73="Feminino",100,IF(Atletas!B73="Masculino",200,""))+(IF(Atletas!E73="Juvenil 44kg",1,IF(Atletas!E73="Juvenil 48kg",2,IF(Atletas!E73="Juvenil 52kg",3,IF(Atletas!E73="Juvenil 56kg",4,IF(Atletas!E73="Juvenil 60kg",5,IF(Atletas!E73="Juvenil 65kg",6,IF(Atletas!E73="Juvenil 70kg",7,IF(Atletas!E73="Juvenil 75kg",8,IF(Atletas!E73="Juvenil 82kg",9,IF(Atletas!E73="Juvenil 90kg",10,IF(Atletas!E73="Juvenil 100kg",11,IF(Atletas!E73="Adulto 48kg",12,IF(Atletas!E73="Adulto 52kg",13,IF(Atletas!E73="Adulto 56kg",14,IF(Atletas!E73="Adulto 60kg",15,IF(Atletas!E73="Adulto 65kg",16,IF(Atletas!E73="Adulto 70kg",17,IF(Atletas!E73="Adulto 75kg",18,IF(Atletas!E73="Adulto 82kg",19,IF(Atletas!E73="Adulto 90kg",20,IF(Atletas!E73="Adulto 100kg",21,IF(Atletas!E73="Adulto +100kg",22,""))))))))))))))))))))))))</f>
        <v/>
      </c>
      <c r="AX82" s="6" t="str">
        <f>IF(Atletas!F73="","",IF(Atletas!B73="Feminino",100,IF(Atletas!B73="Masculino",200,""))+(IF(Atletas!F73="Adulto 48kg",1,IF(Atletas!F73="Adulto 56kg",2,IF(Atletas!F73="Adulto 65kg",3,IF(Atletas!F73="Adulto 75kg",4,IF(Atletas!F73="Adulto +75kg",5,IF(Atletas!F73="Adulto 52kg",6,IF(Atletas!F73="Adulto 60kg",7,IF(Atletas!F73="Adulto 70kg",8,IF(Atletas!F73="Adulto 80kg",9,IF(Atletas!F73="Adulto 90kg",10,IF(Atletas!F73="Adulto +90kg",11,"")))))))))))))</f>
        <v/>
      </c>
      <c r="BC82" s="6" t="str">
        <f>IF(Atletas!G73="","",IF(Atletas!B73="Feminino",10,IF(Atletas!B73="Masculino",20,""))+(IF(Atletas!G73="Baduanjin A",1,IF(Atletas!G73="Baduanjin B",2))))</f>
        <v/>
      </c>
      <c r="BF82" s="52" t="str">
        <f>IF(Atletas!H73="","",IF(Atletas!B73="Feminino",100,IF(Atletas!B73="Masculino",200,""))+(IF(Atletas!H73="Changquan Mirim",1,IF(Atletas!H73="Nanquan Mirim",2,IF(Atletas!H73="Taijiquan Mirim",3,IF(Atletas!H73="Changquan Grupo C",4,IF(Atletas!H73="Nanquan Grupo C",5,IF(Atletas!H73="Taijiquan Grupo C",6,IF(Atletas!H73="Changquan Grupo B",7,IF(Atletas!H73="Nanquan Grupo B",8,IF(Atletas!H73="Taijiquan Grupo B",9,IF(Atletas!H73="Changquan Grupo A",10,IF(Atletas!H73="Nanquan Grupo A",11,IF(Atletas!H73="Taijiquan Grupo A",12,IF(Atletas!H73="Changquan Opcional",13,IF(Atletas!H73="Nanquan Opcional",14,IF(Atletas!H73="Taijiquan Opcional",15,IF(Atletas!H73="Changquan Adulto",16,IF(Atletas!H73="Nanquan Adulto",17,IF(Atletas!H73="Taijiquan Adulto",18,""))))))))))))))))))))</f>
        <v/>
      </c>
      <c r="BG82" s="52" t="str">
        <f>IF(Atletas!I73="","",IF(Atletas!B73="Feminino",100,IF(Atletas!B73="Masculino",200,""))+(IF(Atletas!I73="Daoshu Mirim",19,IF(Atletas!I73="Jianshu Mirim",20,IF(Atletas!I73="Nandao Mirim",21,IF(Atletas!I73="Taijijian Mirim",22,IF(Atletas!I73="Daoshu Grupo C",23,IF(Atletas!I73="Jianshu Grupo C",24,IF(Atletas!I73="Nandao Grupo C",25,IF(Atletas!I73="Taijijian Grupo C",26,IF(Atletas!I73="Daoshu Grupo B",27,IF(Atletas!I73="Jianshu Grupo B",28,IF(Atletas!I73="Nandao Grupo B",29,IF(Atletas!I73="Taijijian Grupo B",30,IF(Atletas!I73="Daoshu Grupo A",31,IF(Atletas!I73="Jianshu Grupo A",32,IF(Atletas!I73="Nandao Grupo A",33,IF(Atletas!I73="Taijijian Grupo A",34,IF(Atletas!I73="Daoshu Opcional",35,IF(Atletas!I73="Jianshu Opcional",36,IF(Atletas!I73="Nandao Opcional",37,IF(Atletas!I73="Taijijian Opcional",38,IF(Atletas!I73="Daoshu Adulto",39,IF(Atletas!I73="Jianshu Adulto",40,IF(Atletas!I73="Nandao Adulto",41,IF(Atletas!I73="Taijijian Adulto",42,""))))))))))))))))))))))))))</f>
        <v/>
      </c>
      <c r="BH82" s="52" t="str">
        <f>IF(Atletas!J73="","",IF(Atletas!B73="Feminino",100,IF(Atletas!B73="Masculino",200,""))+(IF(Atletas!J73="Gunshu Mirim",43,IF(Atletas!J73="Qiangshu Mirim",44,IF(Atletas!J73="Nangun Mirim",45,IF(Atletas!J73="Gunshu Grupo C",46,IF(Atletas!J73="Qiangshu Grupo C",47,IF(Atletas!J73="Nangun Grupo C",48,IF(Atletas!J73="Gunshu Grupo B",49,IF(Atletas!J73="Qiangshu Grupo B",50,IF(Atletas!J73="Nangun Grupo B",51,IF(Atletas!J73="Gunshu Grupo A",52,IF(Atletas!J73="Qiangshu Grupo A",53,IF(Atletas!J73="Nangun Grupo A",54,IF(Atletas!J73="Gunshu Opcional",55,IF(Atletas!J73="Qiangshu Opcional",56,IF(Atletas!J73="Nangun Opcional",57,IF(Atletas!J73="Gunshu Adulto",58,IF(Atletas!J73="Qiangshu Adulto",59,IF(Atletas!J73="Nangun Adulto",60,IF(Atletas!J73="Taijishan Grupo B",61,IF(Atletas!J73="Taijishan Grupo A",62,""))))))))))))))))))))))</f>
        <v/>
      </c>
      <c r="BM82" s="50" t="str">
        <f>IF(Atletas!K73="","",IF(Atletas!B73="Feminino",100,IF(Atletas!B73="Masculino",200,""))+(IF(Atletas!K73="Equipe 1 Grupo B",1,IF(Atletas!K73="Equipe 2 Grupo B",2,IF(Atletas!K73="Equipe 1 Grupo A",3,IF(Atletas!K73="Equipe 2 Grupo A",4,IF(Atletas!K73="Equipe 1 Adulto",5,IF(Atletas!K73="Equipe 2 Adulto",6,""))))))))</f>
        <v/>
      </c>
      <c r="BR82" s="50" t="str">
        <f>IF(Atletas!L73="","",IF(Atletas!X73&lt;&gt;"",10000,0)+(IF(Atletas!B73="Feminino",1000,IF(Atletas!B73="Masculino",2000,""))+IF(Atletas!L73="Choylayfut A",1,IF(Atletas!L73="Hunggar A",2,IF(Atletas!L73="Wuzuquan A",3,IF(Atletas!L73="Wingchun A",4,IF(Atletas!L73="Outra Mão de Sul A",5,IF(Atletas!L73="Choylayfut B",6,IF(Atletas!L73="Hunggar B",7,IF(Atletas!L73="Wuzuquan B",8,IF(Atletas!L73="Wingchun B",9,IF(Atletas!L73="Outra Mão de Sul B",10,IF(Atletas!L73="Choylayfut C",11,IF(Atletas!L73="Hunggar C",12,IF(Atletas!L73="Wuzuquan C",13,IF(Atletas!L73="Wingchun C",14,IF(Atletas!L73="Outra Mão de Sul C",15,IF(Atletas!L73="Choylayfut D",16,IF(Atletas!L73="Hunggar D",17,IF(Atletas!L73="Wuzuquan D",18,IF(Atletas!L73="Wingchun D",19,IF(Atletas!L73="Outra Mão de Sul D",20,IF(Atletas!L73="Choylayfut E",21,IF(Atletas!L73="Hunggar E",22,IF(Atletas!L73="Wuzuquan E",23,IF(Atletas!L73="Wingchun E",24,IF(Atletas!L73="Outra Mão de Sul E",25,IF(Atletas!L73="Choylayfut F",26,IF(Atletas!L73="Hunggar F",27,IF(Atletas!L73="Wuzuquan F",28,IF(Atletas!L73="Wingchun F",29,IF(Atletas!L73="Outra Mão de Sul F",30,IF(Atletas!L73="Dishuquan A",31,IF(Atletas!L73="Dishuquan B",32,IF(Atletas!L73="Dishuquan C",33,IF(Atletas!L73="Dishuquan D",34,IF(Atletas!L73="Dishuquan E",35,IF(Atletas!L73="Dishuquan F",36,""))))))))))))))))))))))))))))))))))))))</f>
        <v/>
      </c>
      <c r="BS82" s="50" t="str">
        <f>IF(Atletas!M73="","",IF(Atletas!X73&lt;&gt;"",10000,0)+(IF(Atletas!B73="Feminino",1000,IF(Atletas!B73="Masculino",2000,""))+(IF(Atletas!M73="Chaquan A",101,IF(Atletas!M73="Emeiquan A",102,IF(Atletas!M73="Fanziquan A",103,IF(Atletas!M73="Huaquan A",104,IF(Atletas!M73="Hongquan A",105,IF(Atletas!M73="Paoquan A",106,IF(Atletas!M73="Piguaquan A",107,IF(Atletas!M73="Shaolinquan A",108,IF(Atletas!M73="Tanglangquan A",109,IF(Atletas!M73="Yingzhaoquan A",110,IF(Atletas!M73="Tongbeiquan A",111,IF(Atletas!M73="Wudangquan A",112,IF(Atletas!M73="Outros Estilos A",113,IF(Atletas!M73="Chaquan B",114,IF(Atletas!M73="Emeiquan B",115,IF(Atletas!M73="Fanziquan B",116,IF(Atletas!M73="Huaquan B",117,IF(Atletas!M73="Hongquan B",118,IF(Atletas!M73="Paoquan B",119,IF(Atletas!M73="Piguaquan B",120,IF(Atletas!M73="Shaolinquan B",121,IF(Atletas!M73="Tanglangquan B",122,IF(Atletas!M73="Yingzhaoquan B",123,IF(Atletas!M73="Tongbeiquan B",124,IF(Atletas!M73="Wudangquan B",125,IF(Atletas!M73="Outros Estilos B",126,IF(Atletas!M73="Chaquan C",127,IF(Atletas!M73="Emeiquan C",128,IF(Atletas!M73="Fanziquan C",129,IF(Atletas!M73="Huaquan C",130,IF(Atletas!M73="Hongquan C",131,IF(Atletas!M73="Paoquan C",132,IF(Atletas!M73="Piguaquan C",133,IF(Atletas!M73="Shaolinquan C",134,IF(Atletas!M73="Tanglangquan C",135,IF(Atletas!M73="Yingzhaoquan C",136,IF(Atletas!M73="Tongbeiquan C",137,IF(Atletas!M73="Wudangquan C",138,IF(Atletas!M73="Outros Estilos C",139,0))))))))))))))))))))))))))))))))))))))))))</f>
        <v/>
      </c>
      <c r="BT82" s="50" t="str">
        <f>IF(Atletas!M73="","",IF(Atletas!X73&lt;&gt;"",10000,0)+(IF(Atletas!B73="Feminino",1000,IF(Atletas!B73="Masculino",2000,""))+(IF(Atletas!M73="Chaquan D",140,IF(Atletas!M73="Emeiquan D",141,IF(Atletas!M73="Fanziquan D",142,IF(Atletas!M73="Huaquan D",143,IF(Atletas!M73="Hongquan D",144,IF(Atletas!M73="Paoquan D",145,IF(Atletas!M73="Piguaquan D",146,IF(Atletas!M73="Shaolinquan D",147,IF(Atletas!M73="Tanglangquan D",148,IF(Atletas!M73="Yingzhaoquan D",149,IF(Atletas!M73="Tongbeiquan D",150,IF(Atletas!M73="Wudangquan D",151,IF(Atletas!M73="Outros Estilos D",152,IF(Atletas!M73="Chaquan E",153,IF(Atletas!M73="Emeiquan E",154,IF(Atletas!M73="Fanziquan E",155,IF(Atletas!M73="Huaquan E",156,IF(Atletas!M73="Hongquan E",157,IF(Atletas!M73="Paoquan E",158,IF(Atletas!M73="Piguaquan E",159,IF(Atletas!M73="Shaolinquan E",160,IF(Atletas!M73="Tanglangquan E",161,IF(Atletas!M73="Yingzhaoquan E",162,IF(Atletas!M73="Tongbeiquan E",163,IF(Atletas!M73="Wudangquan E",164,IF(Atletas!M73="Outros Estilos E",165,IF(Atletas!M73="Chaquan F",166,IF(Atletas!M73="Emeiquan F",167,IF(Atletas!M73="Fanziquan F",168,IF(Atletas!M73="Huaquan F",169,IF(Atletas!M73="Hongquan F",170,IF(Atletas!M73="Paoquan F",171,IF(Atletas!M73="Piguaquan F",172,IF(Atletas!M73="Shaolinquan F",173,IF(Atletas!M73="Tanglangquan F",174,IF(Atletas!M73="Yingzhaoquan F",175,IF(Atletas!M73="Tongbeiquan F",176,IF(Atletas!M73="Wudangquan F",177,IF(Atletas!M73="Outros Estilos F",178,0))))))))))))))))))))))))))))))))))))))))))</f>
        <v/>
      </c>
      <c r="BU82" s="50" t="str">
        <f>IF(Atletas!N73="","",IF(Atletas!X73&lt;&gt;"",10000,0)+(IF(Atletas!B73="Feminino",1000,IF(Atletas!B73="Masculino",2000,""))+(IF(Atletas!N73="Ditangquan A",201,IF(Atletas!N73="Houquan A",202,IF(Atletas!N73="Zuiquan A",203,IF(Atletas!N73="Ditangquan B",204,IF(Atletas!N73="Houquan B",205,IF(Atletas!N73="Zuiquan B",206,IF(Atletas!N73="Ditangquan C",207,IF(Atletas!N73="Houquan C",208,IF(Atletas!N73="Zuiquan C",209,IF(Atletas!N73="Ditangquan D",210,IF(Atletas!N73="Houquan D",211,IF(Atletas!N73="Zuiquan D",212,IF(Atletas!N73="Ditangquan E",213,IF(Atletas!N73="Houquan E",214,IF(Atletas!N73="Zuiquan E",215,IF(Atletas!N73="Ditangquan F",216,IF(Atletas!N73="Houquan F",217,IF(Atletas!N73="Zuiquan F",218,"")))))))))))))))))))))</f>
        <v/>
      </c>
      <c r="BV82" s="50" t="str">
        <f>IF(Atletas!O73="","",IF(Atletas!X73&lt;&gt;"",10000,0)+IF(Atletas!B73="Feminino",1000,IF(Atletas!B73="Masculino",2000,""))+IF(Atletas!O73="Yang A",301,IF(Atletas!O73="Chen A",302,IF(Atletas!O73="Sun A",303,IF(Atletas!O73="Wu A",304,IF(Atletas!O73="Wu-Hao A",305,IF(Atletas!O73="Outro Taijiquan A",306,IF(Atletas!O73="Yang B",307,IF(Atletas!O73="Chen B",308,IF(Atletas!O73="Sun B",309,IF(Atletas!O73="Wu B",310,IF(Atletas!O73="Wu-Hao B",311,IF(Atletas!O73="Outro Taijiquan B",312,IF(Atletas!O73="Yang C",313,IF(Atletas!O73="Chen C",314,IF(Atletas!O73="Sun C",315,IF(Atletas!O73="Wu C",316,IF(Atletas!O73="Wu-Hao C",317,IF(Atletas!O73="Outro Taijiquan C",318,IF(Atletas!O73="Yang D",319,IF(Atletas!O73="Chen D",320,IF(Atletas!O73="Sun D",321,IF(Atletas!O73="Wu D",322,IF(Atletas!O73="Wu-Hao D",323,IF(Atletas!O73="Outro Taijiquan D",324,IF(Atletas!O73="Yang E",325,IF(Atletas!O73="Chen E",326,IF(Atletas!O73="Sun E",327,IF(Atletas!O73="Wu E",328,IF(Atletas!O73="Wu-Hao E",329,IF(Atletas!O73="Outro Taijiquan E",330,IF(Atletas!O73="Yang F",331,IF(Atletas!O73="Chen F",332,IF(Atletas!O73="Sun F",333,IF(Atletas!O73="Wu F",334,IF(Atletas!O73="Wu-Hao F",335,IF(Atletas!O73="Outro Taijiquan F",336,"")))))))))))))))))))))))))))))))))))))</f>
        <v/>
      </c>
      <c r="BW82" s="50" t="str">
        <f>IF(Atletas!P73="","",IF(Atletas!X73&lt;&gt;"",10000,0)+IF(Atletas!B73="Feminino",1000,IF(Atletas!B73="Masculino",2000,""))+IF(OR(Atletas!P73="Yang 26 A",Atletas!P73="Yang 40 A"),401,IF(OR(Atletas!P73="Chen 25 A",Atletas!P73="Chen 36 A",Atletas!P73="Chen 56 A"),402,IF(Atletas!P73="Sun 73 A",403,IF(Atletas!P73="Wu 45 A",404,IF(Atletas!P73="Wu-Hao 46 A",405,IF(OR(Atletas!P73="Taijiquan 16 A",Atletas!P73="Taijiquan 24 A",Atletas!P73="Taijiquan 32 A",Atletas!P73="Taijiquan 42 A"),406,IF(OR(Atletas!P73="Yang 26 B",Atletas!P73="Yang 40 B"),407,IF(OR(Atletas!P73="Chen 25 B",Atletas!P73="Chen 36 B",Atletas!P73="Chen 56 B"),408,IF(Atletas!P73="Sun 73 B",409,IF(Atletas!P73="Wu 45 B",410,IF(Atletas!P73="Wu-Hao 46 B",411,IF(OR(Atletas!P73="Taijiquan 16 B",Atletas!P73="Taijiquan 24 B",Atletas!P73="Taijiquan 32 B",Atletas!P73="Taijiquan 42 B"),412,IF(OR(Atletas!P73="Yang 26 C",Atletas!P73="Yang 40 C"),413,IF(OR(Atletas!P73="Chen 25 C",Atletas!P73="Chen 36 C",Atletas!P73="Chen 56 C"),414,IF(Atletas!P73="Sun 73 C",415,IF(Atletas!P73="Wu 45 C",416,IF(Atletas!P73="Wu-Hao 46 C",417,IF(OR(Atletas!P73="Taijiquan 16 C",Atletas!P73="Taijiquan 24 C",Atletas!P73="Taijiquan 32 C",Atletas!P73="Taijiquan 42 C"),418,0)))))))))))))))))))</f>
        <v/>
      </c>
      <c r="BX82" s="50" t="str">
        <f>IF(Atletas!P73="","",IF(Atletas!X73&lt;&gt;"",10000,0)+IF(Atletas!B73="Feminino",1000,IF(Atletas!B73="Masculino",2000,""))+IF(OR(Atletas!P73="Yang 26 D",Atletas!P73="Yang 40 D"),419,IF(OR(Atletas!P73="Chen 25 D",Atletas!P73="Chen 36 D",Atletas!P73="Chen 56 D"),420,IF(Atletas!P73="Sun 73 D",421,IF(Atletas!P73="Wu 45 D",422,IF(Atletas!P73="Wu-Hao 46 D",423,IF(OR(Atletas!P73="Taijiquan 16 D",Atletas!P73="Taijiquan 24 D",Atletas!P73="Taijiquan 32 D",Atletas!P73="Taijiquan 42 D"),424,IF(OR(Atletas!P73="Yang 26 E",Atletas!P73="Yang 40 E"),425,IF(OR(Atletas!P73="Chen 25 E",Atletas!P73="Chen 36 E",Atletas!P73="Chen 56 E"),426,IF(Atletas!P73="Sun 73 E",427,IF(Atletas!P73="Wu 45 E",428,IF(Atletas!P73="Wu-Hao 46 E",429,IF(OR(Atletas!P73="Taijiquan 16 E",Atletas!P73="Taijiquan 24 E",Atletas!P73="Taijiquan 32 E",Atletas!P73="Taijiquan 42 E"),430,IF(OR(Atletas!P73="Yang 26 F",Atletas!P73="Yang 40 F"),431,IF(OR(Atletas!P73="Chen 25 F",Atletas!P73="Chen 36 F",Atletas!P73="Chen 56 F"),432,IF(Atletas!P73="Sun 73 F",433,IF(Atletas!P73="Wu 45 F",434,IF(Atletas!P73="Wu-Hao 46 F",435,IF(OR(Atletas!P73="Taijiquan 16 F",Atletas!P73="Taijiquan 24 F",Atletas!P73="Taijiquan 32 F",Atletas!P73="Taijiquan 42 F"),436,0)))))))))))))))))))</f>
        <v/>
      </c>
      <c r="BY82" s="50" t="str">
        <f>IF(Atletas!Q73="","",IF(Atletas!X73&lt;&gt;"",10000,0)+IF(Atletas!B73="Feminino",1000,IF(Atletas!B73="Masculino",2000,""))+IF(Atletas!Q73="Xingyiquan A",501,IF(Atletas!Q73="Baguazhang A",502,IF(Atletas!Q73="Outro Estilo Interno A",503,IF(Atletas!Q73="Xingyiquan B",504,IF(Atletas!Q73="Baguazhang B",505,IF(Atletas!Q73="Outro Estilo Interno B",506,IF(Atletas!Q73="Xingyiquan C",507,IF(Atletas!Q73="Baguazhang C",508,IF(Atletas!Q73="Outro Estilo Interno C",509,IF(Atletas!Q73="Xingyiquan D",510,IF(Atletas!Q73="Baguazhang D",511,IF(Atletas!Q73="Outro Estilo Interno D",512,IF(Atletas!Q73="Xingyiquan E",513,IF(Atletas!Q73="Baguazhang E",514,IF(Atletas!Q73="Outro Estilo Interno E",515,IF(Atletas!Q73="Xingyiquan F",516,IF(Atletas!Q73="Baguazhang F",517,IF(Atletas!Q73="Outro Estilo Interno F",518, "")))))))))))))))))))</f>
        <v/>
      </c>
      <c r="BZ82" s="50" t="str">
        <f>IF(Atletas!R73="","",IF(Atletas!X73&lt;&gt;"",10000,0)+IF(Atletas!B73="Feminino",1000,IF(Atletas!B73="Masculino",2000,""))+IF(Atletas!R73="Dao A",601,IF(Atletas!R73="Jian A",602,IF(Atletas!R73="Bishou A",603,IF(Atletas!R73="Shanzi A",604,IF(Atletas!R73="Outra Arma Curta A",605,IF(Atletas!R73="Dao B",606,IF(Atletas!R73="Jian B",607,IF(Atletas!R73="Bishou B",608,IF(Atletas!R73="Shanzi B",609,IF(Atletas!R73="Outra Arma Curta B",610,IF(Atletas!R73="Dao C",611,IF(Atletas!R73="Jian C",612,IF(Atletas!R73="Bishou C",613,IF(Atletas!R73="Shanzi C",614,IF(Atletas!R73="Outra Arma Curta C",615,IF(Atletas!R73="Dao D",616,IF(Atletas!R73="Jian D",617,IF(Atletas!R73="Bishou D",618,IF(Atletas!R73="Shanzi D",619,IF(Atletas!R73="Outra Arma Curta D",620,IF(Atletas!R73="Dao E",621,IF(Atletas!R73="Jian E",622,IF(Atletas!R73="Bishou E",623,IF(Atletas!R73="Shanzi E",624,IF(Atletas!R73="Outra Arma Curta E",625,IF(Atletas!R73="Dao F",626,IF(Atletas!R73="Jian F",627,IF(Atletas!R73="Bishou F",628,IF(Atletas!R73="Shanzi F",629,IF(Atletas!R73="Outra Arma Curta F",630, "")))))))))))))))))))))))))))))))</f>
        <v/>
      </c>
      <c r="CA82" s="50" t="str">
        <f>IF(Atletas!S73="","",IF(Atletas!X73&lt;&gt;"",10000,0)+IF(Atletas!B73="Feminino",1000,IF(Atletas!B73="Masculino",2000,""))+IF(Atletas!S73="Gun A",701,IF(Atletas!S73="Qiang A",702,IF(Atletas!S73="Pudao / Guandao A",703,IF(Atletas!S73="Outra Arma Longa A",704,IF(Atletas!S73="Gun B",705,IF(Atletas!S73="Qiang B",706,IF(Atletas!S73="Pudao / Guandao B",707,IF(Atletas!S73="Outra Arma Longa B",708,IF(Atletas!S73="Gun C",709,IF(Atletas!S73="Qiang C",710,IF(Atletas!S73="Pudao / Guandao C",711,IF(Atletas!S73="Outra Arma Longa C",712,IF(Atletas!S73="Gun D",713,IF(Atletas!S73="Qiang D",714,IF(Atletas!S73="Pudao / Guandao D",715,IF(Atletas!S73="Outra Arma Longa D",716,IF(Atletas!S73="Gun E",717,IF(Atletas!S73="Qiang E",718,IF(Atletas!S73="Pudao / Guandao E",719,IF(Atletas!S73="Outra Arma Longa E",720,IF(Atletas!S73="Gun F",721,IF(Atletas!S73="Qiang F",722,IF(Atletas!S73="Pudao / Guandao F",723,IF(Atletas!S73="Outra Arma Longa F",724,"")))))))))))))))))))))))))</f>
        <v/>
      </c>
      <c r="CB82" s="50" t="str">
        <f>IF(Atletas!T73="","",IF(Atletas!X73&lt;&gt;"",10000,0)+IF(Atletas!B73="Feminino",1000,IF(Atletas!B73="Masculino",2000,""))+IF(Atletas!T73="Outra Arma Dupla A",801,IF(Atletas!T73="Arma Maleável A",802,IF(Atletas!T73="Outra Arma Dupla B",803,IF(Atletas!T73="Arma Maleável B",804,IF(Atletas!T73="Outra Arma Dupla C",805,IF(Atletas!T73="Arma Maleável C",806,IF(Atletas!T73="Outra Arma Dupla D",807,IF(Atletas!T73="Arma Maleável D",808,IF(Atletas!T73="Outra Arma Dupla E",809,IF(Atletas!T73="Arma Maleável E",810,IF(Atletas!T73="Outra Arma Dupla F",811,IF(Atletas!T73="Arma Maleável F",812,IF(Atletas!T73="Shuangdao A",813,IF(Atletas!T73="Shuangdao B",814,IF(Atletas!T73="Shuangdao C",815,IF(Atletas!T73="Shuangdao D",816,IF(Atletas!T73="Shuangdao E",817,IF(Atletas!T73="Shuangdao F",818,"")))))))))))))))))))</f>
        <v/>
      </c>
      <c r="CC82" s="50" t="str">
        <f>IF(Atletas!U73="","",IF(Atletas!X73&lt;&gt;"",10000,0)+IF(Atletas!B73="Feminino",1000,IF(Atletas!B73="Masculino",2000,""))+IF(OR(Atletas!U73="Taijijian Yang A",Atletas!U73="Taijijian Yang Standard A"),901,IF(OR(Atletas!U73="Taijijian Chen A", Atletas!U73="Taijijian Chen Standard A"),902,IF(Atletas!U73="Taijijian Sun A",903,IF(Atletas!U73="Taijijian Wu A",904,IF(Atletas!U73="Taijijian Wu-Hao A",905,IF(OR(Atletas!U73="Taijijian 32 A",Atletas!U73="Taijijian 42 A"),906,IF(OR(Atletas!U73="Taijijian Yang B",Atletas!U73="Taijijian Yang Standard B"),907,IF(OR(Atletas!U73="Taijijian Chen B", Atletas!U73="Taijijian Chen Standard B"),908,IF(Atletas!U73="Taijijian Sun B",909,IF(Atletas!U73="Taijijian Wu B",910,IF(Atletas!U73="Taijijian Wu-Hao B",911,IF(OR(Atletas!U73="Taijijian 32 B",Atletas!U73="Taijijian 42 B"),912,IF(OR(Atletas!U73="Taijijian Yang C",Atletas!U73="Taijijian Yang Standard C"),913,IF(OR(Atletas!U73="Taijijian Chen C", Atletas!U73="Taijijian Chen Standard C"),914,IF(Atletas!U73="Taijijian Sun C",915,IF(Atletas!U73="Taijijian Wu C",916,IF(Atletas!U73="Taijijian Wu-Hao C",917,IF(OR(Atletas!U73="Taijijian 32 C",Atletas!U73="Taijijian 42 C"),918,IF(OR(Atletas!U73="Taijijian Yang D",Atletas!U73="Taijijian Yang Standard D"),919,IF(OR(Atletas!U73="Taijijian Chen D", Atletas!U73="Taijijian Chen Standard D"),920,IF(Atletas!U73="Taijijian Sun D",921,IF(Atletas!U73="Taijijian Wu D",922,IF(Atletas!U73="Taijijian Wu-Hao D",923,IF(OR(Atletas!U73="Taijijian 32 D",Atletas!U73="Taijijian 42 D"),924,IF(OR(Atletas!U73="Taijijian Yang E",Atletas!U73="Taijijian Yang Standard E"),925,IF(OR(Atletas!U73="Taijijian Chen E", Atletas!U73="Taijijian Chen Standard E"),926,IF(Atletas!U73="Taijijian Sun E",927,IF(Atletas!U73="Taijijian Wu E",928,IF(Atletas!U73="Taijijian Wu-Hao E",929,IF(OR(Atletas!U73="Taijijian 32 E",Atletas!U73="Taijijian 42 E"),930,IF(OR(Atletas!U73="Taijijian Yang F",Atletas!U73="Taijijian Yang Standard F"),931,IF(OR(Atletas!U73="Taijijian Chen F", Atletas!U73="Taijijian Chen Standard F"),932,IF(Atletas!U73="Taijijian Sun F",933,IF(Atletas!U73="Taijijian Wu F",934,IF(Atletas!U73="Taijijian Wu-Hao F",935,IF(OR(Atletas!U73="Taijijian 32 F",Atletas!U73="Taijijian 42 F"),936,"")))))))))))))))))))))))))))))))))))))</f>
        <v/>
      </c>
      <c r="CD82" s="50" t="str">
        <f>IF(Atletas!V73="","",IF(Atletas!X73&lt;&gt;"",10000,0)+IF(Atletas!B73="Feminino",1000,IF(Atletas!B73="Masculino",2000,""))+IF(Atletas!V73="Taijidao A",937,IF(Atletas!V73="TaijiShanzi A",938,IF(Atletas!V73="Taijiqiang A",939,IF(Atletas!V73="Bagua de Arma A",940,IF(Atletas!V73="Xingyi de Arma A",941,IF(Atletas!V73="Taijidao B",942,IF(Atletas!V73="TaijiShanzi B",943,IF(Atletas!V73="Taijiqiang B",944,IF(Atletas!V73="Bagua de Arma B",945,IF(Atletas!V73="Xingyi de Arma B",946,IF(Atletas!V73="Taijidao C",947,IF(Atletas!V73="TaijiShanzi C",948,IF(Atletas!V73="Taijiqiang C",949,IF(Atletas!V73="Bagua de Arma C",950,IF(Atletas!V73="Xingyi de Arma C",951,IF(Atletas!V73="Taijidao D",952,IF(Atletas!V73="TaijiShanzi D",953,IF(Atletas!V73="Taijiqiang D",954,IF(Atletas!V73="Bagua de Arma D",955,IF(Atletas!V73="Xingyi de Arma D",956,IF(Atletas!V73="Taijidao E",957,IF(Atletas!V73="TaijiShanzi E",958,IF(Atletas!V73="Taijiqiang E",959,IF(Atletas!V73="Bagua de Arma E",960,IF(Atletas!V73="Xingyi de Arma E",961,IF(Atletas!V73="Taijidao F",962,IF(Atletas!V73="TaijiShanzi F",963,IF(Atletas!V73="Taijiqiang F",964,IF(Atletas!V73="Bagua de Arma F",965,IF(Atletas!V73="Xingyi de Arma F",966,"")))))))))))))))))))))))))))))))</f>
        <v/>
      </c>
      <c r="CE82" s="66" t="str">
        <f>IF(CF82&lt;&gt;"","Chaquan D","")</f>
        <v/>
      </c>
      <c r="CF82" s="66" t="str">
        <f>IF(COUNTIF(BR:CD,1140)&gt;0,COUNTIF(BR:CD,1140),"")</f>
        <v/>
      </c>
      <c r="CG82" s="66" t="str">
        <f>IF(CH82&lt;&gt;"","Chaquan D","")</f>
        <v/>
      </c>
      <c r="CH82" s="66" t="str">
        <f>IF(COUNTIF(BR:CD,2140)&gt;0,COUNTIF(BR:CD,2140),"")</f>
        <v/>
      </c>
      <c r="CI82" s="66" t="str">
        <f>IF(CJ82&lt;&gt;"","Piguaquan D","")</f>
        <v/>
      </c>
      <c r="CJ82" s="66" t="str">
        <f>IF(COUNTIF(BR:CD,11146)&gt;0,COUNTIF(BR:CD,11146),"")</f>
        <v/>
      </c>
      <c r="CK82" s="66" t="str">
        <f>IF(CL82&lt;&gt;"","Piguaquan D","")</f>
        <v/>
      </c>
      <c r="CL82" s="66" t="str">
        <f>IF(COUNTIF(BR:CD,12146)&gt;0,COUNTIF(BR:CD,12146),"")</f>
        <v/>
      </c>
      <c r="CM82" s="50" t="str">
        <f xml:space="preserve"> IF(Atletas!W73="","",IF(Atletas!W73="Duilian de Mãos BC - Equipe 1",1,IF(Atletas!W73="Duilian de Mãos BC - Equipe 2",2,IF(Atletas!W73="Duilian de Armas BC - Equipe 1",3,IF(Atletas!W73="Duilian de Armas BC - Equipe 2",4,IF(Atletas!W73="Duilian de Mãos DE - Equipe 1",5,IF(Atletas!W73="Duilian de Mãos DE - Equipe 2",6,IF(Atletas!W73="Duilian de Armas DE - Equipe 1",7,IF(Atletas!W73="Duilian de Armas DE - Equipe 2",8,IF(Atletas!W73="Duilian de Tuishou - Equipe 1",9,IF(Atletas!W73="Duilian de Tuishou - Equipe 2",10,IF(Atletas!W73="Grupo Externo ABC - Equipe 1",11,IF(Atletas!W73="Grupo Externo ABC - Equipe 2",12,IF(Atletas!W73="Grupo Interno ABC - Equipe 1",13,IF(Atletas!W73="Grupo Interno ABC - Equipe 2",14,IF(Atletas!W73="Grupo Externo DEF - Equipe 1",15,IF(Atletas!W73="Grupo Externo DEF - Equipe 2",16,IF(Atletas!W73="Grupo Interno DEF - Equipe 1",17,IF(Atletas!W73="Grupo Interno DEF - Equipe 2",18,"")))))))))))))))))))</f>
        <v/>
      </c>
    </row>
    <row r="83" spans="2:91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20"/>
      <c r="Y83" s="3"/>
      <c r="Z83" s="3" t="str">
        <f t="array" ref="Z83">IFERROR(INDEX(CE$7:CE$348,SMALL(IF(CE$7:CE$348&lt;&gt;"",ROW(CE$7:CE$348)-ROW(CE$7)+1),ROWS(CE$7:CE82))),"")</f>
        <v/>
      </c>
      <c r="AA83" s="3" t="str">
        <f t="array" ref="AA83">IFERROR(INDEX(CF$7:CF$348,SMALL(IF(CF$7:CF$348&lt;&gt;"",ROW(CF$7:CF$348)-ROW(CF$7)+1),ROWS(CF$7:CF82))),"")</f>
        <v/>
      </c>
      <c r="AB83" s="3" t="str">
        <f t="array" ref="AB83">IFERROR(INDEX(CG$7:CG$348,SMALL(IF(CG$7:CG$348&lt;&gt;"",ROW(CG$7:CG$348)-ROW(CG$7)+1),ROWS(CG$7:CG82))),"")</f>
        <v/>
      </c>
      <c r="AC83" s="3" t="str">
        <f t="array" ref="AC83">IFERROR(INDEX(CH$7:CH$348,SMALL(IF(CH$7:CH$348&lt;&gt;"",ROW(CH$7:CH$348)-ROW(CH$7)+1),ROWS(CH$7:CH82))),"")</f>
        <v/>
      </c>
      <c r="AD83" s="3" t="str">
        <f t="array" ref="AD83">IFERROR(INDEX(CI$7:CI$377,SMALL(IF(CI$7:CI$377&lt;&gt;"",ROW(CI$7:CI$377)-ROW(CI$7)+1),ROWS(CI$7:CI82))),"")</f>
        <v/>
      </c>
      <c r="AE83" s="3" t="str">
        <f t="array" ref="AE83">IFERROR(INDEX(CJ$7:CJ$378,SMALL(IF(CJ$7:CJ$378&lt;&gt;"",ROW(CJ$7:CJ$378)-ROW(CJ$7)+1),ROWS(CJ$7:CJ82))),"")</f>
        <v/>
      </c>
      <c r="AF83" s="3" t="str">
        <f t="array" ref="AF83">IFERROR(INDEX(CK$7:CK$378,SMALL(IF(CK$7:CK$378&lt;&gt;"",ROW(CK$7:CK$378)-ROW(CK$7)+1),ROWS(CK$7:CK82))),"")</f>
        <v/>
      </c>
      <c r="AG83" s="3" t="str">
        <f t="array" ref="AG83">IFERROR(INDEX(CL$7:CL$378,SMALL(IF(CL$7:CL$378&lt;&gt;"",ROW(CL$7:CL$378)-ROW(CL$7)+1),ROWS(CL$7:CL82))),"")</f>
        <v/>
      </c>
      <c r="AH83" s="3"/>
      <c r="AI83" s="3"/>
      <c r="AJ83" s="3"/>
      <c r="AK83" s="3"/>
      <c r="AL83" s="3"/>
      <c r="AM83" s="3"/>
      <c r="AN83" s="52" t="str">
        <f>IF(Atletas!D74="","",IF(Atletas!B74="Feminino",100,IF(Atletas!B74="Masculino",200,""))+(IF(Atletas!D74="Kids 30kg",1,IF(Atletas!D74="Kids 32kg",2, IF(Atletas!D74="Kids 34kg",3,IF(Atletas!D74="Kids 36kg",4,IF(Atletas!D74="Kids 39kg",5,IF(Atletas!D74="Kids 42kg",6,IF(Atletas!D74="Kids 45kg",7, IF(Atletas!D74="Infantil 39kg",8,IF(Atletas!D74="Infantil 42kg",9,IF(Atletas!D74="Infantil 45kg",10,IF(Atletas!D74="Infantil 48kg",11,IF(Atletas!D74="Infantil 52kg",12,IF(Atletas!D74="Infantil 56kg",13,IF(Atletas!D74="Infantil 60kg",14,IF(Atletas!D74="Juvenil 48kg",15,IF(Atletas!D74="Juvenil 52kg",16,IF(Atletas!D74="Juvenil 56kg",17,IF(Atletas!D74="Juvenil 60kg",18,IF(Atletas!D74="Juvenil 65kg",19,IF(Atletas!D74="Juvenil 70kg",20,IF(Atletas!D74="Juvenil 75kg",21,IF(Atletas!D74="Juvenil 80kg",22, IF(Atletas!D74="Juvenil 85kg",23,IF(Atletas!D74="Adulto 48kg",24,IF(Atletas!D74="Adulto 52kg",25,IF(Atletas!D74="Adulto 56kg",26,IF(Atletas!D74="Adulto 60kg",27,IF(Atletas!D74="Adulto 65kg",28,IF(Atletas!D74="Adulto 70kg",29,IF(Atletas!D74="Adulto 75kg",30,IF(Atletas!D74="Adulto 80kg",31,IF(Atletas!D74="Adulto 85kg",32,IF(Atletas!D74="Adulto 90kg",33,IF(Atletas!D74="Adulto 100kg",34, IF(Atletas!D74="Adulto +100kg",35,"")))))))))))))))))))))))))))))))))))))</f>
        <v/>
      </c>
      <c r="AS83" s="6" t="str">
        <f>IF(Atletas!E74="","",IF(Atletas!B74="Feminino",100,IF(Atletas!B74="Masculino",200,""))+(IF(Atletas!E74="Juvenil 44kg",1,IF(Atletas!E74="Juvenil 48kg",2,IF(Atletas!E74="Juvenil 52kg",3,IF(Atletas!E74="Juvenil 56kg",4,IF(Atletas!E74="Juvenil 60kg",5,IF(Atletas!E74="Juvenil 65kg",6,IF(Atletas!E74="Juvenil 70kg",7,IF(Atletas!E74="Juvenil 75kg",8,IF(Atletas!E74="Juvenil 82kg",9,IF(Atletas!E74="Juvenil 90kg",10,IF(Atletas!E74="Juvenil 100kg",11,IF(Atletas!E74="Adulto 48kg",12,IF(Atletas!E74="Adulto 52kg",13,IF(Atletas!E74="Adulto 56kg",14,IF(Atletas!E74="Adulto 60kg",15,IF(Atletas!E74="Adulto 65kg",16,IF(Atletas!E74="Adulto 70kg",17,IF(Atletas!E74="Adulto 75kg",18,IF(Atletas!E74="Adulto 82kg",19,IF(Atletas!E74="Adulto 90kg",20,IF(Atletas!E74="Adulto 100kg",21,IF(Atletas!E74="Adulto +100kg",22,""))))))))))))))))))))))))</f>
        <v/>
      </c>
      <c r="AX83" s="6" t="str">
        <f>IF(Atletas!F74="","",IF(Atletas!B74="Feminino",100,IF(Atletas!B74="Masculino",200,""))+(IF(Atletas!F74="Adulto 48kg",1,IF(Atletas!F74="Adulto 56kg",2,IF(Atletas!F74="Adulto 65kg",3,IF(Atletas!F74="Adulto 75kg",4,IF(Atletas!F74="Adulto +75kg",5,IF(Atletas!F74="Adulto 52kg",6,IF(Atletas!F74="Adulto 60kg",7,IF(Atletas!F74="Adulto 70kg",8,IF(Atletas!F74="Adulto 80kg",9,IF(Atletas!F74="Adulto 90kg",10,IF(Atletas!F74="Adulto +90kg",11,"")))))))))))))</f>
        <v/>
      </c>
      <c r="BC83" s="6" t="str">
        <f>IF(Atletas!G74="","",IF(Atletas!B74="Feminino",10,IF(Atletas!B74="Masculino",20,""))+(IF(Atletas!G74="Baduanjin A",1,IF(Atletas!G74="Baduanjin B",2))))</f>
        <v/>
      </c>
      <c r="BF83" s="52" t="str">
        <f>IF(Atletas!H74="","",IF(Atletas!B74="Feminino",100,IF(Atletas!B74="Masculino",200,""))+(IF(Atletas!H74="Changquan Mirim",1,IF(Atletas!H74="Nanquan Mirim",2,IF(Atletas!H74="Taijiquan Mirim",3,IF(Atletas!H74="Changquan Grupo C",4,IF(Atletas!H74="Nanquan Grupo C",5,IF(Atletas!H74="Taijiquan Grupo C",6,IF(Atletas!H74="Changquan Grupo B",7,IF(Atletas!H74="Nanquan Grupo B",8,IF(Atletas!H74="Taijiquan Grupo B",9,IF(Atletas!H74="Changquan Grupo A",10,IF(Atletas!H74="Nanquan Grupo A",11,IF(Atletas!H74="Taijiquan Grupo A",12,IF(Atletas!H74="Changquan Opcional",13,IF(Atletas!H74="Nanquan Opcional",14,IF(Atletas!H74="Taijiquan Opcional",15,IF(Atletas!H74="Changquan Adulto",16,IF(Atletas!H74="Nanquan Adulto",17,IF(Atletas!H74="Taijiquan Adulto",18,""))))))))))))))))))))</f>
        <v/>
      </c>
      <c r="BG83" s="52" t="str">
        <f>IF(Atletas!I74="","",IF(Atletas!B74="Feminino",100,IF(Atletas!B74="Masculino",200,""))+(IF(Atletas!I74="Daoshu Mirim",19,IF(Atletas!I74="Jianshu Mirim",20,IF(Atletas!I74="Nandao Mirim",21,IF(Atletas!I74="Taijijian Mirim",22,IF(Atletas!I74="Daoshu Grupo C",23,IF(Atletas!I74="Jianshu Grupo C",24,IF(Atletas!I74="Nandao Grupo C",25,IF(Atletas!I74="Taijijian Grupo C",26,IF(Atletas!I74="Daoshu Grupo B",27,IF(Atletas!I74="Jianshu Grupo B",28,IF(Atletas!I74="Nandao Grupo B",29,IF(Atletas!I74="Taijijian Grupo B",30,IF(Atletas!I74="Daoshu Grupo A",31,IF(Atletas!I74="Jianshu Grupo A",32,IF(Atletas!I74="Nandao Grupo A",33,IF(Atletas!I74="Taijijian Grupo A",34,IF(Atletas!I74="Daoshu Opcional",35,IF(Atletas!I74="Jianshu Opcional",36,IF(Atletas!I74="Nandao Opcional",37,IF(Atletas!I74="Taijijian Opcional",38,IF(Atletas!I74="Daoshu Adulto",39,IF(Atletas!I74="Jianshu Adulto",40,IF(Atletas!I74="Nandao Adulto",41,IF(Atletas!I74="Taijijian Adulto",42,""))))))))))))))))))))))))))</f>
        <v/>
      </c>
      <c r="BH83" s="52" t="str">
        <f>IF(Atletas!J74="","",IF(Atletas!B74="Feminino",100,IF(Atletas!B74="Masculino",200,""))+(IF(Atletas!J74="Gunshu Mirim",43,IF(Atletas!J74="Qiangshu Mirim",44,IF(Atletas!J74="Nangun Mirim",45,IF(Atletas!J74="Gunshu Grupo C",46,IF(Atletas!J74="Qiangshu Grupo C",47,IF(Atletas!J74="Nangun Grupo C",48,IF(Atletas!J74="Gunshu Grupo B",49,IF(Atletas!J74="Qiangshu Grupo B",50,IF(Atletas!J74="Nangun Grupo B",51,IF(Atletas!J74="Gunshu Grupo A",52,IF(Atletas!J74="Qiangshu Grupo A",53,IF(Atletas!J74="Nangun Grupo A",54,IF(Atletas!J74="Gunshu Opcional",55,IF(Atletas!J74="Qiangshu Opcional",56,IF(Atletas!J74="Nangun Opcional",57,IF(Atletas!J74="Gunshu Adulto",58,IF(Atletas!J74="Qiangshu Adulto",59,IF(Atletas!J74="Nangun Adulto",60,IF(Atletas!J74="Taijishan Grupo B",61,IF(Atletas!J74="Taijishan Grupo A",62,""))))))))))))))))))))))</f>
        <v/>
      </c>
      <c r="BM83" s="50" t="str">
        <f>IF(Atletas!K74="","",IF(Atletas!B74="Feminino",100,IF(Atletas!B74="Masculino",200,""))+(IF(Atletas!K74="Equipe 1 Grupo B",1,IF(Atletas!K74="Equipe 2 Grupo B",2,IF(Atletas!K74="Equipe 1 Grupo A",3,IF(Atletas!K74="Equipe 2 Grupo A",4,IF(Atletas!K74="Equipe 1 Adulto",5,IF(Atletas!K74="Equipe 2 Adulto",6,""))))))))</f>
        <v/>
      </c>
      <c r="BR83" s="50" t="str">
        <f>IF(Atletas!L74="","",IF(Atletas!X74&lt;&gt;"",10000,0)+(IF(Atletas!B74="Feminino",1000,IF(Atletas!B74="Masculino",2000,""))+IF(Atletas!L74="Choylayfut A",1,IF(Atletas!L74="Hunggar A",2,IF(Atletas!L74="Wuzuquan A",3,IF(Atletas!L74="Wingchun A",4,IF(Atletas!L74="Outra Mão de Sul A",5,IF(Atletas!L74="Choylayfut B",6,IF(Atletas!L74="Hunggar B",7,IF(Atletas!L74="Wuzuquan B",8,IF(Atletas!L74="Wingchun B",9,IF(Atletas!L74="Outra Mão de Sul B",10,IF(Atletas!L74="Choylayfut C",11,IF(Atletas!L74="Hunggar C",12,IF(Atletas!L74="Wuzuquan C",13,IF(Atletas!L74="Wingchun C",14,IF(Atletas!L74="Outra Mão de Sul C",15,IF(Atletas!L74="Choylayfut D",16,IF(Atletas!L74="Hunggar D",17,IF(Atletas!L74="Wuzuquan D",18,IF(Atletas!L74="Wingchun D",19,IF(Atletas!L74="Outra Mão de Sul D",20,IF(Atletas!L74="Choylayfut E",21,IF(Atletas!L74="Hunggar E",22,IF(Atletas!L74="Wuzuquan E",23,IF(Atletas!L74="Wingchun E",24,IF(Atletas!L74="Outra Mão de Sul E",25,IF(Atletas!L74="Choylayfut F",26,IF(Atletas!L74="Hunggar F",27,IF(Atletas!L74="Wuzuquan F",28,IF(Atletas!L74="Wingchun F",29,IF(Atletas!L74="Outra Mão de Sul F",30,IF(Atletas!L74="Dishuquan A",31,IF(Atletas!L74="Dishuquan B",32,IF(Atletas!L74="Dishuquan C",33,IF(Atletas!L74="Dishuquan D",34,IF(Atletas!L74="Dishuquan E",35,IF(Atletas!L74="Dishuquan F",36,""))))))))))))))))))))))))))))))))))))))</f>
        <v/>
      </c>
      <c r="BS83" s="50" t="str">
        <f>IF(Atletas!M74="","",IF(Atletas!X74&lt;&gt;"",10000,0)+(IF(Atletas!B74="Feminino",1000,IF(Atletas!B74="Masculino",2000,""))+(IF(Atletas!M74="Chaquan A",101,IF(Atletas!M74="Emeiquan A",102,IF(Atletas!M74="Fanziquan A",103,IF(Atletas!M74="Huaquan A",104,IF(Atletas!M74="Hongquan A",105,IF(Atletas!M74="Paoquan A",106,IF(Atletas!M74="Piguaquan A",107,IF(Atletas!M74="Shaolinquan A",108,IF(Atletas!M74="Tanglangquan A",109,IF(Atletas!M74="Yingzhaoquan A",110,IF(Atletas!M74="Tongbeiquan A",111,IF(Atletas!M74="Wudangquan A",112,IF(Atletas!M74="Outros Estilos A",113,IF(Atletas!M74="Chaquan B",114,IF(Atletas!M74="Emeiquan B",115,IF(Atletas!M74="Fanziquan B",116,IF(Atletas!M74="Huaquan B",117,IF(Atletas!M74="Hongquan B",118,IF(Atletas!M74="Paoquan B",119,IF(Atletas!M74="Piguaquan B",120,IF(Atletas!M74="Shaolinquan B",121,IF(Atletas!M74="Tanglangquan B",122,IF(Atletas!M74="Yingzhaoquan B",123,IF(Atletas!M74="Tongbeiquan B",124,IF(Atletas!M74="Wudangquan B",125,IF(Atletas!M74="Outros Estilos B",126,IF(Atletas!M74="Chaquan C",127,IF(Atletas!M74="Emeiquan C",128,IF(Atletas!M74="Fanziquan C",129,IF(Atletas!M74="Huaquan C",130,IF(Atletas!M74="Hongquan C",131,IF(Atletas!M74="Paoquan C",132,IF(Atletas!M74="Piguaquan C",133,IF(Atletas!M74="Shaolinquan C",134,IF(Atletas!M74="Tanglangquan C",135,IF(Atletas!M74="Yingzhaoquan C",136,IF(Atletas!M74="Tongbeiquan C",137,IF(Atletas!M74="Wudangquan C",138,IF(Atletas!M74="Outros Estilos C",139,0))))))))))))))))))))))))))))))))))))))))))</f>
        <v/>
      </c>
      <c r="BT83" s="50" t="str">
        <f>IF(Atletas!M74="","",IF(Atletas!X74&lt;&gt;"",10000,0)+(IF(Atletas!B74="Feminino",1000,IF(Atletas!B74="Masculino",2000,""))+(IF(Atletas!M74="Chaquan D",140,IF(Atletas!M74="Emeiquan D",141,IF(Atletas!M74="Fanziquan D",142,IF(Atletas!M74="Huaquan D",143,IF(Atletas!M74="Hongquan D",144,IF(Atletas!M74="Paoquan D",145,IF(Atletas!M74="Piguaquan D",146,IF(Atletas!M74="Shaolinquan D",147,IF(Atletas!M74="Tanglangquan D",148,IF(Atletas!M74="Yingzhaoquan D",149,IF(Atletas!M74="Tongbeiquan D",150,IF(Atletas!M74="Wudangquan D",151,IF(Atletas!M74="Outros Estilos D",152,IF(Atletas!M74="Chaquan E",153,IF(Atletas!M74="Emeiquan E",154,IF(Atletas!M74="Fanziquan E",155,IF(Atletas!M74="Huaquan E",156,IF(Atletas!M74="Hongquan E",157,IF(Atletas!M74="Paoquan E",158,IF(Atletas!M74="Piguaquan E",159,IF(Atletas!M74="Shaolinquan E",160,IF(Atletas!M74="Tanglangquan E",161,IF(Atletas!M74="Yingzhaoquan E",162,IF(Atletas!M74="Tongbeiquan E",163,IF(Atletas!M74="Wudangquan E",164,IF(Atletas!M74="Outros Estilos E",165,IF(Atletas!M74="Chaquan F",166,IF(Atletas!M74="Emeiquan F",167,IF(Atletas!M74="Fanziquan F",168,IF(Atletas!M74="Huaquan F",169,IF(Atletas!M74="Hongquan F",170,IF(Atletas!M74="Paoquan F",171,IF(Atletas!M74="Piguaquan F",172,IF(Atletas!M74="Shaolinquan F",173,IF(Atletas!M74="Tanglangquan F",174,IF(Atletas!M74="Yingzhaoquan F",175,IF(Atletas!M74="Tongbeiquan F",176,IF(Atletas!M74="Wudangquan F",177,IF(Atletas!M74="Outros Estilos F",178,0))))))))))))))))))))))))))))))))))))))))))</f>
        <v/>
      </c>
      <c r="BU83" s="50" t="str">
        <f>IF(Atletas!N74="","",IF(Atletas!X74&lt;&gt;"",10000,0)+(IF(Atletas!B74="Feminino",1000,IF(Atletas!B74="Masculino",2000,""))+(IF(Atletas!N74="Ditangquan A",201,IF(Atletas!N74="Houquan A",202,IF(Atletas!N74="Zuiquan A",203,IF(Atletas!N74="Ditangquan B",204,IF(Atletas!N74="Houquan B",205,IF(Atletas!N74="Zuiquan B",206,IF(Atletas!N74="Ditangquan C",207,IF(Atletas!N74="Houquan C",208,IF(Atletas!N74="Zuiquan C",209,IF(Atletas!N74="Ditangquan D",210,IF(Atletas!N74="Houquan D",211,IF(Atletas!N74="Zuiquan D",212,IF(Atletas!N74="Ditangquan E",213,IF(Atletas!N74="Houquan E",214,IF(Atletas!N74="Zuiquan E",215,IF(Atletas!N74="Ditangquan F",216,IF(Atletas!N74="Houquan F",217,IF(Atletas!N74="Zuiquan F",218,"")))))))))))))))))))))</f>
        <v/>
      </c>
      <c r="BV83" s="50" t="str">
        <f>IF(Atletas!O74="","",IF(Atletas!X74&lt;&gt;"",10000,0)+IF(Atletas!B74="Feminino",1000,IF(Atletas!B74="Masculino",2000,""))+IF(Atletas!O74="Yang A",301,IF(Atletas!O74="Chen A",302,IF(Atletas!O74="Sun A",303,IF(Atletas!O74="Wu A",304,IF(Atletas!O74="Wu-Hao A",305,IF(Atletas!O74="Outro Taijiquan A",306,IF(Atletas!O74="Yang B",307,IF(Atletas!O74="Chen B",308,IF(Atletas!O74="Sun B",309,IF(Atletas!O74="Wu B",310,IF(Atletas!O74="Wu-Hao B",311,IF(Atletas!O74="Outro Taijiquan B",312,IF(Atletas!O74="Yang C",313,IF(Atletas!O74="Chen C",314,IF(Atletas!O74="Sun C",315,IF(Atletas!O74="Wu C",316,IF(Atletas!O74="Wu-Hao C",317,IF(Atletas!O74="Outro Taijiquan C",318,IF(Atletas!O74="Yang D",319,IF(Atletas!O74="Chen D",320,IF(Atletas!O74="Sun D",321,IF(Atletas!O74="Wu D",322,IF(Atletas!O74="Wu-Hao D",323,IF(Atletas!O74="Outro Taijiquan D",324,IF(Atletas!O74="Yang E",325,IF(Atletas!O74="Chen E",326,IF(Atletas!O74="Sun E",327,IF(Atletas!O74="Wu E",328,IF(Atletas!O74="Wu-Hao E",329,IF(Atletas!O74="Outro Taijiquan E",330,IF(Atletas!O74="Yang F",331,IF(Atletas!O74="Chen F",332,IF(Atletas!O74="Sun F",333,IF(Atletas!O74="Wu F",334,IF(Atletas!O74="Wu-Hao F",335,IF(Atletas!O74="Outro Taijiquan F",336,"")))))))))))))))))))))))))))))))))))))</f>
        <v/>
      </c>
      <c r="BW83" s="50" t="str">
        <f>IF(Atletas!P74="","",IF(Atletas!X74&lt;&gt;"",10000,0)+IF(Atletas!B74="Feminino",1000,IF(Atletas!B74="Masculino",2000,""))+IF(OR(Atletas!P74="Yang 26 A",Atletas!P74="Yang 40 A"),401,IF(OR(Atletas!P74="Chen 25 A",Atletas!P74="Chen 36 A",Atletas!P74="Chen 56 A"),402,IF(Atletas!P74="Sun 73 A",403,IF(Atletas!P74="Wu 45 A",404,IF(Atletas!P74="Wu-Hao 46 A",405,IF(OR(Atletas!P74="Taijiquan 16 A",Atletas!P74="Taijiquan 24 A",Atletas!P74="Taijiquan 32 A",Atletas!P74="Taijiquan 42 A"),406,IF(OR(Atletas!P74="Yang 26 B",Atletas!P74="Yang 40 B"),407,IF(OR(Atletas!P74="Chen 25 B",Atletas!P74="Chen 36 B",Atletas!P74="Chen 56 B"),408,IF(Atletas!P74="Sun 73 B",409,IF(Atletas!P74="Wu 45 B",410,IF(Atletas!P74="Wu-Hao 46 B",411,IF(OR(Atletas!P74="Taijiquan 16 B",Atletas!P74="Taijiquan 24 B",Atletas!P74="Taijiquan 32 B",Atletas!P74="Taijiquan 42 B"),412,IF(OR(Atletas!P74="Yang 26 C",Atletas!P74="Yang 40 C"),413,IF(OR(Atletas!P74="Chen 25 C",Atletas!P74="Chen 36 C",Atletas!P74="Chen 56 C"),414,IF(Atletas!P74="Sun 73 C",415,IF(Atletas!P74="Wu 45 C",416,IF(Atletas!P74="Wu-Hao 46 C",417,IF(OR(Atletas!P74="Taijiquan 16 C",Atletas!P74="Taijiquan 24 C",Atletas!P74="Taijiquan 32 C",Atletas!P74="Taijiquan 42 C"),418,0)))))))))))))))))))</f>
        <v/>
      </c>
      <c r="BX83" s="50" t="str">
        <f>IF(Atletas!P74="","",IF(Atletas!X74&lt;&gt;"",10000,0)+IF(Atletas!B74="Feminino",1000,IF(Atletas!B74="Masculino",2000,""))+IF(OR(Atletas!P74="Yang 26 D",Atletas!P74="Yang 40 D"),419,IF(OR(Atletas!P74="Chen 25 D",Atletas!P74="Chen 36 D",Atletas!P74="Chen 56 D"),420,IF(Atletas!P74="Sun 73 D",421,IF(Atletas!P74="Wu 45 D",422,IF(Atletas!P74="Wu-Hao 46 D",423,IF(OR(Atletas!P74="Taijiquan 16 D",Atletas!P74="Taijiquan 24 D",Atletas!P74="Taijiquan 32 D",Atletas!P74="Taijiquan 42 D"),424,IF(OR(Atletas!P74="Yang 26 E",Atletas!P74="Yang 40 E"),425,IF(OR(Atletas!P74="Chen 25 E",Atletas!P74="Chen 36 E",Atletas!P74="Chen 56 E"),426,IF(Atletas!P74="Sun 73 E",427,IF(Atletas!P74="Wu 45 E",428,IF(Atletas!P74="Wu-Hao 46 E",429,IF(OR(Atletas!P74="Taijiquan 16 E",Atletas!P74="Taijiquan 24 E",Atletas!P74="Taijiquan 32 E",Atletas!P74="Taijiquan 42 E"),430,IF(OR(Atletas!P74="Yang 26 F",Atletas!P74="Yang 40 F"),431,IF(OR(Atletas!P74="Chen 25 F",Atletas!P74="Chen 36 F",Atletas!P74="Chen 56 F"),432,IF(Atletas!P74="Sun 73 F",433,IF(Atletas!P74="Wu 45 F",434,IF(Atletas!P74="Wu-Hao 46 F",435,IF(OR(Atletas!P74="Taijiquan 16 F",Atletas!P74="Taijiquan 24 F",Atletas!P74="Taijiquan 32 F",Atletas!P74="Taijiquan 42 F"),436,0)))))))))))))))))))</f>
        <v/>
      </c>
      <c r="BY83" s="50" t="str">
        <f>IF(Atletas!Q74="","",IF(Atletas!X74&lt;&gt;"",10000,0)+IF(Atletas!B74="Feminino",1000,IF(Atletas!B74="Masculino",2000,""))+IF(Atletas!Q74="Xingyiquan A",501,IF(Atletas!Q74="Baguazhang A",502,IF(Atletas!Q74="Outro Estilo Interno A",503,IF(Atletas!Q74="Xingyiquan B",504,IF(Atletas!Q74="Baguazhang B",505,IF(Atletas!Q74="Outro Estilo Interno B",506,IF(Atletas!Q74="Xingyiquan C",507,IF(Atletas!Q74="Baguazhang C",508,IF(Atletas!Q74="Outro Estilo Interno C",509,IF(Atletas!Q74="Xingyiquan D",510,IF(Atletas!Q74="Baguazhang D",511,IF(Atletas!Q74="Outro Estilo Interno D",512,IF(Atletas!Q74="Xingyiquan E",513,IF(Atletas!Q74="Baguazhang E",514,IF(Atletas!Q74="Outro Estilo Interno E",515,IF(Atletas!Q74="Xingyiquan F",516,IF(Atletas!Q74="Baguazhang F",517,IF(Atletas!Q74="Outro Estilo Interno F",518, "")))))))))))))))))))</f>
        <v/>
      </c>
      <c r="BZ83" s="50" t="str">
        <f>IF(Atletas!R74="","",IF(Atletas!X74&lt;&gt;"",10000,0)+IF(Atletas!B74="Feminino",1000,IF(Atletas!B74="Masculino",2000,""))+IF(Atletas!R74="Dao A",601,IF(Atletas!R74="Jian A",602,IF(Atletas!R74="Bishou A",603,IF(Atletas!R74="Shanzi A",604,IF(Atletas!R74="Outra Arma Curta A",605,IF(Atletas!R74="Dao B",606,IF(Atletas!R74="Jian B",607,IF(Atletas!R74="Bishou B",608,IF(Atletas!R74="Shanzi B",609,IF(Atletas!R74="Outra Arma Curta B",610,IF(Atletas!R74="Dao C",611,IF(Atletas!R74="Jian C",612,IF(Atletas!R74="Bishou C",613,IF(Atletas!R74="Shanzi C",614,IF(Atletas!R74="Outra Arma Curta C",615,IF(Atletas!R74="Dao D",616,IF(Atletas!R74="Jian D",617,IF(Atletas!R74="Bishou D",618,IF(Atletas!R74="Shanzi D",619,IF(Atletas!R74="Outra Arma Curta D",620,IF(Atletas!R74="Dao E",621,IF(Atletas!R74="Jian E",622,IF(Atletas!R74="Bishou E",623,IF(Atletas!R74="Shanzi E",624,IF(Atletas!R74="Outra Arma Curta E",625,IF(Atletas!R74="Dao F",626,IF(Atletas!R74="Jian F",627,IF(Atletas!R74="Bishou F",628,IF(Atletas!R74="Shanzi F",629,IF(Atletas!R74="Outra Arma Curta F",630, "")))))))))))))))))))))))))))))))</f>
        <v/>
      </c>
      <c r="CA83" s="50" t="str">
        <f>IF(Atletas!S74="","",IF(Atletas!X74&lt;&gt;"",10000,0)+IF(Atletas!B74="Feminino",1000,IF(Atletas!B74="Masculino",2000,""))+IF(Atletas!S74="Gun A",701,IF(Atletas!S74="Qiang A",702,IF(Atletas!S74="Pudao / Guandao A",703,IF(Atletas!S74="Outra Arma Longa A",704,IF(Atletas!S74="Gun B",705,IF(Atletas!S74="Qiang B",706,IF(Atletas!S74="Pudao / Guandao B",707,IF(Atletas!S74="Outra Arma Longa B",708,IF(Atletas!S74="Gun C",709,IF(Atletas!S74="Qiang C",710,IF(Atletas!S74="Pudao / Guandao C",711,IF(Atletas!S74="Outra Arma Longa C",712,IF(Atletas!S74="Gun D",713,IF(Atletas!S74="Qiang D",714,IF(Atletas!S74="Pudao / Guandao D",715,IF(Atletas!S74="Outra Arma Longa D",716,IF(Atletas!S74="Gun E",717,IF(Atletas!S74="Qiang E",718,IF(Atletas!S74="Pudao / Guandao E",719,IF(Atletas!S74="Outra Arma Longa E",720,IF(Atletas!S74="Gun F",721,IF(Atletas!S74="Qiang F",722,IF(Atletas!S74="Pudao / Guandao F",723,IF(Atletas!S74="Outra Arma Longa F",724,"")))))))))))))))))))))))))</f>
        <v/>
      </c>
      <c r="CB83" s="50" t="str">
        <f>IF(Atletas!T74="","",IF(Atletas!X74&lt;&gt;"",10000,0)+IF(Atletas!B74="Feminino",1000,IF(Atletas!B74="Masculino",2000,""))+IF(Atletas!T74="Outra Arma Dupla A",801,IF(Atletas!T74="Arma Maleável A",802,IF(Atletas!T74="Outra Arma Dupla B",803,IF(Atletas!T74="Arma Maleável B",804,IF(Atletas!T74="Outra Arma Dupla C",805,IF(Atletas!T74="Arma Maleável C",806,IF(Atletas!T74="Outra Arma Dupla D",807,IF(Atletas!T74="Arma Maleável D",808,IF(Atletas!T74="Outra Arma Dupla E",809,IF(Atletas!T74="Arma Maleável E",810,IF(Atletas!T74="Outra Arma Dupla F",811,IF(Atletas!T74="Arma Maleável F",812,IF(Atletas!T74="Shuangdao A",813,IF(Atletas!T74="Shuangdao B",814,IF(Atletas!T74="Shuangdao C",815,IF(Atletas!T74="Shuangdao D",816,IF(Atletas!T74="Shuangdao E",817,IF(Atletas!T74="Shuangdao F",818,"")))))))))))))))))))</f>
        <v/>
      </c>
      <c r="CC83" s="50" t="str">
        <f>IF(Atletas!U74="","",IF(Atletas!X74&lt;&gt;"",10000,0)+IF(Atletas!B74="Feminino",1000,IF(Atletas!B74="Masculino",2000,""))+IF(OR(Atletas!U74="Taijijian Yang A",Atletas!U74="Taijijian Yang Standard A"),901,IF(OR(Atletas!U74="Taijijian Chen A", Atletas!U74="Taijijian Chen Standard A"),902,IF(Atletas!U74="Taijijian Sun A",903,IF(Atletas!U74="Taijijian Wu A",904,IF(Atletas!U74="Taijijian Wu-Hao A",905,IF(OR(Atletas!U74="Taijijian 32 A",Atletas!U74="Taijijian 42 A"),906,IF(OR(Atletas!U74="Taijijian Yang B",Atletas!U74="Taijijian Yang Standard B"),907,IF(OR(Atletas!U74="Taijijian Chen B", Atletas!U74="Taijijian Chen Standard B"),908,IF(Atletas!U74="Taijijian Sun B",909,IF(Atletas!U74="Taijijian Wu B",910,IF(Atletas!U74="Taijijian Wu-Hao B",911,IF(OR(Atletas!U74="Taijijian 32 B",Atletas!U74="Taijijian 42 B"),912,IF(OR(Atletas!U74="Taijijian Yang C",Atletas!U74="Taijijian Yang Standard C"),913,IF(OR(Atletas!U74="Taijijian Chen C", Atletas!U74="Taijijian Chen Standard C"),914,IF(Atletas!U74="Taijijian Sun C",915,IF(Atletas!U74="Taijijian Wu C",916,IF(Atletas!U74="Taijijian Wu-Hao C",917,IF(OR(Atletas!U74="Taijijian 32 C",Atletas!U74="Taijijian 42 C"),918,IF(OR(Atletas!U74="Taijijian Yang D",Atletas!U74="Taijijian Yang Standard D"),919,IF(OR(Atletas!U74="Taijijian Chen D", Atletas!U74="Taijijian Chen Standard D"),920,IF(Atletas!U74="Taijijian Sun D",921,IF(Atletas!U74="Taijijian Wu D",922,IF(Atletas!U74="Taijijian Wu-Hao D",923,IF(OR(Atletas!U74="Taijijian 32 D",Atletas!U74="Taijijian 42 D"),924,IF(OR(Atletas!U74="Taijijian Yang E",Atletas!U74="Taijijian Yang Standard E"),925,IF(OR(Atletas!U74="Taijijian Chen E", Atletas!U74="Taijijian Chen Standard E"),926,IF(Atletas!U74="Taijijian Sun E",927,IF(Atletas!U74="Taijijian Wu E",928,IF(Atletas!U74="Taijijian Wu-Hao E",929,IF(OR(Atletas!U74="Taijijian 32 E",Atletas!U74="Taijijian 42 E"),930,IF(OR(Atletas!U74="Taijijian Yang F",Atletas!U74="Taijijian Yang Standard F"),931,IF(OR(Atletas!U74="Taijijian Chen F", Atletas!U74="Taijijian Chen Standard F"),932,IF(Atletas!U74="Taijijian Sun F",933,IF(Atletas!U74="Taijijian Wu F",934,IF(Atletas!U74="Taijijian Wu-Hao F",935,IF(OR(Atletas!U74="Taijijian 32 F",Atletas!U74="Taijijian 42 F"),936,"")))))))))))))))))))))))))))))))))))))</f>
        <v/>
      </c>
      <c r="CD83" s="50" t="str">
        <f>IF(Atletas!V74="","",IF(Atletas!X74&lt;&gt;"",10000,0)+IF(Atletas!B74="Feminino",1000,IF(Atletas!B74="Masculino",2000,""))+IF(Atletas!V74="Taijidao A",937,IF(Atletas!V74="TaijiShanzi A",938,IF(Atletas!V74="Taijiqiang A",939,IF(Atletas!V74="Bagua de Arma A",940,IF(Atletas!V74="Xingyi de Arma A",941,IF(Atletas!V74="Taijidao B",942,IF(Atletas!V74="TaijiShanzi B",943,IF(Atletas!V74="Taijiqiang B",944,IF(Atletas!V74="Bagua de Arma B",945,IF(Atletas!V74="Xingyi de Arma B",946,IF(Atletas!V74="Taijidao C",947,IF(Atletas!V74="TaijiShanzi C",948,IF(Atletas!V74="Taijiqiang C",949,IF(Atletas!V74="Bagua de Arma C",950,IF(Atletas!V74="Xingyi de Arma C",951,IF(Atletas!V74="Taijidao D",952,IF(Atletas!V74="TaijiShanzi D",953,IF(Atletas!V74="Taijiqiang D",954,IF(Atletas!V74="Bagua de Arma D",955,IF(Atletas!V74="Xingyi de Arma D",956,IF(Atletas!V74="Taijidao E",957,IF(Atletas!V74="TaijiShanzi E",958,IF(Atletas!V74="Taijiqiang E",959,IF(Atletas!V74="Bagua de Arma E",960,IF(Atletas!V74="Xingyi de Arma E",961,IF(Atletas!V74="Taijidao F",962,IF(Atletas!V74="TaijiShanzi F",963,IF(Atletas!V74="Taijiqiang F",964,IF(Atletas!V74="Bagua de Arma F",965,IF(Atletas!V74="Xingyi de Arma F",966,"")))))))))))))))))))))))))))))))</f>
        <v/>
      </c>
      <c r="CE83" s="66" t="str">
        <f>IF(CF83&lt;&gt;"","Emeiquan D","")</f>
        <v/>
      </c>
      <c r="CF83" s="66" t="str">
        <f>IF(COUNTIF(BR:CD,1141)&gt;0,COUNTIF(BR:CD,1141),"")</f>
        <v/>
      </c>
      <c r="CG83" s="66" t="str">
        <f>IF(CH83&lt;&gt;"","Emeiquan D","")</f>
        <v/>
      </c>
      <c r="CH83" s="66" t="str">
        <f>IF(COUNTIF(BR:CD,2141)&gt;0,COUNTIF(BR:CD,2141),"")</f>
        <v/>
      </c>
      <c r="CI83" s="66" t="str">
        <f>IF(CJ83&lt;&gt;"","Shaolinquan D","")</f>
        <v/>
      </c>
      <c r="CJ83" s="66" t="str">
        <f>IF(COUNTIF(BR:CD,11147)&gt;0,COUNTIF(BR:CD,11147),"")</f>
        <v/>
      </c>
      <c r="CK83" s="66" t="str">
        <f>IF(CL83&lt;&gt;"","Shaolinquan D","")</f>
        <v/>
      </c>
      <c r="CL83" s="66" t="str">
        <f>IF(COUNTIF(BR:CD,12147)&gt;0,COUNTIF(BR:CD,12147),"")</f>
        <v/>
      </c>
      <c r="CM83" s="50" t="str">
        <f xml:space="preserve"> IF(Atletas!W74="","",IF(Atletas!W74="Duilian de Mãos BC - Equipe 1",1,IF(Atletas!W74="Duilian de Mãos BC - Equipe 2",2,IF(Atletas!W74="Duilian de Armas BC - Equipe 1",3,IF(Atletas!W74="Duilian de Armas BC - Equipe 2",4,IF(Atletas!W74="Duilian de Mãos DE - Equipe 1",5,IF(Atletas!W74="Duilian de Mãos DE - Equipe 2",6,IF(Atletas!W74="Duilian de Armas DE - Equipe 1",7,IF(Atletas!W74="Duilian de Armas DE - Equipe 2",8,IF(Atletas!W74="Duilian de Tuishou - Equipe 1",9,IF(Atletas!W74="Duilian de Tuishou - Equipe 2",10,IF(Atletas!W74="Grupo Externo ABC - Equipe 1",11,IF(Atletas!W74="Grupo Externo ABC - Equipe 2",12,IF(Atletas!W74="Grupo Interno ABC - Equipe 1",13,IF(Atletas!W74="Grupo Interno ABC - Equipe 2",14,IF(Atletas!W74="Grupo Externo DEF - Equipe 1",15,IF(Atletas!W74="Grupo Externo DEF - Equipe 2",16,IF(Atletas!W74="Grupo Interno DEF - Equipe 1",17,IF(Atletas!W74="Grupo Interno DEF - Equipe 2",18,"")))))))))))))))))))</f>
        <v/>
      </c>
    </row>
    <row r="84" spans="2:9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20"/>
      <c r="Y84" s="3"/>
      <c r="Z84" s="3" t="str">
        <f t="array" ref="Z84">IFERROR(INDEX(CE$7:CE$348,SMALL(IF(CE$7:CE$348&lt;&gt;"",ROW(CE$7:CE$348)-ROW(CE$7)+1),ROWS(CE$7:CE83))),"")</f>
        <v/>
      </c>
      <c r="AA84" s="3" t="str">
        <f t="array" ref="AA84">IFERROR(INDEX(CF$7:CF$348,SMALL(IF(CF$7:CF$348&lt;&gt;"",ROW(CF$7:CF$348)-ROW(CF$7)+1),ROWS(CF$7:CF83))),"")</f>
        <v/>
      </c>
      <c r="AB84" s="3" t="str">
        <f t="array" ref="AB84">IFERROR(INDEX(CG$7:CG$348,SMALL(IF(CG$7:CG$348&lt;&gt;"",ROW(CG$7:CG$348)-ROW(CG$7)+1),ROWS(CG$7:CG83))),"")</f>
        <v/>
      </c>
      <c r="AC84" s="3" t="str">
        <f t="array" ref="AC84">IFERROR(INDEX(CH$7:CH$348,SMALL(IF(CH$7:CH$348&lt;&gt;"",ROW(CH$7:CH$348)-ROW(CH$7)+1),ROWS(CH$7:CH83))),"")</f>
        <v/>
      </c>
      <c r="AD84" s="3" t="str">
        <f t="array" ref="AD84">IFERROR(INDEX(CI$7:CI$377,SMALL(IF(CI$7:CI$377&lt;&gt;"",ROW(CI$7:CI$377)-ROW(CI$7)+1),ROWS(CI$7:CI83))),"")</f>
        <v/>
      </c>
      <c r="AE84" s="3" t="str">
        <f t="array" ref="AE84">IFERROR(INDEX(CJ$7:CJ$378,SMALL(IF(CJ$7:CJ$378&lt;&gt;"",ROW(CJ$7:CJ$378)-ROW(CJ$7)+1),ROWS(CJ$7:CJ83))),"")</f>
        <v/>
      </c>
      <c r="AF84" s="3" t="str">
        <f t="array" ref="AF84">IFERROR(INDEX(CK$7:CK$378,SMALL(IF(CK$7:CK$378&lt;&gt;"",ROW(CK$7:CK$378)-ROW(CK$7)+1),ROWS(CK$7:CK83))),"")</f>
        <v/>
      </c>
      <c r="AG84" s="3" t="str">
        <f t="array" ref="AG84">IFERROR(INDEX(CL$7:CL$378,SMALL(IF(CL$7:CL$378&lt;&gt;"",ROW(CL$7:CL$378)-ROW(CL$7)+1),ROWS(CL$7:CL83))),"")</f>
        <v/>
      </c>
      <c r="AH84" s="3"/>
      <c r="AI84" s="3"/>
      <c r="AJ84" s="3"/>
      <c r="AK84" s="3"/>
      <c r="AL84" s="3"/>
      <c r="AM84" s="3"/>
      <c r="AN84" s="52" t="str">
        <f>IF(Atletas!D75="","",IF(Atletas!B75="Feminino",100,IF(Atletas!B75="Masculino",200,""))+(IF(Atletas!D75="Kids 30kg",1,IF(Atletas!D75="Kids 32kg",2, IF(Atletas!D75="Kids 34kg",3,IF(Atletas!D75="Kids 36kg",4,IF(Atletas!D75="Kids 39kg",5,IF(Atletas!D75="Kids 42kg",6,IF(Atletas!D75="Kids 45kg",7, IF(Atletas!D75="Infantil 39kg",8,IF(Atletas!D75="Infantil 42kg",9,IF(Atletas!D75="Infantil 45kg",10,IF(Atletas!D75="Infantil 48kg",11,IF(Atletas!D75="Infantil 52kg",12,IF(Atletas!D75="Infantil 56kg",13,IF(Atletas!D75="Infantil 60kg",14,IF(Atletas!D75="Juvenil 48kg",15,IF(Atletas!D75="Juvenil 52kg",16,IF(Atletas!D75="Juvenil 56kg",17,IF(Atletas!D75="Juvenil 60kg",18,IF(Atletas!D75="Juvenil 65kg",19,IF(Atletas!D75="Juvenil 70kg",20,IF(Atletas!D75="Juvenil 75kg",21,IF(Atletas!D75="Juvenil 80kg",22, IF(Atletas!D75="Juvenil 85kg",23,IF(Atletas!D75="Adulto 48kg",24,IF(Atletas!D75="Adulto 52kg",25,IF(Atletas!D75="Adulto 56kg",26,IF(Atletas!D75="Adulto 60kg",27,IF(Atletas!D75="Adulto 65kg",28,IF(Atletas!D75="Adulto 70kg",29,IF(Atletas!D75="Adulto 75kg",30,IF(Atletas!D75="Adulto 80kg",31,IF(Atletas!D75="Adulto 85kg",32,IF(Atletas!D75="Adulto 90kg",33,IF(Atletas!D75="Adulto 100kg",34, IF(Atletas!D75="Adulto +100kg",35,"")))))))))))))))))))))))))))))))))))))</f>
        <v/>
      </c>
      <c r="AS84" s="6" t="str">
        <f>IF(Atletas!E75="","",IF(Atletas!B75="Feminino",100,IF(Atletas!B75="Masculino",200,""))+(IF(Atletas!E75="Juvenil 44kg",1,IF(Atletas!E75="Juvenil 48kg",2,IF(Atletas!E75="Juvenil 52kg",3,IF(Atletas!E75="Juvenil 56kg",4,IF(Atletas!E75="Juvenil 60kg",5,IF(Atletas!E75="Juvenil 65kg",6,IF(Atletas!E75="Juvenil 70kg",7,IF(Atletas!E75="Juvenil 75kg",8,IF(Atletas!E75="Juvenil 82kg",9,IF(Atletas!E75="Juvenil 90kg",10,IF(Atletas!E75="Juvenil 100kg",11,IF(Atletas!E75="Adulto 48kg",12,IF(Atletas!E75="Adulto 52kg",13,IF(Atletas!E75="Adulto 56kg",14,IF(Atletas!E75="Adulto 60kg",15,IF(Atletas!E75="Adulto 65kg",16,IF(Atletas!E75="Adulto 70kg",17,IF(Atletas!E75="Adulto 75kg",18,IF(Atletas!E75="Adulto 82kg",19,IF(Atletas!E75="Adulto 90kg",20,IF(Atletas!E75="Adulto 100kg",21,IF(Atletas!E75="Adulto +100kg",22,""))))))))))))))))))))))))</f>
        <v/>
      </c>
      <c r="AX84" s="6" t="str">
        <f>IF(Atletas!F75="","",IF(Atletas!B75="Feminino",100,IF(Atletas!B75="Masculino",200,""))+(IF(Atletas!F75="Adulto 48kg",1,IF(Atletas!F75="Adulto 56kg",2,IF(Atletas!F75="Adulto 65kg",3,IF(Atletas!F75="Adulto 75kg",4,IF(Atletas!F75="Adulto +75kg",5,IF(Atletas!F75="Adulto 52kg",6,IF(Atletas!F75="Adulto 60kg",7,IF(Atletas!F75="Adulto 70kg",8,IF(Atletas!F75="Adulto 80kg",9,IF(Atletas!F75="Adulto 90kg",10,IF(Atletas!F75="Adulto +90kg",11,"")))))))))))))</f>
        <v/>
      </c>
      <c r="BC84" s="6" t="str">
        <f>IF(Atletas!G75="","",IF(Atletas!B75="Feminino",10,IF(Atletas!B75="Masculino",20,""))+(IF(Atletas!G75="Baduanjin A",1,IF(Atletas!G75="Baduanjin B",2))))</f>
        <v/>
      </c>
      <c r="BF84" s="52" t="str">
        <f>IF(Atletas!H75="","",IF(Atletas!B75="Feminino",100,IF(Atletas!B75="Masculino",200,""))+(IF(Atletas!H75="Changquan Mirim",1,IF(Atletas!H75="Nanquan Mirim",2,IF(Atletas!H75="Taijiquan Mirim",3,IF(Atletas!H75="Changquan Grupo C",4,IF(Atletas!H75="Nanquan Grupo C",5,IF(Atletas!H75="Taijiquan Grupo C",6,IF(Atletas!H75="Changquan Grupo B",7,IF(Atletas!H75="Nanquan Grupo B",8,IF(Atletas!H75="Taijiquan Grupo B",9,IF(Atletas!H75="Changquan Grupo A",10,IF(Atletas!H75="Nanquan Grupo A",11,IF(Atletas!H75="Taijiquan Grupo A",12,IF(Atletas!H75="Changquan Opcional",13,IF(Atletas!H75="Nanquan Opcional",14,IF(Atletas!H75="Taijiquan Opcional",15,IF(Atletas!H75="Changquan Adulto",16,IF(Atletas!H75="Nanquan Adulto",17,IF(Atletas!H75="Taijiquan Adulto",18,""))))))))))))))))))))</f>
        <v/>
      </c>
      <c r="BG84" s="52" t="str">
        <f>IF(Atletas!I75="","",IF(Atletas!B75="Feminino",100,IF(Atletas!B75="Masculino",200,""))+(IF(Atletas!I75="Daoshu Mirim",19,IF(Atletas!I75="Jianshu Mirim",20,IF(Atletas!I75="Nandao Mirim",21,IF(Atletas!I75="Taijijian Mirim",22,IF(Atletas!I75="Daoshu Grupo C",23,IF(Atletas!I75="Jianshu Grupo C",24,IF(Atletas!I75="Nandao Grupo C",25,IF(Atletas!I75="Taijijian Grupo C",26,IF(Atletas!I75="Daoshu Grupo B",27,IF(Atletas!I75="Jianshu Grupo B",28,IF(Atletas!I75="Nandao Grupo B",29,IF(Atletas!I75="Taijijian Grupo B",30,IF(Atletas!I75="Daoshu Grupo A",31,IF(Atletas!I75="Jianshu Grupo A",32,IF(Atletas!I75="Nandao Grupo A",33,IF(Atletas!I75="Taijijian Grupo A",34,IF(Atletas!I75="Daoshu Opcional",35,IF(Atletas!I75="Jianshu Opcional",36,IF(Atletas!I75="Nandao Opcional",37,IF(Atletas!I75="Taijijian Opcional",38,IF(Atletas!I75="Daoshu Adulto",39,IF(Atletas!I75="Jianshu Adulto",40,IF(Atletas!I75="Nandao Adulto",41,IF(Atletas!I75="Taijijian Adulto",42,""))))))))))))))))))))))))))</f>
        <v/>
      </c>
      <c r="BH84" s="52" t="str">
        <f>IF(Atletas!J75="","",IF(Atletas!B75="Feminino",100,IF(Atletas!B75="Masculino",200,""))+(IF(Atletas!J75="Gunshu Mirim",43,IF(Atletas!J75="Qiangshu Mirim",44,IF(Atletas!J75="Nangun Mirim",45,IF(Atletas!J75="Gunshu Grupo C",46,IF(Atletas!J75="Qiangshu Grupo C",47,IF(Atletas!J75="Nangun Grupo C",48,IF(Atletas!J75="Gunshu Grupo B",49,IF(Atletas!J75="Qiangshu Grupo B",50,IF(Atletas!J75="Nangun Grupo B",51,IF(Atletas!J75="Gunshu Grupo A",52,IF(Atletas!J75="Qiangshu Grupo A",53,IF(Atletas!J75="Nangun Grupo A",54,IF(Atletas!J75="Gunshu Opcional",55,IF(Atletas!J75="Qiangshu Opcional",56,IF(Atletas!J75="Nangun Opcional",57,IF(Atletas!J75="Gunshu Adulto",58,IF(Atletas!J75="Qiangshu Adulto",59,IF(Atletas!J75="Nangun Adulto",60,IF(Atletas!J75="Taijishan Grupo B",61,IF(Atletas!J75="Taijishan Grupo A",62,""))))))))))))))))))))))</f>
        <v/>
      </c>
      <c r="BM84" s="50" t="str">
        <f>IF(Atletas!K75="","",IF(Atletas!B75="Feminino",100,IF(Atletas!B75="Masculino",200,""))+(IF(Atletas!K75="Equipe 1 Grupo B",1,IF(Atletas!K75="Equipe 2 Grupo B",2,IF(Atletas!K75="Equipe 1 Grupo A",3,IF(Atletas!K75="Equipe 2 Grupo A",4,IF(Atletas!K75="Equipe 1 Adulto",5,IF(Atletas!K75="Equipe 2 Adulto",6,""))))))))</f>
        <v/>
      </c>
      <c r="BR84" s="50" t="str">
        <f>IF(Atletas!L75="","",IF(Atletas!X75&lt;&gt;"",10000,0)+(IF(Atletas!B75="Feminino",1000,IF(Atletas!B75="Masculino",2000,""))+IF(Atletas!L75="Choylayfut A",1,IF(Atletas!L75="Hunggar A",2,IF(Atletas!L75="Wuzuquan A",3,IF(Atletas!L75="Wingchun A",4,IF(Atletas!L75="Outra Mão de Sul A",5,IF(Atletas!L75="Choylayfut B",6,IF(Atletas!L75="Hunggar B",7,IF(Atletas!L75="Wuzuquan B",8,IF(Atletas!L75="Wingchun B",9,IF(Atletas!L75="Outra Mão de Sul B",10,IF(Atletas!L75="Choylayfut C",11,IF(Atletas!L75="Hunggar C",12,IF(Atletas!L75="Wuzuquan C",13,IF(Atletas!L75="Wingchun C",14,IF(Atletas!L75="Outra Mão de Sul C",15,IF(Atletas!L75="Choylayfut D",16,IF(Atletas!L75="Hunggar D",17,IF(Atletas!L75="Wuzuquan D",18,IF(Atletas!L75="Wingchun D",19,IF(Atletas!L75="Outra Mão de Sul D",20,IF(Atletas!L75="Choylayfut E",21,IF(Atletas!L75="Hunggar E",22,IF(Atletas!L75="Wuzuquan E",23,IF(Atletas!L75="Wingchun E",24,IF(Atletas!L75="Outra Mão de Sul E",25,IF(Atletas!L75="Choylayfut F",26,IF(Atletas!L75="Hunggar F",27,IF(Atletas!L75="Wuzuquan F",28,IF(Atletas!L75="Wingchun F",29,IF(Atletas!L75="Outra Mão de Sul F",30,IF(Atletas!L75="Dishuquan A",31,IF(Atletas!L75="Dishuquan B",32,IF(Atletas!L75="Dishuquan C",33,IF(Atletas!L75="Dishuquan D",34,IF(Atletas!L75="Dishuquan E",35,IF(Atletas!L75="Dishuquan F",36,""))))))))))))))))))))))))))))))))))))))</f>
        <v/>
      </c>
      <c r="BS84" s="50" t="str">
        <f>IF(Atletas!M75="","",IF(Atletas!X75&lt;&gt;"",10000,0)+(IF(Atletas!B75="Feminino",1000,IF(Atletas!B75="Masculino",2000,""))+(IF(Atletas!M75="Chaquan A",101,IF(Atletas!M75="Emeiquan A",102,IF(Atletas!M75="Fanziquan A",103,IF(Atletas!M75="Huaquan A",104,IF(Atletas!M75="Hongquan A",105,IF(Atletas!M75="Paoquan A",106,IF(Atletas!M75="Piguaquan A",107,IF(Atletas!M75="Shaolinquan A",108,IF(Atletas!M75="Tanglangquan A",109,IF(Atletas!M75="Yingzhaoquan A",110,IF(Atletas!M75="Tongbeiquan A",111,IF(Atletas!M75="Wudangquan A",112,IF(Atletas!M75="Outros Estilos A",113,IF(Atletas!M75="Chaquan B",114,IF(Atletas!M75="Emeiquan B",115,IF(Atletas!M75="Fanziquan B",116,IF(Atletas!M75="Huaquan B",117,IF(Atletas!M75="Hongquan B",118,IF(Atletas!M75="Paoquan B",119,IF(Atletas!M75="Piguaquan B",120,IF(Atletas!M75="Shaolinquan B",121,IF(Atletas!M75="Tanglangquan B",122,IF(Atletas!M75="Yingzhaoquan B",123,IF(Atletas!M75="Tongbeiquan B",124,IF(Atletas!M75="Wudangquan B",125,IF(Atletas!M75="Outros Estilos B",126,IF(Atletas!M75="Chaquan C",127,IF(Atletas!M75="Emeiquan C",128,IF(Atletas!M75="Fanziquan C",129,IF(Atletas!M75="Huaquan C",130,IF(Atletas!M75="Hongquan C",131,IF(Atletas!M75="Paoquan C",132,IF(Atletas!M75="Piguaquan C",133,IF(Atletas!M75="Shaolinquan C",134,IF(Atletas!M75="Tanglangquan C",135,IF(Atletas!M75="Yingzhaoquan C",136,IF(Atletas!M75="Tongbeiquan C",137,IF(Atletas!M75="Wudangquan C",138,IF(Atletas!M75="Outros Estilos C",139,0))))))))))))))))))))))))))))))))))))))))))</f>
        <v/>
      </c>
      <c r="BT84" s="50" t="str">
        <f>IF(Atletas!M75="","",IF(Atletas!X75&lt;&gt;"",10000,0)+(IF(Atletas!B75="Feminino",1000,IF(Atletas!B75="Masculino",2000,""))+(IF(Atletas!M75="Chaquan D",140,IF(Atletas!M75="Emeiquan D",141,IF(Atletas!M75="Fanziquan D",142,IF(Atletas!M75="Huaquan D",143,IF(Atletas!M75="Hongquan D",144,IF(Atletas!M75="Paoquan D",145,IF(Atletas!M75="Piguaquan D",146,IF(Atletas!M75="Shaolinquan D",147,IF(Atletas!M75="Tanglangquan D",148,IF(Atletas!M75="Yingzhaoquan D",149,IF(Atletas!M75="Tongbeiquan D",150,IF(Atletas!M75="Wudangquan D",151,IF(Atletas!M75="Outros Estilos D",152,IF(Atletas!M75="Chaquan E",153,IF(Atletas!M75="Emeiquan E",154,IF(Atletas!M75="Fanziquan E",155,IF(Atletas!M75="Huaquan E",156,IF(Atletas!M75="Hongquan E",157,IF(Atletas!M75="Paoquan E",158,IF(Atletas!M75="Piguaquan E",159,IF(Atletas!M75="Shaolinquan E",160,IF(Atletas!M75="Tanglangquan E",161,IF(Atletas!M75="Yingzhaoquan E",162,IF(Atletas!M75="Tongbeiquan E",163,IF(Atletas!M75="Wudangquan E",164,IF(Atletas!M75="Outros Estilos E",165,IF(Atletas!M75="Chaquan F",166,IF(Atletas!M75="Emeiquan F",167,IF(Atletas!M75="Fanziquan F",168,IF(Atletas!M75="Huaquan F",169,IF(Atletas!M75="Hongquan F",170,IF(Atletas!M75="Paoquan F",171,IF(Atletas!M75="Piguaquan F",172,IF(Atletas!M75="Shaolinquan F",173,IF(Atletas!M75="Tanglangquan F",174,IF(Atletas!M75="Yingzhaoquan F",175,IF(Atletas!M75="Tongbeiquan F",176,IF(Atletas!M75="Wudangquan F",177,IF(Atletas!M75="Outros Estilos F",178,0))))))))))))))))))))))))))))))))))))))))))</f>
        <v/>
      </c>
      <c r="BU84" s="50" t="str">
        <f>IF(Atletas!N75="","",IF(Atletas!X75&lt;&gt;"",10000,0)+(IF(Atletas!B75="Feminino",1000,IF(Atletas!B75="Masculino",2000,""))+(IF(Atletas!N75="Ditangquan A",201,IF(Atletas!N75="Houquan A",202,IF(Atletas!N75="Zuiquan A",203,IF(Atletas!N75="Ditangquan B",204,IF(Atletas!N75="Houquan B",205,IF(Atletas!N75="Zuiquan B",206,IF(Atletas!N75="Ditangquan C",207,IF(Atletas!N75="Houquan C",208,IF(Atletas!N75="Zuiquan C",209,IF(Atletas!N75="Ditangquan D",210,IF(Atletas!N75="Houquan D",211,IF(Atletas!N75="Zuiquan D",212,IF(Atletas!N75="Ditangquan E",213,IF(Atletas!N75="Houquan E",214,IF(Atletas!N75="Zuiquan E",215,IF(Atletas!N75="Ditangquan F",216,IF(Atletas!N75="Houquan F",217,IF(Atletas!N75="Zuiquan F",218,"")))))))))))))))))))))</f>
        <v/>
      </c>
      <c r="BV84" s="50" t="str">
        <f>IF(Atletas!O75="","",IF(Atletas!X75&lt;&gt;"",10000,0)+IF(Atletas!B75="Feminino",1000,IF(Atletas!B75="Masculino",2000,""))+IF(Atletas!O75="Yang A",301,IF(Atletas!O75="Chen A",302,IF(Atletas!O75="Sun A",303,IF(Atletas!O75="Wu A",304,IF(Atletas!O75="Wu-Hao A",305,IF(Atletas!O75="Outro Taijiquan A",306,IF(Atletas!O75="Yang B",307,IF(Atletas!O75="Chen B",308,IF(Atletas!O75="Sun B",309,IF(Atletas!O75="Wu B",310,IF(Atletas!O75="Wu-Hao B",311,IF(Atletas!O75="Outro Taijiquan B",312,IF(Atletas!O75="Yang C",313,IF(Atletas!O75="Chen C",314,IF(Atletas!O75="Sun C",315,IF(Atletas!O75="Wu C",316,IF(Atletas!O75="Wu-Hao C",317,IF(Atletas!O75="Outro Taijiquan C",318,IF(Atletas!O75="Yang D",319,IF(Atletas!O75="Chen D",320,IF(Atletas!O75="Sun D",321,IF(Atletas!O75="Wu D",322,IF(Atletas!O75="Wu-Hao D",323,IF(Atletas!O75="Outro Taijiquan D",324,IF(Atletas!O75="Yang E",325,IF(Atletas!O75="Chen E",326,IF(Atletas!O75="Sun E",327,IF(Atletas!O75="Wu E",328,IF(Atletas!O75="Wu-Hao E",329,IF(Atletas!O75="Outro Taijiquan E",330,IF(Atletas!O75="Yang F",331,IF(Atletas!O75="Chen F",332,IF(Atletas!O75="Sun F",333,IF(Atletas!O75="Wu F",334,IF(Atletas!O75="Wu-Hao F",335,IF(Atletas!O75="Outro Taijiquan F",336,"")))))))))))))))))))))))))))))))))))))</f>
        <v/>
      </c>
      <c r="BW84" s="50" t="str">
        <f>IF(Atletas!P75="","",IF(Atletas!X75&lt;&gt;"",10000,0)+IF(Atletas!B75="Feminino",1000,IF(Atletas!B75="Masculino",2000,""))+IF(OR(Atletas!P75="Yang 26 A",Atletas!P75="Yang 40 A"),401,IF(OR(Atletas!P75="Chen 25 A",Atletas!P75="Chen 36 A",Atletas!P75="Chen 56 A"),402,IF(Atletas!P75="Sun 73 A",403,IF(Atletas!P75="Wu 45 A",404,IF(Atletas!P75="Wu-Hao 46 A",405,IF(OR(Atletas!P75="Taijiquan 16 A",Atletas!P75="Taijiquan 24 A",Atletas!P75="Taijiquan 32 A",Atletas!P75="Taijiquan 42 A"),406,IF(OR(Atletas!P75="Yang 26 B",Atletas!P75="Yang 40 B"),407,IF(OR(Atletas!P75="Chen 25 B",Atletas!P75="Chen 36 B",Atletas!P75="Chen 56 B"),408,IF(Atletas!P75="Sun 73 B",409,IF(Atletas!P75="Wu 45 B",410,IF(Atletas!P75="Wu-Hao 46 B",411,IF(OR(Atletas!P75="Taijiquan 16 B",Atletas!P75="Taijiquan 24 B",Atletas!P75="Taijiquan 32 B",Atletas!P75="Taijiquan 42 B"),412,IF(OR(Atletas!P75="Yang 26 C",Atletas!P75="Yang 40 C"),413,IF(OR(Atletas!P75="Chen 25 C",Atletas!P75="Chen 36 C",Atletas!P75="Chen 56 C"),414,IF(Atletas!P75="Sun 73 C",415,IF(Atletas!P75="Wu 45 C",416,IF(Atletas!P75="Wu-Hao 46 C",417,IF(OR(Atletas!P75="Taijiquan 16 C",Atletas!P75="Taijiquan 24 C",Atletas!P75="Taijiquan 32 C",Atletas!P75="Taijiquan 42 C"),418,0)))))))))))))))))))</f>
        <v/>
      </c>
      <c r="BX84" s="50" t="str">
        <f>IF(Atletas!P75="","",IF(Atletas!X75&lt;&gt;"",10000,0)+IF(Atletas!B75="Feminino",1000,IF(Atletas!B75="Masculino",2000,""))+IF(OR(Atletas!P75="Yang 26 D",Atletas!P75="Yang 40 D"),419,IF(OR(Atletas!P75="Chen 25 D",Atletas!P75="Chen 36 D",Atletas!P75="Chen 56 D"),420,IF(Atletas!P75="Sun 73 D",421,IF(Atletas!P75="Wu 45 D",422,IF(Atletas!P75="Wu-Hao 46 D",423,IF(OR(Atletas!P75="Taijiquan 16 D",Atletas!P75="Taijiquan 24 D",Atletas!P75="Taijiquan 32 D",Atletas!P75="Taijiquan 42 D"),424,IF(OR(Atletas!P75="Yang 26 E",Atletas!P75="Yang 40 E"),425,IF(OR(Atletas!P75="Chen 25 E",Atletas!P75="Chen 36 E",Atletas!P75="Chen 56 E"),426,IF(Atletas!P75="Sun 73 E",427,IF(Atletas!P75="Wu 45 E",428,IF(Atletas!P75="Wu-Hao 46 E",429,IF(OR(Atletas!P75="Taijiquan 16 E",Atletas!P75="Taijiquan 24 E",Atletas!P75="Taijiquan 32 E",Atletas!P75="Taijiquan 42 E"),430,IF(OR(Atletas!P75="Yang 26 F",Atletas!P75="Yang 40 F"),431,IF(OR(Atletas!P75="Chen 25 F",Atletas!P75="Chen 36 F",Atletas!P75="Chen 56 F"),432,IF(Atletas!P75="Sun 73 F",433,IF(Atletas!P75="Wu 45 F",434,IF(Atletas!P75="Wu-Hao 46 F",435,IF(OR(Atletas!P75="Taijiquan 16 F",Atletas!P75="Taijiquan 24 F",Atletas!P75="Taijiquan 32 F",Atletas!P75="Taijiquan 42 F"),436,0)))))))))))))))))))</f>
        <v/>
      </c>
      <c r="BY84" s="50" t="str">
        <f>IF(Atletas!Q75="","",IF(Atletas!X75&lt;&gt;"",10000,0)+IF(Atletas!B75="Feminino",1000,IF(Atletas!B75="Masculino",2000,""))+IF(Atletas!Q75="Xingyiquan A",501,IF(Atletas!Q75="Baguazhang A",502,IF(Atletas!Q75="Outro Estilo Interno A",503,IF(Atletas!Q75="Xingyiquan B",504,IF(Atletas!Q75="Baguazhang B",505,IF(Atletas!Q75="Outro Estilo Interno B",506,IF(Atletas!Q75="Xingyiquan C",507,IF(Atletas!Q75="Baguazhang C",508,IF(Atletas!Q75="Outro Estilo Interno C",509,IF(Atletas!Q75="Xingyiquan D",510,IF(Atletas!Q75="Baguazhang D",511,IF(Atletas!Q75="Outro Estilo Interno D",512,IF(Atletas!Q75="Xingyiquan E",513,IF(Atletas!Q75="Baguazhang E",514,IF(Atletas!Q75="Outro Estilo Interno E",515,IF(Atletas!Q75="Xingyiquan F",516,IF(Atletas!Q75="Baguazhang F",517,IF(Atletas!Q75="Outro Estilo Interno F",518, "")))))))))))))))))))</f>
        <v/>
      </c>
      <c r="BZ84" s="50" t="str">
        <f>IF(Atletas!R75="","",IF(Atletas!X75&lt;&gt;"",10000,0)+IF(Atletas!B75="Feminino",1000,IF(Atletas!B75="Masculino",2000,""))+IF(Atletas!R75="Dao A",601,IF(Atletas!R75="Jian A",602,IF(Atletas!R75="Bishou A",603,IF(Atletas!R75="Shanzi A",604,IF(Atletas!R75="Outra Arma Curta A",605,IF(Atletas!R75="Dao B",606,IF(Atletas!R75="Jian B",607,IF(Atletas!R75="Bishou B",608,IF(Atletas!R75="Shanzi B",609,IF(Atletas!R75="Outra Arma Curta B",610,IF(Atletas!R75="Dao C",611,IF(Atletas!R75="Jian C",612,IF(Atletas!R75="Bishou C",613,IF(Atletas!R75="Shanzi C",614,IF(Atletas!R75="Outra Arma Curta C",615,IF(Atletas!R75="Dao D",616,IF(Atletas!R75="Jian D",617,IF(Atletas!R75="Bishou D",618,IF(Atletas!R75="Shanzi D",619,IF(Atletas!R75="Outra Arma Curta D",620,IF(Atletas!R75="Dao E",621,IF(Atletas!R75="Jian E",622,IF(Atletas!R75="Bishou E",623,IF(Atletas!R75="Shanzi E",624,IF(Atletas!R75="Outra Arma Curta E",625,IF(Atletas!R75="Dao F",626,IF(Atletas!R75="Jian F",627,IF(Atletas!R75="Bishou F",628,IF(Atletas!R75="Shanzi F",629,IF(Atletas!R75="Outra Arma Curta F",630, "")))))))))))))))))))))))))))))))</f>
        <v/>
      </c>
      <c r="CA84" s="50" t="str">
        <f>IF(Atletas!S75="","",IF(Atletas!X75&lt;&gt;"",10000,0)+IF(Atletas!B75="Feminino",1000,IF(Atletas!B75="Masculino",2000,""))+IF(Atletas!S75="Gun A",701,IF(Atletas!S75="Qiang A",702,IF(Atletas!S75="Pudao / Guandao A",703,IF(Atletas!S75="Outra Arma Longa A",704,IF(Atletas!S75="Gun B",705,IF(Atletas!S75="Qiang B",706,IF(Atletas!S75="Pudao / Guandao B",707,IF(Atletas!S75="Outra Arma Longa B",708,IF(Atletas!S75="Gun C",709,IF(Atletas!S75="Qiang C",710,IF(Atletas!S75="Pudao / Guandao C",711,IF(Atletas!S75="Outra Arma Longa C",712,IF(Atletas!S75="Gun D",713,IF(Atletas!S75="Qiang D",714,IF(Atletas!S75="Pudao / Guandao D",715,IF(Atletas!S75="Outra Arma Longa D",716,IF(Atletas!S75="Gun E",717,IF(Atletas!S75="Qiang E",718,IF(Atletas!S75="Pudao / Guandao E",719,IF(Atletas!S75="Outra Arma Longa E",720,IF(Atletas!S75="Gun F",721,IF(Atletas!S75="Qiang F",722,IF(Atletas!S75="Pudao / Guandao F",723,IF(Atletas!S75="Outra Arma Longa F",724,"")))))))))))))))))))))))))</f>
        <v/>
      </c>
      <c r="CB84" s="50" t="str">
        <f>IF(Atletas!T75="","",IF(Atletas!X75&lt;&gt;"",10000,0)+IF(Atletas!B75="Feminino",1000,IF(Atletas!B75="Masculino",2000,""))+IF(Atletas!T75="Outra Arma Dupla A",801,IF(Atletas!T75="Arma Maleável A",802,IF(Atletas!T75="Outra Arma Dupla B",803,IF(Atletas!T75="Arma Maleável B",804,IF(Atletas!T75="Outra Arma Dupla C",805,IF(Atletas!T75="Arma Maleável C",806,IF(Atletas!T75="Outra Arma Dupla D",807,IF(Atletas!T75="Arma Maleável D",808,IF(Atletas!T75="Outra Arma Dupla E",809,IF(Atletas!T75="Arma Maleável E",810,IF(Atletas!T75="Outra Arma Dupla F",811,IF(Atletas!T75="Arma Maleável F",812,IF(Atletas!T75="Shuangdao A",813,IF(Atletas!T75="Shuangdao B",814,IF(Atletas!T75="Shuangdao C",815,IF(Atletas!T75="Shuangdao D",816,IF(Atletas!T75="Shuangdao E",817,IF(Atletas!T75="Shuangdao F",818,"")))))))))))))))))))</f>
        <v/>
      </c>
      <c r="CC84" s="50" t="str">
        <f>IF(Atletas!U75="","",IF(Atletas!X75&lt;&gt;"",10000,0)+IF(Atletas!B75="Feminino",1000,IF(Atletas!B75="Masculino",2000,""))+IF(OR(Atletas!U75="Taijijian Yang A",Atletas!U75="Taijijian Yang Standard A"),901,IF(OR(Atletas!U75="Taijijian Chen A", Atletas!U75="Taijijian Chen Standard A"),902,IF(Atletas!U75="Taijijian Sun A",903,IF(Atletas!U75="Taijijian Wu A",904,IF(Atletas!U75="Taijijian Wu-Hao A",905,IF(OR(Atletas!U75="Taijijian 32 A",Atletas!U75="Taijijian 42 A"),906,IF(OR(Atletas!U75="Taijijian Yang B",Atletas!U75="Taijijian Yang Standard B"),907,IF(OR(Atletas!U75="Taijijian Chen B", Atletas!U75="Taijijian Chen Standard B"),908,IF(Atletas!U75="Taijijian Sun B",909,IF(Atletas!U75="Taijijian Wu B",910,IF(Atletas!U75="Taijijian Wu-Hao B",911,IF(OR(Atletas!U75="Taijijian 32 B",Atletas!U75="Taijijian 42 B"),912,IF(OR(Atletas!U75="Taijijian Yang C",Atletas!U75="Taijijian Yang Standard C"),913,IF(OR(Atletas!U75="Taijijian Chen C", Atletas!U75="Taijijian Chen Standard C"),914,IF(Atletas!U75="Taijijian Sun C",915,IF(Atletas!U75="Taijijian Wu C",916,IF(Atletas!U75="Taijijian Wu-Hao C",917,IF(OR(Atletas!U75="Taijijian 32 C",Atletas!U75="Taijijian 42 C"),918,IF(OR(Atletas!U75="Taijijian Yang D",Atletas!U75="Taijijian Yang Standard D"),919,IF(OR(Atletas!U75="Taijijian Chen D", Atletas!U75="Taijijian Chen Standard D"),920,IF(Atletas!U75="Taijijian Sun D",921,IF(Atletas!U75="Taijijian Wu D",922,IF(Atletas!U75="Taijijian Wu-Hao D",923,IF(OR(Atletas!U75="Taijijian 32 D",Atletas!U75="Taijijian 42 D"),924,IF(OR(Atletas!U75="Taijijian Yang E",Atletas!U75="Taijijian Yang Standard E"),925,IF(OR(Atletas!U75="Taijijian Chen E", Atletas!U75="Taijijian Chen Standard E"),926,IF(Atletas!U75="Taijijian Sun E",927,IF(Atletas!U75="Taijijian Wu E",928,IF(Atletas!U75="Taijijian Wu-Hao E",929,IF(OR(Atletas!U75="Taijijian 32 E",Atletas!U75="Taijijian 42 E"),930,IF(OR(Atletas!U75="Taijijian Yang F",Atletas!U75="Taijijian Yang Standard F"),931,IF(OR(Atletas!U75="Taijijian Chen F", Atletas!U75="Taijijian Chen Standard F"),932,IF(Atletas!U75="Taijijian Sun F",933,IF(Atletas!U75="Taijijian Wu F",934,IF(Atletas!U75="Taijijian Wu-Hao F",935,IF(OR(Atletas!U75="Taijijian 32 F",Atletas!U75="Taijijian 42 F"),936,"")))))))))))))))))))))))))))))))))))))</f>
        <v/>
      </c>
      <c r="CD84" s="50" t="str">
        <f>IF(Atletas!V75="","",IF(Atletas!X75&lt;&gt;"",10000,0)+IF(Atletas!B75="Feminino",1000,IF(Atletas!B75="Masculino",2000,""))+IF(Atletas!V75="Taijidao A",937,IF(Atletas!V75="TaijiShanzi A",938,IF(Atletas!V75="Taijiqiang A",939,IF(Atletas!V75="Bagua de Arma A",940,IF(Atletas!V75="Xingyi de Arma A",941,IF(Atletas!V75="Taijidao B",942,IF(Atletas!V75="TaijiShanzi B",943,IF(Atletas!V75="Taijiqiang B",944,IF(Atletas!V75="Bagua de Arma B",945,IF(Atletas!V75="Xingyi de Arma B",946,IF(Atletas!V75="Taijidao C",947,IF(Atletas!V75="TaijiShanzi C",948,IF(Atletas!V75="Taijiqiang C",949,IF(Atletas!V75="Bagua de Arma C",950,IF(Atletas!V75="Xingyi de Arma C",951,IF(Atletas!V75="Taijidao D",952,IF(Atletas!V75="TaijiShanzi D",953,IF(Atletas!V75="Taijiqiang D",954,IF(Atletas!V75="Bagua de Arma D",955,IF(Atletas!V75="Xingyi de Arma D",956,IF(Atletas!V75="Taijidao E",957,IF(Atletas!V75="TaijiShanzi E",958,IF(Atletas!V75="Taijiqiang E",959,IF(Atletas!V75="Bagua de Arma E",960,IF(Atletas!V75="Xingyi de Arma E",961,IF(Atletas!V75="Taijidao F",962,IF(Atletas!V75="TaijiShanzi F",963,IF(Atletas!V75="Taijiqiang F",964,IF(Atletas!V75="Bagua de Arma F",965,IF(Atletas!V75="Xingyi de Arma F",966,"")))))))))))))))))))))))))))))))</f>
        <v/>
      </c>
      <c r="CE84" s="66" t="str">
        <f>IF(CF84&lt;&gt;"","Fanziquan D","")</f>
        <v/>
      </c>
      <c r="CF84" s="66" t="str">
        <f>IF(COUNTIF(BR:CD,1142)&gt;0,COUNTIF(BR:CD,1142),"")</f>
        <v/>
      </c>
      <c r="CG84" s="66" t="str">
        <f>IF(CH84&lt;&gt;"","Fanziquan D","")</f>
        <v/>
      </c>
      <c r="CH84" s="66" t="str">
        <f>IF(COUNTIF(BR:CD,2142)&gt;0,COUNTIF(BR:CD,2142),"")</f>
        <v/>
      </c>
      <c r="CI84" s="66" t="str">
        <f>IF(CJ84&lt;&gt;"","Tanglangquan D","")</f>
        <v/>
      </c>
      <c r="CJ84" s="66" t="str">
        <f>IF(COUNTIF(BR:CD,11148)&gt;0,COUNTIF(BR:CD,11148),"")</f>
        <v/>
      </c>
      <c r="CK84" s="66" t="str">
        <f>IF(CL84&lt;&gt;"","Tanglangquan D","")</f>
        <v/>
      </c>
      <c r="CL84" s="66" t="str">
        <f>IF(COUNTIF(BR:CD,12148)&gt;0,COUNTIF(BR:CD,12148),"")</f>
        <v/>
      </c>
      <c r="CM84" s="50" t="str">
        <f xml:space="preserve"> IF(Atletas!W75="","",IF(Atletas!W75="Duilian de Mãos BC - Equipe 1",1,IF(Atletas!W75="Duilian de Mãos BC - Equipe 2",2,IF(Atletas!W75="Duilian de Armas BC - Equipe 1",3,IF(Atletas!W75="Duilian de Armas BC - Equipe 2",4,IF(Atletas!W75="Duilian de Mãos DE - Equipe 1",5,IF(Atletas!W75="Duilian de Mãos DE - Equipe 2",6,IF(Atletas!W75="Duilian de Armas DE - Equipe 1",7,IF(Atletas!W75="Duilian de Armas DE - Equipe 2",8,IF(Atletas!W75="Duilian de Tuishou - Equipe 1",9,IF(Atletas!W75="Duilian de Tuishou - Equipe 2",10,IF(Atletas!W75="Grupo Externo ABC - Equipe 1",11,IF(Atletas!W75="Grupo Externo ABC - Equipe 2",12,IF(Atletas!W75="Grupo Interno ABC - Equipe 1",13,IF(Atletas!W75="Grupo Interno ABC - Equipe 2",14,IF(Atletas!W75="Grupo Externo DEF - Equipe 1",15,IF(Atletas!W75="Grupo Externo DEF - Equipe 2",16,IF(Atletas!W75="Grupo Interno DEF - Equipe 1",17,IF(Atletas!W75="Grupo Interno DEF - Equipe 2",18,"")))))))))))))))))))</f>
        <v/>
      </c>
    </row>
    <row r="85" spans="2:91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20"/>
      <c r="Y85" s="3"/>
      <c r="Z85" s="3" t="str">
        <f t="array" ref="Z85">IFERROR(INDEX(CE$7:CE$348,SMALL(IF(CE$7:CE$348&lt;&gt;"",ROW(CE$7:CE$348)-ROW(CE$7)+1),ROWS(CE$7:CE84))),"")</f>
        <v/>
      </c>
      <c r="AA85" s="3" t="str">
        <f t="array" ref="AA85">IFERROR(INDEX(CF$7:CF$348,SMALL(IF(CF$7:CF$348&lt;&gt;"",ROW(CF$7:CF$348)-ROW(CF$7)+1),ROWS(CF$7:CF84))),"")</f>
        <v/>
      </c>
      <c r="AB85" s="3" t="str">
        <f t="array" ref="AB85">IFERROR(INDEX(CG$7:CG$348,SMALL(IF(CG$7:CG$348&lt;&gt;"",ROW(CG$7:CG$348)-ROW(CG$7)+1),ROWS(CG$7:CG84))),"")</f>
        <v/>
      </c>
      <c r="AC85" s="3" t="str">
        <f t="array" ref="AC85">IFERROR(INDEX(CH$7:CH$348,SMALL(IF(CH$7:CH$348&lt;&gt;"",ROW(CH$7:CH$348)-ROW(CH$7)+1),ROWS(CH$7:CH84))),"")</f>
        <v/>
      </c>
      <c r="AD85" s="3" t="str">
        <f t="array" ref="AD85">IFERROR(INDEX(CI$7:CI$377,SMALL(IF(CI$7:CI$377&lt;&gt;"",ROW(CI$7:CI$377)-ROW(CI$7)+1),ROWS(CI$7:CI84))),"")</f>
        <v/>
      </c>
      <c r="AE85" s="3" t="str">
        <f t="array" ref="AE85">IFERROR(INDEX(CJ$7:CJ$378,SMALL(IF(CJ$7:CJ$378&lt;&gt;"",ROW(CJ$7:CJ$378)-ROW(CJ$7)+1),ROWS(CJ$7:CJ84))),"")</f>
        <v/>
      </c>
      <c r="AF85" s="3" t="str">
        <f t="array" ref="AF85">IFERROR(INDEX(CK$7:CK$378,SMALL(IF(CK$7:CK$378&lt;&gt;"",ROW(CK$7:CK$378)-ROW(CK$7)+1),ROWS(CK$7:CK84))),"")</f>
        <v/>
      </c>
      <c r="AG85" s="3" t="str">
        <f t="array" ref="AG85">IFERROR(INDEX(CL$7:CL$378,SMALL(IF(CL$7:CL$378&lt;&gt;"",ROW(CL$7:CL$378)-ROW(CL$7)+1),ROWS(CL$7:CL84))),"")</f>
        <v/>
      </c>
      <c r="AH85" s="3"/>
      <c r="AI85" s="3"/>
      <c r="AJ85" s="3"/>
      <c r="AK85" s="3"/>
      <c r="AL85" s="3"/>
      <c r="AM85" s="3"/>
      <c r="AN85" s="52" t="str">
        <f>IF(Atletas!D76="","",IF(Atletas!B76="Feminino",100,IF(Atletas!B76="Masculino",200,""))+(IF(Atletas!D76="Kids 30kg",1,IF(Atletas!D76="Kids 32kg",2, IF(Atletas!D76="Kids 34kg",3,IF(Atletas!D76="Kids 36kg",4,IF(Atletas!D76="Kids 39kg",5,IF(Atletas!D76="Kids 42kg",6,IF(Atletas!D76="Kids 45kg",7, IF(Atletas!D76="Infantil 39kg",8,IF(Atletas!D76="Infantil 42kg",9,IF(Atletas!D76="Infantil 45kg",10,IF(Atletas!D76="Infantil 48kg",11,IF(Atletas!D76="Infantil 52kg",12,IF(Atletas!D76="Infantil 56kg",13,IF(Atletas!D76="Infantil 60kg",14,IF(Atletas!D76="Juvenil 48kg",15,IF(Atletas!D76="Juvenil 52kg",16,IF(Atletas!D76="Juvenil 56kg",17,IF(Atletas!D76="Juvenil 60kg",18,IF(Atletas!D76="Juvenil 65kg",19,IF(Atletas!D76="Juvenil 70kg",20,IF(Atletas!D76="Juvenil 75kg",21,IF(Atletas!D76="Juvenil 80kg",22, IF(Atletas!D76="Juvenil 85kg",23,IF(Atletas!D76="Adulto 48kg",24,IF(Atletas!D76="Adulto 52kg",25,IF(Atletas!D76="Adulto 56kg",26,IF(Atletas!D76="Adulto 60kg",27,IF(Atletas!D76="Adulto 65kg",28,IF(Atletas!D76="Adulto 70kg",29,IF(Atletas!D76="Adulto 75kg",30,IF(Atletas!D76="Adulto 80kg",31,IF(Atletas!D76="Adulto 85kg",32,IF(Atletas!D76="Adulto 90kg",33,IF(Atletas!D76="Adulto 100kg",34, IF(Atletas!D76="Adulto +100kg",35,"")))))))))))))))))))))))))))))))))))))</f>
        <v/>
      </c>
      <c r="AS85" s="6" t="str">
        <f>IF(Atletas!E76="","",IF(Atletas!B76="Feminino",100,IF(Atletas!B76="Masculino",200,""))+(IF(Atletas!E76="Juvenil 44kg",1,IF(Atletas!E76="Juvenil 48kg",2,IF(Atletas!E76="Juvenil 52kg",3,IF(Atletas!E76="Juvenil 56kg",4,IF(Atletas!E76="Juvenil 60kg",5,IF(Atletas!E76="Juvenil 65kg",6,IF(Atletas!E76="Juvenil 70kg",7,IF(Atletas!E76="Juvenil 75kg",8,IF(Atletas!E76="Juvenil 82kg",9,IF(Atletas!E76="Juvenil 90kg",10,IF(Atletas!E76="Juvenil 100kg",11,IF(Atletas!E76="Adulto 48kg",12,IF(Atletas!E76="Adulto 52kg",13,IF(Atletas!E76="Adulto 56kg",14,IF(Atletas!E76="Adulto 60kg",15,IF(Atletas!E76="Adulto 65kg",16,IF(Atletas!E76="Adulto 70kg",17,IF(Atletas!E76="Adulto 75kg",18,IF(Atletas!E76="Adulto 82kg",19,IF(Atletas!E76="Adulto 90kg",20,IF(Atletas!E76="Adulto 100kg",21,IF(Atletas!E76="Adulto +100kg",22,""))))))))))))))))))))))))</f>
        <v/>
      </c>
      <c r="AX85" s="6" t="str">
        <f>IF(Atletas!F76="","",IF(Atletas!B76="Feminino",100,IF(Atletas!B76="Masculino",200,""))+(IF(Atletas!F76="Adulto 48kg",1,IF(Atletas!F76="Adulto 56kg",2,IF(Atletas!F76="Adulto 65kg",3,IF(Atletas!F76="Adulto 75kg",4,IF(Atletas!F76="Adulto +75kg",5,IF(Atletas!F76="Adulto 52kg",6,IF(Atletas!F76="Adulto 60kg",7,IF(Atletas!F76="Adulto 70kg",8,IF(Atletas!F76="Adulto 80kg",9,IF(Atletas!F76="Adulto 90kg",10,IF(Atletas!F76="Adulto +90kg",11,"")))))))))))))</f>
        <v/>
      </c>
      <c r="BC85" s="6" t="str">
        <f>IF(Atletas!G76="","",IF(Atletas!B76="Feminino",10,IF(Atletas!B76="Masculino",20,""))+(IF(Atletas!G76="Baduanjin A",1,IF(Atletas!G76="Baduanjin B",2))))</f>
        <v/>
      </c>
      <c r="BF85" s="52" t="str">
        <f>IF(Atletas!H76="","",IF(Atletas!B76="Feminino",100,IF(Atletas!B76="Masculino",200,""))+(IF(Atletas!H76="Changquan Mirim",1,IF(Atletas!H76="Nanquan Mirim",2,IF(Atletas!H76="Taijiquan Mirim",3,IF(Atletas!H76="Changquan Grupo C",4,IF(Atletas!H76="Nanquan Grupo C",5,IF(Atletas!H76="Taijiquan Grupo C",6,IF(Atletas!H76="Changquan Grupo B",7,IF(Atletas!H76="Nanquan Grupo B",8,IF(Atletas!H76="Taijiquan Grupo B",9,IF(Atletas!H76="Changquan Grupo A",10,IF(Atletas!H76="Nanquan Grupo A",11,IF(Atletas!H76="Taijiquan Grupo A",12,IF(Atletas!H76="Changquan Opcional",13,IF(Atletas!H76="Nanquan Opcional",14,IF(Atletas!H76="Taijiquan Opcional",15,IF(Atletas!H76="Changquan Adulto",16,IF(Atletas!H76="Nanquan Adulto",17,IF(Atletas!H76="Taijiquan Adulto",18,""))))))))))))))))))))</f>
        <v/>
      </c>
      <c r="BG85" s="52" t="str">
        <f>IF(Atletas!I76="","",IF(Atletas!B76="Feminino",100,IF(Atletas!B76="Masculino",200,""))+(IF(Atletas!I76="Daoshu Mirim",19,IF(Atletas!I76="Jianshu Mirim",20,IF(Atletas!I76="Nandao Mirim",21,IF(Atletas!I76="Taijijian Mirim",22,IF(Atletas!I76="Daoshu Grupo C",23,IF(Atletas!I76="Jianshu Grupo C",24,IF(Atletas!I76="Nandao Grupo C",25,IF(Atletas!I76="Taijijian Grupo C",26,IF(Atletas!I76="Daoshu Grupo B",27,IF(Atletas!I76="Jianshu Grupo B",28,IF(Atletas!I76="Nandao Grupo B",29,IF(Atletas!I76="Taijijian Grupo B",30,IF(Atletas!I76="Daoshu Grupo A",31,IF(Atletas!I76="Jianshu Grupo A",32,IF(Atletas!I76="Nandao Grupo A",33,IF(Atletas!I76="Taijijian Grupo A",34,IF(Atletas!I76="Daoshu Opcional",35,IF(Atletas!I76="Jianshu Opcional",36,IF(Atletas!I76="Nandao Opcional",37,IF(Atletas!I76="Taijijian Opcional",38,IF(Atletas!I76="Daoshu Adulto",39,IF(Atletas!I76="Jianshu Adulto",40,IF(Atletas!I76="Nandao Adulto",41,IF(Atletas!I76="Taijijian Adulto",42,""))))))))))))))))))))))))))</f>
        <v/>
      </c>
      <c r="BH85" s="52" t="str">
        <f>IF(Atletas!J76="","",IF(Atletas!B76="Feminino",100,IF(Atletas!B76="Masculino",200,""))+(IF(Atletas!J76="Gunshu Mirim",43,IF(Atletas!J76="Qiangshu Mirim",44,IF(Atletas!J76="Nangun Mirim",45,IF(Atletas!J76="Gunshu Grupo C",46,IF(Atletas!J76="Qiangshu Grupo C",47,IF(Atletas!J76="Nangun Grupo C",48,IF(Atletas!J76="Gunshu Grupo B",49,IF(Atletas!J76="Qiangshu Grupo B",50,IF(Atletas!J76="Nangun Grupo B",51,IF(Atletas!J76="Gunshu Grupo A",52,IF(Atletas!J76="Qiangshu Grupo A",53,IF(Atletas!J76="Nangun Grupo A",54,IF(Atletas!J76="Gunshu Opcional",55,IF(Atletas!J76="Qiangshu Opcional",56,IF(Atletas!J76="Nangun Opcional",57,IF(Atletas!J76="Gunshu Adulto",58,IF(Atletas!J76="Qiangshu Adulto",59,IF(Atletas!J76="Nangun Adulto",60,IF(Atletas!J76="Taijishan Grupo B",61,IF(Atletas!J76="Taijishan Grupo A",62,""))))))))))))))))))))))</f>
        <v/>
      </c>
      <c r="BM85" s="50" t="str">
        <f>IF(Atletas!K76="","",IF(Atletas!B76="Feminino",100,IF(Atletas!B76="Masculino",200,""))+(IF(Atletas!K76="Equipe 1 Grupo B",1,IF(Atletas!K76="Equipe 2 Grupo B",2,IF(Atletas!K76="Equipe 1 Grupo A",3,IF(Atletas!K76="Equipe 2 Grupo A",4,IF(Atletas!K76="Equipe 1 Adulto",5,IF(Atletas!K76="Equipe 2 Adulto",6,""))))))))</f>
        <v/>
      </c>
      <c r="BR85" s="50" t="str">
        <f>IF(Atletas!L76="","",IF(Atletas!X76&lt;&gt;"",10000,0)+(IF(Atletas!B76="Feminino",1000,IF(Atletas!B76="Masculino",2000,""))+IF(Atletas!L76="Choylayfut A",1,IF(Atletas!L76="Hunggar A",2,IF(Atletas!L76="Wuzuquan A",3,IF(Atletas!L76="Wingchun A",4,IF(Atletas!L76="Outra Mão de Sul A",5,IF(Atletas!L76="Choylayfut B",6,IF(Atletas!L76="Hunggar B",7,IF(Atletas!L76="Wuzuquan B",8,IF(Atletas!L76="Wingchun B",9,IF(Atletas!L76="Outra Mão de Sul B",10,IF(Atletas!L76="Choylayfut C",11,IF(Atletas!L76="Hunggar C",12,IF(Atletas!L76="Wuzuquan C",13,IF(Atletas!L76="Wingchun C",14,IF(Atletas!L76="Outra Mão de Sul C",15,IF(Atletas!L76="Choylayfut D",16,IF(Atletas!L76="Hunggar D",17,IF(Atletas!L76="Wuzuquan D",18,IF(Atletas!L76="Wingchun D",19,IF(Atletas!L76="Outra Mão de Sul D",20,IF(Atletas!L76="Choylayfut E",21,IF(Atletas!L76="Hunggar E",22,IF(Atletas!L76="Wuzuquan E",23,IF(Atletas!L76="Wingchun E",24,IF(Atletas!L76="Outra Mão de Sul E",25,IF(Atletas!L76="Choylayfut F",26,IF(Atletas!L76="Hunggar F",27,IF(Atletas!L76="Wuzuquan F",28,IF(Atletas!L76="Wingchun F",29,IF(Atletas!L76="Outra Mão de Sul F",30,IF(Atletas!L76="Dishuquan A",31,IF(Atletas!L76="Dishuquan B",32,IF(Atletas!L76="Dishuquan C",33,IF(Atletas!L76="Dishuquan D",34,IF(Atletas!L76="Dishuquan E",35,IF(Atletas!L76="Dishuquan F",36,""))))))))))))))))))))))))))))))))))))))</f>
        <v/>
      </c>
      <c r="BS85" s="50" t="str">
        <f>IF(Atletas!M76="","",IF(Atletas!X76&lt;&gt;"",10000,0)+(IF(Atletas!B76="Feminino",1000,IF(Atletas!B76="Masculino",2000,""))+(IF(Atletas!M76="Chaquan A",101,IF(Atletas!M76="Emeiquan A",102,IF(Atletas!M76="Fanziquan A",103,IF(Atletas!M76="Huaquan A",104,IF(Atletas!M76="Hongquan A",105,IF(Atletas!M76="Paoquan A",106,IF(Atletas!M76="Piguaquan A",107,IF(Atletas!M76="Shaolinquan A",108,IF(Atletas!M76="Tanglangquan A",109,IF(Atletas!M76="Yingzhaoquan A",110,IF(Atletas!M76="Tongbeiquan A",111,IF(Atletas!M76="Wudangquan A",112,IF(Atletas!M76="Outros Estilos A",113,IF(Atletas!M76="Chaquan B",114,IF(Atletas!M76="Emeiquan B",115,IF(Atletas!M76="Fanziquan B",116,IF(Atletas!M76="Huaquan B",117,IF(Atletas!M76="Hongquan B",118,IF(Atletas!M76="Paoquan B",119,IF(Atletas!M76="Piguaquan B",120,IF(Atletas!M76="Shaolinquan B",121,IF(Atletas!M76="Tanglangquan B",122,IF(Atletas!M76="Yingzhaoquan B",123,IF(Atletas!M76="Tongbeiquan B",124,IF(Atletas!M76="Wudangquan B",125,IF(Atletas!M76="Outros Estilos B",126,IF(Atletas!M76="Chaquan C",127,IF(Atletas!M76="Emeiquan C",128,IF(Atletas!M76="Fanziquan C",129,IF(Atletas!M76="Huaquan C",130,IF(Atletas!M76="Hongquan C",131,IF(Atletas!M76="Paoquan C",132,IF(Atletas!M76="Piguaquan C",133,IF(Atletas!M76="Shaolinquan C",134,IF(Atletas!M76="Tanglangquan C",135,IF(Atletas!M76="Yingzhaoquan C",136,IF(Atletas!M76="Tongbeiquan C",137,IF(Atletas!M76="Wudangquan C",138,IF(Atletas!M76="Outros Estilos C",139,0))))))))))))))))))))))))))))))))))))))))))</f>
        <v/>
      </c>
      <c r="BT85" s="50" t="str">
        <f>IF(Atletas!M76="","",IF(Atletas!X76&lt;&gt;"",10000,0)+(IF(Atletas!B76="Feminino",1000,IF(Atletas!B76="Masculino",2000,""))+(IF(Atletas!M76="Chaquan D",140,IF(Atletas!M76="Emeiquan D",141,IF(Atletas!M76="Fanziquan D",142,IF(Atletas!M76="Huaquan D",143,IF(Atletas!M76="Hongquan D",144,IF(Atletas!M76="Paoquan D",145,IF(Atletas!M76="Piguaquan D",146,IF(Atletas!M76="Shaolinquan D",147,IF(Atletas!M76="Tanglangquan D",148,IF(Atletas!M76="Yingzhaoquan D",149,IF(Atletas!M76="Tongbeiquan D",150,IF(Atletas!M76="Wudangquan D",151,IF(Atletas!M76="Outros Estilos D",152,IF(Atletas!M76="Chaquan E",153,IF(Atletas!M76="Emeiquan E",154,IF(Atletas!M76="Fanziquan E",155,IF(Atletas!M76="Huaquan E",156,IF(Atletas!M76="Hongquan E",157,IF(Atletas!M76="Paoquan E",158,IF(Atletas!M76="Piguaquan E",159,IF(Atletas!M76="Shaolinquan E",160,IF(Atletas!M76="Tanglangquan E",161,IF(Atletas!M76="Yingzhaoquan E",162,IF(Atletas!M76="Tongbeiquan E",163,IF(Atletas!M76="Wudangquan E",164,IF(Atletas!M76="Outros Estilos E",165,IF(Atletas!M76="Chaquan F",166,IF(Atletas!M76="Emeiquan F",167,IF(Atletas!M76="Fanziquan F",168,IF(Atletas!M76="Huaquan F",169,IF(Atletas!M76="Hongquan F",170,IF(Atletas!M76="Paoquan F",171,IF(Atletas!M76="Piguaquan F",172,IF(Atletas!M76="Shaolinquan F",173,IF(Atletas!M76="Tanglangquan F",174,IF(Atletas!M76="Yingzhaoquan F",175,IF(Atletas!M76="Tongbeiquan F",176,IF(Atletas!M76="Wudangquan F",177,IF(Atletas!M76="Outros Estilos F",178,0))))))))))))))))))))))))))))))))))))))))))</f>
        <v/>
      </c>
      <c r="BU85" s="50" t="str">
        <f>IF(Atletas!N76="","",IF(Atletas!X76&lt;&gt;"",10000,0)+(IF(Atletas!B76="Feminino",1000,IF(Atletas!B76="Masculino",2000,""))+(IF(Atletas!N76="Ditangquan A",201,IF(Atletas!N76="Houquan A",202,IF(Atletas!N76="Zuiquan A",203,IF(Atletas!N76="Ditangquan B",204,IF(Atletas!N76="Houquan B",205,IF(Atletas!N76="Zuiquan B",206,IF(Atletas!N76="Ditangquan C",207,IF(Atletas!N76="Houquan C",208,IF(Atletas!N76="Zuiquan C",209,IF(Atletas!N76="Ditangquan D",210,IF(Atletas!N76="Houquan D",211,IF(Atletas!N76="Zuiquan D",212,IF(Atletas!N76="Ditangquan E",213,IF(Atletas!N76="Houquan E",214,IF(Atletas!N76="Zuiquan E",215,IF(Atletas!N76="Ditangquan F",216,IF(Atletas!N76="Houquan F",217,IF(Atletas!N76="Zuiquan F",218,"")))))))))))))))))))))</f>
        <v/>
      </c>
      <c r="BV85" s="50" t="str">
        <f>IF(Atletas!O76="","",IF(Atletas!X76&lt;&gt;"",10000,0)+IF(Atletas!B76="Feminino",1000,IF(Atletas!B76="Masculino",2000,""))+IF(Atletas!O76="Yang A",301,IF(Atletas!O76="Chen A",302,IF(Atletas!O76="Sun A",303,IF(Atletas!O76="Wu A",304,IF(Atletas!O76="Wu-Hao A",305,IF(Atletas!O76="Outro Taijiquan A",306,IF(Atletas!O76="Yang B",307,IF(Atletas!O76="Chen B",308,IF(Atletas!O76="Sun B",309,IF(Atletas!O76="Wu B",310,IF(Atletas!O76="Wu-Hao B",311,IF(Atletas!O76="Outro Taijiquan B",312,IF(Atletas!O76="Yang C",313,IF(Atletas!O76="Chen C",314,IF(Atletas!O76="Sun C",315,IF(Atletas!O76="Wu C",316,IF(Atletas!O76="Wu-Hao C",317,IF(Atletas!O76="Outro Taijiquan C",318,IF(Atletas!O76="Yang D",319,IF(Atletas!O76="Chen D",320,IF(Atletas!O76="Sun D",321,IF(Atletas!O76="Wu D",322,IF(Atletas!O76="Wu-Hao D",323,IF(Atletas!O76="Outro Taijiquan D",324,IF(Atletas!O76="Yang E",325,IF(Atletas!O76="Chen E",326,IF(Atletas!O76="Sun E",327,IF(Atletas!O76="Wu E",328,IF(Atletas!O76="Wu-Hao E",329,IF(Atletas!O76="Outro Taijiquan E",330,IF(Atletas!O76="Yang F",331,IF(Atletas!O76="Chen F",332,IF(Atletas!O76="Sun F",333,IF(Atletas!O76="Wu F",334,IF(Atletas!O76="Wu-Hao F",335,IF(Atletas!O76="Outro Taijiquan F",336,"")))))))))))))))))))))))))))))))))))))</f>
        <v/>
      </c>
      <c r="BW85" s="50" t="str">
        <f>IF(Atletas!P76="","",IF(Atletas!X76&lt;&gt;"",10000,0)+IF(Atletas!B76="Feminino",1000,IF(Atletas!B76="Masculino",2000,""))+IF(OR(Atletas!P76="Yang 26 A",Atletas!P76="Yang 40 A"),401,IF(OR(Atletas!P76="Chen 25 A",Atletas!P76="Chen 36 A",Atletas!P76="Chen 56 A"),402,IF(Atletas!P76="Sun 73 A",403,IF(Atletas!P76="Wu 45 A",404,IF(Atletas!P76="Wu-Hao 46 A",405,IF(OR(Atletas!P76="Taijiquan 16 A",Atletas!P76="Taijiquan 24 A",Atletas!P76="Taijiquan 32 A",Atletas!P76="Taijiquan 42 A"),406,IF(OR(Atletas!P76="Yang 26 B",Atletas!P76="Yang 40 B"),407,IF(OR(Atletas!P76="Chen 25 B",Atletas!P76="Chen 36 B",Atletas!P76="Chen 56 B"),408,IF(Atletas!P76="Sun 73 B",409,IF(Atletas!P76="Wu 45 B",410,IF(Atletas!P76="Wu-Hao 46 B",411,IF(OR(Atletas!P76="Taijiquan 16 B",Atletas!P76="Taijiquan 24 B",Atletas!P76="Taijiquan 32 B",Atletas!P76="Taijiquan 42 B"),412,IF(OR(Atletas!P76="Yang 26 C",Atletas!P76="Yang 40 C"),413,IF(OR(Atletas!P76="Chen 25 C",Atletas!P76="Chen 36 C",Atletas!P76="Chen 56 C"),414,IF(Atletas!P76="Sun 73 C",415,IF(Atletas!P76="Wu 45 C",416,IF(Atletas!P76="Wu-Hao 46 C",417,IF(OR(Atletas!P76="Taijiquan 16 C",Atletas!P76="Taijiquan 24 C",Atletas!P76="Taijiquan 32 C",Atletas!P76="Taijiquan 42 C"),418,0)))))))))))))))))))</f>
        <v/>
      </c>
      <c r="BX85" s="50" t="str">
        <f>IF(Atletas!P76="","",IF(Atletas!X76&lt;&gt;"",10000,0)+IF(Atletas!B76="Feminino",1000,IF(Atletas!B76="Masculino",2000,""))+IF(OR(Atletas!P76="Yang 26 D",Atletas!P76="Yang 40 D"),419,IF(OR(Atletas!P76="Chen 25 D",Atletas!P76="Chen 36 D",Atletas!P76="Chen 56 D"),420,IF(Atletas!P76="Sun 73 D",421,IF(Atletas!P76="Wu 45 D",422,IF(Atletas!P76="Wu-Hao 46 D",423,IF(OR(Atletas!P76="Taijiquan 16 D",Atletas!P76="Taijiquan 24 D",Atletas!P76="Taijiquan 32 D",Atletas!P76="Taijiquan 42 D"),424,IF(OR(Atletas!P76="Yang 26 E",Atletas!P76="Yang 40 E"),425,IF(OR(Atletas!P76="Chen 25 E",Atletas!P76="Chen 36 E",Atletas!P76="Chen 56 E"),426,IF(Atletas!P76="Sun 73 E",427,IF(Atletas!P76="Wu 45 E",428,IF(Atletas!P76="Wu-Hao 46 E",429,IF(OR(Atletas!P76="Taijiquan 16 E",Atletas!P76="Taijiquan 24 E",Atletas!P76="Taijiquan 32 E",Atletas!P76="Taijiquan 42 E"),430,IF(OR(Atletas!P76="Yang 26 F",Atletas!P76="Yang 40 F"),431,IF(OR(Atletas!P76="Chen 25 F",Atletas!P76="Chen 36 F",Atletas!P76="Chen 56 F"),432,IF(Atletas!P76="Sun 73 F",433,IF(Atletas!P76="Wu 45 F",434,IF(Atletas!P76="Wu-Hao 46 F",435,IF(OR(Atletas!P76="Taijiquan 16 F",Atletas!P76="Taijiquan 24 F",Atletas!P76="Taijiquan 32 F",Atletas!P76="Taijiquan 42 F"),436,0)))))))))))))))))))</f>
        <v/>
      </c>
      <c r="BY85" s="50" t="str">
        <f>IF(Atletas!Q76="","",IF(Atletas!X76&lt;&gt;"",10000,0)+IF(Atletas!B76="Feminino",1000,IF(Atletas!B76="Masculino",2000,""))+IF(Atletas!Q76="Xingyiquan A",501,IF(Atletas!Q76="Baguazhang A",502,IF(Atletas!Q76="Outro Estilo Interno A",503,IF(Atletas!Q76="Xingyiquan B",504,IF(Atletas!Q76="Baguazhang B",505,IF(Atletas!Q76="Outro Estilo Interno B",506,IF(Atletas!Q76="Xingyiquan C",507,IF(Atletas!Q76="Baguazhang C",508,IF(Atletas!Q76="Outro Estilo Interno C",509,IF(Atletas!Q76="Xingyiquan D",510,IF(Atletas!Q76="Baguazhang D",511,IF(Atletas!Q76="Outro Estilo Interno D",512,IF(Atletas!Q76="Xingyiquan E",513,IF(Atletas!Q76="Baguazhang E",514,IF(Atletas!Q76="Outro Estilo Interno E",515,IF(Atletas!Q76="Xingyiquan F",516,IF(Atletas!Q76="Baguazhang F",517,IF(Atletas!Q76="Outro Estilo Interno F",518, "")))))))))))))))))))</f>
        <v/>
      </c>
      <c r="BZ85" s="50" t="str">
        <f>IF(Atletas!R76="","",IF(Atletas!X76&lt;&gt;"",10000,0)+IF(Atletas!B76="Feminino",1000,IF(Atletas!B76="Masculino",2000,""))+IF(Atletas!R76="Dao A",601,IF(Atletas!R76="Jian A",602,IF(Atletas!R76="Bishou A",603,IF(Atletas!R76="Shanzi A",604,IF(Atletas!R76="Outra Arma Curta A",605,IF(Atletas!R76="Dao B",606,IF(Atletas!R76="Jian B",607,IF(Atletas!R76="Bishou B",608,IF(Atletas!R76="Shanzi B",609,IF(Atletas!R76="Outra Arma Curta B",610,IF(Atletas!R76="Dao C",611,IF(Atletas!R76="Jian C",612,IF(Atletas!R76="Bishou C",613,IF(Atletas!R76="Shanzi C",614,IF(Atletas!R76="Outra Arma Curta C",615,IF(Atletas!R76="Dao D",616,IF(Atletas!R76="Jian D",617,IF(Atletas!R76="Bishou D",618,IF(Atletas!R76="Shanzi D",619,IF(Atletas!R76="Outra Arma Curta D",620,IF(Atletas!R76="Dao E",621,IF(Atletas!R76="Jian E",622,IF(Atletas!R76="Bishou E",623,IF(Atletas!R76="Shanzi E",624,IF(Atletas!R76="Outra Arma Curta E",625,IF(Atletas!R76="Dao F",626,IF(Atletas!R76="Jian F",627,IF(Atletas!R76="Bishou F",628,IF(Atletas!R76="Shanzi F",629,IF(Atletas!R76="Outra Arma Curta F",630, "")))))))))))))))))))))))))))))))</f>
        <v/>
      </c>
      <c r="CA85" s="50" t="str">
        <f>IF(Atletas!S76="","",IF(Atletas!X76&lt;&gt;"",10000,0)+IF(Atletas!B76="Feminino",1000,IF(Atletas!B76="Masculino",2000,""))+IF(Atletas!S76="Gun A",701,IF(Atletas!S76="Qiang A",702,IF(Atletas!S76="Pudao / Guandao A",703,IF(Atletas!S76="Outra Arma Longa A",704,IF(Atletas!S76="Gun B",705,IF(Atletas!S76="Qiang B",706,IF(Atletas!S76="Pudao / Guandao B",707,IF(Atletas!S76="Outra Arma Longa B",708,IF(Atletas!S76="Gun C",709,IF(Atletas!S76="Qiang C",710,IF(Atletas!S76="Pudao / Guandao C",711,IF(Atletas!S76="Outra Arma Longa C",712,IF(Atletas!S76="Gun D",713,IF(Atletas!S76="Qiang D",714,IF(Atletas!S76="Pudao / Guandao D",715,IF(Atletas!S76="Outra Arma Longa D",716,IF(Atletas!S76="Gun E",717,IF(Atletas!S76="Qiang E",718,IF(Atletas!S76="Pudao / Guandao E",719,IF(Atletas!S76="Outra Arma Longa E",720,IF(Atletas!S76="Gun F",721,IF(Atletas!S76="Qiang F",722,IF(Atletas!S76="Pudao / Guandao F",723,IF(Atletas!S76="Outra Arma Longa F",724,"")))))))))))))))))))))))))</f>
        <v/>
      </c>
      <c r="CB85" s="50" t="str">
        <f>IF(Atletas!T76="","",IF(Atletas!X76&lt;&gt;"",10000,0)+IF(Atletas!B76="Feminino",1000,IF(Atletas!B76="Masculino",2000,""))+IF(Atletas!T76="Outra Arma Dupla A",801,IF(Atletas!T76="Arma Maleável A",802,IF(Atletas!T76="Outra Arma Dupla B",803,IF(Atletas!T76="Arma Maleável B",804,IF(Atletas!T76="Outra Arma Dupla C",805,IF(Atletas!T76="Arma Maleável C",806,IF(Atletas!T76="Outra Arma Dupla D",807,IF(Atletas!T76="Arma Maleável D",808,IF(Atletas!T76="Outra Arma Dupla E",809,IF(Atletas!T76="Arma Maleável E",810,IF(Atletas!T76="Outra Arma Dupla F",811,IF(Atletas!T76="Arma Maleável F",812,IF(Atletas!T76="Shuangdao A",813,IF(Atletas!T76="Shuangdao B",814,IF(Atletas!T76="Shuangdao C",815,IF(Atletas!T76="Shuangdao D",816,IF(Atletas!T76="Shuangdao E",817,IF(Atletas!T76="Shuangdao F",818,"")))))))))))))))))))</f>
        <v/>
      </c>
      <c r="CC85" s="50" t="str">
        <f>IF(Atletas!U76="","",IF(Atletas!X76&lt;&gt;"",10000,0)+IF(Atletas!B76="Feminino",1000,IF(Atletas!B76="Masculino",2000,""))+IF(OR(Atletas!U76="Taijijian Yang A",Atletas!U76="Taijijian Yang Standard A"),901,IF(OR(Atletas!U76="Taijijian Chen A", Atletas!U76="Taijijian Chen Standard A"),902,IF(Atletas!U76="Taijijian Sun A",903,IF(Atletas!U76="Taijijian Wu A",904,IF(Atletas!U76="Taijijian Wu-Hao A",905,IF(OR(Atletas!U76="Taijijian 32 A",Atletas!U76="Taijijian 42 A"),906,IF(OR(Atletas!U76="Taijijian Yang B",Atletas!U76="Taijijian Yang Standard B"),907,IF(OR(Atletas!U76="Taijijian Chen B", Atletas!U76="Taijijian Chen Standard B"),908,IF(Atletas!U76="Taijijian Sun B",909,IF(Atletas!U76="Taijijian Wu B",910,IF(Atletas!U76="Taijijian Wu-Hao B",911,IF(OR(Atletas!U76="Taijijian 32 B",Atletas!U76="Taijijian 42 B"),912,IF(OR(Atletas!U76="Taijijian Yang C",Atletas!U76="Taijijian Yang Standard C"),913,IF(OR(Atletas!U76="Taijijian Chen C", Atletas!U76="Taijijian Chen Standard C"),914,IF(Atletas!U76="Taijijian Sun C",915,IF(Atletas!U76="Taijijian Wu C",916,IF(Atletas!U76="Taijijian Wu-Hao C",917,IF(OR(Atletas!U76="Taijijian 32 C",Atletas!U76="Taijijian 42 C"),918,IF(OR(Atletas!U76="Taijijian Yang D",Atletas!U76="Taijijian Yang Standard D"),919,IF(OR(Atletas!U76="Taijijian Chen D", Atletas!U76="Taijijian Chen Standard D"),920,IF(Atletas!U76="Taijijian Sun D",921,IF(Atletas!U76="Taijijian Wu D",922,IF(Atletas!U76="Taijijian Wu-Hao D",923,IF(OR(Atletas!U76="Taijijian 32 D",Atletas!U76="Taijijian 42 D"),924,IF(OR(Atletas!U76="Taijijian Yang E",Atletas!U76="Taijijian Yang Standard E"),925,IF(OR(Atletas!U76="Taijijian Chen E", Atletas!U76="Taijijian Chen Standard E"),926,IF(Atletas!U76="Taijijian Sun E",927,IF(Atletas!U76="Taijijian Wu E",928,IF(Atletas!U76="Taijijian Wu-Hao E",929,IF(OR(Atletas!U76="Taijijian 32 E",Atletas!U76="Taijijian 42 E"),930,IF(OR(Atletas!U76="Taijijian Yang F",Atletas!U76="Taijijian Yang Standard F"),931,IF(OR(Atletas!U76="Taijijian Chen F", Atletas!U76="Taijijian Chen Standard F"),932,IF(Atletas!U76="Taijijian Sun F",933,IF(Atletas!U76="Taijijian Wu F",934,IF(Atletas!U76="Taijijian Wu-Hao F",935,IF(OR(Atletas!U76="Taijijian 32 F",Atletas!U76="Taijijian 42 F"),936,"")))))))))))))))))))))))))))))))))))))</f>
        <v/>
      </c>
      <c r="CD85" s="50" t="str">
        <f>IF(Atletas!V76="","",IF(Atletas!X76&lt;&gt;"",10000,0)+IF(Atletas!B76="Feminino",1000,IF(Atletas!B76="Masculino",2000,""))+IF(Atletas!V76="Taijidao A",937,IF(Atletas!V76="TaijiShanzi A",938,IF(Atletas!V76="Taijiqiang A",939,IF(Atletas!V76="Bagua de Arma A",940,IF(Atletas!V76="Xingyi de Arma A",941,IF(Atletas!V76="Taijidao B",942,IF(Atletas!V76="TaijiShanzi B",943,IF(Atletas!V76="Taijiqiang B",944,IF(Atletas!V76="Bagua de Arma B",945,IF(Atletas!V76="Xingyi de Arma B",946,IF(Atletas!V76="Taijidao C",947,IF(Atletas!V76="TaijiShanzi C",948,IF(Atletas!V76="Taijiqiang C",949,IF(Atletas!V76="Bagua de Arma C",950,IF(Atletas!V76="Xingyi de Arma C",951,IF(Atletas!V76="Taijidao D",952,IF(Atletas!V76="TaijiShanzi D",953,IF(Atletas!V76="Taijiqiang D",954,IF(Atletas!V76="Bagua de Arma D",955,IF(Atletas!V76="Xingyi de Arma D",956,IF(Atletas!V76="Taijidao E",957,IF(Atletas!V76="TaijiShanzi E",958,IF(Atletas!V76="Taijiqiang E",959,IF(Atletas!V76="Bagua de Arma E",960,IF(Atletas!V76="Xingyi de Arma E",961,IF(Atletas!V76="Taijidao F",962,IF(Atletas!V76="TaijiShanzi F",963,IF(Atletas!V76="Taijiqiang F",964,IF(Atletas!V76="Bagua de Arma F",965,IF(Atletas!V76="Xingyi de Arma F",966,"")))))))))))))))))))))))))))))))</f>
        <v/>
      </c>
      <c r="CE85" s="66" t="str">
        <f>IF(CF85&lt;&gt;"","Huaquan D","")</f>
        <v/>
      </c>
      <c r="CF85" s="66" t="str">
        <f>IF(COUNTIF(BR:CD,1143)&gt;0,COUNTIF(BR:CD,1143),"")</f>
        <v/>
      </c>
      <c r="CG85" s="66" t="str">
        <f>IF(CH85&lt;&gt;"","Huaquan D","")</f>
        <v/>
      </c>
      <c r="CH85" s="66" t="str">
        <f>IF(COUNTIF(BR:CD,2143)&gt;0,COUNTIF(BR:CD,2143),"")</f>
        <v/>
      </c>
      <c r="CI85" s="66" t="str">
        <f>IF(CJ85&lt;&gt;"","Yingzhaoquan D","")</f>
        <v/>
      </c>
      <c r="CJ85" s="66" t="str">
        <f>IF(COUNTIF(BR:CD,11149)&gt;0,COUNTIF(BR:CD,11149),"")</f>
        <v/>
      </c>
      <c r="CK85" s="66" t="str">
        <f>IF(CL85&lt;&gt;"","Yingzhaoquan D","")</f>
        <v/>
      </c>
      <c r="CL85" s="66" t="str">
        <f>IF(COUNTIF(BR:CD,12149)&gt;0,COUNTIF(BR:CD,12149),"")</f>
        <v/>
      </c>
      <c r="CM85" s="50" t="str">
        <f xml:space="preserve"> IF(Atletas!W76="","",IF(Atletas!W76="Duilian de Mãos BC - Equipe 1",1,IF(Atletas!W76="Duilian de Mãos BC - Equipe 2",2,IF(Atletas!W76="Duilian de Armas BC - Equipe 1",3,IF(Atletas!W76="Duilian de Armas BC - Equipe 2",4,IF(Atletas!W76="Duilian de Mãos DE - Equipe 1",5,IF(Atletas!W76="Duilian de Mãos DE - Equipe 2",6,IF(Atletas!W76="Duilian de Armas DE - Equipe 1",7,IF(Atletas!W76="Duilian de Armas DE - Equipe 2",8,IF(Atletas!W76="Duilian de Tuishou - Equipe 1",9,IF(Atletas!W76="Duilian de Tuishou - Equipe 2",10,IF(Atletas!W76="Grupo Externo ABC - Equipe 1",11,IF(Atletas!W76="Grupo Externo ABC - Equipe 2",12,IF(Atletas!W76="Grupo Interno ABC - Equipe 1",13,IF(Atletas!W76="Grupo Interno ABC - Equipe 2",14,IF(Atletas!W76="Grupo Externo DEF - Equipe 1",15,IF(Atletas!W76="Grupo Externo DEF - Equipe 2",16,IF(Atletas!W76="Grupo Interno DEF - Equipe 1",17,IF(Atletas!W76="Grupo Interno DEF - Equipe 2",18,"")))))))))))))))))))</f>
        <v/>
      </c>
    </row>
    <row r="86" spans="2:9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20"/>
      <c r="Y86" s="3"/>
      <c r="Z86" s="3" t="str">
        <f t="array" ref="Z86">IFERROR(INDEX(CE$7:CE$348,SMALL(IF(CE$7:CE$348&lt;&gt;"",ROW(CE$7:CE$348)-ROW(CE$7)+1),ROWS(CE$7:CE85))),"")</f>
        <v/>
      </c>
      <c r="AA86" s="3" t="str">
        <f t="array" ref="AA86">IFERROR(INDEX(CF$7:CF$348,SMALL(IF(CF$7:CF$348&lt;&gt;"",ROW(CF$7:CF$348)-ROW(CF$7)+1),ROWS(CF$7:CF85))),"")</f>
        <v/>
      </c>
      <c r="AB86" s="3" t="str">
        <f t="array" ref="AB86">IFERROR(INDEX(CG$7:CG$348,SMALL(IF(CG$7:CG$348&lt;&gt;"",ROW(CG$7:CG$348)-ROW(CG$7)+1),ROWS(CG$7:CG85))),"")</f>
        <v/>
      </c>
      <c r="AC86" s="3" t="str">
        <f t="array" ref="AC86">IFERROR(INDEX(CH$7:CH$348,SMALL(IF(CH$7:CH$348&lt;&gt;"",ROW(CH$7:CH$348)-ROW(CH$7)+1),ROWS(CH$7:CH85))),"")</f>
        <v/>
      </c>
      <c r="AD86" s="3" t="str">
        <f t="array" ref="AD86">IFERROR(INDEX(CI$7:CI$377,SMALL(IF(CI$7:CI$377&lt;&gt;"",ROW(CI$7:CI$377)-ROW(CI$7)+1),ROWS(CI$7:CI85))),"")</f>
        <v/>
      </c>
      <c r="AE86" s="3" t="str">
        <f t="array" ref="AE86">IFERROR(INDEX(CJ$7:CJ$378,SMALL(IF(CJ$7:CJ$378&lt;&gt;"",ROW(CJ$7:CJ$378)-ROW(CJ$7)+1),ROWS(CJ$7:CJ85))),"")</f>
        <v/>
      </c>
      <c r="AF86" s="3" t="str">
        <f t="array" ref="AF86">IFERROR(INDEX(CK$7:CK$378,SMALL(IF(CK$7:CK$378&lt;&gt;"",ROW(CK$7:CK$378)-ROW(CK$7)+1),ROWS(CK$7:CK85))),"")</f>
        <v/>
      </c>
      <c r="AG86" s="3" t="str">
        <f t="array" ref="AG86">IFERROR(INDEX(CL$7:CL$378,SMALL(IF(CL$7:CL$378&lt;&gt;"",ROW(CL$7:CL$378)-ROW(CL$7)+1),ROWS(CL$7:CL85))),"")</f>
        <v/>
      </c>
      <c r="AH86" s="3"/>
      <c r="AI86" s="3"/>
      <c r="AJ86" s="3"/>
      <c r="AK86" s="3"/>
      <c r="AL86" s="3"/>
      <c r="AM86" s="3"/>
      <c r="AN86" s="52" t="str">
        <f>IF(Atletas!D77="","",IF(Atletas!B77="Feminino",100,IF(Atletas!B77="Masculino",200,""))+(IF(Atletas!D77="Kids 30kg",1,IF(Atletas!D77="Kids 32kg",2, IF(Atletas!D77="Kids 34kg",3,IF(Atletas!D77="Kids 36kg",4,IF(Atletas!D77="Kids 39kg",5,IF(Atletas!D77="Kids 42kg",6,IF(Atletas!D77="Kids 45kg",7, IF(Atletas!D77="Infantil 39kg",8,IF(Atletas!D77="Infantil 42kg",9,IF(Atletas!D77="Infantil 45kg",10,IF(Atletas!D77="Infantil 48kg",11,IF(Atletas!D77="Infantil 52kg",12,IF(Atletas!D77="Infantil 56kg",13,IF(Atletas!D77="Infantil 60kg",14,IF(Atletas!D77="Juvenil 48kg",15,IF(Atletas!D77="Juvenil 52kg",16,IF(Atletas!D77="Juvenil 56kg",17,IF(Atletas!D77="Juvenil 60kg",18,IF(Atletas!D77="Juvenil 65kg",19,IF(Atletas!D77="Juvenil 70kg",20,IF(Atletas!D77="Juvenil 75kg",21,IF(Atletas!D77="Juvenil 80kg",22, IF(Atletas!D77="Juvenil 85kg",23,IF(Atletas!D77="Adulto 48kg",24,IF(Atletas!D77="Adulto 52kg",25,IF(Atletas!D77="Adulto 56kg",26,IF(Atletas!D77="Adulto 60kg",27,IF(Atletas!D77="Adulto 65kg",28,IF(Atletas!D77="Adulto 70kg",29,IF(Atletas!D77="Adulto 75kg",30,IF(Atletas!D77="Adulto 80kg",31,IF(Atletas!D77="Adulto 85kg",32,IF(Atletas!D77="Adulto 90kg",33,IF(Atletas!D77="Adulto 100kg",34, IF(Atletas!D77="Adulto +100kg",35,"")))))))))))))))))))))))))))))))))))))</f>
        <v/>
      </c>
      <c r="AS86" s="6" t="str">
        <f>IF(Atletas!E77="","",IF(Atletas!B77="Feminino",100,IF(Atletas!B77="Masculino",200,""))+(IF(Atletas!E77="Juvenil 44kg",1,IF(Atletas!E77="Juvenil 48kg",2,IF(Atletas!E77="Juvenil 52kg",3,IF(Atletas!E77="Juvenil 56kg",4,IF(Atletas!E77="Juvenil 60kg",5,IF(Atletas!E77="Juvenil 65kg",6,IF(Atletas!E77="Juvenil 70kg",7,IF(Atletas!E77="Juvenil 75kg",8,IF(Atletas!E77="Juvenil 82kg",9,IF(Atletas!E77="Juvenil 90kg",10,IF(Atletas!E77="Juvenil 100kg",11,IF(Atletas!E77="Adulto 48kg",12,IF(Atletas!E77="Adulto 52kg",13,IF(Atletas!E77="Adulto 56kg",14,IF(Atletas!E77="Adulto 60kg",15,IF(Atletas!E77="Adulto 65kg",16,IF(Atletas!E77="Adulto 70kg",17,IF(Atletas!E77="Adulto 75kg",18,IF(Atletas!E77="Adulto 82kg",19,IF(Atletas!E77="Adulto 90kg",20,IF(Atletas!E77="Adulto 100kg",21,IF(Atletas!E77="Adulto +100kg",22,""))))))))))))))))))))))))</f>
        <v/>
      </c>
      <c r="AX86" s="6" t="str">
        <f>IF(Atletas!F77="","",IF(Atletas!B77="Feminino",100,IF(Atletas!B77="Masculino",200,""))+(IF(Atletas!F77="Adulto 48kg",1,IF(Atletas!F77="Adulto 56kg",2,IF(Atletas!F77="Adulto 65kg",3,IF(Atletas!F77="Adulto 75kg",4,IF(Atletas!F77="Adulto +75kg",5,IF(Atletas!F77="Adulto 52kg",6,IF(Atletas!F77="Adulto 60kg",7,IF(Atletas!F77="Adulto 70kg",8,IF(Atletas!F77="Adulto 80kg",9,IF(Atletas!F77="Adulto 90kg",10,IF(Atletas!F77="Adulto +90kg",11,"")))))))))))))</f>
        <v/>
      </c>
      <c r="BC86" s="6" t="str">
        <f>IF(Atletas!G77="","",IF(Atletas!B77="Feminino",10,IF(Atletas!B77="Masculino",20,""))+(IF(Atletas!G77="Baduanjin A",1,IF(Atletas!G77="Baduanjin B",2))))</f>
        <v/>
      </c>
      <c r="BF86" s="52" t="str">
        <f>IF(Atletas!H77="","",IF(Atletas!B77="Feminino",100,IF(Atletas!B77="Masculino",200,""))+(IF(Atletas!H77="Changquan Mirim",1,IF(Atletas!H77="Nanquan Mirim",2,IF(Atletas!H77="Taijiquan Mirim",3,IF(Atletas!H77="Changquan Grupo C",4,IF(Atletas!H77="Nanquan Grupo C",5,IF(Atletas!H77="Taijiquan Grupo C",6,IF(Atletas!H77="Changquan Grupo B",7,IF(Atletas!H77="Nanquan Grupo B",8,IF(Atletas!H77="Taijiquan Grupo B",9,IF(Atletas!H77="Changquan Grupo A",10,IF(Atletas!H77="Nanquan Grupo A",11,IF(Atletas!H77="Taijiquan Grupo A",12,IF(Atletas!H77="Changquan Opcional",13,IF(Atletas!H77="Nanquan Opcional",14,IF(Atletas!H77="Taijiquan Opcional",15,IF(Atletas!H77="Changquan Adulto",16,IF(Atletas!H77="Nanquan Adulto",17,IF(Atletas!H77="Taijiquan Adulto",18,""))))))))))))))))))))</f>
        <v/>
      </c>
      <c r="BG86" s="52" t="str">
        <f>IF(Atletas!I77="","",IF(Atletas!B77="Feminino",100,IF(Atletas!B77="Masculino",200,""))+(IF(Atletas!I77="Daoshu Mirim",19,IF(Atletas!I77="Jianshu Mirim",20,IF(Atletas!I77="Nandao Mirim",21,IF(Atletas!I77="Taijijian Mirim",22,IF(Atletas!I77="Daoshu Grupo C",23,IF(Atletas!I77="Jianshu Grupo C",24,IF(Atletas!I77="Nandao Grupo C",25,IF(Atletas!I77="Taijijian Grupo C",26,IF(Atletas!I77="Daoshu Grupo B",27,IF(Atletas!I77="Jianshu Grupo B",28,IF(Atletas!I77="Nandao Grupo B",29,IF(Atletas!I77="Taijijian Grupo B",30,IF(Atletas!I77="Daoshu Grupo A",31,IF(Atletas!I77="Jianshu Grupo A",32,IF(Atletas!I77="Nandao Grupo A",33,IF(Atletas!I77="Taijijian Grupo A",34,IF(Atletas!I77="Daoshu Opcional",35,IF(Atletas!I77="Jianshu Opcional",36,IF(Atletas!I77="Nandao Opcional",37,IF(Atletas!I77="Taijijian Opcional",38,IF(Atletas!I77="Daoshu Adulto",39,IF(Atletas!I77="Jianshu Adulto",40,IF(Atletas!I77="Nandao Adulto",41,IF(Atletas!I77="Taijijian Adulto",42,""))))))))))))))))))))))))))</f>
        <v/>
      </c>
      <c r="BH86" s="52" t="str">
        <f>IF(Atletas!J77="","",IF(Atletas!B77="Feminino",100,IF(Atletas!B77="Masculino",200,""))+(IF(Atletas!J77="Gunshu Mirim",43,IF(Atletas!J77="Qiangshu Mirim",44,IF(Atletas!J77="Nangun Mirim",45,IF(Atletas!J77="Gunshu Grupo C",46,IF(Atletas!J77="Qiangshu Grupo C",47,IF(Atletas!J77="Nangun Grupo C",48,IF(Atletas!J77="Gunshu Grupo B",49,IF(Atletas!J77="Qiangshu Grupo B",50,IF(Atletas!J77="Nangun Grupo B",51,IF(Atletas!J77="Gunshu Grupo A",52,IF(Atletas!J77="Qiangshu Grupo A",53,IF(Atletas!J77="Nangun Grupo A",54,IF(Atletas!J77="Gunshu Opcional",55,IF(Atletas!J77="Qiangshu Opcional",56,IF(Atletas!J77="Nangun Opcional",57,IF(Atletas!J77="Gunshu Adulto",58,IF(Atletas!J77="Qiangshu Adulto",59,IF(Atletas!J77="Nangun Adulto",60,IF(Atletas!J77="Taijishan Grupo B",61,IF(Atletas!J77="Taijishan Grupo A",62,""))))))))))))))))))))))</f>
        <v/>
      </c>
      <c r="BM86" s="50" t="str">
        <f>IF(Atletas!K77="","",IF(Atletas!B77="Feminino",100,IF(Atletas!B77="Masculino",200,""))+(IF(Atletas!K77="Equipe 1 Grupo B",1,IF(Atletas!K77="Equipe 2 Grupo B",2,IF(Atletas!K77="Equipe 1 Grupo A",3,IF(Atletas!K77="Equipe 2 Grupo A",4,IF(Atletas!K77="Equipe 1 Adulto",5,IF(Atletas!K77="Equipe 2 Adulto",6,""))))))))</f>
        <v/>
      </c>
      <c r="BR86" s="50" t="str">
        <f>IF(Atletas!L77="","",IF(Atletas!X77&lt;&gt;"",10000,0)+(IF(Atletas!B77="Feminino",1000,IF(Atletas!B77="Masculino",2000,""))+IF(Atletas!L77="Choylayfut A",1,IF(Atletas!L77="Hunggar A",2,IF(Atletas!L77="Wuzuquan A",3,IF(Atletas!L77="Wingchun A",4,IF(Atletas!L77="Outra Mão de Sul A",5,IF(Atletas!L77="Choylayfut B",6,IF(Atletas!L77="Hunggar B",7,IF(Atletas!L77="Wuzuquan B",8,IF(Atletas!L77="Wingchun B",9,IF(Atletas!L77="Outra Mão de Sul B",10,IF(Atletas!L77="Choylayfut C",11,IF(Atletas!L77="Hunggar C",12,IF(Atletas!L77="Wuzuquan C",13,IF(Atletas!L77="Wingchun C",14,IF(Atletas!L77="Outra Mão de Sul C",15,IF(Atletas!L77="Choylayfut D",16,IF(Atletas!L77="Hunggar D",17,IF(Atletas!L77="Wuzuquan D",18,IF(Atletas!L77="Wingchun D",19,IF(Atletas!L77="Outra Mão de Sul D",20,IF(Atletas!L77="Choylayfut E",21,IF(Atletas!L77="Hunggar E",22,IF(Atletas!L77="Wuzuquan E",23,IF(Atletas!L77="Wingchun E",24,IF(Atletas!L77="Outra Mão de Sul E",25,IF(Atletas!L77="Choylayfut F",26,IF(Atletas!L77="Hunggar F",27,IF(Atletas!L77="Wuzuquan F",28,IF(Atletas!L77="Wingchun F",29,IF(Atletas!L77="Outra Mão de Sul F",30,IF(Atletas!L77="Dishuquan A",31,IF(Atletas!L77="Dishuquan B",32,IF(Atletas!L77="Dishuquan C",33,IF(Atletas!L77="Dishuquan D",34,IF(Atletas!L77="Dishuquan E",35,IF(Atletas!L77="Dishuquan F",36,""))))))))))))))))))))))))))))))))))))))</f>
        <v/>
      </c>
      <c r="BS86" s="50" t="str">
        <f>IF(Atletas!M77="","",IF(Atletas!X77&lt;&gt;"",10000,0)+(IF(Atletas!B77="Feminino",1000,IF(Atletas!B77="Masculino",2000,""))+(IF(Atletas!M77="Chaquan A",101,IF(Atletas!M77="Emeiquan A",102,IF(Atletas!M77="Fanziquan A",103,IF(Atletas!M77="Huaquan A",104,IF(Atletas!M77="Hongquan A",105,IF(Atletas!M77="Paoquan A",106,IF(Atletas!M77="Piguaquan A",107,IF(Atletas!M77="Shaolinquan A",108,IF(Atletas!M77="Tanglangquan A",109,IF(Atletas!M77="Yingzhaoquan A",110,IF(Atletas!M77="Tongbeiquan A",111,IF(Atletas!M77="Wudangquan A",112,IF(Atletas!M77="Outros Estilos A",113,IF(Atletas!M77="Chaquan B",114,IF(Atletas!M77="Emeiquan B",115,IF(Atletas!M77="Fanziquan B",116,IF(Atletas!M77="Huaquan B",117,IF(Atletas!M77="Hongquan B",118,IF(Atletas!M77="Paoquan B",119,IF(Atletas!M77="Piguaquan B",120,IF(Atletas!M77="Shaolinquan B",121,IF(Atletas!M77="Tanglangquan B",122,IF(Atletas!M77="Yingzhaoquan B",123,IF(Atletas!M77="Tongbeiquan B",124,IF(Atletas!M77="Wudangquan B",125,IF(Atletas!M77="Outros Estilos B",126,IF(Atletas!M77="Chaquan C",127,IF(Atletas!M77="Emeiquan C",128,IF(Atletas!M77="Fanziquan C",129,IF(Atletas!M77="Huaquan C",130,IF(Atletas!M77="Hongquan C",131,IF(Atletas!M77="Paoquan C",132,IF(Atletas!M77="Piguaquan C",133,IF(Atletas!M77="Shaolinquan C",134,IF(Atletas!M77="Tanglangquan C",135,IF(Atletas!M77="Yingzhaoquan C",136,IF(Atletas!M77="Tongbeiquan C",137,IF(Atletas!M77="Wudangquan C",138,IF(Atletas!M77="Outros Estilos C",139,0))))))))))))))))))))))))))))))))))))))))))</f>
        <v/>
      </c>
      <c r="BT86" s="50" t="str">
        <f>IF(Atletas!M77="","",IF(Atletas!X77&lt;&gt;"",10000,0)+(IF(Atletas!B77="Feminino",1000,IF(Atletas!B77="Masculino",2000,""))+(IF(Atletas!M77="Chaquan D",140,IF(Atletas!M77="Emeiquan D",141,IF(Atletas!M77="Fanziquan D",142,IF(Atletas!M77="Huaquan D",143,IF(Atletas!M77="Hongquan D",144,IF(Atletas!M77="Paoquan D",145,IF(Atletas!M77="Piguaquan D",146,IF(Atletas!M77="Shaolinquan D",147,IF(Atletas!M77="Tanglangquan D",148,IF(Atletas!M77="Yingzhaoquan D",149,IF(Atletas!M77="Tongbeiquan D",150,IF(Atletas!M77="Wudangquan D",151,IF(Atletas!M77="Outros Estilos D",152,IF(Atletas!M77="Chaquan E",153,IF(Atletas!M77="Emeiquan E",154,IF(Atletas!M77="Fanziquan E",155,IF(Atletas!M77="Huaquan E",156,IF(Atletas!M77="Hongquan E",157,IF(Atletas!M77="Paoquan E",158,IF(Atletas!M77="Piguaquan E",159,IF(Atletas!M77="Shaolinquan E",160,IF(Atletas!M77="Tanglangquan E",161,IF(Atletas!M77="Yingzhaoquan E",162,IF(Atletas!M77="Tongbeiquan E",163,IF(Atletas!M77="Wudangquan E",164,IF(Atletas!M77="Outros Estilos E",165,IF(Atletas!M77="Chaquan F",166,IF(Atletas!M77="Emeiquan F",167,IF(Atletas!M77="Fanziquan F",168,IF(Atletas!M77="Huaquan F",169,IF(Atletas!M77="Hongquan F",170,IF(Atletas!M77="Paoquan F",171,IF(Atletas!M77="Piguaquan F",172,IF(Atletas!M77="Shaolinquan F",173,IF(Atletas!M77="Tanglangquan F",174,IF(Atletas!M77="Yingzhaoquan F",175,IF(Atletas!M77="Tongbeiquan F",176,IF(Atletas!M77="Wudangquan F",177,IF(Atletas!M77="Outros Estilos F",178,0))))))))))))))))))))))))))))))))))))))))))</f>
        <v/>
      </c>
      <c r="BU86" s="50" t="str">
        <f>IF(Atletas!N77="","",IF(Atletas!X77&lt;&gt;"",10000,0)+(IF(Atletas!B77="Feminino",1000,IF(Atletas!B77="Masculino",2000,""))+(IF(Atletas!N77="Ditangquan A",201,IF(Atletas!N77="Houquan A",202,IF(Atletas!N77="Zuiquan A",203,IF(Atletas!N77="Ditangquan B",204,IF(Atletas!N77="Houquan B",205,IF(Atletas!N77="Zuiquan B",206,IF(Atletas!N77="Ditangquan C",207,IF(Atletas!N77="Houquan C",208,IF(Atletas!N77="Zuiquan C",209,IF(Atletas!N77="Ditangquan D",210,IF(Atletas!N77="Houquan D",211,IF(Atletas!N77="Zuiquan D",212,IF(Atletas!N77="Ditangquan E",213,IF(Atletas!N77="Houquan E",214,IF(Atletas!N77="Zuiquan E",215,IF(Atletas!N77="Ditangquan F",216,IF(Atletas!N77="Houquan F",217,IF(Atletas!N77="Zuiquan F",218,"")))))))))))))))))))))</f>
        <v/>
      </c>
      <c r="BV86" s="50" t="str">
        <f>IF(Atletas!O77="","",IF(Atletas!X77&lt;&gt;"",10000,0)+IF(Atletas!B77="Feminino",1000,IF(Atletas!B77="Masculino",2000,""))+IF(Atletas!O77="Yang A",301,IF(Atletas!O77="Chen A",302,IF(Atletas!O77="Sun A",303,IF(Atletas!O77="Wu A",304,IF(Atletas!O77="Wu-Hao A",305,IF(Atletas!O77="Outro Taijiquan A",306,IF(Atletas!O77="Yang B",307,IF(Atletas!O77="Chen B",308,IF(Atletas!O77="Sun B",309,IF(Atletas!O77="Wu B",310,IF(Atletas!O77="Wu-Hao B",311,IF(Atletas!O77="Outro Taijiquan B",312,IF(Atletas!O77="Yang C",313,IF(Atletas!O77="Chen C",314,IF(Atletas!O77="Sun C",315,IF(Atletas!O77="Wu C",316,IF(Atletas!O77="Wu-Hao C",317,IF(Atletas!O77="Outro Taijiquan C",318,IF(Atletas!O77="Yang D",319,IF(Atletas!O77="Chen D",320,IF(Atletas!O77="Sun D",321,IF(Atletas!O77="Wu D",322,IF(Atletas!O77="Wu-Hao D",323,IF(Atletas!O77="Outro Taijiquan D",324,IF(Atletas!O77="Yang E",325,IF(Atletas!O77="Chen E",326,IF(Atletas!O77="Sun E",327,IF(Atletas!O77="Wu E",328,IF(Atletas!O77="Wu-Hao E",329,IF(Atletas!O77="Outro Taijiquan E",330,IF(Atletas!O77="Yang F",331,IF(Atletas!O77="Chen F",332,IF(Atletas!O77="Sun F",333,IF(Atletas!O77="Wu F",334,IF(Atletas!O77="Wu-Hao F",335,IF(Atletas!O77="Outro Taijiquan F",336,"")))))))))))))))))))))))))))))))))))))</f>
        <v/>
      </c>
      <c r="BW86" s="50" t="str">
        <f>IF(Atletas!P77="","",IF(Atletas!X77&lt;&gt;"",10000,0)+IF(Atletas!B77="Feminino",1000,IF(Atletas!B77="Masculino",2000,""))+IF(OR(Atletas!P77="Yang 26 A",Atletas!P77="Yang 40 A"),401,IF(OR(Atletas!P77="Chen 25 A",Atletas!P77="Chen 36 A",Atletas!P77="Chen 56 A"),402,IF(Atletas!P77="Sun 73 A",403,IF(Atletas!P77="Wu 45 A",404,IF(Atletas!P77="Wu-Hao 46 A",405,IF(OR(Atletas!P77="Taijiquan 16 A",Atletas!P77="Taijiquan 24 A",Atletas!P77="Taijiquan 32 A",Atletas!P77="Taijiquan 42 A"),406,IF(OR(Atletas!P77="Yang 26 B",Atletas!P77="Yang 40 B"),407,IF(OR(Atletas!P77="Chen 25 B",Atletas!P77="Chen 36 B",Atletas!P77="Chen 56 B"),408,IF(Atletas!P77="Sun 73 B",409,IF(Atletas!P77="Wu 45 B",410,IF(Atletas!P77="Wu-Hao 46 B",411,IF(OR(Atletas!P77="Taijiquan 16 B",Atletas!P77="Taijiquan 24 B",Atletas!P77="Taijiquan 32 B",Atletas!P77="Taijiquan 42 B"),412,IF(OR(Atletas!P77="Yang 26 C",Atletas!P77="Yang 40 C"),413,IF(OR(Atletas!P77="Chen 25 C",Atletas!P77="Chen 36 C",Atletas!P77="Chen 56 C"),414,IF(Atletas!P77="Sun 73 C",415,IF(Atletas!P77="Wu 45 C",416,IF(Atletas!P77="Wu-Hao 46 C",417,IF(OR(Atletas!P77="Taijiquan 16 C",Atletas!P77="Taijiquan 24 C",Atletas!P77="Taijiquan 32 C",Atletas!P77="Taijiquan 42 C"),418,0)))))))))))))))))))</f>
        <v/>
      </c>
      <c r="BX86" s="50" t="str">
        <f>IF(Atletas!P77="","",IF(Atletas!X77&lt;&gt;"",10000,0)+IF(Atletas!B77="Feminino",1000,IF(Atletas!B77="Masculino",2000,""))+IF(OR(Atletas!P77="Yang 26 D",Atletas!P77="Yang 40 D"),419,IF(OR(Atletas!P77="Chen 25 D",Atletas!P77="Chen 36 D",Atletas!P77="Chen 56 D"),420,IF(Atletas!P77="Sun 73 D",421,IF(Atletas!P77="Wu 45 D",422,IF(Atletas!P77="Wu-Hao 46 D",423,IF(OR(Atletas!P77="Taijiquan 16 D",Atletas!P77="Taijiquan 24 D",Atletas!P77="Taijiquan 32 D",Atletas!P77="Taijiquan 42 D"),424,IF(OR(Atletas!P77="Yang 26 E",Atletas!P77="Yang 40 E"),425,IF(OR(Atletas!P77="Chen 25 E",Atletas!P77="Chen 36 E",Atletas!P77="Chen 56 E"),426,IF(Atletas!P77="Sun 73 E",427,IF(Atletas!P77="Wu 45 E",428,IF(Atletas!P77="Wu-Hao 46 E",429,IF(OR(Atletas!P77="Taijiquan 16 E",Atletas!P77="Taijiquan 24 E",Atletas!P77="Taijiquan 32 E",Atletas!P77="Taijiquan 42 E"),430,IF(OR(Atletas!P77="Yang 26 F",Atletas!P77="Yang 40 F"),431,IF(OR(Atletas!P77="Chen 25 F",Atletas!P77="Chen 36 F",Atletas!P77="Chen 56 F"),432,IF(Atletas!P77="Sun 73 F",433,IF(Atletas!P77="Wu 45 F",434,IF(Atletas!P77="Wu-Hao 46 F",435,IF(OR(Atletas!P77="Taijiquan 16 F",Atletas!P77="Taijiquan 24 F",Atletas!P77="Taijiquan 32 F",Atletas!P77="Taijiquan 42 F"),436,0)))))))))))))))))))</f>
        <v/>
      </c>
      <c r="BY86" s="50" t="str">
        <f>IF(Atletas!Q77="","",IF(Atletas!X77&lt;&gt;"",10000,0)+IF(Atletas!B77="Feminino",1000,IF(Atletas!B77="Masculino",2000,""))+IF(Atletas!Q77="Xingyiquan A",501,IF(Atletas!Q77="Baguazhang A",502,IF(Atletas!Q77="Outro Estilo Interno A",503,IF(Atletas!Q77="Xingyiquan B",504,IF(Atletas!Q77="Baguazhang B",505,IF(Atletas!Q77="Outro Estilo Interno B",506,IF(Atletas!Q77="Xingyiquan C",507,IF(Atletas!Q77="Baguazhang C",508,IF(Atletas!Q77="Outro Estilo Interno C",509,IF(Atletas!Q77="Xingyiquan D",510,IF(Atletas!Q77="Baguazhang D",511,IF(Atletas!Q77="Outro Estilo Interno D",512,IF(Atletas!Q77="Xingyiquan E",513,IF(Atletas!Q77="Baguazhang E",514,IF(Atletas!Q77="Outro Estilo Interno E",515,IF(Atletas!Q77="Xingyiquan F",516,IF(Atletas!Q77="Baguazhang F",517,IF(Atletas!Q77="Outro Estilo Interno F",518, "")))))))))))))))))))</f>
        <v/>
      </c>
      <c r="BZ86" s="50" t="str">
        <f>IF(Atletas!R77="","",IF(Atletas!X77&lt;&gt;"",10000,0)+IF(Atletas!B77="Feminino",1000,IF(Atletas!B77="Masculino",2000,""))+IF(Atletas!R77="Dao A",601,IF(Atletas!R77="Jian A",602,IF(Atletas!R77="Bishou A",603,IF(Atletas!R77="Shanzi A",604,IF(Atletas!R77="Outra Arma Curta A",605,IF(Atletas!R77="Dao B",606,IF(Atletas!R77="Jian B",607,IF(Atletas!R77="Bishou B",608,IF(Atletas!R77="Shanzi B",609,IF(Atletas!R77="Outra Arma Curta B",610,IF(Atletas!R77="Dao C",611,IF(Atletas!R77="Jian C",612,IF(Atletas!R77="Bishou C",613,IF(Atletas!R77="Shanzi C",614,IF(Atletas!R77="Outra Arma Curta C",615,IF(Atletas!R77="Dao D",616,IF(Atletas!R77="Jian D",617,IF(Atletas!R77="Bishou D",618,IF(Atletas!R77="Shanzi D",619,IF(Atletas!R77="Outra Arma Curta D",620,IF(Atletas!R77="Dao E",621,IF(Atletas!R77="Jian E",622,IF(Atletas!R77="Bishou E",623,IF(Atletas!R77="Shanzi E",624,IF(Atletas!R77="Outra Arma Curta E",625,IF(Atletas!R77="Dao F",626,IF(Atletas!R77="Jian F",627,IF(Atletas!R77="Bishou F",628,IF(Atletas!R77="Shanzi F",629,IF(Atletas!R77="Outra Arma Curta F",630, "")))))))))))))))))))))))))))))))</f>
        <v/>
      </c>
      <c r="CA86" s="50" t="str">
        <f>IF(Atletas!S77="","",IF(Atletas!X77&lt;&gt;"",10000,0)+IF(Atletas!B77="Feminino",1000,IF(Atletas!B77="Masculino",2000,""))+IF(Atletas!S77="Gun A",701,IF(Atletas!S77="Qiang A",702,IF(Atletas!S77="Pudao / Guandao A",703,IF(Atletas!S77="Outra Arma Longa A",704,IF(Atletas!S77="Gun B",705,IF(Atletas!S77="Qiang B",706,IF(Atletas!S77="Pudao / Guandao B",707,IF(Atletas!S77="Outra Arma Longa B",708,IF(Atletas!S77="Gun C",709,IF(Atletas!S77="Qiang C",710,IF(Atletas!S77="Pudao / Guandao C",711,IF(Atletas!S77="Outra Arma Longa C",712,IF(Atletas!S77="Gun D",713,IF(Atletas!S77="Qiang D",714,IF(Atletas!S77="Pudao / Guandao D",715,IF(Atletas!S77="Outra Arma Longa D",716,IF(Atletas!S77="Gun E",717,IF(Atletas!S77="Qiang E",718,IF(Atletas!S77="Pudao / Guandao E",719,IF(Atletas!S77="Outra Arma Longa E",720,IF(Atletas!S77="Gun F",721,IF(Atletas!S77="Qiang F",722,IF(Atletas!S77="Pudao / Guandao F",723,IF(Atletas!S77="Outra Arma Longa F",724,"")))))))))))))))))))))))))</f>
        <v/>
      </c>
      <c r="CB86" s="50" t="str">
        <f>IF(Atletas!T77="","",IF(Atletas!X77&lt;&gt;"",10000,0)+IF(Atletas!B77="Feminino",1000,IF(Atletas!B77="Masculino",2000,""))+IF(Atletas!T77="Outra Arma Dupla A",801,IF(Atletas!T77="Arma Maleável A",802,IF(Atletas!T77="Outra Arma Dupla B",803,IF(Atletas!T77="Arma Maleável B",804,IF(Atletas!T77="Outra Arma Dupla C",805,IF(Atletas!T77="Arma Maleável C",806,IF(Atletas!T77="Outra Arma Dupla D",807,IF(Atletas!T77="Arma Maleável D",808,IF(Atletas!T77="Outra Arma Dupla E",809,IF(Atletas!T77="Arma Maleável E",810,IF(Atletas!T77="Outra Arma Dupla F",811,IF(Atletas!T77="Arma Maleável F",812,IF(Atletas!T77="Shuangdao A",813,IF(Atletas!T77="Shuangdao B",814,IF(Atletas!T77="Shuangdao C",815,IF(Atletas!T77="Shuangdao D",816,IF(Atletas!T77="Shuangdao E",817,IF(Atletas!T77="Shuangdao F",818,"")))))))))))))))))))</f>
        <v/>
      </c>
      <c r="CC86" s="50" t="str">
        <f>IF(Atletas!U77="","",IF(Atletas!X77&lt;&gt;"",10000,0)+IF(Atletas!B77="Feminino",1000,IF(Atletas!B77="Masculino",2000,""))+IF(OR(Atletas!U77="Taijijian Yang A",Atletas!U77="Taijijian Yang Standard A"),901,IF(OR(Atletas!U77="Taijijian Chen A", Atletas!U77="Taijijian Chen Standard A"),902,IF(Atletas!U77="Taijijian Sun A",903,IF(Atletas!U77="Taijijian Wu A",904,IF(Atletas!U77="Taijijian Wu-Hao A",905,IF(OR(Atletas!U77="Taijijian 32 A",Atletas!U77="Taijijian 42 A"),906,IF(OR(Atletas!U77="Taijijian Yang B",Atletas!U77="Taijijian Yang Standard B"),907,IF(OR(Atletas!U77="Taijijian Chen B", Atletas!U77="Taijijian Chen Standard B"),908,IF(Atletas!U77="Taijijian Sun B",909,IF(Atletas!U77="Taijijian Wu B",910,IF(Atletas!U77="Taijijian Wu-Hao B",911,IF(OR(Atletas!U77="Taijijian 32 B",Atletas!U77="Taijijian 42 B"),912,IF(OR(Atletas!U77="Taijijian Yang C",Atletas!U77="Taijijian Yang Standard C"),913,IF(OR(Atletas!U77="Taijijian Chen C", Atletas!U77="Taijijian Chen Standard C"),914,IF(Atletas!U77="Taijijian Sun C",915,IF(Atletas!U77="Taijijian Wu C",916,IF(Atletas!U77="Taijijian Wu-Hao C",917,IF(OR(Atletas!U77="Taijijian 32 C",Atletas!U77="Taijijian 42 C"),918,IF(OR(Atletas!U77="Taijijian Yang D",Atletas!U77="Taijijian Yang Standard D"),919,IF(OR(Atletas!U77="Taijijian Chen D", Atletas!U77="Taijijian Chen Standard D"),920,IF(Atletas!U77="Taijijian Sun D",921,IF(Atletas!U77="Taijijian Wu D",922,IF(Atletas!U77="Taijijian Wu-Hao D",923,IF(OR(Atletas!U77="Taijijian 32 D",Atletas!U77="Taijijian 42 D"),924,IF(OR(Atletas!U77="Taijijian Yang E",Atletas!U77="Taijijian Yang Standard E"),925,IF(OR(Atletas!U77="Taijijian Chen E", Atletas!U77="Taijijian Chen Standard E"),926,IF(Atletas!U77="Taijijian Sun E",927,IF(Atletas!U77="Taijijian Wu E",928,IF(Atletas!U77="Taijijian Wu-Hao E",929,IF(OR(Atletas!U77="Taijijian 32 E",Atletas!U77="Taijijian 42 E"),930,IF(OR(Atletas!U77="Taijijian Yang F",Atletas!U77="Taijijian Yang Standard F"),931,IF(OR(Atletas!U77="Taijijian Chen F", Atletas!U77="Taijijian Chen Standard F"),932,IF(Atletas!U77="Taijijian Sun F",933,IF(Atletas!U77="Taijijian Wu F",934,IF(Atletas!U77="Taijijian Wu-Hao F",935,IF(OR(Atletas!U77="Taijijian 32 F",Atletas!U77="Taijijian 42 F"),936,"")))))))))))))))))))))))))))))))))))))</f>
        <v/>
      </c>
      <c r="CD86" s="50" t="str">
        <f>IF(Atletas!V77="","",IF(Atletas!X77&lt;&gt;"",10000,0)+IF(Atletas!B77="Feminino",1000,IF(Atletas!B77="Masculino",2000,""))+IF(Atletas!V77="Taijidao A",937,IF(Atletas!V77="TaijiShanzi A",938,IF(Atletas!V77="Taijiqiang A",939,IF(Atletas!V77="Bagua de Arma A",940,IF(Atletas!V77="Xingyi de Arma A",941,IF(Atletas!V77="Taijidao B",942,IF(Atletas!V77="TaijiShanzi B",943,IF(Atletas!V77="Taijiqiang B",944,IF(Atletas!V77="Bagua de Arma B",945,IF(Atletas!V77="Xingyi de Arma B",946,IF(Atletas!V77="Taijidao C",947,IF(Atletas!V77="TaijiShanzi C",948,IF(Atletas!V77="Taijiqiang C",949,IF(Atletas!V77="Bagua de Arma C",950,IF(Atletas!V77="Xingyi de Arma C",951,IF(Atletas!V77="Taijidao D",952,IF(Atletas!V77="TaijiShanzi D",953,IF(Atletas!V77="Taijiqiang D",954,IF(Atletas!V77="Bagua de Arma D",955,IF(Atletas!V77="Xingyi de Arma D",956,IF(Atletas!V77="Taijidao E",957,IF(Atletas!V77="TaijiShanzi E",958,IF(Atletas!V77="Taijiqiang E",959,IF(Atletas!V77="Bagua de Arma E",960,IF(Atletas!V77="Xingyi de Arma E",961,IF(Atletas!V77="Taijidao F",962,IF(Atletas!V77="TaijiShanzi F",963,IF(Atletas!V77="Taijiqiang F",964,IF(Atletas!V77="Bagua de Arma F",965,IF(Atletas!V77="Xingyi de Arma F",966,"")))))))))))))))))))))))))))))))</f>
        <v/>
      </c>
      <c r="CE86" s="66" t="str">
        <f>IF(CF86&lt;&gt;"","Hongquan D","")</f>
        <v/>
      </c>
      <c r="CF86" s="66" t="str">
        <f>IF(COUNTIF(BR:CD,1144)&gt;0,COUNTIF(BR:CD,1144),"")</f>
        <v/>
      </c>
      <c r="CG86" s="66" t="str">
        <f>IF(CH86&lt;&gt;"","Hongquan D","")</f>
        <v/>
      </c>
      <c r="CH86" s="66" t="str">
        <f>IF(COUNTIF(BR:CD,2144)&gt;0,COUNTIF(BR:CD,2144),"")</f>
        <v/>
      </c>
      <c r="CI86" s="66" t="str">
        <f>IF(CJ86&lt;&gt;"","Tongbeiquan D","")</f>
        <v/>
      </c>
      <c r="CJ86" s="66" t="str">
        <f>IF(COUNTIF(BR:CD,11150)&gt;0,COUNTIF(BR:CD,11150),"")</f>
        <v/>
      </c>
      <c r="CK86" s="66" t="str">
        <f>IF(CL86&lt;&gt;"","Tongbeiquan D","")</f>
        <v/>
      </c>
      <c r="CL86" s="66" t="str">
        <f>IF(COUNTIF(BR:CD,12150)&gt;0,COUNTIF(BR:CD,12150),"")</f>
        <v/>
      </c>
      <c r="CM86" s="50" t="str">
        <f xml:space="preserve"> IF(Atletas!W77="","",IF(Atletas!W77="Duilian de Mãos BC - Equipe 1",1,IF(Atletas!W77="Duilian de Mãos BC - Equipe 2",2,IF(Atletas!W77="Duilian de Armas BC - Equipe 1",3,IF(Atletas!W77="Duilian de Armas BC - Equipe 2",4,IF(Atletas!W77="Duilian de Mãos DE - Equipe 1",5,IF(Atletas!W77="Duilian de Mãos DE - Equipe 2",6,IF(Atletas!W77="Duilian de Armas DE - Equipe 1",7,IF(Atletas!W77="Duilian de Armas DE - Equipe 2",8,IF(Atletas!W77="Duilian de Tuishou - Equipe 1",9,IF(Atletas!W77="Duilian de Tuishou - Equipe 2",10,IF(Atletas!W77="Grupo Externo ABC - Equipe 1",11,IF(Atletas!W77="Grupo Externo ABC - Equipe 2",12,IF(Atletas!W77="Grupo Interno ABC - Equipe 1",13,IF(Atletas!W77="Grupo Interno ABC - Equipe 2",14,IF(Atletas!W77="Grupo Externo DEF - Equipe 1",15,IF(Atletas!W77="Grupo Externo DEF - Equipe 2",16,IF(Atletas!W77="Grupo Interno DEF - Equipe 1",17,IF(Atletas!W77="Grupo Interno DEF - Equipe 2",18,"")))))))))))))))))))</f>
        <v/>
      </c>
    </row>
    <row r="87" spans="2:9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20"/>
      <c r="Y87" s="3"/>
      <c r="Z87" s="3" t="str">
        <f t="array" ref="Z87">IFERROR(INDEX(CE$7:CE$348,SMALL(IF(CE$7:CE$348&lt;&gt;"",ROW(CE$7:CE$348)-ROW(CE$7)+1),ROWS(CE$7:CE86))),"")</f>
        <v/>
      </c>
      <c r="AA87" s="3" t="str">
        <f t="array" ref="AA87">IFERROR(INDEX(CF$7:CF$348,SMALL(IF(CF$7:CF$348&lt;&gt;"",ROW(CF$7:CF$348)-ROW(CF$7)+1),ROWS(CF$7:CF86))),"")</f>
        <v/>
      </c>
      <c r="AB87" s="3" t="str">
        <f t="array" ref="AB87">IFERROR(INDEX(CG$7:CG$348,SMALL(IF(CG$7:CG$348&lt;&gt;"",ROW(CG$7:CG$348)-ROW(CG$7)+1),ROWS(CG$7:CG86))),"")</f>
        <v/>
      </c>
      <c r="AC87" s="3" t="str">
        <f t="array" ref="AC87">IFERROR(INDEX(CH$7:CH$348,SMALL(IF(CH$7:CH$348&lt;&gt;"",ROW(CH$7:CH$348)-ROW(CH$7)+1),ROWS(CH$7:CH86))),"")</f>
        <v/>
      </c>
      <c r="AD87" s="3" t="str">
        <f t="array" ref="AD87">IFERROR(INDEX(CI$7:CI$377,SMALL(IF(CI$7:CI$377&lt;&gt;"",ROW(CI$7:CI$377)-ROW(CI$7)+1),ROWS(CI$7:CI86))),"")</f>
        <v/>
      </c>
      <c r="AE87" s="3" t="str">
        <f t="array" ref="AE87">IFERROR(INDEX(CJ$7:CJ$378,SMALL(IF(CJ$7:CJ$378&lt;&gt;"",ROW(CJ$7:CJ$378)-ROW(CJ$7)+1),ROWS(CJ$7:CJ86))),"")</f>
        <v/>
      </c>
      <c r="AF87" s="3" t="str">
        <f t="array" ref="AF87">IFERROR(INDEX(CK$7:CK$378,SMALL(IF(CK$7:CK$378&lt;&gt;"",ROW(CK$7:CK$378)-ROW(CK$7)+1),ROWS(CK$7:CK86))),"")</f>
        <v/>
      </c>
      <c r="AG87" s="3" t="str">
        <f t="array" ref="AG87">IFERROR(INDEX(CL$7:CL$378,SMALL(IF(CL$7:CL$378&lt;&gt;"",ROW(CL$7:CL$378)-ROW(CL$7)+1),ROWS(CL$7:CL86))),"")</f>
        <v/>
      </c>
      <c r="AH87" s="3"/>
      <c r="AI87" s="3"/>
      <c r="AJ87" s="3"/>
      <c r="AK87" s="3"/>
      <c r="AL87" s="3"/>
      <c r="AM87" s="3"/>
      <c r="AN87" s="52" t="str">
        <f>IF(Atletas!D78="","",IF(Atletas!B78="Feminino",100,IF(Atletas!B78="Masculino",200,""))+(IF(Atletas!D78="Kids 30kg",1,IF(Atletas!D78="Kids 32kg",2, IF(Atletas!D78="Kids 34kg",3,IF(Atletas!D78="Kids 36kg",4,IF(Atletas!D78="Kids 39kg",5,IF(Atletas!D78="Kids 42kg",6,IF(Atletas!D78="Kids 45kg",7, IF(Atletas!D78="Infantil 39kg",8,IF(Atletas!D78="Infantil 42kg",9,IF(Atletas!D78="Infantil 45kg",10,IF(Atletas!D78="Infantil 48kg",11,IF(Atletas!D78="Infantil 52kg",12,IF(Atletas!D78="Infantil 56kg",13,IF(Atletas!D78="Infantil 60kg",14,IF(Atletas!D78="Juvenil 48kg",15,IF(Atletas!D78="Juvenil 52kg",16,IF(Atletas!D78="Juvenil 56kg",17,IF(Atletas!D78="Juvenil 60kg",18,IF(Atletas!D78="Juvenil 65kg",19,IF(Atletas!D78="Juvenil 70kg",20,IF(Atletas!D78="Juvenil 75kg",21,IF(Atletas!D78="Juvenil 80kg",22, IF(Atletas!D78="Juvenil 85kg",23,IF(Atletas!D78="Adulto 48kg",24,IF(Atletas!D78="Adulto 52kg",25,IF(Atletas!D78="Adulto 56kg",26,IF(Atletas!D78="Adulto 60kg",27,IF(Atletas!D78="Adulto 65kg",28,IF(Atletas!D78="Adulto 70kg",29,IF(Atletas!D78="Adulto 75kg",30,IF(Atletas!D78="Adulto 80kg",31,IF(Atletas!D78="Adulto 85kg",32,IF(Atletas!D78="Adulto 90kg",33,IF(Atletas!D78="Adulto 100kg",34, IF(Atletas!D78="Adulto +100kg",35,"")))))))))))))))))))))))))))))))))))))</f>
        <v/>
      </c>
      <c r="AS87" s="6" t="str">
        <f>IF(Atletas!E78="","",IF(Atletas!B78="Feminino",100,IF(Atletas!B78="Masculino",200,""))+(IF(Atletas!E78="Juvenil 44kg",1,IF(Atletas!E78="Juvenil 48kg",2,IF(Atletas!E78="Juvenil 52kg",3,IF(Atletas!E78="Juvenil 56kg",4,IF(Atletas!E78="Juvenil 60kg",5,IF(Atletas!E78="Juvenil 65kg",6,IF(Atletas!E78="Juvenil 70kg",7,IF(Atletas!E78="Juvenil 75kg",8,IF(Atletas!E78="Juvenil 82kg",9,IF(Atletas!E78="Juvenil 90kg",10,IF(Atletas!E78="Juvenil 100kg",11,IF(Atletas!E78="Adulto 48kg",12,IF(Atletas!E78="Adulto 52kg",13,IF(Atletas!E78="Adulto 56kg",14,IF(Atletas!E78="Adulto 60kg",15,IF(Atletas!E78="Adulto 65kg",16,IF(Atletas!E78="Adulto 70kg",17,IF(Atletas!E78="Adulto 75kg",18,IF(Atletas!E78="Adulto 82kg",19,IF(Atletas!E78="Adulto 90kg",20,IF(Atletas!E78="Adulto 100kg",21,IF(Atletas!E78="Adulto +100kg",22,""))))))))))))))))))))))))</f>
        <v/>
      </c>
      <c r="AX87" s="6" t="str">
        <f>IF(Atletas!F78="","",IF(Atletas!B78="Feminino",100,IF(Atletas!B78="Masculino",200,""))+(IF(Atletas!F78="Adulto 48kg",1,IF(Atletas!F78="Adulto 56kg",2,IF(Atletas!F78="Adulto 65kg",3,IF(Atletas!F78="Adulto 75kg",4,IF(Atletas!F78="Adulto +75kg",5,IF(Atletas!F78="Adulto 52kg",6,IF(Atletas!F78="Adulto 60kg",7,IF(Atletas!F78="Adulto 70kg",8,IF(Atletas!F78="Adulto 80kg",9,IF(Atletas!F78="Adulto 90kg",10,IF(Atletas!F78="Adulto +90kg",11,"")))))))))))))</f>
        <v/>
      </c>
      <c r="BC87" s="6" t="str">
        <f>IF(Atletas!G78="","",IF(Atletas!B78="Feminino",10,IF(Atletas!B78="Masculino",20,""))+(IF(Atletas!G78="Baduanjin A",1,IF(Atletas!G78="Baduanjin B",2))))</f>
        <v/>
      </c>
      <c r="BF87" s="52" t="str">
        <f>IF(Atletas!H78="","",IF(Atletas!B78="Feminino",100,IF(Atletas!B78="Masculino",200,""))+(IF(Atletas!H78="Changquan Mirim",1,IF(Atletas!H78="Nanquan Mirim",2,IF(Atletas!H78="Taijiquan Mirim",3,IF(Atletas!H78="Changquan Grupo C",4,IF(Atletas!H78="Nanquan Grupo C",5,IF(Atletas!H78="Taijiquan Grupo C",6,IF(Atletas!H78="Changquan Grupo B",7,IF(Atletas!H78="Nanquan Grupo B",8,IF(Atletas!H78="Taijiquan Grupo B",9,IF(Atletas!H78="Changquan Grupo A",10,IF(Atletas!H78="Nanquan Grupo A",11,IF(Atletas!H78="Taijiquan Grupo A",12,IF(Atletas!H78="Changquan Opcional",13,IF(Atletas!H78="Nanquan Opcional",14,IF(Atletas!H78="Taijiquan Opcional",15,IF(Atletas!H78="Changquan Adulto",16,IF(Atletas!H78="Nanquan Adulto",17,IF(Atletas!H78="Taijiquan Adulto",18,""))))))))))))))))))))</f>
        <v/>
      </c>
      <c r="BG87" s="52" t="str">
        <f>IF(Atletas!I78="","",IF(Atletas!B78="Feminino",100,IF(Atletas!B78="Masculino",200,""))+(IF(Atletas!I78="Daoshu Mirim",19,IF(Atletas!I78="Jianshu Mirim",20,IF(Atletas!I78="Nandao Mirim",21,IF(Atletas!I78="Taijijian Mirim",22,IF(Atletas!I78="Daoshu Grupo C",23,IF(Atletas!I78="Jianshu Grupo C",24,IF(Atletas!I78="Nandao Grupo C",25,IF(Atletas!I78="Taijijian Grupo C",26,IF(Atletas!I78="Daoshu Grupo B",27,IF(Atletas!I78="Jianshu Grupo B",28,IF(Atletas!I78="Nandao Grupo B",29,IF(Atletas!I78="Taijijian Grupo B",30,IF(Atletas!I78="Daoshu Grupo A",31,IF(Atletas!I78="Jianshu Grupo A",32,IF(Atletas!I78="Nandao Grupo A",33,IF(Atletas!I78="Taijijian Grupo A",34,IF(Atletas!I78="Daoshu Opcional",35,IF(Atletas!I78="Jianshu Opcional",36,IF(Atletas!I78="Nandao Opcional",37,IF(Atletas!I78="Taijijian Opcional",38,IF(Atletas!I78="Daoshu Adulto",39,IF(Atletas!I78="Jianshu Adulto",40,IF(Atletas!I78="Nandao Adulto",41,IF(Atletas!I78="Taijijian Adulto",42,""))))))))))))))))))))))))))</f>
        <v/>
      </c>
      <c r="BH87" s="52" t="str">
        <f>IF(Atletas!J78="","",IF(Atletas!B78="Feminino",100,IF(Atletas!B78="Masculino",200,""))+(IF(Atletas!J78="Gunshu Mirim",43,IF(Atletas!J78="Qiangshu Mirim",44,IF(Atletas!J78="Nangun Mirim",45,IF(Atletas!J78="Gunshu Grupo C",46,IF(Atletas!J78="Qiangshu Grupo C",47,IF(Atletas!J78="Nangun Grupo C",48,IF(Atletas!J78="Gunshu Grupo B",49,IF(Atletas!J78="Qiangshu Grupo B",50,IF(Atletas!J78="Nangun Grupo B",51,IF(Atletas!J78="Gunshu Grupo A",52,IF(Atletas!J78="Qiangshu Grupo A",53,IF(Atletas!J78="Nangun Grupo A",54,IF(Atletas!J78="Gunshu Opcional",55,IF(Atletas!J78="Qiangshu Opcional",56,IF(Atletas!J78="Nangun Opcional",57,IF(Atletas!J78="Gunshu Adulto",58,IF(Atletas!J78="Qiangshu Adulto",59,IF(Atletas!J78="Nangun Adulto",60,IF(Atletas!J78="Taijishan Grupo B",61,IF(Atletas!J78="Taijishan Grupo A",62,""))))))))))))))))))))))</f>
        <v/>
      </c>
      <c r="BM87" s="50" t="str">
        <f>IF(Atletas!K78="","",IF(Atletas!B78="Feminino",100,IF(Atletas!B78="Masculino",200,""))+(IF(Atletas!K78="Equipe 1 Grupo B",1,IF(Atletas!K78="Equipe 2 Grupo B",2,IF(Atletas!K78="Equipe 1 Grupo A",3,IF(Atletas!K78="Equipe 2 Grupo A",4,IF(Atletas!K78="Equipe 1 Adulto",5,IF(Atletas!K78="Equipe 2 Adulto",6,""))))))))</f>
        <v/>
      </c>
      <c r="BR87" s="50" t="str">
        <f>IF(Atletas!L78="","",IF(Atletas!X78&lt;&gt;"",10000,0)+(IF(Atletas!B78="Feminino",1000,IF(Atletas!B78="Masculino",2000,""))+IF(Atletas!L78="Choylayfut A",1,IF(Atletas!L78="Hunggar A",2,IF(Atletas!L78="Wuzuquan A",3,IF(Atletas!L78="Wingchun A",4,IF(Atletas!L78="Outra Mão de Sul A",5,IF(Atletas!L78="Choylayfut B",6,IF(Atletas!L78="Hunggar B",7,IF(Atletas!L78="Wuzuquan B",8,IF(Atletas!L78="Wingchun B",9,IF(Atletas!L78="Outra Mão de Sul B",10,IF(Atletas!L78="Choylayfut C",11,IF(Atletas!L78="Hunggar C",12,IF(Atletas!L78="Wuzuquan C",13,IF(Atletas!L78="Wingchun C",14,IF(Atletas!L78="Outra Mão de Sul C",15,IF(Atletas!L78="Choylayfut D",16,IF(Atletas!L78="Hunggar D",17,IF(Atletas!L78="Wuzuquan D",18,IF(Atletas!L78="Wingchun D",19,IF(Atletas!L78="Outra Mão de Sul D",20,IF(Atletas!L78="Choylayfut E",21,IF(Atletas!L78="Hunggar E",22,IF(Atletas!L78="Wuzuquan E",23,IF(Atletas!L78="Wingchun E",24,IF(Atletas!L78="Outra Mão de Sul E",25,IF(Atletas!L78="Choylayfut F",26,IF(Atletas!L78="Hunggar F",27,IF(Atletas!L78="Wuzuquan F",28,IF(Atletas!L78="Wingchun F",29,IF(Atletas!L78="Outra Mão de Sul F",30,IF(Atletas!L78="Dishuquan A",31,IF(Atletas!L78="Dishuquan B",32,IF(Atletas!L78="Dishuquan C",33,IF(Atletas!L78="Dishuquan D",34,IF(Atletas!L78="Dishuquan E",35,IF(Atletas!L78="Dishuquan F",36,""))))))))))))))))))))))))))))))))))))))</f>
        <v/>
      </c>
      <c r="BS87" s="50" t="str">
        <f>IF(Atletas!M78="","",IF(Atletas!X78&lt;&gt;"",10000,0)+(IF(Atletas!B78="Feminino",1000,IF(Atletas!B78="Masculino",2000,""))+(IF(Atletas!M78="Chaquan A",101,IF(Atletas!M78="Emeiquan A",102,IF(Atletas!M78="Fanziquan A",103,IF(Atletas!M78="Huaquan A",104,IF(Atletas!M78="Hongquan A",105,IF(Atletas!M78="Paoquan A",106,IF(Atletas!M78="Piguaquan A",107,IF(Atletas!M78="Shaolinquan A",108,IF(Atletas!M78="Tanglangquan A",109,IF(Atletas!M78="Yingzhaoquan A",110,IF(Atletas!M78="Tongbeiquan A",111,IF(Atletas!M78="Wudangquan A",112,IF(Atletas!M78="Outros Estilos A",113,IF(Atletas!M78="Chaquan B",114,IF(Atletas!M78="Emeiquan B",115,IF(Atletas!M78="Fanziquan B",116,IF(Atletas!M78="Huaquan B",117,IF(Atletas!M78="Hongquan B",118,IF(Atletas!M78="Paoquan B",119,IF(Atletas!M78="Piguaquan B",120,IF(Atletas!M78="Shaolinquan B",121,IF(Atletas!M78="Tanglangquan B",122,IF(Atletas!M78="Yingzhaoquan B",123,IF(Atletas!M78="Tongbeiquan B",124,IF(Atletas!M78="Wudangquan B",125,IF(Atletas!M78="Outros Estilos B",126,IF(Atletas!M78="Chaquan C",127,IF(Atletas!M78="Emeiquan C",128,IF(Atletas!M78="Fanziquan C",129,IF(Atletas!M78="Huaquan C",130,IF(Atletas!M78="Hongquan C",131,IF(Atletas!M78="Paoquan C",132,IF(Atletas!M78="Piguaquan C",133,IF(Atletas!M78="Shaolinquan C",134,IF(Atletas!M78="Tanglangquan C",135,IF(Atletas!M78="Yingzhaoquan C",136,IF(Atletas!M78="Tongbeiquan C",137,IF(Atletas!M78="Wudangquan C",138,IF(Atletas!M78="Outros Estilos C",139,0))))))))))))))))))))))))))))))))))))))))))</f>
        <v/>
      </c>
      <c r="BT87" s="50" t="str">
        <f>IF(Atletas!M78="","",IF(Atletas!X78&lt;&gt;"",10000,0)+(IF(Atletas!B78="Feminino",1000,IF(Atletas!B78="Masculino",2000,""))+(IF(Atletas!M78="Chaquan D",140,IF(Atletas!M78="Emeiquan D",141,IF(Atletas!M78="Fanziquan D",142,IF(Atletas!M78="Huaquan D",143,IF(Atletas!M78="Hongquan D",144,IF(Atletas!M78="Paoquan D",145,IF(Atletas!M78="Piguaquan D",146,IF(Atletas!M78="Shaolinquan D",147,IF(Atletas!M78="Tanglangquan D",148,IF(Atletas!M78="Yingzhaoquan D",149,IF(Atletas!M78="Tongbeiquan D",150,IF(Atletas!M78="Wudangquan D",151,IF(Atletas!M78="Outros Estilos D",152,IF(Atletas!M78="Chaquan E",153,IF(Atletas!M78="Emeiquan E",154,IF(Atletas!M78="Fanziquan E",155,IF(Atletas!M78="Huaquan E",156,IF(Atletas!M78="Hongquan E",157,IF(Atletas!M78="Paoquan E",158,IF(Atletas!M78="Piguaquan E",159,IF(Atletas!M78="Shaolinquan E",160,IF(Atletas!M78="Tanglangquan E",161,IF(Atletas!M78="Yingzhaoquan E",162,IF(Atletas!M78="Tongbeiquan E",163,IF(Atletas!M78="Wudangquan E",164,IF(Atletas!M78="Outros Estilos E",165,IF(Atletas!M78="Chaquan F",166,IF(Atletas!M78="Emeiquan F",167,IF(Atletas!M78="Fanziquan F",168,IF(Atletas!M78="Huaquan F",169,IF(Atletas!M78="Hongquan F",170,IF(Atletas!M78="Paoquan F",171,IF(Atletas!M78="Piguaquan F",172,IF(Atletas!M78="Shaolinquan F",173,IF(Atletas!M78="Tanglangquan F",174,IF(Atletas!M78="Yingzhaoquan F",175,IF(Atletas!M78="Tongbeiquan F",176,IF(Atletas!M78="Wudangquan F",177,IF(Atletas!M78="Outros Estilos F",178,0))))))))))))))))))))))))))))))))))))))))))</f>
        <v/>
      </c>
      <c r="BU87" s="50" t="str">
        <f>IF(Atletas!N78="","",IF(Atletas!X78&lt;&gt;"",10000,0)+(IF(Atletas!B78="Feminino",1000,IF(Atletas!B78="Masculino",2000,""))+(IF(Atletas!N78="Ditangquan A",201,IF(Atletas!N78="Houquan A",202,IF(Atletas!N78="Zuiquan A",203,IF(Atletas!N78="Ditangquan B",204,IF(Atletas!N78="Houquan B",205,IF(Atletas!N78="Zuiquan B",206,IF(Atletas!N78="Ditangquan C",207,IF(Atletas!N78="Houquan C",208,IF(Atletas!N78="Zuiquan C",209,IF(Atletas!N78="Ditangquan D",210,IF(Atletas!N78="Houquan D",211,IF(Atletas!N78="Zuiquan D",212,IF(Atletas!N78="Ditangquan E",213,IF(Atletas!N78="Houquan E",214,IF(Atletas!N78="Zuiquan E",215,IF(Atletas!N78="Ditangquan F",216,IF(Atletas!N78="Houquan F",217,IF(Atletas!N78="Zuiquan F",218,"")))))))))))))))))))))</f>
        <v/>
      </c>
      <c r="BV87" s="50" t="str">
        <f>IF(Atletas!O78="","",IF(Atletas!X78&lt;&gt;"",10000,0)+IF(Atletas!B78="Feminino",1000,IF(Atletas!B78="Masculino",2000,""))+IF(Atletas!O78="Yang A",301,IF(Atletas!O78="Chen A",302,IF(Atletas!O78="Sun A",303,IF(Atletas!O78="Wu A",304,IF(Atletas!O78="Wu-Hao A",305,IF(Atletas!O78="Outro Taijiquan A",306,IF(Atletas!O78="Yang B",307,IF(Atletas!O78="Chen B",308,IF(Atletas!O78="Sun B",309,IF(Atletas!O78="Wu B",310,IF(Atletas!O78="Wu-Hao B",311,IF(Atletas!O78="Outro Taijiquan B",312,IF(Atletas!O78="Yang C",313,IF(Atletas!O78="Chen C",314,IF(Atletas!O78="Sun C",315,IF(Atletas!O78="Wu C",316,IF(Atletas!O78="Wu-Hao C",317,IF(Atletas!O78="Outro Taijiquan C",318,IF(Atletas!O78="Yang D",319,IF(Atletas!O78="Chen D",320,IF(Atletas!O78="Sun D",321,IF(Atletas!O78="Wu D",322,IF(Atletas!O78="Wu-Hao D",323,IF(Atletas!O78="Outro Taijiquan D",324,IF(Atletas!O78="Yang E",325,IF(Atletas!O78="Chen E",326,IF(Atletas!O78="Sun E",327,IF(Atletas!O78="Wu E",328,IF(Atletas!O78="Wu-Hao E",329,IF(Atletas!O78="Outro Taijiquan E",330,IF(Atletas!O78="Yang F",331,IF(Atletas!O78="Chen F",332,IF(Atletas!O78="Sun F",333,IF(Atletas!O78="Wu F",334,IF(Atletas!O78="Wu-Hao F",335,IF(Atletas!O78="Outro Taijiquan F",336,"")))))))))))))))))))))))))))))))))))))</f>
        <v/>
      </c>
      <c r="BW87" s="50" t="str">
        <f>IF(Atletas!P78="","",IF(Atletas!X78&lt;&gt;"",10000,0)+IF(Atletas!B78="Feminino",1000,IF(Atletas!B78="Masculino",2000,""))+IF(OR(Atletas!P78="Yang 26 A",Atletas!P78="Yang 40 A"),401,IF(OR(Atletas!P78="Chen 25 A",Atletas!P78="Chen 36 A",Atletas!P78="Chen 56 A"),402,IF(Atletas!P78="Sun 73 A",403,IF(Atletas!P78="Wu 45 A",404,IF(Atletas!P78="Wu-Hao 46 A",405,IF(OR(Atletas!P78="Taijiquan 16 A",Atletas!P78="Taijiquan 24 A",Atletas!P78="Taijiquan 32 A",Atletas!P78="Taijiquan 42 A"),406,IF(OR(Atletas!P78="Yang 26 B",Atletas!P78="Yang 40 B"),407,IF(OR(Atletas!P78="Chen 25 B",Atletas!P78="Chen 36 B",Atletas!P78="Chen 56 B"),408,IF(Atletas!P78="Sun 73 B",409,IF(Atletas!P78="Wu 45 B",410,IF(Atletas!P78="Wu-Hao 46 B",411,IF(OR(Atletas!P78="Taijiquan 16 B",Atletas!P78="Taijiquan 24 B",Atletas!P78="Taijiquan 32 B",Atletas!P78="Taijiquan 42 B"),412,IF(OR(Atletas!P78="Yang 26 C",Atletas!P78="Yang 40 C"),413,IF(OR(Atletas!P78="Chen 25 C",Atletas!P78="Chen 36 C",Atletas!P78="Chen 56 C"),414,IF(Atletas!P78="Sun 73 C",415,IF(Atletas!P78="Wu 45 C",416,IF(Atletas!P78="Wu-Hao 46 C",417,IF(OR(Atletas!P78="Taijiquan 16 C",Atletas!P78="Taijiquan 24 C",Atletas!P78="Taijiquan 32 C",Atletas!P78="Taijiquan 42 C"),418,0)))))))))))))))))))</f>
        <v/>
      </c>
      <c r="BX87" s="50" t="str">
        <f>IF(Atletas!P78="","",IF(Atletas!X78&lt;&gt;"",10000,0)+IF(Atletas!B78="Feminino",1000,IF(Atletas!B78="Masculino",2000,""))+IF(OR(Atletas!P78="Yang 26 D",Atletas!P78="Yang 40 D"),419,IF(OR(Atletas!P78="Chen 25 D",Atletas!P78="Chen 36 D",Atletas!P78="Chen 56 D"),420,IF(Atletas!P78="Sun 73 D",421,IF(Atletas!P78="Wu 45 D",422,IF(Atletas!P78="Wu-Hao 46 D",423,IF(OR(Atletas!P78="Taijiquan 16 D",Atletas!P78="Taijiquan 24 D",Atletas!P78="Taijiquan 32 D",Atletas!P78="Taijiquan 42 D"),424,IF(OR(Atletas!P78="Yang 26 E",Atletas!P78="Yang 40 E"),425,IF(OR(Atletas!P78="Chen 25 E",Atletas!P78="Chen 36 E",Atletas!P78="Chen 56 E"),426,IF(Atletas!P78="Sun 73 E",427,IF(Atletas!P78="Wu 45 E",428,IF(Atletas!P78="Wu-Hao 46 E",429,IF(OR(Atletas!P78="Taijiquan 16 E",Atletas!P78="Taijiquan 24 E",Atletas!P78="Taijiquan 32 E",Atletas!P78="Taijiquan 42 E"),430,IF(OR(Atletas!P78="Yang 26 F",Atletas!P78="Yang 40 F"),431,IF(OR(Atletas!P78="Chen 25 F",Atletas!P78="Chen 36 F",Atletas!P78="Chen 56 F"),432,IF(Atletas!P78="Sun 73 F",433,IF(Atletas!P78="Wu 45 F",434,IF(Atletas!P78="Wu-Hao 46 F",435,IF(OR(Atletas!P78="Taijiquan 16 F",Atletas!P78="Taijiquan 24 F",Atletas!P78="Taijiquan 32 F",Atletas!P78="Taijiquan 42 F"),436,0)))))))))))))))))))</f>
        <v/>
      </c>
      <c r="BY87" s="50" t="str">
        <f>IF(Atletas!Q78="","",IF(Atletas!X78&lt;&gt;"",10000,0)+IF(Atletas!B78="Feminino",1000,IF(Atletas!B78="Masculino",2000,""))+IF(Atletas!Q78="Xingyiquan A",501,IF(Atletas!Q78="Baguazhang A",502,IF(Atletas!Q78="Outro Estilo Interno A",503,IF(Atletas!Q78="Xingyiquan B",504,IF(Atletas!Q78="Baguazhang B",505,IF(Atletas!Q78="Outro Estilo Interno B",506,IF(Atletas!Q78="Xingyiquan C",507,IF(Atletas!Q78="Baguazhang C",508,IF(Atletas!Q78="Outro Estilo Interno C",509,IF(Atletas!Q78="Xingyiquan D",510,IF(Atletas!Q78="Baguazhang D",511,IF(Atletas!Q78="Outro Estilo Interno D",512,IF(Atletas!Q78="Xingyiquan E",513,IF(Atletas!Q78="Baguazhang E",514,IF(Atletas!Q78="Outro Estilo Interno E",515,IF(Atletas!Q78="Xingyiquan F",516,IF(Atletas!Q78="Baguazhang F",517,IF(Atletas!Q78="Outro Estilo Interno F",518, "")))))))))))))))))))</f>
        <v/>
      </c>
      <c r="BZ87" s="50" t="str">
        <f>IF(Atletas!R78="","",IF(Atletas!X78&lt;&gt;"",10000,0)+IF(Atletas!B78="Feminino",1000,IF(Atletas!B78="Masculino",2000,""))+IF(Atletas!R78="Dao A",601,IF(Atletas!R78="Jian A",602,IF(Atletas!R78="Bishou A",603,IF(Atletas!R78="Shanzi A",604,IF(Atletas!R78="Outra Arma Curta A",605,IF(Atletas!R78="Dao B",606,IF(Atletas!R78="Jian B",607,IF(Atletas!R78="Bishou B",608,IF(Atletas!R78="Shanzi B",609,IF(Atletas!R78="Outra Arma Curta B",610,IF(Atletas!R78="Dao C",611,IF(Atletas!R78="Jian C",612,IF(Atletas!R78="Bishou C",613,IF(Atletas!R78="Shanzi C",614,IF(Atletas!R78="Outra Arma Curta C",615,IF(Atletas!R78="Dao D",616,IF(Atletas!R78="Jian D",617,IF(Atletas!R78="Bishou D",618,IF(Atletas!R78="Shanzi D",619,IF(Atletas!R78="Outra Arma Curta D",620,IF(Atletas!R78="Dao E",621,IF(Atletas!R78="Jian E",622,IF(Atletas!R78="Bishou E",623,IF(Atletas!R78="Shanzi E",624,IF(Atletas!R78="Outra Arma Curta E",625,IF(Atletas!R78="Dao F",626,IF(Atletas!R78="Jian F",627,IF(Atletas!R78="Bishou F",628,IF(Atletas!R78="Shanzi F",629,IF(Atletas!R78="Outra Arma Curta F",630, "")))))))))))))))))))))))))))))))</f>
        <v/>
      </c>
      <c r="CA87" s="50" t="str">
        <f>IF(Atletas!S78="","",IF(Atletas!X78&lt;&gt;"",10000,0)+IF(Atletas!B78="Feminino",1000,IF(Atletas!B78="Masculino",2000,""))+IF(Atletas!S78="Gun A",701,IF(Atletas!S78="Qiang A",702,IF(Atletas!S78="Pudao / Guandao A",703,IF(Atletas!S78="Outra Arma Longa A",704,IF(Atletas!S78="Gun B",705,IF(Atletas!S78="Qiang B",706,IF(Atletas!S78="Pudao / Guandao B",707,IF(Atletas!S78="Outra Arma Longa B",708,IF(Atletas!S78="Gun C",709,IF(Atletas!S78="Qiang C",710,IF(Atletas!S78="Pudao / Guandao C",711,IF(Atletas!S78="Outra Arma Longa C",712,IF(Atletas!S78="Gun D",713,IF(Atletas!S78="Qiang D",714,IF(Atletas!S78="Pudao / Guandao D",715,IF(Atletas!S78="Outra Arma Longa D",716,IF(Atletas!S78="Gun E",717,IF(Atletas!S78="Qiang E",718,IF(Atletas!S78="Pudao / Guandao E",719,IF(Atletas!S78="Outra Arma Longa E",720,IF(Atletas!S78="Gun F",721,IF(Atletas!S78="Qiang F",722,IF(Atletas!S78="Pudao / Guandao F",723,IF(Atletas!S78="Outra Arma Longa F",724,"")))))))))))))))))))))))))</f>
        <v/>
      </c>
      <c r="CB87" s="50" t="str">
        <f>IF(Atletas!T78="","",IF(Atletas!X78&lt;&gt;"",10000,0)+IF(Atletas!B78="Feminino",1000,IF(Atletas!B78="Masculino",2000,""))+IF(Atletas!T78="Outra Arma Dupla A",801,IF(Atletas!T78="Arma Maleável A",802,IF(Atletas!T78="Outra Arma Dupla B",803,IF(Atletas!T78="Arma Maleável B",804,IF(Atletas!T78="Outra Arma Dupla C",805,IF(Atletas!T78="Arma Maleável C",806,IF(Atletas!T78="Outra Arma Dupla D",807,IF(Atletas!T78="Arma Maleável D",808,IF(Atletas!T78="Outra Arma Dupla E",809,IF(Atletas!T78="Arma Maleável E",810,IF(Atletas!T78="Outra Arma Dupla F",811,IF(Atletas!T78="Arma Maleável F",812,IF(Atletas!T78="Shuangdao A",813,IF(Atletas!T78="Shuangdao B",814,IF(Atletas!T78="Shuangdao C",815,IF(Atletas!T78="Shuangdao D",816,IF(Atletas!T78="Shuangdao E",817,IF(Atletas!T78="Shuangdao F",818,"")))))))))))))))))))</f>
        <v/>
      </c>
      <c r="CC87" s="50" t="str">
        <f>IF(Atletas!U78="","",IF(Atletas!X78&lt;&gt;"",10000,0)+IF(Atletas!B78="Feminino",1000,IF(Atletas!B78="Masculino",2000,""))+IF(OR(Atletas!U78="Taijijian Yang A",Atletas!U78="Taijijian Yang Standard A"),901,IF(OR(Atletas!U78="Taijijian Chen A", Atletas!U78="Taijijian Chen Standard A"),902,IF(Atletas!U78="Taijijian Sun A",903,IF(Atletas!U78="Taijijian Wu A",904,IF(Atletas!U78="Taijijian Wu-Hao A",905,IF(OR(Atletas!U78="Taijijian 32 A",Atletas!U78="Taijijian 42 A"),906,IF(OR(Atletas!U78="Taijijian Yang B",Atletas!U78="Taijijian Yang Standard B"),907,IF(OR(Atletas!U78="Taijijian Chen B", Atletas!U78="Taijijian Chen Standard B"),908,IF(Atletas!U78="Taijijian Sun B",909,IF(Atletas!U78="Taijijian Wu B",910,IF(Atletas!U78="Taijijian Wu-Hao B",911,IF(OR(Atletas!U78="Taijijian 32 B",Atletas!U78="Taijijian 42 B"),912,IF(OR(Atletas!U78="Taijijian Yang C",Atletas!U78="Taijijian Yang Standard C"),913,IF(OR(Atletas!U78="Taijijian Chen C", Atletas!U78="Taijijian Chen Standard C"),914,IF(Atletas!U78="Taijijian Sun C",915,IF(Atletas!U78="Taijijian Wu C",916,IF(Atletas!U78="Taijijian Wu-Hao C",917,IF(OR(Atletas!U78="Taijijian 32 C",Atletas!U78="Taijijian 42 C"),918,IF(OR(Atletas!U78="Taijijian Yang D",Atletas!U78="Taijijian Yang Standard D"),919,IF(OR(Atletas!U78="Taijijian Chen D", Atletas!U78="Taijijian Chen Standard D"),920,IF(Atletas!U78="Taijijian Sun D",921,IF(Atletas!U78="Taijijian Wu D",922,IF(Atletas!U78="Taijijian Wu-Hao D",923,IF(OR(Atletas!U78="Taijijian 32 D",Atletas!U78="Taijijian 42 D"),924,IF(OR(Atletas!U78="Taijijian Yang E",Atletas!U78="Taijijian Yang Standard E"),925,IF(OR(Atletas!U78="Taijijian Chen E", Atletas!U78="Taijijian Chen Standard E"),926,IF(Atletas!U78="Taijijian Sun E",927,IF(Atletas!U78="Taijijian Wu E",928,IF(Atletas!U78="Taijijian Wu-Hao E",929,IF(OR(Atletas!U78="Taijijian 32 E",Atletas!U78="Taijijian 42 E"),930,IF(OR(Atletas!U78="Taijijian Yang F",Atletas!U78="Taijijian Yang Standard F"),931,IF(OR(Atletas!U78="Taijijian Chen F", Atletas!U78="Taijijian Chen Standard F"),932,IF(Atletas!U78="Taijijian Sun F",933,IF(Atletas!U78="Taijijian Wu F",934,IF(Atletas!U78="Taijijian Wu-Hao F",935,IF(OR(Atletas!U78="Taijijian 32 F",Atletas!U78="Taijijian 42 F"),936,"")))))))))))))))))))))))))))))))))))))</f>
        <v/>
      </c>
      <c r="CD87" s="50" t="str">
        <f>IF(Atletas!V78="","",IF(Atletas!X78&lt;&gt;"",10000,0)+IF(Atletas!B78="Feminino",1000,IF(Atletas!B78="Masculino",2000,""))+IF(Atletas!V78="Taijidao A",937,IF(Atletas!V78="TaijiShanzi A",938,IF(Atletas!V78="Taijiqiang A",939,IF(Atletas!V78="Bagua de Arma A",940,IF(Atletas!V78="Xingyi de Arma A",941,IF(Atletas!V78="Taijidao B",942,IF(Atletas!V78="TaijiShanzi B",943,IF(Atletas!V78="Taijiqiang B",944,IF(Atletas!V78="Bagua de Arma B",945,IF(Atletas!V78="Xingyi de Arma B",946,IF(Atletas!V78="Taijidao C",947,IF(Atletas!V78="TaijiShanzi C",948,IF(Atletas!V78="Taijiqiang C",949,IF(Atletas!V78="Bagua de Arma C",950,IF(Atletas!V78="Xingyi de Arma C",951,IF(Atletas!V78="Taijidao D",952,IF(Atletas!V78="TaijiShanzi D",953,IF(Atletas!V78="Taijiqiang D",954,IF(Atletas!V78="Bagua de Arma D",955,IF(Atletas!V78="Xingyi de Arma D",956,IF(Atletas!V78="Taijidao E",957,IF(Atletas!V78="TaijiShanzi E",958,IF(Atletas!V78="Taijiqiang E",959,IF(Atletas!V78="Bagua de Arma E",960,IF(Atletas!V78="Xingyi de Arma E",961,IF(Atletas!V78="Taijidao F",962,IF(Atletas!V78="TaijiShanzi F",963,IF(Atletas!V78="Taijiqiang F",964,IF(Atletas!V78="Bagua de Arma F",965,IF(Atletas!V78="Xingyi de Arma F",966,"")))))))))))))))))))))))))))))))</f>
        <v/>
      </c>
      <c r="CE87" s="66" t="str">
        <f>IF(CF87&lt;&gt;"","Paoquan D","")</f>
        <v/>
      </c>
      <c r="CF87" s="66" t="str">
        <f>IF(COUNTIF(BR:CD,1145)&gt;0,COUNTIF(BR:CD,1145),"")</f>
        <v/>
      </c>
      <c r="CG87" s="66" t="str">
        <f>IF(CH87&lt;&gt;"","Paoquan D","")</f>
        <v/>
      </c>
      <c r="CH87" s="66" t="str">
        <f>IF(COUNTIF(BR:CD,2145)&gt;0,COUNTIF(BR:CD,2145),"")</f>
        <v/>
      </c>
      <c r="CI87" s="66" t="str">
        <f>IF(CJ87&lt;&gt;"","Wudangquan D","")</f>
        <v/>
      </c>
      <c r="CJ87" s="66" t="str">
        <f>IF(COUNTIF(BR:CD,11151)&gt;0,COUNTIF(BR:CD,11151),"")</f>
        <v/>
      </c>
      <c r="CK87" s="66" t="str">
        <f>IF(CL87&lt;&gt;"","Wudangquan D","")</f>
        <v/>
      </c>
      <c r="CL87" s="66" t="str">
        <f>IF(COUNTIF(BR:CD,12151)&gt;0,COUNTIF(BR:CD,12151),"")</f>
        <v/>
      </c>
      <c r="CM87" s="50" t="str">
        <f xml:space="preserve"> IF(Atletas!W78="","",IF(Atletas!W78="Duilian de Mãos BC - Equipe 1",1,IF(Atletas!W78="Duilian de Mãos BC - Equipe 2",2,IF(Atletas!W78="Duilian de Armas BC - Equipe 1",3,IF(Atletas!W78="Duilian de Armas BC - Equipe 2",4,IF(Atletas!W78="Duilian de Mãos DE - Equipe 1",5,IF(Atletas!W78="Duilian de Mãos DE - Equipe 2",6,IF(Atletas!W78="Duilian de Armas DE - Equipe 1",7,IF(Atletas!W78="Duilian de Armas DE - Equipe 2",8,IF(Atletas!W78="Duilian de Tuishou - Equipe 1",9,IF(Atletas!W78="Duilian de Tuishou - Equipe 2",10,IF(Atletas!W78="Grupo Externo ABC - Equipe 1",11,IF(Atletas!W78="Grupo Externo ABC - Equipe 2",12,IF(Atletas!W78="Grupo Interno ABC - Equipe 1",13,IF(Atletas!W78="Grupo Interno ABC - Equipe 2",14,IF(Atletas!W78="Grupo Externo DEF - Equipe 1",15,IF(Atletas!W78="Grupo Externo DEF - Equipe 2",16,IF(Atletas!W78="Grupo Interno DEF - Equipe 1",17,IF(Atletas!W78="Grupo Interno DEF - Equipe 2",18,"")))))))))))))))))))</f>
        <v/>
      </c>
    </row>
    <row r="88" spans="2:91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20"/>
      <c r="Y88" s="3"/>
      <c r="Z88" s="3" t="str">
        <f t="array" ref="Z88">IFERROR(INDEX(CE$7:CE$348,SMALL(IF(CE$7:CE$348&lt;&gt;"",ROW(CE$7:CE$348)-ROW(CE$7)+1),ROWS(CE$7:CE87))),"")</f>
        <v/>
      </c>
      <c r="AA88" s="3" t="str">
        <f t="array" ref="AA88">IFERROR(INDEX(CF$7:CF$348,SMALL(IF(CF$7:CF$348&lt;&gt;"",ROW(CF$7:CF$348)-ROW(CF$7)+1),ROWS(CF$7:CF87))),"")</f>
        <v/>
      </c>
      <c r="AB88" s="3" t="str">
        <f t="array" ref="AB88">IFERROR(INDEX(CG$7:CG$348,SMALL(IF(CG$7:CG$348&lt;&gt;"",ROW(CG$7:CG$348)-ROW(CG$7)+1),ROWS(CG$7:CG87))),"")</f>
        <v/>
      </c>
      <c r="AC88" s="3" t="str">
        <f t="array" ref="AC88">IFERROR(INDEX(CH$7:CH$348,SMALL(IF(CH$7:CH$348&lt;&gt;"",ROW(CH$7:CH$348)-ROW(CH$7)+1),ROWS(CH$7:CH87))),"")</f>
        <v/>
      </c>
      <c r="AD88" s="3" t="str">
        <f t="array" ref="AD88">IFERROR(INDEX(CI$7:CI$377,SMALL(IF(CI$7:CI$377&lt;&gt;"",ROW(CI$7:CI$377)-ROW(CI$7)+1),ROWS(CI$7:CI87))),"")</f>
        <v/>
      </c>
      <c r="AE88" s="3" t="str">
        <f t="array" ref="AE88">IFERROR(INDEX(CJ$7:CJ$378,SMALL(IF(CJ$7:CJ$378&lt;&gt;"",ROW(CJ$7:CJ$378)-ROW(CJ$7)+1),ROWS(CJ$7:CJ87))),"")</f>
        <v/>
      </c>
      <c r="AF88" s="3" t="str">
        <f t="array" ref="AF88">IFERROR(INDEX(CK$7:CK$378,SMALL(IF(CK$7:CK$378&lt;&gt;"",ROW(CK$7:CK$378)-ROW(CK$7)+1),ROWS(CK$7:CK87))),"")</f>
        <v/>
      </c>
      <c r="AG88" s="3" t="str">
        <f t="array" ref="AG88">IFERROR(INDEX(CL$7:CL$378,SMALL(IF(CL$7:CL$378&lt;&gt;"",ROW(CL$7:CL$378)-ROW(CL$7)+1),ROWS(CL$7:CL87))),"")</f>
        <v/>
      </c>
      <c r="AH88" s="3"/>
      <c r="AI88" s="3"/>
      <c r="AJ88" s="3"/>
      <c r="AK88" s="3"/>
      <c r="AL88" s="3"/>
      <c r="AM88" s="3"/>
      <c r="AN88" s="52" t="str">
        <f>IF(Atletas!D79="","",IF(Atletas!B79="Feminino",100,IF(Atletas!B79="Masculino",200,""))+(IF(Atletas!D79="Kids 30kg",1,IF(Atletas!D79="Kids 32kg",2, IF(Atletas!D79="Kids 34kg",3,IF(Atletas!D79="Kids 36kg",4,IF(Atletas!D79="Kids 39kg",5,IF(Atletas!D79="Kids 42kg",6,IF(Atletas!D79="Kids 45kg",7, IF(Atletas!D79="Infantil 39kg",8,IF(Atletas!D79="Infantil 42kg",9,IF(Atletas!D79="Infantil 45kg",10,IF(Atletas!D79="Infantil 48kg",11,IF(Atletas!D79="Infantil 52kg",12,IF(Atletas!D79="Infantil 56kg",13,IF(Atletas!D79="Infantil 60kg",14,IF(Atletas!D79="Juvenil 48kg",15,IF(Atletas!D79="Juvenil 52kg",16,IF(Atletas!D79="Juvenil 56kg",17,IF(Atletas!D79="Juvenil 60kg",18,IF(Atletas!D79="Juvenil 65kg",19,IF(Atletas!D79="Juvenil 70kg",20,IF(Atletas!D79="Juvenil 75kg",21,IF(Atletas!D79="Juvenil 80kg",22, IF(Atletas!D79="Juvenil 85kg",23,IF(Atletas!D79="Adulto 48kg",24,IF(Atletas!D79="Adulto 52kg",25,IF(Atletas!D79="Adulto 56kg",26,IF(Atletas!D79="Adulto 60kg",27,IF(Atletas!D79="Adulto 65kg",28,IF(Atletas!D79="Adulto 70kg",29,IF(Atletas!D79="Adulto 75kg",30,IF(Atletas!D79="Adulto 80kg",31,IF(Atletas!D79="Adulto 85kg",32,IF(Atletas!D79="Adulto 90kg",33,IF(Atletas!D79="Adulto 100kg",34, IF(Atletas!D79="Adulto +100kg",35,"")))))))))))))))))))))))))))))))))))))</f>
        <v/>
      </c>
      <c r="AS88" s="6" t="str">
        <f>IF(Atletas!E79="","",IF(Atletas!B79="Feminino",100,IF(Atletas!B79="Masculino",200,""))+(IF(Atletas!E79="Juvenil 44kg",1,IF(Atletas!E79="Juvenil 48kg",2,IF(Atletas!E79="Juvenil 52kg",3,IF(Atletas!E79="Juvenil 56kg",4,IF(Atletas!E79="Juvenil 60kg",5,IF(Atletas!E79="Juvenil 65kg",6,IF(Atletas!E79="Juvenil 70kg",7,IF(Atletas!E79="Juvenil 75kg",8,IF(Atletas!E79="Juvenil 82kg",9,IF(Atletas!E79="Juvenil 90kg",10,IF(Atletas!E79="Juvenil 100kg",11,IF(Atletas!E79="Adulto 48kg",12,IF(Atletas!E79="Adulto 52kg",13,IF(Atletas!E79="Adulto 56kg",14,IF(Atletas!E79="Adulto 60kg",15,IF(Atletas!E79="Adulto 65kg",16,IF(Atletas!E79="Adulto 70kg",17,IF(Atletas!E79="Adulto 75kg",18,IF(Atletas!E79="Adulto 82kg",19,IF(Atletas!E79="Adulto 90kg",20,IF(Atletas!E79="Adulto 100kg",21,IF(Atletas!E79="Adulto +100kg",22,""))))))))))))))))))))))))</f>
        <v/>
      </c>
      <c r="AX88" s="6" t="str">
        <f>IF(Atletas!F79="","",IF(Atletas!B79="Feminino",100,IF(Atletas!B79="Masculino",200,""))+(IF(Atletas!F79="Adulto 48kg",1,IF(Atletas!F79="Adulto 56kg",2,IF(Atletas!F79="Adulto 65kg",3,IF(Atletas!F79="Adulto 75kg",4,IF(Atletas!F79="Adulto +75kg",5,IF(Atletas!F79="Adulto 52kg",6,IF(Atletas!F79="Adulto 60kg",7,IF(Atletas!F79="Adulto 70kg",8,IF(Atletas!F79="Adulto 80kg",9,IF(Atletas!F79="Adulto 90kg",10,IF(Atletas!F79="Adulto +90kg",11,"")))))))))))))</f>
        <v/>
      </c>
      <c r="BC88" s="6" t="str">
        <f>IF(Atletas!G79="","",IF(Atletas!B79="Feminino",10,IF(Atletas!B79="Masculino",20,""))+(IF(Atletas!G79="Baduanjin A",1,IF(Atletas!G79="Baduanjin B",2))))</f>
        <v/>
      </c>
      <c r="BF88" s="52" t="str">
        <f>IF(Atletas!H79="","",IF(Atletas!B79="Feminino",100,IF(Atletas!B79="Masculino",200,""))+(IF(Atletas!H79="Changquan Mirim",1,IF(Atletas!H79="Nanquan Mirim",2,IF(Atletas!H79="Taijiquan Mirim",3,IF(Atletas!H79="Changquan Grupo C",4,IF(Atletas!H79="Nanquan Grupo C",5,IF(Atletas!H79="Taijiquan Grupo C",6,IF(Atletas!H79="Changquan Grupo B",7,IF(Atletas!H79="Nanquan Grupo B",8,IF(Atletas!H79="Taijiquan Grupo B",9,IF(Atletas!H79="Changquan Grupo A",10,IF(Atletas!H79="Nanquan Grupo A",11,IF(Atletas!H79="Taijiquan Grupo A",12,IF(Atletas!H79="Changquan Opcional",13,IF(Atletas!H79="Nanquan Opcional",14,IF(Atletas!H79="Taijiquan Opcional",15,IF(Atletas!H79="Changquan Adulto",16,IF(Atletas!H79="Nanquan Adulto",17,IF(Atletas!H79="Taijiquan Adulto",18,""))))))))))))))))))))</f>
        <v/>
      </c>
      <c r="BG88" s="52" t="str">
        <f>IF(Atletas!I79="","",IF(Atletas!B79="Feminino",100,IF(Atletas!B79="Masculino",200,""))+(IF(Atletas!I79="Daoshu Mirim",19,IF(Atletas!I79="Jianshu Mirim",20,IF(Atletas!I79="Nandao Mirim",21,IF(Atletas!I79="Taijijian Mirim",22,IF(Atletas!I79="Daoshu Grupo C",23,IF(Atletas!I79="Jianshu Grupo C",24,IF(Atletas!I79="Nandao Grupo C",25,IF(Atletas!I79="Taijijian Grupo C",26,IF(Atletas!I79="Daoshu Grupo B",27,IF(Atletas!I79="Jianshu Grupo B",28,IF(Atletas!I79="Nandao Grupo B",29,IF(Atletas!I79="Taijijian Grupo B",30,IF(Atletas!I79="Daoshu Grupo A",31,IF(Atletas!I79="Jianshu Grupo A",32,IF(Atletas!I79="Nandao Grupo A",33,IF(Atletas!I79="Taijijian Grupo A",34,IF(Atletas!I79="Daoshu Opcional",35,IF(Atletas!I79="Jianshu Opcional",36,IF(Atletas!I79="Nandao Opcional",37,IF(Atletas!I79="Taijijian Opcional",38,IF(Atletas!I79="Daoshu Adulto",39,IF(Atletas!I79="Jianshu Adulto",40,IF(Atletas!I79="Nandao Adulto",41,IF(Atletas!I79="Taijijian Adulto",42,""))))))))))))))))))))))))))</f>
        <v/>
      </c>
      <c r="BH88" s="52" t="str">
        <f>IF(Atletas!J79="","",IF(Atletas!B79="Feminino",100,IF(Atletas!B79="Masculino",200,""))+(IF(Atletas!J79="Gunshu Mirim",43,IF(Atletas!J79="Qiangshu Mirim",44,IF(Atletas!J79="Nangun Mirim",45,IF(Atletas!J79="Gunshu Grupo C",46,IF(Atletas!J79="Qiangshu Grupo C",47,IF(Atletas!J79="Nangun Grupo C",48,IF(Atletas!J79="Gunshu Grupo B",49,IF(Atletas!J79="Qiangshu Grupo B",50,IF(Atletas!J79="Nangun Grupo B",51,IF(Atletas!J79="Gunshu Grupo A",52,IF(Atletas!J79="Qiangshu Grupo A",53,IF(Atletas!J79="Nangun Grupo A",54,IF(Atletas!J79="Gunshu Opcional",55,IF(Atletas!J79="Qiangshu Opcional",56,IF(Atletas!J79="Nangun Opcional",57,IF(Atletas!J79="Gunshu Adulto",58,IF(Atletas!J79="Qiangshu Adulto",59,IF(Atletas!J79="Nangun Adulto",60,IF(Atletas!J79="Taijishan Grupo B",61,IF(Atletas!J79="Taijishan Grupo A",62,""))))))))))))))))))))))</f>
        <v/>
      </c>
      <c r="BM88" s="50" t="str">
        <f>IF(Atletas!K79="","",IF(Atletas!B79="Feminino",100,IF(Atletas!B79="Masculino",200,""))+(IF(Atletas!K79="Equipe 1 Grupo B",1,IF(Atletas!K79="Equipe 2 Grupo B",2,IF(Atletas!K79="Equipe 1 Grupo A",3,IF(Atletas!K79="Equipe 2 Grupo A",4,IF(Atletas!K79="Equipe 1 Adulto",5,IF(Atletas!K79="Equipe 2 Adulto",6,""))))))))</f>
        <v/>
      </c>
      <c r="BR88" s="50" t="str">
        <f>IF(Atletas!L79="","",IF(Atletas!X79&lt;&gt;"",10000,0)+(IF(Atletas!B79="Feminino",1000,IF(Atletas!B79="Masculino",2000,""))+IF(Atletas!L79="Choylayfut A",1,IF(Atletas!L79="Hunggar A",2,IF(Atletas!L79="Wuzuquan A",3,IF(Atletas!L79="Wingchun A",4,IF(Atletas!L79="Outra Mão de Sul A",5,IF(Atletas!L79="Choylayfut B",6,IF(Atletas!L79="Hunggar B",7,IF(Atletas!L79="Wuzuquan B",8,IF(Atletas!L79="Wingchun B",9,IF(Atletas!L79="Outra Mão de Sul B",10,IF(Atletas!L79="Choylayfut C",11,IF(Atletas!L79="Hunggar C",12,IF(Atletas!L79="Wuzuquan C",13,IF(Atletas!L79="Wingchun C",14,IF(Atletas!L79="Outra Mão de Sul C",15,IF(Atletas!L79="Choylayfut D",16,IF(Atletas!L79="Hunggar D",17,IF(Atletas!L79="Wuzuquan D",18,IF(Atletas!L79="Wingchun D",19,IF(Atletas!L79="Outra Mão de Sul D",20,IF(Atletas!L79="Choylayfut E",21,IF(Atletas!L79="Hunggar E",22,IF(Atletas!L79="Wuzuquan E",23,IF(Atletas!L79="Wingchun E",24,IF(Atletas!L79="Outra Mão de Sul E",25,IF(Atletas!L79="Choylayfut F",26,IF(Atletas!L79="Hunggar F",27,IF(Atletas!L79="Wuzuquan F",28,IF(Atletas!L79="Wingchun F",29,IF(Atletas!L79="Outra Mão de Sul F",30,IF(Atletas!L79="Dishuquan A",31,IF(Atletas!L79="Dishuquan B",32,IF(Atletas!L79="Dishuquan C",33,IF(Atletas!L79="Dishuquan D",34,IF(Atletas!L79="Dishuquan E",35,IF(Atletas!L79="Dishuquan F",36,""))))))))))))))))))))))))))))))))))))))</f>
        <v/>
      </c>
      <c r="BS88" s="50" t="str">
        <f>IF(Atletas!M79="","",IF(Atletas!X79&lt;&gt;"",10000,0)+(IF(Atletas!B79="Feminino",1000,IF(Atletas!B79="Masculino",2000,""))+(IF(Atletas!M79="Chaquan A",101,IF(Atletas!M79="Emeiquan A",102,IF(Atletas!M79="Fanziquan A",103,IF(Atletas!M79="Huaquan A",104,IF(Atletas!M79="Hongquan A",105,IF(Atletas!M79="Paoquan A",106,IF(Atletas!M79="Piguaquan A",107,IF(Atletas!M79="Shaolinquan A",108,IF(Atletas!M79="Tanglangquan A",109,IF(Atletas!M79="Yingzhaoquan A",110,IF(Atletas!M79="Tongbeiquan A",111,IF(Atletas!M79="Wudangquan A",112,IF(Atletas!M79="Outros Estilos A",113,IF(Atletas!M79="Chaquan B",114,IF(Atletas!M79="Emeiquan B",115,IF(Atletas!M79="Fanziquan B",116,IF(Atletas!M79="Huaquan B",117,IF(Atletas!M79="Hongquan B",118,IF(Atletas!M79="Paoquan B",119,IF(Atletas!M79="Piguaquan B",120,IF(Atletas!M79="Shaolinquan B",121,IF(Atletas!M79="Tanglangquan B",122,IF(Atletas!M79="Yingzhaoquan B",123,IF(Atletas!M79="Tongbeiquan B",124,IF(Atletas!M79="Wudangquan B",125,IF(Atletas!M79="Outros Estilos B",126,IF(Atletas!M79="Chaquan C",127,IF(Atletas!M79="Emeiquan C",128,IF(Atletas!M79="Fanziquan C",129,IF(Atletas!M79="Huaquan C",130,IF(Atletas!M79="Hongquan C",131,IF(Atletas!M79="Paoquan C",132,IF(Atletas!M79="Piguaquan C",133,IF(Atletas!M79="Shaolinquan C",134,IF(Atletas!M79="Tanglangquan C",135,IF(Atletas!M79="Yingzhaoquan C",136,IF(Atletas!M79="Tongbeiquan C",137,IF(Atletas!M79="Wudangquan C",138,IF(Atletas!M79="Outros Estilos C",139,0))))))))))))))))))))))))))))))))))))))))))</f>
        <v/>
      </c>
      <c r="BT88" s="50" t="str">
        <f>IF(Atletas!M79="","",IF(Atletas!X79&lt;&gt;"",10000,0)+(IF(Atletas!B79="Feminino",1000,IF(Atletas!B79="Masculino",2000,""))+(IF(Atletas!M79="Chaquan D",140,IF(Atletas!M79="Emeiquan D",141,IF(Atletas!M79="Fanziquan D",142,IF(Atletas!M79="Huaquan D",143,IF(Atletas!M79="Hongquan D",144,IF(Atletas!M79="Paoquan D",145,IF(Atletas!M79="Piguaquan D",146,IF(Atletas!M79="Shaolinquan D",147,IF(Atletas!M79="Tanglangquan D",148,IF(Atletas!M79="Yingzhaoquan D",149,IF(Atletas!M79="Tongbeiquan D",150,IF(Atletas!M79="Wudangquan D",151,IF(Atletas!M79="Outros Estilos D",152,IF(Atletas!M79="Chaquan E",153,IF(Atletas!M79="Emeiquan E",154,IF(Atletas!M79="Fanziquan E",155,IF(Atletas!M79="Huaquan E",156,IF(Atletas!M79="Hongquan E",157,IF(Atletas!M79="Paoquan E",158,IF(Atletas!M79="Piguaquan E",159,IF(Atletas!M79="Shaolinquan E",160,IF(Atletas!M79="Tanglangquan E",161,IF(Atletas!M79="Yingzhaoquan E",162,IF(Atletas!M79="Tongbeiquan E",163,IF(Atletas!M79="Wudangquan E",164,IF(Atletas!M79="Outros Estilos E",165,IF(Atletas!M79="Chaquan F",166,IF(Atletas!M79="Emeiquan F",167,IF(Atletas!M79="Fanziquan F",168,IF(Atletas!M79="Huaquan F",169,IF(Atletas!M79="Hongquan F",170,IF(Atletas!M79="Paoquan F",171,IF(Atletas!M79="Piguaquan F",172,IF(Atletas!M79="Shaolinquan F",173,IF(Atletas!M79="Tanglangquan F",174,IF(Atletas!M79="Yingzhaoquan F",175,IF(Atletas!M79="Tongbeiquan F",176,IF(Atletas!M79="Wudangquan F",177,IF(Atletas!M79="Outros Estilos F",178,0))))))))))))))))))))))))))))))))))))))))))</f>
        <v/>
      </c>
      <c r="BU88" s="50" t="str">
        <f>IF(Atletas!N79="","",IF(Atletas!X79&lt;&gt;"",10000,0)+(IF(Atletas!B79="Feminino",1000,IF(Atletas!B79="Masculino",2000,""))+(IF(Atletas!N79="Ditangquan A",201,IF(Atletas!N79="Houquan A",202,IF(Atletas!N79="Zuiquan A",203,IF(Atletas!N79="Ditangquan B",204,IF(Atletas!N79="Houquan B",205,IF(Atletas!N79="Zuiquan B",206,IF(Atletas!N79="Ditangquan C",207,IF(Atletas!N79="Houquan C",208,IF(Atletas!N79="Zuiquan C",209,IF(Atletas!N79="Ditangquan D",210,IF(Atletas!N79="Houquan D",211,IF(Atletas!N79="Zuiquan D",212,IF(Atletas!N79="Ditangquan E",213,IF(Atletas!N79="Houquan E",214,IF(Atletas!N79="Zuiquan E",215,IF(Atletas!N79="Ditangquan F",216,IF(Atletas!N79="Houquan F",217,IF(Atletas!N79="Zuiquan F",218,"")))))))))))))))))))))</f>
        <v/>
      </c>
      <c r="BV88" s="50" t="str">
        <f>IF(Atletas!O79="","",IF(Atletas!X79&lt;&gt;"",10000,0)+IF(Atletas!B79="Feminino",1000,IF(Atletas!B79="Masculino",2000,""))+IF(Atletas!O79="Yang A",301,IF(Atletas!O79="Chen A",302,IF(Atletas!O79="Sun A",303,IF(Atletas!O79="Wu A",304,IF(Atletas!O79="Wu-Hao A",305,IF(Atletas!O79="Outro Taijiquan A",306,IF(Atletas!O79="Yang B",307,IF(Atletas!O79="Chen B",308,IF(Atletas!O79="Sun B",309,IF(Atletas!O79="Wu B",310,IF(Atletas!O79="Wu-Hao B",311,IF(Atletas!O79="Outro Taijiquan B",312,IF(Atletas!O79="Yang C",313,IF(Atletas!O79="Chen C",314,IF(Atletas!O79="Sun C",315,IF(Atletas!O79="Wu C",316,IF(Atletas!O79="Wu-Hao C",317,IF(Atletas!O79="Outro Taijiquan C",318,IF(Atletas!O79="Yang D",319,IF(Atletas!O79="Chen D",320,IF(Atletas!O79="Sun D",321,IF(Atletas!O79="Wu D",322,IF(Atletas!O79="Wu-Hao D",323,IF(Atletas!O79="Outro Taijiquan D",324,IF(Atletas!O79="Yang E",325,IF(Atletas!O79="Chen E",326,IF(Atletas!O79="Sun E",327,IF(Atletas!O79="Wu E",328,IF(Atletas!O79="Wu-Hao E",329,IF(Atletas!O79="Outro Taijiquan E",330,IF(Atletas!O79="Yang F",331,IF(Atletas!O79="Chen F",332,IF(Atletas!O79="Sun F",333,IF(Atletas!O79="Wu F",334,IF(Atletas!O79="Wu-Hao F",335,IF(Atletas!O79="Outro Taijiquan F",336,"")))))))))))))))))))))))))))))))))))))</f>
        <v/>
      </c>
      <c r="BW88" s="50" t="str">
        <f>IF(Atletas!P79="","",IF(Atletas!X79&lt;&gt;"",10000,0)+IF(Atletas!B79="Feminino",1000,IF(Atletas!B79="Masculino",2000,""))+IF(OR(Atletas!P79="Yang 26 A",Atletas!P79="Yang 40 A"),401,IF(OR(Atletas!P79="Chen 25 A",Atletas!P79="Chen 36 A",Atletas!P79="Chen 56 A"),402,IF(Atletas!P79="Sun 73 A",403,IF(Atletas!P79="Wu 45 A",404,IF(Atletas!P79="Wu-Hao 46 A",405,IF(OR(Atletas!P79="Taijiquan 16 A",Atletas!P79="Taijiquan 24 A",Atletas!P79="Taijiquan 32 A",Atletas!P79="Taijiquan 42 A"),406,IF(OR(Atletas!P79="Yang 26 B",Atletas!P79="Yang 40 B"),407,IF(OR(Atletas!P79="Chen 25 B",Atletas!P79="Chen 36 B",Atletas!P79="Chen 56 B"),408,IF(Atletas!P79="Sun 73 B",409,IF(Atletas!P79="Wu 45 B",410,IF(Atletas!P79="Wu-Hao 46 B",411,IF(OR(Atletas!P79="Taijiquan 16 B",Atletas!P79="Taijiquan 24 B",Atletas!P79="Taijiquan 32 B",Atletas!P79="Taijiquan 42 B"),412,IF(OR(Atletas!P79="Yang 26 C",Atletas!P79="Yang 40 C"),413,IF(OR(Atletas!P79="Chen 25 C",Atletas!P79="Chen 36 C",Atletas!P79="Chen 56 C"),414,IF(Atletas!P79="Sun 73 C",415,IF(Atletas!P79="Wu 45 C",416,IF(Atletas!P79="Wu-Hao 46 C",417,IF(OR(Atletas!P79="Taijiquan 16 C",Atletas!P79="Taijiquan 24 C",Atletas!P79="Taijiquan 32 C",Atletas!P79="Taijiquan 42 C"),418,0)))))))))))))))))))</f>
        <v/>
      </c>
      <c r="BX88" s="50" t="str">
        <f>IF(Atletas!P79="","",IF(Atletas!X79&lt;&gt;"",10000,0)+IF(Atletas!B79="Feminino",1000,IF(Atletas!B79="Masculino",2000,""))+IF(OR(Atletas!P79="Yang 26 D",Atletas!P79="Yang 40 D"),419,IF(OR(Atletas!P79="Chen 25 D",Atletas!P79="Chen 36 D",Atletas!P79="Chen 56 D"),420,IF(Atletas!P79="Sun 73 D",421,IF(Atletas!P79="Wu 45 D",422,IF(Atletas!P79="Wu-Hao 46 D",423,IF(OR(Atletas!P79="Taijiquan 16 D",Atletas!P79="Taijiquan 24 D",Atletas!P79="Taijiquan 32 D",Atletas!P79="Taijiquan 42 D"),424,IF(OR(Atletas!P79="Yang 26 E",Atletas!P79="Yang 40 E"),425,IF(OR(Atletas!P79="Chen 25 E",Atletas!P79="Chen 36 E",Atletas!P79="Chen 56 E"),426,IF(Atletas!P79="Sun 73 E",427,IF(Atletas!P79="Wu 45 E",428,IF(Atletas!P79="Wu-Hao 46 E",429,IF(OR(Atletas!P79="Taijiquan 16 E",Atletas!P79="Taijiquan 24 E",Atletas!P79="Taijiquan 32 E",Atletas!P79="Taijiquan 42 E"),430,IF(OR(Atletas!P79="Yang 26 F",Atletas!P79="Yang 40 F"),431,IF(OR(Atletas!P79="Chen 25 F",Atletas!P79="Chen 36 F",Atletas!P79="Chen 56 F"),432,IF(Atletas!P79="Sun 73 F",433,IF(Atletas!P79="Wu 45 F",434,IF(Atletas!P79="Wu-Hao 46 F",435,IF(OR(Atletas!P79="Taijiquan 16 F",Atletas!P79="Taijiquan 24 F",Atletas!P79="Taijiquan 32 F",Atletas!P79="Taijiquan 42 F"),436,0)))))))))))))))))))</f>
        <v/>
      </c>
      <c r="BY88" s="50" t="str">
        <f>IF(Atletas!Q79="","",IF(Atletas!X79&lt;&gt;"",10000,0)+IF(Atletas!B79="Feminino",1000,IF(Atletas!B79="Masculino",2000,""))+IF(Atletas!Q79="Xingyiquan A",501,IF(Atletas!Q79="Baguazhang A",502,IF(Atletas!Q79="Outro Estilo Interno A",503,IF(Atletas!Q79="Xingyiquan B",504,IF(Atletas!Q79="Baguazhang B",505,IF(Atletas!Q79="Outro Estilo Interno B",506,IF(Atletas!Q79="Xingyiquan C",507,IF(Atletas!Q79="Baguazhang C",508,IF(Atletas!Q79="Outro Estilo Interno C",509,IF(Atletas!Q79="Xingyiquan D",510,IF(Atletas!Q79="Baguazhang D",511,IF(Atletas!Q79="Outro Estilo Interno D",512,IF(Atletas!Q79="Xingyiquan E",513,IF(Atletas!Q79="Baguazhang E",514,IF(Atletas!Q79="Outro Estilo Interno E",515,IF(Atletas!Q79="Xingyiquan F",516,IF(Atletas!Q79="Baguazhang F",517,IF(Atletas!Q79="Outro Estilo Interno F",518, "")))))))))))))))))))</f>
        <v/>
      </c>
      <c r="BZ88" s="50" t="str">
        <f>IF(Atletas!R79="","",IF(Atletas!X79&lt;&gt;"",10000,0)+IF(Atletas!B79="Feminino",1000,IF(Atletas!B79="Masculino",2000,""))+IF(Atletas!R79="Dao A",601,IF(Atletas!R79="Jian A",602,IF(Atletas!R79="Bishou A",603,IF(Atletas!R79="Shanzi A",604,IF(Atletas!R79="Outra Arma Curta A",605,IF(Atletas!R79="Dao B",606,IF(Atletas!R79="Jian B",607,IF(Atletas!R79="Bishou B",608,IF(Atletas!R79="Shanzi B",609,IF(Atletas!R79="Outra Arma Curta B",610,IF(Atletas!R79="Dao C",611,IF(Atletas!R79="Jian C",612,IF(Atletas!R79="Bishou C",613,IF(Atletas!R79="Shanzi C",614,IF(Atletas!R79="Outra Arma Curta C",615,IF(Atletas!R79="Dao D",616,IF(Atletas!R79="Jian D",617,IF(Atletas!R79="Bishou D",618,IF(Atletas!R79="Shanzi D",619,IF(Atletas!R79="Outra Arma Curta D",620,IF(Atletas!R79="Dao E",621,IF(Atletas!R79="Jian E",622,IF(Atletas!R79="Bishou E",623,IF(Atletas!R79="Shanzi E",624,IF(Atletas!R79="Outra Arma Curta E",625,IF(Atletas!R79="Dao F",626,IF(Atletas!R79="Jian F",627,IF(Atletas!R79="Bishou F",628,IF(Atletas!R79="Shanzi F",629,IF(Atletas!R79="Outra Arma Curta F",630, "")))))))))))))))))))))))))))))))</f>
        <v/>
      </c>
      <c r="CA88" s="50" t="str">
        <f>IF(Atletas!S79="","",IF(Atletas!X79&lt;&gt;"",10000,0)+IF(Atletas!B79="Feminino",1000,IF(Atletas!B79="Masculino",2000,""))+IF(Atletas!S79="Gun A",701,IF(Atletas!S79="Qiang A",702,IF(Atletas!S79="Pudao / Guandao A",703,IF(Atletas!S79="Outra Arma Longa A",704,IF(Atletas!S79="Gun B",705,IF(Atletas!S79="Qiang B",706,IF(Atletas!S79="Pudao / Guandao B",707,IF(Atletas!S79="Outra Arma Longa B",708,IF(Atletas!S79="Gun C",709,IF(Atletas!S79="Qiang C",710,IF(Atletas!S79="Pudao / Guandao C",711,IF(Atletas!S79="Outra Arma Longa C",712,IF(Atletas!S79="Gun D",713,IF(Atletas!S79="Qiang D",714,IF(Atletas!S79="Pudao / Guandao D",715,IF(Atletas!S79="Outra Arma Longa D",716,IF(Atletas!S79="Gun E",717,IF(Atletas!S79="Qiang E",718,IF(Atletas!S79="Pudao / Guandao E",719,IF(Atletas!S79="Outra Arma Longa E",720,IF(Atletas!S79="Gun F",721,IF(Atletas!S79="Qiang F",722,IF(Atletas!S79="Pudao / Guandao F",723,IF(Atletas!S79="Outra Arma Longa F",724,"")))))))))))))))))))))))))</f>
        <v/>
      </c>
      <c r="CB88" s="50" t="str">
        <f>IF(Atletas!T79="","",IF(Atletas!X79&lt;&gt;"",10000,0)+IF(Atletas!B79="Feminino",1000,IF(Atletas!B79="Masculino",2000,""))+IF(Atletas!T79="Outra Arma Dupla A",801,IF(Atletas!T79="Arma Maleável A",802,IF(Atletas!T79="Outra Arma Dupla B",803,IF(Atletas!T79="Arma Maleável B",804,IF(Atletas!T79="Outra Arma Dupla C",805,IF(Atletas!T79="Arma Maleável C",806,IF(Atletas!T79="Outra Arma Dupla D",807,IF(Atletas!T79="Arma Maleável D",808,IF(Atletas!T79="Outra Arma Dupla E",809,IF(Atletas!T79="Arma Maleável E",810,IF(Atletas!T79="Outra Arma Dupla F",811,IF(Atletas!T79="Arma Maleável F",812,IF(Atletas!T79="Shuangdao A",813,IF(Atletas!T79="Shuangdao B",814,IF(Atletas!T79="Shuangdao C",815,IF(Atletas!T79="Shuangdao D",816,IF(Atletas!T79="Shuangdao E",817,IF(Atletas!T79="Shuangdao F",818,"")))))))))))))))))))</f>
        <v/>
      </c>
      <c r="CC88" s="50" t="str">
        <f>IF(Atletas!U79="","",IF(Atletas!X79&lt;&gt;"",10000,0)+IF(Atletas!B79="Feminino",1000,IF(Atletas!B79="Masculino",2000,""))+IF(OR(Atletas!U79="Taijijian Yang A",Atletas!U79="Taijijian Yang Standard A"),901,IF(OR(Atletas!U79="Taijijian Chen A", Atletas!U79="Taijijian Chen Standard A"),902,IF(Atletas!U79="Taijijian Sun A",903,IF(Atletas!U79="Taijijian Wu A",904,IF(Atletas!U79="Taijijian Wu-Hao A",905,IF(OR(Atletas!U79="Taijijian 32 A",Atletas!U79="Taijijian 42 A"),906,IF(OR(Atletas!U79="Taijijian Yang B",Atletas!U79="Taijijian Yang Standard B"),907,IF(OR(Atletas!U79="Taijijian Chen B", Atletas!U79="Taijijian Chen Standard B"),908,IF(Atletas!U79="Taijijian Sun B",909,IF(Atletas!U79="Taijijian Wu B",910,IF(Atletas!U79="Taijijian Wu-Hao B",911,IF(OR(Atletas!U79="Taijijian 32 B",Atletas!U79="Taijijian 42 B"),912,IF(OR(Atletas!U79="Taijijian Yang C",Atletas!U79="Taijijian Yang Standard C"),913,IF(OR(Atletas!U79="Taijijian Chen C", Atletas!U79="Taijijian Chen Standard C"),914,IF(Atletas!U79="Taijijian Sun C",915,IF(Atletas!U79="Taijijian Wu C",916,IF(Atletas!U79="Taijijian Wu-Hao C",917,IF(OR(Atletas!U79="Taijijian 32 C",Atletas!U79="Taijijian 42 C"),918,IF(OR(Atletas!U79="Taijijian Yang D",Atletas!U79="Taijijian Yang Standard D"),919,IF(OR(Atletas!U79="Taijijian Chen D", Atletas!U79="Taijijian Chen Standard D"),920,IF(Atletas!U79="Taijijian Sun D",921,IF(Atletas!U79="Taijijian Wu D",922,IF(Atletas!U79="Taijijian Wu-Hao D",923,IF(OR(Atletas!U79="Taijijian 32 D",Atletas!U79="Taijijian 42 D"),924,IF(OR(Atletas!U79="Taijijian Yang E",Atletas!U79="Taijijian Yang Standard E"),925,IF(OR(Atletas!U79="Taijijian Chen E", Atletas!U79="Taijijian Chen Standard E"),926,IF(Atletas!U79="Taijijian Sun E",927,IF(Atletas!U79="Taijijian Wu E",928,IF(Atletas!U79="Taijijian Wu-Hao E",929,IF(OR(Atletas!U79="Taijijian 32 E",Atletas!U79="Taijijian 42 E"),930,IF(OR(Atletas!U79="Taijijian Yang F",Atletas!U79="Taijijian Yang Standard F"),931,IF(OR(Atletas!U79="Taijijian Chen F", Atletas!U79="Taijijian Chen Standard F"),932,IF(Atletas!U79="Taijijian Sun F",933,IF(Atletas!U79="Taijijian Wu F",934,IF(Atletas!U79="Taijijian Wu-Hao F",935,IF(OR(Atletas!U79="Taijijian 32 F",Atletas!U79="Taijijian 42 F"),936,"")))))))))))))))))))))))))))))))))))))</f>
        <v/>
      </c>
      <c r="CD88" s="50" t="str">
        <f>IF(Atletas!V79="","",IF(Atletas!X79&lt;&gt;"",10000,0)+IF(Atletas!B79="Feminino",1000,IF(Atletas!B79="Masculino",2000,""))+IF(Atletas!V79="Taijidao A",937,IF(Atletas!V79="TaijiShanzi A",938,IF(Atletas!V79="Taijiqiang A",939,IF(Atletas!V79="Bagua de Arma A",940,IF(Atletas!V79="Xingyi de Arma A",941,IF(Atletas!V79="Taijidao B",942,IF(Atletas!V79="TaijiShanzi B",943,IF(Atletas!V79="Taijiqiang B",944,IF(Atletas!V79="Bagua de Arma B",945,IF(Atletas!V79="Xingyi de Arma B",946,IF(Atletas!V79="Taijidao C",947,IF(Atletas!V79="TaijiShanzi C",948,IF(Atletas!V79="Taijiqiang C",949,IF(Atletas!V79="Bagua de Arma C",950,IF(Atletas!V79="Xingyi de Arma C",951,IF(Atletas!V79="Taijidao D",952,IF(Atletas!V79="TaijiShanzi D",953,IF(Atletas!V79="Taijiqiang D",954,IF(Atletas!V79="Bagua de Arma D",955,IF(Atletas!V79="Xingyi de Arma D",956,IF(Atletas!V79="Taijidao E",957,IF(Atletas!V79="TaijiShanzi E",958,IF(Atletas!V79="Taijiqiang E",959,IF(Atletas!V79="Bagua de Arma E",960,IF(Atletas!V79="Xingyi de Arma E",961,IF(Atletas!V79="Taijidao F",962,IF(Atletas!V79="TaijiShanzi F",963,IF(Atletas!V79="Taijiqiang F",964,IF(Atletas!V79="Bagua de Arma F",965,IF(Atletas!V79="Xingyi de Arma F",966,"")))))))))))))))))))))))))))))))</f>
        <v/>
      </c>
      <c r="CE88" s="66" t="str">
        <f>IF(CF88&lt;&gt;"","Piguaquan D","")</f>
        <v/>
      </c>
      <c r="CF88" s="66" t="str">
        <f>IF(COUNTIF(BR:CD,1146)&gt;0,COUNTIF(BR:CD,1146),"")</f>
        <v/>
      </c>
      <c r="CG88" s="66" t="str">
        <f>IF(CH88&lt;&gt;"","Piguaquan D","")</f>
        <v/>
      </c>
      <c r="CH88" s="66" t="str">
        <f>IF(COUNTIF(BR:CD,2146)&gt;0,COUNTIF(BR:CD,2146),"")</f>
        <v/>
      </c>
      <c r="CI88" s="66" t="str">
        <f>IF(CJ88&lt;&gt;"","Outros Estilos D","")</f>
        <v/>
      </c>
      <c r="CJ88" s="66" t="str">
        <f>IF(COUNTIF(BR:CD,11152)&gt;0,COUNTIF(BR:CD,11152),"")</f>
        <v/>
      </c>
      <c r="CK88" s="66" t="str">
        <f>IF(CL88&lt;&gt;"","Outros Estilos D","")</f>
        <v/>
      </c>
      <c r="CL88" s="66" t="str">
        <f>IF(COUNTIF(BR:CD,12152)&gt;0,COUNTIF(BR:CD,12152),"")</f>
        <v/>
      </c>
      <c r="CM88" s="50" t="str">
        <f xml:space="preserve"> IF(Atletas!W79="","",IF(Atletas!W79="Duilian de Mãos BC - Equipe 1",1,IF(Atletas!W79="Duilian de Mãos BC - Equipe 2",2,IF(Atletas!W79="Duilian de Armas BC - Equipe 1",3,IF(Atletas!W79="Duilian de Armas BC - Equipe 2",4,IF(Atletas!W79="Duilian de Mãos DE - Equipe 1",5,IF(Atletas!W79="Duilian de Mãos DE - Equipe 2",6,IF(Atletas!W79="Duilian de Armas DE - Equipe 1",7,IF(Atletas!W79="Duilian de Armas DE - Equipe 2",8,IF(Atletas!W79="Duilian de Tuishou - Equipe 1",9,IF(Atletas!W79="Duilian de Tuishou - Equipe 2",10,IF(Atletas!W79="Grupo Externo ABC - Equipe 1",11,IF(Atletas!W79="Grupo Externo ABC - Equipe 2",12,IF(Atletas!W79="Grupo Interno ABC - Equipe 1",13,IF(Atletas!W79="Grupo Interno ABC - Equipe 2",14,IF(Atletas!W79="Grupo Externo DEF - Equipe 1",15,IF(Atletas!W79="Grupo Externo DEF - Equipe 2",16,IF(Atletas!W79="Grupo Interno DEF - Equipe 1",17,IF(Atletas!W79="Grupo Interno DEF - Equipe 2",18,"")))))))))))))))))))</f>
        <v/>
      </c>
    </row>
    <row r="89" spans="2:91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20"/>
      <c r="Y89" s="3"/>
      <c r="Z89" s="3" t="str">
        <f t="array" ref="Z89">IFERROR(INDEX(CE$7:CE$348,SMALL(IF(CE$7:CE$348&lt;&gt;"",ROW(CE$7:CE$348)-ROW(CE$7)+1),ROWS(CE$7:CE88))),"")</f>
        <v/>
      </c>
      <c r="AA89" s="3" t="str">
        <f t="array" ref="AA89">IFERROR(INDEX(CF$7:CF$348,SMALL(IF(CF$7:CF$348&lt;&gt;"",ROW(CF$7:CF$348)-ROW(CF$7)+1),ROWS(CF$7:CF88))),"")</f>
        <v/>
      </c>
      <c r="AB89" s="3" t="str">
        <f t="array" ref="AB89">IFERROR(INDEX(CG$7:CG$348,SMALL(IF(CG$7:CG$348&lt;&gt;"",ROW(CG$7:CG$348)-ROW(CG$7)+1),ROWS(CG$7:CG88))),"")</f>
        <v/>
      </c>
      <c r="AC89" s="3" t="str">
        <f t="array" ref="AC89">IFERROR(INDEX(CH$7:CH$348,SMALL(IF(CH$7:CH$348&lt;&gt;"",ROW(CH$7:CH$348)-ROW(CH$7)+1),ROWS(CH$7:CH88))),"")</f>
        <v/>
      </c>
      <c r="AD89" s="3" t="str">
        <f t="array" ref="AD89">IFERROR(INDEX(CI$7:CI$377,SMALL(IF(CI$7:CI$377&lt;&gt;"",ROW(CI$7:CI$377)-ROW(CI$7)+1),ROWS(CI$7:CI88))),"")</f>
        <v/>
      </c>
      <c r="AE89" s="3" t="str">
        <f t="array" ref="AE89">IFERROR(INDEX(CJ$7:CJ$378,SMALL(IF(CJ$7:CJ$378&lt;&gt;"",ROW(CJ$7:CJ$378)-ROW(CJ$7)+1),ROWS(CJ$7:CJ88))),"")</f>
        <v/>
      </c>
      <c r="AF89" s="3" t="str">
        <f t="array" ref="AF89">IFERROR(INDEX(CK$7:CK$378,SMALL(IF(CK$7:CK$378&lt;&gt;"",ROW(CK$7:CK$378)-ROW(CK$7)+1),ROWS(CK$7:CK88))),"")</f>
        <v/>
      </c>
      <c r="AG89" s="3" t="str">
        <f t="array" ref="AG89">IFERROR(INDEX(CL$7:CL$378,SMALL(IF(CL$7:CL$378&lt;&gt;"",ROW(CL$7:CL$378)-ROW(CL$7)+1),ROWS(CL$7:CL88))),"")</f>
        <v/>
      </c>
      <c r="AH89" s="3"/>
      <c r="AI89" s="3"/>
      <c r="AJ89" s="3"/>
      <c r="AK89" s="3"/>
      <c r="AL89" s="3"/>
      <c r="AM89" s="3"/>
      <c r="AN89" s="52" t="str">
        <f>IF(Atletas!D80="","",IF(Atletas!B80="Feminino",100,IF(Atletas!B80="Masculino",200,""))+(IF(Atletas!D80="Kids 30kg",1,IF(Atletas!D80="Kids 32kg",2, IF(Atletas!D80="Kids 34kg",3,IF(Atletas!D80="Kids 36kg",4,IF(Atletas!D80="Kids 39kg",5,IF(Atletas!D80="Kids 42kg",6,IF(Atletas!D80="Kids 45kg",7, IF(Atletas!D80="Infantil 39kg",8,IF(Atletas!D80="Infantil 42kg",9,IF(Atletas!D80="Infantil 45kg",10,IF(Atletas!D80="Infantil 48kg",11,IF(Atletas!D80="Infantil 52kg",12,IF(Atletas!D80="Infantil 56kg",13,IF(Atletas!D80="Infantil 60kg",14,IF(Atletas!D80="Juvenil 48kg",15,IF(Atletas!D80="Juvenil 52kg",16,IF(Atletas!D80="Juvenil 56kg",17,IF(Atletas!D80="Juvenil 60kg",18,IF(Atletas!D80="Juvenil 65kg",19,IF(Atletas!D80="Juvenil 70kg",20,IF(Atletas!D80="Juvenil 75kg",21,IF(Atletas!D80="Juvenil 80kg",22, IF(Atletas!D80="Juvenil 85kg",23,IF(Atletas!D80="Adulto 48kg",24,IF(Atletas!D80="Adulto 52kg",25,IF(Atletas!D80="Adulto 56kg",26,IF(Atletas!D80="Adulto 60kg",27,IF(Atletas!D80="Adulto 65kg",28,IF(Atletas!D80="Adulto 70kg",29,IF(Atletas!D80="Adulto 75kg",30,IF(Atletas!D80="Adulto 80kg",31,IF(Atletas!D80="Adulto 85kg",32,IF(Atletas!D80="Adulto 90kg",33,IF(Atletas!D80="Adulto 100kg",34, IF(Atletas!D80="Adulto +100kg",35,"")))))))))))))))))))))))))))))))))))))</f>
        <v/>
      </c>
      <c r="AS89" s="6" t="str">
        <f>IF(Atletas!E80="","",IF(Atletas!B80="Feminino",100,IF(Atletas!B80="Masculino",200,""))+(IF(Atletas!E80="Juvenil 44kg",1,IF(Atletas!E80="Juvenil 48kg",2,IF(Atletas!E80="Juvenil 52kg",3,IF(Atletas!E80="Juvenil 56kg",4,IF(Atletas!E80="Juvenil 60kg",5,IF(Atletas!E80="Juvenil 65kg",6,IF(Atletas!E80="Juvenil 70kg",7,IF(Atletas!E80="Juvenil 75kg",8,IF(Atletas!E80="Juvenil 82kg",9,IF(Atletas!E80="Juvenil 90kg",10,IF(Atletas!E80="Juvenil 100kg",11,IF(Atletas!E80="Adulto 48kg",12,IF(Atletas!E80="Adulto 52kg",13,IF(Atletas!E80="Adulto 56kg",14,IF(Atletas!E80="Adulto 60kg",15,IF(Atletas!E80="Adulto 65kg",16,IF(Atletas!E80="Adulto 70kg",17,IF(Atletas!E80="Adulto 75kg",18,IF(Atletas!E80="Adulto 82kg",19,IF(Atletas!E80="Adulto 90kg",20,IF(Atletas!E80="Adulto 100kg",21,IF(Atletas!E80="Adulto +100kg",22,""))))))))))))))))))))))))</f>
        <v/>
      </c>
      <c r="AX89" s="6" t="str">
        <f>IF(Atletas!F80="","",IF(Atletas!B80="Feminino",100,IF(Atletas!B80="Masculino",200,""))+(IF(Atletas!F80="Adulto 48kg",1,IF(Atletas!F80="Adulto 56kg",2,IF(Atletas!F80="Adulto 65kg",3,IF(Atletas!F80="Adulto 75kg",4,IF(Atletas!F80="Adulto +75kg",5,IF(Atletas!F80="Adulto 52kg",6,IF(Atletas!F80="Adulto 60kg",7,IF(Atletas!F80="Adulto 70kg",8,IF(Atletas!F80="Adulto 80kg",9,IF(Atletas!F80="Adulto 90kg",10,IF(Atletas!F80="Adulto +90kg",11,"")))))))))))))</f>
        <v/>
      </c>
      <c r="BC89" s="6" t="str">
        <f>IF(Atletas!G80="","",IF(Atletas!B80="Feminino",10,IF(Atletas!B80="Masculino",20,""))+(IF(Atletas!G80="Baduanjin A",1,IF(Atletas!G80="Baduanjin B",2))))</f>
        <v/>
      </c>
      <c r="BF89" s="52" t="str">
        <f>IF(Atletas!H80="","",IF(Atletas!B80="Feminino",100,IF(Atletas!B80="Masculino",200,""))+(IF(Atletas!H80="Changquan Mirim",1,IF(Atletas!H80="Nanquan Mirim",2,IF(Atletas!H80="Taijiquan Mirim",3,IF(Atletas!H80="Changquan Grupo C",4,IF(Atletas!H80="Nanquan Grupo C",5,IF(Atletas!H80="Taijiquan Grupo C",6,IF(Atletas!H80="Changquan Grupo B",7,IF(Atletas!H80="Nanquan Grupo B",8,IF(Atletas!H80="Taijiquan Grupo B",9,IF(Atletas!H80="Changquan Grupo A",10,IF(Atletas!H80="Nanquan Grupo A",11,IF(Atletas!H80="Taijiquan Grupo A",12,IF(Atletas!H80="Changquan Opcional",13,IF(Atletas!H80="Nanquan Opcional",14,IF(Atletas!H80="Taijiquan Opcional",15,IF(Atletas!H80="Changquan Adulto",16,IF(Atletas!H80="Nanquan Adulto",17,IF(Atletas!H80="Taijiquan Adulto",18,""))))))))))))))))))))</f>
        <v/>
      </c>
      <c r="BG89" s="52" t="str">
        <f>IF(Atletas!I80="","",IF(Atletas!B80="Feminino",100,IF(Atletas!B80="Masculino",200,""))+(IF(Atletas!I80="Daoshu Mirim",19,IF(Atletas!I80="Jianshu Mirim",20,IF(Atletas!I80="Nandao Mirim",21,IF(Atletas!I80="Taijijian Mirim",22,IF(Atletas!I80="Daoshu Grupo C",23,IF(Atletas!I80="Jianshu Grupo C",24,IF(Atletas!I80="Nandao Grupo C",25,IF(Atletas!I80="Taijijian Grupo C",26,IF(Atletas!I80="Daoshu Grupo B",27,IF(Atletas!I80="Jianshu Grupo B",28,IF(Atletas!I80="Nandao Grupo B",29,IF(Atletas!I80="Taijijian Grupo B",30,IF(Atletas!I80="Daoshu Grupo A",31,IF(Atletas!I80="Jianshu Grupo A",32,IF(Atletas!I80="Nandao Grupo A",33,IF(Atletas!I80="Taijijian Grupo A",34,IF(Atletas!I80="Daoshu Opcional",35,IF(Atletas!I80="Jianshu Opcional",36,IF(Atletas!I80="Nandao Opcional",37,IF(Atletas!I80="Taijijian Opcional",38,IF(Atletas!I80="Daoshu Adulto",39,IF(Atletas!I80="Jianshu Adulto",40,IF(Atletas!I80="Nandao Adulto",41,IF(Atletas!I80="Taijijian Adulto",42,""))))))))))))))))))))))))))</f>
        <v/>
      </c>
      <c r="BH89" s="52" t="str">
        <f>IF(Atletas!J80="","",IF(Atletas!B80="Feminino",100,IF(Atletas!B80="Masculino",200,""))+(IF(Atletas!J80="Gunshu Mirim",43,IF(Atletas!J80="Qiangshu Mirim",44,IF(Atletas!J80="Nangun Mirim",45,IF(Atletas!J80="Gunshu Grupo C",46,IF(Atletas!J80="Qiangshu Grupo C",47,IF(Atletas!J80="Nangun Grupo C",48,IF(Atletas!J80="Gunshu Grupo B",49,IF(Atletas!J80="Qiangshu Grupo B",50,IF(Atletas!J80="Nangun Grupo B",51,IF(Atletas!J80="Gunshu Grupo A",52,IF(Atletas!J80="Qiangshu Grupo A",53,IF(Atletas!J80="Nangun Grupo A",54,IF(Atletas!J80="Gunshu Opcional",55,IF(Atletas!J80="Qiangshu Opcional",56,IF(Atletas!J80="Nangun Opcional",57,IF(Atletas!J80="Gunshu Adulto",58,IF(Atletas!J80="Qiangshu Adulto",59,IF(Atletas!J80="Nangun Adulto",60,IF(Atletas!J80="Taijishan Grupo B",61,IF(Atletas!J80="Taijishan Grupo A",62,""))))))))))))))))))))))</f>
        <v/>
      </c>
      <c r="BM89" s="50" t="str">
        <f>IF(Atletas!K80="","",IF(Atletas!B80="Feminino",100,IF(Atletas!B80="Masculino",200,""))+(IF(Atletas!K80="Equipe 1 Grupo B",1,IF(Atletas!K80="Equipe 2 Grupo B",2,IF(Atletas!K80="Equipe 1 Grupo A",3,IF(Atletas!K80="Equipe 2 Grupo A",4,IF(Atletas!K80="Equipe 1 Adulto",5,IF(Atletas!K80="Equipe 2 Adulto",6,""))))))))</f>
        <v/>
      </c>
      <c r="BR89" s="50" t="str">
        <f>IF(Atletas!L80="","",IF(Atletas!X80&lt;&gt;"",10000,0)+(IF(Atletas!B80="Feminino",1000,IF(Atletas!B80="Masculino",2000,""))+IF(Atletas!L80="Choylayfut A",1,IF(Atletas!L80="Hunggar A",2,IF(Atletas!L80="Wuzuquan A",3,IF(Atletas!L80="Wingchun A",4,IF(Atletas!L80="Outra Mão de Sul A",5,IF(Atletas!L80="Choylayfut B",6,IF(Atletas!L80="Hunggar B",7,IF(Atletas!L80="Wuzuquan B",8,IF(Atletas!L80="Wingchun B",9,IF(Atletas!L80="Outra Mão de Sul B",10,IF(Atletas!L80="Choylayfut C",11,IF(Atletas!L80="Hunggar C",12,IF(Atletas!L80="Wuzuquan C",13,IF(Atletas!L80="Wingchun C",14,IF(Atletas!L80="Outra Mão de Sul C",15,IF(Atletas!L80="Choylayfut D",16,IF(Atletas!L80="Hunggar D",17,IF(Atletas!L80="Wuzuquan D",18,IF(Atletas!L80="Wingchun D",19,IF(Atletas!L80="Outra Mão de Sul D",20,IF(Atletas!L80="Choylayfut E",21,IF(Atletas!L80="Hunggar E",22,IF(Atletas!L80="Wuzuquan E",23,IF(Atletas!L80="Wingchun E",24,IF(Atletas!L80="Outra Mão de Sul E",25,IF(Atletas!L80="Choylayfut F",26,IF(Atletas!L80="Hunggar F",27,IF(Atletas!L80="Wuzuquan F",28,IF(Atletas!L80="Wingchun F",29,IF(Atletas!L80="Outra Mão de Sul F",30,IF(Atletas!L80="Dishuquan A",31,IF(Atletas!L80="Dishuquan B",32,IF(Atletas!L80="Dishuquan C",33,IF(Atletas!L80="Dishuquan D",34,IF(Atletas!L80="Dishuquan E",35,IF(Atletas!L80="Dishuquan F",36,""))))))))))))))))))))))))))))))))))))))</f>
        <v/>
      </c>
      <c r="BS89" s="50" t="str">
        <f>IF(Atletas!M80="","",IF(Atletas!X80&lt;&gt;"",10000,0)+(IF(Atletas!B80="Feminino",1000,IF(Atletas!B80="Masculino",2000,""))+(IF(Atletas!M80="Chaquan A",101,IF(Atletas!M80="Emeiquan A",102,IF(Atletas!M80="Fanziquan A",103,IF(Atletas!M80="Huaquan A",104,IF(Atletas!M80="Hongquan A",105,IF(Atletas!M80="Paoquan A",106,IF(Atletas!M80="Piguaquan A",107,IF(Atletas!M80="Shaolinquan A",108,IF(Atletas!M80="Tanglangquan A",109,IF(Atletas!M80="Yingzhaoquan A",110,IF(Atletas!M80="Tongbeiquan A",111,IF(Atletas!M80="Wudangquan A",112,IF(Atletas!M80="Outros Estilos A",113,IF(Atletas!M80="Chaquan B",114,IF(Atletas!M80="Emeiquan B",115,IF(Atletas!M80="Fanziquan B",116,IF(Atletas!M80="Huaquan B",117,IF(Atletas!M80="Hongquan B",118,IF(Atletas!M80="Paoquan B",119,IF(Atletas!M80="Piguaquan B",120,IF(Atletas!M80="Shaolinquan B",121,IF(Atletas!M80="Tanglangquan B",122,IF(Atletas!M80="Yingzhaoquan B",123,IF(Atletas!M80="Tongbeiquan B",124,IF(Atletas!M80="Wudangquan B",125,IF(Atletas!M80="Outros Estilos B",126,IF(Atletas!M80="Chaquan C",127,IF(Atletas!M80="Emeiquan C",128,IF(Atletas!M80="Fanziquan C",129,IF(Atletas!M80="Huaquan C",130,IF(Atletas!M80="Hongquan C",131,IF(Atletas!M80="Paoquan C",132,IF(Atletas!M80="Piguaquan C",133,IF(Atletas!M80="Shaolinquan C",134,IF(Atletas!M80="Tanglangquan C",135,IF(Atletas!M80="Yingzhaoquan C",136,IF(Atletas!M80="Tongbeiquan C",137,IF(Atletas!M80="Wudangquan C",138,IF(Atletas!M80="Outros Estilos C",139,0))))))))))))))))))))))))))))))))))))))))))</f>
        <v/>
      </c>
      <c r="BT89" s="50" t="str">
        <f>IF(Atletas!M80="","",IF(Atletas!X80&lt;&gt;"",10000,0)+(IF(Atletas!B80="Feminino",1000,IF(Atletas!B80="Masculino",2000,""))+(IF(Atletas!M80="Chaquan D",140,IF(Atletas!M80="Emeiquan D",141,IF(Atletas!M80="Fanziquan D",142,IF(Atletas!M80="Huaquan D",143,IF(Atletas!M80="Hongquan D",144,IF(Atletas!M80="Paoquan D",145,IF(Atletas!M80="Piguaquan D",146,IF(Atletas!M80="Shaolinquan D",147,IF(Atletas!M80="Tanglangquan D",148,IF(Atletas!M80="Yingzhaoquan D",149,IF(Atletas!M80="Tongbeiquan D",150,IF(Atletas!M80="Wudangquan D",151,IF(Atletas!M80="Outros Estilos D",152,IF(Atletas!M80="Chaquan E",153,IF(Atletas!M80="Emeiquan E",154,IF(Atletas!M80="Fanziquan E",155,IF(Atletas!M80="Huaquan E",156,IF(Atletas!M80="Hongquan E",157,IF(Atletas!M80="Paoquan E",158,IF(Atletas!M80="Piguaquan E",159,IF(Atletas!M80="Shaolinquan E",160,IF(Atletas!M80="Tanglangquan E",161,IF(Atletas!M80="Yingzhaoquan E",162,IF(Atletas!M80="Tongbeiquan E",163,IF(Atletas!M80="Wudangquan E",164,IF(Atletas!M80="Outros Estilos E",165,IF(Atletas!M80="Chaquan F",166,IF(Atletas!M80="Emeiquan F",167,IF(Atletas!M80="Fanziquan F",168,IF(Atletas!M80="Huaquan F",169,IF(Atletas!M80="Hongquan F",170,IF(Atletas!M80="Paoquan F",171,IF(Atletas!M80="Piguaquan F",172,IF(Atletas!M80="Shaolinquan F",173,IF(Atletas!M80="Tanglangquan F",174,IF(Atletas!M80="Yingzhaoquan F",175,IF(Atletas!M80="Tongbeiquan F",176,IF(Atletas!M80="Wudangquan F",177,IF(Atletas!M80="Outros Estilos F",178,0))))))))))))))))))))))))))))))))))))))))))</f>
        <v/>
      </c>
      <c r="BU89" s="50" t="str">
        <f>IF(Atletas!N80="","",IF(Atletas!X80&lt;&gt;"",10000,0)+(IF(Atletas!B80="Feminino",1000,IF(Atletas!B80="Masculino",2000,""))+(IF(Atletas!N80="Ditangquan A",201,IF(Atletas!N80="Houquan A",202,IF(Atletas!N80="Zuiquan A",203,IF(Atletas!N80="Ditangquan B",204,IF(Atletas!N80="Houquan B",205,IF(Atletas!N80="Zuiquan B",206,IF(Atletas!N80="Ditangquan C",207,IF(Atletas!N80="Houquan C",208,IF(Atletas!N80="Zuiquan C",209,IF(Atletas!N80="Ditangquan D",210,IF(Atletas!N80="Houquan D",211,IF(Atletas!N80="Zuiquan D",212,IF(Atletas!N80="Ditangquan E",213,IF(Atletas!N80="Houquan E",214,IF(Atletas!N80="Zuiquan E",215,IF(Atletas!N80="Ditangquan F",216,IF(Atletas!N80="Houquan F",217,IF(Atletas!N80="Zuiquan F",218,"")))))))))))))))))))))</f>
        <v/>
      </c>
      <c r="BV89" s="50" t="str">
        <f>IF(Atletas!O80="","",IF(Atletas!X80&lt;&gt;"",10000,0)+IF(Atletas!B80="Feminino",1000,IF(Atletas!B80="Masculino",2000,""))+IF(Atletas!O80="Yang A",301,IF(Atletas!O80="Chen A",302,IF(Atletas!O80="Sun A",303,IF(Atletas!O80="Wu A",304,IF(Atletas!O80="Wu-Hao A",305,IF(Atletas!O80="Outro Taijiquan A",306,IF(Atletas!O80="Yang B",307,IF(Atletas!O80="Chen B",308,IF(Atletas!O80="Sun B",309,IF(Atletas!O80="Wu B",310,IF(Atletas!O80="Wu-Hao B",311,IF(Atletas!O80="Outro Taijiquan B",312,IF(Atletas!O80="Yang C",313,IF(Atletas!O80="Chen C",314,IF(Atletas!O80="Sun C",315,IF(Atletas!O80="Wu C",316,IF(Atletas!O80="Wu-Hao C",317,IF(Atletas!O80="Outro Taijiquan C",318,IF(Atletas!O80="Yang D",319,IF(Atletas!O80="Chen D",320,IF(Atletas!O80="Sun D",321,IF(Atletas!O80="Wu D",322,IF(Atletas!O80="Wu-Hao D",323,IF(Atletas!O80="Outro Taijiquan D",324,IF(Atletas!O80="Yang E",325,IF(Atletas!O80="Chen E",326,IF(Atletas!O80="Sun E",327,IF(Atletas!O80="Wu E",328,IF(Atletas!O80="Wu-Hao E",329,IF(Atletas!O80="Outro Taijiquan E",330,IF(Atletas!O80="Yang F",331,IF(Atletas!O80="Chen F",332,IF(Atletas!O80="Sun F",333,IF(Atletas!O80="Wu F",334,IF(Atletas!O80="Wu-Hao F",335,IF(Atletas!O80="Outro Taijiquan F",336,"")))))))))))))))))))))))))))))))))))))</f>
        <v/>
      </c>
      <c r="BW89" s="50" t="str">
        <f>IF(Atletas!P80="","",IF(Atletas!X80&lt;&gt;"",10000,0)+IF(Atletas!B80="Feminino",1000,IF(Atletas!B80="Masculino",2000,""))+IF(OR(Atletas!P80="Yang 26 A",Atletas!P80="Yang 40 A"),401,IF(OR(Atletas!P80="Chen 25 A",Atletas!P80="Chen 36 A",Atletas!P80="Chen 56 A"),402,IF(Atletas!P80="Sun 73 A",403,IF(Atletas!P80="Wu 45 A",404,IF(Atletas!P80="Wu-Hao 46 A",405,IF(OR(Atletas!P80="Taijiquan 16 A",Atletas!P80="Taijiquan 24 A",Atletas!P80="Taijiquan 32 A",Atletas!P80="Taijiquan 42 A"),406,IF(OR(Atletas!P80="Yang 26 B",Atletas!P80="Yang 40 B"),407,IF(OR(Atletas!P80="Chen 25 B",Atletas!P80="Chen 36 B",Atletas!P80="Chen 56 B"),408,IF(Atletas!P80="Sun 73 B",409,IF(Atletas!P80="Wu 45 B",410,IF(Atletas!P80="Wu-Hao 46 B",411,IF(OR(Atletas!P80="Taijiquan 16 B",Atletas!P80="Taijiquan 24 B",Atletas!P80="Taijiquan 32 B",Atletas!P80="Taijiquan 42 B"),412,IF(OR(Atletas!P80="Yang 26 C",Atletas!P80="Yang 40 C"),413,IF(OR(Atletas!P80="Chen 25 C",Atletas!P80="Chen 36 C",Atletas!P80="Chen 56 C"),414,IF(Atletas!P80="Sun 73 C",415,IF(Atletas!P80="Wu 45 C",416,IF(Atletas!P80="Wu-Hao 46 C",417,IF(OR(Atletas!P80="Taijiquan 16 C",Atletas!P80="Taijiquan 24 C",Atletas!P80="Taijiquan 32 C",Atletas!P80="Taijiquan 42 C"),418,0)))))))))))))))))))</f>
        <v/>
      </c>
      <c r="BX89" s="50" t="str">
        <f>IF(Atletas!P80="","",IF(Atletas!X80&lt;&gt;"",10000,0)+IF(Atletas!B80="Feminino",1000,IF(Atletas!B80="Masculino",2000,""))+IF(OR(Atletas!P80="Yang 26 D",Atletas!P80="Yang 40 D"),419,IF(OR(Atletas!P80="Chen 25 D",Atletas!P80="Chen 36 D",Atletas!P80="Chen 56 D"),420,IF(Atletas!P80="Sun 73 D",421,IF(Atletas!P80="Wu 45 D",422,IF(Atletas!P80="Wu-Hao 46 D",423,IF(OR(Atletas!P80="Taijiquan 16 D",Atletas!P80="Taijiquan 24 D",Atletas!P80="Taijiquan 32 D",Atletas!P80="Taijiquan 42 D"),424,IF(OR(Atletas!P80="Yang 26 E",Atletas!P80="Yang 40 E"),425,IF(OR(Atletas!P80="Chen 25 E",Atletas!P80="Chen 36 E",Atletas!P80="Chen 56 E"),426,IF(Atletas!P80="Sun 73 E",427,IF(Atletas!P80="Wu 45 E",428,IF(Atletas!P80="Wu-Hao 46 E",429,IF(OR(Atletas!P80="Taijiquan 16 E",Atletas!P80="Taijiquan 24 E",Atletas!P80="Taijiquan 32 E",Atletas!P80="Taijiquan 42 E"),430,IF(OR(Atletas!P80="Yang 26 F",Atletas!P80="Yang 40 F"),431,IF(OR(Atletas!P80="Chen 25 F",Atletas!P80="Chen 36 F",Atletas!P80="Chen 56 F"),432,IF(Atletas!P80="Sun 73 F",433,IF(Atletas!P80="Wu 45 F",434,IF(Atletas!P80="Wu-Hao 46 F",435,IF(OR(Atletas!P80="Taijiquan 16 F",Atletas!P80="Taijiquan 24 F",Atletas!P80="Taijiquan 32 F",Atletas!P80="Taijiquan 42 F"),436,0)))))))))))))))))))</f>
        <v/>
      </c>
      <c r="BY89" s="50" t="str">
        <f>IF(Atletas!Q80="","",IF(Atletas!X80&lt;&gt;"",10000,0)+IF(Atletas!B80="Feminino",1000,IF(Atletas!B80="Masculino",2000,""))+IF(Atletas!Q80="Xingyiquan A",501,IF(Atletas!Q80="Baguazhang A",502,IF(Atletas!Q80="Outro Estilo Interno A",503,IF(Atletas!Q80="Xingyiquan B",504,IF(Atletas!Q80="Baguazhang B",505,IF(Atletas!Q80="Outro Estilo Interno B",506,IF(Atletas!Q80="Xingyiquan C",507,IF(Atletas!Q80="Baguazhang C",508,IF(Atletas!Q80="Outro Estilo Interno C",509,IF(Atletas!Q80="Xingyiquan D",510,IF(Atletas!Q80="Baguazhang D",511,IF(Atletas!Q80="Outro Estilo Interno D",512,IF(Atletas!Q80="Xingyiquan E",513,IF(Atletas!Q80="Baguazhang E",514,IF(Atletas!Q80="Outro Estilo Interno E",515,IF(Atletas!Q80="Xingyiquan F",516,IF(Atletas!Q80="Baguazhang F",517,IF(Atletas!Q80="Outro Estilo Interno F",518, "")))))))))))))))))))</f>
        <v/>
      </c>
      <c r="BZ89" s="50" t="str">
        <f>IF(Atletas!R80="","",IF(Atletas!X80&lt;&gt;"",10000,0)+IF(Atletas!B80="Feminino",1000,IF(Atletas!B80="Masculino",2000,""))+IF(Atletas!R80="Dao A",601,IF(Atletas!R80="Jian A",602,IF(Atletas!R80="Bishou A",603,IF(Atletas!R80="Shanzi A",604,IF(Atletas!R80="Outra Arma Curta A",605,IF(Atletas!R80="Dao B",606,IF(Atletas!R80="Jian B",607,IF(Atletas!R80="Bishou B",608,IF(Atletas!R80="Shanzi B",609,IF(Atletas!R80="Outra Arma Curta B",610,IF(Atletas!R80="Dao C",611,IF(Atletas!R80="Jian C",612,IF(Atletas!R80="Bishou C",613,IF(Atletas!R80="Shanzi C",614,IF(Atletas!R80="Outra Arma Curta C",615,IF(Atletas!R80="Dao D",616,IF(Atletas!R80="Jian D",617,IF(Atletas!R80="Bishou D",618,IF(Atletas!R80="Shanzi D",619,IF(Atletas!R80="Outra Arma Curta D",620,IF(Atletas!R80="Dao E",621,IF(Atletas!R80="Jian E",622,IF(Atletas!R80="Bishou E",623,IF(Atletas!R80="Shanzi E",624,IF(Atletas!R80="Outra Arma Curta E",625,IF(Atletas!R80="Dao F",626,IF(Atletas!R80="Jian F",627,IF(Atletas!R80="Bishou F",628,IF(Atletas!R80="Shanzi F",629,IF(Atletas!R80="Outra Arma Curta F",630, "")))))))))))))))))))))))))))))))</f>
        <v/>
      </c>
      <c r="CA89" s="50" t="str">
        <f>IF(Atletas!S80="","",IF(Atletas!X80&lt;&gt;"",10000,0)+IF(Atletas!B80="Feminino",1000,IF(Atletas!B80="Masculino",2000,""))+IF(Atletas!S80="Gun A",701,IF(Atletas!S80="Qiang A",702,IF(Atletas!S80="Pudao / Guandao A",703,IF(Atletas!S80="Outra Arma Longa A",704,IF(Atletas!S80="Gun B",705,IF(Atletas!S80="Qiang B",706,IF(Atletas!S80="Pudao / Guandao B",707,IF(Atletas!S80="Outra Arma Longa B",708,IF(Atletas!S80="Gun C",709,IF(Atletas!S80="Qiang C",710,IF(Atletas!S80="Pudao / Guandao C",711,IF(Atletas!S80="Outra Arma Longa C",712,IF(Atletas!S80="Gun D",713,IF(Atletas!S80="Qiang D",714,IF(Atletas!S80="Pudao / Guandao D",715,IF(Atletas!S80="Outra Arma Longa D",716,IF(Atletas!S80="Gun E",717,IF(Atletas!S80="Qiang E",718,IF(Atletas!S80="Pudao / Guandao E",719,IF(Atletas!S80="Outra Arma Longa E",720,IF(Atletas!S80="Gun F",721,IF(Atletas!S80="Qiang F",722,IF(Atletas!S80="Pudao / Guandao F",723,IF(Atletas!S80="Outra Arma Longa F",724,"")))))))))))))))))))))))))</f>
        <v/>
      </c>
      <c r="CB89" s="50" t="str">
        <f>IF(Atletas!T80="","",IF(Atletas!X80&lt;&gt;"",10000,0)+IF(Atletas!B80="Feminino",1000,IF(Atletas!B80="Masculino",2000,""))+IF(Atletas!T80="Outra Arma Dupla A",801,IF(Atletas!T80="Arma Maleável A",802,IF(Atletas!T80="Outra Arma Dupla B",803,IF(Atletas!T80="Arma Maleável B",804,IF(Atletas!T80="Outra Arma Dupla C",805,IF(Atletas!T80="Arma Maleável C",806,IF(Atletas!T80="Outra Arma Dupla D",807,IF(Atletas!T80="Arma Maleável D",808,IF(Atletas!T80="Outra Arma Dupla E",809,IF(Atletas!T80="Arma Maleável E",810,IF(Atletas!T80="Outra Arma Dupla F",811,IF(Atletas!T80="Arma Maleável F",812,IF(Atletas!T80="Shuangdao A",813,IF(Atletas!T80="Shuangdao B",814,IF(Atletas!T80="Shuangdao C",815,IF(Atletas!T80="Shuangdao D",816,IF(Atletas!T80="Shuangdao E",817,IF(Atletas!T80="Shuangdao F",818,"")))))))))))))))))))</f>
        <v/>
      </c>
      <c r="CC89" s="50" t="str">
        <f>IF(Atletas!U80="","",IF(Atletas!X80&lt;&gt;"",10000,0)+IF(Atletas!B80="Feminino",1000,IF(Atletas!B80="Masculino",2000,""))+IF(OR(Atletas!U80="Taijijian Yang A",Atletas!U80="Taijijian Yang Standard A"),901,IF(OR(Atletas!U80="Taijijian Chen A", Atletas!U80="Taijijian Chen Standard A"),902,IF(Atletas!U80="Taijijian Sun A",903,IF(Atletas!U80="Taijijian Wu A",904,IF(Atletas!U80="Taijijian Wu-Hao A",905,IF(OR(Atletas!U80="Taijijian 32 A",Atletas!U80="Taijijian 42 A"),906,IF(OR(Atletas!U80="Taijijian Yang B",Atletas!U80="Taijijian Yang Standard B"),907,IF(OR(Atletas!U80="Taijijian Chen B", Atletas!U80="Taijijian Chen Standard B"),908,IF(Atletas!U80="Taijijian Sun B",909,IF(Atletas!U80="Taijijian Wu B",910,IF(Atletas!U80="Taijijian Wu-Hao B",911,IF(OR(Atletas!U80="Taijijian 32 B",Atletas!U80="Taijijian 42 B"),912,IF(OR(Atletas!U80="Taijijian Yang C",Atletas!U80="Taijijian Yang Standard C"),913,IF(OR(Atletas!U80="Taijijian Chen C", Atletas!U80="Taijijian Chen Standard C"),914,IF(Atletas!U80="Taijijian Sun C",915,IF(Atletas!U80="Taijijian Wu C",916,IF(Atletas!U80="Taijijian Wu-Hao C",917,IF(OR(Atletas!U80="Taijijian 32 C",Atletas!U80="Taijijian 42 C"),918,IF(OR(Atletas!U80="Taijijian Yang D",Atletas!U80="Taijijian Yang Standard D"),919,IF(OR(Atletas!U80="Taijijian Chen D", Atletas!U80="Taijijian Chen Standard D"),920,IF(Atletas!U80="Taijijian Sun D",921,IF(Atletas!U80="Taijijian Wu D",922,IF(Atletas!U80="Taijijian Wu-Hao D",923,IF(OR(Atletas!U80="Taijijian 32 D",Atletas!U80="Taijijian 42 D"),924,IF(OR(Atletas!U80="Taijijian Yang E",Atletas!U80="Taijijian Yang Standard E"),925,IF(OR(Atletas!U80="Taijijian Chen E", Atletas!U80="Taijijian Chen Standard E"),926,IF(Atletas!U80="Taijijian Sun E",927,IF(Atletas!U80="Taijijian Wu E",928,IF(Atletas!U80="Taijijian Wu-Hao E",929,IF(OR(Atletas!U80="Taijijian 32 E",Atletas!U80="Taijijian 42 E"),930,IF(OR(Atletas!U80="Taijijian Yang F",Atletas!U80="Taijijian Yang Standard F"),931,IF(OR(Atletas!U80="Taijijian Chen F", Atletas!U80="Taijijian Chen Standard F"),932,IF(Atletas!U80="Taijijian Sun F",933,IF(Atletas!U80="Taijijian Wu F",934,IF(Atletas!U80="Taijijian Wu-Hao F",935,IF(OR(Atletas!U80="Taijijian 32 F",Atletas!U80="Taijijian 42 F"),936,"")))))))))))))))))))))))))))))))))))))</f>
        <v/>
      </c>
      <c r="CD89" s="50" t="str">
        <f>IF(Atletas!V80="","",IF(Atletas!X80&lt;&gt;"",10000,0)+IF(Atletas!B80="Feminino",1000,IF(Atletas!B80="Masculino",2000,""))+IF(Atletas!V80="Taijidao A",937,IF(Atletas!V80="TaijiShanzi A",938,IF(Atletas!V80="Taijiqiang A",939,IF(Atletas!V80="Bagua de Arma A",940,IF(Atletas!V80="Xingyi de Arma A",941,IF(Atletas!V80="Taijidao B",942,IF(Atletas!V80="TaijiShanzi B",943,IF(Atletas!V80="Taijiqiang B",944,IF(Atletas!V80="Bagua de Arma B",945,IF(Atletas!V80="Xingyi de Arma B",946,IF(Atletas!V80="Taijidao C",947,IF(Atletas!V80="TaijiShanzi C",948,IF(Atletas!V80="Taijiqiang C",949,IF(Atletas!V80="Bagua de Arma C",950,IF(Atletas!V80="Xingyi de Arma C",951,IF(Atletas!V80="Taijidao D",952,IF(Atletas!V80="TaijiShanzi D",953,IF(Atletas!V80="Taijiqiang D",954,IF(Atletas!V80="Bagua de Arma D",955,IF(Atletas!V80="Xingyi de Arma D",956,IF(Atletas!V80="Taijidao E",957,IF(Atletas!V80="TaijiShanzi E",958,IF(Atletas!V80="Taijiqiang E",959,IF(Atletas!V80="Bagua de Arma E",960,IF(Atletas!V80="Xingyi de Arma E",961,IF(Atletas!V80="Taijidao F",962,IF(Atletas!V80="TaijiShanzi F",963,IF(Atletas!V80="Taijiqiang F",964,IF(Atletas!V80="Bagua de Arma F",965,IF(Atletas!V80="Xingyi de Arma F",966,"")))))))))))))))))))))))))))))))</f>
        <v/>
      </c>
      <c r="CE89" s="66" t="str">
        <f>IF(CF89&lt;&gt;"","Shaolinquan D","")</f>
        <v/>
      </c>
      <c r="CF89" s="66" t="str">
        <f>IF(COUNTIF(BR:CD,1147)&gt;0,COUNTIF(BR:CD,1147),"")</f>
        <v/>
      </c>
      <c r="CG89" s="66" t="str">
        <f>IF(CH89&lt;&gt;"","Shaolinquan D","")</f>
        <v/>
      </c>
      <c r="CH89" s="66" t="str">
        <f>IF(COUNTIF(BR:CD,2147)&gt;0,COUNTIF(BR:CD,2147),"")</f>
        <v/>
      </c>
      <c r="CI89" s="66" t="str">
        <f>IF(CJ89&lt;&gt;"","Chaquan E","")</f>
        <v/>
      </c>
      <c r="CJ89" s="66" t="str">
        <f>IF(COUNTIF(BR:CD,11153)&gt;0,COUNTIF(BR:CD,11153),"")</f>
        <v/>
      </c>
      <c r="CK89" s="66" t="str">
        <f>IF(CL89&lt;&gt;"","Chaquan E","")</f>
        <v/>
      </c>
      <c r="CL89" s="66" t="str">
        <f>IF(COUNTIF(BR:CD,12153)&gt;0,COUNTIF(BR:CD,12153),"")</f>
        <v/>
      </c>
      <c r="CM89" s="50" t="str">
        <f xml:space="preserve"> IF(Atletas!W80="","",IF(Atletas!W80="Duilian de Mãos BC - Equipe 1",1,IF(Atletas!W80="Duilian de Mãos BC - Equipe 2",2,IF(Atletas!W80="Duilian de Armas BC - Equipe 1",3,IF(Atletas!W80="Duilian de Armas BC - Equipe 2",4,IF(Atletas!W80="Duilian de Mãos DE - Equipe 1",5,IF(Atletas!W80="Duilian de Mãos DE - Equipe 2",6,IF(Atletas!W80="Duilian de Armas DE - Equipe 1",7,IF(Atletas!W80="Duilian de Armas DE - Equipe 2",8,IF(Atletas!W80="Duilian de Tuishou - Equipe 1",9,IF(Atletas!W80="Duilian de Tuishou - Equipe 2",10,IF(Atletas!W80="Grupo Externo ABC - Equipe 1",11,IF(Atletas!W80="Grupo Externo ABC - Equipe 2",12,IF(Atletas!W80="Grupo Interno ABC - Equipe 1",13,IF(Atletas!W80="Grupo Interno ABC - Equipe 2",14,IF(Atletas!W80="Grupo Externo DEF - Equipe 1",15,IF(Atletas!W80="Grupo Externo DEF - Equipe 2",16,IF(Atletas!W80="Grupo Interno DEF - Equipe 1",17,IF(Atletas!W80="Grupo Interno DEF - Equipe 2",18,"")))))))))))))))))))</f>
        <v/>
      </c>
    </row>
    <row r="90" spans="2:91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20"/>
      <c r="Y90" s="3"/>
      <c r="Z90" s="3" t="str">
        <f t="array" ref="Z90">IFERROR(INDEX(CE$7:CE$348,SMALL(IF(CE$7:CE$348&lt;&gt;"",ROW(CE$7:CE$348)-ROW(CE$7)+1),ROWS(CE$7:CE89))),"")</f>
        <v/>
      </c>
      <c r="AA90" s="3" t="str">
        <f t="array" ref="AA90">IFERROR(INDEX(CF$7:CF$348,SMALL(IF(CF$7:CF$348&lt;&gt;"",ROW(CF$7:CF$348)-ROW(CF$7)+1),ROWS(CF$7:CF89))),"")</f>
        <v/>
      </c>
      <c r="AB90" s="3" t="str">
        <f t="array" ref="AB90">IFERROR(INDEX(CG$7:CG$348,SMALL(IF(CG$7:CG$348&lt;&gt;"",ROW(CG$7:CG$348)-ROW(CG$7)+1),ROWS(CG$7:CG89))),"")</f>
        <v/>
      </c>
      <c r="AC90" s="3" t="str">
        <f t="array" ref="AC90">IFERROR(INDEX(CH$7:CH$348,SMALL(IF(CH$7:CH$348&lt;&gt;"",ROW(CH$7:CH$348)-ROW(CH$7)+1),ROWS(CH$7:CH89))),"")</f>
        <v/>
      </c>
      <c r="AD90" s="3" t="str">
        <f t="array" ref="AD90">IFERROR(INDEX(CI$7:CI$377,SMALL(IF(CI$7:CI$377&lt;&gt;"",ROW(CI$7:CI$377)-ROW(CI$7)+1),ROWS(CI$7:CI89))),"")</f>
        <v/>
      </c>
      <c r="AE90" s="3" t="str">
        <f t="array" ref="AE90">IFERROR(INDEX(CJ$7:CJ$378,SMALL(IF(CJ$7:CJ$378&lt;&gt;"",ROW(CJ$7:CJ$378)-ROW(CJ$7)+1),ROWS(CJ$7:CJ89))),"")</f>
        <v/>
      </c>
      <c r="AF90" s="3" t="str">
        <f t="array" ref="AF90">IFERROR(INDEX(CK$7:CK$378,SMALL(IF(CK$7:CK$378&lt;&gt;"",ROW(CK$7:CK$378)-ROW(CK$7)+1),ROWS(CK$7:CK89))),"")</f>
        <v/>
      </c>
      <c r="AG90" s="3" t="str">
        <f t="array" ref="AG90">IFERROR(INDEX(CL$7:CL$378,SMALL(IF(CL$7:CL$378&lt;&gt;"",ROW(CL$7:CL$378)-ROW(CL$7)+1),ROWS(CL$7:CL89))),"")</f>
        <v/>
      </c>
      <c r="AH90" s="3"/>
      <c r="AI90" s="3"/>
      <c r="AJ90" s="3"/>
      <c r="AK90" s="3"/>
      <c r="AL90" s="3"/>
      <c r="AM90" s="3"/>
      <c r="AN90" s="52" t="str">
        <f>IF(Atletas!D81="","",IF(Atletas!B81="Feminino",100,IF(Atletas!B81="Masculino",200,""))+(IF(Atletas!D81="Kids 30kg",1,IF(Atletas!D81="Kids 32kg",2, IF(Atletas!D81="Kids 34kg",3,IF(Atletas!D81="Kids 36kg",4,IF(Atletas!D81="Kids 39kg",5,IF(Atletas!D81="Kids 42kg",6,IF(Atletas!D81="Kids 45kg",7, IF(Atletas!D81="Infantil 39kg",8,IF(Atletas!D81="Infantil 42kg",9,IF(Atletas!D81="Infantil 45kg",10,IF(Atletas!D81="Infantil 48kg",11,IF(Atletas!D81="Infantil 52kg",12,IF(Atletas!D81="Infantil 56kg",13,IF(Atletas!D81="Infantil 60kg",14,IF(Atletas!D81="Juvenil 48kg",15,IF(Atletas!D81="Juvenil 52kg",16,IF(Atletas!D81="Juvenil 56kg",17,IF(Atletas!D81="Juvenil 60kg",18,IF(Atletas!D81="Juvenil 65kg",19,IF(Atletas!D81="Juvenil 70kg",20,IF(Atletas!D81="Juvenil 75kg",21,IF(Atletas!D81="Juvenil 80kg",22, IF(Atletas!D81="Juvenil 85kg",23,IF(Atletas!D81="Adulto 48kg",24,IF(Atletas!D81="Adulto 52kg",25,IF(Atletas!D81="Adulto 56kg",26,IF(Atletas!D81="Adulto 60kg",27,IF(Atletas!D81="Adulto 65kg",28,IF(Atletas!D81="Adulto 70kg",29,IF(Atletas!D81="Adulto 75kg",30,IF(Atletas!D81="Adulto 80kg",31,IF(Atletas!D81="Adulto 85kg",32,IF(Atletas!D81="Adulto 90kg",33,IF(Atletas!D81="Adulto 100kg",34, IF(Atletas!D81="Adulto +100kg",35,"")))))))))))))))))))))))))))))))))))))</f>
        <v/>
      </c>
      <c r="AS90" s="6" t="str">
        <f>IF(Atletas!E81="","",IF(Atletas!B81="Feminino",100,IF(Atletas!B81="Masculino",200,""))+(IF(Atletas!E81="Juvenil 44kg",1,IF(Atletas!E81="Juvenil 48kg",2,IF(Atletas!E81="Juvenil 52kg",3,IF(Atletas!E81="Juvenil 56kg",4,IF(Atletas!E81="Juvenil 60kg",5,IF(Atletas!E81="Juvenil 65kg",6,IF(Atletas!E81="Juvenil 70kg",7,IF(Atletas!E81="Juvenil 75kg",8,IF(Atletas!E81="Juvenil 82kg",9,IF(Atletas!E81="Juvenil 90kg",10,IF(Atletas!E81="Juvenil 100kg",11,IF(Atletas!E81="Adulto 48kg",12,IF(Atletas!E81="Adulto 52kg",13,IF(Atletas!E81="Adulto 56kg",14,IF(Atletas!E81="Adulto 60kg",15,IF(Atletas!E81="Adulto 65kg",16,IF(Atletas!E81="Adulto 70kg",17,IF(Atletas!E81="Adulto 75kg",18,IF(Atletas!E81="Adulto 82kg",19,IF(Atletas!E81="Adulto 90kg",20,IF(Atletas!E81="Adulto 100kg",21,IF(Atletas!E81="Adulto +100kg",22,""))))))))))))))))))))))))</f>
        <v/>
      </c>
      <c r="AX90" s="6" t="str">
        <f>IF(Atletas!F81="","",IF(Atletas!B81="Feminino",100,IF(Atletas!B81="Masculino",200,""))+(IF(Atletas!F81="Adulto 48kg",1,IF(Atletas!F81="Adulto 56kg",2,IF(Atletas!F81="Adulto 65kg",3,IF(Atletas!F81="Adulto 75kg",4,IF(Atletas!F81="Adulto +75kg",5,IF(Atletas!F81="Adulto 52kg",6,IF(Atletas!F81="Adulto 60kg",7,IF(Atletas!F81="Adulto 70kg",8,IF(Atletas!F81="Adulto 80kg",9,IF(Atletas!F81="Adulto 90kg",10,IF(Atletas!F81="Adulto +90kg",11,"")))))))))))))</f>
        <v/>
      </c>
      <c r="BC90" s="6" t="str">
        <f>IF(Atletas!G81="","",IF(Atletas!B81="Feminino",10,IF(Atletas!B81="Masculino",20,""))+(IF(Atletas!G81="Baduanjin A",1,IF(Atletas!G81="Baduanjin B",2))))</f>
        <v/>
      </c>
      <c r="BF90" s="52" t="str">
        <f>IF(Atletas!H81="","",IF(Atletas!B81="Feminino",100,IF(Atletas!B81="Masculino",200,""))+(IF(Atletas!H81="Changquan Mirim",1,IF(Atletas!H81="Nanquan Mirim",2,IF(Atletas!H81="Taijiquan Mirim",3,IF(Atletas!H81="Changquan Grupo C",4,IF(Atletas!H81="Nanquan Grupo C",5,IF(Atletas!H81="Taijiquan Grupo C",6,IF(Atletas!H81="Changquan Grupo B",7,IF(Atletas!H81="Nanquan Grupo B",8,IF(Atletas!H81="Taijiquan Grupo B",9,IF(Atletas!H81="Changquan Grupo A",10,IF(Atletas!H81="Nanquan Grupo A",11,IF(Atletas!H81="Taijiquan Grupo A",12,IF(Atletas!H81="Changquan Opcional",13,IF(Atletas!H81="Nanquan Opcional",14,IF(Atletas!H81="Taijiquan Opcional",15,IF(Atletas!H81="Changquan Adulto",16,IF(Atletas!H81="Nanquan Adulto",17,IF(Atletas!H81="Taijiquan Adulto",18,""))))))))))))))))))))</f>
        <v/>
      </c>
      <c r="BG90" s="52" t="str">
        <f>IF(Atletas!I81="","",IF(Atletas!B81="Feminino",100,IF(Atletas!B81="Masculino",200,""))+(IF(Atletas!I81="Daoshu Mirim",19,IF(Atletas!I81="Jianshu Mirim",20,IF(Atletas!I81="Nandao Mirim",21,IF(Atletas!I81="Taijijian Mirim",22,IF(Atletas!I81="Daoshu Grupo C",23,IF(Atletas!I81="Jianshu Grupo C",24,IF(Atletas!I81="Nandao Grupo C",25,IF(Atletas!I81="Taijijian Grupo C",26,IF(Atletas!I81="Daoshu Grupo B",27,IF(Atletas!I81="Jianshu Grupo B",28,IF(Atletas!I81="Nandao Grupo B",29,IF(Atletas!I81="Taijijian Grupo B",30,IF(Atletas!I81="Daoshu Grupo A",31,IF(Atletas!I81="Jianshu Grupo A",32,IF(Atletas!I81="Nandao Grupo A",33,IF(Atletas!I81="Taijijian Grupo A",34,IF(Atletas!I81="Daoshu Opcional",35,IF(Atletas!I81="Jianshu Opcional",36,IF(Atletas!I81="Nandao Opcional",37,IF(Atletas!I81="Taijijian Opcional",38,IF(Atletas!I81="Daoshu Adulto",39,IF(Atletas!I81="Jianshu Adulto",40,IF(Atletas!I81="Nandao Adulto",41,IF(Atletas!I81="Taijijian Adulto",42,""))))))))))))))))))))))))))</f>
        <v/>
      </c>
      <c r="BH90" s="52" t="str">
        <f>IF(Atletas!J81="","",IF(Atletas!B81="Feminino",100,IF(Atletas!B81="Masculino",200,""))+(IF(Atletas!J81="Gunshu Mirim",43,IF(Atletas!J81="Qiangshu Mirim",44,IF(Atletas!J81="Nangun Mirim",45,IF(Atletas!J81="Gunshu Grupo C",46,IF(Atletas!J81="Qiangshu Grupo C",47,IF(Atletas!J81="Nangun Grupo C",48,IF(Atletas!J81="Gunshu Grupo B",49,IF(Atletas!J81="Qiangshu Grupo B",50,IF(Atletas!J81="Nangun Grupo B",51,IF(Atletas!J81="Gunshu Grupo A",52,IF(Atletas!J81="Qiangshu Grupo A",53,IF(Atletas!J81="Nangun Grupo A",54,IF(Atletas!J81="Gunshu Opcional",55,IF(Atletas!J81="Qiangshu Opcional",56,IF(Atletas!J81="Nangun Opcional",57,IF(Atletas!J81="Gunshu Adulto",58,IF(Atletas!J81="Qiangshu Adulto",59,IF(Atletas!J81="Nangun Adulto",60,IF(Atletas!J81="Taijishan Grupo B",61,IF(Atletas!J81="Taijishan Grupo A",62,""))))))))))))))))))))))</f>
        <v/>
      </c>
      <c r="BM90" s="50" t="str">
        <f>IF(Atletas!K81="","",IF(Atletas!B81="Feminino",100,IF(Atletas!B81="Masculino",200,""))+(IF(Atletas!K81="Equipe 1 Grupo B",1,IF(Atletas!K81="Equipe 2 Grupo B",2,IF(Atletas!K81="Equipe 1 Grupo A",3,IF(Atletas!K81="Equipe 2 Grupo A",4,IF(Atletas!K81="Equipe 1 Adulto",5,IF(Atletas!K81="Equipe 2 Adulto",6,""))))))))</f>
        <v/>
      </c>
      <c r="BR90" s="50" t="str">
        <f>IF(Atletas!L81="","",IF(Atletas!X81&lt;&gt;"",10000,0)+(IF(Atletas!B81="Feminino",1000,IF(Atletas!B81="Masculino",2000,""))+IF(Atletas!L81="Choylayfut A",1,IF(Atletas!L81="Hunggar A",2,IF(Atletas!L81="Wuzuquan A",3,IF(Atletas!L81="Wingchun A",4,IF(Atletas!L81="Outra Mão de Sul A",5,IF(Atletas!L81="Choylayfut B",6,IF(Atletas!L81="Hunggar B",7,IF(Atletas!L81="Wuzuquan B",8,IF(Atletas!L81="Wingchun B",9,IF(Atletas!L81="Outra Mão de Sul B",10,IF(Atletas!L81="Choylayfut C",11,IF(Atletas!L81="Hunggar C",12,IF(Atletas!L81="Wuzuquan C",13,IF(Atletas!L81="Wingchun C",14,IF(Atletas!L81="Outra Mão de Sul C",15,IF(Atletas!L81="Choylayfut D",16,IF(Atletas!L81="Hunggar D",17,IF(Atletas!L81="Wuzuquan D",18,IF(Atletas!L81="Wingchun D",19,IF(Atletas!L81="Outra Mão de Sul D",20,IF(Atletas!L81="Choylayfut E",21,IF(Atletas!L81="Hunggar E",22,IF(Atletas!L81="Wuzuquan E",23,IF(Atletas!L81="Wingchun E",24,IF(Atletas!L81="Outra Mão de Sul E",25,IF(Atletas!L81="Choylayfut F",26,IF(Atletas!L81="Hunggar F",27,IF(Atletas!L81="Wuzuquan F",28,IF(Atletas!L81="Wingchun F",29,IF(Atletas!L81="Outra Mão de Sul F",30,IF(Atletas!L81="Dishuquan A",31,IF(Atletas!L81="Dishuquan B",32,IF(Atletas!L81="Dishuquan C",33,IF(Atletas!L81="Dishuquan D",34,IF(Atletas!L81="Dishuquan E",35,IF(Atletas!L81="Dishuquan F",36,""))))))))))))))))))))))))))))))))))))))</f>
        <v/>
      </c>
      <c r="BS90" s="50" t="str">
        <f>IF(Atletas!M81="","",IF(Atletas!X81&lt;&gt;"",10000,0)+(IF(Atletas!B81="Feminino",1000,IF(Atletas!B81="Masculino",2000,""))+(IF(Atletas!M81="Chaquan A",101,IF(Atletas!M81="Emeiquan A",102,IF(Atletas!M81="Fanziquan A",103,IF(Atletas!M81="Huaquan A",104,IF(Atletas!M81="Hongquan A",105,IF(Atletas!M81="Paoquan A",106,IF(Atletas!M81="Piguaquan A",107,IF(Atletas!M81="Shaolinquan A",108,IF(Atletas!M81="Tanglangquan A",109,IF(Atletas!M81="Yingzhaoquan A",110,IF(Atletas!M81="Tongbeiquan A",111,IF(Atletas!M81="Wudangquan A",112,IF(Atletas!M81="Outros Estilos A",113,IF(Atletas!M81="Chaquan B",114,IF(Atletas!M81="Emeiquan B",115,IF(Atletas!M81="Fanziquan B",116,IF(Atletas!M81="Huaquan B",117,IF(Atletas!M81="Hongquan B",118,IF(Atletas!M81="Paoquan B",119,IF(Atletas!M81="Piguaquan B",120,IF(Atletas!M81="Shaolinquan B",121,IF(Atletas!M81="Tanglangquan B",122,IF(Atletas!M81="Yingzhaoquan B",123,IF(Atletas!M81="Tongbeiquan B",124,IF(Atletas!M81="Wudangquan B",125,IF(Atletas!M81="Outros Estilos B",126,IF(Atletas!M81="Chaquan C",127,IF(Atletas!M81="Emeiquan C",128,IF(Atletas!M81="Fanziquan C",129,IF(Atletas!M81="Huaquan C",130,IF(Atletas!M81="Hongquan C",131,IF(Atletas!M81="Paoquan C",132,IF(Atletas!M81="Piguaquan C",133,IF(Atletas!M81="Shaolinquan C",134,IF(Atletas!M81="Tanglangquan C",135,IF(Atletas!M81="Yingzhaoquan C",136,IF(Atletas!M81="Tongbeiquan C",137,IF(Atletas!M81="Wudangquan C",138,IF(Atletas!M81="Outros Estilos C",139,0))))))))))))))))))))))))))))))))))))))))))</f>
        <v/>
      </c>
      <c r="BT90" s="50" t="str">
        <f>IF(Atletas!M81="","",IF(Atletas!X81&lt;&gt;"",10000,0)+(IF(Atletas!B81="Feminino",1000,IF(Atletas!B81="Masculino",2000,""))+(IF(Atletas!M81="Chaquan D",140,IF(Atletas!M81="Emeiquan D",141,IF(Atletas!M81="Fanziquan D",142,IF(Atletas!M81="Huaquan D",143,IF(Atletas!M81="Hongquan D",144,IF(Atletas!M81="Paoquan D",145,IF(Atletas!M81="Piguaquan D",146,IF(Atletas!M81="Shaolinquan D",147,IF(Atletas!M81="Tanglangquan D",148,IF(Atletas!M81="Yingzhaoquan D",149,IF(Atletas!M81="Tongbeiquan D",150,IF(Atletas!M81="Wudangquan D",151,IF(Atletas!M81="Outros Estilos D",152,IF(Atletas!M81="Chaquan E",153,IF(Atletas!M81="Emeiquan E",154,IF(Atletas!M81="Fanziquan E",155,IF(Atletas!M81="Huaquan E",156,IF(Atletas!M81="Hongquan E",157,IF(Atletas!M81="Paoquan E",158,IF(Atletas!M81="Piguaquan E",159,IF(Atletas!M81="Shaolinquan E",160,IF(Atletas!M81="Tanglangquan E",161,IF(Atletas!M81="Yingzhaoquan E",162,IF(Atletas!M81="Tongbeiquan E",163,IF(Atletas!M81="Wudangquan E",164,IF(Atletas!M81="Outros Estilos E",165,IF(Atletas!M81="Chaquan F",166,IF(Atletas!M81="Emeiquan F",167,IF(Atletas!M81="Fanziquan F",168,IF(Atletas!M81="Huaquan F",169,IF(Atletas!M81="Hongquan F",170,IF(Atletas!M81="Paoquan F",171,IF(Atletas!M81="Piguaquan F",172,IF(Atletas!M81="Shaolinquan F",173,IF(Atletas!M81="Tanglangquan F",174,IF(Atletas!M81="Yingzhaoquan F",175,IF(Atletas!M81="Tongbeiquan F",176,IF(Atletas!M81="Wudangquan F",177,IF(Atletas!M81="Outros Estilos F",178,0))))))))))))))))))))))))))))))))))))))))))</f>
        <v/>
      </c>
      <c r="BU90" s="50" t="str">
        <f>IF(Atletas!N81="","",IF(Atletas!X81&lt;&gt;"",10000,0)+(IF(Atletas!B81="Feminino",1000,IF(Atletas!B81="Masculino",2000,""))+(IF(Atletas!N81="Ditangquan A",201,IF(Atletas!N81="Houquan A",202,IF(Atletas!N81="Zuiquan A",203,IF(Atletas!N81="Ditangquan B",204,IF(Atletas!N81="Houquan B",205,IF(Atletas!N81="Zuiquan B",206,IF(Atletas!N81="Ditangquan C",207,IF(Atletas!N81="Houquan C",208,IF(Atletas!N81="Zuiquan C",209,IF(Atletas!N81="Ditangquan D",210,IF(Atletas!N81="Houquan D",211,IF(Atletas!N81="Zuiquan D",212,IF(Atletas!N81="Ditangquan E",213,IF(Atletas!N81="Houquan E",214,IF(Atletas!N81="Zuiquan E",215,IF(Atletas!N81="Ditangquan F",216,IF(Atletas!N81="Houquan F",217,IF(Atletas!N81="Zuiquan F",218,"")))))))))))))))))))))</f>
        <v/>
      </c>
      <c r="BV90" s="50" t="str">
        <f>IF(Atletas!O81="","",IF(Atletas!X81&lt;&gt;"",10000,0)+IF(Atletas!B81="Feminino",1000,IF(Atletas!B81="Masculino",2000,""))+IF(Atletas!O81="Yang A",301,IF(Atletas!O81="Chen A",302,IF(Atletas!O81="Sun A",303,IF(Atletas!O81="Wu A",304,IF(Atletas!O81="Wu-Hao A",305,IF(Atletas!O81="Outro Taijiquan A",306,IF(Atletas!O81="Yang B",307,IF(Atletas!O81="Chen B",308,IF(Atletas!O81="Sun B",309,IF(Atletas!O81="Wu B",310,IF(Atletas!O81="Wu-Hao B",311,IF(Atletas!O81="Outro Taijiquan B",312,IF(Atletas!O81="Yang C",313,IF(Atletas!O81="Chen C",314,IF(Atletas!O81="Sun C",315,IF(Atletas!O81="Wu C",316,IF(Atletas!O81="Wu-Hao C",317,IF(Atletas!O81="Outro Taijiquan C",318,IF(Atletas!O81="Yang D",319,IF(Atletas!O81="Chen D",320,IF(Atletas!O81="Sun D",321,IF(Atletas!O81="Wu D",322,IF(Atletas!O81="Wu-Hao D",323,IF(Atletas!O81="Outro Taijiquan D",324,IF(Atletas!O81="Yang E",325,IF(Atletas!O81="Chen E",326,IF(Atletas!O81="Sun E",327,IF(Atletas!O81="Wu E",328,IF(Atletas!O81="Wu-Hao E",329,IF(Atletas!O81="Outro Taijiquan E",330,IF(Atletas!O81="Yang F",331,IF(Atletas!O81="Chen F",332,IF(Atletas!O81="Sun F",333,IF(Atletas!O81="Wu F",334,IF(Atletas!O81="Wu-Hao F",335,IF(Atletas!O81="Outro Taijiquan F",336,"")))))))))))))))))))))))))))))))))))))</f>
        <v/>
      </c>
      <c r="BW90" s="50" t="str">
        <f>IF(Atletas!P81="","",IF(Atletas!X81&lt;&gt;"",10000,0)+IF(Atletas!B81="Feminino",1000,IF(Atletas!B81="Masculino",2000,""))+IF(OR(Atletas!P81="Yang 26 A",Atletas!P81="Yang 40 A"),401,IF(OR(Atletas!P81="Chen 25 A",Atletas!P81="Chen 36 A",Atletas!P81="Chen 56 A"),402,IF(Atletas!P81="Sun 73 A",403,IF(Atletas!P81="Wu 45 A",404,IF(Atletas!P81="Wu-Hao 46 A",405,IF(OR(Atletas!P81="Taijiquan 16 A",Atletas!P81="Taijiquan 24 A",Atletas!P81="Taijiquan 32 A",Atletas!P81="Taijiquan 42 A"),406,IF(OR(Atletas!P81="Yang 26 B",Atletas!P81="Yang 40 B"),407,IF(OR(Atletas!P81="Chen 25 B",Atletas!P81="Chen 36 B",Atletas!P81="Chen 56 B"),408,IF(Atletas!P81="Sun 73 B",409,IF(Atletas!P81="Wu 45 B",410,IF(Atletas!P81="Wu-Hao 46 B",411,IF(OR(Atletas!P81="Taijiquan 16 B",Atletas!P81="Taijiquan 24 B",Atletas!P81="Taijiquan 32 B",Atletas!P81="Taijiquan 42 B"),412,IF(OR(Atletas!P81="Yang 26 C",Atletas!P81="Yang 40 C"),413,IF(OR(Atletas!P81="Chen 25 C",Atletas!P81="Chen 36 C",Atletas!P81="Chen 56 C"),414,IF(Atletas!P81="Sun 73 C",415,IF(Atletas!P81="Wu 45 C",416,IF(Atletas!P81="Wu-Hao 46 C",417,IF(OR(Atletas!P81="Taijiquan 16 C",Atletas!P81="Taijiquan 24 C",Atletas!P81="Taijiquan 32 C",Atletas!P81="Taijiquan 42 C"),418,0)))))))))))))))))))</f>
        <v/>
      </c>
      <c r="BX90" s="50" t="str">
        <f>IF(Atletas!P81="","",IF(Atletas!X81&lt;&gt;"",10000,0)+IF(Atletas!B81="Feminino",1000,IF(Atletas!B81="Masculino",2000,""))+IF(OR(Atletas!P81="Yang 26 D",Atletas!P81="Yang 40 D"),419,IF(OR(Atletas!P81="Chen 25 D",Atletas!P81="Chen 36 D",Atletas!P81="Chen 56 D"),420,IF(Atletas!P81="Sun 73 D",421,IF(Atletas!P81="Wu 45 D",422,IF(Atletas!P81="Wu-Hao 46 D",423,IF(OR(Atletas!P81="Taijiquan 16 D",Atletas!P81="Taijiquan 24 D",Atletas!P81="Taijiquan 32 D",Atletas!P81="Taijiquan 42 D"),424,IF(OR(Atletas!P81="Yang 26 E",Atletas!P81="Yang 40 E"),425,IF(OR(Atletas!P81="Chen 25 E",Atletas!P81="Chen 36 E",Atletas!P81="Chen 56 E"),426,IF(Atletas!P81="Sun 73 E",427,IF(Atletas!P81="Wu 45 E",428,IF(Atletas!P81="Wu-Hao 46 E",429,IF(OR(Atletas!P81="Taijiquan 16 E",Atletas!P81="Taijiquan 24 E",Atletas!P81="Taijiquan 32 E",Atletas!P81="Taijiquan 42 E"),430,IF(OR(Atletas!P81="Yang 26 F",Atletas!P81="Yang 40 F"),431,IF(OR(Atletas!P81="Chen 25 F",Atletas!P81="Chen 36 F",Atletas!P81="Chen 56 F"),432,IF(Atletas!P81="Sun 73 F",433,IF(Atletas!P81="Wu 45 F",434,IF(Atletas!P81="Wu-Hao 46 F",435,IF(OR(Atletas!P81="Taijiquan 16 F",Atletas!P81="Taijiquan 24 F",Atletas!P81="Taijiquan 32 F",Atletas!P81="Taijiquan 42 F"),436,0)))))))))))))))))))</f>
        <v/>
      </c>
      <c r="BY90" s="50" t="str">
        <f>IF(Atletas!Q81="","",IF(Atletas!X81&lt;&gt;"",10000,0)+IF(Atletas!B81="Feminino",1000,IF(Atletas!B81="Masculino",2000,""))+IF(Atletas!Q81="Xingyiquan A",501,IF(Atletas!Q81="Baguazhang A",502,IF(Atletas!Q81="Outro Estilo Interno A",503,IF(Atletas!Q81="Xingyiquan B",504,IF(Atletas!Q81="Baguazhang B",505,IF(Atletas!Q81="Outro Estilo Interno B",506,IF(Atletas!Q81="Xingyiquan C",507,IF(Atletas!Q81="Baguazhang C",508,IF(Atletas!Q81="Outro Estilo Interno C",509,IF(Atletas!Q81="Xingyiquan D",510,IF(Atletas!Q81="Baguazhang D",511,IF(Atletas!Q81="Outro Estilo Interno D",512,IF(Atletas!Q81="Xingyiquan E",513,IF(Atletas!Q81="Baguazhang E",514,IF(Atletas!Q81="Outro Estilo Interno E",515,IF(Atletas!Q81="Xingyiquan F",516,IF(Atletas!Q81="Baguazhang F",517,IF(Atletas!Q81="Outro Estilo Interno F",518, "")))))))))))))))))))</f>
        <v/>
      </c>
      <c r="BZ90" s="50" t="str">
        <f>IF(Atletas!R81="","",IF(Atletas!X81&lt;&gt;"",10000,0)+IF(Atletas!B81="Feminino",1000,IF(Atletas!B81="Masculino",2000,""))+IF(Atletas!R81="Dao A",601,IF(Atletas!R81="Jian A",602,IF(Atletas!R81="Bishou A",603,IF(Atletas!R81="Shanzi A",604,IF(Atletas!R81="Outra Arma Curta A",605,IF(Atletas!R81="Dao B",606,IF(Atletas!R81="Jian B",607,IF(Atletas!R81="Bishou B",608,IF(Atletas!R81="Shanzi B",609,IF(Atletas!R81="Outra Arma Curta B",610,IF(Atletas!R81="Dao C",611,IF(Atletas!R81="Jian C",612,IF(Atletas!R81="Bishou C",613,IF(Atletas!R81="Shanzi C",614,IF(Atletas!R81="Outra Arma Curta C",615,IF(Atletas!R81="Dao D",616,IF(Atletas!R81="Jian D",617,IF(Atletas!R81="Bishou D",618,IF(Atletas!R81="Shanzi D",619,IF(Atletas!R81="Outra Arma Curta D",620,IF(Atletas!R81="Dao E",621,IF(Atletas!R81="Jian E",622,IF(Atletas!R81="Bishou E",623,IF(Atletas!R81="Shanzi E",624,IF(Atletas!R81="Outra Arma Curta E",625,IF(Atletas!R81="Dao F",626,IF(Atletas!R81="Jian F",627,IF(Atletas!R81="Bishou F",628,IF(Atletas!R81="Shanzi F",629,IF(Atletas!R81="Outra Arma Curta F",630, "")))))))))))))))))))))))))))))))</f>
        <v/>
      </c>
      <c r="CA90" s="50" t="str">
        <f>IF(Atletas!S81="","",IF(Atletas!X81&lt;&gt;"",10000,0)+IF(Atletas!B81="Feminino",1000,IF(Atletas!B81="Masculino",2000,""))+IF(Atletas!S81="Gun A",701,IF(Atletas!S81="Qiang A",702,IF(Atletas!S81="Pudao / Guandao A",703,IF(Atletas!S81="Outra Arma Longa A",704,IF(Atletas!S81="Gun B",705,IF(Atletas!S81="Qiang B",706,IF(Atletas!S81="Pudao / Guandao B",707,IF(Atletas!S81="Outra Arma Longa B",708,IF(Atletas!S81="Gun C",709,IF(Atletas!S81="Qiang C",710,IF(Atletas!S81="Pudao / Guandao C",711,IF(Atletas!S81="Outra Arma Longa C",712,IF(Atletas!S81="Gun D",713,IF(Atletas!S81="Qiang D",714,IF(Atletas!S81="Pudao / Guandao D",715,IF(Atletas!S81="Outra Arma Longa D",716,IF(Atletas!S81="Gun E",717,IF(Atletas!S81="Qiang E",718,IF(Atletas!S81="Pudao / Guandao E",719,IF(Atletas!S81="Outra Arma Longa E",720,IF(Atletas!S81="Gun F",721,IF(Atletas!S81="Qiang F",722,IF(Atletas!S81="Pudao / Guandao F",723,IF(Atletas!S81="Outra Arma Longa F",724,"")))))))))))))))))))))))))</f>
        <v/>
      </c>
      <c r="CB90" s="50" t="str">
        <f>IF(Atletas!T81="","",IF(Atletas!X81&lt;&gt;"",10000,0)+IF(Atletas!B81="Feminino",1000,IF(Atletas!B81="Masculino",2000,""))+IF(Atletas!T81="Outra Arma Dupla A",801,IF(Atletas!T81="Arma Maleável A",802,IF(Atletas!T81="Outra Arma Dupla B",803,IF(Atletas!T81="Arma Maleável B",804,IF(Atletas!T81="Outra Arma Dupla C",805,IF(Atletas!T81="Arma Maleável C",806,IF(Atletas!T81="Outra Arma Dupla D",807,IF(Atletas!T81="Arma Maleável D",808,IF(Atletas!T81="Outra Arma Dupla E",809,IF(Atletas!T81="Arma Maleável E",810,IF(Atletas!T81="Outra Arma Dupla F",811,IF(Atletas!T81="Arma Maleável F",812,IF(Atletas!T81="Shuangdao A",813,IF(Atletas!T81="Shuangdao B",814,IF(Atletas!T81="Shuangdao C",815,IF(Atletas!T81="Shuangdao D",816,IF(Atletas!T81="Shuangdao E",817,IF(Atletas!T81="Shuangdao F",818,"")))))))))))))))))))</f>
        <v/>
      </c>
      <c r="CC90" s="50" t="str">
        <f>IF(Atletas!U81="","",IF(Atletas!X81&lt;&gt;"",10000,0)+IF(Atletas!B81="Feminino",1000,IF(Atletas!B81="Masculino",2000,""))+IF(OR(Atletas!U81="Taijijian Yang A",Atletas!U81="Taijijian Yang Standard A"),901,IF(OR(Atletas!U81="Taijijian Chen A", Atletas!U81="Taijijian Chen Standard A"),902,IF(Atletas!U81="Taijijian Sun A",903,IF(Atletas!U81="Taijijian Wu A",904,IF(Atletas!U81="Taijijian Wu-Hao A",905,IF(OR(Atletas!U81="Taijijian 32 A",Atletas!U81="Taijijian 42 A"),906,IF(OR(Atletas!U81="Taijijian Yang B",Atletas!U81="Taijijian Yang Standard B"),907,IF(OR(Atletas!U81="Taijijian Chen B", Atletas!U81="Taijijian Chen Standard B"),908,IF(Atletas!U81="Taijijian Sun B",909,IF(Atletas!U81="Taijijian Wu B",910,IF(Atletas!U81="Taijijian Wu-Hao B",911,IF(OR(Atletas!U81="Taijijian 32 B",Atletas!U81="Taijijian 42 B"),912,IF(OR(Atletas!U81="Taijijian Yang C",Atletas!U81="Taijijian Yang Standard C"),913,IF(OR(Atletas!U81="Taijijian Chen C", Atletas!U81="Taijijian Chen Standard C"),914,IF(Atletas!U81="Taijijian Sun C",915,IF(Atletas!U81="Taijijian Wu C",916,IF(Atletas!U81="Taijijian Wu-Hao C",917,IF(OR(Atletas!U81="Taijijian 32 C",Atletas!U81="Taijijian 42 C"),918,IF(OR(Atletas!U81="Taijijian Yang D",Atletas!U81="Taijijian Yang Standard D"),919,IF(OR(Atletas!U81="Taijijian Chen D", Atletas!U81="Taijijian Chen Standard D"),920,IF(Atletas!U81="Taijijian Sun D",921,IF(Atletas!U81="Taijijian Wu D",922,IF(Atletas!U81="Taijijian Wu-Hao D",923,IF(OR(Atletas!U81="Taijijian 32 D",Atletas!U81="Taijijian 42 D"),924,IF(OR(Atletas!U81="Taijijian Yang E",Atletas!U81="Taijijian Yang Standard E"),925,IF(OR(Atletas!U81="Taijijian Chen E", Atletas!U81="Taijijian Chen Standard E"),926,IF(Atletas!U81="Taijijian Sun E",927,IF(Atletas!U81="Taijijian Wu E",928,IF(Atletas!U81="Taijijian Wu-Hao E",929,IF(OR(Atletas!U81="Taijijian 32 E",Atletas!U81="Taijijian 42 E"),930,IF(OR(Atletas!U81="Taijijian Yang F",Atletas!U81="Taijijian Yang Standard F"),931,IF(OR(Atletas!U81="Taijijian Chen F", Atletas!U81="Taijijian Chen Standard F"),932,IF(Atletas!U81="Taijijian Sun F",933,IF(Atletas!U81="Taijijian Wu F",934,IF(Atletas!U81="Taijijian Wu-Hao F",935,IF(OR(Atletas!U81="Taijijian 32 F",Atletas!U81="Taijijian 42 F"),936,"")))))))))))))))))))))))))))))))))))))</f>
        <v/>
      </c>
      <c r="CD90" s="50" t="str">
        <f>IF(Atletas!V81="","",IF(Atletas!X81&lt;&gt;"",10000,0)+IF(Atletas!B81="Feminino",1000,IF(Atletas!B81="Masculino",2000,""))+IF(Atletas!V81="Taijidao A",937,IF(Atletas!V81="TaijiShanzi A",938,IF(Atletas!V81="Taijiqiang A",939,IF(Atletas!V81="Bagua de Arma A",940,IF(Atletas!V81="Xingyi de Arma A",941,IF(Atletas!V81="Taijidao B",942,IF(Atletas!V81="TaijiShanzi B",943,IF(Atletas!V81="Taijiqiang B",944,IF(Atletas!V81="Bagua de Arma B",945,IF(Atletas!V81="Xingyi de Arma B",946,IF(Atletas!V81="Taijidao C",947,IF(Atletas!V81="TaijiShanzi C",948,IF(Atletas!V81="Taijiqiang C",949,IF(Atletas!V81="Bagua de Arma C",950,IF(Atletas!V81="Xingyi de Arma C",951,IF(Atletas!V81="Taijidao D",952,IF(Atletas!V81="TaijiShanzi D",953,IF(Atletas!V81="Taijiqiang D",954,IF(Atletas!V81="Bagua de Arma D",955,IF(Atletas!V81="Xingyi de Arma D",956,IF(Atletas!V81="Taijidao E",957,IF(Atletas!V81="TaijiShanzi E",958,IF(Atletas!V81="Taijiqiang E",959,IF(Atletas!V81="Bagua de Arma E",960,IF(Atletas!V81="Xingyi de Arma E",961,IF(Atletas!V81="Taijidao F",962,IF(Atletas!V81="TaijiShanzi F",963,IF(Atletas!V81="Taijiqiang F",964,IF(Atletas!V81="Bagua de Arma F",965,IF(Atletas!V81="Xingyi de Arma F",966,"")))))))))))))))))))))))))))))))</f>
        <v/>
      </c>
      <c r="CE90" s="66" t="str">
        <f>IF(CF90&lt;&gt;"","Tanglangquan D","")</f>
        <v/>
      </c>
      <c r="CF90" s="66" t="str">
        <f>IF(COUNTIF(BR:CD,1148)&gt;0,COUNTIF(BR:CD,1148),"")</f>
        <v/>
      </c>
      <c r="CG90" s="66" t="str">
        <f>IF(CH90&lt;&gt;"","Tanglangquan D","")</f>
        <v/>
      </c>
      <c r="CH90" s="66" t="str">
        <f>IF(COUNTIF(BR:CD,2148)&gt;0,COUNTIF(BR:CD,2148),"")</f>
        <v/>
      </c>
      <c r="CI90" s="66" t="str">
        <f>IF(CJ90&lt;&gt;"","Emeiquan E","")</f>
        <v/>
      </c>
      <c r="CJ90" s="66" t="str">
        <f>IF(COUNTIF(BR:CD,11154)&gt;0,COUNTIF(BR:CD,11154),"")</f>
        <v/>
      </c>
      <c r="CK90" s="66" t="str">
        <f>IF(CL90&lt;&gt;"","Emeiquan E","")</f>
        <v/>
      </c>
      <c r="CL90" s="66" t="str">
        <f>IF(COUNTIF(BR:CD,12154)&gt;0,COUNTIF(BR:CD,12154),"")</f>
        <v/>
      </c>
      <c r="CM90" s="50" t="str">
        <f xml:space="preserve"> IF(Atletas!W81="","",IF(Atletas!W81="Duilian de Mãos BC - Equipe 1",1,IF(Atletas!W81="Duilian de Mãos BC - Equipe 2",2,IF(Atletas!W81="Duilian de Armas BC - Equipe 1",3,IF(Atletas!W81="Duilian de Armas BC - Equipe 2",4,IF(Atletas!W81="Duilian de Mãos DE - Equipe 1",5,IF(Atletas!W81="Duilian de Mãos DE - Equipe 2",6,IF(Atletas!W81="Duilian de Armas DE - Equipe 1",7,IF(Atletas!W81="Duilian de Armas DE - Equipe 2",8,IF(Atletas!W81="Duilian de Tuishou - Equipe 1",9,IF(Atletas!W81="Duilian de Tuishou - Equipe 2",10,IF(Atletas!W81="Grupo Externo ABC - Equipe 1",11,IF(Atletas!W81="Grupo Externo ABC - Equipe 2",12,IF(Atletas!W81="Grupo Interno ABC - Equipe 1",13,IF(Atletas!W81="Grupo Interno ABC - Equipe 2",14,IF(Atletas!W81="Grupo Externo DEF - Equipe 1",15,IF(Atletas!W81="Grupo Externo DEF - Equipe 2",16,IF(Atletas!W81="Grupo Interno DEF - Equipe 1",17,IF(Atletas!W81="Grupo Interno DEF - Equipe 2",18,"")))))))))))))))))))</f>
        <v/>
      </c>
    </row>
    <row r="91" spans="2:91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6"/>
      <c r="Y91" s="3"/>
      <c r="Z91" s="3" t="str">
        <f t="array" ref="Z91">IFERROR(INDEX(CE$7:CE$348,SMALL(IF(CE$7:CE$348&lt;&gt;"",ROW(CE$7:CE$348)-ROW(CE$7)+1),ROWS(CE$7:CE90))),"")</f>
        <v/>
      </c>
      <c r="AA91" s="3" t="str">
        <f t="array" ref="AA91">IFERROR(INDEX(CF$7:CF$348,SMALL(IF(CF$7:CF$348&lt;&gt;"",ROW(CF$7:CF$348)-ROW(CF$7)+1),ROWS(CF$7:CF90))),"")</f>
        <v/>
      </c>
      <c r="AB91" s="3" t="str">
        <f t="array" ref="AB91">IFERROR(INDEX(CG$7:CG$348,SMALL(IF(CG$7:CG$348&lt;&gt;"",ROW(CG$7:CG$348)-ROW(CG$7)+1),ROWS(CG$7:CG90))),"")</f>
        <v/>
      </c>
      <c r="AC91" s="3" t="str">
        <f t="array" ref="AC91">IFERROR(INDEX(CH$7:CH$348,SMALL(IF(CH$7:CH$348&lt;&gt;"",ROW(CH$7:CH$348)-ROW(CH$7)+1),ROWS(CH$7:CH90))),"")</f>
        <v/>
      </c>
      <c r="AD91" s="3" t="str">
        <f t="array" ref="AD91">IFERROR(INDEX(CI$7:CI$377,SMALL(IF(CI$7:CI$377&lt;&gt;"",ROW(CI$7:CI$377)-ROW(CI$7)+1),ROWS(CI$7:CI90))),"")</f>
        <v/>
      </c>
      <c r="AE91" s="3" t="str">
        <f t="array" ref="AE91">IFERROR(INDEX(CJ$7:CJ$378,SMALL(IF(CJ$7:CJ$378&lt;&gt;"",ROW(CJ$7:CJ$378)-ROW(CJ$7)+1),ROWS(CJ$7:CJ90))),"")</f>
        <v/>
      </c>
      <c r="AF91" s="3" t="str">
        <f t="array" ref="AF91">IFERROR(INDEX(CK$7:CK$378,SMALL(IF(CK$7:CK$378&lt;&gt;"",ROW(CK$7:CK$378)-ROW(CK$7)+1),ROWS(CK$7:CK90))),"")</f>
        <v/>
      </c>
      <c r="AG91" s="3" t="str">
        <f t="array" ref="AG91">IFERROR(INDEX(CL$7:CL$378,SMALL(IF(CL$7:CL$378&lt;&gt;"",ROW(CL$7:CL$378)-ROW(CL$7)+1),ROWS(CL$7:CL90))),"")</f>
        <v/>
      </c>
      <c r="AH91" s="3"/>
      <c r="AI91" s="3"/>
      <c r="AJ91" s="3"/>
      <c r="AK91" s="3"/>
      <c r="AL91" s="3"/>
      <c r="AM91" s="3"/>
      <c r="AN91" s="52" t="str">
        <f>IF(Atletas!D82="","",IF(Atletas!B82="Feminino",100,IF(Atletas!B82="Masculino",200,""))+(IF(Atletas!D82="Kids 30kg",1,IF(Atletas!D82="Kids 32kg",2, IF(Atletas!D82="Kids 34kg",3,IF(Atletas!D82="Kids 36kg",4,IF(Atletas!D82="Kids 39kg",5,IF(Atletas!D82="Kids 42kg",6,IF(Atletas!D82="Kids 45kg",7, IF(Atletas!D82="Infantil 39kg",8,IF(Atletas!D82="Infantil 42kg",9,IF(Atletas!D82="Infantil 45kg",10,IF(Atletas!D82="Infantil 48kg",11,IF(Atletas!D82="Infantil 52kg",12,IF(Atletas!D82="Infantil 56kg",13,IF(Atletas!D82="Infantil 60kg",14,IF(Atletas!D82="Juvenil 48kg",15,IF(Atletas!D82="Juvenil 52kg",16,IF(Atletas!D82="Juvenil 56kg",17,IF(Atletas!D82="Juvenil 60kg",18,IF(Atletas!D82="Juvenil 65kg",19,IF(Atletas!D82="Juvenil 70kg",20,IF(Atletas!D82="Juvenil 75kg",21,IF(Atletas!D82="Juvenil 80kg",22, IF(Atletas!D82="Juvenil 85kg",23,IF(Atletas!D82="Adulto 48kg",24,IF(Atletas!D82="Adulto 52kg",25,IF(Atletas!D82="Adulto 56kg",26,IF(Atletas!D82="Adulto 60kg",27,IF(Atletas!D82="Adulto 65kg",28,IF(Atletas!D82="Adulto 70kg",29,IF(Atletas!D82="Adulto 75kg",30,IF(Atletas!D82="Adulto 80kg",31,IF(Atletas!D82="Adulto 85kg",32,IF(Atletas!D82="Adulto 90kg",33,IF(Atletas!D82="Adulto 100kg",34, IF(Atletas!D82="Adulto +100kg",35,"")))))))))))))))))))))))))))))))))))))</f>
        <v/>
      </c>
      <c r="AS91" s="6" t="str">
        <f>IF(Atletas!E82="","",IF(Atletas!B82="Feminino",100,IF(Atletas!B82="Masculino",200,""))+(IF(Atletas!E82="Juvenil 44kg",1,IF(Atletas!E82="Juvenil 48kg",2,IF(Atletas!E82="Juvenil 52kg",3,IF(Atletas!E82="Juvenil 56kg",4,IF(Atletas!E82="Juvenil 60kg",5,IF(Atletas!E82="Juvenil 65kg",6,IF(Atletas!E82="Juvenil 70kg",7,IF(Atletas!E82="Juvenil 75kg",8,IF(Atletas!E82="Juvenil 82kg",9,IF(Atletas!E82="Juvenil 90kg",10,IF(Atletas!E82="Juvenil 100kg",11,IF(Atletas!E82="Adulto 48kg",12,IF(Atletas!E82="Adulto 52kg",13,IF(Atletas!E82="Adulto 56kg",14,IF(Atletas!E82="Adulto 60kg",15,IF(Atletas!E82="Adulto 65kg",16,IF(Atletas!E82="Adulto 70kg",17,IF(Atletas!E82="Adulto 75kg",18,IF(Atletas!E82="Adulto 82kg",19,IF(Atletas!E82="Adulto 90kg",20,IF(Atletas!E82="Adulto 100kg",21,IF(Atletas!E82="Adulto +100kg",22,""))))))))))))))))))))))))</f>
        <v/>
      </c>
      <c r="AX91" s="6" t="str">
        <f>IF(Atletas!F82="","",IF(Atletas!B82="Feminino",100,IF(Atletas!B82="Masculino",200,""))+(IF(Atletas!F82="Adulto 48kg",1,IF(Atletas!F82="Adulto 56kg",2,IF(Atletas!F82="Adulto 65kg",3,IF(Atletas!F82="Adulto 75kg",4,IF(Atletas!F82="Adulto +75kg",5,IF(Atletas!F82="Adulto 52kg",6,IF(Atletas!F82="Adulto 60kg",7,IF(Atletas!F82="Adulto 70kg",8,IF(Atletas!F82="Adulto 80kg",9,IF(Atletas!F82="Adulto 90kg",10,IF(Atletas!F82="Adulto +90kg",11,"")))))))))))))</f>
        <v/>
      </c>
      <c r="BC91" s="6" t="str">
        <f>IF(Atletas!G82="","",IF(Atletas!B82="Feminino",10,IF(Atletas!B82="Masculino",20,""))+(IF(Atletas!G82="Baduanjin A",1,IF(Atletas!G82="Baduanjin B",2))))</f>
        <v/>
      </c>
      <c r="BF91" s="52" t="str">
        <f>IF(Atletas!H82="","",IF(Atletas!B82="Feminino",100,IF(Atletas!B82="Masculino",200,""))+(IF(Atletas!H82="Changquan Mirim",1,IF(Atletas!H82="Nanquan Mirim",2,IF(Atletas!H82="Taijiquan Mirim",3,IF(Atletas!H82="Changquan Grupo C",4,IF(Atletas!H82="Nanquan Grupo C",5,IF(Atletas!H82="Taijiquan Grupo C",6,IF(Atletas!H82="Changquan Grupo B",7,IF(Atletas!H82="Nanquan Grupo B",8,IF(Atletas!H82="Taijiquan Grupo B",9,IF(Atletas!H82="Changquan Grupo A",10,IF(Atletas!H82="Nanquan Grupo A",11,IF(Atletas!H82="Taijiquan Grupo A",12,IF(Atletas!H82="Changquan Opcional",13,IF(Atletas!H82="Nanquan Opcional",14,IF(Atletas!H82="Taijiquan Opcional",15,IF(Atletas!H82="Changquan Adulto",16,IF(Atletas!H82="Nanquan Adulto",17,IF(Atletas!H82="Taijiquan Adulto",18,""))))))))))))))))))))</f>
        <v/>
      </c>
      <c r="BG91" s="52" t="str">
        <f>IF(Atletas!I82="","",IF(Atletas!B82="Feminino",100,IF(Atletas!B82="Masculino",200,""))+(IF(Atletas!I82="Daoshu Mirim",19,IF(Atletas!I82="Jianshu Mirim",20,IF(Atletas!I82="Nandao Mirim",21,IF(Atletas!I82="Taijijian Mirim",22,IF(Atletas!I82="Daoshu Grupo C",23,IF(Atletas!I82="Jianshu Grupo C",24,IF(Atletas!I82="Nandao Grupo C",25,IF(Atletas!I82="Taijijian Grupo C",26,IF(Atletas!I82="Daoshu Grupo B",27,IF(Atletas!I82="Jianshu Grupo B",28,IF(Atletas!I82="Nandao Grupo B",29,IF(Atletas!I82="Taijijian Grupo B",30,IF(Atletas!I82="Daoshu Grupo A",31,IF(Atletas!I82="Jianshu Grupo A",32,IF(Atletas!I82="Nandao Grupo A",33,IF(Atletas!I82="Taijijian Grupo A",34,IF(Atletas!I82="Daoshu Opcional",35,IF(Atletas!I82="Jianshu Opcional",36,IF(Atletas!I82="Nandao Opcional",37,IF(Atletas!I82="Taijijian Opcional",38,IF(Atletas!I82="Daoshu Adulto",39,IF(Atletas!I82="Jianshu Adulto",40,IF(Atletas!I82="Nandao Adulto",41,IF(Atletas!I82="Taijijian Adulto",42,""))))))))))))))))))))))))))</f>
        <v/>
      </c>
      <c r="BH91" s="52" t="str">
        <f>IF(Atletas!J82="","",IF(Atletas!B82="Feminino",100,IF(Atletas!B82="Masculino",200,""))+(IF(Atletas!J82="Gunshu Mirim",43,IF(Atletas!J82="Qiangshu Mirim",44,IF(Atletas!J82="Nangun Mirim",45,IF(Atletas!J82="Gunshu Grupo C",46,IF(Atletas!J82="Qiangshu Grupo C",47,IF(Atletas!J82="Nangun Grupo C",48,IF(Atletas!J82="Gunshu Grupo B",49,IF(Atletas!J82="Qiangshu Grupo B",50,IF(Atletas!J82="Nangun Grupo B",51,IF(Atletas!J82="Gunshu Grupo A",52,IF(Atletas!J82="Qiangshu Grupo A",53,IF(Atletas!J82="Nangun Grupo A",54,IF(Atletas!J82="Gunshu Opcional",55,IF(Atletas!J82="Qiangshu Opcional",56,IF(Atletas!J82="Nangun Opcional",57,IF(Atletas!J82="Gunshu Adulto",58,IF(Atletas!J82="Qiangshu Adulto",59,IF(Atletas!J82="Nangun Adulto",60,IF(Atletas!J82="Taijishan Grupo B",61,IF(Atletas!J82="Taijishan Grupo A",62,""))))))))))))))))))))))</f>
        <v/>
      </c>
      <c r="BM91" s="50" t="str">
        <f>IF(Atletas!K82="","",IF(Atletas!B82="Feminino",100,IF(Atletas!B82="Masculino",200,""))+(IF(Atletas!K82="Equipe 1 Grupo B",1,IF(Atletas!K82="Equipe 2 Grupo B",2,IF(Atletas!K82="Equipe 1 Grupo A",3,IF(Atletas!K82="Equipe 2 Grupo A",4,IF(Atletas!K82="Equipe 1 Adulto",5,IF(Atletas!K82="Equipe 2 Adulto",6,""))))))))</f>
        <v/>
      </c>
      <c r="BR91" s="50" t="str">
        <f>IF(Atletas!L82="","",IF(Atletas!X82&lt;&gt;"",10000,0)+(IF(Atletas!B82="Feminino",1000,IF(Atletas!B82="Masculino",2000,""))+IF(Atletas!L82="Choylayfut A",1,IF(Atletas!L82="Hunggar A",2,IF(Atletas!L82="Wuzuquan A",3,IF(Atletas!L82="Wingchun A",4,IF(Atletas!L82="Outra Mão de Sul A",5,IF(Atletas!L82="Choylayfut B",6,IF(Atletas!L82="Hunggar B",7,IF(Atletas!L82="Wuzuquan B",8,IF(Atletas!L82="Wingchun B",9,IF(Atletas!L82="Outra Mão de Sul B",10,IF(Atletas!L82="Choylayfut C",11,IF(Atletas!L82="Hunggar C",12,IF(Atletas!L82="Wuzuquan C",13,IF(Atletas!L82="Wingchun C",14,IF(Atletas!L82="Outra Mão de Sul C",15,IF(Atletas!L82="Choylayfut D",16,IF(Atletas!L82="Hunggar D",17,IF(Atletas!L82="Wuzuquan D",18,IF(Atletas!L82="Wingchun D",19,IF(Atletas!L82="Outra Mão de Sul D",20,IF(Atletas!L82="Choylayfut E",21,IF(Atletas!L82="Hunggar E",22,IF(Atletas!L82="Wuzuquan E",23,IF(Atletas!L82="Wingchun E",24,IF(Atletas!L82="Outra Mão de Sul E",25,IF(Atletas!L82="Choylayfut F",26,IF(Atletas!L82="Hunggar F",27,IF(Atletas!L82="Wuzuquan F",28,IF(Atletas!L82="Wingchun F",29,IF(Atletas!L82="Outra Mão de Sul F",30,IF(Atletas!L82="Dishuquan A",31,IF(Atletas!L82="Dishuquan B",32,IF(Atletas!L82="Dishuquan C",33,IF(Atletas!L82="Dishuquan D",34,IF(Atletas!L82="Dishuquan E",35,IF(Atletas!L82="Dishuquan F",36,""))))))))))))))))))))))))))))))))))))))</f>
        <v/>
      </c>
      <c r="BS91" s="50" t="str">
        <f>IF(Atletas!M82="","",IF(Atletas!X82&lt;&gt;"",10000,0)+(IF(Atletas!B82="Feminino",1000,IF(Atletas!B82="Masculino",2000,""))+(IF(Atletas!M82="Chaquan A",101,IF(Atletas!M82="Emeiquan A",102,IF(Atletas!M82="Fanziquan A",103,IF(Atletas!M82="Huaquan A",104,IF(Atletas!M82="Hongquan A",105,IF(Atletas!M82="Paoquan A",106,IF(Atletas!M82="Piguaquan A",107,IF(Atletas!M82="Shaolinquan A",108,IF(Atletas!M82="Tanglangquan A",109,IF(Atletas!M82="Yingzhaoquan A",110,IF(Atletas!M82="Tongbeiquan A",111,IF(Atletas!M82="Wudangquan A",112,IF(Atletas!M82="Outros Estilos A",113,IF(Atletas!M82="Chaquan B",114,IF(Atletas!M82="Emeiquan B",115,IF(Atletas!M82="Fanziquan B",116,IF(Atletas!M82="Huaquan B",117,IF(Atletas!M82="Hongquan B",118,IF(Atletas!M82="Paoquan B",119,IF(Atletas!M82="Piguaquan B",120,IF(Atletas!M82="Shaolinquan B",121,IF(Atletas!M82="Tanglangquan B",122,IF(Atletas!M82="Yingzhaoquan B",123,IF(Atletas!M82="Tongbeiquan B",124,IF(Atletas!M82="Wudangquan B",125,IF(Atletas!M82="Outros Estilos B",126,IF(Atletas!M82="Chaquan C",127,IF(Atletas!M82="Emeiquan C",128,IF(Atletas!M82="Fanziquan C",129,IF(Atletas!M82="Huaquan C",130,IF(Atletas!M82="Hongquan C",131,IF(Atletas!M82="Paoquan C",132,IF(Atletas!M82="Piguaquan C",133,IF(Atletas!M82="Shaolinquan C",134,IF(Atletas!M82="Tanglangquan C",135,IF(Atletas!M82="Yingzhaoquan C",136,IF(Atletas!M82="Tongbeiquan C",137,IF(Atletas!M82="Wudangquan C",138,IF(Atletas!M82="Outros Estilos C",139,0))))))))))))))))))))))))))))))))))))))))))</f>
        <v/>
      </c>
      <c r="BT91" s="50" t="str">
        <f>IF(Atletas!M82="","",IF(Atletas!X82&lt;&gt;"",10000,0)+(IF(Atletas!B82="Feminino",1000,IF(Atletas!B82="Masculino",2000,""))+(IF(Atletas!M82="Chaquan D",140,IF(Atletas!M82="Emeiquan D",141,IF(Atletas!M82="Fanziquan D",142,IF(Atletas!M82="Huaquan D",143,IF(Atletas!M82="Hongquan D",144,IF(Atletas!M82="Paoquan D",145,IF(Atletas!M82="Piguaquan D",146,IF(Atletas!M82="Shaolinquan D",147,IF(Atletas!M82="Tanglangquan D",148,IF(Atletas!M82="Yingzhaoquan D",149,IF(Atletas!M82="Tongbeiquan D",150,IF(Atletas!M82="Wudangquan D",151,IF(Atletas!M82="Outros Estilos D",152,IF(Atletas!M82="Chaquan E",153,IF(Atletas!M82="Emeiquan E",154,IF(Atletas!M82="Fanziquan E",155,IF(Atletas!M82="Huaquan E",156,IF(Atletas!M82="Hongquan E",157,IF(Atletas!M82="Paoquan E",158,IF(Atletas!M82="Piguaquan E",159,IF(Atletas!M82="Shaolinquan E",160,IF(Atletas!M82="Tanglangquan E",161,IF(Atletas!M82="Yingzhaoquan E",162,IF(Atletas!M82="Tongbeiquan E",163,IF(Atletas!M82="Wudangquan E",164,IF(Atletas!M82="Outros Estilos E",165,IF(Atletas!M82="Chaquan F",166,IF(Atletas!M82="Emeiquan F",167,IF(Atletas!M82="Fanziquan F",168,IF(Atletas!M82="Huaquan F",169,IF(Atletas!M82="Hongquan F",170,IF(Atletas!M82="Paoquan F",171,IF(Atletas!M82="Piguaquan F",172,IF(Atletas!M82="Shaolinquan F",173,IF(Atletas!M82="Tanglangquan F",174,IF(Atletas!M82="Yingzhaoquan F",175,IF(Atletas!M82="Tongbeiquan F",176,IF(Atletas!M82="Wudangquan F",177,IF(Atletas!M82="Outros Estilos F",178,0))))))))))))))))))))))))))))))))))))))))))</f>
        <v/>
      </c>
      <c r="BU91" s="50" t="str">
        <f>IF(Atletas!N82="","",IF(Atletas!X82&lt;&gt;"",10000,0)+(IF(Atletas!B82="Feminino",1000,IF(Atletas!B82="Masculino",2000,""))+(IF(Atletas!N82="Ditangquan A",201,IF(Atletas!N82="Houquan A",202,IF(Atletas!N82="Zuiquan A",203,IF(Atletas!N82="Ditangquan B",204,IF(Atletas!N82="Houquan B",205,IF(Atletas!N82="Zuiquan B",206,IF(Atletas!N82="Ditangquan C",207,IF(Atletas!N82="Houquan C",208,IF(Atletas!N82="Zuiquan C",209,IF(Atletas!N82="Ditangquan D",210,IF(Atletas!N82="Houquan D",211,IF(Atletas!N82="Zuiquan D",212,IF(Atletas!N82="Ditangquan E",213,IF(Atletas!N82="Houquan E",214,IF(Atletas!N82="Zuiquan E",215,IF(Atletas!N82="Ditangquan F",216,IF(Atletas!N82="Houquan F",217,IF(Atletas!N82="Zuiquan F",218,"")))))))))))))))))))))</f>
        <v/>
      </c>
      <c r="BV91" s="50" t="str">
        <f>IF(Atletas!O82="","",IF(Atletas!X82&lt;&gt;"",10000,0)+IF(Atletas!B82="Feminino",1000,IF(Atletas!B82="Masculino",2000,""))+IF(Atletas!O82="Yang A",301,IF(Atletas!O82="Chen A",302,IF(Atletas!O82="Sun A",303,IF(Atletas!O82="Wu A",304,IF(Atletas!O82="Wu-Hao A",305,IF(Atletas!O82="Outro Taijiquan A",306,IF(Atletas!O82="Yang B",307,IF(Atletas!O82="Chen B",308,IF(Atletas!O82="Sun B",309,IF(Atletas!O82="Wu B",310,IF(Atletas!O82="Wu-Hao B",311,IF(Atletas!O82="Outro Taijiquan B",312,IF(Atletas!O82="Yang C",313,IF(Atletas!O82="Chen C",314,IF(Atletas!O82="Sun C",315,IF(Atletas!O82="Wu C",316,IF(Atletas!O82="Wu-Hao C",317,IF(Atletas!O82="Outro Taijiquan C",318,IF(Atletas!O82="Yang D",319,IF(Atletas!O82="Chen D",320,IF(Atletas!O82="Sun D",321,IF(Atletas!O82="Wu D",322,IF(Atletas!O82="Wu-Hao D",323,IF(Atletas!O82="Outro Taijiquan D",324,IF(Atletas!O82="Yang E",325,IF(Atletas!O82="Chen E",326,IF(Atletas!O82="Sun E",327,IF(Atletas!O82="Wu E",328,IF(Atletas!O82="Wu-Hao E",329,IF(Atletas!O82="Outro Taijiquan E",330,IF(Atletas!O82="Yang F",331,IF(Atletas!O82="Chen F",332,IF(Atletas!O82="Sun F",333,IF(Atletas!O82="Wu F",334,IF(Atletas!O82="Wu-Hao F",335,IF(Atletas!O82="Outro Taijiquan F",336,"")))))))))))))))))))))))))))))))))))))</f>
        <v/>
      </c>
      <c r="BW91" s="50" t="str">
        <f>IF(Atletas!P82="","",IF(Atletas!X82&lt;&gt;"",10000,0)+IF(Atletas!B82="Feminino",1000,IF(Atletas!B82="Masculino",2000,""))+IF(OR(Atletas!P82="Yang 26 A",Atletas!P82="Yang 40 A"),401,IF(OR(Atletas!P82="Chen 25 A",Atletas!P82="Chen 36 A",Atletas!P82="Chen 56 A"),402,IF(Atletas!P82="Sun 73 A",403,IF(Atletas!P82="Wu 45 A",404,IF(Atletas!P82="Wu-Hao 46 A",405,IF(OR(Atletas!P82="Taijiquan 16 A",Atletas!P82="Taijiquan 24 A",Atletas!P82="Taijiquan 32 A",Atletas!P82="Taijiquan 42 A"),406,IF(OR(Atletas!P82="Yang 26 B",Atletas!P82="Yang 40 B"),407,IF(OR(Atletas!P82="Chen 25 B",Atletas!P82="Chen 36 B",Atletas!P82="Chen 56 B"),408,IF(Atletas!P82="Sun 73 B",409,IF(Atletas!P82="Wu 45 B",410,IF(Atletas!P82="Wu-Hao 46 B",411,IF(OR(Atletas!P82="Taijiquan 16 B",Atletas!P82="Taijiquan 24 B",Atletas!P82="Taijiquan 32 B",Atletas!P82="Taijiquan 42 B"),412,IF(OR(Atletas!P82="Yang 26 C",Atletas!P82="Yang 40 C"),413,IF(OR(Atletas!P82="Chen 25 C",Atletas!P82="Chen 36 C",Atletas!P82="Chen 56 C"),414,IF(Atletas!P82="Sun 73 C",415,IF(Atletas!P82="Wu 45 C",416,IF(Atletas!P82="Wu-Hao 46 C",417,IF(OR(Atletas!P82="Taijiquan 16 C",Atletas!P82="Taijiquan 24 C",Atletas!P82="Taijiquan 32 C",Atletas!P82="Taijiquan 42 C"),418,0)))))))))))))))))))</f>
        <v/>
      </c>
      <c r="BX91" s="50" t="str">
        <f>IF(Atletas!P82="","",IF(Atletas!X82&lt;&gt;"",10000,0)+IF(Atletas!B82="Feminino",1000,IF(Atletas!B82="Masculino",2000,""))+IF(OR(Atletas!P82="Yang 26 D",Atletas!P82="Yang 40 D"),419,IF(OR(Atletas!P82="Chen 25 D",Atletas!P82="Chen 36 D",Atletas!P82="Chen 56 D"),420,IF(Atletas!P82="Sun 73 D",421,IF(Atletas!P82="Wu 45 D",422,IF(Atletas!P82="Wu-Hao 46 D",423,IF(OR(Atletas!P82="Taijiquan 16 D",Atletas!P82="Taijiquan 24 D",Atletas!P82="Taijiquan 32 D",Atletas!P82="Taijiquan 42 D"),424,IF(OR(Atletas!P82="Yang 26 E",Atletas!P82="Yang 40 E"),425,IF(OR(Atletas!P82="Chen 25 E",Atletas!P82="Chen 36 E",Atletas!P82="Chen 56 E"),426,IF(Atletas!P82="Sun 73 E",427,IF(Atletas!P82="Wu 45 E",428,IF(Atletas!P82="Wu-Hao 46 E",429,IF(OR(Atletas!P82="Taijiquan 16 E",Atletas!P82="Taijiquan 24 E",Atletas!P82="Taijiquan 32 E",Atletas!P82="Taijiquan 42 E"),430,IF(OR(Atletas!P82="Yang 26 F",Atletas!P82="Yang 40 F"),431,IF(OR(Atletas!P82="Chen 25 F",Atletas!P82="Chen 36 F",Atletas!P82="Chen 56 F"),432,IF(Atletas!P82="Sun 73 F",433,IF(Atletas!P82="Wu 45 F",434,IF(Atletas!P82="Wu-Hao 46 F",435,IF(OR(Atletas!P82="Taijiquan 16 F",Atletas!P82="Taijiquan 24 F",Atletas!P82="Taijiquan 32 F",Atletas!P82="Taijiquan 42 F"),436,0)))))))))))))))))))</f>
        <v/>
      </c>
      <c r="BY91" s="50" t="str">
        <f>IF(Atletas!Q82="","",IF(Atletas!X82&lt;&gt;"",10000,0)+IF(Atletas!B82="Feminino",1000,IF(Atletas!B82="Masculino",2000,""))+IF(Atletas!Q82="Xingyiquan A",501,IF(Atletas!Q82="Baguazhang A",502,IF(Atletas!Q82="Outro Estilo Interno A",503,IF(Atletas!Q82="Xingyiquan B",504,IF(Atletas!Q82="Baguazhang B",505,IF(Atletas!Q82="Outro Estilo Interno B",506,IF(Atletas!Q82="Xingyiquan C",507,IF(Atletas!Q82="Baguazhang C",508,IF(Atletas!Q82="Outro Estilo Interno C",509,IF(Atletas!Q82="Xingyiquan D",510,IF(Atletas!Q82="Baguazhang D",511,IF(Atletas!Q82="Outro Estilo Interno D",512,IF(Atletas!Q82="Xingyiquan E",513,IF(Atletas!Q82="Baguazhang E",514,IF(Atletas!Q82="Outro Estilo Interno E",515,IF(Atletas!Q82="Xingyiquan F",516,IF(Atletas!Q82="Baguazhang F",517,IF(Atletas!Q82="Outro Estilo Interno F",518, "")))))))))))))))))))</f>
        <v/>
      </c>
      <c r="BZ91" s="50" t="str">
        <f>IF(Atletas!R82="","",IF(Atletas!X82&lt;&gt;"",10000,0)+IF(Atletas!B82="Feminino",1000,IF(Atletas!B82="Masculino",2000,""))+IF(Atletas!R82="Dao A",601,IF(Atletas!R82="Jian A",602,IF(Atletas!R82="Bishou A",603,IF(Atletas!R82="Shanzi A",604,IF(Atletas!R82="Outra Arma Curta A",605,IF(Atletas!R82="Dao B",606,IF(Atletas!R82="Jian B",607,IF(Atletas!R82="Bishou B",608,IF(Atletas!R82="Shanzi B",609,IF(Atletas!R82="Outra Arma Curta B",610,IF(Atletas!R82="Dao C",611,IF(Atletas!R82="Jian C",612,IF(Atletas!R82="Bishou C",613,IF(Atletas!R82="Shanzi C",614,IF(Atletas!R82="Outra Arma Curta C",615,IF(Atletas!R82="Dao D",616,IF(Atletas!R82="Jian D",617,IF(Atletas!R82="Bishou D",618,IF(Atletas!R82="Shanzi D",619,IF(Atletas!R82="Outra Arma Curta D",620,IF(Atletas!R82="Dao E",621,IF(Atletas!R82="Jian E",622,IF(Atletas!R82="Bishou E",623,IF(Atletas!R82="Shanzi E",624,IF(Atletas!R82="Outra Arma Curta E",625,IF(Atletas!R82="Dao F",626,IF(Atletas!R82="Jian F",627,IF(Atletas!R82="Bishou F",628,IF(Atletas!R82="Shanzi F",629,IF(Atletas!R82="Outra Arma Curta F",630, "")))))))))))))))))))))))))))))))</f>
        <v/>
      </c>
      <c r="CA91" s="50" t="str">
        <f>IF(Atletas!S82="","",IF(Atletas!X82&lt;&gt;"",10000,0)+IF(Atletas!B82="Feminino",1000,IF(Atletas!B82="Masculino",2000,""))+IF(Atletas!S82="Gun A",701,IF(Atletas!S82="Qiang A",702,IF(Atletas!S82="Pudao / Guandao A",703,IF(Atletas!S82="Outra Arma Longa A",704,IF(Atletas!S82="Gun B",705,IF(Atletas!S82="Qiang B",706,IF(Atletas!S82="Pudao / Guandao B",707,IF(Atletas!S82="Outra Arma Longa B",708,IF(Atletas!S82="Gun C",709,IF(Atletas!S82="Qiang C",710,IF(Atletas!S82="Pudao / Guandao C",711,IF(Atletas!S82="Outra Arma Longa C",712,IF(Atletas!S82="Gun D",713,IF(Atletas!S82="Qiang D",714,IF(Atletas!S82="Pudao / Guandao D",715,IF(Atletas!S82="Outra Arma Longa D",716,IF(Atletas!S82="Gun E",717,IF(Atletas!S82="Qiang E",718,IF(Atletas!S82="Pudao / Guandao E",719,IF(Atletas!S82="Outra Arma Longa E",720,IF(Atletas!S82="Gun F",721,IF(Atletas!S82="Qiang F",722,IF(Atletas!S82="Pudao / Guandao F",723,IF(Atletas!S82="Outra Arma Longa F",724,"")))))))))))))))))))))))))</f>
        <v/>
      </c>
      <c r="CB91" s="50" t="str">
        <f>IF(Atletas!T82="","",IF(Atletas!X82&lt;&gt;"",10000,0)+IF(Atletas!B82="Feminino",1000,IF(Atletas!B82="Masculino",2000,""))+IF(Atletas!T82="Outra Arma Dupla A",801,IF(Atletas!T82="Arma Maleável A",802,IF(Atletas!T82="Outra Arma Dupla B",803,IF(Atletas!T82="Arma Maleável B",804,IF(Atletas!T82="Outra Arma Dupla C",805,IF(Atletas!T82="Arma Maleável C",806,IF(Atletas!T82="Outra Arma Dupla D",807,IF(Atletas!T82="Arma Maleável D",808,IF(Atletas!T82="Outra Arma Dupla E",809,IF(Atletas!T82="Arma Maleável E",810,IF(Atletas!T82="Outra Arma Dupla F",811,IF(Atletas!T82="Arma Maleável F",812,IF(Atletas!T82="Shuangdao A",813,IF(Atletas!T82="Shuangdao B",814,IF(Atletas!T82="Shuangdao C",815,IF(Atletas!T82="Shuangdao D",816,IF(Atletas!T82="Shuangdao E",817,IF(Atletas!T82="Shuangdao F",818,"")))))))))))))))))))</f>
        <v/>
      </c>
      <c r="CC91" s="50" t="str">
        <f>IF(Atletas!U82="","",IF(Atletas!X82&lt;&gt;"",10000,0)+IF(Atletas!B82="Feminino",1000,IF(Atletas!B82="Masculino",2000,""))+IF(OR(Atletas!U82="Taijijian Yang A",Atletas!U82="Taijijian Yang Standard A"),901,IF(OR(Atletas!U82="Taijijian Chen A", Atletas!U82="Taijijian Chen Standard A"),902,IF(Atletas!U82="Taijijian Sun A",903,IF(Atletas!U82="Taijijian Wu A",904,IF(Atletas!U82="Taijijian Wu-Hao A",905,IF(OR(Atletas!U82="Taijijian 32 A",Atletas!U82="Taijijian 42 A"),906,IF(OR(Atletas!U82="Taijijian Yang B",Atletas!U82="Taijijian Yang Standard B"),907,IF(OR(Atletas!U82="Taijijian Chen B", Atletas!U82="Taijijian Chen Standard B"),908,IF(Atletas!U82="Taijijian Sun B",909,IF(Atletas!U82="Taijijian Wu B",910,IF(Atletas!U82="Taijijian Wu-Hao B",911,IF(OR(Atletas!U82="Taijijian 32 B",Atletas!U82="Taijijian 42 B"),912,IF(OR(Atletas!U82="Taijijian Yang C",Atletas!U82="Taijijian Yang Standard C"),913,IF(OR(Atletas!U82="Taijijian Chen C", Atletas!U82="Taijijian Chen Standard C"),914,IF(Atletas!U82="Taijijian Sun C",915,IF(Atletas!U82="Taijijian Wu C",916,IF(Atletas!U82="Taijijian Wu-Hao C",917,IF(OR(Atletas!U82="Taijijian 32 C",Atletas!U82="Taijijian 42 C"),918,IF(OR(Atletas!U82="Taijijian Yang D",Atletas!U82="Taijijian Yang Standard D"),919,IF(OR(Atletas!U82="Taijijian Chen D", Atletas!U82="Taijijian Chen Standard D"),920,IF(Atletas!U82="Taijijian Sun D",921,IF(Atletas!U82="Taijijian Wu D",922,IF(Atletas!U82="Taijijian Wu-Hao D",923,IF(OR(Atletas!U82="Taijijian 32 D",Atletas!U82="Taijijian 42 D"),924,IF(OR(Atletas!U82="Taijijian Yang E",Atletas!U82="Taijijian Yang Standard E"),925,IF(OR(Atletas!U82="Taijijian Chen E", Atletas!U82="Taijijian Chen Standard E"),926,IF(Atletas!U82="Taijijian Sun E",927,IF(Atletas!U82="Taijijian Wu E",928,IF(Atletas!U82="Taijijian Wu-Hao E",929,IF(OR(Atletas!U82="Taijijian 32 E",Atletas!U82="Taijijian 42 E"),930,IF(OR(Atletas!U82="Taijijian Yang F",Atletas!U82="Taijijian Yang Standard F"),931,IF(OR(Atletas!U82="Taijijian Chen F", Atletas!U82="Taijijian Chen Standard F"),932,IF(Atletas!U82="Taijijian Sun F",933,IF(Atletas!U82="Taijijian Wu F",934,IF(Atletas!U82="Taijijian Wu-Hao F",935,IF(OR(Atletas!U82="Taijijian 32 F",Atletas!U82="Taijijian 42 F"),936,"")))))))))))))))))))))))))))))))))))))</f>
        <v/>
      </c>
      <c r="CD91" s="50" t="str">
        <f>IF(Atletas!V82="","",IF(Atletas!X82&lt;&gt;"",10000,0)+IF(Atletas!B82="Feminino",1000,IF(Atletas!B82="Masculino",2000,""))+IF(Atletas!V82="Taijidao A",937,IF(Atletas!V82="TaijiShanzi A",938,IF(Atletas!V82="Taijiqiang A",939,IF(Atletas!V82="Bagua de Arma A",940,IF(Atletas!V82="Xingyi de Arma A",941,IF(Atletas!V82="Taijidao B",942,IF(Atletas!V82="TaijiShanzi B",943,IF(Atletas!V82="Taijiqiang B",944,IF(Atletas!V82="Bagua de Arma B",945,IF(Atletas!V82="Xingyi de Arma B",946,IF(Atletas!V82="Taijidao C",947,IF(Atletas!V82="TaijiShanzi C",948,IF(Atletas!V82="Taijiqiang C",949,IF(Atletas!V82="Bagua de Arma C",950,IF(Atletas!V82="Xingyi de Arma C",951,IF(Atletas!V82="Taijidao D",952,IF(Atletas!V82="TaijiShanzi D",953,IF(Atletas!V82="Taijiqiang D",954,IF(Atletas!V82="Bagua de Arma D",955,IF(Atletas!V82="Xingyi de Arma D",956,IF(Atletas!V82="Taijidao E",957,IF(Atletas!V82="TaijiShanzi E",958,IF(Atletas!V82="Taijiqiang E",959,IF(Atletas!V82="Bagua de Arma E",960,IF(Atletas!V82="Xingyi de Arma E",961,IF(Atletas!V82="Taijidao F",962,IF(Atletas!V82="TaijiShanzi F",963,IF(Atletas!V82="Taijiqiang F",964,IF(Atletas!V82="Bagua de Arma F",965,IF(Atletas!V82="Xingyi de Arma F",966,"")))))))))))))))))))))))))))))))</f>
        <v/>
      </c>
      <c r="CE91" s="66" t="str">
        <f>IF(CF91&lt;&gt;"","Yingzhaoquan D","")</f>
        <v/>
      </c>
      <c r="CF91" s="66" t="str">
        <f>IF(COUNTIF(BR:CD,1149)&gt;0,COUNTIF(BR:CD,1149),"")</f>
        <v/>
      </c>
      <c r="CG91" s="66" t="str">
        <f>IF(CH91&lt;&gt;"","Yingzhaoquan D","")</f>
        <v/>
      </c>
      <c r="CH91" s="66" t="str">
        <f>IF(COUNTIF(BR:CD,2149)&gt;0,COUNTIF(BR:CD,2149),"")</f>
        <v/>
      </c>
      <c r="CI91" s="66" t="str">
        <f>IF(CJ91&lt;&gt;"","Fanziquan E","")</f>
        <v/>
      </c>
      <c r="CJ91" s="66" t="str">
        <f>IF(COUNTIF(BR:CD,11155)&gt;0,COUNTIF(BR:CD,11155),"")</f>
        <v/>
      </c>
      <c r="CK91" s="66" t="str">
        <f>IF(CL91&lt;&gt;"","Fanziquan E","")</f>
        <v/>
      </c>
      <c r="CL91" s="66" t="str">
        <f>IF(COUNTIF(BR:CD,12155)&gt;0,COUNTIF(BR:CD,12155),"")</f>
        <v/>
      </c>
      <c r="CM91" s="50" t="str">
        <f xml:space="preserve"> IF(Atletas!W82="","",IF(Atletas!W82="Duilian de Mãos BC - Equipe 1",1,IF(Atletas!W82="Duilian de Mãos BC - Equipe 2",2,IF(Atletas!W82="Duilian de Armas BC - Equipe 1",3,IF(Atletas!W82="Duilian de Armas BC - Equipe 2",4,IF(Atletas!W82="Duilian de Mãos DE - Equipe 1",5,IF(Atletas!W82="Duilian de Mãos DE - Equipe 2",6,IF(Atletas!W82="Duilian de Armas DE - Equipe 1",7,IF(Atletas!W82="Duilian de Armas DE - Equipe 2",8,IF(Atletas!W82="Duilian de Tuishou - Equipe 1",9,IF(Atletas!W82="Duilian de Tuishou - Equipe 2",10,IF(Atletas!W82="Grupo Externo ABC - Equipe 1",11,IF(Atletas!W82="Grupo Externo ABC - Equipe 2",12,IF(Atletas!W82="Grupo Interno ABC - Equipe 1",13,IF(Atletas!W82="Grupo Interno ABC - Equipe 2",14,IF(Atletas!W82="Grupo Externo DEF - Equipe 1",15,IF(Atletas!W82="Grupo Externo DEF - Equipe 2",16,IF(Atletas!W82="Grupo Interno DEF - Equipe 1",17,IF(Atletas!W82="Grupo Interno DEF - Equipe 2",18,"")))))))))))))))))))</f>
        <v/>
      </c>
    </row>
    <row r="92" spans="2:9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 t="str">
        <f t="array" ref="Z92">IFERROR(INDEX(CE$7:CE$348,SMALL(IF(CE$7:CE$348&lt;&gt;"",ROW(CE$7:CE$348)-ROW(CE$7)+1),ROWS(CE$7:CE91))),"")</f>
        <v/>
      </c>
      <c r="AA92" s="3" t="str">
        <f t="array" ref="AA92">IFERROR(INDEX(CF$7:CF$348,SMALL(IF(CF$7:CF$348&lt;&gt;"",ROW(CF$7:CF$348)-ROW(CF$7)+1),ROWS(CF$7:CF91))),"")</f>
        <v/>
      </c>
      <c r="AB92" s="3" t="str">
        <f t="array" ref="AB92">IFERROR(INDEX(CG$7:CG$348,SMALL(IF(CG$7:CG$348&lt;&gt;"",ROW(CG$7:CG$348)-ROW(CG$7)+1),ROWS(CG$7:CG91))),"")</f>
        <v/>
      </c>
      <c r="AC92" s="3" t="str">
        <f t="array" ref="AC92">IFERROR(INDEX(CH$7:CH$348,SMALL(IF(CH$7:CH$348&lt;&gt;"",ROW(CH$7:CH$348)-ROW(CH$7)+1),ROWS(CH$7:CH91))),"")</f>
        <v/>
      </c>
      <c r="AD92" s="3" t="str">
        <f t="array" ref="AD92">IFERROR(INDEX(CI$7:CI$377,SMALL(IF(CI$7:CI$377&lt;&gt;"",ROW(CI$7:CI$377)-ROW(CI$7)+1),ROWS(CI$7:CI91))),"")</f>
        <v/>
      </c>
      <c r="AE92" s="3" t="str">
        <f t="array" ref="AE92">IFERROR(INDEX(CJ$7:CJ$378,SMALL(IF(CJ$7:CJ$378&lt;&gt;"",ROW(CJ$7:CJ$378)-ROW(CJ$7)+1),ROWS(CJ$7:CJ91))),"")</f>
        <v/>
      </c>
      <c r="AF92" s="3" t="str">
        <f t="array" ref="AF92">IFERROR(INDEX(CK$7:CK$378,SMALL(IF(CK$7:CK$378&lt;&gt;"",ROW(CK$7:CK$378)-ROW(CK$7)+1),ROWS(CK$7:CK91))),"")</f>
        <v/>
      </c>
      <c r="AG92" s="3" t="str">
        <f t="array" ref="AG92">IFERROR(INDEX(CL$7:CL$378,SMALL(IF(CL$7:CL$378&lt;&gt;"",ROW(CL$7:CL$378)-ROW(CL$7)+1),ROWS(CL$7:CL91))),"")</f>
        <v/>
      </c>
      <c r="AH92" s="3"/>
      <c r="AI92" s="3"/>
      <c r="AJ92" s="3"/>
      <c r="AK92" s="3"/>
      <c r="AL92" s="3"/>
      <c r="AM92" s="3"/>
      <c r="AN92" s="52" t="str">
        <f>IF(Atletas!D83="","",IF(Atletas!B83="Feminino",100,IF(Atletas!B83="Masculino",200,""))+(IF(Atletas!D83="Kids 30kg",1,IF(Atletas!D83="Kids 32kg",2, IF(Atletas!D83="Kids 34kg",3,IF(Atletas!D83="Kids 36kg",4,IF(Atletas!D83="Kids 39kg",5,IF(Atletas!D83="Kids 42kg",6,IF(Atletas!D83="Kids 45kg",7, IF(Atletas!D83="Infantil 39kg",8,IF(Atletas!D83="Infantil 42kg",9,IF(Atletas!D83="Infantil 45kg",10,IF(Atletas!D83="Infantil 48kg",11,IF(Atletas!D83="Infantil 52kg",12,IF(Atletas!D83="Infantil 56kg",13,IF(Atletas!D83="Infantil 60kg",14,IF(Atletas!D83="Juvenil 48kg",15,IF(Atletas!D83="Juvenil 52kg",16,IF(Atletas!D83="Juvenil 56kg",17,IF(Atletas!D83="Juvenil 60kg",18,IF(Atletas!D83="Juvenil 65kg",19,IF(Atletas!D83="Juvenil 70kg",20,IF(Atletas!D83="Juvenil 75kg",21,IF(Atletas!D83="Juvenil 80kg",22, IF(Atletas!D83="Juvenil 85kg",23,IF(Atletas!D83="Adulto 48kg",24,IF(Atletas!D83="Adulto 52kg",25,IF(Atletas!D83="Adulto 56kg",26,IF(Atletas!D83="Adulto 60kg",27,IF(Atletas!D83="Adulto 65kg",28,IF(Atletas!D83="Adulto 70kg",29,IF(Atletas!D83="Adulto 75kg",30,IF(Atletas!D83="Adulto 80kg",31,IF(Atletas!D83="Adulto 85kg",32,IF(Atletas!D83="Adulto 90kg",33,IF(Atletas!D83="Adulto 100kg",34, IF(Atletas!D83="Adulto +100kg",35,"")))))))))))))))))))))))))))))))))))))</f>
        <v/>
      </c>
      <c r="AS92" s="6" t="str">
        <f>IF(Atletas!E83="","",IF(Atletas!B83="Feminino",100,IF(Atletas!B83="Masculino",200,""))+(IF(Atletas!E83="Juvenil 44kg",1,IF(Atletas!E83="Juvenil 48kg",2,IF(Atletas!E83="Juvenil 52kg",3,IF(Atletas!E83="Juvenil 56kg",4,IF(Atletas!E83="Juvenil 60kg",5,IF(Atletas!E83="Juvenil 65kg",6,IF(Atletas!E83="Juvenil 70kg",7,IF(Atletas!E83="Juvenil 75kg",8,IF(Atletas!E83="Juvenil 82kg",9,IF(Atletas!E83="Juvenil 90kg",10,IF(Atletas!E83="Juvenil 100kg",11,IF(Atletas!E83="Adulto 48kg",12,IF(Atletas!E83="Adulto 52kg",13,IF(Atletas!E83="Adulto 56kg",14,IF(Atletas!E83="Adulto 60kg",15,IF(Atletas!E83="Adulto 65kg",16,IF(Atletas!E83="Adulto 70kg",17,IF(Atletas!E83="Adulto 75kg",18,IF(Atletas!E83="Adulto 82kg",19,IF(Atletas!E83="Adulto 90kg",20,IF(Atletas!E83="Adulto 100kg",21,IF(Atletas!E83="Adulto +100kg",22,""))))))))))))))))))))))))</f>
        <v/>
      </c>
      <c r="AX92" s="6" t="str">
        <f>IF(Atletas!F83="","",IF(Atletas!B83="Feminino",100,IF(Atletas!B83="Masculino",200,""))+(IF(Atletas!F83="Adulto 48kg",1,IF(Atletas!F83="Adulto 56kg",2,IF(Atletas!F83="Adulto 65kg",3,IF(Atletas!F83="Adulto 75kg",4,IF(Atletas!F83="Adulto +75kg",5,IF(Atletas!F83="Adulto 52kg",6,IF(Atletas!F83="Adulto 60kg",7,IF(Atletas!F83="Adulto 70kg",8,IF(Atletas!F83="Adulto 80kg",9,IF(Atletas!F83="Adulto 90kg",10,IF(Atletas!F83="Adulto +90kg",11,"")))))))))))))</f>
        <v/>
      </c>
      <c r="BC92" s="6" t="str">
        <f>IF(Atletas!G83="","",IF(Atletas!B83="Feminino",10,IF(Atletas!B83="Masculino",20,""))+(IF(Atletas!G83="Baduanjin A",1,IF(Atletas!G83="Baduanjin B",2))))</f>
        <v/>
      </c>
      <c r="BF92" s="52" t="str">
        <f>IF(Atletas!H83="","",IF(Atletas!B83="Feminino",100,IF(Atletas!B83="Masculino",200,""))+(IF(Atletas!H83="Changquan Mirim",1,IF(Atletas!H83="Nanquan Mirim",2,IF(Atletas!H83="Taijiquan Mirim",3,IF(Atletas!H83="Changquan Grupo C",4,IF(Atletas!H83="Nanquan Grupo C",5,IF(Atletas!H83="Taijiquan Grupo C",6,IF(Atletas!H83="Changquan Grupo B",7,IF(Atletas!H83="Nanquan Grupo B",8,IF(Atletas!H83="Taijiquan Grupo B",9,IF(Atletas!H83="Changquan Grupo A",10,IF(Atletas!H83="Nanquan Grupo A",11,IF(Atletas!H83="Taijiquan Grupo A",12,IF(Atletas!H83="Changquan Opcional",13,IF(Atletas!H83="Nanquan Opcional",14,IF(Atletas!H83="Taijiquan Opcional",15,IF(Atletas!H83="Changquan Adulto",16,IF(Atletas!H83="Nanquan Adulto",17,IF(Atletas!H83="Taijiquan Adulto",18,""))))))))))))))))))))</f>
        <v/>
      </c>
      <c r="BG92" s="52" t="str">
        <f>IF(Atletas!I83="","",IF(Atletas!B83="Feminino",100,IF(Atletas!B83="Masculino",200,""))+(IF(Atletas!I83="Daoshu Mirim",19,IF(Atletas!I83="Jianshu Mirim",20,IF(Atletas!I83="Nandao Mirim",21,IF(Atletas!I83="Taijijian Mirim",22,IF(Atletas!I83="Daoshu Grupo C",23,IF(Atletas!I83="Jianshu Grupo C",24,IF(Atletas!I83="Nandao Grupo C",25,IF(Atletas!I83="Taijijian Grupo C",26,IF(Atletas!I83="Daoshu Grupo B",27,IF(Atletas!I83="Jianshu Grupo B",28,IF(Atletas!I83="Nandao Grupo B",29,IF(Atletas!I83="Taijijian Grupo B",30,IF(Atletas!I83="Daoshu Grupo A",31,IF(Atletas!I83="Jianshu Grupo A",32,IF(Atletas!I83="Nandao Grupo A",33,IF(Atletas!I83="Taijijian Grupo A",34,IF(Atletas!I83="Daoshu Opcional",35,IF(Atletas!I83="Jianshu Opcional",36,IF(Atletas!I83="Nandao Opcional",37,IF(Atletas!I83="Taijijian Opcional",38,IF(Atletas!I83="Daoshu Adulto",39,IF(Atletas!I83="Jianshu Adulto",40,IF(Atletas!I83="Nandao Adulto",41,IF(Atletas!I83="Taijijian Adulto",42,""))))))))))))))))))))))))))</f>
        <v/>
      </c>
      <c r="BH92" s="52" t="str">
        <f>IF(Atletas!J83="","",IF(Atletas!B83="Feminino",100,IF(Atletas!B83="Masculino",200,""))+(IF(Atletas!J83="Gunshu Mirim",43,IF(Atletas!J83="Qiangshu Mirim",44,IF(Atletas!J83="Nangun Mirim",45,IF(Atletas!J83="Gunshu Grupo C",46,IF(Atletas!J83="Qiangshu Grupo C",47,IF(Atletas!J83="Nangun Grupo C",48,IF(Atletas!J83="Gunshu Grupo B",49,IF(Atletas!J83="Qiangshu Grupo B",50,IF(Atletas!J83="Nangun Grupo B",51,IF(Atletas!J83="Gunshu Grupo A",52,IF(Atletas!J83="Qiangshu Grupo A",53,IF(Atletas!J83="Nangun Grupo A",54,IF(Atletas!J83="Gunshu Opcional",55,IF(Atletas!J83="Qiangshu Opcional",56,IF(Atletas!J83="Nangun Opcional",57,IF(Atletas!J83="Gunshu Adulto",58,IF(Atletas!J83="Qiangshu Adulto",59,IF(Atletas!J83="Nangun Adulto",60,IF(Atletas!J83="Taijishan Grupo B",61,IF(Atletas!J83="Taijishan Grupo A",62,""))))))))))))))))))))))</f>
        <v/>
      </c>
      <c r="BM92" s="50" t="str">
        <f>IF(Atletas!K83="","",IF(Atletas!B83="Feminino",100,IF(Atletas!B83="Masculino",200,""))+(IF(Atletas!K83="Equipe 1 Grupo B",1,IF(Atletas!K83="Equipe 2 Grupo B",2,IF(Atletas!K83="Equipe 1 Grupo A",3,IF(Atletas!K83="Equipe 2 Grupo A",4,IF(Atletas!K83="Equipe 1 Adulto",5,IF(Atletas!K83="Equipe 2 Adulto",6,""))))))))</f>
        <v/>
      </c>
      <c r="BR92" s="50" t="str">
        <f>IF(Atletas!L83="","",IF(Atletas!X83&lt;&gt;"",10000,0)+(IF(Atletas!B83="Feminino",1000,IF(Atletas!B83="Masculino",2000,""))+IF(Atletas!L83="Choylayfut A",1,IF(Atletas!L83="Hunggar A",2,IF(Atletas!L83="Wuzuquan A",3,IF(Atletas!L83="Wingchun A",4,IF(Atletas!L83="Outra Mão de Sul A",5,IF(Atletas!L83="Choylayfut B",6,IF(Atletas!L83="Hunggar B",7,IF(Atletas!L83="Wuzuquan B",8,IF(Atletas!L83="Wingchun B",9,IF(Atletas!L83="Outra Mão de Sul B",10,IF(Atletas!L83="Choylayfut C",11,IF(Atletas!L83="Hunggar C",12,IF(Atletas!L83="Wuzuquan C",13,IF(Atletas!L83="Wingchun C",14,IF(Atletas!L83="Outra Mão de Sul C",15,IF(Atletas!L83="Choylayfut D",16,IF(Atletas!L83="Hunggar D",17,IF(Atletas!L83="Wuzuquan D",18,IF(Atletas!L83="Wingchun D",19,IF(Atletas!L83="Outra Mão de Sul D",20,IF(Atletas!L83="Choylayfut E",21,IF(Atletas!L83="Hunggar E",22,IF(Atletas!L83="Wuzuquan E",23,IF(Atletas!L83="Wingchun E",24,IF(Atletas!L83="Outra Mão de Sul E",25,IF(Atletas!L83="Choylayfut F",26,IF(Atletas!L83="Hunggar F",27,IF(Atletas!L83="Wuzuquan F",28,IF(Atletas!L83="Wingchun F",29,IF(Atletas!L83="Outra Mão de Sul F",30,IF(Atletas!L83="Dishuquan A",31,IF(Atletas!L83="Dishuquan B",32,IF(Atletas!L83="Dishuquan C",33,IF(Atletas!L83="Dishuquan D",34,IF(Atletas!L83="Dishuquan E",35,IF(Atletas!L83="Dishuquan F",36,""))))))))))))))))))))))))))))))))))))))</f>
        <v/>
      </c>
      <c r="BS92" s="50" t="str">
        <f>IF(Atletas!M83="","",IF(Atletas!X83&lt;&gt;"",10000,0)+(IF(Atletas!B83="Feminino",1000,IF(Atletas!B83="Masculino",2000,""))+(IF(Atletas!M83="Chaquan A",101,IF(Atletas!M83="Emeiquan A",102,IF(Atletas!M83="Fanziquan A",103,IF(Atletas!M83="Huaquan A",104,IF(Atletas!M83="Hongquan A",105,IF(Atletas!M83="Paoquan A",106,IF(Atletas!M83="Piguaquan A",107,IF(Atletas!M83="Shaolinquan A",108,IF(Atletas!M83="Tanglangquan A",109,IF(Atletas!M83="Yingzhaoquan A",110,IF(Atletas!M83="Tongbeiquan A",111,IF(Atletas!M83="Wudangquan A",112,IF(Atletas!M83="Outros Estilos A",113,IF(Atletas!M83="Chaquan B",114,IF(Atletas!M83="Emeiquan B",115,IF(Atletas!M83="Fanziquan B",116,IF(Atletas!M83="Huaquan B",117,IF(Atletas!M83="Hongquan B",118,IF(Atletas!M83="Paoquan B",119,IF(Atletas!M83="Piguaquan B",120,IF(Atletas!M83="Shaolinquan B",121,IF(Atletas!M83="Tanglangquan B",122,IF(Atletas!M83="Yingzhaoquan B",123,IF(Atletas!M83="Tongbeiquan B",124,IF(Atletas!M83="Wudangquan B",125,IF(Atletas!M83="Outros Estilos B",126,IF(Atletas!M83="Chaquan C",127,IF(Atletas!M83="Emeiquan C",128,IF(Atletas!M83="Fanziquan C",129,IF(Atletas!M83="Huaquan C",130,IF(Atletas!M83="Hongquan C",131,IF(Atletas!M83="Paoquan C",132,IF(Atletas!M83="Piguaquan C",133,IF(Atletas!M83="Shaolinquan C",134,IF(Atletas!M83="Tanglangquan C",135,IF(Atletas!M83="Yingzhaoquan C",136,IF(Atletas!M83="Tongbeiquan C",137,IF(Atletas!M83="Wudangquan C",138,IF(Atletas!M83="Outros Estilos C",139,0))))))))))))))))))))))))))))))))))))))))))</f>
        <v/>
      </c>
      <c r="BT92" s="50" t="str">
        <f>IF(Atletas!M83="","",IF(Atletas!X83&lt;&gt;"",10000,0)+(IF(Atletas!B83="Feminino",1000,IF(Atletas!B83="Masculino",2000,""))+(IF(Atletas!M83="Chaquan D",140,IF(Atletas!M83="Emeiquan D",141,IF(Atletas!M83="Fanziquan D",142,IF(Atletas!M83="Huaquan D",143,IF(Atletas!M83="Hongquan D",144,IF(Atletas!M83="Paoquan D",145,IF(Atletas!M83="Piguaquan D",146,IF(Atletas!M83="Shaolinquan D",147,IF(Atletas!M83="Tanglangquan D",148,IF(Atletas!M83="Yingzhaoquan D",149,IF(Atletas!M83="Tongbeiquan D",150,IF(Atletas!M83="Wudangquan D",151,IF(Atletas!M83="Outros Estilos D",152,IF(Atletas!M83="Chaquan E",153,IF(Atletas!M83="Emeiquan E",154,IF(Atletas!M83="Fanziquan E",155,IF(Atletas!M83="Huaquan E",156,IF(Atletas!M83="Hongquan E",157,IF(Atletas!M83="Paoquan E",158,IF(Atletas!M83="Piguaquan E",159,IF(Atletas!M83="Shaolinquan E",160,IF(Atletas!M83="Tanglangquan E",161,IF(Atletas!M83="Yingzhaoquan E",162,IF(Atletas!M83="Tongbeiquan E",163,IF(Atletas!M83="Wudangquan E",164,IF(Atletas!M83="Outros Estilos E",165,IF(Atletas!M83="Chaquan F",166,IF(Atletas!M83="Emeiquan F",167,IF(Atletas!M83="Fanziquan F",168,IF(Atletas!M83="Huaquan F",169,IF(Atletas!M83="Hongquan F",170,IF(Atletas!M83="Paoquan F",171,IF(Atletas!M83="Piguaquan F",172,IF(Atletas!M83="Shaolinquan F",173,IF(Atletas!M83="Tanglangquan F",174,IF(Atletas!M83="Yingzhaoquan F",175,IF(Atletas!M83="Tongbeiquan F",176,IF(Atletas!M83="Wudangquan F",177,IF(Atletas!M83="Outros Estilos F",178,0))))))))))))))))))))))))))))))))))))))))))</f>
        <v/>
      </c>
      <c r="BU92" s="50" t="str">
        <f>IF(Atletas!N83="","",IF(Atletas!X83&lt;&gt;"",10000,0)+(IF(Atletas!B83="Feminino",1000,IF(Atletas!B83="Masculino",2000,""))+(IF(Atletas!N83="Ditangquan A",201,IF(Atletas!N83="Houquan A",202,IF(Atletas!N83="Zuiquan A",203,IF(Atletas!N83="Ditangquan B",204,IF(Atletas!N83="Houquan B",205,IF(Atletas!N83="Zuiquan B",206,IF(Atletas!N83="Ditangquan C",207,IF(Atletas!N83="Houquan C",208,IF(Atletas!N83="Zuiquan C",209,IF(Atletas!N83="Ditangquan D",210,IF(Atletas!N83="Houquan D",211,IF(Atletas!N83="Zuiquan D",212,IF(Atletas!N83="Ditangquan E",213,IF(Atletas!N83="Houquan E",214,IF(Atletas!N83="Zuiquan E",215,IF(Atletas!N83="Ditangquan F",216,IF(Atletas!N83="Houquan F",217,IF(Atletas!N83="Zuiquan F",218,"")))))))))))))))))))))</f>
        <v/>
      </c>
      <c r="BV92" s="50" t="str">
        <f>IF(Atletas!O83="","",IF(Atletas!X83&lt;&gt;"",10000,0)+IF(Atletas!B83="Feminino",1000,IF(Atletas!B83="Masculino",2000,""))+IF(Atletas!O83="Yang A",301,IF(Atletas!O83="Chen A",302,IF(Atletas!O83="Sun A",303,IF(Atletas!O83="Wu A",304,IF(Atletas!O83="Wu-Hao A",305,IF(Atletas!O83="Outro Taijiquan A",306,IF(Atletas!O83="Yang B",307,IF(Atletas!O83="Chen B",308,IF(Atletas!O83="Sun B",309,IF(Atletas!O83="Wu B",310,IF(Atletas!O83="Wu-Hao B",311,IF(Atletas!O83="Outro Taijiquan B",312,IF(Atletas!O83="Yang C",313,IF(Atletas!O83="Chen C",314,IF(Atletas!O83="Sun C",315,IF(Atletas!O83="Wu C",316,IF(Atletas!O83="Wu-Hao C",317,IF(Atletas!O83="Outro Taijiquan C",318,IF(Atletas!O83="Yang D",319,IF(Atletas!O83="Chen D",320,IF(Atletas!O83="Sun D",321,IF(Atletas!O83="Wu D",322,IF(Atletas!O83="Wu-Hao D",323,IF(Atletas!O83="Outro Taijiquan D",324,IF(Atletas!O83="Yang E",325,IF(Atletas!O83="Chen E",326,IF(Atletas!O83="Sun E",327,IF(Atletas!O83="Wu E",328,IF(Atletas!O83="Wu-Hao E",329,IF(Atletas!O83="Outro Taijiquan E",330,IF(Atletas!O83="Yang F",331,IF(Atletas!O83="Chen F",332,IF(Atletas!O83="Sun F",333,IF(Atletas!O83="Wu F",334,IF(Atletas!O83="Wu-Hao F",335,IF(Atletas!O83="Outro Taijiquan F",336,"")))))))))))))))))))))))))))))))))))))</f>
        <v/>
      </c>
      <c r="BW92" s="50" t="str">
        <f>IF(Atletas!P83="","",IF(Atletas!X83&lt;&gt;"",10000,0)+IF(Atletas!B83="Feminino",1000,IF(Atletas!B83="Masculino",2000,""))+IF(OR(Atletas!P83="Yang 26 A",Atletas!P83="Yang 40 A"),401,IF(OR(Atletas!P83="Chen 25 A",Atletas!P83="Chen 36 A",Atletas!P83="Chen 56 A"),402,IF(Atletas!P83="Sun 73 A",403,IF(Atletas!P83="Wu 45 A",404,IF(Atletas!P83="Wu-Hao 46 A",405,IF(OR(Atletas!P83="Taijiquan 16 A",Atletas!P83="Taijiquan 24 A",Atletas!P83="Taijiquan 32 A",Atletas!P83="Taijiquan 42 A"),406,IF(OR(Atletas!P83="Yang 26 B",Atletas!P83="Yang 40 B"),407,IF(OR(Atletas!P83="Chen 25 B",Atletas!P83="Chen 36 B",Atletas!P83="Chen 56 B"),408,IF(Atletas!P83="Sun 73 B",409,IF(Atletas!P83="Wu 45 B",410,IF(Atletas!P83="Wu-Hao 46 B",411,IF(OR(Atletas!P83="Taijiquan 16 B",Atletas!P83="Taijiquan 24 B",Atletas!P83="Taijiquan 32 B",Atletas!P83="Taijiquan 42 B"),412,IF(OR(Atletas!P83="Yang 26 C",Atletas!P83="Yang 40 C"),413,IF(OR(Atletas!P83="Chen 25 C",Atletas!P83="Chen 36 C",Atletas!P83="Chen 56 C"),414,IF(Atletas!P83="Sun 73 C",415,IF(Atletas!P83="Wu 45 C",416,IF(Atletas!P83="Wu-Hao 46 C",417,IF(OR(Atletas!P83="Taijiquan 16 C",Atletas!P83="Taijiquan 24 C",Atletas!P83="Taijiquan 32 C",Atletas!P83="Taijiquan 42 C"),418,0)))))))))))))))))))</f>
        <v/>
      </c>
      <c r="BX92" s="50" t="str">
        <f>IF(Atletas!P83="","",IF(Atletas!X83&lt;&gt;"",10000,0)+IF(Atletas!B83="Feminino",1000,IF(Atletas!B83="Masculino",2000,""))+IF(OR(Atletas!P83="Yang 26 D",Atletas!P83="Yang 40 D"),419,IF(OR(Atletas!P83="Chen 25 D",Atletas!P83="Chen 36 D",Atletas!P83="Chen 56 D"),420,IF(Atletas!P83="Sun 73 D",421,IF(Atletas!P83="Wu 45 D",422,IF(Atletas!P83="Wu-Hao 46 D",423,IF(OR(Atletas!P83="Taijiquan 16 D",Atletas!P83="Taijiquan 24 D",Atletas!P83="Taijiquan 32 D",Atletas!P83="Taijiquan 42 D"),424,IF(OR(Atletas!P83="Yang 26 E",Atletas!P83="Yang 40 E"),425,IF(OR(Atletas!P83="Chen 25 E",Atletas!P83="Chen 36 E",Atletas!P83="Chen 56 E"),426,IF(Atletas!P83="Sun 73 E",427,IF(Atletas!P83="Wu 45 E",428,IF(Atletas!P83="Wu-Hao 46 E",429,IF(OR(Atletas!P83="Taijiquan 16 E",Atletas!P83="Taijiquan 24 E",Atletas!P83="Taijiquan 32 E",Atletas!P83="Taijiquan 42 E"),430,IF(OR(Atletas!P83="Yang 26 F",Atletas!P83="Yang 40 F"),431,IF(OR(Atletas!P83="Chen 25 F",Atletas!P83="Chen 36 F",Atletas!P83="Chen 56 F"),432,IF(Atletas!P83="Sun 73 F",433,IF(Atletas!P83="Wu 45 F",434,IF(Atletas!P83="Wu-Hao 46 F",435,IF(OR(Atletas!P83="Taijiquan 16 F",Atletas!P83="Taijiquan 24 F",Atletas!P83="Taijiquan 32 F",Atletas!P83="Taijiquan 42 F"),436,0)))))))))))))))))))</f>
        <v/>
      </c>
      <c r="BY92" s="50" t="str">
        <f>IF(Atletas!Q83="","",IF(Atletas!X83&lt;&gt;"",10000,0)+IF(Atletas!B83="Feminino",1000,IF(Atletas!B83="Masculino",2000,""))+IF(Atletas!Q83="Xingyiquan A",501,IF(Atletas!Q83="Baguazhang A",502,IF(Atletas!Q83="Outro Estilo Interno A",503,IF(Atletas!Q83="Xingyiquan B",504,IF(Atletas!Q83="Baguazhang B",505,IF(Atletas!Q83="Outro Estilo Interno B",506,IF(Atletas!Q83="Xingyiquan C",507,IF(Atletas!Q83="Baguazhang C",508,IF(Atletas!Q83="Outro Estilo Interno C",509,IF(Atletas!Q83="Xingyiquan D",510,IF(Atletas!Q83="Baguazhang D",511,IF(Atletas!Q83="Outro Estilo Interno D",512,IF(Atletas!Q83="Xingyiquan E",513,IF(Atletas!Q83="Baguazhang E",514,IF(Atletas!Q83="Outro Estilo Interno E",515,IF(Atletas!Q83="Xingyiquan F",516,IF(Atletas!Q83="Baguazhang F",517,IF(Atletas!Q83="Outro Estilo Interno F",518, "")))))))))))))))))))</f>
        <v/>
      </c>
      <c r="BZ92" s="50" t="str">
        <f>IF(Atletas!R83="","",IF(Atletas!X83&lt;&gt;"",10000,0)+IF(Atletas!B83="Feminino",1000,IF(Atletas!B83="Masculino",2000,""))+IF(Atletas!R83="Dao A",601,IF(Atletas!R83="Jian A",602,IF(Atletas!R83="Bishou A",603,IF(Atletas!R83="Shanzi A",604,IF(Atletas!R83="Outra Arma Curta A",605,IF(Atletas!R83="Dao B",606,IF(Atletas!R83="Jian B",607,IF(Atletas!R83="Bishou B",608,IF(Atletas!R83="Shanzi B",609,IF(Atletas!R83="Outra Arma Curta B",610,IF(Atletas!R83="Dao C",611,IF(Atletas!R83="Jian C",612,IF(Atletas!R83="Bishou C",613,IF(Atletas!R83="Shanzi C",614,IF(Atletas!R83="Outra Arma Curta C",615,IF(Atletas!R83="Dao D",616,IF(Atletas!R83="Jian D",617,IF(Atletas!R83="Bishou D",618,IF(Atletas!R83="Shanzi D",619,IF(Atletas!R83="Outra Arma Curta D",620,IF(Atletas!R83="Dao E",621,IF(Atletas!R83="Jian E",622,IF(Atletas!R83="Bishou E",623,IF(Atletas!R83="Shanzi E",624,IF(Atletas!R83="Outra Arma Curta E",625,IF(Atletas!R83="Dao F",626,IF(Atletas!R83="Jian F",627,IF(Atletas!R83="Bishou F",628,IF(Atletas!R83="Shanzi F",629,IF(Atletas!R83="Outra Arma Curta F",630, "")))))))))))))))))))))))))))))))</f>
        <v/>
      </c>
      <c r="CA92" s="50" t="str">
        <f>IF(Atletas!S83="","",IF(Atletas!X83&lt;&gt;"",10000,0)+IF(Atletas!B83="Feminino",1000,IF(Atletas!B83="Masculino",2000,""))+IF(Atletas!S83="Gun A",701,IF(Atletas!S83="Qiang A",702,IF(Atletas!S83="Pudao / Guandao A",703,IF(Atletas!S83="Outra Arma Longa A",704,IF(Atletas!S83="Gun B",705,IF(Atletas!S83="Qiang B",706,IF(Atletas!S83="Pudao / Guandao B",707,IF(Atletas!S83="Outra Arma Longa B",708,IF(Atletas!S83="Gun C",709,IF(Atletas!S83="Qiang C",710,IF(Atletas!S83="Pudao / Guandao C",711,IF(Atletas!S83="Outra Arma Longa C",712,IF(Atletas!S83="Gun D",713,IF(Atletas!S83="Qiang D",714,IF(Atletas!S83="Pudao / Guandao D",715,IF(Atletas!S83="Outra Arma Longa D",716,IF(Atletas!S83="Gun E",717,IF(Atletas!S83="Qiang E",718,IF(Atletas!S83="Pudao / Guandao E",719,IF(Atletas!S83="Outra Arma Longa E",720,IF(Atletas!S83="Gun F",721,IF(Atletas!S83="Qiang F",722,IF(Atletas!S83="Pudao / Guandao F",723,IF(Atletas!S83="Outra Arma Longa F",724,"")))))))))))))))))))))))))</f>
        <v/>
      </c>
      <c r="CB92" s="50" t="str">
        <f>IF(Atletas!T83="","",IF(Atletas!X83&lt;&gt;"",10000,0)+IF(Atletas!B83="Feminino",1000,IF(Atletas!B83="Masculino",2000,""))+IF(Atletas!T83="Outra Arma Dupla A",801,IF(Atletas!T83="Arma Maleável A",802,IF(Atletas!T83="Outra Arma Dupla B",803,IF(Atletas!T83="Arma Maleável B",804,IF(Atletas!T83="Outra Arma Dupla C",805,IF(Atletas!T83="Arma Maleável C",806,IF(Atletas!T83="Outra Arma Dupla D",807,IF(Atletas!T83="Arma Maleável D",808,IF(Atletas!T83="Outra Arma Dupla E",809,IF(Atletas!T83="Arma Maleável E",810,IF(Atletas!T83="Outra Arma Dupla F",811,IF(Atletas!T83="Arma Maleável F",812,IF(Atletas!T83="Shuangdao A",813,IF(Atletas!T83="Shuangdao B",814,IF(Atletas!T83="Shuangdao C",815,IF(Atletas!T83="Shuangdao D",816,IF(Atletas!T83="Shuangdao E",817,IF(Atletas!T83="Shuangdao F",818,"")))))))))))))))))))</f>
        <v/>
      </c>
      <c r="CC92" s="50" t="str">
        <f>IF(Atletas!U83="","",IF(Atletas!X83&lt;&gt;"",10000,0)+IF(Atletas!B83="Feminino",1000,IF(Atletas!B83="Masculino",2000,""))+IF(OR(Atletas!U83="Taijijian Yang A",Atletas!U83="Taijijian Yang Standard A"),901,IF(OR(Atletas!U83="Taijijian Chen A", Atletas!U83="Taijijian Chen Standard A"),902,IF(Atletas!U83="Taijijian Sun A",903,IF(Atletas!U83="Taijijian Wu A",904,IF(Atletas!U83="Taijijian Wu-Hao A",905,IF(OR(Atletas!U83="Taijijian 32 A",Atletas!U83="Taijijian 42 A"),906,IF(OR(Atletas!U83="Taijijian Yang B",Atletas!U83="Taijijian Yang Standard B"),907,IF(OR(Atletas!U83="Taijijian Chen B", Atletas!U83="Taijijian Chen Standard B"),908,IF(Atletas!U83="Taijijian Sun B",909,IF(Atletas!U83="Taijijian Wu B",910,IF(Atletas!U83="Taijijian Wu-Hao B",911,IF(OR(Atletas!U83="Taijijian 32 B",Atletas!U83="Taijijian 42 B"),912,IF(OR(Atletas!U83="Taijijian Yang C",Atletas!U83="Taijijian Yang Standard C"),913,IF(OR(Atletas!U83="Taijijian Chen C", Atletas!U83="Taijijian Chen Standard C"),914,IF(Atletas!U83="Taijijian Sun C",915,IF(Atletas!U83="Taijijian Wu C",916,IF(Atletas!U83="Taijijian Wu-Hao C",917,IF(OR(Atletas!U83="Taijijian 32 C",Atletas!U83="Taijijian 42 C"),918,IF(OR(Atletas!U83="Taijijian Yang D",Atletas!U83="Taijijian Yang Standard D"),919,IF(OR(Atletas!U83="Taijijian Chen D", Atletas!U83="Taijijian Chen Standard D"),920,IF(Atletas!U83="Taijijian Sun D",921,IF(Atletas!U83="Taijijian Wu D",922,IF(Atletas!U83="Taijijian Wu-Hao D",923,IF(OR(Atletas!U83="Taijijian 32 D",Atletas!U83="Taijijian 42 D"),924,IF(OR(Atletas!U83="Taijijian Yang E",Atletas!U83="Taijijian Yang Standard E"),925,IF(OR(Atletas!U83="Taijijian Chen E", Atletas!U83="Taijijian Chen Standard E"),926,IF(Atletas!U83="Taijijian Sun E",927,IF(Atletas!U83="Taijijian Wu E",928,IF(Atletas!U83="Taijijian Wu-Hao E",929,IF(OR(Atletas!U83="Taijijian 32 E",Atletas!U83="Taijijian 42 E"),930,IF(OR(Atletas!U83="Taijijian Yang F",Atletas!U83="Taijijian Yang Standard F"),931,IF(OR(Atletas!U83="Taijijian Chen F", Atletas!U83="Taijijian Chen Standard F"),932,IF(Atletas!U83="Taijijian Sun F",933,IF(Atletas!U83="Taijijian Wu F",934,IF(Atletas!U83="Taijijian Wu-Hao F",935,IF(OR(Atletas!U83="Taijijian 32 F",Atletas!U83="Taijijian 42 F"),936,"")))))))))))))))))))))))))))))))))))))</f>
        <v/>
      </c>
      <c r="CD92" s="50" t="str">
        <f>IF(Atletas!V83="","",IF(Atletas!X83&lt;&gt;"",10000,0)+IF(Atletas!B83="Feminino",1000,IF(Atletas!B83="Masculino",2000,""))+IF(Atletas!V83="Taijidao A",937,IF(Atletas!V83="TaijiShanzi A",938,IF(Atletas!V83="Taijiqiang A",939,IF(Atletas!V83="Bagua de Arma A",940,IF(Atletas!V83="Xingyi de Arma A",941,IF(Atletas!V83="Taijidao B",942,IF(Atletas!V83="TaijiShanzi B",943,IF(Atletas!V83="Taijiqiang B",944,IF(Atletas!V83="Bagua de Arma B",945,IF(Atletas!V83="Xingyi de Arma B",946,IF(Atletas!V83="Taijidao C",947,IF(Atletas!V83="TaijiShanzi C",948,IF(Atletas!V83="Taijiqiang C",949,IF(Atletas!V83="Bagua de Arma C",950,IF(Atletas!V83="Xingyi de Arma C",951,IF(Atletas!V83="Taijidao D",952,IF(Atletas!V83="TaijiShanzi D",953,IF(Atletas!V83="Taijiqiang D",954,IF(Atletas!V83="Bagua de Arma D",955,IF(Atletas!V83="Xingyi de Arma D",956,IF(Atletas!V83="Taijidao E",957,IF(Atletas!V83="TaijiShanzi E",958,IF(Atletas!V83="Taijiqiang E",959,IF(Atletas!V83="Bagua de Arma E",960,IF(Atletas!V83="Xingyi de Arma E",961,IF(Atletas!V83="Taijidao F",962,IF(Atletas!V83="TaijiShanzi F",963,IF(Atletas!V83="Taijiqiang F",964,IF(Atletas!V83="Bagua de Arma F",965,IF(Atletas!V83="Xingyi de Arma F",966,"")))))))))))))))))))))))))))))))</f>
        <v/>
      </c>
      <c r="CE92" s="66" t="str">
        <f>IF(CF92&lt;&gt;"","Tongbeiquan D","")</f>
        <v/>
      </c>
      <c r="CF92" s="66" t="str">
        <f>IF(COUNTIF(BR:CD,1150)&gt;0,COUNTIF(BR:CD,1150),"")</f>
        <v/>
      </c>
      <c r="CG92" s="66" t="str">
        <f>IF(CH92&lt;&gt;"","Tongbeiquan D","")</f>
        <v/>
      </c>
      <c r="CH92" s="66" t="str">
        <f>IF(COUNTIF(BR:CD,2150)&gt;0,COUNTIF(BR:CD,2150),"")</f>
        <v/>
      </c>
      <c r="CI92" s="66" t="str">
        <f>IF(CJ92&lt;&gt;"","Huaquan E","")</f>
        <v/>
      </c>
      <c r="CJ92" s="66" t="str">
        <f>IF(COUNTIF(BR:CD,11156)&gt;0,COUNTIF(BR:CD,11156),"")</f>
        <v/>
      </c>
      <c r="CK92" s="66" t="str">
        <f>IF(CL92&lt;&gt;"","Huaquan E","")</f>
        <v/>
      </c>
      <c r="CL92" s="66" t="str">
        <f>IF(COUNTIF(BR:CD,12156)&gt;0,COUNTIF(BR:CD,12156),"")</f>
        <v/>
      </c>
      <c r="CM92" s="50" t="str">
        <f xml:space="preserve"> IF(Atletas!W83="","",IF(Atletas!W83="Duilian de Mãos BC - Equipe 1",1,IF(Atletas!W83="Duilian de Mãos BC - Equipe 2",2,IF(Atletas!W83="Duilian de Armas BC - Equipe 1",3,IF(Atletas!W83="Duilian de Armas BC - Equipe 2",4,IF(Atletas!W83="Duilian de Mãos DE - Equipe 1",5,IF(Atletas!W83="Duilian de Mãos DE - Equipe 2",6,IF(Atletas!W83="Duilian de Armas DE - Equipe 1",7,IF(Atletas!W83="Duilian de Armas DE - Equipe 2",8,IF(Atletas!W83="Duilian de Tuishou - Equipe 1",9,IF(Atletas!W83="Duilian de Tuishou - Equipe 2",10,IF(Atletas!W83="Grupo Externo ABC - Equipe 1",11,IF(Atletas!W83="Grupo Externo ABC - Equipe 2",12,IF(Atletas!W83="Grupo Interno ABC - Equipe 1",13,IF(Atletas!W83="Grupo Interno ABC - Equipe 2",14,IF(Atletas!W83="Grupo Externo DEF - Equipe 1",15,IF(Atletas!W83="Grupo Externo DEF - Equipe 2",16,IF(Atletas!W83="Grupo Interno DEF - Equipe 1",17,IF(Atletas!W83="Grupo Interno DEF - Equipe 2",18,"")))))))))))))))))))</f>
        <v/>
      </c>
    </row>
    <row r="93" spans="2:9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 t="str">
        <f t="array" ref="Z93">IFERROR(INDEX(CE$7:CE$348,SMALL(IF(CE$7:CE$348&lt;&gt;"",ROW(CE$7:CE$348)-ROW(CE$7)+1),ROWS(CE$7:CE92))),"")</f>
        <v/>
      </c>
      <c r="AA93" s="3" t="str">
        <f t="array" ref="AA93">IFERROR(INDEX(CF$7:CF$348,SMALL(IF(CF$7:CF$348&lt;&gt;"",ROW(CF$7:CF$348)-ROW(CF$7)+1),ROWS(CF$7:CF92))),"")</f>
        <v/>
      </c>
      <c r="AB93" s="3" t="str">
        <f t="array" ref="AB93">IFERROR(INDEX(CG$7:CG$348,SMALL(IF(CG$7:CG$348&lt;&gt;"",ROW(CG$7:CG$348)-ROW(CG$7)+1),ROWS(CG$7:CG92))),"")</f>
        <v/>
      </c>
      <c r="AC93" s="3" t="str">
        <f t="array" ref="AC93">IFERROR(INDEX(CH$7:CH$348,SMALL(IF(CH$7:CH$348&lt;&gt;"",ROW(CH$7:CH$348)-ROW(CH$7)+1),ROWS(CH$7:CH92))),"")</f>
        <v/>
      </c>
      <c r="AD93" s="3" t="str">
        <f t="array" ref="AD93">IFERROR(INDEX(CI$7:CI$377,SMALL(IF(CI$7:CI$377&lt;&gt;"",ROW(CI$7:CI$377)-ROW(CI$7)+1),ROWS(CI$7:CI92))),"")</f>
        <v/>
      </c>
      <c r="AE93" s="3" t="str">
        <f t="array" ref="AE93">IFERROR(INDEX(CJ$7:CJ$378,SMALL(IF(CJ$7:CJ$378&lt;&gt;"",ROW(CJ$7:CJ$378)-ROW(CJ$7)+1),ROWS(CJ$7:CJ92))),"")</f>
        <v/>
      </c>
      <c r="AF93" s="3" t="str">
        <f t="array" ref="AF93">IFERROR(INDEX(CK$7:CK$378,SMALL(IF(CK$7:CK$378&lt;&gt;"",ROW(CK$7:CK$378)-ROW(CK$7)+1),ROWS(CK$7:CK92))),"")</f>
        <v/>
      </c>
      <c r="AG93" s="3" t="str">
        <f t="array" ref="AG93">IFERROR(INDEX(CL$7:CL$378,SMALL(IF(CL$7:CL$378&lt;&gt;"",ROW(CL$7:CL$378)-ROW(CL$7)+1),ROWS(CL$7:CL92))),"")</f>
        <v/>
      </c>
      <c r="AH93" s="3"/>
      <c r="AI93" s="3"/>
      <c r="AJ93" s="3"/>
      <c r="AK93" s="3"/>
      <c r="AL93" s="3"/>
      <c r="AM93" s="3"/>
      <c r="AN93" s="52" t="str">
        <f>IF(Atletas!D84="","",IF(Atletas!B84="Feminino",100,IF(Atletas!B84="Masculino",200,""))+(IF(Atletas!D84="Kids 30kg",1,IF(Atletas!D84="Kids 32kg",2, IF(Atletas!D84="Kids 34kg",3,IF(Atletas!D84="Kids 36kg",4,IF(Atletas!D84="Kids 39kg",5,IF(Atletas!D84="Kids 42kg",6,IF(Atletas!D84="Kids 45kg",7, IF(Atletas!D84="Infantil 39kg",8,IF(Atletas!D84="Infantil 42kg",9,IF(Atletas!D84="Infantil 45kg",10,IF(Atletas!D84="Infantil 48kg",11,IF(Atletas!D84="Infantil 52kg",12,IF(Atletas!D84="Infantil 56kg",13,IF(Atletas!D84="Infantil 60kg",14,IF(Atletas!D84="Juvenil 48kg",15,IF(Atletas!D84="Juvenil 52kg",16,IF(Atletas!D84="Juvenil 56kg",17,IF(Atletas!D84="Juvenil 60kg",18,IF(Atletas!D84="Juvenil 65kg",19,IF(Atletas!D84="Juvenil 70kg",20,IF(Atletas!D84="Juvenil 75kg",21,IF(Atletas!D84="Juvenil 80kg",22, IF(Atletas!D84="Juvenil 85kg",23,IF(Atletas!D84="Adulto 48kg",24,IF(Atletas!D84="Adulto 52kg",25,IF(Atletas!D84="Adulto 56kg",26,IF(Atletas!D84="Adulto 60kg",27,IF(Atletas!D84="Adulto 65kg",28,IF(Atletas!D84="Adulto 70kg",29,IF(Atletas!D84="Adulto 75kg",30,IF(Atletas!D84="Adulto 80kg",31,IF(Atletas!D84="Adulto 85kg",32,IF(Atletas!D84="Adulto 90kg",33,IF(Atletas!D84="Adulto 100kg",34, IF(Atletas!D84="Adulto +100kg",35,"")))))))))))))))))))))))))))))))))))))</f>
        <v/>
      </c>
      <c r="AS93" s="6" t="str">
        <f>IF(Atletas!E84="","",IF(Atletas!B84="Feminino",100,IF(Atletas!B84="Masculino",200,""))+(IF(Atletas!E84="Juvenil 44kg",1,IF(Atletas!E84="Juvenil 48kg",2,IF(Atletas!E84="Juvenil 52kg",3,IF(Atletas!E84="Juvenil 56kg",4,IF(Atletas!E84="Juvenil 60kg",5,IF(Atletas!E84="Juvenil 65kg",6,IF(Atletas!E84="Juvenil 70kg",7,IF(Atletas!E84="Juvenil 75kg",8,IF(Atletas!E84="Juvenil 82kg",9,IF(Atletas!E84="Juvenil 90kg",10,IF(Atletas!E84="Juvenil 100kg",11,IF(Atletas!E84="Adulto 48kg",12,IF(Atletas!E84="Adulto 52kg",13,IF(Atletas!E84="Adulto 56kg",14,IF(Atletas!E84="Adulto 60kg",15,IF(Atletas!E84="Adulto 65kg",16,IF(Atletas!E84="Adulto 70kg",17,IF(Atletas!E84="Adulto 75kg",18,IF(Atletas!E84="Adulto 82kg",19,IF(Atletas!E84="Adulto 90kg",20,IF(Atletas!E84="Adulto 100kg",21,IF(Atletas!E84="Adulto +100kg",22,""))))))))))))))))))))))))</f>
        <v/>
      </c>
      <c r="AX93" s="6" t="str">
        <f>IF(Atletas!F84="","",IF(Atletas!B84="Feminino",100,IF(Atletas!B84="Masculino",200,""))+(IF(Atletas!F84="Adulto 48kg",1,IF(Atletas!F84="Adulto 56kg",2,IF(Atletas!F84="Adulto 65kg",3,IF(Atletas!F84="Adulto 75kg",4,IF(Atletas!F84="Adulto +75kg",5,IF(Atletas!F84="Adulto 52kg",6,IF(Atletas!F84="Adulto 60kg",7,IF(Atletas!F84="Adulto 70kg",8,IF(Atletas!F84="Adulto 80kg",9,IF(Atletas!F84="Adulto 90kg",10,IF(Atletas!F84="Adulto +90kg",11,"")))))))))))))</f>
        <v/>
      </c>
      <c r="BC93" s="6" t="str">
        <f>IF(Atletas!G84="","",IF(Atletas!B84="Feminino",10,IF(Atletas!B84="Masculino",20,""))+(IF(Atletas!G84="Baduanjin A",1,IF(Atletas!G84="Baduanjin B",2))))</f>
        <v/>
      </c>
      <c r="BF93" s="52" t="str">
        <f>IF(Atletas!H84="","",IF(Atletas!B84="Feminino",100,IF(Atletas!B84="Masculino",200,""))+(IF(Atletas!H84="Changquan Mirim",1,IF(Atletas!H84="Nanquan Mirim",2,IF(Atletas!H84="Taijiquan Mirim",3,IF(Atletas!H84="Changquan Grupo C",4,IF(Atletas!H84="Nanquan Grupo C",5,IF(Atletas!H84="Taijiquan Grupo C",6,IF(Atletas!H84="Changquan Grupo B",7,IF(Atletas!H84="Nanquan Grupo B",8,IF(Atletas!H84="Taijiquan Grupo B",9,IF(Atletas!H84="Changquan Grupo A",10,IF(Atletas!H84="Nanquan Grupo A",11,IF(Atletas!H84="Taijiquan Grupo A",12,IF(Atletas!H84="Changquan Opcional",13,IF(Atletas!H84="Nanquan Opcional",14,IF(Atletas!H84="Taijiquan Opcional",15,IF(Atletas!H84="Changquan Adulto",16,IF(Atletas!H84="Nanquan Adulto",17,IF(Atletas!H84="Taijiquan Adulto",18,""))))))))))))))))))))</f>
        <v/>
      </c>
      <c r="BG93" s="52" t="str">
        <f>IF(Atletas!I84="","",IF(Atletas!B84="Feminino",100,IF(Atletas!B84="Masculino",200,""))+(IF(Atletas!I84="Daoshu Mirim",19,IF(Atletas!I84="Jianshu Mirim",20,IF(Atletas!I84="Nandao Mirim",21,IF(Atletas!I84="Taijijian Mirim",22,IF(Atletas!I84="Daoshu Grupo C",23,IF(Atletas!I84="Jianshu Grupo C",24,IF(Atletas!I84="Nandao Grupo C",25,IF(Atletas!I84="Taijijian Grupo C",26,IF(Atletas!I84="Daoshu Grupo B",27,IF(Atletas!I84="Jianshu Grupo B",28,IF(Atletas!I84="Nandao Grupo B",29,IF(Atletas!I84="Taijijian Grupo B",30,IF(Atletas!I84="Daoshu Grupo A",31,IF(Atletas!I84="Jianshu Grupo A",32,IF(Atletas!I84="Nandao Grupo A",33,IF(Atletas!I84="Taijijian Grupo A",34,IF(Atletas!I84="Daoshu Opcional",35,IF(Atletas!I84="Jianshu Opcional",36,IF(Atletas!I84="Nandao Opcional",37,IF(Atletas!I84="Taijijian Opcional",38,IF(Atletas!I84="Daoshu Adulto",39,IF(Atletas!I84="Jianshu Adulto",40,IF(Atletas!I84="Nandao Adulto",41,IF(Atletas!I84="Taijijian Adulto",42,""))))))))))))))))))))))))))</f>
        <v/>
      </c>
      <c r="BH93" s="52" t="str">
        <f>IF(Atletas!J84="","",IF(Atletas!B84="Feminino",100,IF(Atletas!B84="Masculino",200,""))+(IF(Atletas!J84="Gunshu Mirim",43,IF(Atletas!J84="Qiangshu Mirim",44,IF(Atletas!J84="Nangun Mirim",45,IF(Atletas!J84="Gunshu Grupo C",46,IF(Atletas!J84="Qiangshu Grupo C",47,IF(Atletas!J84="Nangun Grupo C",48,IF(Atletas!J84="Gunshu Grupo B",49,IF(Atletas!J84="Qiangshu Grupo B",50,IF(Atletas!J84="Nangun Grupo B",51,IF(Atletas!J84="Gunshu Grupo A",52,IF(Atletas!J84="Qiangshu Grupo A",53,IF(Atletas!J84="Nangun Grupo A",54,IF(Atletas!J84="Gunshu Opcional",55,IF(Atletas!J84="Qiangshu Opcional",56,IF(Atletas!J84="Nangun Opcional",57,IF(Atletas!J84="Gunshu Adulto",58,IF(Atletas!J84="Qiangshu Adulto",59,IF(Atletas!J84="Nangun Adulto",60,IF(Atletas!J84="Taijishan Grupo B",61,IF(Atletas!J84="Taijishan Grupo A",62,""))))))))))))))))))))))</f>
        <v/>
      </c>
      <c r="BM93" s="50" t="str">
        <f>IF(Atletas!K84="","",IF(Atletas!B84="Feminino",100,IF(Atletas!B84="Masculino",200,""))+(IF(Atletas!K84="Equipe 1 Grupo B",1,IF(Atletas!K84="Equipe 2 Grupo B",2,IF(Atletas!K84="Equipe 1 Grupo A",3,IF(Atletas!K84="Equipe 2 Grupo A",4,IF(Atletas!K84="Equipe 1 Adulto",5,IF(Atletas!K84="Equipe 2 Adulto",6,""))))))))</f>
        <v/>
      </c>
      <c r="BR93" s="50" t="str">
        <f>IF(Atletas!L84="","",IF(Atletas!X84&lt;&gt;"",10000,0)+(IF(Atletas!B84="Feminino",1000,IF(Atletas!B84="Masculino",2000,""))+IF(Atletas!L84="Choylayfut A",1,IF(Atletas!L84="Hunggar A",2,IF(Atletas!L84="Wuzuquan A",3,IF(Atletas!L84="Wingchun A",4,IF(Atletas!L84="Outra Mão de Sul A",5,IF(Atletas!L84="Choylayfut B",6,IF(Atletas!L84="Hunggar B",7,IF(Atletas!L84="Wuzuquan B",8,IF(Atletas!L84="Wingchun B",9,IF(Atletas!L84="Outra Mão de Sul B",10,IF(Atletas!L84="Choylayfut C",11,IF(Atletas!L84="Hunggar C",12,IF(Atletas!L84="Wuzuquan C",13,IF(Atletas!L84="Wingchun C",14,IF(Atletas!L84="Outra Mão de Sul C",15,IF(Atletas!L84="Choylayfut D",16,IF(Atletas!L84="Hunggar D",17,IF(Atletas!L84="Wuzuquan D",18,IF(Atletas!L84="Wingchun D",19,IF(Atletas!L84="Outra Mão de Sul D",20,IF(Atletas!L84="Choylayfut E",21,IF(Atletas!L84="Hunggar E",22,IF(Atletas!L84="Wuzuquan E",23,IF(Atletas!L84="Wingchun E",24,IF(Atletas!L84="Outra Mão de Sul E",25,IF(Atletas!L84="Choylayfut F",26,IF(Atletas!L84="Hunggar F",27,IF(Atletas!L84="Wuzuquan F",28,IF(Atletas!L84="Wingchun F",29,IF(Atletas!L84="Outra Mão de Sul F",30,IF(Atletas!L84="Dishuquan A",31,IF(Atletas!L84="Dishuquan B",32,IF(Atletas!L84="Dishuquan C",33,IF(Atletas!L84="Dishuquan D",34,IF(Atletas!L84="Dishuquan E",35,IF(Atletas!L84="Dishuquan F",36,""))))))))))))))))))))))))))))))))))))))</f>
        <v/>
      </c>
      <c r="BS93" s="50" t="str">
        <f>IF(Atletas!M84="","",IF(Atletas!X84&lt;&gt;"",10000,0)+(IF(Atletas!B84="Feminino",1000,IF(Atletas!B84="Masculino",2000,""))+(IF(Atletas!M84="Chaquan A",101,IF(Atletas!M84="Emeiquan A",102,IF(Atletas!M84="Fanziquan A",103,IF(Atletas!M84="Huaquan A",104,IF(Atletas!M84="Hongquan A",105,IF(Atletas!M84="Paoquan A",106,IF(Atletas!M84="Piguaquan A",107,IF(Atletas!M84="Shaolinquan A",108,IF(Atletas!M84="Tanglangquan A",109,IF(Atletas!M84="Yingzhaoquan A",110,IF(Atletas!M84="Tongbeiquan A",111,IF(Atletas!M84="Wudangquan A",112,IF(Atletas!M84="Outros Estilos A",113,IF(Atletas!M84="Chaquan B",114,IF(Atletas!M84="Emeiquan B",115,IF(Atletas!M84="Fanziquan B",116,IF(Atletas!M84="Huaquan B",117,IF(Atletas!M84="Hongquan B",118,IF(Atletas!M84="Paoquan B",119,IF(Atletas!M84="Piguaquan B",120,IF(Atletas!M84="Shaolinquan B",121,IF(Atletas!M84="Tanglangquan B",122,IF(Atletas!M84="Yingzhaoquan B",123,IF(Atletas!M84="Tongbeiquan B",124,IF(Atletas!M84="Wudangquan B",125,IF(Atletas!M84="Outros Estilos B",126,IF(Atletas!M84="Chaquan C",127,IF(Atletas!M84="Emeiquan C",128,IF(Atletas!M84="Fanziquan C",129,IF(Atletas!M84="Huaquan C",130,IF(Atletas!M84="Hongquan C",131,IF(Atletas!M84="Paoquan C",132,IF(Atletas!M84="Piguaquan C",133,IF(Atletas!M84="Shaolinquan C",134,IF(Atletas!M84="Tanglangquan C",135,IF(Atletas!M84="Yingzhaoquan C",136,IF(Atletas!M84="Tongbeiquan C",137,IF(Atletas!M84="Wudangquan C",138,IF(Atletas!M84="Outros Estilos C",139,0))))))))))))))))))))))))))))))))))))))))))</f>
        <v/>
      </c>
      <c r="BT93" s="50" t="str">
        <f>IF(Atletas!M84="","",IF(Atletas!X84&lt;&gt;"",10000,0)+(IF(Atletas!B84="Feminino",1000,IF(Atletas!B84="Masculino",2000,""))+(IF(Atletas!M84="Chaquan D",140,IF(Atletas!M84="Emeiquan D",141,IF(Atletas!M84="Fanziquan D",142,IF(Atletas!M84="Huaquan D",143,IF(Atletas!M84="Hongquan D",144,IF(Atletas!M84="Paoquan D",145,IF(Atletas!M84="Piguaquan D",146,IF(Atletas!M84="Shaolinquan D",147,IF(Atletas!M84="Tanglangquan D",148,IF(Atletas!M84="Yingzhaoquan D",149,IF(Atletas!M84="Tongbeiquan D",150,IF(Atletas!M84="Wudangquan D",151,IF(Atletas!M84="Outros Estilos D",152,IF(Atletas!M84="Chaquan E",153,IF(Atletas!M84="Emeiquan E",154,IF(Atletas!M84="Fanziquan E",155,IF(Atletas!M84="Huaquan E",156,IF(Atletas!M84="Hongquan E",157,IF(Atletas!M84="Paoquan E",158,IF(Atletas!M84="Piguaquan E",159,IF(Atletas!M84="Shaolinquan E",160,IF(Atletas!M84="Tanglangquan E",161,IF(Atletas!M84="Yingzhaoquan E",162,IF(Atletas!M84="Tongbeiquan E",163,IF(Atletas!M84="Wudangquan E",164,IF(Atletas!M84="Outros Estilos E",165,IF(Atletas!M84="Chaquan F",166,IF(Atletas!M84="Emeiquan F",167,IF(Atletas!M84="Fanziquan F",168,IF(Atletas!M84="Huaquan F",169,IF(Atletas!M84="Hongquan F",170,IF(Atletas!M84="Paoquan F",171,IF(Atletas!M84="Piguaquan F",172,IF(Atletas!M84="Shaolinquan F",173,IF(Atletas!M84="Tanglangquan F",174,IF(Atletas!M84="Yingzhaoquan F",175,IF(Atletas!M84="Tongbeiquan F",176,IF(Atletas!M84="Wudangquan F",177,IF(Atletas!M84="Outros Estilos F",178,0))))))))))))))))))))))))))))))))))))))))))</f>
        <v/>
      </c>
      <c r="BU93" s="50" t="str">
        <f>IF(Atletas!N84="","",IF(Atletas!X84&lt;&gt;"",10000,0)+(IF(Atletas!B84="Feminino",1000,IF(Atletas!B84="Masculino",2000,""))+(IF(Atletas!N84="Ditangquan A",201,IF(Atletas!N84="Houquan A",202,IF(Atletas!N84="Zuiquan A",203,IF(Atletas!N84="Ditangquan B",204,IF(Atletas!N84="Houquan B",205,IF(Atletas!N84="Zuiquan B",206,IF(Atletas!N84="Ditangquan C",207,IF(Atletas!N84="Houquan C",208,IF(Atletas!N84="Zuiquan C",209,IF(Atletas!N84="Ditangquan D",210,IF(Atletas!N84="Houquan D",211,IF(Atletas!N84="Zuiquan D",212,IF(Atletas!N84="Ditangquan E",213,IF(Atletas!N84="Houquan E",214,IF(Atletas!N84="Zuiquan E",215,IF(Atletas!N84="Ditangquan F",216,IF(Atletas!N84="Houquan F",217,IF(Atletas!N84="Zuiquan F",218,"")))))))))))))))))))))</f>
        <v/>
      </c>
      <c r="BV93" s="50" t="str">
        <f>IF(Atletas!O84="","",IF(Atletas!X84&lt;&gt;"",10000,0)+IF(Atletas!B84="Feminino",1000,IF(Atletas!B84="Masculino",2000,""))+IF(Atletas!O84="Yang A",301,IF(Atletas!O84="Chen A",302,IF(Atletas!O84="Sun A",303,IF(Atletas!O84="Wu A",304,IF(Atletas!O84="Wu-Hao A",305,IF(Atletas!O84="Outro Taijiquan A",306,IF(Atletas!O84="Yang B",307,IF(Atletas!O84="Chen B",308,IF(Atletas!O84="Sun B",309,IF(Atletas!O84="Wu B",310,IF(Atletas!O84="Wu-Hao B",311,IF(Atletas!O84="Outro Taijiquan B",312,IF(Atletas!O84="Yang C",313,IF(Atletas!O84="Chen C",314,IF(Atletas!O84="Sun C",315,IF(Atletas!O84="Wu C",316,IF(Atletas!O84="Wu-Hao C",317,IF(Atletas!O84="Outro Taijiquan C",318,IF(Atletas!O84="Yang D",319,IF(Atletas!O84="Chen D",320,IF(Atletas!O84="Sun D",321,IF(Atletas!O84="Wu D",322,IF(Atletas!O84="Wu-Hao D",323,IF(Atletas!O84="Outro Taijiquan D",324,IF(Atletas!O84="Yang E",325,IF(Atletas!O84="Chen E",326,IF(Atletas!O84="Sun E",327,IF(Atletas!O84="Wu E",328,IF(Atletas!O84="Wu-Hao E",329,IF(Atletas!O84="Outro Taijiquan E",330,IF(Atletas!O84="Yang F",331,IF(Atletas!O84="Chen F",332,IF(Atletas!O84="Sun F",333,IF(Atletas!O84="Wu F",334,IF(Atletas!O84="Wu-Hao F",335,IF(Atletas!O84="Outro Taijiquan F",336,"")))))))))))))))))))))))))))))))))))))</f>
        <v/>
      </c>
      <c r="BW93" s="50" t="str">
        <f>IF(Atletas!P84="","",IF(Atletas!X84&lt;&gt;"",10000,0)+IF(Atletas!B84="Feminino",1000,IF(Atletas!B84="Masculino",2000,""))+IF(OR(Atletas!P84="Yang 26 A",Atletas!P84="Yang 40 A"),401,IF(OR(Atletas!P84="Chen 25 A",Atletas!P84="Chen 36 A",Atletas!P84="Chen 56 A"),402,IF(Atletas!P84="Sun 73 A",403,IF(Atletas!P84="Wu 45 A",404,IF(Atletas!P84="Wu-Hao 46 A",405,IF(OR(Atletas!P84="Taijiquan 16 A",Atletas!P84="Taijiquan 24 A",Atletas!P84="Taijiquan 32 A",Atletas!P84="Taijiquan 42 A"),406,IF(OR(Atletas!P84="Yang 26 B",Atletas!P84="Yang 40 B"),407,IF(OR(Atletas!P84="Chen 25 B",Atletas!P84="Chen 36 B",Atletas!P84="Chen 56 B"),408,IF(Atletas!P84="Sun 73 B",409,IF(Atletas!P84="Wu 45 B",410,IF(Atletas!P84="Wu-Hao 46 B",411,IF(OR(Atletas!P84="Taijiquan 16 B",Atletas!P84="Taijiquan 24 B",Atletas!P84="Taijiquan 32 B",Atletas!P84="Taijiquan 42 B"),412,IF(OR(Atletas!P84="Yang 26 C",Atletas!P84="Yang 40 C"),413,IF(OR(Atletas!P84="Chen 25 C",Atletas!P84="Chen 36 C",Atletas!P84="Chen 56 C"),414,IF(Atletas!P84="Sun 73 C",415,IF(Atletas!P84="Wu 45 C",416,IF(Atletas!P84="Wu-Hao 46 C",417,IF(OR(Atletas!P84="Taijiquan 16 C",Atletas!P84="Taijiquan 24 C",Atletas!P84="Taijiquan 32 C",Atletas!P84="Taijiquan 42 C"),418,0)))))))))))))))))))</f>
        <v/>
      </c>
      <c r="BX93" s="50" t="str">
        <f>IF(Atletas!P84="","",IF(Atletas!X84&lt;&gt;"",10000,0)+IF(Atletas!B84="Feminino",1000,IF(Atletas!B84="Masculino",2000,""))+IF(OR(Atletas!P84="Yang 26 D",Atletas!P84="Yang 40 D"),419,IF(OR(Atletas!P84="Chen 25 D",Atletas!P84="Chen 36 D",Atletas!P84="Chen 56 D"),420,IF(Atletas!P84="Sun 73 D",421,IF(Atletas!P84="Wu 45 D",422,IF(Atletas!P84="Wu-Hao 46 D",423,IF(OR(Atletas!P84="Taijiquan 16 D",Atletas!P84="Taijiquan 24 D",Atletas!P84="Taijiquan 32 D",Atletas!P84="Taijiquan 42 D"),424,IF(OR(Atletas!P84="Yang 26 E",Atletas!P84="Yang 40 E"),425,IF(OR(Atletas!P84="Chen 25 E",Atletas!P84="Chen 36 E",Atletas!P84="Chen 56 E"),426,IF(Atletas!P84="Sun 73 E",427,IF(Atletas!P84="Wu 45 E",428,IF(Atletas!P84="Wu-Hao 46 E",429,IF(OR(Atletas!P84="Taijiquan 16 E",Atletas!P84="Taijiquan 24 E",Atletas!P84="Taijiquan 32 E",Atletas!P84="Taijiquan 42 E"),430,IF(OR(Atletas!P84="Yang 26 F",Atletas!P84="Yang 40 F"),431,IF(OR(Atletas!P84="Chen 25 F",Atletas!P84="Chen 36 F",Atletas!P84="Chen 56 F"),432,IF(Atletas!P84="Sun 73 F",433,IF(Atletas!P84="Wu 45 F",434,IF(Atletas!P84="Wu-Hao 46 F",435,IF(OR(Atletas!P84="Taijiquan 16 F",Atletas!P84="Taijiquan 24 F",Atletas!P84="Taijiquan 32 F",Atletas!P84="Taijiquan 42 F"),436,0)))))))))))))))))))</f>
        <v/>
      </c>
      <c r="BY93" s="50" t="str">
        <f>IF(Atletas!Q84="","",IF(Atletas!X84&lt;&gt;"",10000,0)+IF(Atletas!B84="Feminino",1000,IF(Atletas!B84="Masculino",2000,""))+IF(Atletas!Q84="Xingyiquan A",501,IF(Atletas!Q84="Baguazhang A",502,IF(Atletas!Q84="Outro Estilo Interno A",503,IF(Atletas!Q84="Xingyiquan B",504,IF(Atletas!Q84="Baguazhang B",505,IF(Atletas!Q84="Outro Estilo Interno B",506,IF(Atletas!Q84="Xingyiquan C",507,IF(Atletas!Q84="Baguazhang C",508,IF(Atletas!Q84="Outro Estilo Interno C",509,IF(Atletas!Q84="Xingyiquan D",510,IF(Atletas!Q84="Baguazhang D",511,IF(Atletas!Q84="Outro Estilo Interno D",512,IF(Atletas!Q84="Xingyiquan E",513,IF(Atletas!Q84="Baguazhang E",514,IF(Atletas!Q84="Outro Estilo Interno E",515,IF(Atletas!Q84="Xingyiquan F",516,IF(Atletas!Q84="Baguazhang F",517,IF(Atletas!Q84="Outro Estilo Interno F",518, "")))))))))))))))))))</f>
        <v/>
      </c>
      <c r="BZ93" s="50" t="str">
        <f>IF(Atletas!R84="","",IF(Atletas!X84&lt;&gt;"",10000,0)+IF(Atletas!B84="Feminino",1000,IF(Atletas!B84="Masculino",2000,""))+IF(Atletas!R84="Dao A",601,IF(Atletas!R84="Jian A",602,IF(Atletas!R84="Bishou A",603,IF(Atletas!R84="Shanzi A",604,IF(Atletas!R84="Outra Arma Curta A",605,IF(Atletas!R84="Dao B",606,IF(Atletas!R84="Jian B",607,IF(Atletas!R84="Bishou B",608,IF(Atletas!R84="Shanzi B",609,IF(Atletas!R84="Outra Arma Curta B",610,IF(Atletas!R84="Dao C",611,IF(Atletas!R84="Jian C",612,IF(Atletas!R84="Bishou C",613,IF(Atletas!R84="Shanzi C",614,IF(Atletas!R84="Outra Arma Curta C",615,IF(Atletas!R84="Dao D",616,IF(Atletas!R84="Jian D",617,IF(Atletas!R84="Bishou D",618,IF(Atletas!R84="Shanzi D",619,IF(Atletas!R84="Outra Arma Curta D",620,IF(Atletas!R84="Dao E",621,IF(Atletas!R84="Jian E",622,IF(Atletas!R84="Bishou E",623,IF(Atletas!R84="Shanzi E",624,IF(Atletas!R84="Outra Arma Curta E",625,IF(Atletas!R84="Dao F",626,IF(Atletas!R84="Jian F",627,IF(Atletas!R84="Bishou F",628,IF(Atletas!R84="Shanzi F",629,IF(Atletas!R84="Outra Arma Curta F",630, "")))))))))))))))))))))))))))))))</f>
        <v/>
      </c>
      <c r="CA93" s="50" t="str">
        <f>IF(Atletas!S84="","",IF(Atletas!X84&lt;&gt;"",10000,0)+IF(Atletas!B84="Feminino",1000,IF(Atletas!B84="Masculino",2000,""))+IF(Atletas!S84="Gun A",701,IF(Atletas!S84="Qiang A",702,IF(Atletas!S84="Pudao / Guandao A",703,IF(Atletas!S84="Outra Arma Longa A",704,IF(Atletas!S84="Gun B",705,IF(Atletas!S84="Qiang B",706,IF(Atletas!S84="Pudao / Guandao B",707,IF(Atletas!S84="Outra Arma Longa B",708,IF(Atletas!S84="Gun C",709,IF(Atletas!S84="Qiang C",710,IF(Atletas!S84="Pudao / Guandao C",711,IF(Atletas!S84="Outra Arma Longa C",712,IF(Atletas!S84="Gun D",713,IF(Atletas!S84="Qiang D",714,IF(Atletas!S84="Pudao / Guandao D",715,IF(Atletas!S84="Outra Arma Longa D",716,IF(Atletas!S84="Gun E",717,IF(Atletas!S84="Qiang E",718,IF(Atletas!S84="Pudao / Guandao E",719,IF(Atletas!S84="Outra Arma Longa E",720,IF(Atletas!S84="Gun F",721,IF(Atletas!S84="Qiang F",722,IF(Atletas!S84="Pudao / Guandao F",723,IF(Atletas!S84="Outra Arma Longa F",724,"")))))))))))))))))))))))))</f>
        <v/>
      </c>
      <c r="CB93" s="50" t="str">
        <f>IF(Atletas!T84="","",IF(Atletas!X84&lt;&gt;"",10000,0)+IF(Atletas!B84="Feminino",1000,IF(Atletas!B84="Masculino",2000,""))+IF(Atletas!T84="Outra Arma Dupla A",801,IF(Atletas!T84="Arma Maleável A",802,IF(Atletas!T84="Outra Arma Dupla B",803,IF(Atletas!T84="Arma Maleável B",804,IF(Atletas!T84="Outra Arma Dupla C",805,IF(Atletas!T84="Arma Maleável C",806,IF(Atletas!T84="Outra Arma Dupla D",807,IF(Atletas!T84="Arma Maleável D",808,IF(Atletas!T84="Outra Arma Dupla E",809,IF(Atletas!T84="Arma Maleável E",810,IF(Atletas!T84="Outra Arma Dupla F",811,IF(Atletas!T84="Arma Maleável F",812,IF(Atletas!T84="Shuangdao A",813,IF(Atletas!T84="Shuangdao B",814,IF(Atletas!T84="Shuangdao C",815,IF(Atletas!T84="Shuangdao D",816,IF(Atletas!T84="Shuangdao E",817,IF(Atletas!T84="Shuangdao F",818,"")))))))))))))))))))</f>
        <v/>
      </c>
      <c r="CC93" s="50" t="str">
        <f>IF(Atletas!U84="","",IF(Atletas!X84&lt;&gt;"",10000,0)+IF(Atletas!B84="Feminino",1000,IF(Atletas!B84="Masculino",2000,""))+IF(OR(Atletas!U84="Taijijian Yang A",Atletas!U84="Taijijian Yang Standard A"),901,IF(OR(Atletas!U84="Taijijian Chen A", Atletas!U84="Taijijian Chen Standard A"),902,IF(Atletas!U84="Taijijian Sun A",903,IF(Atletas!U84="Taijijian Wu A",904,IF(Atletas!U84="Taijijian Wu-Hao A",905,IF(OR(Atletas!U84="Taijijian 32 A",Atletas!U84="Taijijian 42 A"),906,IF(OR(Atletas!U84="Taijijian Yang B",Atletas!U84="Taijijian Yang Standard B"),907,IF(OR(Atletas!U84="Taijijian Chen B", Atletas!U84="Taijijian Chen Standard B"),908,IF(Atletas!U84="Taijijian Sun B",909,IF(Atletas!U84="Taijijian Wu B",910,IF(Atletas!U84="Taijijian Wu-Hao B",911,IF(OR(Atletas!U84="Taijijian 32 B",Atletas!U84="Taijijian 42 B"),912,IF(OR(Atletas!U84="Taijijian Yang C",Atletas!U84="Taijijian Yang Standard C"),913,IF(OR(Atletas!U84="Taijijian Chen C", Atletas!U84="Taijijian Chen Standard C"),914,IF(Atletas!U84="Taijijian Sun C",915,IF(Atletas!U84="Taijijian Wu C",916,IF(Atletas!U84="Taijijian Wu-Hao C",917,IF(OR(Atletas!U84="Taijijian 32 C",Atletas!U84="Taijijian 42 C"),918,IF(OR(Atletas!U84="Taijijian Yang D",Atletas!U84="Taijijian Yang Standard D"),919,IF(OR(Atletas!U84="Taijijian Chen D", Atletas!U84="Taijijian Chen Standard D"),920,IF(Atletas!U84="Taijijian Sun D",921,IF(Atletas!U84="Taijijian Wu D",922,IF(Atletas!U84="Taijijian Wu-Hao D",923,IF(OR(Atletas!U84="Taijijian 32 D",Atletas!U84="Taijijian 42 D"),924,IF(OR(Atletas!U84="Taijijian Yang E",Atletas!U84="Taijijian Yang Standard E"),925,IF(OR(Atletas!U84="Taijijian Chen E", Atletas!U84="Taijijian Chen Standard E"),926,IF(Atletas!U84="Taijijian Sun E",927,IF(Atletas!U84="Taijijian Wu E",928,IF(Atletas!U84="Taijijian Wu-Hao E",929,IF(OR(Atletas!U84="Taijijian 32 E",Atletas!U84="Taijijian 42 E"),930,IF(OR(Atletas!U84="Taijijian Yang F",Atletas!U84="Taijijian Yang Standard F"),931,IF(OR(Atletas!U84="Taijijian Chen F", Atletas!U84="Taijijian Chen Standard F"),932,IF(Atletas!U84="Taijijian Sun F",933,IF(Atletas!U84="Taijijian Wu F",934,IF(Atletas!U84="Taijijian Wu-Hao F",935,IF(OR(Atletas!U84="Taijijian 32 F",Atletas!U84="Taijijian 42 F"),936,"")))))))))))))))))))))))))))))))))))))</f>
        <v/>
      </c>
      <c r="CD93" s="50" t="str">
        <f>IF(Atletas!V84="","",IF(Atletas!X84&lt;&gt;"",10000,0)+IF(Atletas!B84="Feminino",1000,IF(Atletas!B84="Masculino",2000,""))+IF(Atletas!V84="Taijidao A",937,IF(Atletas!V84="TaijiShanzi A",938,IF(Atletas!V84="Taijiqiang A",939,IF(Atletas!V84="Bagua de Arma A",940,IF(Atletas!V84="Xingyi de Arma A",941,IF(Atletas!V84="Taijidao B",942,IF(Atletas!V84="TaijiShanzi B",943,IF(Atletas!V84="Taijiqiang B",944,IF(Atletas!V84="Bagua de Arma B",945,IF(Atletas!V84="Xingyi de Arma B",946,IF(Atletas!V84="Taijidao C",947,IF(Atletas!V84="TaijiShanzi C",948,IF(Atletas!V84="Taijiqiang C",949,IF(Atletas!V84="Bagua de Arma C",950,IF(Atletas!V84="Xingyi de Arma C",951,IF(Atletas!V84="Taijidao D",952,IF(Atletas!V84="TaijiShanzi D",953,IF(Atletas!V84="Taijiqiang D",954,IF(Atletas!V84="Bagua de Arma D",955,IF(Atletas!V84="Xingyi de Arma D",956,IF(Atletas!V84="Taijidao E",957,IF(Atletas!V84="TaijiShanzi E",958,IF(Atletas!V84="Taijiqiang E",959,IF(Atletas!V84="Bagua de Arma E",960,IF(Atletas!V84="Xingyi de Arma E",961,IF(Atletas!V84="Taijidao F",962,IF(Atletas!V84="TaijiShanzi F",963,IF(Atletas!V84="Taijiqiang F",964,IF(Atletas!V84="Bagua de Arma F",965,IF(Atletas!V84="Xingyi de Arma F",966,"")))))))))))))))))))))))))))))))</f>
        <v/>
      </c>
      <c r="CE93" s="66" t="str">
        <f>IF(CF93&lt;&gt;"","Wudangquan D","")</f>
        <v/>
      </c>
      <c r="CF93" s="66" t="str">
        <f>IF(COUNTIF(BR:CD,1151)&gt;0,COUNTIF(BR:CD,1151),"")</f>
        <v/>
      </c>
      <c r="CG93" s="66" t="str">
        <f>IF(CH93&lt;&gt;"","Wudangquan D","")</f>
        <v/>
      </c>
      <c r="CH93" s="66" t="str">
        <f>IF(COUNTIF(BR:CD,2151)&gt;0,COUNTIF(BR:CD,2151),"")</f>
        <v/>
      </c>
      <c r="CI93" s="66" t="str">
        <f>IF(CJ93&lt;&gt;"","Hongquan E","")</f>
        <v/>
      </c>
      <c r="CJ93" s="66" t="str">
        <f>IF(COUNTIF(BR:CD,11157)&gt;0,COUNTIF(BR:CD,11157),"")</f>
        <v/>
      </c>
      <c r="CK93" s="66" t="str">
        <f>IF(CL93&lt;&gt;"","Hongquan E","")</f>
        <v/>
      </c>
      <c r="CL93" s="66" t="str">
        <f>IF(COUNTIF(BR:CD,12157)&gt;0,COUNTIF(BR:CD,12157),"")</f>
        <v/>
      </c>
      <c r="CM93" s="50" t="str">
        <f xml:space="preserve"> IF(Atletas!W84="","",IF(Atletas!W84="Duilian de Mãos BC - Equipe 1",1,IF(Atletas!W84="Duilian de Mãos BC - Equipe 2",2,IF(Atletas!W84="Duilian de Armas BC - Equipe 1",3,IF(Atletas!W84="Duilian de Armas BC - Equipe 2",4,IF(Atletas!W84="Duilian de Mãos DE - Equipe 1",5,IF(Atletas!W84="Duilian de Mãos DE - Equipe 2",6,IF(Atletas!W84="Duilian de Armas DE - Equipe 1",7,IF(Atletas!W84="Duilian de Armas DE - Equipe 2",8,IF(Atletas!W84="Duilian de Tuishou - Equipe 1",9,IF(Atletas!W84="Duilian de Tuishou - Equipe 2",10,IF(Atletas!W84="Grupo Externo ABC - Equipe 1",11,IF(Atletas!W84="Grupo Externo ABC - Equipe 2",12,IF(Atletas!W84="Grupo Interno ABC - Equipe 1",13,IF(Atletas!W84="Grupo Interno ABC - Equipe 2",14,IF(Atletas!W84="Grupo Externo DEF - Equipe 1",15,IF(Atletas!W84="Grupo Externo DEF - Equipe 2",16,IF(Atletas!W84="Grupo Interno DEF - Equipe 1",17,IF(Atletas!W84="Grupo Interno DEF - Equipe 2",18,"")))))))))))))))))))</f>
        <v/>
      </c>
    </row>
    <row r="94" spans="2:91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 t="str">
        <f t="array" ref="Z94">IFERROR(INDEX(CE$7:CE$348,SMALL(IF(CE$7:CE$348&lt;&gt;"",ROW(CE$7:CE$348)-ROW(CE$7)+1),ROWS(CE$7:CE93))),"")</f>
        <v/>
      </c>
      <c r="AA94" s="3" t="str">
        <f t="array" ref="AA94">IFERROR(INDEX(CF$7:CF$348,SMALL(IF(CF$7:CF$348&lt;&gt;"",ROW(CF$7:CF$348)-ROW(CF$7)+1),ROWS(CF$7:CF93))),"")</f>
        <v/>
      </c>
      <c r="AB94" s="3" t="str">
        <f t="array" ref="AB94">IFERROR(INDEX(CG$7:CG$348,SMALL(IF(CG$7:CG$348&lt;&gt;"",ROW(CG$7:CG$348)-ROW(CG$7)+1),ROWS(CG$7:CG93))),"")</f>
        <v/>
      </c>
      <c r="AC94" s="3" t="str">
        <f t="array" ref="AC94">IFERROR(INDEX(CH$7:CH$348,SMALL(IF(CH$7:CH$348&lt;&gt;"",ROW(CH$7:CH$348)-ROW(CH$7)+1),ROWS(CH$7:CH93))),"")</f>
        <v/>
      </c>
      <c r="AD94" s="3" t="str">
        <f t="array" ref="AD94">IFERROR(INDEX(CI$7:CI$377,SMALL(IF(CI$7:CI$377&lt;&gt;"",ROW(CI$7:CI$377)-ROW(CI$7)+1),ROWS(CI$7:CI93))),"")</f>
        <v/>
      </c>
      <c r="AE94" s="3" t="str">
        <f t="array" ref="AE94">IFERROR(INDEX(CJ$7:CJ$378,SMALL(IF(CJ$7:CJ$378&lt;&gt;"",ROW(CJ$7:CJ$378)-ROW(CJ$7)+1),ROWS(CJ$7:CJ93))),"")</f>
        <v/>
      </c>
      <c r="AF94" s="3" t="str">
        <f t="array" ref="AF94">IFERROR(INDEX(CK$7:CK$378,SMALL(IF(CK$7:CK$378&lt;&gt;"",ROW(CK$7:CK$378)-ROW(CK$7)+1),ROWS(CK$7:CK93))),"")</f>
        <v/>
      </c>
      <c r="AG94" s="3" t="str">
        <f t="array" ref="AG94">IFERROR(INDEX(CL$7:CL$378,SMALL(IF(CL$7:CL$378&lt;&gt;"",ROW(CL$7:CL$378)-ROW(CL$7)+1),ROWS(CL$7:CL93))),"")</f>
        <v/>
      </c>
      <c r="AH94" s="3"/>
      <c r="AI94" s="3"/>
      <c r="AJ94" s="3"/>
      <c r="AK94" s="3"/>
      <c r="AL94" s="3"/>
      <c r="AM94" s="3"/>
      <c r="AN94" s="52" t="str">
        <f>IF(Atletas!D85="","",IF(Atletas!B85="Feminino",100,IF(Atletas!B85="Masculino",200,""))+(IF(Atletas!D85="Kids 30kg",1,IF(Atletas!D85="Kids 32kg",2, IF(Atletas!D85="Kids 34kg",3,IF(Atletas!D85="Kids 36kg",4,IF(Atletas!D85="Kids 39kg",5,IF(Atletas!D85="Kids 42kg",6,IF(Atletas!D85="Kids 45kg",7, IF(Atletas!D85="Infantil 39kg",8,IF(Atletas!D85="Infantil 42kg",9,IF(Atletas!D85="Infantil 45kg",10,IF(Atletas!D85="Infantil 48kg",11,IF(Atletas!D85="Infantil 52kg",12,IF(Atletas!D85="Infantil 56kg",13,IF(Atletas!D85="Infantil 60kg",14,IF(Atletas!D85="Juvenil 48kg",15,IF(Atletas!D85="Juvenil 52kg",16,IF(Atletas!D85="Juvenil 56kg",17,IF(Atletas!D85="Juvenil 60kg",18,IF(Atletas!D85="Juvenil 65kg",19,IF(Atletas!D85="Juvenil 70kg",20,IF(Atletas!D85="Juvenil 75kg",21,IF(Atletas!D85="Juvenil 80kg",22, IF(Atletas!D85="Juvenil 85kg",23,IF(Atletas!D85="Adulto 48kg",24,IF(Atletas!D85="Adulto 52kg",25,IF(Atletas!D85="Adulto 56kg",26,IF(Atletas!D85="Adulto 60kg",27,IF(Atletas!D85="Adulto 65kg",28,IF(Atletas!D85="Adulto 70kg",29,IF(Atletas!D85="Adulto 75kg",30,IF(Atletas!D85="Adulto 80kg",31,IF(Atletas!D85="Adulto 85kg",32,IF(Atletas!D85="Adulto 90kg",33,IF(Atletas!D85="Adulto 100kg",34, IF(Atletas!D85="Adulto +100kg",35,"")))))))))))))))))))))))))))))))))))))</f>
        <v/>
      </c>
      <c r="AS94" s="6" t="str">
        <f>IF(Atletas!E85="","",IF(Atletas!B85="Feminino",100,IF(Atletas!B85="Masculino",200,""))+(IF(Atletas!E85="Juvenil 44kg",1,IF(Atletas!E85="Juvenil 48kg",2,IF(Atletas!E85="Juvenil 52kg",3,IF(Atletas!E85="Juvenil 56kg",4,IF(Atletas!E85="Juvenil 60kg",5,IF(Atletas!E85="Juvenil 65kg",6,IF(Atletas!E85="Juvenil 70kg",7,IF(Atletas!E85="Juvenil 75kg",8,IF(Atletas!E85="Juvenil 82kg",9,IF(Atletas!E85="Juvenil 90kg",10,IF(Atletas!E85="Juvenil 100kg",11,IF(Atletas!E85="Adulto 48kg",12,IF(Atletas!E85="Adulto 52kg",13,IF(Atletas!E85="Adulto 56kg",14,IF(Atletas!E85="Adulto 60kg",15,IF(Atletas!E85="Adulto 65kg",16,IF(Atletas!E85="Adulto 70kg",17,IF(Atletas!E85="Adulto 75kg",18,IF(Atletas!E85="Adulto 82kg",19,IF(Atletas!E85="Adulto 90kg",20,IF(Atletas!E85="Adulto 100kg",21,IF(Atletas!E85="Adulto +100kg",22,""))))))))))))))))))))))))</f>
        <v/>
      </c>
      <c r="AX94" s="6" t="str">
        <f>IF(Atletas!F85="","",IF(Atletas!B85="Feminino",100,IF(Atletas!B85="Masculino",200,""))+(IF(Atletas!F85="Adulto 48kg",1,IF(Atletas!F85="Adulto 56kg",2,IF(Atletas!F85="Adulto 65kg",3,IF(Atletas!F85="Adulto 75kg",4,IF(Atletas!F85="Adulto +75kg",5,IF(Atletas!F85="Adulto 52kg",6,IF(Atletas!F85="Adulto 60kg",7,IF(Atletas!F85="Adulto 70kg",8,IF(Atletas!F85="Adulto 80kg",9,IF(Atletas!F85="Adulto 90kg",10,IF(Atletas!F85="Adulto +90kg",11,"")))))))))))))</f>
        <v/>
      </c>
      <c r="BC94" s="6" t="str">
        <f>IF(Atletas!G85="","",IF(Atletas!B85="Feminino",10,IF(Atletas!B85="Masculino",20,""))+(IF(Atletas!G85="Baduanjin A",1,IF(Atletas!G85="Baduanjin B",2))))</f>
        <v/>
      </c>
      <c r="BF94" s="52" t="str">
        <f>IF(Atletas!H85="","",IF(Atletas!B85="Feminino",100,IF(Atletas!B85="Masculino",200,""))+(IF(Atletas!H85="Changquan Mirim",1,IF(Atletas!H85="Nanquan Mirim",2,IF(Atletas!H85="Taijiquan Mirim",3,IF(Atletas!H85="Changquan Grupo C",4,IF(Atletas!H85="Nanquan Grupo C",5,IF(Atletas!H85="Taijiquan Grupo C",6,IF(Atletas!H85="Changquan Grupo B",7,IF(Atletas!H85="Nanquan Grupo B",8,IF(Atletas!H85="Taijiquan Grupo B",9,IF(Atletas!H85="Changquan Grupo A",10,IF(Atletas!H85="Nanquan Grupo A",11,IF(Atletas!H85="Taijiquan Grupo A",12,IF(Atletas!H85="Changquan Opcional",13,IF(Atletas!H85="Nanquan Opcional",14,IF(Atletas!H85="Taijiquan Opcional",15,IF(Atletas!H85="Changquan Adulto",16,IF(Atletas!H85="Nanquan Adulto",17,IF(Atletas!H85="Taijiquan Adulto",18,""))))))))))))))))))))</f>
        <v/>
      </c>
      <c r="BG94" s="52" t="str">
        <f>IF(Atletas!I85="","",IF(Atletas!B85="Feminino",100,IF(Atletas!B85="Masculino",200,""))+(IF(Atletas!I85="Daoshu Mirim",19,IF(Atletas!I85="Jianshu Mirim",20,IF(Atletas!I85="Nandao Mirim",21,IF(Atletas!I85="Taijijian Mirim",22,IF(Atletas!I85="Daoshu Grupo C",23,IF(Atletas!I85="Jianshu Grupo C",24,IF(Atletas!I85="Nandao Grupo C",25,IF(Atletas!I85="Taijijian Grupo C",26,IF(Atletas!I85="Daoshu Grupo B",27,IF(Atletas!I85="Jianshu Grupo B",28,IF(Atletas!I85="Nandao Grupo B",29,IF(Atletas!I85="Taijijian Grupo B",30,IF(Atletas!I85="Daoshu Grupo A",31,IF(Atletas!I85="Jianshu Grupo A",32,IF(Atletas!I85="Nandao Grupo A",33,IF(Atletas!I85="Taijijian Grupo A",34,IF(Atletas!I85="Daoshu Opcional",35,IF(Atletas!I85="Jianshu Opcional",36,IF(Atletas!I85="Nandao Opcional",37,IF(Atletas!I85="Taijijian Opcional",38,IF(Atletas!I85="Daoshu Adulto",39,IF(Atletas!I85="Jianshu Adulto",40,IF(Atletas!I85="Nandao Adulto",41,IF(Atletas!I85="Taijijian Adulto",42,""))))))))))))))))))))))))))</f>
        <v/>
      </c>
      <c r="BH94" s="52" t="str">
        <f>IF(Atletas!J85="","",IF(Atletas!B85="Feminino",100,IF(Atletas!B85="Masculino",200,""))+(IF(Atletas!J85="Gunshu Mirim",43,IF(Atletas!J85="Qiangshu Mirim",44,IF(Atletas!J85="Nangun Mirim",45,IF(Atletas!J85="Gunshu Grupo C",46,IF(Atletas!J85="Qiangshu Grupo C",47,IF(Atletas!J85="Nangun Grupo C",48,IF(Atletas!J85="Gunshu Grupo B",49,IF(Atletas!J85="Qiangshu Grupo B",50,IF(Atletas!J85="Nangun Grupo B",51,IF(Atletas!J85="Gunshu Grupo A",52,IF(Atletas!J85="Qiangshu Grupo A",53,IF(Atletas!J85="Nangun Grupo A",54,IF(Atletas!J85="Gunshu Opcional",55,IF(Atletas!J85="Qiangshu Opcional",56,IF(Atletas!J85="Nangun Opcional",57,IF(Atletas!J85="Gunshu Adulto",58,IF(Atletas!J85="Qiangshu Adulto",59,IF(Atletas!J85="Nangun Adulto",60,IF(Atletas!J85="Taijishan Grupo B",61,IF(Atletas!J85="Taijishan Grupo A",62,""))))))))))))))))))))))</f>
        <v/>
      </c>
      <c r="BM94" s="50" t="str">
        <f>IF(Atletas!K85="","",IF(Atletas!B85="Feminino",100,IF(Atletas!B85="Masculino",200,""))+(IF(Atletas!K85="Equipe 1 Grupo B",1,IF(Atletas!K85="Equipe 2 Grupo B",2,IF(Atletas!K85="Equipe 1 Grupo A",3,IF(Atletas!K85="Equipe 2 Grupo A",4,IF(Atletas!K85="Equipe 1 Adulto",5,IF(Atletas!K85="Equipe 2 Adulto",6,""))))))))</f>
        <v/>
      </c>
      <c r="BR94" s="50" t="str">
        <f>IF(Atletas!L85="","",IF(Atletas!X85&lt;&gt;"",10000,0)+(IF(Atletas!B85="Feminino",1000,IF(Atletas!B85="Masculino",2000,""))+IF(Atletas!L85="Choylayfut A",1,IF(Atletas!L85="Hunggar A",2,IF(Atletas!L85="Wuzuquan A",3,IF(Atletas!L85="Wingchun A",4,IF(Atletas!L85="Outra Mão de Sul A",5,IF(Atletas!L85="Choylayfut B",6,IF(Atletas!L85="Hunggar B",7,IF(Atletas!L85="Wuzuquan B",8,IF(Atletas!L85="Wingchun B",9,IF(Atletas!L85="Outra Mão de Sul B",10,IF(Atletas!L85="Choylayfut C",11,IF(Atletas!L85="Hunggar C",12,IF(Atletas!L85="Wuzuquan C",13,IF(Atletas!L85="Wingchun C",14,IF(Atletas!L85="Outra Mão de Sul C",15,IF(Atletas!L85="Choylayfut D",16,IF(Atletas!L85="Hunggar D",17,IF(Atletas!L85="Wuzuquan D",18,IF(Atletas!L85="Wingchun D",19,IF(Atletas!L85="Outra Mão de Sul D",20,IF(Atletas!L85="Choylayfut E",21,IF(Atletas!L85="Hunggar E",22,IF(Atletas!L85="Wuzuquan E",23,IF(Atletas!L85="Wingchun E",24,IF(Atletas!L85="Outra Mão de Sul E",25,IF(Atletas!L85="Choylayfut F",26,IF(Atletas!L85="Hunggar F",27,IF(Atletas!L85="Wuzuquan F",28,IF(Atletas!L85="Wingchun F",29,IF(Atletas!L85="Outra Mão de Sul F",30,IF(Atletas!L85="Dishuquan A",31,IF(Atletas!L85="Dishuquan B",32,IF(Atletas!L85="Dishuquan C",33,IF(Atletas!L85="Dishuquan D",34,IF(Atletas!L85="Dishuquan E",35,IF(Atletas!L85="Dishuquan F",36,""))))))))))))))))))))))))))))))))))))))</f>
        <v/>
      </c>
      <c r="BS94" s="50" t="str">
        <f>IF(Atletas!M85="","",IF(Atletas!X85&lt;&gt;"",10000,0)+(IF(Atletas!B85="Feminino",1000,IF(Atletas!B85="Masculino",2000,""))+(IF(Atletas!M85="Chaquan A",101,IF(Atletas!M85="Emeiquan A",102,IF(Atletas!M85="Fanziquan A",103,IF(Atletas!M85="Huaquan A",104,IF(Atletas!M85="Hongquan A",105,IF(Atletas!M85="Paoquan A",106,IF(Atletas!M85="Piguaquan A",107,IF(Atletas!M85="Shaolinquan A",108,IF(Atletas!M85="Tanglangquan A",109,IF(Atletas!M85="Yingzhaoquan A",110,IF(Atletas!M85="Tongbeiquan A",111,IF(Atletas!M85="Wudangquan A",112,IF(Atletas!M85="Outros Estilos A",113,IF(Atletas!M85="Chaquan B",114,IF(Atletas!M85="Emeiquan B",115,IF(Atletas!M85="Fanziquan B",116,IF(Atletas!M85="Huaquan B",117,IF(Atletas!M85="Hongquan B",118,IF(Atletas!M85="Paoquan B",119,IF(Atletas!M85="Piguaquan B",120,IF(Atletas!M85="Shaolinquan B",121,IF(Atletas!M85="Tanglangquan B",122,IF(Atletas!M85="Yingzhaoquan B",123,IF(Atletas!M85="Tongbeiquan B",124,IF(Atletas!M85="Wudangquan B",125,IF(Atletas!M85="Outros Estilos B",126,IF(Atletas!M85="Chaquan C",127,IF(Atletas!M85="Emeiquan C",128,IF(Atletas!M85="Fanziquan C",129,IF(Atletas!M85="Huaquan C",130,IF(Atletas!M85="Hongquan C",131,IF(Atletas!M85="Paoquan C",132,IF(Atletas!M85="Piguaquan C",133,IF(Atletas!M85="Shaolinquan C",134,IF(Atletas!M85="Tanglangquan C",135,IF(Atletas!M85="Yingzhaoquan C",136,IF(Atletas!M85="Tongbeiquan C",137,IF(Atletas!M85="Wudangquan C",138,IF(Atletas!M85="Outros Estilos C",139,0))))))))))))))))))))))))))))))))))))))))))</f>
        <v/>
      </c>
      <c r="BT94" s="50" t="str">
        <f>IF(Atletas!M85="","",IF(Atletas!X85&lt;&gt;"",10000,0)+(IF(Atletas!B85="Feminino",1000,IF(Atletas!B85="Masculino",2000,""))+(IF(Atletas!M85="Chaquan D",140,IF(Atletas!M85="Emeiquan D",141,IF(Atletas!M85="Fanziquan D",142,IF(Atletas!M85="Huaquan D",143,IF(Atletas!M85="Hongquan D",144,IF(Atletas!M85="Paoquan D",145,IF(Atletas!M85="Piguaquan D",146,IF(Atletas!M85="Shaolinquan D",147,IF(Atletas!M85="Tanglangquan D",148,IF(Atletas!M85="Yingzhaoquan D",149,IF(Atletas!M85="Tongbeiquan D",150,IF(Atletas!M85="Wudangquan D",151,IF(Atletas!M85="Outros Estilos D",152,IF(Atletas!M85="Chaquan E",153,IF(Atletas!M85="Emeiquan E",154,IF(Atletas!M85="Fanziquan E",155,IF(Atletas!M85="Huaquan E",156,IF(Atletas!M85="Hongquan E",157,IF(Atletas!M85="Paoquan E",158,IF(Atletas!M85="Piguaquan E",159,IF(Atletas!M85="Shaolinquan E",160,IF(Atletas!M85="Tanglangquan E",161,IF(Atletas!M85="Yingzhaoquan E",162,IF(Atletas!M85="Tongbeiquan E",163,IF(Atletas!M85="Wudangquan E",164,IF(Atletas!M85="Outros Estilos E",165,IF(Atletas!M85="Chaquan F",166,IF(Atletas!M85="Emeiquan F",167,IF(Atletas!M85="Fanziquan F",168,IF(Atletas!M85="Huaquan F",169,IF(Atletas!M85="Hongquan F",170,IF(Atletas!M85="Paoquan F",171,IF(Atletas!M85="Piguaquan F",172,IF(Atletas!M85="Shaolinquan F",173,IF(Atletas!M85="Tanglangquan F",174,IF(Atletas!M85="Yingzhaoquan F",175,IF(Atletas!M85="Tongbeiquan F",176,IF(Atletas!M85="Wudangquan F",177,IF(Atletas!M85="Outros Estilos F",178,0))))))))))))))))))))))))))))))))))))))))))</f>
        <v/>
      </c>
      <c r="BU94" s="50" t="str">
        <f>IF(Atletas!N85="","",IF(Atletas!X85&lt;&gt;"",10000,0)+(IF(Atletas!B85="Feminino",1000,IF(Atletas!B85="Masculino",2000,""))+(IF(Atletas!N85="Ditangquan A",201,IF(Atletas!N85="Houquan A",202,IF(Atletas!N85="Zuiquan A",203,IF(Atletas!N85="Ditangquan B",204,IF(Atletas!N85="Houquan B",205,IF(Atletas!N85="Zuiquan B",206,IF(Atletas!N85="Ditangquan C",207,IF(Atletas!N85="Houquan C",208,IF(Atletas!N85="Zuiquan C",209,IF(Atletas!N85="Ditangquan D",210,IF(Atletas!N85="Houquan D",211,IF(Atletas!N85="Zuiquan D",212,IF(Atletas!N85="Ditangquan E",213,IF(Atletas!N85="Houquan E",214,IF(Atletas!N85="Zuiquan E",215,IF(Atletas!N85="Ditangquan F",216,IF(Atletas!N85="Houquan F",217,IF(Atletas!N85="Zuiquan F",218,"")))))))))))))))))))))</f>
        <v/>
      </c>
      <c r="BV94" s="50" t="str">
        <f>IF(Atletas!O85="","",IF(Atletas!X85&lt;&gt;"",10000,0)+IF(Atletas!B85="Feminino",1000,IF(Atletas!B85="Masculino",2000,""))+IF(Atletas!O85="Yang A",301,IF(Atletas!O85="Chen A",302,IF(Atletas!O85="Sun A",303,IF(Atletas!O85="Wu A",304,IF(Atletas!O85="Wu-Hao A",305,IF(Atletas!O85="Outro Taijiquan A",306,IF(Atletas!O85="Yang B",307,IF(Atletas!O85="Chen B",308,IF(Atletas!O85="Sun B",309,IF(Atletas!O85="Wu B",310,IF(Atletas!O85="Wu-Hao B",311,IF(Atletas!O85="Outro Taijiquan B",312,IF(Atletas!O85="Yang C",313,IF(Atletas!O85="Chen C",314,IF(Atletas!O85="Sun C",315,IF(Atletas!O85="Wu C",316,IF(Atletas!O85="Wu-Hao C",317,IF(Atletas!O85="Outro Taijiquan C",318,IF(Atletas!O85="Yang D",319,IF(Atletas!O85="Chen D",320,IF(Atletas!O85="Sun D",321,IF(Atletas!O85="Wu D",322,IF(Atletas!O85="Wu-Hao D",323,IF(Atletas!O85="Outro Taijiquan D",324,IF(Atletas!O85="Yang E",325,IF(Atletas!O85="Chen E",326,IF(Atletas!O85="Sun E",327,IF(Atletas!O85="Wu E",328,IF(Atletas!O85="Wu-Hao E",329,IF(Atletas!O85="Outro Taijiquan E",330,IF(Atletas!O85="Yang F",331,IF(Atletas!O85="Chen F",332,IF(Atletas!O85="Sun F",333,IF(Atletas!O85="Wu F",334,IF(Atletas!O85="Wu-Hao F",335,IF(Atletas!O85="Outro Taijiquan F",336,"")))))))))))))))))))))))))))))))))))))</f>
        <v/>
      </c>
      <c r="BW94" s="50" t="str">
        <f>IF(Atletas!P85="","",IF(Atletas!X85&lt;&gt;"",10000,0)+IF(Atletas!B85="Feminino",1000,IF(Atletas!B85="Masculino",2000,""))+IF(OR(Atletas!P85="Yang 26 A",Atletas!P85="Yang 40 A"),401,IF(OR(Atletas!P85="Chen 25 A",Atletas!P85="Chen 36 A",Atletas!P85="Chen 56 A"),402,IF(Atletas!P85="Sun 73 A",403,IF(Atletas!P85="Wu 45 A",404,IF(Atletas!P85="Wu-Hao 46 A",405,IF(OR(Atletas!P85="Taijiquan 16 A",Atletas!P85="Taijiquan 24 A",Atletas!P85="Taijiquan 32 A",Atletas!P85="Taijiquan 42 A"),406,IF(OR(Atletas!P85="Yang 26 B",Atletas!P85="Yang 40 B"),407,IF(OR(Atletas!P85="Chen 25 B",Atletas!P85="Chen 36 B",Atletas!P85="Chen 56 B"),408,IF(Atletas!P85="Sun 73 B",409,IF(Atletas!P85="Wu 45 B",410,IF(Atletas!P85="Wu-Hao 46 B",411,IF(OR(Atletas!P85="Taijiquan 16 B",Atletas!P85="Taijiquan 24 B",Atletas!P85="Taijiquan 32 B",Atletas!P85="Taijiquan 42 B"),412,IF(OR(Atletas!P85="Yang 26 C",Atletas!P85="Yang 40 C"),413,IF(OR(Atletas!P85="Chen 25 C",Atletas!P85="Chen 36 C",Atletas!P85="Chen 56 C"),414,IF(Atletas!P85="Sun 73 C",415,IF(Atletas!P85="Wu 45 C",416,IF(Atletas!P85="Wu-Hao 46 C",417,IF(OR(Atletas!P85="Taijiquan 16 C",Atletas!P85="Taijiquan 24 C",Atletas!P85="Taijiquan 32 C",Atletas!P85="Taijiquan 42 C"),418,0)))))))))))))))))))</f>
        <v/>
      </c>
      <c r="BX94" s="50" t="str">
        <f>IF(Atletas!P85="","",IF(Atletas!X85&lt;&gt;"",10000,0)+IF(Atletas!B85="Feminino",1000,IF(Atletas!B85="Masculino",2000,""))+IF(OR(Atletas!P85="Yang 26 D",Atletas!P85="Yang 40 D"),419,IF(OR(Atletas!P85="Chen 25 D",Atletas!P85="Chen 36 D",Atletas!P85="Chen 56 D"),420,IF(Atletas!P85="Sun 73 D",421,IF(Atletas!P85="Wu 45 D",422,IF(Atletas!P85="Wu-Hao 46 D",423,IF(OR(Atletas!P85="Taijiquan 16 D",Atletas!P85="Taijiquan 24 D",Atletas!P85="Taijiquan 32 D",Atletas!P85="Taijiquan 42 D"),424,IF(OR(Atletas!P85="Yang 26 E",Atletas!P85="Yang 40 E"),425,IF(OR(Atletas!P85="Chen 25 E",Atletas!P85="Chen 36 E",Atletas!P85="Chen 56 E"),426,IF(Atletas!P85="Sun 73 E",427,IF(Atletas!P85="Wu 45 E",428,IF(Atletas!P85="Wu-Hao 46 E",429,IF(OR(Atletas!P85="Taijiquan 16 E",Atletas!P85="Taijiquan 24 E",Atletas!P85="Taijiquan 32 E",Atletas!P85="Taijiquan 42 E"),430,IF(OR(Atletas!P85="Yang 26 F",Atletas!P85="Yang 40 F"),431,IF(OR(Atletas!P85="Chen 25 F",Atletas!P85="Chen 36 F",Atletas!P85="Chen 56 F"),432,IF(Atletas!P85="Sun 73 F",433,IF(Atletas!P85="Wu 45 F",434,IF(Atletas!P85="Wu-Hao 46 F",435,IF(OR(Atletas!P85="Taijiquan 16 F",Atletas!P85="Taijiquan 24 F",Atletas!P85="Taijiquan 32 F",Atletas!P85="Taijiquan 42 F"),436,0)))))))))))))))))))</f>
        <v/>
      </c>
      <c r="BY94" s="50" t="str">
        <f>IF(Atletas!Q85="","",IF(Atletas!X85&lt;&gt;"",10000,0)+IF(Atletas!B85="Feminino",1000,IF(Atletas!B85="Masculino",2000,""))+IF(Atletas!Q85="Xingyiquan A",501,IF(Atletas!Q85="Baguazhang A",502,IF(Atletas!Q85="Outro Estilo Interno A",503,IF(Atletas!Q85="Xingyiquan B",504,IF(Atletas!Q85="Baguazhang B",505,IF(Atletas!Q85="Outro Estilo Interno B",506,IF(Atletas!Q85="Xingyiquan C",507,IF(Atletas!Q85="Baguazhang C",508,IF(Atletas!Q85="Outro Estilo Interno C",509,IF(Atletas!Q85="Xingyiquan D",510,IF(Atletas!Q85="Baguazhang D",511,IF(Atletas!Q85="Outro Estilo Interno D",512,IF(Atletas!Q85="Xingyiquan E",513,IF(Atletas!Q85="Baguazhang E",514,IF(Atletas!Q85="Outro Estilo Interno E",515,IF(Atletas!Q85="Xingyiquan F",516,IF(Atletas!Q85="Baguazhang F",517,IF(Atletas!Q85="Outro Estilo Interno F",518, "")))))))))))))))))))</f>
        <v/>
      </c>
      <c r="BZ94" s="50" t="str">
        <f>IF(Atletas!R85="","",IF(Atletas!X85&lt;&gt;"",10000,0)+IF(Atletas!B85="Feminino",1000,IF(Atletas!B85="Masculino",2000,""))+IF(Atletas!R85="Dao A",601,IF(Atletas!R85="Jian A",602,IF(Atletas!R85="Bishou A",603,IF(Atletas!R85="Shanzi A",604,IF(Atletas!R85="Outra Arma Curta A",605,IF(Atletas!R85="Dao B",606,IF(Atletas!R85="Jian B",607,IF(Atletas!R85="Bishou B",608,IF(Atletas!R85="Shanzi B",609,IF(Atletas!R85="Outra Arma Curta B",610,IF(Atletas!R85="Dao C",611,IF(Atletas!R85="Jian C",612,IF(Atletas!R85="Bishou C",613,IF(Atletas!R85="Shanzi C",614,IF(Atletas!R85="Outra Arma Curta C",615,IF(Atletas!R85="Dao D",616,IF(Atletas!R85="Jian D",617,IF(Atletas!R85="Bishou D",618,IF(Atletas!R85="Shanzi D",619,IF(Atletas!R85="Outra Arma Curta D",620,IF(Atletas!R85="Dao E",621,IF(Atletas!R85="Jian E",622,IF(Atletas!R85="Bishou E",623,IF(Atletas!R85="Shanzi E",624,IF(Atletas!R85="Outra Arma Curta E",625,IF(Atletas!R85="Dao F",626,IF(Atletas!R85="Jian F",627,IF(Atletas!R85="Bishou F",628,IF(Atletas!R85="Shanzi F",629,IF(Atletas!R85="Outra Arma Curta F",630, "")))))))))))))))))))))))))))))))</f>
        <v/>
      </c>
      <c r="CA94" s="50" t="str">
        <f>IF(Atletas!S85="","",IF(Atletas!X85&lt;&gt;"",10000,0)+IF(Atletas!B85="Feminino",1000,IF(Atletas!B85="Masculino",2000,""))+IF(Atletas!S85="Gun A",701,IF(Atletas!S85="Qiang A",702,IF(Atletas!S85="Pudao / Guandao A",703,IF(Atletas!S85="Outra Arma Longa A",704,IF(Atletas!S85="Gun B",705,IF(Atletas!S85="Qiang B",706,IF(Atletas!S85="Pudao / Guandao B",707,IF(Atletas!S85="Outra Arma Longa B",708,IF(Atletas!S85="Gun C",709,IF(Atletas!S85="Qiang C",710,IF(Atletas!S85="Pudao / Guandao C",711,IF(Atletas!S85="Outra Arma Longa C",712,IF(Atletas!S85="Gun D",713,IF(Atletas!S85="Qiang D",714,IF(Atletas!S85="Pudao / Guandao D",715,IF(Atletas!S85="Outra Arma Longa D",716,IF(Atletas!S85="Gun E",717,IF(Atletas!S85="Qiang E",718,IF(Atletas!S85="Pudao / Guandao E",719,IF(Atletas!S85="Outra Arma Longa E",720,IF(Atletas!S85="Gun F",721,IF(Atletas!S85="Qiang F",722,IF(Atletas!S85="Pudao / Guandao F",723,IF(Atletas!S85="Outra Arma Longa F",724,"")))))))))))))))))))))))))</f>
        <v/>
      </c>
      <c r="CB94" s="50" t="str">
        <f>IF(Atletas!T85="","",IF(Atletas!X85&lt;&gt;"",10000,0)+IF(Atletas!B85="Feminino",1000,IF(Atletas!B85="Masculino",2000,""))+IF(Atletas!T85="Outra Arma Dupla A",801,IF(Atletas!T85="Arma Maleável A",802,IF(Atletas!T85="Outra Arma Dupla B",803,IF(Atletas!T85="Arma Maleável B",804,IF(Atletas!T85="Outra Arma Dupla C",805,IF(Atletas!T85="Arma Maleável C",806,IF(Atletas!T85="Outra Arma Dupla D",807,IF(Atletas!T85="Arma Maleável D",808,IF(Atletas!T85="Outra Arma Dupla E",809,IF(Atletas!T85="Arma Maleável E",810,IF(Atletas!T85="Outra Arma Dupla F",811,IF(Atletas!T85="Arma Maleável F",812,IF(Atletas!T85="Shuangdao A",813,IF(Atletas!T85="Shuangdao B",814,IF(Atletas!T85="Shuangdao C",815,IF(Atletas!T85="Shuangdao D",816,IF(Atletas!T85="Shuangdao E",817,IF(Atletas!T85="Shuangdao F",818,"")))))))))))))))))))</f>
        <v/>
      </c>
      <c r="CC94" s="50" t="str">
        <f>IF(Atletas!U85="","",IF(Atletas!X85&lt;&gt;"",10000,0)+IF(Atletas!B85="Feminino",1000,IF(Atletas!B85="Masculino",2000,""))+IF(OR(Atletas!U85="Taijijian Yang A",Atletas!U85="Taijijian Yang Standard A"),901,IF(OR(Atletas!U85="Taijijian Chen A", Atletas!U85="Taijijian Chen Standard A"),902,IF(Atletas!U85="Taijijian Sun A",903,IF(Atletas!U85="Taijijian Wu A",904,IF(Atletas!U85="Taijijian Wu-Hao A",905,IF(OR(Atletas!U85="Taijijian 32 A",Atletas!U85="Taijijian 42 A"),906,IF(OR(Atletas!U85="Taijijian Yang B",Atletas!U85="Taijijian Yang Standard B"),907,IF(OR(Atletas!U85="Taijijian Chen B", Atletas!U85="Taijijian Chen Standard B"),908,IF(Atletas!U85="Taijijian Sun B",909,IF(Atletas!U85="Taijijian Wu B",910,IF(Atletas!U85="Taijijian Wu-Hao B",911,IF(OR(Atletas!U85="Taijijian 32 B",Atletas!U85="Taijijian 42 B"),912,IF(OR(Atletas!U85="Taijijian Yang C",Atletas!U85="Taijijian Yang Standard C"),913,IF(OR(Atletas!U85="Taijijian Chen C", Atletas!U85="Taijijian Chen Standard C"),914,IF(Atletas!U85="Taijijian Sun C",915,IF(Atletas!U85="Taijijian Wu C",916,IF(Atletas!U85="Taijijian Wu-Hao C",917,IF(OR(Atletas!U85="Taijijian 32 C",Atletas!U85="Taijijian 42 C"),918,IF(OR(Atletas!U85="Taijijian Yang D",Atletas!U85="Taijijian Yang Standard D"),919,IF(OR(Atletas!U85="Taijijian Chen D", Atletas!U85="Taijijian Chen Standard D"),920,IF(Atletas!U85="Taijijian Sun D",921,IF(Atletas!U85="Taijijian Wu D",922,IF(Atletas!U85="Taijijian Wu-Hao D",923,IF(OR(Atletas!U85="Taijijian 32 D",Atletas!U85="Taijijian 42 D"),924,IF(OR(Atletas!U85="Taijijian Yang E",Atletas!U85="Taijijian Yang Standard E"),925,IF(OR(Atletas!U85="Taijijian Chen E", Atletas!U85="Taijijian Chen Standard E"),926,IF(Atletas!U85="Taijijian Sun E",927,IF(Atletas!U85="Taijijian Wu E",928,IF(Atletas!U85="Taijijian Wu-Hao E",929,IF(OR(Atletas!U85="Taijijian 32 E",Atletas!U85="Taijijian 42 E"),930,IF(OR(Atletas!U85="Taijijian Yang F",Atletas!U85="Taijijian Yang Standard F"),931,IF(OR(Atletas!U85="Taijijian Chen F", Atletas!U85="Taijijian Chen Standard F"),932,IF(Atletas!U85="Taijijian Sun F",933,IF(Atletas!U85="Taijijian Wu F",934,IF(Atletas!U85="Taijijian Wu-Hao F",935,IF(OR(Atletas!U85="Taijijian 32 F",Atletas!U85="Taijijian 42 F"),936,"")))))))))))))))))))))))))))))))))))))</f>
        <v/>
      </c>
      <c r="CD94" s="50" t="str">
        <f>IF(Atletas!V85="","",IF(Atletas!X85&lt;&gt;"",10000,0)+IF(Atletas!B85="Feminino",1000,IF(Atletas!B85="Masculino",2000,""))+IF(Atletas!V85="Taijidao A",937,IF(Atletas!V85="TaijiShanzi A",938,IF(Atletas!V85="Taijiqiang A",939,IF(Atletas!V85="Bagua de Arma A",940,IF(Atletas!V85="Xingyi de Arma A",941,IF(Atletas!V85="Taijidao B",942,IF(Atletas!V85="TaijiShanzi B",943,IF(Atletas!V85="Taijiqiang B",944,IF(Atletas!V85="Bagua de Arma B",945,IF(Atletas!V85="Xingyi de Arma B",946,IF(Atletas!V85="Taijidao C",947,IF(Atletas!V85="TaijiShanzi C",948,IF(Atletas!V85="Taijiqiang C",949,IF(Atletas!V85="Bagua de Arma C",950,IF(Atletas!V85="Xingyi de Arma C",951,IF(Atletas!V85="Taijidao D",952,IF(Atletas!V85="TaijiShanzi D",953,IF(Atletas!V85="Taijiqiang D",954,IF(Atletas!V85="Bagua de Arma D",955,IF(Atletas!V85="Xingyi de Arma D",956,IF(Atletas!V85="Taijidao E",957,IF(Atletas!V85="TaijiShanzi E",958,IF(Atletas!V85="Taijiqiang E",959,IF(Atletas!V85="Bagua de Arma E",960,IF(Atletas!V85="Xingyi de Arma E",961,IF(Atletas!V85="Taijidao F",962,IF(Atletas!V85="TaijiShanzi F",963,IF(Atletas!V85="Taijiqiang F",964,IF(Atletas!V85="Bagua de Arma F",965,IF(Atletas!V85="Xingyi de Arma F",966,"")))))))))))))))))))))))))))))))</f>
        <v/>
      </c>
      <c r="CE94" s="66" t="str">
        <f>IF(CF94&lt;&gt;"","Outros Estilos D","")</f>
        <v/>
      </c>
      <c r="CF94" s="66" t="str">
        <f>IF(COUNTIF(BR:CD,1152)&gt;0,COUNTIF(BR:CD,1152),"")</f>
        <v/>
      </c>
      <c r="CG94" s="66" t="str">
        <f>IF(CH94&lt;&gt;"","Outros Estilos D","")</f>
        <v/>
      </c>
      <c r="CH94" s="66" t="str">
        <f>IF(COUNTIF(BR:CD,2152)&gt;0,COUNTIF(BR:CD,2152),"")</f>
        <v/>
      </c>
      <c r="CI94" s="66" t="str">
        <f>IF(CJ94&lt;&gt;"","Paoquan E","")</f>
        <v/>
      </c>
      <c r="CJ94" s="66" t="str">
        <f>IF(COUNTIF(BR:CD,11158)&gt;0,COUNTIF(BR:CD,11158),"")</f>
        <v/>
      </c>
      <c r="CK94" s="66" t="str">
        <f>IF(CL94&lt;&gt;"","Paoquan E","")</f>
        <v/>
      </c>
      <c r="CL94" s="66" t="str">
        <f>IF(COUNTIF(BR:CD,12158)&gt;0,COUNTIF(BR:CD,12158),"")</f>
        <v/>
      </c>
      <c r="CM94" s="50" t="str">
        <f xml:space="preserve"> IF(Atletas!W85="","",IF(Atletas!W85="Duilian de Mãos BC - Equipe 1",1,IF(Atletas!W85="Duilian de Mãos BC - Equipe 2",2,IF(Atletas!W85="Duilian de Armas BC - Equipe 1",3,IF(Atletas!W85="Duilian de Armas BC - Equipe 2",4,IF(Atletas!W85="Duilian de Mãos DE - Equipe 1",5,IF(Atletas!W85="Duilian de Mãos DE - Equipe 2",6,IF(Atletas!W85="Duilian de Armas DE - Equipe 1",7,IF(Atletas!W85="Duilian de Armas DE - Equipe 2",8,IF(Atletas!W85="Duilian de Tuishou - Equipe 1",9,IF(Atletas!W85="Duilian de Tuishou - Equipe 2",10,IF(Atletas!W85="Grupo Externo ABC - Equipe 1",11,IF(Atletas!W85="Grupo Externo ABC - Equipe 2",12,IF(Atletas!W85="Grupo Interno ABC - Equipe 1",13,IF(Atletas!W85="Grupo Interno ABC - Equipe 2",14,IF(Atletas!W85="Grupo Externo DEF - Equipe 1",15,IF(Atletas!W85="Grupo Externo DEF - Equipe 2",16,IF(Atletas!W85="Grupo Interno DEF - Equipe 1",17,IF(Atletas!W85="Grupo Interno DEF - Equipe 2",18,"")))))))))))))))))))</f>
        <v/>
      </c>
    </row>
    <row r="95" spans="2:91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 t="str">
        <f t="array" ref="Z95">IFERROR(INDEX(CE$7:CE$348,SMALL(IF(CE$7:CE$348&lt;&gt;"",ROW(CE$7:CE$348)-ROW(CE$7)+1),ROWS(CE$7:CE94))),"")</f>
        <v/>
      </c>
      <c r="AA95" s="3" t="str">
        <f t="array" ref="AA95">IFERROR(INDEX(CF$7:CF$348,SMALL(IF(CF$7:CF$348&lt;&gt;"",ROW(CF$7:CF$348)-ROW(CF$7)+1),ROWS(CF$7:CF94))),"")</f>
        <v/>
      </c>
      <c r="AB95" s="3" t="str">
        <f t="array" ref="AB95">IFERROR(INDEX(CG$7:CG$348,SMALL(IF(CG$7:CG$348&lt;&gt;"",ROW(CG$7:CG$348)-ROW(CG$7)+1),ROWS(CG$7:CG94))),"")</f>
        <v/>
      </c>
      <c r="AC95" s="3" t="str">
        <f t="array" ref="AC95">IFERROR(INDEX(CH$7:CH$348,SMALL(IF(CH$7:CH$348&lt;&gt;"",ROW(CH$7:CH$348)-ROW(CH$7)+1),ROWS(CH$7:CH94))),"")</f>
        <v/>
      </c>
      <c r="AD95" s="3" t="str">
        <f t="array" ref="AD95">IFERROR(INDEX(CI$7:CI$377,SMALL(IF(CI$7:CI$377&lt;&gt;"",ROW(CI$7:CI$377)-ROW(CI$7)+1),ROWS(CI$7:CI94))),"")</f>
        <v/>
      </c>
      <c r="AE95" s="3" t="str">
        <f t="array" ref="AE95">IFERROR(INDEX(CJ$7:CJ$378,SMALL(IF(CJ$7:CJ$378&lt;&gt;"",ROW(CJ$7:CJ$378)-ROW(CJ$7)+1),ROWS(CJ$7:CJ94))),"")</f>
        <v/>
      </c>
      <c r="AF95" s="3" t="str">
        <f t="array" ref="AF95">IFERROR(INDEX(CK$7:CK$378,SMALL(IF(CK$7:CK$378&lt;&gt;"",ROW(CK$7:CK$378)-ROW(CK$7)+1),ROWS(CK$7:CK94))),"")</f>
        <v/>
      </c>
      <c r="AG95" s="3" t="str">
        <f t="array" ref="AG95">IFERROR(INDEX(CL$7:CL$378,SMALL(IF(CL$7:CL$378&lt;&gt;"",ROW(CL$7:CL$378)-ROW(CL$7)+1),ROWS(CL$7:CL94))),"")</f>
        <v/>
      </c>
      <c r="AH95" s="3"/>
      <c r="AI95" s="3"/>
      <c r="AJ95" s="3"/>
      <c r="AK95" s="3"/>
      <c r="AL95" s="3"/>
      <c r="AM95" s="3"/>
      <c r="AN95" s="52" t="str">
        <f>IF(Atletas!D86="","",IF(Atletas!B86="Feminino",100,IF(Atletas!B86="Masculino",200,""))+(IF(Atletas!D86="Kids 30kg",1,IF(Atletas!D86="Kids 32kg",2, IF(Atletas!D86="Kids 34kg",3,IF(Atletas!D86="Kids 36kg",4,IF(Atletas!D86="Kids 39kg",5,IF(Atletas!D86="Kids 42kg",6,IF(Atletas!D86="Kids 45kg",7, IF(Atletas!D86="Infantil 39kg",8,IF(Atletas!D86="Infantil 42kg",9,IF(Atletas!D86="Infantil 45kg",10,IF(Atletas!D86="Infantil 48kg",11,IF(Atletas!D86="Infantil 52kg",12,IF(Atletas!D86="Infantil 56kg",13,IF(Atletas!D86="Infantil 60kg",14,IF(Atletas!D86="Juvenil 48kg",15,IF(Atletas!D86="Juvenil 52kg",16,IF(Atletas!D86="Juvenil 56kg",17,IF(Atletas!D86="Juvenil 60kg",18,IF(Atletas!D86="Juvenil 65kg",19,IF(Atletas!D86="Juvenil 70kg",20,IF(Atletas!D86="Juvenil 75kg",21,IF(Atletas!D86="Juvenil 80kg",22, IF(Atletas!D86="Juvenil 85kg",23,IF(Atletas!D86="Adulto 48kg",24,IF(Atletas!D86="Adulto 52kg",25,IF(Atletas!D86="Adulto 56kg",26,IF(Atletas!D86="Adulto 60kg",27,IF(Atletas!D86="Adulto 65kg",28,IF(Atletas!D86="Adulto 70kg",29,IF(Atletas!D86="Adulto 75kg",30,IF(Atletas!D86="Adulto 80kg",31,IF(Atletas!D86="Adulto 85kg",32,IF(Atletas!D86="Adulto 90kg",33,IF(Atletas!D86="Adulto 100kg",34, IF(Atletas!D86="Adulto +100kg",35,"")))))))))))))))))))))))))))))))))))))</f>
        <v/>
      </c>
      <c r="AS95" s="6" t="str">
        <f>IF(Atletas!E86="","",IF(Atletas!B86="Feminino",100,IF(Atletas!B86="Masculino",200,""))+(IF(Atletas!E86="Juvenil 44kg",1,IF(Atletas!E86="Juvenil 48kg",2,IF(Atletas!E86="Juvenil 52kg",3,IF(Atletas!E86="Juvenil 56kg",4,IF(Atletas!E86="Juvenil 60kg",5,IF(Atletas!E86="Juvenil 65kg",6,IF(Atletas!E86="Juvenil 70kg",7,IF(Atletas!E86="Juvenil 75kg",8,IF(Atletas!E86="Juvenil 82kg",9,IF(Atletas!E86="Juvenil 90kg",10,IF(Atletas!E86="Juvenil 100kg",11,IF(Atletas!E86="Adulto 48kg",12,IF(Atletas!E86="Adulto 52kg",13,IF(Atletas!E86="Adulto 56kg",14,IF(Atletas!E86="Adulto 60kg",15,IF(Atletas!E86="Adulto 65kg",16,IF(Atletas!E86="Adulto 70kg",17,IF(Atletas!E86="Adulto 75kg",18,IF(Atletas!E86="Adulto 82kg",19,IF(Atletas!E86="Adulto 90kg",20,IF(Atletas!E86="Adulto 100kg",21,IF(Atletas!E86="Adulto +100kg",22,""))))))))))))))))))))))))</f>
        <v/>
      </c>
      <c r="AX95" s="6" t="str">
        <f>IF(Atletas!F86="","",IF(Atletas!B86="Feminino",100,IF(Atletas!B86="Masculino",200,""))+(IF(Atletas!F86="Adulto 48kg",1,IF(Atletas!F86="Adulto 56kg",2,IF(Atletas!F86="Adulto 65kg",3,IF(Atletas!F86="Adulto 75kg",4,IF(Atletas!F86="Adulto +75kg",5,IF(Atletas!F86="Adulto 52kg",6,IF(Atletas!F86="Adulto 60kg",7,IF(Atletas!F86="Adulto 70kg",8,IF(Atletas!F86="Adulto 80kg",9,IF(Atletas!F86="Adulto 90kg",10,IF(Atletas!F86="Adulto +90kg",11,"")))))))))))))</f>
        <v/>
      </c>
      <c r="BC95" s="6" t="str">
        <f>IF(Atletas!G86="","",IF(Atletas!B86="Feminino",10,IF(Atletas!B86="Masculino",20,""))+(IF(Atletas!G86="Baduanjin A",1,IF(Atletas!G86="Baduanjin B",2))))</f>
        <v/>
      </c>
      <c r="BF95" s="52" t="str">
        <f>IF(Atletas!H86="","",IF(Atletas!B86="Feminino",100,IF(Atletas!B86="Masculino",200,""))+(IF(Atletas!H86="Changquan Mirim",1,IF(Atletas!H86="Nanquan Mirim",2,IF(Atletas!H86="Taijiquan Mirim",3,IF(Atletas!H86="Changquan Grupo C",4,IF(Atletas!H86="Nanquan Grupo C",5,IF(Atletas!H86="Taijiquan Grupo C",6,IF(Atletas!H86="Changquan Grupo B",7,IF(Atletas!H86="Nanquan Grupo B",8,IF(Atletas!H86="Taijiquan Grupo B",9,IF(Atletas!H86="Changquan Grupo A",10,IF(Atletas!H86="Nanquan Grupo A",11,IF(Atletas!H86="Taijiquan Grupo A",12,IF(Atletas!H86="Changquan Opcional",13,IF(Atletas!H86="Nanquan Opcional",14,IF(Atletas!H86="Taijiquan Opcional",15,IF(Atletas!H86="Changquan Adulto",16,IF(Atletas!H86="Nanquan Adulto",17,IF(Atletas!H86="Taijiquan Adulto",18,""))))))))))))))))))))</f>
        <v/>
      </c>
      <c r="BG95" s="52" t="str">
        <f>IF(Atletas!I86="","",IF(Atletas!B86="Feminino",100,IF(Atletas!B86="Masculino",200,""))+(IF(Atletas!I86="Daoshu Mirim",19,IF(Atletas!I86="Jianshu Mirim",20,IF(Atletas!I86="Nandao Mirim",21,IF(Atletas!I86="Taijijian Mirim",22,IF(Atletas!I86="Daoshu Grupo C",23,IF(Atletas!I86="Jianshu Grupo C",24,IF(Atletas!I86="Nandao Grupo C",25,IF(Atletas!I86="Taijijian Grupo C",26,IF(Atletas!I86="Daoshu Grupo B",27,IF(Atletas!I86="Jianshu Grupo B",28,IF(Atletas!I86="Nandao Grupo B",29,IF(Atletas!I86="Taijijian Grupo B",30,IF(Atletas!I86="Daoshu Grupo A",31,IF(Atletas!I86="Jianshu Grupo A",32,IF(Atletas!I86="Nandao Grupo A",33,IF(Atletas!I86="Taijijian Grupo A",34,IF(Atletas!I86="Daoshu Opcional",35,IF(Atletas!I86="Jianshu Opcional",36,IF(Atletas!I86="Nandao Opcional",37,IF(Atletas!I86="Taijijian Opcional",38,IF(Atletas!I86="Daoshu Adulto",39,IF(Atletas!I86="Jianshu Adulto",40,IF(Atletas!I86="Nandao Adulto",41,IF(Atletas!I86="Taijijian Adulto",42,""))))))))))))))))))))))))))</f>
        <v/>
      </c>
      <c r="BH95" s="52" t="str">
        <f>IF(Atletas!J86="","",IF(Atletas!B86="Feminino",100,IF(Atletas!B86="Masculino",200,""))+(IF(Atletas!J86="Gunshu Mirim",43,IF(Atletas!J86="Qiangshu Mirim",44,IF(Atletas!J86="Nangun Mirim",45,IF(Atletas!J86="Gunshu Grupo C",46,IF(Atletas!J86="Qiangshu Grupo C",47,IF(Atletas!J86="Nangun Grupo C",48,IF(Atletas!J86="Gunshu Grupo B",49,IF(Atletas!J86="Qiangshu Grupo B",50,IF(Atletas!J86="Nangun Grupo B",51,IF(Atletas!J86="Gunshu Grupo A",52,IF(Atletas!J86="Qiangshu Grupo A",53,IF(Atletas!J86="Nangun Grupo A",54,IF(Atletas!J86="Gunshu Opcional",55,IF(Atletas!J86="Qiangshu Opcional",56,IF(Atletas!J86="Nangun Opcional",57,IF(Atletas!J86="Gunshu Adulto",58,IF(Atletas!J86="Qiangshu Adulto",59,IF(Atletas!J86="Nangun Adulto",60,IF(Atletas!J86="Taijishan Grupo B",61,IF(Atletas!J86="Taijishan Grupo A",62,""))))))))))))))))))))))</f>
        <v/>
      </c>
      <c r="BM95" s="50" t="str">
        <f>IF(Atletas!K86="","",IF(Atletas!B86="Feminino",100,IF(Atletas!B86="Masculino",200,""))+(IF(Atletas!K86="Equipe 1 Grupo B",1,IF(Atletas!K86="Equipe 2 Grupo B",2,IF(Atletas!K86="Equipe 1 Grupo A",3,IF(Atletas!K86="Equipe 2 Grupo A",4,IF(Atletas!K86="Equipe 1 Adulto",5,IF(Atletas!K86="Equipe 2 Adulto",6,""))))))))</f>
        <v/>
      </c>
      <c r="BR95" s="50" t="str">
        <f>IF(Atletas!L86="","",IF(Atletas!X86&lt;&gt;"",10000,0)+(IF(Atletas!B86="Feminino",1000,IF(Atletas!B86="Masculino",2000,""))+IF(Atletas!L86="Choylayfut A",1,IF(Atletas!L86="Hunggar A",2,IF(Atletas!L86="Wuzuquan A",3,IF(Atletas!L86="Wingchun A",4,IF(Atletas!L86="Outra Mão de Sul A",5,IF(Atletas!L86="Choylayfut B",6,IF(Atletas!L86="Hunggar B",7,IF(Atletas!L86="Wuzuquan B",8,IF(Atletas!L86="Wingchun B",9,IF(Atletas!L86="Outra Mão de Sul B",10,IF(Atletas!L86="Choylayfut C",11,IF(Atletas!L86="Hunggar C",12,IF(Atletas!L86="Wuzuquan C",13,IF(Atletas!L86="Wingchun C",14,IF(Atletas!L86="Outra Mão de Sul C",15,IF(Atletas!L86="Choylayfut D",16,IF(Atletas!L86="Hunggar D",17,IF(Atletas!L86="Wuzuquan D",18,IF(Atletas!L86="Wingchun D",19,IF(Atletas!L86="Outra Mão de Sul D",20,IF(Atletas!L86="Choylayfut E",21,IF(Atletas!L86="Hunggar E",22,IF(Atletas!L86="Wuzuquan E",23,IF(Atletas!L86="Wingchun E",24,IF(Atletas!L86="Outra Mão de Sul E",25,IF(Atletas!L86="Choylayfut F",26,IF(Atletas!L86="Hunggar F",27,IF(Atletas!L86="Wuzuquan F",28,IF(Atletas!L86="Wingchun F",29,IF(Atletas!L86="Outra Mão de Sul F",30,IF(Atletas!L86="Dishuquan A",31,IF(Atletas!L86="Dishuquan B",32,IF(Atletas!L86="Dishuquan C",33,IF(Atletas!L86="Dishuquan D",34,IF(Atletas!L86="Dishuquan E",35,IF(Atletas!L86="Dishuquan F",36,""))))))))))))))))))))))))))))))))))))))</f>
        <v/>
      </c>
      <c r="BS95" s="50" t="str">
        <f>IF(Atletas!M86="","",IF(Atletas!X86&lt;&gt;"",10000,0)+(IF(Atletas!B86="Feminino",1000,IF(Atletas!B86="Masculino",2000,""))+(IF(Atletas!M86="Chaquan A",101,IF(Atletas!M86="Emeiquan A",102,IF(Atletas!M86="Fanziquan A",103,IF(Atletas!M86="Huaquan A",104,IF(Atletas!M86="Hongquan A",105,IF(Atletas!M86="Paoquan A",106,IF(Atletas!M86="Piguaquan A",107,IF(Atletas!M86="Shaolinquan A",108,IF(Atletas!M86="Tanglangquan A",109,IF(Atletas!M86="Yingzhaoquan A",110,IF(Atletas!M86="Tongbeiquan A",111,IF(Atletas!M86="Wudangquan A",112,IF(Atletas!M86="Outros Estilos A",113,IF(Atletas!M86="Chaquan B",114,IF(Atletas!M86="Emeiquan B",115,IF(Atletas!M86="Fanziquan B",116,IF(Atletas!M86="Huaquan B",117,IF(Atletas!M86="Hongquan B",118,IF(Atletas!M86="Paoquan B",119,IF(Atletas!M86="Piguaquan B",120,IF(Atletas!M86="Shaolinquan B",121,IF(Atletas!M86="Tanglangquan B",122,IF(Atletas!M86="Yingzhaoquan B",123,IF(Atletas!M86="Tongbeiquan B",124,IF(Atletas!M86="Wudangquan B",125,IF(Atletas!M86="Outros Estilos B",126,IF(Atletas!M86="Chaquan C",127,IF(Atletas!M86="Emeiquan C",128,IF(Atletas!M86="Fanziquan C",129,IF(Atletas!M86="Huaquan C",130,IF(Atletas!M86="Hongquan C",131,IF(Atletas!M86="Paoquan C",132,IF(Atletas!M86="Piguaquan C",133,IF(Atletas!M86="Shaolinquan C",134,IF(Atletas!M86="Tanglangquan C",135,IF(Atletas!M86="Yingzhaoquan C",136,IF(Atletas!M86="Tongbeiquan C",137,IF(Atletas!M86="Wudangquan C",138,IF(Atletas!M86="Outros Estilos C",139,0))))))))))))))))))))))))))))))))))))))))))</f>
        <v/>
      </c>
      <c r="BT95" s="50" t="str">
        <f>IF(Atletas!M86="","",IF(Atletas!X86&lt;&gt;"",10000,0)+(IF(Atletas!B86="Feminino",1000,IF(Atletas!B86="Masculino",2000,""))+(IF(Atletas!M86="Chaquan D",140,IF(Atletas!M86="Emeiquan D",141,IF(Atletas!M86="Fanziquan D",142,IF(Atletas!M86="Huaquan D",143,IF(Atletas!M86="Hongquan D",144,IF(Atletas!M86="Paoquan D",145,IF(Atletas!M86="Piguaquan D",146,IF(Atletas!M86="Shaolinquan D",147,IF(Atletas!M86="Tanglangquan D",148,IF(Atletas!M86="Yingzhaoquan D",149,IF(Atletas!M86="Tongbeiquan D",150,IF(Atletas!M86="Wudangquan D",151,IF(Atletas!M86="Outros Estilos D",152,IF(Atletas!M86="Chaquan E",153,IF(Atletas!M86="Emeiquan E",154,IF(Atletas!M86="Fanziquan E",155,IF(Atletas!M86="Huaquan E",156,IF(Atletas!M86="Hongquan E",157,IF(Atletas!M86="Paoquan E",158,IF(Atletas!M86="Piguaquan E",159,IF(Atletas!M86="Shaolinquan E",160,IF(Atletas!M86="Tanglangquan E",161,IF(Atletas!M86="Yingzhaoquan E",162,IF(Atletas!M86="Tongbeiquan E",163,IF(Atletas!M86="Wudangquan E",164,IF(Atletas!M86="Outros Estilos E",165,IF(Atletas!M86="Chaquan F",166,IF(Atletas!M86="Emeiquan F",167,IF(Atletas!M86="Fanziquan F",168,IF(Atletas!M86="Huaquan F",169,IF(Atletas!M86="Hongquan F",170,IF(Atletas!M86="Paoquan F",171,IF(Atletas!M86="Piguaquan F",172,IF(Atletas!M86="Shaolinquan F",173,IF(Atletas!M86="Tanglangquan F",174,IF(Atletas!M86="Yingzhaoquan F",175,IF(Atletas!M86="Tongbeiquan F",176,IF(Atletas!M86="Wudangquan F",177,IF(Atletas!M86="Outros Estilos F",178,0))))))))))))))))))))))))))))))))))))))))))</f>
        <v/>
      </c>
      <c r="BU95" s="50" t="str">
        <f>IF(Atletas!N86="","",IF(Atletas!X86&lt;&gt;"",10000,0)+(IF(Atletas!B86="Feminino",1000,IF(Atletas!B86="Masculino",2000,""))+(IF(Atletas!N86="Ditangquan A",201,IF(Atletas!N86="Houquan A",202,IF(Atletas!N86="Zuiquan A",203,IF(Atletas!N86="Ditangquan B",204,IF(Atletas!N86="Houquan B",205,IF(Atletas!N86="Zuiquan B",206,IF(Atletas!N86="Ditangquan C",207,IF(Atletas!N86="Houquan C",208,IF(Atletas!N86="Zuiquan C",209,IF(Atletas!N86="Ditangquan D",210,IF(Atletas!N86="Houquan D",211,IF(Atletas!N86="Zuiquan D",212,IF(Atletas!N86="Ditangquan E",213,IF(Atletas!N86="Houquan E",214,IF(Atletas!N86="Zuiquan E",215,IF(Atletas!N86="Ditangquan F",216,IF(Atletas!N86="Houquan F",217,IF(Atletas!N86="Zuiquan F",218,"")))))))))))))))))))))</f>
        <v/>
      </c>
      <c r="BV95" s="50" t="str">
        <f>IF(Atletas!O86="","",IF(Atletas!X86&lt;&gt;"",10000,0)+IF(Atletas!B86="Feminino",1000,IF(Atletas!B86="Masculino",2000,""))+IF(Atletas!O86="Yang A",301,IF(Atletas!O86="Chen A",302,IF(Atletas!O86="Sun A",303,IF(Atletas!O86="Wu A",304,IF(Atletas!O86="Wu-Hao A",305,IF(Atletas!O86="Outro Taijiquan A",306,IF(Atletas!O86="Yang B",307,IF(Atletas!O86="Chen B",308,IF(Atletas!O86="Sun B",309,IF(Atletas!O86="Wu B",310,IF(Atletas!O86="Wu-Hao B",311,IF(Atletas!O86="Outro Taijiquan B",312,IF(Atletas!O86="Yang C",313,IF(Atletas!O86="Chen C",314,IF(Atletas!O86="Sun C",315,IF(Atletas!O86="Wu C",316,IF(Atletas!O86="Wu-Hao C",317,IF(Atletas!O86="Outro Taijiquan C",318,IF(Atletas!O86="Yang D",319,IF(Atletas!O86="Chen D",320,IF(Atletas!O86="Sun D",321,IF(Atletas!O86="Wu D",322,IF(Atletas!O86="Wu-Hao D",323,IF(Atletas!O86="Outro Taijiquan D",324,IF(Atletas!O86="Yang E",325,IF(Atletas!O86="Chen E",326,IF(Atletas!O86="Sun E",327,IF(Atletas!O86="Wu E",328,IF(Atletas!O86="Wu-Hao E",329,IF(Atletas!O86="Outro Taijiquan E",330,IF(Atletas!O86="Yang F",331,IF(Atletas!O86="Chen F",332,IF(Atletas!O86="Sun F",333,IF(Atletas!O86="Wu F",334,IF(Atletas!O86="Wu-Hao F",335,IF(Atletas!O86="Outro Taijiquan F",336,"")))))))))))))))))))))))))))))))))))))</f>
        <v/>
      </c>
      <c r="BW95" s="50" t="str">
        <f>IF(Atletas!P86="","",IF(Atletas!X86&lt;&gt;"",10000,0)+IF(Atletas!B86="Feminino",1000,IF(Atletas!B86="Masculino",2000,""))+IF(OR(Atletas!P86="Yang 26 A",Atletas!P86="Yang 40 A"),401,IF(OR(Atletas!P86="Chen 25 A",Atletas!P86="Chen 36 A",Atletas!P86="Chen 56 A"),402,IF(Atletas!P86="Sun 73 A",403,IF(Atletas!P86="Wu 45 A",404,IF(Atletas!P86="Wu-Hao 46 A",405,IF(OR(Atletas!P86="Taijiquan 16 A",Atletas!P86="Taijiquan 24 A",Atletas!P86="Taijiquan 32 A",Atletas!P86="Taijiquan 42 A"),406,IF(OR(Atletas!P86="Yang 26 B",Atletas!P86="Yang 40 B"),407,IF(OR(Atletas!P86="Chen 25 B",Atletas!P86="Chen 36 B",Atletas!P86="Chen 56 B"),408,IF(Atletas!P86="Sun 73 B",409,IF(Atletas!P86="Wu 45 B",410,IF(Atletas!P86="Wu-Hao 46 B",411,IF(OR(Atletas!P86="Taijiquan 16 B",Atletas!P86="Taijiquan 24 B",Atletas!P86="Taijiquan 32 B",Atletas!P86="Taijiquan 42 B"),412,IF(OR(Atletas!P86="Yang 26 C",Atletas!P86="Yang 40 C"),413,IF(OR(Atletas!P86="Chen 25 C",Atletas!P86="Chen 36 C",Atletas!P86="Chen 56 C"),414,IF(Atletas!P86="Sun 73 C",415,IF(Atletas!P86="Wu 45 C",416,IF(Atletas!P86="Wu-Hao 46 C",417,IF(OR(Atletas!P86="Taijiquan 16 C",Atletas!P86="Taijiquan 24 C",Atletas!P86="Taijiquan 32 C",Atletas!P86="Taijiquan 42 C"),418,0)))))))))))))))))))</f>
        <v/>
      </c>
      <c r="BX95" s="50" t="str">
        <f>IF(Atletas!P86="","",IF(Atletas!X86&lt;&gt;"",10000,0)+IF(Atletas!B86="Feminino",1000,IF(Atletas!B86="Masculino",2000,""))+IF(OR(Atletas!P86="Yang 26 D",Atletas!P86="Yang 40 D"),419,IF(OR(Atletas!P86="Chen 25 D",Atletas!P86="Chen 36 D",Atletas!P86="Chen 56 D"),420,IF(Atletas!P86="Sun 73 D",421,IF(Atletas!P86="Wu 45 D",422,IF(Atletas!P86="Wu-Hao 46 D",423,IF(OR(Atletas!P86="Taijiquan 16 D",Atletas!P86="Taijiquan 24 D",Atletas!P86="Taijiquan 32 D",Atletas!P86="Taijiquan 42 D"),424,IF(OR(Atletas!P86="Yang 26 E",Atletas!P86="Yang 40 E"),425,IF(OR(Atletas!P86="Chen 25 E",Atletas!P86="Chen 36 E",Atletas!P86="Chen 56 E"),426,IF(Atletas!P86="Sun 73 E",427,IF(Atletas!P86="Wu 45 E",428,IF(Atletas!P86="Wu-Hao 46 E",429,IF(OR(Atletas!P86="Taijiquan 16 E",Atletas!P86="Taijiquan 24 E",Atletas!P86="Taijiquan 32 E",Atletas!P86="Taijiquan 42 E"),430,IF(OR(Atletas!P86="Yang 26 F",Atletas!P86="Yang 40 F"),431,IF(OR(Atletas!P86="Chen 25 F",Atletas!P86="Chen 36 F",Atletas!P86="Chen 56 F"),432,IF(Atletas!P86="Sun 73 F",433,IF(Atletas!P86="Wu 45 F",434,IF(Atletas!P86="Wu-Hao 46 F",435,IF(OR(Atletas!P86="Taijiquan 16 F",Atletas!P86="Taijiquan 24 F",Atletas!P86="Taijiquan 32 F",Atletas!P86="Taijiquan 42 F"),436,0)))))))))))))))))))</f>
        <v/>
      </c>
      <c r="BY95" s="50" t="str">
        <f>IF(Atletas!Q86="","",IF(Atletas!X86&lt;&gt;"",10000,0)+IF(Atletas!B86="Feminino",1000,IF(Atletas!B86="Masculino",2000,""))+IF(Atletas!Q86="Xingyiquan A",501,IF(Atletas!Q86="Baguazhang A",502,IF(Atletas!Q86="Outro Estilo Interno A",503,IF(Atletas!Q86="Xingyiquan B",504,IF(Atletas!Q86="Baguazhang B",505,IF(Atletas!Q86="Outro Estilo Interno B",506,IF(Atletas!Q86="Xingyiquan C",507,IF(Atletas!Q86="Baguazhang C",508,IF(Atletas!Q86="Outro Estilo Interno C",509,IF(Atletas!Q86="Xingyiquan D",510,IF(Atletas!Q86="Baguazhang D",511,IF(Atletas!Q86="Outro Estilo Interno D",512,IF(Atletas!Q86="Xingyiquan E",513,IF(Atletas!Q86="Baguazhang E",514,IF(Atletas!Q86="Outro Estilo Interno E",515,IF(Atletas!Q86="Xingyiquan F",516,IF(Atletas!Q86="Baguazhang F",517,IF(Atletas!Q86="Outro Estilo Interno F",518, "")))))))))))))))))))</f>
        <v/>
      </c>
      <c r="BZ95" s="50" t="str">
        <f>IF(Atletas!R86="","",IF(Atletas!X86&lt;&gt;"",10000,0)+IF(Atletas!B86="Feminino",1000,IF(Atletas!B86="Masculino",2000,""))+IF(Atletas!R86="Dao A",601,IF(Atletas!R86="Jian A",602,IF(Atletas!R86="Bishou A",603,IF(Atletas!R86="Shanzi A",604,IF(Atletas!R86="Outra Arma Curta A",605,IF(Atletas!R86="Dao B",606,IF(Atletas!R86="Jian B",607,IF(Atletas!R86="Bishou B",608,IF(Atletas!R86="Shanzi B",609,IF(Atletas!R86="Outra Arma Curta B",610,IF(Atletas!R86="Dao C",611,IF(Atletas!R86="Jian C",612,IF(Atletas!R86="Bishou C",613,IF(Atletas!R86="Shanzi C",614,IF(Atletas!R86="Outra Arma Curta C",615,IF(Atletas!R86="Dao D",616,IF(Atletas!R86="Jian D",617,IF(Atletas!R86="Bishou D",618,IF(Atletas!R86="Shanzi D",619,IF(Atletas!R86="Outra Arma Curta D",620,IF(Atletas!R86="Dao E",621,IF(Atletas!R86="Jian E",622,IF(Atletas!R86="Bishou E",623,IF(Atletas!R86="Shanzi E",624,IF(Atletas!R86="Outra Arma Curta E",625,IF(Atletas!R86="Dao F",626,IF(Atletas!R86="Jian F",627,IF(Atletas!R86="Bishou F",628,IF(Atletas!R86="Shanzi F",629,IF(Atletas!R86="Outra Arma Curta F",630, "")))))))))))))))))))))))))))))))</f>
        <v/>
      </c>
      <c r="CA95" s="50" t="str">
        <f>IF(Atletas!S86="","",IF(Atletas!X86&lt;&gt;"",10000,0)+IF(Atletas!B86="Feminino",1000,IF(Atletas!B86="Masculino",2000,""))+IF(Atletas!S86="Gun A",701,IF(Atletas!S86="Qiang A",702,IF(Atletas!S86="Pudao / Guandao A",703,IF(Atletas!S86="Outra Arma Longa A",704,IF(Atletas!S86="Gun B",705,IF(Atletas!S86="Qiang B",706,IF(Atletas!S86="Pudao / Guandao B",707,IF(Atletas!S86="Outra Arma Longa B",708,IF(Atletas!S86="Gun C",709,IF(Atletas!S86="Qiang C",710,IF(Atletas!S86="Pudao / Guandao C",711,IF(Atletas!S86="Outra Arma Longa C",712,IF(Atletas!S86="Gun D",713,IF(Atletas!S86="Qiang D",714,IF(Atletas!S86="Pudao / Guandao D",715,IF(Atletas!S86="Outra Arma Longa D",716,IF(Atletas!S86="Gun E",717,IF(Atletas!S86="Qiang E",718,IF(Atletas!S86="Pudao / Guandao E",719,IF(Atletas!S86="Outra Arma Longa E",720,IF(Atletas!S86="Gun F",721,IF(Atletas!S86="Qiang F",722,IF(Atletas!S86="Pudao / Guandao F",723,IF(Atletas!S86="Outra Arma Longa F",724,"")))))))))))))))))))))))))</f>
        <v/>
      </c>
      <c r="CB95" s="50" t="str">
        <f>IF(Atletas!T86="","",IF(Atletas!X86&lt;&gt;"",10000,0)+IF(Atletas!B86="Feminino",1000,IF(Atletas!B86="Masculino",2000,""))+IF(Atletas!T86="Outra Arma Dupla A",801,IF(Atletas!T86="Arma Maleável A",802,IF(Atletas!T86="Outra Arma Dupla B",803,IF(Atletas!T86="Arma Maleável B",804,IF(Atletas!T86="Outra Arma Dupla C",805,IF(Atletas!T86="Arma Maleável C",806,IF(Atletas!T86="Outra Arma Dupla D",807,IF(Atletas!T86="Arma Maleável D",808,IF(Atletas!T86="Outra Arma Dupla E",809,IF(Atletas!T86="Arma Maleável E",810,IF(Atletas!T86="Outra Arma Dupla F",811,IF(Atletas!T86="Arma Maleável F",812,IF(Atletas!T86="Shuangdao A",813,IF(Atletas!T86="Shuangdao B",814,IF(Atletas!T86="Shuangdao C",815,IF(Atletas!T86="Shuangdao D",816,IF(Atletas!T86="Shuangdao E",817,IF(Atletas!T86="Shuangdao F",818,"")))))))))))))))))))</f>
        <v/>
      </c>
      <c r="CC95" s="50" t="str">
        <f>IF(Atletas!U86="","",IF(Atletas!X86&lt;&gt;"",10000,0)+IF(Atletas!B86="Feminino",1000,IF(Atletas!B86="Masculino",2000,""))+IF(OR(Atletas!U86="Taijijian Yang A",Atletas!U86="Taijijian Yang Standard A"),901,IF(OR(Atletas!U86="Taijijian Chen A", Atletas!U86="Taijijian Chen Standard A"),902,IF(Atletas!U86="Taijijian Sun A",903,IF(Atletas!U86="Taijijian Wu A",904,IF(Atletas!U86="Taijijian Wu-Hao A",905,IF(OR(Atletas!U86="Taijijian 32 A",Atletas!U86="Taijijian 42 A"),906,IF(OR(Atletas!U86="Taijijian Yang B",Atletas!U86="Taijijian Yang Standard B"),907,IF(OR(Atletas!U86="Taijijian Chen B", Atletas!U86="Taijijian Chen Standard B"),908,IF(Atletas!U86="Taijijian Sun B",909,IF(Atletas!U86="Taijijian Wu B",910,IF(Atletas!U86="Taijijian Wu-Hao B",911,IF(OR(Atletas!U86="Taijijian 32 B",Atletas!U86="Taijijian 42 B"),912,IF(OR(Atletas!U86="Taijijian Yang C",Atletas!U86="Taijijian Yang Standard C"),913,IF(OR(Atletas!U86="Taijijian Chen C", Atletas!U86="Taijijian Chen Standard C"),914,IF(Atletas!U86="Taijijian Sun C",915,IF(Atletas!U86="Taijijian Wu C",916,IF(Atletas!U86="Taijijian Wu-Hao C",917,IF(OR(Atletas!U86="Taijijian 32 C",Atletas!U86="Taijijian 42 C"),918,IF(OR(Atletas!U86="Taijijian Yang D",Atletas!U86="Taijijian Yang Standard D"),919,IF(OR(Atletas!U86="Taijijian Chen D", Atletas!U86="Taijijian Chen Standard D"),920,IF(Atletas!U86="Taijijian Sun D",921,IF(Atletas!U86="Taijijian Wu D",922,IF(Atletas!U86="Taijijian Wu-Hao D",923,IF(OR(Atletas!U86="Taijijian 32 D",Atletas!U86="Taijijian 42 D"),924,IF(OR(Atletas!U86="Taijijian Yang E",Atletas!U86="Taijijian Yang Standard E"),925,IF(OR(Atletas!U86="Taijijian Chen E", Atletas!U86="Taijijian Chen Standard E"),926,IF(Atletas!U86="Taijijian Sun E",927,IF(Atletas!U86="Taijijian Wu E",928,IF(Atletas!U86="Taijijian Wu-Hao E",929,IF(OR(Atletas!U86="Taijijian 32 E",Atletas!U86="Taijijian 42 E"),930,IF(OR(Atletas!U86="Taijijian Yang F",Atletas!U86="Taijijian Yang Standard F"),931,IF(OR(Atletas!U86="Taijijian Chen F", Atletas!U86="Taijijian Chen Standard F"),932,IF(Atletas!U86="Taijijian Sun F",933,IF(Atletas!U86="Taijijian Wu F",934,IF(Atletas!U86="Taijijian Wu-Hao F",935,IF(OR(Atletas!U86="Taijijian 32 F",Atletas!U86="Taijijian 42 F"),936,"")))))))))))))))))))))))))))))))))))))</f>
        <v/>
      </c>
      <c r="CD95" s="50" t="str">
        <f>IF(Atletas!V86="","",IF(Atletas!X86&lt;&gt;"",10000,0)+IF(Atletas!B86="Feminino",1000,IF(Atletas!B86="Masculino",2000,""))+IF(Atletas!V86="Taijidao A",937,IF(Atletas!V86="TaijiShanzi A",938,IF(Atletas!V86="Taijiqiang A",939,IF(Atletas!V86="Bagua de Arma A",940,IF(Atletas!V86="Xingyi de Arma A",941,IF(Atletas!V86="Taijidao B",942,IF(Atletas!V86="TaijiShanzi B",943,IF(Atletas!V86="Taijiqiang B",944,IF(Atletas!V86="Bagua de Arma B",945,IF(Atletas!V86="Xingyi de Arma B",946,IF(Atletas!V86="Taijidao C",947,IF(Atletas!V86="TaijiShanzi C",948,IF(Atletas!V86="Taijiqiang C",949,IF(Atletas!V86="Bagua de Arma C",950,IF(Atletas!V86="Xingyi de Arma C",951,IF(Atletas!V86="Taijidao D",952,IF(Atletas!V86="TaijiShanzi D",953,IF(Atletas!V86="Taijiqiang D",954,IF(Atletas!V86="Bagua de Arma D",955,IF(Atletas!V86="Xingyi de Arma D",956,IF(Atletas!V86="Taijidao E",957,IF(Atletas!V86="TaijiShanzi E",958,IF(Atletas!V86="Taijiqiang E",959,IF(Atletas!V86="Bagua de Arma E",960,IF(Atletas!V86="Xingyi de Arma E",961,IF(Atletas!V86="Taijidao F",962,IF(Atletas!V86="TaijiShanzi F",963,IF(Atletas!V86="Taijiqiang F",964,IF(Atletas!V86="Bagua de Arma F",965,IF(Atletas!V86="Xingyi de Arma F",966,"")))))))))))))))))))))))))))))))</f>
        <v/>
      </c>
      <c r="CE95" s="66" t="str">
        <f>IF(CF95&lt;&gt;"","Chaquan E","")</f>
        <v/>
      </c>
      <c r="CF95" s="66" t="str">
        <f>IF(COUNTIF(BR:CD,1153)&gt;0,COUNTIF(BR:CD,1153),"")</f>
        <v/>
      </c>
      <c r="CG95" s="66" t="str">
        <f>IF(CH95&lt;&gt;"","Chaquan E","")</f>
        <v/>
      </c>
      <c r="CH95" s="66" t="str">
        <f>IF(COUNTIF(BR:CD,2153)&gt;0,COUNTIF(BR:CD,2153),"")</f>
        <v/>
      </c>
      <c r="CI95" s="66" t="str">
        <f>IF(CJ95&lt;&gt;"","Piguaquan E","")</f>
        <v/>
      </c>
      <c r="CJ95" s="66" t="str">
        <f>IF(COUNTIF(BR:CD,11159)&gt;0,COUNTIF(BR:CD,11159),"")</f>
        <v/>
      </c>
      <c r="CK95" s="66" t="str">
        <f>IF(CL95&lt;&gt;"","Piguaquan E","")</f>
        <v/>
      </c>
      <c r="CL95" s="66" t="str">
        <f>IF(COUNTIF(BR:CD,12159)&gt;0,COUNTIF(BR:CD,12159),"")</f>
        <v/>
      </c>
      <c r="CM95" s="50" t="str">
        <f xml:space="preserve"> IF(Atletas!W86="","",IF(Atletas!W86="Duilian de Mãos BC - Equipe 1",1,IF(Atletas!W86="Duilian de Mãos BC - Equipe 2",2,IF(Atletas!W86="Duilian de Armas BC - Equipe 1",3,IF(Atletas!W86="Duilian de Armas BC - Equipe 2",4,IF(Atletas!W86="Duilian de Mãos DE - Equipe 1",5,IF(Atletas!W86="Duilian de Mãos DE - Equipe 2",6,IF(Atletas!W86="Duilian de Armas DE - Equipe 1",7,IF(Atletas!W86="Duilian de Armas DE - Equipe 2",8,IF(Atletas!W86="Duilian de Tuishou - Equipe 1",9,IF(Atletas!W86="Duilian de Tuishou - Equipe 2",10,IF(Atletas!W86="Grupo Externo ABC - Equipe 1",11,IF(Atletas!W86="Grupo Externo ABC - Equipe 2",12,IF(Atletas!W86="Grupo Interno ABC - Equipe 1",13,IF(Atletas!W86="Grupo Interno ABC - Equipe 2",14,IF(Atletas!W86="Grupo Externo DEF - Equipe 1",15,IF(Atletas!W86="Grupo Externo DEF - Equipe 2",16,IF(Atletas!W86="Grupo Interno DEF - Equipe 1",17,IF(Atletas!W86="Grupo Interno DEF - Equipe 2",18,"")))))))))))))))))))</f>
        <v/>
      </c>
    </row>
    <row r="96" spans="2:91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 t="str">
        <f t="array" ref="Z96">IFERROR(INDEX(CE$7:CE$348,SMALL(IF(CE$7:CE$348&lt;&gt;"",ROW(CE$7:CE$348)-ROW(CE$7)+1),ROWS(CE$7:CE95))),"")</f>
        <v/>
      </c>
      <c r="AA96" s="3" t="str">
        <f t="array" ref="AA96">IFERROR(INDEX(CF$7:CF$348,SMALL(IF(CF$7:CF$348&lt;&gt;"",ROW(CF$7:CF$348)-ROW(CF$7)+1),ROWS(CF$7:CF95))),"")</f>
        <v/>
      </c>
      <c r="AB96" s="3" t="str">
        <f t="array" ref="AB96">IFERROR(INDEX(CG$7:CG$348,SMALL(IF(CG$7:CG$348&lt;&gt;"",ROW(CG$7:CG$348)-ROW(CG$7)+1),ROWS(CG$7:CG95))),"")</f>
        <v/>
      </c>
      <c r="AC96" s="3" t="str">
        <f t="array" ref="AC96">IFERROR(INDEX(CH$7:CH$348,SMALL(IF(CH$7:CH$348&lt;&gt;"",ROW(CH$7:CH$348)-ROW(CH$7)+1),ROWS(CH$7:CH95))),"")</f>
        <v/>
      </c>
      <c r="AD96" s="3" t="str">
        <f t="array" ref="AD96">IFERROR(INDEX(CI$7:CI$377,SMALL(IF(CI$7:CI$377&lt;&gt;"",ROW(CI$7:CI$377)-ROW(CI$7)+1),ROWS(CI$7:CI95))),"")</f>
        <v/>
      </c>
      <c r="AE96" s="3" t="str">
        <f t="array" ref="AE96">IFERROR(INDEX(CJ$7:CJ$378,SMALL(IF(CJ$7:CJ$378&lt;&gt;"",ROW(CJ$7:CJ$378)-ROW(CJ$7)+1),ROWS(CJ$7:CJ95))),"")</f>
        <v/>
      </c>
      <c r="AF96" s="3" t="str">
        <f t="array" ref="AF96">IFERROR(INDEX(CK$7:CK$378,SMALL(IF(CK$7:CK$378&lt;&gt;"",ROW(CK$7:CK$378)-ROW(CK$7)+1),ROWS(CK$7:CK95))),"")</f>
        <v/>
      </c>
      <c r="AG96" s="3" t="str">
        <f t="array" ref="AG96">IFERROR(INDEX(CL$7:CL$378,SMALL(IF(CL$7:CL$378&lt;&gt;"",ROW(CL$7:CL$378)-ROW(CL$7)+1),ROWS(CL$7:CL95))),"")</f>
        <v/>
      </c>
      <c r="AH96" s="3"/>
      <c r="AI96" s="3"/>
      <c r="AJ96" s="3"/>
      <c r="AK96" s="3"/>
      <c r="AL96" s="3"/>
      <c r="AM96" s="3"/>
      <c r="AN96" s="52" t="str">
        <f>IF(Atletas!D87="","",IF(Atletas!B87="Feminino",100,IF(Atletas!B87="Masculino",200,""))+(IF(Atletas!D87="Kids 30kg",1,IF(Atletas!D87="Kids 32kg",2, IF(Atletas!D87="Kids 34kg",3,IF(Atletas!D87="Kids 36kg",4,IF(Atletas!D87="Kids 39kg",5,IF(Atletas!D87="Kids 42kg",6,IF(Atletas!D87="Kids 45kg",7, IF(Atletas!D87="Infantil 39kg",8,IF(Atletas!D87="Infantil 42kg",9,IF(Atletas!D87="Infantil 45kg",10,IF(Atletas!D87="Infantil 48kg",11,IF(Atletas!D87="Infantil 52kg",12,IF(Atletas!D87="Infantil 56kg",13,IF(Atletas!D87="Infantil 60kg",14,IF(Atletas!D87="Juvenil 48kg",15,IF(Atletas!D87="Juvenil 52kg",16,IF(Atletas!D87="Juvenil 56kg",17,IF(Atletas!D87="Juvenil 60kg",18,IF(Atletas!D87="Juvenil 65kg",19,IF(Atletas!D87="Juvenil 70kg",20,IF(Atletas!D87="Juvenil 75kg",21,IF(Atletas!D87="Juvenil 80kg",22, IF(Atletas!D87="Juvenil 85kg",23,IF(Atletas!D87="Adulto 48kg",24,IF(Atletas!D87="Adulto 52kg",25,IF(Atletas!D87="Adulto 56kg",26,IF(Atletas!D87="Adulto 60kg",27,IF(Atletas!D87="Adulto 65kg",28,IF(Atletas!D87="Adulto 70kg",29,IF(Atletas!D87="Adulto 75kg",30,IF(Atletas!D87="Adulto 80kg",31,IF(Atletas!D87="Adulto 85kg",32,IF(Atletas!D87="Adulto 90kg",33,IF(Atletas!D87="Adulto 100kg",34, IF(Atletas!D87="Adulto +100kg",35,"")))))))))))))))))))))))))))))))))))))</f>
        <v/>
      </c>
      <c r="AS96" s="6" t="str">
        <f>IF(Atletas!E87="","",IF(Atletas!B87="Feminino",100,IF(Atletas!B87="Masculino",200,""))+(IF(Atletas!E87="Juvenil 44kg",1,IF(Atletas!E87="Juvenil 48kg",2,IF(Atletas!E87="Juvenil 52kg",3,IF(Atletas!E87="Juvenil 56kg",4,IF(Atletas!E87="Juvenil 60kg",5,IF(Atletas!E87="Juvenil 65kg",6,IF(Atletas!E87="Juvenil 70kg",7,IF(Atletas!E87="Juvenil 75kg",8,IF(Atletas!E87="Juvenil 82kg",9,IF(Atletas!E87="Juvenil 90kg",10,IF(Atletas!E87="Juvenil 100kg",11,IF(Atletas!E87="Adulto 48kg",12,IF(Atletas!E87="Adulto 52kg",13,IF(Atletas!E87="Adulto 56kg",14,IF(Atletas!E87="Adulto 60kg",15,IF(Atletas!E87="Adulto 65kg",16,IF(Atletas!E87="Adulto 70kg",17,IF(Atletas!E87="Adulto 75kg",18,IF(Atletas!E87="Adulto 82kg",19,IF(Atletas!E87="Adulto 90kg",20,IF(Atletas!E87="Adulto 100kg",21,IF(Atletas!E87="Adulto +100kg",22,""))))))))))))))))))))))))</f>
        <v/>
      </c>
      <c r="AX96" s="6" t="str">
        <f>IF(Atletas!F87="","",IF(Atletas!B87="Feminino",100,IF(Atletas!B87="Masculino",200,""))+(IF(Atletas!F87="Adulto 48kg",1,IF(Atletas!F87="Adulto 56kg",2,IF(Atletas!F87="Adulto 65kg",3,IF(Atletas!F87="Adulto 75kg",4,IF(Atletas!F87="Adulto +75kg",5,IF(Atletas!F87="Adulto 52kg",6,IF(Atletas!F87="Adulto 60kg",7,IF(Atletas!F87="Adulto 70kg",8,IF(Atletas!F87="Adulto 80kg",9,IF(Atletas!F87="Adulto 90kg",10,IF(Atletas!F87="Adulto +90kg",11,"")))))))))))))</f>
        <v/>
      </c>
      <c r="BC96" s="6" t="str">
        <f>IF(Atletas!G87="","",IF(Atletas!B87="Feminino",10,IF(Atletas!B87="Masculino",20,""))+(IF(Atletas!G87="Baduanjin A",1,IF(Atletas!G87="Baduanjin B",2))))</f>
        <v/>
      </c>
      <c r="BF96" s="52" t="str">
        <f>IF(Atletas!H87="","",IF(Atletas!B87="Feminino",100,IF(Atletas!B87="Masculino",200,""))+(IF(Atletas!H87="Changquan Mirim",1,IF(Atletas!H87="Nanquan Mirim",2,IF(Atletas!H87="Taijiquan Mirim",3,IF(Atletas!H87="Changquan Grupo C",4,IF(Atletas!H87="Nanquan Grupo C",5,IF(Atletas!H87="Taijiquan Grupo C",6,IF(Atletas!H87="Changquan Grupo B",7,IF(Atletas!H87="Nanquan Grupo B",8,IF(Atletas!H87="Taijiquan Grupo B",9,IF(Atletas!H87="Changquan Grupo A",10,IF(Atletas!H87="Nanquan Grupo A",11,IF(Atletas!H87="Taijiquan Grupo A",12,IF(Atletas!H87="Changquan Opcional",13,IF(Atletas!H87="Nanquan Opcional",14,IF(Atletas!H87="Taijiquan Opcional",15,IF(Atletas!H87="Changquan Adulto",16,IF(Atletas!H87="Nanquan Adulto",17,IF(Atletas!H87="Taijiquan Adulto",18,""))))))))))))))))))))</f>
        <v/>
      </c>
      <c r="BG96" s="52" t="str">
        <f>IF(Atletas!I87="","",IF(Atletas!B87="Feminino",100,IF(Atletas!B87="Masculino",200,""))+(IF(Atletas!I87="Daoshu Mirim",19,IF(Atletas!I87="Jianshu Mirim",20,IF(Atletas!I87="Nandao Mirim",21,IF(Atletas!I87="Taijijian Mirim",22,IF(Atletas!I87="Daoshu Grupo C",23,IF(Atletas!I87="Jianshu Grupo C",24,IF(Atletas!I87="Nandao Grupo C",25,IF(Atletas!I87="Taijijian Grupo C",26,IF(Atletas!I87="Daoshu Grupo B",27,IF(Atletas!I87="Jianshu Grupo B",28,IF(Atletas!I87="Nandao Grupo B",29,IF(Atletas!I87="Taijijian Grupo B",30,IF(Atletas!I87="Daoshu Grupo A",31,IF(Atletas!I87="Jianshu Grupo A",32,IF(Atletas!I87="Nandao Grupo A",33,IF(Atletas!I87="Taijijian Grupo A",34,IF(Atletas!I87="Daoshu Opcional",35,IF(Atletas!I87="Jianshu Opcional",36,IF(Atletas!I87="Nandao Opcional",37,IF(Atletas!I87="Taijijian Opcional",38,IF(Atletas!I87="Daoshu Adulto",39,IF(Atletas!I87="Jianshu Adulto",40,IF(Atletas!I87="Nandao Adulto",41,IF(Atletas!I87="Taijijian Adulto",42,""))))))))))))))))))))))))))</f>
        <v/>
      </c>
      <c r="BH96" s="52" t="str">
        <f>IF(Atletas!J87="","",IF(Atletas!B87="Feminino",100,IF(Atletas!B87="Masculino",200,""))+(IF(Atletas!J87="Gunshu Mirim",43,IF(Atletas!J87="Qiangshu Mirim",44,IF(Atletas!J87="Nangun Mirim",45,IF(Atletas!J87="Gunshu Grupo C",46,IF(Atletas!J87="Qiangshu Grupo C",47,IF(Atletas!J87="Nangun Grupo C",48,IF(Atletas!J87="Gunshu Grupo B",49,IF(Atletas!J87="Qiangshu Grupo B",50,IF(Atletas!J87="Nangun Grupo B",51,IF(Atletas!J87="Gunshu Grupo A",52,IF(Atletas!J87="Qiangshu Grupo A",53,IF(Atletas!J87="Nangun Grupo A",54,IF(Atletas!J87="Gunshu Opcional",55,IF(Atletas!J87="Qiangshu Opcional",56,IF(Atletas!J87="Nangun Opcional",57,IF(Atletas!J87="Gunshu Adulto",58,IF(Atletas!J87="Qiangshu Adulto",59,IF(Atletas!J87="Nangun Adulto",60,IF(Atletas!J87="Taijishan Grupo B",61,IF(Atletas!J87="Taijishan Grupo A",62,""))))))))))))))))))))))</f>
        <v/>
      </c>
      <c r="BM96" s="50" t="str">
        <f>IF(Atletas!K87="","",IF(Atletas!B87="Feminino",100,IF(Atletas!B87="Masculino",200,""))+(IF(Atletas!K87="Equipe 1 Grupo B",1,IF(Atletas!K87="Equipe 2 Grupo B",2,IF(Atletas!K87="Equipe 1 Grupo A",3,IF(Atletas!K87="Equipe 2 Grupo A",4,IF(Atletas!K87="Equipe 1 Adulto",5,IF(Atletas!K87="Equipe 2 Adulto",6,""))))))))</f>
        <v/>
      </c>
      <c r="BR96" s="50" t="str">
        <f>IF(Atletas!L87="","",IF(Atletas!X87&lt;&gt;"",10000,0)+(IF(Atletas!B87="Feminino",1000,IF(Atletas!B87="Masculino",2000,""))+IF(Atletas!L87="Choylayfut A",1,IF(Atletas!L87="Hunggar A",2,IF(Atletas!L87="Wuzuquan A",3,IF(Atletas!L87="Wingchun A",4,IF(Atletas!L87="Outra Mão de Sul A",5,IF(Atletas!L87="Choylayfut B",6,IF(Atletas!L87="Hunggar B",7,IF(Atletas!L87="Wuzuquan B",8,IF(Atletas!L87="Wingchun B",9,IF(Atletas!L87="Outra Mão de Sul B",10,IF(Atletas!L87="Choylayfut C",11,IF(Atletas!L87="Hunggar C",12,IF(Atletas!L87="Wuzuquan C",13,IF(Atletas!L87="Wingchun C",14,IF(Atletas!L87="Outra Mão de Sul C",15,IF(Atletas!L87="Choylayfut D",16,IF(Atletas!L87="Hunggar D",17,IF(Atletas!L87="Wuzuquan D",18,IF(Atletas!L87="Wingchun D",19,IF(Atletas!L87="Outra Mão de Sul D",20,IF(Atletas!L87="Choylayfut E",21,IF(Atletas!L87="Hunggar E",22,IF(Atletas!L87="Wuzuquan E",23,IF(Atletas!L87="Wingchun E",24,IF(Atletas!L87="Outra Mão de Sul E",25,IF(Atletas!L87="Choylayfut F",26,IF(Atletas!L87="Hunggar F",27,IF(Atletas!L87="Wuzuquan F",28,IF(Atletas!L87="Wingchun F",29,IF(Atletas!L87="Outra Mão de Sul F",30,IF(Atletas!L87="Dishuquan A",31,IF(Atletas!L87="Dishuquan B",32,IF(Atletas!L87="Dishuquan C",33,IF(Atletas!L87="Dishuquan D",34,IF(Atletas!L87="Dishuquan E",35,IF(Atletas!L87="Dishuquan F",36,""))))))))))))))))))))))))))))))))))))))</f>
        <v/>
      </c>
      <c r="BS96" s="50" t="str">
        <f>IF(Atletas!M87="","",IF(Atletas!X87&lt;&gt;"",10000,0)+(IF(Atletas!B87="Feminino",1000,IF(Atletas!B87="Masculino",2000,""))+(IF(Atletas!M87="Chaquan A",101,IF(Atletas!M87="Emeiquan A",102,IF(Atletas!M87="Fanziquan A",103,IF(Atletas!M87="Huaquan A",104,IF(Atletas!M87="Hongquan A",105,IF(Atletas!M87="Paoquan A",106,IF(Atletas!M87="Piguaquan A",107,IF(Atletas!M87="Shaolinquan A",108,IF(Atletas!M87="Tanglangquan A",109,IF(Atletas!M87="Yingzhaoquan A",110,IF(Atletas!M87="Tongbeiquan A",111,IF(Atletas!M87="Wudangquan A",112,IF(Atletas!M87="Outros Estilos A",113,IF(Atletas!M87="Chaquan B",114,IF(Atletas!M87="Emeiquan B",115,IF(Atletas!M87="Fanziquan B",116,IF(Atletas!M87="Huaquan B",117,IF(Atletas!M87="Hongquan B",118,IF(Atletas!M87="Paoquan B",119,IF(Atletas!M87="Piguaquan B",120,IF(Atletas!M87="Shaolinquan B",121,IF(Atletas!M87="Tanglangquan B",122,IF(Atletas!M87="Yingzhaoquan B",123,IF(Atletas!M87="Tongbeiquan B",124,IF(Atletas!M87="Wudangquan B",125,IF(Atletas!M87="Outros Estilos B",126,IF(Atletas!M87="Chaquan C",127,IF(Atletas!M87="Emeiquan C",128,IF(Atletas!M87="Fanziquan C",129,IF(Atletas!M87="Huaquan C",130,IF(Atletas!M87="Hongquan C",131,IF(Atletas!M87="Paoquan C",132,IF(Atletas!M87="Piguaquan C",133,IF(Atletas!M87="Shaolinquan C",134,IF(Atletas!M87="Tanglangquan C",135,IF(Atletas!M87="Yingzhaoquan C",136,IF(Atletas!M87="Tongbeiquan C",137,IF(Atletas!M87="Wudangquan C",138,IF(Atletas!M87="Outros Estilos C",139,0))))))))))))))))))))))))))))))))))))))))))</f>
        <v/>
      </c>
      <c r="BT96" s="50" t="str">
        <f>IF(Atletas!M87="","",IF(Atletas!X87&lt;&gt;"",10000,0)+(IF(Atletas!B87="Feminino",1000,IF(Atletas!B87="Masculino",2000,""))+(IF(Atletas!M87="Chaquan D",140,IF(Atletas!M87="Emeiquan D",141,IF(Atletas!M87="Fanziquan D",142,IF(Atletas!M87="Huaquan D",143,IF(Atletas!M87="Hongquan D",144,IF(Atletas!M87="Paoquan D",145,IF(Atletas!M87="Piguaquan D",146,IF(Atletas!M87="Shaolinquan D",147,IF(Atletas!M87="Tanglangquan D",148,IF(Atletas!M87="Yingzhaoquan D",149,IF(Atletas!M87="Tongbeiquan D",150,IF(Atletas!M87="Wudangquan D",151,IF(Atletas!M87="Outros Estilos D",152,IF(Atletas!M87="Chaquan E",153,IF(Atletas!M87="Emeiquan E",154,IF(Atletas!M87="Fanziquan E",155,IF(Atletas!M87="Huaquan E",156,IF(Atletas!M87="Hongquan E",157,IF(Atletas!M87="Paoquan E",158,IF(Atletas!M87="Piguaquan E",159,IF(Atletas!M87="Shaolinquan E",160,IF(Atletas!M87="Tanglangquan E",161,IF(Atletas!M87="Yingzhaoquan E",162,IF(Atletas!M87="Tongbeiquan E",163,IF(Atletas!M87="Wudangquan E",164,IF(Atletas!M87="Outros Estilos E",165,IF(Atletas!M87="Chaquan F",166,IF(Atletas!M87="Emeiquan F",167,IF(Atletas!M87="Fanziquan F",168,IF(Atletas!M87="Huaquan F",169,IF(Atletas!M87="Hongquan F",170,IF(Atletas!M87="Paoquan F",171,IF(Atletas!M87="Piguaquan F",172,IF(Atletas!M87="Shaolinquan F",173,IF(Atletas!M87="Tanglangquan F",174,IF(Atletas!M87="Yingzhaoquan F",175,IF(Atletas!M87="Tongbeiquan F",176,IF(Atletas!M87="Wudangquan F",177,IF(Atletas!M87="Outros Estilos F",178,0))))))))))))))))))))))))))))))))))))))))))</f>
        <v/>
      </c>
      <c r="BU96" s="50" t="str">
        <f>IF(Atletas!N87="","",IF(Atletas!X87&lt;&gt;"",10000,0)+(IF(Atletas!B87="Feminino",1000,IF(Atletas!B87="Masculino",2000,""))+(IF(Atletas!N87="Ditangquan A",201,IF(Atletas!N87="Houquan A",202,IF(Atletas!N87="Zuiquan A",203,IF(Atletas!N87="Ditangquan B",204,IF(Atletas!N87="Houquan B",205,IF(Atletas!N87="Zuiquan B",206,IF(Atletas!N87="Ditangquan C",207,IF(Atletas!N87="Houquan C",208,IF(Atletas!N87="Zuiquan C",209,IF(Atletas!N87="Ditangquan D",210,IF(Atletas!N87="Houquan D",211,IF(Atletas!N87="Zuiquan D",212,IF(Atletas!N87="Ditangquan E",213,IF(Atletas!N87="Houquan E",214,IF(Atletas!N87="Zuiquan E",215,IF(Atletas!N87="Ditangquan F",216,IF(Atletas!N87="Houquan F",217,IF(Atletas!N87="Zuiquan F",218,"")))))))))))))))))))))</f>
        <v/>
      </c>
      <c r="BV96" s="50" t="str">
        <f>IF(Atletas!O87="","",IF(Atletas!X87&lt;&gt;"",10000,0)+IF(Atletas!B87="Feminino",1000,IF(Atletas!B87="Masculino",2000,""))+IF(Atletas!O87="Yang A",301,IF(Atletas!O87="Chen A",302,IF(Atletas!O87="Sun A",303,IF(Atletas!O87="Wu A",304,IF(Atletas!O87="Wu-Hao A",305,IF(Atletas!O87="Outro Taijiquan A",306,IF(Atletas!O87="Yang B",307,IF(Atletas!O87="Chen B",308,IF(Atletas!O87="Sun B",309,IF(Atletas!O87="Wu B",310,IF(Atletas!O87="Wu-Hao B",311,IF(Atletas!O87="Outro Taijiquan B",312,IF(Atletas!O87="Yang C",313,IF(Atletas!O87="Chen C",314,IF(Atletas!O87="Sun C",315,IF(Atletas!O87="Wu C",316,IF(Atletas!O87="Wu-Hao C",317,IF(Atletas!O87="Outro Taijiquan C",318,IF(Atletas!O87="Yang D",319,IF(Atletas!O87="Chen D",320,IF(Atletas!O87="Sun D",321,IF(Atletas!O87="Wu D",322,IF(Atletas!O87="Wu-Hao D",323,IF(Atletas!O87="Outro Taijiquan D",324,IF(Atletas!O87="Yang E",325,IF(Atletas!O87="Chen E",326,IF(Atletas!O87="Sun E",327,IF(Atletas!O87="Wu E",328,IF(Atletas!O87="Wu-Hao E",329,IF(Atletas!O87="Outro Taijiquan E",330,IF(Atletas!O87="Yang F",331,IF(Atletas!O87="Chen F",332,IF(Atletas!O87="Sun F",333,IF(Atletas!O87="Wu F",334,IF(Atletas!O87="Wu-Hao F",335,IF(Atletas!O87="Outro Taijiquan F",336,"")))))))))))))))))))))))))))))))))))))</f>
        <v/>
      </c>
      <c r="BW96" s="50" t="str">
        <f>IF(Atletas!P87="","",IF(Atletas!X87&lt;&gt;"",10000,0)+IF(Atletas!B87="Feminino",1000,IF(Atletas!B87="Masculino",2000,""))+IF(OR(Atletas!P87="Yang 26 A",Atletas!P87="Yang 40 A"),401,IF(OR(Atletas!P87="Chen 25 A",Atletas!P87="Chen 36 A",Atletas!P87="Chen 56 A"),402,IF(Atletas!P87="Sun 73 A",403,IF(Atletas!P87="Wu 45 A",404,IF(Atletas!P87="Wu-Hao 46 A",405,IF(OR(Atletas!P87="Taijiquan 16 A",Atletas!P87="Taijiquan 24 A",Atletas!P87="Taijiquan 32 A",Atletas!P87="Taijiquan 42 A"),406,IF(OR(Atletas!P87="Yang 26 B",Atletas!P87="Yang 40 B"),407,IF(OR(Atletas!P87="Chen 25 B",Atletas!P87="Chen 36 B",Atletas!P87="Chen 56 B"),408,IF(Atletas!P87="Sun 73 B",409,IF(Atletas!P87="Wu 45 B",410,IF(Atletas!P87="Wu-Hao 46 B",411,IF(OR(Atletas!P87="Taijiquan 16 B",Atletas!P87="Taijiquan 24 B",Atletas!P87="Taijiquan 32 B",Atletas!P87="Taijiquan 42 B"),412,IF(OR(Atletas!P87="Yang 26 C",Atletas!P87="Yang 40 C"),413,IF(OR(Atletas!P87="Chen 25 C",Atletas!P87="Chen 36 C",Atletas!P87="Chen 56 C"),414,IF(Atletas!P87="Sun 73 C",415,IF(Atletas!P87="Wu 45 C",416,IF(Atletas!P87="Wu-Hao 46 C",417,IF(OR(Atletas!P87="Taijiquan 16 C",Atletas!P87="Taijiquan 24 C",Atletas!P87="Taijiquan 32 C",Atletas!P87="Taijiquan 42 C"),418,0)))))))))))))))))))</f>
        <v/>
      </c>
      <c r="BX96" s="50" t="str">
        <f>IF(Atletas!P87="","",IF(Atletas!X87&lt;&gt;"",10000,0)+IF(Atletas!B87="Feminino",1000,IF(Atletas!B87="Masculino",2000,""))+IF(OR(Atletas!P87="Yang 26 D",Atletas!P87="Yang 40 D"),419,IF(OR(Atletas!P87="Chen 25 D",Atletas!P87="Chen 36 D",Atletas!P87="Chen 56 D"),420,IF(Atletas!P87="Sun 73 D",421,IF(Atletas!P87="Wu 45 D",422,IF(Atletas!P87="Wu-Hao 46 D",423,IF(OR(Atletas!P87="Taijiquan 16 D",Atletas!P87="Taijiquan 24 D",Atletas!P87="Taijiquan 32 D",Atletas!P87="Taijiquan 42 D"),424,IF(OR(Atletas!P87="Yang 26 E",Atletas!P87="Yang 40 E"),425,IF(OR(Atletas!P87="Chen 25 E",Atletas!P87="Chen 36 E",Atletas!P87="Chen 56 E"),426,IF(Atletas!P87="Sun 73 E",427,IF(Atletas!P87="Wu 45 E",428,IF(Atletas!P87="Wu-Hao 46 E",429,IF(OR(Atletas!P87="Taijiquan 16 E",Atletas!P87="Taijiquan 24 E",Atletas!P87="Taijiquan 32 E",Atletas!P87="Taijiquan 42 E"),430,IF(OR(Atletas!P87="Yang 26 F",Atletas!P87="Yang 40 F"),431,IF(OR(Atletas!P87="Chen 25 F",Atletas!P87="Chen 36 F",Atletas!P87="Chen 56 F"),432,IF(Atletas!P87="Sun 73 F",433,IF(Atletas!P87="Wu 45 F",434,IF(Atletas!P87="Wu-Hao 46 F",435,IF(OR(Atletas!P87="Taijiquan 16 F",Atletas!P87="Taijiquan 24 F",Atletas!P87="Taijiquan 32 F",Atletas!P87="Taijiquan 42 F"),436,0)))))))))))))))))))</f>
        <v/>
      </c>
      <c r="BY96" s="50" t="str">
        <f>IF(Atletas!Q87="","",IF(Atletas!X87&lt;&gt;"",10000,0)+IF(Atletas!B87="Feminino",1000,IF(Atletas!B87="Masculino",2000,""))+IF(Atletas!Q87="Xingyiquan A",501,IF(Atletas!Q87="Baguazhang A",502,IF(Atletas!Q87="Outro Estilo Interno A",503,IF(Atletas!Q87="Xingyiquan B",504,IF(Atletas!Q87="Baguazhang B",505,IF(Atletas!Q87="Outro Estilo Interno B",506,IF(Atletas!Q87="Xingyiquan C",507,IF(Atletas!Q87="Baguazhang C",508,IF(Atletas!Q87="Outro Estilo Interno C",509,IF(Atletas!Q87="Xingyiquan D",510,IF(Atletas!Q87="Baguazhang D",511,IF(Atletas!Q87="Outro Estilo Interno D",512,IF(Atletas!Q87="Xingyiquan E",513,IF(Atletas!Q87="Baguazhang E",514,IF(Atletas!Q87="Outro Estilo Interno E",515,IF(Atletas!Q87="Xingyiquan F",516,IF(Atletas!Q87="Baguazhang F",517,IF(Atletas!Q87="Outro Estilo Interno F",518, "")))))))))))))))))))</f>
        <v/>
      </c>
      <c r="BZ96" s="50" t="str">
        <f>IF(Atletas!R87="","",IF(Atletas!X87&lt;&gt;"",10000,0)+IF(Atletas!B87="Feminino",1000,IF(Atletas!B87="Masculino",2000,""))+IF(Atletas!R87="Dao A",601,IF(Atletas!R87="Jian A",602,IF(Atletas!R87="Bishou A",603,IF(Atletas!R87="Shanzi A",604,IF(Atletas!R87="Outra Arma Curta A",605,IF(Atletas!R87="Dao B",606,IF(Atletas!R87="Jian B",607,IF(Atletas!R87="Bishou B",608,IF(Atletas!R87="Shanzi B",609,IF(Atletas!R87="Outra Arma Curta B",610,IF(Atletas!R87="Dao C",611,IF(Atletas!R87="Jian C",612,IF(Atletas!R87="Bishou C",613,IF(Atletas!R87="Shanzi C",614,IF(Atletas!R87="Outra Arma Curta C",615,IF(Atletas!R87="Dao D",616,IF(Atletas!R87="Jian D",617,IF(Atletas!R87="Bishou D",618,IF(Atletas!R87="Shanzi D",619,IF(Atletas!R87="Outra Arma Curta D",620,IF(Atletas!R87="Dao E",621,IF(Atletas!R87="Jian E",622,IF(Atletas!R87="Bishou E",623,IF(Atletas!R87="Shanzi E",624,IF(Atletas!R87="Outra Arma Curta E",625,IF(Atletas!R87="Dao F",626,IF(Atletas!R87="Jian F",627,IF(Atletas!R87="Bishou F",628,IF(Atletas!R87="Shanzi F",629,IF(Atletas!R87="Outra Arma Curta F",630, "")))))))))))))))))))))))))))))))</f>
        <v/>
      </c>
      <c r="CA96" s="50" t="str">
        <f>IF(Atletas!S87="","",IF(Atletas!X87&lt;&gt;"",10000,0)+IF(Atletas!B87="Feminino",1000,IF(Atletas!B87="Masculino",2000,""))+IF(Atletas!S87="Gun A",701,IF(Atletas!S87="Qiang A",702,IF(Atletas!S87="Pudao / Guandao A",703,IF(Atletas!S87="Outra Arma Longa A",704,IF(Atletas!S87="Gun B",705,IF(Atletas!S87="Qiang B",706,IF(Atletas!S87="Pudao / Guandao B",707,IF(Atletas!S87="Outra Arma Longa B",708,IF(Atletas!S87="Gun C",709,IF(Atletas!S87="Qiang C",710,IF(Atletas!S87="Pudao / Guandao C",711,IF(Atletas!S87="Outra Arma Longa C",712,IF(Atletas!S87="Gun D",713,IF(Atletas!S87="Qiang D",714,IF(Atletas!S87="Pudao / Guandao D",715,IF(Atletas!S87="Outra Arma Longa D",716,IF(Atletas!S87="Gun E",717,IF(Atletas!S87="Qiang E",718,IF(Atletas!S87="Pudao / Guandao E",719,IF(Atletas!S87="Outra Arma Longa E",720,IF(Atletas!S87="Gun F",721,IF(Atletas!S87="Qiang F",722,IF(Atletas!S87="Pudao / Guandao F",723,IF(Atletas!S87="Outra Arma Longa F",724,"")))))))))))))))))))))))))</f>
        <v/>
      </c>
      <c r="CB96" s="50" t="str">
        <f>IF(Atletas!T87="","",IF(Atletas!X87&lt;&gt;"",10000,0)+IF(Atletas!B87="Feminino",1000,IF(Atletas!B87="Masculino",2000,""))+IF(Atletas!T87="Outra Arma Dupla A",801,IF(Atletas!T87="Arma Maleável A",802,IF(Atletas!T87="Outra Arma Dupla B",803,IF(Atletas!T87="Arma Maleável B",804,IF(Atletas!T87="Outra Arma Dupla C",805,IF(Atletas!T87="Arma Maleável C",806,IF(Atletas!T87="Outra Arma Dupla D",807,IF(Atletas!T87="Arma Maleável D",808,IF(Atletas!T87="Outra Arma Dupla E",809,IF(Atletas!T87="Arma Maleável E",810,IF(Atletas!T87="Outra Arma Dupla F",811,IF(Atletas!T87="Arma Maleável F",812,IF(Atletas!T87="Shuangdao A",813,IF(Atletas!T87="Shuangdao B",814,IF(Atletas!T87="Shuangdao C",815,IF(Atletas!T87="Shuangdao D",816,IF(Atletas!T87="Shuangdao E",817,IF(Atletas!T87="Shuangdao F",818,"")))))))))))))))))))</f>
        <v/>
      </c>
      <c r="CC96" s="50" t="str">
        <f>IF(Atletas!U87="","",IF(Atletas!X87&lt;&gt;"",10000,0)+IF(Atletas!B87="Feminino",1000,IF(Atletas!B87="Masculino",2000,""))+IF(OR(Atletas!U87="Taijijian Yang A",Atletas!U87="Taijijian Yang Standard A"),901,IF(OR(Atletas!U87="Taijijian Chen A", Atletas!U87="Taijijian Chen Standard A"),902,IF(Atletas!U87="Taijijian Sun A",903,IF(Atletas!U87="Taijijian Wu A",904,IF(Atletas!U87="Taijijian Wu-Hao A",905,IF(OR(Atletas!U87="Taijijian 32 A",Atletas!U87="Taijijian 42 A"),906,IF(OR(Atletas!U87="Taijijian Yang B",Atletas!U87="Taijijian Yang Standard B"),907,IF(OR(Atletas!U87="Taijijian Chen B", Atletas!U87="Taijijian Chen Standard B"),908,IF(Atletas!U87="Taijijian Sun B",909,IF(Atletas!U87="Taijijian Wu B",910,IF(Atletas!U87="Taijijian Wu-Hao B",911,IF(OR(Atletas!U87="Taijijian 32 B",Atletas!U87="Taijijian 42 B"),912,IF(OR(Atletas!U87="Taijijian Yang C",Atletas!U87="Taijijian Yang Standard C"),913,IF(OR(Atletas!U87="Taijijian Chen C", Atletas!U87="Taijijian Chen Standard C"),914,IF(Atletas!U87="Taijijian Sun C",915,IF(Atletas!U87="Taijijian Wu C",916,IF(Atletas!U87="Taijijian Wu-Hao C",917,IF(OR(Atletas!U87="Taijijian 32 C",Atletas!U87="Taijijian 42 C"),918,IF(OR(Atletas!U87="Taijijian Yang D",Atletas!U87="Taijijian Yang Standard D"),919,IF(OR(Atletas!U87="Taijijian Chen D", Atletas!U87="Taijijian Chen Standard D"),920,IF(Atletas!U87="Taijijian Sun D",921,IF(Atletas!U87="Taijijian Wu D",922,IF(Atletas!U87="Taijijian Wu-Hao D",923,IF(OR(Atletas!U87="Taijijian 32 D",Atletas!U87="Taijijian 42 D"),924,IF(OR(Atletas!U87="Taijijian Yang E",Atletas!U87="Taijijian Yang Standard E"),925,IF(OR(Atletas!U87="Taijijian Chen E", Atletas!U87="Taijijian Chen Standard E"),926,IF(Atletas!U87="Taijijian Sun E",927,IF(Atletas!U87="Taijijian Wu E",928,IF(Atletas!U87="Taijijian Wu-Hao E",929,IF(OR(Atletas!U87="Taijijian 32 E",Atletas!U87="Taijijian 42 E"),930,IF(OR(Atletas!U87="Taijijian Yang F",Atletas!U87="Taijijian Yang Standard F"),931,IF(OR(Atletas!U87="Taijijian Chen F", Atletas!U87="Taijijian Chen Standard F"),932,IF(Atletas!U87="Taijijian Sun F",933,IF(Atletas!U87="Taijijian Wu F",934,IF(Atletas!U87="Taijijian Wu-Hao F",935,IF(OR(Atletas!U87="Taijijian 32 F",Atletas!U87="Taijijian 42 F"),936,"")))))))))))))))))))))))))))))))))))))</f>
        <v/>
      </c>
      <c r="CD96" s="50" t="str">
        <f>IF(Atletas!V87="","",IF(Atletas!X87&lt;&gt;"",10000,0)+IF(Atletas!B87="Feminino",1000,IF(Atletas!B87="Masculino",2000,""))+IF(Atletas!V87="Taijidao A",937,IF(Atletas!V87="TaijiShanzi A",938,IF(Atletas!V87="Taijiqiang A",939,IF(Atletas!V87="Bagua de Arma A",940,IF(Atletas!V87="Xingyi de Arma A",941,IF(Atletas!V87="Taijidao B",942,IF(Atletas!V87="TaijiShanzi B",943,IF(Atletas!V87="Taijiqiang B",944,IF(Atletas!V87="Bagua de Arma B",945,IF(Atletas!V87="Xingyi de Arma B",946,IF(Atletas!V87="Taijidao C",947,IF(Atletas!V87="TaijiShanzi C",948,IF(Atletas!V87="Taijiqiang C",949,IF(Atletas!V87="Bagua de Arma C",950,IF(Atletas!V87="Xingyi de Arma C",951,IF(Atletas!V87="Taijidao D",952,IF(Atletas!V87="TaijiShanzi D",953,IF(Atletas!V87="Taijiqiang D",954,IF(Atletas!V87="Bagua de Arma D",955,IF(Atletas!V87="Xingyi de Arma D",956,IF(Atletas!V87="Taijidao E",957,IF(Atletas!V87="TaijiShanzi E",958,IF(Atletas!V87="Taijiqiang E",959,IF(Atletas!V87="Bagua de Arma E",960,IF(Atletas!V87="Xingyi de Arma E",961,IF(Atletas!V87="Taijidao F",962,IF(Atletas!V87="TaijiShanzi F",963,IF(Atletas!V87="Taijiqiang F",964,IF(Atletas!V87="Bagua de Arma F",965,IF(Atletas!V87="Xingyi de Arma F",966,"")))))))))))))))))))))))))))))))</f>
        <v/>
      </c>
      <c r="CE96" s="66" t="str">
        <f>IF(CF96&lt;&gt;"","Emeiquan E","")</f>
        <v/>
      </c>
      <c r="CF96" s="66" t="str">
        <f>IF(COUNTIF(BR:CD,1154)&gt;0,COUNTIF(BR:CD,1154),"")</f>
        <v/>
      </c>
      <c r="CG96" s="66" t="str">
        <f>IF(CH96&lt;&gt;"","Emeiquan E","")</f>
        <v/>
      </c>
      <c r="CH96" s="66" t="str">
        <f>IF(COUNTIF(BR:CD,2154)&gt;0,COUNTIF(BR:CD,2154),"")</f>
        <v/>
      </c>
      <c r="CI96" s="66" t="str">
        <f>IF(CJ96&lt;&gt;"","Shaolinquan E","")</f>
        <v/>
      </c>
      <c r="CJ96" s="66" t="str">
        <f>IF(COUNTIF(BR:CD,11160)&gt;0,COUNTIF(BR:CD,11160),"")</f>
        <v/>
      </c>
      <c r="CK96" s="66" t="str">
        <f>IF(CL96&lt;&gt;"","Shaolinquan E","")</f>
        <v/>
      </c>
      <c r="CL96" s="66" t="str">
        <f>IF(COUNTIF(BR:CD,12160)&gt;0,COUNTIF(BR:CD,12160),"")</f>
        <v/>
      </c>
      <c r="CM96" s="50" t="str">
        <f xml:space="preserve"> IF(Atletas!W87="","",IF(Atletas!W87="Duilian de Mãos BC - Equipe 1",1,IF(Atletas!W87="Duilian de Mãos BC - Equipe 2",2,IF(Atletas!W87="Duilian de Armas BC - Equipe 1",3,IF(Atletas!W87="Duilian de Armas BC - Equipe 2",4,IF(Atletas!W87="Duilian de Mãos DE - Equipe 1",5,IF(Atletas!W87="Duilian de Mãos DE - Equipe 2",6,IF(Atletas!W87="Duilian de Armas DE - Equipe 1",7,IF(Atletas!W87="Duilian de Armas DE - Equipe 2",8,IF(Atletas!W87="Duilian de Tuishou - Equipe 1",9,IF(Atletas!W87="Duilian de Tuishou - Equipe 2",10,IF(Atletas!W87="Grupo Externo ABC - Equipe 1",11,IF(Atletas!W87="Grupo Externo ABC - Equipe 2",12,IF(Atletas!W87="Grupo Interno ABC - Equipe 1",13,IF(Atletas!W87="Grupo Interno ABC - Equipe 2",14,IF(Atletas!W87="Grupo Externo DEF - Equipe 1",15,IF(Atletas!W87="Grupo Externo DEF - Equipe 2",16,IF(Atletas!W87="Grupo Interno DEF - Equipe 1",17,IF(Atletas!W87="Grupo Interno DEF - Equipe 2",18,"")))))))))))))))))))</f>
        <v/>
      </c>
    </row>
    <row r="97" spans="2:91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 t="str">
        <f t="array" ref="Z97">IFERROR(INDEX(CE$7:CE$348,SMALL(IF(CE$7:CE$348&lt;&gt;"",ROW(CE$7:CE$348)-ROW(CE$7)+1),ROWS(CE$7:CE96))),"")</f>
        <v/>
      </c>
      <c r="AA97" s="3" t="str">
        <f t="array" ref="AA97">IFERROR(INDEX(CF$7:CF$348,SMALL(IF(CF$7:CF$348&lt;&gt;"",ROW(CF$7:CF$348)-ROW(CF$7)+1),ROWS(CF$7:CF96))),"")</f>
        <v/>
      </c>
      <c r="AB97" s="3" t="str">
        <f t="array" ref="AB97">IFERROR(INDEX(CG$7:CG$348,SMALL(IF(CG$7:CG$348&lt;&gt;"",ROW(CG$7:CG$348)-ROW(CG$7)+1),ROWS(CG$7:CG96))),"")</f>
        <v/>
      </c>
      <c r="AC97" s="3" t="str">
        <f t="array" ref="AC97">IFERROR(INDEX(CH$7:CH$348,SMALL(IF(CH$7:CH$348&lt;&gt;"",ROW(CH$7:CH$348)-ROW(CH$7)+1),ROWS(CH$7:CH96))),"")</f>
        <v/>
      </c>
      <c r="AD97" s="3" t="str">
        <f t="array" ref="AD97">IFERROR(INDEX(CI$7:CI$377,SMALL(IF(CI$7:CI$377&lt;&gt;"",ROW(CI$7:CI$377)-ROW(CI$7)+1),ROWS(CI$7:CI96))),"")</f>
        <v/>
      </c>
      <c r="AE97" s="3" t="str">
        <f t="array" ref="AE97">IFERROR(INDEX(CJ$7:CJ$378,SMALL(IF(CJ$7:CJ$378&lt;&gt;"",ROW(CJ$7:CJ$378)-ROW(CJ$7)+1),ROWS(CJ$7:CJ96))),"")</f>
        <v/>
      </c>
      <c r="AF97" s="3" t="str">
        <f t="array" ref="AF97">IFERROR(INDEX(CK$7:CK$378,SMALL(IF(CK$7:CK$378&lt;&gt;"",ROW(CK$7:CK$378)-ROW(CK$7)+1),ROWS(CK$7:CK96))),"")</f>
        <v/>
      </c>
      <c r="AG97" s="3" t="str">
        <f t="array" ref="AG97">IFERROR(INDEX(CL$7:CL$378,SMALL(IF(CL$7:CL$378&lt;&gt;"",ROW(CL$7:CL$378)-ROW(CL$7)+1),ROWS(CL$7:CL96))),"")</f>
        <v/>
      </c>
      <c r="AH97" s="3"/>
      <c r="AI97" s="3"/>
      <c r="AJ97" s="3"/>
      <c r="AK97" s="3"/>
      <c r="AL97" s="3"/>
      <c r="AM97" s="3"/>
      <c r="AN97" s="52" t="str">
        <f>IF(Atletas!D88="","",IF(Atletas!B88="Feminino",100,IF(Atletas!B88="Masculino",200,""))+(IF(Atletas!D88="Kids 30kg",1,IF(Atletas!D88="Kids 32kg",2, IF(Atletas!D88="Kids 34kg",3,IF(Atletas!D88="Kids 36kg",4,IF(Atletas!D88="Kids 39kg",5,IF(Atletas!D88="Kids 42kg",6,IF(Atletas!D88="Kids 45kg",7, IF(Atletas!D88="Infantil 39kg",8,IF(Atletas!D88="Infantil 42kg",9,IF(Atletas!D88="Infantil 45kg",10,IF(Atletas!D88="Infantil 48kg",11,IF(Atletas!D88="Infantil 52kg",12,IF(Atletas!D88="Infantil 56kg",13,IF(Atletas!D88="Infantil 60kg",14,IF(Atletas!D88="Juvenil 48kg",15,IF(Atletas!D88="Juvenil 52kg",16,IF(Atletas!D88="Juvenil 56kg",17,IF(Atletas!D88="Juvenil 60kg",18,IF(Atletas!D88="Juvenil 65kg",19,IF(Atletas!D88="Juvenil 70kg",20,IF(Atletas!D88="Juvenil 75kg",21,IF(Atletas!D88="Juvenil 80kg",22, IF(Atletas!D88="Juvenil 85kg",23,IF(Atletas!D88="Adulto 48kg",24,IF(Atletas!D88="Adulto 52kg",25,IF(Atletas!D88="Adulto 56kg",26,IF(Atletas!D88="Adulto 60kg",27,IF(Atletas!D88="Adulto 65kg",28,IF(Atletas!D88="Adulto 70kg",29,IF(Atletas!D88="Adulto 75kg",30,IF(Atletas!D88="Adulto 80kg",31,IF(Atletas!D88="Adulto 85kg",32,IF(Atletas!D88="Adulto 90kg",33,IF(Atletas!D88="Adulto 100kg",34, IF(Atletas!D88="Adulto +100kg",35,"")))))))))))))))))))))))))))))))))))))</f>
        <v/>
      </c>
      <c r="AS97" s="6" t="str">
        <f>IF(Atletas!E88="","",IF(Atletas!B88="Feminino",100,IF(Atletas!B88="Masculino",200,""))+(IF(Atletas!E88="Juvenil 44kg",1,IF(Atletas!E88="Juvenil 48kg",2,IF(Atletas!E88="Juvenil 52kg",3,IF(Atletas!E88="Juvenil 56kg",4,IF(Atletas!E88="Juvenil 60kg",5,IF(Atletas!E88="Juvenil 65kg",6,IF(Atletas!E88="Juvenil 70kg",7,IF(Atletas!E88="Juvenil 75kg",8,IF(Atletas!E88="Juvenil 82kg",9,IF(Atletas!E88="Juvenil 90kg",10,IF(Atletas!E88="Juvenil 100kg",11,IF(Atletas!E88="Adulto 48kg",12,IF(Atletas!E88="Adulto 52kg",13,IF(Atletas!E88="Adulto 56kg",14,IF(Atletas!E88="Adulto 60kg",15,IF(Atletas!E88="Adulto 65kg",16,IF(Atletas!E88="Adulto 70kg",17,IF(Atletas!E88="Adulto 75kg",18,IF(Atletas!E88="Adulto 82kg",19,IF(Atletas!E88="Adulto 90kg",20,IF(Atletas!E88="Adulto 100kg",21,IF(Atletas!E88="Adulto +100kg",22,""))))))))))))))))))))))))</f>
        <v/>
      </c>
      <c r="AX97" s="6" t="str">
        <f>IF(Atletas!F88="","",IF(Atletas!B88="Feminino",100,IF(Atletas!B88="Masculino",200,""))+(IF(Atletas!F88="Adulto 48kg",1,IF(Atletas!F88="Adulto 56kg",2,IF(Atletas!F88="Adulto 65kg",3,IF(Atletas!F88="Adulto 75kg",4,IF(Atletas!F88="Adulto +75kg",5,IF(Atletas!F88="Adulto 52kg",6,IF(Atletas!F88="Adulto 60kg",7,IF(Atletas!F88="Adulto 70kg",8,IF(Atletas!F88="Adulto 80kg",9,IF(Atletas!F88="Adulto 90kg",10,IF(Atletas!F88="Adulto +90kg",11,"")))))))))))))</f>
        <v/>
      </c>
      <c r="BC97" s="6" t="str">
        <f>IF(Atletas!G88="","",IF(Atletas!B88="Feminino",10,IF(Atletas!B88="Masculino",20,""))+(IF(Atletas!G88="Baduanjin A",1,IF(Atletas!G88="Baduanjin B",2))))</f>
        <v/>
      </c>
      <c r="BF97" s="52" t="str">
        <f>IF(Atletas!H88="","",IF(Atletas!B88="Feminino",100,IF(Atletas!B88="Masculino",200,""))+(IF(Atletas!H88="Changquan Mirim",1,IF(Atletas!H88="Nanquan Mirim",2,IF(Atletas!H88="Taijiquan Mirim",3,IF(Atletas!H88="Changquan Grupo C",4,IF(Atletas!H88="Nanquan Grupo C",5,IF(Atletas!H88="Taijiquan Grupo C",6,IF(Atletas!H88="Changquan Grupo B",7,IF(Atletas!H88="Nanquan Grupo B",8,IF(Atletas!H88="Taijiquan Grupo B",9,IF(Atletas!H88="Changquan Grupo A",10,IF(Atletas!H88="Nanquan Grupo A",11,IF(Atletas!H88="Taijiquan Grupo A",12,IF(Atletas!H88="Changquan Opcional",13,IF(Atletas!H88="Nanquan Opcional",14,IF(Atletas!H88="Taijiquan Opcional",15,IF(Atletas!H88="Changquan Adulto",16,IF(Atletas!H88="Nanquan Adulto",17,IF(Atletas!H88="Taijiquan Adulto",18,""))))))))))))))))))))</f>
        <v/>
      </c>
      <c r="BG97" s="52" t="str">
        <f>IF(Atletas!I88="","",IF(Atletas!B88="Feminino",100,IF(Atletas!B88="Masculino",200,""))+(IF(Atletas!I88="Daoshu Mirim",19,IF(Atletas!I88="Jianshu Mirim",20,IF(Atletas!I88="Nandao Mirim",21,IF(Atletas!I88="Taijijian Mirim",22,IF(Atletas!I88="Daoshu Grupo C",23,IF(Atletas!I88="Jianshu Grupo C",24,IF(Atletas!I88="Nandao Grupo C",25,IF(Atletas!I88="Taijijian Grupo C",26,IF(Atletas!I88="Daoshu Grupo B",27,IF(Atletas!I88="Jianshu Grupo B",28,IF(Atletas!I88="Nandao Grupo B",29,IF(Atletas!I88="Taijijian Grupo B",30,IF(Atletas!I88="Daoshu Grupo A",31,IF(Atletas!I88="Jianshu Grupo A",32,IF(Atletas!I88="Nandao Grupo A",33,IF(Atletas!I88="Taijijian Grupo A",34,IF(Atletas!I88="Daoshu Opcional",35,IF(Atletas!I88="Jianshu Opcional",36,IF(Atletas!I88="Nandao Opcional",37,IF(Atletas!I88="Taijijian Opcional",38,IF(Atletas!I88="Daoshu Adulto",39,IF(Atletas!I88="Jianshu Adulto",40,IF(Atletas!I88="Nandao Adulto",41,IF(Atletas!I88="Taijijian Adulto",42,""))))))))))))))))))))))))))</f>
        <v/>
      </c>
      <c r="BH97" s="52" t="str">
        <f>IF(Atletas!J88="","",IF(Atletas!B88="Feminino",100,IF(Atletas!B88="Masculino",200,""))+(IF(Atletas!J88="Gunshu Mirim",43,IF(Atletas!J88="Qiangshu Mirim",44,IF(Atletas!J88="Nangun Mirim",45,IF(Atletas!J88="Gunshu Grupo C",46,IF(Atletas!J88="Qiangshu Grupo C",47,IF(Atletas!J88="Nangun Grupo C",48,IF(Atletas!J88="Gunshu Grupo B",49,IF(Atletas!J88="Qiangshu Grupo B",50,IF(Atletas!J88="Nangun Grupo B",51,IF(Atletas!J88="Gunshu Grupo A",52,IF(Atletas!J88="Qiangshu Grupo A",53,IF(Atletas!J88="Nangun Grupo A",54,IF(Atletas!J88="Gunshu Opcional",55,IF(Atletas!J88="Qiangshu Opcional",56,IF(Atletas!J88="Nangun Opcional",57,IF(Atletas!J88="Gunshu Adulto",58,IF(Atletas!J88="Qiangshu Adulto",59,IF(Atletas!J88="Nangun Adulto",60,IF(Atletas!J88="Taijishan Grupo B",61,IF(Atletas!J88="Taijishan Grupo A",62,""))))))))))))))))))))))</f>
        <v/>
      </c>
      <c r="BM97" s="50" t="str">
        <f>IF(Atletas!K88="","",IF(Atletas!B88="Feminino",100,IF(Atletas!B88="Masculino",200,""))+(IF(Atletas!K88="Equipe 1 Grupo B",1,IF(Atletas!K88="Equipe 2 Grupo B",2,IF(Atletas!K88="Equipe 1 Grupo A",3,IF(Atletas!K88="Equipe 2 Grupo A",4,IF(Atletas!K88="Equipe 1 Adulto",5,IF(Atletas!K88="Equipe 2 Adulto",6,""))))))))</f>
        <v/>
      </c>
      <c r="BR97" s="50" t="str">
        <f>IF(Atletas!L88="","",IF(Atletas!X88&lt;&gt;"",10000,0)+(IF(Atletas!B88="Feminino",1000,IF(Atletas!B88="Masculino",2000,""))+IF(Atletas!L88="Choylayfut A",1,IF(Atletas!L88="Hunggar A",2,IF(Atletas!L88="Wuzuquan A",3,IF(Atletas!L88="Wingchun A",4,IF(Atletas!L88="Outra Mão de Sul A",5,IF(Atletas!L88="Choylayfut B",6,IF(Atletas!L88="Hunggar B",7,IF(Atletas!L88="Wuzuquan B",8,IF(Atletas!L88="Wingchun B",9,IF(Atletas!L88="Outra Mão de Sul B",10,IF(Atletas!L88="Choylayfut C",11,IF(Atletas!L88="Hunggar C",12,IF(Atletas!L88="Wuzuquan C",13,IF(Atletas!L88="Wingchun C",14,IF(Atletas!L88="Outra Mão de Sul C",15,IF(Atletas!L88="Choylayfut D",16,IF(Atletas!L88="Hunggar D",17,IF(Atletas!L88="Wuzuquan D",18,IF(Atletas!L88="Wingchun D",19,IF(Atletas!L88="Outra Mão de Sul D",20,IF(Atletas!L88="Choylayfut E",21,IF(Atletas!L88="Hunggar E",22,IF(Atletas!L88="Wuzuquan E",23,IF(Atletas!L88="Wingchun E",24,IF(Atletas!L88="Outra Mão de Sul E",25,IF(Atletas!L88="Choylayfut F",26,IF(Atletas!L88="Hunggar F",27,IF(Atletas!L88="Wuzuquan F",28,IF(Atletas!L88="Wingchun F",29,IF(Atletas!L88="Outra Mão de Sul F",30,IF(Atletas!L88="Dishuquan A",31,IF(Atletas!L88="Dishuquan B",32,IF(Atletas!L88="Dishuquan C",33,IF(Atletas!L88="Dishuquan D",34,IF(Atletas!L88="Dishuquan E",35,IF(Atletas!L88="Dishuquan F",36,""))))))))))))))))))))))))))))))))))))))</f>
        <v/>
      </c>
      <c r="BS97" s="50" t="str">
        <f>IF(Atletas!M88="","",IF(Atletas!X88&lt;&gt;"",10000,0)+(IF(Atletas!B88="Feminino",1000,IF(Atletas!B88="Masculino",2000,""))+(IF(Atletas!M88="Chaquan A",101,IF(Atletas!M88="Emeiquan A",102,IF(Atletas!M88="Fanziquan A",103,IF(Atletas!M88="Huaquan A",104,IF(Atletas!M88="Hongquan A",105,IF(Atletas!M88="Paoquan A",106,IF(Atletas!M88="Piguaquan A",107,IF(Atletas!M88="Shaolinquan A",108,IF(Atletas!M88="Tanglangquan A",109,IF(Atletas!M88="Yingzhaoquan A",110,IF(Atletas!M88="Tongbeiquan A",111,IF(Atletas!M88="Wudangquan A",112,IF(Atletas!M88="Outros Estilos A",113,IF(Atletas!M88="Chaquan B",114,IF(Atletas!M88="Emeiquan B",115,IF(Atletas!M88="Fanziquan B",116,IF(Atletas!M88="Huaquan B",117,IF(Atletas!M88="Hongquan B",118,IF(Atletas!M88="Paoquan B",119,IF(Atletas!M88="Piguaquan B",120,IF(Atletas!M88="Shaolinquan B",121,IF(Atletas!M88="Tanglangquan B",122,IF(Atletas!M88="Yingzhaoquan B",123,IF(Atletas!M88="Tongbeiquan B",124,IF(Atletas!M88="Wudangquan B",125,IF(Atletas!M88="Outros Estilos B",126,IF(Atletas!M88="Chaquan C",127,IF(Atletas!M88="Emeiquan C",128,IF(Atletas!M88="Fanziquan C",129,IF(Atletas!M88="Huaquan C",130,IF(Atletas!M88="Hongquan C",131,IF(Atletas!M88="Paoquan C",132,IF(Atletas!M88="Piguaquan C",133,IF(Atletas!M88="Shaolinquan C",134,IF(Atletas!M88="Tanglangquan C",135,IF(Atletas!M88="Yingzhaoquan C",136,IF(Atletas!M88="Tongbeiquan C",137,IF(Atletas!M88="Wudangquan C",138,IF(Atletas!M88="Outros Estilos C",139,0))))))))))))))))))))))))))))))))))))))))))</f>
        <v/>
      </c>
      <c r="BT97" s="50" t="str">
        <f>IF(Atletas!M88="","",IF(Atletas!X88&lt;&gt;"",10000,0)+(IF(Atletas!B88="Feminino",1000,IF(Atletas!B88="Masculino",2000,""))+(IF(Atletas!M88="Chaquan D",140,IF(Atletas!M88="Emeiquan D",141,IF(Atletas!M88="Fanziquan D",142,IF(Atletas!M88="Huaquan D",143,IF(Atletas!M88="Hongquan D",144,IF(Atletas!M88="Paoquan D",145,IF(Atletas!M88="Piguaquan D",146,IF(Atletas!M88="Shaolinquan D",147,IF(Atletas!M88="Tanglangquan D",148,IF(Atletas!M88="Yingzhaoquan D",149,IF(Atletas!M88="Tongbeiquan D",150,IF(Atletas!M88="Wudangquan D",151,IF(Atletas!M88="Outros Estilos D",152,IF(Atletas!M88="Chaquan E",153,IF(Atletas!M88="Emeiquan E",154,IF(Atletas!M88="Fanziquan E",155,IF(Atletas!M88="Huaquan E",156,IF(Atletas!M88="Hongquan E",157,IF(Atletas!M88="Paoquan E",158,IF(Atletas!M88="Piguaquan E",159,IF(Atletas!M88="Shaolinquan E",160,IF(Atletas!M88="Tanglangquan E",161,IF(Atletas!M88="Yingzhaoquan E",162,IF(Atletas!M88="Tongbeiquan E",163,IF(Atletas!M88="Wudangquan E",164,IF(Atletas!M88="Outros Estilos E",165,IF(Atletas!M88="Chaquan F",166,IF(Atletas!M88="Emeiquan F",167,IF(Atletas!M88="Fanziquan F",168,IF(Atletas!M88="Huaquan F",169,IF(Atletas!M88="Hongquan F",170,IF(Atletas!M88="Paoquan F",171,IF(Atletas!M88="Piguaquan F",172,IF(Atletas!M88="Shaolinquan F",173,IF(Atletas!M88="Tanglangquan F",174,IF(Atletas!M88="Yingzhaoquan F",175,IF(Atletas!M88="Tongbeiquan F",176,IF(Atletas!M88="Wudangquan F",177,IF(Atletas!M88="Outros Estilos F",178,0))))))))))))))))))))))))))))))))))))))))))</f>
        <v/>
      </c>
      <c r="BU97" s="50" t="str">
        <f>IF(Atletas!N88="","",IF(Atletas!X88&lt;&gt;"",10000,0)+(IF(Atletas!B88="Feminino",1000,IF(Atletas!B88="Masculino",2000,""))+(IF(Atletas!N88="Ditangquan A",201,IF(Atletas!N88="Houquan A",202,IF(Atletas!N88="Zuiquan A",203,IF(Atletas!N88="Ditangquan B",204,IF(Atletas!N88="Houquan B",205,IF(Atletas!N88="Zuiquan B",206,IF(Atletas!N88="Ditangquan C",207,IF(Atletas!N88="Houquan C",208,IF(Atletas!N88="Zuiquan C",209,IF(Atletas!N88="Ditangquan D",210,IF(Atletas!N88="Houquan D",211,IF(Atletas!N88="Zuiquan D",212,IF(Atletas!N88="Ditangquan E",213,IF(Atletas!N88="Houquan E",214,IF(Atletas!N88="Zuiquan E",215,IF(Atletas!N88="Ditangquan F",216,IF(Atletas!N88="Houquan F",217,IF(Atletas!N88="Zuiquan F",218,"")))))))))))))))))))))</f>
        <v/>
      </c>
      <c r="BV97" s="50" t="str">
        <f>IF(Atletas!O88="","",IF(Atletas!X88&lt;&gt;"",10000,0)+IF(Atletas!B88="Feminino",1000,IF(Atletas!B88="Masculino",2000,""))+IF(Atletas!O88="Yang A",301,IF(Atletas!O88="Chen A",302,IF(Atletas!O88="Sun A",303,IF(Atletas!O88="Wu A",304,IF(Atletas!O88="Wu-Hao A",305,IF(Atletas!O88="Outro Taijiquan A",306,IF(Atletas!O88="Yang B",307,IF(Atletas!O88="Chen B",308,IF(Atletas!O88="Sun B",309,IF(Atletas!O88="Wu B",310,IF(Atletas!O88="Wu-Hao B",311,IF(Atletas!O88="Outro Taijiquan B",312,IF(Atletas!O88="Yang C",313,IF(Atletas!O88="Chen C",314,IF(Atletas!O88="Sun C",315,IF(Atletas!O88="Wu C",316,IF(Atletas!O88="Wu-Hao C",317,IF(Atletas!O88="Outro Taijiquan C",318,IF(Atletas!O88="Yang D",319,IF(Atletas!O88="Chen D",320,IF(Atletas!O88="Sun D",321,IF(Atletas!O88="Wu D",322,IF(Atletas!O88="Wu-Hao D",323,IF(Atletas!O88="Outro Taijiquan D",324,IF(Atletas!O88="Yang E",325,IF(Atletas!O88="Chen E",326,IF(Atletas!O88="Sun E",327,IF(Atletas!O88="Wu E",328,IF(Atletas!O88="Wu-Hao E",329,IF(Atletas!O88="Outro Taijiquan E",330,IF(Atletas!O88="Yang F",331,IF(Atletas!O88="Chen F",332,IF(Atletas!O88="Sun F",333,IF(Atletas!O88="Wu F",334,IF(Atletas!O88="Wu-Hao F",335,IF(Atletas!O88="Outro Taijiquan F",336,"")))))))))))))))))))))))))))))))))))))</f>
        <v/>
      </c>
      <c r="BW97" s="50" t="str">
        <f>IF(Atletas!P88="","",IF(Atletas!X88&lt;&gt;"",10000,0)+IF(Atletas!B88="Feminino",1000,IF(Atletas!B88="Masculino",2000,""))+IF(OR(Atletas!P88="Yang 26 A",Atletas!P88="Yang 40 A"),401,IF(OR(Atletas!P88="Chen 25 A",Atletas!P88="Chen 36 A",Atletas!P88="Chen 56 A"),402,IF(Atletas!P88="Sun 73 A",403,IF(Atletas!P88="Wu 45 A",404,IF(Atletas!P88="Wu-Hao 46 A",405,IF(OR(Atletas!P88="Taijiquan 16 A",Atletas!P88="Taijiquan 24 A",Atletas!P88="Taijiquan 32 A",Atletas!P88="Taijiquan 42 A"),406,IF(OR(Atletas!P88="Yang 26 B",Atletas!P88="Yang 40 B"),407,IF(OR(Atletas!P88="Chen 25 B",Atletas!P88="Chen 36 B",Atletas!P88="Chen 56 B"),408,IF(Atletas!P88="Sun 73 B",409,IF(Atletas!P88="Wu 45 B",410,IF(Atletas!P88="Wu-Hao 46 B",411,IF(OR(Atletas!P88="Taijiquan 16 B",Atletas!P88="Taijiquan 24 B",Atletas!P88="Taijiquan 32 B",Atletas!P88="Taijiquan 42 B"),412,IF(OR(Atletas!P88="Yang 26 C",Atletas!P88="Yang 40 C"),413,IF(OR(Atletas!P88="Chen 25 C",Atletas!P88="Chen 36 C",Atletas!P88="Chen 56 C"),414,IF(Atletas!P88="Sun 73 C",415,IF(Atletas!P88="Wu 45 C",416,IF(Atletas!P88="Wu-Hao 46 C",417,IF(OR(Atletas!P88="Taijiquan 16 C",Atletas!P88="Taijiquan 24 C",Atletas!P88="Taijiquan 32 C",Atletas!P88="Taijiquan 42 C"),418,0)))))))))))))))))))</f>
        <v/>
      </c>
      <c r="BX97" s="50" t="str">
        <f>IF(Atletas!P88="","",IF(Atletas!X88&lt;&gt;"",10000,0)+IF(Atletas!B88="Feminino",1000,IF(Atletas!B88="Masculino",2000,""))+IF(OR(Atletas!P88="Yang 26 D",Atletas!P88="Yang 40 D"),419,IF(OR(Atletas!P88="Chen 25 D",Atletas!P88="Chen 36 D",Atletas!P88="Chen 56 D"),420,IF(Atletas!P88="Sun 73 D",421,IF(Atletas!P88="Wu 45 D",422,IF(Atletas!P88="Wu-Hao 46 D",423,IF(OR(Atletas!P88="Taijiquan 16 D",Atletas!P88="Taijiquan 24 D",Atletas!P88="Taijiquan 32 D",Atletas!P88="Taijiquan 42 D"),424,IF(OR(Atletas!P88="Yang 26 E",Atletas!P88="Yang 40 E"),425,IF(OR(Atletas!P88="Chen 25 E",Atletas!P88="Chen 36 E",Atletas!P88="Chen 56 E"),426,IF(Atletas!P88="Sun 73 E",427,IF(Atletas!P88="Wu 45 E",428,IF(Atletas!P88="Wu-Hao 46 E",429,IF(OR(Atletas!P88="Taijiquan 16 E",Atletas!P88="Taijiquan 24 E",Atletas!P88="Taijiquan 32 E",Atletas!P88="Taijiquan 42 E"),430,IF(OR(Atletas!P88="Yang 26 F",Atletas!P88="Yang 40 F"),431,IF(OR(Atletas!P88="Chen 25 F",Atletas!P88="Chen 36 F",Atletas!P88="Chen 56 F"),432,IF(Atletas!P88="Sun 73 F",433,IF(Atletas!P88="Wu 45 F",434,IF(Atletas!P88="Wu-Hao 46 F",435,IF(OR(Atletas!P88="Taijiquan 16 F",Atletas!P88="Taijiquan 24 F",Atletas!P88="Taijiquan 32 F",Atletas!P88="Taijiquan 42 F"),436,0)))))))))))))))))))</f>
        <v/>
      </c>
      <c r="BY97" s="50" t="str">
        <f>IF(Atletas!Q88="","",IF(Atletas!X88&lt;&gt;"",10000,0)+IF(Atletas!B88="Feminino",1000,IF(Atletas!B88="Masculino",2000,""))+IF(Atletas!Q88="Xingyiquan A",501,IF(Atletas!Q88="Baguazhang A",502,IF(Atletas!Q88="Outro Estilo Interno A",503,IF(Atletas!Q88="Xingyiquan B",504,IF(Atletas!Q88="Baguazhang B",505,IF(Atletas!Q88="Outro Estilo Interno B",506,IF(Atletas!Q88="Xingyiquan C",507,IF(Atletas!Q88="Baguazhang C",508,IF(Atletas!Q88="Outro Estilo Interno C",509,IF(Atletas!Q88="Xingyiquan D",510,IF(Atletas!Q88="Baguazhang D",511,IF(Atletas!Q88="Outro Estilo Interno D",512,IF(Atletas!Q88="Xingyiquan E",513,IF(Atletas!Q88="Baguazhang E",514,IF(Atletas!Q88="Outro Estilo Interno E",515,IF(Atletas!Q88="Xingyiquan F",516,IF(Atletas!Q88="Baguazhang F",517,IF(Atletas!Q88="Outro Estilo Interno F",518, "")))))))))))))))))))</f>
        <v/>
      </c>
      <c r="BZ97" s="50" t="str">
        <f>IF(Atletas!R88="","",IF(Atletas!X88&lt;&gt;"",10000,0)+IF(Atletas!B88="Feminino",1000,IF(Atletas!B88="Masculino",2000,""))+IF(Atletas!R88="Dao A",601,IF(Atletas!R88="Jian A",602,IF(Atletas!R88="Bishou A",603,IF(Atletas!R88="Shanzi A",604,IF(Atletas!R88="Outra Arma Curta A",605,IF(Atletas!R88="Dao B",606,IF(Atletas!R88="Jian B",607,IF(Atletas!R88="Bishou B",608,IF(Atletas!R88="Shanzi B",609,IF(Atletas!R88="Outra Arma Curta B",610,IF(Atletas!R88="Dao C",611,IF(Atletas!R88="Jian C",612,IF(Atletas!R88="Bishou C",613,IF(Atletas!R88="Shanzi C",614,IF(Atletas!R88="Outra Arma Curta C",615,IF(Atletas!R88="Dao D",616,IF(Atletas!R88="Jian D",617,IF(Atletas!R88="Bishou D",618,IF(Atletas!R88="Shanzi D",619,IF(Atletas!R88="Outra Arma Curta D",620,IF(Atletas!R88="Dao E",621,IF(Atletas!R88="Jian E",622,IF(Atletas!R88="Bishou E",623,IF(Atletas!R88="Shanzi E",624,IF(Atletas!R88="Outra Arma Curta E",625,IF(Atletas!R88="Dao F",626,IF(Atletas!R88="Jian F",627,IF(Atletas!R88="Bishou F",628,IF(Atletas!R88="Shanzi F",629,IF(Atletas!R88="Outra Arma Curta F",630, "")))))))))))))))))))))))))))))))</f>
        <v/>
      </c>
      <c r="CA97" s="50" t="str">
        <f>IF(Atletas!S88="","",IF(Atletas!X88&lt;&gt;"",10000,0)+IF(Atletas!B88="Feminino",1000,IF(Atletas!B88="Masculino",2000,""))+IF(Atletas!S88="Gun A",701,IF(Atletas!S88="Qiang A",702,IF(Atletas!S88="Pudao / Guandao A",703,IF(Atletas!S88="Outra Arma Longa A",704,IF(Atletas!S88="Gun B",705,IF(Atletas!S88="Qiang B",706,IF(Atletas!S88="Pudao / Guandao B",707,IF(Atletas!S88="Outra Arma Longa B",708,IF(Atletas!S88="Gun C",709,IF(Atletas!S88="Qiang C",710,IF(Atletas!S88="Pudao / Guandao C",711,IF(Atletas!S88="Outra Arma Longa C",712,IF(Atletas!S88="Gun D",713,IF(Atletas!S88="Qiang D",714,IF(Atletas!S88="Pudao / Guandao D",715,IF(Atletas!S88="Outra Arma Longa D",716,IF(Atletas!S88="Gun E",717,IF(Atletas!S88="Qiang E",718,IF(Atletas!S88="Pudao / Guandao E",719,IF(Atletas!S88="Outra Arma Longa E",720,IF(Atletas!S88="Gun F",721,IF(Atletas!S88="Qiang F",722,IF(Atletas!S88="Pudao / Guandao F",723,IF(Atletas!S88="Outra Arma Longa F",724,"")))))))))))))))))))))))))</f>
        <v/>
      </c>
      <c r="CB97" s="50" t="str">
        <f>IF(Atletas!T88="","",IF(Atletas!X88&lt;&gt;"",10000,0)+IF(Atletas!B88="Feminino",1000,IF(Atletas!B88="Masculino",2000,""))+IF(Atletas!T88="Outra Arma Dupla A",801,IF(Atletas!T88="Arma Maleável A",802,IF(Atletas!T88="Outra Arma Dupla B",803,IF(Atletas!T88="Arma Maleável B",804,IF(Atletas!T88="Outra Arma Dupla C",805,IF(Atletas!T88="Arma Maleável C",806,IF(Atletas!T88="Outra Arma Dupla D",807,IF(Atletas!T88="Arma Maleável D",808,IF(Atletas!T88="Outra Arma Dupla E",809,IF(Atletas!T88="Arma Maleável E",810,IF(Atletas!T88="Outra Arma Dupla F",811,IF(Atletas!T88="Arma Maleável F",812,IF(Atletas!T88="Shuangdao A",813,IF(Atletas!T88="Shuangdao B",814,IF(Atletas!T88="Shuangdao C",815,IF(Atletas!T88="Shuangdao D",816,IF(Atletas!T88="Shuangdao E",817,IF(Atletas!T88="Shuangdao F",818,"")))))))))))))))))))</f>
        <v/>
      </c>
      <c r="CC97" s="50" t="str">
        <f>IF(Atletas!U88="","",IF(Atletas!X88&lt;&gt;"",10000,0)+IF(Atletas!B88="Feminino",1000,IF(Atletas!B88="Masculino",2000,""))+IF(OR(Atletas!U88="Taijijian Yang A",Atletas!U88="Taijijian Yang Standard A"),901,IF(OR(Atletas!U88="Taijijian Chen A", Atletas!U88="Taijijian Chen Standard A"),902,IF(Atletas!U88="Taijijian Sun A",903,IF(Atletas!U88="Taijijian Wu A",904,IF(Atletas!U88="Taijijian Wu-Hao A",905,IF(OR(Atletas!U88="Taijijian 32 A",Atletas!U88="Taijijian 42 A"),906,IF(OR(Atletas!U88="Taijijian Yang B",Atletas!U88="Taijijian Yang Standard B"),907,IF(OR(Atletas!U88="Taijijian Chen B", Atletas!U88="Taijijian Chen Standard B"),908,IF(Atletas!U88="Taijijian Sun B",909,IF(Atletas!U88="Taijijian Wu B",910,IF(Atletas!U88="Taijijian Wu-Hao B",911,IF(OR(Atletas!U88="Taijijian 32 B",Atletas!U88="Taijijian 42 B"),912,IF(OR(Atletas!U88="Taijijian Yang C",Atletas!U88="Taijijian Yang Standard C"),913,IF(OR(Atletas!U88="Taijijian Chen C", Atletas!U88="Taijijian Chen Standard C"),914,IF(Atletas!U88="Taijijian Sun C",915,IF(Atletas!U88="Taijijian Wu C",916,IF(Atletas!U88="Taijijian Wu-Hao C",917,IF(OR(Atletas!U88="Taijijian 32 C",Atletas!U88="Taijijian 42 C"),918,IF(OR(Atletas!U88="Taijijian Yang D",Atletas!U88="Taijijian Yang Standard D"),919,IF(OR(Atletas!U88="Taijijian Chen D", Atletas!U88="Taijijian Chen Standard D"),920,IF(Atletas!U88="Taijijian Sun D",921,IF(Atletas!U88="Taijijian Wu D",922,IF(Atletas!U88="Taijijian Wu-Hao D",923,IF(OR(Atletas!U88="Taijijian 32 D",Atletas!U88="Taijijian 42 D"),924,IF(OR(Atletas!U88="Taijijian Yang E",Atletas!U88="Taijijian Yang Standard E"),925,IF(OR(Atletas!U88="Taijijian Chen E", Atletas!U88="Taijijian Chen Standard E"),926,IF(Atletas!U88="Taijijian Sun E",927,IF(Atletas!U88="Taijijian Wu E",928,IF(Atletas!U88="Taijijian Wu-Hao E",929,IF(OR(Atletas!U88="Taijijian 32 E",Atletas!U88="Taijijian 42 E"),930,IF(OR(Atletas!U88="Taijijian Yang F",Atletas!U88="Taijijian Yang Standard F"),931,IF(OR(Atletas!U88="Taijijian Chen F", Atletas!U88="Taijijian Chen Standard F"),932,IF(Atletas!U88="Taijijian Sun F",933,IF(Atletas!U88="Taijijian Wu F",934,IF(Atletas!U88="Taijijian Wu-Hao F",935,IF(OR(Atletas!U88="Taijijian 32 F",Atletas!U88="Taijijian 42 F"),936,"")))))))))))))))))))))))))))))))))))))</f>
        <v/>
      </c>
      <c r="CD97" s="50" t="str">
        <f>IF(Atletas!V88="","",IF(Atletas!X88&lt;&gt;"",10000,0)+IF(Atletas!B88="Feminino",1000,IF(Atletas!B88="Masculino",2000,""))+IF(Atletas!V88="Taijidao A",937,IF(Atletas!V88="TaijiShanzi A",938,IF(Atletas!V88="Taijiqiang A",939,IF(Atletas!V88="Bagua de Arma A",940,IF(Atletas!V88="Xingyi de Arma A",941,IF(Atletas!V88="Taijidao B",942,IF(Atletas!V88="TaijiShanzi B",943,IF(Atletas!V88="Taijiqiang B",944,IF(Atletas!V88="Bagua de Arma B",945,IF(Atletas!V88="Xingyi de Arma B",946,IF(Atletas!V88="Taijidao C",947,IF(Atletas!V88="TaijiShanzi C",948,IF(Atletas!V88="Taijiqiang C",949,IF(Atletas!V88="Bagua de Arma C",950,IF(Atletas!V88="Xingyi de Arma C",951,IF(Atletas!V88="Taijidao D",952,IF(Atletas!V88="TaijiShanzi D",953,IF(Atletas!V88="Taijiqiang D",954,IF(Atletas!V88="Bagua de Arma D",955,IF(Atletas!V88="Xingyi de Arma D",956,IF(Atletas!V88="Taijidao E",957,IF(Atletas!V88="TaijiShanzi E",958,IF(Atletas!V88="Taijiqiang E",959,IF(Atletas!V88="Bagua de Arma E",960,IF(Atletas!V88="Xingyi de Arma E",961,IF(Atletas!V88="Taijidao F",962,IF(Atletas!V88="TaijiShanzi F",963,IF(Atletas!V88="Taijiqiang F",964,IF(Atletas!V88="Bagua de Arma F",965,IF(Atletas!V88="Xingyi de Arma F",966,"")))))))))))))))))))))))))))))))</f>
        <v/>
      </c>
      <c r="CE97" s="66" t="str">
        <f>IF(CF97&lt;&gt;"","Fanziquan E","")</f>
        <v/>
      </c>
      <c r="CF97" s="66" t="str">
        <f>IF(COUNTIF(BR:CD,1155)&gt;0,COUNTIF(BR:CD,1155),"")</f>
        <v/>
      </c>
      <c r="CG97" s="66" t="str">
        <f>IF(CH97&lt;&gt;"","Fanziquan E","")</f>
        <v/>
      </c>
      <c r="CH97" s="66" t="str">
        <f>IF(COUNTIF(BR:CD,2155)&gt;0,COUNTIF(BR:CD,2155),"")</f>
        <v/>
      </c>
      <c r="CI97" s="66" t="str">
        <f>IF(CJ97&lt;&gt;"","Tanglangquan E","")</f>
        <v/>
      </c>
      <c r="CJ97" s="66" t="str">
        <f>IF(COUNTIF(BR:CD,11161)&gt;0,COUNTIF(BR:CD,11161),"")</f>
        <v/>
      </c>
      <c r="CK97" s="66" t="str">
        <f>IF(CL97&lt;&gt;"","Tanglangquan E","")</f>
        <v/>
      </c>
      <c r="CL97" s="66" t="str">
        <f>IF(COUNTIF(BR:CD,12161)&gt;0,COUNTIF(BR:CD,12161),"")</f>
        <v/>
      </c>
      <c r="CM97" s="50" t="str">
        <f xml:space="preserve"> IF(Atletas!W88="","",IF(Atletas!W88="Duilian de Mãos BC - Equipe 1",1,IF(Atletas!W88="Duilian de Mãos BC - Equipe 2",2,IF(Atletas!W88="Duilian de Armas BC - Equipe 1",3,IF(Atletas!W88="Duilian de Armas BC - Equipe 2",4,IF(Atletas!W88="Duilian de Mãos DE - Equipe 1",5,IF(Atletas!W88="Duilian de Mãos DE - Equipe 2",6,IF(Atletas!W88="Duilian de Armas DE - Equipe 1",7,IF(Atletas!W88="Duilian de Armas DE - Equipe 2",8,IF(Atletas!W88="Duilian de Tuishou - Equipe 1",9,IF(Atletas!W88="Duilian de Tuishou - Equipe 2",10,IF(Atletas!W88="Grupo Externo ABC - Equipe 1",11,IF(Atletas!W88="Grupo Externo ABC - Equipe 2",12,IF(Atletas!W88="Grupo Interno ABC - Equipe 1",13,IF(Atletas!W88="Grupo Interno ABC - Equipe 2",14,IF(Atletas!W88="Grupo Externo DEF - Equipe 1",15,IF(Atletas!W88="Grupo Externo DEF - Equipe 2",16,IF(Atletas!W88="Grupo Interno DEF - Equipe 1",17,IF(Atletas!W88="Grupo Interno DEF - Equipe 2",18,"")))))))))))))))))))</f>
        <v/>
      </c>
    </row>
    <row r="98" spans="2:91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 t="str">
        <f t="array" ref="Z98">IFERROR(INDEX(CE$7:CE$348,SMALL(IF(CE$7:CE$348&lt;&gt;"",ROW(CE$7:CE$348)-ROW(CE$7)+1),ROWS(CE$7:CE97))),"")</f>
        <v/>
      </c>
      <c r="AA98" s="3" t="str">
        <f t="array" ref="AA98">IFERROR(INDEX(CF$7:CF$348,SMALL(IF(CF$7:CF$348&lt;&gt;"",ROW(CF$7:CF$348)-ROW(CF$7)+1),ROWS(CF$7:CF97))),"")</f>
        <v/>
      </c>
      <c r="AB98" s="3" t="str">
        <f t="array" ref="AB98">IFERROR(INDEX(CG$7:CG$348,SMALL(IF(CG$7:CG$348&lt;&gt;"",ROW(CG$7:CG$348)-ROW(CG$7)+1),ROWS(CG$7:CG97))),"")</f>
        <v/>
      </c>
      <c r="AC98" s="3" t="str">
        <f t="array" ref="AC98">IFERROR(INDEX(CH$7:CH$348,SMALL(IF(CH$7:CH$348&lt;&gt;"",ROW(CH$7:CH$348)-ROW(CH$7)+1),ROWS(CH$7:CH97))),"")</f>
        <v/>
      </c>
      <c r="AD98" s="3" t="str">
        <f t="array" ref="AD98">IFERROR(INDEX(CI$7:CI$377,SMALL(IF(CI$7:CI$377&lt;&gt;"",ROW(CI$7:CI$377)-ROW(CI$7)+1),ROWS(CI$7:CI97))),"")</f>
        <v/>
      </c>
      <c r="AE98" s="3" t="str">
        <f t="array" ref="AE98">IFERROR(INDEX(CJ$7:CJ$378,SMALL(IF(CJ$7:CJ$378&lt;&gt;"",ROW(CJ$7:CJ$378)-ROW(CJ$7)+1),ROWS(CJ$7:CJ97))),"")</f>
        <v/>
      </c>
      <c r="AF98" s="3" t="str">
        <f t="array" ref="AF98">IFERROR(INDEX(CK$7:CK$378,SMALL(IF(CK$7:CK$378&lt;&gt;"",ROW(CK$7:CK$378)-ROW(CK$7)+1),ROWS(CK$7:CK97))),"")</f>
        <v/>
      </c>
      <c r="AG98" s="3" t="str">
        <f t="array" ref="AG98">IFERROR(INDEX(CL$7:CL$378,SMALL(IF(CL$7:CL$378&lt;&gt;"",ROW(CL$7:CL$378)-ROW(CL$7)+1),ROWS(CL$7:CL97))),"")</f>
        <v/>
      </c>
      <c r="AH98" s="3"/>
      <c r="AI98" s="3"/>
      <c r="AJ98" s="3"/>
      <c r="AK98" s="3"/>
      <c r="AL98" s="3"/>
      <c r="AM98" s="3"/>
      <c r="AN98" s="52" t="str">
        <f>IF(Atletas!D89="","",IF(Atletas!B89="Feminino",100,IF(Atletas!B89="Masculino",200,""))+(IF(Atletas!D89="Kids 30kg",1,IF(Atletas!D89="Kids 32kg",2, IF(Atletas!D89="Kids 34kg",3,IF(Atletas!D89="Kids 36kg",4,IF(Atletas!D89="Kids 39kg",5,IF(Atletas!D89="Kids 42kg",6,IF(Atletas!D89="Kids 45kg",7, IF(Atletas!D89="Infantil 39kg",8,IF(Atletas!D89="Infantil 42kg",9,IF(Atletas!D89="Infantil 45kg",10,IF(Atletas!D89="Infantil 48kg",11,IF(Atletas!D89="Infantil 52kg",12,IF(Atletas!D89="Infantil 56kg",13,IF(Atletas!D89="Infantil 60kg",14,IF(Atletas!D89="Juvenil 48kg",15,IF(Atletas!D89="Juvenil 52kg",16,IF(Atletas!D89="Juvenil 56kg",17,IF(Atletas!D89="Juvenil 60kg",18,IF(Atletas!D89="Juvenil 65kg",19,IF(Atletas!D89="Juvenil 70kg",20,IF(Atletas!D89="Juvenil 75kg",21,IF(Atletas!D89="Juvenil 80kg",22, IF(Atletas!D89="Juvenil 85kg",23,IF(Atletas!D89="Adulto 48kg",24,IF(Atletas!D89="Adulto 52kg",25,IF(Atletas!D89="Adulto 56kg",26,IF(Atletas!D89="Adulto 60kg",27,IF(Atletas!D89="Adulto 65kg",28,IF(Atletas!D89="Adulto 70kg",29,IF(Atletas!D89="Adulto 75kg",30,IF(Atletas!D89="Adulto 80kg",31,IF(Atletas!D89="Adulto 85kg",32,IF(Atletas!D89="Adulto 90kg",33,IF(Atletas!D89="Adulto 100kg",34, IF(Atletas!D89="Adulto +100kg",35,"")))))))))))))))))))))))))))))))))))))</f>
        <v/>
      </c>
      <c r="AS98" s="6" t="str">
        <f>IF(Atletas!E89="","",IF(Atletas!B89="Feminino",100,IF(Atletas!B89="Masculino",200,""))+(IF(Atletas!E89="Juvenil 44kg",1,IF(Atletas!E89="Juvenil 48kg",2,IF(Atletas!E89="Juvenil 52kg",3,IF(Atletas!E89="Juvenil 56kg",4,IF(Atletas!E89="Juvenil 60kg",5,IF(Atletas!E89="Juvenil 65kg",6,IF(Atletas!E89="Juvenil 70kg",7,IF(Atletas!E89="Juvenil 75kg",8,IF(Atletas!E89="Juvenil 82kg",9,IF(Atletas!E89="Juvenil 90kg",10,IF(Atletas!E89="Juvenil 100kg",11,IF(Atletas!E89="Adulto 48kg",12,IF(Atletas!E89="Adulto 52kg",13,IF(Atletas!E89="Adulto 56kg",14,IF(Atletas!E89="Adulto 60kg",15,IF(Atletas!E89="Adulto 65kg",16,IF(Atletas!E89="Adulto 70kg",17,IF(Atletas!E89="Adulto 75kg",18,IF(Atletas!E89="Adulto 82kg",19,IF(Atletas!E89="Adulto 90kg",20,IF(Atletas!E89="Adulto 100kg",21,IF(Atletas!E89="Adulto +100kg",22,""))))))))))))))))))))))))</f>
        <v/>
      </c>
      <c r="AX98" s="6" t="str">
        <f>IF(Atletas!F89="","",IF(Atletas!B89="Feminino",100,IF(Atletas!B89="Masculino",200,""))+(IF(Atletas!F89="Adulto 48kg",1,IF(Atletas!F89="Adulto 56kg",2,IF(Atletas!F89="Adulto 65kg",3,IF(Atletas!F89="Adulto 75kg",4,IF(Atletas!F89="Adulto +75kg",5,IF(Atletas!F89="Adulto 52kg",6,IF(Atletas!F89="Adulto 60kg",7,IF(Atletas!F89="Adulto 70kg",8,IF(Atletas!F89="Adulto 80kg",9,IF(Atletas!F89="Adulto 90kg",10,IF(Atletas!F89="Adulto +90kg",11,"")))))))))))))</f>
        <v/>
      </c>
      <c r="BC98" s="6" t="str">
        <f>IF(Atletas!G89="","",IF(Atletas!B89="Feminino",10,IF(Atletas!B89="Masculino",20,""))+(IF(Atletas!G89="Baduanjin A",1,IF(Atletas!G89="Baduanjin B",2))))</f>
        <v/>
      </c>
      <c r="BF98" s="52" t="str">
        <f>IF(Atletas!H89="","",IF(Atletas!B89="Feminino",100,IF(Atletas!B89="Masculino",200,""))+(IF(Atletas!H89="Changquan Mirim",1,IF(Atletas!H89="Nanquan Mirim",2,IF(Atletas!H89="Taijiquan Mirim",3,IF(Atletas!H89="Changquan Grupo C",4,IF(Atletas!H89="Nanquan Grupo C",5,IF(Atletas!H89="Taijiquan Grupo C",6,IF(Atletas!H89="Changquan Grupo B",7,IF(Atletas!H89="Nanquan Grupo B",8,IF(Atletas!H89="Taijiquan Grupo B",9,IF(Atletas!H89="Changquan Grupo A",10,IF(Atletas!H89="Nanquan Grupo A",11,IF(Atletas!H89="Taijiquan Grupo A",12,IF(Atletas!H89="Changquan Opcional",13,IF(Atletas!H89="Nanquan Opcional",14,IF(Atletas!H89="Taijiquan Opcional",15,IF(Atletas!H89="Changquan Adulto",16,IF(Atletas!H89="Nanquan Adulto",17,IF(Atletas!H89="Taijiquan Adulto",18,""))))))))))))))))))))</f>
        <v/>
      </c>
      <c r="BG98" s="52" t="str">
        <f>IF(Atletas!I89="","",IF(Atletas!B89="Feminino",100,IF(Atletas!B89="Masculino",200,""))+(IF(Atletas!I89="Daoshu Mirim",19,IF(Atletas!I89="Jianshu Mirim",20,IF(Atletas!I89="Nandao Mirim",21,IF(Atletas!I89="Taijijian Mirim",22,IF(Atletas!I89="Daoshu Grupo C",23,IF(Atletas!I89="Jianshu Grupo C",24,IF(Atletas!I89="Nandao Grupo C",25,IF(Atletas!I89="Taijijian Grupo C",26,IF(Atletas!I89="Daoshu Grupo B",27,IF(Atletas!I89="Jianshu Grupo B",28,IF(Atletas!I89="Nandao Grupo B",29,IF(Atletas!I89="Taijijian Grupo B",30,IF(Atletas!I89="Daoshu Grupo A",31,IF(Atletas!I89="Jianshu Grupo A",32,IF(Atletas!I89="Nandao Grupo A",33,IF(Atletas!I89="Taijijian Grupo A",34,IF(Atletas!I89="Daoshu Opcional",35,IF(Atletas!I89="Jianshu Opcional",36,IF(Atletas!I89="Nandao Opcional",37,IF(Atletas!I89="Taijijian Opcional",38,IF(Atletas!I89="Daoshu Adulto",39,IF(Atletas!I89="Jianshu Adulto",40,IF(Atletas!I89="Nandao Adulto",41,IF(Atletas!I89="Taijijian Adulto",42,""))))))))))))))))))))))))))</f>
        <v/>
      </c>
      <c r="BH98" s="52" t="str">
        <f>IF(Atletas!J89="","",IF(Atletas!B89="Feminino",100,IF(Atletas!B89="Masculino",200,""))+(IF(Atletas!J89="Gunshu Mirim",43,IF(Atletas!J89="Qiangshu Mirim",44,IF(Atletas!J89="Nangun Mirim",45,IF(Atletas!J89="Gunshu Grupo C",46,IF(Atletas!J89="Qiangshu Grupo C",47,IF(Atletas!J89="Nangun Grupo C",48,IF(Atletas!J89="Gunshu Grupo B",49,IF(Atletas!J89="Qiangshu Grupo B",50,IF(Atletas!J89="Nangun Grupo B",51,IF(Atletas!J89="Gunshu Grupo A",52,IF(Atletas!J89="Qiangshu Grupo A",53,IF(Atletas!J89="Nangun Grupo A",54,IF(Atletas!J89="Gunshu Opcional",55,IF(Atletas!J89="Qiangshu Opcional",56,IF(Atletas!J89="Nangun Opcional",57,IF(Atletas!J89="Gunshu Adulto",58,IF(Atletas!J89="Qiangshu Adulto",59,IF(Atletas!J89="Nangun Adulto",60,IF(Atletas!J89="Taijishan Grupo B",61,IF(Atletas!J89="Taijishan Grupo A",62,""))))))))))))))))))))))</f>
        <v/>
      </c>
      <c r="BM98" s="50" t="str">
        <f>IF(Atletas!K89="","",IF(Atletas!B89="Feminino",100,IF(Atletas!B89="Masculino",200,""))+(IF(Atletas!K89="Equipe 1 Grupo B",1,IF(Atletas!K89="Equipe 2 Grupo B",2,IF(Atletas!K89="Equipe 1 Grupo A",3,IF(Atletas!K89="Equipe 2 Grupo A",4,IF(Atletas!K89="Equipe 1 Adulto",5,IF(Atletas!K89="Equipe 2 Adulto",6,""))))))))</f>
        <v/>
      </c>
      <c r="BR98" s="50" t="str">
        <f>IF(Atletas!L89="","",IF(Atletas!X89&lt;&gt;"",10000,0)+(IF(Atletas!B89="Feminino",1000,IF(Atletas!B89="Masculino",2000,""))+IF(Atletas!L89="Choylayfut A",1,IF(Atletas!L89="Hunggar A",2,IF(Atletas!L89="Wuzuquan A",3,IF(Atletas!L89="Wingchun A",4,IF(Atletas!L89="Outra Mão de Sul A",5,IF(Atletas!L89="Choylayfut B",6,IF(Atletas!L89="Hunggar B",7,IF(Atletas!L89="Wuzuquan B",8,IF(Atletas!L89="Wingchun B",9,IF(Atletas!L89="Outra Mão de Sul B",10,IF(Atletas!L89="Choylayfut C",11,IF(Atletas!L89="Hunggar C",12,IF(Atletas!L89="Wuzuquan C",13,IF(Atletas!L89="Wingchun C",14,IF(Atletas!L89="Outra Mão de Sul C",15,IF(Atletas!L89="Choylayfut D",16,IF(Atletas!L89="Hunggar D",17,IF(Atletas!L89="Wuzuquan D",18,IF(Atletas!L89="Wingchun D",19,IF(Atletas!L89="Outra Mão de Sul D",20,IF(Atletas!L89="Choylayfut E",21,IF(Atletas!L89="Hunggar E",22,IF(Atletas!L89="Wuzuquan E",23,IF(Atletas!L89="Wingchun E",24,IF(Atletas!L89="Outra Mão de Sul E",25,IF(Atletas!L89="Choylayfut F",26,IF(Atletas!L89="Hunggar F",27,IF(Atletas!L89="Wuzuquan F",28,IF(Atletas!L89="Wingchun F",29,IF(Atletas!L89="Outra Mão de Sul F",30,IF(Atletas!L89="Dishuquan A",31,IF(Atletas!L89="Dishuquan B",32,IF(Atletas!L89="Dishuquan C",33,IF(Atletas!L89="Dishuquan D",34,IF(Atletas!L89="Dishuquan E",35,IF(Atletas!L89="Dishuquan F",36,""))))))))))))))))))))))))))))))))))))))</f>
        <v/>
      </c>
      <c r="BS98" s="50" t="str">
        <f>IF(Atletas!M89="","",IF(Atletas!X89&lt;&gt;"",10000,0)+(IF(Atletas!B89="Feminino",1000,IF(Atletas!B89="Masculino",2000,""))+(IF(Atletas!M89="Chaquan A",101,IF(Atletas!M89="Emeiquan A",102,IF(Atletas!M89="Fanziquan A",103,IF(Atletas!M89="Huaquan A",104,IF(Atletas!M89="Hongquan A",105,IF(Atletas!M89="Paoquan A",106,IF(Atletas!M89="Piguaquan A",107,IF(Atletas!M89="Shaolinquan A",108,IF(Atletas!M89="Tanglangquan A",109,IF(Atletas!M89="Yingzhaoquan A",110,IF(Atletas!M89="Tongbeiquan A",111,IF(Atletas!M89="Wudangquan A",112,IF(Atletas!M89="Outros Estilos A",113,IF(Atletas!M89="Chaquan B",114,IF(Atletas!M89="Emeiquan B",115,IF(Atletas!M89="Fanziquan B",116,IF(Atletas!M89="Huaquan B",117,IF(Atletas!M89="Hongquan B",118,IF(Atletas!M89="Paoquan B",119,IF(Atletas!M89="Piguaquan B",120,IF(Atletas!M89="Shaolinquan B",121,IF(Atletas!M89="Tanglangquan B",122,IF(Atletas!M89="Yingzhaoquan B",123,IF(Atletas!M89="Tongbeiquan B",124,IF(Atletas!M89="Wudangquan B",125,IF(Atletas!M89="Outros Estilos B",126,IF(Atletas!M89="Chaquan C",127,IF(Atletas!M89="Emeiquan C",128,IF(Atletas!M89="Fanziquan C",129,IF(Atletas!M89="Huaquan C",130,IF(Atletas!M89="Hongquan C",131,IF(Atletas!M89="Paoquan C",132,IF(Atletas!M89="Piguaquan C",133,IF(Atletas!M89="Shaolinquan C",134,IF(Atletas!M89="Tanglangquan C",135,IF(Atletas!M89="Yingzhaoquan C",136,IF(Atletas!M89="Tongbeiquan C",137,IF(Atletas!M89="Wudangquan C",138,IF(Atletas!M89="Outros Estilos C",139,0))))))))))))))))))))))))))))))))))))))))))</f>
        <v/>
      </c>
      <c r="BT98" s="50" t="str">
        <f>IF(Atletas!M89="","",IF(Atletas!X89&lt;&gt;"",10000,0)+(IF(Atletas!B89="Feminino",1000,IF(Atletas!B89="Masculino",2000,""))+(IF(Atletas!M89="Chaquan D",140,IF(Atletas!M89="Emeiquan D",141,IF(Atletas!M89="Fanziquan D",142,IF(Atletas!M89="Huaquan D",143,IF(Atletas!M89="Hongquan D",144,IF(Atletas!M89="Paoquan D",145,IF(Atletas!M89="Piguaquan D",146,IF(Atletas!M89="Shaolinquan D",147,IF(Atletas!M89="Tanglangquan D",148,IF(Atletas!M89="Yingzhaoquan D",149,IF(Atletas!M89="Tongbeiquan D",150,IF(Atletas!M89="Wudangquan D",151,IF(Atletas!M89="Outros Estilos D",152,IF(Atletas!M89="Chaquan E",153,IF(Atletas!M89="Emeiquan E",154,IF(Atletas!M89="Fanziquan E",155,IF(Atletas!M89="Huaquan E",156,IF(Atletas!M89="Hongquan E",157,IF(Atletas!M89="Paoquan E",158,IF(Atletas!M89="Piguaquan E",159,IF(Atletas!M89="Shaolinquan E",160,IF(Atletas!M89="Tanglangquan E",161,IF(Atletas!M89="Yingzhaoquan E",162,IF(Atletas!M89="Tongbeiquan E",163,IF(Atletas!M89="Wudangquan E",164,IF(Atletas!M89="Outros Estilos E",165,IF(Atletas!M89="Chaquan F",166,IF(Atletas!M89="Emeiquan F",167,IF(Atletas!M89="Fanziquan F",168,IF(Atletas!M89="Huaquan F",169,IF(Atletas!M89="Hongquan F",170,IF(Atletas!M89="Paoquan F",171,IF(Atletas!M89="Piguaquan F",172,IF(Atletas!M89="Shaolinquan F",173,IF(Atletas!M89="Tanglangquan F",174,IF(Atletas!M89="Yingzhaoquan F",175,IF(Atletas!M89="Tongbeiquan F",176,IF(Atletas!M89="Wudangquan F",177,IF(Atletas!M89="Outros Estilos F",178,0))))))))))))))))))))))))))))))))))))))))))</f>
        <v/>
      </c>
      <c r="BU98" s="50" t="str">
        <f>IF(Atletas!N89="","",IF(Atletas!X89&lt;&gt;"",10000,0)+(IF(Atletas!B89="Feminino",1000,IF(Atletas!B89="Masculino",2000,""))+(IF(Atletas!N89="Ditangquan A",201,IF(Atletas!N89="Houquan A",202,IF(Atletas!N89="Zuiquan A",203,IF(Atletas!N89="Ditangquan B",204,IF(Atletas!N89="Houquan B",205,IF(Atletas!N89="Zuiquan B",206,IF(Atletas!N89="Ditangquan C",207,IF(Atletas!N89="Houquan C",208,IF(Atletas!N89="Zuiquan C",209,IF(Atletas!N89="Ditangquan D",210,IF(Atletas!N89="Houquan D",211,IF(Atletas!N89="Zuiquan D",212,IF(Atletas!N89="Ditangquan E",213,IF(Atletas!N89="Houquan E",214,IF(Atletas!N89="Zuiquan E",215,IF(Atletas!N89="Ditangquan F",216,IF(Atletas!N89="Houquan F",217,IF(Atletas!N89="Zuiquan F",218,"")))))))))))))))))))))</f>
        <v/>
      </c>
      <c r="BV98" s="50" t="str">
        <f>IF(Atletas!O89="","",IF(Atletas!X89&lt;&gt;"",10000,0)+IF(Atletas!B89="Feminino",1000,IF(Atletas!B89="Masculino",2000,""))+IF(Atletas!O89="Yang A",301,IF(Atletas!O89="Chen A",302,IF(Atletas!O89="Sun A",303,IF(Atletas!O89="Wu A",304,IF(Atletas!O89="Wu-Hao A",305,IF(Atletas!O89="Outro Taijiquan A",306,IF(Atletas!O89="Yang B",307,IF(Atletas!O89="Chen B",308,IF(Atletas!O89="Sun B",309,IF(Atletas!O89="Wu B",310,IF(Atletas!O89="Wu-Hao B",311,IF(Atletas!O89="Outro Taijiquan B",312,IF(Atletas!O89="Yang C",313,IF(Atletas!O89="Chen C",314,IF(Atletas!O89="Sun C",315,IF(Atletas!O89="Wu C",316,IF(Atletas!O89="Wu-Hao C",317,IF(Atletas!O89="Outro Taijiquan C",318,IF(Atletas!O89="Yang D",319,IF(Atletas!O89="Chen D",320,IF(Atletas!O89="Sun D",321,IF(Atletas!O89="Wu D",322,IF(Atletas!O89="Wu-Hao D",323,IF(Atletas!O89="Outro Taijiquan D",324,IF(Atletas!O89="Yang E",325,IF(Atletas!O89="Chen E",326,IF(Atletas!O89="Sun E",327,IF(Atletas!O89="Wu E",328,IF(Atletas!O89="Wu-Hao E",329,IF(Atletas!O89="Outro Taijiquan E",330,IF(Atletas!O89="Yang F",331,IF(Atletas!O89="Chen F",332,IF(Atletas!O89="Sun F",333,IF(Atletas!O89="Wu F",334,IF(Atletas!O89="Wu-Hao F",335,IF(Atletas!O89="Outro Taijiquan F",336,"")))))))))))))))))))))))))))))))))))))</f>
        <v/>
      </c>
      <c r="BW98" s="50" t="str">
        <f>IF(Atletas!P89="","",IF(Atletas!X89&lt;&gt;"",10000,0)+IF(Atletas!B89="Feminino",1000,IF(Atletas!B89="Masculino",2000,""))+IF(OR(Atletas!P89="Yang 26 A",Atletas!P89="Yang 40 A"),401,IF(OR(Atletas!P89="Chen 25 A",Atletas!P89="Chen 36 A",Atletas!P89="Chen 56 A"),402,IF(Atletas!P89="Sun 73 A",403,IF(Atletas!P89="Wu 45 A",404,IF(Atletas!P89="Wu-Hao 46 A",405,IF(OR(Atletas!P89="Taijiquan 16 A",Atletas!P89="Taijiquan 24 A",Atletas!P89="Taijiquan 32 A",Atletas!P89="Taijiquan 42 A"),406,IF(OR(Atletas!P89="Yang 26 B",Atletas!P89="Yang 40 B"),407,IF(OR(Atletas!P89="Chen 25 B",Atletas!P89="Chen 36 B",Atletas!P89="Chen 56 B"),408,IF(Atletas!P89="Sun 73 B",409,IF(Atletas!P89="Wu 45 B",410,IF(Atletas!P89="Wu-Hao 46 B",411,IF(OR(Atletas!P89="Taijiquan 16 B",Atletas!P89="Taijiquan 24 B",Atletas!P89="Taijiquan 32 B",Atletas!P89="Taijiquan 42 B"),412,IF(OR(Atletas!P89="Yang 26 C",Atletas!P89="Yang 40 C"),413,IF(OR(Atletas!P89="Chen 25 C",Atletas!P89="Chen 36 C",Atletas!P89="Chen 56 C"),414,IF(Atletas!P89="Sun 73 C",415,IF(Atletas!P89="Wu 45 C",416,IF(Atletas!P89="Wu-Hao 46 C",417,IF(OR(Atletas!P89="Taijiquan 16 C",Atletas!P89="Taijiquan 24 C",Atletas!P89="Taijiquan 32 C",Atletas!P89="Taijiquan 42 C"),418,0)))))))))))))))))))</f>
        <v/>
      </c>
      <c r="BX98" s="50" t="str">
        <f>IF(Atletas!P89="","",IF(Atletas!X89&lt;&gt;"",10000,0)+IF(Atletas!B89="Feminino",1000,IF(Atletas!B89="Masculino",2000,""))+IF(OR(Atletas!P89="Yang 26 D",Atletas!P89="Yang 40 D"),419,IF(OR(Atletas!P89="Chen 25 D",Atletas!P89="Chen 36 D",Atletas!P89="Chen 56 D"),420,IF(Atletas!P89="Sun 73 D",421,IF(Atletas!P89="Wu 45 D",422,IF(Atletas!P89="Wu-Hao 46 D",423,IF(OR(Atletas!P89="Taijiquan 16 D",Atletas!P89="Taijiquan 24 D",Atletas!P89="Taijiquan 32 D",Atletas!P89="Taijiquan 42 D"),424,IF(OR(Atletas!P89="Yang 26 E",Atletas!P89="Yang 40 E"),425,IF(OR(Atletas!P89="Chen 25 E",Atletas!P89="Chen 36 E",Atletas!P89="Chen 56 E"),426,IF(Atletas!P89="Sun 73 E",427,IF(Atletas!P89="Wu 45 E",428,IF(Atletas!P89="Wu-Hao 46 E",429,IF(OR(Atletas!P89="Taijiquan 16 E",Atletas!P89="Taijiquan 24 E",Atletas!P89="Taijiquan 32 E",Atletas!P89="Taijiquan 42 E"),430,IF(OR(Atletas!P89="Yang 26 F",Atletas!P89="Yang 40 F"),431,IF(OR(Atletas!P89="Chen 25 F",Atletas!P89="Chen 36 F",Atletas!P89="Chen 56 F"),432,IF(Atletas!P89="Sun 73 F",433,IF(Atletas!P89="Wu 45 F",434,IF(Atletas!P89="Wu-Hao 46 F",435,IF(OR(Atletas!P89="Taijiquan 16 F",Atletas!P89="Taijiquan 24 F",Atletas!P89="Taijiquan 32 F",Atletas!P89="Taijiquan 42 F"),436,0)))))))))))))))))))</f>
        <v/>
      </c>
      <c r="BY98" s="50" t="str">
        <f>IF(Atletas!Q89="","",IF(Atletas!X89&lt;&gt;"",10000,0)+IF(Atletas!B89="Feminino",1000,IF(Atletas!B89="Masculino",2000,""))+IF(Atletas!Q89="Xingyiquan A",501,IF(Atletas!Q89="Baguazhang A",502,IF(Atletas!Q89="Outro Estilo Interno A",503,IF(Atletas!Q89="Xingyiquan B",504,IF(Atletas!Q89="Baguazhang B",505,IF(Atletas!Q89="Outro Estilo Interno B",506,IF(Atletas!Q89="Xingyiquan C",507,IF(Atletas!Q89="Baguazhang C",508,IF(Atletas!Q89="Outro Estilo Interno C",509,IF(Atletas!Q89="Xingyiquan D",510,IF(Atletas!Q89="Baguazhang D",511,IF(Atletas!Q89="Outro Estilo Interno D",512,IF(Atletas!Q89="Xingyiquan E",513,IF(Atletas!Q89="Baguazhang E",514,IF(Atletas!Q89="Outro Estilo Interno E",515,IF(Atletas!Q89="Xingyiquan F",516,IF(Atletas!Q89="Baguazhang F",517,IF(Atletas!Q89="Outro Estilo Interno F",518, "")))))))))))))))))))</f>
        <v/>
      </c>
      <c r="BZ98" s="50" t="str">
        <f>IF(Atletas!R89="","",IF(Atletas!X89&lt;&gt;"",10000,0)+IF(Atletas!B89="Feminino",1000,IF(Atletas!B89="Masculino",2000,""))+IF(Atletas!R89="Dao A",601,IF(Atletas!R89="Jian A",602,IF(Atletas!R89="Bishou A",603,IF(Atletas!R89="Shanzi A",604,IF(Atletas!R89="Outra Arma Curta A",605,IF(Atletas!R89="Dao B",606,IF(Atletas!R89="Jian B",607,IF(Atletas!R89="Bishou B",608,IF(Atletas!R89="Shanzi B",609,IF(Atletas!R89="Outra Arma Curta B",610,IF(Atletas!R89="Dao C",611,IF(Atletas!R89="Jian C",612,IF(Atletas!R89="Bishou C",613,IF(Atletas!R89="Shanzi C",614,IF(Atletas!R89="Outra Arma Curta C",615,IF(Atletas!R89="Dao D",616,IF(Atletas!R89="Jian D",617,IF(Atletas!R89="Bishou D",618,IF(Atletas!R89="Shanzi D",619,IF(Atletas!R89="Outra Arma Curta D",620,IF(Atletas!R89="Dao E",621,IF(Atletas!R89="Jian E",622,IF(Atletas!R89="Bishou E",623,IF(Atletas!R89="Shanzi E",624,IF(Atletas!R89="Outra Arma Curta E",625,IF(Atletas!R89="Dao F",626,IF(Atletas!R89="Jian F",627,IF(Atletas!R89="Bishou F",628,IF(Atletas!R89="Shanzi F",629,IF(Atletas!R89="Outra Arma Curta F",630, "")))))))))))))))))))))))))))))))</f>
        <v/>
      </c>
      <c r="CA98" s="50" t="str">
        <f>IF(Atletas!S89="","",IF(Atletas!X89&lt;&gt;"",10000,0)+IF(Atletas!B89="Feminino",1000,IF(Atletas!B89="Masculino",2000,""))+IF(Atletas!S89="Gun A",701,IF(Atletas!S89="Qiang A",702,IF(Atletas!S89="Pudao / Guandao A",703,IF(Atletas!S89="Outra Arma Longa A",704,IF(Atletas!S89="Gun B",705,IF(Atletas!S89="Qiang B",706,IF(Atletas!S89="Pudao / Guandao B",707,IF(Atletas!S89="Outra Arma Longa B",708,IF(Atletas!S89="Gun C",709,IF(Atletas!S89="Qiang C",710,IF(Atletas!S89="Pudao / Guandao C",711,IF(Atletas!S89="Outra Arma Longa C",712,IF(Atletas!S89="Gun D",713,IF(Atletas!S89="Qiang D",714,IF(Atletas!S89="Pudao / Guandao D",715,IF(Atletas!S89="Outra Arma Longa D",716,IF(Atletas!S89="Gun E",717,IF(Atletas!S89="Qiang E",718,IF(Atletas!S89="Pudao / Guandao E",719,IF(Atletas!S89="Outra Arma Longa E",720,IF(Atletas!S89="Gun F",721,IF(Atletas!S89="Qiang F",722,IF(Atletas!S89="Pudao / Guandao F",723,IF(Atletas!S89="Outra Arma Longa F",724,"")))))))))))))))))))))))))</f>
        <v/>
      </c>
      <c r="CB98" s="50" t="str">
        <f>IF(Atletas!T89="","",IF(Atletas!X89&lt;&gt;"",10000,0)+IF(Atletas!B89="Feminino",1000,IF(Atletas!B89="Masculino",2000,""))+IF(Atletas!T89="Outra Arma Dupla A",801,IF(Atletas!T89="Arma Maleável A",802,IF(Atletas!T89="Outra Arma Dupla B",803,IF(Atletas!T89="Arma Maleável B",804,IF(Atletas!T89="Outra Arma Dupla C",805,IF(Atletas!T89="Arma Maleável C",806,IF(Atletas!T89="Outra Arma Dupla D",807,IF(Atletas!T89="Arma Maleável D",808,IF(Atletas!T89="Outra Arma Dupla E",809,IF(Atletas!T89="Arma Maleável E",810,IF(Atletas!T89="Outra Arma Dupla F",811,IF(Atletas!T89="Arma Maleável F",812,IF(Atletas!T89="Shuangdao A",813,IF(Atletas!T89="Shuangdao B",814,IF(Atletas!T89="Shuangdao C",815,IF(Atletas!T89="Shuangdao D",816,IF(Atletas!T89="Shuangdao E",817,IF(Atletas!T89="Shuangdao F",818,"")))))))))))))))))))</f>
        <v/>
      </c>
      <c r="CC98" s="50" t="str">
        <f>IF(Atletas!U89="","",IF(Atletas!X89&lt;&gt;"",10000,0)+IF(Atletas!B89="Feminino",1000,IF(Atletas!B89="Masculino",2000,""))+IF(OR(Atletas!U89="Taijijian Yang A",Atletas!U89="Taijijian Yang Standard A"),901,IF(OR(Atletas!U89="Taijijian Chen A", Atletas!U89="Taijijian Chen Standard A"),902,IF(Atletas!U89="Taijijian Sun A",903,IF(Atletas!U89="Taijijian Wu A",904,IF(Atletas!U89="Taijijian Wu-Hao A",905,IF(OR(Atletas!U89="Taijijian 32 A",Atletas!U89="Taijijian 42 A"),906,IF(OR(Atletas!U89="Taijijian Yang B",Atletas!U89="Taijijian Yang Standard B"),907,IF(OR(Atletas!U89="Taijijian Chen B", Atletas!U89="Taijijian Chen Standard B"),908,IF(Atletas!U89="Taijijian Sun B",909,IF(Atletas!U89="Taijijian Wu B",910,IF(Atletas!U89="Taijijian Wu-Hao B",911,IF(OR(Atletas!U89="Taijijian 32 B",Atletas!U89="Taijijian 42 B"),912,IF(OR(Atletas!U89="Taijijian Yang C",Atletas!U89="Taijijian Yang Standard C"),913,IF(OR(Atletas!U89="Taijijian Chen C", Atletas!U89="Taijijian Chen Standard C"),914,IF(Atletas!U89="Taijijian Sun C",915,IF(Atletas!U89="Taijijian Wu C",916,IF(Atletas!U89="Taijijian Wu-Hao C",917,IF(OR(Atletas!U89="Taijijian 32 C",Atletas!U89="Taijijian 42 C"),918,IF(OR(Atletas!U89="Taijijian Yang D",Atletas!U89="Taijijian Yang Standard D"),919,IF(OR(Atletas!U89="Taijijian Chen D", Atletas!U89="Taijijian Chen Standard D"),920,IF(Atletas!U89="Taijijian Sun D",921,IF(Atletas!U89="Taijijian Wu D",922,IF(Atletas!U89="Taijijian Wu-Hao D",923,IF(OR(Atletas!U89="Taijijian 32 D",Atletas!U89="Taijijian 42 D"),924,IF(OR(Atletas!U89="Taijijian Yang E",Atletas!U89="Taijijian Yang Standard E"),925,IF(OR(Atletas!U89="Taijijian Chen E", Atletas!U89="Taijijian Chen Standard E"),926,IF(Atletas!U89="Taijijian Sun E",927,IF(Atletas!U89="Taijijian Wu E",928,IF(Atletas!U89="Taijijian Wu-Hao E",929,IF(OR(Atletas!U89="Taijijian 32 E",Atletas!U89="Taijijian 42 E"),930,IF(OR(Atletas!U89="Taijijian Yang F",Atletas!U89="Taijijian Yang Standard F"),931,IF(OR(Atletas!U89="Taijijian Chen F", Atletas!U89="Taijijian Chen Standard F"),932,IF(Atletas!U89="Taijijian Sun F",933,IF(Atletas!U89="Taijijian Wu F",934,IF(Atletas!U89="Taijijian Wu-Hao F",935,IF(OR(Atletas!U89="Taijijian 32 F",Atletas!U89="Taijijian 42 F"),936,"")))))))))))))))))))))))))))))))))))))</f>
        <v/>
      </c>
      <c r="CD98" s="50" t="str">
        <f>IF(Atletas!V89="","",IF(Atletas!X89&lt;&gt;"",10000,0)+IF(Atletas!B89="Feminino",1000,IF(Atletas!B89="Masculino",2000,""))+IF(Atletas!V89="Taijidao A",937,IF(Atletas!V89="TaijiShanzi A",938,IF(Atletas!V89="Taijiqiang A",939,IF(Atletas!V89="Bagua de Arma A",940,IF(Atletas!V89="Xingyi de Arma A",941,IF(Atletas!V89="Taijidao B",942,IF(Atletas!V89="TaijiShanzi B",943,IF(Atletas!V89="Taijiqiang B",944,IF(Atletas!V89="Bagua de Arma B",945,IF(Atletas!V89="Xingyi de Arma B",946,IF(Atletas!V89="Taijidao C",947,IF(Atletas!V89="TaijiShanzi C",948,IF(Atletas!V89="Taijiqiang C",949,IF(Atletas!V89="Bagua de Arma C",950,IF(Atletas!V89="Xingyi de Arma C",951,IF(Atletas!V89="Taijidao D",952,IF(Atletas!V89="TaijiShanzi D",953,IF(Atletas!V89="Taijiqiang D",954,IF(Atletas!V89="Bagua de Arma D",955,IF(Atletas!V89="Xingyi de Arma D",956,IF(Atletas!V89="Taijidao E",957,IF(Atletas!V89="TaijiShanzi E",958,IF(Atletas!V89="Taijiqiang E",959,IF(Atletas!V89="Bagua de Arma E",960,IF(Atletas!V89="Xingyi de Arma E",961,IF(Atletas!V89="Taijidao F",962,IF(Atletas!V89="TaijiShanzi F",963,IF(Atletas!V89="Taijiqiang F",964,IF(Atletas!V89="Bagua de Arma F",965,IF(Atletas!V89="Xingyi de Arma F",966,"")))))))))))))))))))))))))))))))</f>
        <v/>
      </c>
      <c r="CE98" s="66" t="str">
        <f>IF(CF98&lt;&gt;"","Huaquan E","")</f>
        <v/>
      </c>
      <c r="CF98" s="66" t="str">
        <f>IF(COUNTIF(BR:CD,1156)&gt;0,COUNTIF(BR:CD,1156),"")</f>
        <v/>
      </c>
      <c r="CG98" s="66" t="str">
        <f>IF(CH98&lt;&gt;"","Huaquan E","")</f>
        <v/>
      </c>
      <c r="CH98" s="66" t="str">
        <f>IF(COUNTIF(BR:CD,2156)&gt;0,COUNTIF(BR:CD,2156),"")</f>
        <v/>
      </c>
      <c r="CI98" s="66" t="str">
        <f>IF(CJ98&lt;&gt;"","Yingzhaoquan E","")</f>
        <v/>
      </c>
      <c r="CJ98" s="66" t="str">
        <f>IF(COUNTIF(BR:CD,11162)&gt;0,COUNTIF(BR:CD,11162),"")</f>
        <v/>
      </c>
      <c r="CK98" s="66" t="str">
        <f>IF(CL98&lt;&gt;"","Yingzhaoquan E","")</f>
        <v/>
      </c>
      <c r="CL98" s="66" t="str">
        <f>IF(COUNTIF(BR:CD,12162)&gt;0,COUNTIF(BR:CD,12162),"")</f>
        <v/>
      </c>
      <c r="CM98" s="50" t="str">
        <f xml:space="preserve"> IF(Atletas!W89="","",IF(Atletas!W89="Duilian de Mãos BC - Equipe 1",1,IF(Atletas!W89="Duilian de Mãos BC - Equipe 2",2,IF(Atletas!W89="Duilian de Armas BC - Equipe 1",3,IF(Atletas!W89="Duilian de Armas BC - Equipe 2",4,IF(Atletas!W89="Duilian de Mãos DE - Equipe 1",5,IF(Atletas!W89="Duilian de Mãos DE - Equipe 2",6,IF(Atletas!W89="Duilian de Armas DE - Equipe 1",7,IF(Atletas!W89="Duilian de Armas DE - Equipe 2",8,IF(Atletas!W89="Duilian de Tuishou - Equipe 1",9,IF(Atletas!W89="Duilian de Tuishou - Equipe 2",10,IF(Atletas!W89="Grupo Externo ABC - Equipe 1",11,IF(Atletas!W89="Grupo Externo ABC - Equipe 2",12,IF(Atletas!W89="Grupo Interno ABC - Equipe 1",13,IF(Atletas!W89="Grupo Interno ABC - Equipe 2",14,IF(Atletas!W89="Grupo Externo DEF - Equipe 1",15,IF(Atletas!W89="Grupo Externo DEF - Equipe 2",16,IF(Atletas!W89="Grupo Interno DEF - Equipe 1",17,IF(Atletas!W89="Grupo Interno DEF - Equipe 2",18,"")))))))))))))))))))</f>
        <v/>
      </c>
    </row>
    <row r="99" spans="2:91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 t="str">
        <f t="array" ref="Z99">IFERROR(INDEX(CE$7:CE$348,SMALL(IF(CE$7:CE$348&lt;&gt;"",ROW(CE$7:CE$348)-ROW(CE$7)+1),ROWS(CE$7:CE98))),"")</f>
        <v/>
      </c>
      <c r="AA99" s="3" t="str">
        <f t="array" ref="AA99">IFERROR(INDEX(CF$7:CF$348,SMALL(IF(CF$7:CF$348&lt;&gt;"",ROW(CF$7:CF$348)-ROW(CF$7)+1),ROWS(CF$7:CF98))),"")</f>
        <v/>
      </c>
      <c r="AB99" s="3" t="str">
        <f t="array" ref="AB99">IFERROR(INDEX(CG$7:CG$348,SMALL(IF(CG$7:CG$348&lt;&gt;"",ROW(CG$7:CG$348)-ROW(CG$7)+1),ROWS(CG$7:CG98))),"")</f>
        <v/>
      </c>
      <c r="AC99" s="3" t="str">
        <f t="array" ref="AC99">IFERROR(INDEX(CH$7:CH$348,SMALL(IF(CH$7:CH$348&lt;&gt;"",ROW(CH$7:CH$348)-ROW(CH$7)+1),ROWS(CH$7:CH98))),"")</f>
        <v/>
      </c>
      <c r="AD99" s="3" t="str">
        <f t="array" ref="AD99">IFERROR(INDEX(CI$7:CI$377,SMALL(IF(CI$7:CI$377&lt;&gt;"",ROW(CI$7:CI$377)-ROW(CI$7)+1),ROWS(CI$7:CI98))),"")</f>
        <v/>
      </c>
      <c r="AE99" s="3" t="str">
        <f t="array" ref="AE99">IFERROR(INDEX(CJ$7:CJ$378,SMALL(IF(CJ$7:CJ$378&lt;&gt;"",ROW(CJ$7:CJ$378)-ROW(CJ$7)+1),ROWS(CJ$7:CJ98))),"")</f>
        <v/>
      </c>
      <c r="AF99" s="3" t="str">
        <f t="array" ref="AF99">IFERROR(INDEX(CK$7:CK$378,SMALL(IF(CK$7:CK$378&lt;&gt;"",ROW(CK$7:CK$378)-ROW(CK$7)+1),ROWS(CK$7:CK98))),"")</f>
        <v/>
      </c>
      <c r="AG99" s="3" t="str">
        <f t="array" ref="AG99">IFERROR(INDEX(CL$7:CL$378,SMALL(IF(CL$7:CL$378&lt;&gt;"",ROW(CL$7:CL$378)-ROW(CL$7)+1),ROWS(CL$7:CL98))),"")</f>
        <v/>
      </c>
      <c r="AH99" s="3"/>
      <c r="AI99" s="3"/>
      <c r="AJ99" s="3"/>
      <c r="AK99" s="3"/>
      <c r="AL99" s="3"/>
      <c r="AM99" s="3"/>
      <c r="AN99" s="52" t="str">
        <f>IF(Atletas!D90="","",IF(Atletas!B90="Feminino",100,IF(Atletas!B90="Masculino",200,""))+(IF(Atletas!D90="Kids 30kg",1,IF(Atletas!D90="Kids 32kg",2, IF(Atletas!D90="Kids 34kg",3,IF(Atletas!D90="Kids 36kg",4,IF(Atletas!D90="Kids 39kg",5,IF(Atletas!D90="Kids 42kg",6,IF(Atletas!D90="Kids 45kg",7, IF(Atletas!D90="Infantil 39kg",8,IF(Atletas!D90="Infantil 42kg",9,IF(Atletas!D90="Infantil 45kg",10,IF(Atletas!D90="Infantil 48kg",11,IF(Atletas!D90="Infantil 52kg",12,IF(Atletas!D90="Infantil 56kg",13,IF(Atletas!D90="Infantil 60kg",14,IF(Atletas!D90="Juvenil 48kg",15,IF(Atletas!D90="Juvenil 52kg",16,IF(Atletas!D90="Juvenil 56kg",17,IF(Atletas!D90="Juvenil 60kg",18,IF(Atletas!D90="Juvenil 65kg",19,IF(Atletas!D90="Juvenil 70kg",20,IF(Atletas!D90="Juvenil 75kg",21,IF(Atletas!D90="Juvenil 80kg",22, IF(Atletas!D90="Juvenil 85kg",23,IF(Atletas!D90="Adulto 48kg",24,IF(Atletas!D90="Adulto 52kg",25,IF(Atletas!D90="Adulto 56kg",26,IF(Atletas!D90="Adulto 60kg",27,IF(Atletas!D90="Adulto 65kg",28,IF(Atletas!D90="Adulto 70kg",29,IF(Atletas!D90="Adulto 75kg",30,IF(Atletas!D90="Adulto 80kg",31,IF(Atletas!D90="Adulto 85kg",32,IF(Atletas!D90="Adulto 90kg",33,IF(Atletas!D90="Adulto 100kg",34, IF(Atletas!D90="Adulto +100kg",35,"")))))))))))))))))))))))))))))))))))))</f>
        <v/>
      </c>
      <c r="AS99" s="6" t="str">
        <f>IF(Atletas!E90="","",IF(Atletas!B90="Feminino",100,IF(Atletas!B90="Masculino",200,""))+(IF(Atletas!E90="Juvenil 44kg",1,IF(Atletas!E90="Juvenil 48kg",2,IF(Atletas!E90="Juvenil 52kg",3,IF(Atletas!E90="Juvenil 56kg",4,IF(Atletas!E90="Juvenil 60kg",5,IF(Atletas!E90="Juvenil 65kg",6,IF(Atletas!E90="Juvenil 70kg",7,IF(Atletas!E90="Juvenil 75kg",8,IF(Atletas!E90="Juvenil 82kg",9,IF(Atletas!E90="Juvenil 90kg",10,IF(Atletas!E90="Juvenil 100kg",11,IF(Atletas!E90="Adulto 48kg",12,IF(Atletas!E90="Adulto 52kg",13,IF(Atletas!E90="Adulto 56kg",14,IF(Atletas!E90="Adulto 60kg",15,IF(Atletas!E90="Adulto 65kg",16,IF(Atletas!E90="Adulto 70kg",17,IF(Atletas!E90="Adulto 75kg",18,IF(Atletas!E90="Adulto 82kg",19,IF(Atletas!E90="Adulto 90kg",20,IF(Atletas!E90="Adulto 100kg",21,IF(Atletas!E90="Adulto +100kg",22,""))))))))))))))))))))))))</f>
        <v/>
      </c>
      <c r="AX99" s="6" t="str">
        <f>IF(Atletas!F90="","",IF(Atletas!B90="Feminino",100,IF(Atletas!B90="Masculino",200,""))+(IF(Atletas!F90="Adulto 48kg",1,IF(Atletas!F90="Adulto 56kg",2,IF(Atletas!F90="Adulto 65kg",3,IF(Atletas!F90="Adulto 75kg",4,IF(Atletas!F90="Adulto +75kg",5,IF(Atletas!F90="Adulto 52kg",6,IF(Atletas!F90="Adulto 60kg",7,IF(Atletas!F90="Adulto 70kg",8,IF(Atletas!F90="Adulto 80kg",9,IF(Atletas!F90="Adulto 90kg",10,IF(Atletas!F90="Adulto +90kg",11,"")))))))))))))</f>
        <v/>
      </c>
      <c r="BC99" s="6" t="str">
        <f>IF(Atletas!G90="","",IF(Atletas!B90="Feminino",10,IF(Atletas!B90="Masculino",20,""))+(IF(Atletas!G90="Baduanjin A",1,IF(Atletas!G90="Baduanjin B",2))))</f>
        <v/>
      </c>
      <c r="BF99" s="52" t="str">
        <f>IF(Atletas!H90="","",IF(Atletas!B90="Feminino",100,IF(Atletas!B90="Masculino",200,""))+(IF(Atletas!H90="Changquan Mirim",1,IF(Atletas!H90="Nanquan Mirim",2,IF(Atletas!H90="Taijiquan Mirim",3,IF(Atletas!H90="Changquan Grupo C",4,IF(Atletas!H90="Nanquan Grupo C",5,IF(Atletas!H90="Taijiquan Grupo C",6,IF(Atletas!H90="Changquan Grupo B",7,IF(Atletas!H90="Nanquan Grupo B",8,IF(Atletas!H90="Taijiquan Grupo B",9,IF(Atletas!H90="Changquan Grupo A",10,IF(Atletas!H90="Nanquan Grupo A",11,IF(Atletas!H90="Taijiquan Grupo A",12,IF(Atletas!H90="Changquan Opcional",13,IF(Atletas!H90="Nanquan Opcional",14,IF(Atletas!H90="Taijiquan Opcional",15,IF(Atletas!H90="Changquan Adulto",16,IF(Atletas!H90="Nanquan Adulto",17,IF(Atletas!H90="Taijiquan Adulto",18,""))))))))))))))))))))</f>
        <v/>
      </c>
      <c r="BG99" s="52" t="str">
        <f>IF(Atletas!I90="","",IF(Atletas!B90="Feminino",100,IF(Atletas!B90="Masculino",200,""))+(IF(Atletas!I90="Daoshu Mirim",19,IF(Atletas!I90="Jianshu Mirim",20,IF(Atletas!I90="Nandao Mirim",21,IF(Atletas!I90="Taijijian Mirim",22,IF(Atletas!I90="Daoshu Grupo C",23,IF(Atletas!I90="Jianshu Grupo C",24,IF(Atletas!I90="Nandao Grupo C",25,IF(Atletas!I90="Taijijian Grupo C",26,IF(Atletas!I90="Daoshu Grupo B",27,IF(Atletas!I90="Jianshu Grupo B",28,IF(Atletas!I90="Nandao Grupo B",29,IF(Atletas!I90="Taijijian Grupo B",30,IF(Atletas!I90="Daoshu Grupo A",31,IF(Atletas!I90="Jianshu Grupo A",32,IF(Atletas!I90="Nandao Grupo A",33,IF(Atletas!I90="Taijijian Grupo A",34,IF(Atletas!I90="Daoshu Opcional",35,IF(Atletas!I90="Jianshu Opcional",36,IF(Atletas!I90="Nandao Opcional",37,IF(Atletas!I90="Taijijian Opcional",38,IF(Atletas!I90="Daoshu Adulto",39,IF(Atletas!I90="Jianshu Adulto",40,IF(Atletas!I90="Nandao Adulto",41,IF(Atletas!I90="Taijijian Adulto",42,""))))))))))))))))))))))))))</f>
        <v/>
      </c>
      <c r="BH99" s="52" t="str">
        <f>IF(Atletas!J90="","",IF(Atletas!B90="Feminino",100,IF(Atletas!B90="Masculino",200,""))+(IF(Atletas!J90="Gunshu Mirim",43,IF(Atletas!J90="Qiangshu Mirim",44,IF(Atletas!J90="Nangun Mirim",45,IF(Atletas!J90="Gunshu Grupo C",46,IF(Atletas!J90="Qiangshu Grupo C",47,IF(Atletas!J90="Nangun Grupo C",48,IF(Atletas!J90="Gunshu Grupo B",49,IF(Atletas!J90="Qiangshu Grupo B",50,IF(Atletas!J90="Nangun Grupo B",51,IF(Atletas!J90="Gunshu Grupo A",52,IF(Atletas!J90="Qiangshu Grupo A",53,IF(Atletas!J90="Nangun Grupo A",54,IF(Atletas!J90="Gunshu Opcional",55,IF(Atletas!J90="Qiangshu Opcional",56,IF(Atletas!J90="Nangun Opcional",57,IF(Atletas!J90="Gunshu Adulto",58,IF(Atletas!J90="Qiangshu Adulto",59,IF(Atletas!J90="Nangun Adulto",60,IF(Atletas!J90="Taijishan Grupo B",61,IF(Atletas!J90="Taijishan Grupo A",62,""))))))))))))))))))))))</f>
        <v/>
      </c>
      <c r="BM99" s="50" t="str">
        <f>IF(Atletas!K90="","",IF(Atletas!B90="Feminino",100,IF(Atletas!B90="Masculino",200,""))+(IF(Atletas!K90="Equipe 1 Grupo B",1,IF(Atletas!K90="Equipe 2 Grupo B",2,IF(Atletas!K90="Equipe 1 Grupo A",3,IF(Atletas!K90="Equipe 2 Grupo A",4,IF(Atletas!K90="Equipe 1 Adulto",5,IF(Atletas!K90="Equipe 2 Adulto",6,""))))))))</f>
        <v/>
      </c>
      <c r="BR99" s="50" t="str">
        <f>IF(Atletas!L90="","",IF(Atletas!X90&lt;&gt;"",10000,0)+(IF(Atletas!B90="Feminino",1000,IF(Atletas!B90="Masculino",2000,""))+IF(Atletas!L90="Choylayfut A",1,IF(Atletas!L90="Hunggar A",2,IF(Atletas!L90="Wuzuquan A",3,IF(Atletas!L90="Wingchun A",4,IF(Atletas!L90="Outra Mão de Sul A",5,IF(Atletas!L90="Choylayfut B",6,IF(Atletas!L90="Hunggar B",7,IF(Atletas!L90="Wuzuquan B",8,IF(Atletas!L90="Wingchun B",9,IF(Atletas!L90="Outra Mão de Sul B",10,IF(Atletas!L90="Choylayfut C",11,IF(Atletas!L90="Hunggar C",12,IF(Atletas!L90="Wuzuquan C",13,IF(Atletas!L90="Wingchun C",14,IF(Atletas!L90="Outra Mão de Sul C",15,IF(Atletas!L90="Choylayfut D",16,IF(Atletas!L90="Hunggar D",17,IF(Atletas!L90="Wuzuquan D",18,IF(Atletas!L90="Wingchun D",19,IF(Atletas!L90="Outra Mão de Sul D",20,IF(Atletas!L90="Choylayfut E",21,IF(Atletas!L90="Hunggar E",22,IF(Atletas!L90="Wuzuquan E",23,IF(Atletas!L90="Wingchun E",24,IF(Atletas!L90="Outra Mão de Sul E",25,IF(Atletas!L90="Choylayfut F",26,IF(Atletas!L90="Hunggar F",27,IF(Atletas!L90="Wuzuquan F",28,IF(Atletas!L90="Wingchun F",29,IF(Atletas!L90="Outra Mão de Sul F",30,IF(Atletas!L90="Dishuquan A",31,IF(Atletas!L90="Dishuquan B",32,IF(Atletas!L90="Dishuquan C",33,IF(Atletas!L90="Dishuquan D",34,IF(Atletas!L90="Dishuquan E",35,IF(Atletas!L90="Dishuquan F",36,""))))))))))))))))))))))))))))))))))))))</f>
        <v/>
      </c>
      <c r="BS99" s="50" t="str">
        <f>IF(Atletas!M90="","",IF(Atletas!X90&lt;&gt;"",10000,0)+(IF(Atletas!B90="Feminino",1000,IF(Atletas!B90="Masculino",2000,""))+(IF(Atletas!M90="Chaquan A",101,IF(Atletas!M90="Emeiquan A",102,IF(Atletas!M90="Fanziquan A",103,IF(Atletas!M90="Huaquan A",104,IF(Atletas!M90="Hongquan A",105,IF(Atletas!M90="Paoquan A",106,IF(Atletas!M90="Piguaquan A",107,IF(Atletas!M90="Shaolinquan A",108,IF(Atletas!M90="Tanglangquan A",109,IF(Atletas!M90="Yingzhaoquan A",110,IF(Atletas!M90="Tongbeiquan A",111,IF(Atletas!M90="Wudangquan A",112,IF(Atletas!M90="Outros Estilos A",113,IF(Atletas!M90="Chaquan B",114,IF(Atletas!M90="Emeiquan B",115,IF(Atletas!M90="Fanziquan B",116,IF(Atletas!M90="Huaquan B",117,IF(Atletas!M90="Hongquan B",118,IF(Atletas!M90="Paoquan B",119,IF(Atletas!M90="Piguaquan B",120,IF(Atletas!M90="Shaolinquan B",121,IF(Atletas!M90="Tanglangquan B",122,IF(Atletas!M90="Yingzhaoquan B",123,IF(Atletas!M90="Tongbeiquan B",124,IF(Atletas!M90="Wudangquan B",125,IF(Atletas!M90="Outros Estilos B",126,IF(Atletas!M90="Chaquan C",127,IF(Atletas!M90="Emeiquan C",128,IF(Atletas!M90="Fanziquan C",129,IF(Atletas!M90="Huaquan C",130,IF(Atletas!M90="Hongquan C",131,IF(Atletas!M90="Paoquan C",132,IF(Atletas!M90="Piguaquan C",133,IF(Atletas!M90="Shaolinquan C",134,IF(Atletas!M90="Tanglangquan C",135,IF(Atletas!M90="Yingzhaoquan C",136,IF(Atletas!M90="Tongbeiquan C",137,IF(Atletas!M90="Wudangquan C",138,IF(Atletas!M90="Outros Estilos C",139,0))))))))))))))))))))))))))))))))))))))))))</f>
        <v/>
      </c>
      <c r="BT99" s="50" t="str">
        <f>IF(Atletas!M90="","",IF(Atletas!X90&lt;&gt;"",10000,0)+(IF(Atletas!B90="Feminino",1000,IF(Atletas!B90="Masculino",2000,""))+(IF(Atletas!M90="Chaquan D",140,IF(Atletas!M90="Emeiquan D",141,IF(Atletas!M90="Fanziquan D",142,IF(Atletas!M90="Huaquan D",143,IF(Atletas!M90="Hongquan D",144,IF(Atletas!M90="Paoquan D",145,IF(Atletas!M90="Piguaquan D",146,IF(Atletas!M90="Shaolinquan D",147,IF(Atletas!M90="Tanglangquan D",148,IF(Atletas!M90="Yingzhaoquan D",149,IF(Atletas!M90="Tongbeiquan D",150,IF(Atletas!M90="Wudangquan D",151,IF(Atletas!M90="Outros Estilos D",152,IF(Atletas!M90="Chaquan E",153,IF(Atletas!M90="Emeiquan E",154,IF(Atletas!M90="Fanziquan E",155,IF(Atletas!M90="Huaquan E",156,IF(Atletas!M90="Hongquan E",157,IF(Atletas!M90="Paoquan E",158,IF(Atletas!M90="Piguaquan E",159,IF(Atletas!M90="Shaolinquan E",160,IF(Atletas!M90="Tanglangquan E",161,IF(Atletas!M90="Yingzhaoquan E",162,IF(Atletas!M90="Tongbeiquan E",163,IF(Atletas!M90="Wudangquan E",164,IF(Atletas!M90="Outros Estilos E",165,IF(Atletas!M90="Chaquan F",166,IF(Atletas!M90="Emeiquan F",167,IF(Atletas!M90="Fanziquan F",168,IF(Atletas!M90="Huaquan F",169,IF(Atletas!M90="Hongquan F",170,IF(Atletas!M90="Paoquan F",171,IF(Atletas!M90="Piguaquan F",172,IF(Atletas!M90="Shaolinquan F",173,IF(Atletas!M90="Tanglangquan F",174,IF(Atletas!M90="Yingzhaoquan F",175,IF(Atletas!M90="Tongbeiquan F",176,IF(Atletas!M90="Wudangquan F",177,IF(Atletas!M90="Outros Estilos F",178,0))))))))))))))))))))))))))))))))))))))))))</f>
        <v/>
      </c>
      <c r="BU99" s="50" t="str">
        <f>IF(Atletas!N90="","",IF(Atletas!X90&lt;&gt;"",10000,0)+(IF(Atletas!B90="Feminino",1000,IF(Atletas!B90="Masculino",2000,""))+(IF(Atletas!N90="Ditangquan A",201,IF(Atletas!N90="Houquan A",202,IF(Atletas!N90="Zuiquan A",203,IF(Atletas!N90="Ditangquan B",204,IF(Atletas!N90="Houquan B",205,IF(Atletas!N90="Zuiquan B",206,IF(Atletas!N90="Ditangquan C",207,IF(Atletas!N90="Houquan C",208,IF(Atletas!N90="Zuiquan C",209,IF(Atletas!N90="Ditangquan D",210,IF(Atletas!N90="Houquan D",211,IF(Atletas!N90="Zuiquan D",212,IF(Atletas!N90="Ditangquan E",213,IF(Atletas!N90="Houquan E",214,IF(Atletas!N90="Zuiquan E",215,IF(Atletas!N90="Ditangquan F",216,IF(Atletas!N90="Houquan F",217,IF(Atletas!N90="Zuiquan F",218,"")))))))))))))))))))))</f>
        <v/>
      </c>
      <c r="BV99" s="50" t="str">
        <f>IF(Atletas!O90="","",IF(Atletas!X90&lt;&gt;"",10000,0)+IF(Atletas!B90="Feminino",1000,IF(Atletas!B90="Masculino",2000,""))+IF(Atletas!O90="Yang A",301,IF(Atletas!O90="Chen A",302,IF(Atletas!O90="Sun A",303,IF(Atletas!O90="Wu A",304,IF(Atletas!O90="Wu-Hao A",305,IF(Atletas!O90="Outro Taijiquan A",306,IF(Atletas!O90="Yang B",307,IF(Atletas!O90="Chen B",308,IF(Atletas!O90="Sun B",309,IF(Atletas!O90="Wu B",310,IF(Atletas!O90="Wu-Hao B",311,IF(Atletas!O90="Outro Taijiquan B",312,IF(Atletas!O90="Yang C",313,IF(Atletas!O90="Chen C",314,IF(Atletas!O90="Sun C",315,IF(Atletas!O90="Wu C",316,IF(Atletas!O90="Wu-Hao C",317,IF(Atletas!O90="Outro Taijiquan C",318,IF(Atletas!O90="Yang D",319,IF(Atletas!O90="Chen D",320,IF(Atletas!O90="Sun D",321,IF(Atletas!O90="Wu D",322,IF(Atletas!O90="Wu-Hao D",323,IF(Atletas!O90="Outro Taijiquan D",324,IF(Atletas!O90="Yang E",325,IF(Atletas!O90="Chen E",326,IF(Atletas!O90="Sun E",327,IF(Atletas!O90="Wu E",328,IF(Atletas!O90="Wu-Hao E",329,IF(Atletas!O90="Outro Taijiquan E",330,IF(Atletas!O90="Yang F",331,IF(Atletas!O90="Chen F",332,IF(Atletas!O90="Sun F",333,IF(Atletas!O90="Wu F",334,IF(Atletas!O90="Wu-Hao F",335,IF(Atletas!O90="Outro Taijiquan F",336,"")))))))))))))))))))))))))))))))))))))</f>
        <v/>
      </c>
      <c r="BW99" s="50" t="str">
        <f>IF(Atletas!P90="","",IF(Atletas!X90&lt;&gt;"",10000,0)+IF(Atletas!B90="Feminino",1000,IF(Atletas!B90="Masculino",2000,""))+IF(OR(Atletas!P90="Yang 26 A",Atletas!P90="Yang 40 A"),401,IF(OR(Atletas!P90="Chen 25 A",Atletas!P90="Chen 36 A",Atletas!P90="Chen 56 A"),402,IF(Atletas!P90="Sun 73 A",403,IF(Atletas!P90="Wu 45 A",404,IF(Atletas!P90="Wu-Hao 46 A",405,IF(OR(Atletas!P90="Taijiquan 16 A",Atletas!P90="Taijiquan 24 A",Atletas!P90="Taijiquan 32 A",Atletas!P90="Taijiquan 42 A"),406,IF(OR(Atletas!P90="Yang 26 B",Atletas!P90="Yang 40 B"),407,IF(OR(Atletas!P90="Chen 25 B",Atletas!P90="Chen 36 B",Atletas!P90="Chen 56 B"),408,IF(Atletas!P90="Sun 73 B",409,IF(Atletas!P90="Wu 45 B",410,IF(Atletas!P90="Wu-Hao 46 B",411,IF(OR(Atletas!P90="Taijiquan 16 B",Atletas!P90="Taijiquan 24 B",Atletas!P90="Taijiquan 32 B",Atletas!P90="Taijiquan 42 B"),412,IF(OR(Atletas!P90="Yang 26 C",Atletas!P90="Yang 40 C"),413,IF(OR(Atletas!P90="Chen 25 C",Atletas!P90="Chen 36 C",Atletas!P90="Chen 56 C"),414,IF(Atletas!P90="Sun 73 C",415,IF(Atletas!P90="Wu 45 C",416,IF(Atletas!P90="Wu-Hao 46 C",417,IF(OR(Atletas!P90="Taijiquan 16 C",Atletas!P90="Taijiquan 24 C",Atletas!P90="Taijiquan 32 C",Atletas!P90="Taijiquan 42 C"),418,0)))))))))))))))))))</f>
        <v/>
      </c>
      <c r="BX99" s="50" t="str">
        <f>IF(Atletas!P90="","",IF(Atletas!X90&lt;&gt;"",10000,0)+IF(Atletas!B90="Feminino",1000,IF(Atletas!B90="Masculino",2000,""))+IF(OR(Atletas!P90="Yang 26 D",Atletas!P90="Yang 40 D"),419,IF(OR(Atletas!P90="Chen 25 D",Atletas!P90="Chen 36 D",Atletas!P90="Chen 56 D"),420,IF(Atletas!P90="Sun 73 D",421,IF(Atletas!P90="Wu 45 D",422,IF(Atletas!P90="Wu-Hao 46 D",423,IF(OR(Atletas!P90="Taijiquan 16 D",Atletas!P90="Taijiquan 24 D",Atletas!P90="Taijiquan 32 D",Atletas!P90="Taijiquan 42 D"),424,IF(OR(Atletas!P90="Yang 26 E",Atletas!P90="Yang 40 E"),425,IF(OR(Atletas!P90="Chen 25 E",Atletas!P90="Chen 36 E",Atletas!P90="Chen 56 E"),426,IF(Atletas!P90="Sun 73 E",427,IF(Atletas!P90="Wu 45 E",428,IF(Atletas!P90="Wu-Hao 46 E",429,IF(OR(Atletas!P90="Taijiquan 16 E",Atletas!P90="Taijiquan 24 E",Atletas!P90="Taijiquan 32 E",Atletas!P90="Taijiquan 42 E"),430,IF(OR(Atletas!P90="Yang 26 F",Atletas!P90="Yang 40 F"),431,IF(OR(Atletas!P90="Chen 25 F",Atletas!P90="Chen 36 F",Atletas!P90="Chen 56 F"),432,IF(Atletas!P90="Sun 73 F",433,IF(Atletas!P90="Wu 45 F",434,IF(Atletas!P90="Wu-Hao 46 F",435,IF(OR(Atletas!P90="Taijiquan 16 F",Atletas!P90="Taijiquan 24 F",Atletas!P90="Taijiquan 32 F",Atletas!P90="Taijiquan 42 F"),436,0)))))))))))))))))))</f>
        <v/>
      </c>
      <c r="BY99" s="50" t="str">
        <f>IF(Atletas!Q90="","",IF(Atletas!X90&lt;&gt;"",10000,0)+IF(Atletas!B90="Feminino",1000,IF(Atletas!B90="Masculino",2000,""))+IF(Atletas!Q90="Xingyiquan A",501,IF(Atletas!Q90="Baguazhang A",502,IF(Atletas!Q90="Outro Estilo Interno A",503,IF(Atletas!Q90="Xingyiquan B",504,IF(Atletas!Q90="Baguazhang B",505,IF(Atletas!Q90="Outro Estilo Interno B",506,IF(Atletas!Q90="Xingyiquan C",507,IF(Atletas!Q90="Baguazhang C",508,IF(Atletas!Q90="Outro Estilo Interno C",509,IF(Atletas!Q90="Xingyiquan D",510,IF(Atletas!Q90="Baguazhang D",511,IF(Atletas!Q90="Outro Estilo Interno D",512,IF(Atletas!Q90="Xingyiquan E",513,IF(Atletas!Q90="Baguazhang E",514,IF(Atletas!Q90="Outro Estilo Interno E",515,IF(Atletas!Q90="Xingyiquan F",516,IF(Atletas!Q90="Baguazhang F",517,IF(Atletas!Q90="Outro Estilo Interno F",518, "")))))))))))))))))))</f>
        <v/>
      </c>
      <c r="BZ99" s="50" t="str">
        <f>IF(Atletas!R90="","",IF(Atletas!X90&lt;&gt;"",10000,0)+IF(Atletas!B90="Feminino",1000,IF(Atletas!B90="Masculino",2000,""))+IF(Atletas!R90="Dao A",601,IF(Atletas!R90="Jian A",602,IF(Atletas!R90="Bishou A",603,IF(Atletas!R90="Shanzi A",604,IF(Atletas!R90="Outra Arma Curta A",605,IF(Atletas!R90="Dao B",606,IF(Atletas!R90="Jian B",607,IF(Atletas!R90="Bishou B",608,IF(Atletas!R90="Shanzi B",609,IF(Atletas!R90="Outra Arma Curta B",610,IF(Atletas!R90="Dao C",611,IF(Atletas!R90="Jian C",612,IF(Atletas!R90="Bishou C",613,IF(Atletas!R90="Shanzi C",614,IF(Atletas!R90="Outra Arma Curta C",615,IF(Atletas!R90="Dao D",616,IF(Atletas!R90="Jian D",617,IF(Atletas!R90="Bishou D",618,IF(Atletas!R90="Shanzi D",619,IF(Atletas!R90="Outra Arma Curta D",620,IF(Atletas!R90="Dao E",621,IF(Atletas!R90="Jian E",622,IF(Atletas!R90="Bishou E",623,IF(Atletas!R90="Shanzi E",624,IF(Atletas!R90="Outra Arma Curta E",625,IF(Atletas!R90="Dao F",626,IF(Atletas!R90="Jian F",627,IF(Atletas!R90="Bishou F",628,IF(Atletas!R90="Shanzi F",629,IF(Atletas!R90="Outra Arma Curta F",630, "")))))))))))))))))))))))))))))))</f>
        <v/>
      </c>
      <c r="CA99" s="50" t="str">
        <f>IF(Atletas!S90="","",IF(Atletas!X90&lt;&gt;"",10000,0)+IF(Atletas!B90="Feminino",1000,IF(Atletas!B90="Masculino",2000,""))+IF(Atletas!S90="Gun A",701,IF(Atletas!S90="Qiang A",702,IF(Atletas!S90="Pudao / Guandao A",703,IF(Atletas!S90="Outra Arma Longa A",704,IF(Atletas!S90="Gun B",705,IF(Atletas!S90="Qiang B",706,IF(Atletas!S90="Pudao / Guandao B",707,IF(Atletas!S90="Outra Arma Longa B",708,IF(Atletas!S90="Gun C",709,IF(Atletas!S90="Qiang C",710,IF(Atletas!S90="Pudao / Guandao C",711,IF(Atletas!S90="Outra Arma Longa C",712,IF(Atletas!S90="Gun D",713,IF(Atletas!S90="Qiang D",714,IF(Atletas!S90="Pudao / Guandao D",715,IF(Atletas!S90="Outra Arma Longa D",716,IF(Atletas!S90="Gun E",717,IF(Atletas!S90="Qiang E",718,IF(Atletas!S90="Pudao / Guandao E",719,IF(Atletas!S90="Outra Arma Longa E",720,IF(Atletas!S90="Gun F",721,IF(Atletas!S90="Qiang F",722,IF(Atletas!S90="Pudao / Guandao F",723,IF(Atletas!S90="Outra Arma Longa F",724,"")))))))))))))))))))))))))</f>
        <v/>
      </c>
      <c r="CB99" s="50" t="str">
        <f>IF(Atletas!T90="","",IF(Atletas!X90&lt;&gt;"",10000,0)+IF(Atletas!B90="Feminino",1000,IF(Atletas!B90="Masculino",2000,""))+IF(Atletas!T90="Outra Arma Dupla A",801,IF(Atletas!T90="Arma Maleável A",802,IF(Atletas!T90="Outra Arma Dupla B",803,IF(Atletas!T90="Arma Maleável B",804,IF(Atletas!T90="Outra Arma Dupla C",805,IF(Atletas!T90="Arma Maleável C",806,IF(Atletas!T90="Outra Arma Dupla D",807,IF(Atletas!T90="Arma Maleável D",808,IF(Atletas!T90="Outra Arma Dupla E",809,IF(Atletas!T90="Arma Maleável E",810,IF(Atletas!T90="Outra Arma Dupla F",811,IF(Atletas!T90="Arma Maleável F",812,IF(Atletas!T90="Shuangdao A",813,IF(Atletas!T90="Shuangdao B",814,IF(Atletas!T90="Shuangdao C",815,IF(Atletas!T90="Shuangdao D",816,IF(Atletas!T90="Shuangdao E",817,IF(Atletas!T90="Shuangdao F",818,"")))))))))))))))))))</f>
        <v/>
      </c>
      <c r="CC99" s="50" t="str">
        <f>IF(Atletas!U90="","",IF(Atletas!X90&lt;&gt;"",10000,0)+IF(Atletas!B90="Feminino",1000,IF(Atletas!B90="Masculino",2000,""))+IF(OR(Atletas!U90="Taijijian Yang A",Atletas!U90="Taijijian Yang Standard A"),901,IF(OR(Atletas!U90="Taijijian Chen A", Atletas!U90="Taijijian Chen Standard A"),902,IF(Atletas!U90="Taijijian Sun A",903,IF(Atletas!U90="Taijijian Wu A",904,IF(Atletas!U90="Taijijian Wu-Hao A",905,IF(OR(Atletas!U90="Taijijian 32 A",Atletas!U90="Taijijian 42 A"),906,IF(OR(Atletas!U90="Taijijian Yang B",Atletas!U90="Taijijian Yang Standard B"),907,IF(OR(Atletas!U90="Taijijian Chen B", Atletas!U90="Taijijian Chen Standard B"),908,IF(Atletas!U90="Taijijian Sun B",909,IF(Atletas!U90="Taijijian Wu B",910,IF(Atletas!U90="Taijijian Wu-Hao B",911,IF(OR(Atletas!U90="Taijijian 32 B",Atletas!U90="Taijijian 42 B"),912,IF(OR(Atletas!U90="Taijijian Yang C",Atletas!U90="Taijijian Yang Standard C"),913,IF(OR(Atletas!U90="Taijijian Chen C", Atletas!U90="Taijijian Chen Standard C"),914,IF(Atletas!U90="Taijijian Sun C",915,IF(Atletas!U90="Taijijian Wu C",916,IF(Atletas!U90="Taijijian Wu-Hao C",917,IF(OR(Atletas!U90="Taijijian 32 C",Atletas!U90="Taijijian 42 C"),918,IF(OR(Atletas!U90="Taijijian Yang D",Atletas!U90="Taijijian Yang Standard D"),919,IF(OR(Atletas!U90="Taijijian Chen D", Atletas!U90="Taijijian Chen Standard D"),920,IF(Atletas!U90="Taijijian Sun D",921,IF(Atletas!U90="Taijijian Wu D",922,IF(Atletas!U90="Taijijian Wu-Hao D",923,IF(OR(Atletas!U90="Taijijian 32 D",Atletas!U90="Taijijian 42 D"),924,IF(OR(Atletas!U90="Taijijian Yang E",Atletas!U90="Taijijian Yang Standard E"),925,IF(OR(Atletas!U90="Taijijian Chen E", Atletas!U90="Taijijian Chen Standard E"),926,IF(Atletas!U90="Taijijian Sun E",927,IF(Atletas!U90="Taijijian Wu E",928,IF(Atletas!U90="Taijijian Wu-Hao E",929,IF(OR(Atletas!U90="Taijijian 32 E",Atletas!U90="Taijijian 42 E"),930,IF(OR(Atletas!U90="Taijijian Yang F",Atletas!U90="Taijijian Yang Standard F"),931,IF(OR(Atletas!U90="Taijijian Chen F", Atletas!U90="Taijijian Chen Standard F"),932,IF(Atletas!U90="Taijijian Sun F",933,IF(Atletas!U90="Taijijian Wu F",934,IF(Atletas!U90="Taijijian Wu-Hao F",935,IF(OR(Atletas!U90="Taijijian 32 F",Atletas!U90="Taijijian 42 F"),936,"")))))))))))))))))))))))))))))))))))))</f>
        <v/>
      </c>
      <c r="CD99" s="50" t="str">
        <f>IF(Atletas!V90="","",IF(Atletas!X90&lt;&gt;"",10000,0)+IF(Atletas!B90="Feminino",1000,IF(Atletas!B90="Masculino",2000,""))+IF(Atletas!V90="Taijidao A",937,IF(Atletas!V90="TaijiShanzi A",938,IF(Atletas!V90="Taijiqiang A",939,IF(Atletas!V90="Bagua de Arma A",940,IF(Atletas!V90="Xingyi de Arma A",941,IF(Atletas!V90="Taijidao B",942,IF(Atletas!V90="TaijiShanzi B",943,IF(Atletas!V90="Taijiqiang B",944,IF(Atletas!V90="Bagua de Arma B",945,IF(Atletas!V90="Xingyi de Arma B",946,IF(Atletas!V90="Taijidao C",947,IF(Atletas!V90="TaijiShanzi C",948,IF(Atletas!V90="Taijiqiang C",949,IF(Atletas!V90="Bagua de Arma C",950,IF(Atletas!V90="Xingyi de Arma C",951,IF(Atletas!V90="Taijidao D",952,IF(Atletas!V90="TaijiShanzi D",953,IF(Atletas!V90="Taijiqiang D",954,IF(Atletas!V90="Bagua de Arma D",955,IF(Atletas!V90="Xingyi de Arma D",956,IF(Atletas!V90="Taijidao E",957,IF(Atletas!V90="TaijiShanzi E",958,IF(Atletas!V90="Taijiqiang E",959,IF(Atletas!V90="Bagua de Arma E",960,IF(Atletas!V90="Xingyi de Arma E",961,IF(Atletas!V90="Taijidao F",962,IF(Atletas!V90="TaijiShanzi F",963,IF(Atletas!V90="Taijiqiang F",964,IF(Atletas!V90="Bagua de Arma F",965,IF(Atletas!V90="Xingyi de Arma F",966,"")))))))))))))))))))))))))))))))</f>
        <v/>
      </c>
      <c r="CE99" s="66" t="str">
        <f>IF(CF99&lt;&gt;"","Hongquan E","")</f>
        <v/>
      </c>
      <c r="CF99" s="66" t="str">
        <f>IF(COUNTIF(BR:CD,1157)&gt;0,COUNTIF(BR:CD,1157),"")</f>
        <v/>
      </c>
      <c r="CG99" s="66" t="str">
        <f>IF(CH99&lt;&gt;"","Hongquan E","")</f>
        <v/>
      </c>
      <c r="CH99" s="66" t="str">
        <f>IF(COUNTIF(BR:CD,2157)&gt;0,COUNTIF(BR:CD,2157),"")</f>
        <v/>
      </c>
      <c r="CI99" s="66" t="str">
        <f>IF(CJ99&lt;&gt;"","Tongbeiquan E","")</f>
        <v/>
      </c>
      <c r="CJ99" s="66" t="str">
        <f>IF(COUNTIF(BR:CD,11163)&gt;0,COUNTIF(BR:CD,11163),"")</f>
        <v/>
      </c>
      <c r="CK99" s="66" t="str">
        <f>IF(CL99&lt;&gt;"","Tongbeiquan E","")</f>
        <v/>
      </c>
      <c r="CL99" s="66" t="str">
        <f>IF(COUNTIF(BR:CD,12163)&gt;0,COUNTIF(BR:CD,12163),"")</f>
        <v/>
      </c>
      <c r="CM99" s="50" t="str">
        <f xml:space="preserve"> IF(Atletas!W90="","",IF(Atletas!W90="Duilian de Mãos BC - Equipe 1",1,IF(Atletas!W90="Duilian de Mãos BC - Equipe 2",2,IF(Atletas!W90="Duilian de Armas BC - Equipe 1",3,IF(Atletas!W90="Duilian de Armas BC - Equipe 2",4,IF(Atletas!W90="Duilian de Mãos DE - Equipe 1",5,IF(Atletas!W90="Duilian de Mãos DE - Equipe 2",6,IF(Atletas!W90="Duilian de Armas DE - Equipe 1",7,IF(Atletas!W90="Duilian de Armas DE - Equipe 2",8,IF(Atletas!W90="Duilian de Tuishou - Equipe 1",9,IF(Atletas!W90="Duilian de Tuishou - Equipe 2",10,IF(Atletas!W90="Grupo Externo ABC - Equipe 1",11,IF(Atletas!W90="Grupo Externo ABC - Equipe 2",12,IF(Atletas!W90="Grupo Interno ABC - Equipe 1",13,IF(Atletas!W90="Grupo Interno ABC - Equipe 2",14,IF(Atletas!W90="Grupo Externo DEF - Equipe 1",15,IF(Atletas!W90="Grupo Externo DEF - Equipe 2",16,IF(Atletas!W90="Grupo Interno DEF - Equipe 1",17,IF(Atletas!W90="Grupo Interno DEF - Equipe 2",18,"")))))))))))))))))))</f>
        <v/>
      </c>
    </row>
    <row r="100" spans="2:91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 t="str">
        <f t="array" ref="Z100">IFERROR(INDEX(CE$7:CE$348,SMALL(IF(CE$7:CE$348&lt;&gt;"",ROW(CE$7:CE$348)-ROW(CE$7)+1),ROWS(CE$7:CE99))),"")</f>
        <v/>
      </c>
      <c r="AA100" s="3" t="str">
        <f t="array" ref="AA100">IFERROR(INDEX(CF$7:CF$348,SMALL(IF(CF$7:CF$348&lt;&gt;"",ROW(CF$7:CF$348)-ROW(CF$7)+1),ROWS(CF$7:CF99))),"")</f>
        <v/>
      </c>
      <c r="AB100" s="3" t="str">
        <f t="array" ref="AB100">IFERROR(INDEX(CG$7:CG$348,SMALL(IF(CG$7:CG$348&lt;&gt;"",ROW(CG$7:CG$348)-ROW(CG$7)+1),ROWS(CG$7:CG99))),"")</f>
        <v/>
      </c>
      <c r="AC100" s="3" t="str">
        <f t="array" ref="AC100">IFERROR(INDEX(CH$7:CH$348,SMALL(IF(CH$7:CH$348&lt;&gt;"",ROW(CH$7:CH$348)-ROW(CH$7)+1),ROWS(CH$7:CH99))),"")</f>
        <v/>
      </c>
      <c r="AD100" s="3" t="str">
        <f t="array" ref="AD100">IFERROR(INDEX(CI$7:CI$377,SMALL(IF(CI$7:CI$377&lt;&gt;"",ROW(CI$7:CI$377)-ROW(CI$7)+1),ROWS(CI$7:CI99))),"")</f>
        <v/>
      </c>
      <c r="AE100" s="3" t="str">
        <f t="array" ref="AE100">IFERROR(INDEX(CJ$7:CJ$378,SMALL(IF(CJ$7:CJ$378&lt;&gt;"",ROW(CJ$7:CJ$378)-ROW(CJ$7)+1),ROWS(CJ$7:CJ99))),"")</f>
        <v/>
      </c>
      <c r="AF100" s="3" t="str">
        <f t="array" ref="AF100">IFERROR(INDEX(CK$7:CK$378,SMALL(IF(CK$7:CK$378&lt;&gt;"",ROW(CK$7:CK$378)-ROW(CK$7)+1),ROWS(CK$7:CK99))),"")</f>
        <v/>
      </c>
      <c r="AG100" s="3" t="str">
        <f t="array" ref="AG100">IFERROR(INDEX(CL$7:CL$378,SMALL(IF(CL$7:CL$378&lt;&gt;"",ROW(CL$7:CL$378)-ROW(CL$7)+1),ROWS(CL$7:CL99))),"")</f>
        <v/>
      </c>
      <c r="AH100" s="3"/>
      <c r="AI100" s="3"/>
      <c r="AJ100" s="3"/>
      <c r="AK100" s="3"/>
      <c r="AL100" s="3"/>
      <c r="AM100" s="3"/>
      <c r="AN100" s="52" t="str">
        <f>IF(Atletas!D91="","",IF(Atletas!B91="Feminino",100,IF(Atletas!B91="Masculino",200,""))+(IF(Atletas!D91="Kids 30kg",1,IF(Atletas!D91="Kids 32kg",2, IF(Atletas!D91="Kids 34kg",3,IF(Atletas!D91="Kids 36kg",4,IF(Atletas!D91="Kids 39kg",5,IF(Atletas!D91="Kids 42kg",6,IF(Atletas!D91="Kids 45kg",7, IF(Atletas!D91="Infantil 39kg",8,IF(Atletas!D91="Infantil 42kg",9,IF(Atletas!D91="Infantil 45kg",10,IF(Atletas!D91="Infantil 48kg",11,IF(Atletas!D91="Infantil 52kg",12,IF(Atletas!D91="Infantil 56kg",13,IF(Atletas!D91="Infantil 60kg",14,IF(Atletas!D91="Juvenil 48kg",15,IF(Atletas!D91="Juvenil 52kg",16,IF(Atletas!D91="Juvenil 56kg",17,IF(Atletas!D91="Juvenil 60kg",18,IF(Atletas!D91="Juvenil 65kg",19,IF(Atletas!D91="Juvenil 70kg",20,IF(Atletas!D91="Juvenil 75kg",21,IF(Atletas!D91="Juvenil 80kg",22, IF(Atletas!D91="Juvenil 85kg",23,IF(Atletas!D91="Adulto 48kg",24,IF(Atletas!D91="Adulto 52kg",25,IF(Atletas!D91="Adulto 56kg",26,IF(Atletas!D91="Adulto 60kg",27,IF(Atletas!D91="Adulto 65kg",28,IF(Atletas!D91="Adulto 70kg",29,IF(Atletas!D91="Adulto 75kg",30,IF(Atletas!D91="Adulto 80kg",31,IF(Atletas!D91="Adulto 85kg",32,IF(Atletas!D91="Adulto 90kg",33,IF(Atletas!D91="Adulto 100kg",34, IF(Atletas!D91="Adulto +100kg",35,"")))))))))))))))))))))))))))))))))))))</f>
        <v/>
      </c>
      <c r="AS100" s="6" t="str">
        <f>IF(Atletas!E91="","",IF(Atletas!B91="Feminino",100,IF(Atletas!B91="Masculino",200,""))+(IF(Atletas!E91="Juvenil 44kg",1,IF(Atletas!E91="Juvenil 48kg",2,IF(Atletas!E91="Juvenil 52kg",3,IF(Atletas!E91="Juvenil 56kg",4,IF(Atletas!E91="Juvenil 60kg",5,IF(Atletas!E91="Juvenil 65kg",6,IF(Atletas!E91="Juvenil 70kg",7,IF(Atletas!E91="Juvenil 75kg",8,IF(Atletas!E91="Juvenil 82kg",9,IF(Atletas!E91="Juvenil 90kg",10,IF(Atletas!E91="Juvenil 100kg",11,IF(Atletas!E91="Adulto 48kg",12,IF(Atletas!E91="Adulto 52kg",13,IF(Atletas!E91="Adulto 56kg",14,IF(Atletas!E91="Adulto 60kg",15,IF(Atletas!E91="Adulto 65kg",16,IF(Atletas!E91="Adulto 70kg",17,IF(Atletas!E91="Adulto 75kg",18,IF(Atletas!E91="Adulto 82kg",19,IF(Atletas!E91="Adulto 90kg",20,IF(Atletas!E91="Adulto 100kg",21,IF(Atletas!E91="Adulto +100kg",22,""))))))))))))))))))))))))</f>
        <v/>
      </c>
      <c r="AX100" s="6" t="str">
        <f>IF(Atletas!F91="","",IF(Atletas!B91="Feminino",100,IF(Atletas!B91="Masculino",200,""))+(IF(Atletas!F91="Adulto 48kg",1,IF(Atletas!F91="Adulto 56kg",2,IF(Atletas!F91="Adulto 65kg",3,IF(Atletas!F91="Adulto 75kg",4,IF(Atletas!F91="Adulto +75kg",5,IF(Atletas!F91="Adulto 52kg",6,IF(Atletas!F91="Adulto 60kg",7,IF(Atletas!F91="Adulto 70kg",8,IF(Atletas!F91="Adulto 80kg",9,IF(Atletas!F91="Adulto 90kg",10,IF(Atletas!F91="Adulto +90kg",11,"")))))))))))))</f>
        <v/>
      </c>
      <c r="BC100" s="6" t="str">
        <f>IF(Atletas!G91="","",IF(Atletas!B91="Feminino",10,IF(Atletas!B91="Masculino",20,""))+(IF(Atletas!G91="Baduanjin A",1,IF(Atletas!G91="Baduanjin B",2))))</f>
        <v/>
      </c>
      <c r="BF100" s="52" t="str">
        <f>IF(Atletas!H91="","",IF(Atletas!B91="Feminino",100,IF(Atletas!B91="Masculino",200,""))+(IF(Atletas!H91="Changquan Mirim",1,IF(Atletas!H91="Nanquan Mirim",2,IF(Atletas!H91="Taijiquan Mirim",3,IF(Atletas!H91="Changquan Grupo C",4,IF(Atletas!H91="Nanquan Grupo C",5,IF(Atletas!H91="Taijiquan Grupo C",6,IF(Atletas!H91="Changquan Grupo B",7,IF(Atletas!H91="Nanquan Grupo B",8,IF(Atletas!H91="Taijiquan Grupo B",9,IF(Atletas!H91="Changquan Grupo A",10,IF(Atletas!H91="Nanquan Grupo A",11,IF(Atletas!H91="Taijiquan Grupo A",12,IF(Atletas!H91="Changquan Opcional",13,IF(Atletas!H91="Nanquan Opcional",14,IF(Atletas!H91="Taijiquan Opcional",15,IF(Atletas!H91="Changquan Adulto",16,IF(Atletas!H91="Nanquan Adulto",17,IF(Atletas!H91="Taijiquan Adulto",18,""))))))))))))))))))))</f>
        <v/>
      </c>
      <c r="BG100" s="52" t="str">
        <f>IF(Atletas!I91="","",IF(Atletas!B91="Feminino",100,IF(Atletas!B91="Masculino",200,""))+(IF(Atletas!I91="Daoshu Mirim",19,IF(Atletas!I91="Jianshu Mirim",20,IF(Atletas!I91="Nandao Mirim",21,IF(Atletas!I91="Taijijian Mirim",22,IF(Atletas!I91="Daoshu Grupo C",23,IF(Atletas!I91="Jianshu Grupo C",24,IF(Atletas!I91="Nandao Grupo C",25,IF(Atletas!I91="Taijijian Grupo C",26,IF(Atletas!I91="Daoshu Grupo B",27,IF(Atletas!I91="Jianshu Grupo B",28,IF(Atletas!I91="Nandao Grupo B",29,IF(Atletas!I91="Taijijian Grupo B",30,IF(Atletas!I91="Daoshu Grupo A",31,IF(Atletas!I91="Jianshu Grupo A",32,IF(Atletas!I91="Nandao Grupo A",33,IF(Atletas!I91="Taijijian Grupo A",34,IF(Atletas!I91="Daoshu Opcional",35,IF(Atletas!I91="Jianshu Opcional",36,IF(Atletas!I91="Nandao Opcional",37,IF(Atletas!I91="Taijijian Opcional",38,IF(Atletas!I91="Daoshu Adulto",39,IF(Atletas!I91="Jianshu Adulto",40,IF(Atletas!I91="Nandao Adulto",41,IF(Atletas!I91="Taijijian Adulto",42,""))))))))))))))))))))))))))</f>
        <v/>
      </c>
      <c r="BH100" s="52" t="str">
        <f>IF(Atletas!J91="","",IF(Atletas!B91="Feminino",100,IF(Atletas!B91="Masculino",200,""))+(IF(Atletas!J91="Gunshu Mirim",43,IF(Atletas!J91="Qiangshu Mirim",44,IF(Atletas!J91="Nangun Mirim",45,IF(Atletas!J91="Gunshu Grupo C",46,IF(Atletas!J91="Qiangshu Grupo C",47,IF(Atletas!J91="Nangun Grupo C",48,IF(Atletas!J91="Gunshu Grupo B",49,IF(Atletas!J91="Qiangshu Grupo B",50,IF(Atletas!J91="Nangun Grupo B",51,IF(Atletas!J91="Gunshu Grupo A",52,IF(Atletas!J91="Qiangshu Grupo A",53,IF(Atletas!J91="Nangun Grupo A",54,IF(Atletas!J91="Gunshu Opcional",55,IF(Atletas!J91="Qiangshu Opcional",56,IF(Atletas!J91="Nangun Opcional",57,IF(Atletas!J91="Gunshu Adulto",58,IF(Atletas!J91="Qiangshu Adulto",59,IF(Atletas!J91="Nangun Adulto",60,IF(Atletas!J91="Taijishan Grupo B",61,IF(Atletas!J91="Taijishan Grupo A",62,""))))))))))))))))))))))</f>
        <v/>
      </c>
      <c r="BM100" s="50" t="str">
        <f>IF(Atletas!K91="","",IF(Atletas!B91="Feminino",100,IF(Atletas!B91="Masculino",200,""))+(IF(Atletas!K91="Equipe 1 Grupo B",1,IF(Atletas!K91="Equipe 2 Grupo B",2,IF(Atletas!K91="Equipe 1 Grupo A",3,IF(Atletas!K91="Equipe 2 Grupo A",4,IF(Atletas!K91="Equipe 1 Adulto",5,IF(Atletas!K91="Equipe 2 Adulto",6,""))))))))</f>
        <v/>
      </c>
      <c r="BR100" s="50" t="str">
        <f>IF(Atletas!L91="","",IF(Atletas!X91&lt;&gt;"",10000,0)+(IF(Atletas!B91="Feminino",1000,IF(Atletas!B91="Masculino",2000,""))+IF(Atletas!L91="Choylayfut A",1,IF(Atletas!L91="Hunggar A",2,IF(Atletas!L91="Wuzuquan A",3,IF(Atletas!L91="Wingchun A",4,IF(Atletas!L91="Outra Mão de Sul A",5,IF(Atletas!L91="Choylayfut B",6,IF(Atletas!L91="Hunggar B",7,IF(Atletas!L91="Wuzuquan B",8,IF(Atletas!L91="Wingchun B",9,IF(Atletas!L91="Outra Mão de Sul B",10,IF(Atletas!L91="Choylayfut C",11,IF(Atletas!L91="Hunggar C",12,IF(Atletas!L91="Wuzuquan C",13,IF(Atletas!L91="Wingchun C",14,IF(Atletas!L91="Outra Mão de Sul C",15,IF(Atletas!L91="Choylayfut D",16,IF(Atletas!L91="Hunggar D",17,IF(Atletas!L91="Wuzuquan D",18,IF(Atletas!L91="Wingchun D",19,IF(Atletas!L91="Outra Mão de Sul D",20,IF(Atletas!L91="Choylayfut E",21,IF(Atletas!L91="Hunggar E",22,IF(Atletas!L91="Wuzuquan E",23,IF(Atletas!L91="Wingchun E",24,IF(Atletas!L91="Outra Mão de Sul E",25,IF(Atletas!L91="Choylayfut F",26,IF(Atletas!L91="Hunggar F",27,IF(Atletas!L91="Wuzuquan F",28,IF(Atletas!L91="Wingchun F",29,IF(Atletas!L91="Outra Mão de Sul F",30,IF(Atletas!L91="Dishuquan A",31,IF(Atletas!L91="Dishuquan B",32,IF(Atletas!L91="Dishuquan C",33,IF(Atletas!L91="Dishuquan D",34,IF(Atletas!L91="Dishuquan E",35,IF(Atletas!L91="Dishuquan F",36,""))))))))))))))))))))))))))))))))))))))</f>
        <v/>
      </c>
      <c r="BS100" s="50" t="str">
        <f>IF(Atletas!M91="","",IF(Atletas!X91&lt;&gt;"",10000,0)+(IF(Atletas!B91="Feminino",1000,IF(Atletas!B91="Masculino",2000,""))+(IF(Atletas!M91="Chaquan A",101,IF(Atletas!M91="Emeiquan A",102,IF(Atletas!M91="Fanziquan A",103,IF(Atletas!M91="Huaquan A",104,IF(Atletas!M91="Hongquan A",105,IF(Atletas!M91="Paoquan A",106,IF(Atletas!M91="Piguaquan A",107,IF(Atletas!M91="Shaolinquan A",108,IF(Atletas!M91="Tanglangquan A",109,IF(Atletas!M91="Yingzhaoquan A",110,IF(Atletas!M91="Tongbeiquan A",111,IF(Atletas!M91="Wudangquan A",112,IF(Atletas!M91="Outros Estilos A",113,IF(Atletas!M91="Chaquan B",114,IF(Atletas!M91="Emeiquan B",115,IF(Atletas!M91="Fanziquan B",116,IF(Atletas!M91="Huaquan B",117,IF(Atletas!M91="Hongquan B",118,IF(Atletas!M91="Paoquan B",119,IF(Atletas!M91="Piguaquan B",120,IF(Atletas!M91="Shaolinquan B",121,IF(Atletas!M91="Tanglangquan B",122,IF(Atletas!M91="Yingzhaoquan B",123,IF(Atletas!M91="Tongbeiquan B",124,IF(Atletas!M91="Wudangquan B",125,IF(Atletas!M91="Outros Estilos B",126,IF(Atletas!M91="Chaquan C",127,IF(Atletas!M91="Emeiquan C",128,IF(Atletas!M91="Fanziquan C",129,IF(Atletas!M91="Huaquan C",130,IF(Atletas!M91="Hongquan C",131,IF(Atletas!M91="Paoquan C",132,IF(Atletas!M91="Piguaquan C",133,IF(Atletas!M91="Shaolinquan C",134,IF(Atletas!M91="Tanglangquan C",135,IF(Atletas!M91="Yingzhaoquan C",136,IF(Atletas!M91="Tongbeiquan C",137,IF(Atletas!M91="Wudangquan C",138,IF(Atletas!M91="Outros Estilos C",139,0))))))))))))))))))))))))))))))))))))))))))</f>
        <v/>
      </c>
      <c r="BT100" s="50" t="str">
        <f>IF(Atletas!M91="","",IF(Atletas!X91&lt;&gt;"",10000,0)+(IF(Atletas!B91="Feminino",1000,IF(Atletas!B91="Masculino",2000,""))+(IF(Atletas!M91="Chaquan D",140,IF(Atletas!M91="Emeiquan D",141,IF(Atletas!M91="Fanziquan D",142,IF(Atletas!M91="Huaquan D",143,IF(Atletas!M91="Hongquan D",144,IF(Atletas!M91="Paoquan D",145,IF(Atletas!M91="Piguaquan D",146,IF(Atletas!M91="Shaolinquan D",147,IF(Atletas!M91="Tanglangquan D",148,IF(Atletas!M91="Yingzhaoquan D",149,IF(Atletas!M91="Tongbeiquan D",150,IF(Atletas!M91="Wudangquan D",151,IF(Atletas!M91="Outros Estilos D",152,IF(Atletas!M91="Chaquan E",153,IF(Atletas!M91="Emeiquan E",154,IF(Atletas!M91="Fanziquan E",155,IF(Atletas!M91="Huaquan E",156,IF(Atletas!M91="Hongquan E",157,IF(Atletas!M91="Paoquan E",158,IF(Atletas!M91="Piguaquan E",159,IF(Atletas!M91="Shaolinquan E",160,IF(Atletas!M91="Tanglangquan E",161,IF(Atletas!M91="Yingzhaoquan E",162,IF(Atletas!M91="Tongbeiquan E",163,IF(Atletas!M91="Wudangquan E",164,IF(Atletas!M91="Outros Estilos E",165,IF(Atletas!M91="Chaquan F",166,IF(Atletas!M91="Emeiquan F",167,IF(Atletas!M91="Fanziquan F",168,IF(Atletas!M91="Huaquan F",169,IF(Atletas!M91="Hongquan F",170,IF(Atletas!M91="Paoquan F",171,IF(Atletas!M91="Piguaquan F",172,IF(Atletas!M91="Shaolinquan F",173,IF(Atletas!M91="Tanglangquan F",174,IF(Atletas!M91="Yingzhaoquan F",175,IF(Atletas!M91="Tongbeiquan F",176,IF(Atletas!M91="Wudangquan F",177,IF(Atletas!M91="Outros Estilos F",178,0))))))))))))))))))))))))))))))))))))))))))</f>
        <v/>
      </c>
      <c r="BU100" s="50" t="str">
        <f>IF(Atletas!N91="","",IF(Atletas!X91&lt;&gt;"",10000,0)+(IF(Atletas!B91="Feminino",1000,IF(Atletas!B91="Masculino",2000,""))+(IF(Atletas!N91="Ditangquan A",201,IF(Atletas!N91="Houquan A",202,IF(Atletas!N91="Zuiquan A",203,IF(Atletas!N91="Ditangquan B",204,IF(Atletas!N91="Houquan B",205,IF(Atletas!N91="Zuiquan B",206,IF(Atletas!N91="Ditangquan C",207,IF(Atletas!N91="Houquan C",208,IF(Atletas!N91="Zuiquan C",209,IF(Atletas!N91="Ditangquan D",210,IF(Atletas!N91="Houquan D",211,IF(Atletas!N91="Zuiquan D",212,IF(Atletas!N91="Ditangquan E",213,IF(Atletas!N91="Houquan E",214,IF(Atletas!N91="Zuiquan E",215,IF(Atletas!N91="Ditangquan F",216,IF(Atletas!N91="Houquan F",217,IF(Atletas!N91="Zuiquan F",218,"")))))))))))))))))))))</f>
        <v/>
      </c>
      <c r="BV100" s="50" t="str">
        <f>IF(Atletas!O91="","",IF(Atletas!X91&lt;&gt;"",10000,0)+IF(Atletas!B91="Feminino",1000,IF(Atletas!B91="Masculino",2000,""))+IF(Atletas!O91="Yang A",301,IF(Atletas!O91="Chen A",302,IF(Atletas!O91="Sun A",303,IF(Atletas!O91="Wu A",304,IF(Atletas!O91="Wu-Hao A",305,IF(Atletas!O91="Outro Taijiquan A",306,IF(Atletas!O91="Yang B",307,IF(Atletas!O91="Chen B",308,IF(Atletas!O91="Sun B",309,IF(Atletas!O91="Wu B",310,IF(Atletas!O91="Wu-Hao B",311,IF(Atletas!O91="Outro Taijiquan B",312,IF(Atletas!O91="Yang C",313,IF(Atletas!O91="Chen C",314,IF(Atletas!O91="Sun C",315,IF(Atletas!O91="Wu C",316,IF(Atletas!O91="Wu-Hao C",317,IF(Atletas!O91="Outro Taijiquan C",318,IF(Atletas!O91="Yang D",319,IF(Atletas!O91="Chen D",320,IF(Atletas!O91="Sun D",321,IF(Atletas!O91="Wu D",322,IF(Atletas!O91="Wu-Hao D",323,IF(Atletas!O91="Outro Taijiquan D",324,IF(Atletas!O91="Yang E",325,IF(Atletas!O91="Chen E",326,IF(Atletas!O91="Sun E",327,IF(Atletas!O91="Wu E",328,IF(Atletas!O91="Wu-Hao E",329,IF(Atletas!O91="Outro Taijiquan E",330,IF(Atletas!O91="Yang F",331,IF(Atletas!O91="Chen F",332,IF(Atletas!O91="Sun F",333,IF(Atletas!O91="Wu F",334,IF(Atletas!O91="Wu-Hao F",335,IF(Atletas!O91="Outro Taijiquan F",336,"")))))))))))))))))))))))))))))))))))))</f>
        <v/>
      </c>
      <c r="BW100" s="50" t="str">
        <f>IF(Atletas!P91="","",IF(Atletas!X91&lt;&gt;"",10000,0)+IF(Atletas!B91="Feminino",1000,IF(Atletas!B91="Masculino",2000,""))+IF(OR(Atletas!P91="Yang 26 A",Atletas!P91="Yang 40 A"),401,IF(OR(Atletas!P91="Chen 25 A",Atletas!P91="Chen 36 A",Atletas!P91="Chen 56 A"),402,IF(Atletas!P91="Sun 73 A",403,IF(Atletas!P91="Wu 45 A",404,IF(Atletas!P91="Wu-Hao 46 A",405,IF(OR(Atletas!P91="Taijiquan 16 A",Atletas!P91="Taijiquan 24 A",Atletas!P91="Taijiquan 32 A",Atletas!P91="Taijiquan 42 A"),406,IF(OR(Atletas!P91="Yang 26 B",Atletas!P91="Yang 40 B"),407,IF(OR(Atletas!P91="Chen 25 B",Atletas!P91="Chen 36 B",Atletas!P91="Chen 56 B"),408,IF(Atletas!P91="Sun 73 B",409,IF(Atletas!P91="Wu 45 B",410,IF(Atletas!P91="Wu-Hao 46 B",411,IF(OR(Atletas!P91="Taijiquan 16 B",Atletas!P91="Taijiquan 24 B",Atletas!P91="Taijiquan 32 B",Atletas!P91="Taijiquan 42 B"),412,IF(OR(Atletas!P91="Yang 26 C",Atletas!P91="Yang 40 C"),413,IF(OR(Atletas!P91="Chen 25 C",Atletas!P91="Chen 36 C",Atletas!P91="Chen 56 C"),414,IF(Atletas!P91="Sun 73 C",415,IF(Atletas!P91="Wu 45 C",416,IF(Atletas!P91="Wu-Hao 46 C",417,IF(OR(Atletas!P91="Taijiquan 16 C",Atletas!P91="Taijiquan 24 C",Atletas!P91="Taijiquan 32 C",Atletas!P91="Taijiquan 42 C"),418,0)))))))))))))))))))</f>
        <v/>
      </c>
      <c r="BX100" s="50" t="str">
        <f>IF(Atletas!P91="","",IF(Atletas!X91&lt;&gt;"",10000,0)+IF(Atletas!B91="Feminino",1000,IF(Atletas!B91="Masculino",2000,""))+IF(OR(Atletas!P91="Yang 26 D",Atletas!P91="Yang 40 D"),419,IF(OR(Atletas!P91="Chen 25 D",Atletas!P91="Chen 36 D",Atletas!P91="Chen 56 D"),420,IF(Atletas!P91="Sun 73 D",421,IF(Atletas!P91="Wu 45 D",422,IF(Atletas!P91="Wu-Hao 46 D",423,IF(OR(Atletas!P91="Taijiquan 16 D",Atletas!P91="Taijiquan 24 D",Atletas!P91="Taijiquan 32 D",Atletas!P91="Taijiquan 42 D"),424,IF(OR(Atletas!P91="Yang 26 E",Atletas!P91="Yang 40 E"),425,IF(OR(Atletas!P91="Chen 25 E",Atletas!P91="Chen 36 E",Atletas!P91="Chen 56 E"),426,IF(Atletas!P91="Sun 73 E",427,IF(Atletas!P91="Wu 45 E",428,IF(Atletas!P91="Wu-Hao 46 E",429,IF(OR(Atletas!P91="Taijiquan 16 E",Atletas!P91="Taijiquan 24 E",Atletas!P91="Taijiquan 32 E",Atletas!P91="Taijiquan 42 E"),430,IF(OR(Atletas!P91="Yang 26 F",Atletas!P91="Yang 40 F"),431,IF(OR(Atletas!P91="Chen 25 F",Atletas!P91="Chen 36 F",Atletas!P91="Chen 56 F"),432,IF(Atletas!P91="Sun 73 F",433,IF(Atletas!P91="Wu 45 F",434,IF(Atletas!P91="Wu-Hao 46 F",435,IF(OR(Atletas!P91="Taijiquan 16 F",Atletas!P91="Taijiquan 24 F",Atletas!P91="Taijiquan 32 F",Atletas!P91="Taijiquan 42 F"),436,0)))))))))))))))))))</f>
        <v/>
      </c>
      <c r="BY100" s="50" t="str">
        <f>IF(Atletas!Q91="","",IF(Atletas!X91&lt;&gt;"",10000,0)+IF(Atletas!B91="Feminino",1000,IF(Atletas!B91="Masculino",2000,""))+IF(Atletas!Q91="Xingyiquan A",501,IF(Atletas!Q91="Baguazhang A",502,IF(Atletas!Q91="Outro Estilo Interno A",503,IF(Atletas!Q91="Xingyiquan B",504,IF(Atletas!Q91="Baguazhang B",505,IF(Atletas!Q91="Outro Estilo Interno B",506,IF(Atletas!Q91="Xingyiquan C",507,IF(Atletas!Q91="Baguazhang C",508,IF(Atletas!Q91="Outro Estilo Interno C",509,IF(Atletas!Q91="Xingyiquan D",510,IF(Atletas!Q91="Baguazhang D",511,IF(Atletas!Q91="Outro Estilo Interno D",512,IF(Atletas!Q91="Xingyiquan E",513,IF(Atletas!Q91="Baguazhang E",514,IF(Atletas!Q91="Outro Estilo Interno E",515,IF(Atletas!Q91="Xingyiquan F",516,IF(Atletas!Q91="Baguazhang F",517,IF(Atletas!Q91="Outro Estilo Interno F",518, "")))))))))))))))))))</f>
        <v/>
      </c>
      <c r="BZ100" s="50" t="str">
        <f>IF(Atletas!R91="","",IF(Atletas!X91&lt;&gt;"",10000,0)+IF(Atletas!B91="Feminino",1000,IF(Atletas!B91="Masculino",2000,""))+IF(Atletas!R91="Dao A",601,IF(Atletas!R91="Jian A",602,IF(Atletas!R91="Bishou A",603,IF(Atletas!R91="Shanzi A",604,IF(Atletas!R91="Outra Arma Curta A",605,IF(Atletas!R91="Dao B",606,IF(Atletas!R91="Jian B",607,IF(Atletas!R91="Bishou B",608,IF(Atletas!R91="Shanzi B",609,IF(Atletas!R91="Outra Arma Curta B",610,IF(Atletas!R91="Dao C",611,IF(Atletas!R91="Jian C",612,IF(Atletas!R91="Bishou C",613,IF(Atletas!R91="Shanzi C",614,IF(Atletas!R91="Outra Arma Curta C",615,IF(Atletas!R91="Dao D",616,IF(Atletas!R91="Jian D",617,IF(Atletas!R91="Bishou D",618,IF(Atletas!R91="Shanzi D",619,IF(Atletas!R91="Outra Arma Curta D",620,IF(Atletas!R91="Dao E",621,IF(Atletas!R91="Jian E",622,IF(Atletas!R91="Bishou E",623,IF(Atletas!R91="Shanzi E",624,IF(Atletas!R91="Outra Arma Curta E",625,IF(Atletas!R91="Dao F",626,IF(Atletas!R91="Jian F",627,IF(Atletas!R91="Bishou F",628,IF(Atletas!R91="Shanzi F",629,IF(Atletas!R91="Outra Arma Curta F",630, "")))))))))))))))))))))))))))))))</f>
        <v/>
      </c>
      <c r="CA100" s="50" t="str">
        <f>IF(Atletas!S91="","",IF(Atletas!X91&lt;&gt;"",10000,0)+IF(Atletas!B91="Feminino",1000,IF(Atletas!B91="Masculino",2000,""))+IF(Atletas!S91="Gun A",701,IF(Atletas!S91="Qiang A",702,IF(Atletas!S91="Pudao / Guandao A",703,IF(Atletas!S91="Outra Arma Longa A",704,IF(Atletas!S91="Gun B",705,IF(Atletas!S91="Qiang B",706,IF(Atletas!S91="Pudao / Guandao B",707,IF(Atletas!S91="Outra Arma Longa B",708,IF(Atletas!S91="Gun C",709,IF(Atletas!S91="Qiang C",710,IF(Atletas!S91="Pudao / Guandao C",711,IF(Atletas!S91="Outra Arma Longa C",712,IF(Atletas!S91="Gun D",713,IF(Atletas!S91="Qiang D",714,IF(Atletas!S91="Pudao / Guandao D",715,IF(Atletas!S91="Outra Arma Longa D",716,IF(Atletas!S91="Gun E",717,IF(Atletas!S91="Qiang E",718,IF(Atletas!S91="Pudao / Guandao E",719,IF(Atletas!S91="Outra Arma Longa E",720,IF(Atletas!S91="Gun F",721,IF(Atletas!S91="Qiang F",722,IF(Atletas!S91="Pudao / Guandao F",723,IF(Atletas!S91="Outra Arma Longa F",724,"")))))))))))))))))))))))))</f>
        <v/>
      </c>
      <c r="CB100" s="50" t="str">
        <f>IF(Atletas!T91="","",IF(Atletas!X91&lt;&gt;"",10000,0)+IF(Atletas!B91="Feminino",1000,IF(Atletas!B91="Masculino",2000,""))+IF(Atletas!T91="Outra Arma Dupla A",801,IF(Atletas!T91="Arma Maleável A",802,IF(Atletas!T91="Outra Arma Dupla B",803,IF(Atletas!T91="Arma Maleável B",804,IF(Atletas!T91="Outra Arma Dupla C",805,IF(Atletas!T91="Arma Maleável C",806,IF(Atletas!T91="Outra Arma Dupla D",807,IF(Atletas!T91="Arma Maleável D",808,IF(Atletas!T91="Outra Arma Dupla E",809,IF(Atletas!T91="Arma Maleável E",810,IF(Atletas!T91="Outra Arma Dupla F",811,IF(Atletas!T91="Arma Maleável F",812,IF(Atletas!T91="Shuangdao A",813,IF(Atletas!T91="Shuangdao B",814,IF(Atletas!T91="Shuangdao C",815,IF(Atletas!T91="Shuangdao D",816,IF(Atletas!T91="Shuangdao E",817,IF(Atletas!T91="Shuangdao F",818,"")))))))))))))))))))</f>
        <v/>
      </c>
      <c r="CC100" s="50" t="str">
        <f>IF(Atletas!U91="","",IF(Atletas!X91&lt;&gt;"",10000,0)+IF(Atletas!B91="Feminino",1000,IF(Atletas!B91="Masculino",2000,""))+IF(OR(Atletas!U91="Taijijian Yang A",Atletas!U91="Taijijian Yang Standard A"),901,IF(OR(Atletas!U91="Taijijian Chen A", Atletas!U91="Taijijian Chen Standard A"),902,IF(Atletas!U91="Taijijian Sun A",903,IF(Atletas!U91="Taijijian Wu A",904,IF(Atletas!U91="Taijijian Wu-Hao A",905,IF(OR(Atletas!U91="Taijijian 32 A",Atletas!U91="Taijijian 42 A"),906,IF(OR(Atletas!U91="Taijijian Yang B",Atletas!U91="Taijijian Yang Standard B"),907,IF(OR(Atletas!U91="Taijijian Chen B", Atletas!U91="Taijijian Chen Standard B"),908,IF(Atletas!U91="Taijijian Sun B",909,IF(Atletas!U91="Taijijian Wu B",910,IF(Atletas!U91="Taijijian Wu-Hao B",911,IF(OR(Atletas!U91="Taijijian 32 B",Atletas!U91="Taijijian 42 B"),912,IF(OR(Atletas!U91="Taijijian Yang C",Atletas!U91="Taijijian Yang Standard C"),913,IF(OR(Atletas!U91="Taijijian Chen C", Atletas!U91="Taijijian Chen Standard C"),914,IF(Atletas!U91="Taijijian Sun C",915,IF(Atletas!U91="Taijijian Wu C",916,IF(Atletas!U91="Taijijian Wu-Hao C",917,IF(OR(Atletas!U91="Taijijian 32 C",Atletas!U91="Taijijian 42 C"),918,IF(OR(Atletas!U91="Taijijian Yang D",Atletas!U91="Taijijian Yang Standard D"),919,IF(OR(Atletas!U91="Taijijian Chen D", Atletas!U91="Taijijian Chen Standard D"),920,IF(Atletas!U91="Taijijian Sun D",921,IF(Atletas!U91="Taijijian Wu D",922,IF(Atletas!U91="Taijijian Wu-Hao D",923,IF(OR(Atletas!U91="Taijijian 32 D",Atletas!U91="Taijijian 42 D"),924,IF(OR(Atletas!U91="Taijijian Yang E",Atletas!U91="Taijijian Yang Standard E"),925,IF(OR(Atletas!U91="Taijijian Chen E", Atletas!U91="Taijijian Chen Standard E"),926,IF(Atletas!U91="Taijijian Sun E",927,IF(Atletas!U91="Taijijian Wu E",928,IF(Atletas!U91="Taijijian Wu-Hao E",929,IF(OR(Atletas!U91="Taijijian 32 E",Atletas!U91="Taijijian 42 E"),930,IF(OR(Atletas!U91="Taijijian Yang F",Atletas!U91="Taijijian Yang Standard F"),931,IF(OR(Atletas!U91="Taijijian Chen F", Atletas!U91="Taijijian Chen Standard F"),932,IF(Atletas!U91="Taijijian Sun F",933,IF(Atletas!U91="Taijijian Wu F",934,IF(Atletas!U91="Taijijian Wu-Hao F",935,IF(OR(Atletas!U91="Taijijian 32 F",Atletas!U91="Taijijian 42 F"),936,"")))))))))))))))))))))))))))))))))))))</f>
        <v/>
      </c>
      <c r="CD100" s="50" t="str">
        <f>IF(Atletas!V91="","",IF(Atletas!X91&lt;&gt;"",10000,0)+IF(Atletas!B91="Feminino",1000,IF(Atletas!B91="Masculino",2000,""))+IF(Atletas!V91="Taijidao A",937,IF(Atletas!V91="TaijiShanzi A",938,IF(Atletas!V91="Taijiqiang A",939,IF(Atletas!V91="Bagua de Arma A",940,IF(Atletas!V91="Xingyi de Arma A",941,IF(Atletas!V91="Taijidao B",942,IF(Atletas!V91="TaijiShanzi B",943,IF(Atletas!V91="Taijiqiang B",944,IF(Atletas!V91="Bagua de Arma B",945,IF(Atletas!V91="Xingyi de Arma B",946,IF(Atletas!V91="Taijidao C",947,IF(Atletas!V91="TaijiShanzi C",948,IF(Atletas!V91="Taijiqiang C",949,IF(Atletas!V91="Bagua de Arma C",950,IF(Atletas!V91="Xingyi de Arma C",951,IF(Atletas!V91="Taijidao D",952,IF(Atletas!V91="TaijiShanzi D",953,IF(Atletas!V91="Taijiqiang D",954,IF(Atletas!V91="Bagua de Arma D",955,IF(Atletas!V91="Xingyi de Arma D",956,IF(Atletas!V91="Taijidao E",957,IF(Atletas!V91="TaijiShanzi E",958,IF(Atletas!V91="Taijiqiang E",959,IF(Atletas!V91="Bagua de Arma E",960,IF(Atletas!V91="Xingyi de Arma E",961,IF(Atletas!V91="Taijidao F",962,IF(Atletas!V91="TaijiShanzi F",963,IF(Atletas!V91="Taijiqiang F",964,IF(Atletas!V91="Bagua de Arma F",965,IF(Atletas!V91="Xingyi de Arma F",966,"")))))))))))))))))))))))))))))))</f>
        <v/>
      </c>
      <c r="CE100" s="66" t="str">
        <f>IF(CF100&lt;&gt;"","Paoquan E","")</f>
        <v/>
      </c>
      <c r="CF100" s="66" t="str">
        <f>IF(COUNTIF(BR:CD,1158)&gt;0,COUNTIF(BR:CD,1158),"")</f>
        <v/>
      </c>
      <c r="CG100" s="66" t="str">
        <f>IF(CH100&lt;&gt;"","Paoquan E","")</f>
        <v/>
      </c>
      <c r="CH100" s="66" t="str">
        <f>IF(COUNTIF(BR:CD,2158)&gt;0,COUNTIF(BR:CD,2158),"")</f>
        <v/>
      </c>
      <c r="CI100" s="66" t="str">
        <f>IF(CJ100&lt;&gt;"","Wudangquan E","")</f>
        <v/>
      </c>
      <c r="CJ100" s="66" t="str">
        <f>IF(COUNTIF(BR:CD,11164)&gt;0,COUNTIF(BR:CD,11164),"")</f>
        <v/>
      </c>
      <c r="CK100" s="66" t="str">
        <f>IF(CL100&lt;&gt;"","Wudangquan E","")</f>
        <v/>
      </c>
      <c r="CL100" s="66" t="str">
        <f>IF(COUNTIF(BR:CD,12164)&gt;0,COUNTIF(BR:CD,12164),"")</f>
        <v/>
      </c>
      <c r="CM100" s="50" t="str">
        <f xml:space="preserve"> IF(Atletas!W91="","",IF(Atletas!W91="Duilian de Mãos BC - Equipe 1",1,IF(Atletas!W91="Duilian de Mãos BC - Equipe 2",2,IF(Atletas!W91="Duilian de Armas BC - Equipe 1",3,IF(Atletas!W91="Duilian de Armas BC - Equipe 2",4,IF(Atletas!W91="Duilian de Mãos DE - Equipe 1",5,IF(Atletas!W91="Duilian de Mãos DE - Equipe 2",6,IF(Atletas!W91="Duilian de Armas DE - Equipe 1",7,IF(Atletas!W91="Duilian de Armas DE - Equipe 2",8,IF(Atletas!W91="Duilian de Tuishou - Equipe 1",9,IF(Atletas!W91="Duilian de Tuishou - Equipe 2",10,IF(Atletas!W91="Grupo Externo ABC - Equipe 1",11,IF(Atletas!W91="Grupo Externo ABC - Equipe 2",12,IF(Atletas!W91="Grupo Interno ABC - Equipe 1",13,IF(Atletas!W91="Grupo Interno ABC - Equipe 2",14,IF(Atletas!W91="Grupo Externo DEF - Equipe 1",15,IF(Atletas!W91="Grupo Externo DEF - Equipe 2",16,IF(Atletas!W91="Grupo Interno DEF - Equipe 1",17,IF(Atletas!W91="Grupo Interno DEF - Equipe 2",18,"")))))))))))))))))))</f>
        <v/>
      </c>
    </row>
    <row r="101" spans="2:91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 t="str">
        <f t="array" ref="Z101">IFERROR(INDEX(CE$7:CE$348,SMALL(IF(CE$7:CE$348&lt;&gt;"",ROW(CE$7:CE$348)-ROW(CE$7)+1),ROWS(CE$7:CE100))),"")</f>
        <v/>
      </c>
      <c r="AA101" s="3" t="str">
        <f t="array" ref="AA101">IFERROR(INDEX(CF$7:CF$348,SMALL(IF(CF$7:CF$348&lt;&gt;"",ROW(CF$7:CF$348)-ROW(CF$7)+1),ROWS(CF$7:CF100))),"")</f>
        <v/>
      </c>
      <c r="AB101" s="3" t="str">
        <f t="array" ref="AB101">IFERROR(INDEX(CG$7:CG$348,SMALL(IF(CG$7:CG$348&lt;&gt;"",ROW(CG$7:CG$348)-ROW(CG$7)+1),ROWS(CG$7:CG100))),"")</f>
        <v/>
      </c>
      <c r="AC101" s="3" t="str">
        <f t="array" ref="AC101">IFERROR(INDEX(CH$7:CH$348,SMALL(IF(CH$7:CH$348&lt;&gt;"",ROW(CH$7:CH$348)-ROW(CH$7)+1),ROWS(CH$7:CH100))),"")</f>
        <v/>
      </c>
      <c r="AD101" s="3" t="str">
        <f t="array" ref="AD101">IFERROR(INDEX(CI$7:CI$377,SMALL(IF(CI$7:CI$377&lt;&gt;"",ROW(CI$7:CI$377)-ROW(CI$7)+1),ROWS(CI$7:CI100))),"")</f>
        <v/>
      </c>
      <c r="AE101" s="3" t="str">
        <f t="array" ref="AE101">IFERROR(INDEX(CJ$7:CJ$378,SMALL(IF(CJ$7:CJ$378&lt;&gt;"",ROW(CJ$7:CJ$378)-ROW(CJ$7)+1),ROWS(CJ$7:CJ100))),"")</f>
        <v/>
      </c>
      <c r="AF101" s="3" t="str">
        <f t="array" ref="AF101">IFERROR(INDEX(CK$7:CK$378,SMALL(IF(CK$7:CK$378&lt;&gt;"",ROW(CK$7:CK$378)-ROW(CK$7)+1),ROWS(CK$7:CK100))),"")</f>
        <v/>
      </c>
      <c r="AG101" s="3" t="str">
        <f t="array" ref="AG101">IFERROR(INDEX(CL$7:CL$378,SMALL(IF(CL$7:CL$378&lt;&gt;"",ROW(CL$7:CL$378)-ROW(CL$7)+1),ROWS(CL$7:CL100))),"")</f>
        <v/>
      </c>
      <c r="AH101" s="3"/>
      <c r="AI101" s="3"/>
      <c r="AJ101" s="3"/>
      <c r="AK101" s="3"/>
      <c r="AL101" s="3"/>
      <c r="AM101" s="3"/>
      <c r="AN101" s="52" t="str">
        <f>IF(Atletas!D92="","",IF(Atletas!B92="Feminino",100,IF(Atletas!B92="Masculino",200,""))+(IF(Atletas!D92="Kids 30kg",1,IF(Atletas!D92="Kids 32kg",2, IF(Atletas!D92="Kids 34kg",3,IF(Atletas!D92="Kids 36kg",4,IF(Atletas!D92="Kids 39kg",5,IF(Atletas!D92="Kids 42kg",6,IF(Atletas!D92="Kids 45kg",7, IF(Atletas!D92="Infantil 39kg",8,IF(Atletas!D92="Infantil 42kg",9,IF(Atletas!D92="Infantil 45kg",10,IF(Atletas!D92="Infantil 48kg",11,IF(Atletas!D92="Infantil 52kg",12,IF(Atletas!D92="Infantil 56kg",13,IF(Atletas!D92="Infantil 60kg",14,IF(Atletas!D92="Juvenil 48kg",15,IF(Atletas!D92="Juvenil 52kg",16,IF(Atletas!D92="Juvenil 56kg",17,IF(Atletas!D92="Juvenil 60kg",18,IF(Atletas!D92="Juvenil 65kg",19,IF(Atletas!D92="Juvenil 70kg",20,IF(Atletas!D92="Juvenil 75kg",21,IF(Atletas!D92="Juvenil 80kg",22, IF(Atletas!D92="Juvenil 85kg",23,IF(Atletas!D92="Adulto 48kg",24,IF(Atletas!D92="Adulto 52kg",25,IF(Atletas!D92="Adulto 56kg",26,IF(Atletas!D92="Adulto 60kg",27,IF(Atletas!D92="Adulto 65kg",28,IF(Atletas!D92="Adulto 70kg",29,IF(Atletas!D92="Adulto 75kg",30,IF(Atletas!D92="Adulto 80kg",31,IF(Atletas!D92="Adulto 85kg",32,IF(Atletas!D92="Adulto 90kg",33,IF(Atletas!D92="Adulto 100kg",34, IF(Atletas!D92="Adulto +100kg",35,"")))))))))))))))))))))))))))))))))))))</f>
        <v/>
      </c>
      <c r="AS101" s="6" t="str">
        <f>IF(Atletas!E92="","",IF(Atletas!B92="Feminino",100,IF(Atletas!B92="Masculino",200,""))+(IF(Atletas!E92="Juvenil 44kg",1,IF(Atletas!E92="Juvenil 48kg",2,IF(Atletas!E92="Juvenil 52kg",3,IF(Atletas!E92="Juvenil 56kg",4,IF(Atletas!E92="Juvenil 60kg",5,IF(Atletas!E92="Juvenil 65kg",6,IF(Atletas!E92="Juvenil 70kg",7,IF(Atletas!E92="Juvenil 75kg",8,IF(Atletas!E92="Juvenil 82kg",9,IF(Atletas!E92="Juvenil 90kg",10,IF(Atletas!E92="Juvenil 100kg",11,IF(Atletas!E92="Adulto 48kg",12,IF(Atletas!E92="Adulto 52kg",13,IF(Atletas!E92="Adulto 56kg",14,IF(Atletas!E92="Adulto 60kg",15,IF(Atletas!E92="Adulto 65kg",16,IF(Atletas!E92="Adulto 70kg",17,IF(Atletas!E92="Adulto 75kg",18,IF(Atletas!E92="Adulto 82kg",19,IF(Atletas!E92="Adulto 90kg",20,IF(Atletas!E92="Adulto 100kg",21,IF(Atletas!E92="Adulto +100kg",22,""))))))))))))))))))))))))</f>
        <v/>
      </c>
      <c r="AX101" s="6" t="str">
        <f>IF(Atletas!F92="","",IF(Atletas!B92="Feminino",100,IF(Atletas!B92="Masculino",200,""))+(IF(Atletas!F92="Adulto 48kg",1,IF(Atletas!F92="Adulto 56kg",2,IF(Atletas!F92="Adulto 65kg",3,IF(Atletas!F92="Adulto 75kg",4,IF(Atletas!F92="Adulto +75kg",5,IF(Atletas!F92="Adulto 52kg",6,IF(Atletas!F92="Adulto 60kg",7,IF(Atletas!F92="Adulto 70kg",8,IF(Atletas!F92="Adulto 80kg",9,IF(Atletas!F92="Adulto 90kg",10,IF(Atletas!F92="Adulto +90kg",11,"")))))))))))))</f>
        <v/>
      </c>
      <c r="BC101" s="6" t="str">
        <f>IF(Atletas!G92="","",IF(Atletas!B92="Feminino",10,IF(Atletas!B92="Masculino",20,""))+(IF(Atletas!G92="Baduanjin A",1,IF(Atletas!G92="Baduanjin B",2))))</f>
        <v/>
      </c>
      <c r="BF101" s="52" t="str">
        <f>IF(Atletas!H92="","",IF(Atletas!B92="Feminino",100,IF(Atletas!B92="Masculino",200,""))+(IF(Atletas!H92="Changquan Mirim",1,IF(Atletas!H92="Nanquan Mirim",2,IF(Atletas!H92="Taijiquan Mirim",3,IF(Atletas!H92="Changquan Grupo C",4,IF(Atletas!H92="Nanquan Grupo C",5,IF(Atletas!H92="Taijiquan Grupo C",6,IF(Atletas!H92="Changquan Grupo B",7,IF(Atletas!H92="Nanquan Grupo B",8,IF(Atletas!H92="Taijiquan Grupo B",9,IF(Atletas!H92="Changquan Grupo A",10,IF(Atletas!H92="Nanquan Grupo A",11,IF(Atletas!H92="Taijiquan Grupo A",12,IF(Atletas!H92="Changquan Opcional",13,IF(Atletas!H92="Nanquan Opcional",14,IF(Atletas!H92="Taijiquan Opcional",15,IF(Atletas!H92="Changquan Adulto",16,IF(Atletas!H92="Nanquan Adulto",17,IF(Atletas!H92="Taijiquan Adulto",18,""))))))))))))))))))))</f>
        <v/>
      </c>
      <c r="BG101" s="52" t="str">
        <f>IF(Atletas!I92="","",IF(Atletas!B92="Feminino",100,IF(Atletas!B92="Masculino",200,""))+(IF(Atletas!I92="Daoshu Mirim",19,IF(Atletas!I92="Jianshu Mirim",20,IF(Atletas!I92="Nandao Mirim",21,IF(Atletas!I92="Taijijian Mirim",22,IF(Atletas!I92="Daoshu Grupo C",23,IF(Atletas!I92="Jianshu Grupo C",24,IF(Atletas!I92="Nandao Grupo C",25,IF(Atletas!I92="Taijijian Grupo C",26,IF(Atletas!I92="Daoshu Grupo B",27,IF(Atletas!I92="Jianshu Grupo B",28,IF(Atletas!I92="Nandao Grupo B",29,IF(Atletas!I92="Taijijian Grupo B",30,IF(Atletas!I92="Daoshu Grupo A",31,IF(Atletas!I92="Jianshu Grupo A",32,IF(Atletas!I92="Nandao Grupo A",33,IF(Atletas!I92="Taijijian Grupo A",34,IF(Atletas!I92="Daoshu Opcional",35,IF(Atletas!I92="Jianshu Opcional",36,IF(Atletas!I92="Nandao Opcional",37,IF(Atletas!I92="Taijijian Opcional",38,IF(Atletas!I92="Daoshu Adulto",39,IF(Atletas!I92="Jianshu Adulto",40,IF(Atletas!I92="Nandao Adulto",41,IF(Atletas!I92="Taijijian Adulto",42,""))))))))))))))))))))))))))</f>
        <v/>
      </c>
      <c r="BH101" s="52" t="str">
        <f>IF(Atletas!J92="","",IF(Atletas!B92="Feminino",100,IF(Atletas!B92="Masculino",200,""))+(IF(Atletas!J92="Gunshu Mirim",43,IF(Atletas!J92="Qiangshu Mirim",44,IF(Atletas!J92="Nangun Mirim",45,IF(Atletas!J92="Gunshu Grupo C",46,IF(Atletas!J92="Qiangshu Grupo C",47,IF(Atletas!J92="Nangun Grupo C",48,IF(Atletas!J92="Gunshu Grupo B",49,IF(Atletas!J92="Qiangshu Grupo B",50,IF(Atletas!J92="Nangun Grupo B",51,IF(Atletas!J92="Gunshu Grupo A",52,IF(Atletas!J92="Qiangshu Grupo A",53,IF(Atletas!J92="Nangun Grupo A",54,IF(Atletas!J92="Gunshu Opcional",55,IF(Atletas!J92="Qiangshu Opcional",56,IF(Atletas!J92="Nangun Opcional",57,IF(Atletas!J92="Gunshu Adulto",58,IF(Atletas!J92="Qiangshu Adulto",59,IF(Atletas!J92="Nangun Adulto",60,IF(Atletas!J92="Taijishan Grupo B",61,IF(Atletas!J92="Taijishan Grupo A",62,""))))))))))))))))))))))</f>
        <v/>
      </c>
      <c r="BM101" s="50" t="str">
        <f>IF(Atletas!K92="","",IF(Atletas!B92="Feminino",100,IF(Atletas!B92="Masculino",200,""))+(IF(Atletas!K92="Equipe 1 Grupo B",1,IF(Atletas!K92="Equipe 2 Grupo B",2,IF(Atletas!K92="Equipe 1 Grupo A",3,IF(Atletas!K92="Equipe 2 Grupo A",4,IF(Atletas!K92="Equipe 1 Adulto",5,IF(Atletas!K92="Equipe 2 Adulto",6,""))))))))</f>
        <v/>
      </c>
      <c r="BR101" s="50" t="str">
        <f>IF(Atletas!L92="","",IF(Atletas!X92&lt;&gt;"",10000,0)+(IF(Atletas!B92="Feminino",1000,IF(Atletas!B92="Masculino",2000,""))+IF(Atletas!L92="Choylayfut A",1,IF(Atletas!L92="Hunggar A",2,IF(Atletas!L92="Wuzuquan A",3,IF(Atletas!L92="Wingchun A",4,IF(Atletas!L92="Outra Mão de Sul A",5,IF(Atletas!L92="Choylayfut B",6,IF(Atletas!L92="Hunggar B",7,IF(Atletas!L92="Wuzuquan B",8,IF(Atletas!L92="Wingchun B",9,IF(Atletas!L92="Outra Mão de Sul B",10,IF(Atletas!L92="Choylayfut C",11,IF(Atletas!L92="Hunggar C",12,IF(Atletas!L92="Wuzuquan C",13,IF(Atletas!L92="Wingchun C",14,IF(Atletas!L92="Outra Mão de Sul C",15,IF(Atletas!L92="Choylayfut D",16,IF(Atletas!L92="Hunggar D",17,IF(Atletas!L92="Wuzuquan D",18,IF(Atletas!L92="Wingchun D",19,IF(Atletas!L92="Outra Mão de Sul D",20,IF(Atletas!L92="Choylayfut E",21,IF(Atletas!L92="Hunggar E",22,IF(Atletas!L92="Wuzuquan E",23,IF(Atletas!L92="Wingchun E",24,IF(Atletas!L92="Outra Mão de Sul E",25,IF(Atletas!L92="Choylayfut F",26,IF(Atletas!L92="Hunggar F",27,IF(Atletas!L92="Wuzuquan F",28,IF(Atletas!L92="Wingchun F",29,IF(Atletas!L92="Outra Mão de Sul F",30,IF(Atletas!L92="Dishuquan A",31,IF(Atletas!L92="Dishuquan B",32,IF(Atletas!L92="Dishuquan C",33,IF(Atletas!L92="Dishuquan D",34,IF(Atletas!L92="Dishuquan E",35,IF(Atletas!L92="Dishuquan F",36,""))))))))))))))))))))))))))))))))))))))</f>
        <v/>
      </c>
      <c r="BS101" s="50" t="str">
        <f>IF(Atletas!M92="","",IF(Atletas!X92&lt;&gt;"",10000,0)+(IF(Atletas!B92="Feminino",1000,IF(Atletas!B92="Masculino",2000,""))+(IF(Atletas!M92="Chaquan A",101,IF(Atletas!M92="Emeiquan A",102,IF(Atletas!M92="Fanziquan A",103,IF(Atletas!M92="Huaquan A",104,IF(Atletas!M92="Hongquan A",105,IF(Atletas!M92="Paoquan A",106,IF(Atletas!M92="Piguaquan A",107,IF(Atletas!M92="Shaolinquan A",108,IF(Atletas!M92="Tanglangquan A",109,IF(Atletas!M92="Yingzhaoquan A",110,IF(Atletas!M92="Tongbeiquan A",111,IF(Atletas!M92="Wudangquan A",112,IF(Atletas!M92="Outros Estilos A",113,IF(Atletas!M92="Chaquan B",114,IF(Atletas!M92="Emeiquan B",115,IF(Atletas!M92="Fanziquan B",116,IF(Atletas!M92="Huaquan B",117,IF(Atletas!M92="Hongquan B",118,IF(Atletas!M92="Paoquan B",119,IF(Atletas!M92="Piguaquan B",120,IF(Atletas!M92="Shaolinquan B",121,IF(Atletas!M92="Tanglangquan B",122,IF(Atletas!M92="Yingzhaoquan B",123,IF(Atletas!M92="Tongbeiquan B",124,IF(Atletas!M92="Wudangquan B",125,IF(Atletas!M92="Outros Estilos B",126,IF(Atletas!M92="Chaquan C",127,IF(Atletas!M92="Emeiquan C",128,IF(Atletas!M92="Fanziquan C",129,IF(Atletas!M92="Huaquan C",130,IF(Atletas!M92="Hongquan C",131,IF(Atletas!M92="Paoquan C",132,IF(Atletas!M92="Piguaquan C",133,IF(Atletas!M92="Shaolinquan C",134,IF(Atletas!M92="Tanglangquan C",135,IF(Atletas!M92="Yingzhaoquan C",136,IF(Atletas!M92="Tongbeiquan C",137,IF(Atletas!M92="Wudangquan C",138,IF(Atletas!M92="Outros Estilos C",139,0))))))))))))))))))))))))))))))))))))))))))</f>
        <v/>
      </c>
      <c r="BT101" s="50" t="str">
        <f>IF(Atletas!M92="","",IF(Atletas!X92&lt;&gt;"",10000,0)+(IF(Atletas!B92="Feminino",1000,IF(Atletas!B92="Masculino",2000,""))+(IF(Atletas!M92="Chaquan D",140,IF(Atletas!M92="Emeiquan D",141,IF(Atletas!M92="Fanziquan D",142,IF(Atletas!M92="Huaquan D",143,IF(Atletas!M92="Hongquan D",144,IF(Atletas!M92="Paoquan D",145,IF(Atletas!M92="Piguaquan D",146,IF(Atletas!M92="Shaolinquan D",147,IF(Atletas!M92="Tanglangquan D",148,IF(Atletas!M92="Yingzhaoquan D",149,IF(Atletas!M92="Tongbeiquan D",150,IF(Atletas!M92="Wudangquan D",151,IF(Atletas!M92="Outros Estilos D",152,IF(Atletas!M92="Chaquan E",153,IF(Atletas!M92="Emeiquan E",154,IF(Atletas!M92="Fanziquan E",155,IF(Atletas!M92="Huaquan E",156,IF(Atletas!M92="Hongquan E",157,IF(Atletas!M92="Paoquan E",158,IF(Atletas!M92="Piguaquan E",159,IF(Atletas!M92="Shaolinquan E",160,IF(Atletas!M92="Tanglangquan E",161,IF(Atletas!M92="Yingzhaoquan E",162,IF(Atletas!M92="Tongbeiquan E",163,IF(Atletas!M92="Wudangquan E",164,IF(Atletas!M92="Outros Estilos E",165,IF(Atletas!M92="Chaquan F",166,IF(Atletas!M92="Emeiquan F",167,IF(Atletas!M92="Fanziquan F",168,IF(Atletas!M92="Huaquan F",169,IF(Atletas!M92="Hongquan F",170,IF(Atletas!M92="Paoquan F",171,IF(Atletas!M92="Piguaquan F",172,IF(Atletas!M92="Shaolinquan F",173,IF(Atletas!M92="Tanglangquan F",174,IF(Atletas!M92="Yingzhaoquan F",175,IF(Atletas!M92="Tongbeiquan F",176,IF(Atletas!M92="Wudangquan F",177,IF(Atletas!M92="Outros Estilos F",178,0))))))))))))))))))))))))))))))))))))))))))</f>
        <v/>
      </c>
      <c r="BU101" s="50" t="str">
        <f>IF(Atletas!N92="","",IF(Atletas!X92&lt;&gt;"",10000,0)+(IF(Atletas!B92="Feminino",1000,IF(Atletas!B92="Masculino",2000,""))+(IF(Atletas!N92="Ditangquan A",201,IF(Atletas!N92="Houquan A",202,IF(Atletas!N92="Zuiquan A",203,IF(Atletas!N92="Ditangquan B",204,IF(Atletas!N92="Houquan B",205,IF(Atletas!N92="Zuiquan B",206,IF(Atletas!N92="Ditangquan C",207,IF(Atletas!N92="Houquan C",208,IF(Atletas!N92="Zuiquan C",209,IF(Atletas!N92="Ditangquan D",210,IF(Atletas!N92="Houquan D",211,IF(Atletas!N92="Zuiquan D",212,IF(Atletas!N92="Ditangquan E",213,IF(Atletas!N92="Houquan E",214,IF(Atletas!N92="Zuiquan E",215,IF(Atletas!N92="Ditangquan F",216,IF(Atletas!N92="Houquan F",217,IF(Atletas!N92="Zuiquan F",218,"")))))))))))))))))))))</f>
        <v/>
      </c>
      <c r="BV101" s="50" t="str">
        <f>IF(Atletas!O92="","",IF(Atletas!X92&lt;&gt;"",10000,0)+IF(Atletas!B92="Feminino",1000,IF(Atletas!B92="Masculino",2000,""))+IF(Atletas!O92="Yang A",301,IF(Atletas!O92="Chen A",302,IF(Atletas!O92="Sun A",303,IF(Atletas!O92="Wu A",304,IF(Atletas!O92="Wu-Hao A",305,IF(Atletas!O92="Outro Taijiquan A",306,IF(Atletas!O92="Yang B",307,IF(Atletas!O92="Chen B",308,IF(Atletas!O92="Sun B",309,IF(Atletas!O92="Wu B",310,IF(Atletas!O92="Wu-Hao B",311,IF(Atletas!O92="Outro Taijiquan B",312,IF(Atletas!O92="Yang C",313,IF(Atletas!O92="Chen C",314,IF(Atletas!O92="Sun C",315,IF(Atletas!O92="Wu C",316,IF(Atletas!O92="Wu-Hao C",317,IF(Atletas!O92="Outro Taijiquan C",318,IF(Atletas!O92="Yang D",319,IF(Atletas!O92="Chen D",320,IF(Atletas!O92="Sun D",321,IF(Atletas!O92="Wu D",322,IF(Atletas!O92="Wu-Hao D",323,IF(Atletas!O92="Outro Taijiquan D",324,IF(Atletas!O92="Yang E",325,IF(Atletas!O92="Chen E",326,IF(Atletas!O92="Sun E",327,IF(Atletas!O92="Wu E",328,IF(Atletas!O92="Wu-Hao E",329,IF(Atletas!O92="Outro Taijiquan E",330,IF(Atletas!O92="Yang F",331,IF(Atletas!O92="Chen F",332,IF(Atletas!O92="Sun F",333,IF(Atletas!O92="Wu F",334,IF(Atletas!O92="Wu-Hao F",335,IF(Atletas!O92="Outro Taijiquan F",336,"")))))))))))))))))))))))))))))))))))))</f>
        <v/>
      </c>
      <c r="BW101" s="50" t="str">
        <f>IF(Atletas!P92="","",IF(Atletas!X92&lt;&gt;"",10000,0)+IF(Atletas!B92="Feminino",1000,IF(Atletas!B92="Masculino",2000,""))+IF(OR(Atletas!P92="Yang 26 A",Atletas!P92="Yang 40 A"),401,IF(OR(Atletas!P92="Chen 25 A",Atletas!P92="Chen 36 A",Atletas!P92="Chen 56 A"),402,IF(Atletas!P92="Sun 73 A",403,IF(Atletas!P92="Wu 45 A",404,IF(Atletas!P92="Wu-Hao 46 A",405,IF(OR(Atletas!P92="Taijiquan 16 A",Atletas!P92="Taijiquan 24 A",Atletas!P92="Taijiquan 32 A",Atletas!P92="Taijiquan 42 A"),406,IF(OR(Atletas!P92="Yang 26 B",Atletas!P92="Yang 40 B"),407,IF(OR(Atletas!P92="Chen 25 B",Atletas!P92="Chen 36 B",Atletas!P92="Chen 56 B"),408,IF(Atletas!P92="Sun 73 B",409,IF(Atletas!P92="Wu 45 B",410,IF(Atletas!P92="Wu-Hao 46 B",411,IF(OR(Atletas!P92="Taijiquan 16 B",Atletas!P92="Taijiquan 24 B",Atletas!P92="Taijiquan 32 B",Atletas!P92="Taijiquan 42 B"),412,IF(OR(Atletas!P92="Yang 26 C",Atletas!P92="Yang 40 C"),413,IF(OR(Atletas!P92="Chen 25 C",Atletas!P92="Chen 36 C",Atletas!P92="Chen 56 C"),414,IF(Atletas!P92="Sun 73 C",415,IF(Atletas!P92="Wu 45 C",416,IF(Atletas!P92="Wu-Hao 46 C",417,IF(OR(Atletas!P92="Taijiquan 16 C",Atletas!P92="Taijiquan 24 C",Atletas!P92="Taijiquan 32 C",Atletas!P92="Taijiquan 42 C"),418,0)))))))))))))))))))</f>
        <v/>
      </c>
      <c r="BX101" s="50" t="str">
        <f>IF(Atletas!P92="","",IF(Atletas!X92&lt;&gt;"",10000,0)+IF(Atletas!B92="Feminino",1000,IF(Atletas!B92="Masculino",2000,""))+IF(OR(Atletas!P92="Yang 26 D",Atletas!P92="Yang 40 D"),419,IF(OR(Atletas!P92="Chen 25 D",Atletas!P92="Chen 36 D",Atletas!P92="Chen 56 D"),420,IF(Atletas!P92="Sun 73 D",421,IF(Atletas!P92="Wu 45 D",422,IF(Atletas!P92="Wu-Hao 46 D",423,IF(OR(Atletas!P92="Taijiquan 16 D",Atletas!P92="Taijiquan 24 D",Atletas!P92="Taijiquan 32 D",Atletas!P92="Taijiquan 42 D"),424,IF(OR(Atletas!P92="Yang 26 E",Atletas!P92="Yang 40 E"),425,IF(OR(Atletas!P92="Chen 25 E",Atletas!P92="Chen 36 E",Atletas!P92="Chen 56 E"),426,IF(Atletas!P92="Sun 73 E",427,IF(Atletas!P92="Wu 45 E",428,IF(Atletas!P92="Wu-Hao 46 E",429,IF(OR(Atletas!P92="Taijiquan 16 E",Atletas!P92="Taijiquan 24 E",Atletas!P92="Taijiquan 32 E",Atletas!P92="Taijiquan 42 E"),430,IF(OR(Atletas!P92="Yang 26 F",Atletas!P92="Yang 40 F"),431,IF(OR(Atletas!P92="Chen 25 F",Atletas!P92="Chen 36 F",Atletas!P92="Chen 56 F"),432,IF(Atletas!P92="Sun 73 F",433,IF(Atletas!P92="Wu 45 F",434,IF(Atletas!P92="Wu-Hao 46 F",435,IF(OR(Atletas!P92="Taijiquan 16 F",Atletas!P92="Taijiquan 24 F",Atletas!P92="Taijiquan 32 F",Atletas!P92="Taijiquan 42 F"),436,0)))))))))))))))))))</f>
        <v/>
      </c>
      <c r="BY101" s="50" t="str">
        <f>IF(Atletas!Q92="","",IF(Atletas!X92&lt;&gt;"",10000,0)+IF(Atletas!B92="Feminino",1000,IF(Atletas!B92="Masculino",2000,""))+IF(Atletas!Q92="Xingyiquan A",501,IF(Atletas!Q92="Baguazhang A",502,IF(Atletas!Q92="Outro Estilo Interno A",503,IF(Atletas!Q92="Xingyiquan B",504,IF(Atletas!Q92="Baguazhang B",505,IF(Atletas!Q92="Outro Estilo Interno B",506,IF(Atletas!Q92="Xingyiquan C",507,IF(Atletas!Q92="Baguazhang C",508,IF(Atletas!Q92="Outro Estilo Interno C",509,IF(Atletas!Q92="Xingyiquan D",510,IF(Atletas!Q92="Baguazhang D",511,IF(Atletas!Q92="Outro Estilo Interno D",512,IF(Atletas!Q92="Xingyiquan E",513,IF(Atletas!Q92="Baguazhang E",514,IF(Atletas!Q92="Outro Estilo Interno E",515,IF(Atletas!Q92="Xingyiquan F",516,IF(Atletas!Q92="Baguazhang F",517,IF(Atletas!Q92="Outro Estilo Interno F",518, "")))))))))))))))))))</f>
        <v/>
      </c>
      <c r="BZ101" s="50" t="str">
        <f>IF(Atletas!R92="","",IF(Atletas!X92&lt;&gt;"",10000,0)+IF(Atletas!B92="Feminino",1000,IF(Atletas!B92="Masculino",2000,""))+IF(Atletas!R92="Dao A",601,IF(Atletas!R92="Jian A",602,IF(Atletas!R92="Bishou A",603,IF(Atletas!R92="Shanzi A",604,IF(Atletas!R92="Outra Arma Curta A",605,IF(Atletas!R92="Dao B",606,IF(Atletas!R92="Jian B",607,IF(Atletas!R92="Bishou B",608,IF(Atletas!R92="Shanzi B",609,IF(Atletas!R92="Outra Arma Curta B",610,IF(Atletas!R92="Dao C",611,IF(Atletas!R92="Jian C",612,IF(Atletas!R92="Bishou C",613,IF(Atletas!R92="Shanzi C",614,IF(Atletas!R92="Outra Arma Curta C",615,IF(Atletas!R92="Dao D",616,IF(Atletas!R92="Jian D",617,IF(Atletas!R92="Bishou D",618,IF(Atletas!R92="Shanzi D",619,IF(Atletas!R92="Outra Arma Curta D",620,IF(Atletas!R92="Dao E",621,IF(Atletas!R92="Jian E",622,IF(Atletas!R92="Bishou E",623,IF(Atletas!R92="Shanzi E",624,IF(Atletas!R92="Outra Arma Curta E",625,IF(Atletas!R92="Dao F",626,IF(Atletas!R92="Jian F",627,IF(Atletas!R92="Bishou F",628,IF(Atletas!R92="Shanzi F",629,IF(Atletas!R92="Outra Arma Curta F",630, "")))))))))))))))))))))))))))))))</f>
        <v/>
      </c>
      <c r="CA101" s="50" t="str">
        <f>IF(Atletas!S92="","",IF(Atletas!X92&lt;&gt;"",10000,0)+IF(Atletas!B92="Feminino",1000,IF(Atletas!B92="Masculino",2000,""))+IF(Atletas!S92="Gun A",701,IF(Atletas!S92="Qiang A",702,IF(Atletas!S92="Pudao / Guandao A",703,IF(Atletas!S92="Outra Arma Longa A",704,IF(Atletas!S92="Gun B",705,IF(Atletas!S92="Qiang B",706,IF(Atletas!S92="Pudao / Guandao B",707,IF(Atletas!S92="Outra Arma Longa B",708,IF(Atletas!S92="Gun C",709,IF(Atletas!S92="Qiang C",710,IF(Atletas!S92="Pudao / Guandao C",711,IF(Atletas!S92="Outra Arma Longa C",712,IF(Atletas!S92="Gun D",713,IF(Atletas!S92="Qiang D",714,IF(Atletas!S92="Pudao / Guandao D",715,IF(Atletas!S92="Outra Arma Longa D",716,IF(Atletas!S92="Gun E",717,IF(Atletas!S92="Qiang E",718,IF(Atletas!S92="Pudao / Guandao E",719,IF(Atletas!S92="Outra Arma Longa E",720,IF(Atletas!S92="Gun F",721,IF(Atletas!S92="Qiang F",722,IF(Atletas!S92="Pudao / Guandao F",723,IF(Atletas!S92="Outra Arma Longa F",724,"")))))))))))))))))))))))))</f>
        <v/>
      </c>
      <c r="CB101" s="50" t="str">
        <f>IF(Atletas!T92="","",IF(Atletas!X92&lt;&gt;"",10000,0)+IF(Atletas!B92="Feminino",1000,IF(Atletas!B92="Masculino",2000,""))+IF(Atletas!T92="Outra Arma Dupla A",801,IF(Atletas!T92="Arma Maleável A",802,IF(Atletas!T92="Outra Arma Dupla B",803,IF(Atletas!T92="Arma Maleável B",804,IF(Atletas!T92="Outra Arma Dupla C",805,IF(Atletas!T92="Arma Maleável C",806,IF(Atletas!T92="Outra Arma Dupla D",807,IF(Atletas!T92="Arma Maleável D",808,IF(Atletas!T92="Outra Arma Dupla E",809,IF(Atletas!T92="Arma Maleável E",810,IF(Atletas!T92="Outra Arma Dupla F",811,IF(Atletas!T92="Arma Maleável F",812,IF(Atletas!T92="Shuangdao A",813,IF(Atletas!T92="Shuangdao B",814,IF(Atletas!T92="Shuangdao C",815,IF(Atletas!T92="Shuangdao D",816,IF(Atletas!T92="Shuangdao E",817,IF(Atletas!T92="Shuangdao F",818,"")))))))))))))))))))</f>
        <v/>
      </c>
      <c r="CC101" s="50" t="str">
        <f>IF(Atletas!U92="","",IF(Atletas!X92&lt;&gt;"",10000,0)+IF(Atletas!B92="Feminino",1000,IF(Atletas!B92="Masculino",2000,""))+IF(OR(Atletas!U92="Taijijian Yang A",Atletas!U92="Taijijian Yang Standard A"),901,IF(OR(Atletas!U92="Taijijian Chen A", Atletas!U92="Taijijian Chen Standard A"),902,IF(Atletas!U92="Taijijian Sun A",903,IF(Atletas!U92="Taijijian Wu A",904,IF(Atletas!U92="Taijijian Wu-Hao A",905,IF(OR(Atletas!U92="Taijijian 32 A",Atletas!U92="Taijijian 42 A"),906,IF(OR(Atletas!U92="Taijijian Yang B",Atletas!U92="Taijijian Yang Standard B"),907,IF(OR(Atletas!U92="Taijijian Chen B", Atletas!U92="Taijijian Chen Standard B"),908,IF(Atletas!U92="Taijijian Sun B",909,IF(Atletas!U92="Taijijian Wu B",910,IF(Atletas!U92="Taijijian Wu-Hao B",911,IF(OR(Atletas!U92="Taijijian 32 B",Atletas!U92="Taijijian 42 B"),912,IF(OR(Atletas!U92="Taijijian Yang C",Atletas!U92="Taijijian Yang Standard C"),913,IF(OR(Atletas!U92="Taijijian Chen C", Atletas!U92="Taijijian Chen Standard C"),914,IF(Atletas!U92="Taijijian Sun C",915,IF(Atletas!U92="Taijijian Wu C",916,IF(Atletas!U92="Taijijian Wu-Hao C",917,IF(OR(Atletas!U92="Taijijian 32 C",Atletas!U92="Taijijian 42 C"),918,IF(OR(Atletas!U92="Taijijian Yang D",Atletas!U92="Taijijian Yang Standard D"),919,IF(OR(Atletas!U92="Taijijian Chen D", Atletas!U92="Taijijian Chen Standard D"),920,IF(Atletas!U92="Taijijian Sun D",921,IF(Atletas!U92="Taijijian Wu D",922,IF(Atletas!U92="Taijijian Wu-Hao D",923,IF(OR(Atletas!U92="Taijijian 32 D",Atletas!U92="Taijijian 42 D"),924,IF(OR(Atletas!U92="Taijijian Yang E",Atletas!U92="Taijijian Yang Standard E"),925,IF(OR(Atletas!U92="Taijijian Chen E", Atletas!U92="Taijijian Chen Standard E"),926,IF(Atletas!U92="Taijijian Sun E",927,IF(Atletas!U92="Taijijian Wu E",928,IF(Atletas!U92="Taijijian Wu-Hao E",929,IF(OR(Atletas!U92="Taijijian 32 E",Atletas!U92="Taijijian 42 E"),930,IF(OR(Atletas!U92="Taijijian Yang F",Atletas!U92="Taijijian Yang Standard F"),931,IF(OR(Atletas!U92="Taijijian Chen F", Atletas!U92="Taijijian Chen Standard F"),932,IF(Atletas!U92="Taijijian Sun F",933,IF(Atletas!U92="Taijijian Wu F",934,IF(Atletas!U92="Taijijian Wu-Hao F",935,IF(OR(Atletas!U92="Taijijian 32 F",Atletas!U92="Taijijian 42 F"),936,"")))))))))))))))))))))))))))))))))))))</f>
        <v/>
      </c>
      <c r="CD101" s="50" t="str">
        <f>IF(Atletas!V92="","",IF(Atletas!X92&lt;&gt;"",10000,0)+IF(Atletas!B92="Feminino",1000,IF(Atletas!B92="Masculino",2000,""))+IF(Atletas!V92="Taijidao A",937,IF(Atletas!V92="TaijiShanzi A",938,IF(Atletas!V92="Taijiqiang A",939,IF(Atletas!V92="Bagua de Arma A",940,IF(Atletas!V92="Xingyi de Arma A",941,IF(Atletas!V92="Taijidao B",942,IF(Atletas!V92="TaijiShanzi B",943,IF(Atletas!V92="Taijiqiang B",944,IF(Atletas!V92="Bagua de Arma B",945,IF(Atletas!V92="Xingyi de Arma B",946,IF(Atletas!V92="Taijidao C",947,IF(Atletas!V92="TaijiShanzi C",948,IF(Atletas!V92="Taijiqiang C",949,IF(Atletas!V92="Bagua de Arma C",950,IF(Atletas!V92="Xingyi de Arma C",951,IF(Atletas!V92="Taijidao D",952,IF(Atletas!V92="TaijiShanzi D",953,IF(Atletas!V92="Taijiqiang D",954,IF(Atletas!V92="Bagua de Arma D",955,IF(Atletas!V92="Xingyi de Arma D",956,IF(Atletas!V92="Taijidao E",957,IF(Atletas!V92="TaijiShanzi E",958,IF(Atletas!V92="Taijiqiang E",959,IF(Atletas!V92="Bagua de Arma E",960,IF(Atletas!V92="Xingyi de Arma E",961,IF(Atletas!V92="Taijidao F",962,IF(Atletas!V92="TaijiShanzi F",963,IF(Atletas!V92="Taijiqiang F",964,IF(Atletas!V92="Bagua de Arma F",965,IF(Atletas!V92="Xingyi de Arma F",966,"")))))))))))))))))))))))))))))))</f>
        <v/>
      </c>
      <c r="CE101" s="66" t="str">
        <f>IF(CF101&lt;&gt;"","Piguaquan E","")</f>
        <v/>
      </c>
      <c r="CF101" s="66" t="str">
        <f>IF(COUNTIF(BR:CD,1159)&gt;0,COUNTIF(BR:CD,1159),"")</f>
        <v/>
      </c>
      <c r="CG101" s="66" t="str">
        <f>IF(CH101&lt;&gt;"","Piguaquan E","")</f>
        <v/>
      </c>
      <c r="CH101" s="66" t="str">
        <f>IF(COUNTIF(BR:CD,2159)&gt;0,COUNTIF(BR:CD,2159),"")</f>
        <v/>
      </c>
      <c r="CI101" s="66" t="str">
        <f>IF(CJ101&lt;&gt;"","Outros Estilos E","")</f>
        <v/>
      </c>
      <c r="CJ101" s="66" t="str">
        <f>IF(COUNTIF(BR:CD,11165)&gt;0,COUNTIF(BR:CD,11165),"")</f>
        <v/>
      </c>
      <c r="CK101" s="66" t="str">
        <f>IF(CL101&lt;&gt;"","Outros Estilos E","")</f>
        <v/>
      </c>
      <c r="CL101" s="66" t="str">
        <f>IF(COUNTIF(BR:CD,12165)&gt;0,COUNTIF(BR:CD,12165),"")</f>
        <v/>
      </c>
      <c r="CM101" s="50" t="str">
        <f xml:space="preserve"> IF(Atletas!W92="","",IF(Atletas!W92="Duilian de Mãos BC - Equipe 1",1,IF(Atletas!W92="Duilian de Mãos BC - Equipe 2",2,IF(Atletas!W92="Duilian de Armas BC - Equipe 1",3,IF(Atletas!W92="Duilian de Armas BC - Equipe 2",4,IF(Atletas!W92="Duilian de Mãos DE - Equipe 1",5,IF(Atletas!W92="Duilian de Mãos DE - Equipe 2",6,IF(Atletas!W92="Duilian de Armas DE - Equipe 1",7,IF(Atletas!W92="Duilian de Armas DE - Equipe 2",8,IF(Atletas!W92="Duilian de Tuishou - Equipe 1",9,IF(Atletas!W92="Duilian de Tuishou - Equipe 2",10,IF(Atletas!W92="Grupo Externo ABC - Equipe 1",11,IF(Atletas!W92="Grupo Externo ABC - Equipe 2",12,IF(Atletas!W92="Grupo Interno ABC - Equipe 1",13,IF(Atletas!W92="Grupo Interno ABC - Equipe 2",14,IF(Atletas!W92="Grupo Externo DEF - Equipe 1",15,IF(Atletas!W92="Grupo Externo DEF - Equipe 2",16,IF(Atletas!W92="Grupo Interno DEF - Equipe 1",17,IF(Atletas!W92="Grupo Interno DEF - Equipe 2",18,"")))))))))))))))))))</f>
        <v/>
      </c>
    </row>
    <row r="102" spans="2:9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 t="str">
        <f t="array" ref="Z102">IFERROR(INDEX(CE$7:CE$348,SMALL(IF(CE$7:CE$348&lt;&gt;"",ROW(CE$7:CE$348)-ROW(CE$7)+1),ROWS(CE$7:CE101))),"")</f>
        <v/>
      </c>
      <c r="AA102" s="3" t="str">
        <f t="array" ref="AA102">IFERROR(INDEX(CF$7:CF$348,SMALL(IF(CF$7:CF$348&lt;&gt;"",ROW(CF$7:CF$348)-ROW(CF$7)+1),ROWS(CF$7:CF101))),"")</f>
        <v/>
      </c>
      <c r="AB102" s="3" t="str">
        <f t="array" ref="AB102">IFERROR(INDEX(CG$7:CG$348,SMALL(IF(CG$7:CG$348&lt;&gt;"",ROW(CG$7:CG$348)-ROW(CG$7)+1),ROWS(CG$7:CG101))),"")</f>
        <v/>
      </c>
      <c r="AC102" s="3" t="str">
        <f t="array" ref="AC102">IFERROR(INDEX(CH$7:CH$348,SMALL(IF(CH$7:CH$348&lt;&gt;"",ROW(CH$7:CH$348)-ROW(CH$7)+1),ROWS(CH$7:CH101))),"")</f>
        <v/>
      </c>
      <c r="AD102" s="3" t="str">
        <f t="array" ref="AD102">IFERROR(INDEX(CI$7:CI$377,SMALL(IF(CI$7:CI$377&lt;&gt;"",ROW(CI$7:CI$377)-ROW(CI$7)+1),ROWS(CI$7:CI101))),"")</f>
        <v/>
      </c>
      <c r="AE102" s="3" t="str">
        <f t="array" ref="AE102">IFERROR(INDEX(CJ$7:CJ$378,SMALL(IF(CJ$7:CJ$378&lt;&gt;"",ROW(CJ$7:CJ$378)-ROW(CJ$7)+1),ROWS(CJ$7:CJ101))),"")</f>
        <v/>
      </c>
      <c r="AF102" s="3" t="str">
        <f t="array" ref="AF102">IFERROR(INDEX(CK$7:CK$378,SMALL(IF(CK$7:CK$378&lt;&gt;"",ROW(CK$7:CK$378)-ROW(CK$7)+1),ROWS(CK$7:CK101))),"")</f>
        <v/>
      </c>
      <c r="AG102" s="3" t="str">
        <f t="array" ref="AG102">IFERROR(INDEX(CL$7:CL$378,SMALL(IF(CL$7:CL$378&lt;&gt;"",ROW(CL$7:CL$378)-ROW(CL$7)+1),ROWS(CL$7:CL101))),"")</f>
        <v/>
      </c>
      <c r="AH102" s="3"/>
      <c r="AI102" s="3"/>
      <c r="AJ102" s="3"/>
      <c r="AK102" s="3"/>
      <c r="AL102" s="3"/>
      <c r="AM102" s="3"/>
      <c r="AN102" s="52" t="str">
        <f>IF(Atletas!D93="","",IF(Atletas!B93="Feminino",100,IF(Atletas!B93="Masculino",200,""))+(IF(Atletas!D93="Kids 30kg",1,IF(Atletas!D93="Kids 32kg",2, IF(Atletas!D93="Kids 34kg",3,IF(Atletas!D93="Kids 36kg",4,IF(Atletas!D93="Kids 39kg",5,IF(Atletas!D93="Kids 42kg",6,IF(Atletas!D93="Kids 45kg",7, IF(Atletas!D93="Infantil 39kg",8,IF(Atletas!D93="Infantil 42kg",9,IF(Atletas!D93="Infantil 45kg",10,IF(Atletas!D93="Infantil 48kg",11,IF(Atletas!D93="Infantil 52kg",12,IF(Atletas!D93="Infantil 56kg",13,IF(Atletas!D93="Infantil 60kg",14,IF(Atletas!D93="Juvenil 48kg",15,IF(Atletas!D93="Juvenil 52kg",16,IF(Atletas!D93="Juvenil 56kg",17,IF(Atletas!D93="Juvenil 60kg",18,IF(Atletas!D93="Juvenil 65kg",19,IF(Atletas!D93="Juvenil 70kg",20,IF(Atletas!D93="Juvenil 75kg",21,IF(Atletas!D93="Juvenil 80kg",22, IF(Atletas!D93="Juvenil 85kg",23,IF(Atletas!D93="Adulto 48kg",24,IF(Atletas!D93="Adulto 52kg",25,IF(Atletas!D93="Adulto 56kg",26,IF(Atletas!D93="Adulto 60kg",27,IF(Atletas!D93="Adulto 65kg",28,IF(Atletas!D93="Adulto 70kg",29,IF(Atletas!D93="Adulto 75kg",30,IF(Atletas!D93="Adulto 80kg",31,IF(Atletas!D93="Adulto 85kg",32,IF(Atletas!D93="Adulto 90kg",33,IF(Atletas!D93="Adulto 100kg",34, IF(Atletas!D93="Adulto +100kg",35,"")))))))))))))))))))))))))))))))))))))</f>
        <v/>
      </c>
      <c r="AS102" s="6" t="str">
        <f>IF(Atletas!E93="","",IF(Atletas!B93="Feminino",100,IF(Atletas!B93="Masculino",200,""))+(IF(Atletas!E93="Juvenil 44kg",1,IF(Atletas!E93="Juvenil 48kg",2,IF(Atletas!E93="Juvenil 52kg",3,IF(Atletas!E93="Juvenil 56kg",4,IF(Atletas!E93="Juvenil 60kg",5,IF(Atletas!E93="Juvenil 65kg",6,IF(Atletas!E93="Juvenil 70kg",7,IF(Atletas!E93="Juvenil 75kg",8,IF(Atletas!E93="Juvenil 82kg",9,IF(Atletas!E93="Juvenil 90kg",10,IF(Atletas!E93="Juvenil 100kg",11,IF(Atletas!E93="Adulto 48kg",12,IF(Atletas!E93="Adulto 52kg",13,IF(Atletas!E93="Adulto 56kg",14,IF(Atletas!E93="Adulto 60kg",15,IF(Atletas!E93="Adulto 65kg",16,IF(Atletas!E93="Adulto 70kg",17,IF(Atletas!E93="Adulto 75kg",18,IF(Atletas!E93="Adulto 82kg",19,IF(Atletas!E93="Adulto 90kg",20,IF(Atletas!E93="Adulto 100kg",21,IF(Atletas!E93="Adulto +100kg",22,""))))))))))))))))))))))))</f>
        <v/>
      </c>
      <c r="AX102" s="6" t="str">
        <f>IF(Atletas!F93="","",IF(Atletas!B93="Feminino",100,IF(Atletas!B93="Masculino",200,""))+(IF(Atletas!F93="Adulto 48kg",1,IF(Atletas!F93="Adulto 56kg",2,IF(Atletas!F93="Adulto 65kg",3,IF(Atletas!F93="Adulto 75kg",4,IF(Atletas!F93="Adulto +75kg",5,IF(Atletas!F93="Adulto 52kg",6,IF(Atletas!F93="Adulto 60kg",7,IF(Atletas!F93="Adulto 70kg",8,IF(Atletas!F93="Adulto 80kg",9,IF(Atletas!F93="Adulto 90kg",10,IF(Atletas!F93="Adulto +90kg",11,"")))))))))))))</f>
        <v/>
      </c>
      <c r="BC102" s="6" t="str">
        <f>IF(Atletas!G93="","",IF(Atletas!B93="Feminino",10,IF(Atletas!B93="Masculino",20,""))+(IF(Atletas!G93="Baduanjin A",1,IF(Atletas!G93="Baduanjin B",2))))</f>
        <v/>
      </c>
      <c r="BF102" s="52" t="str">
        <f>IF(Atletas!H93="","",IF(Atletas!B93="Feminino",100,IF(Atletas!B93="Masculino",200,""))+(IF(Atletas!H93="Changquan Mirim",1,IF(Atletas!H93="Nanquan Mirim",2,IF(Atletas!H93="Taijiquan Mirim",3,IF(Atletas!H93="Changquan Grupo C",4,IF(Atletas!H93="Nanquan Grupo C",5,IF(Atletas!H93="Taijiquan Grupo C",6,IF(Atletas!H93="Changquan Grupo B",7,IF(Atletas!H93="Nanquan Grupo B",8,IF(Atletas!H93="Taijiquan Grupo B",9,IF(Atletas!H93="Changquan Grupo A",10,IF(Atletas!H93="Nanquan Grupo A",11,IF(Atletas!H93="Taijiquan Grupo A",12,IF(Atletas!H93="Changquan Opcional",13,IF(Atletas!H93="Nanquan Opcional",14,IF(Atletas!H93="Taijiquan Opcional",15,IF(Atletas!H93="Changquan Adulto",16,IF(Atletas!H93="Nanquan Adulto",17,IF(Atletas!H93="Taijiquan Adulto",18,""))))))))))))))))))))</f>
        <v/>
      </c>
      <c r="BG102" s="52" t="str">
        <f>IF(Atletas!I93="","",IF(Atletas!B93="Feminino",100,IF(Atletas!B93="Masculino",200,""))+(IF(Atletas!I93="Daoshu Mirim",19,IF(Atletas!I93="Jianshu Mirim",20,IF(Atletas!I93="Nandao Mirim",21,IF(Atletas!I93="Taijijian Mirim",22,IF(Atletas!I93="Daoshu Grupo C",23,IF(Atletas!I93="Jianshu Grupo C",24,IF(Atletas!I93="Nandao Grupo C",25,IF(Atletas!I93="Taijijian Grupo C",26,IF(Atletas!I93="Daoshu Grupo B",27,IF(Atletas!I93="Jianshu Grupo B",28,IF(Atletas!I93="Nandao Grupo B",29,IF(Atletas!I93="Taijijian Grupo B",30,IF(Atletas!I93="Daoshu Grupo A",31,IF(Atletas!I93="Jianshu Grupo A",32,IF(Atletas!I93="Nandao Grupo A",33,IF(Atletas!I93="Taijijian Grupo A",34,IF(Atletas!I93="Daoshu Opcional",35,IF(Atletas!I93="Jianshu Opcional",36,IF(Atletas!I93="Nandao Opcional",37,IF(Atletas!I93="Taijijian Opcional",38,IF(Atletas!I93="Daoshu Adulto",39,IF(Atletas!I93="Jianshu Adulto",40,IF(Atletas!I93="Nandao Adulto",41,IF(Atletas!I93="Taijijian Adulto",42,""))))))))))))))))))))))))))</f>
        <v/>
      </c>
      <c r="BH102" s="52" t="str">
        <f>IF(Atletas!J93="","",IF(Atletas!B93="Feminino",100,IF(Atletas!B93="Masculino",200,""))+(IF(Atletas!J93="Gunshu Mirim",43,IF(Atletas!J93="Qiangshu Mirim",44,IF(Atletas!J93="Nangun Mirim",45,IF(Atletas!J93="Gunshu Grupo C",46,IF(Atletas!J93="Qiangshu Grupo C",47,IF(Atletas!J93="Nangun Grupo C",48,IF(Atletas!J93="Gunshu Grupo B",49,IF(Atletas!J93="Qiangshu Grupo B",50,IF(Atletas!J93="Nangun Grupo B",51,IF(Atletas!J93="Gunshu Grupo A",52,IF(Atletas!J93="Qiangshu Grupo A",53,IF(Atletas!J93="Nangun Grupo A",54,IF(Atletas!J93="Gunshu Opcional",55,IF(Atletas!J93="Qiangshu Opcional",56,IF(Atletas!J93="Nangun Opcional",57,IF(Atletas!J93="Gunshu Adulto",58,IF(Atletas!J93="Qiangshu Adulto",59,IF(Atletas!J93="Nangun Adulto",60,IF(Atletas!J93="Taijishan Grupo B",61,IF(Atletas!J93="Taijishan Grupo A",62,""))))))))))))))))))))))</f>
        <v/>
      </c>
      <c r="BM102" s="50" t="str">
        <f>IF(Atletas!K93="","",IF(Atletas!B93="Feminino",100,IF(Atletas!B93="Masculino",200,""))+(IF(Atletas!K93="Equipe 1 Grupo B",1,IF(Atletas!K93="Equipe 2 Grupo B",2,IF(Atletas!K93="Equipe 1 Grupo A",3,IF(Atletas!K93="Equipe 2 Grupo A",4,IF(Atletas!K93="Equipe 1 Adulto",5,IF(Atletas!K93="Equipe 2 Adulto",6,""))))))))</f>
        <v/>
      </c>
      <c r="BR102" s="50" t="str">
        <f>IF(Atletas!L93="","",IF(Atletas!X93&lt;&gt;"",10000,0)+(IF(Atletas!B93="Feminino",1000,IF(Atletas!B93="Masculino",2000,""))+IF(Atletas!L93="Choylayfut A",1,IF(Atletas!L93="Hunggar A",2,IF(Atletas!L93="Wuzuquan A",3,IF(Atletas!L93="Wingchun A",4,IF(Atletas!L93="Outra Mão de Sul A",5,IF(Atletas!L93="Choylayfut B",6,IF(Atletas!L93="Hunggar B",7,IF(Atletas!L93="Wuzuquan B",8,IF(Atletas!L93="Wingchun B",9,IF(Atletas!L93="Outra Mão de Sul B",10,IF(Atletas!L93="Choylayfut C",11,IF(Atletas!L93="Hunggar C",12,IF(Atletas!L93="Wuzuquan C",13,IF(Atletas!L93="Wingchun C",14,IF(Atletas!L93="Outra Mão de Sul C",15,IF(Atletas!L93="Choylayfut D",16,IF(Atletas!L93="Hunggar D",17,IF(Atletas!L93="Wuzuquan D",18,IF(Atletas!L93="Wingchun D",19,IF(Atletas!L93="Outra Mão de Sul D",20,IF(Atletas!L93="Choylayfut E",21,IF(Atletas!L93="Hunggar E",22,IF(Atletas!L93="Wuzuquan E",23,IF(Atletas!L93="Wingchun E",24,IF(Atletas!L93="Outra Mão de Sul E",25,IF(Atletas!L93="Choylayfut F",26,IF(Atletas!L93="Hunggar F",27,IF(Atletas!L93="Wuzuquan F",28,IF(Atletas!L93="Wingchun F",29,IF(Atletas!L93="Outra Mão de Sul F",30,IF(Atletas!L93="Dishuquan A",31,IF(Atletas!L93="Dishuquan B",32,IF(Atletas!L93="Dishuquan C",33,IF(Atletas!L93="Dishuquan D",34,IF(Atletas!L93="Dishuquan E",35,IF(Atletas!L93="Dishuquan F",36,""))))))))))))))))))))))))))))))))))))))</f>
        <v/>
      </c>
      <c r="BS102" s="50" t="str">
        <f>IF(Atletas!M93="","",IF(Atletas!X93&lt;&gt;"",10000,0)+(IF(Atletas!B93="Feminino",1000,IF(Atletas!B93="Masculino",2000,""))+(IF(Atletas!M93="Chaquan A",101,IF(Atletas!M93="Emeiquan A",102,IF(Atletas!M93="Fanziquan A",103,IF(Atletas!M93="Huaquan A",104,IF(Atletas!M93="Hongquan A",105,IF(Atletas!M93="Paoquan A",106,IF(Atletas!M93="Piguaquan A",107,IF(Atletas!M93="Shaolinquan A",108,IF(Atletas!M93="Tanglangquan A",109,IF(Atletas!M93="Yingzhaoquan A",110,IF(Atletas!M93="Tongbeiquan A",111,IF(Atletas!M93="Wudangquan A",112,IF(Atletas!M93="Outros Estilos A",113,IF(Atletas!M93="Chaquan B",114,IF(Atletas!M93="Emeiquan B",115,IF(Atletas!M93="Fanziquan B",116,IF(Atletas!M93="Huaquan B",117,IF(Atletas!M93="Hongquan B",118,IF(Atletas!M93="Paoquan B",119,IF(Atletas!M93="Piguaquan B",120,IF(Atletas!M93="Shaolinquan B",121,IF(Atletas!M93="Tanglangquan B",122,IF(Atletas!M93="Yingzhaoquan B",123,IF(Atletas!M93="Tongbeiquan B",124,IF(Atletas!M93="Wudangquan B",125,IF(Atletas!M93="Outros Estilos B",126,IF(Atletas!M93="Chaquan C",127,IF(Atletas!M93="Emeiquan C",128,IF(Atletas!M93="Fanziquan C",129,IF(Atletas!M93="Huaquan C",130,IF(Atletas!M93="Hongquan C",131,IF(Atletas!M93="Paoquan C",132,IF(Atletas!M93="Piguaquan C",133,IF(Atletas!M93="Shaolinquan C",134,IF(Atletas!M93="Tanglangquan C",135,IF(Atletas!M93="Yingzhaoquan C",136,IF(Atletas!M93="Tongbeiquan C",137,IF(Atletas!M93="Wudangquan C",138,IF(Atletas!M93="Outros Estilos C",139,0))))))))))))))))))))))))))))))))))))))))))</f>
        <v/>
      </c>
      <c r="BT102" s="50" t="str">
        <f>IF(Atletas!M93="","",IF(Atletas!X93&lt;&gt;"",10000,0)+(IF(Atletas!B93="Feminino",1000,IF(Atletas!B93="Masculino",2000,""))+(IF(Atletas!M93="Chaquan D",140,IF(Atletas!M93="Emeiquan D",141,IF(Atletas!M93="Fanziquan D",142,IF(Atletas!M93="Huaquan D",143,IF(Atletas!M93="Hongquan D",144,IF(Atletas!M93="Paoquan D",145,IF(Atletas!M93="Piguaquan D",146,IF(Atletas!M93="Shaolinquan D",147,IF(Atletas!M93="Tanglangquan D",148,IF(Atletas!M93="Yingzhaoquan D",149,IF(Atletas!M93="Tongbeiquan D",150,IF(Atletas!M93="Wudangquan D",151,IF(Atletas!M93="Outros Estilos D",152,IF(Atletas!M93="Chaquan E",153,IF(Atletas!M93="Emeiquan E",154,IF(Atletas!M93="Fanziquan E",155,IF(Atletas!M93="Huaquan E",156,IF(Atletas!M93="Hongquan E",157,IF(Atletas!M93="Paoquan E",158,IF(Atletas!M93="Piguaquan E",159,IF(Atletas!M93="Shaolinquan E",160,IF(Atletas!M93="Tanglangquan E",161,IF(Atletas!M93="Yingzhaoquan E",162,IF(Atletas!M93="Tongbeiquan E",163,IF(Atletas!M93="Wudangquan E",164,IF(Atletas!M93="Outros Estilos E",165,IF(Atletas!M93="Chaquan F",166,IF(Atletas!M93="Emeiquan F",167,IF(Atletas!M93="Fanziquan F",168,IF(Atletas!M93="Huaquan F",169,IF(Atletas!M93="Hongquan F",170,IF(Atletas!M93="Paoquan F",171,IF(Atletas!M93="Piguaquan F",172,IF(Atletas!M93="Shaolinquan F",173,IF(Atletas!M93="Tanglangquan F",174,IF(Atletas!M93="Yingzhaoquan F",175,IF(Atletas!M93="Tongbeiquan F",176,IF(Atletas!M93="Wudangquan F",177,IF(Atletas!M93="Outros Estilos F",178,0))))))))))))))))))))))))))))))))))))))))))</f>
        <v/>
      </c>
      <c r="BU102" s="50" t="str">
        <f>IF(Atletas!N93="","",IF(Atletas!X93&lt;&gt;"",10000,0)+(IF(Atletas!B93="Feminino",1000,IF(Atletas!B93="Masculino",2000,""))+(IF(Atletas!N93="Ditangquan A",201,IF(Atletas!N93="Houquan A",202,IF(Atletas!N93="Zuiquan A",203,IF(Atletas!N93="Ditangquan B",204,IF(Atletas!N93="Houquan B",205,IF(Atletas!N93="Zuiquan B",206,IF(Atletas!N93="Ditangquan C",207,IF(Atletas!N93="Houquan C",208,IF(Atletas!N93="Zuiquan C",209,IF(Atletas!N93="Ditangquan D",210,IF(Atletas!N93="Houquan D",211,IF(Atletas!N93="Zuiquan D",212,IF(Atletas!N93="Ditangquan E",213,IF(Atletas!N93="Houquan E",214,IF(Atletas!N93="Zuiquan E",215,IF(Atletas!N93="Ditangquan F",216,IF(Atletas!N93="Houquan F",217,IF(Atletas!N93="Zuiquan F",218,"")))))))))))))))))))))</f>
        <v/>
      </c>
      <c r="BV102" s="50" t="str">
        <f>IF(Atletas!O93="","",IF(Atletas!X93&lt;&gt;"",10000,0)+IF(Atletas!B93="Feminino",1000,IF(Atletas!B93="Masculino",2000,""))+IF(Atletas!O93="Yang A",301,IF(Atletas!O93="Chen A",302,IF(Atletas!O93="Sun A",303,IF(Atletas!O93="Wu A",304,IF(Atletas!O93="Wu-Hao A",305,IF(Atletas!O93="Outro Taijiquan A",306,IF(Atletas!O93="Yang B",307,IF(Atletas!O93="Chen B",308,IF(Atletas!O93="Sun B",309,IF(Atletas!O93="Wu B",310,IF(Atletas!O93="Wu-Hao B",311,IF(Atletas!O93="Outro Taijiquan B",312,IF(Atletas!O93="Yang C",313,IF(Atletas!O93="Chen C",314,IF(Atletas!O93="Sun C",315,IF(Atletas!O93="Wu C",316,IF(Atletas!O93="Wu-Hao C",317,IF(Atletas!O93="Outro Taijiquan C",318,IF(Atletas!O93="Yang D",319,IF(Atletas!O93="Chen D",320,IF(Atletas!O93="Sun D",321,IF(Atletas!O93="Wu D",322,IF(Atletas!O93="Wu-Hao D",323,IF(Atletas!O93="Outro Taijiquan D",324,IF(Atletas!O93="Yang E",325,IF(Atletas!O93="Chen E",326,IF(Atletas!O93="Sun E",327,IF(Atletas!O93="Wu E",328,IF(Atletas!O93="Wu-Hao E",329,IF(Atletas!O93="Outro Taijiquan E",330,IF(Atletas!O93="Yang F",331,IF(Atletas!O93="Chen F",332,IF(Atletas!O93="Sun F",333,IF(Atletas!O93="Wu F",334,IF(Atletas!O93="Wu-Hao F",335,IF(Atletas!O93="Outro Taijiquan F",336,"")))))))))))))))))))))))))))))))))))))</f>
        <v/>
      </c>
      <c r="BW102" s="50" t="str">
        <f>IF(Atletas!P93="","",IF(Atletas!X93&lt;&gt;"",10000,0)+IF(Atletas!B93="Feminino",1000,IF(Atletas!B93="Masculino",2000,""))+IF(OR(Atletas!P93="Yang 26 A",Atletas!P93="Yang 40 A"),401,IF(OR(Atletas!P93="Chen 25 A",Atletas!P93="Chen 36 A",Atletas!P93="Chen 56 A"),402,IF(Atletas!P93="Sun 73 A",403,IF(Atletas!P93="Wu 45 A",404,IF(Atletas!P93="Wu-Hao 46 A",405,IF(OR(Atletas!P93="Taijiquan 16 A",Atletas!P93="Taijiquan 24 A",Atletas!P93="Taijiquan 32 A",Atletas!P93="Taijiquan 42 A"),406,IF(OR(Atletas!P93="Yang 26 B",Atletas!P93="Yang 40 B"),407,IF(OR(Atletas!P93="Chen 25 B",Atletas!P93="Chen 36 B",Atletas!P93="Chen 56 B"),408,IF(Atletas!P93="Sun 73 B",409,IF(Atletas!P93="Wu 45 B",410,IF(Atletas!P93="Wu-Hao 46 B",411,IF(OR(Atletas!P93="Taijiquan 16 B",Atletas!P93="Taijiquan 24 B",Atletas!P93="Taijiquan 32 B",Atletas!P93="Taijiquan 42 B"),412,IF(OR(Atletas!P93="Yang 26 C",Atletas!P93="Yang 40 C"),413,IF(OR(Atletas!P93="Chen 25 C",Atletas!P93="Chen 36 C",Atletas!P93="Chen 56 C"),414,IF(Atletas!P93="Sun 73 C",415,IF(Atletas!P93="Wu 45 C",416,IF(Atletas!P93="Wu-Hao 46 C",417,IF(OR(Atletas!P93="Taijiquan 16 C",Atletas!P93="Taijiquan 24 C",Atletas!P93="Taijiquan 32 C",Atletas!P93="Taijiquan 42 C"),418,0)))))))))))))))))))</f>
        <v/>
      </c>
      <c r="BX102" s="50" t="str">
        <f>IF(Atletas!P93="","",IF(Atletas!X93&lt;&gt;"",10000,0)+IF(Atletas!B93="Feminino",1000,IF(Atletas!B93="Masculino",2000,""))+IF(OR(Atletas!P93="Yang 26 D",Atletas!P93="Yang 40 D"),419,IF(OR(Atletas!P93="Chen 25 D",Atletas!P93="Chen 36 D",Atletas!P93="Chen 56 D"),420,IF(Atletas!P93="Sun 73 D",421,IF(Atletas!P93="Wu 45 D",422,IF(Atletas!P93="Wu-Hao 46 D",423,IF(OR(Atletas!P93="Taijiquan 16 D",Atletas!P93="Taijiquan 24 D",Atletas!P93="Taijiquan 32 D",Atletas!P93="Taijiquan 42 D"),424,IF(OR(Atletas!P93="Yang 26 E",Atletas!P93="Yang 40 E"),425,IF(OR(Atletas!P93="Chen 25 E",Atletas!P93="Chen 36 E",Atletas!P93="Chen 56 E"),426,IF(Atletas!P93="Sun 73 E",427,IF(Atletas!P93="Wu 45 E",428,IF(Atletas!P93="Wu-Hao 46 E",429,IF(OR(Atletas!P93="Taijiquan 16 E",Atletas!P93="Taijiquan 24 E",Atletas!P93="Taijiquan 32 E",Atletas!P93="Taijiquan 42 E"),430,IF(OR(Atletas!P93="Yang 26 F",Atletas!P93="Yang 40 F"),431,IF(OR(Atletas!P93="Chen 25 F",Atletas!P93="Chen 36 F",Atletas!P93="Chen 56 F"),432,IF(Atletas!P93="Sun 73 F",433,IF(Atletas!P93="Wu 45 F",434,IF(Atletas!P93="Wu-Hao 46 F",435,IF(OR(Atletas!P93="Taijiquan 16 F",Atletas!P93="Taijiquan 24 F",Atletas!P93="Taijiquan 32 F",Atletas!P93="Taijiquan 42 F"),436,0)))))))))))))))))))</f>
        <v/>
      </c>
      <c r="BY102" s="50" t="str">
        <f>IF(Atletas!Q93="","",IF(Atletas!X93&lt;&gt;"",10000,0)+IF(Atletas!B93="Feminino",1000,IF(Atletas!B93="Masculino",2000,""))+IF(Atletas!Q93="Xingyiquan A",501,IF(Atletas!Q93="Baguazhang A",502,IF(Atletas!Q93="Outro Estilo Interno A",503,IF(Atletas!Q93="Xingyiquan B",504,IF(Atletas!Q93="Baguazhang B",505,IF(Atletas!Q93="Outro Estilo Interno B",506,IF(Atletas!Q93="Xingyiquan C",507,IF(Atletas!Q93="Baguazhang C",508,IF(Atletas!Q93="Outro Estilo Interno C",509,IF(Atletas!Q93="Xingyiquan D",510,IF(Atletas!Q93="Baguazhang D",511,IF(Atletas!Q93="Outro Estilo Interno D",512,IF(Atletas!Q93="Xingyiquan E",513,IF(Atletas!Q93="Baguazhang E",514,IF(Atletas!Q93="Outro Estilo Interno E",515,IF(Atletas!Q93="Xingyiquan F",516,IF(Atletas!Q93="Baguazhang F",517,IF(Atletas!Q93="Outro Estilo Interno F",518, "")))))))))))))))))))</f>
        <v/>
      </c>
      <c r="BZ102" s="50" t="str">
        <f>IF(Atletas!R93="","",IF(Atletas!X93&lt;&gt;"",10000,0)+IF(Atletas!B93="Feminino",1000,IF(Atletas!B93="Masculino",2000,""))+IF(Atletas!R93="Dao A",601,IF(Atletas!R93="Jian A",602,IF(Atletas!R93="Bishou A",603,IF(Atletas!R93="Shanzi A",604,IF(Atletas!R93="Outra Arma Curta A",605,IF(Atletas!R93="Dao B",606,IF(Atletas!R93="Jian B",607,IF(Atletas!R93="Bishou B",608,IF(Atletas!R93="Shanzi B",609,IF(Atletas!R93="Outra Arma Curta B",610,IF(Atletas!R93="Dao C",611,IF(Atletas!R93="Jian C",612,IF(Atletas!R93="Bishou C",613,IF(Atletas!R93="Shanzi C",614,IF(Atletas!R93="Outra Arma Curta C",615,IF(Atletas!R93="Dao D",616,IF(Atletas!R93="Jian D",617,IF(Atletas!R93="Bishou D",618,IF(Atletas!R93="Shanzi D",619,IF(Atletas!R93="Outra Arma Curta D",620,IF(Atletas!R93="Dao E",621,IF(Atletas!R93="Jian E",622,IF(Atletas!R93="Bishou E",623,IF(Atletas!R93="Shanzi E",624,IF(Atletas!R93="Outra Arma Curta E",625,IF(Atletas!R93="Dao F",626,IF(Atletas!R93="Jian F",627,IF(Atletas!R93="Bishou F",628,IF(Atletas!R93="Shanzi F",629,IF(Atletas!R93="Outra Arma Curta F",630, "")))))))))))))))))))))))))))))))</f>
        <v/>
      </c>
      <c r="CA102" s="50" t="str">
        <f>IF(Atletas!S93="","",IF(Atletas!X93&lt;&gt;"",10000,0)+IF(Atletas!B93="Feminino",1000,IF(Atletas!B93="Masculino",2000,""))+IF(Atletas!S93="Gun A",701,IF(Atletas!S93="Qiang A",702,IF(Atletas!S93="Pudao / Guandao A",703,IF(Atletas!S93="Outra Arma Longa A",704,IF(Atletas!S93="Gun B",705,IF(Atletas!S93="Qiang B",706,IF(Atletas!S93="Pudao / Guandao B",707,IF(Atletas!S93="Outra Arma Longa B",708,IF(Atletas!S93="Gun C",709,IF(Atletas!S93="Qiang C",710,IF(Atletas!S93="Pudao / Guandao C",711,IF(Atletas!S93="Outra Arma Longa C",712,IF(Atletas!S93="Gun D",713,IF(Atletas!S93="Qiang D",714,IF(Atletas!S93="Pudao / Guandao D",715,IF(Atletas!S93="Outra Arma Longa D",716,IF(Atletas!S93="Gun E",717,IF(Atletas!S93="Qiang E",718,IF(Atletas!S93="Pudao / Guandao E",719,IF(Atletas!S93="Outra Arma Longa E",720,IF(Atletas!S93="Gun F",721,IF(Atletas!S93="Qiang F",722,IF(Atletas!S93="Pudao / Guandao F",723,IF(Atletas!S93="Outra Arma Longa F",724,"")))))))))))))))))))))))))</f>
        <v/>
      </c>
      <c r="CB102" s="50" t="str">
        <f>IF(Atletas!T93="","",IF(Atletas!X93&lt;&gt;"",10000,0)+IF(Atletas!B93="Feminino",1000,IF(Atletas!B93="Masculino",2000,""))+IF(Atletas!T93="Outra Arma Dupla A",801,IF(Atletas!T93="Arma Maleável A",802,IF(Atletas!T93="Outra Arma Dupla B",803,IF(Atletas!T93="Arma Maleável B",804,IF(Atletas!T93="Outra Arma Dupla C",805,IF(Atletas!T93="Arma Maleável C",806,IF(Atletas!T93="Outra Arma Dupla D",807,IF(Atletas!T93="Arma Maleável D",808,IF(Atletas!T93="Outra Arma Dupla E",809,IF(Atletas!T93="Arma Maleável E",810,IF(Atletas!T93="Outra Arma Dupla F",811,IF(Atletas!T93="Arma Maleável F",812,IF(Atletas!T93="Shuangdao A",813,IF(Atletas!T93="Shuangdao B",814,IF(Atletas!T93="Shuangdao C",815,IF(Atletas!T93="Shuangdao D",816,IF(Atletas!T93="Shuangdao E",817,IF(Atletas!T93="Shuangdao F",818,"")))))))))))))))))))</f>
        <v/>
      </c>
      <c r="CC102" s="50" t="str">
        <f>IF(Atletas!U93="","",IF(Atletas!X93&lt;&gt;"",10000,0)+IF(Atletas!B93="Feminino",1000,IF(Atletas!B93="Masculino",2000,""))+IF(OR(Atletas!U93="Taijijian Yang A",Atletas!U93="Taijijian Yang Standard A"),901,IF(OR(Atletas!U93="Taijijian Chen A", Atletas!U93="Taijijian Chen Standard A"),902,IF(Atletas!U93="Taijijian Sun A",903,IF(Atletas!U93="Taijijian Wu A",904,IF(Atletas!U93="Taijijian Wu-Hao A",905,IF(OR(Atletas!U93="Taijijian 32 A",Atletas!U93="Taijijian 42 A"),906,IF(OR(Atletas!U93="Taijijian Yang B",Atletas!U93="Taijijian Yang Standard B"),907,IF(OR(Atletas!U93="Taijijian Chen B", Atletas!U93="Taijijian Chen Standard B"),908,IF(Atletas!U93="Taijijian Sun B",909,IF(Atletas!U93="Taijijian Wu B",910,IF(Atletas!U93="Taijijian Wu-Hao B",911,IF(OR(Atletas!U93="Taijijian 32 B",Atletas!U93="Taijijian 42 B"),912,IF(OR(Atletas!U93="Taijijian Yang C",Atletas!U93="Taijijian Yang Standard C"),913,IF(OR(Atletas!U93="Taijijian Chen C", Atletas!U93="Taijijian Chen Standard C"),914,IF(Atletas!U93="Taijijian Sun C",915,IF(Atletas!U93="Taijijian Wu C",916,IF(Atletas!U93="Taijijian Wu-Hao C",917,IF(OR(Atletas!U93="Taijijian 32 C",Atletas!U93="Taijijian 42 C"),918,IF(OR(Atletas!U93="Taijijian Yang D",Atletas!U93="Taijijian Yang Standard D"),919,IF(OR(Atletas!U93="Taijijian Chen D", Atletas!U93="Taijijian Chen Standard D"),920,IF(Atletas!U93="Taijijian Sun D",921,IF(Atletas!U93="Taijijian Wu D",922,IF(Atletas!U93="Taijijian Wu-Hao D",923,IF(OR(Atletas!U93="Taijijian 32 D",Atletas!U93="Taijijian 42 D"),924,IF(OR(Atletas!U93="Taijijian Yang E",Atletas!U93="Taijijian Yang Standard E"),925,IF(OR(Atletas!U93="Taijijian Chen E", Atletas!U93="Taijijian Chen Standard E"),926,IF(Atletas!U93="Taijijian Sun E",927,IF(Atletas!U93="Taijijian Wu E",928,IF(Atletas!U93="Taijijian Wu-Hao E",929,IF(OR(Atletas!U93="Taijijian 32 E",Atletas!U93="Taijijian 42 E"),930,IF(OR(Atletas!U93="Taijijian Yang F",Atletas!U93="Taijijian Yang Standard F"),931,IF(OR(Atletas!U93="Taijijian Chen F", Atletas!U93="Taijijian Chen Standard F"),932,IF(Atletas!U93="Taijijian Sun F",933,IF(Atletas!U93="Taijijian Wu F",934,IF(Atletas!U93="Taijijian Wu-Hao F",935,IF(OR(Atletas!U93="Taijijian 32 F",Atletas!U93="Taijijian 42 F"),936,"")))))))))))))))))))))))))))))))))))))</f>
        <v/>
      </c>
      <c r="CD102" s="50" t="str">
        <f>IF(Atletas!V93="","",IF(Atletas!X93&lt;&gt;"",10000,0)+IF(Atletas!B93="Feminino",1000,IF(Atletas!B93="Masculino",2000,""))+IF(Atletas!V93="Taijidao A",937,IF(Atletas!V93="TaijiShanzi A",938,IF(Atletas!V93="Taijiqiang A",939,IF(Atletas!V93="Bagua de Arma A",940,IF(Atletas!V93="Xingyi de Arma A",941,IF(Atletas!V93="Taijidao B",942,IF(Atletas!V93="TaijiShanzi B",943,IF(Atletas!V93="Taijiqiang B",944,IF(Atletas!V93="Bagua de Arma B",945,IF(Atletas!V93="Xingyi de Arma B",946,IF(Atletas!V93="Taijidao C",947,IF(Atletas!V93="TaijiShanzi C",948,IF(Atletas!V93="Taijiqiang C",949,IF(Atletas!V93="Bagua de Arma C",950,IF(Atletas!V93="Xingyi de Arma C",951,IF(Atletas!V93="Taijidao D",952,IF(Atletas!V93="TaijiShanzi D",953,IF(Atletas!V93="Taijiqiang D",954,IF(Atletas!V93="Bagua de Arma D",955,IF(Atletas!V93="Xingyi de Arma D",956,IF(Atletas!V93="Taijidao E",957,IF(Atletas!V93="TaijiShanzi E",958,IF(Atletas!V93="Taijiqiang E",959,IF(Atletas!V93="Bagua de Arma E",960,IF(Atletas!V93="Xingyi de Arma E",961,IF(Atletas!V93="Taijidao F",962,IF(Atletas!V93="TaijiShanzi F",963,IF(Atletas!V93="Taijiqiang F",964,IF(Atletas!V93="Bagua de Arma F",965,IF(Atletas!V93="Xingyi de Arma F",966,"")))))))))))))))))))))))))))))))</f>
        <v/>
      </c>
      <c r="CE102" s="66" t="str">
        <f>IF(CF102&lt;&gt;"","Shaolinquan E","")</f>
        <v/>
      </c>
      <c r="CF102" s="66" t="str">
        <f>IF(COUNTIF(BR:CD,1160)&gt;0,COUNTIF(BR:CD,1160),"")</f>
        <v/>
      </c>
      <c r="CG102" s="66" t="str">
        <f>IF(CH102&lt;&gt;"","Shaolinquan E","")</f>
        <v/>
      </c>
      <c r="CH102" s="66" t="str">
        <f>IF(COUNTIF(BR:CD,2160)&gt;0,COUNTIF(BR:CD,2160),"")</f>
        <v/>
      </c>
      <c r="CI102" s="66" t="str">
        <f>IF(CJ102&lt;&gt;"","Chaquan F","")</f>
        <v/>
      </c>
      <c r="CJ102" s="66" t="str">
        <f>IF(COUNTIF(BR:CD,11166)&gt;0,COUNTIF(BR:CD,11166),"")</f>
        <v/>
      </c>
      <c r="CK102" s="66" t="str">
        <f>IF(CL102&lt;&gt;"","Chaquan F","")</f>
        <v/>
      </c>
      <c r="CL102" s="66" t="str">
        <f>IF(COUNTIF(BR:CD,12166)&gt;0,COUNTIF(BR:CD,12166),"")</f>
        <v/>
      </c>
      <c r="CM102" s="50" t="str">
        <f xml:space="preserve"> IF(Atletas!W93="","",IF(Atletas!W93="Duilian de Mãos BC - Equipe 1",1,IF(Atletas!W93="Duilian de Mãos BC - Equipe 2",2,IF(Atletas!W93="Duilian de Armas BC - Equipe 1",3,IF(Atletas!W93="Duilian de Armas BC - Equipe 2",4,IF(Atletas!W93="Duilian de Mãos DE - Equipe 1",5,IF(Atletas!W93="Duilian de Mãos DE - Equipe 2",6,IF(Atletas!W93="Duilian de Armas DE - Equipe 1",7,IF(Atletas!W93="Duilian de Armas DE - Equipe 2",8,IF(Atletas!W93="Duilian de Tuishou - Equipe 1",9,IF(Atletas!W93="Duilian de Tuishou - Equipe 2",10,IF(Atletas!W93="Grupo Externo ABC - Equipe 1",11,IF(Atletas!W93="Grupo Externo ABC - Equipe 2",12,IF(Atletas!W93="Grupo Interno ABC - Equipe 1",13,IF(Atletas!W93="Grupo Interno ABC - Equipe 2",14,IF(Atletas!W93="Grupo Externo DEF - Equipe 1",15,IF(Atletas!W93="Grupo Externo DEF - Equipe 2",16,IF(Atletas!W93="Grupo Interno DEF - Equipe 1",17,IF(Atletas!W93="Grupo Interno DEF - Equipe 2",18,"")))))))))))))))))))</f>
        <v/>
      </c>
    </row>
    <row r="103" spans="2:91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 t="str">
        <f t="array" ref="Z103">IFERROR(INDEX(CE$7:CE$348,SMALL(IF(CE$7:CE$348&lt;&gt;"",ROW(CE$7:CE$348)-ROW(CE$7)+1),ROWS(CE$7:CE102))),"")</f>
        <v/>
      </c>
      <c r="AA103" s="3" t="str">
        <f t="array" ref="AA103">IFERROR(INDEX(CF$7:CF$348,SMALL(IF(CF$7:CF$348&lt;&gt;"",ROW(CF$7:CF$348)-ROW(CF$7)+1),ROWS(CF$7:CF102))),"")</f>
        <v/>
      </c>
      <c r="AB103" s="3" t="str">
        <f t="array" ref="AB103">IFERROR(INDEX(CG$7:CG$348,SMALL(IF(CG$7:CG$348&lt;&gt;"",ROW(CG$7:CG$348)-ROW(CG$7)+1),ROWS(CG$7:CG102))),"")</f>
        <v/>
      </c>
      <c r="AC103" s="3" t="str">
        <f t="array" ref="AC103">IFERROR(INDEX(CH$7:CH$348,SMALL(IF(CH$7:CH$348&lt;&gt;"",ROW(CH$7:CH$348)-ROW(CH$7)+1),ROWS(CH$7:CH102))),"")</f>
        <v/>
      </c>
      <c r="AD103" s="3" t="str">
        <f t="array" ref="AD103">IFERROR(INDEX(CI$7:CI$377,SMALL(IF(CI$7:CI$377&lt;&gt;"",ROW(CI$7:CI$377)-ROW(CI$7)+1),ROWS(CI$7:CI102))),"")</f>
        <v/>
      </c>
      <c r="AE103" s="3" t="str">
        <f t="array" ref="AE103">IFERROR(INDEX(CJ$7:CJ$378,SMALL(IF(CJ$7:CJ$378&lt;&gt;"",ROW(CJ$7:CJ$378)-ROW(CJ$7)+1),ROWS(CJ$7:CJ102))),"")</f>
        <v/>
      </c>
      <c r="AF103" s="3" t="str">
        <f t="array" ref="AF103">IFERROR(INDEX(CK$7:CK$378,SMALL(IF(CK$7:CK$378&lt;&gt;"",ROW(CK$7:CK$378)-ROW(CK$7)+1),ROWS(CK$7:CK102))),"")</f>
        <v/>
      </c>
      <c r="AG103" s="3" t="str">
        <f t="array" ref="AG103">IFERROR(INDEX(CL$7:CL$378,SMALL(IF(CL$7:CL$378&lt;&gt;"",ROW(CL$7:CL$378)-ROW(CL$7)+1),ROWS(CL$7:CL102))),"")</f>
        <v/>
      </c>
      <c r="AH103" s="3"/>
      <c r="AI103" s="3"/>
      <c r="AJ103" s="3"/>
      <c r="AK103" s="3"/>
      <c r="AL103" s="3"/>
      <c r="AM103" s="3"/>
      <c r="AN103" s="52" t="str">
        <f>IF(Atletas!D94="","",IF(Atletas!B94="Feminino",100,IF(Atletas!B94="Masculino",200,""))+(IF(Atletas!D94="Kids 30kg",1,IF(Atletas!D94="Kids 32kg",2, IF(Atletas!D94="Kids 34kg",3,IF(Atletas!D94="Kids 36kg",4,IF(Atletas!D94="Kids 39kg",5,IF(Atletas!D94="Kids 42kg",6,IF(Atletas!D94="Kids 45kg",7, IF(Atletas!D94="Infantil 39kg",8,IF(Atletas!D94="Infantil 42kg",9,IF(Atletas!D94="Infantil 45kg",10,IF(Atletas!D94="Infantil 48kg",11,IF(Atletas!D94="Infantil 52kg",12,IF(Atletas!D94="Infantil 56kg",13,IF(Atletas!D94="Infantil 60kg",14,IF(Atletas!D94="Juvenil 48kg",15,IF(Atletas!D94="Juvenil 52kg",16,IF(Atletas!D94="Juvenil 56kg",17,IF(Atletas!D94="Juvenil 60kg",18,IF(Atletas!D94="Juvenil 65kg",19,IF(Atletas!D94="Juvenil 70kg",20,IF(Atletas!D94="Juvenil 75kg",21,IF(Atletas!D94="Juvenil 80kg",22, IF(Atletas!D94="Juvenil 85kg",23,IF(Atletas!D94="Adulto 48kg",24,IF(Atletas!D94="Adulto 52kg",25,IF(Atletas!D94="Adulto 56kg",26,IF(Atletas!D94="Adulto 60kg",27,IF(Atletas!D94="Adulto 65kg",28,IF(Atletas!D94="Adulto 70kg",29,IF(Atletas!D94="Adulto 75kg",30,IF(Atletas!D94="Adulto 80kg",31,IF(Atletas!D94="Adulto 85kg",32,IF(Atletas!D94="Adulto 90kg",33,IF(Atletas!D94="Adulto 100kg",34, IF(Atletas!D94="Adulto +100kg",35,"")))))))))))))))))))))))))))))))))))))</f>
        <v/>
      </c>
      <c r="AS103" s="6" t="str">
        <f>IF(Atletas!E94="","",IF(Atletas!B94="Feminino",100,IF(Atletas!B94="Masculino",200,""))+(IF(Atletas!E94="Juvenil 44kg",1,IF(Atletas!E94="Juvenil 48kg",2,IF(Atletas!E94="Juvenil 52kg",3,IF(Atletas!E94="Juvenil 56kg",4,IF(Atletas!E94="Juvenil 60kg",5,IF(Atletas!E94="Juvenil 65kg",6,IF(Atletas!E94="Juvenil 70kg",7,IF(Atletas!E94="Juvenil 75kg",8,IF(Atletas!E94="Juvenil 82kg",9,IF(Atletas!E94="Juvenil 90kg",10,IF(Atletas!E94="Juvenil 100kg",11,IF(Atletas!E94="Adulto 48kg",12,IF(Atletas!E94="Adulto 52kg",13,IF(Atletas!E94="Adulto 56kg",14,IF(Atletas!E94="Adulto 60kg",15,IF(Atletas!E94="Adulto 65kg",16,IF(Atletas!E94="Adulto 70kg",17,IF(Atletas!E94="Adulto 75kg",18,IF(Atletas!E94="Adulto 82kg",19,IF(Atletas!E94="Adulto 90kg",20,IF(Atletas!E94="Adulto 100kg",21,IF(Atletas!E94="Adulto +100kg",22,""))))))))))))))))))))))))</f>
        <v/>
      </c>
      <c r="AX103" s="6" t="str">
        <f>IF(Atletas!F94="","",IF(Atletas!B94="Feminino",100,IF(Atletas!B94="Masculino",200,""))+(IF(Atletas!F94="Adulto 48kg",1,IF(Atletas!F94="Adulto 56kg",2,IF(Atletas!F94="Adulto 65kg",3,IF(Atletas!F94="Adulto 75kg",4,IF(Atletas!F94="Adulto +75kg",5,IF(Atletas!F94="Adulto 52kg",6,IF(Atletas!F94="Adulto 60kg",7,IF(Atletas!F94="Adulto 70kg",8,IF(Atletas!F94="Adulto 80kg",9,IF(Atletas!F94="Adulto 90kg",10,IF(Atletas!F94="Adulto +90kg",11,"")))))))))))))</f>
        <v/>
      </c>
      <c r="BC103" s="6" t="str">
        <f>IF(Atletas!G94="","",IF(Atletas!B94="Feminino",10,IF(Atletas!B94="Masculino",20,""))+(IF(Atletas!G94="Baduanjin A",1,IF(Atletas!G94="Baduanjin B",2))))</f>
        <v/>
      </c>
      <c r="BF103" s="52" t="str">
        <f>IF(Atletas!H94="","",IF(Atletas!B94="Feminino",100,IF(Atletas!B94="Masculino",200,""))+(IF(Atletas!H94="Changquan Mirim",1,IF(Atletas!H94="Nanquan Mirim",2,IF(Atletas!H94="Taijiquan Mirim",3,IF(Atletas!H94="Changquan Grupo C",4,IF(Atletas!H94="Nanquan Grupo C",5,IF(Atletas!H94="Taijiquan Grupo C",6,IF(Atletas!H94="Changquan Grupo B",7,IF(Atletas!H94="Nanquan Grupo B",8,IF(Atletas!H94="Taijiquan Grupo B",9,IF(Atletas!H94="Changquan Grupo A",10,IF(Atletas!H94="Nanquan Grupo A",11,IF(Atletas!H94="Taijiquan Grupo A",12,IF(Atletas!H94="Changquan Opcional",13,IF(Atletas!H94="Nanquan Opcional",14,IF(Atletas!H94="Taijiquan Opcional",15,IF(Atletas!H94="Changquan Adulto",16,IF(Atletas!H94="Nanquan Adulto",17,IF(Atletas!H94="Taijiquan Adulto",18,""))))))))))))))))))))</f>
        <v/>
      </c>
      <c r="BG103" s="52" t="str">
        <f>IF(Atletas!I94="","",IF(Atletas!B94="Feminino",100,IF(Atletas!B94="Masculino",200,""))+(IF(Atletas!I94="Daoshu Mirim",19,IF(Atletas!I94="Jianshu Mirim",20,IF(Atletas!I94="Nandao Mirim",21,IF(Atletas!I94="Taijijian Mirim",22,IF(Atletas!I94="Daoshu Grupo C",23,IF(Atletas!I94="Jianshu Grupo C",24,IF(Atletas!I94="Nandao Grupo C",25,IF(Atletas!I94="Taijijian Grupo C",26,IF(Atletas!I94="Daoshu Grupo B",27,IF(Atletas!I94="Jianshu Grupo B",28,IF(Atletas!I94="Nandao Grupo B",29,IF(Atletas!I94="Taijijian Grupo B",30,IF(Atletas!I94="Daoshu Grupo A",31,IF(Atletas!I94="Jianshu Grupo A",32,IF(Atletas!I94="Nandao Grupo A",33,IF(Atletas!I94="Taijijian Grupo A",34,IF(Atletas!I94="Daoshu Opcional",35,IF(Atletas!I94="Jianshu Opcional",36,IF(Atletas!I94="Nandao Opcional",37,IF(Atletas!I94="Taijijian Opcional",38,IF(Atletas!I94="Daoshu Adulto",39,IF(Atletas!I94="Jianshu Adulto",40,IF(Atletas!I94="Nandao Adulto",41,IF(Atletas!I94="Taijijian Adulto",42,""))))))))))))))))))))))))))</f>
        <v/>
      </c>
      <c r="BH103" s="52" t="str">
        <f>IF(Atletas!J94="","",IF(Atletas!B94="Feminino",100,IF(Atletas!B94="Masculino",200,""))+(IF(Atletas!J94="Gunshu Mirim",43,IF(Atletas!J94="Qiangshu Mirim",44,IF(Atletas!J94="Nangun Mirim",45,IF(Atletas!J94="Gunshu Grupo C",46,IF(Atletas!J94="Qiangshu Grupo C",47,IF(Atletas!J94="Nangun Grupo C",48,IF(Atletas!J94="Gunshu Grupo B",49,IF(Atletas!J94="Qiangshu Grupo B",50,IF(Atletas!J94="Nangun Grupo B",51,IF(Atletas!J94="Gunshu Grupo A",52,IF(Atletas!J94="Qiangshu Grupo A",53,IF(Atletas!J94="Nangun Grupo A",54,IF(Atletas!J94="Gunshu Opcional",55,IF(Atletas!J94="Qiangshu Opcional",56,IF(Atletas!J94="Nangun Opcional",57,IF(Atletas!J94="Gunshu Adulto",58,IF(Atletas!J94="Qiangshu Adulto",59,IF(Atletas!J94="Nangun Adulto",60,IF(Atletas!J94="Taijishan Grupo B",61,IF(Atletas!J94="Taijishan Grupo A",62,""))))))))))))))))))))))</f>
        <v/>
      </c>
      <c r="BM103" s="50" t="str">
        <f>IF(Atletas!K94="","",IF(Atletas!B94="Feminino",100,IF(Atletas!B94="Masculino",200,""))+(IF(Atletas!K94="Equipe 1 Grupo B",1,IF(Atletas!K94="Equipe 2 Grupo B",2,IF(Atletas!K94="Equipe 1 Grupo A",3,IF(Atletas!K94="Equipe 2 Grupo A",4,IF(Atletas!K94="Equipe 1 Adulto",5,IF(Atletas!K94="Equipe 2 Adulto",6,""))))))))</f>
        <v/>
      </c>
      <c r="BR103" s="50" t="str">
        <f>IF(Atletas!L94="","",IF(Atletas!X94&lt;&gt;"",10000,0)+(IF(Atletas!B94="Feminino",1000,IF(Atletas!B94="Masculino",2000,""))+IF(Atletas!L94="Choylayfut A",1,IF(Atletas!L94="Hunggar A",2,IF(Atletas!L94="Wuzuquan A",3,IF(Atletas!L94="Wingchun A",4,IF(Atletas!L94="Outra Mão de Sul A",5,IF(Atletas!L94="Choylayfut B",6,IF(Atletas!L94="Hunggar B",7,IF(Atletas!L94="Wuzuquan B",8,IF(Atletas!L94="Wingchun B",9,IF(Atletas!L94="Outra Mão de Sul B",10,IF(Atletas!L94="Choylayfut C",11,IF(Atletas!L94="Hunggar C",12,IF(Atletas!L94="Wuzuquan C",13,IF(Atletas!L94="Wingchun C",14,IF(Atletas!L94="Outra Mão de Sul C",15,IF(Atletas!L94="Choylayfut D",16,IF(Atletas!L94="Hunggar D",17,IF(Atletas!L94="Wuzuquan D",18,IF(Atletas!L94="Wingchun D",19,IF(Atletas!L94="Outra Mão de Sul D",20,IF(Atletas!L94="Choylayfut E",21,IF(Atletas!L94="Hunggar E",22,IF(Atletas!L94="Wuzuquan E",23,IF(Atletas!L94="Wingchun E",24,IF(Atletas!L94="Outra Mão de Sul E",25,IF(Atletas!L94="Choylayfut F",26,IF(Atletas!L94="Hunggar F",27,IF(Atletas!L94="Wuzuquan F",28,IF(Atletas!L94="Wingchun F",29,IF(Atletas!L94="Outra Mão de Sul F",30,IF(Atletas!L94="Dishuquan A",31,IF(Atletas!L94="Dishuquan B",32,IF(Atletas!L94="Dishuquan C",33,IF(Atletas!L94="Dishuquan D",34,IF(Atletas!L94="Dishuquan E",35,IF(Atletas!L94="Dishuquan F",36,""))))))))))))))))))))))))))))))))))))))</f>
        <v/>
      </c>
      <c r="BS103" s="50" t="str">
        <f>IF(Atletas!M94="","",IF(Atletas!X94&lt;&gt;"",10000,0)+(IF(Atletas!B94="Feminino",1000,IF(Atletas!B94="Masculino",2000,""))+(IF(Atletas!M94="Chaquan A",101,IF(Atletas!M94="Emeiquan A",102,IF(Atletas!M94="Fanziquan A",103,IF(Atletas!M94="Huaquan A",104,IF(Atletas!M94="Hongquan A",105,IF(Atletas!M94="Paoquan A",106,IF(Atletas!M94="Piguaquan A",107,IF(Atletas!M94="Shaolinquan A",108,IF(Atletas!M94="Tanglangquan A",109,IF(Atletas!M94="Yingzhaoquan A",110,IF(Atletas!M94="Tongbeiquan A",111,IF(Atletas!M94="Wudangquan A",112,IF(Atletas!M94="Outros Estilos A",113,IF(Atletas!M94="Chaquan B",114,IF(Atletas!M94="Emeiquan B",115,IF(Atletas!M94="Fanziquan B",116,IF(Atletas!M94="Huaquan B",117,IF(Atletas!M94="Hongquan B",118,IF(Atletas!M94="Paoquan B",119,IF(Atletas!M94="Piguaquan B",120,IF(Atletas!M94="Shaolinquan B",121,IF(Atletas!M94="Tanglangquan B",122,IF(Atletas!M94="Yingzhaoquan B",123,IF(Atletas!M94="Tongbeiquan B",124,IF(Atletas!M94="Wudangquan B",125,IF(Atletas!M94="Outros Estilos B",126,IF(Atletas!M94="Chaquan C",127,IF(Atletas!M94="Emeiquan C",128,IF(Atletas!M94="Fanziquan C",129,IF(Atletas!M94="Huaquan C",130,IF(Atletas!M94="Hongquan C",131,IF(Atletas!M94="Paoquan C",132,IF(Atletas!M94="Piguaquan C",133,IF(Atletas!M94="Shaolinquan C",134,IF(Atletas!M94="Tanglangquan C",135,IF(Atletas!M94="Yingzhaoquan C",136,IF(Atletas!M94="Tongbeiquan C",137,IF(Atletas!M94="Wudangquan C",138,IF(Atletas!M94="Outros Estilos C",139,0))))))))))))))))))))))))))))))))))))))))))</f>
        <v/>
      </c>
      <c r="BT103" s="50" t="str">
        <f>IF(Atletas!M94="","",IF(Atletas!X94&lt;&gt;"",10000,0)+(IF(Atletas!B94="Feminino",1000,IF(Atletas!B94="Masculino",2000,""))+(IF(Atletas!M94="Chaquan D",140,IF(Atletas!M94="Emeiquan D",141,IF(Atletas!M94="Fanziquan D",142,IF(Atletas!M94="Huaquan D",143,IF(Atletas!M94="Hongquan D",144,IF(Atletas!M94="Paoquan D",145,IF(Atletas!M94="Piguaquan D",146,IF(Atletas!M94="Shaolinquan D",147,IF(Atletas!M94="Tanglangquan D",148,IF(Atletas!M94="Yingzhaoquan D",149,IF(Atletas!M94="Tongbeiquan D",150,IF(Atletas!M94="Wudangquan D",151,IF(Atletas!M94="Outros Estilos D",152,IF(Atletas!M94="Chaquan E",153,IF(Atletas!M94="Emeiquan E",154,IF(Atletas!M94="Fanziquan E",155,IF(Atletas!M94="Huaquan E",156,IF(Atletas!M94="Hongquan E",157,IF(Atletas!M94="Paoquan E",158,IF(Atletas!M94="Piguaquan E",159,IF(Atletas!M94="Shaolinquan E",160,IF(Atletas!M94="Tanglangquan E",161,IF(Atletas!M94="Yingzhaoquan E",162,IF(Atletas!M94="Tongbeiquan E",163,IF(Atletas!M94="Wudangquan E",164,IF(Atletas!M94="Outros Estilos E",165,IF(Atletas!M94="Chaquan F",166,IF(Atletas!M94="Emeiquan F",167,IF(Atletas!M94="Fanziquan F",168,IF(Atletas!M94="Huaquan F",169,IF(Atletas!M94="Hongquan F",170,IF(Atletas!M94="Paoquan F",171,IF(Atletas!M94="Piguaquan F",172,IF(Atletas!M94="Shaolinquan F",173,IF(Atletas!M94="Tanglangquan F",174,IF(Atletas!M94="Yingzhaoquan F",175,IF(Atletas!M94="Tongbeiquan F",176,IF(Atletas!M94="Wudangquan F",177,IF(Atletas!M94="Outros Estilos F",178,0))))))))))))))))))))))))))))))))))))))))))</f>
        <v/>
      </c>
      <c r="BU103" s="50" t="str">
        <f>IF(Atletas!N94="","",IF(Atletas!X94&lt;&gt;"",10000,0)+(IF(Atletas!B94="Feminino",1000,IF(Atletas!B94="Masculino",2000,""))+(IF(Atletas!N94="Ditangquan A",201,IF(Atletas!N94="Houquan A",202,IF(Atletas!N94="Zuiquan A",203,IF(Atletas!N94="Ditangquan B",204,IF(Atletas!N94="Houquan B",205,IF(Atletas!N94="Zuiquan B",206,IF(Atletas!N94="Ditangquan C",207,IF(Atletas!N94="Houquan C",208,IF(Atletas!N94="Zuiquan C",209,IF(Atletas!N94="Ditangquan D",210,IF(Atletas!N94="Houquan D",211,IF(Atletas!N94="Zuiquan D",212,IF(Atletas!N94="Ditangquan E",213,IF(Atletas!N94="Houquan E",214,IF(Atletas!N94="Zuiquan E",215,IF(Atletas!N94="Ditangquan F",216,IF(Atletas!N94="Houquan F",217,IF(Atletas!N94="Zuiquan F",218,"")))))))))))))))))))))</f>
        <v/>
      </c>
      <c r="BV103" s="50" t="str">
        <f>IF(Atletas!O94="","",IF(Atletas!X94&lt;&gt;"",10000,0)+IF(Atletas!B94="Feminino",1000,IF(Atletas!B94="Masculino",2000,""))+IF(Atletas!O94="Yang A",301,IF(Atletas!O94="Chen A",302,IF(Atletas!O94="Sun A",303,IF(Atletas!O94="Wu A",304,IF(Atletas!O94="Wu-Hao A",305,IF(Atletas!O94="Outro Taijiquan A",306,IF(Atletas!O94="Yang B",307,IF(Atletas!O94="Chen B",308,IF(Atletas!O94="Sun B",309,IF(Atletas!O94="Wu B",310,IF(Atletas!O94="Wu-Hao B",311,IF(Atletas!O94="Outro Taijiquan B",312,IF(Atletas!O94="Yang C",313,IF(Atletas!O94="Chen C",314,IF(Atletas!O94="Sun C",315,IF(Atletas!O94="Wu C",316,IF(Atletas!O94="Wu-Hao C",317,IF(Atletas!O94="Outro Taijiquan C",318,IF(Atletas!O94="Yang D",319,IF(Atletas!O94="Chen D",320,IF(Atletas!O94="Sun D",321,IF(Atletas!O94="Wu D",322,IF(Atletas!O94="Wu-Hao D",323,IF(Atletas!O94="Outro Taijiquan D",324,IF(Atletas!O94="Yang E",325,IF(Atletas!O94="Chen E",326,IF(Atletas!O94="Sun E",327,IF(Atletas!O94="Wu E",328,IF(Atletas!O94="Wu-Hao E",329,IF(Atletas!O94="Outro Taijiquan E",330,IF(Atletas!O94="Yang F",331,IF(Atletas!O94="Chen F",332,IF(Atletas!O94="Sun F",333,IF(Atletas!O94="Wu F",334,IF(Atletas!O94="Wu-Hao F",335,IF(Atletas!O94="Outro Taijiquan F",336,"")))))))))))))))))))))))))))))))))))))</f>
        <v/>
      </c>
      <c r="BW103" s="50" t="str">
        <f>IF(Atletas!P94="","",IF(Atletas!X94&lt;&gt;"",10000,0)+IF(Atletas!B94="Feminino",1000,IF(Atletas!B94="Masculino",2000,""))+IF(OR(Atletas!P94="Yang 26 A",Atletas!P94="Yang 40 A"),401,IF(OR(Atletas!P94="Chen 25 A",Atletas!P94="Chen 36 A",Atletas!P94="Chen 56 A"),402,IF(Atletas!P94="Sun 73 A",403,IF(Atletas!P94="Wu 45 A",404,IF(Atletas!P94="Wu-Hao 46 A",405,IF(OR(Atletas!P94="Taijiquan 16 A",Atletas!P94="Taijiquan 24 A",Atletas!P94="Taijiquan 32 A",Atletas!P94="Taijiquan 42 A"),406,IF(OR(Atletas!P94="Yang 26 B",Atletas!P94="Yang 40 B"),407,IF(OR(Atletas!P94="Chen 25 B",Atletas!P94="Chen 36 B",Atletas!P94="Chen 56 B"),408,IF(Atletas!P94="Sun 73 B",409,IF(Atletas!P94="Wu 45 B",410,IF(Atletas!P94="Wu-Hao 46 B",411,IF(OR(Atletas!P94="Taijiquan 16 B",Atletas!P94="Taijiquan 24 B",Atletas!P94="Taijiquan 32 B",Atletas!P94="Taijiquan 42 B"),412,IF(OR(Atletas!P94="Yang 26 C",Atletas!P94="Yang 40 C"),413,IF(OR(Atletas!P94="Chen 25 C",Atletas!P94="Chen 36 C",Atletas!P94="Chen 56 C"),414,IF(Atletas!P94="Sun 73 C",415,IF(Atletas!P94="Wu 45 C",416,IF(Atletas!P94="Wu-Hao 46 C",417,IF(OR(Atletas!P94="Taijiquan 16 C",Atletas!P94="Taijiquan 24 C",Atletas!P94="Taijiquan 32 C",Atletas!P94="Taijiquan 42 C"),418,0)))))))))))))))))))</f>
        <v/>
      </c>
      <c r="BX103" s="50" t="str">
        <f>IF(Atletas!P94="","",IF(Atletas!X94&lt;&gt;"",10000,0)+IF(Atletas!B94="Feminino",1000,IF(Atletas!B94="Masculino",2000,""))+IF(OR(Atletas!P94="Yang 26 D",Atletas!P94="Yang 40 D"),419,IF(OR(Atletas!P94="Chen 25 D",Atletas!P94="Chen 36 D",Atletas!P94="Chen 56 D"),420,IF(Atletas!P94="Sun 73 D",421,IF(Atletas!P94="Wu 45 D",422,IF(Atletas!P94="Wu-Hao 46 D",423,IF(OR(Atletas!P94="Taijiquan 16 D",Atletas!P94="Taijiquan 24 D",Atletas!P94="Taijiquan 32 D",Atletas!P94="Taijiquan 42 D"),424,IF(OR(Atletas!P94="Yang 26 E",Atletas!P94="Yang 40 E"),425,IF(OR(Atletas!P94="Chen 25 E",Atletas!P94="Chen 36 E",Atletas!P94="Chen 56 E"),426,IF(Atletas!P94="Sun 73 E",427,IF(Atletas!P94="Wu 45 E",428,IF(Atletas!P94="Wu-Hao 46 E",429,IF(OR(Atletas!P94="Taijiquan 16 E",Atletas!P94="Taijiquan 24 E",Atletas!P94="Taijiquan 32 E",Atletas!P94="Taijiquan 42 E"),430,IF(OR(Atletas!P94="Yang 26 F",Atletas!P94="Yang 40 F"),431,IF(OR(Atletas!P94="Chen 25 F",Atletas!P94="Chen 36 F",Atletas!P94="Chen 56 F"),432,IF(Atletas!P94="Sun 73 F",433,IF(Atletas!P94="Wu 45 F",434,IF(Atletas!P94="Wu-Hao 46 F",435,IF(OR(Atletas!P94="Taijiquan 16 F",Atletas!P94="Taijiquan 24 F",Atletas!P94="Taijiquan 32 F",Atletas!P94="Taijiquan 42 F"),436,0)))))))))))))))))))</f>
        <v/>
      </c>
      <c r="BY103" s="50" t="str">
        <f>IF(Atletas!Q94="","",IF(Atletas!X94&lt;&gt;"",10000,0)+IF(Atletas!B94="Feminino",1000,IF(Atletas!B94="Masculino",2000,""))+IF(Atletas!Q94="Xingyiquan A",501,IF(Atletas!Q94="Baguazhang A",502,IF(Atletas!Q94="Outro Estilo Interno A",503,IF(Atletas!Q94="Xingyiquan B",504,IF(Atletas!Q94="Baguazhang B",505,IF(Atletas!Q94="Outro Estilo Interno B",506,IF(Atletas!Q94="Xingyiquan C",507,IF(Atletas!Q94="Baguazhang C",508,IF(Atletas!Q94="Outro Estilo Interno C",509,IF(Atletas!Q94="Xingyiquan D",510,IF(Atletas!Q94="Baguazhang D",511,IF(Atletas!Q94="Outro Estilo Interno D",512,IF(Atletas!Q94="Xingyiquan E",513,IF(Atletas!Q94="Baguazhang E",514,IF(Atletas!Q94="Outro Estilo Interno E",515,IF(Atletas!Q94="Xingyiquan F",516,IF(Atletas!Q94="Baguazhang F",517,IF(Atletas!Q94="Outro Estilo Interno F",518, "")))))))))))))))))))</f>
        <v/>
      </c>
      <c r="BZ103" s="50" t="str">
        <f>IF(Atletas!R94="","",IF(Atletas!X94&lt;&gt;"",10000,0)+IF(Atletas!B94="Feminino",1000,IF(Atletas!B94="Masculino",2000,""))+IF(Atletas!R94="Dao A",601,IF(Atletas!R94="Jian A",602,IF(Atletas!R94="Bishou A",603,IF(Atletas!R94="Shanzi A",604,IF(Atletas!R94="Outra Arma Curta A",605,IF(Atletas!R94="Dao B",606,IF(Atletas!R94="Jian B",607,IF(Atletas!R94="Bishou B",608,IF(Atletas!R94="Shanzi B",609,IF(Atletas!R94="Outra Arma Curta B",610,IF(Atletas!R94="Dao C",611,IF(Atletas!R94="Jian C",612,IF(Atletas!R94="Bishou C",613,IF(Atletas!R94="Shanzi C",614,IF(Atletas!R94="Outra Arma Curta C",615,IF(Atletas!R94="Dao D",616,IF(Atletas!R94="Jian D",617,IF(Atletas!R94="Bishou D",618,IF(Atletas!R94="Shanzi D",619,IF(Atletas!R94="Outra Arma Curta D",620,IF(Atletas!R94="Dao E",621,IF(Atletas!R94="Jian E",622,IF(Atletas!R94="Bishou E",623,IF(Atletas!R94="Shanzi E",624,IF(Atletas!R94="Outra Arma Curta E",625,IF(Atletas!R94="Dao F",626,IF(Atletas!R94="Jian F",627,IF(Atletas!R94="Bishou F",628,IF(Atletas!R94="Shanzi F",629,IF(Atletas!R94="Outra Arma Curta F",630, "")))))))))))))))))))))))))))))))</f>
        <v/>
      </c>
      <c r="CA103" s="50" t="str">
        <f>IF(Atletas!S94="","",IF(Atletas!X94&lt;&gt;"",10000,0)+IF(Atletas!B94="Feminino",1000,IF(Atletas!B94="Masculino",2000,""))+IF(Atletas!S94="Gun A",701,IF(Atletas!S94="Qiang A",702,IF(Atletas!S94="Pudao / Guandao A",703,IF(Atletas!S94="Outra Arma Longa A",704,IF(Atletas!S94="Gun B",705,IF(Atletas!S94="Qiang B",706,IF(Atletas!S94="Pudao / Guandao B",707,IF(Atletas!S94="Outra Arma Longa B",708,IF(Atletas!S94="Gun C",709,IF(Atletas!S94="Qiang C",710,IF(Atletas!S94="Pudao / Guandao C",711,IF(Atletas!S94="Outra Arma Longa C",712,IF(Atletas!S94="Gun D",713,IF(Atletas!S94="Qiang D",714,IF(Atletas!S94="Pudao / Guandao D",715,IF(Atletas!S94="Outra Arma Longa D",716,IF(Atletas!S94="Gun E",717,IF(Atletas!S94="Qiang E",718,IF(Atletas!S94="Pudao / Guandao E",719,IF(Atletas!S94="Outra Arma Longa E",720,IF(Atletas!S94="Gun F",721,IF(Atletas!S94="Qiang F",722,IF(Atletas!S94="Pudao / Guandao F",723,IF(Atletas!S94="Outra Arma Longa F",724,"")))))))))))))))))))))))))</f>
        <v/>
      </c>
      <c r="CB103" s="50" t="str">
        <f>IF(Atletas!T94="","",IF(Atletas!X94&lt;&gt;"",10000,0)+IF(Atletas!B94="Feminino",1000,IF(Atletas!B94="Masculino",2000,""))+IF(Atletas!T94="Outra Arma Dupla A",801,IF(Atletas!T94="Arma Maleável A",802,IF(Atletas!T94="Outra Arma Dupla B",803,IF(Atletas!T94="Arma Maleável B",804,IF(Atletas!T94="Outra Arma Dupla C",805,IF(Atletas!T94="Arma Maleável C",806,IF(Atletas!T94="Outra Arma Dupla D",807,IF(Atletas!T94="Arma Maleável D",808,IF(Atletas!T94="Outra Arma Dupla E",809,IF(Atletas!T94="Arma Maleável E",810,IF(Atletas!T94="Outra Arma Dupla F",811,IF(Atletas!T94="Arma Maleável F",812,IF(Atletas!T94="Shuangdao A",813,IF(Atletas!T94="Shuangdao B",814,IF(Atletas!T94="Shuangdao C",815,IF(Atletas!T94="Shuangdao D",816,IF(Atletas!T94="Shuangdao E",817,IF(Atletas!T94="Shuangdao F",818,"")))))))))))))))))))</f>
        <v/>
      </c>
      <c r="CC103" s="50" t="str">
        <f>IF(Atletas!U94="","",IF(Atletas!X94&lt;&gt;"",10000,0)+IF(Atletas!B94="Feminino",1000,IF(Atletas!B94="Masculino",2000,""))+IF(OR(Atletas!U94="Taijijian Yang A",Atletas!U94="Taijijian Yang Standard A"),901,IF(OR(Atletas!U94="Taijijian Chen A", Atletas!U94="Taijijian Chen Standard A"),902,IF(Atletas!U94="Taijijian Sun A",903,IF(Atletas!U94="Taijijian Wu A",904,IF(Atletas!U94="Taijijian Wu-Hao A",905,IF(OR(Atletas!U94="Taijijian 32 A",Atletas!U94="Taijijian 42 A"),906,IF(OR(Atletas!U94="Taijijian Yang B",Atletas!U94="Taijijian Yang Standard B"),907,IF(OR(Atletas!U94="Taijijian Chen B", Atletas!U94="Taijijian Chen Standard B"),908,IF(Atletas!U94="Taijijian Sun B",909,IF(Atletas!U94="Taijijian Wu B",910,IF(Atletas!U94="Taijijian Wu-Hao B",911,IF(OR(Atletas!U94="Taijijian 32 B",Atletas!U94="Taijijian 42 B"),912,IF(OR(Atletas!U94="Taijijian Yang C",Atletas!U94="Taijijian Yang Standard C"),913,IF(OR(Atletas!U94="Taijijian Chen C", Atletas!U94="Taijijian Chen Standard C"),914,IF(Atletas!U94="Taijijian Sun C",915,IF(Atletas!U94="Taijijian Wu C",916,IF(Atletas!U94="Taijijian Wu-Hao C",917,IF(OR(Atletas!U94="Taijijian 32 C",Atletas!U94="Taijijian 42 C"),918,IF(OR(Atletas!U94="Taijijian Yang D",Atletas!U94="Taijijian Yang Standard D"),919,IF(OR(Atletas!U94="Taijijian Chen D", Atletas!U94="Taijijian Chen Standard D"),920,IF(Atletas!U94="Taijijian Sun D",921,IF(Atletas!U94="Taijijian Wu D",922,IF(Atletas!U94="Taijijian Wu-Hao D",923,IF(OR(Atletas!U94="Taijijian 32 D",Atletas!U94="Taijijian 42 D"),924,IF(OR(Atletas!U94="Taijijian Yang E",Atletas!U94="Taijijian Yang Standard E"),925,IF(OR(Atletas!U94="Taijijian Chen E", Atletas!U94="Taijijian Chen Standard E"),926,IF(Atletas!U94="Taijijian Sun E",927,IF(Atletas!U94="Taijijian Wu E",928,IF(Atletas!U94="Taijijian Wu-Hao E",929,IF(OR(Atletas!U94="Taijijian 32 E",Atletas!U94="Taijijian 42 E"),930,IF(OR(Atletas!U94="Taijijian Yang F",Atletas!U94="Taijijian Yang Standard F"),931,IF(OR(Atletas!U94="Taijijian Chen F", Atletas!U94="Taijijian Chen Standard F"),932,IF(Atletas!U94="Taijijian Sun F",933,IF(Atletas!U94="Taijijian Wu F",934,IF(Atletas!U94="Taijijian Wu-Hao F",935,IF(OR(Atletas!U94="Taijijian 32 F",Atletas!U94="Taijijian 42 F"),936,"")))))))))))))))))))))))))))))))))))))</f>
        <v/>
      </c>
      <c r="CD103" s="50" t="str">
        <f>IF(Atletas!V94="","",IF(Atletas!X94&lt;&gt;"",10000,0)+IF(Atletas!B94="Feminino",1000,IF(Atletas!B94="Masculino",2000,""))+IF(Atletas!V94="Taijidao A",937,IF(Atletas!V94="TaijiShanzi A",938,IF(Atletas!V94="Taijiqiang A",939,IF(Atletas!V94="Bagua de Arma A",940,IF(Atletas!V94="Xingyi de Arma A",941,IF(Atletas!V94="Taijidao B",942,IF(Atletas!V94="TaijiShanzi B",943,IF(Atletas!V94="Taijiqiang B",944,IF(Atletas!V94="Bagua de Arma B",945,IF(Atletas!V94="Xingyi de Arma B",946,IF(Atletas!V94="Taijidao C",947,IF(Atletas!V94="TaijiShanzi C",948,IF(Atletas!V94="Taijiqiang C",949,IF(Atletas!V94="Bagua de Arma C",950,IF(Atletas!V94="Xingyi de Arma C",951,IF(Atletas!V94="Taijidao D",952,IF(Atletas!V94="TaijiShanzi D",953,IF(Atletas!V94="Taijiqiang D",954,IF(Atletas!V94="Bagua de Arma D",955,IF(Atletas!V94="Xingyi de Arma D",956,IF(Atletas!V94="Taijidao E",957,IF(Atletas!V94="TaijiShanzi E",958,IF(Atletas!V94="Taijiqiang E",959,IF(Atletas!V94="Bagua de Arma E",960,IF(Atletas!V94="Xingyi de Arma E",961,IF(Atletas!V94="Taijidao F",962,IF(Atletas!V94="TaijiShanzi F",963,IF(Atletas!V94="Taijiqiang F",964,IF(Atletas!V94="Bagua de Arma F",965,IF(Atletas!V94="Xingyi de Arma F",966,"")))))))))))))))))))))))))))))))</f>
        <v/>
      </c>
      <c r="CE103" s="66" t="str">
        <f>IF(CF103&lt;&gt;"","Tanglangquan E","")</f>
        <v/>
      </c>
      <c r="CF103" s="66" t="str">
        <f>IF(COUNTIF(BR:CD,1161)&gt;0,COUNTIF(BR:CD,1161),"")</f>
        <v/>
      </c>
      <c r="CG103" s="66" t="str">
        <f>IF(CH103&lt;&gt;"","Tanglangquan E","")</f>
        <v/>
      </c>
      <c r="CH103" s="66" t="str">
        <f>IF(COUNTIF(BR:CD,2161)&gt;0,COUNTIF(BR:CD,2161),"")</f>
        <v/>
      </c>
      <c r="CI103" s="66" t="str">
        <f>IF(CJ103&lt;&gt;"","Emeiquan F","")</f>
        <v/>
      </c>
      <c r="CJ103" s="66" t="str">
        <f>IF(COUNTIF(BR:CD,11167)&gt;0,COUNTIF(BR:CD,11167),"")</f>
        <v/>
      </c>
      <c r="CK103" s="66" t="str">
        <f>IF(CL103&lt;&gt;"","Emeiquan F","")</f>
        <v/>
      </c>
      <c r="CL103" s="66" t="str">
        <f>IF(COUNTIF(BR:CD,12167)&gt;0,COUNTIF(BR:CD,12167),"")</f>
        <v/>
      </c>
      <c r="CM103" s="50" t="str">
        <f xml:space="preserve"> IF(Atletas!W94="","",IF(Atletas!W94="Duilian de Mãos BC - Equipe 1",1,IF(Atletas!W94="Duilian de Mãos BC - Equipe 2",2,IF(Atletas!W94="Duilian de Armas BC - Equipe 1",3,IF(Atletas!W94="Duilian de Armas BC - Equipe 2",4,IF(Atletas!W94="Duilian de Mãos DE - Equipe 1",5,IF(Atletas!W94="Duilian de Mãos DE - Equipe 2",6,IF(Atletas!W94="Duilian de Armas DE - Equipe 1",7,IF(Atletas!W94="Duilian de Armas DE - Equipe 2",8,IF(Atletas!W94="Duilian de Tuishou - Equipe 1",9,IF(Atletas!W94="Duilian de Tuishou - Equipe 2",10,IF(Atletas!W94="Grupo Externo ABC - Equipe 1",11,IF(Atletas!W94="Grupo Externo ABC - Equipe 2",12,IF(Atletas!W94="Grupo Interno ABC - Equipe 1",13,IF(Atletas!W94="Grupo Interno ABC - Equipe 2",14,IF(Atletas!W94="Grupo Externo DEF - Equipe 1",15,IF(Atletas!W94="Grupo Externo DEF - Equipe 2",16,IF(Atletas!W94="Grupo Interno DEF - Equipe 1",17,IF(Atletas!W94="Grupo Interno DEF - Equipe 2",18,"")))))))))))))))))))</f>
        <v/>
      </c>
    </row>
    <row r="104" spans="2:91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 t="str">
        <f t="array" ref="Z104">IFERROR(INDEX(CE$7:CE$348,SMALL(IF(CE$7:CE$348&lt;&gt;"",ROW(CE$7:CE$348)-ROW(CE$7)+1),ROWS(CE$7:CE103))),"")</f>
        <v/>
      </c>
      <c r="AA104" s="3" t="str">
        <f t="array" ref="AA104">IFERROR(INDEX(CF$7:CF$348,SMALL(IF(CF$7:CF$348&lt;&gt;"",ROW(CF$7:CF$348)-ROW(CF$7)+1),ROWS(CF$7:CF103))),"")</f>
        <v/>
      </c>
      <c r="AB104" s="3" t="str">
        <f t="array" ref="AB104">IFERROR(INDEX(CG$7:CG$348,SMALL(IF(CG$7:CG$348&lt;&gt;"",ROW(CG$7:CG$348)-ROW(CG$7)+1),ROWS(CG$7:CG103))),"")</f>
        <v/>
      </c>
      <c r="AC104" s="3" t="str">
        <f t="array" ref="AC104">IFERROR(INDEX(CH$7:CH$348,SMALL(IF(CH$7:CH$348&lt;&gt;"",ROW(CH$7:CH$348)-ROW(CH$7)+1),ROWS(CH$7:CH103))),"")</f>
        <v/>
      </c>
      <c r="AD104" s="3" t="str">
        <f t="array" ref="AD104">IFERROR(INDEX(CI$7:CI$377,SMALL(IF(CI$7:CI$377&lt;&gt;"",ROW(CI$7:CI$377)-ROW(CI$7)+1),ROWS(CI$7:CI103))),"")</f>
        <v/>
      </c>
      <c r="AE104" s="3" t="str">
        <f t="array" ref="AE104">IFERROR(INDEX(CJ$7:CJ$378,SMALL(IF(CJ$7:CJ$378&lt;&gt;"",ROW(CJ$7:CJ$378)-ROW(CJ$7)+1),ROWS(CJ$7:CJ103))),"")</f>
        <v/>
      </c>
      <c r="AF104" s="3" t="str">
        <f t="array" ref="AF104">IFERROR(INDEX(CK$7:CK$378,SMALL(IF(CK$7:CK$378&lt;&gt;"",ROW(CK$7:CK$378)-ROW(CK$7)+1),ROWS(CK$7:CK103))),"")</f>
        <v/>
      </c>
      <c r="AG104" s="3" t="str">
        <f t="array" ref="AG104">IFERROR(INDEX(CL$7:CL$378,SMALL(IF(CL$7:CL$378&lt;&gt;"",ROW(CL$7:CL$378)-ROW(CL$7)+1),ROWS(CL$7:CL103))),"")</f>
        <v/>
      </c>
      <c r="AH104" s="3"/>
      <c r="AI104" s="3"/>
      <c r="AJ104" s="3"/>
      <c r="AK104" s="3"/>
      <c r="AL104" s="3"/>
      <c r="AM104" s="3"/>
      <c r="AN104" s="52" t="str">
        <f>IF(Atletas!D95="","",IF(Atletas!B95="Feminino",100,IF(Atletas!B95="Masculino",200,""))+(IF(Atletas!D95="Kids 30kg",1,IF(Atletas!D95="Kids 32kg",2, IF(Atletas!D95="Kids 34kg",3,IF(Atletas!D95="Kids 36kg",4,IF(Atletas!D95="Kids 39kg",5,IF(Atletas!D95="Kids 42kg",6,IF(Atletas!D95="Kids 45kg",7, IF(Atletas!D95="Infantil 39kg",8,IF(Atletas!D95="Infantil 42kg",9,IF(Atletas!D95="Infantil 45kg",10,IF(Atletas!D95="Infantil 48kg",11,IF(Atletas!D95="Infantil 52kg",12,IF(Atletas!D95="Infantil 56kg",13,IF(Atletas!D95="Infantil 60kg",14,IF(Atletas!D95="Juvenil 48kg",15,IF(Atletas!D95="Juvenil 52kg",16,IF(Atletas!D95="Juvenil 56kg",17,IF(Atletas!D95="Juvenil 60kg",18,IF(Atletas!D95="Juvenil 65kg",19,IF(Atletas!D95="Juvenil 70kg",20,IF(Atletas!D95="Juvenil 75kg",21,IF(Atletas!D95="Juvenil 80kg",22, IF(Atletas!D95="Juvenil 85kg",23,IF(Atletas!D95="Adulto 48kg",24,IF(Atletas!D95="Adulto 52kg",25,IF(Atletas!D95="Adulto 56kg",26,IF(Atletas!D95="Adulto 60kg",27,IF(Atletas!D95="Adulto 65kg",28,IF(Atletas!D95="Adulto 70kg",29,IF(Atletas!D95="Adulto 75kg",30,IF(Atletas!D95="Adulto 80kg",31,IF(Atletas!D95="Adulto 85kg",32,IF(Atletas!D95="Adulto 90kg",33,IF(Atletas!D95="Adulto 100kg",34, IF(Atletas!D95="Adulto +100kg",35,"")))))))))))))))))))))))))))))))))))))</f>
        <v/>
      </c>
      <c r="AS104" s="6" t="str">
        <f>IF(Atletas!E95="","",IF(Atletas!B95="Feminino",100,IF(Atletas!B95="Masculino",200,""))+(IF(Atletas!E95="Juvenil 44kg",1,IF(Atletas!E95="Juvenil 48kg",2,IF(Atletas!E95="Juvenil 52kg",3,IF(Atletas!E95="Juvenil 56kg",4,IF(Atletas!E95="Juvenil 60kg",5,IF(Atletas!E95="Juvenil 65kg",6,IF(Atletas!E95="Juvenil 70kg",7,IF(Atletas!E95="Juvenil 75kg",8,IF(Atletas!E95="Juvenil 82kg",9,IF(Atletas!E95="Juvenil 90kg",10,IF(Atletas!E95="Juvenil 100kg",11,IF(Atletas!E95="Adulto 48kg",12,IF(Atletas!E95="Adulto 52kg",13,IF(Atletas!E95="Adulto 56kg",14,IF(Atletas!E95="Adulto 60kg",15,IF(Atletas!E95="Adulto 65kg",16,IF(Atletas!E95="Adulto 70kg",17,IF(Atletas!E95="Adulto 75kg",18,IF(Atletas!E95="Adulto 82kg",19,IF(Atletas!E95="Adulto 90kg",20,IF(Atletas!E95="Adulto 100kg",21,IF(Atletas!E95="Adulto +100kg",22,""))))))))))))))))))))))))</f>
        <v/>
      </c>
      <c r="AX104" s="6" t="str">
        <f>IF(Atletas!F95="","",IF(Atletas!B95="Feminino",100,IF(Atletas!B95="Masculino",200,""))+(IF(Atletas!F95="Adulto 48kg",1,IF(Atletas!F95="Adulto 56kg",2,IF(Atletas!F95="Adulto 65kg",3,IF(Atletas!F95="Adulto 75kg",4,IF(Atletas!F95="Adulto +75kg",5,IF(Atletas!F95="Adulto 52kg",6,IF(Atletas!F95="Adulto 60kg",7,IF(Atletas!F95="Adulto 70kg",8,IF(Atletas!F95="Adulto 80kg",9,IF(Atletas!F95="Adulto 90kg",10,IF(Atletas!F95="Adulto +90kg",11,"")))))))))))))</f>
        <v/>
      </c>
      <c r="BC104" s="6" t="str">
        <f>IF(Atletas!G95="","",IF(Atletas!B95="Feminino",10,IF(Atletas!B95="Masculino",20,""))+(IF(Atletas!G95="Baduanjin A",1,IF(Atletas!G95="Baduanjin B",2))))</f>
        <v/>
      </c>
      <c r="BF104" s="52" t="str">
        <f>IF(Atletas!H95="","",IF(Atletas!B95="Feminino",100,IF(Atletas!B95="Masculino",200,""))+(IF(Atletas!H95="Changquan Mirim",1,IF(Atletas!H95="Nanquan Mirim",2,IF(Atletas!H95="Taijiquan Mirim",3,IF(Atletas!H95="Changquan Grupo C",4,IF(Atletas!H95="Nanquan Grupo C",5,IF(Atletas!H95="Taijiquan Grupo C",6,IF(Atletas!H95="Changquan Grupo B",7,IF(Atletas!H95="Nanquan Grupo B",8,IF(Atletas!H95="Taijiquan Grupo B",9,IF(Atletas!H95="Changquan Grupo A",10,IF(Atletas!H95="Nanquan Grupo A",11,IF(Atletas!H95="Taijiquan Grupo A",12,IF(Atletas!H95="Changquan Opcional",13,IF(Atletas!H95="Nanquan Opcional",14,IF(Atletas!H95="Taijiquan Opcional",15,IF(Atletas!H95="Changquan Adulto",16,IF(Atletas!H95="Nanquan Adulto",17,IF(Atletas!H95="Taijiquan Adulto",18,""))))))))))))))))))))</f>
        <v/>
      </c>
      <c r="BG104" s="52" t="str">
        <f>IF(Atletas!I95="","",IF(Atletas!B95="Feminino",100,IF(Atletas!B95="Masculino",200,""))+(IF(Atletas!I95="Daoshu Mirim",19,IF(Atletas!I95="Jianshu Mirim",20,IF(Atletas!I95="Nandao Mirim",21,IF(Atletas!I95="Taijijian Mirim",22,IF(Atletas!I95="Daoshu Grupo C",23,IF(Atletas!I95="Jianshu Grupo C",24,IF(Atletas!I95="Nandao Grupo C",25,IF(Atletas!I95="Taijijian Grupo C",26,IF(Atletas!I95="Daoshu Grupo B",27,IF(Atletas!I95="Jianshu Grupo B",28,IF(Atletas!I95="Nandao Grupo B",29,IF(Atletas!I95="Taijijian Grupo B",30,IF(Atletas!I95="Daoshu Grupo A",31,IF(Atletas!I95="Jianshu Grupo A",32,IF(Atletas!I95="Nandao Grupo A",33,IF(Atletas!I95="Taijijian Grupo A",34,IF(Atletas!I95="Daoshu Opcional",35,IF(Atletas!I95="Jianshu Opcional",36,IF(Atletas!I95="Nandao Opcional",37,IF(Atletas!I95="Taijijian Opcional",38,IF(Atletas!I95="Daoshu Adulto",39,IF(Atletas!I95="Jianshu Adulto",40,IF(Atletas!I95="Nandao Adulto",41,IF(Atletas!I95="Taijijian Adulto",42,""))))))))))))))))))))))))))</f>
        <v/>
      </c>
      <c r="BH104" s="52" t="str">
        <f>IF(Atletas!J95="","",IF(Atletas!B95="Feminino",100,IF(Atletas!B95="Masculino",200,""))+(IF(Atletas!J95="Gunshu Mirim",43,IF(Atletas!J95="Qiangshu Mirim",44,IF(Atletas!J95="Nangun Mirim",45,IF(Atletas!J95="Gunshu Grupo C",46,IF(Atletas!J95="Qiangshu Grupo C",47,IF(Atletas!J95="Nangun Grupo C",48,IF(Atletas!J95="Gunshu Grupo B",49,IF(Atletas!J95="Qiangshu Grupo B",50,IF(Atletas!J95="Nangun Grupo B",51,IF(Atletas!J95="Gunshu Grupo A",52,IF(Atletas!J95="Qiangshu Grupo A",53,IF(Atletas!J95="Nangun Grupo A",54,IF(Atletas!J95="Gunshu Opcional",55,IF(Atletas!J95="Qiangshu Opcional",56,IF(Atletas!J95="Nangun Opcional",57,IF(Atletas!J95="Gunshu Adulto",58,IF(Atletas!J95="Qiangshu Adulto",59,IF(Atletas!J95="Nangun Adulto",60,IF(Atletas!J95="Taijishan Grupo B",61,IF(Atletas!J95="Taijishan Grupo A",62,""))))))))))))))))))))))</f>
        <v/>
      </c>
      <c r="BM104" s="50" t="str">
        <f>IF(Atletas!K95="","",IF(Atletas!B95="Feminino",100,IF(Atletas!B95="Masculino",200,""))+(IF(Atletas!K95="Equipe 1 Grupo B",1,IF(Atletas!K95="Equipe 2 Grupo B",2,IF(Atletas!K95="Equipe 1 Grupo A",3,IF(Atletas!K95="Equipe 2 Grupo A",4,IF(Atletas!K95="Equipe 1 Adulto",5,IF(Atletas!K95="Equipe 2 Adulto",6,""))))))))</f>
        <v/>
      </c>
      <c r="BR104" s="50" t="str">
        <f>IF(Atletas!L95="","",IF(Atletas!X95&lt;&gt;"",10000,0)+(IF(Atletas!B95="Feminino",1000,IF(Atletas!B95="Masculino",2000,""))+IF(Atletas!L95="Choylayfut A",1,IF(Atletas!L95="Hunggar A",2,IF(Atletas!L95="Wuzuquan A",3,IF(Atletas!L95="Wingchun A",4,IF(Atletas!L95="Outra Mão de Sul A",5,IF(Atletas!L95="Choylayfut B",6,IF(Atletas!L95="Hunggar B",7,IF(Atletas!L95="Wuzuquan B",8,IF(Atletas!L95="Wingchun B",9,IF(Atletas!L95="Outra Mão de Sul B",10,IF(Atletas!L95="Choylayfut C",11,IF(Atletas!L95="Hunggar C",12,IF(Atletas!L95="Wuzuquan C",13,IF(Atletas!L95="Wingchun C",14,IF(Atletas!L95="Outra Mão de Sul C",15,IF(Atletas!L95="Choylayfut D",16,IF(Atletas!L95="Hunggar D",17,IF(Atletas!L95="Wuzuquan D",18,IF(Atletas!L95="Wingchun D",19,IF(Atletas!L95="Outra Mão de Sul D",20,IF(Atletas!L95="Choylayfut E",21,IF(Atletas!L95="Hunggar E",22,IF(Atletas!L95="Wuzuquan E",23,IF(Atletas!L95="Wingchun E",24,IF(Atletas!L95="Outra Mão de Sul E",25,IF(Atletas!L95="Choylayfut F",26,IF(Atletas!L95="Hunggar F",27,IF(Atletas!L95="Wuzuquan F",28,IF(Atletas!L95="Wingchun F",29,IF(Atletas!L95="Outra Mão de Sul F",30,IF(Atletas!L95="Dishuquan A",31,IF(Atletas!L95="Dishuquan B",32,IF(Atletas!L95="Dishuquan C",33,IF(Atletas!L95="Dishuquan D",34,IF(Atletas!L95="Dishuquan E",35,IF(Atletas!L95="Dishuquan F",36,""))))))))))))))))))))))))))))))))))))))</f>
        <v/>
      </c>
      <c r="BS104" s="50" t="str">
        <f>IF(Atletas!M95="","",IF(Atletas!X95&lt;&gt;"",10000,0)+(IF(Atletas!B95="Feminino",1000,IF(Atletas!B95="Masculino",2000,""))+(IF(Atletas!M95="Chaquan A",101,IF(Atletas!M95="Emeiquan A",102,IF(Atletas!M95="Fanziquan A",103,IF(Atletas!M95="Huaquan A",104,IF(Atletas!M95="Hongquan A",105,IF(Atletas!M95="Paoquan A",106,IF(Atletas!M95="Piguaquan A",107,IF(Atletas!M95="Shaolinquan A",108,IF(Atletas!M95="Tanglangquan A",109,IF(Atletas!M95="Yingzhaoquan A",110,IF(Atletas!M95="Tongbeiquan A",111,IF(Atletas!M95="Wudangquan A",112,IF(Atletas!M95="Outros Estilos A",113,IF(Atletas!M95="Chaquan B",114,IF(Atletas!M95="Emeiquan B",115,IF(Atletas!M95="Fanziquan B",116,IF(Atletas!M95="Huaquan B",117,IF(Atletas!M95="Hongquan B",118,IF(Atletas!M95="Paoquan B",119,IF(Atletas!M95="Piguaquan B",120,IF(Atletas!M95="Shaolinquan B",121,IF(Atletas!M95="Tanglangquan B",122,IF(Atletas!M95="Yingzhaoquan B",123,IF(Atletas!M95="Tongbeiquan B",124,IF(Atletas!M95="Wudangquan B",125,IF(Atletas!M95="Outros Estilos B",126,IF(Atletas!M95="Chaquan C",127,IF(Atletas!M95="Emeiquan C",128,IF(Atletas!M95="Fanziquan C",129,IF(Atletas!M95="Huaquan C",130,IF(Atletas!M95="Hongquan C",131,IF(Atletas!M95="Paoquan C",132,IF(Atletas!M95="Piguaquan C",133,IF(Atletas!M95="Shaolinquan C",134,IF(Atletas!M95="Tanglangquan C",135,IF(Atletas!M95="Yingzhaoquan C",136,IF(Atletas!M95="Tongbeiquan C",137,IF(Atletas!M95="Wudangquan C",138,IF(Atletas!M95="Outros Estilos C",139,0))))))))))))))))))))))))))))))))))))))))))</f>
        <v/>
      </c>
      <c r="BT104" s="50" t="str">
        <f>IF(Atletas!M95="","",IF(Atletas!X95&lt;&gt;"",10000,0)+(IF(Atletas!B95="Feminino",1000,IF(Atletas!B95="Masculino",2000,""))+(IF(Atletas!M95="Chaquan D",140,IF(Atletas!M95="Emeiquan D",141,IF(Atletas!M95="Fanziquan D",142,IF(Atletas!M95="Huaquan D",143,IF(Atletas!M95="Hongquan D",144,IF(Atletas!M95="Paoquan D",145,IF(Atletas!M95="Piguaquan D",146,IF(Atletas!M95="Shaolinquan D",147,IF(Atletas!M95="Tanglangquan D",148,IF(Atletas!M95="Yingzhaoquan D",149,IF(Atletas!M95="Tongbeiquan D",150,IF(Atletas!M95="Wudangquan D",151,IF(Atletas!M95="Outros Estilos D",152,IF(Atletas!M95="Chaquan E",153,IF(Atletas!M95="Emeiquan E",154,IF(Atletas!M95="Fanziquan E",155,IF(Atletas!M95="Huaquan E",156,IF(Atletas!M95="Hongquan E",157,IF(Atletas!M95="Paoquan E",158,IF(Atletas!M95="Piguaquan E",159,IF(Atletas!M95="Shaolinquan E",160,IF(Atletas!M95="Tanglangquan E",161,IF(Atletas!M95="Yingzhaoquan E",162,IF(Atletas!M95="Tongbeiquan E",163,IF(Atletas!M95="Wudangquan E",164,IF(Atletas!M95="Outros Estilos E",165,IF(Atletas!M95="Chaquan F",166,IF(Atletas!M95="Emeiquan F",167,IF(Atletas!M95="Fanziquan F",168,IF(Atletas!M95="Huaquan F",169,IF(Atletas!M95="Hongquan F",170,IF(Atletas!M95="Paoquan F",171,IF(Atletas!M95="Piguaquan F",172,IF(Atletas!M95="Shaolinquan F",173,IF(Atletas!M95="Tanglangquan F",174,IF(Atletas!M95="Yingzhaoquan F",175,IF(Atletas!M95="Tongbeiquan F",176,IF(Atletas!M95="Wudangquan F",177,IF(Atletas!M95="Outros Estilos F",178,0))))))))))))))))))))))))))))))))))))))))))</f>
        <v/>
      </c>
      <c r="BU104" s="50" t="str">
        <f>IF(Atletas!N95="","",IF(Atletas!X95&lt;&gt;"",10000,0)+(IF(Atletas!B95="Feminino",1000,IF(Atletas!B95="Masculino",2000,""))+(IF(Atletas!N95="Ditangquan A",201,IF(Atletas!N95="Houquan A",202,IF(Atletas!N95="Zuiquan A",203,IF(Atletas!N95="Ditangquan B",204,IF(Atletas!N95="Houquan B",205,IF(Atletas!N95="Zuiquan B",206,IF(Atletas!N95="Ditangquan C",207,IF(Atletas!N95="Houquan C",208,IF(Atletas!N95="Zuiquan C",209,IF(Atletas!N95="Ditangquan D",210,IF(Atletas!N95="Houquan D",211,IF(Atletas!N95="Zuiquan D",212,IF(Atletas!N95="Ditangquan E",213,IF(Atletas!N95="Houquan E",214,IF(Atletas!N95="Zuiquan E",215,IF(Atletas!N95="Ditangquan F",216,IF(Atletas!N95="Houquan F",217,IF(Atletas!N95="Zuiquan F",218,"")))))))))))))))))))))</f>
        <v/>
      </c>
      <c r="BV104" s="50" t="str">
        <f>IF(Atletas!O95="","",IF(Atletas!X95&lt;&gt;"",10000,0)+IF(Atletas!B95="Feminino",1000,IF(Atletas!B95="Masculino",2000,""))+IF(Atletas!O95="Yang A",301,IF(Atletas!O95="Chen A",302,IF(Atletas!O95="Sun A",303,IF(Atletas!O95="Wu A",304,IF(Atletas!O95="Wu-Hao A",305,IF(Atletas!O95="Outro Taijiquan A",306,IF(Atletas!O95="Yang B",307,IF(Atletas!O95="Chen B",308,IF(Atletas!O95="Sun B",309,IF(Atletas!O95="Wu B",310,IF(Atletas!O95="Wu-Hao B",311,IF(Atletas!O95="Outro Taijiquan B",312,IF(Atletas!O95="Yang C",313,IF(Atletas!O95="Chen C",314,IF(Atletas!O95="Sun C",315,IF(Atletas!O95="Wu C",316,IF(Atletas!O95="Wu-Hao C",317,IF(Atletas!O95="Outro Taijiquan C",318,IF(Atletas!O95="Yang D",319,IF(Atletas!O95="Chen D",320,IF(Atletas!O95="Sun D",321,IF(Atletas!O95="Wu D",322,IF(Atletas!O95="Wu-Hao D",323,IF(Atletas!O95="Outro Taijiquan D",324,IF(Atletas!O95="Yang E",325,IF(Atletas!O95="Chen E",326,IF(Atletas!O95="Sun E",327,IF(Atletas!O95="Wu E",328,IF(Atletas!O95="Wu-Hao E",329,IF(Atletas!O95="Outro Taijiquan E",330,IF(Atletas!O95="Yang F",331,IF(Atletas!O95="Chen F",332,IF(Atletas!O95="Sun F",333,IF(Atletas!O95="Wu F",334,IF(Atletas!O95="Wu-Hao F",335,IF(Atletas!O95="Outro Taijiquan F",336,"")))))))))))))))))))))))))))))))))))))</f>
        <v/>
      </c>
      <c r="BW104" s="50" t="str">
        <f>IF(Atletas!P95="","",IF(Atletas!X95&lt;&gt;"",10000,0)+IF(Atletas!B95="Feminino",1000,IF(Atletas!B95="Masculino",2000,""))+IF(OR(Atletas!P95="Yang 26 A",Atletas!P95="Yang 40 A"),401,IF(OR(Atletas!P95="Chen 25 A",Atletas!P95="Chen 36 A",Atletas!P95="Chen 56 A"),402,IF(Atletas!P95="Sun 73 A",403,IF(Atletas!P95="Wu 45 A",404,IF(Atletas!P95="Wu-Hao 46 A",405,IF(OR(Atletas!P95="Taijiquan 16 A",Atletas!P95="Taijiquan 24 A",Atletas!P95="Taijiquan 32 A",Atletas!P95="Taijiquan 42 A"),406,IF(OR(Atletas!P95="Yang 26 B",Atletas!P95="Yang 40 B"),407,IF(OR(Atletas!P95="Chen 25 B",Atletas!P95="Chen 36 B",Atletas!P95="Chen 56 B"),408,IF(Atletas!P95="Sun 73 B",409,IF(Atletas!P95="Wu 45 B",410,IF(Atletas!P95="Wu-Hao 46 B",411,IF(OR(Atletas!P95="Taijiquan 16 B",Atletas!P95="Taijiquan 24 B",Atletas!P95="Taijiquan 32 B",Atletas!P95="Taijiquan 42 B"),412,IF(OR(Atletas!P95="Yang 26 C",Atletas!P95="Yang 40 C"),413,IF(OR(Atletas!P95="Chen 25 C",Atletas!P95="Chen 36 C",Atletas!P95="Chen 56 C"),414,IF(Atletas!P95="Sun 73 C",415,IF(Atletas!P95="Wu 45 C",416,IF(Atletas!P95="Wu-Hao 46 C",417,IF(OR(Atletas!P95="Taijiquan 16 C",Atletas!P95="Taijiquan 24 C",Atletas!P95="Taijiquan 32 C",Atletas!P95="Taijiquan 42 C"),418,0)))))))))))))))))))</f>
        <v/>
      </c>
      <c r="BX104" s="50" t="str">
        <f>IF(Atletas!P95="","",IF(Atletas!X95&lt;&gt;"",10000,0)+IF(Atletas!B95="Feminino",1000,IF(Atletas!B95="Masculino",2000,""))+IF(OR(Atletas!P95="Yang 26 D",Atletas!P95="Yang 40 D"),419,IF(OR(Atletas!P95="Chen 25 D",Atletas!P95="Chen 36 D",Atletas!P95="Chen 56 D"),420,IF(Atletas!P95="Sun 73 D",421,IF(Atletas!P95="Wu 45 D",422,IF(Atletas!P95="Wu-Hao 46 D",423,IF(OR(Atletas!P95="Taijiquan 16 D",Atletas!P95="Taijiquan 24 D",Atletas!P95="Taijiquan 32 D",Atletas!P95="Taijiquan 42 D"),424,IF(OR(Atletas!P95="Yang 26 E",Atletas!P95="Yang 40 E"),425,IF(OR(Atletas!P95="Chen 25 E",Atletas!P95="Chen 36 E",Atletas!P95="Chen 56 E"),426,IF(Atletas!P95="Sun 73 E",427,IF(Atletas!P95="Wu 45 E",428,IF(Atletas!P95="Wu-Hao 46 E",429,IF(OR(Atletas!P95="Taijiquan 16 E",Atletas!P95="Taijiquan 24 E",Atletas!P95="Taijiquan 32 E",Atletas!P95="Taijiquan 42 E"),430,IF(OR(Atletas!P95="Yang 26 F",Atletas!P95="Yang 40 F"),431,IF(OR(Atletas!P95="Chen 25 F",Atletas!P95="Chen 36 F",Atletas!P95="Chen 56 F"),432,IF(Atletas!P95="Sun 73 F",433,IF(Atletas!P95="Wu 45 F",434,IF(Atletas!P95="Wu-Hao 46 F",435,IF(OR(Atletas!P95="Taijiquan 16 F",Atletas!P95="Taijiquan 24 F",Atletas!P95="Taijiquan 32 F",Atletas!P95="Taijiquan 42 F"),436,0)))))))))))))))))))</f>
        <v/>
      </c>
      <c r="BY104" s="50" t="str">
        <f>IF(Atletas!Q95="","",IF(Atletas!X95&lt;&gt;"",10000,0)+IF(Atletas!B95="Feminino",1000,IF(Atletas!B95="Masculino",2000,""))+IF(Atletas!Q95="Xingyiquan A",501,IF(Atletas!Q95="Baguazhang A",502,IF(Atletas!Q95="Outro Estilo Interno A",503,IF(Atletas!Q95="Xingyiquan B",504,IF(Atletas!Q95="Baguazhang B",505,IF(Atletas!Q95="Outro Estilo Interno B",506,IF(Atletas!Q95="Xingyiquan C",507,IF(Atletas!Q95="Baguazhang C",508,IF(Atletas!Q95="Outro Estilo Interno C",509,IF(Atletas!Q95="Xingyiquan D",510,IF(Atletas!Q95="Baguazhang D",511,IF(Atletas!Q95="Outro Estilo Interno D",512,IF(Atletas!Q95="Xingyiquan E",513,IF(Atletas!Q95="Baguazhang E",514,IF(Atletas!Q95="Outro Estilo Interno E",515,IF(Atletas!Q95="Xingyiquan F",516,IF(Atletas!Q95="Baguazhang F",517,IF(Atletas!Q95="Outro Estilo Interno F",518, "")))))))))))))))))))</f>
        <v/>
      </c>
      <c r="BZ104" s="50" t="str">
        <f>IF(Atletas!R95="","",IF(Atletas!X95&lt;&gt;"",10000,0)+IF(Atletas!B95="Feminino",1000,IF(Atletas!B95="Masculino",2000,""))+IF(Atletas!R95="Dao A",601,IF(Atletas!R95="Jian A",602,IF(Atletas!R95="Bishou A",603,IF(Atletas!R95="Shanzi A",604,IF(Atletas!R95="Outra Arma Curta A",605,IF(Atletas!R95="Dao B",606,IF(Atletas!R95="Jian B",607,IF(Atletas!R95="Bishou B",608,IF(Atletas!R95="Shanzi B",609,IF(Atletas!R95="Outra Arma Curta B",610,IF(Atletas!R95="Dao C",611,IF(Atletas!R95="Jian C",612,IF(Atletas!R95="Bishou C",613,IF(Atletas!R95="Shanzi C",614,IF(Atletas!R95="Outra Arma Curta C",615,IF(Atletas!R95="Dao D",616,IF(Atletas!R95="Jian D",617,IF(Atletas!R95="Bishou D",618,IF(Atletas!R95="Shanzi D",619,IF(Atletas!R95="Outra Arma Curta D",620,IF(Atletas!R95="Dao E",621,IF(Atletas!R95="Jian E",622,IF(Atletas!R95="Bishou E",623,IF(Atletas!R95="Shanzi E",624,IF(Atletas!R95="Outra Arma Curta E",625,IF(Atletas!R95="Dao F",626,IF(Atletas!R95="Jian F",627,IF(Atletas!R95="Bishou F",628,IF(Atletas!R95="Shanzi F",629,IF(Atletas!R95="Outra Arma Curta F",630, "")))))))))))))))))))))))))))))))</f>
        <v/>
      </c>
      <c r="CA104" s="50" t="str">
        <f>IF(Atletas!S95="","",IF(Atletas!X95&lt;&gt;"",10000,0)+IF(Atletas!B95="Feminino",1000,IF(Atletas!B95="Masculino",2000,""))+IF(Atletas!S95="Gun A",701,IF(Atletas!S95="Qiang A",702,IF(Atletas!S95="Pudao / Guandao A",703,IF(Atletas!S95="Outra Arma Longa A",704,IF(Atletas!S95="Gun B",705,IF(Atletas!S95="Qiang B",706,IF(Atletas!S95="Pudao / Guandao B",707,IF(Atletas!S95="Outra Arma Longa B",708,IF(Atletas!S95="Gun C",709,IF(Atletas!S95="Qiang C",710,IF(Atletas!S95="Pudao / Guandao C",711,IF(Atletas!S95="Outra Arma Longa C",712,IF(Atletas!S95="Gun D",713,IF(Atletas!S95="Qiang D",714,IF(Atletas!S95="Pudao / Guandao D",715,IF(Atletas!S95="Outra Arma Longa D",716,IF(Atletas!S95="Gun E",717,IF(Atletas!S95="Qiang E",718,IF(Atletas!S95="Pudao / Guandao E",719,IF(Atletas!S95="Outra Arma Longa E",720,IF(Atletas!S95="Gun F",721,IF(Atletas!S95="Qiang F",722,IF(Atletas!S95="Pudao / Guandao F",723,IF(Atletas!S95="Outra Arma Longa F",724,"")))))))))))))))))))))))))</f>
        <v/>
      </c>
      <c r="CB104" s="50" t="str">
        <f>IF(Atletas!T95="","",IF(Atletas!X95&lt;&gt;"",10000,0)+IF(Atletas!B95="Feminino",1000,IF(Atletas!B95="Masculino",2000,""))+IF(Atletas!T95="Outra Arma Dupla A",801,IF(Atletas!T95="Arma Maleável A",802,IF(Atletas!T95="Outra Arma Dupla B",803,IF(Atletas!T95="Arma Maleável B",804,IF(Atletas!T95="Outra Arma Dupla C",805,IF(Atletas!T95="Arma Maleável C",806,IF(Atletas!T95="Outra Arma Dupla D",807,IF(Atletas!T95="Arma Maleável D",808,IF(Atletas!T95="Outra Arma Dupla E",809,IF(Atletas!T95="Arma Maleável E",810,IF(Atletas!T95="Outra Arma Dupla F",811,IF(Atletas!T95="Arma Maleável F",812,IF(Atletas!T95="Shuangdao A",813,IF(Atletas!T95="Shuangdao B",814,IF(Atletas!T95="Shuangdao C",815,IF(Atletas!T95="Shuangdao D",816,IF(Atletas!T95="Shuangdao E",817,IF(Atletas!T95="Shuangdao F",818,"")))))))))))))))))))</f>
        <v/>
      </c>
      <c r="CC104" s="50" t="str">
        <f>IF(Atletas!U95="","",IF(Atletas!X95&lt;&gt;"",10000,0)+IF(Atletas!B95="Feminino",1000,IF(Atletas!B95="Masculino",2000,""))+IF(OR(Atletas!U95="Taijijian Yang A",Atletas!U95="Taijijian Yang Standard A"),901,IF(OR(Atletas!U95="Taijijian Chen A", Atletas!U95="Taijijian Chen Standard A"),902,IF(Atletas!U95="Taijijian Sun A",903,IF(Atletas!U95="Taijijian Wu A",904,IF(Atletas!U95="Taijijian Wu-Hao A",905,IF(OR(Atletas!U95="Taijijian 32 A",Atletas!U95="Taijijian 42 A"),906,IF(OR(Atletas!U95="Taijijian Yang B",Atletas!U95="Taijijian Yang Standard B"),907,IF(OR(Atletas!U95="Taijijian Chen B", Atletas!U95="Taijijian Chen Standard B"),908,IF(Atletas!U95="Taijijian Sun B",909,IF(Atletas!U95="Taijijian Wu B",910,IF(Atletas!U95="Taijijian Wu-Hao B",911,IF(OR(Atletas!U95="Taijijian 32 B",Atletas!U95="Taijijian 42 B"),912,IF(OR(Atletas!U95="Taijijian Yang C",Atletas!U95="Taijijian Yang Standard C"),913,IF(OR(Atletas!U95="Taijijian Chen C", Atletas!U95="Taijijian Chen Standard C"),914,IF(Atletas!U95="Taijijian Sun C",915,IF(Atletas!U95="Taijijian Wu C",916,IF(Atletas!U95="Taijijian Wu-Hao C",917,IF(OR(Atletas!U95="Taijijian 32 C",Atletas!U95="Taijijian 42 C"),918,IF(OR(Atletas!U95="Taijijian Yang D",Atletas!U95="Taijijian Yang Standard D"),919,IF(OR(Atletas!U95="Taijijian Chen D", Atletas!U95="Taijijian Chen Standard D"),920,IF(Atletas!U95="Taijijian Sun D",921,IF(Atletas!U95="Taijijian Wu D",922,IF(Atletas!U95="Taijijian Wu-Hao D",923,IF(OR(Atletas!U95="Taijijian 32 D",Atletas!U95="Taijijian 42 D"),924,IF(OR(Atletas!U95="Taijijian Yang E",Atletas!U95="Taijijian Yang Standard E"),925,IF(OR(Atletas!U95="Taijijian Chen E", Atletas!U95="Taijijian Chen Standard E"),926,IF(Atletas!U95="Taijijian Sun E",927,IF(Atletas!U95="Taijijian Wu E",928,IF(Atletas!U95="Taijijian Wu-Hao E",929,IF(OR(Atletas!U95="Taijijian 32 E",Atletas!U95="Taijijian 42 E"),930,IF(OR(Atletas!U95="Taijijian Yang F",Atletas!U95="Taijijian Yang Standard F"),931,IF(OR(Atletas!U95="Taijijian Chen F", Atletas!U95="Taijijian Chen Standard F"),932,IF(Atletas!U95="Taijijian Sun F",933,IF(Atletas!U95="Taijijian Wu F",934,IF(Atletas!U95="Taijijian Wu-Hao F",935,IF(OR(Atletas!U95="Taijijian 32 F",Atletas!U95="Taijijian 42 F"),936,"")))))))))))))))))))))))))))))))))))))</f>
        <v/>
      </c>
      <c r="CD104" s="50" t="str">
        <f>IF(Atletas!V95="","",IF(Atletas!X95&lt;&gt;"",10000,0)+IF(Atletas!B95="Feminino",1000,IF(Atletas!B95="Masculino",2000,""))+IF(Atletas!V95="Taijidao A",937,IF(Atletas!V95="TaijiShanzi A",938,IF(Atletas!V95="Taijiqiang A",939,IF(Atletas!V95="Bagua de Arma A",940,IF(Atletas!V95="Xingyi de Arma A",941,IF(Atletas!V95="Taijidao B",942,IF(Atletas!V95="TaijiShanzi B",943,IF(Atletas!V95="Taijiqiang B",944,IF(Atletas!V95="Bagua de Arma B",945,IF(Atletas!V95="Xingyi de Arma B",946,IF(Atletas!V95="Taijidao C",947,IF(Atletas!V95="TaijiShanzi C",948,IF(Atletas!V95="Taijiqiang C",949,IF(Atletas!V95="Bagua de Arma C",950,IF(Atletas!V95="Xingyi de Arma C",951,IF(Atletas!V95="Taijidao D",952,IF(Atletas!V95="TaijiShanzi D",953,IF(Atletas!V95="Taijiqiang D",954,IF(Atletas!V95="Bagua de Arma D",955,IF(Atletas!V95="Xingyi de Arma D",956,IF(Atletas!V95="Taijidao E",957,IF(Atletas!V95="TaijiShanzi E",958,IF(Atletas!V95="Taijiqiang E",959,IF(Atletas!V95="Bagua de Arma E",960,IF(Atletas!V95="Xingyi de Arma E",961,IF(Atletas!V95="Taijidao F",962,IF(Atletas!V95="TaijiShanzi F",963,IF(Atletas!V95="Taijiqiang F",964,IF(Atletas!V95="Bagua de Arma F",965,IF(Atletas!V95="Xingyi de Arma F",966,"")))))))))))))))))))))))))))))))</f>
        <v/>
      </c>
      <c r="CE104" s="66" t="str">
        <f>IF(CF104&lt;&gt;"","Yingzhaoquan E","")</f>
        <v/>
      </c>
      <c r="CF104" s="66" t="str">
        <f>IF(COUNTIF(BR:CD,1162)&gt;0,COUNTIF(BR:CD,1162),"")</f>
        <v/>
      </c>
      <c r="CG104" s="66" t="str">
        <f>IF(CH104&lt;&gt;"","Yingzhaoquan E","")</f>
        <v/>
      </c>
      <c r="CH104" s="66" t="str">
        <f>IF(COUNTIF(BR:CD,2162)&gt;0,COUNTIF(BR:CD,2162),"")</f>
        <v/>
      </c>
      <c r="CI104" s="66" t="str">
        <f>IF(CJ104&lt;&gt;"","Fanziquan F","")</f>
        <v/>
      </c>
      <c r="CJ104" s="66" t="str">
        <f>IF(COUNTIF(BR:CD,11168)&gt;0,COUNTIF(BR:CD,11168),"")</f>
        <v/>
      </c>
      <c r="CK104" s="66" t="str">
        <f>IF(CL104&lt;&gt;"","Fanziquan F","")</f>
        <v/>
      </c>
      <c r="CL104" s="66" t="str">
        <f>IF(COUNTIF(BR:CD,12168)&gt;0,COUNTIF(BR:CD,12168),"")</f>
        <v/>
      </c>
      <c r="CM104" s="50" t="str">
        <f xml:space="preserve"> IF(Atletas!W95="","",IF(Atletas!W95="Duilian de Mãos BC - Equipe 1",1,IF(Atletas!W95="Duilian de Mãos BC - Equipe 2",2,IF(Atletas!W95="Duilian de Armas BC - Equipe 1",3,IF(Atletas!W95="Duilian de Armas BC - Equipe 2",4,IF(Atletas!W95="Duilian de Mãos DE - Equipe 1",5,IF(Atletas!W95="Duilian de Mãos DE - Equipe 2",6,IF(Atletas!W95="Duilian de Armas DE - Equipe 1",7,IF(Atletas!W95="Duilian de Armas DE - Equipe 2",8,IF(Atletas!W95="Duilian de Tuishou - Equipe 1",9,IF(Atletas!W95="Duilian de Tuishou - Equipe 2",10,IF(Atletas!W95="Grupo Externo ABC - Equipe 1",11,IF(Atletas!W95="Grupo Externo ABC - Equipe 2",12,IF(Atletas!W95="Grupo Interno ABC - Equipe 1",13,IF(Atletas!W95="Grupo Interno ABC - Equipe 2",14,IF(Atletas!W95="Grupo Externo DEF - Equipe 1",15,IF(Atletas!W95="Grupo Externo DEF - Equipe 2",16,IF(Atletas!W95="Grupo Interno DEF - Equipe 1",17,IF(Atletas!W95="Grupo Interno DEF - Equipe 2",18,"")))))))))))))))))))</f>
        <v/>
      </c>
    </row>
    <row r="105" spans="2:91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 t="str">
        <f t="array" ref="Z105">IFERROR(INDEX(CE$7:CE$348,SMALL(IF(CE$7:CE$348&lt;&gt;"",ROW(CE$7:CE$348)-ROW(CE$7)+1),ROWS(CE$7:CE104))),"")</f>
        <v/>
      </c>
      <c r="AA105" s="3" t="str">
        <f t="array" ref="AA105">IFERROR(INDEX(CF$7:CF$348,SMALL(IF(CF$7:CF$348&lt;&gt;"",ROW(CF$7:CF$348)-ROW(CF$7)+1),ROWS(CF$7:CF104))),"")</f>
        <v/>
      </c>
      <c r="AB105" s="3" t="str">
        <f t="array" ref="AB105">IFERROR(INDEX(CG$7:CG$348,SMALL(IF(CG$7:CG$348&lt;&gt;"",ROW(CG$7:CG$348)-ROW(CG$7)+1),ROWS(CG$7:CG104))),"")</f>
        <v/>
      </c>
      <c r="AC105" s="3" t="str">
        <f t="array" ref="AC105">IFERROR(INDEX(CH$7:CH$348,SMALL(IF(CH$7:CH$348&lt;&gt;"",ROW(CH$7:CH$348)-ROW(CH$7)+1),ROWS(CH$7:CH104))),"")</f>
        <v/>
      </c>
      <c r="AD105" s="3" t="str">
        <f t="array" ref="AD105">IFERROR(INDEX(CI$7:CI$377,SMALL(IF(CI$7:CI$377&lt;&gt;"",ROW(CI$7:CI$377)-ROW(CI$7)+1),ROWS(CI$7:CI104))),"")</f>
        <v/>
      </c>
      <c r="AE105" s="3" t="str">
        <f t="array" ref="AE105">IFERROR(INDEX(CJ$7:CJ$378,SMALL(IF(CJ$7:CJ$378&lt;&gt;"",ROW(CJ$7:CJ$378)-ROW(CJ$7)+1),ROWS(CJ$7:CJ104))),"")</f>
        <v/>
      </c>
      <c r="AF105" s="3" t="str">
        <f t="array" ref="AF105">IFERROR(INDEX(CK$7:CK$378,SMALL(IF(CK$7:CK$378&lt;&gt;"",ROW(CK$7:CK$378)-ROW(CK$7)+1),ROWS(CK$7:CK104))),"")</f>
        <v/>
      </c>
      <c r="AG105" s="3" t="str">
        <f t="array" ref="AG105">IFERROR(INDEX(CL$7:CL$378,SMALL(IF(CL$7:CL$378&lt;&gt;"",ROW(CL$7:CL$378)-ROW(CL$7)+1),ROWS(CL$7:CL104))),"")</f>
        <v/>
      </c>
      <c r="AH105" s="3"/>
      <c r="AI105" s="3"/>
      <c r="AJ105" s="3"/>
      <c r="AK105" s="3"/>
      <c r="AL105" s="3"/>
      <c r="AM105" s="3"/>
      <c r="AN105" s="52" t="str">
        <f>IF(Atletas!D96="","",IF(Atletas!B96="Feminino",100,IF(Atletas!B96="Masculino",200,""))+(IF(Atletas!D96="Kids 30kg",1,IF(Atletas!D96="Kids 32kg",2, IF(Atletas!D96="Kids 34kg",3,IF(Atletas!D96="Kids 36kg",4,IF(Atletas!D96="Kids 39kg",5,IF(Atletas!D96="Kids 42kg",6,IF(Atletas!D96="Kids 45kg",7, IF(Atletas!D96="Infantil 39kg",8,IF(Atletas!D96="Infantil 42kg",9,IF(Atletas!D96="Infantil 45kg",10,IF(Atletas!D96="Infantil 48kg",11,IF(Atletas!D96="Infantil 52kg",12,IF(Atletas!D96="Infantil 56kg",13,IF(Atletas!D96="Infantil 60kg",14,IF(Atletas!D96="Juvenil 48kg",15,IF(Atletas!D96="Juvenil 52kg",16,IF(Atletas!D96="Juvenil 56kg",17,IF(Atletas!D96="Juvenil 60kg",18,IF(Atletas!D96="Juvenil 65kg",19,IF(Atletas!D96="Juvenil 70kg",20,IF(Atletas!D96="Juvenil 75kg",21,IF(Atletas!D96="Juvenil 80kg",22, IF(Atletas!D96="Juvenil 85kg",23,IF(Atletas!D96="Adulto 48kg",24,IF(Atletas!D96="Adulto 52kg",25,IF(Atletas!D96="Adulto 56kg",26,IF(Atletas!D96="Adulto 60kg",27,IF(Atletas!D96="Adulto 65kg",28,IF(Atletas!D96="Adulto 70kg",29,IF(Atletas!D96="Adulto 75kg",30,IF(Atletas!D96="Adulto 80kg",31,IF(Atletas!D96="Adulto 85kg",32,IF(Atletas!D96="Adulto 90kg",33,IF(Atletas!D96="Adulto 100kg",34, IF(Atletas!D96="Adulto +100kg",35,"")))))))))))))))))))))))))))))))))))))</f>
        <v/>
      </c>
      <c r="AS105" s="6" t="str">
        <f>IF(Atletas!E96="","",IF(Atletas!B96="Feminino",100,IF(Atletas!B96="Masculino",200,""))+(IF(Atletas!E96="Juvenil 44kg",1,IF(Atletas!E96="Juvenil 48kg",2,IF(Atletas!E96="Juvenil 52kg",3,IF(Atletas!E96="Juvenil 56kg",4,IF(Atletas!E96="Juvenil 60kg",5,IF(Atletas!E96="Juvenil 65kg",6,IF(Atletas!E96="Juvenil 70kg",7,IF(Atletas!E96="Juvenil 75kg",8,IF(Atletas!E96="Juvenil 82kg",9,IF(Atletas!E96="Juvenil 90kg",10,IF(Atletas!E96="Juvenil 100kg",11,IF(Atletas!E96="Adulto 48kg",12,IF(Atletas!E96="Adulto 52kg",13,IF(Atletas!E96="Adulto 56kg",14,IF(Atletas!E96="Adulto 60kg",15,IF(Atletas!E96="Adulto 65kg",16,IF(Atletas!E96="Adulto 70kg",17,IF(Atletas!E96="Adulto 75kg",18,IF(Atletas!E96="Adulto 82kg",19,IF(Atletas!E96="Adulto 90kg",20,IF(Atletas!E96="Adulto 100kg",21,IF(Atletas!E96="Adulto +100kg",22,""))))))))))))))))))))))))</f>
        <v/>
      </c>
      <c r="AX105" s="6" t="str">
        <f>IF(Atletas!F96="","",IF(Atletas!B96="Feminino",100,IF(Atletas!B96="Masculino",200,""))+(IF(Atletas!F96="Adulto 48kg",1,IF(Atletas!F96="Adulto 56kg",2,IF(Atletas!F96="Adulto 65kg",3,IF(Atletas!F96="Adulto 75kg",4,IF(Atletas!F96="Adulto +75kg",5,IF(Atletas!F96="Adulto 52kg",6,IF(Atletas!F96="Adulto 60kg",7,IF(Atletas!F96="Adulto 70kg",8,IF(Atletas!F96="Adulto 80kg",9,IF(Atletas!F96="Adulto 90kg",10,IF(Atletas!F96="Adulto +90kg",11,"")))))))))))))</f>
        <v/>
      </c>
      <c r="BC105" s="6" t="str">
        <f>IF(Atletas!G96="","",IF(Atletas!B96="Feminino",10,IF(Atletas!B96="Masculino",20,""))+(IF(Atletas!G96="Baduanjin A",1,IF(Atletas!G96="Baduanjin B",2))))</f>
        <v/>
      </c>
      <c r="BF105" s="52" t="str">
        <f>IF(Atletas!H96="","",IF(Atletas!B96="Feminino",100,IF(Atletas!B96="Masculino",200,""))+(IF(Atletas!H96="Changquan Mirim",1,IF(Atletas!H96="Nanquan Mirim",2,IF(Atletas!H96="Taijiquan Mirim",3,IF(Atletas!H96="Changquan Grupo C",4,IF(Atletas!H96="Nanquan Grupo C",5,IF(Atletas!H96="Taijiquan Grupo C",6,IF(Atletas!H96="Changquan Grupo B",7,IF(Atletas!H96="Nanquan Grupo B",8,IF(Atletas!H96="Taijiquan Grupo B",9,IF(Atletas!H96="Changquan Grupo A",10,IF(Atletas!H96="Nanquan Grupo A",11,IF(Atletas!H96="Taijiquan Grupo A",12,IF(Atletas!H96="Changquan Opcional",13,IF(Atletas!H96="Nanquan Opcional",14,IF(Atletas!H96="Taijiquan Opcional",15,IF(Atletas!H96="Changquan Adulto",16,IF(Atletas!H96="Nanquan Adulto",17,IF(Atletas!H96="Taijiquan Adulto",18,""))))))))))))))))))))</f>
        <v/>
      </c>
      <c r="BG105" s="52" t="str">
        <f>IF(Atletas!I96="","",IF(Atletas!B96="Feminino",100,IF(Atletas!B96="Masculino",200,""))+(IF(Atletas!I96="Daoshu Mirim",19,IF(Atletas!I96="Jianshu Mirim",20,IF(Atletas!I96="Nandao Mirim",21,IF(Atletas!I96="Taijijian Mirim",22,IF(Atletas!I96="Daoshu Grupo C",23,IF(Atletas!I96="Jianshu Grupo C",24,IF(Atletas!I96="Nandao Grupo C",25,IF(Atletas!I96="Taijijian Grupo C",26,IF(Atletas!I96="Daoshu Grupo B",27,IF(Atletas!I96="Jianshu Grupo B",28,IF(Atletas!I96="Nandao Grupo B",29,IF(Atletas!I96="Taijijian Grupo B",30,IF(Atletas!I96="Daoshu Grupo A",31,IF(Atletas!I96="Jianshu Grupo A",32,IF(Atletas!I96="Nandao Grupo A",33,IF(Atletas!I96="Taijijian Grupo A",34,IF(Atletas!I96="Daoshu Opcional",35,IF(Atletas!I96="Jianshu Opcional",36,IF(Atletas!I96="Nandao Opcional",37,IF(Atletas!I96="Taijijian Opcional",38,IF(Atletas!I96="Daoshu Adulto",39,IF(Atletas!I96="Jianshu Adulto",40,IF(Atletas!I96="Nandao Adulto",41,IF(Atletas!I96="Taijijian Adulto",42,""))))))))))))))))))))))))))</f>
        <v/>
      </c>
      <c r="BH105" s="52" t="str">
        <f>IF(Atletas!J96="","",IF(Atletas!B96="Feminino",100,IF(Atletas!B96="Masculino",200,""))+(IF(Atletas!J96="Gunshu Mirim",43,IF(Atletas!J96="Qiangshu Mirim",44,IF(Atletas!J96="Nangun Mirim",45,IF(Atletas!J96="Gunshu Grupo C",46,IF(Atletas!J96="Qiangshu Grupo C",47,IF(Atletas!J96="Nangun Grupo C",48,IF(Atletas!J96="Gunshu Grupo B",49,IF(Atletas!J96="Qiangshu Grupo B",50,IF(Atletas!J96="Nangun Grupo B",51,IF(Atletas!J96="Gunshu Grupo A",52,IF(Atletas!J96="Qiangshu Grupo A",53,IF(Atletas!J96="Nangun Grupo A",54,IF(Atletas!J96="Gunshu Opcional",55,IF(Atletas!J96="Qiangshu Opcional",56,IF(Atletas!J96="Nangun Opcional",57,IF(Atletas!J96="Gunshu Adulto",58,IF(Atletas!J96="Qiangshu Adulto",59,IF(Atletas!J96="Nangun Adulto",60,IF(Atletas!J96="Taijishan Grupo B",61,IF(Atletas!J96="Taijishan Grupo A",62,""))))))))))))))))))))))</f>
        <v/>
      </c>
      <c r="BM105" s="50" t="str">
        <f>IF(Atletas!K96="","",IF(Atletas!B96="Feminino",100,IF(Atletas!B96="Masculino",200,""))+(IF(Atletas!K96="Equipe 1 Grupo B",1,IF(Atletas!K96="Equipe 2 Grupo B",2,IF(Atletas!K96="Equipe 1 Grupo A",3,IF(Atletas!K96="Equipe 2 Grupo A",4,IF(Atletas!K96="Equipe 1 Adulto",5,IF(Atletas!K96="Equipe 2 Adulto",6,""))))))))</f>
        <v/>
      </c>
      <c r="BR105" s="50" t="str">
        <f>IF(Atletas!L96="","",IF(Atletas!X96&lt;&gt;"",10000,0)+(IF(Atletas!B96="Feminino",1000,IF(Atletas!B96="Masculino",2000,""))+IF(Atletas!L96="Choylayfut A",1,IF(Atletas!L96="Hunggar A",2,IF(Atletas!L96="Wuzuquan A",3,IF(Atletas!L96="Wingchun A",4,IF(Atletas!L96="Outra Mão de Sul A",5,IF(Atletas!L96="Choylayfut B",6,IF(Atletas!L96="Hunggar B",7,IF(Atletas!L96="Wuzuquan B",8,IF(Atletas!L96="Wingchun B",9,IF(Atletas!L96="Outra Mão de Sul B",10,IF(Atletas!L96="Choylayfut C",11,IF(Atletas!L96="Hunggar C",12,IF(Atletas!L96="Wuzuquan C",13,IF(Atletas!L96="Wingchun C",14,IF(Atletas!L96="Outra Mão de Sul C",15,IF(Atletas!L96="Choylayfut D",16,IF(Atletas!L96="Hunggar D",17,IF(Atletas!L96="Wuzuquan D",18,IF(Atletas!L96="Wingchun D",19,IF(Atletas!L96="Outra Mão de Sul D",20,IF(Atletas!L96="Choylayfut E",21,IF(Atletas!L96="Hunggar E",22,IF(Atletas!L96="Wuzuquan E",23,IF(Atletas!L96="Wingchun E",24,IF(Atletas!L96="Outra Mão de Sul E",25,IF(Atletas!L96="Choylayfut F",26,IF(Atletas!L96="Hunggar F",27,IF(Atletas!L96="Wuzuquan F",28,IF(Atletas!L96="Wingchun F",29,IF(Atletas!L96="Outra Mão de Sul F",30,IF(Atletas!L96="Dishuquan A",31,IF(Atletas!L96="Dishuquan B",32,IF(Atletas!L96="Dishuquan C",33,IF(Atletas!L96="Dishuquan D",34,IF(Atletas!L96="Dishuquan E",35,IF(Atletas!L96="Dishuquan F",36,""))))))))))))))))))))))))))))))))))))))</f>
        <v/>
      </c>
      <c r="BS105" s="50" t="str">
        <f>IF(Atletas!M96="","",IF(Atletas!X96&lt;&gt;"",10000,0)+(IF(Atletas!B96="Feminino",1000,IF(Atletas!B96="Masculino",2000,""))+(IF(Atletas!M96="Chaquan A",101,IF(Atletas!M96="Emeiquan A",102,IF(Atletas!M96="Fanziquan A",103,IF(Atletas!M96="Huaquan A",104,IF(Atletas!M96="Hongquan A",105,IF(Atletas!M96="Paoquan A",106,IF(Atletas!M96="Piguaquan A",107,IF(Atletas!M96="Shaolinquan A",108,IF(Atletas!M96="Tanglangquan A",109,IF(Atletas!M96="Yingzhaoquan A",110,IF(Atletas!M96="Tongbeiquan A",111,IF(Atletas!M96="Wudangquan A",112,IF(Atletas!M96="Outros Estilos A",113,IF(Atletas!M96="Chaquan B",114,IF(Atletas!M96="Emeiquan B",115,IF(Atletas!M96="Fanziquan B",116,IF(Atletas!M96="Huaquan B",117,IF(Atletas!M96="Hongquan B",118,IF(Atletas!M96="Paoquan B",119,IF(Atletas!M96="Piguaquan B",120,IF(Atletas!M96="Shaolinquan B",121,IF(Atletas!M96="Tanglangquan B",122,IF(Atletas!M96="Yingzhaoquan B",123,IF(Atletas!M96="Tongbeiquan B",124,IF(Atletas!M96="Wudangquan B",125,IF(Atletas!M96="Outros Estilos B",126,IF(Atletas!M96="Chaquan C",127,IF(Atletas!M96="Emeiquan C",128,IF(Atletas!M96="Fanziquan C",129,IF(Atletas!M96="Huaquan C",130,IF(Atletas!M96="Hongquan C",131,IF(Atletas!M96="Paoquan C",132,IF(Atletas!M96="Piguaquan C",133,IF(Atletas!M96="Shaolinquan C",134,IF(Atletas!M96="Tanglangquan C",135,IF(Atletas!M96="Yingzhaoquan C",136,IF(Atletas!M96="Tongbeiquan C",137,IF(Atletas!M96="Wudangquan C",138,IF(Atletas!M96="Outros Estilos C",139,0))))))))))))))))))))))))))))))))))))))))))</f>
        <v/>
      </c>
      <c r="BT105" s="50" t="str">
        <f>IF(Atletas!M96="","",IF(Atletas!X96&lt;&gt;"",10000,0)+(IF(Atletas!B96="Feminino",1000,IF(Atletas!B96="Masculino",2000,""))+(IF(Atletas!M96="Chaquan D",140,IF(Atletas!M96="Emeiquan D",141,IF(Atletas!M96="Fanziquan D",142,IF(Atletas!M96="Huaquan D",143,IF(Atletas!M96="Hongquan D",144,IF(Atletas!M96="Paoquan D",145,IF(Atletas!M96="Piguaquan D",146,IF(Atletas!M96="Shaolinquan D",147,IF(Atletas!M96="Tanglangquan D",148,IF(Atletas!M96="Yingzhaoquan D",149,IF(Atletas!M96="Tongbeiquan D",150,IF(Atletas!M96="Wudangquan D",151,IF(Atletas!M96="Outros Estilos D",152,IF(Atletas!M96="Chaquan E",153,IF(Atletas!M96="Emeiquan E",154,IF(Atletas!M96="Fanziquan E",155,IF(Atletas!M96="Huaquan E",156,IF(Atletas!M96="Hongquan E",157,IF(Atletas!M96="Paoquan E",158,IF(Atletas!M96="Piguaquan E",159,IF(Atletas!M96="Shaolinquan E",160,IF(Atletas!M96="Tanglangquan E",161,IF(Atletas!M96="Yingzhaoquan E",162,IF(Atletas!M96="Tongbeiquan E",163,IF(Atletas!M96="Wudangquan E",164,IF(Atletas!M96="Outros Estilos E",165,IF(Atletas!M96="Chaquan F",166,IF(Atletas!M96="Emeiquan F",167,IF(Atletas!M96="Fanziquan F",168,IF(Atletas!M96="Huaquan F",169,IF(Atletas!M96="Hongquan F",170,IF(Atletas!M96="Paoquan F",171,IF(Atletas!M96="Piguaquan F",172,IF(Atletas!M96="Shaolinquan F",173,IF(Atletas!M96="Tanglangquan F",174,IF(Atletas!M96="Yingzhaoquan F",175,IF(Atletas!M96="Tongbeiquan F",176,IF(Atletas!M96="Wudangquan F",177,IF(Atletas!M96="Outros Estilos F",178,0))))))))))))))))))))))))))))))))))))))))))</f>
        <v/>
      </c>
      <c r="BU105" s="50" t="str">
        <f>IF(Atletas!N96="","",IF(Atletas!X96&lt;&gt;"",10000,0)+(IF(Atletas!B96="Feminino",1000,IF(Atletas!B96="Masculino",2000,""))+(IF(Atletas!N96="Ditangquan A",201,IF(Atletas!N96="Houquan A",202,IF(Atletas!N96="Zuiquan A",203,IF(Atletas!N96="Ditangquan B",204,IF(Atletas!N96="Houquan B",205,IF(Atletas!N96="Zuiquan B",206,IF(Atletas!N96="Ditangquan C",207,IF(Atletas!N96="Houquan C",208,IF(Atletas!N96="Zuiquan C",209,IF(Atletas!N96="Ditangquan D",210,IF(Atletas!N96="Houquan D",211,IF(Atletas!N96="Zuiquan D",212,IF(Atletas!N96="Ditangquan E",213,IF(Atletas!N96="Houquan E",214,IF(Atletas!N96="Zuiquan E",215,IF(Atletas!N96="Ditangquan F",216,IF(Atletas!N96="Houquan F",217,IF(Atletas!N96="Zuiquan F",218,"")))))))))))))))))))))</f>
        <v/>
      </c>
      <c r="BV105" s="50" t="str">
        <f>IF(Atletas!O96="","",IF(Atletas!X96&lt;&gt;"",10000,0)+IF(Atletas!B96="Feminino",1000,IF(Atletas!B96="Masculino",2000,""))+IF(Atletas!O96="Yang A",301,IF(Atletas!O96="Chen A",302,IF(Atletas!O96="Sun A",303,IF(Atletas!O96="Wu A",304,IF(Atletas!O96="Wu-Hao A",305,IF(Atletas!O96="Outro Taijiquan A",306,IF(Atletas!O96="Yang B",307,IF(Atletas!O96="Chen B",308,IF(Atletas!O96="Sun B",309,IF(Atletas!O96="Wu B",310,IF(Atletas!O96="Wu-Hao B",311,IF(Atletas!O96="Outro Taijiquan B",312,IF(Atletas!O96="Yang C",313,IF(Atletas!O96="Chen C",314,IF(Atletas!O96="Sun C",315,IF(Atletas!O96="Wu C",316,IF(Atletas!O96="Wu-Hao C",317,IF(Atletas!O96="Outro Taijiquan C",318,IF(Atletas!O96="Yang D",319,IF(Atletas!O96="Chen D",320,IF(Atletas!O96="Sun D",321,IF(Atletas!O96="Wu D",322,IF(Atletas!O96="Wu-Hao D",323,IF(Atletas!O96="Outro Taijiquan D",324,IF(Atletas!O96="Yang E",325,IF(Atletas!O96="Chen E",326,IF(Atletas!O96="Sun E",327,IF(Atletas!O96="Wu E",328,IF(Atletas!O96="Wu-Hao E",329,IF(Atletas!O96="Outro Taijiquan E",330,IF(Atletas!O96="Yang F",331,IF(Atletas!O96="Chen F",332,IF(Atletas!O96="Sun F",333,IF(Atletas!O96="Wu F",334,IF(Atletas!O96="Wu-Hao F",335,IF(Atletas!O96="Outro Taijiquan F",336,"")))))))))))))))))))))))))))))))))))))</f>
        <v/>
      </c>
      <c r="BW105" s="50" t="str">
        <f>IF(Atletas!P96="","",IF(Atletas!X96&lt;&gt;"",10000,0)+IF(Atletas!B96="Feminino",1000,IF(Atletas!B96="Masculino",2000,""))+IF(OR(Atletas!P96="Yang 26 A",Atletas!P96="Yang 40 A"),401,IF(OR(Atletas!P96="Chen 25 A",Atletas!P96="Chen 36 A",Atletas!P96="Chen 56 A"),402,IF(Atletas!P96="Sun 73 A",403,IF(Atletas!P96="Wu 45 A",404,IF(Atletas!P96="Wu-Hao 46 A",405,IF(OR(Atletas!P96="Taijiquan 16 A",Atletas!P96="Taijiquan 24 A",Atletas!P96="Taijiquan 32 A",Atletas!P96="Taijiquan 42 A"),406,IF(OR(Atletas!P96="Yang 26 B",Atletas!P96="Yang 40 B"),407,IF(OR(Atletas!P96="Chen 25 B",Atletas!P96="Chen 36 B",Atletas!P96="Chen 56 B"),408,IF(Atletas!P96="Sun 73 B",409,IF(Atletas!P96="Wu 45 B",410,IF(Atletas!P96="Wu-Hao 46 B",411,IF(OR(Atletas!P96="Taijiquan 16 B",Atletas!P96="Taijiquan 24 B",Atletas!P96="Taijiquan 32 B",Atletas!P96="Taijiquan 42 B"),412,IF(OR(Atletas!P96="Yang 26 C",Atletas!P96="Yang 40 C"),413,IF(OR(Atletas!P96="Chen 25 C",Atletas!P96="Chen 36 C",Atletas!P96="Chen 56 C"),414,IF(Atletas!P96="Sun 73 C",415,IF(Atletas!P96="Wu 45 C",416,IF(Atletas!P96="Wu-Hao 46 C",417,IF(OR(Atletas!P96="Taijiquan 16 C",Atletas!P96="Taijiquan 24 C",Atletas!P96="Taijiquan 32 C",Atletas!P96="Taijiquan 42 C"),418,0)))))))))))))))))))</f>
        <v/>
      </c>
      <c r="BX105" s="50" t="str">
        <f>IF(Atletas!P96="","",IF(Atletas!X96&lt;&gt;"",10000,0)+IF(Atletas!B96="Feminino",1000,IF(Atletas!B96="Masculino",2000,""))+IF(OR(Atletas!P96="Yang 26 D",Atletas!P96="Yang 40 D"),419,IF(OR(Atletas!P96="Chen 25 D",Atletas!P96="Chen 36 D",Atletas!P96="Chen 56 D"),420,IF(Atletas!P96="Sun 73 D",421,IF(Atletas!P96="Wu 45 D",422,IF(Atletas!P96="Wu-Hao 46 D",423,IF(OR(Atletas!P96="Taijiquan 16 D",Atletas!P96="Taijiquan 24 D",Atletas!P96="Taijiquan 32 D",Atletas!P96="Taijiquan 42 D"),424,IF(OR(Atletas!P96="Yang 26 E",Atletas!P96="Yang 40 E"),425,IF(OR(Atletas!P96="Chen 25 E",Atletas!P96="Chen 36 E",Atletas!P96="Chen 56 E"),426,IF(Atletas!P96="Sun 73 E",427,IF(Atletas!P96="Wu 45 E",428,IF(Atletas!P96="Wu-Hao 46 E",429,IF(OR(Atletas!P96="Taijiquan 16 E",Atletas!P96="Taijiquan 24 E",Atletas!P96="Taijiquan 32 E",Atletas!P96="Taijiquan 42 E"),430,IF(OR(Atletas!P96="Yang 26 F",Atletas!P96="Yang 40 F"),431,IF(OR(Atletas!P96="Chen 25 F",Atletas!P96="Chen 36 F",Atletas!P96="Chen 56 F"),432,IF(Atletas!P96="Sun 73 F",433,IF(Atletas!P96="Wu 45 F",434,IF(Atletas!P96="Wu-Hao 46 F",435,IF(OR(Atletas!P96="Taijiquan 16 F",Atletas!P96="Taijiquan 24 F",Atletas!P96="Taijiquan 32 F",Atletas!P96="Taijiquan 42 F"),436,0)))))))))))))))))))</f>
        <v/>
      </c>
      <c r="BY105" s="50" t="str">
        <f>IF(Atletas!Q96="","",IF(Atletas!X96&lt;&gt;"",10000,0)+IF(Atletas!B96="Feminino",1000,IF(Atletas!B96="Masculino",2000,""))+IF(Atletas!Q96="Xingyiquan A",501,IF(Atletas!Q96="Baguazhang A",502,IF(Atletas!Q96="Outro Estilo Interno A",503,IF(Atletas!Q96="Xingyiquan B",504,IF(Atletas!Q96="Baguazhang B",505,IF(Atletas!Q96="Outro Estilo Interno B",506,IF(Atletas!Q96="Xingyiquan C",507,IF(Atletas!Q96="Baguazhang C",508,IF(Atletas!Q96="Outro Estilo Interno C",509,IF(Atletas!Q96="Xingyiquan D",510,IF(Atletas!Q96="Baguazhang D",511,IF(Atletas!Q96="Outro Estilo Interno D",512,IF(Atletas!Q96="Xingyiquan E",513,IF(Atletas!Q96="Baguazhang E",514,IF(Atletas!Q96="Outro Estilo Interno E",515,IF(Atletas!Q96="Xingyiquan F",516,IF(Atletas!Q96="Baguazhang F",517,IF(Atletas!Q96="Outro Estilo Interno F",518, "")))))))))))))))))))</f>
        <v/>
      </c>
      <c r="BZ105" s="50" t="str">
        <f>IF(Atletas!R96="","",IF(Atletas!X96&lt;&gt;"",10000,0)+IF(Atletas!B96="Feminino",1000,IF(Atletas!B96="Masculino",2000,""))+IF(Atletas!R96="Dao A",601,IF(Atletas!R96="Jian A",602,IF(Atletas!R96="Bishou A",603,IF(Atletas!R96="Shanzi A",604,IF(Atletas!R96="Outra Arma Curta A",605,IF(Atletas!R96="Dao B",606,IF(Atletas!R96="Jian B",607,IF(Atletas!R96="Bishou B",608,IF(Atletas!R96="Shanzi B",609,IF(Atletas!R96="Outra Arma Curta B",610,IF(Atletas!R96="Dao C",611,IF(Atletas!R96="Jian C",612,IF(Atletas!R96="Bishou C",613,IF(Atletas!R96="Shanzi C",614,IF(Atletas!R96="Outra Arma Curta C",615,IF(Atletas!R96="Dao D",616,IF(Atletas!R96="Jian D",617,IF(Atletas!R96="Bishou D",618,IF(Atletas!R96="Shanzi D",619,IF(Atletas!R96="Outra Arma Curta D",620,IF(Atletas!R96="Dao E",621,IF(Atletas!R96="Jian E",622,IF(Atletas!R96="Bishou E",623,IF(Atletas!R96="Shanzi E",624,IF(Atletas!R96="Outra Arma Curta E",625,IF(Atletas!R96="Dao F",626,IF(Atletas!R96="Jian F",627,IF(Atletas!R96="Bishou F",628,IF(Atletas!R96="Shanzi F",629,IF(Atletas!R96="Outra Arma Curta F",630, "")))))))))))))))))))))))))))))))</f>
        <v/>
      </c>
      <c r="CA105" s="50" t="str">
        <f>IF(Atletas!S96="","",IF(Atletas!X96&lt;&gt;"",10000,0)+IF(Atletas!B96="Feminino",1000,IF(Atletas!B96="Masculino",2000,""))+IF(Atletas!S96="Gun A",701,IF(Atletas!S96="Qiang A",702,IF(Atletas!S96="Pudao / Guandao A",703,IF(Atletas!S96="Outra Arma Longa A",704,IF(Atletas!S96="Gun B",705,IF(Atletas!S96="Qiang B",706,IF(Atletas!S96="Pudao / Guandao B",707,IF(Atletas!S96="Outra Arma Longa B",708,IF(Atletas!S96="Gun C",709,IF(Atletas!S96="Qiang C",710,IF(Atletas!S96="Pudao / Guandao C",711,IF(Atletas!S96="Outra Arma Longa C",712,IF(Atletas!S96="Gun D",713,IF(Atletas!S96="Qiang D",714,IF(Atletas!S96="Pudao / Guandao D",715,IF(Atletas!S96="Outra Arma Longa D",716,IF(Atletas!S96="Gun E",717,IF(Atletas!S96="Qiang E",718,IF(Atletas!S96="Pudao / Guandao E",719,IF(Atletas!S96="Outra Arma Longa E",720,IF(Atletas!S96="Gun F",721,IF(Atletas!S96="Qiang F",722,IF(Atletas!S96="Pudao / Guandao F",723,IF(Atletas!S96="Outra Arma Longa F",724,"")))))))))))))))))))))))))</f>
        <v/>
      </c>
      <c r="CB105" s="50" t="str">
        <f>IF(Atletas!T96="","",IF(Atletas!X96&lt;&gt;"",10000,0)+IF(Atletas!B96="Feminino",1000,IF(Atletas!B96="Masculino",2000,""))+IF(Atletas!T96="Outra Arma Dupla A",801,IF(Atletas!T96="Arma Maleável A",802,IF(Atletas!T96="Outra Arma Dupla B",803,IF(Atletas!T96="Arma Maleável B",804,IF(Atletas!T96="Outra Arma Dupla C",805,IF(Atletas!T96="Arma Maleável C",806,IF(Atletas!T96="Outra Arma Dupla D",807,IF(Atletas!T96="Arma Maleável D",808,IF(Atletas!T96="Outra Arma Dupla E",809,IF(Atletas!T96="Arma Maleável E",810,IF(Atletas!T96="Outra Arma Dupla F",811,IF(Atletas!T96="Arma Maleável F",812,IF(Atletas!T96="Shuangdao A",813,IF(Atletas!T96="Shuangdao B",814,IF(Atletas!T96="Shuangdao C",815,IF(Atletas!T96="Shuangdao D",816,IF(Atletas!T96="Shuangdao E",817,IF(Atletas!T96="Shuangdao F",818,"")))))))))))))))))))</f>
        <v/>
      </c>
      <c r="CC105" s="50" t="str">
        <f>IF(Atletas!U96="","",IF(Atletas!X96&lt;&gt;"",10000,0)+IF(Atletas!B96="Feminino",1000,IF(Atletas!B96="Masculino",2000,""))+IF(OR(Atletas!U96="Taijijian Yang A",Atletas!U96="Taijijian Yang Standard A"),901,IF(OR(Atletas!U96="Taijijian Chen A", Atletas!U96="Taijijian Chen Standard A"),902,IF(Atletas!U96="Taijijian Sun A",903,IF(Atletas!U96="Taijijian Wu A",904,IF(Atletas!U96="Taijijian Wu-Hao A",905,IF(OR(Atletas!U96="Taijijian 32 A",Atletas!U96="Taijijian 42 A"),906,IF(OR(Atletas!U96="Taijijian Yang B",Atletas!U96="Taijijian Yang Standard B"),907,IF(OR(Atletas!U96="Taijijian Chen B", Atletas!U96="Taijijian Chen Standard B"),908,IF(Atletas!U96="Taijijian Sun B",909,IF(Atletas!U96="Taijijian Wu B",910,IF(Atletas!U96="Taijijian Wu-Hao B",911,IF(OR(Atletas!U96="Taijijian 32 B",Atletas!U96="Taijijian 42 B"),912,IF(OR(Atletas!U96="Taijijian Yang C",Atletas!U96="Taijijian Yang Standard C"),913,IF(OR(Atletas!U96="Taijijian Chen C", Atletas!U96="Taijijian Chen Standard C"),914,IF(Atletas!U96="Taijijian Sun C",915,IF(Atletas!U96="Taijijian Wu C",916,IF(Atletas!U96="Taijijian Wu-Hao C",917,IF(OR(Atletas!U96="Taijijian 32 C",Atletas!U96="Taijijian 42 C"),918,IF(OR(Atletas!U96="Taijijian Yang D",Atletas!U96="Taijijian Yang Standard D"),919,IF(OR(Atletas!U96="Taijijian Chen D", Atletas!U96="Taijijian Chen Standard D"),920,IF(Atletas!U96="Taijijian Sun D",921,IF(Atletas!U96="Taijijian Wu D",922,IF(Atletas!U96="Taijijian Wu-Hao D",923,IF(OR(Atletas!U96="Taijijian 32 D",Atletas!U96="Taijijian 42 D"),924,IF(OR(Atletas!U96="Taijijian Yang E",Atletas!U96="Taijijian Yang Standard E"),925,IF(OR(Atletas!U96="Taijijian Chen E", Atletas!U96="Taijijian Chen Standard E"),926,IF(Atletas!U96="Taijijian Sun E",927,IF(Atletas!U96="Taijijian Wu E",928,IF(Atletas!U96="Taijijian Wu-Hao E",929,IF(OR(Atletas!U96="Taijijian 32 E",Atletas!U96="Taijijian 42 E"),930,IF(OR(Atletas!U96="Taijijian Yang F",Atletas!U96="Taijijian Yang Standard F"),931,IF(OR(Atletas!U96="Taijijian Chen F", Atletas!U96="Taijijian Chen Standard F"),932,IF(Atletas!U96="Taijijian Sun F",933,IF(Atletas!U96="Taijijian Wu F",934,IF(Atletas!U96="Taijijian Wu-Hao F",935,IF(OR(Atletas!U96="Taijijian 32 F",Atletas!U96="Taijijian 42 F"),936,"")))))))))))))))))))))))))))))))))))))</f>
        <v/>
      </c>
      <c r="CD105" s="50" t="str">
        <f>IF(Atletas!V96="","",IF(Atletas!X96&lt;&gt;"",10000,0)+IF(Atletas!B96="Feminino",1000,IF(Atletas!B96="Masculino",2000,""))+IF(Atletas!V96="Taijidao A",937,IF(Atletas!V96="TaijiShanzi A",938,IF(Atletas!V96="Taijiqiang A",939,IF(Atletas!V96="Bagua de Arma A",940,IF(Atletas!V96="Xingyi de Arma A",941,IF(Atletas!V96="Taijidao B",942,IF(Atletas!V96="TaijiShanzi B",943,IF(Atletas!V96="Taijiqiang B",944,IF(Atletas!V96="Bagua de Arma B",945,IF(Atletas!V96="Xingyi de Arma B",946,IF(Atletas!V96="Taijidao C",947,IF(Atletas!V96="TaijiShanzi C",948,IF(Atletas!V96="Taijiqiang C",949,IF(Atletas!V96="Bagua de Arma C",950,IF(Atletas!V96="Xingyi de Arma C",951,IF(Atletas!V96="Taijidao D",952,IF(Atletas!V96="TaijiShanzi D",953,IF(Atletas!V96="Taijiqiang D",954,IF(Atletas!V96="Bagua de Arma D",955,IF(Atletas!V96="Xingyi de Arma D",956,IF(Atletas!V96="Taijidao E",957,IF(Atletas!V96="TaijiShanzi E",958,IF(Atletas!V96="Taijiqiang E",959,IF(Atletas!V96="Bagua de Arma E",960,IF(Atletas!V96="Xingyi de Arma E",961,IF(Atletas!V96="Taijidao F",962,IF(Atletas!V96="TaijiShanzi F",963,IF(Atletas!V96="Taijiqiang F",964,IF(Atletas!V96="Bagua de Arma F",965,IF(Atletas!V96="Xingyi de Arma F",966,"")))))))))))))))))))))))))))))))</f>
        <v/>
      </c>
      <c r="CE105" s="66" t="str">
        <f>IF(CF105&lt;&gt;"","Tongbeiquan E","")</f>
        <v/>
      </c>
      <c r="CF105" s="66" t="str">
        <f>IF(COUNTIF(BR:CD,1163)&gt;0,COUNTIF(BR:CD,1163),"")</f>
        <v/>
      </c>
      <c r="CG105" s="66" t="str">
        <f>IF(CH105&lt;&gt;"","Tongbeiquan E","")</f>
        <v/>
      </c>
      <c r="CH105" s="66" t="str">
        <f>IF(COUNTIF(BR:CD,2163)&gt;0,COUNTIF(BR:CD,2163),"")</f>
        <v/>
      </c>
      <c r="CI105" s="66" t="str">
        <f>IF(CJ105&lt;&gt;"","Huaquan F","")</f>
        <v/>
      </c>
      <c r="CJ105" s="66" t="str">
        <f>IF(COUNTIF(BR:CD,11169)&gt;0,COUNTIF(BR:CD,11169),"")</f>
        <v/>
      </c>
      <c r="CK105" s="66" t="str">
        <f>IF(CL105&lt;&gt;"","Huaquan F","")</f>
        <v/>
      </c>
      <c r="CL105" s="66" t="str">
        <f>IF(COUNTIF(BR:CD,12169)&gt;0,COUNTIF(BR:CD,12169),"")</f>
        <v/>
      </c>
      <c r="CM105" s="50" t="str">
        <f xml:space="preserve"> IF(Atletas!W96="","",IF(Atletas!W96="Duilian de Mãos BC - Equipe 1",1,IF(Atletas!W96="Duilian de Mãos BC - Equipe 2",2,IF(Atletas!W96="Duilian de Armas BC - Equipe 1",3,IF(Atletas!W96="Duilian de Armas BC - Equipe 2",4,IF(Atletas!W96="Duilian de Mãos DE - Equipe 1",5,IF(Atletas!W96="Duilian de Mãos DE - Equipe 2",6,IF(Atletas!W96="Duilian de Armas DE - Equipe 1",7,IF(Atletas!W96="Duilian de Armas DE - Equipe 2",8,IF(Atletas!W96="Duilian de Tuishou - Equipe 1",9,IF(Atletas!W96="Duilian de Tuishou - Equipe 2",10,IF(Atletas!W96="Grupo Externo ABC - Equipe 1",11,IF(Atletas!W96="Grupo Externo ABC - Equipe 2",12,IF(Atletas!W96="Grupo Interno ABC - Equipe 1",13,IF(Atletas!W96="Grupo Interno ABC - Equipe 2",14,IF(Atletas!W96="Grupo Externo DEF - Equipe 1",15,IF(Atletas!W96="Grupo Externo DEF - Equipe 2",16,IF(Atletas!W96="Grupo Interno DEF - Equipe 1",17,IF(Atletas!W96="Grupo Interno DEF - Equipe 2",18,"")))))))))))))))))))</f>
        <v/>
      </c>
    </row>
    <row r="106" spans="2:91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 t="str">
        <f t="array" ref="Z106">IFERROR(INDEX(CE$7:CE$348,SMALL(IF(CE$7:CE$348&lt;&gt;"",ROW(CE$7:CE$348)-ROW(CE$7)+1),ROWS(CE$7:CE105))),"")</f>
        <v/>
      </c>
      <c r="AA106" s="3" t="str">
        <f t="array" ref="AA106">IFERROR(INDEX(CF$7:CF$348,SMALL(IF(CF$7:CF$348&lt;&gt;"",ROW(CF$7:CF$348)-ROW(CF$7)+1),ROWS(CF$7:CF105))),"")</f>
        <v/>
      </c>
      <c r="AB106" s="3" t="str">
        <f t="array" ref="AB106">IFERROR(INDEX(CG$7:CG$348,SMALL(IF(CG$7:CG$348&lt;&gt;"",ROW(CG$7:CG$348)-ROW(CG$7)+1),ROWS(CG$7:CG105))),"")</f>
        <v/>
      </c>
      <c r="AC106" s="3" t="str">
        <f t="array" ref="AC106">IFERROR(INDEX(CH$7:CH$348,SMALL(IF(CH$7:CH$348&lt;&gt;"",ROW(CH$7:CH$348)-ROW(CH$7)+1),ROWS(CH$7:CH105))),"")</f>
        <v/>
      </c>
      <c r="AD106" s="3" t="str">
        <f t="array" ref="AD106">IFERROR(INDEX(CI$7:CI$377,SMALL(IF(CI$7:CI$377&lt;&gt;"",ROW(CI$7:CI$377)-ROW(CI$7)+1),ROWS(CI$7:CI105))),"")</f>
        <v/>
      </c>
      <c r="AE106" s="3" t="str">
        <f t="array" ref="AE106">IFERROR(INDEX(CJ$7:CJ$378,SMALL(IF(CJ$7:CJ$378&lt;&gt;"",ROW(CJ$7:CJ$378)-ROW(CJ$7)+1),ROWS(CJ$7:CJ105))),"")</f>
        <v/>
      </c>
      <c r="AF106" s="3" t="str">
        <f t="array" ref="AF106">IFERROR(INDEX(CK$7:CK$378,SMALL(IF(CK$7:CK$378&lt;&gt;"",ROW(CK$7:CK$378)-ROW(CK$7)+1),ROWS(CK$7:CK105))),"")</f>
        <v/>
      </c>
      <c r="AG106" s="3" t="str">
        <f t="array" ref="AG106">IFERROR(INDEX(CL$7:CL$378,SMALL(IF(CL$7:CL$378&lt;&gt;"",ROW(CL$7:CL$378)-ROW(CL$7)+1),ROWS(CL$7:CL105))),"")</f>
        <v/>
      </c>
      <c r="AH106" s="3"/>
      <c r="AI106" s="3"/>
      <c r="AJ106" s="3"/>
      <c r="AK106" s="3"/>
      <c r="AL106" s="3"/>
      <c r="AM106" s="3"/>
      <c r="AN106" s="52" t="str">
        <f>IF(Atletas!D97="","",IF(Atletas!B97="Feminino",100,IF(Atletas!B97="Masculino",200,""))+(IF(Atletas!D97="Kids 30kg",1,IF(Atletas!D97="Kids 32kg",2, IF(Atletas!D97="Kids 34kg",3,IF(Atletas!D97="Kids 36kg",4,IF(Atletas!D97="Kids 39kg",5,IF(Atletas!D97="Kids 42kg",6,IF(Atletas!D97="Kids 45kg",7, IF(Atletas!D97="Infantil 39kg",8,IF(Atletas!D97="Infantil 42kg",9,IF(Atletas!D97="Infantil 45kg",10,IF(Atletas!D97="Infantil 48kg",11,IF(Atletas!D97="Infantil 52kg",12,IF(Atletas!D97="Infantil 56kg",13,IF(Atletas!D97="Infantil 60kg",14,IF(Atletas!D97="Juvenil 48kg",15,IF(Atletas!D97="Juvenil 52kg",16,IF(Atletas!D97="Juvenil 56kg",17,IF(Atletas!D97="Juvenil 60kg",18,IF(Atletas!D97="Juvenil 65kg",19,IF(Atletas!D97="Juvenil 70kg",20,IF(Atletas!D97="Juvenil 75kg",21,IF(Atletas!D97="Juvenil 80kg",22, IF(Atletas!D97="Juvenil 85kg",23,IF(Atletas!D97="Adulto 48kg",24,IF(Atletas!D97="Adulto 52kg",25,IF(Atletas!D97="Adulto 56kg",26,IF(Atletas!D97="Adulto 60kg",27,IF(Atletas!D97="Adulto 65kg",28,IF(Atletas!D97="Adulto 70kg",29,IF(Atletas!D97="Adulto 75kg",30,IF(Atletas!D97="Adulto 80kg",31,IF(Atletas!D97="Adulto 85kg",32,IF(Atletas!D97="Adulto 90kg",33,IF(Atletas!D97="Adulto 100kg",34, IF(Atletas!D97="Adulto +100kg",35,"")))))))))))))))))))))))))))))))))))))</f>
        <v/>
      </c>
      <c r="AS106" s="6" t="str">
        <f>IF(Atletas!E97="","",IF(Atletas!B97="Feminino",100,IF(Atletas!B97="Masculino",200,""))+(IF(Atletas!E97="Juvenil 44kg",1,IF(Atletas!E97="Juvenil 48kg",2,IF(Atletas!E97="Juvenil 52kg",3,IF(Atletas!E97="Juvenil 56kg",4,IF(Atletas!E97="Juvenil 60kg",5,IF(Atletas!E97="Juvenil 65kg",6,IF(Atletas!E97="Juvenil 70kg",7,IF(Atletas!E97="Juvenil 75kg",8,IF(Atletas!E97="Juvenil 82kg",9,IF(Atletas!E97="Juvenil 90kg",10,IF(Atletas!E97="Juvenil 100kg",11,IF(Atletas!E97="Adulto 48kg",12,IF(Atletas!E97="Adulto 52kg",13,IF(Atletas!E97="Adulto 56kg",14,IF(Atletas!E97="Adulto 60kg",15,IF(Atletas!E97="Adulto 65kg",16,IF(Atletas!E97="Adulto 70kg",17,IF(Atletas!E97="Adulto 75kg",18,IF(Atletas!E97="Adulto 82kg",19,IF(Atletas!E97="Adulto 90kg",20,IF(Atletas!E97="Adulto 100kg",21,IF(Atletas!E97="Adulto +100kg",22,""))))))))))))))))))))))))</f>
        <v/>
      </c>
      <c r="AX106" s="6" t="str">
        <f>IF(Atletas!F97="","",IF(Atletas!B97="Feminino",100,IF(Atletas!B97="Masculino",200,""))+(IF(Atletas!F97="Adulto 48kg",1,IF(Atletas!F97="Adulto 56kg",2,IF(Atletas!F97="Adulto 65kg",3,IF(Atletas!F97="Adulto 75kg",4,IF(Atletas!F97="Adulto +75kg",5,IF(Atletas!F97="Adulto 52kg",6,IF(Atletas!F97="Adulto 60kg",7,IF(Atletas!F97="Adulto 70kg",8,IF(Atletas!F97="Adulto 80kg",9,IF(Atletas!F97="Adulto 90kg",10,IF(Atletas!F97="Adulto +90kg",11,"")))))))))))))</f>
        <v/>
      </c>
      <c r="BC106" s="6" t="str">
        <f>IF(Atletas!G97="","",IF(Atletas!B97="Feminino",10,IF(Atletas!B97="Masculino",20,""))+(IF(Atletas!G97="Baduanjin A",1,IF(Atletas!G97="Baduanjin B",2))))</f>
        <v/>
      </c>
      <c r="BF106" s="52" t="str">
        <f>IF(Atletas!H97="","",IF(Atletas!B97="Feminino",100,IF(Atletas!B97="Masculino",200,""))+(IF(Atletas!H97="Changquan Mirim",1,IF(Atletas!H97="Nanquan Mirim",2,IF(Atletas!H97="Taijiquan Mirim",3,IF(Atletas!H97="Changquan Grupo C",4,IF(Atletas!H97="Nanquan Grupo C",5,IF(Atletas!H97="Taijiquan Grupo C",6,IF(Atletas!H97="Changquan Grupo B",7,IF(Atletas!H97="Nanquan Grupo B",8,IF(Atletas!H97="Taijiquan Grupo B",9,IF(Atletas!H97="Changquan Grupo A",10,IF(Atletas!H97="Nanquan Grupo A",11,IF(Atletas!H97="Taijiquan Grupo A",12,IF(Atletas!H97="Changquan Opcional",13,IF(Atletas!H97="Nanquan Opcional",14,IF(Atletas!H97="Taijiquan Opcional",15,IF(Atletas!H97="Changquan Adulto",16,IF(Atletas!H97="Nanquan Adulto",17,IF(Atletas!H97="Taijiquan Adulto",18,""))))))))))))))))))))</f>
        <v/>
      </c>
      <c r="BG106" s="52" t="str">
        <f>IF(Atletas!I97="","",IF(Atletas!B97="Feminino",100,IF(Atletas!B97="Masculino",200,""))+(IF(Atletas!I97="Daoshu Mirim",19,IF(Atletas!I97="Jianshu Mirim",20,IF(Atletas!I97="Nandao Mirim",21,IF(Atletas!I97="Taijijian Mirim",22,IF(Atletas!I97="Daoshu Grupo C",23,IF(Atletas!I97="Jianshu Grupo C",24,IF(Atletas!I97="Nandao Grupo C",25,IF(Atletas!I97="Taijijian Grupo C",26,IF(Atletas!I97="Daoshu Grupo B",27,IF(Atletas!I97="Jianshu Grupo B",28,IF(Atletas!I97="Nandao Grupo B",29,IF(Atletas!I97="Taijijian Grupo B",30,IF(Atletas!I97="Daoshu Grupo A",31,IF(Atletas!I97="Jianshu Grupo A",32,IF(Atletas!I97="Nandao Grupo A",33,IF(Atletas!I97="Taijijian Grupo A",34,IF(Atletas!I97="Daoshu Opcional",35,IF(Atletas!I97="Jianshu Opcional",36,IF(Atletas!I97="Nandao Opcional",37,IF(Atletas!I97="Taijijian Opcional",38,IF(Atletas!I97="Daoshu Adulto",39,IF(Atletas!I97="Jianshu Adulto",40,IF(Atletas!I97="Nandao Adulto",41,IF(Atletas!I97="Taijijian Adulto",42,""))))))))))))))))))))))))))</f>
        <v/>
      </c>
      <c r="BH106" s="52" t="str">
        <f>IF(Atletas!J97="","",IF(Atletas!B97="Feminino",100,IF(Atletas!B97="Masculino",200,""))+(IF(Atletas!J97="Gunshu Mirim",43,IF(Atletas!J97="Qiangshu Mirim",44,IF(Atletas!J97="Nangun Mirim",45,IF(Atletas!J97="Gunshu Grupo C",46,IF(Atletas!J97="Qiangshu Grupo C",47,IF(Atletas!J97="Nangun Grupo C",48,IF(Atletas!J97="Gunshu Grupo B",49,IF(Atletas!J97="Qiangshu Grupo B",50,IF(Atletas!J97="Nangun Grupo B",51,IF(Atletas!J97="Gunshu Grupo A",52,IF(Atletas!J97="Qiangshu Grupo A",53,IF(Atletas!J97="Nangun Grupo A",54,IF(Atletas!J97="Gunshu Opcional",55,IF(Atletas!J97="Qiangshu Opcional",56,IF(Atletas!J97="Nangun Opcional",57,IF(Atletas!J97="Gunshu Adulto",58,IF(Atletas!J97="Qiangshu Adulto",59,IF(Atletas!J97="Nangun Adulto",60,IF(Atletas!J97="Taijishan Grupo B",61,IF(Atletas!J97="Taijishan Grupo A",62,""))))))))))))))))))))))</f>
        <v/>
      </c>
      <c r="BM106" s="50" t="str">
        <f>IF(Atletas!K97="","",IF(Atletas!B97="Feminino",100,IF(Atletas!B97="Masculino",200,""))+(IF(Atletas!K97="Equipe 1 Grupo B",1,IF(Atletas!K97="Equipe 2 Grupo B",2,IF(Atletas!K97="Equipe 1 Grupo A",3,IF(Atletas!K97="Equipe 2 Grupo A",4,IF(Atletas!K97="Equipe 1 Adulto",5,IF(Atletas!K97="Equipe 2 Adulto",6,""))))))))</f>
        <v/>
      </c>
      <c r="BR106" s="50" t="str">
        <f>IF(Atletas!L97="","",IF(Atletas!X97&lt;&gt;"",10000,0)+(IF(Atletas!B97="Feminino",1000,IF(Atletas!B97="Masculino",2000,""))+IF(Atletas!L97="Choylayfut A",1,IF(Atletas!L97="Hunggar A",2,IF(Atletas!L97="Wuzuquan A",3,IF(Atletas!L97="Wingchun A",4,IF(Atletas!L97="Outra Mão de Sul A",5,IF(Atletas!L97="Choylayfut B",6,IF(Atletas!L97="Hunggar B",7,IF(Atletas!L97="Wuzuquan B",8,IF(Atletas!L97="Wingchun B",9,IF(Atletas!L97="Outra Mão de Sul B",10,IF(Atletas!L97="Choylayfut C",11,IF(Atletas!L97="Hunggar C",12,IF(Atletas!L97="Wuzuquan C",13,IF(Atletas!L97="Wingchun C",14,IF(Atletas!L97="Outra Mão de Sul C",15,IF(Atletas!L97="Choylayfut D",16,IF(Atletas!L97="Hunggar D",17,IF(Atletas!L97="Wuzuquan D",18,IF(Atletas!L97="Wingchun D",19,IF(Atletas!L97="Outra Mão de Sul D",20,IF(Atletas!L97="Choylayfut E",21,IF(Atletas!L97="Hunggar E",22,IF(Atletas!L97="Wuzuquan E",23,IF(Atletas!L97="Wingchun E",24,IF(Atletas!L97="Outra Mão de Sul E",25,IF(Atletas!L97="Choylayfut F",26,IF(Atletas!L97="Hunggar F",27,IF(Atletas!L97="Wuzuquan F",28,IF(Atletas!L97="Wingchun F",29,IF(Atletas!L97="Outra Mão de Sul F",30,IF(Atletas!L97="Dishuquan A",31,IF(Atletas!L97="Dishuquan B",32,IF(Atletas!L97="Dishuquan C",33,IF(Atletas!L97="Dishuquan D",34,IF(Atletas!L97="Dishuquan E",35,IF(Atletas!L97="Dishuquan F",36,""))))))))))))))))))))))))))))))))))))))</f>
        <v/>
      </c>
      <c r="BS106" s="50" t="str">
        <f>IF(Atletas!M97="","",IF(Atletas!X97&lt;&gt;"",10000,0)+(IF(Atletas!B97="Feminino",1000,IF(Atletas!B97="Masculino",2000,""))+(IF(Atletas!M97="Chaquan A",101,IF(Atletas!M97="Emeiquan A",102,IF(Atletas!M97="Fanziquan A",103,IF(Atletas!M97="Huaquan A",104,IF(Atletas!M97="Hongquan A",105,IF(Atletas!M97="Paoquan A",106,IF(Atletas!M97="Piguaquan A",107,IF(Atletas!M97="Shaolinquan A",108,IF(Atletas!M97="Tanglangquan A",109,IF(Atletas!M97="Yingzhaoquan A",110,IF(Atletas!M97="Tongbeiquan A",111,IF(Atletas!M97="Wudangquan A",112,IF(Atletas!M97="Outros Estilos A",113,IF(Atletas!M97="Chaquan B",114,IF(Atletas!M97="Emeiquan B",115,IF(Atletas!M97="Fanziquan B",116,IF(Atletas!M97="Huaquan B",117,IF(Atletas!M97="Hongquan B",118,IF(Atletas!M97="Paoquan B",119,IF(Atletas!M97="Piguaquan B",120,IF(Atletas!M97="Shaolinquan B",121,IF(Atletas!M97="Tanglangquan B",122,IF(Atletas!M97="Yingzhaoquan B",123,IF(Atletas!M97="Tongbeiquan B",124,IF(Atletas!M97="Wudangquan B",125,IF(Atletas!M97="Outros Estilos B",126,IF(Atletas!M97="Chaquan C",127,IF(Atletas!M97="Emeiquan C",128,IF(Atletas!M97="Fanziquan C",129,IF(Atletas!M97="Huaquan C",130,IF(Atletas!M97="Hongquan C",131,IF(Atletas!M97="Paoquan C",132,IF(Atletas!M97="Piguaquan C",133,IF(Atletas!M97="Shaolinquan C",134,IF(Atletas!M97="Tanglangquan C",135,IF(Atletas!M97="Yingzhaoquan C",136,IF(Atletas!M97="Tongbeiquan C",137,IF(Atletas!M97="Wudangquan C",138,IF(Atletas!M97="Outros Estilos C",139,0))))))))))))))))))))))))))))))))))))))))))</f>
        <v/>
      </c>
      <c r="BT106" s="50" t="str">
        <f>IF(Atletas!M97="","",IF(Atletas!X97&lt;&gt;"",10000,0)+(IF(Atletas!B97="Feminino",1000,IF(Atletas!B97="Masculino",2000,""))+(IF(Atletas!M97="Chaquan D",140,IF(Atletas!M97="Emeiquan D",141,IF(Atletas!M97="Fanziquan D",142,IF(Atletas!M97="Huaquan D",143,IF(Atletas!M97="Hongquan D",144,IF(Atletas!M97="Paoquan D",145,IF(Atletas!M97="Piguaquan D",146,IF(Atletas!M97="Shaolinquan D",147,IF(Atletas!M97="Tanglangquan D",148,IF(Atletas!M97="Yingzhaoquan D",149,IF(Atletas!M97="Tongbeiquan D",150,IF(Atletas!M97="Wudangquan D",151,IF(Atletas!M97="Outros Estilos D",152,IF(Atletas!M97="Chaquan E",153,IF(Atletas!M97="Emeiquan E",154,IF(Atletas!M97="Fanziquan E",155,IF(Atletas!M97="Huaquan E",156,IF(Atletas!M97="Hongquan E",157,IF(Atletas!M97="Paoquan E",158,IF(Atletas!M97="Piguaquan E",159,IF(Atletas!M97="Shaolinquan E",160,IF(Atletas!M97="Tanglangquan E",161,IF(Atletas!M97="Yingzhaoquan E",162,IF(Atletas!M97="Tongbeiquan E",163,IF(Atletas!M97="Wudangquan E",164,IF(Atletas!M97="Outros Estilos E",165,IF(Atletas!M97="Chaquan F",166,IF(Atletas!M97="Emeiquan F",167,IF(Atletas!M97="Fanziquan F",168,IF(Atletas!M97="Huaquan F",169,IF(Atletas!M97="Hongquan F",170,IF(Atletas!M97="Paoquan F",171,IF(Atletas!M97="Piguaquan F",172,IF(Atletas!M97="Shaolinquan F",173,IF(Atletas!M97="Tanglangquan F",174,IF(Atletas!M97="Yingzhaoquan F",175,IF(Atletas!M97="Tongbeiquan F",176,IF(Atletas!M97="Wudangquan F",177,IF(Atletas!M97="Outros Estilos F",178,0))))))))))))))))))))))))))))))))))))))))))</f>
        <v/>
      </c>
      <c r="BU106" s="50" t="str">
        <f>IF(Atletas!N97="","",IF(Atletas!X97&lt;&gt;"",10000,0)+(IF(Atletas!B97="Feminino",1000,IF(Atletas!B97="Masculino",2000,""))+(IF(Atletas!N97="Ditangquan A",201,IF(Atletas!N97="Houquan A",202,IF(Atletas!N97="Zuiquan A",203,IF(Atletas!N97="Ditangquan B",204,IF(Atletas!N97="Houquan B",205,IF(Atletas!N97="Zuiquan B",206,IF(Atletas!N97="Ditangquan C",207,IF(Atletas!N97="Houquan C",208,IF(Atletas!N97="Zuiquan C",209,IF(Atletas!N97="Ditangquan D",210,IF(Atletas!N97="Houquan D",211,IF(Atletas!N97="Zuiquan D",212,IF(Atletas!N97="Ditangquan E",213,IF(Atletas!N97="Houquan E",214,IF(Atletas!N97="Zuiquan E",215,IF(Atletas!N97="Ditangquan F",216,IF(Atletas!N97="Houquan F",217,IF(Atletas!N97="Zuiquan F",218,"")))))))))))))))))))))</f>
        <v/>
      </c>
      <c r="BV106" s="50" t="str">
        <f>IF(Atletas!O97="","",IF(Atletas!X97&lt;&gt;"",10000,0)+IF(Atletas!B97="Feminino",1000,IF(Atletas!B97="Masculino",2000,""))+IF(Atletas!O97="Yang A",301,IF(Atletas!O97="Chen A",302,IF(Atletas!O97="Sun A",303,IF(Atletas!O97="Wu A",304,IF(Atletas!O97="Wu-Hao A",305,IF(Atletas!O97="Outro Taijiquan A",306,IF(Atletas!O97="Yang B",307,IF(Atletas!O97="Chen B",308,IF(Atletas!O97="Sun B",309,IF(Atletas!O97="Wu B",310,IF(Atletas!O97="Wu-Hao B",311,IF(Atletas!O97="Outro Taijiquan B",312,IF(Atletas!O97="Yang C",313,IF(Atletas!O97="Chen C",314,IF(Atletas!O97="Sun C",315,IF(Atletas!O97="Wu C",316,IF(Atletas!O97="Wu-Hao C",317,IF(Atletas!O97="Outro Taijiquan C",318,IF(Atletas!O97="Yang D",319,IF(Atletas!O97="Chen D",320,IF(Atletas!O97="Sun D",321,IF(Atletas!O97="Wu D",322,IF(Atletas!O97="Wu-Hao D",323,IF(Atletas!O97="Outro Taijiquan D",324,IF(Atletas!O97="Yang E",325,IF(Atletas!O97="Chen E",326,IF(Atletas!O97="Sun E",327,IF(Atletas!O97="Wu E",328,IF(Atletas!O97="Wu-Hao E",329,IF(Atletas!O97="Outro Taijiquan E",330,IF(Atletas!O97="Yang F",331,IF(Atletas!O97="Chen F",332,IF(Atletas!O97="Sun F",333,IF(Atletas!O97="Wu F",334,IF(Atletas!O97="Wu-Hao F",335,IF(Atletas!O97="Outro Taijiquan F",336,"")))))))))))))))))))))))))))))))))))))</f>
        <v/>
      </c>
      <c r="BW106" s="50" t="str">
        <f>IF(Atletas!P97="","",IF(Atletas!X97&lt;&gt;"",10000,0)+IF(Atletas!B97="Feminino",1000,IF(Atletas!B97="Masculino",2000,""))+IF(OR(Atletas!P97="Yang 26 A",Atletas!P97="Yang 40 A"),401,IF(OR(Atletas!P97="Chen 25 A",Atletas!P97="Chen 36 A",Atletas!P97="Chen 56 A"),402,IF(Atletas!P97="Sun 73 A",403,IF(Atletas!P97="Wu 45 A",404,IF(Atletas!P97="Wu-Hao 46 A",405,IF(OR(Atletas!P97="Taijiquan 16 A",Atletas!P97="Taijiquan 24 A",Atletas!P97="Taijiquan 32 A",Atletas!P97="Taijiquan 42 A"),406,IF(OR(Atletas!P97="Yang 26 B",Atletas!P97="Yang 40 B"),407,IF(OR(Atletas!P97="Chen 25 B",Atletas!P97="Chen 36 B",Atletas!P97="Chen 56 B"),408,IF(Atletas!P97="Sun 73 B",409,IF(Atletas!P97="Wu 45 B",410,IF(Atletas!P97="Wu-Hao 46 B",411,IF(OR(Atletas!P97="Taijiquan 16 B",Atletas!P97="Taijiquan 24 B",Atletas!P97="Taijiquan 32 B",Atletas!P97="Taijiquan 42 B"),412,IF(OR(Atletas!P97="Yang 26 C",Atletas!P97="Yang 40 C"),413,IF(OR(Atletas!P97="Chen 25 C",Atletas!P97="Chen 36 C",Atletas!P97="Chen 56 C"),414,IF(Atletas!P97="Sun 73 C",415,IF(Atletas!P97="Wu 45 C",416,IF(Atletas!P97="Wu-Hao 46 C",417,IF(OR(Atletas!P97="Taijiquan 16 C",Atletas!P97="Taijiquan 24 C",Atletas!P97="Taijiquan 32 C",Atletas!P97="Taijiquan 42 C"),418,0)))))))))))))))))))</f>
        <v/>
      </c>
      <c r="BX106" s="50" t="str">
        <f>IF(Atletas!P97="","",IF(Atletas!X97&lt;&gt;"",10000,0)+IF(Atletas!B97="Feminino",1000,IF(Atletas!B97="Masculino",2000,""))+IF(OR(Atletas!P97="Yang 26 D",Atletas!P97="Yang 40 D"),419,IF(OR(Atletas!P97="Chen 25 D",Atletas!P97="Chen 36 D",Atletas!P97="Chen 56 D"),420,IF(Atletas!P97="Sun 73 D",421,IF(Atletas!P97="Wu 45 D",422,IF(Atletas!P97="Wu-Hao 46 D",423,IF(OR(Atletas!P97="Taijiquan 16 D",Atletas!P97="Taijiquan 24 D",Atletas!P97="Taijiquan 32 D",Atletas!P97="Taijiquan 42 D"),424,IF(OR(Atletas!P97="Yang 26 E",Atletas!P97="Yang 40 E"),425,IF(OR(Atletas!P97="Chen 25 E",Atletas!P97="Chen 36 E",Atletas!P97="Chen 56 E"),426,IF(Atletas!P97="Sun 73 E",427,IF(Atletas!P97="Wu 45 E",428,IF(Atletas!P97="Wu-Hao 46 E",429,IF(OR(Atletas!P97="Taijiquan 16 E",Atletas!P97="Taijiquan 24 E",Atletas!P97="Taijiquan 32 E",Atletas!P97="Taijiquan 42 E"),430,IF(OR(Atletas!P97="Yang 26 F",Atletas!P97="Yang 40 F"),431,IF(OR(Atletas!P97="Chen 25 F",Atletas!P97="Chen 36 F",Atletas!P97="Chen 56 F"),432,IF(Atletas!P97="Sun 73 F",433,IF(Atletas!P97="Wu 45 F",434,IF(Atletas!P97="Wu-Hao 46 F",435,IF(OR(Atletas!P97="Taijiquan 16 F",Atletas!P97="Taijiquan 24 F",Atletas!P97="Taijiquan 32 F",Atletas!P97="Taijiquan 42 F"),436,0)))))))))))))))))))</f>
        <v/>
      </c>
      <c r="BY106" s="50" t="str">
        <f>IF(Atletas!Q97="","",IF(Atletas!X97&lt;&gt;"",10000,0)+IF(Atletas!B97="Feminino",1000,IF(Atletas!B97="Masculino",2000,""))+IF(Atletas!Q97="Xingyiquan A",501,IF(Atletas!Q97="Baguazhang A",502,IF(Atletas!Q97="Outro Estilo Interno A",503,IF(Atletas!Q97="Xingyiquan B",504,IF(Atletas!Q97="Baguazhang B",505,IF(Atletas!Q97="Outro Estilo Interno B",506,IF(Atletas!Q97="Xingyiquan C",507,IF(Atletas!Q97="Baguazhang C",508,IF(Atletas!Q97="Outro Estilo Interno C",509,IF(Atletas!Q97="Xingyiquan D",510,IF(Atletas!Q97="Baguazhang D",511,IF(Atletas!Q97="Outro Estilo Interno D",512,IF(Atletas!Q97="Xingyiquan E",513,IF(Atletas!Q97="Baguazhang E",514,IF(Atletas!Q97="Outro Estilo Interno E",515,IF(Atletas!Q97="Xingyiquan F",516,IF(Atletas!Q97="Baguazhang F",517,IF(Atletas!Q97="Outro Estilo Interno F",518, "")))))))))))))))))))</f>
        <v/>
      </c>
      <c r="BZ106" s="50" t="str">
        <f>IF(Atletas!R97="","",IF(Atletas!X97&lt;&gt;"",10000,0)+IF(Atletas!B97="Feminino",1000,IF(Atletas!B97="Masculino",2000,""))+IF(Atletas!R97="Dao A",601,IF(Atletas!R97="Jian A",602,IF(Atletas!R97="Bishou A",603,IF(Atletas!R97="Shanzi A",604,IF(Atletas!R97="Outra Arma Curta A",605,IF(Atletas!R97="Dao B",606,IF(Atletas!R97="Jian B",607,IF(Atletas!R97="Bishou B",608,IF(Atletas!R97="Shanzi B",609,IF(Atletas!R97="Outra Arma Curta B",610,IF(Atletas!R97="Dao C",611,IF(Atletas!R97="Jian C",612,IF(Atletas!R97="Bishou C",613,IF(Atletas!R97="Shanzi C",614,IF(Atletas!R97="Outra Arma Curta C",615,IF(Atletas!R97="Dao D",616,IF(Atletas!R97="Jian D",617,IF(Atletas!R97="Bishou D",618,IF(Atletas!R97="Shanzi D",619,IF(Atletas!R97="Outra Arma Curta D",620,IF(Atletas!R97="Dao E",621,IF(Atletas!R97="Jian E",622,IF(Atletas!R97="Bishou E",623,IF(Atletas!R97="Shanzi E",624,IF(Atletas!R97="Outra Arma Curta E",625,IF(Atletas!R97="Dao F",626,IF(Atletas!R97="Jian F",627,IF(Atletas!R97="Bishou F",628,IF(Atletas!R97="Shanzi F",629,IF(Atletas!R97="Outra Arma Curta F",630, "")))))))))))))))))))))))))))))))</f>
        <v/>
      </c>
      <c r="CA106" s="50" t="str">
        <f>IF(Atletas!S97="","",IF(Atletas!X97&lt;&gt;"",10000,0)+IF(Atletas!B97="Feminino",1000,IF(Atletas!B97="Masculino",2000,""))+IF(Atletas!S97="Gun A",701,IF(Atletas!S97="Qiang A",702,IF(Atletas!S97="Pudao / Guandao A",703,IF(Atletas!S97="Outra Arma Longa A",704,IF(Atletas!S97="Gun B",705,IF(Atletas!S97="Qiang B",706,IF(Atletas!S97="Pudao / Guandao B",707,IF(Atletas!S97="Outra Arma Longa B",708,IF(Atletas!S97="Gun C",709,IF(Atletas!S97="Qiang C",710,IF(Atletas!S97="Pudao / Guandao C",711,IF(Atletas!S97="Outra Arma Longa C",712,IF(Atletas!S97="Gun D",713,IF(Atletas!S97="Qiang D",714,IF(Atletas!S97="Pudao / Guandao D",715,IF(Atletas!S97="Outra Arma Longa D",716,IF(Atletas!S97="Gun E",717,IF(Atletas!S97="Qiang E",718,IF(Atletas!S97="Pudao / Guandao E",719,IF(Atletas!S97="Outra Arma Longa E",720,IF(Atletas!S97="Gun F",721,IF(Atletas!S97="Qiang F",722,IF(Atletas!S97="Pudao / Guandao F",723,IF(Atletas!S97="Outra Arma Longa F",724,"")))))))))))))))))))))))))</f>
        <v/>
      </c>
      <c r="CB106" s="50" t="str">
        <f>IF(Atletas!T97="","",IF(Atletas!X97&lt;&gt;"",10000,0)+IF(Atletas!B97="Feminino",1000,IF(Atletas!B97="Masculino",2000,""))+IF(Atletas!T97="Outra Arma Dupla A",801,IF(Atletas!T97="Arma Maleável A",802,IF(Atletas!T97="Outra Arma Dupla B",803,IF(Atletas!T97="Arma Maleável B",804,IF(Atletas!T97="Outra Arma Dupla C",805,IF(Atletas!T97="Arma Maleável C",806,IF(Atletas!T97="Outra Arma Dupla D",807,IF(Atletas!T97="Arma Maleável D",808,IF(Atletas!T97="Outra Arma Dupla E",809,IF(Atletas!T97="Arma Maleável E",810,IF(Atletas!T97="Outra Arma Dupla F",811,IF(Atletas!T97="Arma Maleável F",812,IF(Atletas!T97="Shuangdao A",813,IF(Atletas!T97="Shuangdao B",814,IF(Atletas!T97="Shuangdao C",815,IF(Atletas!T97="Shuangdao D",816,IF(Atletas!T97="Shuangdao E",817,IF(Atletas!T97="Shuangdao F",818,"")))))))))))))))))))</f>
        <v/>
      </c>
      <c r="CC106" s="50" t="str">
        <f>IF(Atletas!U97="","",IF(Atletas!X97&lt;&gt;"",10000,0)+IF(Atletas!B97="Feminino",1000,IF(Atletas!B97="Masculino",2000,""))+IF(OR(Atletas!U97="Taijijian Yang A",Atletas!U97="Taijijian Yang Standard A"),901,IF(OR(Atletas!U97="Taijijian Chen A", Atletas!U97="Taijijian Chen Standard A"),902,IF(Atletas!U97="Taijijian Sun A",903,IF(Atletas!U97="Taijijian Wu A",904,IF(Atletas!U97="Taijijian Wu-Hao A",905,IF(OR(Atletas!U97="Taijijian 32 A",Atletas!U97="Taijijian 42 A"),906,IF(OR(Atletas!U97="Taijijian Yang B",Atletas!U97="Taijijian Yang Standard B"),907,IF(OR(Atletas!U97="Taijijian Chen B", Atletas!U97="Taijijian Chen Standard B"),908,IF(Atletas!U97="Taijijian Sun B",909,IF(Atletas!U97="Taijijian Wu B",910,IF(Atletas!U97="Taijijian Wu-Hao B",911,IF(OR(Atletas!U97="Taijijian 32 B",Atletas!U97="Taijijian 42 B"),912,IF(OR(Atletas!U97="Taijijian Yang C",Atletas!U97="Taijijian Yang Standard C"),913,IF(OR(Atletas!U97="Taijijian Chen C", Atletas!U97="Taijijian Chen Standard C"),914,IF(Atletas!U97="Taijijian Sun C",915,IF(Atletas!U97="Taijijian Wu C",916,IF(Atletas!U97="Taijijian Wu-Hao C",917,IF(OR(Atletas!U97="Taijijian 32 C",Atletas!U97="Taijijian 42 C"),918,IF(OR(Atletas!U97="Taijijian Yang D",Atletas!U97="Taijijian Yang Standard D"),919,IF(OR(Atletas!U97="Taijijian Chen D", Atletas!U97="Taijijian Chen Standard D"),920,IF(Atletas!U97="Taijijian Sun D",921,IF(Atletas!U97="Taijijian Wu D",922,IF(Atletas!U97="Taijijian Wu-Hao D",923,IF(OR(Atletas!U97="Taijijian 32 D",Atletas!U97="Taijijian 42 D"),924,IF(OR(Atletas!U97="Taijijian Yang E",Atletas!U97="Taijijian Yang Standard E"),925,IF(OR(Atletas!U97="Taijijian Chen E", Atletas!U97="Taijijian Chen Standard E"),926,IF(Atletas!U97="Taijijian Sun E",927,IF(Atletas!U97="Taijijian Wu E",928,IF(Atletas!U97="Taijijian Wu-Hao E",929,IF(OR(Atletas!U97="Taijijian 32 E",Atletas!U97="Taijijian 42 E"),930,IF(OR(Atletas!U97="Taijijian Yang F",Atletas!U97="Taijijian Yang Standard F"),931,IF(OR(Atletas!U97="Taijijian Chen F", Atletas!U97="Taijijian Chen Standard F"),932,IF(Atletas!U97="Taijijian Sun F",933,IF(Atletas!U97="Taijijian Wu F",934,IF(Atletas!U97="Taijijian Wu-Hao F",935,IF(OR(Atletas!U97="Taijijian 32 F",Atletas!U97="Taijijian 42 F"),936,"")))))))))))))))))))))))))))))))))))))</f>
        <v/>
      </c>
      <c r="CD106" s="50" t="str">
        <f>IF(Atletas!V97="","",IF(Atletas!X97&lt;&gt;"",10000,0)+IF(Atletas!B97="Feminino",1000,IF(Atletas!B97="Masculino",2000,""))+IF(Atletas!V97="Taijidao A",937,IF(Atletas!V97="TaijiShanzi A",938,IF(Atletas!V97="Taijiqiang A",939,IF(Atletas!V97="Bagua de Arma A",940,IF(Atletas!V97="Xingyi de Arma A",941,IF(Atletas!V97="Taijidao B",942,IF(Atletas!V97="TaijiShanzi B",943,IF(Atletas!V97="Taijiqiang B",944,IF(Atletas!V97="Bagua de Arma B",945,IF(Atletas!V97="Xingyi de Arma B",946,IF(Atletas!V97="Taijidao C",947,IF(Atletas!V97="TaijiShanzi C",948,IF(Atletas!V97="Taijiqiang C",949,IF(Atletas!V97="Bagua de Arma C",950,IF(Atletas!V97="Xingyi de Arma C",951,IF(Atletas!V97="Taijidao D",952,IF(Atletas!V97="TaijiShanzi D",953,IF(Atletas!V97="Taijiqiang D",954,IF(Atletas!V97="Bagua de Arma D",955,IF(Atletas!V97="Xingyi de Arma D",956,IF(Atletas!V97="Taijidao E",957,IF(Atletas!V97="TaijiShanzi E",958,IF(Atletas!V97="Taijiqiang E",959,IF(Atletas!V97="Bagua de Arma E",960,IF(Atletas!V97="Xingyi de Arma E",961,IF(Atletas!V97="Taijidao F",962,IF(Atletas!V97="TaijiShanzi F",963,IF(Atletas!V97="Taijiqiang F",964,IF(Atletas!V97="Bagua de Arma F",965,IF(Atletas!V97="Xingyi de Arma F",966,"")))))))))))))))))))))))))))))))</f>
        <v/>
      </c>
      <c r="CE106" s="66" t="str">
        <f>IF(CF106&lt;&gt;"","Wudangquan E","")</f>
        <v/>
      </c>
      <c r="CF106" s="66" t="str">
        <f>IF(COUNTIF(BR:CD,1164)&gt;0,COUNTIF(BR:CD,1164),"")</f>
        <v/>
      </c>
      <c r="CG106" s="66" t="str">
        <f>IF(CH106&lt;&gt;"","Wudangquan E","")</f>
        <v/>
      </c>
      <c r="CH106" s="66" t="str">
        <f>IF(COUNTIF(BR:CD,2164)&gt;0,COUNTIF(BR:CD,2164),"")</f>
        <v/>
      </c>
      <c r="CI106" s="66" t="str">
        <f>IF(CJ106&lt;&gt;"","Hongquan F","")</f>
        <v/>
      </c>
      <c r="CJ106" s="66" t="str">
        <f>IF(COUNTIF(BR:CD,11170)&gt;0,COUNTIF(BR:CD,11170),"")</f>
        <v/>
      </c>
      <c r="CK106" s="66" t="str">
        <f>IF(CL106&lt;&gt;"","Hongquan F","")</f>
        <v/>
      </c>
      <c r="CL106" s="66" t="str">
        <f>IF(COUNTIF(BR:CD,12170)&gt;0,COUNTIF(BR:CD,12170),"")</f>
        <v/>
      </c>
      <c r="CM106" s="50" t="str">
        <f xml:space="preserve"> IF(Atletas!W97="","",IF(Atletas!W97="Duilian de Mãos BC - Equipe 1",1,IF(Atletas!W97="Duilian de Mãos BC - Equipe 2",2,IF(Atletas!W97="Duilian de Armas BC - Equipe 1",3,IF(Atletas!W97="Duilian de Armas BC - Equipe 2",4,IF(Atletas!W97="Duilian de Mãos DE - Equipe 1",5,IF(Atletas!W97="Duilian de Mãos DE - Equipe 2",6,IF(Atletas!W97="Duilian de Armas DE - Equipe 1",7,IF(Atletas!W97="Duilian de Armas DE - Equipe 2",8,IF(Atletas!W97="Duilian de Tuishou - Equipe 1",9,IF(Atletas!W97="Duilian de Tuishou - Equipe 2",10,IF(Atletas!W97="Grupo Externo ABC - Equipe 1",11,IF(Atletas!W97="Grupo Externo ABC - Equipe 2",12,IF(Atletas!W97="Grupo Interno ABC - Equipe 1",13,IF(Atletas!W97="Grupo Interno ABC - Equipe 2",14,IF(Atletas!W97="Grupo Externo DEF - Equipe 1",15,IF(Atletas!W97="Grupo Externo DEF - Equipe 2",16,IF(Atletas!W97="Grupo Interno DEF - Equipe 1",17,IF(Atletas!W97="Grupo Interno DEF - Equipe 2",18,"")))))))))))))))))))</f>
        <v/>
      </c>
    </row>
    <row r="107" spans="2:91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 t="str">
        <f t="array" ref="Z107">IFERROR(INDEX(CE$7:CE$348,SMALL(IF(CE$7:CE$348&lt;&gt;"",ROW(CE$7:CE$348)-ROW(CE$7)+1),ROWS(CE$7:CE106))),"")</f>
        <v/>
      </c>
      <c r="AA107" s="3" t="str">
        <f t="array" ref="AA107">IFERROR(INDEX(CF$7:CF$348,SMALL(IF(CF$7:CF$348&lt;&gt;"",ROW(CF$7:CF$348)-ROW(CF$7)+1),ROWS(CF$7:CF106))),"")</f>
        <v/>
      </c>
      <c r="AB107" s="3" t="str">
        <f t="array" ref="AB107">IFERROR(INDEX(CG$7:CG$348,SMALL(IF(CG$7:CG$348&lt;&gt;"",ROW(CG$7:CG$348)-ROW(CG$7)+1),ROWS(CG$7:CG106))),"")</f>
        <v/>
      </c>
      <c r="AC107" s="3" t="str">
        <f t="array" ref="AC107">IFERROR(INDEX(CH$7:CH$348,SMALL(IF(CH$7:CH$348&lt;&gt;"",ROW(CH$7:CH$348)-ROW(CH$7)+1),ROWS(CH$7:CH106))),"")</f>
        <v/>
      </c>
      <c r="AD107" s="3" t="str">
        <f t="array" ref="AD107">IFERROR(INDEX(CI$7:CI$377,SMALL(IF(CI$7:CI$377&lt;&gt;"",ROW(CI$7:CI$377)-ROW(CI$7)+1),ROWS(CI$7:CI106))),"")</f>
        <v/>
      </c>
      <c r="AE107" s="3" t="str">
        <f t="array" ref="AE107">IFERROR(INDEX(CJ$7:CJ$378,SMALL(IF(CJ$7:CJ$378&lt;&gt;"",ROW(CJ$7:CJ$378)-ROW(CJ$7)+1),ROWS(CJ$7:CJ106))),"")</f>
        <v/>
      </c>
      <c r="AF107" s="3" t="str">
        <f t="array" ref="AF107">IFERROR(INDEX(CK$7:CK$378,SMALL(IF(CK$7:CK$378&lt;&gt;"",ROW(CK$7:CK$378)-ROW(CK$7)+1),ROWS(CK$7:CK106))),"")</f>
        <v/>
      </c>
      <c r="AG107" s="3" t="str">
        <f t="array" ref="AG107">IFERROR(INDEX(CL$7:CL$378,SMALL(IF(CL$7:CL$378&lt;&gt;"",ROW(CL$7:CL$378)-ROW(CL$7)+1),ROWS(CL$7:CL106))),"")</f>
        <v/>
      </c>
      <c r="AH107" s="3"/>
      <c r="AI107" s="3"/>
      <c r="AJ107" s="3"/>
      <c r="AK107" s="3"/>
      <c r="AL107" s="3"/>
      <c r="AM107" s="3"/>
      <c r="AN107" s="52" t="str">
        <f>IF(Atletas!D98="","",IF(Atletas!B98="Feminino",100,IF(Atletas!B98="Masculino",200,""))+(IF(Atletas!D98="Kids 30kg",1,IF(Atletas!D98="Kids 32kg",2, IF(Atletas!D98="Kids 34kg",3,IF(Atletas!D98="Kids 36kg",4,IF(Atletas!D98="Kids 39kg",5,IF(Atletas!D98="Kids 42kg",6,IF(Atletas!D98="Kids 45kg",7, IF(Atletas!D98="Infantil 39kg",8,IF(Atletas!D98="Infantil 42kg",9,IF(Atletas!D98="Infantil 45kg",10,IF(Atletas!D98="Infantil 48kg",11,IF(Atletas!D98="Infantil 52kg",12,IF(Atletas!D98="Infantil 56kg",13,IF(Atletas!D98="Infantil 60kg",14,IF(Atletas!D98="Juvenil 48kg",15,IF(Atletas!D98="Juvenil 52kg",16,IF(Atletas!D98="Juvenil 56kg",17,IF(Atletas!D98="Juvenil 60kg",18,IF(Atletas!D98="Juvenil 65kg",19,IF(Atletas!D98="Juvenil 70kg",20,IF(Atletas!D98="Juvenil 75kg",21,IF(Atletas!D98="Juvenil 80kg",22, IF(Atletas!D98="Juvenil 85kg",23,IF(Atletas!D98="Adulto 48kg",24,IF(Atletas!D98="Adulto 52kg",25,IF(Atletas!D98="Adulto 56kg",26,IF(Atletas!D98="Adulto 60kg",27,IF(Atletas!D98="Adulto 65kg",28,IF(Atletas!D98="Adulto 70kg",29,IF(Atletas!D98="Adulto 75kg",30,IF(Atletas!D98="Adulto 80kg",31,IF(Atletas!D98="Adulto 85kg",32,IF(Atletas!D98="Adulto 90kg",33,IF(Atletas!D98="Adulto 100kg",34, IF(Atletas!D98="Adulto +100kg",35,"")))))))))))))))))))))))))))))))))))))</f>
        <v/>
      </c>
      <c r="AS107" s="6" t="str">
        <f>IF(Atletas!E98="","",IF(Atletas!B98="Feminino",100,IF(Atletas!B98="Masculino",200,""))+(IF(Atletas!E98="Juvenil 44kg",1,IF(Atletas!E98="Juvenil 48kg",2,IF(Atletas!E98="Juvenil 52kg",3,IF(Atletas!E98="Juvenil 56kg",4,IF(Atletas!E98="Juvenil 60kg",5,IF(Atletas!E98="Juvenil 65kg",6,IF(Atletas!E98="Juvenil 70kg",7,IF(Atletas!E98="Juvenil 75kg",8,IF(Atletas!E98="Juvenil 82kg",9,IF(Atletas!E98="Juvenil 90kg",10,IF(Atletas!E98="Juvenil 100kg",11,IF(Atletas!E98="Adulto 48kg",12,IF(Atletas!E98="Adulto 52kg",13,IF(Atletas!E98="Adulto 56kg",14,IF(Atletas!E98="Adulto 60kg",15,IF(Atletas!E98="Adulto 65kg",16,IF(Atletas!E98="Adulto 70kg",17,IF(Atletas!E98="Adulto 75kg",18,IF(Atletas!E98="Adulto 82kg",19,IF(Atletas!E98="Adulto 90kg",20,IF(Atletas!E98="Adulto 100kg",21,IF(Atletas!E98="Adulto +100kg",22,""))))))))))))))))))))))))</f>
        <v/>
      </c>
      <c r="AX107" s="6" t="str">
        <f>IF(Atletas!F98="","",IF(Atletas!B98="Feminino",100,IF(Atletas!B98="Masculino",200,""))+(IF(Atletas!F98="Adulto 48kg",1,IF(Atletas!F98="Adulto 56kg",2,IF(Atletas!F98="Adulto 65kg",3,IF(Atletas!F98="Adulto 75kg",4,IF(Atletas!F98="Adulto +75kg",5,IF(Atletas!F98="Adulto 52kg",6,IF(Atletas!F98="Adulto 60kg",7,IF(Atletas!F98="Adulto 70kg",8,IF(Atletas!F98="Adulto 80kg",9,IF(Atletas!F98="Adulto 90kg",10,IF(Atletas!F98="Adulto +90kg",11,"")))))))))))))</f>
        <v/>
      </c>
      <c r="BC107" s="6" t="str">
        <f>IF(Atletas!G98="","",IF(Atletas!B98="Feminino",10,IF(Atletas!B98="Masculino",20,""))+(IF(Atletas!G98="Baduanjin A",1,IF(Atletas!G98="Baduanjin B",2))))</f>
        <v/>
      </c>
      <c r="BF107" s="52" t="str">
        <f>IF(Atletas!H98="","",IF(Atletas!B98="Feminino",100,IF(Atletas!B98="Masculino",200,""))+(IF(Atletas!H98="Changquan Mirim",1,IF(Atletas!H98="Nanquan Mirim",2,IF(Atletas!H98="Taijiquan Mirim",3,IF(Atletas!H98="Changquan Grupo C",4,IF(Atletas!H98="Nanquan Grupo C",5,IF(Atletas!H98="Taijiquan Grupo C",6,IF(Atletas!H98="Changquan Grupo B",7,IF(Atletas!H98="Nanquan Grupo B",8,IF(Atletas!H98="Taijiquan Grupo B",9,IF(Atletas!H98="Changquan Grupo A",10,IF(Atletas!H98="Nanquan Grupo A",11,IF(Atletas!H98="Taijiquan Grupo A",12,IF(Atletas!H98="Changquan Opcional",13,IF(Atletas!H98="Nanquan Opcional",14,IF(Atletas!H98="Taijiquan Opcional",15,IF(Atletas!H98="Changquan Adulto",16,IF(Atletas!H98="Nanquan Adulto",17,IF(Atletas!H98="Taijiquan Adulto",18,""))))))))))))))))))))</f>
        <v/>
      </c>
      <c r="BG107" s="52" t="str">
        <f>IF(Atletas!I98="","",IF(Atletas!B98="Feminino",100,IF(Atletas!B98="Masculino",200,""))+(IF(Atletas!I98="Daoshu Mirim",19,IF(Atletas!I98="Jianshu Mirim",20,IF(Atletas!I98="Nandao Mirim",21,IF(Atletas!I98="Taijijian Mirim",22,IF(Atletas!I98="Daoshu Grupo C",23,IF(Atletas!I98="Jianshu Grupo C",24,IF(Atletas!I98="Nandao Grupo C",25,IF(Atletas!I98="Taijijian Grupo C",26,IF(Atletas!I98="Daoshu Grupo B",27,IF(Atletas!I98="Jianshu Grupo B",28,IF(Atletas!I98="Nandao Grupo B",29,IF(Atletas!I98="Taijijian Grupo B",30,IF(Atletas!I98="Daoshu Grupo A",31,IF(Atletas!I98="Jianshu Grupo A",32,IF(Atletas!I98="Nandao Grupo A",33,IF(Atletas!I98="Taijijian Grupo A",34,IF(Atletas!I98="Daoshu Opcional",35,IF(Atletas!I98="Jianshu Opcional",36,IF(Atletas!I98="Nandao Opcional",37,IF(Atletas!I98="Taijijian Opcional",38,IF(Atletas!I98="Daoshu Adulto",39,IF(Atletas!I98="Jianshu Adulto",40,IF(Atletas!I98="Nandao Adulto",41,IF(Atletas!I98="Taijijian Adulto",42,""))))))))))))))))))))))))))</f>
        <v/>
      </c>
      <c r="BH107" s="52" t="str">
        <f>IF(Atletas!J98="","",IF(Atletas!B98="Feminino",100,IF(Atletas!B98="Masculino",200,""))+(IF(Atletas!J98="Gunshu Mirim",43,IF(Atletas!J98="Qiangshu Mirim",44,IF(Atletas!J98="Nangun Mirim",45,IF(Atletas!J98="Gunshu Grupo C",46,IF(Atletas!J98="Qiangshu Grupo C",47,IF(Atletas!J98="Nangun Grupo C",48,IF(Atletas!J98="Gunshu Grupo B",49,IF(Atletas!J98="Qiangshu Grupo B",50,IF(Atletas!J98="Nangun Grupo B",51,IF(Atletas!J98="Gunshu Grupo A",52,IF(Atletas!J98="Qiangshu Grupo A",53,IF(Atletas!J98="Nangun Grupo A",54,IF(Atletas!J98="Gunshu Opcional",55,IF(Atletas!J98="Qiangshu Opcional",56,IF(Atletas!J98="Nangun Opcional",57,IF(Atletas!J98="Gunshu Adulto",58,IF(Atletas!J98="Qiangshu Adulto",59,IF(Atletas!J98="Nangun Adulto",60,IF(Atletas!J98="Taijishan Grupo B",61,IF(Atletas!J98="Taijishan Grupo A",62,""))))))))))))))))))))))</f>
        <v/>
      </c>
      <c r="BM107" s="50" t="str">
        <f>IF(Atletas!K98="","",IF(Atletas!B98="Feminino",100,IF(Atletas!B98="Masculino",200,""))+(IF(Atletas!K98="Equipe 1 Grupo B",1,IF(Atletas!K98="Equipe 2 Grupo B",2,IF(Atletas!K98="Equipe 1 Grupo A",3,IF(Atletas!K98="Equipe 2 Grupo A",4,IF(Atletas!K98="Equipe 1 Adulto",5,IF(Atletas!K98="Equipe 2 Adulto",6,""))))))))</f>
        <v/>
      </c>
      <c r="BR107" s="50" t="str">
        <f>IF(Atletas!L98="","",IF(Atletas!X98&lt;&gt;"",10000,0)+(IF(Atletas!B98="Feminino",1000,IF(Atletas!B98="Masculino",2000,""))+IF(Atletas!L98="Choylayfut A",1,IF(Atletas!L98="Hunggar A",2,IF(Atletas!L98="Wuzuquan A",3,IF(Atletas!L98="Wingchun A",4,IF(Atletas!L98="Outra Mão de Sul A",5,IF(Atletas!L98="Choylayfut B",6,IF(Atletas!L98="Hunggar B",7,IF(Atletas!L98="Wuzuquan B",8,IF(Atletas!L98="Wingchun B",9,IF(Atletas!L98="Outra Mão de Sul B",10,IF(Atletas!L98="Choylayfut C",11,IF(Atletas!L98="Hunggar C",12,IF(Atletas!L98="Wuzuquan C",13,IF(Atletas!L98="Wingchun C",14,IF(Atletas!L98="Outra Mão de Sul C",15,IF(Atletas!L98="Choylayfut D",16,IF(Atletas!L98="Hunggar D",17,IF(Atletas!L98="Wuzuquan D",18,IF(Atletas!L98="Wingchun D",19,IF(Atletas!L98="Outra Mão de Sul D",20,IF(Atletas!L98="Choylayfut E",21,IF(Atletas!L98="Hunggar E",22,IF(Atletas!L98="Wuzuquan E",23,IF(Atletas!L98="Wingchun E",24,IF(Atletas!L98="Outra Mão de Sul E",25,IF(Atletas!L98="Choylayfut F",26,IF(Atletas!L98="Hunggar F",27,IF(Atletas!L98="Wuzuquan F",28,IF(Atletas!L98="Wingchun F",29,IF(Atletas!L98="Outra Mão de Sul F",30,IF(Atletas!L98="Dishuquan A",31,IF(Atletas!L98="Dishuquan B",32,IF(Atletas!L98="Dishuquan C",33,IF(Atletas!L98="Dishuquan D",34,IF(Atletas!L98="Dishuquan E",35,IF(Atletas!L98="Dishuquan F",36,""))))))))))))))))))))))))))))))))))))))</f>
        <v/>
      </c>
      <c r="BS107" s="50" t="str">
        <f>IF(Atletas!M98="","",IF(Atletas!X98&lt;&gt;"",10000,0)+(IF(Atletas!B98="Feminino",1000,IF(Atletas!B98="Masculino",2000,""))+(IF(Atletas!M98="Chaquan A",101,IF(Atletas!M98="Emeiquan A",102,IF(Atletas!M98="Fanziquan A",103,IF(Atletas!M98="Huaquan A",104,IF(Atletas!M98="Hongquan A",105,IF(Atletas!M98="Paoquan A",106,IF(Atletas!M98="Piguaquan A",107,IF(Atletas!M98="Shaolinquan A",108,IF(Atletas!M98="Tanglangquan A",109,IF(Atletas!M98="Yingzhaoquan A",110,IF(Atletas!M98="Tongbeiquan A",111,IF(Atletas!M98="Wudangquan A",112,IF(Atletas!M98="Outros Estilos A",113,IF(Atletas!M98="Chaquan B",114,IF(Atletas!M98="Emeiquan B",115,IF(Atletas!M98="Fanziquan B",116,IF(Atletas!M98="Huaquan B",117,IF(Atletas!M98="Hongquan B",118,IF(Atletas!M98="Paoquan B",119,IF(Atletas!M98="Piguaquan B",120,IF(Atletas!M98="Shaolinquan B",121,IF(Atletas!M98="Tanglangquan B",122,IF(Atletas!M98="Yingzhaoquan B",123,IF(Atletas!M98="Tongbeiquan B",124,IF(Atletas!M98="Wudangquan B",125,IF(Atletas!M98="Outros Estilos B",126,IF(Atletas!M98="Chaquan C",127,IF(Atletas!M98="Emeiquan C",128,IF(Atletas!M98="Fanziquan C",129,IF(Atletas!M98="Huaquan C",130,IF(Atletas!M98="Hongquan C",131,IF(Atletas!M98="Paoquan C",132,IF(Atletas!M98="Piguaquan C",133,IF(Atletas!M98="Shaolinquan C",134,IF(Atletas!M98="Tanglangquan C",135,IF(Atletas!M98="Yingzhaoquan C",136,IF(Atletas!M98="Tongbeiquan C",137,IF(Atletas!M98="Wudangquan C",138,IF(Atletas!M98="Outros Estilos C",139,0))))))))))))))))))))))))))))))))))))))))))</f>
        <v/>
      </c>
      <c r="BT107" s="50" t="str">
        <f>IF(Atletas!M98="","",IF(Atletas!X98&lt;&gt;"",10000,0)+(IF(Atletas!B98="Feminino",1000,IF(Atletas!B98="Masculino",2000,""))+(IF(Atletas!M98="Chaquan D",140,IF(Atletas!M98="Emeiquan D",141,IF(Atletas!M98="Fanziquan D",142,IF(Atletas!M98="Huaquan D",143,IF(Atletas!M98="Hongquan D",144,IF(Atletas!M98="Paoquan D",145,IF(Atletas!M98="Piguaquan D",146,IF(Atletas!M98="Shaolinquan D",147,IF(Atletas!M98="Tanglangquan D",148,IF(Atletas!M98="Yingzhaoquan D",149,IF(Atletas!M98="Tongbeiquan D",150,IF(Atletas!M98="Wudangquan D",151,IF(Atletas!M98="Outros Estilos D",152,IF(Atletas!M98="Chaquan E",153,IF(Atletas!M98="Emeiquan E",154,IF(Atletas!M98="Fanziquan E",155,IF(Atletas!M98="Huaquan E",156,IF(Atletas!M98="Hongquan E",157,IF(Atletas!M98="Paoquan E",158,IF(Atletas!M98="Piguaquan E",159,IF(Atletas!M98="Shaolinquan E",160,IF(Atletas!M98="Tanglangquan E",161,IF(Atletas!M98="Yingzhaoquan E",162,IF(Atletas!M98="Tongbeiquan E",163,IF(Atletas!M98="Wudangquan E",164,IF(Atletas!M98="Outros Estilos E",165,IF(Atletas!M98="Chaquan F",166,IF(Atletas!M98="Emeiquan F",167,IF(Atletas!M98="Fanziquan F",168,IF(Atletas!M98="Huaquan F",169,IF(Atletas!M98="Hongquan F",170,IF(Atletas!M98="Paoquan F",171,IF(Atletas!M98="Piguaquan F",172,IF(Atletas!M98="Shaolinquan F",173,IF(Atletas!M98="Tanglangquan F",174,IF(Atletas!M98="Yingzhaoquan F",175,IF(Atletas!M98="Tongbeiquan F",176,IF(Atletas!M98="Wudangquan F",177,IF(Atletas!M98="Outros Estilos F",178,0))))))))))))))))))))))))))))))))))))))))))</f>
        <v/>
      </c>
      <c r="BU107" s="50" t="str">
        <f>IF(Atletas!N98="","",IF(Atletas!X98&lt;&gt;"",10000,0)+(IF(Atletas!B98="Feminino",1000,IF(Atletas!B98="Masculino",2000,""))+(IF(Atletas!N98="Ditangquan A",201,IF(Atletas!N98="Houquan A",202,IF(Atletas!N98="Zuiquan A",203,IF(Atletas!N98="Ditangquan B",204,IF(Atletas!N98="Houquan B",205,IF(Atletas!N98="Zuiquan B",206,IF(Atletas!N98="Ditangquan C",207,IF(Atletas!N98="Houquan C",208,IF(Atletas!N98="Zuiquan C",209,IF(Atletas!N98="Ditangquan D",210,IF(Atletas!N98="Houquan D",211,IF(Atletas!N98="Zuiquan D",212,IF(Atletas!N98="Ditangquan E",213,IF(Atletas!N98="Houquan E",214,IF(Atletas!N98="Zuiquan E",215,IF(Atletas!N98="Ditangquan F",216,IF(Atletas!N98="Houquan F",217,IF(Atletas!N98="Zuiquan F",218,"")))))))))))))))))))))</f>
        <v/>
      </c>
      <c r="BV107" s="50" t="str">
        <f>IF(Atletas!O98="","",IF(Atletas!X98&lt;&gt;"",10000,0)+IF(Atletas!B98="Feminino",1000,IF(Atletas!B98="Masculino",2000,""))+IF(Atletas!O98="Yang A",301,IF(Atletas!O98="Chen A",302,IF(Atletas!O98="Sun A",303,IF(Atletas!O98="Wu A",304,IF(Atletas!O98="Wu-Hao A",305,IF(Atletas!O98="Outro Taijiquan A",306,IF(Atletas!O98="Yang B",307,IF(Atletas!O98="Chen B",308,IF(Atletas!O98="Sun B",309,IF(Atletas!O98="Wu B",310,IF(Atletas!O98="Wu-Hao B",311,IF(Atletas!O98="Outro Taijiquan B",312,IF(Atletas!O98="Yang C",313,IF(Atletas!O98="Chen C",314,IF(Atletas!O98="Sun C",315,IF(Atletas!O98="Wu C",316,IF(Atletas!O98="Wu-Hao C",317,IF(Atletas!O98="Outro Taijiquan C",318,IF(Atletas!O98="Yang D",319,IF(Atletas!O98="Chen D",320,IF(Atletas!O98="Sun D",321,IF(Atletas!O98="Wu D",322,IF(Atletas!O98="Wu-Hao D",323,IF(Atletas!O98="Outro Taijiquan D",324,IF(Atletas!O98="Yang E",325,IF(Atletas!O98="Chen E",326,IF(Atletas!O98="Sun E",327,IF(Atletas!O98="Wu E",328,IF(Atletas!O98="Wu-Hao E",329,IF(Atletas!O98="Outro Taijiquan E",330,IF(Atletas!O98="Yang F",331,IF(Atletas!O98="Chen F",332,IF(Atletas!O98="Sun F",333,IF(Atletas!O98="Wu F",334,IF(Atletas!O98="Wu-Hao F",335,IF(Atletas!O98="Outro Taijiquan F",336,"")))))))))))))))))))))))))))))))))))))</f>
        <v/>
      </c>
      <c r="BW107" s="50" t="str">
        <f>IF(Atletas!P98="","",IF(Atletas!X98&lt;&gt;"",10000,0)+IF(Atletas!B98="Feminino",1000,IF(Atletas!B98="Masculino",2000,""))+IF(OR(Atletas!P98="Yang 26 A",Atletas!P98="Yang 40 A"),401,IF(OR(Atletas!P98="Chen 25 A",Atletas!P98="Chen 36 A",Atletas!P98="Chen 56 A"),402,IF(Atletas!P98="Sun 73 A",403,IF(Atletas!P98="Wu 45 A",404,IF(Atletas!P98="Wu-Hao 46 A",405,IF(OR(Atletas!P98="Taijiquan 16 A",Atletas!P98="Taijiquan 24 A",Atletas!P98="Taijiquan 32 A",Atletas!P98="Taijiquan 42 A"),406,IF(OR(Atletas!P98="Yang 26 B",Atletas!P98="Yang 40 B"),407,IF(OR(Atletas!P98="Chen 25 B",Atletas!P98="Chen 36 B",Atletas!P98="Chen 56 B"),408,IF(Atletas!P98="Sun 73 B",409,IF(Atletas!P98="Wu 45 B",410,IF(Atletas!P98="Wu-Hao 46 B",411,IF(OR(Atletas!P98="Taijiquan 16 B",Atletas!P98="Taijiquan 24 B",Atletas!P98="Taijiquan 32 B",Atletas!P98="Taijiquan 42 B"),412,IF(OR(Atletas!P98="Yang 26 C",Atletas!P98="Yang 40 C"),413,IF(OR(Atletas!P98="Chen 25 C",Atletas!P98="Chen 36 C",Atletas!P98="Chen 56 C"),414,IF(Atletas!P98="Sun 73 C",415,IF(Atletas!P98="Wu 45 C",416,IF(Atletas!P98="Wu-Hao 46 C",417,IF(OR(Atletas!P98="Taijiquan 16 C",Atletas!P98="Taijiquan 24 C",Atletas!P98="Taijiquan 32 C",Atletas!P98="Taijiquan 42 C"),418,0)))))))))))))))))))</f>
        <v/>
      </c>
      <c r="BX107" s="50" t="str">
        <f>IF(Atletas!P98="","",IF(Atletas!X98&lt;&gt;"",10000,0)+IF(Atletas!B98="Feminino",1000,IF(Atletas!B98="Masculino",2000,""))+IF(OR(Atletas!P98="Yang 26 D",Atletas!P98="Yang 40 D"),419,IF(OR(Atletas!P98="Chen 25 D",Atletas!P98="Chen 36 D",Atletas!P98="Chen 56 D"),420,IF(Atletas!P98="Sun 73 D",421,IF(Atletas!P98="Wu 45 D",422,IF(Atletas!P98="Wu-Hao 46 D",423,IF(OR(Atletas!P98="Taijiquan 16 D",Atletas!P98="Taijiquan 24 D",Atletas!P98="Taijiquan 32 D",Atletas!P98="Taijiquan 42 D"),424,IF(OR(Atletas!P98="Yang 26 E",Atletas!P98="Yang 40 E"),425,IF(OR(Atletas!P98="Chen 25 E",Atletas!P98="Chen 36 E",Atletas!P98="Chen 56 E"),426,IF(Atletas!P98="Sun 73 E",427,IF(Atletas!P98="Wu 45 E",428,IF(Atletas!P98="Wu-Hao 46 E",429,IF(OR(Atletas!P98="Taijiquan 16 E",Atletas!P98="Taijiquan 24 E",Atletas!P98="Taijiquan 32 E",Atletas!P98="Taijiquan 42 E"),430,IF(OR(Atletas!P98="Yang 26 F",Atletas!P98="Yang 40 F"),431,IF(OR(Atletas!P98="Chen 25 F",Atletas!P98="Chen 36 F",Atletas!P98="Chen 56 F"),432,IF(Atletas!P98="Sun 73 F",433,IF(Atletas!P98="Wu 45 F",434,IF(Atletas!P98="Wu-Hao 46 F",435,IF(OR(Atletas!P98="Taijiquan 16 F",Atletas!P98="Taijiquan 24 F",Atletas!P98="Taijiquan 32 F",Atletas!P98="Taijiquan 42 F"),436,0)))))))))))))))))))</f>
        <v/>
      </c>
      <c r="BY107" s="50" t="str">
        <f>IF(Atletas!Q98="","",IF(Atletas!X98&lt;&gt;"",10000,0)+IF(Atletas!B98="Feminino",1000,IF(Atletas!B98="Masculino",2000,""))+IF(Atletas!Q98="Xingyiquan A",501,IF(Atletas!Q98="Baguazhang A",502,IF(Atletas!Q98="Outro Estilo Interno A",503,IF(Atletas!Q98="Xingyiquan B",504,IF(Atletas!Q98="Baguazhang B",505,IF(Atletas!Q98="Outro Estilo Interno B",506,IF(Atletas!Q98="Xingyiquan C",507,IF(Atletas!Q98="Baguazhang C",508,IF(Atletas!Q98="Outro Estilo Interno C",509,IF(Atletas!Q98="Xingyiquan D",510,IF(Atletas!Q98="Baguazhang D",511,IF(Atletas!Q98="Outro Estilo Interno D",512,IF(Atletas!Q98="Xingyiquan E",513,IF(Atletas!Q98="Baguazhang E",514,IF(Atletas!Q98="Outro Estilo Interno E",515,IF(Atletas!Q98="Xingyiquan F",516,IF(Atletas!Q98="Baguazhang F",517,IF(Atletas!Q98="Outro Estilo Interno F",518, "")))))))))))))))))))</f>
        <v/>
      </c>
      <c r="BZ107" s="50" t="str">
        <f>IF(Atletas!R98="","",IF(Atletas!X98&lt;&gt;"",10000,0)+IF(Atletas!B98="Feminino",1000,IF(Atletas!B98="Masculino",2000,""))+IF(Atletas!R98="Dao A",601,IF(Atletas!R98="Jian A",602,IF(Atletas!R98="Bishou A",603,IF(Atletas!R98="Shanzi A",604,IF(Atletas!R98="Outra Arma Curta A",605,IF(Atletas!R98="Dao B",606,IF(Atletas!R98="Jian B",607,IF(Atletas!R98="Bishou B",608,IF(Atletas!R98="Shanzi B",609,IF(Atletas!R98="Outra Arma Curta B",610,IF(Atletas!R98="Dao C",611,IF(Atletas!R98="Jian C",612,IF(Atletas!R98="Bishou C",613,IF(Atletas!R98="Shanzi C",614,IF(Atletas!R98="Outra Arma Curta C",615,IF(Atletas!R98="Dao D",616,IF(Atletas!R98="Jian D",617,IF(Atletas!R98="Bishou D",618,IF(Atletas!R98="Shanzi D",619,IF(Atletas!R98="Outra Arma Curta D",620,IF(Atletas!R98="Dao E",621,IF(Atletas!R98="Jian E",622,IF(Atletas!R98="Bishou E",623,IF(Atletas!R98="Shanzi E",624,IF(Atletas!R98="Outra Arma Curta E",625,IF(Atletas!R98="Dao F",626,IF(Atletas!R98="Jian F",627,IF(Atletas!R98="Bishou F",628,IF(Atletas!R98="Shanzi F",629,IF(Atletas!R98="Outra Arma Curta F",630, "")))))))))))))))))))))))))))))))</f>
        <v/>
      </c>
      <c r="CA107" s="50" t="str">
        <f>IF(Atletas!S98="","",IF(Atletas!X98&lt;&gt;"",10000,0)+IF(Atletas!B98="Feminino",1000,IF(Atletas!B98="Masculino",2000,""))+IF(Atletas!S98="Gun A",701,IF(Atletas!S98="Qiang A",702,IF(Atletas!S98="Pudao / Guandao A",703,IF(Atletas!S98="Outra Arma Longa A",704,IF(Atletas!S98="Gun B",705,IF(Atletas!S98="Qiang B",706,IF(Atletas!S98="Pudao / Guandao B",707,IF(Atletas!S98="Outra Arma Longa B",708,IF(Atletas!S98="Gun C",709,IF(Atletas!S98="Qiang C",710,IF(Atletas!S98="Pudao / Guandao C",711,IF(Atletas!S98="Outra Arma Longa C",712,IF(Atletas!S98="Gun D",713,IF(Atletas!S98="Qiang D",714,IF(Atletas!S98="Pudao / Guandao D",715,IF(Atletas!S98="Outra Arma Longa D",716,IF(Atletas!S98="Gun E",717,IF(Atletas!S98="Qiang E",718,IF(Atletas!S98="Pudao / Guandao E",719,IF(Atletas!S98="Outra Arma Longa E",720,IF(Atletas!S98="Gun F",721,IF(Atletas!S98="Qiang F",722,IF(Atletas!S98="Pudao / Guandao F",723,IF(Atletas!S98="Outra Arma Longa F",724,"")))))))))))))))))))))))))</f>
        <v/>
      </c>
      <c r="CB107" s="50" t="str">
        <f>IF(Atletas!T98="","",IF(Atletas!X98&lt;&gt;"",10000,0)+IF(Atletas!B98="Feminino",1000,IF(Atletas!B98="Masculino",2000,""))+IF(Atletas!T98="Outra Arma Dupla A",801,IF(Atletas!T98="Arma Maleável A",802,IF(Atletas!T98="Outra Arma Dupla B",803,IF(Atletas!T98="Arma Maleável B",804,IF(Atletas!T98="Outra Arma Dupla C",805,IF(Atletas!T98="Arma Maleável C",806,IF(Atletas!T98="Outra Arma Dupla D",807,IF(Atletas!T98="Arma Maleável D",808,IF(Atletas!T98="Outra Arma Dupla E",809,IF(Atletas!T98="Arma Maleável E",810,IF(Atletas!T98="Outra Arma Dupla F",811,IF(Atletas!T98="Arma Maleável F",812,IF(Atletas!T98="Shuangdao A",813,IF(Atletas!T98="Shuangdao B",814,IF(Atletas!T98="Shuangdao C",815,IF(Atletas!T98="Shuangdao D",816,IF(Atletas!T98="Shuangdao E",817,IF(Atletas!T98="Shuangdao F",818,"")))))))))))))))))))</f>
        <v/>
      </c>
      <c r="CC107" s="50" t="str">
        <f>IF(Atletas!U98="","",IF(Atletas!X98&lt;&gt;"",10000,0)+IF(Atletas!B98="Feminino",1000,IF(Atletas!B98="Masculino",2000,""))+IF(OR(Atletas!U98="Taijijian Yang A",Atletas!U98="Taijijian Yang Standard A"),901,IF(OR(Atletas!U98="Taijijian Chen A", Atletas!U98="Taijijian Chen Standard A"),902,IF(Atletas!U98="Taijijian Sun A",903,IF(Atletas!U98="Taijijian Wu A",904,IF(Atletas!U98="Taijijian Wu-Hao A",905,IF(OR(Atletas!U98="Taijijian 32 A",Atletas!U98="Taijijian 42 A"),906,IF(OR(Atletas!U98="Taijijian Yang B",Atletas!U98="Taijijian Yang Standard B"),907,IF(OR(Atletas!U98="Taijijian Chen B", Atletas!U98="Taijijian Chen Standard B"),908,IF(Atletas!U98="Taijijian Sun B",909,IF(Atletas!U98="Taijijian Wu B",910,IF(Atletas!U98="Taijijian Wu-Hao B",911,IF(OR(Atletas!U98="Taijijian 32 B",Atletas!U98="Taijijian 42 B"),912,IF(OR(Atletas!U98="Taijijian Yang C",Atletas!U98="Taijijian Yang Standard C"),913,IF(OR(Atletas!U98="Taijijian Chen C", Atletas!U98="Taijijian Chen Standard C"),914,IF(Atletas!U98="Taijijian Sun C",915,IF(Atletas!U98="Taijijian Wu C",916,IF(Atletas!U98="Taijijian Wu-Hao C",917,IF(OR(Atletas!U98="Taijijian 32 C",Atletas!U98="Taijijian 42 C"),918,IF(OR(Atletas!U98="Taijijian Yang D",Atletas!U98="Taijijian Yang Standard D"),919,IF(OR(Atletas!U98="Taijijian Chen D", Atletas!U98="Taijijian Chen Standard D"),920,IF(Atletas!U98="Taijijian Sun D",921,IF(Atletas!U98="Taijijian Wu D",922,IF(Atletas!U98="Taijijian Wu-Hao D",923,IF(OR(Atletas!U98="Taijijian 32 D",Atletas!U98="Taijijian 42 D"),924,IF(OR(Atletas!U98="Taijijian Yang E",Atletas!U98="Taijijian Yang Standard E"),925,IF(OR(Atletas!U98="Taijijian Chen E", Atletas!U98="Taijijian Chen Standard E"),926,IF(Atletas!U98="Taijijian Sun E",927,IF(Atletas!U98="Taijijian Wu E",928,IF(Atletas!U98="Taijijian Wu-Hao E",929,IF(OR(Atletas!U98="Taijijian 32 E",Atletas!U98="Taijijian 42 E"),930,IF(OR(Atletas!U98="Taijijian Yang F",Atletas!U98="Taijijian Yang Standard F"),931,IF(OR(Atletas!U98="Taijijian Chen F", Atletas!U98="Taijijian Chen Standard F"),932,IF(Atletas!U98="Taijijian Sun F",933,IF(Atletas!U98="Taijijian Wu F",934,IF(Atletas!U98="Taijijian Wu-Hao F",935,IF(OR(Atletas!U98="Taijijian 32 F",Atletas!U98="Taijijian 42 F"),936,"")))))))))))))))))))))))))))))))))))))</f>
        <v/>
      </c>
      <c r="CD107" s="50" t="str">
        <f>IF(Atletas!V98="","",IF(Atletas!X98&lt;&gt;"",10000,0)+IF(Atletas!B98="Feminino",1000,IF(Atletas!B98="Masculino",2000,""))+IF(Atletas!V98="Taijidao A",937,IF(Atletas!V98="TaijiShanzi A",938,IF(Atletas!V98="Taijiqiang A",939,IF(Atletas!V98="Bagua de Arma A",940,IF(Atletas!V98="Xingyi de Arma A",941,IF(Atletas!V98="Taijidao B",942,IF(Atletas!V98="TaijiShanzi B",943,IF(Atletas!V98="Taijiqiang B",944,IF(Atletas!V98="Bagua de Arma B",945,IF(Atletas!V98="Xingyi de Arma B",946,IF(Atletas!V98="Taijidao C",947,IF(Atletas!V98="TaijiShanzi C",948,IF(Atletas!V98="Taijiqiang C",949,IF(Atletas!V98="Bagua de Arma C",950,IF(Atletas!V98="Xingyi de Arma C",951,IF(Atletas!V98="Taijidao D",952,IF(Atletas!V98="TaijiShanzi D",953,IF(Atletas!V98="Taijiqiang D",954,IF(Atletas!V98="Bagua de Arma D",955,IF(Atletas!V98="Xingyi de Arma D",956,IF(Atletas!V98="Taijidao E",957,IF(Atletas!V98="TaijiShanzi E",958,IF(Atletas!V98="Taijiqiang E",959,IF(Atletas!V98="Bagua de Arma E",960,IF(Atletas!V98="Xingyi de Arma E",961,IF(Atletas!V98="Taijidao F",962,IF(Atletas!V98="TaijiShanzi F",963,IF(Atletas!V98="Taijiqiang F",964,IF(Atletas!V98="Bagua de Arma F",965,IF(Atletas!V98="Xingyi de Arma F",966,"")))))))))))))))))))))))))))))))</f>
        <v/>
      </c>
      <c r="CE107" s="66" t="str">
        <f>IF(CF107&lt;&gt;"","Outros Estilos E","")</f>
        <v/>
      </c>
      <c r="CF107" s="66" t="str">
        <f>IF(COUNTIF(BR:CD,1165)&gt;0,COUNTIF(BR:CD,1165),"")</f>
        <v/>
      </c>
      <c r="CG107" s="66" t="str">
        <f>IF(CH107&lt;&gt;"","Outros Estilos E","")</f>
        <v/>
      </c>
      <c r="CH107" s="66" t="str">
        <f>IF(COUNTIF(BR:CD,2165)&gt;0,COUNTIF(BR:CD,2165),"")</f>
        <v/>
      </c>
      <c r="CI107" s="66" t="str">
        <f>IF(CJ107&lt;&gt;"","Paoquan F","")</f>
        <v/>
      </c>
      <c r="CJ107" s="66" t="str">
        <f>IF(COUNTIF(BR:CD,11171)&gt;0,COUNTIF(BR:CD,11171),"")</f>
        <v/>
      </c>
      <c r="CK107" s="66" t="str">
        <f>IF(CL107&lt;&gt;"","Paoquan F","")</f>
        <v/>
      </c>
      <c r="CL107" s="66" t="str">
        <f>IF(COUNTIF(BR:CD,12171)&gt;0,COUNTIF(BR:CD,12171),"")</f>
        <v/>
      </c>
      <c r="CM107" s="50" t="str">
        <f xml:space="preserve"> IF(Atletas!W98="","",IF(Atletas!W98="Duilian de Mãos BC - Equipe 1",1,IF(Atletas!W98="Duilian de Mãos BC - Equipe 2",2,IF(Atletas!W98="Duilian de Armas BC - Equipe 1",3,IF(Atletas!W98="Duilian de Armas BC - Equipe 2",4,IF(Atletas!W98="Duilian de Mãos DE - Equipe 1",5,IF(Atletas!W98="Duilian de Mãos DE - Equipe 2",6,IF(Atletas!W98="Duilian de Armas DE - Equipe 1",7,IF(Atletas!W98="Duilian de Armas DE - Equipe 2",8,IF(Atletas!W98="Duilian de Tuishou - Equipe 1",9,IF(Atletas!W98="Duilian de Tuishou - Equipe 2",10,IF(Atletas!W98="Grupo Externo ABC - Equipe 1",11,IF(Atletas!W98="Grupo Externo ABC - Equipe 2",12,IF(Atletas!W98="Grupo Interno ABC - Equipe 1",13,IF(Atletas!W98="Grupo Interno ABC - Equipe 2",14,IF(Atletas!W98="Grupo Externo DEF - Equipe 1",15,IF(Atletas!W98="Grupo Externo DEF - Equipe 2",16,IF(Atletas!W98="Grupo Interno DEF - Equipe 1",17,IF(Atletas!W98="Grupo Interno DEF - Equipe 2",18,"")))))))))))))))))))</f>
        <v/>
      </c>
    </row>
    <row r="108" spans="2:91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 t="str">
        <f t="array" ref="Z108">IFERROR(INDEX(CE$7:CE$348,SMALL(IF(CE$7:CE$348&lt;&gt;"",ROW(CE$7:CE$348)-ROW(CE$7)+1),ROWS(CE$7:CE107))),"")</f>
        <v/>
      </c>
      <c r="AA108" s="3" t="str">
        <f t="array" ref="AA108">IFERROR(INDEX(CF$7:CF$348,SMALL(IF(CF$7:CF$348&lt;&gt;"",ROW(CF$7:CF$348)-ROW(CF$7)+1),ROWS(CF$7:CF107))),"")</f>
        <v/>
      </c>
      <c r="AB108" s="3" t="str">
        <f t="array" ref="AB108">IFERROR(INDEX(CG$7:CG$348,SMALL(IF(CG$7:CG$348&lt;&gt;"",ROW(CG$7:CG$348)-ROW(CG$7)+1),ROWS(CG$7:CG107))),"")</f>
        <v/>
      </c>
      <c r="AC108" s="3" t="str">
        <f t="array" ref="AC108">IFERROR(INDEX(CH$7:CH$348,SMALL(IF(CH$7:CH$348&lt;&gt;"",ROW(CH$7:CH$348)-ROW(CH$7)+1),ROWS(CH$7:CH107))),"")</f>
        <v/>
      </c>
      <c r="AD108" s="3" t="str">
        <f t="array" ref="AD108">IFERROR(INDEX(CI$7:CI$377,SMALL(IF(CI$7:CI$377&lt;&gt;"",ROW(CI$7:CI$377)-ROW(CI$7)+1),ROWS(CI$7:CI107))),"")</f>
        <v/>
      </c>
      <c r="AE108" s="3" t="str">
        <f t="array" ref="AE108">IFERROR(INDEX(CJ$7:CJ$378,SMALL(IF(CJ$7:CJ$378&lt;&gt;"",ROW(CJ$7:CJ$378)-ROW(CJ$7)+1),ROWS(CJ$7:CJ107))),"")</f>
        <v/>
      </c>
      <c r="AF108" s="3" t="str">
        <f t="array" ref="AF108">IFERROR(INDEX(CK$7:CK$378,SMALL(IF(CK$7:CK$378&lt;&gt;"",ROW(CK$7:CK$378)-ROW(CK$7)+1),ROWS(CK$7:CK107))),"")</f>
        <v/>
      </c>
      <c r="AG108" s="3" t="str">
        <f t="array" ref="AG108">IFERROR(INDEX(CL$7:CL$378,SMALL(IF(CL$7:CL$378&lt;&gt;"",ROW(CL$7:CL$378)-ROW(CL$7)+1),ROWS(CL$7:CL107))),"")</f>
        <v/>
      </c>
      <c r="AH108" s="3"/>
      <c r="AI108" s="3"/>
      <c r="AJ108" s="3"/>
      <c r="AK108" s="3"/>
      <c r="AL108" s="3"/>
      <c r="AM108" s="3"/>
      <c r="AN108" s="52" t="str">
        <f>IF(Atletas!D99="","",IF(Atletas!B99="Feminino",100,IF(Atletas!B99="Masculino",200,""))+(IF(Atletas!D99="Kids 30kg",1,IF(Atletas!D99="Kids 32kg",2, IF(Atletas!D99="Kids 34kg",3,IF(Atletas!D99="Kids 36kg",4,IF(Atletas!D99="Kids 39kg",5,IF(Atletas!D99="Kids 42kg",6,IF(Atletas!D99="Kids 45kg",7, IF(Atletas!D99="Infantil 39kg",8,IF(Atletas!D99="Infantil 42kg",9,IF(Atletas!D99="Infantil 45kg",10,IF(Atletas!D99="Infantil 48kg",11,IF(Atletas!D99="Infantil 52kg",12,IF(Atletas!D99="Infantil 56kg",13,IF(Atletas!D99="Infantil 60kg",14,IF(Atletas!D99="Juvenil 48kg",15,IF(Atletas!D99="Juvenil 52kg",16,IF(Atletas!D99="Juvenil 56kg",17,IF(Atletas!D99="Juvenil 60kg",18,IF(Atletas!D99="Juvenil 65kg",19,IF(Atletas!D99="Juvenil 70kg",20,IF(Atletas!D99="Juvenil 75kg",21,IF(Atletas!D99="Juvenil 80kg",22, IF(Atletas!D99="Juvenil 85kg",23,IF(Atletas!D99="Adulto 48kg",24,IF(Atletas!D99="Adulto 52kg",25,IF(Atletas!D99="Adulto 56kg",26,IF(Atletas!D99="Adulto 60kg",27,IF(Atletas!D99="Adulto 65kg",28,IF(Atletas!D99="Adulto 70kg",29,IF(Atletas!D99="Adulto 75kg",30,IF(Atletas!D99="Adulto 80kg",31,IF(Atletas!D99="Adulto 85kg",32,IF(Atletas!D99="Adulto 90kg",33,IF(Atletas!D99="Adulto 100kg",34, IF(Atletas!D99="Adulto +100kg",35,"")))))))))))))))))))))))))))))))))))))</f>
        <v/>
      </c>
      <c r="AS108" s="6" t="str">
        <f>IF(Atletas!E99="","",IF(Atletas!B99="Feminino",100,IF(Atletas!B99="Masculino",200,""))+(IF(Atletas!E99="Juvenil 44kg",1,IF(Atletas!E99="Juvenil 48kg",2,IF(Atletas!E99="Juvenil 52kg",3,IF(Atletas!E99="Juvenil 56kg",4,IF(Atletas!E99="Juvenil 60kg",5,IF(Atletas!E99="Juvenil 65kg",6,IF(Atletas!E99="Juvenil 70kg",7,IF(Atletas!E99="Juvenil 75kg",8,IF(Atletas!E99="Juvenil 82kg",9,IF(Atletas!E99="Juvenil 90kg",10,IF(Atletas!E99="Juvenil 100kg",11,IF(Atletas!E99="Adulto 48kg",12,IF(Atletas!E99="Adulto 52kg",13,IF(Atletas!E99="Adulto 56kg",14,IF(Atletas!E99="Adulto 60kg",15,IF(Atletas!E99="Adulto 65kg",16,IF(Atletas!E99="Adulto 70kg",17,IF(Atletas!E99="Adulto 75kg",18,IF(Atletas!E99="Adulto 82kg",19,IF(Atletas!E99="Adulto 90kg",20,IF(Atletas!E99="Adulto 100kg",21,IF(Atletas!E99="Adulto +100kg",22,""))))))))))))))))))))))))</f>
        <v/>
      </c>
      <c r="AX108" s="6" t="str">
        <f>IF(Atletas!F99="","",IF(Atletas!B99="Feminino",100,IF(Atletas!B99="Masculino",200,""))+(IF(Atletas!F99="Adulto 48kg",1,IF(Atletas!F99="Adulto 56kg",2,IF(Atletas!F99="Adulto 65kg",3,IF(Atletas!F99="Adulto 75kg",4,IF(Atletas!F99="Adulto +75kg",5,IF(Atletas!F99="Adulto 52kg",6,IF(Atletas!F99="Adulto 60kg",7,IF(Atletas!F99="Adulto 70kg",8,IF(Atletas!F99="Adulto 80kg",9,IF(Atletas!F99="Adulto 90kg",10,IF(Atletas!F99="Adulto +90kg",11,"")))))))))))))</f>
        <v/>
      </c>
      <c r="BC108" s="6" t="str">
        <f>IF(Atletas!G99="","",IF(Atletas!B99="Feminino",10,IF(Atletas!B99="Masculino",20,""))+(IF(Atletas!G99="Baduanjin A",1,IF(Atletas!G99="Baduanjin B",2))))</f>
        <v/>
      </c>
      <c r="BF108" s="52" t="str">
        <f>IF(Atletas!H99="","",IF(Atletas!B99="Feminino",100,IF(Atletas!B99="Masculino",200,""))+(IF(Atletas!H99="Changquan Mirim",1,IF(Atletas!H99="Nanquan Mirim",2,IF(Atletas!H99="Taijiquan Mirim",3,IF(Atletas!H99="Changquan Grupo C",4,IF(Atletas!H99="Nanquan Grupo C",5,IF(Atletas!H99="Taijiquan Grupo C",6,IF(Atletas!H99="Changquan Grupo B",7,IF(Atletas!H99="Nanquan Grupo B",8,IF(Atletas!H99="Taijiquan Grupo B",9,IF(Atletas!H99="Changquan Grupo A",10,IF(Atletas!H99="Nanquan Grupo A",11,IF(Atletas!H99="Taijiquan Grupo A",12,IF(Atletas!H99="Changquan Opcional",13,IF(Atletas!H99="Nanquan Opcional",14,IF(Atletas!H99="Taijiquan Opcional",15,IF(Atletas!H99="Changquan Adulto",16,IF(Atletas!H99="Nanquan Adulto",17,IF(Atletas!H99="Taijiquan Adulto",18,""))))))))))))))))))))</f>
        <v/>
      </c>
      <c r="BG108" s="52" t="str">
        <f>IF(Atletas!I99="","",IF(Atletas!B99="Feminino",100,IF(Atletas!B99="Masculino",200,""))+(IF(Atletas!I99="Daoshu Mirim",19,IF(Atletas!I99="Jianshu Mirim",20,IF(Atletas!I99="Nandao Mirim",21,IF(Atletas!I99="Taijijian Mirim",22,IF(Atletas!I99="Daoshu Grupo C",23,IF(Atletas!I99="Jianshu Grupo C",24,IF(Atletas!I99="Nandao Grupo C",25,IF(Atletas!I99="Taijijian Grupo C",26,IF(Atletas!I99="Daoshu Grupo B",27,IF(Atletas!I99="Jianshu Grupo B",28,IF(Atletas!I99="Nandao Grupo B",29,IF(Atletas!I99="Taijijian Grupo B",30,IF(Atletas!I99="Daoshu Grupo A",31,IF(Atletas!I99="Jianshu Grupo A",32,IF(Atletas!I99="Nandao Grupo A",33,IF(Atletas!I99="Taijijian Grupo A",34,IF(Atletas!I99="Daoshu Opcional",35,IF(Atletas!I99="Jianshu Opcional",36,IF(Atletas!I99="Nandao Opcional",37,IF(Atletas!I99="Taijijian Opcional",38,IF(Atletas!I99="Daoshu Adulto",39,IF(Atletas!I99="Jianshu Adulto",40,IF(Atletas!I99="Nandao Adulto",41,IF(Atletas!I99="Taijijian Adulto",42,""))))))))))))))))))))))))))</f>
        <v/>
      </c>
      <c r="BH108" s="52" t="str">
        <f>IF(Atletas!J99="","",IF(Atletas!B99="Feminino",100,IF(Atletas!B99="Masculino",200,""))+(IF(Atletas!J99="Gunshu Mirim",43,IF(Atletas!J99="Qiangshu Mirim",44,IF(Atletas!J99="Nangun Mirim",45,IF(Atletas!J99="Gunshu Grupo C",46,IF(Atletas!J99="Qiangshu Grupo C",47,IF(Atletas!J99="Nangun Grupo C",48,IF(Atletas!J99="Gunshu Grupo B",49,IF(Atletas!J99="Qiangshu Grupo B",50,IF(Atletas!J99="Nangun Grupo B",51,IF(Atletas!J99="Gunshu Grupo A",52,IF(Atletas!J99="Qiangshu Grupo A",53,IF(Atletas!J99="Nangun Grupo A",54,IF(Atletas!J99="Gunshu Opcional",55,IF(Atletas!J99="Qiangshu Opcional",56,IF(Atletas!J99="Nangun Opcional",57,IF(Atletas!J99="Gunshu Adulto",58,IF(Atletas!J99="Qiangshu Adulto",59,IF(Atletas!J99="Nangun Adulto",60,IF(Atletas!J99="Taijishan Grupo B",61,IF(Atletas!J99="Taijishan Grupo A",62,""))))))))))))))))))))))</f>
        <v/>
      </c>
      <c r="BM108" s="50" t="str">
        <f>IF(Atletas!K99="","",IF(Atletas!B99="Feminino",100,IF(Atletas!B99="Masculino",200,""))+(IF(Atletas!K99="Equipe 1 Grupo B",1,IF(Atletas!K99="Equipe 2 Grupo B",2,IF(Atletas!K99="Equipe 1 Grupo A",3,IF(Atletas!K99="Equipe 2 Grupo A",4,IF(Atletas!K99="Equipe 1 Adulto",5,IF(Atletas!K99="Equipe 2 Adulto",6,""))))))))</f>
        <v/>
      </c>
      <c r="BR108" s="50" t="str">
        <f>IF(Atletas!L99="","",IF(Atletas!X99&lt;&gt;"",10000,0)+(IF(Atletas!B99="Feminino",1000,IF(Atletas!B99="Masculino",2000,""))+IF(Atletas!L99="Choylayfut A",1,IF(Atletas!L99="Hunggar A",2,IF(Atletas!L99="Wuzuquan A",3,IF(Atletas!L99="Wingchun A",4,IF(Atletas!L99="Outra Mão de Sul A",5,IF(Atletas!L99="Choylayfut B",6,IF(Atletas!L99="Hunggar B",7,IF(Atletas!L99="Wuzuquan B",8,IF(Atletas!L99="Wingchun B",9,IF(Atletas!L99="Outra Mão de Sul B",10,IF(Atletas!L99="Choylayfut C",11,IF(Atletas!L99="Hunggar C",12,IF(Atletas!L99="Wuzuquan C",13,IF(Atletas!L99="Wingchun C",14,IF(Atletas!L99="Outra Mão de Sul C",15,IF(Atletas!L99="Choylayfut D",16,IF(Atletas!L99="Hunggar D",17,IF(Atletas!L99="Wuzuquan D",18,IF(Atletas!L99="Wingchun D",19,IF(Atletas!L99="Outra Mão de Sul D",20,IF(Atletas!L99="Choylayfut E",21,IF(Atletas!L99="Hunggar E",22,IF(Atletas!L99="Wuzuquan E",23,IF(Atletas!L99="Wingchun E",24,IF(Atletas!L99="Outra Mão de Sul E",25,IF(Atletas!L99="Choylayfut F",26,IF(Atletas!L99="Hunggar F",27,IF(Atletas!L99="Wuzuquan F",28,IF(Atletas!L99="Wingchun F",29,IF(Atletas!L99="Outra Mão de Sul F",30,IF(Atletas!L99="Dishuquan A",31,IF(Atletas!L99="Dishuquan B",32,IF(Atletas!L99="Dishuquan C",33,IF(Atletas!L99="Dishuquan D",34,IF(Atletas!L99="Dishuquan E",35,IF(Atletas!L99="Dishuquan F",36,""))))))))))))))))))))))))))))))))))))))</f>
        <v/>
      </c>
      <c r="BS108" s="50" t="str">
        <f>IF(Atletas!M99="","",IF(Atletas!X99&lt;&gt;"",10000,0)+(IF(Atletas!B99="Feminino",1000,IF(Atletas!B99="Masculino",2000,""))+(IF(Atletas!M99="Chaquan A",101,IF(Atletas!M99="Emeiquan A",102,IF(Atletas!M99="Fanziquan A",103,IF(Atletas!M99="Huaquan A",104,IF(Atletas!M99="Hongquan A",105,IF(Atletas!M99="Paoquan A",106,IF(Atletas!M99="Piguaquan A",107,IF(Atletas!M99="Shaolinquan A",108,IF(Atletas!M99="Tanglangquan A",109,IF(Atletas!M99="Yingzhaoquan A",110,IF(Atletas!M99="Tongbeiquan A",111,IF(Atletas!M99="Wudangquan A",112,IF(Atletas!M99="Outros Estilos A",113,IF(Atletas!M99="Chaquan B",114,IF(Atletas!M99="Emeiquan B",115,IF(Atletas!M99="Fanziquan B",116,IF(Atletas!M99="Huaquan B",117,IF(Atletas!M99="Hongquan B",118,IF(Atletas!M99="Paoquan B",119,IF(Atletas!M99="Piguaquan B",120,IF(Atletas!M99="Shaolinquan B",121,IF(Atletas!M99="Tanglangquan B",122,IF(Atletas!M99="Yingzhaoquan B",123,IF(Atletas!M99="Tongbeiquan B",124,IF(Atletas!M99="Wudangquan B",125,IF(Atletas!M99="Outros Estilos B",126,IF(Atletas!M99="Chaquan C",127,IF(Atletas!M99="Emeiquan C",128,IF(Atletas!M99="Fanziquan C",129,IF(Atletas!M99="Huaquan C",130,IF(Atletas!M99="Hongquan C",131,IF(Atletas!M99="Paoquan C",132,IF(Atletas!M99="Piguaquan C",133,IF(Atletas!M99="Shaolinquan C",134,IF(Atletas!M99="Tanglangquan C",135,IF(Atletas!M99="Yingzhaoquan C",136,IF(Atletas!M99="Tongbeiquan C",137,IF(Atletas!M99="Wudangquan C",138,IF(Atletas!M99="Outros Estilos C",139,0))))))))))))))))))))))))))))))))))))))))))</f>
        <v/>
      </c>
      <c r="BT108" s="50" t="str">
        <f>IF(Atletas!M99="","",IF(Atletas!X99&lt;&gt;"",10000,0)+(IF(Atletas!B99="Feminino",1000,IF(Atletas!B99="Masculino",2000,""))+(IF(Atletas!M99="Chaquan D",140,IF(Atletas!M99="Emeiquan D",141,IF(Atletas!M99="Fanziquan D",142,IF(Atletas!M99="Huaquan D",143,IF(Atletas!M99="Hongquan D",144,IF(Atletas!M99="Paoquan D",145,IF(Atletas!M99="Piguaquan D",146,IF(Atletas!M99="Shaolinquan D",147,IF(Atletas!M99="Tanglangquan D",148,IF(Atletas!M99="Yingzhaoquan D",149,IF(Atletas!M99="Tongbeiquan D",150,IF(Atletas!M99="Wudangquan D",151,IF(Atletas!M99="Outros Estilos D",152,IF(Atletas!M99="Chaquan E",153,IF(Atletas!M99="Emeiquan E",154,IF(Atletas!M99="Fanziquan E",155,IF(Atletas!M99="Huaquan E",156,IF(Atletas!M99="Hongquan E",157,IF(Atletas!M99="Paoquan E",158,IF(Atletas!M99="Piguaquan E",159,IF(Atletas!M99="Shaolinquan E",160,IF(Atletas!M99="Tanglangquan E",161,IF(Atletas!M99="Yingzhaoquan E",162,IF(Atletas!M99="Tongbeiquan E",163,IF(Atletas!M99="Wudangquan E",164,IF(Atletas!M99="Outros Estilos E",165,IF(Atletas!M99="Chaquan F",166,IF(Atletas!M99="Emeiquan F",167,IF(Atletas!M99="Fanziquan F",168,IF(Atletas!M99="Huaquan F",169,IF(Atletas!M99="Hongquan F",170,IF(Atletas!M99="Paoquan F",171,IF(Atletas!M99="Piguaquan F",172,IF(Atletas!M99="Shaolinquan F",173,IF(Atletas!M99="Tanglangquan F",174,IF(Atletas!M99="Yingzhaoquan F",175,IF(Atletas!M99="Tongbeiquan F",176,IF(Atletas!M99="Wudangquan F",177,IF(Atletas!M99="Outros Estilos F",178,0))))))))))))))))))))))))))))))))))))))))))</f>
        <v/>
      </c>
      <c r="BU108" s="50" t="str">
        <f>IF(Atletas!N99="","",IF(Atletas!X99&lt;&gt;"",10000,0)+(IF(Atletas!B99="Feminino",1000,IF(Atletas!B99="Masculino",2000,""))+(IF(Atletas!N99="Ditangquan A",201,IF(Atletas!N99="Houquan A",202,IF(Atletas!N99="Zuiquan A",203,IF(Atletas!N99="Ditangquan B",204,IF(Atletas!N99="Houquan B",205,IF(Atletas!N99="Zuiquan B",206,IF(Atletas!N99="Ditangquan C",207,IF(Atletas!N99="Houquan C",208,IF(Atletas!N99="Zuiquan C",209,IF(Atletas!N99="Ditangquan D",210,IF(Atletas!N99="Houquan D",211,IF(Atletas!N99="Zuiquan D",212,IF(Atletas!N99="Ditangquan E",213,IF(Atletas!N99="Houquan E",214,IF(Atletas!N99="Zuiquan E",215,IF(Atletas!N99="Ditangquan F",216,IF(Atletas!N99="Houquan F",217,IF(Atletas!N99="Zuiquan F",218,"")))))))))))))))))))))</f>
        <v/>
      </c>
      <c r="BV108" s="50" t="str">
        <f>IF(Atletas!O99="","",IF(Atletas!X99&lt;&gt;"",10000,0)+IF(Atletas!B99="Feminino",1000,IF(Atletas!B99="Masculino",2000,""))+IF(Atletas!O99="Yang A",301,IF(Atletas!O99="Chen A",302,IF(Atletas!O99="Sun A",303,IF(Atletas!O99="Wu A",304,IF(Atletas!O99="Wu-Hao A",305,IF(Atletas!O99="Outro Taijiquan A",306,IF(Atletas!O99="Yang B",307,IF(Atletas!O99="Chen B",308,IF(Atletas!O99="Sun B",309,IF(Atletas!O99="Wu B",310,IF(Atletas!O99="Wu-Hao B",311,IF(Atletas!O99="Outro Taijiquan B",312,IF(Atletas!O99="Yang C",313,IF(Atletas!O99="Chen C",314,IF(Atletas!O99="Sun C",315,IF(Atletas!O99="Wu C",316,IF(Atletas!O99="Wu-Hao C",317,IF(Atletas!O99="Outro Taijiquan C",318,IF(Atletas!O99="Yang D",319,IF(Atletas!O99="Chen D",320,IF(Atletas!O99="Sun D",321,IF(Atletas!O99="Wu D",322,IF(Atletas!O99="Wu-Hao D",323,IF(Atletas!O99="Outro Taijiquan D",324,IF(Atletas!O99="Yang E",325,IF(Atletas!O99="Chen E",326,IF(Atletas!O99="Sun E",327,IF(Atletas!O99="Wu E",328,IF(Atletas!O99="Wu-Hao E",329,IF(Atletas!O99="Outro Taijiquan E",330,IF(Atletas!O99="Yang F",331,IF(Atletas!O99="Chen F",332,IF(Atletas!O99="Sun F",333,IF(Atletas!O99="Wu F",334,IF(Atletas!O99="Wu-Hao F",335,IF(Atletas!O99="Outro Taijiquan F",336,"")))))))))))))))))))))))))))))))))))))</f>
        <v/>
      </c>
      <c r="BW108" s="50" t="str">
        <f>IF(Atletas!P99="","",IF(Atletas!X99&lt;&gt;"",10000,0)+IF(Atletas!B99="Feminino",1000,IF(Atletas!B99="Masculino",2000,""))+IF(OR(Atletas!P99="Yang 26 A",Atletas!P99="Yang 40 A"),401,IF(OR(Atletas!P99="Chen 25 A",Atletas!P99="Chen 36 A",Atletas!P99="Chen 56 A"),402,IF(Atletas!P99="Sun 73 A",403,IF(Atletas!P99="Wu 45 A",404,IF(Atletas!P99="Wu-Hao 46 A",405,IF(OR(Atletas!P99="Taijiquan 16 A",Atletas!P99="Taijiquan 24 A",Atletas!P99="Taijiquan 32 A",Atletas!P99="Taijiquan 42 A"),406,IF(OR(Atletas!P99="Yang 26 B",Atletas!P99="Yang 40 B"),407,IF(OR(Atletas!P99="Chen 25 B",Atletas!P99="Chen 36 B",Atletas!P99="Chen 56 B"),408,IF(Atletas!P99="Sun 73 B",409,IF(Atletas!P99="Wu 45 B",410,IF(Atletas!P99="Wu-Hao 46 B",411,IF(OR(Atletas!P99="Taijiquan 16 B",Atletas!P99="Taijiquan 24 B",Atletas!P99="Taijiquan 32 B",Atletas!P99="Taijiquan 42 B"),412,IF(OR(Atletas!P99="Yang 26 C",Atletas!P99="Yang 40 C"),413,IF(OR(Atletas!P99="Chen 25 C",Atletas!P99="Chen 36 C",Atletas!P99="Chen 56 C"),414,IF(Atletas!P99="Sun 73 C",415,IF(Atletas!P99="Wu 45 C",416,IF(Atletas!P99="Wu-Hao 46 C",417,IF(OR(Atletas!P99="Taijiquan 16 C",Atletas!P99="Taijiquan 24 C",Atletas!P99="Taijiquan 32 C",Atletas!P99="Taijiquan 42 C"),418,0)))))))))))))))))))</f>
        <v/>
      </c>
      <c r="BX108" s="50" t="str">
        <f>IF(Atletas!P99="","",IF(Atletas!X99&lt;&gt;"",10000,0)+IF(Atletas!B99="Feminino",1000,IF(Atletas!B99="Masculino",2000,""))+IF(OR(Atletas!P99="Yang 26 D",Atletas!P99="Yang 40 D"),419,IF(OR(Atletas!P99="Chen 25 D",Atletas!P99="Chen 36 D",Atletas!P99="Chen 56 D"),420,IF(Atletas!P99="Sun 73 D",421,IF(Atletas!P99="Wu 45 D",422,IF(Atletas!P99="Wu-Hao 46 D",423,IF(OR(Atletas!P99="Taijiquan 16 D",Atletas!P99="Taijiquan 24 D",Atletas!P99="Taijiquan 32 D",Atletas!P99="Taijiquan 42 D"),424,IF(OR(Atletas!P99="Yang 26 E",Atletas!P99="Yang 40 E"),425,IF(OR(Atletas!P99="Chen 25 E",Atletas!P99="Chen 36 E",Atletas!P99="Chen 56 E"),426,IF(Atletas!P99="Sun 73 E",427,IF(Atletas!P99="Wu 45 E",428,IF(Atletas!P99="Wu-Hao 46 E",429,IF(OR(Atletas!P99="Taijiquan 16 E",Atletas!P99="Taijiquan 24 E",Atletas!P99="Taijiquan 32 E",Atletas!P99="Taijiquan 42 E"),430,IF(OR(Atletas!P99="Yang 26 F",Atletas!P99="Yang 40 F"),431,IF(OR(Atletas!P99="Chen 25 F",Atletas!P99="Chen 36 F",Atletas!P99="Chen 56 F"),432,IF(Atletas!P99="Sun 73 F",433,IF(Atletas!P99="Wu 45 F",434,IF(Atletas!P99="Wu-Hao 46 F",435,IF(OR(Atletas!P99="Taijiquan 16 F",Atletas!P99="Taijiquan 24 F",Atletas!P99="Taijiquan 32 F",Atletas!P99="Taijiquan 42 F"),436,0)))))))))))))))))))</f>
        <v/>
      </c>
      <c r="BY108" s="50" t="str">
        <f>IF(Atletas!Q99="","",IF(Atletas!X99&lt;&gt;"",10000,0)+IF(Atletas!B99="Feminino",1000,IF(Atletas!B99="Masculino",2000,""))+IF(Atletas!Q99="Xingyiquan A",501,IF(Atletas!Q99="Baguazhang A",502,IF(Atletas!Q99="Outro Estilo Interno A",503,IF(Atletas!Q99="Xingyiquan B",504,IF(Atletas!Q99="Baguazhang B",505,IF(Atletas!Q99="Outro Estilo Interno B",506,IF(Atletas!Q99="Xingyiquan C",507,IF(Atletas!Q99="Baguazhang C",508,IF(Atletas!Q99="Outro Estilo Interno C",509,IF(Atletas!Q99="Xingyiquan D",510,IF(Atletas!Q99="Baguazhang D",511,IF(Atletas!Q99="Outro Estilo Interno D",512,IF(Atletas!Q99="Xingyiquan E",513,IF(Atletas!Q99="Baguazhang E",514,IF(Atletas!Q99="Outro Estilo Interno E",515,IF(Atletas!Q99="Xingyiquan F",516,IF(Atletas!Q99="Baguazhang F",517,IF(Atletas!Q99="Outro Estilo Interno F",518, "")))))))))))))))))))</f>
        <v/>
      </c>
      <c r="BZ108" s="50" t="str">
        <f>IF(Atletas!R99="","",IF(Atletas!X99&lt;&gt;"",10000,0)+IF(Atletas!B99="Feminino",1000,IF(Atletas!B99="Masculino",2000,""))+IF(Atletas!R99="Dao A",601,IF(Atletas!R99="Jian A",602,IF(Atletas!R99="Bishou A",603,IF(Atletas!R99="Shanzi A",604,IF(Atletas!R99="Outra Arma Curta A",605,IF(Atletas!R99="Dao B",606,IF(Atletas!R99="Jian B",607,IF(Atletas!R99="Bishou B",608,IF(Atletas!R99="Shanzi B",609,IF(Atletas!R99="Outra Arma Curta B",610,IF(Atletas!R99="Dao C",611,IF(Atletas!R99="Jian C",612,IF(Atletas!R99="Bishou C",613,IF(Atletas!R99="Shanzi C",614,IF(Atletas!R99="Outra Arma Curta C",615,IF(Atletas!R99="Dao D",616,IF(Atletas!R99="Jian D",617,IF(Atletas!R99="Bishou D",618,IF(Atletas!R99="Shanzi D",619,IF(Atletas!R99="Outra Arma Curta D",620,IF(Atletas!R99="Dao E",621,IF(Atletas!R99="Jian E",622,IF(Atletas!R99="Bishou E",623,IF(Atletas!R99="Shanzi E",624,IF(Atletas!R99="Outra Arma Curta E",625,IF(Atletas!R99="Dao F",626,IF(Atletas!R99="Jian F",627,IF(Atletas!R99="Bishou F",628,IF(Atletas!R99="Shanzi F",629,IF(Atletas!R99="Outra Arma Curta F",630, "")))))))))))))))))))))))))))))))</f>
        <v/>
      </c>
      <c r="CA108" s="50" t="str">
        <f>IF(Atletas!S99="","",IF(Atletas!X99&lt;&gt;"",10000,0)+IF(Atletas!B99="Feminino",1000,IF(Atletas!B99="Masculino",2000,""))+IF(Atletas!S99="Gun A",701,IF(Atletas!S99="Qiang A",702,IF(Atletas!S99="Pudao / Guandao A",703,IF(Atletas!S99="Outra Arma Longa A",704,IF(Atletas!S99="Gun B",705,IF(Atletas!S99="Qiang B",706,IF(Atletas!S99="Pudao / Guandao B",707,IF(Atletas!S99="Outra Arma Longa B",708,IF(Atletas!S99="Gun C",709,IF(Atletas!S99="Qiang C",710,IF(Atletas!S99="Pudao / Guandao C",711,IF(Atletas!S99="Outra Arma Longa C",712,IF(Atletas!S99="Gun D",713,IF(Atletas!S99="Qiang D",714,IF(Atletas!S99="Pudao / Guandao D",715,IF(Atletas!S99="Outra Arma Longa D",716,IF(Atletas!S99="Gun E",717,IF(Atletas!S99="Qiang E",718,IF(Atletas!S99="Pudao / Guandao E",719,IF(Atletas!S99="Outra Arma Longa E",720,IF(Atletas!S99="Gun F",721,IF(Atletas!S99="Qiang F",722,IF(Atletas!S99="Pudao / Guandao F",723,IF(Atletas!S99="Outra Arma Longa F",724,"")))))))))))))))))))))))))</f>
        <v/>
      </c>
      <c r="CB108" s="50" t="str">
        <f>IF(Atletas!T99="","",IF(Atletas!X99&lt;&gt;"",10000,0)+IF(Atletas!B99="Feminino",1000,IF(Atletas!B99="Masculino",2000,""))+IF(Atletas!T99="Outra Arma Dupla A",801,IF(Atletas!T99="Arma Maleável A",802,IF(Atletas!T99="Outra Arma Dupla B",803,IF(Atletas!T99="Arma Maleável B",804,IF(Atletas!T99="Outra Arma Dupla C",805,IF(Atletas!T99="Arma Maleável C",806,IF(Atletas!T99="Outra Arma Dupla D",807,IF(Atletas!T99="Arma Maleável D",808,IF(Atletas!T99="Outra Arma Dupla E",809,IF(Atletas!T99="Arma Maleável E",810,IF(Atletas!T99="Outra Arma Dupla F",811,IF(Atletas!T99="Arma Maleável F",812,IF(Atletas!T99="Shuangdao A",813,IF(Atletas!T99="Shuangdao B",814,IF(Atletas!T99="Shuangdao C",815,IF(Atletas!T99="Shuangdao D",816,IF(Atletas!T99="Shuangdao E",817,IF(Atletas!T99="Shuangdao F",818,"")))))))))))))))))))</f>
        <v/>
      </c>
      <c r="CC108" s="50" t="str">
        <f>IF(Atletas!U99="","",IF(Atletas!X99&lt;&gt;"",10000,0)+IF(Atletas!B99="Feminino",1000,IF(Atletas!B99="Masculino",2000,""))+IF(OR(Atletas!U99="Taijijian Yang A",Atletas!U99="Taijijian Yang Standard A"),901,IF(OR(Atletas!U99="Taijijian Chen A", Atletas!U99="Taijijian Chen Standard A"),902,IF(Atletas!U99="Taijijian Sun A",903,IF(Atletas!U99="Taijijian Wu A",904,IF(Atletas!U99="Taijijian Wu-Hao A",905,IF(OR(Atletas!U99="Taijijian 32 A",Atletas!U99="Taijijian 42 A"),906,IF(OR(Atletas!U99="Taijijian Yang B",Atletas!U99="Taijijian Yang Standard B"),907,IF(OR(Atletas!U99="Taijijian Chen B", Atletas!U99="Taijijian Chen Standard B"),908,IF(Atletas!U99="Taijijian Sun B",909,IF(Atletas!U99="Taijijian Wu B",910,IF(Atletas!U99="Taijijian Wu-Hao B",911,IF(OR(Atletas!U99="Taijijian 32 B",Atletas!U99="Taijijian 42 B"),912,IF(OR(Atletas!U99="Taijijian Yang C",Atletas!U99="Taijijian Yang Standard C"),913,IF(OR(Atletas!U99="Taijijian Chen C", Atletas!U99="Taijijian Chen Standard C"),914,IF(Atletas!U99="Taijijian Sun C",915,IF(Atletas!U99="Taijijian Wu C",916,IF(Atletas!U99="Taijijian Wu-Hao C",917,IF(OR(Atletas!U99="Taijijian 32 C",Atletas!U99="Taijijian 42 C"),918,IF(OR(Atletas!U99="Taijijian Yang D",Atletas!U99="Taijijian Yang Standard D"),919,IF(OR(Atletas!U99="Taijijian Chen D", Atletas!U99="Taijijian Chen Standard D"),920,IF(Atletas!U99="Taijijian Sun D",921,IF(Atletas!U99="Taijijian Wu D",922,IF(Atletas!U99="Taijijian Wu-Hao D",923,IF(OR(Atletas!U99="Taijijian 32 D",Atletas!U99="Taijijian 42 D"),924,IF(OR(Atletas!U99="Taijijian Yang E",Atletas!U99="Taijijian Yang Standard E"),925,IF(OR(Atletas!U99="Taijijian Chen E", Atletas!U99="Taijijian Chen Standard E"),926,IF(Atletas!U99="Taijijian Sun E",927,IF(Atletas!U99="Taijijian Wu E",928,IF(Atletas!U99="Taijijian Wu-Hao E",929,IF(OR(Atletas!U99="Taijijian 32 E",Atletas!U99="Taijijian 42 E"),930,IF(OR(Atletas!U99="Taijijian Yang F",Atletas!U99="Taijijian Yang Standard F"),931,IF(OR(Atletas!U99="Taijijian Chen F", Atletas!U99="Taijijian Chen Standard F"),932,IF(Atletas!U99="Taijijian Sun F",933,IF(Atletas!U99="Taijijian Wu F",934,IF(Atletas!U99="Taijijian Wu-Hao F",935,IF(OR(Atletas!U99="Taijijian 32 F",Atletas!U99="Taijijian 42 F"),936,"")))))))))))))))))))))))))))))))))))))</f>
        <v/>
      </c>
      <c r="CD108" s="50" t="str">
        <f>IF(Atletas!V99="","",IF(Atletas!X99&lt;&gt;"",10000,0)+IF(Atletas!B99="Feminino",1000,IF(Atletas!B99="Masculino",2000,""))+IF(Atletas!V99="Taijidao A",937,IF(Atletas!V99="TaijiShanzi A",938,IF(Atletas!V99="Taijiqiang A",939,IF(Atletas!V99="Bagua de Arma A",940,IF(Atletas!V99="Xingyi de Arma A",941,IF(Atletas!V99="Taijidao B",942,IF(Atletas!V99="TaijiShanzi B",943,IF(Atletas!V99="Taijiqiang B",944,IF(Atletas!V99="Bagua de Arma B",945,IF(Atletas!V99="Xingyi de Arma B",946,IF(Atletas!V99="Taijidao C",947,IF(Atletas!V99="TaijiShanzi C",948,IF(Atletas!V99="Taijiqiang C",949,IF(Atletas!V99="Bagua de Arma C",950,IF(Atletas!V99="Xingyi de Arma C",951,IF(Atletas!V99="Taijidao D",952,IF(Atletas!V99="TaijiShanzi D",953,IF(Atletas!V99="Taijiqiang D",954,IF(Atletas!V99="Bagua de Arma D",955,IF(Atletas!V99="Xingyi de Arma D",956,IF(Atletas!V99="Taijidao E",957,IF(Atletas!V99="TaijiShanzi E",958,IF(Atletas!V99="Taijiqiang E",959,IF(Atletas!V99="Bagua de Arma E",960,IF(Atletas!V99="Xingyi de Arma E",961,IF(Atletas!V99="Taijidao F",962,IF(Atletas!V99="TaijiShanzi F",963,IF(Atletas!V99="Taijiqiang F",964,IF(Atletas!V99="Bagua de Arma F",965,IF(Atletas!V99="Xingyi de Arma F",966,"")))))))))))))))))))))))))))))))</f>
        <v/>
      </c>
      <c r="CE108" s="66" t="str">
        <f>IF(CF108&lt;&gt;"","Chaquan F","")</f>
        <v/>
      </c>
      <c r="CF108" s="66" t="str">
        <f>IF(COUNTIF(BR:CD,1166)&gt;0,COUNTIF(BR:CD,1166),"")</f>
        <v/>
      </c>
      <c r="CG108" s="66" t="str">
        <f>IF(CH108&lt;&gt;"","Chaquan F","")</f>
        <v/>
      </c>
      <c r="CH108" s="66" t="str">
        <f>IF(COUNTIF(BR:CD,2166)&gt;0,COUNTIF(BR:CD,2166),"")</f>
        <v/>
      </c>
      <c r="CI108" s="66" t="str">
        <f>IF(CJ108&lt;&gt;"","Piguaquan F","")</f>
        <v/>
      </c>
      <c r="CJ108" s="66" t="str">
        <f>IF(COUNTIF(BR:CD,11172)&gt;0,COUNTIF(BR:CD,11172),"")</f>
        <v/>
      </c>
      <c r="CK108" s="66" t="str">
        <f>IF(CL108&lt;&gt;"","Piguaquan F","")</f>
        <v/>
      </c>
      <c r="CL108" s="66" t="str">
        <f>IF(COUNTIF(BR:CD,12172)&gt;0,COUNTIF(BR:CD,12172),"")</f>
        <v/>
      </c>
      <c r="CM108" s="50" t="str">
        <f xml:space="preserve"> IF(Atletas!W99="","",IF(Atletas!W99="Duilian de Mãos BC - Equipe 1",1,IF(Atletas!W99="Duilian de Mãos BC - Equipe 2",2,IF(Atletas!W99="Duilian de Armas BC - Equipe 1",3,IF(Atletas!W99="Duilian de Armas BC - Equipe 2",4,IF(Atletas!W99="Duilian de Mãos DE - Equipe 1",5,IF(Atletas!W99="Duilian de Mãos DE - Equipe 2",6,IF(Atletas!W99="Duilian de Armas DE - Equipe 1",7,IF(Atletas!W99="Duilian de Armas DE - Equipe 2",8,IF(Atletas!W99="Duilian de Tuishou - Equipe 1",9,IF(Atletas!W99="Duilian de Tuishou - Equipe 2",10,IF(Atletas!W99="Grupo Externo ABC - Equipe 1",11,IF(Atletas!W99="Grupo Externo ABC - Equipe 2",12,IF(Atletas!W99="Grupo Interno ABC - Equipe 1",13,IF(Atletas!W99="Grupo Interno ABC - Equipe 2",14,IF(Atletas!W99="Grupo Externo DEF - Equipe 1",15,IF(Atletas!W99="Grupo Externo DEF - Equipe 2",16,IF(Atletas!W99="Grupo Interno DEF - Equipe 1",17,IF(Atletas!W99="Grupo Interno DEF - Equipe 2",18,"")))))))))))))))))))</f>
        <v/>
      </c>
    </row>
    <row r="109" spans="2:91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 t="str">
        <f t="array" ref="Z109">IFERROR(INDEX(CE$7:CE$348,SMALL(IF(CE$7:CE$348&lt;&gt;"",ROW(CE$7:CE$348)-ROW(CE$7)+1),ROWS(CE$7:CE108))),"")</f>
        <v/>
      </c>
      <c r="AA109" s="3" t="str">
        <f t="array" ref="AA109">IFERROR(INDEX(CF$7:CF$348,SMALL(IF(CF$7:CF$348&lt;&gt;"",ROW(CF$7:CF$348)-ROW(CF$7)+1),ROWS(CF$7:CF108))),"")</f>
        <v/>
      </c>
      <c r="AB109" s="3" t="str">
        <f t="array" ref="AB109">IFERROR(INDEX(CG$7:CG$348,SMALL(IF(CG$7:CG$348&lt;&gt;"",ROW(CG$7:CG$348)-ROW(CG$7)+1),ROWS(CG$7:CG108))),"")</f>
        <v/>
      </c>
      <c r="AC109" s="3" t="str">
        <f t="array" ref="AC109">IFERROR(INDEX(CH$7:CH$348,SMALL(IF(CH$7:CH$348&lt;&gt;"",ROW(CH$7:CH$348)-ROW(CH$7)+1),ROWS(CH$7:CH108))),"")</f>
        <v/>
      </c>
      <c r="AD109" s="3" t="str">
        <f t="array" ref="AD109">IFERROR(INDEX(CI$7:CI$377,SMALL(IF(CI$7:CI$377&lt;&gt;"",ROW(CI$7:CI$377)-ROW(CI$7)+1),ROWS(CI$7:CI108))),"")</f>
        <v/>
      </c>
      <c r="AE109" s="3" t="str">
        <f t="array" ref="AE109">IFERROR(INDEX(CJ$7:CJ$378,SMALL(IF(CJ$7:CJ$378&lt;&gt;"",ROW(CJ$7:CJ$378)-ROW(CJ$7)+1),ROWS(CJ$7:CJ108))),"")</f>
        <v/>
      </c>
      <c r="AF109" s="3" t="str">
        <f t="array" ref="AF109">IFERROR(INDEX(CK$7:CK$378,SMALL(IF(CK$7:CK$378&lt;&gt;"",ROW(CK$7:CK$378)-ROW(CK$7)+1),ROWS(CK$7:CK108))),"")</f>
        <v/>
      </c>
      <c r="AG109" s="3" t="str">
        <f t="array" ref="AG109">IFERROR(INDEX(CL$7:CL$378,SMALL(IF(CL$7:CL$378&lt;&gt;"",ROW(CL$7:CL$378)-ROW(CL$7)+1),ROWS(CL$7:CL108))),"")</f>
        <v/>
      </c>
      <c r="AH109" s="3"/>
      <c r="AI109" s="3"/>
      <c r="AJ109" s="3"/>
      <c r="AK109" s="3"/>
      <c r="AL109" s="3"/>
      <c r="AM109" s="3"/>
      <c r="AN109" s="52" t="str">
        <f>IF(Atletas!D100="","",IF(Atletas!B100="Feminino",100,IF(Atletas!B100="Masculino",200,""))+(IF(Atletas!D100="Kids 30kg",1,IF(Atletas!D100="Kids 32kg",2, IF(Atletas!D100="Kids 34kg",3,IF(Atletas!D100="Kids 36kg",4,IF(Atletas!D100="Kids 39kg",5,IF(Atletas!D100="Kids 42kg",6,IF(Atletas!D100="Kids 45kg",7, IF(Atletas!D100="Infantil 39kg",8,IF(Atletas!D100="Infantil 42kg",9,IF(Atletas!D100="Infantil 45kg",10,IF(Atletas!D100="Infantil 48kg",11,IF(Atletas!D100="Infantil 52kg",12,IF(Atletas!D100="Infantil 56kg",13,IF(Atletas!D100="Infantil 60kg",14,IF(Atletas!D100="Juvenil 48kg",15,IF(Atletas!D100="Juvenil 52kg",16,IF(Atletas!D100="Juvenil 56kg",17,IF(Atletas!D100="Juvenil 60kg",18,IF(Atletas!D100="Juvenil 65kg",19,IF(Atletas!D100="Juvenil 70kg",20,IF(Atletas!D100="Juvenil 75kg",21,IF(Atletas!D100="Juvenil 80kg",22, IF(Atletas!D100="Juvenil 85kg",23,IF(Atletas!D100="Adulto 48kg",24,IF(Atletas!D100="Adulto 52kg",25,IF(Atletas!D100="Adulto 56kg",26,IF(Atletas!D100="Adulto 60kg",27,IF(Atletas!D100="Adulto 65kg",28,IF(Atletas!D100="Adulto 70kg",29,IF(Atletas!D100="Adulto 75kg",30,IF(Atletas!D100="Adulto 80kg",31,IF(Atletas!D100="Adulto 85kg",32,IF(Atletas!D100="Adulto 90kg",33,IF(Atletas!D100="Adulto 100kg",34, IF(Atletas!D100="Adulto +100kg",35,"")))))))))))))))))))))))))))))))))))))</f>
        <v/>
      </c>
      <c r="AS109" s="6" t="str">
        <f>IF(Atletas!E100="","",IF(Atletas!B100="Feminino",100,IF(Atletas!B100="Masculino",200,""))+(IF(Atletas!E100="Juvenil 44kg",1,IF(Atletas!E100="Juvenil 48kg",2,IF(Atletas!E100="Juvenil 52kg",3,IF(Atletas!E100="Juvenil 56kg",4,IF(Atletas!E100="Juvenil 60kg",5,IF(Atletas!E100="Juvenil 65kg",6,IF(Atletas!E100="Juvenil 70kg",7,IF(Atletas!E100="Juvenil 75kg",8,IF(Atletas!E100="Juvenil 82kg",9,IF(Atletas!E100="Juvenil 90kg",10,IF(Atletas!E100="Juvenil 100kg",11,IF(Atletas!E100="Adulto 48kg",12,IF(Atletas!E100="Adulto 52kg",13,IF(Atletas!E100="Adulto 56kg",14,IF(Atletas!E100="Adulto 60kg",15,IF(Atletas!E100="Adulto 65kg",16,IF(Atletas!E100="Adulto 70kg",17,IF(Atletas!E100="Adulto 75kg",18,IF(Atletas!E100="Adulto 82kg",19,IF(Atletas!E100="Adulto 90kg",20,IF(Atletas!E100="Adulto 100kg",21,IF(Atletas!E100="Adulto +100kg",22,""))))))))))))))))))))))))</f>
        <v/>
      </c>
      <c r="AX109" s="6" t="str">
        <f>IF(Atletas!F100="","",IF(Atletas!B100="Feminino",100,IF(Atletas!B100="Masculino",200,""))+(IF(Atletas!F100="Adulto 48kg",1,IF(Atletas!F100="Adulto 56kg",2,IF(Atletas!F100="Adulto 65kg",3,IF(Atletas!F100="Adulto 75kg",4,IF(Atletas!F100="Adulto +75kg",5,IF(Atletas!F100="Adulto 52kg",6,IF(Atletas!F100="Adulto 60kg",7,IF(Atletas!F100="Adulto 70kg",8,IF(Atletas!F100="Adulto 80kg",9,IF(Atletas!F100="Adulto 90kg",10,IF(Atletas!F100="Adulto +90kg",11,"")))))))))))))</f>
        <v/>
      </c>
      <c r="BC109" s="6" t="str">
        <f>IF(Atletas!G100="","",IF(Atletas!B100="Feminino",10,IF(Atletas!B100="Masculino",20,""))+(IF(Atletas!G100="Baduanjin A",1,IF(Atletas!G100="Baduanjin B",2))))</f>
        <v/>
      </c>
      <c r="BF109" s="52" t="str">
        <f>IF(Atletas!H100="","",IF(Atletas!B100="Feminino",100,IF(Atletas!B100="Masculino",200,""))+(IF(Atletas!H100="Changquan Mirim",1,IF(Atletas!H100="Nanquan Mirim",2,IF(Atletas!H100="Taijiquan Mirim",3,IF(Atletas!H100="Changquan Grupo C",4,IF(Atletas!H100="Nanquan Grupo C",5,IF(Atletas!H100="Taijiquan Grupo C",6,IF(Atletas!H100="Changquan Grupo B",7,IF(Atletas!H100="Nanquan Grupo B",8,IF(Atletas!H100="Taijiquan Grupo B",9,IF(Atletas!H100="Changquan Grupo A",10,IF(Atletas!H100="Nanquan Grupo A",11,IF(Atletas!H100="Taijiquan Grupo A",12,IF(Atletas!H100="Changquan Opcional",13,IF(Atletas!H100="Nanquan Opcional",14,IF(Atletas!H100="Taijiquan Opcional",15,IF(Atletas!H100="Changquan Adulto",16,IF(Atletas!H100="Nanquan Adulto",17,IF(Atletas!H100="Taijiquan Adulto",18,""))))))))))))))))))))</f>
        <v/>
      </c>
      <c r="BG109" s="52" t="str">
        <f>IF(Atletas!I100="","",IF(Atletas!B100="Feminino",100,IF(Atletas!B100="Masculino",200,""))+(IF(Atletas!I100="Daoshu Mirim",19,IF(Atletas!I100="Jianshu Mirim",20,IF(Atletas!I100="Nandao Mirim",21,IF(Atletas!I100="Taijijian Mirim",22,IF(Atletas!I100="Daoshu Grupo C",23,IF(Atletas!I100="Jianshu Grupo C",24,IF(Atletas!I100="Nandao Grupo C",25,IF(Atletas!I100="Taijijian Grupo C",26,IF(Atletas!I100="Daoshu Grupo B",27,IF(Atletas!I100="Jianshu Grupo B",28,IF(Atletas!I100="Nandao Grupo B",29,IF(Atletas!I100="Taijijian Grupo B",30,IF(Atletas!I100="Daoshu Grupo A",31,IF(Atletas!I100="Jianshu Grupo A",32,IF(Atletas!I100="Nandao Grupo A",33,IF(Atletas!I100="Taijijian Grupo A",34,IF(Atletas!I100="Daoshu Opcional",35,IF(Atletas!I100="Jianshu Opcional",36,IF(Atletas!I100="Nandao Opcional",37,IF(Atletas!I100="Taijijian Opcional",38,IF(Atletas!I100="Daoshu Adulto",39,IF(Atletas!I100="Jianshu Adulto",40,IF(Atletas!I100="Nandao Adulto",41,IF(Atletas!I100="Taijijian Adulto",42,""))))))))))))))))))))))))))</f>
        <v/>
      </c>
      <c r="BH109" s="52" t="str">
        <f>IF(Atletas!J100="","",IF(Atletas!B100="Feminino",100,IF(Atletas!B100="Masculino",200,""))+(IF(Atletas!J100="Gunshu Mirim",43,IF(Atletas!J100="Qiangshu Mirim",44,IF(Atletas!J100="Nangun Mirim",45,IF(Atletas!J100="Gunshu Grupo C",46,IF(Atletas!J100="Qiangshu Grupo C",47,IF(Atletas!J100="Nangun Grupo C",48,IF(Atletas!J100="Gunshu Grupo B",49,IF(Atletas!J100="Qiangshu Grupo B",50,IF(Atletas!J100="Nangun Grupo B",51,IF(Atletas!J100="Gunshu Grupo A",52,IF(Atletas!J100="Qiangshu Grupo A",53,IF(Atletas!J100="Nangun Grupo A",54,IF(Atletas!J100="Gunshu Opcional",55,IF(Atletas!J100="Qiangshu Opcional",56,IF(Atletas!J100="Nangun Opcional",57,IF(Atletas!J100="Gunshu Adulto",58,IF(Atletas!J100="Qiangshu Adulto",59,IF(Atletas!J100="Nangun Adulto",60,IF(Atletas!J100="Taijishan Grupo B",61,IF(Atletas!J100="Taijishan Grupo A",62,""))))))))))))))))))))))</f>
        <v/>
      </c>
      <c r="BM109" s="50" t="str">
        <f>IF(Atletas!K100="","",IF(Atletas!B100="Feminino",100,IF(Atletas!B100="Masculino",200,""))+(IF(Atletas!K100="Equipe 1 Grupo B",1,IF(Atletas!K100="Equipe 2 Grupo B",2,IF(Atletas!K100="Equipe 1 Grupo A",3,IF(Atletas!K100="Equipe 2 Grupo A",4,IF(Atletas!K100="Equipe 1 Adulto",5,IF(Atletas!K100="Equipe 2 Adulto",6,""))))))))</f>
        <v/>
      </c>
      <c r="BR109" s="50" t="str">
        <f>IF(Atletas!L100="","",IF(Atletas!X100&lt;&gt;"",10000,0)+(IF(Atletas!B100="Feminino",1000,IF(Atletas!B100="Masculino",2000,""))+IF(Atletas!L100="Choylayfut A",1,IF(Atletas!L100="Hunggar A",2,IF(Atletas!L100="Wuzuquan A",3,IF(Atletas!L100="Wingchun A",4,IF(Atletas!L100="Outra Mão de Sul A",5,IF(Atletas!L100="Choylayfut B",6,IF(Atletas!L100="Hunggar B",7,IF(Atletas!L100="Wuzuquan B",8,IF(Atletas!L100="Wingchun B",9,IF(Atletas!L100="Outra Mão de Sul B",10,IF(Atletas!L100="Choylayfut C",11,IF(Atletas!L100="Hunggar C",12,IF(Atletas!L100="Wuzuquan C",13,IF(Atletas!L100="Wingchun C",14,IF(Atletas!L100="Outra Mão de Sul C",15,IF(Atletas!L100="Choylayfut D",16,IF(Atletas!L100="Hunggar D",17,IF(Atletas!L100="Wuzuquan D",18,IF(Atletas!L100="Wingchun D",19,IF(Atletas!L100="Outra Mão de Sul D",20,IF(Atletas!L100="Choylayfut E",21,IF(Atletas!L100="Hunggar E",22,IF(Atletas!L100="Wuzuquan E",23,IF(Atletas!L100="Wingchun E",24,IF(Atletas!L100="Outra Mão de Sul E",25,IF(Atletas!L100="Choylayfut F",26,IF(Atletas!L100="Hunggar F",27,IF(Atletas!L100="Wuzuquan F",28,IF(Atletas!L100="Wingchun F",29,IF(Atletas!L100="Outra Mão de Sul F",30,IF(Atletas!L100="Dishuquan A",31,IF(Atletas!L100="Dishuquan B",32,IF(Atletas!L100="Dishuquan C",33,IF(Atletas!L100="Dishuquan D",34,IF(Atletas!L100="Dishuquan E",35,IF(Atletas!L100="Dishuquan F",36,""))))))))))))))))))))))))))))))))))))))</f>
        <v/>
      </c>
      <c r="BS109" s="50" t="str">
        <f>IF(Atletas!M100="","",IF(Atletas!X100&lt;&gt;"",10000,0)+(IF(Atletas!B100="Feminino",1000,IF(Atletas!B100="Masculino",2000,""))+(IF(Atletas!M100="Chaquan A",101,IF(Atletas!M100="Emeiquan A",102,IF(Atletas!M100="Fanziquan A",103,IF(Atletas!M100="Huaquan A",104,IF(Atletas!M100="Hongquan A",105,IF(Atletas!M100="Paoquan A",106,IF(Atletas!M100="Piguaquan A",107,IF(Atletas!M100="Shaolinquan A",108,IF(Atletas!M100="Tanglangquan A",109,IF(Atletas!M100="Yingzhaoquan A",110,IF(Atletas!M100="Tongbeiquan A",111,IF(Atletas!M100="Wudangquan A",112,IF(Atletas!M100="Outros Estilos A",113,IF(Atletas!M100="Chaquan B",114,IF(Atletas!M100="Emeiquan B",115,IF(Atletas!M100="Fanziquan B",116,IF(Atletas!M100="Huaquan B",117,IF(Atletas!M100="Hongquan B",118,IF(Atletas!M100="Paoquan B",119,IF(Atletas!M100="Piguaquan B",120,IF(Atletas!M100="Shaolinquan B",121,IF(Atletas!M100="Tanglangquan B",122,IF(Atletas!M100="Yingzhaoquan B",123,IF(Atletas!M100="Tongbeiquan B",124,IF(Atletas!M100="Wudangquan B",125,IF(Atletas!M100="Outros Estilos B",126,IF(Atletas!M100="Chaquan C",127,IF(Atletas!M100="Emeiquan C",128,IF(Atletas!M100="Fanziquan C",129,IF(Atletas!M100="Huaquan C",130,IF(Atletas!M100="Hongquan C",131,IF(Atletas!M100="Paoquan C",132,IF(Atletas!M100="Piguaquan C",133,IF(Atletas!M100="Shaolinquan C",134,IF(Atletas!M100="Tanglangquan C",135,IF(Atletas!M100="Yingzhaoquan C",136,IF(Atletas!M100="Tongbeiquan C",137,IF(Atletas!M100="Wudangquan C",138,IF(Atletas!M100="Outros Estilos C",139,0))))))))))))))))))))))))))))))))))))))))))</f>
        <v/>
      </c>
      <c r="BT109" s="50" t="str">
        <f>IF(Atletas!M100="","",IF(Atletas!X100&lt;&gt;"",10000,0)+(IF(Atletas!B100="Feminino",1000,IF(Atletas!B100="Masculino",2000,""))+(IF(Atletas!M100="Chaquan D",140,IF(Atletas!M100="Emeiquan D",141,IF(Atletas!M100="Fanziquan D",142,IF(Atletas!M100="Huaquan D",143,IF(Atletas!M100="Hongquan D",144,IF(Atletas!M100="Paoquan D",145,IF(Atletas!M100="Piguaquan D",146,IF(Atletas!M100="Shaolinquan D",147,IF(Atletas!M100="Tanglangquan D",148,IF(Atletas!M100="Yingzhaoquan D",149,IF(Atletas!M100="Tongbeiquan D",150,IF(Atletas!M100="Wudangquan D",151,IF(Atletas!M100="Outros Estilos D",152,IF(Atletas!M100="Chaquan E",153,IF(Atletas!M100="Emeiquan E",154,IF(Atletas!M100="Fanziquan E",155,IF(Atletas!M100="Huaquan E",156,IF(Atletas!M100="Hongquan E",157,IF(Atletas!M100="Paoquan E",158,IF(Atletas!M100="Piguaquan E",159,IF(Atletas!M100="Shaolinquan E",160,IF(Atletas!M100="Tanglangquan E",161,IF(Atletas!M100="Yingzhaoquan E",162,IF(Atletas!M100="Tongbeiquan E",163,IF(Atletas!M100="Wudangquan E",164,IF(Atletas!M100="Outros Estilos E",165,IF(Atletas!M100="Chaquan F",166,IF(Atletas!M100="Emeiquan F",167,IF(Atletas!M100="Fanziquan F",168,IF(Atletas!M100="Huaquan F",169,IF(Atletas!M100="Hongquan F",170,IF(Atletas!M100="Paoquan F",171,IF(Atletas!M100="Piguaquan F",172,IF(Atletas!M100="Shaolinquan F",173,IF(Atletas!M100="Tanglangquan F",174,IF(Atletas!M100="Yingzhaoquan F",175,IF(Atletas!M100="Tongbeiquan F",176,IF(Atletas!M100="Wudangquan F",177,IF(Atletas!M100="Outros Estilos F",178,0))))))))))))))))))))))))))))))))))))))))))</f>
        <v/>
      </c>
      <c r="BU109" s="50" t="str">
        <f>IF(Atletas!N100="","",IF(Atletas!X100&lt;&gt;"",10000,0)+(IF(Atletas!B100="Feminino",1000,IF(Atletas!B100="Masculino",2000,""))+(IF(Atletas!N100="Ditangquan A",201,IF(Atletas!N100="Houquan A",202,IF(Atletas!N100="Zuiquan A",203,IF(Atletas!N100="Ditangquan B",204,IF(Atletas!N100="Houquan B",205,IF(Atletas!N100="Zuiquan B",206,IF(Atletas!N100="Ditangquan C",207,IF(Atletas!N100="Houquan C",208,IF(Atletas!N100="Zuiquan C",209,IF(Atletas!N100="Ditangquan D",210,IF(Atletas!N100="Houquan D",211,IF(Atletas!N100="Zuiquan D",212,IF(Atletas!N100="Ditangquan E",213,IF(Atletas!N100="Houquan E",214,IF(Atletas!N100="Zuiquan E",215,IF(Atletas!N100="Ditangquan F",216,IF(Atletas!N100="Houquan F",217,IF(Atletas!N100="Zuiquan F",218,"")))))))))))))))))))))</f>
        <v/>
      </c>
      <c r="BV109" s="50" t="str">
        <f>IF(Atletas!O100="","",IF(Atletas!X100&lt;&gt;"",10000,0)+IF(Atletas!B100="Feminino",1000,IF(Atletas!B100="Masculino",2000,""))+IF(Atletas!O100="Yang A",301,IF(Atletas!O100="Chen A",302,IF(Atletas!O100="Sun A",303,IF(Atletas!O100="Wu A",304,IF(Atletas!O100="Wu-Hao A",305,IF(Atletas!O100="Outro Taijiquan A",306,IF(Atletas!O100="Yang B",307,IF(Atletas!O100="Chen B",308,IF(Atletas!O100="Sun B",309,IF(Atletas!O100="Wu B",310,IF(Atletas!O100="Wu-Hao B",311,IF(Atletas!O100="Outro Taijiquan B",312,IF(Atletas!O100="Yang C",313,IF(Atletas!O100="Chen C",314,IF(Atletas!O100="Sun C",315,IF(Atletas!O100="Wu C",316,IF(Atletas!O100="Wu-Hao C",317,IF(Atletas!O100="Outro Taijiquan C",318,IF(Atletas!O100="Yang D",319,IF(Atletas!O100="Chen D",320,IF(Atletas!O100="Sun D",321,IF(Atletas!O100="Wu D",322,IF(Atletas!O100="Wu-Hao D",323,IF(Atletas!O100="Outro Taijiquan D",324,IF(Atletas!O100="Yang E",325,IF(Atletas!O100="Chen E",326,IF(Atletas!O100="Sun E",327,IF(Atletas!O100="Wu E",328,IF(Atletas!O100="Wu-Hao E",329,IF(Atletas!O100="Outro Taijiquan E",330,IF(Atletas!O100="Yang F",331,IF(Atletas!O100="Chen F",332,IF(Atletas!O100="Sun F",333,IF(Atletas!O100="Wu F",334,IF(Atletas!O100="Wu-Hao F",335,IF(Atletas!O100="Outro Taijiquan F",336,"")))))))))))))))))))))))))))))))))))))</f>
        <v/>
      </c>
      <c r="BW109" s="50" t="str">
        <f>IF(Atletas!P100="","",IF(Atletas!X100&lt;&gt;"",10000,0)+IF(Atletas!B100="Feminino",1000,IF(Atletas!B100="Masculino",2000,""))+IF(OR(Atletas!P100="Yang 26 A",Atletas!P100="Yang 40 A"),401,IF(OR(Atletas!P100="Chen 25 A",Atletas!P100="Chen 36 A",Atletas!P100="Chen 56 A"),402,IF(Atletas!P100="Sun 73 A",403,IF(Atletas!P100="Wu 45 A",404,IF(Atletas!P100="Wu-Hao 46 A",405,IF(OR(Atletas!P100="Taijiquan 16 A",Atletas!P100="Taijiquan 24 A",Atletas!P100="Taijiquan 32 A",Atletas!P100="Taijiquan 42 A"),406,IF(OR(Atletas!P100="Yang 26 B",Atletas!P100="Yang 40 B"),407,IF(OR(Atletas!P100="Chen 25 B",Atletas!P100="Chen 36 B",Atletas!P100="Chen 56 B"),408,IF(Atletas!P100="Sun 73 B",409,IF(Atletas!P100="Wu 45 B",410,IF(Atletas!P100="Wu-Hao 46 B",411,IF(OR(Atletas!P100="Taijiquan 16 B",Atletas!P100="Taijiquan 24 B",Atletas!P100="Taijiquan 32 B",Atletas!P100="Taijiquan 42 B"),412,IF(OR(Atletas!P100="Yang 26 C",Atletas!P100="Yang 40 C"),413,IF(OR(Atletas!P100="Chen 25 C",Atletas!P100="Chen 36 C",Atletas!P100="Chen 56 C"),414,IF(Atletas!P100="Sun 73 C",415,IF(Atletas!P100="Wu 45 C",416,IF(Atletas!P100="Wu-Hao 46 C",417,IF(OR(Atletas!P100="Taijiquan 16 C",Atletas!P100="Taijiquan 24 C",Atletas!P100="Taijiquan 32 C",Atletas!P100="Taijiquan 42 C"),418,0)))))))))))))))))))</f>
        <v/>
      </c>
      <c r="BX109" s="50" t="str">
        <f>IF(Atletas!P100="","",IF(Atletas!X100&lt;&gt;"",10000,0)+IF(Atletas!B100="Feminino",1000,IF(Atletas!B100="Masculino",2000,""))+IF(OR(Atletas!P100="Yang 26 D",Atletas!P100="Yang 40 D"),419,IF(OR(Atletas!P100="Chen 25 D",Atletas!P100="Chen 36 D",Atletas!P100="Chen 56 D"),420,IF(Atletas!P100="Sun 73 D",421,IF(Atletas!P100="Wu 45 D",422,IF(Atletas!P100="Wu-Hao 46 D",423,IF(OR(Atletas!P100="Taijiquan 16 D",Atletas!P100="Taijiquan 24 D",Atletas!P100="Taijiquan 32 D",Atletas!P100="Taijiquan 42 D"),424,IF(OR(Atletas!P100="Yang 26 E",Atletas!P100="Yang 40 E"),425,IF(OR(Atletas!P100="Chen 25 E",Atletas!P100="Chen 36 E",Atletas!P100="Chen 56 E"),426,IF(Atletas!P100="Sun 73 E",427,IF(Atletas!P100="Wu 45 E",428,IF(Atletas!P100="Wu-Hao 46 E",429,IF(OR(Atletas!P100="Taijiquan 16 E",Atletas!P100="Taijiquan 24 E",Atletas!P100="Taijiquan 32 E",Atletas!P100="Taijiquan 42 E"),430,IF(OR(Atletas!P100="Yang 26 F",Atletas!P100="Yang 40 F"),431,IF(OR(Atletas!P100="Chen 25 F",Atletas!P100="Chen 36 F",Atletas!P100="Chen 56 F"),432,IF(Atletas!P100="Sun 73 F",433,IF(Atletas!P100="Wu 45 F",434,IF(Atletas!P100="Wu-Hao 46 F",435,IF(OR(Atletas!P100="Taijiquan 16 F",Atletas!P100="Taijiquan 24 F",Atletas!P100="Taijiquan 32 F",Atletas!P100="Taijiquan 42 F"),436,0)))))))))))))))))))</f>
        <v/>
      </c>
      <c r="BY109" s="50" t="str">
        <f>IF(Atletas!Q100="","",IF(Atletas!X100&lt;&gt;"",10000,0)+IF(Atletas!B100="Feminino",1000,IF(Atletas!B100="Masculino",2000,""))+IF(Atletas!Q100="Xingyiquan A",501,IF(Atletas!Q100="Baguazhang A",502,IF(Atletas!Q100="Outro Estilo Interno A",503,IF(Atletas!Q100="Xingyiquan B",504,IF(Atletas!Q100="Baguazhang B",505,IF(Atletas!Q100="Outro Estilo Interno B",506,IF(Atletas!Q100="Xingyiquan C",507,IF(Atletas!Q100="Baguazhang C",508,IF(Atletas!Q100="Outro Estilo Interno C",509,IF(Atletas!Q100="Xingyiquan D",510,IF(Atletas!Q100="Baguazhang D",511,IF(Atletas!Q100="Outro Estilo Interno D",512,IF(Atletas!Q100="Xingyiquan E",513,IF(Atletas!Q100="Baguazhang E",514,IF(Atletas!Q100="Outro Estilo Interno E",515,IF(Atletas!Q100="Xingyiquan F",516,IF(Atletas!Q100="Baguazhang F",517,IF(Atletas!Q100="Outro Estilo Interno F",518, "")))))))))))))))))))</f>
        <v/>
      </c>
      <c r="BZ109" s="50" t="str">
        <f>IF(Atletas!R100="","",IF(Atletas!X100&lt;&gt;"",10000,0)+IF(Atletas!B100="Feminino",1000,IF(Atletas!B100="Masculino",2000,""))+IF(Atletas!R100="Dao A",601,IF(Atletas!R100="Jian A",602,IF(Atletas!R100="Bishou A",603,IF(Atletas!R100="Shanzi A",604,IF(Atletas!R100="Outra Arma Curta A",605,IF(Atletas!R100="Dao B",606,IF(Atletas!R100="Jian B",607,IF(Atletas!R100="Bishou B",608,IF(Atletas!R100="Shanzi B",609,IF(Atletas!R100="Outra Arma Curta B",610,IF(Atletas!R100="Dao C",611,IF(Atletas!R100="Jian C",612,IF(Atletas!R100="Bishou C",613,IF(Atletas!R100="Shanzi C",614,IF(Atletas!R100="Outra Arma Curta C",615,IF(Atletas!R100="Dao D",616,IF(Atletas!R100="Jian D",617,IF(Atletas!R100="Bishou D",618,IF(Atletas!R100="Shanzi D",619,IF(Atletas!R100="Outra Arma Curta D",620,IF(Atletas!R100="Dao E",621,IF(Atletas!R100="Jian E",622,IF(Atletas!R100="Bishou E",623,IF(Atletas!R100="Shanzi E",624,IF(Atletas!R100="Outra Arma Curta E",625,IF(Atletas!R100="Dao F",626,IF(Atletas!R100="Jian F",627,IF(Atletas!R100="Bishou F",628,IF(Atletas!R100="Shanzi F",629,IF(Atletas!R100="Outra Arma Curta F",630, "")))))))))))))))))))))))))))))))</f>
        <v/>
      </c>
      <c r="CA109" s="50" t="str">
        <f>IF(Atletas!S100="","",IF(Atletas!X100&lt;&gt;"",10000,0)+IF(Atletas!B100="Feminino",1000,IF(Atletas!B100="Masculino",2000,""))+IF(Atletas!S100="Gun A",701,IF(Atletas!S100="Qiang A",702,IF(Atletas!S100="Pudao / Guandao A",703,IF(Atletas!S100="Outra Arma Longa A",704,IF(Atletas!S100="Gun B",705,IF(Atletas!S100="Qiang B",706,IF(Atletas!S100="Pudao / Guandao B",707,IF(Atletas!S100="Outra Arma Longa B",708,IF(Atletas!S100="Gun C",709,IF(Atletas!S100="Qiang C",710,IF(Atletas!S100="Pudao / Guandao C",711,IF(Atletas!S100="Outra Arma Longa C",712,IF(Atletas!S100="Gun D",713,IF(Atletas!S100="Qiang D",714,IF(Atletas!S100="Pudao / Guandao D",715,IF(Atletas!S100="Outra Arma Longa D",716,IF(Atletas!S100="Gun E",717,IF(Atletas!S100="Qiang E",718,IF(Atletas!S100="Pudao / Guandao E",719,IF(Atletas!S100="Outra Arma Longa E",720,IF(Atletas!S100="Gun F",721,IF(Atletas!S100="Qiang F",722,IF(Atletas!S100="Pudao / Guandao F",723,IF(Atletas!S100="Outra Arma Longa F",724,"")))))))))))))))))))))))))</f>
        <v/>
      </c>
      <c r="CB109" s="50" t="str">
        <f>IF(Atletas!T100="","",IF(Atletas!X100&lt;&gt;"",10000,0)+IF(Atletas!B100="Feminino",1000,IF(Atletas!B100="Masculino",2000,""))+IF(Atletas!T100="Outra Arma Dupla A",801,IF(Atletas!T100="Arma Maleável A",802,IF(Atletas!T100="Outra Arma Dupla B",803,IF(Atletas!T100="Arma Maleável B",804,IF(Atletas!T100="Outra Arma Dupla C",805,IF(Atletas!T100="Arma Maleável C",806,IF(Atletas!T100="Outra Arma Dupla D",807,IF(Atletas!T100="Arma Maleável D",808,IF(Atletas!T100="Outra Arma Dupla E",809,IF(Atletas!T100="Arma Maleável E",810,IF(Atletas!T100="Outra Arma Dupla F",811,IF(Atletas!T100="Arma Maleável F",812,IF(Atletas!T100="Shuangdao A",813,IF(Atletas!T100="Shuangdao B",814,IF(Atletas!T100="Shuangdao C",815,IF(Atletas!T100="Shuangdao D",816,IF(Atletas!T100="Shuangdao E",817,IF(Atletas!T100="Shuangdao F",818,"")))))))))))))))))))</f>
        <v/>
      </c>
      <c r="CC109" s="50" t="str">
        <f>IF(Atletas!U100="","",IF(Atletas!X100&lt;&gt;"",10000,0)+IF(Atletas!B100="Feminino",1000,IF(Atletas!B100="Masculino",2000,""))+IF(OR(Atletas!U100="Taijijian Yang A",Atletas!U100="Taijijian Yang Standard A"),901,IF(OR(Atletas!U100="Taijijian Chen A", Atletas!U100="Taijijian Chen Standard A"),902,IF(Atletas!U100="Taijijian Sun A",903,IF(Atletas!U100="Taijijian Wu A",904,IF(Atletas!U100="Taijijian Wu-Hao A",905,IF(OR(Atletas!U100="Taijijian 32 A",Atletas!U100="Taijijian 42 A"),906,IF(OR(Atletas!U100="Taijijian Yang B",Atletas!U100="Taijijian Yang Standard B"),907,IF(OR(Atletas!U100="Taijijian Chen B", Atletas!U100="Taijijian Chen Standard B"),908,IF(Atletas!U100="Taijijian Sun B",909,IF(Atletas!U100="Taijijian Wu B",910,IF(Atletas!U100="Taijijian Wu-Hao B",911,IF(OR(Atletas!U100="Taijijian 32 B",Atletas!U100="Taijijian 42 B"),912,IF(OR(Atletas!U100="Taijijian Yang C",Atletas!U100="Taijijian Yang Standard C"),913,IF(OR(Atletas!U100="Taijijian Chen C", Atletas!U100="Taijijian Chen Standard C"),914,IF(Atletas!U100="Taijijian Sun C",915,IF(Atletas!U100="Taijijian Wu C",916,IF(Atletas!U100="Taijijian Wu-Hao C",917,IF(OR(Atletas!U100="Taijijian 32 C",Atletas!U100="Taijijian 42 C"),918,IF(OR(Atletas!U100="Taijijian Yang D",Atletas!U100="Taijijian Yang Standard D"),919,IF(OR(Atletas!U100="Taijijian Chen D", Atletas!U100="Taijijian Chen Standard D"),920,IF(Atletas!U100="Taijijian Sun D",921,IF(Atletas!U100="Taijijian Wu D",922,IF(Atletas!U100="Taijijian Wu-Hao D",923,IF(OR(Atletas!U100="Taijijian 32 D",Atletas!U100="Taijijian 42 D"),924,IF(OR(Atletas!U100="Taijijian Yang E",Atletas!U100="Taijijian Yang Standard E"),925,IF(OR(Atletas!U100="Taijijian Chen E", Atletas!U100="Taijijian Chen Standard E"),926,IF(Atletas!U100="Taijijian Sun E",927,IF(Atletas!U100="Taijijian Wu E",928,IF(Atletas!U100="Taijijian Wu-Hao E",929,IF(OR(Atletas!U100="Taijijian 32 E",Atletas!U100="Taijijian 42 E"),930,IF(OR(Atletas!U100="Taijijian Yang F",Atletas!U100="Taijijian Yang Standard F"),931,IF(OR(Atletas!U100="Taijijian Chen F", Atletas!U100="Taijijian Chen Standard F"),932,IF(Atletas!U100="Taijijian Sun F",933,IF(Atletas!U100="Taijijian Wu F",934,IF(Atletas!U100="Taijijian Wu-Hao F",935,IF(OR(Atletas!U100="Taijijian 32 F",Atletas!U100="Taijijian 42 F"),936,"")))))))))))))))))))))))))))))))))))))</f>
        <v/>
      </c>
      <c r="CD109" s="50" t="str">
        <f>IF(Atletas!V100="","",IF(Atletas!X100&lt;&gt;"",10000,0)+IF(Atletas!B100="Feminino",1000,IF(Atletas!B100="Masculino",2000,""))+IF(Atletas!V100="Taijidao A",937,IF(Atletas!V100="TaijiShanzi A",938,IF(Atletas!V100="Taijiqiang A",939,IF(Atletas!V100="Bagua de Arma A",940,IF(Atletas!V100="Xingyi de Arma A",941,IF(Atletas!V100="Taijidao B",942,IF(Atletas!V100="TaijiShanzi B",943,IF(Atletas!V100="Taijiqiang B",944,IF(Atletas!V100="Bagua de Arma B",945,IF(Atletas!V100="Xingyi de Arma B",946,IF(Atletas!V100="Taijidao C",947,IF(Atletas!V100="TaijiShanzi C",948,IF(Atletas!V100="Taijiqiang C",949,IF(Atletas!V100="Bagua de Arma C",950,IF(Atletas!V100="Xingyi de Arma C",951,IF(Atletas!V100="Taijidao D",952,IF(Atletas!V100="TaijiShanzi D",953,IF(Atletas!V100="Taijiqiang D",954,IF(Atletas!V100="Bagua de Arma D",955,IF(Atletas!V100="Xingyi de Arma D",956,IF(Atletas!V100="Taijidao E",957,IF(Atletas!V100="TaijiShanzi E",958,IF(Atletas!V100="Taijiqiang E",959,IF(Atletas!V100="Bagua de Arma E",960,IF(Atletas!V100="Xingyi de Arma E",961,IF(Atletas!V100="Taijidao F",962,IF(Atletas!V100="TaijiShanzi F",963,IF(Atletas!V100="Taijiqiang F",964,IF(Atletas!V100="Bagua de Arma F",965,IF(Atletas!V100="Xingyi de Arma F",966,"")))))))))))))))))))))))))))))))</f>
        <v/>
      </c>
      <c r="CE109" s="66" t="str">
        <f>IF(CF109&lt;&gt;"","Emeiquan F","")</f>
        <v/>
      </c>
      <c r="CF109" s="66" t="str">
        <f>IF(COUNTIF(BR:CD,1167)&gt;0,COUNTIF(BR:CD,1167),"")</f>
        <v/>
      </c>
      <c r="CG109" s="66" t="str">
        <f>IF(CH109&lt;&gt;"","Emeiquan F","")</f>
        <v/>
      </c>
      <c r="CH109" s="66" t="str">
        <f>IF(COUNTIF(BR:CD,2167)&gt;0,COUNTIF(BR:CD,2167),"")</f>
        <v/>
      </c>
      <c r="CI109" s="66" t="str">
        <f>IF(CJ109&lt;&gt;"","Shaolinquan F","")</f>
        <v/>
      </c>
      <c r="CJ109" s="66" t="str">
        <f>IF(COUNTIF(BR:CD,11173)&gt;0,COUNTIF(BR:CD,11173),"")</f>
        <v/>
      </c>
      <c r="CK109" s="66" t="str">
        <f>IF(CL109&lt;&gt;"","Shaolinquan F","")</f>
        <v/>
      </c>
      <c r="CL109" s="66" t="str">
        <f>IF(COUNTIF(BR:CD,12173)&gt;0,COUNTIF(BR:CD,12173),"")</f>
        <v/>
      </c>
      <c r="CM109" s="50" t="str">
        <f xml:space="preserve"> IF(Atletas!W100="","",IF(Atletas!W100="Duilian de Mãos BC - Equipe 1",1,IF(Atletas!W100="Duilian de Mãos BC - Equipe 2",2,IF(Atletas!W100="Duilian de Armas BC - Equipe 1",3,IF(Atletas!W100="Duilian de Armas BC - Equipe 2",4,IF(Atletas!W100="Duilian de Mãos DE - Equipe 1",5,IF(Atletas!W100="Duilian de Mãos DE - Equipe 2",6,IF(Atletas!W100="Duilian de Armas DE - Equipe 1",7,IF(Atletas!W100="Duilian de Armas DE - Equipe 2",8,IF(Atletas!W100="Duilian de Tuishou - Equipe 1",9,IF(Atletas!W100="Duilian de Tuishou - Equipe 2",10,IF(Atletas!W100="Grupo Externo ABC - Equipe 1",11,IF(Atletas!W100="Grupo Externo ABC - Equipe 2",12,IF(Atletas!W100="Grupo Interno ABC - Equipe 1",13,IF(Atletas!W100="Grupo Interno ABC - Equipe 2",14,IF(Atletas!W100="Grupo Externo DEF - Equipe 1",15,IF(Atletas!W100="Grupo Externo DEF - Equipe 2",16,IF(Atletas!W100="Grupo Interno DEF - Equipe 1",17,IF(Atletas!W100="Grupo Interno DEF - Equipe 2",18,"")))))))))))))))))))</f>
        <v/>
      </c>
    </row>
    <row r="110" spans="2:91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 t="str">
        <f t="array" ref="Z110">IFERROR(INDEX(CE$7:CE$348,SMALL(IF(CE$7:CE$348&lt;&gt;"",ROW(CE$7:CE$348)-ROW(CE$7)+1),ROWS(CE$7:CE109))),"")</f>
        <v/>
      </c>
      <c r="AA110" s="3" t="str">
        <f t="array" ref="AA110">IFERROR(INDEX(CF$7:CF$348,SMALL(IF(CF$7:CF$348&lt;&gt;"",ROW(CF$7:CF$348)-ROW(CF$7)+1),ROWS(CF$7:CF109))),"")</f>
        <v/>
      </c>
      <c r="AB110" s="3" t="str">
        <f t="array" ref="AB110">IFERROR(INDEX(CG$7:CG$348,SMALL(IF(CG$7:CG$348&lt;&gt;"",ROW(CG$7:CG$348)-ROW(CG$7)+1),ROWS(CG$7:CG109))),"")</f>
        <v/>
      </c>
      <c r="AC110" s="3" t="str">
        <f t="array" ref="AC110">IFERROR(INDEX(CH$7:CH$348,SMALL(IF(CH$7:CH$348&lt;&gt;"",ROW(CH$7:CH$348)-ROW(CH$7)+1),ROWS(CH$7:CH109))),"")</f>
        <v/>
      </c>
      <c r="AD110" s="3" t="str">
        <f t="array" ref="AD110">IFERROR(INDEX(CI$7:CI$377,SMALL(IF(CI$7:CI$377&lt;&gt;"",ROW(CI$7:CI$377)-ROW(CI$7)+1),ROWS(CI$7:CI109))),"")</f>
        <v/>
      </c>
      <c r="AE110" s="3" t="str">
        <f t="array" ref="AE110">IFERROR(INDEX(CJ$7:CJ$378,SMALL(IF(CJ$7:CJ$378&lt;&gt;"",ROW(CJ$7:CJ$378)-ROW(CJ$7)+1),ROWS(CJ$7:CJ109))),"")</f>
        <v/>
      </c>
      <c r="AF110" s="3" t="str">
        <f t="array" ref="AF110">IFERROR(INDEX(CK$7:CK$378,SMALL(IF(CK$7:CK$378&lt;&gt;"",ROW(CK$7:CK$378)-ROW(CK$7)+1),ROWS(CK$7:CK109))),"")</f>
        <v/>
      </c>
      <c r="AG110" s="3" t="str">
        <f t="array" ref="AG110">IFERROR(INDEX(CL$7:CL$378,SMALL(IF(CL$7:CL$378&lt;&gt;"",ROW(CL$7:CL$378)-ROW(CL$7)+1),ROWS(CL$7:CL109))),"")</f>
        <v/>
      </c>
      <c r="AH110" s="3"/>
      <c r="AI110" s="3"/>
      <c r="AJ110" s="3"/>
      <c r="AK110" s="3"/>
      <c r="AL110" s="3"/>
      <c r="AM110" s="3"/>
      <c r="AN110" s="52" t="str">
        <f>IF(Atletas!D101="","",IF(Atletas!B101="Feminino",100,IF(Atletas!B101="Masculino",200,""))+(IF(Atletas!D101="Kids 30kg",1,IF(Atletas!D101="Kids 32kg",2, IF(Atletas!D101="Kids 34kg",3,IF(Atletas!D101="Kids 36kg",4,IF(Atletas!D101="Kids 39kg",5,IF(Atletas!D101="Kids 42kg",6,IF(Atletas!D101="Kids 45kg",7, IF(Atletas!D101="Infantil 39kg",8,IF(Atletas!D101="Infantil 42kg",9,IF(Atletas!D101="Infantil 45kg",10,IF(Atletas!D101="Infantil 48kg",11,IF(Atletas!D101="Infantil 52kg",12,IF(Atletas!D101="Infantil 56kg",13,IF(Atletas!D101="Infantil 60kg",14,IF(Atletas!D101="Juvenil 48kg",15,IF(Atletas!D101="Juvenil 52kg",16,IF(Atletas!D101="Juvenil 56kg",17,IF(Atletas!D101="Juvenil 60kg",18,IF(Atletas!D101="Juvenil 65kg",19,IF(Atletas!D101="Juvenil 70kg",20,IF(Atletas!D101="Juvenil 75kg",21,IF(Atletas!D101="Juvenil 80kg",22, IF(Atletas!D101="Juvenil 85kg",23,IF(Atletas!D101="Adulto 48kg",24,IF(Atletas!D101="Adulto 52kg",25,IF(Atletas!D101="Adulto 56kg",26,IF(Atletas!D101="Adulto 60kg",27,IF(Atletas!D101="Adulto 65kg",28,IF(Atletas!D101="Adulto 70kg",29,IF(Atletas!D101="Adulto 75kg",30,IF(Atletas!D101="Adulto 80kg",31,IF(Atletas!D101="Adulto 85kg",32,IF(Atletas!D101="Adulto 90kg",33,IF(Atletas!D101="Adulto 100kg",34, IF(Atletas!D101="Adulto +100kg",35,"")))))))))))))))))))))))))))))))))))))</f>
        <v/>
      </c>
      <c r="AS110" s="6" t="str">
        <f>IF(Atletas!E101="","",IF(Atletas!B101="Feminino",100,IF(Atletas!B101="Masculino",200,""))+(IF(Atletas!E101="Juvenil 44kg",1,IF(Atletas!E101="Juvenil 48kg",2,IF(Atletas!E101="Juvenil 52kg",3,IF(Atletas!E101="Juvenil 56kg",4,IF(Atletas!E101="Juvenil 60kg",5,IF(Atletas!E101="Juvenil 65kg",6,IF(Atletas!E101="Juvenil 70kg",7,IF(Atletas!E101="Juvenil 75kg",8,IF(Atletas!E101="Juvenil 82kg",9,IF(Atletas!E101="Juvenil 90kg",10,IF(Atletas!E101="Juvenil 100kg",11,IF(Atletas!E101="Adulto 48kg",12,IF(Atletas!E101="Adulto 52kg",13,IF(Atletas!E101="Adulto 56kg",14,IF(Atletas!E101="Adulto 60kg",15,IF(Atletas!E101="Adulto 65kg",16,IF(Atletas!E101="Adulto 70kg",17,IF(Atletas!E101="Adulto 75kg",18,IF(Atletas!E101="Adulto 82kg",19,IF(Atletas!E101="Adulto 90kg",20,IF(Atletas!E101="Adulto 100kg",21,IF(Atletas!E101="Adulto +100kg",22,""))))))))))))))))))))))))</f>
        <v/>
      </c>
      <c r="AX110" s="6" t="str">
        <f>IF(Atletas!F101="","",IF(Atletas!B101="Feminino",100,IF(Atletas!B101="Masculino",200,""))+(IF(Atletas!F101="Adulto 48kg",1,IF(Atletas!F101="Adulto 56kg",2,IF(Atletas!F101="Adulto 65kg",3,IF(Atletas!F101="Adulto 75kg",4,IF(Atletas!F101="Adulto +75kg",5,IF(Atletas!F101="Adulto 52kg",6,IF(Atletas!F101="Adulto 60kg",7,IF(Atletas!F101="Adulto 70kg",8,IF(Atletas!F101="Adulto 80kg",9,IF(Atletas!F101="Adulto 90kg",10,IF(Atletas!F101="Adulto +90kg",11,"")))))))))))))</f>
        <v/>
      </c>
      <c r="BC110" s="6" t="str">
        <f>IF(Atletas!G101="","",IF(Atletas!B101="Feminino",10,IF(Atletas!B101="Masculino",20,""))+(IF(Atletas!G101="Baduanjin A",1,IF(Atletas!G101="Baduanjin B",2))))</f>
        <v/>
      </c>
      <c r="BF110" s="52" t="str">
        <f>IF(Atletas!H101="","",IF(Atletas!B101="Feminino",100,IF(Atletas!B101="Masculino",200,""))+(IF(Atletas!H101="Changquan Mirim",1,IF(Atletas!H101="Nanquan Mirim",2,IF(Atletas!H101="Taijiquan Mirim",3,IF(Atletas!H101="Changquan Grupo C",4,IF(Atletas!H101="Nanquan Grupo C",5,IF(Atletas!H101="Taijiquan Grupo C",6,IF(Atletas!H101="Changquan Grupo B",7,IF(Atletas!H101="Nanquan Grupo B",8,IF(Atletas!H101="Taijiquan Grupo B",9,IF(Atletas!H101="Changquan Grupo A",10,IF(Atletas!H101="Nanquan Grupo A",11,IF(Atletas!H101="Taijiquan Grupo A",12,IF(Atletas!H101="Changquan Opcional",13,IF(Atletas!H101="Nanquan Opcional",14,IF(Atletas!H101="Taijiquan Opcional",15,IF(Atletas!H101="Changquan Adulto",16,IF(Atletas!H101="Nanquan Adulto",17,IF(Atletas!H101="Taijiquan Adulto",18,""))))))))))))))))))))</f>
        <v/>
      </c>
      <c r="BG110" s="52" t="str">
        <f>IF(Atletas!I101="","",IF(Atletas!B101="Feminino",100,IF(Atletas!B101="Masculino",200,""))+(IF(Atletas!I101="Daoshu Mirim",19,IF(Atletas!I101="Jianshu Mirim",20,IF(Atletas!I101="Nandao Mirim",21,IF(Atletas!I101="Taijijian Mirim",22,IF(Atletas!I101="Daoshu Grupo C",23,IF(Atletas!I101="Jianshu Grupo C",24,IF(Atletas!I101="Nandao Grupo C",25,IF(Atletas!I101="Taijijian Grupo C",26,IF(Atletas!I101="Daoshu Grupo B",27,IF(Atletas!I101="Jianshu Grupo B",28,IF(Atletas!I101="Nandao Grupo B",29,IF(Atletas!I101="Taijijian Grupo B",30,IF(Atletas!I101="Daoshu Grupo A",31,IF(Atletas!I101="Jianshu Grupo A",32,IF(Atletas!I101="Nandao Grupo A",33,IF(Atletas!I101="Taijijian Grupo A",34,IF(Atletas!I101="Daoshu Opcional",35,IF(Atletas!I101="Jianshu Opcional",36,IF(Atletas!I101="Nandao Opcional",37,IF(Atletas!I101="Taijijian Opcional",38,IF(Atletas!I101="Daoshu Adulto",39,IF(Atletas!I101="Jianshu Adulto",40,IF(Atletas!I101="Nandao Adulto",41,IF(Atletas!I101="Taijijian Adulto",42,""))))))))))))))))))))))))))</f>
        <v/>
      </c>
      <c r="BH110" s="52" t="str">
        <f>IF(Atletas!J101="","",IF(Atletas!B101="Feminino",100,IF(Atletas!B101="Masculino",200,""))+(IF(Atletas!J101="Gunshu Mirim",43,IF(Atletas!J101="Qiangshu Mirim",44,IF(Atletas!J101="Nangun Mirim",45,IF(Atletas!J101="Gunshu Grupo C",46,IF(Atletas!J101="Qiangshu Grupo C",47,IF(Atletas!J101="Nangun Grupo C",48,IF(Atletas!J101="Gunshu Grupo B",49,IF(Atletas!J101="Qiangshu Grupo B",50,IF(Atletas!J101="Nangun Grupo B",51,IF(Atletas!J101="Gunshu Grupo A",52,IF(Atletas!J101="Qiangshu Grupo A",53,IF(Atletas!J101="Nangun Grupo A",54,IF(Atletas!J101="Gunshu Opcional",55,IF(Atletas!J101="Qiangshu Opcional",56,IF(Atletas!J101="Nangun Opcional",57,IF(Atletas!J101="Gunshu Adulto",58,IF(Atletas!J101="Qiangshu Adulto",59,IF(Atletas!J101="Nangun Adulto",60,IF(Atletas!J101="Taijishan Grupo B",61,IF(Atletas!J101="Taijishan Grupo A",62,""))))))))))))))))))))))</f>
        <v/>
      </c>
      <c r="BM110" s="50" t="str">
        <f>IF(Atletas!K101="","",IF(Atletas!B101="Feminino",100,IF(Atletas!B101="Masculino",200,""))+(IF(Atletas!K101="Equipe 1 Grupo B",1,IF(Atletas!K101="Equipe 2 Grupo B",2,IF(Atletas!K101="Equipe 1 Grupo A",3,IF(Atletas!K101="Equipe 2 Grupo A",4,IF(Atletas!K101="Equipe 1 Adulto",5,IF(Atletas!K101="Equipe 2 Adulto",6,""))))))))</f>
        <v/>
      </c>
      <c r="BR110" s="50" t="str">
        <f>IF(Atletas!L101="","",IF(Atletas!X101&lt;&gt;"",10000,0)+(IF(Atletas!B101="Feminino",1000,IF(Atletas!B101="Masculino",2000,""))+IF(Atletas!L101="Choylayfut A",1,IF(Atletas!L101="Hunggar A",2,IF(Atletas!L101="Wuzuquan A",3,IF(Atletas!L101="Wingchun A",4,IF(Atletas!L101="Outra Mão de Sul A",5,IF(Atletas!L101="Choylayfut B",6,IF(Atletas!L101="Hunggar B",7,IF(Atletas!L101="Wuzuquan B",8,IF(Atletas!L101="Wingchun B",9,IF(Atletas!L101="Outra Mão de Sul B",10,IF(Atletas!L101="Choylayfut C",11,IF(Atletas!L101="Hunggar C",12,IF(Atletas!L101="Wuzuquan C",13,IF(Atletas!L101="Wingchun C",14,IF(Atletas!L101="Outra Mão de Sul C",15,IF(Atletas!L101="Choylayfut D",16,IF(Atletas!L101="Hunggar D",17,IF(Atletas!L101="Wuzuquan D",18,IF(Atletas!L101="Wingchun D",19,IF(Atletas!L101="Outra Mão de Sul D",20,IF(Atletas!L101="Choylayfut E",21,IF(Atletas!L101="Hunggar E",22,IF(Atletas!L101="Wuzuquan E",23,IF(Atletas!L101="Wingchun E",24,IF(Atletas!L101="Outra Mão de Sul E",25,IF(Atletas!L101="Choylayfut F",26,IF(Atletas!L101="Hunggar F",27,IF(Atletas!L101="Wuzuquan F",28,IF(Atletas!L101="Wingchun F",29,IF(Atletas!L101="Outra Mão de Sul F",30,IF(Atletas!L101="Dishuquan A",31,IF(Atletas!L101="Dishuquan B",32,IF(Atletas!L101="Dishuquan C",33,IF(Atletas!L101="Dishuquan D",34,IF(Atletas!L101="Dishuquan E",35,IF(Atletas!L101="Dishuquan F",36,""))))))))))))))))))))))))))))))))))))))</f>
        <v/>
      </c>
      <c r="BS110" s="50" t="str">
        <f>IF(Atletas!M101="","",IF(Atletas!X101&lt;&gt;"",10000,0)+(IF(Atletas!B101="Feminino",1000,IF(Atletas!B101="Masculino",2000,""))+(IF(Atletas!M101="Chaquan A",101,IF(Atletas!M101="Emeiquan A",102,IF(Atletas!M101="Fanziquan A",103,IF(Atletas!M101="Huaquan A",104,IF(Atletas!M101="Hongquan A",105,IF(Atletas!M101="Paoquan A",106,IF(Atletas!M101="Piguaquan A",107,IF(Atletas!M101="Shaolinquan A",108,IF(Atletas!M101="Tanglangquan A",109,IF(Atletas!M101="Yingzhaoquan A",110,IF(Atletas!M101="Tongbeiquan A",111,IF(Atletas!M101="Wudangquan A",112,IF(Atletas!M101="Outros Estilos A",113,IF(Atletas!M101="Chaquan B",114,IF(Atletas!M101="Emeiquan B",115,IF(Atletas!M101="Fanziquan B",116,IF(Atletas!M101="Huaquan B",117,IF(Atletas!M101="Hongquan B",118,IF(Atletas!M101="Paoquan B",119,IF(Atletas!M101="Piguaquan B",120,IF(Atletas!M101="Shaolinquan B",121,IF(Atletas!M101="Tanglangquan B",122,IF(Atletas!M101="Yingzhaoquan B",123,IF(Atletas!M101="Tongbeiquan B",124,IF(Atletas!M101="Wudangquan B",125,IF(Atletas!M101="Outros Estilos B",126,IF(Atletas!M101="Chaquan C",127,IF(Atletas!M101="Emeiquan C",128,IF(Atletas!M101="Fanziquan C",129,IF(Atletas!M101="Huaquan C",130,IF(Atletas!M101="Hongquan C",131,IF(Atletas!M101="Paoquan C",132,IF(Atletas!M101="Piguaquan C",133,IF(Atletas!M101="Shaolinquan C",134,IF(Atletas!M101="Tanglangquan C",135,IF(Atletas!M101="Yingzhaoquan C",136,IF(Atletas!M101="Tongbeiquan C",137,IF(Atletas!M101="Wudangquan C",138,IF(Atletas!M101="Outros Estilos C",139,0))))))))))))))))))))))))))))))))))))))))))</f>
        <v/>
      </c>
      <c r="BT110" s="50" t="str">
        <f>IF(Atletas!M101="","",IF(Atletas!X101&lt;&gt;"",10000,0)+(IF(Atletas!B101="Feminino",1000,IF(Atletas!B101="Masculino",2000,""))+(IF(Atletas!M101="Chaquan D",140,IF(Atletas!M101="Emeiquan D",141,IF(Atletas!M101="Fanziquan D",142,IF(Atletas!M101="Huaquan D",143,IF(Atletas!M101="Hongquan D",144,IF(Atletas!M101="Paoquan D",145,IF(Atletas!M101="Piguaquan D",146,IF(Atletas!M101="Shaolinquan D",147,IF(Atletas!M101="Tanglangquan D",148,IF(Atletas!M101="Yingzhaoquan D",149,IF(Atletas!M101="Tongbeiquan D",150,IF(Atletas!M101="Wudangquan D",151,IF(Atletas!M101="Outros Estilos D",152,IF(Atletas!M101="Chaquan E",153,IF(Atletas!M101="Emeiquan E",154,IF(Atletas!M101="Fanziquan E",155,IF(Atletas!M101="Huaquan E",156,IF(Atletas!M101="Hongquan E",157,IF(Atletas!M101="Paoquan E",158,IF(Atletas!M101="Piguaquan E",159,IF(Atletas!M101="Shaolinquan E",160,IF(Atletas!M101="Tanglangquan E",161,IF(Atletas!M101="Yingzhaoquan E",162,IF(Atletas!M101="Tongbeiquan E",163,IF(Atletas!M101="Wudangquan E",164,IF(Atletas!M101="Outros Estilos E",165,IF(Atletas!M101="Chaquan F",166,IF(Atletas!M101="Emeiquan F",167,IF(Atletas!M101="Fanziquan F",168,IF(Atletas!M101="Huaquan F",169,IF(Atletas!M101="Hongquan F",170,IF(Atletas!M101="Paoquan F",171,IF(Atletas!M101="Piguaquan F",172,IF(Atletas!M101="Shaolinquan F",173,IF(Atletas!M101="Tanglangquan F",174,IF(Atletas!M101="Yingzhaoquan F",175,IF(Atletas!M101="Tongbeiquan F",176,IF(Atletas!M101="Wudangquan F",177,IF(Atletas!M101="Outros Estilos F",178,0))))))))))))))))))))))))))))))))))))))))))</f>
        <v/>
      </c>
      <c r="BU110" s="50" t="str">
        <f>IF(Atletas!N101="","",IF(Atletas!X101&lt;&gt;"",10000,0)+(IF(Atletas!B101="Feminino",1000,IF(Atletas!B101="Masculino",2000,""))+(IF(Atletas!N101="Ditangquan A",201,IF(Atletas!N101="Houquan A",202,IF(Atletas!N101="Zuiquan A",203,IF(Atletas!N101="Ditangquan B",204,IF(Atletas!N101="Houquan B",205,IF(Atletas!N101="Zuiquan B",206,IF(Atletas!N101="Ditangquan C",207,IF(Atletas!N101="Houquan C",208,IF(Atletas!N101="Zuiquan C",209,IF(Atletas!N101="Ditangquan D",210,IF(Atletas!N101="Houquan D",211,IF(Atletas!N101="Zuiquan D",212,IF(Atletas!N101="Ditangquan E",213,IF(Atletas!N101="Houquan E",214,IF(Atletas!N101="Zuiquan E",215,IF(Atletas!N101="Ditangquan F",216,IF(Atletas!N101="Houquan F",217,IF(Atletas!N101="Zuiquan F",218,"")))))))))))))))))))))</f>
        <v/>
      </c>
      <c r="BV110" s="50" t="str">
        <f>IF(Atletas!O101="","",IF(Atletas!X101&lt;&gt;"",10000,0)+IF(Atletas!B101="Feminino",1000,IF(Atletas!B101="Masculino",2000,""))+IF(Atletas!O101="Yang A",301,IF(Atletas!O101="Chen A",302,IF(Atletas!O101="Sun A",303,IF(Atletas!O101="Wu A",304,IF(Atletas!O101="Wu-Hao A",305,IF(Atletas!O101="Outro Taijiquan A",306,IF(Atletas!O101="Yang B",307,IF(Atletas!O101="Chen B",308,IF(Atletas!O101="Sun B",309,IF(Atletas!O101="Wu B",310,IF(Atletas!O101="Wu-Hao B",311,IF(Atletas!O101="Outro Taijiquan B",312,IF(Atletas!O101="Yang C",313,IF(Atletas!O101="Chen C",314,IF(Atletas!O101="Sun C",315,IF(Atletas!O101="Wu C",316,IF(Atletas!O101="Wu-Hao C",317,IF(Atletas!O101="Outro Taijiquan C",318,IF(Atletas!O101="Yang D",319,IF(Atletas!O101="Chen D",320,IF(Atletas!O101="Sun D",321,IF(Atletas!O101="Wu D",322,IF(Atletas!O101="Wu-Hao D",323,IF(Atletas!O101="Outro Taijiquan D",324,IF(Atletas!O101="Yang E",325,IF(Atletas!O101="Chen E",326,IF(Atletas!O101="Sun E",327,IF(Atletas!O101="Wu E",328,IF(Atletas!O101="Wu-Hao E",329,IF(Atletas!O101="Outro Taijiquan E",330,IF(Atletas!O101="Yang F",331,IF(Atletas!O101="Chen F",332,IF(Atletas!O101="Sun F",333,IF(Atletas!O101="Wu F",334,IF(Atletas!O101="Wu-Hao F",335,IF(Atletas!O101="Outro Taijiquan F",336,"")))))))))))))))))))))))))))))))))))))</f>
        <v/>
      </c>
      <c r="BW110" s="50" t="str">
        <f>IF(Atletas!P101="","",IF(Atletas!X101&lt;&gt;"",10000,0)+IF(Atletas!B101="Feminino",1000,IF(Atletas!B101="Masculino",2000,""))+IF(OR(Atletas!P101="Yang 26 A",Atletas!P101="Yang 40 A"),401,IF(OR(Atletas!P101="Chen 25 A",Atletas!P101="Chen 36 A",Atletas!P101="Chen 56 A"),402,IF(Atletas!P101="Sun 73 A",403,IF(Atletas!P101="Wu 45 A",404,IF(Atletas!P101="Wu-Hao 46 A",405,IF(OR(Atletas!P101="Taijiquan 16 A",Atletas!P101="Taijiquan 24 A",Atletas!P101="Taijiquan 32 A",Atletas!P101="Taijiquan 42 A"),406,IF(OR(Atletas!P101="Yang 26 B",Atletas!P101="Yang 40 B"),407,IF(OR(Atletas!P101="Chen 25 B",Atletas!P101="Chen 36 B",Atletas!P101="Chen 56 B"),408,IF(Atletas!P101="Sun 73 B",409,IF(Atletas!P101="Wu 45 B",410,IF(Atletas!P101="Wu-Hao 46 B",411,IF(OR(Atletas!P101="Taijiquan 16 B",Atletas!P101="Taijiquan 24 B",Atletas!P101="Taijiquan 32 B",Atletas!P101="Taijiquan 42 B"),412,IF(OR(Atletas!P101="Yang 26 C",Atletas!P101="Yang 40 C"),413,IF(OR(Atletas!P101="Chen 25 C",Atletas!P101="Chen 36 C",Atletas!P101="Chen 56 C"),414,IF(Atletas!P101="Sun 73 C",415,IF(Atletas!P101="Wu 45 C",416,IF(Atletas!P101="Wu-Hao 46 C",417,IF(OR(Atletas!P101="Taijiquan 16 C",Atletas!P101="Taijiquan 24 C",Atletas!P101="Taijiquan 32 C",Atletas!P101="Taijiquan 42 C"),418,0)))))))))))))))))))</f>
        <v/>
      </c>
      <c r="BX110" s="50" t="str">
        <f>IF(Atletas!P101="","",IF(Atletas!X101&lt;&gt;"",10000,0)+IF(Atletas!B101="Feminino",1000,IF(Atletas!B101="Masculino",2000,""))+IF(OR(Atletas!P101="Yang 26 D",Atletas!P101="Yang 40 D"),419,IF(OR(Atletas!P101="Chen 25 D",Atletas!P101="Chen 36 D",Atletas!P101="Chen 56 D"),420,IF(Atletas!P101="Sun 73 D",421,IF(Atletas!P101="Wu 45 D",422,IF(Atletas!P101="Wu-Hao 46 D",423,IF(OR(Atletas!P101="Taijiquan 16 D",Atletas!P101="Taijiquan 24 D",Atletas!P101="Taijiquan 32 D",Atletas!P101="Taijiquan 42 D"),424,IF(OR(Atletas!P101="Yang 26 E",Atletas!P101="Yang 40 E"),425,IF(OR(Atletas!P101="Chen 25 E",Atletas!P101="Chen 36 E",Atletas!P101="Chen 56 E"),426,IF(Atletas!P101="Sun 73 E",427,IF(Atletas!P101="Wu 45 E",428,IF(Atletas!P101="Wu-Hao 46 E",429,IF(OR(Atletas!P101="Taijiquan 16 E",Atletas!P101="Taijiquan 24 E",Atletas!P101="Taijiquan 32 E",Atletas!P101="Taijiquan 42 E"),430,IF(OR(Atletas!P101="Yang 26 F",Atletas!P101="Yang 40 F"),431,IF(OR(Atletas!P101="Chen 25 F",Atletas!P101="Chen 36 F",Atletas!P101="Chen 56 F"),432,IF(Atletas!P101="Sun 73 F",433,IF(Atletas!P101="Wu 45 F",434,IF(Atletas!P101="Wu-Hao 46 F",435,IF(OR(Atletas!P101="Taijiquan 16 F",Atletas!P101="Taijiquan 24 F",Atletas!P101="Taijiquan 32 F",Atletas!P101="Taijiquan 42 F"),436,0)))))))))))))))))))</f>
        <v/>
      </c>
      <c r="BY110" s="50" t="str">
        <f>IF(Atletas!Q101="","",IF(Atletas!X101&lt;&gt;"",10000,0)+IF(Atletas!B101="Feminino",1000,IF(Atletas!B101="Masculino",2000,""))+IF(Atletas!Q101="Xingyiquan A",501,IF(Atletas!Q101="Baguazhang A",502,IF(Atletas!Q101="Outro Estilo Interno A",503,IF(Atletas!Q101="Xingyiquan B",504,IF(Atletas!Q101="Baguazhang B",505,IF(Atletas!Q101="Outro Estilo Interno B",506,IF(Atletas!Q101="Xingyiquan C",507,IF(Atletas!Q101="Baguazhang C",508,IF(Atletas!Q101="Outro Estilo Interno C",509,IF(Atletas!Q101="Xingyiquan D",510,IF(Atletas!Q101="Baguazhang D",511,IF(Atletas!Q101="Outro Estilo Interno D",512,IF(Atletas!Q101="Xingyiquan E",513,IF(Atletas!Q101="Baguazhang E",514,IF(Atletas!Q101="Outro Estilo Interno E",515,IF(Atletas!Q101="Xingyiquan F",516,IF(Atletas!Q101="Baguazhang F",517,IF(Atletas!Q101="Outro Estilo Interno F",518, "")))))))))))))))))))</f>
        <v/>
      </c>
      <c r="BZ110" s="50" t="str">
        <f>IF(Atletas!R101="","",IF(Atletas!X101&lt;&gt;"",10000,0)+IF(Atletas!B101="Feminino",1000,IF(Atletas!B101="Masculino",2000,""))+IF(Atletas!R101="Dao A",601,IF(Atletas!R101="Jian A",602,IF(Atletas!R101="Bishou A",603,IF(Atletas!R101="Shanzi A",604,IF(Atletas!R101="Outra Arma Curta A",605,IF(Atletas!R101="Dao B",606,IF(Atletas!R101="Jian B",607,IF(Atletas!R101="Bishou B",608,IF(Atletas!R101="Shanzi B",609,IF(Atletas!R101="Outra Arma Curta B",610,IF(Atletas!R101="Dao C",611,IF(Atletas!R101="Jian C",612,IF(Atletas!R101="Bishou C",613,IF(Atletas!R101="Shanzi C",614,IF(Atletas!R101="Outra Arma Curta C",615,IF(Atletas!R101="Dao D",616,IF(Atletas!R101="Jian D",617,IF(Atletas!R101="Bishou D",618,IF(Atletas!R101="Shanzi D",619,IF(Atletas!R101="Outra Arma Curta D",620,IF(Atletas!R101="Dao E",621,IF(Atletas!R101="Jian E",622,IF(Atletas!R101="Bishou E",623,IF(Atletas!R101="Shanzi E",624,IF(Atletas!R101="Outra Arma Curta E",625,IF(Atletas!R101="Dao F",626,IF(Atletas!R101="Jian F",627,IF(Atletas!R101="Bishou F",628,IF(Atletas!R101="Shanzi F",629,IF(Atletas!R101="Outra Arma Curta F",630, "")))))))))))))))))))))))))))))))</f>
        <v/>
      </c>
      <c r="CA110" s="50" t="str">
        <f>IF(Atletas!S101="","",IF(Atletas!X101&lt;&gt;"",10000,0)+IF(Atletas!B101="Feminino",1000,IF(Atletas!B101="Masculino",2000,""))+IF(Atletas!S101="Gun A",701,IF(Atletas!S101="Qiang A",702,IF(Atletas!S101="Pudao / Guandao A",703,IF(Atletas!S101="Outra Arma Longa A",704,IF(Atletas!S101="Gun B",705,IF(Atletas!S101="Qiang B",706,IF(Atletas!S101="Pudao / Guandao B",707,IF(Atletas!S101="Outra Arma Longa B",708,IF(Atletas!S101="Gun C",709,IF(Atletas!S101="Qiang C",710,IF(Atletas!S101="Pudao / Guandao C",711,IF(Atletas!S101="Outra Arma Longa C",712,IF(Atletas!S101="Gun D",713,IF(Atletas!S101="Qiang D",714,IF(Atletas!S101="Pudao / Guandao D",715,IF(Atletas!S101="Outra Arma Longa D",716,IF(Atletas!S101="Gun E",717,IF(Atletas!S101="Qiang E",718,IF(Atletas!S101="Pudao / Guandao E",719,IF(Atletas!S101="Outra Arma Longa E",720,IF(Atletas!S101="Gun F",721,IF(Atletas!S101="Qiang F",722,IF(Atletas!S101="Pudao / Guandao F",723,IF(Atletas!S101="Outra Arma Longa F",724,"")))))))))))))))))))))))))</f>
        <v/>
      </c>
      <c r="CB110" s="50" t="str">
        <f>IF(Atletas!T101="","",IF(Atletas!X101&lt;&gt;"",10000,0)+IF(Atletas!B101="Feminino",1000,IF(Atletas!B101="Masculino",2000,""))+IF(Atletas!T101="Outra Arma Dupla A",801,IF(Atletas!T101="Arma Maleável A",802,IF(Atletas!T101="Outra Arma Dupla B",803,IF(Atletas!T101="Arma Maleável B",804,IF(Atletas!T101="Outra Arma Dupla C",805,IF(Atletas!T101="Arma Maleável C",806,IF(Atletas!T101="Outra Arma Dupla D",807,IF(Atletas!T101="Arma Maleável D",808,IF(Atletas!T101="Outra Arma Dupla E",809,IF(Atletas!T101="Arma Maleável E",810,IF(Atletas!T101="Outra Arma Dupla F",811,IF(Atletas!T101="Arma Maleável F",812,IF(Atletas!T101="Shuangdao A",813,IF(Atletas!T101="Shuangdao B",814,IF(Atletas!T101="Shuangdao C",815,IF(Atletas!T101="Shuangdao D",816,IF(Atletas!T101="Shuangdao E",817,IF(Atletas!T101="Shuangdao F",818,"")))))))))))))))))))</f>
        <v/>
      </c>
      <c r="CC110" s="50" t="str">
        <f>IF(Atletas!U101="","",IF(Atletas!X101&lt;&gt;"",10000,0)+IF(Atletas!B101="Feminino",1000,IF(Atletas!B101="Masculino",2000,""))+IF(OR(Atletas!U101="Taijijian Yang A",Atletas!U101="Taijijian Yang Standard A"),901,IF(OR(Atletas!U101="Taijijian Chen A", Atletas!U101="Taijijian Chen Standard A"),902,IF(Atletas!U101="Taijijian Sun A",903,IF(Atletas!U101="Taijijian Wu A",904,IF(Atletas!U101="Taijijian Wu-Hao A",905,IF(OR(Atletas!U101="Taijijian 32 A",Atletas!U101="Taijijian 42 A"),906,IF(OR(Atletas!U101="Taijijian Yang B",Atletas!U101="Taijijian Yang Standard B"),907,IF(OR(Atletas!U101="Taijijian Chen B", Atletas!U101="Taijijian Chen Standard B"),908,IF(Atletas!U101="Taijijian Sun B",909,IF(Atletas!U101="Taijijian Wu B",910,IF(Atletas!U101="Taijijian Wu-Hao B",911,IF(OR(Atletas!U101="Taijijian 32 B",Atletas!U101="Taijijian 42 B"),912,IF(OR(Atletas!U101="Taijijian Yang C",Atletas!U101="Taijijian Yang Standard C"),913,IF(OR(Atletas!U101="Taijijian Chen C", Atletas!U101="Taijijian Chen Standard C"),914,IF(Atletas!U101="Taijijian Sun C",915,IF(Atletas!U101="Taijijian Wu C",916,IF(Atletas!U101="Taijijian Wu-Hao C",917,IF(OR(Atletas!U101="Taijijian 32 C",Atletas!U101="Taijijian 42 C"),918,IF(OR(Atletas!U101="Taijijian Yang D",Atletas!U101="Taijijian Yang Standard D"),919,IF(OR(Atletas!U101="Taijijian Chen D", Atletas!U101="Taijijian Chen Standard D"),920,IF(Atletas!U101="Taijijian Sun D",921,IF(Atletas!U101="Taijijian Wu D",922,IF(Atletas!U101="Taijijian Wu-Hao D",923,IF(OR(Atletas!U101="Taijijian 32 D",Atletas!U101="Taijijian 42 D"),924,IF(OR(Atletas!U101="Taijijian Yang E",Atletas!U101="Taijijian Yang Standard E"),925,IF(OR(Atletas!U101="Taijijian Chen E", Atletas!U101="Taijijian Chen Standard E"),926,IF(Atletas!U101="Taijijian Sun E",927,IF(Atletas!U101="Taijijian Wu E",928,IF(Atletas!U101="Taijijian Wu-Hao E",929,IF(OR(Atletas!U101="Taijijian 32 E",Atletas!U101="Taijijian 42 E"),930,IF(OR(Atletas!U101="Taijijian Yang F",Atletas!U101="Taijijian Yang Standard F"),931,IF(OR(Atletas!U101="Taijijian Chen F", Atletas!U101="Taijijian Chen Standard F"),932,IF(Atletas!U101="Taijijian Sun F",933,IF(Atletas!U101="Taijijian Wu F",934,IF(Atletas!U101="Taijijian Wu-Hao F",935,IF(OR(Atletas!U101="Taijijian 32 F",Atletas!U101="Taijijian 42 F"),936,"")))))))))))))))))))))))))))))))))))))</f>
        <v/>
      </c>
      <c r="CD110" s="50" t="str">
        <f>IF(Atletas!V101="","",IF(Atletas!X101&lt;&gt;"",10000,0)+IF(Atletas!B101="Feminino",1000,IF(Atletas!B101="Masculino",2000,""))+IF(Atletas!V101="Taijidao A",937,IF(Atletas!V101="TaijiShanzi A",938,IF(Atletas!V101="Taijiqiang A",939,IF(Atletas!V101="Bagua de Arma A",940,IF(Atletas!V101="Xingyi de Arma A",941,IF(Atletas!V101="Taijidao B",942,IF(Atletas!V101="TaijiShanzi B",943,IF(Atletas!V101="Taijiqiang B",944,IF(Atletas!V101="Bagua de Arma B",945,IF(Atletas!V101="Xingyi de Arma B",946,IF(Atletas!V101="Taijidao C",947,IF(Atletas!V101="TaijiShanzi C",948,IF(Atletas!V101="Taijiqiang C",949,IF(Atletas!V101="Bagua de Arma C",950,IF(Atletas!V101="Xingyi de Arma C",951,IF(Atletas!V101="Taijidao D",952,IF(Atletas!V101="TaijiShanzi D",953,IF(Atletas!V101="Taijiqiang D",954,IF(Atletas!V101="Bagua de Arma D",955,IF(Atletas!V101="Xingyi de Arma D",956,IF(Atletas!V101="Taijidao E",957,IF(Atletas!V101="TaijiShanzi E",958,IF(Atletas!V101="Taijiqiang E",959,IF(Atletas!V101="Bagua de Arma E",960,IF(Atletas!V101="Xingyi de Arma E",961,IF(Atletas!V101="Taijidao F",962,IF(Atletas!V101="TaijiShanzi F",963,IF(Atletas!V101="Taijiqiang F",964,IF(Atletas!V101="Bagua de Arma F",965,IF(Atletas!V101="Xingyi de Arma F",966,"")))))))))))))))))))))))))))))))</f>
        <v/>
      </c>
      <c r="CE110" s="66" t="str">
        <f>IF(CF110&lt;&gt;"","Fanziquan F","")</f>
        <v/>
      </c>
      <c r="CF110" s="66" t="str">
        <f>IF(COUNTIF(BR:CD,1168)&gt;0,COUNTIF(BR:CD,1168),"")</f>
        <v/>
      </c>
      <c r="CG110" s="66" t="str">
        <f>IF(CH110&lt;&gt;"","Fanziquan F","")</f>
        <v/>
      </c>
      <c r="CH110" s="66" t="str">
        <f>IF(COUNTIF(BR:CD,2168)&gt;0,COUNTIF(BR:CD,2168),"")</f>
        <v/>
      </c>
      <c r="CI110" s="66" t="str">
        <f>IF(CJ110&lt;&gt;"","Tanglangquan F","")</f>
        <v/>
      </c>
      <c r="CJ110" s="66" t="str">
        <f>IF(COUNTIF(BR:CD,11174)&gt;0,COUNTIF(BR:CD,11174),"")</f>
        <v/>
      </c>
      <c r="CK110" s="66" t="str">
        <f>IF(CL110&lt;&gt;"","Tanglangquan F","")</f>
        <v/>
      </c>
      <c r="CL110" s="66" t="str">
        <f>IF(COUNTIF(BR:CD,12174)&gt;0,COUNTIF(BR:CD,12174),"")</f>
        <v/>
      </c>
      <c r="CM110" s="50" t="str">
        <f xml:space="preserve"> IF(Atletas!W101="","",IF(Atletas!W101="Duilian de Mãos BC - Equipe 1",1,IF(Atletas!W101="Duilian de Mãos BC - Equipe 2",2,IF(Atletas!W101="Duilian de Armas BC - Equipe 1",3,IF(Atletas!W101="Duilian de Armas BC - Equipe 2",4,IF(Atletas!W101="Duilian de Mãos DE - Equipe 1",5,IF(Atletas!W101="Duilian de Mãos DE - Equipe 2",6,IF(Atletas!W101="Duilian de Armas DE - Equipe 1",7,IF(Atletas!W101="Duilian de Armas DE - Equipe 2",8,IF(Atletas!W101="Duilian de Tuishou - Equipe 1",9,IF(Atletas!W101="Duilian de Tuishou - Equipe 2",10,IF(Atletas!W101="Grupo Externo ABC - Equipe 1",11,IF(Atletas!W101="Grupo Externo ABC - Equipe 2",12,IF(Atletas!W101="Grupo Interno ABC - Equipe 1",13,IF(Atletas!W101="Grupo Interno ABC - Equipe 2",14,IF(Atletas!W101="Grupo Externo DEF - Equipe 1",15,IF(Atletas!W101="Grupo Externo DEF - Equipe 2",16,IF(Atletas!W101="Grupo Interno DEF - Equipe 1",17,IF(Atletas!W101="Grupo Interno DEF - Equipe 2",18,"")))))))))))))))))))</f>
        <v/>
      </c>
    </row>
    <row r="111" spans="2:91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 t="str">
        <f t="array" ref="Z111">IFERROR(INDEX(CE$7:CE$348,SMALL(IF(CE$7:CE$348&lt;&gt;"",ROW(CE$7:CE$348)-ROW(CE$7)+1),ROWS(CE$7:CE110))),"")</f>
        <v/>
      </c>
      <c r="AA111" s="3" t="str">
        <f t="array" ref="AA111">IFERROR(INDEX(CF$7:CF$348,SMALL(IF(CF$7:CF$348&lt;&gt;"",ROW(CF$7:CF$348)-ROW(CF$7)+1),ROWS(CF$7:CF110))),"")</f>
        <v/>
      </c>
      <c r="AB111" s="3" t="str">
        <f t="array" ref="AB111">IFERROR(INDEX(CG$7:CG$348,SMALL(IF(CG$7:CG$348&lt;&gt;"",ROW(CG$7:CG$348)-ROW(CG$7)+1),ROWS(CG$7:CG110))),"")</f>
        <v/>
      </c>
      <c r="AC111" s="3" t="str">
        <f t="array" ref="AC111">IFERROR(INDEX(CH$7:CH$348,SMALL(IF(CH$7:CH$348&lt;&gt;"",ROW(CH$7:CH$348)-ROW(CH$7)+1),ROWS(CH$7:CH110))),"")</f>
        <v/>
      </c>
      <c r="AD111" s="3" t="str">
        <f t="array" ref="AD111">IFERROR(INDEX(CI$7:CI$377,SMALL(IF(CI$7:CI$377&lt;&gt;"",ROW(CI$7:CI$377)-ROW(CI$7)+1),ROWS(CI$7:CI110))),"")</f>
        <v/>
      </c>
      <c r="AE111" s="3" t="str">
        <f t="array" ref="AE111">IFERROR(INDEX(CJ$7:CJ$378,SMALL(IF(CJ$7:CJ$378&lt;&gt;"",ROW(CJ$7:CJ$378)-ROW(CJ$7)+1),ROWS(CJ$7:CJ110))),"")</f>
        <v/>
      </c>
      <c r="AF111" s="3" t="str">
        <f t="array" ref="AF111">IFERROR(INDEX(CK$7:CK$378,SMALL(IF(CK$7:CK$378&lt;&gt;"",ROW(CK$7:CK$378)-ROW(CK$7)+1),ROWS(CK$7:CK110))),"")</f>
        <v/>
      </c>
      <c r="AG111" s="3" t="str">
        <f t="array" ref="AG111">IFERROR(INDEX(CL$7:CL$378,SMALL(IF(CL$7:CL$378&lt;&gt;"",ROW(CL$7:CL$378)-ROW(CL$7)+1),ROWS(CL$7:CL110))),"")</f>
        <v/>
      </c>
      <c r="AH111" s="3"/>
      <c r="AI111" s="3"/>
      <c r="AJ111" s="3"/>
      <c r="AK111" s="3"/>
      <c r="AL111" s="3"/>
      <c r="AM111" s="3"/>
      <c r="AN111" s="52" t="str">
        <f>IF(Atletas!D102="","",IF(Atletas!B102="Feminino",100,IF(Atletas!B102="Masculino",200,""))+(IF(Atletas!D102="Kids 30kg",1,IF(Atletas!D102="Kids 32kg",2, IF(Atletas!D102="Kids 34kg",3,IF(Atletas!D102="Kids 36kg",4,IF(Atletas!D102="Kids 39kg",5,IF(Atletas!D102="Kids 42kg",6,IF(Atletas!D102="Kids 45kg",7, IF(Atletas!D102="Infantil 39kg",8,IF(Atletas!D102="Infantil 42kg",9,IF(Atletas!D102="Infantil 45kg",10,IF(Atletas!D102="Infantil 48kg",11,IF(Atletas!D102="Infantil 52kg",12,IF(Atletas!D102="Infantil 56kg",13,IF(Atletas!D102="Infantil 60kg",14,IF(Atletas!D102="Juvenil 48kg",15,IF(Atletas!D102="Juvenil 52kg",16,IF(Atletas!D102="Juvenil 56kg",17,IF(Atletas!D102="Juvenil 60kg",18,IF(Atletas!D102="Juvenil 65kg",19,IF(Atletas!D102="Juvenil 70kg",20,IF(Atletas!D102="Juvenil 75kg",21,IF(Atletas!D102="Juvenil 80kg",22, IF(Atletas!D102="Juvenil 85kg",23,IF(Atletas!D102="Adulto 48kg",24,IF(Atletas!D102="Adulto 52kg",25,IF(Atletas!D102="Adulto 56kg",26,IF(Atletas!D102="Adulto 60kg",27,IF(Atletas!D102="Adulto 65kg",28,IF(Atletas!D102="Adulto 70kg",29,IF(Atletas!D102="Adulto 75kg",30,IF(Atletas!D102="Adulto 80kg",31,IF(Atletas!D102="Adulto 85kg",32,IF(Atletas!D102="Adulto 90kg",33,IF(Atletas!D102="Adulto 100kg",34, IF(Atletas!D102="Adulto +100kg",35,"")))))))))))))))))))))))))))))))))))))</f>
        <v/>
      </c>
      <c r="AS111" s="6" t="str">
        <f>IF(Atletas!E102="","",IF(Atletas!B102="Feminino",100,IF(Atletas!B102="Masculino",200,""))+(IF(Atletas!E102="Juvenil 44kg",1,IF(Atletas!E102="Juvenil 48kg",2,IF(Atletas!E102="Juvenil 52kg",3,IF(Atletas!E102="Juvenil 56kg",4,IF(Atletas!E102="Juvenil 60kg",5,IF(Atletas!E102="Juvenil 65kg",6,IF(Atletas!E102="Juvenil 70kg",7,IF(Atletas!E102="Juvenil 75kg",8,IF(Atletas!E102="Juvenil 82kg",9,IF(Atletas!E102="Juvenil 90kg",10,IF(Atletas!E102="Juvenil 100kg",11,IF(Atletas!E102="Adulto 48kg",12,IF(Atletas!E102="Adulto 52kg",13,IF(Atletas!E102="Adulto 56kg",14,IF(Atletas!E102="Adulto 60kg",15,IF(Atletas!E102="Adulto 65kg",16,IF(Atletas!E102="Adulto 70kg",17,IF(Atletas!E102="Adulto 75kg",18,IF(Atletas!E102="Adulto 82kg",19,IF(Atletas!E102="Adulto 90kg",20,IF(Atletas!E102="Adulto 100kg",21,IF(Atletas!E102="Adulto +100kg",22,""))))))))))))))))))))))))</f>
        <v/>
      </c>
      <c r="AX111" s="6" t="str">
        <f>IF(Atletas!F102="","",IF(Atletas!B102="Feminino",100,IF(Atletas!B102="Masculino",200,""))+(IF(Atletas!F102="Adulto 48kg",1,IF(Atletas!F102="Adulto 56kg",2,IF(Atletas!F102="Adulto 65kg",3,IF(Atletas!F102="Adulto 75kg",4,IF(Atletas!F102="Adulto +75kg",5,IF(Atletas!F102="Adulto 52kg",6,IF(Atletas!F102="Adulto 60kg",7,IF(Atletas!F102="Adulto 70kg",8,IF(Atletas!F102="Adulto 80kg",9,IF(Atletas!F102="Adulto 90kg",10,IF(Atletas!F102="Adulto +90kg",11,"")))))))))))))</f>
        <v/>
      </c>
      <c r="BC111" s="6" t="str">
        <f>IF(Atletas!G102="","",IF(Atletas!B102="Feminino",10,IF(Atletas!B102="Masculino",20,""))+(IF(Atletas!G102="Baduanjin A",1,IF(Atletas!G102="Baduanjin B",2))))</f>
        <v/>
      </c>
      <c r="BF111" s="52" t="str">
        <f>IF(Atletas!H102="","",IF(Atletas!B102="Feminino",100,IF(Atletas!B102="Masculino",200,""))+(IF(Atletas!H102="Changquan Mirim",1,IF(Atletas!H102="Nanquan Mirim",2,IF(Atletas!H102="Taijiquan Mirim",3,IF(Atletas!H102="Changquan Grupo C",4,IF(Atletas!H102="Nanquan Grupo C",5,IF(Atletas!H102="Taijiquan Grupo C",6,IF(Atletas!H102="Changquan Grupo B",7,IF(Atletas!H102="Nanquan Grupo B",8,IF(Atletas!H102="Taijiquan Grupo B",9,IF(Atletas!H102="Changquan Grupo A",10,IF(Atletas!H102="Nanquan Grupo A",11,IF(Atletas!H102="Taijiquan Grupo A",12,IF(Atletas!H102="Changquan Opcional",13,IF(Atletas!H102="Nanquan Opcional",14,IF(Atletas!H102="Taijiquan Opcional",15,IF(Atletas!H102="Changquan Adulto",16,IF(Atletas!H102="Nanquan Adulto",17,IF(Atletas!H102="Taijiquan Adulto",18,""))))))))))))))))))))</f>
        <v/>
      </c>
      <c r="BG111" s="52" t="str">
        <f>IF(Atletas!I102="","",IF(Atletas!B102="Feminino",100,IF(Atletas!B102="Masculino",200,""))+(IF(Atletas!I102="Daoshu Mirim",19,IF(Atletas!I102="Jianshu Mirim",20,IF(Atletas!I102="Nandao Mirim",21,IF(Atletas!I102="Taijijian Mirim",22,IF(Atletas!I102="Daoshu Grupo C",23,IF(Atletas!I102="Jianshu Grupo C",24,IF(Atletas!I102="Nandao Grupo C",25,IF(Atletas!I102="Taijijian Grupo C",26,IF(Atletas!I102="Daoshu Grupo B",27,IF(Atletas!I102="Jianshu Grupo B",28,IF(Atletas!I102="Nandao Grupo B",29,IF(Atletas!I102="Taijijian Grupo B",30,IF(Atletas!I102="Daoshu Grupo A",31,IF(Atletas!I102="Jianshu Grupo A",32,IF(Atletas!I102="Nandao Grupo A",33,IF(Atletas!I102="Taijijian Grupo A",34,IF(Atletas!I102="Daoshu Opcional",35,IF(Atletas!I102="Jianshu Opcional",36,IF(Atletas!I102="Nandao Opcional",37,IF(Atletas!I102="Taijijian Opcional",38,IF(Atletas!I102="Daoshu Adulto",39,IF(Atletas!I102="Jianshu Adulto",40,IF(Atletas!I102="Nandao Adulto",41,IF(Atletas!I102="Taijijian Adulto",42,""))))))))))))))))))))))))))</f>
        <v/>
      </c>
      <c r="BH111" s="52" t="str">
        <f>IF(Atletas!J102="","",IF(Atletas!B102="Feminino",100,IF(Atletas!B102="Masculino",200,""))+(IF(Atletas!J102="Gunshu Mirim",43,IF(Atletas!J102="Qiangshu Mirim",44,IF(Atletas!J102="Nangun Mirim",45,IF(Atletas!J102="Gunshu Grupo C",46,IF(Atletas!J102="Qiangshu Grupo C",47,IF(Atletas!J102="Nangun Grupo C",48,IF(Atletas!J102="Gunshu Grupo B",49,IF(Atletas!J102="Qiangshu Grupo B",50,IF(Atletas!J102="Nangun Grupo B",51,IF(Atletas!J102="Gunshu Grupo A",52,IF(Atletas!J102="Qiangshu Grupo A",53,IF(Atletas!J102="Nangun Grupo A",54,IF(Atletas!J102="Gunshu Opcional",55,IF(Atletas!J102="Qiangshu Opcional",56,IF(Atletas!J102="Nangun Opcional",57,IF(Atletas!J102="Gunshu Adulto",58,IF(Atletas!J102="Qiangshu Adulto",59,IF(Atletas!J102="Nangun Adulto",60,IF(Atletas!J102="Taijishan Grupo B",61,IF(Atletas!J102="Taijishan Grupo A",62,""))))))))))))))))))))))</f>
        <v/>
      </c>
      <c r="BM111" s="50" t="str">
        <f>IF(Atletas!K102="","",IF(Atletas!B102="Feminino",100,IF(Atletas!B102="Masculino",200,""))+(IF(Atletas!K102="Equipe 1 Grupo B",1,IF(Atletas!K102="Equipe 2 Grupo B",2,IF(Atletas!K102="Equipe 1 Grupo A",3,IF(Atletas!K102="Equipe 2 Grupo A",4,IF(Atletas!K102="Equipe 1 Adulto",5,IF(Atletas!K102="Equipe 2 Adulto",6,""))))))))</f>
        <v/>
      </c>
      <c r="BR111" s="50" t="str">
        <f>IF(Atletas!L102="","",IF(Atletas!X102&lt;&gt;"",10000,0)+(IF(Atletas!B102="Feminino",1000,IF(Atletas!B102="Masculino",2000,""))+IF(Atletas!L102="Choylayfut A",1,IF(Atletas!L102="Hunggar A",2,IF(Atletas!L102="Wuzuquan A",3,IF(Atletas!L102="Wingchun A",4,IF(Atletas!L102="Outra Mão de Sul A",5,IF(Atletas!L102="Choylayfut B",6,IF(Atletas!L102="Hunggar B",7,IF(Atletas!L102="Wuzuquan B",8,IF(Atletas!L102="Wingchun B",9,IF(Atletas!L102="Outra Mão de Sul B",10,IF(Atletas!L102="Choylayfut C",11,IF(Atletas!L102="Hunggar C",12,IF(Atletas!L102="Wuzuquan C",13,IF(Atletas!L102="Wingchun C",14,IF(Atletas!L102="Outra Mão de Sul C",15,IF(Atletas!L102="Choylayfut D",16,IF(Atletas!L102="Hunggar D",17,IF(Atletas!L102="Wuzuquan D",18,IF(Atletas!L102="Wingchun D",19,IF(Atletas!L102="Outra Mão de Sul D",20,IF(Atletas!L102="Choylayfut E",21,IF(Atletas!L102="Hunggar E",22,IF(Atletas!L102="Wuzuquan E",23,IF(Atletas!L102="Wingchun E",24,IF(Atletas!L102="Outra Mão de Sul E",25,IF(Atletas!L102="Choylayfut F",26,IF(Atletas!L102="Hunggar F",27,IF(Atletas!L102="Wuzuquan F",28,IF(Atletas!L102="Wingchun F",29,IF(Atletas!L102="Outra Mão de Sul F",30,IF(Atletas!L102="Dishuquan A",31,IF(Atletas!L102="Dishuquan B",32,IF(Atletas!L102="Dishuquan C",33,IF(Atletas!L102="Dishuquan D",34,IF(Atletas!L102="Dishuquan E",35,IF(Atletas!L102="Dishuquan F",36,""))))))))))))))))))))))))))))))))))))))</f>
        <v/>
      </c>
      <c r="BS111" s="50" t="str">
        <f>IF(Atletas!M102="","",IF(Atletas!X102&lt;&gt;"",10000,0)+(IF(Atletas!B102="Feminino",1000,IF(Atletas!B102="Masculino",2000,""))+(IF(Atletas!M102="Chaquan A",101,IF(Atletas!M102="Emeiquan A",102,IF(Atletas!M102="Fanziquan A",103,IF(Atletas!M102="Huaquan A",104,IF(Atletas!M102="Hongquan A",105,IF(Atletas!M102="Paoquan A",106,IF(Atletas!M102="Piguaquan A",107,IF(Atletas!M102="Shaolinquan A",108,IF(Atletas!M102="Tanglangquan A",109,IF(Atletas!M102="Yingzhaoquan A",110,IF(Atletas!M102="Tongbeiquan A",111,IF(Atletas!M102="Wudangquan A",112,IF(Atletas!M102="Outros Estilos A",113,IF(Atletas!M102="Chaquan B",114,IF(Atletas!M102="Emeiquan B",115,IF(Atletas!M102="Fanziquan B",116,IF(Atletas!M102="Huaquan B",117,IF(Atletas!M102="Hongquan B",118,IF(Atletas!M102="Paoquan B",119,IF(Atletas!M102="Piguaquan B",120,IF(Atletas!M102="Shaolinquan B",121,IF(Atletas!M102="Tanglangquan B",122,IF(Atletas!M102="Yingzhaoquan B",123,IF(Atletas!M102="Tongbeiquan B",124,IF(Atletas!M102="Wudangquan B",125,IF(Atletas!M102="Outros Estilos B",126,IF(Atletas!M102="Chaquan C",127,IF(Atletas!M102="Emeiquan C",128,IF(Atletas!M102="Fanziquan C",129,IF(Atletas!M102="Huaquan C",130,IF(Atletas!M102="Hongquan C",131,IF(Atletas!M102="Paoquan C",132,IF(Atletas!M102="Piguaquan C",133,IF(Atletas!M102="Shaolinquan C",134,IF(Atletas!M102="Tanglangquan C",135,IF(Atletas!M102="Yingzhaoquan C",136,IF(Atletas!M102="Tongbeiquan C",137,IF(Atletas!M102="Wudangquan C",138,IF(Atletas!M102="Outros Estilos C",139,0))))))))))))))))))))))))))))))))))))))))))</f>
        <v/>
      </c>
      <c r="BT111" s="50" t="str">
        <f>IF(Atletas!M102="","",IF(Atletas!X102&lt;&gt;"",10000,0)+(IF(Atletas!B102="Feminino",1000,IF(Atletas!B102="Masculino",2000,""))+(IF(Atletas!M102="Chaquan D",140,IF(Atletas!M102="Emeiquan D",141,IF(Atletas!M102="Fanziquan D",142,IF(Atletas!M102="Huaquan D",143,IF(Atletas!M102="Hongquan D",144,IF(Atletas!M102="Paoquan D",145,IF(Atletas!M102="Piguaquan D",146,IF(Atletas!M102="Shaolinquan D",147,IF(Atletas!M102="Tanglangquan D",148,IF(Atletas!M102="Yingzhaoquan D",149,IF(Atletas!M102="Tongbeiquan D",150,IF(Atletas!M102="Wudangquan D",151,IF(Atletas!M102="Outros Estilos D",152,IF(Atletas!M102="Chaquan E",153,IF(Atletas!M102="Emeiquan E",154,IF(Atletas!M102="Fanziquan E",155,IF(Atletas!M102="Huaquan E",156,IF(Atletas!M102="Hongquan E",157,IF(Atletas!M102="Paoquan E",158,IF(Atletas!M102="Piguaquan E",159,IF(Atletas!M102="Shaolinquan E",160,IF(Atletas!M102="Tanglangquan E",161,IF(Atletas!M102="Yingzhaoquan E",162,IF(Atletas!M102="Tongbeiquan E",163,IF(Atletas!M102="Wudangquan E",164,IF(Atletas!M102="Outros Estilos E",165,IF(Atletas!M102="Chaquan F",166,IF(Atletas!M102="Emeiquan F",167,IF(Atletas!M102="Fanziquan F",168,IF(Atletas!M102="Huaquan F",169,IF(Atletas!M102="Hongquan F",170,IF(Atletas!M102="Paoquan F",171,IF(Atletas!M102="Piguaquan F",172,IF(Atletas!M102="Shaolinquan F",173,IF(Atletas!M102="Tanglangquan F",174,IF(Atletas!M102="Yingzhaoquan F",175,IF(Atletas!M102="Tongbeiquan F",176,IF(Atletas!M102="Wudangquan F",177,IF(Atletas!M102="Outros Estilos F",178,0))))))))))))))))))))))))))))))))))))))))))</f>
        <v/>
      </c>
      <c r="BU111" s="50" t="str">
        <f>IF(Atletas!N102="","",IF(Atletas!X102&lt;&gt;"",10000,0)+(IF(Atletas!B102="Feminino",1000,IF(Atletas!B102="Masculino",2000,""))+(IF(Atletas!N102="Ditangquan A",201,IF(Atletas!N102="Houquan A",202,IF(Atletas!N102="Zuiquan A",203,IF(Atletas!N102="Ditangquan B",204,IF(Atletas!N102="Houquan B",205,IF(Atletas!N102="Zuiquan B",206,IF(Atletas!N102="Ditangquan C",207,IF(Atletas!N102="Houquan C",208,IF(Atletas!N102="Zuiquan C",209,IF(Atletas!N102="Ditangquan D",210,IF(Atletas!N102="Houquan D",211,IF(Atletas!N102="Zuiquan D",212,IF(Atletas!N102="Ditangquan E",213,IF(Atletas!N102="Houquan E",214,IF(Atletas!N102="Zuiquan E",215,IF(Atletas!N102="Ditangquan F",216,IF(Atletas!N102="Houquan F",217,IF(Atletas!N102="Zuiquan F",218,"")))))))))))))))))))))</f>
        <v/>
      </c>
      <c r="BV111" s="50" t="str">
        <f>IF(Atletas!O102="","",IF(Atletas!X102&lt;&gt;"",10000,0)+IF(Atletas!B102="Feminino",1000,IF(Atletas!B102="Masculino",2000,""))+IF(Atletas!O102="Yang A",301,IF(Atletas!O102="Chen A",302,IF(Atletas!O102="Sun A",303,IF(Atletas!O102="Wu A",304,IF(Atletas!O102="Wu-Hao A",305,IF(Atletas!O102="Outro Taijiquan A",306,IF(Atletas!O102="Yang B",307,IF(Atletas!O102="Chen B",308,IF(Atletas!O102="Sun B",309,IF(Atletas!O102="Wu B",310,IF(Atletas!O102="Wu-Hao B",311,IF(Atletas!O102="Outro Taijiquan B",312,IF(Atletas!O102="Yang C",313,IF(Atletas!O102="Chen C",314,IF(Atletas!O102="Sun C",315,IF(Atletas!O102="Wu C",316,IF(Atletas!O102="Wu-Hao C",317,IF(Atletas!O102="Outro Taijiquan C",318,IF(Atletas!O102="Yang D",319,IF(Atletas!O102="Chen D",320,IF(Atletas!O102="Sun D",321,IF(Atletas!O102="Wu D",322,IF(Atletas!O102="Wu-Hao D",323,IF(Atletas!O102="Outro Taijiquan D",324,IF(Atletas!O102="Yang E",325,IF(Atletas!O102="Chen E",326,IF(Atletas!O102="Sun E",327,IF(Atletas!O102="Wu E",328,IF(Atletas!O102="Wu-Hao E",329,IF(Atletas!O102="Outro Taijiquan E",330,IF(Atletas!O102="Yang F",331,IF(Atletas!O102="Chen F",332,IF(Atletas!O102="Sun F",333,IF(Atletas!O102="Wu F",334,IF(Atletas!O102="Wu-Hao F",335,IF(Atletas!O102="Outro Taijiquan F",336,"")))))))))))))))))))))))))))))))))))))</f>
        <v/>
      </c>
      <c r="BW111" s="50" t="str">
        <f>IF(Atletas!P102="","",IF(Atletas!X102&lt;&gt;"",10000,0)+IF(Atletas!B102="Feminino",1000,IF(Atletas!B102="Masculino",2000,""))+IF(OR(Atletas!P102="Yang 26 A",Atletas!P102="Yang 40 A"),401,IF(OR(Atletas!P102="Chen 25 A",Atletas!P102="Chen 36 A",Atletas!P102="Chen 56 A"),402,IF(Atletas!P102="Sun 73 A",403,IF(Atletas!P102="Wu 45 A",404,IF(Atletas!P102="Wu-Hao 46 A",405,IF(OR(Atletas!P102="Taijiquan 16 A",Atletas!P102="Taijiquan 24 A",Atletas!P102="Taijiquan 32 A",Atletas!P102="Taijiquan 42 A"),406,IF(OR(Atletas!P102="Yang 26 B",Atletas!P102="Yang 40 B"),407,IF(OR(Atletas!P102="Chen 25 B",Atletas!P102="Chen 36 B",Atletas!P102="Chen 56 B"),408,IF(Atletas!P102="Sun 73 B",409,IF(Atletas!P102="Wu 45 B",410,IF(Atletas!P102="Wu-Hao 46 B",411,IF(OR(Atletas!P102="Taijiquan 16 B",Atletas!P102="Taijiquan 24 B",Atletas!P102="Taijiquan 32 B",Atletas!P102="Taijiquan 42 B"),412,IF(OR(Atletas!P102="Yang 26 C",Atletas!P102="Yang 40 C"),413,IF(OR(Atletas!P102="Chen 25 C",Atletas!P102="Chen 36 C",Atletas!P102="Chen 56 C"),414,IF(Atletas!P102="Sun 73 C",415,IF(Atletas!P102="Wu 45 C",416,IF(Atletas!P102="Wu-Hao 46 C",417,IF(OR(Atletas!P102="Taijiquan 16 C",Atletas!P102="Taijiquan 24 C",Atletas!P102="Taijiquan 32 C",Atletas!P102="Taijiquan 42 C"),418,0)))))))))))))))))))</f>
        <v/>
      </c>
      <c r="BX111" s="50" t="str">
        <f>IF(Atletas!P102="","",IF(Atletas!X102&lt;&gt;"",10000,0)+IF(Atletas!B102="Feminino",1000,IF(Atletas!B102="Masculino",2000,""))+IF(OR(Atletas!P102="Yang 26 D",Atletas!P102="Yang 40 D"),419,IF(OR(Atletas!P102="Chen 25 D",Atletas!P102="Chen 36 D",Atletas!P102="Chen 56 D"),420,IF(Atletas!P102="Sun 73 D",421,IF(Atletas!P102="Wu 45 D",422,IF(Atletas!P102="Wu-Hao 46 D",423,IF(OR(Atletas!P102="Taijiquan 16 D",Atletas!P102="Taijiquan 24 D",Atletas!P102="Taijiquan 32 D",Atletas!P102="Taijiquan 42 D"),424,IF(OR(Atletas!P102="Yang 26 E",Atletas!P102="Yang 40 E"),425,IF(OR(Atletas!P102="Chen 25 E",Atletas!P102="Chen 36 E",Atletas!P102="Chen 56 E"),426,IF(Atletas!P102="Sun 73 E",427,IF(Atletas!P102="Wu 45 E",428,IF(Atletas!P102="Wu-Hao 46 E",429,IF(OR(Atletas!P102="Taijiquan 16 E",Atletas!P102="Taijiquan 24 E",Atletas!P102="Taijiquan 32 E",Atletas!P102="Taijiquan 42 E"),430,IF(OR(Atletas!P102="Yang 26 F",Atletas!P102="Yang 40 F"),431,IF(OR(Atletas!P102="Chen 25 F",Atletas!P102="Chen 36 F",Atletas!P102="Chen 56 F"),432,IF(Atletas!P102="Sun 73 F",433,IF(Atletas!P102="Wu 45 F",434,IF(Atletas!P102="Wu-Hao 46 F",435,IF(OR(Atletas!P102="Taijiquan 16 F",Atletas!P102="Taijiquan 24 F",Atletas!P102="Taijiquan 32 F",Atletas!P102="Taijiquan 42 F"),436,0)))))))))))))))))))</f>
        <v/>
      </c>
      <c r="BY111" s="50" t="str">
        <f>IF(Atletas!Q102="","",IF(Atletas!X102&lt;&gt;"",10000,0)+IF(Atletas!B102="Feminino",1000,IF(Atletas!B102="Masculino",2000,""))+IF(Atletas!Q102="Xingyiquan A",501,IF(Atletas!Q102="Baguazhang A",502,IF(Atletas!Q102="Outro Estilo Interno A",503,IF(Atletas!Q102="Xingyiquan B",504,IF(Atletas!Q102="Baguazhang B",505,IF(Atletas!Q102="Outro Estilo Interno B",506,IF(Atletas!Q102="Xingyiquan C",507,IF(Atletas!Q102="Baguazhang C",508,IF(Atletas!Q102="Outro Estilo Interno C",509,IF(Atletas!Q102="Xingyiquan D",510,IF(Atletas!Q102="Baguazhang D",511,IF(Atletas!Q102="Outro Estilo Interno D",512,IF(Atletas!Q102="Xingyiquan E",513,IF(Atletas!Q102="Baguazhang E",514,IF(Atletas!Q102="Outro Estilo Interno E",515,IF(Atletas!Q102="Xingyiquan F",516,IF(Atletas!Q102="Baguazhang F",517,IF(Atletas!Q102="Outro Estilo Interno F",518, "")))))))))))))))))))</f>
        <v/>
      </c>
      <c r="BZ111" s="50" t="str">
        <f>IF(Atletas!R102="","",IF(Atletas!X102&lt;&gt;"",10000,0)+IF(Atletas!B102="Feminino",1000,IF(Atletas!B102="Masculino",2000,""))+IF(Atletas!R102="Dao A",601,IF(Atletas!R102="Jian A",602,IF(Atletas!R102="Bishou A",603,IF(Atletas!R102="Shanzi A",604,IF(Atletas!R102="Outra Arma Curta A",605,IF(Atletas!R102="Dao B",606,IF(Atletas!R102="Jian B",607,IF(Atletas!R102="Bishou B",608,IF(Atletas!R102="Shanzi B",609,IF(Atletas!R102="Outra Arma Curta B",610,IF(Atletas!R102="Dao C",611,IF(Atletas!R102="Jian C",612,IF(Atletas!R102="Bishou C",613,IF(Atletas!R102="Shanzi C",614,IF(Atletas!R102="Outra Arma Curta C",615,IF(Atletas!R102="Dao D",616,IF(Atletas!R102="Jian D",617,IF(Atletas!R102="Bishou D",618,IF(Atletas!R102="Shanzi D",619,IF(Atletas!R102="Outra Arma Curta D",620,IF(Atletas!R102="Dao E",621,IF(Atletas!R102="Jian E",622,IF(Atletas!R102="Bishou E",623,IF(Atletas!R102="Shanzi E",624,IF(Atletas!R102="Outra Arma Curta E",625,IF(Atletas!R102="Dao F",626,IF(Atletas!R102="Jian F",627,IF(Atletas!R102="Bishou F",628,IF(Atletas!R102="Shanzi F",629,IF(Atletas!R102="Outra Arma Curta F",630, "")))))))))))))))))))))))))))))))</f>
        <v/>
      </c>
      <c r="CA111" s="50" t="str">
        <f>IF(Atletas!S102="","",IF(Atletas!X102&lt;&gt;"",10000,0)+IF(Atletas!B102="Feminino",1000,IF(Atletas!B102="Masculino",2000,""))+IF(Atletas!S102="Gun A",701,IF(Atletas!S102="Qiang A",702,IF(Atletas!S102="Pudao / Guandao A",703,IF(Atletas!S102="Outra Arma Longa A",704,IF(Atletas!S102="Gun B",705,IF(Atletas!S102="Qiang B",706,IF(Atletas!S102="Pudao / Guandao B",707,IF(Atletas!S102="Outra Arma Longa B",708,IF(Atletas!S102="Gun C",709,IF(Atletas!S102="Qiang C",710,IF(Atletas!S102="Pudao / Guandao C",711,IF(Atletas!S102="Outra Arma Longa C",712,IF(Atletas!S102="Gun D",713,IF(Atletas!S102="Qiang D",714,IF(Atletas!S102="Pudao / Guandao D",715,IF(Atletas!S102="Outra Arma Longa D",716,IF(Atletas!S102="Gun E",717,IF(Atletas!S102="Qiang E",718,IF(Atletas!S102="Pudao / Guandao E",719,IF(Atletas!S102="Outra Arma Longa E",720,IF(Atletas!S102="Gun F",721,IF(Atletas!S102="Qiang F",722,IF(Atletas!S102="Pudao / Guandao F",723,IF(Atletas!S102="Outra Arma Longa F",724,"")))))))))))))))))))))))))</f>
        <v/>
      </c>
      <c r="CB111" s="50" t="str">
        <f>IF(Atletas!T102="","",IF(Atletas!X102&lt;&gt;"",10000,0)+IF(Atletas!B102="Feminino",1000,IF(Atletas!B102="Masculino",2000,""))+IF(Atletas!T102="Outra Arma Dupla A",801,IF(Atletas!T102="Arma Maleável A",802,IF(Atletas!T102="Outra Arma Dupla B",803,IF(Atletas!T102="Arma Maleável B",804,IF(Atletas!T102="Outra Arma Dupla C",805,IF(Atletas!T102="Arma Maleável C",806,IF(Atletas!T102="Outra Arma Dupla D",807,IF(Atletas!T102="Arma Maleável D",808,IF(Atletas!T102="Outra Arma Dupla E",809,IF(Atletas!T102="Arma Maleável E",810,IF(Atletas!T102="Outra Arma Dupla F",811,IF(Atletas!T102="Arma Maleável F",812,IF(Atletas!T102="Shuangdao A",813,IF(Atletas!T102="Shuangdao B",814,IF(Atletas!T102="Shuangdao C",815,IF(Atletas!T102="Shuangdao D",816,IF(Atletas!T102="Shuangdao E",817,IF(Atletas!T102="Shuangdao F",818,"")))))))))))))))))))</f>
        <v/>
      </c>
      <c r="CC111" s="50" t="str">
        <f>IF(Atletas!U102="","",IF(Atletas!X102&lt;&gt;"",10000,0)+IF(Atletas!B102="Feminino",1000,IF(Atletas!B102="Masculino",2000,""))+IF(OR(Atletas!U102="Taijijian Yang A",Atletas!U102="Taijijian Yang Standard A"),901,IF(OR(Atletas!U102="Taijijian Chen A", Atletas!U102="Taijijian Chen Standard A"),902,IF(Atletas!U102="Taijijian Sun A",903,IF(Atletas!U102="Taijijian Wu A",904,IF(Atletas!U102="Taijijian Wu-Hao A",905,IF(OR(Atletas!U102="Taijijian 32 A",Atletas!U102="Taijijian 42 A"),906,IF(OR(Atletas!U102="Taijijian Yang B",Atletas!U102="Taijijian Yang Standard B"),907,IF(OR(Atletas!U102="Taijijian Chen B", Atletas!U102="Taijijian Chen Standard B"),908,IF(Atletas!U102="Taijijian Sun B",909,IF(Atletas!U102="Taijijian Wu B",910,IF(Atletas!U102="Taijijian Wu-Hao B",911,IF(OR(Atletas!U102="Taijijian 32 B",Atletas!U102="Taijijian 42 B"),912,IF(OR(Atletas!U102="Taijijian Yang C",Atletas!U102="Taijijian Yang Standard C"),913,IF(OR(Atletas!U102="Taijijian Chen C", Atletas!U102="Taijijian Chen Standard C"),914,IF(Atletas!U102="Taijijian Sun C",915,IF(Atletas!U102="Taijijian Wu C",916,IF(Atletas!U102="Taijijian Wu-Hao C",917,IF(OR(Atletas!U102="Taijijian 32 C",Atletas!U102="Taijijian 42 C"),918,IF(OR(Atletas!U102="Taijijian Yang D",Atletas!U102="Taijijian Yang Standard D"),919,IF(OR(Atletas!U102="Taijijian Chen D", Atletas!U102="Taijijian Chen Standard D"),920,IF(Atletas!U102="Taijijian Sun D",921,IF(Atletas!U102="Taijijian Wu D",922,IF(Atletas!U102="Taijijian Wu-Hao D",923,IF(OR(Atletas!U102="Taijijian 32 D",Atletas!U102="Taijijian 42 D"),924,IF(OR(Atletas!U102="Taijijian Yang E",Atletas!U102="Taijijian Yang Standard E"),925,IF(OR(Atletas!U102="Taijijian Chen E", Atletas!U102="Taijijian Chen Standard E"),926,IF(Atletas!U102="Taijijian Sun E",927,IF(Atletas!U102="Taijijian Wu E",928,IF(Atletas!U102="Taijijian Wu-Hao E",929,IF(OR(Atletas!U102="Taijijian 32 E",Atletas!U102="Taijijian 42 E"),930,IF(OR(Atletas!U102="Taijijian Yang F",Atletas!U102="Taijijian Yang Standard F"),931,IF(OR(Atletas!U102="Taijijian Chen F", Atletas!U102="Taijijian Chen Standard F"),932,IF(Atletas!U102="Taijijian Sun F",933,IF(Atletas!U102="Taijijian Wu F",934,IF(Atletas!U102="Taijijian Wu-Hao F",935,IF(OR(Atletas!U102="Taijijian 32 F",Atletas!U102="Taijijian 42 F"),936,"")))))))))))))))))))))))))))))))))))))</f>
        <v/>
      </c>
      <c r="CD111" s="50" t="str">
        <f>IF(Atletas!V102="","",IF(Atletas!X102&lt;&gt;"",10000,0)+IF(Atletas!B102="Feminino",1000,IF(Atletas!B102="Masculino",2000,""))+IF(Atletas!V102="Taijidao A",937,IF(Atletas!V102="TaijiShanzi A",938,IF(Atletas!V102="Taijiqiang A",939,IF(Atletas!V102="Bagua de Arma A",940,IF(Atletas!V102="Xingyi de Arma A",941,IF(Atletas!V102="Taijidao B",942,IF(Atletas!V102="TaijiShanzi B",943,IF(Atletas!V102="Taijiqiang B",944,IF(Atletas!V102="Bagua de Arma B",945,IF(Atletas!V102="Xingyi de Arma B",946,IF(Atletas!V102="Taijidao C",947,IF(Atletas!V102="TaijiShanzi C",948,IF(Atletas!V102="Taijiqiang C",949,IF(Atletas!V102="Bagua de Arma C",950,IF(Atletas!V102="Xingyi de Arma C",951,IF(Atletas!V102="Taijidao D",952,IF(Atletas!V102="TaijiShanzi D",953,IF(Atletas!V102="Taijiqiang D",954,IF(Atletas!V102="Bagua de Arma D",955,IF(Atletas!V102="Xingyi de Arma D",956,IF(Atletas!V102="Taijidao E",957,IF(Atletas!V102="TaijiShanzi E",958,IF(Atletas!V102="Taijiqiang E",959,IF(Atletas!V102="Bagua de Arma E",960,IF(Atletas!V102="Xingyi de Arma E",961,IF(Atletas!V102="Taijidao F",962,IF(Atletas!V102="TaijiShanzi F",963,IF(Atletas!V102="Taijiqiang F",964,IF(Atletas!V102="Bagua de Arma F",965,IF(Atletas!V102="Xingyi de Arma F",966,"")))))))))))))))))))))))))))))))</f>
        <v/>
      </c>
      <c r="CE111" s="66" t="str">
        <f>IF(CF111&lt;&gt;"","Huaquan F","")</f>
        <v/>
      </c>
      <c r="CF111" s="66" t="str">
        <f>IF(COUNTIF(BR:CD,1169)&gt;0,COUNTIF(BR:CD,1169),"")</f>
        <v/>
      </c>
      <c r="CG111" s="66" t="str">
        <f>IF(CH111&lt;&gt;"","Huaquan F","")</f>
        <v/>
      </c>
      <c r="CH111" s="66" t="str">
        <f>IF(COUNTIF(BR:CD,2169)&gt;0,COUNTIF(BR:CD,2169),"")</f>
        <v/>
      </c>
      <c r="CI111" s="66" t="str">
        <f>IF(CJ111&lt;&gt;"","Yingzhaoquan F","")</f>
        <v/>
      </c>
      <c r="CJ111" s="66" t="str">
        <f>IF(COUNTIF(BR:CD,11175)&gt;0,COUNTIF(BR:CD,11175),"")</f>
        <v/>
      </c>
      <c r="CK111" s="66" t="str">
        <f>IF(CL111&lt;&gt;"","Yingzhaoquan F","")</f>
        <v/>
      </c>
      <c r="CL111" s="66" t="str">
        <f>IF(COUNTIF(BR:CD,12175)&gt;0,COUNTIF(BR:CD,12175),"")</f>
        <v/>
      </c>
      <c r="CM111" s="50" t="str">
        <f xml:space="preserve"> IF(Atletas!W102="","",IF(Atletas!W102="Duilian de Mãos BC - Equipe 1",1,IF(Atletas!W102="Duilian de Mãos BC - Equipe 2",2,IF(Atletas!W102="Duilian de Armas BC - Equipe 1",3,IF(Atletas!W102="Duilian de Armas BC - Equipe 2",4,IF(Atletas!W102="Duilian de Mãos DE - Equipe 1",5,IF(Atletas!W102="Duilian de Mãos DE - Equipe 2",6,IF(Atletas!W102="Duilian de Armas DE - Equipe 1",7,IF(Atletas!W102="Duilian de Armas DE - Equipe 2",8,IF(Atletas!W102="Duilian de Tuishou - Equipe 1",9,IF(Atletas!W102="Duilian de Tuishou - Equipe 2",10,IF(Atletas!W102="Grupo Externo ABC - Equipe 1",11,IF(Atletas!W102="Grupo Externo ABC - Equipe 2",12,IF(Atletas!W102="Grupo Interno ABC - Equipe 1",13,IF(Atletas!W102="Grupo Interno ABC - Equipe 2",14,IF(Atletas!W102="Grupo Externo DEF - Equipe 1",15,IF(Atletas!W102="Grupo Externo DEF - Equipe 2",16,IF(Atletas!W102="Grupo Interno DEF - Equipe 1",17,IF(Atletas!W102="Grupo Interno DEF - Equipe 2",18,"")))))))))))))))))))</f>
        <v/>
      </c>
    </row>
    <row r="112" spans="2:91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 t="str">
        <f t="array" ref="Z112">IFERROR(INDEX(CE$7:CE$348,SMALL(IF(CE$7:CE$348&lt;&gt;"",ROW(CE$7:CE$348)-ROW(CE$7)+1),ROWS(CE$7:CE111))),"")</f>
        <v/>
      </c>
      <c r="AA112" s="3" t="str">
        <f t="array" ref="AA112">IFERROR(INDEX(CF$7:CF$348,SMALL(IF(CF$7:CF$348&lt;&gt;"",ROW(CF$7:CF$348)-ROW(CF$7)+1),ROWS(CF$7:CF111))),"")</f>
        <v/>
      </c>
      <c r="AB112" s="3" t="str">
        <f t="array" ref="AB112">IFERROR(INDEX(CG$7:CG$348,SMALL(IF(CG$7:CG$348&lt;&gt;"",ROW(CG$7:CG$348)-ROW(CG$7)+1),ROWS(CG$7:CG111))),"")</f>
        <v/>
      </c>
      <c r="AC112" s="3" t="str">
        <f t="array" ref="AC112">IFERROR(INDEX(CH$7:CH$348,SMALL(IF(CH$7:CH$348&lt;&gt;"",ROW(CH$7:CH$348)-ROW(CH$7)+1),ROWS(CH$7:CH111))),"")</f>
        <v/>
      </c>
      <c r="AD112" s="3" t="str">
        <f t="array" ref="AD112">IFERROR(INDEX(CI$7:CI$377,SMALL(IF(CI$7:CI$377&lt;&gt;"",ROW(CI$7:CI$377)-ROW(CI$7)+1),ROWS(CI$7:CI111))),"")</f>
        <v/>
      </c>
      <c r="AE112" s="3" t="str">
        <f t="array" ref="AE112">IFERROR(INDEX(CJ$7:CJ$378,SMALL(IF(CJ$7:CJ$378&lt;&gt;"",ROW(CJ$7:CJ$378)-ROW(CJ$7)+1),ROWS(CJ$7:CJ111))),"")</f>
        <v/>
      </c>
      <c r="AF112" s="3" t="str">
        <f t="array" ref="AF112">IFERROR(INDEX(CK$7:CK$378,SMALL(IF(CK$7:CK$378&lt;&gt;"",ROW(CK$7:CK$378)-ROW(CK$7)+1),ROWS(CK$7:CK111))),"")</f>
        <v/>
      </c>
      <c r="AG112" s="3" t="str">
        <f t="array" ref="AG112">IFERROR(INDEX(CL$7:CL$378,SMALL(IF(CL$7:CL$378&lt;&gt;"",ROW(CL$7:CL$378)-ROW(CL$7)+1),ROWS(CL$7:CL111))),"")</f>
        <v/>
      </c>
      <c r="AH112" s="3"/>
      <c r="AI112" s="3"/>
      <c r="AJ112" s="3"/>
      <c r="AK112" s="3"/>
      <c r="AL112" s="3"/>
      <c r="AM112" s="3"/>
      <c r="AN112" s="52" t="str">
        <f>IF(Atletas!D103="","",IF(Atletas!B103="Feminino",100,IF(Atletas!B103="Masculino",200,""))+(IF(Atletas!D103="Kids 30kg",1,IF(Atletas!D103="Kids 32kg",2, IF(Atletas!D103="Kids 34kg",3,IF(Atletas!D103="Kids 36kg",4,IF(Atletas!D103="Kids 39kg",5,IF(Atletas!D103="Kids 42kg",6,IF(Atletas!D103="Kids 45kg",7, IF(Atletas!D103="Infantil 39kg",8,IF(Atletas!D103="Infantil 42kg",9,IF(Atletas!D103="Infantil 45kg",10,IF(Atletas!D103="Infantil 48kg",11,IF(Atletas!D103="Infantil 52kg",12,IF(Atletas!D103="Infantil 56kg",13,IF(Atletas!D103="Infantil 60kg",14,IF(Atletas!D103="Juvenil 48kg",15,IF(Atletas!D103="Juvenil 52kg",16,IF(Atletas!D103="Juvenil 56kg",17,IF(Atletas!D103="Juvenil 60kg",18,IF(Atletas!D103="Juvenil 65kg",19,IF(Atletas!D103="Juvenil 70kg",20,IF(Atletas!D103="Juvenil 75kg",21,IF(Atletas!D103="Juvenil 80kg",22, IF(Atletas!D103="Juvenil 85kg",23,IF(Atletas!D103="Adulto 48kg",24,IF(Atletas!D103="Adulto 52kg",25,IF(Atletas!D103="Adulto 56kg",26,IF(Atletas!D103="Adulto 60kg",27,IF(Atletas!D103="Adulto 65kg",28,IF(Atletas!D103="Adulto 70kg",29,IF(Atletas!D103="Adulto 75kg",30,IF(Atletas!D103="Adulto 80kg",31,IF(Atletas!D103="Adulto 85kg",32,IF(Atletas!D103="Adulto 90kg",33,IF(Atletas!D103="Adulto 100kg",34, IF(Atletas!D103="Adulto +100kg",35,"")))))))))))))))))))))))))))))))))))))</f>
        <v/>
      </c>
      <c r="AS112" s="6" t="str">
        <f>IF(Atletas!E103="","",IF(Atletas!B103="Feminino",100,IF(Atletas!B103="Masculino",200,""))+(IF(Atletas!E103="Juvenil 44kg",1,IF(Atletas!E103="Juvenil 48kg",2,IF(Atletas!E103="Juvenil 52kg",3,IF(Atletas!E103="Juvenil 56kg",4,IF(Atletas!E103="Juvenil 60kg",5,IF(Atletas!E103="Juvenil 65kg",6,IF(Atletas!E103="Juvenil 70kg",7,IF(Atletas!E103="Juvenil 75kg",8,IF(Atletas!E103="Juvenil 82kg",9,IF(Atletas!E103="Juvenil 90kg",10,IF(Atletas!E103="Juvenil 100kg",11,IF(Atletas!E103="Adulto 48kg",12,IF(Atletas!E103="Adulto 52kg",13,IF(Atletas!E103="Adulto 56kg",14,IF(Atletas!E103="Adulto 60kg",15,IF(Atletas!E103="Adulto 65kg",16,IF(Atletas!E103="Adulto 70kg",17,IF(Atletas!E103="Adulto 75kg",18,IF(Atletas!E103="Adulto 82kg",19,IF(Atletas!E103="Adulto 90kg",20,IF(Atletas!E103="Adulto 100kg",21,IF(Atletas!E103="Adulto +100kg",22,""))))))))))))))))))))))))</f>
        <v/>
      </c>
      <c r="AX112" s="6" t="str">
        <f>IF(Atletas!F103="","",IF(Atletas!B103="Feminino",100,IF(Atletas!B103="Masculino",200,""))+(IF(Atletas!F103="Adulto 48kg",1,IF(Atletas!F103="Adulto 56kg",2,IF(Atletas!F103="Adulto 65kg",3,IF(Atletas!F103="Adulto 75kg",4,IF(Atletas!F103="Adulto +75kg",5,IF(Atletas!F103="Adulto 52kg",6,IF(Atletas!F103="Adulto 60kg",7,IF(Atletas!F103="Adulto 70kg",8,IF(Atletas!F103="Adulto 80kg",9,IF(Atletas!F103="Adulto 90kg",10,IF(Atletas!F103="Adulto +90kg",11,"")))))))))))))</f>
        <v/>
      </c>
      <c r="BC112" s="6" t="str">
        <f>IF(Atletas!G103="","",IF(Atletas!B103="Feminino",10,IF(Atletas!B103="Masculino",20,""))+(IF(Atletas!G103="Baduanjin A",1,IF(Atletas!G103="Baduanjin B",2))))</f>
        <v/>
      </c>
      <c r="BF112" s="52" t="str">
        <f>IF(Atletas!H103="","",IF(Atletas!B103="Feminino",100,IF(Atletas!B103="Masculino",200,""))+(IF(Atletas!H103="Changquan Mirim",1,IF(Atletas!H103="Nanquan Mirim",2,IF(Atletas!H103="Taijiquan Mirim",3,IF(Atletas!H103="Changquan Grupo C",4,IF(Atletas!H103="Nanquan Grupo C",5,IF(Atletas!H103="Taijiquan Grupo C",6,IF(Atletas!H103="Changquan Grupo B",7,IF(Atletas!H103="Nanquan Grupo B",8,IF(Atletas!H103="Taijiquan Grupo B",9,IF(Atletas!H103="Changquan Grupo A",10,IF(Atletas!H103="Nanquan Grupo A",11,IF(Atletas!H103="Taijiquan Grupo A",12,IF(Atletas!H103="Changquan Opcional",13,IF(Atletas!H103="Nanquan Opcional",14,IF(Atletas!H103="Taijiquan Opcional",15,IF(Atletas!H103="Changquan Adulto",16,IF(Atletas!H103="Nanquan Adulto",17,IF(Atletas!H103="Taijiquan Adulto",18,""))))))))))))))))))))</f>
        <v/>
      </c>
      <c r="BG112" s="52" t="str">
        <f>IF(Atletas!I103="","",IF(Atletas!B103="Feminino",100,IF(Atletas!B103="Masculino",200,""))+(IF(Atletas!I103="Daoshu Mirim",19,IF(Atletas!I103="Jianshu Mirim",20,IF(Atletas!I103="Nandao Mirim",21,IF(Atletas!I103="Taijijian Mirim",22,IF(Atletas!I103="Daoshu Grupo C",23,IF(Atletas!I103="Jianshu Grupo C",24,IF(Atletas!I103="Nandao Grupo C",25,IF(Atletas!I103="Taijijian Grupo C",26,IF(Atletas!I103="Daoshu Grupo B",27,IF(Atletas!I103="Jianshu Grupo B",28,IF(Atletas!I103="Nandao Grupo B",29,IF(Atletas!I103="Taijijian Grupo B",30,IF(Atletas!I103="Daoshu Grupo A",31,IF(Atletas!I103="Jianshu Grupo A",32,IF(Atletas!I103="Nandao Grupo A",33,IF(Atletas!I103="Taijijian Grupo A",34,IF(Atletas!I103="Daoshu Opcional",35,IF(Atletas!I103="Jianshu Opcional",36,IF(Atletas!I103="Nandao Opcional",37,IF(Atletas!I103="Taijijian Opcional",38,IF(Atletas!I103="Daoshu Adulto",39,IF(Atletas!I103="Jianshu Adulto",40,IF(Atletas!I103="Nandao Adulto",41,IF(Atletas!I103="Taijijian Adulto",42,""))))))))))))))))))))))))))</f>
        <v/>
      </c>
      <c r="BH112" s="52" t="str">
        <f>IF(Atletas!J103="","",IF(Atletas!B103="Feminino",100,IF(Atletas!B103="Masculino",200,""))+(IF(Atletas!J103="Gunshu Mirim",43,IF(Atletas!J103="Qiangshu Mirim",44,IF(Atletas!J103="Nangun Mirim",45,IF(Atletas!J103="Gunshu Grupo C",46,IF(Atletas!J103="Qiangshu Grupo C",47,IF(Atletas!J103="Nangun Grupo C",48,IF(Atletas!J103="Gunshu Grupo B",49,IF(Atletas!J103="Qiangshu Grupo B",50,IF(Atletas!J103="Nangun Grupo B",51,IF(Atletas!J103="Gunshu Grupo A",52,IF(Atletas!J103="Qiangshu Grupo A",53,IF(Atletas!J103="Nangun Grupo A",54,IF(Atletas!J103="Gunshu Opcional",55,IF(Atletas!J103="Qiangshu Opcional",56,IF(Atletas!J103="Nangun Opcional",57,IF(Atletas!J103="Gunshu Adulto",58,IF(Atletas!J103="Qiangshu Adulto",59,IF(Atletas!J103="Nangun Adulto",60,IF(Atletas!J103="Taijishan Grupo B",61,IF(Atletas!J103="Taijishan Grupo A",62,""))))))))))))))))))))))</f>
        <v/>
      </c>
      <c r="BM112" s="50" t="str">
        <f>IF(Atletas!K103="","",IF(Atletas!B103="Feminino",100,IF(Atletas!B103="Masculino",200,""))+(IF(Atletas!K103="Equipe 1 Grupo B",1,IF(Atletas!K103="Equipe 2 Grupo B",2,IF(Atletas!K103="Equipe 1 Grupo A",3,IF(Atletas!K103="Equipe 2 Grupo A",4,IF(Atletas!K103="Equipe 1 Adulto",5,IF(Atletas!K103="Equipe 2 Adulto",6,""))))))))</f>
        <v/>
      </c>
      <c r="BR112" s="50" t="str">
        <f>IF(Atletas!L103="","",IF(Atletas!X103&lt;&gt;"",10000,0)+(IF(Atletas!B103="Feminino",1000,IF(Atletas!B103="Masculino",2000,""))+IF(Atletas!L103="Choylayfut A",1,IF(Atletas!L103="Hunggar A",2,IF(Atletas!L103="Wuzuquan A",3,IF(Atletas!L103="Wingchun A",4,IF(Atletas!L103="Outra Mão de Sul A",5,IF(Atletas!L103="Choylayfut B",6,IF(Atletas!L103="Hunggar B",7,IF(Atletas!L103="Wuzuquan B",8,IF(Atletas!L103="Wingchun B",9,IF(Atletas!L103="Outra Mão de Sul B",10,IF(Atletas!L103="Choylayfut C",11,IF(Atletas!L103="Hunggar C",12,IF(Atletas!L103="Wuzuquan C",13,IF(Atletas!L103="Wingchun C",14,IF(Atletas!L103="Outra Mão de Sul C",15,IF(Atletas!L103="Choylayfut D",16,IF(Atletas!L103="Hunggar D",17,IF(Atletas!L103="Wuzuquan D",18,IF(Atletas!L103="Wingchun D",19,IF(Atletas!L103="Outra Mão de Sul D",20,IF(Atletas!L103="Choylayfut E",21,IF(Atletas!L103="Hunggar E",22,IF(Atletas!L103="Wuzuquan E",23,IF(Atletas!L103="Wingchun E",24,IF(Atletas!L103="Outra Mão de Sul E",25,IF(Atletas!L103="Choylayfut F",26,IF(Atletas!L103="Hunggar F",27,IF(Atletas!L103="Wuzuquan F",28,IF(Atletas!L103="Wingchun F",29,IF(Atletas!L103="Outra Mão de Sul F",30,IF(Atletas!L103="Dishuquan A",31,IF(Atletas!L103="Dishuquan B",32,IF(Atletas!L103="Dishuquan C",33,IF(Atletas!L103="Dishuquan D",34,IF(Atletas!L103="Dishuquan E",35,IF(Atletas!L103="Dishuquan F",36,""))))))))))))))))))))))))))))))))))))))</f>
        <v/>
      </c>
      <c r="BS112" s="50" t="str">
        <f>IF(Atletas!M103="","",IF(Atletas!X103&lt;&gt;"",10000,0)+(IF(Atletas!B103="Feminino",1000,IF(Atletas!B103="Masculino",2000,""))+(IF(Atletas!M103="Chaquan A",101,IF(Atletas!M103="Emeiquan A",102,IF(Atletas!M103="Fanziquan A",103,IF(Atletas!M103="Huaquan A",104,IF(Atletas!M103="Hongquan A",105,IF(Atletas!M103="Paoquan A",106,IF(Atletas!M103="Piguaquan A",107,IF(Atletas!M103="Shaolinquan A",108,IF(Atletas!M103="Tanglangquan A",109,IF(Atletas!M103="Yingzhaoquan A",110,IF(Atletas!M103="Tongbeiquan A",111,IF(Atletas!M103="Wudangquan A",112,IF(Atletas!M103="Outros Estilos A",113,IF(Atletas!M103="Chaquan B",114,IF(Atletas!M103="Emeiquan B",115,IF(Atletas!M103="Fanziquan B",116,IF(Atletas!M103="Huaquan B",117,IF(Atletas!M103="Hongquan B",118,IF(Atletas!M103="Paoquan B",119,IF(Atletas!M103="Piguaquan B",120,IF(Atletas!M103="Shaolinquan B",121,IF(Atletas!M103="Tanglangquan B",122,IF(Atletas!M103="Yingzhaoquan B",123,IF(Atletas!M103="Tongbeiquan B",124,IF(Atletas!M103="Wudangquan B",125,IF(Atletas!M103="Outros Estilos B",126,IF(Atletas!M103="Chaquan C",127,IF(Atletas!M103="Emeiquan C",128,IF(Atletas!M103="Fanziquan C",129,IF(Atletas!M103="Huaquan C",130,IF(Atletas!M103="Hongquan C",131,IF(Atletas!M103="Paoquan C",132,IF(Atletas!M103="Piguaquan C",133,IF(Atletas!M103="Shaolinquan C",134,IF(Atletas!M103="Tanglangquan C",135,IF(Atletas!M103="Yingzhaoquan C",136,IF(Atletas!M103="Tongbeiquan C",137,IF(Atletas!M103="Wudangquan C",138,IF(Atletas!M103="Outros Estilos C",139,0))))))))))))))))))))))))))))))))))))))))))</f>
        <v/>
      </c>
      <c r="BT112" s="50" t="str">
        <f>IF(Atletas!M103="","",IF(Atletas!X103&lt;&gt;"",10000,0)+(IF(Atletas!B103="Feminino",1000,IF(Atletas!B103="Masculino",2000,""))+(IF(Atletas!M103="Chaquan D",140,IF(Atletas!M103="Emeiquan D",141,IF(Atletas!M103="Fanziquan D",142,IF(Atletas!M103="Huaquan D",143,IF(Atletas!M103="Hongquan D",144,IF(Atletas!M103="Paoquan D",145,IF(Atletas!M103="Piguaquan D",146,IF(Atletas!M103="Shaolinquan D",147,IF(Atletas!M103="Tanglangquan D",148,IF(Atletas!M103="Yingzhaoquan D",149,IF(Atletas!M103="Tongbeiquan D",150,IF(Atletas!M103="Wudangquan D",151,IF(Atletas!M103="Outros Estilos D",152,IF(Atletas!M103="Chaquan E",153,IF(Atletas!M103="Emeiquan E",154,IF(Atletas!M103="Fanziquan E",155,IF(Atletas!M103="Huaquan E",156,IF(Atletas!M103="Hongquan E",157,IF(Atletas!M103="Paoquan E",158,IF(Atletas!M103="Piguaquan E",159,IF(Atletas!M103="Shaolinquan E",160,IF(Atletas!M103="Tanglangquan E",161,IF(Atletas!M103="Yingzhaoquan E",162,IF(Atletas!M103="Tongbeiquan E",163,IF(Atletas!M103="Wudangquan E",164,IF(Atletas!M103="Outros Estilos E",165,IF(Atletas!M103="Chaquan F",166,IF(Atletas!M103="Emeiquan F",167,IF(Atletas!M103="Fanziquan F",168,IF(Atletas!M103="Huaquan F",169,IF(Atletas!M103="Hongquan F",170,IF(Atletas!M103="Paoquan F",171,IF(Atletas!M103="Piguaquan F",172,IF(Atletas!M103="Shaolinquan F",173,IF(Atletas!M103="Tanglangquan F",174,IF(Atletas!M103="Yingzhaoquan F",175,IF(Atletas!M103="Tongbeiquan F",176,IF(Atletas!M103="Wudangquan F",177,IF(Atletas!M103="Outros Estilos F",178,0))))))))))))))))))))))))))))))))))))))))))</f>
        <v/>
      </c>
      <c r="BU112" s="50" t="str">
        <f>IF(Atletas!N103="","",IF(Atletas!X103&lt;&gt;"",10000,0)+(IF(Atletas!B103="Feminino",1000,IF(Atletas!B103="Masculino",2000,""))+(IF(Atletas!N103="Ditangquan A",201,IF(Atletas!N103="Houquan A",202,IF(Atletas!N103="Zuiquan A",203,IF(Atletas!N103="Ditangquan B",204,IF(Atletas!N103="Houquan B",205,IF(Atletas!N103="Zuiquan B",206,IF(Atletas!N103="Ditangquan C",207,IF(Atletas!N103="Houquan C",208,IF(Atletas!N103="Zuiquan C",209,IF(Atletas!N103="Ditangquan D",210,IF(Atletas!N103="Houquan D",211,IF(Atletas!N103="Zuiquan D",212,IF(Atletas!N103="Ditangquan E",213,IF(Atletas!N103="Houquan E",214,IF(Atletas!N103="Zuiquan E",215,IF(Atletas!N103="Ditangquan F",216,IF(Atletas!N103="Houquan F",217,IF(Atletas!N103="Zuiquan F",218,"")))))))))))))))))))))</f>
        <v/>
      </c>
      <c r="BV112" s="50" t="str">
        <f>IF(Atletas!O103="","",IF(Atletas!X103&lt;&gt;"",10000,0)+IF(Atletas!B103="Feminino",1000,IF(Atletas!B103="Masculino",2000,""))+IF(Atletas!O103="Yang A",301,IF(Atletas!O103="Chen A",302,IF(Atletas!O103="Sun A",303,IF(Atletas!O103="Wu A",304,IF(Atletas!O103="Wu-Hao A",305,IF(Atletas!O103="Outro Taijiquan A",306,IF(Atletas!O103="Yang B",307,IF(Atletas!O103="Chen B",308,IF(Atletas!O103="Sun B",309,IF(Atletas!O103="Wu B",310,IF(Atletas!O103="Wu-Hao B",311,IF(Atletas!O103="Outro Taijiquan B",312,IF(Atletas!O103="Yang C",313,IF(Atletas!O103="Chen C",314,IF(Atletas!O103="Sun C",315,IF(Atletas!O103="Wu C",316,IF(Atletas!O103="Wu-Hao C",317,IF(Atletas!O103="Outro Taijiquan C",318,IF(Atletas!O103="Yang D",319,IF(Atletas!O103="Chen D",320,IF(Atletas!O103="Sun D",321,IF(Atletas!O103="Wu D",322,IF(Atletas!O103="Wu-Hao D",323,IF(Atletas!O103="Outro Taijiquan D",324,IF(Atletas!O103="Yang E",325,IF(Atletas!O103="Chen E",326,IF(Atletas!O103="Sun E",327,IF(Atletas!O103="Wu E",328,IF(Atletas!O103="Wu-Hao E",329,IF(Atletas!O103="Outro Taijiquan E",330,IF(Atletas!O103="Yang F",331,IF(Atletas!O103="Chen F",332,IF(Atletas!O103="Sun F",333,IF(Atletas!O103="Wu F",334,IF(Atletas!O103="Wu-Hao F",335,IF(Atletas!O103="Outro Taijiquan F",336,"")))))))))))))))))))))))))))))))))))))</f>
        <v/>
      </c>
      <c r="BW112" s="50" t="str">
        <f>IF(Atletas!P103="","",IF(Atletas!X103&lt;&gt;"",10000,0)+IF(Atletas!B103="Feminino",1000,IF(Atletas!B103="Masculino",2000,""))+IF(OR(Atletas!P103="Yang 26 A",Atletas!P103="Yang 40 A"),401,IF(OR(Atletas!P103="Chen 25 A",Atletas!P103="Chen 36 A",Atletas!P103="Chen 56 A"),402,IF(Atletas!P103="Sun 73 A",403,IF(Atletas!P103="Wu 45 A",404,IF(Atletas!P103="Wu-Hao 46 A",405,IF(OR(Atletas!P103="Taijiquan 16 A",Atletas!P103="Taijiquan 24 A",Atletas!P103="Taijiquan 32 A",Atletas!P103="Taijiquan 42 A"),406,IF(OR(Atletas!P103="Yang 26 B",Atletas!P103="Yang 40 B"),407,IF(OR(Atletas!P103="Chen 25 B",Atletas!P103="Chen 36 B",Atletas!P103="Chen 56 B"),408,IF(Atletas!P103="Sun 73 B",409,IF(Atletas!P103="Wu 45 B",410,IF(Atletas!P103="Wu-Hao 46 B",411,IF(OR(Atletas!P103="Taijiquan 16 B",Atletas!P103="Taijiquan 24 B",Atletas!P103="Taijiquan 32 B",Atletas!P103="Taijiquan 42 B"),412,IF(OR(Atletas!P103="Yang 26 C",Atletas!P103="Yang 40 C"),413,IF(OR(Atletas!P103="Chen 25 C",Atletas!P103="Chen 36 C",Atletas!P103="Chen 56 C"),414,IF(Atletas!P103="Sun 73 C",415,IF(Atletas!P103="Wu 45 C",416,IF(Atletas!P103="Wu-Hao 46 C",417,IF(OR(Atletas!P103="Taijiquan 16 C",Atletas!P103="Taijiquan 24 C",Atletas!P103="Taijiquan 32 C",Atletas!P103="Taijiquan 42 C"),418,0)))))))))))))))))))</f>
        <v/>
      </c>
      <c r="BX112" s="50" t="str">
        <f>IF(Atletas!P103="","",IF(Atletas!X103&lt;&gt;"",10000,0)+IF(Atletas!B103="Feminino",1000,IF(Atletas!B103="Masculino",2000,""))+IF(OR(Atletas!P103="Yang 26 D",Atletas!P103="Yang 40 D"),419,IF(OR(Atletas!P103="Chen 25 D",Atletas!P103="Chen 36 D",Atletas!P103="Chen 56 D"),420,IF(Atletas!P103="Sun 73 D",421,IF(Atletas!P103="Wu 45 D",422,IF(Atletas!P103="Wu-Hao 46 D",423,IF(OR(Atletas!P103="Taijiquan 16 D",Atletas!P103="Taijiquan 24 D",Atletas!P103="Taijiquan 32 D",Atletas!P103="Taijiquan 42 D"),424,IF(OR(Atletas!P103="Yang 26 E",Atletas!P103="Yang 40 E"),425,IF(OR(Atletas!P103="Chen 25 E",Atletas!P103="Chen 36 E",Atletas!P103="Chen 56 E"),426,IF(Atletas!P103="Sun 73 E",427,IF(Atletas!P103="Wu 45 E",428,IF(Atletas!P103="Wu-Hao 46 E",429,IF(OR(Atletas!P103="Taijiquan 16 E",Atletas!P103="Taijiquan 24 E",Atletas!P103="Taijiquan 32 E",Atletas!P103="Taijiquan 42 E"),430,IF(OR(Atletas!P103="Yang 26 F",Atletas!P103="Yang 40 F"),431,IF(OR(Atletas!P103="Chen 25 F",Atletas!P103="Chen 36 F",Atletas!P103="Chen 56 F"),432,IF(Atletas!P103="Sun 73 F",433,IF(Atletas!P103="Wu 45 F",434,IF(Atletas!P103="Wu-Hao 46 F",435,IF(OR(Atletas!P103="Taijiquan 16 F",Atletas!P103="Taijiquan 24 F",Atletas!P103="Taijiquan 32 F",Atletas!P103="Taijiquan 42 F"),436,0)))))))))))))))))))</f>
        <v/>
      </c>
      <c r="BY112" s="50" t="str">
        <f>IF(Atletas!Q103="","",IF(Atletas!X103&lt;&gt;"",10000,0)+IF(Atletas!B103="Feminino",1000,IF(Atletas!B103="Masculino",2000,""))+IF(Atletas!Q103="Xingyiquan A",501,IF(Atletas!Q103="Baguazhang A",502,IF(Atletas!Q103="Outro Estilo Interno A",503,IF(Atletas!Q103="Xingyiquan B",504,IF(Atletas!Q103="Baguazhang B",505,IF(Atletas!Q103="Outro Estilo Interno B",506,IF(Atletas!Q103="Xingyiquan C",507,IF(Atletas!Q103="Baguazhang C",508,IF(Atletas!Q103="Outro Estilo Interno C",509,IF(Atletas!Q103="Xingyiquan D",510,IF(Atletas!Q103="Baguazhang D",511,IF(Atletas!Q103="Outro Estilo Interno D",512,IF(Atletas!Q103="Xingyiquan E",513,IF(Atletas!Q103="Baguazhang E",514,IF(Atletas!Q103="Outro Estilo Interno E",515,IF(Atletas!Q103="Xingyiquan F",516,IF(Atletas!Q103="Baguazhang F",517,IF(Atletas!Q103="Outro Estilo Interno F",518, "")))))))))))))))))))</f>
        <v/>
      </c>
      <c r="BZ112" s="50" t="str">
        <f>IF(Atletas!R103="","",IF(Atletas!X103&lt;&gt;"",10000,0)+IF(Atletas!B103="Feminino",1000,IF(Atletas!B103="Masculino",2000,""))+IF(Atletas!R103="Dao A",601,IF(Atletas!R103="Jian A",602,IF(Atletas!R103="Bishou A",603,IF(Atletas!R103="Shanzi A",604,IF(Atletas!R103="Outra Arma Curta A",605,IF(Atletas!R103="Dao B",606,IF(Atletas!R103="Jian B",607,IF(Atletas!R103="Bishou B",608,IF(Atletas!R103="Shanzi B",609,IF(Atletas!R103="Outra Arma Curta B",610,IF(Atletas!R103="Dao C",611,IF(Atletas!R103="Jian C",612,IF(Atletas!R103="Bishou C",613,IF(Atletas!R103="Shanzi C",614,IF(Atletas!R103="Outra Arma Curta C",615,IF(Atletas!R103="Dao D",616,IF(Atletas!R103="Jian D",617,IF(Atletas!R103="Bishou D",618,IF(Atletas!R103="Shanzi D",619,IF(Atletas!R103="Outra Arma Curta D",620,IF(Atletas!R103="Dao E",621,IF(Atletas!R103="Jian E",622,IF(Atletas!R103="Bishou E",623,IF(Atletas!R103="Shanzi E",624,IF(Atletas!R103="Outra Arma Curta E",625,IF(Atletas!R103="Dao F",626,IF(Atletas!R103="Jian F",627,IF(Atletas!R103="Bishou F",628,IF(Atletas!R103="Shanzi F",629,IF(Atletas!R103="Outra Arma Curta F",630, "")))))))))))))))))))))))))))))))</f>
        <v/>
      </c>
      <c r="CA112" s="50" t="str">
        <f>IF(Atletas!S103="","",IF(Atletas!X103&lt;&gt;"",10000,0)+IF(Atletas!B103="Feminino",1000,IF(Atletas!B103="Masculino",2000,""))+IF(Atletas!S103="Gun A",701,IF(Atletas!S103="Qiang A",702,IF(Atletas!S103="Pudao / Guandao A",703,IF(Atletas!S103="Outra Arma Longa A",704,IF(Atletas!S103="Gun B",705,IF(Atletas!S103="Qiang B",706,IF(Atletas!S103="Pudao / Guandao B",707,IF(Atletas!S103="Outra Arma Longa B",708,IF(Atletas!S103="Gun C",709,IF(Atletas!S103="Qiang C",710,IF(Atletas!S103="Pudao / Guandao C",711,IF(Atletas!S103="Outra Arma Longa C",712,IF(Atletas!S103="Gun D",713,IF(Atletas!S103="Qiang D",714,IF(Atletas!S103="Pudao / Guandao D",715,IF(Atletas!S103="Outra Arma Longa D",716,IF(Atletas!S103="Gun E",717,IF(Atletas!S103="Qiang E",718,IF(Atletas!S103="Pudao / Guandao E",719,IF(Atletas!S103="Outra Arma Longa E",720,IF(Atletas!S103="Gun F",721,IF(Atletas!S103="Qiang F",722,IF(Atletas!S103="Pudao / Guandao F",723,IF(Atletas!S103="Outra Arma Longa F",724,"")))))))))))))))))))))))))</f>
        <v/>
      </c>
      <c r="CB112" s="50" t="str">
        <f>IF(Atletas!T103="","",IF(Atletas!X103&lt;&gt;"",10000,0)+IF(Atletas!B103="Feminino",1000,IF(Atletas!B103="Masculino",2000,""))+IF(Atletas!T103="Outra Arma Dupla A",801,IF(Atletas!T103="Arma Maleável A",802,IF(Atletas!T103="Outra Arma Dupla B",803,IF(Atletas!T103="Arma Maleável B",804,IF(Atletas!T103="Outra Arma Dupla C",805,IF(Atletas!T103="Arma Maleável C",806,IF(Atletas!T103="Outra Arma Dupla D",807,IF(Atletas!T103="Arma Maleável D",808,IF(Atletas!T103="Outra Arma Dupla E",809,IF(Atletas!T103="Arma Maleável E",810,IF(Atletas!T103="Outra Arma Dupla F",811,IF(Atletas!T103="Arma Maleável F",812,IF(Atletas!T103="Shuangdao A",813,IF(Atletas!T103="Shuangdao B",814,IF(Atletas!T103="Shuangdao C",815,IF(Atletas!T103="Shuangdao D",816,IF(Atletas!T103="Shuangdao E",817,IF(Atletas!T103="Shuangdao F",818,"")))))))))))))))))))</f>
        <v/>
      </c>
      <c r="CC112" s="50" t="str">
        <f>IF(Atletas!U103="","",IF(Atletas!X103&lt;&gt;"",10000,0)+IF(Atletas!B103="Feminino",1000,IF(Atletas!B103="Masculino",2000,""))+IF(OR(Atletas!U103="Taijijian Yang A",Atletas!U103="Taijijian Yang Standard A"),901,IF(OR(Atletas!U103="Taijijian Chen A", Atletas!U103="Taijijian Chen Standard A"),902,IF(Atletas!U103="Taijijian Sun A",903,IF(Atletas!U103="Taijijian Wu A",904,IF(Atletas!U103="Taijijian Wu-Hao A",905,IF(OR(Atletas!U103="Taijijian 32 A",Atletas!U103="Taijijian 42 A"),906,IF(OR(Atletas!U103="Taijijian Yang B",Atletas!U103="Taijijian Yang Standard B"),907,IF(OR(Atletas!U103="Taijijian Chen B", Atletas!U103="Taijijian Chen Standard B"),908,IF(Atletas!U103="Taijijian Sun B",909,IF(Atletas!U103="Taijijian Wu B",910,IF(Atletas!U103="Taijijian Wu-Hao B",911,IF(OR(Atletas!U103="Taijijian 32 B",Atletas!U103="Taijijian 42 B"),912,IF(OR(Atletas!U103="Taijijian Yang C",Atletas!U103="Taijijian Yang Standard C"),913,IF(OR(Atletas!U103="Taijijian Chen C", Atletas!U103="Taijijian Chen Standard C"),914,IF(Atletas!U103="Taijijian Sun C",915,IF(Atletas!U103="Taijijian Wu C",916,IF(Atletas!U103="Taijijian Wu-Hao C",917,IF(OR(Atletas!U103="Taijijian 32 C",Atletas!U103="Taijijian 42 C"),918,IF(OR(Atletas!U103="Taijijian Yang D",Atletas!U103="Taijijian Yang Standard D"),919,IF(OR(Atletas!U103="Taijijian Chen D", Atletas!U103="Taijijian Chen Standard D"),920,IF(Atletas!U103="Taijijian Sun D",921,IF(Atletas!U103="Taijijian Wu D",922,IF(Atletas!U103="Taijijian Wu-Hao D",923,IF(OR(Atletas!U103="Taijijian 32 D",Atletas!U103="Taijijian 42 D"),924,IF(OR(Atletas!U103="Taijijian Yang E",Atletas!U103="Taijijian Yang Standard E"),925,IF(OR(Atletas!U103="Taijijian Chen E", Atletas!U103="Taijijian Chen Standard E"),926,IF(Atletas!U103="Taijijian Sun E",927,IF(Atletas!U103="Taijijian Wu E",928,IF(Atletas!U103="Taijijian Wu-Hao E",929,IF(OR(Atletas!U103="Taijijian 32 E",Atletas!U103="Taijijian 42 E"),930,IF(OR(Atletas!U103="Taijijian Yang F",Atletas!U103="Taijijian Yang Standard F"),931,IF(OR(Atletas!U103="Taijijian Chen F", Atletas!U103="Taijijian Chen Standard F"),932,IF(Atletas!U103="Taijijian Sun F",933,IF(Atletas!U103="Taijijian Wu F",934,IF(Atletas!U103="Taijijian Wu-Hao F",935,IF(OR(Atletas!U103="Taijijian 32 F",Atletas!U103="Taijijian 42 F"),936,"")))))))))))))))))))))))))))))))))))))</f>
        <v/>
      </c>
      <c r="CD112" s="50" t="str">
        <f>IF(Atletas!V103="","",IF(Atletas!X103&lt;&gt;"",10000,0)+IF(Atletas!B103="Feminino",1000,IF(Atletas!B103="Masculino",2000,""))+IF(Atletas!V103="Taijidao A",937,IF(Atletas!V103="TaijiShanzi A",938,IF(Atletas!V103="Taijiqiang A",939,IF(Atletas!V103="Bagua de Arma A",940,IF(Atletas!V103="Xingyi de Arma A",941,IF(Atletas!V103="Taijidao B",942,IF(Atletas!V103="TaijiShanzi B",943,IF(Atletas!V103="Taijiqiang B",944,IF(Atletas!V103="Bagua de Arma B",945,IF(Atletas!V103="Xingyi de Arma B",946,IF(Atletas!V103="Taijidao C",947,IF(Atletas!V103="TaijiShanzi C",948,IF(Atletas!V103="Taijiqiang C",949,IF(Atletas!V103="Bagua de Arma C",950,IF(Atletas!V103="Xingyi de Arma C",951,IF(Atletas!V103="Taijidao D",952,IF(Atletas!V103="TaijiShanzi D",953,IF(Atletas!V103="Taijiqiang D",954,IF(Atletas!V103="Bagua de Arma D",955,IF(Atletas!V103="Xingyi de Arma D",956,IF(Atletas!V103="Taijidao E",957,IF(Atletas!V103="TaijiShanzi E",958,IF(Atletas!V103="Taijiqiang E",959,IF(Atletas!V103="Bagua de Arma E",960,IF(Atletas!V103="Xingyi de Arma E",961,IF(Atletas!V103="Taijidao F",962,IF(Atletas!V103="TaijiShanzi F",963,IF(Atletas!V103="Taijiqiang F",964,IF(Atletas!V103="Bagua de Arma F",965,IF(Atletas!V103="Xingyi de Arma F",966,"")))))))))))))))))))))))))))))))</f>
        <v/>
      </c>
      <c r="CE112" s="66" t="str">
        <f>IF(CF112&lt;&gt;"","Hongquan F","")</f>
        <v/>
      </c>
      <c r="CF112" s="66" t="str">
        <f>IF(COUNTIF(BR:CD,1170)&gt;0,COUNTIF(BR:CD,1170),"")</f>
        <v/>
      </c>
      <c r="CG112" s="66" t="str">
        <f>IF(CH112&lt;&gt;"","Hongquan F","")</f>
        <v/>
      </c>
      <c r="CH112" s="66" t="str">
        <f>IF(COUNTIF(BR:CD,2170)&gt;0,COUNTIF(BR:CD,2170),"")</f>
        <v/>
      </c>
      <c r="CI112" s="66" t="str">
        <f>IF(CJ112&lt;&gt;"","Tongbeiquan F","")</f>
        <v/>
      </c>
      <c r="CJ112" s="66" t="str">
        <f>IF(COUNTIF(BR:CD,11176)&gt;0,COUNTIF(BR:CD,11176),"")</f>
        <v/>
      </c>
      <c r="CK112" s="66" t="str">
        <f>IF(CL112&lt;&gt;"","Tongbeiquan F","")</f>
        <v/>
      </c>
      <c r="CL112" s="66" t="str">
        <f>IF(COUNTIF(BR:CD,12176)&gt;0,COUNTIF(BR:CD,12176),"")</f>
        <v/>
      </c>
      <c r="CM112" s="50" t="str">
        <f xml:space="preserve"> IF(Atletas!W103="","",IF(Atletas!W103="Duilian de Mãos BC - Equipe 1",1,IF(Atletas!W103="Duilian de Mãos BC - Equipe 2",2,IF(Atletas!W103="Duilian de Armas BC - Equipe 1",3,IF(Atletas!W103="Duilian de Armas BC - Equipe 2",4,IF(Atletas!W103="Duilian de Mãos DE - Equipe 1",5,IF(Atletas!W103="Duilian de Mãos DE - Equipe 2",6,IF(Atletas!W103="Duilian de Armas DE - Equipe 1",7,IF(Atletas!W103="Duilian de Armas DE - Equipe 2",8,IF(Atletas!W103="Duilian de Tuishou - Equipe 1",9,IF(Atletas!W103="Duilian de Tuishou - Equipe 2",10,IF(Atletas!W103="Grupo Externo ABC - Equipe 1",11,IF(Atletas!W103="Grupo Externo ABC - Equipe 2",12,IF(Atletas!W103="Grupo Interno ABC - Equipe 1",13,IF(Atletas!W103="Grupo Interno ABC - Equipe 2",14,IF(Atletas!W103="Grupo Externo DEF - Equipe 1",15,IF(Atletas!W103="Grupo Externo DEF - Equipe 2",16,IF(Atletas!W103="Grupo Interno DEF - Equipe 1",17,IF(Atletas!W103="Grupo Interno DEF - Equipe 2",18,"")))))))))))))))))))</f>
        <v/>
      </c>
    </row>
    <row r="113" spans="2:91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 t="str">
        <f t="array" ref="Z113">IFERROR(INDEX(CE$7:CE$348,SMALL(IF(CE$7:CE$348&lt;&gt;"",ROW(CE$7:CE$348)-ROW(CE$7)+1),ROWS(CE$7:CE112))),"")</f>
        <v/>
      </c>
      <c r="AA113" s="3" t="str">
        <f t="array" ref="AA113">IFERROR(INDEX(CF$7:CF$348,SMALL(IF(CF$7:CF$348&lt;&gt;"",ROW(CF$7:CF$348)-ROW(CF$7)+1),ROWS(CF$7:CF112))),"")</f>
        <v/>
      </c>
      <c r="AB113" s="3" t="str">
        <f t="array" ref="AB113">IFERROR(INDEX(CG$7:CG$348,SMALL(IF(CG$7:CG$348&lt;&gt;"",ROW(CG$7:CG$348)-ROW(CG$7)+1),ROWS(CG$7:CG112))),"")</f>
        <v/>
      </c>
      <c r="AC113" s="3" t="str">
        <f t="array" ref="AC113">IFERROR(INDEX(CH$7:CH$348,SMALL(IF(CH$7:CH$348&lt;&gt;"",ROW(CH$7:CH$348)-ROW(CH$7)+1),ROWS(CH$7:CH112))),"")</f>
        <v/>
      </c>
      <c r="AD113" s="3" t="str">
        <f t="array" ref="AD113">IFERROR(INDEX(CI$7:CI$377,SMALL(IF(CI$7:CI$377&lt;&gt;"",ROW(CI$7:CI$377)-ROW(CI$7)+1),ROWS(CI$7:CI112))),"")</f>
        <v/>
      </c>
      <c r="AE113" s="3" t="str">
        <f t="array" ref="AE113">IFERROR(INDEX(CJ$7:CJ$378,SMALL(IF(CJ$7:CJ$378&lt;&gt;"",ROW(CJ$7:CJ$378)-ROW(CJ$7)+1),ROWS(CJ$7:CJ112))),"")</f>
        <v/>
      </c>
      <c r="AF113" s="3" t="str">
        <f t="array" ref="AF113">IFERROR(INDEX(CK$7:CK$378,SMALL(IF(CK$7:CK$378&lt;&gt;"",ROW(CK$7:CK$378)-ROW(CK$7)+1),ROWS(CK$7:CK112))),"")</f>
        <v/>
      </c>
      <c r="AG113" s="3" t="str">
        <f t="array" ref="AG113">IFERROR(INDEX(CL$7:CL$378,SMALL(IF(CL$7:CL$378&lt;&gt;"",ROW(CL$7:CL$378)-ROW(CL$7)+1),ROWS(CL$7:CL112))),"")</f>
        <v/>
      </c>
      <c r="AH113" s="3"/>
      <c r="AI113" s="3"/>
      <c r="AJ113" s="3"/>
      <c r="AK113" s="3"/>
      <c r="AL113" s="3"/>
      <c r="AM113" s="3"/>
      <c r="AN113" s="52" t="str">
        <f>IF(Atletas!D104="","",IF(Atletas!B104="Feminino",100,IF(Atletas!B104="Masculino",200,""))+(IF(Atletas!D104="Kids 30kg",1,IF(Atletas!D104="Kids 32kg",2, IF(Atletas!D104="Kids 34kg",3,IF(Atletas!D104="Kids 36kg",4,IF(Atletas!D104="Kids 39kg",5,IF(Atletas!D104="Kids 42kg",6,IF(Atletas!D104="Kids 45kg",7, IF(Atletas!D104="Infantil 39kg",8,IF(Atletas!D104="Infantil 42kg",9,IF(Atletas!D104="Infantil 45kg",10,IF(Atletas!D104="Infantil 48kg",11,IF(Atletas!D104="Infantil 52kg",12,IF(Atletas!D104="Infantil 56kg",13,IF(Atletas!D104="Infantil 60kg",14,IF(Atletas!D104="Juvenil 48kg",15,IF(Atletas!D104="Juvenil 52kg",16,IF(Atletas!D104="Juvenil 56kg",17,IF(Atletas!D104="Juvenil 60kg",18,IF(Atletas!D104="Juvenil 65kg",19,IF(Atletas!D104="Juvenil 70kg",20,IF(Atletas!D104="Juvenil 75kg",21,IF(Atletas!D104="Juvenil 80kg",22, IF(Atletas!D104="Juvenil 85kg",23,IF(Atletas!D104="Adulto 48kg",24,IF(Atletas!D104="Adulto 52kg",25,IF(Atletas!D104="Adulto 56kg",26,IF(Atletas!D104="Adulto 60kg",27,IF(Atletas!D104="Adulto 65kg",28,IF(Atletas!D104="Adulto 70kg",29,IF(Atletas!D104="Adulto 75kg",30,IF(Atletas!D104="Adulto 80kg",31,IF(Atletas!D104="Adulto 85kg",32,IF(Atletas!D104="Adulto 90kg",33,IF(Atletas!D104="Adulto 100kg",34, IF(Atletas!D104="Adulto +100kg",35,"")))))))))))))))))))))))))))))))))))))</f>
        <v/>
      </c>
      <c r="AS113" s="6" t="str">
        <f>IF(Atletas!E104="","",IF(Atletas!B104="Feminino",100,IF(Atletas!B104="Masculino",200,""))+(IF(Atletas!E104="Juvenil 44kg",1,IF(Atletas!E104="Juvenil 48kg",2,IF(Atletas!E104="Juvenil 52kg",3,IF(Atletas!E104="Juvenil 56kg",4,IF(Atletas!E104="Juvenil 60kg",5,IF(Atletas!E104="Juvenil 65kg",6,IF(Atletas!E104="Juvenil 70kg",7,IF(Atletas!E104="Juvenil 75kg",8,IF(Atletas!E104="Juvenil 82kg",9,IF(Atletas!E104="Juvenil 90kg",10,IF(Atletas!E104="Juvenil 100kg",11,IF(Atletas!E104="Adulto 48kg",12,IF(Atletas!E104="Adulto 52kg",13,IF(Atletas!E104="Adulto 56kg",14,IF(Atletas!E104="Adulto 60kg",15,IF(Atletas!E104="Adulto 65kg",16,IF(Atletas!E104="Adulto 70kg",17,IF(Atletas!E104="Adulto 75kg",18,IF(Atletas!E104="Adulto 82kg",19,IF(Atletas!E104="Adulto 90kg",20,IF(Atletas!E104="Adulto 100kg",21,IF(Atletas!E104="Adulto +100kg",22,""))))))))))))))))))))))))</f>
        <v/>
      </c>
      <c r="AX113" s="6" t="str">
        <f>IF(Atletas!F104="","",IF(Atletas!B104="Feminino",100,IF(Atletas!B104="Masculino",200,""))+(IF(Atletas!F104="Adulto 48kg",1,IF(Atletas!F104="Adulto 56kg",2,IF(Atletas!F104="Adulto 65kg",3,IF(Atletas!F104="Adulto 75kg",4,IF(Atletas!F104="Adulto +75kg",5,IF(Atletas!F104="Adulto 52kg",6,IF(Atletas!F104="Adulto 60kg",7,IF(Atletas!F104="Adulto 70kg",8,IF(Atletas!F104="Adulto 80kg",9,IF(Atletas!F104="Adulto 90kg",10,IF(Atletas!F104="Adulto +90kg",11,"")))))))))))))</f>
        <v/>
      </c>
      <c r="BC113" s="6" t="str">
        <f>IF(Atletas!G104="","",IF(Atletas!B104="Feminino",10,IF(Atletas!B104="Masculino",20,""))+(IF(Atletas!G104="Baduanjin A",1,IF(Atletas!G104="Baduanjin B",2))))</f>
        <v/>
      </c>
      <c r="BF113" s="52" t="str">
        <f>IF(Atletas!H104="","",IF(Atletas!B104="Feminino",100,IF(Atletas!B104="Masculino",200,""))+(IF(Atletas!H104="Changquan Mirim",1,IF(Atletas!H104="Nanquan Mirim",2,IF(Atletas!H104="Taijiquan Mirim",3,IF(Atletas!H104="Changquan Grupo C",4,IF(Atletas!H104="Nanquan Grupo C",5,IF(Atletas!H104="Taijiquan Grupo C",6,IF(Atletas!H104="Changquan Grupo B",7,IF(Atletas!H104="Nanquan Grupo B",8,IF(Atletas!H104="Taijiquan Grupo B",9,IF(Atletas!H104="Changquan Grupo A",10,IF(Atletas!H104="Nanquan Grupo A",11,IF(Atletas!H104="Taijiquan Grupo A",12,IF(Atletas!H104="Changquan Opcional",13,IF(Atletas!H104="Nanquan Opcional",14,IF(Atletas!H104="Taijiquan Opcional",15,IF(Atletas!H104="Changquan Adulto",16,IF(Atletas!H104="Nanquan Adulto",17,IF(Atletas!H104="Taijiquan Adulto",18,""))))))))))))))))))))</f>
        <v/>
      </c>
      <c r="BG113" s="52" t="str">
        <f>IF(Atletas!I104="","",IF(Atletas!B104="Feminino",100,IF(Atletas!B104="Masculino",200,""))+(IF(Atletas!I104="Daoshu Mirim",19,IF(Atletas!I104="Jianshu Mirim",20,IF(Atletas!I104="Nandao Mirim",21,IF(Atletas!I104="Taijijian Mirim",22,IF(Atletas!I104="Daoshu Grupo C",23,IF(Atletas!I104="Jianshu Grupo C",24,IF(Atletas!I104="Nandao Grupo C",25,IF(Atletas!I104="Taijijian Grupo C",26,IF(Atletas!I104="Daoshu Grupo B",27,IF(Atletas!I104="Jianshu Grupo B",28,IF(Atletas!I104="Nandao Grupo B",29,IF(Atletas!I104="Taijijian Grupo B",30,IF(Atletas!I104="Daoshu Grupo A",31,IF(Atletas!I104="Jianshu Grupo A",32,IF(Atletas!I104="Nandao Grupo A",33,IF(Atletas!I104="Taijijian Grupo A",34,IF(Atletas!I104="Daoshu Opcional",35,IF(Atletas!I104="Jianshu Opcional",36,IF(Atletas!I104="Nandao Opcional",37,IF(Atletas!I104="Taijijian Opcional",38,IF(Atletas!I104="Daoshu Adulto",39,IF(Atletas!I104="Jianshu Adulto",40,IF(Atletas!I104="Nandao Adulto",41,IF(Atletas!I104="Taijijian Adulto",42,""))))))))))))))))))))))))))</f>
        <v/>
      </c>
      <c r="BH113" s="52" t="str">
        <f>IF(Atletas!J104="","",IF(Atletas!B104="Feminino",100,IF(Atletas!B104="Masculino",200,""))+(IF(Atletas!J104="Gunshu Mirim",43,IF(Atletas!J104="Qiangshu Mirim",44,IF(Atletas!J104="Nangun Mirim",45,IF(Atletas!J104="Gunshu Grupo C",46,IF(Atletas!J104="Qiangshu Grupo C",47,IF(Atletas!J104="Nangun Grupo C",48,IF(Atletas!J104="Gunshu Grupo B",49,IF(Atletas!J104="Qiangshu Grupo B",50,IF(Atletas!J104="Nangun Grupo B",51,IF(Atletas!J104="Gunshu Grupo A",52,IF(Atletas!J104="Qiangshu Grupo A",53,IF(Atletas!J104="Nangun Grupo A",54,IF(Atletas!J104="Gunshu Opcional",55,IF(Atletas!J104="Qiangshu Opcional",56,IF(Atletas!J104="Nangun Opcional",57,IF(Atletas!J104="Gunshu Adulto",58,IF(Atletas!J104="Qiangshu Adulto",59,IF(Atletas!J104="Nangun Adulto",60,IF(Atletas!J104="Taijishan Grupo B",61,IF(Atletas!J104="Taijishan Grupo A",62,""))))))))))))))))))))))</f>
        <v/>
      </c>
      <c r="BM113" s="50" t="str">
        <f>IF(Atletas!K104="","",IF(Atletas!B104="Feminino",100,IF(Atletas!B104="Masculino",200,""))+(IF(Atletas!K104="Equipe 1 Grupo B",1,IF(Atletas!K104="Equipe 2 Grupo B",2,IF(Atletas!K104="Equipe 1 Grupo A",3,IF(Atletas!K104="Equipe 2 Grupo A",4,IF(Atletas!K104="Equipe 1 Adulto",5,IF(Atletas!K104="Equipe 2 Adulto",6,""))))))))</f>
        <v/>
      </c>
      <c r="BR113" s="50" t="str">
        <f>IF(Atletas!L104="","",IF(Atletas!X104&lt;&gt;"",10000,0)+(IF(Atletas!B104="Feminino",1000,IF(Atletas!B104="Masculino",2000,""))+IF(Atletas!L104="Choylayfut A",1,IF(Atletas!L104="Hunggar A",2,IF(Atletas!L104="Wuzuquan A",3,IF(Atletas!L104="Wingchun A",4,IF(Atletas!L104="Outra Mão de Sul A",5,IF(Atletas!L104="Choylayfut B",6,IF(Atletas!L104="Hunggar B",7,IF(Atletas!L104="Wuzuquan B",8,IF(Atletas!L104="Wingchun B",9,IF(Atletas!L104="Outra Mão de Sul B",10,IF(Atletas!L104="Choylayfut C",11,IF(Atletas!L104="Hunggar C",12,IF(Atletas!L104="Wuzuquan C",13,IF(Atletas!L104="Wingchun C",14,IF(Atletas!L104="Outra Mão de Sul C",15,IF(Atletas!L104="Choylayfut D",16,IF(Atletas!L104="Hunggar D",17,IF(Atletas!L104="Wuzuquan D",18,IF(Atletas!L104="Wingchun D",19,IF(Atletas!L104="Outra Mão de Sul D",20,IF(Atletas!L104="Choylayfut E",21,IF(Atletas!L104="Hunggar E",22,IF(Atletas!L104="Wuzuquan E",23,IF(Atletas!L104="Wingchun E",24,IF(Atletas!L104="Outra Mão de Sul E",25,IF(Atletas!L104="Choylayfut F",26,IF(Atletas!L104="Hunggar F",27,IF(Atletas!L104="Wuzuquan F",28,IF(Atletas!L104="Wingchun F",29,IF(Atletas!L104="Outra Mão de Sul F",30,IF(Atletas!L104="Dishuquan A",31,IF(Atletas!L104="Dishuquan B",32,IF(Atletas!L104="Dishuquan C",33,IF(Atletas!L104="Dishuquan D",34,IF(Atletas!L104="Dishuquan E",35,IF(Atletas!L104="Dishuquan F",36,""))))))))))))))))))))))))))))))))))))))</f>
        <v/>
      </c>
      <c r="BS113" s="50" t="str">
        <f>IF(Atletas!M104="","",IF(Atletas!X104&lt;&gt;"",10000,0)+(IF(Atletas!B104="Feminino",1000,IF(Atletas!B104="Masculino",2000,""))+(IF(Atletas!M104="Chaquan A",101,IF(Atletas!M104="Emeiquan A",102,IF(Atletas!M104="Fanziquan A",103,IF(Atletas!M104="Huaquan A",104,IF(Atletas!M104="Hongquan A",105,IF(Atletas!M104="Paoquan A",106,IF(Atletas!M104="Piguaquan A",107,IF(Atletas!M104="Shaolinquan A",108,IF(Atletas!M104="Tanglangquan A",109,IF(Atletas!M104="Yingzhaoquan A",110,IF(Atletas!M104="Tongbeiquan A",111,IF(Atletas!M104="Wudangquan A",112,IF(Atletas!M104="Outros Estilos A",113,IF(Atletas!M104="Chaquan B",114,IF(Atletas!M104="Emeiquan B",115,IF(Atletas!M104="Fanziquan B",116,IF(Atletas!M104="Huaquan B",117,IF(Atletas!M104="Hongquan B",118,IF(Atletas!M104="Paoquan B",119,IF(Atletas!M104="Piguaquan B",120,IF(Atletas!M104="Shaolinquan B",121,IF(Atletas!M104="Tanglangquan B",122,IF(Atletas!M104="Yingzhaoquan B",123,IF(Atletas!M104="Tongbeiquan B",124,IF(Atletas!M104="Wudangquan B",125,IF(Atletas!M104="Outros Estilos B",126,IF(Atletas!M104="Chaquan C",127,IF(Atletas!M104="Emeiquan C",128,IF(Atletas!M104="Fanziquan C",129,IF(Atletas!M104="Huaquan C",130,IF(Atletas!M104="Hongquan C",131,IF(Atletas!M104="Paoquan C",132,IF(Atletas!M104="Piguaquan C",133,IF(Atletas!M104="Shaolinquan C",134,IF(Atletas!M104="Tanglangquan C",135,IF(Atletas!M104="Yingzhaoquan C",136,IF(Atletas!M104="Tongbeiquan C",137,IF(Atletas!M104="Wudangquan C",138,IF(Atletas!M104="Outros Estilos C",139,0))))))))))))))))))))))))))))))))))))))))))</f>
        <v/>
      </c>
      <c r="BT113" s="50" t="str">
        <f>IF(Atletas!M104="","",IF(Atletas!X104&lt;&gt;"",10000,0)+(IF(Atletas!B104="Feminino",1000,IF(Atletas!B104="Masculino",2000,""))+(IF(Atletas!M104="Chaquan D",140,IF(Atletas!M104="Emeiquan D",141,IF(Atletas!M104="Fanziquan D",142,IF(Atletas!M104="Huaquan D",143,IF(Atletas!M104="Hongquan D",144,IF(Atletas!M104="Paoquan D",145,IF(Atletas!M104="Piguaquan D",146,IF(Atletas!M104="Shaolinquan D",147,IF(Atletas!M104="Tanglangquan D",148,IF(Atletas!M104="Yingzhaoquan D",149,IF(Atletas!M104="Tongbeiquan D",150,IF(Atletas!M104="Wudangquan D",151,IF(Atletas!M104="Outros Estilos D",152,IF(Atletas!M104="Chaquan E",153,IF(Atletas!M104="Emeiquan E",154,IF(Atletas!M104="Fanziquan E",155,IF(Atletas!M104="Huaquan E",156,IF(Atletas!M104="Hongquan E",157,IF(Atletas!M104="Paoquan E",158,IF(Atletas!M104="Piguaquan E",159,IF(Atletas!M104="Shaolinquan E",160,IF(Atletas!M104="Tanglangquan E",161,IF(Atletas!M104="Yingzhaoquan E",162,IF(Atletas!M104="Tongbeiquan E",163,IF(Atletas!M104="Wudangquan E",164,IF(Atletas!M104="Outros Estilos E",165,IF(Atletas!M104="Chaquan F",166,IF(Atletas!M104="Emeiquan F",167,IF(Atletas!M104="Fanziquan F",168,IF(Atletas!M104="Huaquan F",169,IF(Atletas!M104="Hongquan F",170,IF(Atletas!M104="Paoquan F",171,IF(Atletas!M104="Piguaquan F",172,IF(Atletas!M104="Shaolinquan F",173,IF(Atletas!M104="Tanglangquan F",174,IF(Atletas!M104="Yingzhaoquan F",175,IF(Atletas!M104="Tongbeiquan F",176,IF(Atletas!M104="Wudangquan F",177,IF(Atletas!M104="Outros Estilos F",178,0))))))))))))))))))))))))))))))))))))))))))</f>
        <v/>
      </c>
      <c r="BU113" s="50" t="str">
        <f>IF(Atletas!N104="","",IF(Atletas!X104&lt;&gt;"",10000,0)+(IF(Atletas!B104="Feminino",1000,IF(Atletas!B104="Masculino",2000,""))+(IF(Atletas!N104="Ditangquan A",201,IF(Atletas!N104="Houquan A",202,IF(Atletas!N104="Zuiquan A",203,IF(Atletas!N104="Ditangquan B",204,IF(Atletas!N104="Houquan B",205,IF(Atletas!N104="Zuiquan B",206,IF(Atletas!N104="Ditangquan C",207,IF(Atletas!N104="Houquan C",208,IF(Atletas!N104="Zuiquan C",209,IF(Atletas!N104="Ditangquan D",210,IF(Atletas!N104="Houquan D",211,IF(Atletas!N104="Zuiquan D",212,IF(Atletas!N104="Ditangquan E",213,IF(Atletas!N104="Houquan E",214,IF(Atletas!N104="Zuiquan E",215,IF(Atletas!N104="Ditangquan F",216,IF(Atletas!N104="Houquan F",217,IF(Atletas!N104="Zuiquan F",218,"")))))))))))))))))))))</f>
        <v/>
      </c>
      <c r="BV113" s="50" t="str">
        <f>IF(Atletas!O104="","",IF(Atletas!X104&lt;&gt;"",10000,0)+IF(Atletas!B104="Feminino",1000,IF(Atletas!B104="Masculino",2000,""))+IF(Atletas!O104="Yang A",301,IF(Atletas!O104="Chen A",302,IF(Atletas!O104="Sun A",303,IF(Atletas!O104="Wu A",304,IF(Atletas!O104="Wu-Hao A",305,IF(Atletas!O104="Outro Taijiquan A",306,IF(Atletas!O104="Yang B",307,IF(Atletas!O104="Chen B",308,IF(Atletas!O104="Sun B",309,IF(Atletas!O104="Wu B",310,IF(Atletas!O104="Wu-Hao B",311,IF(Atletas!O104="Outro Taijiquan B",312,IF(Atletas!O104="Yang C",313,IF(Atletas!O104="Chen C",314,IF(Atletas!O104="Sun C",315,IF(Atletas!O104="Wu C",316,IF(Atletas!O104="Wu-Hao C",317,IF(Atletas!O104="Outro Taijiquan C",318,IF(Atletas!O104="Yang D",319,IF(Atletas!O104="Chen D",320,IF(Atletas!O104="Sun D",321,IF(Atletas!O104="Wu D",322,IF(Atletas!O104="Wu-Hao D",323,IF(Atletas!O104="Outro Taijiquan D",324,IF(Atletas!O104="Yang E",325,IF(Atletas!O104="Chen E",326,IF(Atletas!O104="Sun E",327,IF(Atletas!O104="Wu E",328,IF(Atletas!O104="Wu-Hao E",329,IF(Atletas!O104="Outro Taijiquan E",330,IF(Atletas!O104="Yang F",331,IF(Atletas!O104="Chen F",332,IF(Atletas!O104="Sun F",333,IF(Atletas!O104="Wu F",334,IF(Atletas!O104="Wu-Hao F",335,IF(Atletas!O104="Outro Taijiquan F",336,"")))))))))))))))))))))))))))))))))))))</f>
        <v/>
      </c>
      <c r="BW113" s="50" t="str">
        <f>IF(Atletas!P104="","",IF(Atletas!X104&lt;&gt;"",10000,0)+IF(Atletas!B104="Feminino",1000,IF(Atletas!B104="Masculino",2000,""))+IF(OR(Atletas!P104="Yang 26 A",Atletas!P104="Yang 40 A"),401,IF(OR(Atletas!P104="Chen 25 A",Atletas!P104="Chen 36 A",Atletas!P104="Chen 56 A"),402,IF(Atletas!P104="Sun 73 A",403,IF(Atletas!P104="Wu 45 A",404,IF(Atletas!P104="Wu-Hao 46 A",405,IF(OR(Atletas!P104="Taijiquan 16 A",Atletas!P104="Taijiquan 24 A",Atletas!P104="Taijiquan 32 A",Atletas!P104="Taijiquan 42 A"),406,IF(OR(Atletas!P104="Yang 26 B",Atletas!P104="Yang 40 B"),407,IF(OR(Atletas!P104="Chen 25 B",Atletas!P104="Chen 36 B",Atletas!P104="Chen 56 B"),408,IF(Atletas!P104="Sun 73 B",409,IF(Atletas!P104="Wu 45 B",410,IF(Atletas!P104="Wu-Hao 46 B",411,IF(OR(Atletas!P104="Taijiquan 16 B",Atletas!P104="Taijiquan 24 B",Atletas!P104="Taijiquan 32 B",Atletas!P104="Taijiquan 42 B"),412,IF(OR(Atletas!P104="Yang 26 C",Atletas!P104="Yang 40 C"),413,IF(OR(Atletas!P104="Chen 25 C",Atletas!P104="Chen 36 C",Atletas!P104="Chen 56 C"),414,IF(Atletas!P104="Sun 73 C",415,IF(Atletas!P104="Wu 45 C",416,IF(Atletas!P104="Wu-Hao 46 C",417,IF(OR(Atletas!P104="Taijiquan 16 C",Atletas!P104="Taijiquan 24 C",Atletas!P104="Taijiquan 32 C",Atletas!P104="Taijiquan 42 C"),418,0)))))))))))))))))))</f>
        <v/>
      </c>
      <c r="BX113" s="50" t="str">
        <f>IF(Atletas!P104="","",IF(Atletas!X104&lt;&gt;"",10000,0)+IF(Atletas!B104="Feminino",1000,IF(Atletas!B104="Masculino",2000,""))+IF(OR(Atletas!P104="Yang 26 D",Atletas!P104="Yang 40 D"),419,IF(OR(Atletas!P104="Chen 25 D",Atletas!P104="Chen 36 D",Atletas!P104="Chen 56 D"),420,IF(Atletas!P104="Sun 73 D",421,IF(Atletas!P104="Wu 45 D",422,IF(Atletas!P104="Wu-Hao 46 D",423,IF(OR(Atletas!P104="Taijiquan 16 D",Atletas!P104="Taijiquan 24 D",Atletas!P104="Taijiquan 32 D",Atletas!P104="Taijiquan 42 D"),424,IF(OR(Atletas!P104="Yang 26 E",Atletas!P104="Yang 40 E"),425,IF(OR(Atletas!P104="Chen 25 E",Atletas!P104="Chen 36 E",Atletas!P104="Chen 56 E"),426,IF(Atletas!P104="Sun 73 E",427,IF(Atletas!P104="Wu 45 E",428,IF(Atletas!P104="Wu-Hao 46 E",429,IF(OR(Atletas!P104="Taijiquan 16 E",Atletas!P104="Taijiquan 24 E",Atletas!P104="Taijiquan 32 E",Atletas!P104="Taijiquan 42 E"),430,IF(OR(Atletas!P104="Yang 26 F",Atletas!P104="Yang 40 F"),431,IF(OR(Atletas!P104="Chen 25 F",Atletas!P104="Chen 36 F",Atletas!P104="Chen 56 F"),432,IF(Atletas!P104="Sun 73 F",433,IF(Atletas!P104="Wu 45 F",434,IF(Atletas!P104="Wu-Hao 46 F",435,IF(OR(Atletas!P104="Taijiquan 16 F",Atletas!P104="Taijiquan 24 F",Atletas!P104="Taijiquan 32 F",Atletas!P104="Taijiquan 42 F"),436,0)))))))))))))))))))</f>
        <v/>
      </c>
      <c r="BY113" s="50" t="str">
        <f>IF(Atletas!Q104="","",IF(Atletas!X104&lt;&gt;"",10000,0)+IF(Atletas!B104="Feminino",1000,IF(Atletas!B104="Masculino",2000,""))+IF(Atletas!Q104="Xingyiquan A",501,IF(Atletas!Q104="Baguazhang A",502,IF(Atletas!Q104="Outro Estilo Interno A",503,IF(Atletas!Q104="Xingyiquan B",504,IF(Atletas!Q104="Baguazhang B",505,IF(Atletas!Q104="Outro Estilo Interno B",506,IF(Atletas!Q104="Xingyiquan C",507,IF(Atletas!Q104="Baguazhang C",508,IF(Atletas!Q104="Outro Estilo Interno C",509,IF(Atletas!Q104="Xingyiquan D",510,IF(Atletas!Q104="Baguazhang D",511,IF(Atletas!Q104="Outro Estilo Interno D",512,IF(Atletas!Q104="Xingyiquan E",513,IF(Atletas!Q104="Baguazhang E",514,IF(Atletas!Q104="Outro Estilo Interno E",515,IF(Atletas!Q104="Xingyiquan F",516,IF(Atletas!Q104="Baguazhang F",517,IF(Atletas!Q104="Outro Estilo Interno F",518, "")))))))))))))))))))</f>
        <v/>
      </c>
      <c r="BZ113" s="50" t="str">
        <f>IF(Atletas!R104="","",IF(Atletas!X104&lt;&gt;"",10000,0)+IF(Atletas!B104="Feminino",1000,IF(Atletas!B104="Masculino",2000,""))+IF(Atletas!R104="Dao A",601,IF(Atletas!R104="Jian A",602,IF(Atletas!R104="Bishou A",603,IF(Atletas!R104="Shanzi A",604,IF(Atletas!R104="Outra Arma Curta A",605,IF(Atletas!R104="Dao B",606,IF(Atletas!R104="Jian B",607,IF(Atletas!R104="Bishou B",608,IF(Atletas!R104="Shanzi B",609,IF(Atletas!R104="Outra Arma Curta B",610,IF(Atletas!R104="Dao C",611,IF(Atletas!R104="Jian C",612,IF(Atletas!R104="Bishou C",613,IF(Atletas!R104="Shanzi C",614,IF(Atletas!R104="Outra Arma Curta C",615,IF(Atletas!R104="Dao D",616,IF(Atletas!R104="Jian D",617,IF(Atletas!R104="Bishou D",618,IF(Atletas!R104="Shanzi D",619,IF(Atletas!R104="Outra Arma Curta D",620,IF(Atletas!R104="Dao E",621,IF(Atletas!R104="Jian E",622,IF(Atletas!R104="Bishou E",623,IF(Atletas!R104="Shanzi E",624,IF(Atletas!R104="Outra Arma Curta E",625,IF(Atletas!R104="Dao F",626,IF(Atletas!R104="Jian F",627,IF(Atletas!R104="Bishou F",628,IF(Atletas!R104="Shanzi F",629,IF(Atletas!R104="Outra Arma Curta F",630, "")))))))))))))))))))))))))))))))</f>
        <v/>
      </c>
      <c r="CA113" s="50" t="str">
        <f>IF(Atletas!S104="","",IF(Atletas!X104&lt;&gt;"",10000,0)+IF(Atletas!B104="Feminino",1000,IF(Atletas!B104="Masculino",2000,""))+IF(Atletas!S104="Gun A",701,IF(Atletas!S104="Qiang A",702,IF(Atletas!S104="Pudao / Guandao A",703,IF(Atletas!S104="Outra Arma Longa A",704,IF(Atletas!S104="Gun B",705,IF(Atletas!S104="Qiang B",706,IF(Atletas!S104="Pudao / Guandao B",707,IF(Atletas!S104="Outra Arma Longa B",708,IF(Atletas!S104="Gun C",709,IF(Atletas!S104="Qiang C",710,IF(Atletas!S104="Pudao / Guandao C",711,IF(Atletas!S104="Outra Arma Longa C",712,IF(Atletas!S104="Gun D",713,IF(Atletas!S104="Qiang D",714,IF(Atletas!S104="Pudao / Guandao D",715,IF(Atletas!S104="Outra Arma Longa D",716,IF(Atletas!S104="Gun E",717,IF(Atletas!S104="Qiang E",718,IF(Atletas!S104="Pudao / Guandao E",719,IF(Atletas!S104="Outra Arma Longa E",720,IF(Atletas!S104="Gun F",721,IF(Atletas!S104="Qiang F",722,IF(Atletas!S104="Pudao / Guandao F",723,IF(Atletas!S104="Outra Arma Longa F",724,"")))))))))))))))))))))))))</f>
        <v/>
      </c>
      <c r="CB113" s="50" t="str">
        <f>IF(Atletas!T104="","",IF(Atletas!X104&lt;&gt;"",10000,0)+IF(Atletas!B104="Feminino",1000,IF(Atletas!B104="Masculino",2000,""))+IF(Atletas!T104="Outra Arma Dupla A",801,IF(Atletas!T104="Arma Maleável A",802,IF(Atletas!T104="Outra Arma Dupla B",803,IF(Atletas!T104="Arma Maleável B",804,IF(Atletas!T104="Outra Arma Dupla C",805,IF(Atletas!T104="Arma Maleável C",806,IF(Atletas!T104="Outra Arma Dupla D",807,IF(Atletas!T104="Arma Maleável D",808,IF(Atletas!T104="Outra Arma Dupla E",809,IF(Atletas!T104="Arma Maleável E",810,IF(Atletas!T104="Outra Arma Dupla F",811,IF(Atletas!T104="Arma Maleável F",812,IF(Atletas!T104="Shuangdao A",813,IF(Atletas!T104="Shuangdao B",814,IF(Atletas!T104="Shuangdao C",815,IF(Atletas!T104="Shuangdao D",816,IF(Atletas!T104="Shuangdao E",817,IF(Atletas!T104="Shuangdao F",818,"")))))))))))))))))))</f>
        <v/>
      </c>
      <c r="CC113" s="50" t="str">
        <f>IF(Atletas!U104="","",IF(Atletas!X104&lt;&gt;"",10000,0)+IF(Atletas!B104="Feminino",1000,IF(Atletas!B104="Masculino",2000,""))+IF(OR(Atletas!U104="Taijijian Yang A",Atletas!U104="Taijijian Yang Standard A"),901,IF(OR(Atletas!U104="Taijijian Chen A", Atletas!U104="Taijijian Chen Standard A"),902,IF(Atletas!U104="Taijijian Sun A",903,IF(Atletas!U104="Taijijian Wu A",904,IF(Atletas!U104="Taijijian Wu-Hao A",905,IF(OR(Atletas!U104="Taijijian 32 A",Atletas!U104="Taijijian 42 A"),906,IF(OR(Atletas!U104="Taijijian Yang B",Atletas!U104="Taijijian Yang Standard B"),907,IF(OR(Atletas!U104="Taijijian Chen B", Atletas!U104="Taijijian Chen Standard B"),908,IF(Atletas!U104="Taijijian Sun B",909,IF(Atletas!U104="Taijijian Wu B",910,IF(Atletas!U104="Taijijian Wu-Hao B",911,IF(OR(Atletas!U104="Taijijian 32 B",Atletas!U104="Taijijian 42 B"),912,IF(OR(Atletas!U104="Taijijian Yang C",Atletas!U104="Taijijian Yang Standard C"),913,IF(OR(Atletas!U104="Taijijian Chen C", Atletas!U104="Taijijian Chen Standard C"),914,IF(Atletas!U104="Taijijian Sun C",915,IF(Atletas!U104="Taijijian Wu C",916,IF(Atletas!U104="Taijijian Wu-Hao C",917,IF(OR(Atletas!U104="Taijijian 32 C",Atletas!U104="Taijijian 42 C"),918,IF(OR(Atletas!U104="Taijijian Yang D",Atletas!U104="Taijijian Yang Standard D"),919,IF(OR(Atletas!U104="Taijijian Chen D", Atletas!U104="Taijijian Chen Standard D"),920,IF(Atletas!U104="Taijijian Sun D",921,IF(Atletas!U104="Taijijian Wu D",922,IF(Atletas!U104="Taijijian Wu-Hao D",923,IF(OR(Atletas!U104="Taijijian 32 D",Atletas!U104="Taijijian 42 D"),924,IF(OR(Atletas!U104="Taijijian Yang E",Atletas!U104="Taijijian Yang Standard E"),925,IF(OR(Atletas!U104="Taijijian Chen E", Atletas!U104="Taijijian Chen Standard E"),926,IF(Atletas!U104="Taijijian Sun E",927,IF(Atletas!U104="Taijijian Wu E",928,IF(Atletas!U104="Taijijian Wu-Hao E",929,IF(OR(Atletas!U104="Taijijian 32 E",Atletas!U104="Taijijian 42 E"),930,IF(OR(Atletas!U104="Taijijian Yang F",Atletas!U104="Taijijian Yang Standard F"),931,IF(OR(Atletas!U104="Taijijian Chen F", Atletas!U104="Taijijian Chen Standard F"),932,IF(Atletas!U104="Taijijian Sun F",933,IF(Atletas!U104="Taijijian Wu F",934,IF(Atletas!U104="Taijijian Wu-Hao F",935,IF(OR(Atletas!U104="Taijijian 32 F",Atletas!U104="Taijijian 42 F"),936,"")))))))))))))))))))))))))))))))))))))</f>
        <v/>
      </c>
      <c r="CD113" s="50" t="str">
        <f>IF(Atletas!V104="","",IF(Atletas!X104&lt;&gt;"",10000,0)+IF(Atletas!B104="Feminino",1000,IF(Atletas!B104="Masculino",2000,""))+IF(Atletas!V104="Taijidao A",937,IF(Atletas!V104="TaijiShanzi A",938,IF(Atletas!V104="Taijiqiang A",939,IF(Atletas!V104="Bagua de Arma A",940,IF(Atletas!V104="Xingyi de Arma A",941,IF(Atletas!V104="Taijidao B",942,IF(Atletas!V104="TaijiShanzi B",943,IF(Atletas!V104="Taijiqiang B",944,IF(Atletas!V104="Bagua de Arma B",945,IF(Atletas!V104="Xingyi de Arma B",946,IF(Atletas!V104="Taijidao C",947,IF(Atletas!V104="TaijiShanzi C",948,IF(Atletas!V104="Taijiqiang C",949,IF(Atletas!V104="Bagua de Arma C",950,IF(Atletas!V104="Xingyi de Arma C",951,IF(Atletas!V104="Taijidao D",952,IF(Atletas!V104="TaijiShanzi D",953,IF(Atletas!V104="Taijiqiang D",954,IF(Atletas!V104="Bagua de Arma D",955,IF(Atletas!V104="Xingyi de Arma D",956,IF(Atletas!V104="Taijidao E",957,IF(Atletas!V104="TaijiShanzi E",958,IF(Atletas!V104="Taijiqiang E",959,IF(Atletas!V104="Bagua de Arma E",960,IF(Atletas!V104="Xingyi de Arma E",961,IF(Atletas!V104="Taijidao F",962,IF(Atletas!V104="TaijiShanzi F",963,IF(Atletas!V104="Taijiqiang F",964,IF(Atletas!V104="Bagua de Arma F",965,IF(Atletas!V104="Xingyi de Arma F",966,"")))))))))))))))))))))))))))))))</f>
        <v/>
      </c>
      <c r="CE113" s="66" t="str">
        <f>IF(CF113&lt;&gt;"","Paoquan F","")</f>
        <v/>
      </c>
      <c r="CF113" s="66" t="str">
        <f>IF(COUNTIF(BR:CD,1171)&gt;0,COUNTIF(BR:CD,1171),"")</f>
        <v/>
      </c>
      <c r="CG113" s="66" t="str">
        <f>IF(CH113&lt;&gt;"","Paoquan F","")</f>
        <v/>
      </c>
      <c r="CH113" s="66" t="str">
        <f>IF(COUNTIF(BR:CD,2171)&gt;0,COUNTIF(BR:CD,2171),"")</f>
        <v/>
      </c>
      <c r="CI113" s="66" t="str">
        <f>IF(CJ113&lt;&gt;"","Wudangquan F","")</f>
        <v/>
      </c>
      <c r="CJ113" s="66" t="str">
        <f>IF(COUNTIF(BR:CD,11177)&gt;0,COUNTIF(BR:CD,11177),"")</f>
        <v/>
      </c>
      <c r="CK113" s="66" t="str">
        <f>IF(CL113&lt;&gt;"","Wudangquan F","")</f>
        <v/>
      </c>
      <c r="CL113" s="66" t="str">
        <f>IF(COUNTIF(BR:CD,12177)&gt;0,COUNTIF(BR:CD,12177),"")</f>
        <v/>
      </c>
      <c r="CM113" s="50" t="str">
        <f xml:space="preserve"> IF(Atletas!W104="","",IF(Atletas!W104="Duilian de Mãos BC - Equipe 1",1,IF(Atletas!W104="Duilian de Mãos BC - Equipe 2",2,IF(Atletas!W104="Duilian de Armas BC - Equipe 1",3,IF(Atletas!W104="Duilian de Armas BC - Equipe 2",4,IF(Atletas!W104="Duilian de Mãos DE - Equipe 1",5,IF(Atletas!W104="Duilian de Mãos DE - Equipe 2",6,IF(Atletas!W104="Duilian de Armas DE - Equipe 1",7,IF(Atletas!W104="Duilian de Armas DE - Equipe 2",8,IF(Atletas!W104="Duilian de Tuishou - Equipe 1",9,IF(Atletas!W104="Duilian de Tuishou - Equipe 2",10,IF(Atletas!W104="Grupo Externo ABC - Equipe 1",11,IF(Atletas!W104="Grupo Externo ABC - Equipe 2",12,IF(Atletas!W104="Grupo Interno ABC - Equipe 1",13,IF(Atletas!W104="Grupo Interno ABC - Equipe 2",14,IF(Atletas!W104="Grupo Externo DEF - Equipe 1",15,IF(Atletas!W104="Grupo Externo DEF - Equipe 2",16,IF(Atletas!W104="Grupo Interno DEF - Equipe 1",17,IF(Atletas!W104="Grupo Interno DEF - Equipe 2",18,"")))))))))))))))))))</f>
        <v/>
      </c>
    </row>
    <row r="114" spans="2:91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 t="str">
        <f t="array" ref="Z114">IFERROR(INDEX(CE$7:CE$348,SMALL(IF(CE$7:CE$348&lt;&gt;"",ROW(CE$7:CE$348)-ROW(CE$7)+1),ROWS(CE$7:CE113))),"")</f>
        <v/>
      </c>
      <c r="AA114" s="3" t="str">
        <f t="array" ref="AA114">IFERROR(INDEX(CF$7:CF$348,SMALL(IF(CF$7:CF$348&lt;&gt;"",ROW(CF$7:CF$348)-ROW(CF$7)+1),ROWS(CF$7:CF113))),"")</f>
        <v/>
      </c>
      <c r="AB114" s="3" t="str">
        <f t="array" ref="AB114">IFERROR(INDEX(CG$7:CG$348,SMALL(IF(CG$7:CG$348&lt;&gt;"",ROW(CG$7:CG$348)-ROW(CG$7)+1),ROWS(CG$7:CG113))),"")</f>
        <v/>
      </c>
      <c r="AC114" s="3" t="str">
        <f t="array" ref="AC114">IFERROR(INDEX(CH$7:CH$348,SMALL(IF(CH$7:CH$348&lt;&gt;"",ROW(CH$7:CH$348)-ROW(CH$7)+1),ROWS(CH$7:CH113))),"")</f>
        <v/>
      </c>
      <c r="AD114" s="3" t="str">
        <f t="array" ref="AD114">IFERROR(INDEX(CI$7:CI$377,SMALL(IF(CI$7:CI$377&lt;&gt;"",ROW(CI$7:CI$377)-ROW(CI$7)+1),ROWS(CI$7:CI113))),"")</f>
        <v/>
      </c>
      <c r="AE114" s="3" t="str">
        <f t="array" ref="AE114">IFERROR(INDEX(CJ$7:CJ$378,SMALL(IF(CJ$7:CJ$378&lt;&gt;"",ROW(CJ$7:CJ$378)-ROW(CJ$7)+1),ROWS(CJ$7:CJ113))),"")</f>
        <v/>
      </c>
      <c r="AF114" s="3" t="str">
        <f t="array" ref="AF114">IFERROR(INDEX(CK$7:CK$378,SMALL(IF(CK$7:CK$378&lt;&gt;"",ROW(CK$7:CK$378)-ROW(CK$7)+1),ROWS(CK$7:CK113))),"")</f>
        <v/>
      </c>
      <c r="AG114" s="3" t="str">
        <f t="array" ref="AG114">IFERROR(INDEX(CL$7:CL$378,SMALL(IF(CL$7:CL$378&lt;&gt;"",ROW(CL$7:CL$378)-ROW(CL$7)+1),ROWS(CL$7:CL113))),"")</f>
        <v/>
      </c>
      <c r="AH114" s="3"/>
      <c r="AI114" s="3"/>
      <c r="AJ114" s="3"/>
      <c r="AK114" s="3"/>
      <c r="AL114" s="3"/>
      <c r="AM114" s="3"/>
      <c r="AN114" s="52" t="str">
        <f>IF(Atletas!D105="","",IF(Atletas!B105="Feminino",100,IF(Atletas!B105="Masculino",200,""))+(IF(Atletas!D105="Kids 30kg",1,IF(Atletas!D105="Kids 32kg",2, IF(Atletas!D105="Kids 34kg",3,IF(Atletas!D105="Kids 36kg",4,IF(Atletas!D105="Kids 39kg",5,IF(Atletas!D105="Kids 42kg",6,IF(Atletas!D105="Kids 45kg",7, IF(Atletas!D105="Infantil 39kg",8,IF(Atletas!D105="Infantil 42kg",9,IF(Atletas!D105="Infantil 45kg",10,IF(Atletas!D105="Infantil 48kg",11,IF(Atletas!D105="Infantil 52kg",12,IF(Atletas!D105="Infantil 56kg",13,IF(Atletas!D105="Infantil 60kg",14,IF(Atletas!D105="Juvenil 48kg",15,IF(Atletas!D105="Juvenil 52kg",16,IF(Atletas!D105="Juvenil 56kg",17,IF(Atletas!D105="Juvenil 60kg",18,IF(Atletas!D105="Juvenil 65kg",19,IF(Atletas!D105="Juvenil 70kg",20,IF(Atletas!D105="Juvenil 75kg",21,IF(Atletas!D105="Juvenil 80kg",22, IF(Atletas!D105="Juvenil 85kg",23,IF(Atletas!D105="Adulto 48kg",24,IF(Atletas!D105="Adulto 52kg",25,IF(Atletas!D105="Adulto 56kg",26,IF(Atletas!D105="Adulto 60kg",27,IF(Atletas!D105="Adulto 65kg",28,IF(Atletas!D105="Adulto 70kg",29,IF(Atletas!D105="Adulto 75kg",30,IF(Atletas!D105="Adulto 80kg",31,IF(Atletas!D105="Adulto 85kg",32,IF(Atletas!D105="Adulto 90kg",33,IF(Atletas!D105="Adulto 100kg",34, IF(Atletas!D105="Adulto +100kg",35,"")))))))))))))))))))))))))))))))))))))</f>
        <v/>
      </c>
      <c r="AS114" s="6" t="str">
        <f>IF(Atletas!E105="","",IF(Atletas!B105="Feminino",100,IF(Atletas!B105="Masculino",200,""))+(IF(Atletas!E105="Juvenil 44kg",1,IF(Atletas!E105="Juvenil 48kg",2,IF(Atletas!E105="Juvenil 52kg",3,IF(Atletas!E105="Juvenil 56kg",4,IF(Atletas!E105="Juvenil 60kg",5,IF(Atletas!E105="Juvenil 65kg",6,IF(Atletas!E105="Juvenil 70kg",7,IF(Atletas!E105="Juvenil 75kg",8,IF(Atletas!E105="Juvenil 82kg",9,IF(Atletas!E105="Juvenil 90kg",10,IF(Atletas!E105="Juvenil 100kg",11,IF(Atletas!E105="Adulto 48kg",12,IF(Atletas!E105="Adulto 52kg",13,IF(Atletas!E105="Adulto 56kg",14,IF(Atletas!E105="Adulto 60kg",15,IF(Atletas!E105="Adulto 65kg",16,IF(Atletas!E105="Adulto 70kg",17,IF(Atletas!E105="Adulto 75kg",18,IF(Atletas!E105="Adulto 82kg",19,IF(Atletas!E105="Adulto 90kg",20,IF(Atletas!E105="Adulto 100kg",21,IF(Atletas!E105="Adulto +100kg",22,""))))))))))))))))))))))))</f>
        <v/>
      </c>
      <c r="AX114" s="6" t="str">
        <f>IF(Atletas!F105="","",IF(Atletas!B105="Feminino",100,IF(Atletas!B105="Masculino",200,""))+(IF(Atletas!F105="Adulto 48kg",1,IF(Atletas!F105="Adulto 56kg",2,IF(Atletas!F105="Adulto 65kg",3,IF(Atletas!F105="Adulto 75kg",4,IF(Atletas!F105="Adulto +75kg",5,IF(Atletas!F105="Adulto 52kg",6,IF(Atletas!F105="Adulto 60kg",7,IF(Atletas!F105="Adulto 70kg",8,IF(Atletas!F105="Adulto 80kg",9,IF(Atletas!F105="Adulto 90kg",10,IF(Atletas!F105="Adulto +90kg",11,"")))))))))))))</f>
        <v/>
      </c>
      <c r="BC114" s="6" t="str">
        <f>IF(Atletas!G105="","",IF(Atletas!B105="Feminino",10,IF(Atletas!B105="Masculino",20,""))+(IF(Atletas!G105="Baduanjin A",1,IF(Atletas!G105="Baduanjin B",2))))</f>
        <v/>
      </c>
      <c r="BF114" s="52" t="str">
        <f>IF(Atletas!H105="","",IF(Atletas!B105="Feminino",100,IF(Atletas!B105="Masculino",200,""))+(IF(Atletas!H105="Changquan Mirim",1,IF(Atletas!H105="Nanquan Mirim",2,IF(Atletas!H105="Taijiquan Mirim",3,IF(Atletas!H105="Changquan Grupo C",4,IF(Atletas!H105="Nanquan Grupo C",5,IF(Atletas!H105="Taijiquan Grupo C",6,IF(Atletas!H105="Changquan Grupo B",7,IF(Atletas!H105="Nanquan Grupo B",8,IF(Atletas!H105="Taijiquan Grupo B",9,IF(Atletas!H105="Changquan Grupo A",10,IF(Atletas!H105="Nanquan Grupo A",11,IF(Atletas!H105="Taijiquan Grupo A",12,IF(Atletas!H105="Changquan Opcional",13,IF(Atletas!H105="Nanquan Opcional",14,IF(Atletas!H105="Taijiquan Opcional",15,IF(Atletas!H105="Changquan Adulto",16,IF(Atletas!H105="Nanquan Adulto",17,IF(Atletas!H105="Taijiquan Adulto",18,""))))))))))))))))))))</f>
        <v/>
      </c>
      <c r="BG114" s="52" t="str">
        <f>IF(Atletas!I105="","",IF(Atletas!B105="Feminino",100,IF(Atletas!B105="Masculino",200,""))+(IF(Atletas!I105="Daoshu Mirim",19,IF(Atletas!I105="Jianshu Mirim",20,IF(Atletas!I105="Nandao Mirim",21,IF(Atletas!I105="Taijijian Mirim",22,IF(Atletas!I105="Daoshu Grupo C",23,IF(Atletas!I105="Jianshu Grupo C",24,IF(Atletas!I105="Nandao Grupo C",25,IF(Atletas!I105="Taijijian Grupo C",26,IF(Atletas!I105="Daoshu Grupo B",27,IF(Atletas!I105="Jianshu Grupo B",28,IF(Atletas!I105="Nandao Grupo B",29,IF(Atletas!I105="Taijijian Grupo B",30,IF(Atletas!I105="Daoshu Grupo A",31,IF(Atletas!I105="Jianshu Grupo A",32,IF(Atletas!I105="Nandao Grupo A",33,IF(Atletas!I105="Taijijian Grupo A",34,IF(Atletas!I105="Daoshu Opcional",35,IF(Atletas!I105="Jianshu Opcional",36,IF(Atletas!I105="Nandao Opcional",37,IF(Atletas!I105="Taijijian Opcional",38,IF(Atletas!I105="Daoshu Adulto",39,IF(Atletas!I105="Jianshu Adulto",40,IF(Atletas!I105="Nandao Adulto",41,IF(Atletas!I105="Taijijian Adulto",42,""))))))))))))))))))))))))))</f>
        <v/>
      </c>
      <c r="BH114" s="52" t="str">
        <f>IF(Atletas!J105="","",IF(Atletas!B105="Feminino",100,IF(Atletas!B105="Masculino",200,""))+(IF(Atletas!J105="Gunshu Mirim",43,IF(Atletas!J105="Qiangshu Mirim",44,IF(Atletas!J105="Nangun Mirim",45,IF(Atletas!J105="Gunshu Grupo C",46,IF(Atletas!J105="Qiangshu Grupo C",47,IF(Atletas!J105="Nangun Grupo C",48,IF(Atletas!J105="Gunshu Grupo B",49,IF(Atletas!J105="Qiangshu Grupo B",50,IF(Atletas!J105="Nangun Grupo B",51,IF(Atletas!J105="Gunshu Grupo A",52,IF(Atletas!J105="Qiangshu Grupo A",53,IF(Atletas!J105="Nangun Grupo A",54,IF(Atletas!J105="Gunshu Opcional",55,IF(Atletas!J105="Qiangshu Opcional",56,IF(Atletas!J105="Nangun Opcional",57,IF(Atletas!J105="Gunshu Adulto",58,IF(Atletas!J105="Qiangshu Adulto",59,IF(Atletas!J105="Nangun Adulto",60,IF(Atletas!J105="Taijishan Grupo B",61,IF(Atletas!J105="Taijishan Grupo A",62,""))))))))))))))))))))))</f>
        <v/>
      </c>
      <c r="BM114" s="50" t="str">
        <f>IF(Atletas!K105="","",IF(Atletas!B105="Feminino",100,IF(Atletas!B105="Masculino",200,""))+(IF(Atletas!K105="Equipe 1 Grupo B",1,IF(Atletas!K105="Equipe 2 Grupo B",2,IF(Atletas!K105="Equipe 1 Grupo A",3,IF(Atletas!K105="Equipe 2 Grupo A",4,IF(Atletas!K105="Equipe 1 Adulto",5,IF(Atletas!K105="Equipe 2 Adulto",6,""))))))))</f>
        <v/>
      </c>
      <c r="BR114" s="50" t="str">
        <f>IF(Atletas!L105="","",IF(Atletas!X105&lt;&gt;"",10000,0)+(IF(Atletas!B105="Feminino",1000,IF(Atletas!B105="Masculino",2000,""))+IF(Atletas!L105="Choylayfut A",1,IF(Atletas!L105="Hunggar A",2,IF(Atletas!L105="Wuzuquan A",3,IF(Atletas!L105="Wingchun A",4,IF(Atletas!L105="Outra Mão de Sul A",5,IF(Atletas!L105="Choylayfut B",6,IF(Atletas!L105="Hunggar B",7,IF(Atletas!L105="Wuzuquan B",8,IF(Atletas!L105="Wingchun B",9,IF(Atletas!L105="Outra Mão de Sul B",10,IF(Atletas!L105="Choylayfut C",11,IF(Atletas!L105="Hunggar C",12,IF(Atletas!L105="Wuzuquan C",13,IF(Atletas!L105="Wingchun C",14,IF(Atletas!L105="Outra Mão de Sul C",15,IF(Atletas!L105="Choylayfut D",16,IF(Atletas!L105="Hunggar D",17,IF(Atletas!L105="Wuzuquan D",18,IF(Atletas!L105="Wingchun D",19,IF(Atletas!L105="Outra Mão de Sul D",20,IF(Atletas!L105="Choylayfut E",21,IF(Atletas!L105="Hunggar E",22,IF(Atletas!L105="Wuzuquan E",23,IF(Atletas!L105="Wingchun E",24,IF(Atletas!L105="Outra Mão de Sul E",25,IF(Atletas!L105="Choylayfut F",26,IF(Atletas!L105="Hunggar F",27,IF(Atletas!L105="Wuzuquan F",28,IF(Atletas!L105="Wingchun F",29,IF(Atletas!L105="Outra Mão de Sul F",30,IF(Atletas!L105="Dishuquan A",31,IF(Atletas!L105="Dishuquan B",32,IF(Atletas!L105="Dishuquan C",33,IF(Atletas!L105="Dishuquan D",34,IF(Atletas!L105="Dishuquan E",35,IF(Atletas!L105="Dishuquan F",36,""))))))))))))))))))))))))))))))))))))))</f>
        <v/>
      </c>
      <c r="BS114" s="50" t="str">
        <f>IF(Atletas!M105="","",IF(Atletas!X105&lt;&gt;"",10000,0)+(IF(Atletas!B105="Feminino",1000,IF(Atletas!B105="Masculino",2000,""))+(IF(Atletas!M105="Chaquan A",101,IF(Atletas!M105="Emeiquan A",102,IF(Atletas!M105="Fanziquan A",103,IF(Atletas!M105="Huaquan A",104,IF(Atletas!M105="Hongquan A",105,IF(Atletas!M105="Paoquan A",106,IF(Atletas!M105="Piguaquan A",107,IF(Atletas!M105="Shaolinquan A",108,IF(Atletas!M105="Tanglangquan A",109,IF(Atletas!M105="Yingzhaoquan A",110,IF(Atletas!M105="Tongbeiquan A",111,IF(Atletas!M105="Wudangquan A",112,IF(Atletas!M105="Outros Estilos A",113,IF(Atletas!M105="Chaquan B",114,IF(Atletas!M105="Emeiquan B",115,IF(Atletas!M105="Fanziquan B",116,IF(Atletas!M105="Huaquan B",117,IF(Atletas!M105="Hongquan B",118,IF(Atletas!M105="Paoquan B",119,IF(Atletas!M105="Piguaquan B",120,IF(Atletas!M105="Shaolinquan B",121,IF(Atletas!M105="Tanglangquan B",122,IF(Atletas!M105="Yingzhaoquan B",123,IF(Atletas!M105="Tongbeiquan B",124,IF(Atletas!M105="Wudangquan B",125,IF(Atletas!M105="Outros Estilos B",126,IF(Atletas!M105="Chaquan C",127,IF(Atletas!M105="Emeiquan C",128,IF(Atletas!M105="Fanziquan C",129,IF(Atletas!M105="Huaquan C",130,IF(Atletas!M105="Hongquan C",131,IF(Atletas!M105="Paoquan C",132,IF(Atletas!M105="Piguaquan C",133,IF(Atletas!M105="Shaolinquan C",134,IF(Atletas!M105="Tanglangquan C",135,IF(Atletas!M105="Yingzhaoquan C",136,IF(Atletas!M105="Tongbeiquan C",137,IF(Atletas!M105="Wudangquan C",138,IF(Atletas!M105="Outros Estilos C",139,0))))))))))))))))))))))))))))))))))))))))))</f>
        <v/>
      </c>
      <c r="BT114" s="50" t="str">
        <f>IF(Atletas!M105="","",IF(Atletas!X105&lt;&gt;"",10000,0)+(IF(Atletas!B105="Feminino",1000,IF(Atletas!B105="Masculino",2000,""))+(IF(Atletas!M105="Chaquan D",140,IF(Atletas!M105="Emeiquan D",141,IF(Atletas!M105="Fanziquan D",142,IF(Atletas!M105="Huaquan D",143,IF(Atletas!M105="Hongquan D",144,IF(Atletas!M105="Paoquan D",145,IF(Atletas!M105="Piguaquan D",146,IF(Atletas!M105="Shaolinquan D",147,IF(Atletas!M105="Tanglangquan D",148,IF(Atletas!M105="Yingzhaoquan D",149,IF(Atletas!M105="Tongbeiquan D",150,IF(Atletas!M105="Wudangquan D",151,IF(Atletas!M105="Outros Estilos D",152,IF(Atletas!M105="Chaquan E",153,IF(Atletas!M105="Emeiquan E",154,IF(Atletas!M105="Fanziquan E",155,IF(Atletas!M105="Huaquan E",156,IF(Atletas!M105="Hongquan E",157,IF(Atletas!M105="Paoquan E",158,IF(Atletas!M105="Piguaquan E",159,IF(Atletas!M105="Shaolinquan E",160,IF(Atletas!M105="Tanglangquan E",161,IF(Atletas!M105="Yingzhaoquan E",162,IF(Atletas!M105="Tongbeiquan E",163,IF(Atletas!M105="Wudangquan E",164,IF(Atletas!M105="Outros Estilos E",165,IF(Atletas!M105="Chaquan F",166,IF(Atletas!M105="Emeiquan F",167,IF(Atletas!M105="Fanziquan F",168,IF(Atletas!M105="Huaquan F",169,IF(Atletas!M105="Hongquan F",170,IF(Atletas!M105="Paoquan F",171,IF(Atletas!M105="Piguaquan F",172,IF(Atletas!M105="Shaolinquan F",173,IF(Atletas!M105="Tanglangquan F",174,IF(Atletas!M105="Yingzhaoquan F",175,IF(Atletas!M105="Tongbeiquan F",176,IF(Atletas!M105="Wudangquan F",177,IF(Atletas!M105="Outros Estilos F",178,0))))))))))))))))))))))))))))))))))))))))))</f>
        <v/>
      </c>
      <c r="BU114" s="50" t="str">
        <f>IF(Atletas!N105="","",IF(Atletas!X105&lt;&gt;"",10000,0)+(IF(Atletas!B105="Feminino",1000,IF(Atletas!B105="Masculino",2000,""))+(IF(Atletas!N105="Ditangquan A",201,IF(Atletas!N105="Houquan A",202,IF(Atletas!N105="Zuiquan A",203,IF(Atletas!N105="Ditangquan B",204,IF(Atletas!N105="Houquan B",205,IF(Atletas!N105="Zuiquan B",206,IF(Atletas!N105="Ditangquan C",207,IF(Atletas!N105="Houquan C",208,IF(Atletas!N105="Zuiquan C",209,IF(Atletas!N105="Ditangquan D",210,IF(Atletas!N105="Houquan D",211,IF(Atletas!N105="Zuiquan D",212,IF(Atletas!N105="Ditangquan E",213,IF(Atletas!N105="Houquan E",214,IF(Atletas!N105="Zuiquan E",215,IF(Atletas!N105="Ditangquan F",216,IF(Atletas!N105="Houquan F",217,IF(Atletas!N105="Zuiquan F",218,"")))))))))))))))))))))</f>
        <v/>
      </c>
      <c r="BV114" s="50" t="str">
        <f>IF(Atletas!O105="","",IF(Atletas!X105&lt;&gt;"",10000,0)+IF(Atletas!B105="Feminino",1000,IF(Atletas!B105="Masculino",2000,""))+IF(Atletas!O105="Yang A",301,IF(Atletas!O105="Chen A",302,IF(Atletas!O105="Sun A",303,IF(Atletas!O105="Wu A",304,IF(Atletas!O105="Wu-Hao A",305,IF(Atletas!O105="Outro Taijiquan A",306,IF(Atletas!O105="Yang B",307,IF(Atletas!O105="Chen B",308,IF(Atletas!O105="Sun B",309,IF(Atletas!O105="Wu B",310,IF(Atletas!O105="Wu-Hao B",311,IF(Atletas!O105="Outro Taijiquan B",312,IF(Atletas!O105="Yang C",313,IF(Atletas!O105="Chen C",314,IF(Atletas!O105="Sun C",315,IF(Atletas!O105="Wu C",316,IF(Atletas!O105="Wu-Hao C",317,IF(Atletas!O105="Outro Taijiquan C",318,IF(Atletas!O105="Yang D",319,IF(Atletas!O105="Chen D",320,IF(Atletas!O105="Sun D",321,IF(Atletas!O105="Wu D",322,IF(Atletas!O105="Wu-Hao D",323,IF(Atletas!O105="Outro Taijiquan D",324,IF(Atletas!O105="Yang E",325,IF(Atletas!O105="Chen E",326,IF(Atletas!O105="Sun E",327,IF(Atletas!O105="Wu E",328,IF(Atletas!O105="Wu-Hao E",329,IF(Atletas!O105="Outro Taijiquan E",330,IF(Atletas!O105="Yang F",331,IF(Atletas!O105="Chen F",332,IF(Atletas!O105="Sun F",333,IF(Atletas!O105="Wu F",334,IF(Atletas!O105="Wu-Hao F",335,IF(Atletas!O105="Outro Taijiquan F",336,"")))))))))))))))))))))))))))))))))))))</f>
        <v/>
      </c>
      <c r="BW114" s="50" t="str">
        <f>IF(Atletas!P105="","",IF(Atletas!X105&lt;&gt;"",10000,0)+IF(Atletas!B105="Feminino",1000,IF(Atletas!B105="Masculino",2000,""))+IF(OR(Atletas!P105="Yang 26 A",Atletas!P105="Yang 40 A"),401,IF(OR(Atletas!P105="Chen 25 A",Atletas!P105="Chen 36 A",Atletas!P105="Chen 56 A"),402,IF(Atletas!P105="Sun 73 A",403,IF(Atletas!P105="Wu 45 A",404,IF(Atletas!P105="Wu-Hao 46 A",405,IF(OR(Atletas!P105="Taijiquan 16 A",Atletas!P105="Taijiquan 24 A",Atletas!P105="Taijiquan 32 A",Atletas!P105="Taijiquan 42 A"),406,IF(OR(Atletas!P105="Yang 26 B",Atletas!P105="Yang 40 B"),407,IF(OR(Atletas!P105="Chen 25 B",Atletas!P105="Chen 36 B",Atletas!P105="Chen 56 B"),408,IF(Atletas!P105="Sun 73 B",409,IF(Atletas!P105="Wu 45 B",410,IF(Atletas!P105="Wu-Hao 46 B",411,IF(OR(Atletas!P105="Taijiquan 16 B",Atletas!P105="Taijiquan 24 B",Atletas!P105="Taijiquan 32 B",Atletas!P105="Taijiquan 42 B"),412,IF(OR(Atletas!P105="Yang 26 C",Atletas!P105="Yang 40 C"),413,IF(OR(Atletas!P105="Chen 25 C",Atletas!P105="Chen 36 C",Atletas!P105="Chen 56 C"),414,IF(Atletas!P105="Sun 73 C",415,IF(Atletas!P105="Wu 45 C",416,IF(Atletas!P105="Wu-Hao 46 C",417,IF(OR(Atletas!P105="Taijiquan 16 C",Atletas!P105="Taijiquan 24 C",Atletas!P105="Taijiquan 32 C",Atletas!P105="Taijiquan 42 C"),418,0)))))))))))))))))))</f>
        <v/>
      </c>
      <c r="BX114" s="50" t="str">
        <f>IF(Atletas!P105="","",IF(Atletas!X105&lt;&gt;"",10000,0)+IF(Atletas!B105="Feminino",1000,IF(Atletas!B105="Masculino",2000,""))+IF(OR(Atletas!P105="Yang 26 D",Atletas!P105="Yang 40 D"),419,IF(OR(Atletas!P105="Chen 25 D",Atletas!P105="Chen 36 D",Atletas!P105="Chen 56 D"),420,IF(Atletas!P105="Sun 73 D",421,IF(Atletas!P105="Wu 45 D",422,IF(Atletas!P105="Wu-Hao 46 D",423,IF(OR(Atletas!P105="Taijiquan 16 D",Atletas!P105="Taijiquan 24 D",Atletas!P105="Taijiquan 32 D",Atletas!P105="Taijiquan 42 D"),424,IF(OR(Atletas!P105="Yang 26 E",Atletas!P105="Yang 40 E"),425,IF(OR(Atletas!P105="Chen 25 E",Atletas!P105="Chen 36 E",Atletas!P105="Chen 56 E"),426,IF(Atletas!P105="Sun 73 E",427,IF(Atletas!P105="Wu 45 E",428,IF(Atletas!P105="Wu-Hao 46 E",429,IF(OR(Atletas!P105="Taijiquan 16 E",Atletas!P105="Taijiquan 24 E",Atletas!P105="Taijiquan 32 E",Atletas!P105="Taijiquan 42 E"),430,IF(OR(Atletas!P105="Yang 26 F",Atletas!P105="Yang 40 F"),431,IF(OR(Atletas!P105="Chen 25 F",Atletas!P105="Chen 36 F",Atletas!P105="Chen 56 F"),432,IF(Atletas!P105="Sun 73 F",433,IF(Atletas!P105="Wu 45 F",434,IF(Atletas!P105="Wu-Hao 46 F",435,IF(OR(Atletas!P105="Taijiquan 16 F",Atletas!P105="Taijiquan 24 F",Atletas!P105="Taijiquan 32 F",Atletas!P105="Taijiquan 42 F"),436,0)))))))))))))))))))</f>
        <v/>
      </c>
      <c r="BY114" s="50" t="str">
        <f>IF(Atletas!Q105="","",IF(Atletas!X105&lt;&gt;"",10000,0)+IF(Atletas!B105="Feminino",1000,IF(Atletas!B105="Masculino",2000,""))+IF(Atletas!Q105="Xingyiquan A",501,IF(Atletas!Q105="Baguazhang A",502,IF(Atletas!Q105="Outro Estilo Interno A",503,IF(Atletas!Q105="Xingyiquan B",504,IF(Atletas!Q105="Baguazhang B",505,IF(Atletas!Q105="Outro Estilo Interno B",506,IF(Atletas!Q105="Xingyiquan C",507,IF(Atletas!Q105="Baguazhang C",508,IF(Atletas!Q105="Outro Estilo Interno C",509,IF(Atletas!Q105="Xingyiquan D",510,IF(Atletas!Q105="Baguazhang D",511,IF(Atletas!Q105="Outro Estilo Interno D",512,IF(Atletas!Q105="Xingyiquan E",513,IF(Atletas!Q105="Baguazhang E",514,IF(Atletas!Q105="Outro Estilo Interno E",515,IF(Atletas!Q105="Xingyiquan F",516,IF(Atletas!Q105="Baguazhang F",517,IF(Atletas!Q105="Outro Estilo Interno F",518, "")))))))))))))))))))</f>
        <v/>
      </c>
      <c r="BZ114" s="50" t="str">
        <f>IF(Atletas!R105="","",IF(Atletas!X105&lt;&gt;"",10000,0)+IF(Atletas!B105="Feminino",1000,IF(Atletas!B105="Masculino",2000,""))+IF(Atletas!R105="Dao A",601,IF(Atletas!R105="Jian A",602,IF(Atletas!R105="Bishou A",603,IF(Atletas!R105="Shanzi A",604,IF(Atletas!R105="Outra Arma Curta A",605,IF(Atletas!R105="Dao B",606,IF(Atletas!R105="Jian B",607,IF(Atletas!R105="Bishou B",608,IF(Atletas!R105="Shanzi B",609,IF(Atletas!R105="Outra Arma Curta B",610,IF(Atletas!R105="Dao C",611,IF(Atletas!R105="Jian C",612,IF(Atletas!R105="Bishou C",613,IF(Atletas!R105="Shanzi C",614,IF(Atletas!R105="Outra Arma Curta C",615,IF(Atletas!R105="Dao D",616,IF(Atletas!R105="Jian D",617,IF(Atletas!R105="Bishou D",618,IF(Atletas!R105="Shanzi D",619,IF(Atletas!R105="Outra Arma Curta D",620,IF(Atletas!R105="Dao E",621,IF(Atletas!R105="Jian E",622,IF(Atletas!R105="Bishou E",623,IF(Atletas!R105="Shanzi E",624,IF(Atletas!R105="Outra Arma Curta E",625,IF(Atletas!R105="Dao F",626,IF(Atletas!R105="Jian F",627,IF(Atletas!R105="Bishou F",628,IF(Atletas!R105="Shanzi F",629,IF(Atletas!R105="Outra Arma Curta F",630, "")))))))))))))))))))))))))))))))</f>
        <v/>
      </c>
      <c r="CA114" s="50" t="str">
        <f>IF(Atletas!S105="","",IF(Atletas!X105&lt;&gt;"",10000,0)+IF(Atletas!B105="Feminino",1000,IF(Atletas!B105="Masculino",2000,""))+IF(Atletas!S105="Gun A",701,IF(Atletas!S105="Qiang A",702,IF(Atletas!S105="Pudao / Guandao A",703,IF(Atletas!S105="Outra Arma Longa A",704,IF(Atletas!S105="Gun B",705,IF(Atletas!S105="Qiang B",706,IF(Atletas!S105="Pudao / Guandao B",707,IF(Atletas!S105="Outra Arma Longa B",708,IF(Atletas!S105="Gun C",709,IF(Atletas!S105="Qiang C",710,IF(Atletas!S105="Pudao / Guandao C",711,IF(Atletas!S105="Outra Arma Longa C",712,IF(Atletas!S105="Gun D",713,IF(Atletas!S105="Qiang D",714,IF(Atletas!S105="Pudao / Guandao D",715,IF(Atletas!S105="Outra Arma Longa D",716,IF(Atletas!S105="Gun E",717,IF(Atletas!S105="Qiang E",718,IF(Atletas!S105="Pudao / Guandao E",719,IF(Atletas!S105="Outra Arma Longa E",720,IF(Atletas!S105="Gun F",721,IF(Atletas!S105="Qiang F",722,IF(Atletas!S105="Pudao / Guandao F",723,IF(Atletas!S105="Outra Arma Longa F",724,"")))))))))))))))))))))))))</f>
        <v/>
      </c>
      <c r="CB114" s="50" t="str">
        <f>IF(Atletas!T105="","",IF(Atletas!X105&lt;&gt;"",10000,0)+IF(Atletas!B105="Feminino",1000,IF(Atletas!B105="Masculino",2000,""))+IF(Atletas!T105="Outra Arma Dupla A",801,IF(Atletas!T105="Arma Maleável A",802,IF(Atletas!T105="Outra Arma Dupla B",803,IF(Atletas!T105="Arma Maleável B",804,IF(Atletas!T105="Outra Arma Dupla C",805,IF(Atletas!T105="Arma Maleável C",806,IF(Atletas!T105="Outra Arma Dupla D",807,IF(Atletas!T105="Arma Maleável D",808,IF(Atletas!T105="Outra Arma Dupla E",809,IF(Atletas!T105="Arma Maleável E",810,IF(Atletas!T105="Outra Arma Dupla F",811,IF(Atletas!T105="Arma Maleável F",812,IF(Atletas!T105="Shuangdao A",813,IF(Atletas!T105="Shuangdao B",814,IF(Atletas!T105="Shuangdao C",815,IF(Atletas!T105="Shuangdao D",816,IF(Atletas!T105="Shuangdao E",817,IF(Atletas!T105="Shuangdao F",818,"")))))))))))))))))))</f>
        <v/>
      </c>
      <c r="CC114" s="50" t="str">
        <f>IF(Atletas!U105="","",IF(Atletas!X105&lt;&gt;"",10000,0)+IF(Atletas!B105="Feminino",1000,IF(Atletas!B105="Masculino",2000,""))+IF(OR(Atletas!U105="Taijijian Yang A",Atletas!U105="Taijijian Yang Standard A"),901,IF(OR(Atletas!U105="Taijijian Chen A", Atletas!U105="Taijijian Chen Standard A"),902,IF(Atletas!U105="Taijijian Sun A",903,IF(Atletas!U105="Taijijian Wu A",904,IF(Atletas!U105="Taijijian Wu-Hao A",905,IF(OR(Atletas!U105="Taijijian 32 A",Atletas!U105="Taijijian 42 A"),906,IF(OR(Atletas!U105="Taijijian Yang B",Atletas!U105="Taijijian Yang Standard B"),907,IF(OR(Atletas!U105="Taijijian Chen B", Atletas!U105="Taijijian Chen Standard B"),908,IF(Atletas!U105="Taijijian Sun B",909,IF(Atletas!U105="Taijijian Wu B",910,IF(Atletas!U105="Taijijian Wu-Hao B",911,IF(OR(Atletas!U105="Taijijian 32 B",Atletas!U105="Taijijian 42 B"),912,IF(OR(Atletas!U105="Taijijian Yang C",Atletas!U105="Taijijian Yang Standard C"),913,IF(OR(Atletas!U105="Taijijian Chen C", Atletas!U105="Taijijian Chen Standard C"),914,IF(Atletas!U105="Taijijian Sun C",915,IF(Atletas!U105="Taijijian Wu C",916,IF(Atletas!U105="Taijijian Wu-Hao C",917,IF(OR(Atletas!U105="Taijijian 32 C",Atletas!U105="Taijijian 42 C"),918,IF(OR(Atletas!U105="Taijijian Yang D",Atletas!U105="Taijijian Yang Standard D"),919,IF(OR(Atletas!U105="Taijijian Chen D", Atletas!U105="Taijijian Chen Standard D"),920,IF(Atletas!U105="Taijijian Sun D",921,IF(Atletas!U105="Taijijian Wu D",922,IF(Atletas!U105="Taijijian Wu-Hao D",923,IF(OR(Atletas!U105="Taijijian 32 D",Atletas!U105="Taijijian 42 D"),924,IF(OR(Atletas!U105="Taijijian Yang E",Atletas!U105="Taijijian Yang Standard E"),925,IF(OR(Atletas!U105="Taijijian Chen E", Atletas!U105="Taijijian Chen Standard E"),926,IF(Atletas!U105="Taijijian Sun E",927,IF(Atletas!U105="Taijijian Wu E",928,IF(Atletas!U105="Taijijian Wu-Hao E",929,IF(OR(Atletas!U105="Taijijian 32 E",Atletas!U105="Taijijian 42 E"),930,IF(OR(Atletas!U105="Taijijian Yang F",Atletas!U105="Taijijian Yang Standard F"),931,IF(OR(Atletas!U105="Taijijian Chen F", Atletas!U105="Taijijian Chen Standard F"),932,IF(Atletas!U105="Taijijian Sun F",933,IF(Atletas!U105="Taijijian Wu F",934,IF(Atletas!U105="Taijijian Wu-Hao F",935,IF(OR(Atletas!U105="Taijijian 32 F",Atletas!U105="Taijijian 42 F"),936,"")))))))))))))))))))))))))))))))))))))</f>
        <v/>
      </c>
      <c r="CD114" s="50" t="str">
        <f>IF(Atletas!V105="","",IF(Atletas!X105&lt;&gt;"",10000,0)+IF(Atletas!B105="Feminino",1000,IF(Atletas!B105="Masculino",2000,""))+IF(Atletas!V105="Taijidao A",937,IF(Atletas!V105="TaijiShanzi A",938,IF(Atletas!V105="Taijiqiang A",939,IF(Atletas!V105="Bagua de Arma A",940,IF(Atletas!V105="Xingyi de Arma A",941,IF(Atletas!V105="Taijidao B",942,IF(Atletas!V105="TaijiShanzi B",943,IF(Atletas!V105="Taijiqiang B",944,IF(Atletas!V105="Bagua de Arma B",945,IF(Atletas!V105="Xingyi de Arma B",946,IF(Atletas!V105="Taijidao C",947,IF(Atletas!V105="TaijiShanzi C",948,IF(Atletas!V105="Taijiqiang C",949,IF(Atletas!V105="Bagua de Arma C",950,IF(Atletas!V105="Xingyi de Arma C",951,IF(Atletas!V105="Taijidao D",952,IF(Atletas!V105="TaijiShanzi D",953,IF(Atletas!V105="Taijiqiang D",954,IF(Atletas!V105="Bagua de Arma D",955,IF(Atletas!V105="Xingyi de Arma D",956,IF(Atletas!V105="Taijidao E",957,IF(Atletas!V105="TaijiShanzi E",958,IF(Atletas!V105="Taijiqiang E",959,IF(Atletas!V105="Bagua de Arma E",960,IF(Atletas!V105="Xingyi de Arma E",961,IF(Atletas!V105="Taijidao F",962,IF(Atletas!V105="TaijiShanzi F",963,IF(Atletas!V105="Taijiqiang F",964,IF(Atletas!V105="Bagua de Arma F",965,IF(Atletas!V105="Xingyi de Arma F",966,"")))))))))))))))))))))))))))))))</f>
        <v/>
      </c>
      <c r="CE114" s="66" t="str">
        <f>IF(CF114&lt;&gt;"","Piguaquan F","")</f>
        <v/>
      </c>
      <c r="CF114" s="66" t="str">
        <f>IF(COUNTIF(BR:CD,1172)&gt;0,COUNTIF(BR:CD,1172),"")</f>
        <v/>
      </c>
      <c r="CG114" s="66" t="str">
        <f>IF(CH114&lt;&gt;"","Piguaquan F","")</f>
        <v/>
      </c>
      <c r="CH114" s="66" t="str">
        <f>IF(COUNTIF(BR:CD,2172)&gt;0,COUNTIF(BR:CD,2172),"")</f>
        <v/>
      </c>
      <c r="CI114" s="66" t="str">
        <f>IF(CJ114&lt;&gt;"","Outros Estilos F","")</f>
        <v/>
      </c>
      <c r="CJ114" s="66" t="str">
        <f>IF(COUNTIF(BR:CD,11178)&gt;0,COUNTIF(BR:CD,11178),"")</f>
        <v/>
      </c>
      <c r="CK114" s="66" t="str">
        <f>IF(CL114&lt;&gt;"","Outros Estilos F","")</f>
        <v/>
      </c>
      <c r="CL114" s="66" t="str">
        <f>IF(COUNTIF(BR:CD,12178)&gt;0,COUNTIF(BR:CD,12178),"")</f>
        <v/>
      </c>
      <c r="CM114" s="50" t="str">
        <f xml:space="preserve"> IF(Atletas!W105="","",IF(Atletas!W105="Duilian de Mãos BC - Equipe 1",1,IF(Atletas!W105="Duilian de Mãos BC - Equipe 2",2,IF(Atletas!W105="Duilian de Armas BC - Equipe 1",3,IF(Atletas!W105="Duilian de Armas BC - Equipe 2",4,IF(Atletas!W105="Duilian de Mãos DE - Equipe 1",5,IF(Atletas!W105="Duilian de Mãos DE - Equipe 2",6,IF(Atletas!W105="Duilian de Armas DE - Equipe 1",7,IF(Atletas!W105="Duilian de Armas DE - Equipe 2",8,IF(Atletas!W105="Duilian de Tuishou - Equipe 1",9,IF(Atletas!W105="Duilian de Tuishou - Equipe 2",10,IF(Atletas!W105="Grupo Externo ABC - Equipe 1",11,IF(Atletas!W105="Grupo Externo ABC - Equipe 2",12,IF(Atletas!W105="Grupo Interno ABC - Equipe 1",13,IF(Atletas!W105="Grupo Interno ABC - Equipe 2",14,IF(Atletas!W105="Grupo Externo DEF - Equipe 1",15,IF(Atletas!W105="Grupo Externo DEF - Equipe 2",16,IF(Atletas!W105="Grupo Interno DEF - Equipe 1",17,IF(Atletas!W105="Grupo Interno DEF - Equipe 2",18,"")))))))))))))))))))</f>
        <v/>
      </c>
    </row>
    <row r="115" spans="2:91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 t="str">
        <f t="array" ref="Z115">IFERROR(INDEX(CE$7:CE$348,SMALL(IF(CE$7:CE$348&lt;&gt;"",ROW(CE$7:CE$348)-ROW(CE$7)+1),ROWS(CE$7:CE114))),"")</f>
        <v/>
      </c>
      <c r="AA115" s="3" t="str">
        <f t="array" ref="AA115">IFERROR(INDEX(CF$7:CF$348,SMALL(IF(CF$7:CF$348&lt;&gt;"",ROW(CF$7:CF$348)-ROW(CF$7)+1),ROWS(CF$7:CF114))),"")</f>
        <v/>
      </c>
      <c r="AB115" s="3" t="str">
        <f t="array" ref="AB115">IFERROR(INDEX(CG$7:CG$348,SMALL(IF(CG$7:CG$348&lt;&gt;"",ROW(CG$7:CG$348)-ROW(CG$7)+1),ROWS(CG$7:CG114))),"")</f>
        <v/>
      </c>
      <c r="AC115" s="3" t="str">
        <f t="array" ref="AC115">IFERROR(INDEX(CH$7:CH$348,SMALL(IF(CH$7:CH$348&lt;&gt;"",ROW(CH$7:CH$348)-ROW(CH$7)+1),ROWS(CH$7:CH114))),"")</f>
        <v/>
      </c>
      <c r="AD115" s="3" t="str">
        <f t="array" ref="AD115">IFERROR(INDEX(CI$7:CI$377,SMALL(IF(CI$7:CI$377&lt;&gt;"",ROW(CI$7:CI$377)-ROW(CI$7)+1),ROWS(CI$7:CI114))),"")</f>
        <v/>
      </c>
      <c r="AE115" s="3" t="str">
        <f t="array" ref="AE115">IFERROR(INDEX(CJ$7:CJ$378,SMALL(IF(CJ$7:CJ$378&lt;&gt;"",ROW(CJ$7:CJ$378)-ROW(CJ$7)+1),ROWS(CJ$7:CJ114))),"")</f>
        <v/>
      </c>
      <c r="AF115" s="3" t="str">
        <f t="array" ref="AF115">IFERROR(INDEX(CK$7:CK$378,SMALL(IF(CK$7:CK$378&lt;&gt;"",ROW(CK$7:CK$378)-ROW(CK$7)+1),ROWS(CK$7:CK114))),"")</f>
        <v/>
      </c>
      <c r="AG115" s="3" t="str">
        <f t="array" ref="AG115">IFERROR(INDEX(CL$7:CL$378,SMALL(IF(CL$7:CL$378&lt;&gt;"",ROW(CL$7:CL$378)-ROW(CL$7)+1),ROWS(CL$7:CL114))),"")</f>
        <v/>
      </c>
      <c r="AH115" s="3"/>
      <c r="AI115" s="3"/>
      <c r="AJ115" s="3"/>
      <c r="AK115" s="3"/>
      <c r="AL115" s="3"/>
      <c r="AM115" s="3"/>
      <c r="AN115" s="52" t="str">
        <f>IF(Atletas!D106="","",IF(Atletas!B106="Feminino",100,IF(Atletas!B106="Masculino",200,""))+(IF(Atletas!D106="Kids 30kg",1,IF(Atletas!D106="Kids 32kg",2, IF(Atletas!D106="Kids 34kg",3,IF(Atletas!D106="Kids 36kg",4,IF(Atletas!D106="Kids 39kg",5,IF(Atletas!D106="Kids 42kg",6,IF(Atletas!D106="Kids 45kg",7, IF(Atletas!D106="Infantil 39kg",8,IF(Atletas!D106="Infantil 42kg",9,IF(Atletas!D106="Infantil 45kg",10,IF(Atletas!D106="Infantil 48kg",11,IF(Atletas!D106="Infantil 52kg",12,IF(Atletas!D106="Infantil 56kg",13,IF(Atletas!D106="Infantil 60kg",14,IF(Atletas!D106="Juvenil 48kg",15,IF(Atletas!D106="Juvenil 52kg",16,IF(Atletas!D106="Juvenil 56kg",17,IF(Atletas!D106="Juvenil 60kg",18,IF(Atletas!D106="Juvenil 65kg",19,IF(Atletas!D106="Juvenil 70kg",20,IF(Atletas!D106="Juvenil 75kg",21,IF(Atletas!D106="Juvenil 80kg",22, IF(Atletas!D106="Juvenil 85kg",23,IF(Atletas!D106="Adulto 48kg",24,IF(Atletas!D106="Adulto 52kg",25,IF(Atletas!D106="Adulto 56kg",26,IF(Atletas!D106="Adulto 60kg",27,IF(Atletas!D106="Adulto 65kg",28,IF(Atletas!D106="Adulto 70kg",29,IF(Atletas!D106="Adulto 75kg",30,IF(Atletas!D106="Adulto 80kg",31,IF(Atletas!D106="Adulto 85kg",32,IF(Atletas!D106="Adulto 90kg",33,IF(Atletas!D106="Adulto 100kg",34, IF(Atletas!D106="Adulto +100kg",35,"")))))))))))))))))))))))))))))))))))))</f>
        <v/>
      </c>
      <c r="AS115" s="6" t="str">
        <f>IF(Atletas!E106="","",IF(Atletas!B106="Feminino",100,IF(Atletas!B106="Masculino",200,""))+(IF(Atletas!E106="Juvenil 44kg",1,IF(Atletas!E106="Juvenil 48kg",2,IF(Atletas!E106="Juvenil 52kg",3,IF(Atletas!E106="Juvenil 56kg",4,IF(Atletas!E106="Juvenil 60kg",5,IF(Atletas!E106="Juvenil 65kg",6,IF(Atletas!E106="Juvenil 70kg",7,IF(Atletas!E106="Juvenil 75kg",8,IF(Atletas!E106="Juvenil 82kg",9,IF(Atletas!E106="Juvenil 90kg",10,IF(Atletas!E106="Juvenil 100kg",11,IF(Atletas!E106="Adulto 48kg",12,IF(Atletas!E106="Adulto 52kg",13,IF(Atletas!E106="Adulto 56kg",14,IF(Atletas!E106="Adulto 60kg",15,IF(Atletas!E106="Adulto 65kg",16,IF(Atletas!E106="Adulto 70kg",17,IF(Atletas!E106="Adulto 75kg",18,IF(Atletas!E106="Adulto 82kg",19,IF(Atletas!E106="Adulto 90kg",20,IF(Atletas!E106="Adulto 100kg",21,IF(Atletas!E106="Adulto +100kg",22,""))))))))))))))))))))))))</f>
        <v/>
      </c>
      <c r="AX115" s="6" t="str">
        <f>IF(Atletas!F106="","",IF(Atletas!B106="Feminino",100,IF(Atletas!B106="Masculino",200,""))+(IF(Atletas!F106="Adulto 48kg",1,IF(Atletas!F106="Adulto 56kg",2,IF(Atletas!F106="Adulto 65kg",3,IF(Atletas!F106="Adulto 75kg",4,IF(Atletas!F106="Adulto +75kg",5,IF(Atletas!F106="Adulto 52kg",6,IF(Atletas!F106="Adulto 60kg",7,IF(Atletas!F106="Adulto 70kg",8,IF(Atletas!F106="Adulto 80kg",9,IF(Atletas!F106="Adulto 90kg",10,IF(Atletas!F106="Adulto +90kg",11,"")))))))))))))</f>
        <v/>
      </c>
      <c r="BC115" s="6" t="str">
        <f>IF(Atletas!G106="","",IF(Atletas!B106="Feminino",10,IF(Atletas!B106="Masculino",20,""))+(IF(Atletas!G106="Baduanjin A",1,IF(Atletas!G106="Baduanjin B",2))))</f>
        <v/>
      </c>
      <c r="BF115" s="52" t="str">
        <f>IF(Atletas!H106="","",IF(Atletas!B106="Feminino",100,IF(Atletas!B106="Masculino",200,""))+(IF(Atletas!H106="Changquan Mirim",1,IF(Atletas!H106="Nanquan Mirim",2,IF(Atletas!H106="Taijiquan Mirim",3,IF(Atletas!H106="Changquan Grupo C",4,IF(Atletas!H106="Nanquan Grupo C",5,IF(Atletas!H106="Taijiquan Grupo C",6,IF(Atletas!H106="Changquan Grupo B",7,IF(Atletas!H106="Nanquan Grupo B",8,IF(Atletas!H106="Taijiquan Grupo B",9,IF(Atletas!H106="Changquan Grupo A",10,IF(Atletas!H106="Nanquan Grupo A",11,IF(Atletas!H106="Taijiquan Grupo A",12,IF(Atletas!H106="Changquan Opcional",13,IF(Atletas!H106="Nanquan Opcional",14,IF(Atletas!H106="Taijiquan Opcional",15,IF(Atletas!H106="Changquan Adulto",16,IF(Atletas!H106="Nanquan Adulto",17,IF(Atletas!H106="Taijiquan Adulto",18,""))))))))))))))))))))</f>
        <v/>
      </c>
      <c r="BG115" s="52" t="str">
        <f>IF(Atletas!I106="","",IF(Atletas!B106="Feminino",100,IF(Atletas!B106="Masculino",200,""))+(IF(Atletas!I106="Daoshu Mirim",19,IF(Atletas!I106="Jianshu Mirim",20,IF(Atletas!I106="Nandao Mirim",21,IF(Atletas!I106="Taijijian Mirim",22,IF(Atletas!I106="Daoshu Grupo C",23,IF(Atletas!I106="Jianshu Grupo C",24,IF(Atletas!I106="Nandao Grupo C",25,IF(Atletas!I106="Taijijian Grupo C",26,IF(Atletas!I106="Daoshu Grupo B",27,IF(Atletas!I106="Jianshu Grupo B",28,IF(Atletas!I106="Nandao Grupo B",29,IF(Atletas!I106="Taijijian Grupo B",30,IF(Atletas!I106="Daoshu Grupo A",31,IF(Atletas!I106="Jianshu Grupo A",32,IF(Atletas!I106="Nandao Grupo A",33,IF(Atletas!I106="Taijijian Grupo A",34,IF(Atletas!I106="Daoshu Opcional",35,IF(Atletas!I106="Jianshu Opcional",36,IF(Atletas!I106="Nandao Opcional",37,IF(Atletas!I106="Taijijian Opcional",38,IF(Atletas!I106="Daoshu Adulto",39,IF(Atletas!I106="Jianshu Adulto",40,IF(Atletas!I106="Nandao Adulto",41,IF(Atletas!I106="Taijijian Adulto",42,""))))))))))))))))))))))))))</f>
        <v/>
      </c>
      <c r="BH115" s="52" t="str">
        <f>IF(Atletas!J106="","",IF(Atletas!B106="Feminino",100,IF(Atletas!B106="Masculino",200,""))+(IF(Atletas!J106="Gunshu Mirim",43,IF(Atletas!J106="Qiangshu Mirim",44,IF(Atletas!J106="Nangun Mirim",45,IF(Atletas!J106="Gunshu Grupo C",46,IF(Atletas!J106="Qiangshu Grupo C",47,IF(Atletas!J106="Nangun Grupo C",48,IF(Atletas!J106="Gunshu Grupo B",49,IF(Atletas!J106="Qiangshu Grupo B",50,IF(Atletas!J106="Nangun Grupo B",51,IF(Atletas!J106="Gunshu Grupo A",52,IF(Atletas!J106="Qiangshu Grupo A",53,IF(Atletas!J106="Nangun Grupo A",54,IF(Atletas!J106="Gunshu Opcional",55,IF(Atletas!J106="Qiangshu Opcional",56,IF(Atletas!J106="Nangun Opcional",57,IF(Atletas!J106="Gunshu Adulto",58,IF(Atletas!J106="Qiangshu Adulto",59,IF(Atletas!J106="Nangun Adulto",60,IF(Atletas!J106="Taijishan Grupo B",61,IF(Atletas!J106="Taijishan Grupo A",62,""))))))))))))))))))))))</f>
        <v/>
      </c>
      <c r="BM115" s="50" t="str">
        <f>IF(Atletas!K106="","",IF(Atletas!B106="Feminino",100,IF(Atletas!B106="Masculino",200,""))+(IF(Atletas!K106="Equipe 1 Grupo B",1,IF(Atletas!K106="Equipe 2 Grupo B",2,IF(Atletas!K106="Equipe 1 Grupo A",3,IF(Atletas!K106="Equipe 2 Grupo A",4,IF(Atletas!K106="Equipe 1 Adulto",5,IF(Atletas!K106="Equipe 2 Adulto",6,""))))))))</f>
        <v/>
      </c>
      <c r="BR115" s="50" t="str">
        <f>IF(Atletas!L106="","",IF(Atletas!X106&lt;&gt;"",10000,0)+(IF(Atletas!B106="Feminino",1000,IF(Atletas!B106="Masculino",2000,""))+IF(Atletas!L106="Choylayfut A",1,IF(Atletas!L106="Hunggar A",2,IF(Atletas!L106="Wuzuquan A",3,IF(Atletas!L106="Wingchun A",4,IF(Atletas!L106="Outra Mão de Sul A",5,IF(Atletas!L106="Choylayfut B",6,IF(Atletas!L106="Hunggar B",7,IF(Atletas!L106="Wuzuquan B",8,IF(Atletas!L106="Wingchun B",9,IF(Atletas!L106="Outra Mão de Sul B",10,IF(Atletas!L106="Choylayfut C",11,IF(Atletas!L106="Hunggar C",12,IF(Atletas!L106="Wuzuquan C",13,IF(Atletas!L106="Wingchun C",14,IF(Atletas!L106="Outra Mão de Sul C",15,IF(Atletas!L106="Choylayfut D",16,IF(Atletas!L106="Hunggar D",17,IF(Atletas!L106="Wuzuquan D",18,IF(Atletas!L106="Wingchun D",19,IF(Atletas!L106="Outra Mão de Sul D",20,IF(Atletas!L106="Choylayfut E",21,IF(Atletas!L106="Hunggar E",22,IF(Atletas!L106="Wuzuquan E",23,IF(Atletas!L106="Wingchun E",24,IF(Atletas!L106="Outra Mão de Sul E",25,IF(Atletas!L106="Choylayfut F",26,IF(Atletas!L106="Hunggar F",27,IF(Atletas!L106="Wuzuquan F",28,IF(Atletas!L106="Wingchun F",29,IF(Atletas!L106="Outra Mão de Sul F",30,IF(Atletas!L106="Dishuquan A",31,IF(Atletas!L106="Dishuquan B",32,IF(Atletas!L106="Dishuquan C",33,IF(Atletas!L106="Dishuquan D",34,IF(Atletas!L106="Dishuquan E",35,IF(Atletas!L106="Dishuquan F",36,""))))))))))))))))))))))))))))))))))))))</f>
        <v/>
      </c>
      <c r="BS115" s="50" t="str">
        <f>IF(Atletas!M106="","",IF(Atletas!X106&lt;&gt;"",10000,0)+(IF(Atletas!B106="Feminino",1000,IF(Atletas!B106="Masculino",2000,""))+(IF(Atletas!M106="Chaquan A",101,IF(Atletas!M106="Emeiquan A",102,IF(Atletas!M106="Fanziquan A",103,IF(Atletas!M106="Huaquan A",104,IF(Atletas!M106="Hongquan A",105,IF(Atletas!M106="Paoquan A",106,IF(Atletas!M106="Piguaquan A",107,IF(Atletas!M106="Shaolinquan A",108,IF(Atletas!M106="Tanglangquan A",109,IF(Atletas!M106="Yingzhaoquan A",110,IF(Atletas!M106="Tongbeiquan A",111,IF(Atletas!M106="Wudangquan A",112,IF(Atletas!M106="Outros Estilos A",113,IF(Atletas!M106="Chaquan B",114,IF(Atletas!M106="Emeiquan B",115,IF(Atletas!M106="Fanziquan B",116,IF(Atletas!M106="Huaquan B",117,IF(Atletas!M106="Hongquan B",118,IF(Atletas!M106="Paoquan B",119,IF(Atletas!M106="Piguaquan B",120,IF(Atletas!M106="Shaolinquan B",121,IF(Atletas!M106="Tanglangquan B",122,IF(Atletas!M106="Yingzhaoquan B",123,IF(Atletas!M106="Tongbeiquan B",124,IF(Atletas!M106="Wudangquan B",125,IF(Atletas!M106="Outros Estilos B",126,IF(Atletas!M106="Chaquan C",127,IF(Atletas!M106="Emeiquan C",128,IF(Atletas!M106="Fanziquan C",129,IF(Atletas!M106="Huaquan C",130,IF(Atletas!M106="Hongquan C",131,IF(Atletas!M106="Paoquan C",132,IF(Atletas!M106="Piguaquan C",133,IF(Atletas!M106="Shaolinquan C",134,IF(Atletas!M106="Tanglangquan C",135,IF(Atletas!M106="Yingzhaoquan C",136,IF(Atletas!M106="Tongbeiquan C",137,IF(Atletas!M106="Wudangquan C",138,IF(Atletas!M106="Outros Estilos C",139,0))))))))))))))))))))))))))))))))))))))))))</f>
        <v/>
      </c>
      <c r="BT115" s="50" t="str">
        <f>IF(Atletas!M106="","",IF(Atletas!X106&lt;&gt;"",10000,0)+(IF(Atletas!B106="Feminino",1000,IF(Atletas!B106="Masculino",2000,""))+(IF(Atletas!M106="Chaquan D",140,IF(Atletas!M106="Emeiquan D",141,IF(Atletas!M106="Fanziquan D",142,IF(Atletas!M106="Huaquan D",143,IF(Atletas!M106="Hongquan D",144,IF(Atletas!M106="Paoquan D",145,IF(Atletas!M106="Piguaquan D",146,IF(Atletas!M106="Shaolinquan D",147,IF(Atletas!M106="Tanglangquan D",148,IF(Atletas!M106="Yingzhaoquan D",149,IF(Atletas!M106="Tongbeiquan D",150,IF(Atletas!M106="Wudangquan D",151,IF(Atletas!M106="Outros Estilos D",152,IF(Atletas!M106="Chaquan E",153,IF(Atletas!M106="Emeiquan E",154,IF(Atletas!M106="Fanziquan E",155,IF(Atletas!M106="Huaquan E",156,IF(Atletas!M106="Hongquan E",157,IF(Atletas!M106="Paoquan E",158,IF(Atletas!M106="Piguaquan E",159,IF(Atletas!M106="Shaolinquan E",160,IF(Atletas!M106="Tanglangquan E",161,IF(Atletas!M106="Yingzhaoquan E",162,IF(Atletas!M106="Tongbeiquan E",163,IF(Atletas!M106="Wudangquan E",164,IF(Atletas!M106="Outros Estilos E",165,IF(Atletas!M106="Chaquan F",166,IF(Atletas!M106="Emeiquan F",167,IF(Atletas!M106="Fanziquan F",168,IF(Atletas!M106="Huaquan F",169,IF(Atletas!M106="Hongquan F",170,IF(Atletas!M106="Paoquan F",171,IF(Atletas!M106="Piguaquan F",172,IF(Atletas!M106="Shaolinquan F",173,IF(Atletas!M106="Tanglangquan F",174,IF(Atletas!M106="Yingzhaoquan F",175,IF(Atletas!M106="Tongbeiquan F",176,IF(Atletas!M106="Wudangquan F",177,IF(Atletas!M106="Outros Estilos F",178,0))))))))))))))))))))))))))))))))))))))))))</f>
        <v/>
      </c>
      <c r="BU115" s="50" t="str">
        <f>IF(Atletas!N106="","",IF(Atletas!X106&lt;&gt;"",10000,0)+(IF(Atletas!B106="Feminino",1000,IF(Atletas!B106="Masculino",2000,""))+(IF(Atletas!N106="Ditangquan A",201,IF(Atletas!N106="Houquan A",202,IF(Atletas!N106="Zuiquan A",203,IF(Atletas!N106="Ditangquan B",204,IF(Atletas!N106="Houquan B",205,IF(Atletas!N106="Zuiquan B",206,IF(Atletas!N106="Ditangquan C",207,IF(Atletas!N106="Houquan C",208,IF(Atletas!N106="Zuiquan C",209,IF(Atletas!N106="Ditangquan D",210,IF(Atletas!N106="Houquan D",211,IF(Atletas!N106="Zuiquan D",212,IF(Atletas!N106="Ditangquan E",213,IF(Atletas!N106="Houquan E",214,IF(Atletas!N106="Zuiquan E",215,IF(Atletas!N106="Ditangquan F",216,IF(Atletas!N106="Houquan F",217,IF(Atletas!N106="Zuiquan F",218,"")))))))))))))))))))))</f>
        <v/>
      </c>
      <c r="BV115" s="50" t="str">
        <f>IF(Atletas!O106="","",IF(Atletas!X106&lt;&gt;"",10000,0)+IF(Atletas!B106="Feminino",1000,IF(Atletas!B106="Masculino",2000,""))+IF(Atletas!O106="Yang A",301,IF(Atletas!O106="Chen A",302,IF(Atletas!O106="Sun A",303,IF(Atletas!O106="Wu A",304,IF(Atletas!O106="Wu-Hao A",305,IF(Atletas!O106="Outro Taijiquan A",306,IF(Atletas!O106="Yang B",307,IF(Atletas!O106="Chen B",308,IF(Atletas!O106="Sun B",309,IF(Atletas!O106="Wu B",310,IF(Atletas!O106="Wu-Hao B",311,IF(Atletas!O106="Outro Taijiquan B",312,IF(Atletas!O106="Yang C",313,IF(Atletas!O106="Chen C",314,IF(Atletas!O106="Sun C",315,IF(Atletas!O106="Wu C",316,IF(Atletas!O106="Wu-Hao C",317,IF(Atletas!O106="Outro Taijiquan C",318,IF(Atletas!O106="Yang D",319,IF(Atletas!O106="Chen D",320,IF(Atletas!O106="Sun D",321,IF(Atletas!O106="Wu D",322,IF(Atletas!O106="Wu-Hao D",323,IF(Atletas!O106="Outro Taijiquan D",324,IF(Atletas!O106="Yang E",325,IF(Atletas!O106="Chen E",326,IF(Atletas!O106="Sun E",327,IF(Atletas!O106="Wu E",328,IF(Atletas!O106="Wu-Hao E",329,IF(Atletas!O106="Outro Taijiquan E",330,IF(Atletas!O106="Yang F",331,IF(Atletas!O106="Chen F",332,IF(Atletas!O106="Sun F",333,IF(Atletas!O106="Wu F",334,IF(Atletas!O106="Wu-Hao F",335,IF(Atletas!O106="Outro Taijiquan F",336,"")))))))))))))))))))))))))))))))))))))</f>
        <v/>
      </c>
      <c r="BW115" s="50" t="str">
        <f>IF(Atletas!P106="","",IF(Atletas!X106&lt;&gt;"",10000,0)+IF(Atletas!B106="Feminino",1000,IF(Atletas!B106="Masculino",2000,""))+IF(OR(Atletas!P106="Yang 26 A",Atletas!P106="Yang 40 A"),401,IF(OR(Atletas!P106="Chen 25 A",Atletas!P106="Chen 36 A",Atletas!P106="Chen 56 A"),402,IF(Atletas!P106="Sun 73 A",403,IF(Atletas!P106="Wu 45 A",404,IF(Atletas!P106="Wu-Hao 46 A",405,IF(OR(Atletas!P106="Taijiquan 16 A",Atletas!P106="Taijiquan 24 A",Atletas!P106="Taijiquan 32 A",Atletas!P106="Taijiquan 42 A"),406,IF(OR(Atletas!P106="Yang 26 B",Atletas!P106="Yang 40 B"),407,IF(OR(Atletas!P106="Chen 25 B",Atletas!P106="Chen 36 B",Atletas!P106="Chen 56 B"),408,IF(Atletas!P106="Sun 73 B",409,IF(Atletas!P106="Wu 45 B",410,IF(Atletas!P106="Wu-Hao 46 B",411,IF(OR(Atletas!P106="Taijiquan 16 B",Atletas!P106="Taijiquan 24 B",Atletas!P106="Taijiquan 32 B",Atletas!P106="Taijiquan 42 B"),412,IF(OR(Atletas!P106="Yang 26 C",Atletas!P106="Yang 40 C"),413,IF(OR(Atletas!P106="Chen 25 C",Atletas!P106="Chen 36 C",Atletas!P106="Chen 56 C"),414,IF(Atletas!P106="Sun 73 C",415,IF(Atletas!P106="Wu 45 C",416,IF(Atletas!P106="Wu-Hao 46 C",417,IF(OR(Atletas!P106="Taijiquan 16 C",Atletas!P106="Taijiquan 24 C",Atletas!P106="Taijiquan 32 C",Atletas!P106="Taijiquan 42 C"),418,0)))))))))))))))))))</f>
        <v/>
      </c>
      <c r="BX115" s="50" t="str">
        <f>IF(Atletas!P106="","",IF(Atletas!X106&lt;&gt;"",10000,0)+IF(Atletas!B106="Feminino",1000,IF(Atletas!B106="Masculino",2000,""))+IF(OR(Atletas!P106="Yang 26 D",Atletas!P106="Yang 40 D"),419,IF(OR(Atletas!P106="Chen 25 D",Atletas!P106="Chen 36 D",Atletas!P106="Chen 56 D"),420,IF(Atletas!P106="Sun 73 D",421,IF(Atletas!P106="Wu 45 D",422,IF(Atletas!P106="Wu-Hao 46 D",423,IF(OR(Atletas!P106="Taijiquan 16 D",Atletas!P106="Taijiquan 24 D",Atletas!P106="Taijiquan 32 D",Atletas!P106="Taijiquan 42 D"),424,IF(OR(Atletas!P106="Yang 26 E",Atletas!P106="Yang 40 E"),425,IF(OR(Atletas!P106="Chen 25 E",Atletas!P106="Chen 36 E",Atletas!P106="Chen 56 E"),426,IF(Atletas!P106="Sun 73 E",427,IF(Atletas!P106="Wu 45 E",428,IF(Atletas!P106="Wu-Hao 46 E",429,IF(OR(Atletas!P106="Taijiquan 16 E",Atletas!P106="Taijiquan 24 E",Atletas!P106="Taijiquan 32 E",Atletas!P106="Taijiquan 42 E"),430,IF(OR(Atletas!P106="Yang 26 F",Atletas!P106="Yang 40 F"),431,IF(OR(Atletas!P106="Chen 25 F",Atletas!P106="Chen 36 F",Atletas!P106="Chen 56 F"),432,IF(Atletas!P106="Sun 73 F",433,IF(Atletas!P106="Wu 45 F",434,IF(Atletas!P106="Wu-Hao 46 F",435,IF(OR(Atletas!P106="Taijiquan 16 F",Atletas!P106="Taijiquan 24 F",Atletas!P106="Taijiquan 32 F",Atletas!P106="Taijiquan 42 F"),436,0)))))))))))))))))))</f>
        <v/>
      </c>
      <c r="BY115" s="50" t="str">
        <f>IF(Atletas!Q106="","",IF(Atletas!X106&lt;&gt;"",10000,0)+IF(Atletas!B106="Feminino",1000,IF(Atletas!B106="Masculino",2000,""))+IF(Atletas!Q106="Xingyiquan A",501,IF(Atletas!Q106="Baguazhang A",502,IF(Atletas!Q106="Outro Estilo Interno A",503,IF(Atletas!Q106="Xingyiquan B",504,IF(Atletas!Q106="Baguazhang B",505,IF(Atletas!Q106="Outro Estilo Interno B",506,IF(Atletas!Q106="Xingyiquan C",507,IF(Atletas!Q106="Baguazhang C",508,IF(Atletas!Q106="Outro Estilo Interno C",509,IF(Atletas!Q106="Xingyiquan D",510,IF(Atletas!Q106="Baguazhang D",511,IF(Atletas!Q106="Outro Estilo Interno D",512,IF(Atletas!Q106="Xingyiquan E",513,IF(Atletas!Q106="Baguazhang E",514,IF(Atletas!Q106="Outro Estilo Interno E",515,IF(Atletas!Q106="Xingyiquan F",516,IF(Atletas!Q106="Baguazhang F",517,IF(Atletas!Q106="Outro Estilo Interno F",518, "")))))))))))))))))))</f>
        <v/>
      </c>
      <c r="BZ115" s="50" t="str">
        <f>IF(Atletas!R106="","",IF(Atletas!X106&lt;&gt;"",10000,0)+IF(Atletas!B106="Feminino",1000,IF(Atletas!B106="Masculino",2000,""))+IF(Atletas!R106="Dao A",601,IF(Atletas!R106="Jian A",602,IF(Atletas!R106="Bishou A",603,IF(Atletas!R106="Shanzi A",604,IF(Atletas!R106="Outra Arma Curta A",605,IF(Atletas!R106="Dao B",606,IF(Atletas!R106="Jian B",607,IF(Atletas!R106="Bishou B",608,IF(Atletas!R106="Shanzi B",609,IF(Atletas!R106="Outra Arma Curta B",610,IF(Atletas!R106="Dao C",611,IF(Atletas!R106="Jian C",612,IF(Atletas!R106="Bishou C",613,IF(Atletas!R106="Shanzi C",614,IF(Atletas!R106="Outra Arma Curta C",615,IF(Atletas!R106="Dao D",616,IF(Atletas!R106="Jian D",617,IF(Atletas!R106="Bishou D",618,IF(Atletas!R106="Shanzi D",619,IF(Atletas!R106="Outra Arma Curta D",620,IF(Atletas!R106="Dao E",621,IF(Atletas!R106="Jian E",622,IF(Atletas!R106="Bishou E",623,IF(Atletas!R106="Shanzi E",624,IF(Atletas!R106="Outra Arma Curta E",625,IF(Atletas!R106="Dao F",626,IF(Atletas!R106="Jian F",627,IF(Atletas!R106="Bishou F",628,IF(Atletas!R106="Shanzi F",629,IF(Atletas!R106="Outra Arma Curta F",630, "")))))))))))))))))))))))))))))))</f>
        <v/>
      </c>
      <c r="CA115" s="50" t="str">
        <f>IF(Atletas!S106="","",IF(Atletas!X106&lt;&gt;"",10000,0)+IF(Atletas!B106="Feminino",1000,IF(Atletas!B106="Masculino",2000,""))+IF(Atletas!S106="Gun A",701,IF(Atletas!S106="Qiang A",702,IF(Atletas!S106="Pudao / Guandao A",703,IF(Atletas!S106="Outra Arma Longa A",704,IF(Atletas!S106="Gun B",705,IF(Atletas!S106="Qiang B",706,IF(Atletas!S106="Pudao / Guandao B",707,IF(Atletas!S106="Outra Arma Longa B",708,IF(Atletas!S106="Gun C",709,IF(Atletas!S106="Qiang C",710,IF(Atletas!S106="Pudao / Guandao C",711,IF(Atletas!S106="Outra Arma Longa C",712,IF(Atletas!S106="Gun D",713,IF(Atletas!S106="Qiang D",714,IF(Atletas!S106="Pudao / Guandao D",715,IF(Atletas!S106="Outra Arma Longa D",716,IF(Atletas!S106="Gun E",717,IF(Atletas!S106="Qiang E",718,IF(Atletas!S106="Pudao / Guandao E",719,IF(Atletas!S106="Outra Arma Longa E",720,IF(Atletas!S106="Gun F",721,IF(Atletas!S106="Qiang F",722,IF(Atletas!S106="Pudao / Guandao F",723,IF(Atletas!S106="Outra Arma Longa F",724,"")))))))))))))))))))))))))</f>
        <v/>
      </c>
      <c r="CB115" s="50" t="str">
        <f>IF(Atletas!T106="","",IF(Atletas!X106&lt;&gt;"",10000,0)+IF(Atletas!B106="Feminino",1000,IF(Atletas!B106="Masculino",2000,""))+IF(Atletas!T106="Outra Arma Dupla A",801,IF(Atletas!T106="Arma Maleável A",802,IF(Atletas!T106="Outra Arma Dupla B",803,IF(Atletas!T106="Arma Maleável B",804,IF(Atletas!T106="Outra Arma Dupla C",805,IF(Atletas!T106="Arma Maleável C",806,IF(Atletas!T106="Outra Arma Dupla D",807,IF(Atletas!T106="Arma Maleável D",808,IF(Atletas!T106="Outra Arma Dupla E",809,IF(Atletas!T106="Arma Maleável E",810,IF(Atletas!T106="Outra Arma Dupla F",811,IF(Atletas!T106="Arma Maleável F",812,IF(Atletas!T106="Shuangdao A",813,IF(Atletas!T106="Shuangdao B",814,IF(Atletas!T106="Shuangdao C",815,IF(Atletas!T106="Shuangdao D",816,IF(Atletas!T106="Shuangdao E",817,IF(Atletas!T106="Shuangdao F",818,"")))))))))))))))))))</f>
        <v/>
      </c>
      <c r="CC115" s="50" t="str">
        <f>IF(Atletas!U106="","",IF(Atletas!X106&lt;&gt;"",10000,0)+IF(Atletas!B106="Feminino",1000,IF(Atletas!B106="Masculino",2000,""))+IF(OR(Atletas!U106="Taijijian Yang A",Atletas!U106="Taijijian Yang Standard A"),901,IF(OR(Atletas!U106="Taijijian Chen A", Atletas!U106="Taijijian Chen Standard A"),902,IF(Atletas!U106="Taijijian Sun A",903,IF(Atletas!U106="Taijijian Wu A",904,IF(Atletas!U106="Taijijian Wu-Hao A",905,IF(OR(Atletas!U106="Taijijian 32 A",Atletas!U106="Taijijian 42 A"),906,IF(OR(Atletas!U106="Taijijian Yang B",Atletas!U106="Taijijian Yang Standard B"),907,IF(OR(Atletas!U106="Taijijian Chen B", Atletas!U106="Taijijian Chen Standard B"),908,IF(Atletas!U106="Taijijian Sun B",909,IF(Atletas!U106="Taijijian Wu B",910,IF(Atletas!U106="Taijijian Wu-Hao B",911,IF(OR(Atletas!U106="Taijijian 32 B",Atletas!U106="Taijijian 42 B"),912,IF(OR(Atletas!U106="Taijijian Yang C",Atletas!U106="Taijijian Yang Standard C"),913,IF(OR(Atletas!U106="Taijijian Chen C", Atletas!U106="Taijijian Chen Standard C"),914,IF(Atletas!U106="Taijijian Sun C",915,IF(Atletas!U106="Taijijian Wu C",916,IF(Atletas!U106="Taijijian Wu-Hao C",917,IF(OR(Atletas!U106="Taijijian 32 C",Atletas!U106="Taijijian 42 C"),918,IF(OR(Atletas!U106="Taijijian Yang D",Atletas!U106="Taijijian Yang Standard D"),919,IF(OR(Atletas!U106="Taijijian Chen D", Atletas!U106="Taijijian Chen Standard D"),920,IF(Atletas!U106="Taijijian Sun D",921,IF(Atletas!U106="Taijijian Wu D",922,IF(Atletas!U106="Taijijian Wu-Hao D",923,IF(OR(Atletas!U106="Taijijian 32 D",Atletas!U106="Taijijian 42 D"),924,IF(OR(Atletas!U106="Taijijian Yang E",Atletas!U106="Taijijian Yang Standard E"),925,IF(OR(Atletas!U106="Taijijian Chen E", Atletas!U106="Taijijian Chen Standard E"),926,IF(Atletas!U106="Taijijian Sun E",927,IF(Atletas!U106="Taijijian Wu E",928,IF(Atletas!U106="Taijijian Wu-Hao E",929,IF(OR(Atletas!U106="Taijijian 32 E",Atletas!U106="Taijijian 42 E"),930,IF(OR(Atletas!U106="Taijijian Yang F",Atletas!U106="Taijijian Yang Standard F"),931,IF(OR(Atletas!U106="Taijijian Chen F", Atletas!U106="Taijijian Chen Standard F"),932,IF(Atletas!U106="Taijijian Sun F",933,IF(Atletas!U106="Taijijian Wu F",934,IF(Atletas!U106="Taijijian Wu-Hao F",935,IF(OR(Atletas!U106="Taijijian 32 F",Atletas!U106="Taijijian 42 F"),936,"")))))))))))))))))))))))))))))))))))))</f>
        <v/>
      </c>
      <c r="CD115" s="50" t="str">
        <f>IF(Atletas!V106="","",IF(Atletas!X106&lt;&gt;"",10000,0)+IF(Atletas!B106="Feminino",1000,IF(Atletas!B106="Masculino",2000,""))+IF(Atletas!V106="Taijidao A",937,IF(Atletas!V106="TaijiShanzi A",938,IF(Atletas!V106="Taijiqiang A",939,IF(Atletas!V106="Bagua de Arma A",940,IF(Atletas!V106="Xingyi de Arma A",941,IF(Atletas!V106="Taijidao B",942,IF(Atletas!V106="TaijiShanzi B",943,IF(Atletas!V106="Taijiqiang B",944,IF(Atletas!V106="Bagua de Arma B",945,IF(Atletas!V106="Xingyi de Arma B",946,IF(Atletas!V106="Taijidao C",947,IF(Atletas!V106="TaijiShanzi C",948,IF(Atletas!V106="Taijiqiang C",949,IF(Atletas!V106="Bagua de Arma C",950,IF(Atletas!V106="Xingyi de Arma C",951,IF(Atletas!V106="Taijidao D",952,IF(Atletas!V106="TaijiShanzi D",953,IF(Atletas!V106="Taijiqiang D",954,IF(Atletas!V106="Bagua de Arma D",955,IF(Atletas!V106="Xingyi de Arma D",956,IF(Atletas!V106="Taijidao E",957,IF(Atletas!V106="TaijiShanzi E",958,IF(Atletas!V106="Taijiqiang E",959,IF(Atletas!V106="Bagua de Arma E",960,IF(Atletas!V106="Xingyi de Arma E",961,IF(Atletas!V106="Taijidao F",962,IF(Atletas!V106="TaijiShanzi F",963,IF(Atletas!V106="Taijiqiang F",964,IF(Atletas!V106="Bagua de Arma F",965,IF(Atletas!V106="Xingyi de Arma F",966,"")))))))))))))))))))))))))))))))</f>
        <v/>
      </c>
      <c r="CE115" s="66" t="str">
        <f>IF(CF115&lt;&gt;"","Shaolinquan F","")</f>
        <v/>
      </c>
      <c r="CF115" s="66" t="str">
        <f>IF(COUNTIF(BR:CD,1173)&gt;0,COUNTIF(BR:CD,1173),"")</f>
        <v/>
      </c>
      <c r="CG115" s="66" t="str">
        <f>IF(CH115&lt;&gt;"","Shaolinquan F","")</f>
        <v/>
      </c>
      <c r="CH115" s="66" t="str">
        <f>IF(COUNTIF(BR:CD,2173)&gt;0,COUNTIF(BR:CD,2173),"")</f>
        <v/>
      </c>
      <c r="CI115" s="66" t="str">
        <f>IF(CJ115&lt;&gt;"","Ditangquan A","")</f>
        <v/>
      </c>
      <c r="CJ115" s="66" t="str">
        <f>IF(COUNTIF(BR:CD,11201)&gt;0,COUNTIF(BR:CD,11201),"")</f>
        <v/>
      </c>
      <c r="CK115" s="66" t="str">
        <f>IF(CL115&lt;&gt;"","Ditangquan A","")</f>
        <v/>
      </c>
      <c r="CL115" s="66" t="str">
        <f>IF(COUNTIF(BR:CD,12201)&gt;0,COUNTIF(BR:CD,12201),"")</f>
        <v/>
      </c>
      <c r="CM115" s="50" t="str">
        <f xml:space="preserve"> IF(Atletas!W106="","",IF(Atletas!W106="Duilian de Mãos BC - Equipe 1",1,IF(Atletas!W106="Duilian de Mãos BC - Equipe 2",2,IF(Atletas!W106="Duilian de Armas BC - Equipe 1",3,IF(Atletas!W106="Duilian de Armas BC - Equipe 2",4,IF(Atletas!W106="Duilian de Mãos DE - Equipe 1",5,IF(Atletas!W106="Duilian de Mãos DE - Equipe 2",6,IF(Atletas!W106="Duilian de Armas DE - Equipe 1",7,IF(Atletas!W106="Duilian de Armas DE - Equipe 2",8,IF(Atletas!W106="Duilian de Tuishou - Equipe 1",9,IF(Atletas!W106="Duilian de Tuishou - Equipe 2",10,IF(Atletas!W106="Grupo Externo ABC - Equipe 1",11,IF(Atletas!W106="Grupo Externo ABC - Equipe 2",12,IF(Atletas!W106="Grupo Interno ABC - Equipe 1",13,IF(Atletas!W106="Grupo Interno ABC - Equipe 2",14,IF(Atletas!W106="Grupo Externo DEF - Equipe 1",15,IF(Atletas!W106="Grupo Externo DEF - Equipe 2",16,IF(Atletas!W106="Grupo Interno DEF - Equipe 1",17,IF(Atletas!W106="Grupo Interno DEF - Equipe 2",18,"")))))))))))))))))))</f>
        <v/>
      </c>
    </row>
    <row r="116" spans="2:9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 t="str">
        <f t="array" ref="Z116">IFERROR(INDEX(CE$7:CE$348,SMALL(IF(CE$7:CE$348&lt;&gt;"",ROW(CE$7:CE$348)-ROW(CE$7)+1),ROWS(CE$7:CE115))),"")</f>
        <v/>
      </c>
      <c r="AA116" s="3" t="str">
        <f t="array" ref="AA116">IFERROR(INDEX(CF$7:CF$348,SMALL(IF(CF$7:CF$348&lt;&gt;"",ROW(CF$7:CF$348)-ROW(CF$7)+1),ROWS(CF$7:CF115))),"")</f>
        <v/>
      </c>
      <c r="AB116" s="3" t="str">
        <f t="array" ref="AB116">IFERROR(INDEX(CG$7:CG$348,SMALL(IF(CG$7:CG$348&lt;&gt;"",ROW(CG$7:CG$348)-ROW(CG$7)+1),ROWS(CG$7:CG115))),"")</f>
        <v/>
      </c>
      <c r="AC116" s="3" t="str">
        <f t="array" ref="AC116">IFERROR(INDEX(CH$7:CH$348,SMALL(IF(CH$7:CH$348&lt;&gt;"",ROW(CH$7:CH$348)-ROW(CH$7)+1),ROWS(CH$7:CH115))),"")</f>
        <v/>
      </c>
      <c r="AD116" s="3" t="str">
        <f t="array" ref="AD116">IFERROR(INDEX(CI$7:CI$377,SMALL(IF(CI$7:CI$377&lt;&gt;"",ROW(CI$7:CI$377)-ROW(CI$7)+1),ROWS(CI$7:CI115))),"")</f>
        <v/>
      </c>
      <c r="AE116" s="3" t="str">
        <f t="array" ref="AE116">IFERROR(INDEX(CJ$7:CJ$378,SMALL(IF(CJ$7:CJ$378&lt;&gt;"",ROW(CJ$7:CJ$378)-ROW(CJ$7)+1),ROWS(CJ$7:CJ115))),"")</f>
        <v/>
      </c>
      <c r="AF116" s="3" t="str">
        <f t="array" ref="AF116">IFERROR(INDEX(CK$7:CK$378,SMALL(IF(CK$7:CK$378&lt;&gt;"",ROW(CK$7:CK$378)-ROW(CK$7)+1),ROWS(CK$7:CK115))),"")</f>
        <v/>
      </c>
      <c r="AG116" s="3" t="str">
        <f t="array" ref="AG116">IFERROR(INDEX(CL$7:CL$378,SMALL(IF(CL$7:CL$378&lt;&gt;"",ROW(CL$7:CL$378)-ROW(CL$7)+1),ROWS(CL$7:CL115))),"")</f>
        <v/>
      </c>
      <c r="AH116" s="3"/>
      <c r="AI116" s="3"/>
      <c r="AJ116" s="3"/>
      <c r="AK116" s="3"/>
      <c r="AL116" s="3"/>
      <c r="AM116" s="3"/>
      <c r="AN116" s="52" t="str">
        <f>IF(Atletas!D107="","",IF(Atletas!B107="Feminino",100,IF(Atletas!B107="Masculino",200,""))+(IF(Atletas!D107="Kids 30kg",1,IF(Atletas!D107="Kids 32kg",2, IF(Atletas!D107="Kids 34kg",3,IF(Atletas!D107="Kids 36kg",4,IF(Atletas!D107="Kids 39kg",5,IF(Atletas!D107="Kids 42kg",6,IF(Atletas!D107="Kids 45kg",7, IF(Atletas!D107="Infantil 39kg",8,IF(Atletas!D107="Infantil 42kg",9,IF(Atletas!D107="Infantil 45kg",10,IF(Atletas!D107="Infantil 48kg",11,IF(Atletas!D107="Infantil 52kg",12,IF(Atletas!D107="Infantil 56kg",13,IF(Atletas!D107="Infantil 60kg",14,IF(Atletas!D107="Juvenil 48kg",15,IF(Atletas!D107="Juvenil 52kg",16,IF(Atletas!D107="Juvenil 56kg",17,IF(Atletas!D107="Juvenil 60kg",18,IF(Atletas!D107="Juvenil 65kg",19,IF(Atletas!D107="Juvenil 70kg",20,IF(Atletas!D107="Juvenil 75kg",21,IF(Atletas!D107="Juvenil 80kg",22, IF(Atletas!D107="Juvenil 85kg",23,IF(Atletas!D107="Adulto 48kg",24,IF(Atletas!D107="Adulto 52kg",25,IF(Atletas!D107="Adulto 56kg",26,IF(Atletas!D107="Adulto 60kg",27,IF(Atletas!D107="Adulto 65kg",28,IF(Atletas!D107="Adulto 70kg",29,IF(Atletas!D107="Adulto 75kg",30,IF(Atletas!D107="Adulto 80kg",31,IF(Atletas!D107="Adulto 85kg",32,IF(Atletas!D107="Adulto 90kg",33,IF(Atletas!D107="Adulto 100kg",34, IF(Atletas!D107="Adulto +100kg",35,"")))))))))))))))))))))))))))))))))))))</f>
        <v/>
      </c>
      <c r="AS116" s="6" t="str">
        <f>IF(Atletas!E107="","",IF(Atletas!B107="Feminino",100,IF(Atletas!B107="Masculino",200,""))+(IF(Atletas!E107="Juvenil 44kg",1,IF(Atletas!E107="Juvenil 48kg",2,IF(Atletas!E107="Juvenil 52kg",3,IF(Atletas!E107="Juvenil 56kg",4,IF(Atletas!E107="Juvenil 60kg",5,IF(Atletas!E107="Juvenil 65kg",6,IF(Atletas!E107="Juvenil 70kg",7,IF(Atletas!E107="Juvenil 75kg",8,IF(Atletas!E107="Juvenil 82kg",9,IF(Atletas!E107="Juvenil 90kg",10,IF(Atletas!E107="Juvenil 100kg",11,IF(Atletas!E107="Adulto 48kg",12,IF(Atletas!E107="Adulto 52kg",13,IF(Atletas!E107="Adulto 56kg",14,IF(Atletas!E107="Adulto 60kg",15,IF(Atletas!E107="Adulto 65kg",16,IF(Atletas!E107="Adulto 70kg",17,IF(Atletas!E107="Adulto 75kg",18,IF(Atletas!E107="Adulto 82kg",19,IF(Atletas!E107="Adulto 90kg",20,IF(Atletas!E107="Adulto 100kg",21,IF(Atletas!E107="Adulto +100kg",22,""))))))))))))))))))))))))</f>
        <v/>
      </c>
      <c r="AX116" s="6" t="str">
        <f>IF(Atletas!F107="","",IF(Atletas!B107="Feminino",100,IF(Atletas!B107="Masculino",200,""))+(IF(Atletas!F107="Adulto 48kg",1,IF(Atletas!F107="Adulto 56kg",2,IF(Atletas!F107="Adulto 65kg",3,IF(Atletas!F107="Adulto 75kg",4,IF(Atletas!F107="Adulto +75kg",5,IF(Atletas!F107="Adulto 52kg",6,IF(Atletas!F107="Adulto 60kg",7,IF(Atletas!F107="Adulto 70kg",8,IF(Atletas!F107="Adulto 80kg",9,IF(Atletas!F107="Adulto 90kg",10,IF(Atletas!F107="Adulto +90kg",11,"")))))))))))))</f>
        <v/>
      </c>
      <c r="BC116" s="6" t="str">
        <f>IF(Atletas!G107="","",IF(Atletas!B107="Feminino",10,IF(Atletas!B107="Masculino",20,""))+(IF(Atletas!G107="Baduanjin A",1,IF(Atletas!G107="Baduanjin B",2))))</f>
        <v/>
      </c>
      <c r="BF116" s="52" t="str">
        <f>IF(Atletas!H107="","",IF(Atletas!B107="Feminino",100,IF(Atletas!B107="Masculino",200,""))+(IF(Atletas!H107="Changquan Mirim",1,IF(Atletas!H107="Nanquan Mirim",2,IF(Atletas!H107="Taijiquan Mirim",3,IF(Atletas!H107="Changquan Grupo C",4,IF(Atletas!H107="Nanquan Grupo C",5,IF(Atletas!H107="Taijiquan Grupo C",6,IF(Atletas!H107="Changquan Grupo B",7,IF(Atletas!H107="Nanquan Grupo B",8,IF(Atletas!H107="Taijiquan Grupo B",9,IF(Atletas!H107="Changquan Grupo A",10,IF(Atletas!H107="Nanquan Grupo A",11,IF(Atletas!H107="Taijiquan Grupo A",12,IF(Atletas!H107="Changquan Opcional",13,IF(Atletas!H107="Nanquan Opcional",14,IF(Atletas!H107="Taijiquan Opcional",15,IF(Atletas!H107="Changquan Adulto",16,IF(Atletas!H107="Nanquan Adulto",17,IF(Atletas!H107="Taijiquan Adulto",18,""))))))))))))))))))))</f>
        <v/>
      </c>
      <c r="BG116" s="52" t="str">
        <f>IF(Atletas!I107="","",IF(Atletas!B107="Feminino",100,IF(Atletas!B107="Masculino",200,""))+(IF(Atletas!I107="Daoshu Mirim",19,IF(Atletas!I107="Jianshu Mirim",20,IF(Atletas!I107="Nandao Mirim",21,IF(Atletas!I107="Taijijian Mirim",22,IF(Atletas!I107="Daoshu Grupo C",23,IF(Atletas!I107="Jianshu Grupo C",24,IF(Atletas!I107="Nandao Grupo C",25,IF(Atletas!I107="Taijijian Grupo C",26,IF(Atletas!I107="Daoshu Grupo B",27,IF(Atletas!I107="Jianshu Grupo B",28,IF(Atletas!I107="Nandao Grupo B",29,IF(Atletas!I107="Taijijian Grupo B",30,IF(Atletas!I107="Daoshu Grupo A",31,IF(Atletas!I107="Jianshu Grupo A",32,IF(Atletas!I107="Nandao Grupo A",33,IF(Atletas!I107="Taijijian Grupo A",34,IF(Atletas!I107="Daoshu Opcional",35,IF(Atletas!I107="Jianshu Opcional",36,IF(Atletas!I107="Nandao Opcional",37,IF(Atletas!I107="Taijijian Opcional",38,IF(Atletas!I107="Daoshu Adulto",39,IF(Atletas!I107="Jianshu Adulto",40,IF(Atletas!I107="Nandao Adulto",41,IF(Atletas!I107="Taijijian Adulto",42,""))))))))))))))))))))))))))</f>
        <v/>
      </c>
      <c r="BH116" s="52" t="str">
        <f>IF(Atletas!J107="","",IF(Atletas!B107="Feminino",100,IF(Atletas!B107="Masculino",200,""))+(IF(Atletas!J107="Gunshu Mirim",43,IF(Atletas!J107="Qiangshu Mirim",44,IF(Atletas!J107="Nangun Mirim",45,IF(Atletas!J107="Gunshu Grupo C",46,IF(Atletas!J107="Qiangshu Grupo C",47,IF(Atletas!J107="Nangun Grupo C",48,IF(Atletas!J107="Gunshu Grupo B",49,IF(Atletas!J107="Qiangshu Grupo B",50,IF(Atletas!J107="Nangun Grupo B",51,IF(Atletas!J107="Gunshu Grupo A",52,IF(Atletas!J107="Qiangshu Grupo A",53,IF(Atletas!J107="Nangun Grupo A",54,IF(Atletas!J107="Gunshu Opcional",55,IF(Atletas!J107="Qiangshu Opcional",56,IF(Atletas!J107="Nangun Opcional",57,IF(Atletas!J107="Gunshu Adulto",58,IF(Atletas!J107="Qiangshu Adulto",59,IF(Atletas!J107="Nangun Adulto",60,IF(Atletas!J107="Taijishan Grupo B",61,IF(Atletas!J107="Taijishan Grupo A",62,""))))))))))))))))))))))</f>
        <v/>
      </c>
      <c r="BM116" s="50" t="str">
        <f>IF(Atletas!K107="","",IF(Atletas!B107="Feminino",100,IF(Atletas!B107="Masculino",200,""))+(IF(Atletas!K107="Equipe 1 Grupo B",1,IF(Atletas!K107="Equipe 2 Grupo B",2,IF(Atletas!K107="Equipe 1 Grupo A",3,IF(Atletas!K107="Equipe 2 Grupo A",4,IF(Atletas!K107="Equipe 1 Adulto",5,IF(Atletas!K107="Equipe 2 Adulto",6,""))))))))</f>
        <v/>
      </c>
      <c r="BR116" s="50" t="str">
        <f>IF(Atletas!L107="","",IF(Atletas!X107&lt;&gt;"",10000,0)+(IF(Atletas!B107="Feminino",1000,IF(Atletas!B107="Masculino",2000,""))+IF(Atletas!L107="Choylayfut A",1,IF(Atletas!L107="Hunggar A",2,IF(Atletas!L107="Wuzuquan A",3,IF(Atletas!L107="Wingchun A",4,IF(Atletas!L107="Outra Mão de Sul A",5,IF(Atletas!L107="Choylayfut B",6,IF(Atletas!L107="Hunggar B",7,IF(Atletas!L107="Wuzuquan B",8,IF(Atletas!L107="Wingchun B",9,IF(Atletas!L107="Outra Mão de Sul B",10,IF(Atletas!L107="Choylayfut C",11,IF(Atletas!L107="Hunggar C",12,IF(Atletas!L107="Wuzuquan C",13,IF(Atletas!L107="Wingchun C",14,IF(Atletas!L107="Outra Mão de Sul C",15,IF(Atletas!L107="Choylayfut D",16,IF(Atletas!L107="Hunggar D",17,IF(Atletas!L107="Wuzuquan D",18,IF(Atletas!L107="Wingchun D",19,IF(Atletas!L107="Outra Mão de Sul D",20,IF(Atletas!L107="Choylayfut E",21,IF(Atletas!L107="Hunggar E",22,IF(Atletas!L107="Wuzuquan E",23,IF(Atletas!L107="Wingchun E",24,IF(Atletas!L107="Outra Mão de Sul E",25,IF(Atletas!L107="Choylayfut F",26,IF(Atletas!L107="Hunggar F",27,IF(Atletas!L107="Wuzuquan F",28,IF(Atletas!L107="Wingchun F",29,IF(Atletas!L107="Outra Mão de Sul F",30,IF(Atletas!L107="Dishuquan A",31,IF(Atletas!L107="Dishuquan B",32,IF(Atletas!L107="Dishuquan C",33,IF(Atletas!L107="Dishuquan D",34,IF(Atletas!L107="Dishuquan E",35,IF(Atletas!L107="Dishuquan F",36,""))))))))))))))))))))))))))))))))))))))</f>
        <v/>
      </c>
      <c r="BS116" s="50" t="str">
        <f>IF(Atletas!M107="","",IF(Atletas!X107&lt;&gt;"",10000,0)+(IF(Atletas!B107="Feminino",1000,IF(Atletas!B107="Masculino",2000,""))+(IF(Atletas!M107="Chaquan A",101,IF(Atletas!M107="Emeiquan A",102,IF(Atletas!M107="Fanziquan A",103,IF(Atletas!M107="Huaquan A",104,IF(Atletas!M107="Hongquan A",105,IF(Atletas!M107="Paoquan A",106,IF(Atletas!M107="Piguaquan A",107,IF(Atletas!M107="Shaolinquan A",108,IF(Atletas!M107="Tanglangquan A",109,IF(Atletas!M107="Yingzhaoquan A",110,IF(Atletas!M107="Tongbeiquan A",111,IF(Atletas!M107="Wudangquan A",112,IF(Atletas!M107="Outros Estilos A",113,IF(Atletas!M107="Chaquan B",114,IF(Atletas!M107="Emeiquan B",115,IF(Atletas!M107="Fanziquan B",116,IF(Atletas!M107="Huaquan B",117,IF(Atletas!M107="Hongquan B",118,IF(Atletas!M107="Paoquan B",119,IF(Atletas!M107="Piguaquan B",120,IF(Atletas!M107="Shaolinquan B",121,IF(Atletas!M107="Tanglangquan B",122,IF(Atletas!M107="Yingzhaoquan B",123,IF(Atletas!M107="Tongbeiquan B",124,IF(Atletas!M107="Wudangquan B",125,IF(Atletas!M107="Outros Estilos B",126,IF(Atletas!M107="Chaquan C",127,IF(Atletas!M107="Emeiquan C",128,IF(Atletas!M107="Fanziquan C",129,IF(Atletas!M107="Huaquan C",130,IF(Atletas!M107="Hongquan C",131,IF(Atletas!M107="Paoquan C",132,IF(Atletas!M107="Piguaquan C",133,IF(Atletas!M107="Shaolinquan C",134,IF(Atletas!M107="Tanglangquan C",135,IF(Atletas!M107="Yingzhaoquan C",136,IF(Atletas!M107="Tongbeiquan C",137,IF(Atletas!M107="Wudangquan C",138,IF(Atletas!M107="Outros Estilos C",139,0))))))))))))))))))))))))))))))))))))))))))</f>
        <v/>
      </c>
      <c r="BT116" s="50" t="str">
        <f>IF(Atletas!M107="","",IF(Atletas!X107&lt;&gt;"",10000,0)+(IF(Atletas!B107="Feminino",1000,IF(Atletas!B107="Masculino",2000,""))+(IF(Atletas!M107="Chaquan D",140,IF(Atletas!M107="Emeiquan D",141,IF(Atletas!M107="Fanziquan D",142,IF(Atletas!M107="Huaquan D",143,IF(Atletas!M107="Hongquan D",144,IF(Atletas!M107="Paoquan D",145,IF(Atletas!M107="Piguaquan D",146,IF(Atletas!M107="Shaolinquan D",147,IF(Atletas!M107="Tanglangquan D",148,IF(Atletas!M107="Yingzhaoquan D",149,IF(Atletas!M107="Tongbeiquan D",150,IF(Atletas!M107="Wudangquan D",151,IF(Atletas!M107="Outros Estilos D",152,IF(Atletas!M107="Chaquan E",153,IF(Atletas!M107="Emeiquan E",154,IF(Atletas!M107="Fanziquan E",155,IF(Atletas!M107="Huaquan E",156,IF(Atletas!M107="Hongquan E",157,IF(Atletas!M107="Paoquan E",158,IF(Atletas!M107="Piguaquan E",159,IF(Atletas!M107="Shaolinquan E",160,IF(Atletas!M107="Tanglangquan E",161,IF(Atletas!M107="Yingzhaoquan E",162,IF(Atletas!M107="Tongbeiquan E",163,IF(Atletas!M107="Wudangquan E",164,IF(Atletas!M107="Outros Estilos E",165,IF(Atletas!M107="Chaquan F",166,IF(Atletas!M107="Emeiquan F",167,IF(Atletas!M107="Fanziquan F",168,IF(Atletas!M107="Huaquan F",169,IF(Atletas!M107="Hongquan F",170,IF(Atletas!M107="Paoquan F",171,IF(Atletas!M107="Piguaquan F",172,IF(Atletas!M107="Shaolinquan F",173,IF(Atletas!M107="Tanglangquan F",174,IF(Atletas!M107="Yingzhaoquan F",175,IF(Atletas!M107="Tongbeiquan F",176,IF(Atletas!M107="Wudangquan F",177,IF(Atletas!M107="Outros Estilos F",178,0))))))))))))))))))))))))))))))))))))))))))</f>
        <v/>
      </c>
      <c r="BU116" s="50" t="str">
        <f>IF(Atletas!N107="","",IF(Atletas!X107&lt;&gt;"",10000,0)+(IF(Atletas!B107="Feminino",1000,IF(Atletas!B107="Masculino",2000,""))+(IF(Atletas!N107="Ditangquan A",201,IF(Atletas!N107="Houquan A",202,IF(Atletas!N107="Zuiquan A",203,IF(Atletas!N107="Ditangquan B",204,IF(Atletas!N107="Houquan B",205,IF(Atletas!N107="Zuiquan B",206,IF(Atletas!N107="Ditangquan C",207,IF(Atletas!N107="Houquan C",208,IF(Atletas!N107="Zuiquan C",209,IF(Atletas!N107="Ditangquan D",210,IF(Atletas!N107="Houquan D",211,IF(Atletas!N107="Zuiquan D",212,IF(Atletas!N107="Ditangquan E",213,IF(Atletas!N107="Houquan E",214,IF(Atletas!N107="Zuiquan E",215,IF(Atletas!N107="Ditangquan F",216,IF(Atletas!N107="Houquan F",217,IF(Atletas!N107="Zuiquan F",218,"")))))))))))))))))))))</f>
        <v/>
      </c>
      <c r="BV116" s="50" t="str">
        <f>IF(Atletas!O107="","",IF(Atletas!X107&lt;&gt;"",10000,0)+IF(Atletas!B107="Feminino",1000,IF(Atletas!B107="Masculino",2000,""))+IF(Atletas!O107="Yang A",301,IF(Atletas!O107="Chen A",302,IF(Atletas!O107="Sun A",303,IF(Atletas!O107="Wu A",304,IF(Atletas!O107="Wu-Hao A",305,IF(Atletas!O107="Outro Taijiquan A",306,IF(Atletas!O107="Yang B",307,IF(Atletas!O107="Chen B",308,IF(Atletas!O107="Sun B",309,IF(Atletas!O107="Wu B",310,IF(Atletas!O107="Wu-Hao B",311,IF(Atletas!O107="Outro Taijiquan B",312,IF(Atletas!O107="Yang C",313,IF(Atletas!O107="Chen C",314,IF(Atletas!O107="Sun C",315,IF(Atletas!O107="Wu C",316,IF(Atletas!O107="Wu-Hao C",317,IF(Atletas!O107="Outro Taijiquan C",318,IF(Atletas!O107="Yang D",319,IF(Atletas!O107="Chen D",320,IF(Atletas!O107="Sun D",321,IF(Atletas!O107="Wu D",322,IF(Atletas!O107="Wu-Hao D",323,IF(Atletas!O107="Outro Taijiquan D",324,IF(Atletas!O107="Yang E",325,IF(Atletas!O107="Chen E",326,IF(Atletas!O107="Sun E",327,IF(Atletas!O107="Wu E",328,IF(Atletas!O107="Wu-Hao E",329,IF(Atletas!O107="Outro Taijiquan E",330,IF(Atletas!O107="Yang F",331,IF(Atletas!O107="Chen F",332,IF(Atletas!O107="Sun F",333,IF(Atletas!O107="Wu F",334,IF(Atletas!O107="Wu-Hao F",335,IF(Atletas!O107="Outro Taijiquan F",336,"")))))))))))))))))))))))))))))))))))))</f>
        <v/>
      </c>
      <c r="BW116" s="50" t="str">
        <f>IF(Atletas!P107="","",IF(Atletas!X107&lt;&gt;"",10000,0)+IF(Atletas!B107="Feminino",1000,IF(Atletas!B107="Masculino",2000,""))+IF(OR(Atletas!P107="Yang 26 A",Atletas!P107="Yang 40 A"),401,IF(OR(Atletas!P107="Chen 25 A",Atletas!P107="Chen 36 A",Atletas!P107="Chen 56 A"),402,IF(Atletas!P107="Sun 73 A",403,IF(Atletas!P107="Wu 45 A",404,IF(Atletas!P107="Wu-Hao 46 A",405,IF(OR(Atletas!P107="Taijiquan 16 A",Atletas!P107="Taijiquan 24 A",Atletas!P107="Taijiquan 32 A",Atletas!P107="Taijiquan 42 A"),406,IF(OR(Atletas!P107="Yang 26 B",Atletas!P107="Yang 40 B"),407,IF(OR(Atletas!P107="Chen 25 B",Atletas!P107="Chen 36 B",Atletas!P107="Chen 56 B"),408,IF(Atletas!P107="Sun 73 B",409,IF(Atletas!P107="Wu 45 B",410,IF(Atletas!P107="Wu-Hao 46 B",411,IF(OR(Atletas!P107="Taijiquan 16 B",Atletas!P107="Taijiquan 24 B",Atletas!P107="Taijiquan 32 B",Atletas!P107="Taijiquan 42 B"),412,IF(OR(Atletas!P107="Yang 26 C",Atletas!P107="Yang 40 C"),413,IF(OR(Atletas!P107="Chen 25 C",Atletas!P107="Chen 36 C",Atletas!P107="Chen 56 C"),414,IF(Atletas!P107="Sun 73 C",415,IF(Atletas!P107="Wu 45 C",416,IF(Atletas!P107="Wu-Hao 46 C",417,IF(OR(Atletas!P107="Taijiquan 16 C",Atletas!P107="Taijiquan 24 C",Atletas!P107="Taijiquan 32 C",Atletas!P107="Taijiquan 42 C"),418,0)))))))))))))))))))</f>
        <v/>
      </c>
      <c r="BX116" s="50" t="str">
        <f>IF(Atletas!P107="","",IF(Atletas!X107&lt;&gt;"",10000,0)+IF(Atletas!B107="Feminino",1000,IF(Atletas!B107="Masculino",2000,""))+IF(OR(Atletas!P107="Yang 26 D",Atletas!P107="Yang 40 D"),419,IF(OR(Atletas!P107="Chen 25 D",Atletas!P107="Chen 36 D",Atletas!P107="Chen 56 D"),420,IF(Atletas!P107="Sun 73 D",421,IF(Atletas!P107="Wu 45 D",422,IF(Atletas!P107="Wu-Hao 46 D",423,IF(OR(Atletas!P107="Taijiquan 16 D",Atletas!P107="Taijiquan 24 D",Atletas!P107="Taijiquan 32 D",Atletas!P107="Taijiquan 42 D"),424,IF(OR(Atletas!P107="Yang 26 E",Atletas!P107="Yang 40 E"),425,IF(OR(Atletas!P107="Chen 25 E",Atletas!P107="Chen 36 E",Atletas!P107="Chen 56 E"),426,IF(Atletas!P107="Sun 73 E",427,IF(Atletas!P107="Wu 45 E",428,IF(Atletas!P107="Wu-Hao 46 E",429,IF(OR(Atletas!P107="Taijiquan 16 E",Atletas!P107="Taijiquan 24 E",Atletas!P107="Taijiquan 32 E",Atletas!P107="Taijiquan 42 E"),430,IF(OR(Atletas!P107="Yang 26 F",Atletas!P107="Yang 40 F"),431,IF(OR(Atletas!P107="Chen 25 F",Atletas!P107="Chen 36 F",Atletas!P107="Chen 56 F"),432,IF(Atletas!P107="Sun 73 F",433,IF(Atletas!P107="Wu 45 F",434,IF(Atletas!P107="Wu-Hao 46 F",435,IF(OR(Atletas!P107="Taijiquan 16 F",Atletas!P107="Taijiquan 24 F",Atletas!P107="Taijiquan 32 F",Atletas!P107="Taijiquan 42 F"),436,0)))))))))))))))))))</f>
        <v/>
      </c>
      <c r="BY116" s="50" t="str">
        <f>IF(Atletas!Q107="","",IF(Atletas!X107&lt;&gt;"",10000,0)+IF(Atletas!B107="Feminino",1000,IF(Atletas!B107="Masculino",2000,""))+IF(Atletas!Q107="Xingyiquan A",501,IF(Atletas!Q107="Baguazhang A",502,IF(Atletas!Q107="Outro Estilo Interno A",503,IF(Atletas!Q107="Xingyiquan B",504,IF(Atletas!Q107="Baguazhang B",505,IF(Atletas!Q107="Outro Estilo Interno B",506,IF(Atletas!Q107="Xingyiquan C",507,IF(Atletas!Q107="Baguazhang C",508,IF(Atletas!Q107="Outro Estilo Interno C",509,IF(Atletas!Q107="Xingyiquan D",510,IF(Atletas!Q107="Baguazhang D",511,IF(Atletas!Q107="Outro Estilo Interno D",512,IF(Atletas!Q107="Xingyiquan E",513,IF(Atletas!Q107="Baguazhang E",514,IF(Atletas!Q107="Outro Estilo Interno E",515,IF(Atletas!Q107="Xingyiquan F",516,IF(Atletas!Q107="Baguazhang F",517,IF(Atletas!Q107="Outro Estilo Interno F",518, "")))))))))))))))))))</f>
        <v/>
      </c>
      <c r="BZ116" s="50" t="str">
        <f>IF(Atletas!R107="","",IF(Atletas!X107&lt;&gt;"",10000,0)+IF(Atletas!B107="Feminino",1000,IF(Atletas!B107="Masculino",2000,""))+IF(Atletas!R107="Dao A",601,IF(Atletas!R107="Jian A",602,IF(Atletas!R107="Bishou A",603,IF(Atletas!R107="Shanzi A",604,IF(Atletas!R107="Outra Arma Curta A",605,IF(Atletas!R107="Dao B",606,IF(Atletas!R107="Jian B",607,IF(Atletas!R107="Bishou B",608,IF(Atletas!R107="Shanzi B",609,IF(Atletas!R107="Outra Arma Curta B",610,IF(Atletas!R107="Dao C",611,IF(Atletas!R107="Jian C",612,IF(Atletas!R107="Bishou C",613,IF(Atletas!R107="Shanzi C",614,IF(Atletas!R107="Outra Arma Curta C",615,IF(Atletas!R107="Dao D",616,IF(Atletas!R107="Jian D",617,IF(Atletas!R107="Bishou D",618,IF(Atletas!R107="Shanzi D",619,IF(Atletas!R107="Outra Arma Curta D",620,IF(Atletas!R107="Dao E",621,IF(Atletas!R107="Jian E",622,IF(Atletas!R107="Bishou E",623,IF(Atletas!R107="Shanzi E",624,IF(Atletas!R107="Outra Arma Curta E",625,IF(Atletas!R107="Dao F",626,IF(Atletas!R107="Jian F",627,IF(Atletas!R107="Bishou F",628,IF(Atletas!R107="Shanzi F",629,IF(Atletas!R107="Outra Arma Curta F",630, "")))))))))))))))))))))))))))))))</f>
        <v/>
      </c>
      <c r="CA116" s="50" t="str">
        <f>IF(Atletas!S107="","",IF(Atletas!X107&lt;&gt;"",10000,0)+IF(Atletas!B107="Feminino",1000,IF(Atletas!B107="Masculino",2000,""))+IF(Atletas!S107="Gun A",701,IF(Atletas!S107="Qiang A",702,IF(Atletas!S107="Pudao / Guandao A",703,IF(Atletas!S107="Outra Arma Longa A",704,IF(Atletas!S107="Gun B",705,IF(Atletas!S107="Qiang B",706,IF(Atletas!S107="Pudao / Guandao B",707,IF(Atletas!S107="Outra Arma Longa B",708,IF(Atletas!S107="Gun C",709,IF(Atletas!S107="Qiang C",710,IF(Atletas!S107="Pudao / Guandao C",711,IF(Atletas!S107="Outra Arma Longa C",712,IF(Atletas!S107="Gun D",713,IF(Atletas!S107="Qiang D",714,IF(Atletas!S107="Pudao / Guandao D",715,IF(Atletas!S107="Outra Arma Longa D",716,IF(Atletas!S107="Gun E",717,IF(Atletas!S107="Qiang E",718,IF(Atletas!S107="Pudao / Guandao E",719,IF(Atletas!S107="Outra Arma Longa E",720,IF(Atletas!S107="Gun F",721,IF(Atletas!S107="Qiang F",722,IF(Atletas!S107="Pudao / Guandao F",723,IF(Atletas!S107="Outra Arma Longa F",724,"")))))))))))))))))))))))))</f>
        <v/>
      </c>
      <c r="CB116" s="50" t="str">
        <f>IF(Atletas!T107="","",IF(Atletas!X107&lt;&gt;"",10000,0)+IF(Atletas!B107="Feminino",1000,IF(Atletas!B107="Masculino",2000,""))+IF(Atletas!T107="Outra Arma Dupla A",801,IF(Atletas!T107="Arma Maleável A",802,IF(Atletas!T107="Outra Arma Dupla B",803,IF(Atletas!T107="Arma Maleável B",804,IF(Atletas!T107="Outra Arma Dupla C",805,IF(Atletas!T107="Arma Maleável C",806,IF(Atletas!T107="Outra Arma Dupla D",807,IF(Atletas!T107="Arma Maleável D",808,IF(Atletas!T107="Outra Arma Dupla E",809,IF(Atletas!T107="Arma Maleável E",810,IF(Atletas!T107="Outra Arma Dupla F",811,IF(Atletas!T107="Arma Maleável F",812,IF(Atletas!T107="Shuangdao A",813,IF(Atletas!T107="Shuangdao B",814,IF(Atletas!T107="Shuangdao C",815,IF(Atletas!T107="Shuangdao D",816,IF(Atletas!T107="Shuangdao E",817,IF(Atletas!T107="Shuangdao F",818,"")))))))))))))))))))</f>
        <v/>
      </c>
      <c r="CC116" s="50" t="str">
        <f>IF(Atletas!U107="","",IF(Atletas!X107&lt;&gt;"",10000,0)+IF(Atletas!B107="Feminino",1000,IF(Atletas!B107="Masculino",2000,""))+IF(OR(Atletas!U107="Taijijian Yang A",Atletas!U107="Taijijian Yang Standard A"),901,IF(OR(Atletas!U107="Taijijian Chen A", Atletas!U107="Taijijian Chen Standard A"),902,IF(Atletas!U107="Taijijian Sun A",903,IF(Atletas!U107="Taijijian Wu A",904,IF(Atletas!U107="Taijijian Wu-Hao A",905,IF(OR(Atletas!U107="Taijijian 32 A",Atletas!U107="Taijijian 42 A"),906,IF(OR(Atletas!U107="Taijijian Yang B",Atletas!U107="Taijijian Yang Standard B"),907,IF(OR(Atletas!U107="Taijijian Chen B", Atletas!U107="Taijijian Chen Standard B"),908,IF(Atletas!U107="Taijijian Sun B",909,IF(Atletas!U107="Taijijian Wu B",910,IF(Atletas!U107="Taijijian Wu-Hao B",911,IF(OR(Atletas!U107="Taijijian 32 B",Atletas!U107="Taijijian 42 B"),912,IF(OR(Atletas!U107="Taijijian Yang C",Atletas!U107="Taijijian Yang Standard C"),913,IF(OR(Atletas!U107="Taijijian Chen C", Atletas!U107="Taijijian Chen Standard C"),914,IF(Atletas!U107="Taijijian Sun C",915,IF(Atletas!U107="Taijijian Wu C",916,IF(Atletas!U107="Taijijian Wu-Hao C",917,IF(OR(Atletas!U107="Taijijian 32 C",Atletas!U107="Taijijian 42 C"),918,IF(OR(Atletas!U107="Taijijian Yang D",Atletas!U107="Taijijian Yang Standard D"),919,IF(OR(Atletas!U107="Taijijian Chen D", Atletas!U107="Taijijian Chen Standard D"),920,IF(Atletas!U107="Taijijian Sun D",921,IF(Atletas!U107="Taijijian Wu D",922,IF(Atletas!U107="Taijijian Wu-Hao D",923,IF(OR(Atletas!U107="Taijijian 32 D",Atletas!U107="Taijijian 42 D"),924,IF(OR(Atletas!U107="Taijijian Yang E",Atletas!U107="Taijijian Yang Standard E"),925,IF(OR(Atletas!U107="Taijijian Chen E", Atletas!U107="Taijijian Chen Standard E"),926,IF(Atletas!U107="Taijijian Sun E",927,IF(Atletas!U107="Taijijian Wu E",928,IF(Atletas!U107="Taijijian Wu-Hao E",929,IF(OR(Atletas!U107="Taijijian 32 E",Atletas!U107="Taijijian 42 E"),930,IF(OR(Atletas!U107="Taijijian Yang F",Atletas!U107="Taijijian Yang Standard F"),931,IF(OR(Atletas!U107="Taijijian Chen F", Atletas!U107="Taijijian Chen Standard F"),932,IF(Atletas!U107="Taijijian Sun F",933,IF(Atletas!U107="Taijijian Wu F",934,IF(Atletas!U107="Taijijian Wu-Hao F",935,IF(OR(Atletas!U107="Taijijian 32 F",Atletas!U107="Taijijian 42 F"),936,"")))))))))))))))))))))))))))))))))))))</f>
        <v/>
      </c>
      <c r="CD116" s="50" t="str">
        <f>IF(Atletas!V107="","",IF(Atletas!X107&lt;&gt;"",10000,0)+IF(Atletas!B107="Feminino",1000,IF(Atletas!B107="Masculino",2000,""))+IF(Atletas!V107="Taijidao A",937,IF(Atletas!V107="TaijiShanzi A",938,IF(Atletas!V107="Taijiqiang A",939,IF(Atletas!V107="Bagua de Arma A",940,IF(Atletas!V107="Xingyi de Arma A",941,IF(Atletas!V107="Taijidao B",942,IF(Atletas!V107="TaijiShanzi B",943,IF(Atletas!V107="Taijiqiang B",944,IF(Atletas!V107="Bagua de Arma B",945,IF(Atletas!V107="Xingyi de Arma B",946,IF(Atletas!V107="Taijidao C",947,IF(Atletas!V107="TaijiShanzi C",948,IF(Atletas!V107="Taijiqiang C",949,IF(Atletas!V107="Bagua de Arma C",950,IF(Atletas!V107="Xingyi de Arma C",951,IF(Atletas!V107="Taijidao D",952,IF(Atletas!V107="TaijiShanzi D",953,IF(Atletas!V107="Taijiqiang D",954,IF(Atletas!V107="Bagua de Arma D",955,IF(Atletas!V107="Xingyi de Arma D",956,IF(Atletas!V107="Taijidao E",957,IF(Atletas!V107="TaijiShanzi E",958,IF(Atletas!V107="Taijiqiang E",959,IF(Atletas!V107="Bagua de Arma E",960,IF(Atletas!V107="Xingyi de Arma E",961,IF(Atletas!V107="Taijidao F",962,IF(Atletas!V107="TaijiShanzi F",963,IF(Atletas!V107="Taijiqiang F",964,IF(Atletas!V107="Bagua de Arma F",965,IF(Atletas!V107="Xingyi de Arma F",966,"")))))))))))))))))))))))))))))))</f>
        <v/>
      </c>
      <c r="CE116" s="66" t="str">
        <f>IF(CF116&lt;&gt;"","Tanglangquan F","")</f>
        <v/>
      </c>
      <c r="CF116" s="66" t="str">
        <f>IF(COUNTIF(BR:CD,1174)&gt;0,COUNTIF(BR:CD,1174),"")</f>
        <v/>
      </c>
      <c r="CG116" s="66" t="str">
        <f>IF(CH116&lt;&gt;"","Tanglangquan F","")</f>
        <v/>
      </c>
      <c r="CH116" s="66" t="str">
        <f>IF(COUNTIF(BR:CD,2174)&gt;0,COUNTIF(BR:CD,2174),"")</f>
        <v/>
      </c>
      <c r="CI116" s="66" t="str">
        <f>IF(CJ116&lt;&gt;"","Houquan A","")</f>
        <v/>
      </c>
      <c r="CJ116" s="66" t="str">
        <f>IF(COUNTIF(BR:CD,11202)&gt;0,COUNTIF(BR:CD,11202),"")</f>
        <v/>
      </c>
      <c r="CK116" s="66" t="str">
        <f>IF(CL116&lt;&gt;"","Houquan A","")</f>
        <v/>
      </c>
      <c r="CL116" s="66" t="str">
        <f>IF(COUNTIF(BR:CD,12202)&gt;0,COUNTIF(BR:CD,12202),"")</f>
        <v/>
      </c>
      <c r="CM116" s="50" t="str">
        <f xml:space="preserve"> IF(Atletas!W107="","",IF(Atletas!W107="Duilian de Mãos BC - Equipe 1",1,IF(Atletas!W107="Duilian de Mãos BC - Equipe 2",2,IF(Atletas!W107="Duilian de Armas BC - Equipe 1",3,IF(Atletas!W107="Duilian de Armas BC - Equipe 2",4,IF(Atletas!W107="Duilian de Mãos DE - Equipe 1",5,IF(Atletas!W107="Duilian de Mãos DE - Equipe 2",6,IF(Atletas!W107="Duilian de Armas DE - Equipe 1",7,IF(Atletas!W107="Duilian de Armas DE - Equipe 2",8,IF(Atletas!W107="Duilian de Tuishou - Equipe 1",9,IF(Atletas!W107="Duilian de Tuishou - Equipe 2",10,IF(Atletas!W107="Grupo Externo ABC - Equipe 1",11,IF(Atletas!W107="Grupo Externo ABC - Equipe 2",12,IF(Atletas!W107="Grupo Interno ABC - Equipe 1",13,IF(Atletas!W107="Grupo Interno ABC - Equipe 2",14,IF(Atletas!W107="Grupo Externo DEF - Equipe 1",15,IF(Atletas!W107="Grupo Externo DEF - Equipe 2",16,IF(Atletas!W107="Grupo Interno DEF - Equipe 1",17,IF(Atletas!W107="Grupo Interno DEF - Equipe 2",18,"")))))))))))))))))))</f>
        <v/>
      </c>
    </row>
    <row r="117" spans="2:91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 t="str">
        <f t="array" ref="Z117">IFERROR(INDEX(CE$7:CE$348,SMALL(IF(CE$7:CE$348&lt;&gt;"",ROW(CE$7:CE$348)-ROW(CE$7)+1),ROWS(CE$7:CE116))),"")</f>
        <v/>
      </c>
      <c r="AA117" s="3" t="str">
        <f t="array" ref="AA117">IFERROR(INDEX(CF$7:CF$348,SMALL(IF(CF$7:CF$348&lt;&gt;"",ROW(CF$7:CF$348)-ROW(CF$7)+1),ROWS(CF$7:CF116))),"")</f>
        <v/>
      </c>
      <c r="AB117" s="3" t="str">
        <f t="array" ref="AB117">IFERROR(INDEX(CG$7:CG$348,SMALL(IF(CG$7:CG$348&lt;&gt;"",ROW(CG$7:CG$348)-ROW(CG$7)+1),ROWS(CG$7:CG116))),"")</f>
        <v/>
      </c>
      <c r="AC117" s="3" t="str">
        <f t="array" ref="AC117">IFERROR(INDEX(CH$7:CH$348,SMALL(IF(CH$7:CH$348&lt;&gt;"",ROW(CH$7:CH$348)-ROW(CH$7)+1),ROWS(CH$7:CH116))),"")</f>
        <v/>
      </c>
      <c r="AD117" s="3" t="str">
        <f t="array" ref="AD117">IFERROR(INDEX(CI$7:CI$377,SMALL(IF(CI$7:CI$377&lt;&gt;"",ROW(CI$7:CI$377)-ROW(CI$7)+1),ROWS(CI$7:CI116))),"")</f>
        <v/>
      </c>
      <c r="AE117" s="3" t="str">
        <f t="array" ref="AE117">IFERROR(INDEX(CJ$7:CJ$378,SMALL(IF(CJ$7:CJ$378&lt;&gt;"",ROW(CJ$7:CJ$378)-ROW(CJ$7)+1),ROWS(CJ$7:CJ116))),"")</f>
        <v/>
      </c>
      <c r="AF117" s="3" t="str">
        <f t="array" ref="AF117">IFERROR(INDEX(CK$7:CK$378,SMALL(IF(CK$7:CK$378&lt;&gt;"",ROW(CK$7:CK$378)-ROW(CK$7)+1),ROWS(CK$7:CK116))),"")</f>
        <v/>
      </c>
      <c r="AG117" s="3" t="str">
        <f t="array" ref="AG117">IFERROR(INDEX(CL$7:CL$378,SMALL(IF(CL$7:CL$378&lt;&gt;"",ROW(CL$7:CL$378)-ROW(CL$7)+1),ROWS(CL$7:CL116))),"")</f>
        <v/>
      </c>
      <c r="AH117" s="3"/>
      <c r="AI117" s="3"/>
      <c r="AJ117" s="3"/>
      <c r="AK117" s="3"/>
      <c r="AL117" s="3"/>
      <c r="AM117" s="3"/>
      <c r="AN117" s="52" t="str">
        <f>IF(Atletas!D108="","",IF(Atletas!B108="Feminino",100,IF(Atletas!B108="Masculino",200,""))+(IF(Atletas!D108="Kids 30kg",1,IF(Atletas!D108="Kids 32kg",2, IF(Atletas!D108="Kids 34kg",3,IF(Atletas!D108="Kids 36kg",4,IF(Atletas!D108="Kids 39kg",5,IF(Atletas!D108="Kids 42kg",6,IF(Atletas!D108="Kids 45kg",7, IF(Atletas!D108="Infantil 39kg",8,IF(Atletas!D108="Infantil 42kg",9,IF(Atletas!D108="Infantil 45kg",10,IF(Atletas!D108="Infantil 48kg",11,IF(Atletas!D108="Infantil 52kg",12,IF(Atletas!D108="Infantil 56kg",13,IF(Atletas!D108="Infantil 60kg",14,IF(Atletas!D108="Juvenil 48kg",15,IF(Atletas!D108="Juvenil 52kg",16,IF(Atletas!D108="Juvenil 56kg",17,IF(Atletas!D108="Juvenil 60kg",18,IF(Atletas!D108="Juvenil 65kg",19,IF(Atletas!D108="Juvenil 70kg",20,IF(Atletas!D108="Juvenil 75kg",21,IF(Atletas!D108="Juvenil 80kg",22, IF(Atletas!D108="Juvenil 85kg",23,IF(Atletas!D108="Adulto 48kg",24,IF(Atletas!D108="Adulto 52kg",25,IF(Atletas!D108="Adulto 56kg",26,IF(Atletas!D108="Adulto 60kg",27,IF(Atletas!D108="Adulto 65kg",28,IF(Atletas!D108="Adulto 70kg",29,IF(Atletas!D108="Adulto 75kg",30,IF(Atletas!D108="Adulto 80kg",31,IF(Atletas!D108="Adulto 85kg",32,IF(Atletas!D108="Adulto 90kg",33,IF(Atletas!D108="Adulto 100kg",34, IF(Atletas!D108="Adulto +100kg",35,"")))))))))))))))))))))))))))))))))))))</f>
        <v/>
      </c>
      <c r="AS117" s="6" t="str">
        <f>IF(Atletas!E108="","",IF(Atletas!B108="Feminino",100,IF(Atletas!B108="Masculino",200,""))+(IF(Atletas!E108="Juvenil 44kg",1,IF(Atletas!E108="Juvenil 48kg",2,IF(Atletas!E108="Juvenil 52kg",3,IF(Atletas!E108="Juvenil 56kg",4,IF(Atletas!E108="Juvenil 60kg",5,IF(Atletas!E108="Juvenil 65kg",6,IF(Atletas!E108="Juvenil 70kg",7,IF(Atletas!E108="Juvenil 75kg",8,IF(Atletas!E108="Juvenil 82kg",9,IF(Atletas!E108="Juvenil 90kg",10,IF(Atletas!E108="Juvenil 100kg",11,IF(Atletas!E108="Adulto 48kg",12,IF(Atletas!E108="Adulto 52kg",13,IF(Atletas!E108="Adulto 56kg",14,IF(Atletas!E108="Adulto 60kg",15,IF(Atletas!E108="Adulto 65kg",16,IF(Atletas!E108="Adulto 70kg",17,IF(Atletas!E108="Adulto 75kg",18,IF(Atletas!E108="Adulto 82kg",19,IF(Atletas!E108="Adulto 90kg",20,IF(Atletas!E108="Adulto 100kg",21,IF(Atletas!E108="Adulto +100kg",22,""))))))))))))))))))))))))</f>
        <v/>
      </c>
      <c r="AX117" s="6" t="str">
        <f>IF(Atletas!F108="","",IF(Atletas!B108="Feminino",100,IF(Atletas!B108="Masculino",200,""))+(IF(Atletas!F108="Adulto 48kg",1,IF(Atletas!F108="Adulto 56kg",2,IF(Atletas!F108="Adulto 65kg",3,IF(Atletas!F108="Adulto 75kg",4,IF(Atletas!F108="Adulto +75kg",5,IF(Atletas!F108="Adulto 52kg",6,IF(Atletas!F108="Adulto 60kg",7,IF(Atletas!F108="Adulto 70kg",8,IF(Atletas!F108="Adulto 80kg",9,IF(Atletas!F108="Adulto 90kg",10,IF(Atletas!F108="Adulto +90kg",11,"")))))))))))))</f>
        <v/>
      </c>
      <c r="BC117" s="6" t="str">
        <f>IF(Atletas!G108="","",IF(Atletas!B108="Feminino",10,IF(Atletas!B108="Masculino",20,""))+(IF(Atletas!G108="Baduanjin A",1,IF(Atletas!G108="Baduanjin B",2))))</f>
        <v/>
      </c>
      <c r="BF117" s="52" t="str">
        <f>IF(Atletas!H108="","",IF(Atletas!B108="Feminino",100,IF(Atletas!B108="Masculino",200,""))+(IF(Atletas!H108="Changquan Mirim",1,IF(Atletas!H108="Nanquan Mirim",2,IF(Atletas!H108="Taijiquan Mirim",3,IF(Atletas!H108="Changquan Grupo C",4,IF(Atletas!H108="Nanquan Grupo C",5,IF(Atletas!H108="Taijiquan Grupo C",6,IF(Atletas!H108="Changquan Grupo B",7,IF(Atletas!H108="Nanquan Grupo B",8,IF(Atletas!H108="Taijiquan Grupo B",9,IF(Atletas!H108="Changquan Grupo A",10,IF(Atletas!H108="Nanquan Grupo A",11,IF(Atletas!H108="Taijiquan Grupo A",12,IF(Atletas!H108="Changquan Opcional",13,IF(Atletas!H108="Nanquan Opcional",14,IF(Atletas!H108="Taijiquan Opcional",15,IF(Atletas!H108="Changquan Adulto",16,IF(Atletas!H108="Nanquan Adulto",17,IF(Atletas!H108="Taijiquan Adulto",18,""))))))))))))))))))))</f>
        <v/>
      </c>
      <c r="BG117" s="52" t="str">
        <f>IF(Atletas!I108="","",IF(Atletas!B108="Feminino",100,IF(Atletas!B108="Masculino",200,""))+(IF(Atletas!I108="Daoshu Mirim",19,IF(Atletas!I108="Jianshu Mirim",20,IF(Atletas!I108="Nandao Mirim",21,IF(Atletas!I108="Taijijian Mirim",22,IF(Atletas!I108="Daoshu Grupo C",23,IF(Atletas!I108="Jianshu Grupo C",24,IF(Atletas!I108="Nandao Grupo C",25,IF(Atletas!I108="Taijijian Grupo C",26,IF(Atletas!I108="Daoshu Grupo B",27,IF(Atletas!I108="Jianshu Grupo B",28,IF(Atletas!I108="Nandao Grupo B",29,IF(Atletas!I108="Taijijian Grupo B",30,IF(Atletas!I108="Daoshu Grupo A",31,IF(Atletas!I108="Jianshu Grupo A",32,IF(Atletas!I108="Nandao Grupo A",33,IF(Atletas!I108="Taijijian Grupo A",34,IF(Atletas!I108="Daoshu Opcional",35,IF(Atletas!I108="Jianshu Opcional",36,IF(Atletas!I108="Nandao Opcional",37,IF(Atletas!I108="Taijijian Opcional",38,IF(Atletas!I108="Daoshu Adulto",39,IF(Atletas!I108="Jianshu Adulto",40,IF(Atletas!I108="Nandao Adulto",41,IF(Atletas!I108="Taijijian Adulto",42,""))))))))))))))))))))))))))</f>
        <v/>
      </c>
      <c r="BH117" s="52" t="str">
        <f>IF(Atletas!J108="","",IF(Atletas!B108="Feminino",100,IF(Atletas!B108="Masculino",200,""))+(IF(Atletas!J108="Gunshu Mirim",43,IF(Atletas!J108="Qiangshu Mirim",44,IF(Atletas!J108="Nangun Mirim",45,IF(Atletas!J108="Gunshu Grupo C",46,IF(Atletas!J108="Qiangshu Grupo C",47,IF(Atletas!J108="Nangun Grupo C",48,IF(Atletas!J108="Gunshu Grupo B",49,IF(Atletas!J108="Qiangshu Grupo B",50,IF(Atletas!J108="Nangun Grupo B",51,IF(Atletas!J108="Gunshu Grupo A",52,IF(Atletas!J108="Qiangshu Grupo A",53,IF(Atletas!J108="Nangun Grupo A",54,IF(Atletas!J108="Gunshu Opcional",55,IF(Atletas!J108="Qiangshu Opcional",56,IF(Atletas!J108="Nangun Opcional",57,IF(Atletas!J108="Gunshu Adulto",58,IF(Atletas!J108="Qiangshu Adulto",59,IF(Atletas!J108="Nangun Adulto",60,IF(Atletas!J108="Taijishan Grupo B",61,IF(Atletas!J108="Taijishan Grupo A",62,""))))))))))))))))))))))</f>
        <v/>
      </c>
      <c r="BM117" s="50" t="str">
        <f>IF(Atletas!K108="","",IF(Atletas!B108="Feminino",100,IF(Atletas!B108="Masculino",200,""))+(IF(Atletas!K108="Equipe 1 Grupo B",1,IF(Atletas!K108="Equipe 2 Grupo B",2,IF(Atletas!K108="Equipe 1 Grupo A",3,IF(Atletas!K108="Equipe 2 Grupo A",4,IF(Atletas!K108="Equipe 1 Adulto",5,IF(Atletas!K108="Equipe 2 Adulto",6,""))))))))</f>
        <v/>
      </c>
      <c r="BR117" s="50" t="str">
        <f>IF(Atletas!L108="","",IF(Atletas!X108&lt;&gt;"",10000,0)+(IF(Atletas!B108="Feminino",1000,IF(Atletas!B108="Masculino",2000,""))+IF(Atletas!L108="Choylayfut A",1,IF(Atletas!L108="Hunggar A",2,IF(Atletas!L108="Wuzuquan A",3,IF(Atletas!L108="Wingchun A",4,IF(Atletas!L108="Outra Mão de Sul A",5,IF(Atletas!L108="Choylayfut B",6,IF(Atletas!L108="Hunggar B",7,IF(Atletas!L108="Wuzuquan B",8,IF(Atletas!L108="Wingchun B",9,IF(Atletas!L108="Outra Mão de Sul B",10,IF(Atletas!L108="Choylayfut C",11,IF(Atletas!L108="Hunggar C",12,IF(Atletas!L108="Wuzuquan C",13,IF(Atletas!L108="Wingchun C",14,IF(Atletas!L108="Outra Mão de Sul C",15,IF(Atletas!L108="Choylayfut D",16,IF(Atletas!L108="Hunggar D",17,IF(Atletas!L108="Wuzuquan D",18,IF(Atletas!L108="Wingchun D",19,IF(Atletas!L108="Outra Mão de Sul D",20,IF(Atletas!L108="Choylayfut E",21,IF(Atletas!L108="Hunggar E",22,IF(Atletas!L108="Wuzuquan E",23,IF(Atletas!L108="Wingchun E",24,IF(Atletas!L108="Outra Mão de Sul E",25,IF(Atletas!L108="Choylayfut F",26,IF(Atletas!L108="Hunggar F",27,IF(Atletas!L108="Wuzuquan F",28,IF(Atletas!L108="Wingchun F",29,IF(Atletas!L108="Outra Mão de Sul F",30,IF(Atletas!L108="Dishuquan A",31,IF(Atletas!L108="Dishuquan B",32,IF(Atletas!L108="Dishuquan C",33,IF(Atletas!L108="Dishuquan D",34,IF(Atletas!L108="Dishuquan E",35,IF(Atletas!L108="Dishuquan F",36,""))))))))))))))))))))))))))))))))))))))</f>
        <v/>
      </c>
      <c r="BS117" s="50" t="str">
        <f>IF(Atletas!M108="","",IF(Atletas!X108&lt;&gt;"",10000,0)+(IF(Atletas!B108="Feminino",1000,IF(Atletas!B108="Masculino",2000,""))+(IF(Atletas!M108="Chaquan A",101,IF(Atletas!M108="Emeiquan A",102,IF(Atletas!M108="Fanziquan A",103,IF(Atletas!M108="Huaquan A",104,IF(Atletas!M108="Hongquan A",105,IF(Atletas!M108="Paoquan A",106,IF(Atletas!M108="Piguaquan A",107,IF(Atletas!M108="Shaolinquan A",108,IF(Atletas!M108="Tanglangquan A",109,IF(Atletas!M108="Yingzhaoquan A",110,IF(Atletas!M108="Tongbeiquan A",111,IF(Atletas!M108="Wudangquan A",112,IF(Atletas!M108="Outros Estilos A",113,IF(Atletas!M108="Chaquan B",114,IF(Atletas!M108="Emeiquan B",115,IF(Atletas!M108="Fanziquan B",116,IF(Atletas!M108="Huaquan B",117,IF(Atletas!M108="Hongquan B",118,IF(Atletas!M108="Paoquan B",119,IF(Atletas!M108="Piguaquan B",120,IF(Atletas!M108="Shaolinquan B",121,IF(Atletas!M108="Tanglangquan B",122,IF(Atletas!M108="Yingzhaoquan B",123,IF(Atletas!M108="Tongbeiquan B",124,IF(Atletas!M108="Wudangquan B",125,IF(Atletas!M108="Outros Estilos B",126,IF(Atletas!M108="Chaquan C",127,IF(Atletas!M108="Emeiquan C",128,IF(Atletas!M108="Fanziquan C",129,IF(Atletas!M108="Huaquan C",130,IF(Atletas!M108="Hongquan C",131,IF(Atletas!M108="Paoquan C",132,IF(Atletas!M108="Piguaquan C",133,IF(Atletas!M108="Shaolinquan C",134,IF(Atletas!M108="Tanglangquan C",135,IF(Atletas!M108="Yingzhaoquan C",136,IF(Atletas!M108="Tongbeiquan C",137,IF(Atletas!M108="Wudangquan C",138,IF(Atletas!M108="Outros Estilos C",139,0))))))))))))))))))))))))))))))))))))))))))</f>
        <v/>
      </c>
      <c r="BT117" s="50" t="str">
        <f>IF(Atletas!M108="","",IF(Atletas!X108&lt;&gt;"",10000,0)+(IF(Atletas!B108="Feminino",1000,IF(Atletas!B108="Masculino",2000,""))+(IF(Atletas!M108="Chaquan D",140,IF(Atletas!M108="Emeiquan D",141,IF(Atletas!M108="Fanziquan D",142,IF(Atletas!M108="Huaquan D",143,IF(Atletas!M108="Hongquan D",144,IF(Atletas!M108="Paoquan D",145,IF(Atletas!M108="Piguaquan D",146,IF(Atletas!M108="Shaolinquan D",147,IF(Atletas!M108="Tanglangquan D",148,IF(Atletas!M108="Yingzhaoquan D",149,IF(Atletas!M108="Tongbeiquan D",150,IF(Atletas!M108="Wudangquan D",151,IF(Atletas!M108="Outros Estilos D",152,IF(Atletas!M108="Chaquan E",153,IF(Atletas!M108="Emeiquan E",154,IF(Atletas!M108="Fanziquan E",155,IF(Atletas!M108="Huaquan E",156,IF(Atletas!M108="Hongquan E",157,IF(Atletas!M108="Paoquan E",158,IF(Atletas!M108="Piguaquan E",159,IF(Atletas!M108="Shaolinquan E",160,IF(Atletas!M108="Tanglangquan E",161,IF(Atletas!M108="Yingzhaoquan E",162,IF(Atletas!M108="Tongbeiquan E",163,IF(Atletas!M108="Wudangquan E",164,IF(Atletas!M108="Outros Estilos E",165,IF(Atletas!M108="Chaquan F",166,IF(Atletas!M108="Emeiquan F",167,IF(Atletas!M108="Fanziquan F",168,IF(Atletas!M108="Huaquan F",169,IF(Atletas!M108="Hongquan F",170,IF(Atletas!M108="Paoquan F",171,IF(Atletas!M108="Piguaquan F",172,IF(Atletas!M108="Shaolinquan F",173,IF(Atletas!M108="Tanglangquan F",174,IF(Atletas!M108="Yingzhaoquan F",175,IF(Atletas!M108="Tongbeiquan F",176,IF(Atletas!M108="Wudangquan F",177,IF(Atletas!M108="Outros Estilos F",178,0))))))))))))))))))))))))))))))))))))))))))</f>
        <v/>
      </c>
      <c r="BU117" s="50" t="str">
        <f>IF(Atletas!N108="","",IF(Atletas!X108&lt;&gt;"",10000,0)+(IF(Atletas!B108="Feminino",1000,IF(Atletas!B108="Masculino",2000,""))+(IF(Atletas!N108="Ditangquan A",201,IF(Atletas!N108="Houquan A",202,IF(Atletas!N108="Zuiquan A",203,IF(Atletas!N108="Ditangquan B",204,IF(Atletas!N108="Houquan B",205,IF(Atletas!N108="Zuiquan B",206,IF(Atletas!N108="Ditangquan C",207,IF(Atletas!N108="Houquan C",208,IF(Atletas!N108="Zuiquan C",209,IF(Atletas!N108="Ditangquan D",210,IF(Atletas!N108="Houquan D",211,IF(Atletas!N108="Zuiquan D",212,IF(Atletas!N108="Ditangquan E",213,IF(Atletas!N108="Houquan E",214,IF(Atletas!N108="Zuiquan E",215,IF(Atletas!N108="Ditangquan F",216,IF(Atletas!N108="Houquan F",217,IF(Atletas!N108="Zuiquan F",218,"")))))))))))))))))))))</f>
        <v/>
      </c>
      <c r="BV117" s="50" t="str">
        <f>IF(Atletas!O108="","",IF(Atletas!X108&lt;&gt;"",10000,0)+IF(Atletas!B108="Feminino",1000,IF(Atletas!B108="Masculino",2000,""))+IF(Atletas!O108="Yang A",301,IF(Atletas!O108="Chen A",302,IF(Atletas!O108="Sun A",303,IF(Atletas!O108="Wu A",304,IF(Atletas!O108="Wu-Hao A",305,IF(Atletas!O108="Outro Taijiquan A",306,IF(Atletas!O108="Yang B",307,IF(Atletas!O108="Chen B",308,IF(Atletas!O108="Sun B",309,IF(Atletas!O108="Wu B",310,IF(Atletas!O108="Wu-Hao B",311,IF(Atletas!O108="Outro Taijiquan B",312,IF(Atletas!O108="Yang C",313,IF(Atletas!O108="Chen C",314,IF(Atletas!O108="Sun C",315,IF(Atletas!O108="Wu C",316,IF(Atletas!O108="Wu-Hao C",317,IF(Atletas!O108="Outro Taijiquan C",318,IF(Atletas!O108="Yang D",319,IF(Atletas!O108="Chen D",320,IF(Atletas!O108="Sun D",321,IF(Atletas!O108="Wu D",322,IF(Atletas!O108="Wu-Hao D",323,IF(Atletas!O108="Outro Taijiquan D",324,IF(Atletas!O108="Yang E",325,IF(Atletas!O108="Chen E",326,IF(Atletas!O108="Sun E",327,IF(Atletas!O108="Wu E",328,IF(Atletas!O108="Wu-Hao E",329,IF(Atletas!O108="Outro Taijiquan E",330,IF(Atletas!O108="Yang F",331,IF(Atletas!O108="Chen F",332,IF(Atletas!O108="Sun F",333,IF(Atletas!O108="Wu F",334,IF(Atletas!O108="Wu-Hao F",335,IF(Atletas!O108="Outro Taijiquan F",336,"")))))))))))))))))))))))))))))))))))))</f>
        <v/>
      </c>
      <c r="BW117" s="50" t="str">
        <f>IF(Atletas!P108="","",IF(Atletas!X108&lt;&gt;"",10000,0)+IF(Atletas!B108="Feminino",1000,IF(Atletas!B108="Masculino",2000,""))+IF(OR(Atletas!P108="Yang 26 A",Atletas!P108="Yang 40 A"),401,IF(OR(Atletas!P108="Chen 25 A",Atletas!P108="Chen 36 A",Atletas!P108="Chen 56 A"),402,IF(Atletas!P108="Sun 73 A",403,IF(Atletas!P108="Wu 45 A",404,IF(Atletas!P108="Wu-Hao 46 A",405,IF(OR(Atletas!P108="Taijiquan 16 A",Atletas!P108="Taijiquan 24 A",Atletas!P108="Taijiquan 32 A",Atletas!P108="Taijiquan 42 A"),406,IF(OR(Atletas!P108="Yang 26 B",Atletas!P108="Yang 40 B"),407,IF(OR(Atletas!P108="Chen 25 B",Atletas!P108="Chen 36 B",Atletas!P108="Chen 56 B"),408,IF(Atletas!P108="Sun 73 B",409,IF(Atletas!P108="Wu 45 B",410,IF(Atletas!P108="Wu-Hao 46 B",411,IF(OR(Atletas!P108="Taijiquan 16 B",Atletas!P108="Taijiquan 24 B",Atletas!P108="Taijiquan 32 B",Atletas!P108="Taijiquan 42 B"),412,IF(OR(Atletas!P108="Yang 26 C",Atletas!P108="Yang 40 C"),413,IF(OR(Atletas!P108="Chen 25 C",Atletas!P108="Chen 36 C",Atletas!P108="Chen 56 C"),414,IF(Atletas!P108="Sun 73 C",415,IF(Atletas!P108="Wu 45 C",416,IF(Atletas!P108="Wu-Hao 46 C",417,IF(OR(Atletas!P108="Taijiquan 16 C",Atletas!P108="Taijiquan 24 C",Atletas!P108="Taijiquan 32 C",Atletas!P108="Taijiquan 42 C"),418,0)))))))))))))))))))</f>
        <v/>
      </c>
      <c r="BX117" s="50" t="str">
        <f>IF(Atletas!P108="","",IF(Atletas!X108&lt;&gt;"",10000,0)+IF(Atletas!B108="Feminino",1000,IF(Atletas!B108="Masculino",2000,""))+IF(OR(Atletas!P108="Yang 26 D",Atletas!P108="Yang 40 D"),419,IF(OR(Atletas!P108="Chen 25 D",Atletas!P108="Chen 36 D",Atletas!P108="Chen 56 D"),420,IF(Atletas!P108="Sun 73 D",421,IF(Atletas!P108="Wu 45 D",422,IF(Atletas!P108="Wu-Hao 46 D",423,IF(OR(Atletas!P108="Taijiquan 16 D",Atletas!P108="Taijiquan 24 D",Atletas!P108="Taijiquan 32 D",Atletas!P108="Taijiquan 42 D"),424,IF(OR(Atletas!P108="Yang 26 E",Atletas!P108="Yang 40 E"),425,IF(OR(Atletas!P108="Chen 25 E",Atletas!P108="Chen 36 E",Atletas!P108="Chen 56 E"),426,IF(Atletas!P108="Sun 73 E",427,IF(Atletas!P108="Wu 45 E",428,IF(Atletas!P108="Wu-Hao 46 E",429,IF(OR(Atletas!P108="Taijiquan 16 E",Atletas!P108="Taijiquan 24 E",Atletas!P108="Taijiquan 32 E",Atletas!P108="Taijiquan 42 E"),430,IF(OR(Atletas!P108="Yang 26 F",Atletas!P108="Yang 40 F"),431,IF(OR(Atletas!P108="Chen 25 F",Atletas!P108="Chen 36 F",Atletas!P108="Chen 56 F"),432,IF(Atletas!P108="Sun 73 F",433,IF(Atletas!P108="Wu 45 F",434,IF(Atletas!P108="Wu-Hao 46 F",435,IF(OR(Atletas!P108="Taijiquan 16 F",Atletas!P108="Taijiquan 24 F",Atletas!P108="Taijiquan 32 F",Atletas!P108="Taijiquan 42 F"),436,0)))))))))))))))))))</f>
        <v/>
      </c>
      <c r="BY117" s="50" t="str">
        <f>IF(Atletas!Q108="","",IF(Atletas!X108&lt;&gt;"",10000,0)+IF(Atletas!B108="Feminino",1000,IF(Atletas!B108="Masculino",2000,""))+IF(Atletas!Q108="Xingyiquan A",501,IF(Atletas!Q108="Baguazhang A",502,IF(Atletas!Q108="Outro Estilo Interno A",503,IF(Atletas!Q108="Xingyiquan B",504,IF(Atletas!Q108="Baguazhang B",505,IF(Atletas!Q108="Outro Estilo Interno B",506,IF(Atletas!Q108="Xingyiquan C",507,IF(Atletas!Q108="Baguazhang C",508,IF(Atletas!Q108="Outro Estilo Interno C",509,IF(Atletas!Q108="Xingyiquan D",510,IF(Atletas!Q108="Baguazhang D",511,IF(Atletas!Q108="Outro Estilo Interno D",512,IF(Atletas!Q108="Xingyiquan E",513,IF(Atletas!Q108="Baguazhang E",514,IF(Atletas!Q108="Outro Estilo Interno E",515,IF(Atletas!Q108="Xingyiquan F",516,IF(Atletas!Q108="Baguazhang F",517,IF(Atletas!Q108="Outro Estilo Interno F",518, "")))))))))))))))))))</f>
        <v/>
      </c>
      <c r="BZ117" s="50" t="str">
        <f>IF(Atletas!R108="","",IF(Atletas!X108&lt;&gt;"",10000,0)+IF(Atletas!B108="Feminino",1000,IF(Atletas!B108="Masculino",2000,""))+IF(Atletas!R108="Dao A",601,IF(Atletas!R108="Jian A",602,IF(Atletas!R108="Bishou A",603,IF(Atletas!R108="Shanzi A",604,IF(Atletas!R108="Outra Arma Curta A",605,IF(Atletas!R108="Dao B",606,IF(Atletas!R108="Jian B",607,IF(Atletas!R108="Bishou B",608,IF(Atletas!R108="Shanzi B",609,IF(Atletas!R108="Outra Arma Curta B",610,IF(Atletas!R108="Dao C",611,IF(Atletas!R108="Jian C",612,IF(Atletas!R108="Bishou C",613,IF(Atletas!R108="Shanzi C",614,IF(Atletas!R108="Outra Arma Curta C",615,IF(Atletas!R108="Dao D",616,IF(Atletas!R108="Jian D",617,IF(Atletas!R108="Bishou D",618,IF(Atletas!R108="Shanzi D",619,IF(Atletas!R108="Outra Arma Curta D",620,IF(Atletas!R108="Dao E",621,IF(Atletas!R108="Jian E",622,IF(Atletas!R108="Bishou E",623,IF(Atletas!R108="Shanzi E",624,IF(Atletas!R108="Outra Arma Curta E",625,IF(Atletas!R108="Dao F",626,IF(Atletas!R108="Jian F",627,IF(Atletas!R108="Bishou F",628,IF(Atletas!R108="Shanzi F",629,IF(Atletas!R108="Outra Arma Curta F",630, "")))))))))))))))))))))))))))))))</f>
        <v/>
      </c>
      <c r="CA117" s="50" t="str">
        <f>IF(Atletas!S108="","",IF(Atletas!X108&lt;&gt;"",10000,0)+IF(Atletas!B108="Feminino",1000,IF(Atletas!B108="Masculino",2000,""))+IF(Atletas!S108="Gun A",701,IF(Atletas!S108="Qiang A",702,IF(Atletas!S108="Pudao / Guandao A",703,IF(Atletas!S108="Outra Arma Longa A",704,IF(Atletas!S108="Gun B",705,IF(Atletas!S108="Qiang B",706,IF(Atletas!S108="Pudao / Guandao B",707,IF(Atletas!S108="Outra Arma Longa B",708,IF(Atletas!S108="Gun C",709,IF(Atletas!S108="Qiang C",710,IF(Atletas!S108="Pudao / Guandao C",711,IF(Atletas!S108="Outra Arma Longa C",712,IF(Atletas!S108="Gun D",713,IF(Atletas!S108="Qiang D",714,IF(Atletas!S108="Pudao / Guandao D",715,IF(Atletas!S108="Outra Arma Longa D",716,IF(Atletas!S108="Gun E",717,IF(Atletas!S108="Qiang E",718,IF(Atletas!S108="Pudao / Guandao E",719,IF(Atletas!S108="Outra Arma Longa E",720,IF(Atletas!S108="Gun F",721,IF(Atletas!S108="Qiang F",722,IF(Atletas!S108="Pudao / Guandao F",723,IF(Atletas!S108="Outra Arma Longa F",724,"")))))))))))))))))))))))))</f>
        <v/>
      </c>
      <c r="CB117" s="50" t="str">
        <f>IF(Atletas!T108="","",IF(Atletas!X108&lt;&gt;"",10000,0)+IF(Atletas!B108="Feminino",1000,IF(Atletas!B108="Masculino",2000,""))+IF(Atletas!T108="Outra Arma Dupla A",801,IF(Atletas!T108="Arma Maleável A",802,IF(Atletas!T108="Outra Arma Dupla B",803,IF(Atletas!T108="Arma Maleável B",804,IF(Atletas!T108="Outra Arma Dupla C",805,IF(Atletas!T108="Arma Maleável C",806,IF(Atletas!T108="Outra Arma Dupla D",807,IF(Atletas!T108="Arma Maleável D",808,IF(Atletas!T108="Outra Arma Dupla E",809,IF(Atletas!T108="Arma Maleável E",810,IF(Atletas!T108="Outra Arma Dupla F",811,IF(Atletas!T108="Arma Maleável F",812,IF(Atletas!T108="Shuangdao A",813,IF(Atletas!T108="Shuangdao B",814,IF(Atletas!T108="Shuangdao C",815,IF(Atletas!T108="Shuangdao D",816,IF(Atletas!T108="Shuangdao E",817,IF(Atletas!T108="Shuangdao F",818,"")))))))))))))))))))</f>
        <v/>
      </c>
      <c r="CC117" s="50" t="str">
        <f>IF(Atletas!U108="","",IF(Atletas!X108&lt;&gt;"",10000,0)+IF(Atletas!B108="Feminino",1000,IF(Atletas!B108="Masculino",2000,""))+IF(OR(Atletas!U108="Taijijian Yang A",Atletas!U108="Taijijian Yang Standard A"),901,IF(OR(Atletas!U108="Taijijian Chen A", Atletas!U108="Taijijian Chen Standard A"),902,IF(Atletas!U108="Taijijian Sun A",903,IF(Atletas!U108="Taijijian Wu A",904,IF(Atletas!U108="Taijijian Wu-Hao A",905,IF(OR(Atletas!U108="Taijijian 32 A",Atletas!U108="Taijijian 42 A"),906,IF(OR(Atletas!U108="Taijijian Yang B",Atletas!U108="Taijijian Yang Standard B"),907,IF(OR(Atletas!U108="Taijijian Chen B", Atletas!U108="Taijijian Chen Standard B"),908,IF(Atletas!U108="Taijijian Sun B",909,IF(Atletas!U108="Taijijian Wu B",910,IF(Atletas!U108="Taijijian Wu-Hao B",911,IF(OR(Atletas!U108="Taijijian 32 B",Atletas!U108="Taijijian 42 B"),912,IF(OR(Atletas!U108="Taijijian Yang C",Atletas!U108="Taijijian Yang Standard C"),913,IF(OR(Atletas!U108="Taijijian Chen C", Atletas!U108="Taijijian Chen Standard C"),914,IF(Atletas!U108="Taijijian Sun C",915,IF(Atletas!U108="Taijijian Wu C",916,IF(Atletas!U108="Taijijian Wu-Hao C",917,IF(OR(Atletas!U108="Taijijian 32 C",Atletas!U108="Taijijian 42 C"),918,IF(OR(Atletas!U108="Taijijian Yang D",Atletas!U108="Taijijian Yang Standard D"),919,IF(OR(Atletas!U108="Taijijian Chen D", Atletas!U108="Taijijian Chen Standard D"),920,IF(Atletas!U108="Taijijian Sun D",921,IF(Atletas!U108="Taijijian Wu D",922,IF(Atletas!U108="Taijijian Wu-Hao D",923,IF(OR(Atletas!U108="Taijijian 32 D",Atletas!U108="Taijijian 42 D"),924,IF(OR(Atletas!U108="Taijijian Yang E",Atletas!U108="Taijijian Yang Standard E"),925,IF(OR(Atletas!U108="Taijijian Chen E", Atletas!U108="Taijijian Chen Standard E"),926,IF(Atletas!U108="Taijijian Sun E",927,IF(Atletas!U108="Taijijian Wu E",928,IF(Atletas!U108="Taijijian Wu-Hao E",929,IF(OR(Atletas!U108="Taijijian 32 E",Atletas!U108="Taijijian 42 E"),930,IF(OR(Atletas!U108="Taijijian Yang F",Atletas!U108="Taijijian Yang Standard F"),931,IF(OR(Atletas!U108="Taijijian Chen F", Atletas!U108="Taijijian Chen Standard F"),932,IF(Atletas!U108="Taijijian Sun F",933,IF(Atletas!U108="Taijijian Wu F",934,IF(Atletas!U108="Taijijian Wu-Hao F",935,IF(OR(Atletas!U108="Taijijian 32 F",Atletas!U108="Taijijian 42 F"),936,"")))))))))))))))))))))))))))))))))))))</f>
        <v/>
      </c>
      <c r="CD117" s="50" t="str">
        <f>IF(Atletas!V108="","",IF(Atletas!X108&lt;&gt;"",10000,0)+IF(Atletas!B108="Feminino",1000,IF(Atletas!B108="Masculino",2000,""))+IF(Atletas!V108="Taijidao A",937,IF(Atletas!V108="TaijiShanzi A",938,IF(Atletas!V108="Taijiqiang A",939,IF(Atletas!V108="Bagua de Arma A",940,IF(Atletas!V108="Xingyi de Arma A",941,IF(Atletas!V108="Taijidao B",942,IF(Atletas!V108="TaijiShanzi B",943,IF(Atletas!V108="Taijiqiang B",944,IF(Atletas!V108="Bagua de Arma B",945,IF(Atletas!V108="Xingyi de Arma B",946,IF(Atletas!V108="Taijidao C",947,IF(Atletas!V108="TaijiShanzi C",948,IF(Atletas!V108="Taijiqiang C",949,IF(Atletas!V108="Bagua de Arma C",950,IF(Atletas!V108="Xingyi de Arma C",951,IF(Atletas!V108="Taijidao D",952,IF(Atletas!V108="TaijiShanzi D",953,IF(Atletas!V108="Taijiqiang D",954,IF(Atletas!V108="Bagua de Arma D",955,IF(Atletas!V108="Xingyi de Arma D",956,IF(Atletas!V108="Taijidao E",957,IF(Atletas!V108="TaijiShanzi E",958,IF(Atletas!V108="Taijiqiang E",959,IF(Atletas!V108="Bagua de Arma E",960,IF(Atletas!V108="Xingyi de Arma E",961,IF(Atletas!V108="Taijidao F",962,IF(Atletas!V108="TaijiShanzi F",963,IF(Atletas!V108="Taijiqiang F",964,IF(Atletas!V108="Bagua de Arma F",965,IF(Atletas!V108="Xingyi de Arma F",966,"")))))))))))))))))))))))))))))))</f>
        <v/>
      </c>
      <c r="CE117" s="66" t="str">
        <f>IF(CF117&lt;&gt;"","Yingzhaoquan F","")</f>
        <v/>
      </c>
      <c r="CF117" s="66" t="str">
        <f>IF(COUNTIF(BR:CD,1175)&gt;0,COUNTIF(BR:CD,1175),"")</f>
        <v/>
      </c>
      <c r="CG117" s="66" t="str">
        <f>IF(CH117&lt;&gt;"","Yingzhaoquan F","")</f>
        <v/>
      </c>
      <c r="CH117" s="66" t="str">
        <f>IF(COUNTIF(BR:CD,2175)&gt;0,COUNTIF(BR:CD,2175),"")</f>
        <v/>
      </c>
      <c r="CI117" s="66" t="str">
        <f>IF(CJ117&lt;&gt;"","Zuiquan A","")</f>
        <v/>
      </c>
      <c r="CJ117" s="66" t="str">
        <f>IF(COUNTIF(BR:CD,11203)&gt;0,COUNTIF(BR:CD,11203),"")</f>
        <v/>
      </c>
      <c r="CK117" s="66" t="str">
        <f>IF(CL117&lt;&gt;"","Zuiquan A","")</f>
        <v/>
      </c>
      <c r="CL117" s="66" t="str">
        <f>IF(COUNTIF(BR:CD,12203)&gt;0,COUNTIF(BR:CD,12203),"")</f>
        <v/>
      </c>
      <c r="CM117" s="50" t="str">
        <f xml:space="preserve"> IF(Atletas!W108="","",IF(Atletas!W108="Duilian de Mãos BC - Equipe 1",1,IF(Atletas!W108="Duilian de Mãos BC - Equipe 2",2,IF(Atletas!W108="Duilian de Armas BC - Equipe 1",3,IF(Atletas!W108="Duilian de Armas BC - Equipe 2",4,IF(Atletas!W108="Duilian de Mãos DE - Equipe 1",5,IF(Atletas!W108="Duilian de Mãos DE - Equipe 2",6,IF(Atletas!W108="Duilian de Armas DE - Equipe 1",7,IF(Atletas!W108="Duilian de Armas DE - Equipe 2",8,IF(Atletas!W108="Duilian de Tuishou - Equipe 1",9,IF(Atletas!W108="Duilian de Tuishou - Equipe 2",10,IF(Atletas!W108="Grupo Externo ABC - Equipe 1",11,IF(Atletas!W108="Grupo Externo ABC - Equipe 2",12,IF(Atletas!W108="Grupo Interno ABC - Equipe 1",13,IF(Atletas!W108="Grupo Interno ABC - Equipe 2",14,IF(Atletas!W108="Grupo Externo DEF - Equipe 1",15,IF(Atletas!W108="Grupo Externo DEF - Equipe 2",16,IF(Atletas!W108="Grupo Interno DEF - Equipe 1",17,IF(Atletas!W108="Grupo Interno DEF - Equipe 2",18,"")))))))))))))))))))</f>
        <v/>
      </c>
    </row>
    <row r="118" spans="2:91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 t="str">
        <f t="array" ref="Z118">IFERROR(INDEX(CE$7:CE$348,SMALL(IF(CE$7:CE$348&lt;&gt;"",ROW(CE$7:CE$348)-ROW(CE$7)+1),ROWS(CE$7:CE117))),"")</f>
        <v/>
      </c>
      <c r="AA118" s="3" t="str">
        <f t="array" ref="AA118">IFERROR(INDEX(CF$7:CF$348,SMALL(IF(CF$7:CF$348&lt;&gt;"",ROW(CF$7:CF$348)-ROW(CF$7)+1),ROWS(CF$7:CF117))),"")</f>
        <v/>
      </c>
      <c r="AB118" s="3" t="str">
        <f t="array" ref="AB118">IFERROR(INDEX(CG$7:CG$348,SMALL(IF(CG$7:CG$348&lt;&gt;"",ROW(CG$7:CG$348)-ROW(CG$7)+1),ROWS(CG$7:CG117))),"")</f>
        <v/>
      </c>
      <c r="AC118" s="3" t="str">
        <f t="array" ref="AC118">IFERROR(INDEX(CH$7:CH$348,SMALL(IF(CH$7:CH$348&lt;&gt;"",ROW(CH$7:CH$348)-ROW(CH$7)+1),ROWS(CH$7:CH117))),"")</f>
        <v/>
      </c>
      <c r="AD118" s="3" t="str">
        <f t="array" ref="AD118">IFERROR(INDEX(CI$7:CI$377,SMALL(IF(CI$7:CI$377&lt;&gt;"",ROW(CI$7:CI$377)-ROW(CI$7)+1),ROWS(CI$7:CI117))),"")</f>
        <v/>
      </c>
      <c r="AE118" s="3" t="str">
        <f t="array" ref="AE118">IFERROR(INDEX(CJ$7:CJ$378,SMALL(IF(CJ$7:CJ$378&lt;&gt;"",ROW(CJ$7:CJ$378)-ROW(CJ$7)+1),ROWS(CJ$7:CJ117))),"")</f>
        <v/>
      </c>
      <c r="AF118" s="3" t="str">
        <f t="array" ref="AF118">IFERROR(INDEX(CK$7:CK$378,SMALL(IF(CK$7:CK$378&lt;&gt;"",ROW(CK$7:CK$378)-ROW(CK$7)+1),ROWS(CK$7:CK117))),"")</f>
        <v/>
      </c>
      <c r="AG118" s="3" t="str">
        <f t="array" ref="AG118">IFERROR(INDEX(CL$7:CL$378,SMALL(IF(CL$7:CL$378&lt;&gt;"",ROW(CL$7:CL$378)-ROW(CL$7)+1),ROWS(CL$7:CL117))),"")</f>
        <v/>
      </c>
      <c r="AH118" s="3"/>
      <c r="AI118" s="3"/>
      <c r="AJ118" s="3"/>
      <c r="AK118" s="3"/>
      <c r="AL118" s="3"/>
      <c r="AM118" s="3"/>
      <c r="AN118" s="52" t="str">
        <f>IF(Atletas!D109="","",IF(Atletas!B109="Feminino",100,IF(Atletas!B109="Masculino",200,""))+(IF(Atletas!D109="Kids 30kg",1,IF(Atletas!D109="Kids 32kg",2, IF(Atletas!D109="Kids 34kg",3,IF(Atletas!D109="Kids 36kg",4,IF(Atletas!D109="Kids 39kg",5,IF(Atletas!D109="Kids 42kg",6,IF(Atletas!D109="Kids 45kg",7, IF(Atletas!D109="Infantil 39kg",8,IF(Atletas!D109="Infantil 42kg",9,IF(Atletas!D109="Infantil 45kg",10,IF(Atletas!D109="Infantil 48kg",11,IF(Atletas!D109="Infantil 52kg",12,IF(Atletas!D109="Infantil 56kg",13,IF(Atletas!D109="Infantil 60kg",14,IF(Atletas!D109="Juvenil 48kg",15,IF(Atletas!D109="Juvenil 52kg",16,IF(Atletas!D109="Juvenil 56kg",17,IF(Atletas!D109="Juvenil 60kg",18,IF(Atletas!D109="Juvenil 65kg",19,IF(Atletas!D109="Juvenil 70kg",20,IF(Atletas!D109="Juvenil 75kg",21,IF(Atletas!D109="Juvenil 80kg",22, IF(Atletas!D109="Juvenil 85kg",23,IF(Atletas!D109="Adulto 48kg",24,IF(Atletas!D109="Adulto 52kg",25,IF(Atletas!D109="Adulto 56kg",26,IF(Atletas!D109="Adulto 60kg",27,IF(Atletas!D109="Adulto 65kg",28,IF(Atletas!D109="Adulto 70kg",29,IF(Atletas!D109="Adulto 75kg",30,IF(Atletas!D109="Adulto 80kg",31,IF(Atletas!D109="Adulto 85kg",32,IF(Atletas!D109="Adulto 90kg",33,IF(Atletas!D109="Adulto 100kg",34, IF(Atletas!D109="Adulto +100kg",35,"")))))))))))))))))))))))))))))))))))))</f>
        <v/>
      </c>
      <c r="AS118" s="6" t="str">
        <f>IF(Atletas!E109="","",IF(Atletas!B109="Feminino",100,IF(Atletas!B109="Masculino",200,""))+(IF(Atletas!E109="Juvenil 44kg",1,IF(Atletas!E109="Juvenil 48kg",2,IF(Atletas!E109="Juvenil 52kg",3,IF(Atletas!E109="Juvenil 56kg",4,IF(Atletas!E109="Juvenil 60kg",5,IF(Atletas!E109="Juvenil 65kg",6,IF(Atletas!E109="Juvenil 70kg",7,IF(Atletas!E109="Juvenil 75kg",8,IF(Atletas!E109="Juvenil 82kg",9,IF(Atletas!E109="Juvenil 90kg",10,IF(Atletas!E109="Juvenil 100kg",11,IF(Atletas!E109="Adulto 48kg",12,IF(Atletas!E109="Adulto 52kg",13,IF(Atletas!E109="Adulto 56kg",14,IF(Atletas!E109="Adulto 60kg",15,IF(Atletas!E109="Adulto 65kg",16,IF(Atletas!E109="Adulto 70kg",17,IF(Atletas!E109="Adulto 75kg",18,IF(Atletas!E109="Adulto 82kg",19,IF(Atletas!E109="Adulto 90kg",20,IF(Atletas!E109="Adulto 100kg",21,IF(Atletas!E109="Adulto +100kg",22,""))))))))))))))))))))))))</f>
        <v/>
      </c>
      <c r="AX118" s="6" t="str">
        <f>IF(Atletas!F109="","",IF(Atletas!B109="Feminino",100,IF(Atletas!B109="Masculino",200,""))+(IF(Atletas!F109="Adulto 48kg",1,IF(Atletas!F109="Adulto 56kg",2,IF(Atletas!F109="Adulto 65kg",3,IF(Atletas!F109="Adulto 75kg",4,IF(Atletas!F109="Adulto +75kg",5,IF(Atletas!F109="Adulto 52kg",6,IF(Atletas!F109="Adulto 60kg",7,IF(Atletas!F109="Adulto 70kg",8,IF(Atletas!F109="Adulto 80kg",9,IF(Atletas!F109="Adulto 90kg",10,IF(Atletas!F109="Adulto +90kg",11,"")))))))))))))</f>
        <v/>
      </c>
      <c r="BC118" s="6" t="str">
        <f>IF(Atletas!G109="","",IF(Atletas!B109="Feminino",10,IF(Atletas!B109="Masculino",20,""))+(IF(Atletas!G109="Baduanjin A",1,IF(Atletas!G109="Baduanjin B",2))))</f>
        <v/>
      </c>
      <c r="BF118" s="52" t="str">
        <f>IF(Atletas!H109="","",IF(Atletas!B109="Feminino",100,IF(Atletas!B109="Masculino",200,""))+(IF(Atletas!H109="Changquan Mirim",1,IF(Atletas!H109="Nanquan Mirim",2,IF(Atletas!H109="Taijiquan Mirim",3,IF(Atletas!H109="Changquan Grupo C",4,IF(Atletas!H109="Nanquan Grupo C",5,IF(Atletas!H109="Taijiquan Grupo C",6,IF(Atletas!H109="Changquan Grupo B",7,IF(Atletas!H109="Nanquan Grupo B",8,IF(Atletas!H109="Taijiquan Grupo B",9,IF(Atletas!H109="Changquan Grupo A",10,IF(Atletas!H109="Nanquan Grupo A",11,IF(Atletas!H109="Taijiquan Grupo A",12,IF(Atletas!H109="Changquan Opcional",13,IF(Atletas!H109="Nanquan Opcional",14,IF(Atletas!H109="Taijiquan Opcional",15,IF(Atletas!H109="Changquan Adulto",16,IF(Atletas!H109="Nanquan Adulto",17,IF(Atletas!H109="Taijiquan Adulto",18,""))))))))))))))))))))</f>
        <v/>
      </c>
      <c r="BG118" s="52" t="str">
        <f>IF(Atletas!I109="","",IF(Atletas!B109="Feminino",100,IF(Atletas!B109="Masculino",200,""))+(IF(Atletas!I109="Daoshu Mirim",19,IF(Atletas!I109="Jianshu Mirim",20,IF(Atletas!I109="Nandao Mirim",21,IF(Atletas!I109="Taijijian Mirim",22,IF(Atletas!I109="Daoshu Grupo C",23,IF(Atletas!I109="Jianshu Grupo C",24,IF(Atletas!I109="Nandao Grupo C",25,IF(Atletas!I109="Taijijian Grupo C",26,IF(Atletas!I109="Daoshu Grupo B",27,IF(Atletas!I109="Jianshu Grupo B",28,IF(Atletas!I109="Nandao Grupo B",29,IF(Atletas!I109="Taijijian Grupo B",30,IF(Atletas!I109="Daoshu Grupo A",31,IF(Atletas!I109="Jianshu Grupo A",32,IF(Atletas!I109="Nandao Grupo A",33,IF(Atletas!I109="Taijijian Grupo A",34,IF(Atletas!I109="Daoshu Opcional",35,IF(Atletas!I109="Jianshu Opcional",36,IF(Atletas!I109="Nandao Opcional",37,IF(Atletas!I109="Taijijian Opcional",38,IF(Atletas!I109="Daoshu Adulto",39,IF(Atletas!I109="Jianshu Adulto",40,IF(Atletas!I109="Nandao Adulto",41,IF(Atletas!I109="Taijijian Adulto",42,""))))))))))))))))))))))))))</f>
        <v/>
      </c>
      <c r="BH118" s="52" t="str">
        <f>IF(Atletas!J109="","",IF(Atletas!B109="Feminino",100,IF(Atletas!B109="Masculino",200,""))+(IF(Atletas!J109="Gunshu Mirim",43,IF(Atletas!J109="Qiangshu Mirim",44,IF(Atletas!J109="Nangun Mirim",45,IF(Atletas!J109="Gunshu Grupo C",46,IF(Atletas!J109="Qiangshu Grupo C",47,IF(Atletas!J109="Nangun Grupo C",48,IF(Atletas!J109="Gunshu Grupo B",49,IF(Atletas!J109="Qiangshu Grupo B",50,IF(Atletas!J109="Nangun Grupo B",51,IF(Atletas!J109="Gunshu Grupo A",52,IF(Atletas!J109="Qiangshu Grupo A",53,IF(Atletas!J109="Nangun Grupo A",54,IF(Atletas!J109="Gunshu Opcional",55,IF(Atletas!J109="Qiangshu Opcional",56,IF(Atletas!J109="Nangun Opcional",57,IF(Atletas!J109="Gunshu Adulto",58,IF(Atletas!J109="Qiangshu Adulto",59,IF(Atletas!J109="Nangun Adulto",60,IF(Atletas!J109="Taijishan Grupo B",61,IF(Atletas!J109="Taijishan Grupo A",62,""))))))))))))))))))))))</f>
        <v/>
      </c>
      <c r="BM118" s="50" t="str">
        <f>IF(Atletas!K109="","",IF(Atletas!B109="Feminino",100,IF(Atletas!B109="Masculino",200,""))+(IF(Atletas!K109="Equipe 1 Grupo B",1,IF(Atletas!K109="Equipe 2 Grupo B",2,IF(Atletas!K109="Equipe 1 Grupo A",3,IF(Atletas!K109="Equipe 2 Grupo A",4,IF(Atletas!K109="Equipe 1 Adulto",5,IF(Atletas!K109="Equipe 2 Adulto",6,""))))))))</f>
        <v/>
      </c>
      <c r="BR118" s="50" t="str">
        <f>IF(Atletas!L109="","",IF(Atletas!X109&lt;&gt;"",10000,0)+(IF(Atletas!B109="Feminino",1000,IF(Atletas!B109="Masculino",2000,""))+IF(Atletas!L109="Choylayfut A",1,IF(Atletas!L109="Hunggar A",2,IF(Atletas!L109="Wuzuquan A",3,IF(Atletas!L109="Wingchun A",4,IF(Atletas!L109="Outra Mão de Sul A",5,IF(Atletas!L109="Choylayfut B",6,IF(Atletas!L109="Hunggar B",7,IF(Atletas!L109="Wuzuquan B",8,IF(Atletas!L109="Wingchun B",9,IF(Atletas!L109="Outra Mão de Sul B",10,IF(Atletas!L109="Choylayfut C",11,IF(Atletas!L109="Hunggar C",12,IF(Atletas!L109="Wuzuquan C",13,IF(Atletas!L109="Wingchun C",14,IF(Atletas!L109="Outra Mão de Sul C",15,IF(Atletas!L109="Choylayfut D",16,IF(Atletas!L109="Hunggar D",17,IF(Atletas!L109="Wuzuquan D",18,IF(Atletas!L109="Wingchun D",19,IF(Atletas!L109="Outra Mão de Sul D",20,IF(Atletas!L109="Choylayfut E",21,IF(Atletas!L109="Hunggar E",22,IF(Atletas!L109="Wuzuquan E",23,IF(Atletas!L109="Wingchun E",24,IF(Atletas!L109="Outra Mão de Sul E",25,IF(Atletas!L109="Choylayfut F",26,IF(Atletas!L109="Hunggar F",27,IF(Atletas!L109="Wuzuquan F",28,IF(Atletas!L109="Wingchun F",29,IF(Atletas!L109="Outra Mão de Sul F",30,IF(Atletas!L109="Dishuquan A",31,IF(Atletas!L109="Dishuquan B",32,IF(Atletas!L109="Dishuquan C",33,IF(Atletas!L109="Dishuquan D",34,IF(Atletas!L109="Dishuquan E",35,IF(Atletas!L109="Dishuquan F",36,""))))))))))))))))))))))))))))))))))))))</f>
        <v/>
      </c>
      <c r="BS118" s="50" t="str">
        <f>IF(Atletas!M109="","",IF(Atletas!X109&lt;&gt;"",10000,0)+(IF(Atletas!B109="Feminino",1000,IF(Atletas!B109="Masculino",2000,""))+(IF(Atletas!M109="Chaquan A",101,IF(Atletas!M109="Emeiquan A",102,IF(Atletas!M109="Fanziquan A",103,IF(Atletas!M109="Huaquan A",104,IF(Atletas!M109="Hongquan A",105,IF(Atletas!M109="Paoquan A",106,IF(Atletas!M109="Piguaquan A",107,IF(Atletas!M109="Shaolinquan A",108,IF(Atletas!M109="Tanglangquan A",109,IF(Atletas!M109="Yingzhaoquan A",110,IF(Atletas!M109="Tongbeiquan A",111,IF(Atletas!M109="Wudangquan A",112,IF(Atletas!M109="Outros Estilos A",113,IF(Atletas!M109="Chaquan B",114,IF(Atletas!M109="Emeiquan B",115,IF(Atletas!M109="Fanziquan B",116,IF(Atletas!M109="Huaquan B",117,IF(Atletas!M109="Hongquan B",118,IF(Atletas!M109="Paoquan B",119,IF(Atletas!M109="Piguaquan B",120,IF(Atletas!M109="Shaolinquan B",121,IF(Atletas!M109="Tanglangquan B",122,IF(Atletas!M109="Yingzhaoquan B",123,IF(Atletas!M109="Tongbeiquan B",124,IF(Atletas!M109="Wudangquan B",125,IF(Atletas!M109="Outros Estilos B",126,IF(Atletas!M109="Chaquan C",127,IF(Atletas!M109="Emeiquan C",128,IF(Atletas!M109="Fanziquan C",129,IF(Atletas!M109="Huaquan C",130,IF(Atletas!M109="Hongquan C",131,IF(Atletas!M109="Paoquan C",132,IF(Atletas!M109="Piguaquan C",133,IF(Atletas!M109="Shaolinquan C",134,IF(Atletas!M109="Tanglangquan C",135,IF(Atletas!M109="Yingzhaoquan C",136,IF(Atletas!M109="Tongbeiquan C",137,IF(Atletas!M109="Wudangquan C",138,IF(Atletas!M109="Outros Estilos C",139,0))))))))))))))))))))))))))))))))))))))))))</f>
        <v/>
      </c>
      <c r="BT118" s="50" t="str">
        <f>IF(Atletas!M109="","",IF(Atletas!X109&lt;&gt;"",10000,0)+(IF(Atletas!B109="Feminino",1000,IF(Atletas!B109="Masculino",2000,""))+(IF(Atletas!M109="Chaquan D",140,IF(Atletas!M109="Emeiquan D",141,IF(Atletas!M109="Fanziquan D",142,IF(Atletas!M109="Huaquan D",143,IF(Atletas!M109="Hongquan D",144,IF(Atletas!M109="Paoquan D",145,IF(Atletas!M109="Piguaquan D",146,IF(Atletas!M109="Shaolinquan D",147,IF(Atletas!M109="Tanglangquan D",148,IF(Atletas!M109="Yingzhaoquan D",149,IF(Atletas!M109="Tongbeiquan D",150,IF(Atletas!M109="Wudangquan D",151,IF(Atletas!M109="Outros Estilos D",152,IF(Atletas!M109="Chaquan E",153,IF(Atletas!M109="Emeiquan E",154,IF(Atletas!M109="Fanziquan E",155,IF(Atletas!M109="Huaquan E",156,IF(Atletas!M109="Hongquan E",157,IF(Atletas!M109="Paoquan E",158,IF(Atletas!M109="Piguaquan E",159,IF(Atletas!M109="Shaolinquan E",160,IF(Atletas!M109="Tanglangquan E",161,IF(Atletas!M109="Yingzhaoquan E",162,IF(Atletas!M109="Tongbeiquan E",163,IF(Atletas!M109="Wudangquan E",164,IF(Atletas!M109="Outros Estilos E",165,IF(Atletas!M109="Chaquan F",166,IF(Atletas!M109="Emeiquan F",167,IF(Atletas!M109="Fanziquan F",168,IF(Atletas!M109="Huaquan F",169,IF(Atletas!M109="Hongquan F",170,IF(Atletas!M109="Paoquan F",171,IF(Atletas!M109="Piguaquan F",172,IF(Atletas!M109="Shaolinquan F",173,IF(Atletas!M109="Tanglangquan F",174,IF(Atletas!M109="Yingzhaoquan F",175,IF(Atletas!M109="Tongbeiquan F",176,IF(Atletas!M109="Wudangquan F",177,IF(Atletas!M109="Outros Estilos F",178,0))))))))))))))))))))))))))))))))))))))))))</f>
        <v/>
      </c>
      <c r="BU118" s="50" t="str">
        <f>IF(Atletas!N109="","",IF(Atletas!X109&lt;&gt;"",10000,0)+(IF(Atletas!B109="Feminino",1000,IF(Atletas!B109="Masculino",2000,""))+(IF(Atletas!N109="Ditangquan A",201,IF(Atletas!N109="Houquan A",202,IF(Atletas!N109="Zuiquan A",203,IF(Atletas!N109="Ditangquan B",204,IF(Atletas!N109="Houquan B",205,IF(Atletas!N109="Zuiquan B",206,IF(Atletas!N109="Ditangquan C",207,IF(Atletas!N109="Houquan C",208,IF(Atletas!N109="Zuiquan C",209,IF(Atletas!N109="Ditangquan D",210,IF(Atletas!N109="Houquan D",211,IF(Atletas!N109="Zuiquan D",212,IF(Atletas!N109="Ditangquan E",213,IF(Atletas!N109="Houquan E",214,IF(Atletas!N109="Zuiquan E",215,IF(Atletas!N109="Ditangquan F",216,IF(Atletas!N109="Houquan F",217,IF(Atletas!N109="Zuiquan F",218,"")))))))))))))))))))))</f>
        <v/>
      </c>
      <c r="BV118" s="50" t="str">
        <f>IF(Atletas!O109="","",IF(Atletas!X109&lt;&gt;"",10000,0)+IF(Atletas!B109="Feminino",1000,IF(Atletas!B109="Masculino",2000,""))+IF(Atletas!O109="Yang A",301,IF(Atletas!O109="Chen A",302,IF(Atletas!O109="Sun A",303,IF(Atletas!O109="Wu A",304,IF(Atletas!O109="Wu-Hao A",305,IF(Atletas!O109="Outro Taijiquan A",306,IF(Atletas!O109="Yang B",307,IF(Atletas!O109="Chen B",308,IF(Atletas!O109="Sun B",309,IF(Atletas!O109="Wu B",310,IF(Atletas!O109="Wu-Hao B",311,IF(Atletas!O109="Outro Taijiquan B",312,IF(Atletas!O109="Yang C",313,IF(Atletas!O109="Chen C",314,IF(Atletas!O109="Sun C",315,IF(Atletas!O109="Wu C",316,IF(Atletas!O109="Wu-Hao C",317,IF(Atletas!O109="Outro Taijiquan C",318,IF(Atletas!O109="Yang D",319,IF(Atletas!O109="Chen D",320,IF(Atletas!O109="Sun D",321,IF(Atletas!O109="Wu D",322,IF(Atletas!O109="Wu-Hao D",323,IF(Atletas!O109="Outro Taijiquan D",324,IF(Atletas!O109="Yang E",325,IF(Atletas!O109="Chen E",326,IF(Atletas!O109="Sun E",327,IF(Atletas!O109="Wu E",328,IF(Atletas!O109="Wu-Hao E",329,IF(Atletas!O109="Outro Taijiquan E",330,IF(Atletas!O109="Yang F",331,IF(Atletas!O109="Chen F",332,IF(Atletas!O109="Sun F",333,IF(Atletas!O109="Wu F",334,IF(Atletas!O109="Wu-Hao F",335,IF(Atletas!O109="Outro Taijiquan F",336,"")))))))))))))))))))))))))))))))))))))</f>
        <v/>
      </c>
      <c r="BW118" s="50" t="str">
        <f>IF(Atletas!P109="","",IF(Atletas!X109&lt;&gt;"",10000,0)+IF(Atletas!B109="Feminino",1000,IF(Atletas!B109="Masculino",2000,""))+IF(OR(Atletas!P109="Yang 26 A",Atletas!P109="Yang 40 A"),401,IF(OR(Atletas!P109="Chen 25 A",Atletas!P109="Chen 36 A",Atletas!P109="Chen 56 A"),402,IF(Atletas!P109="Sun 73 A",403,IF(Atletas!P109="Wu 45 A",404,IF(Atletas!P109="Wu-Hao 46 A",405,IF(OR(Atletas!P109="Taijiquan 16 A",Atletas!P109="Taijiquan 24 A",Atletas!P109="Taijiquan 32 A",Atletas!P109="Taijiquan 42 A"),406,IF(OR(Atletas!P109="Yang 26 B",Atletas!P109="Yang 40 B"),407,IF(OR(Atletas!P109="Chen 25 B",Atletas!P109="Chen 36 B",Atletas!P109="Chen 56 B"),408,IF(Atletas!P109="Sun 73 B",409,IF(Atletas!P109="Wu 45 B",410,IF(Atletas!P109="Wu-Hao 46 B",411,IF(OR(Atletas!P109="Taijiquan 16 B",Atletas!P109="Taijiquan 24 B",Atletas!P109="Taijiquan 32 B",Atletas!P109="Taijiquan 42 B"),412,IF(OR(Atletas!P109="Yang 26 C",Atletas!P109="Yang 40 C"),413,IF(OR(Atletas!P109="Chen 25 C",Atletas!P109="Chen 36 C",Atletas!P109="Chen 56 C"),414,IF(Atletas!P109="Sun 73 C",415,IF(Atletas!P109="Wu 45 C",416,IF(Atletas!P109="Wu-Hao 46 C",417,IF(OR(Atletas!P109="Taijiquan 16 C",Atletas!P109="Taijiquan 24 C",Atletas!P109="Taijiquan 32 C",Atletas!P109="Taijiquan 42 C"),418,0)))))))))))))))))))</f>
        <v/>
      </c>
      <c r="BX118" s="50" t="str">
        <f>IF(Atletas!P109="","",IF(Atletas!X109&lt;&gt;"",10000,0)+IF(Atletas!B109="Feminino",1000,IF(Atletas!B109="Masculino",2000,""))+IF(OR(Atletas!P109="Yang 26 D",Atletas!P109="Yang 40 D"),419,IF(OR(Atletas!P109="Chen 25 D",Atletas!P109="Chen 36 D",Atletas!P109="Chen 56 D"),420,IF(Atletas!P109="Sun 73 D",421,IF(Atletas!P109="Wu 45 D",422,IF(Atletas!P109="Wu-Hao 46 D",423,IF(OR(Atletas!P109="Taijiquan 16 D",Atletas!P109="Taijiquan 24 D",Atletas!P109="Taijiquan 32 D",Atletas!P109="Taijiquan 42 D"),424,IF(OR(Atletas!P109="Yang 26 E",Atletas!P109="Yang 40 E"),425,IF(OR(Atletas!P109="Chen 25 E",Atletas!P109="Chen 36 E",Atletas!P109="Chen 56 E"),426,IF(Atletas!P109="Sun 73 E",427,IF(Atletas!P109="Wu 45 E",428,IF(Atletas!P109="Wu-Hao 46 E",429,IF(OR(Atletas!P109="Taijiquan 16 E",Atletas!P109="Taijiquan 24 E",Atletas!P109="Taijiquan 32 E",Atletas!P109="Taijiquan 42 E"),430,IF(OR(Atletas!P109="Yang 26 F",Atletas!P109="Yang 40 F"),431,IF(OR(Atletas!P109="Chen 25 F",Atletas!P109="Chen 36 F",Atletas!P109="Chen 56 F"),432,IF(Atletas!P109="Sun 73 F",433,IF(Atletas!P109="Wu 45 F",434,IF(Atletas!P109="Wu-Hao 46 F",435,IF(OR(Atletas!P109="Taijiquan 16 F",Atletas!P109="Taijiquan 24 F",Atletas!P109="Taijiquan 32 F",Atletas!P109="Taijiquan 42 F"),436,0)))))))))))))))))))</f>
        <v/>
      </c>
      <c r="BY118" s="50" t="str">
        <f>IF(Atletas!Q109="","",IF(Atletas!X109&lt;&gt;"",10000,0)+IF(Atletas!B109="Feminino",1000,IF(Atletas!B109="Masculino",2000,""))+IF(Atletas!Q109="Xingyiquan A",501,IF(Atletas!Q109="Baguazhang A",502,IF(Atletas!Q109="Outro Estilo Interno A",503,IF(Atletas!Q109="Xingyiquan B",504,IF(Atletas!Q109="Baguazhang B",505,IF(Atletas!Q109="Outro Estilo Interno B",506,IF(Atletas!Q109="Xingyiquan C",507,IF(Atletas!Q109="Baguazhang C",508,IF(Atletas!Q109="Outro Estilo Interno C",509,IF(Atletas!Q109="Xingyiquan D",510,IF(Atletas!Q109="Baguazhang D",511,IF(Atletas!Q109="Outro Estilo Interno D",512,IF(Atletas!Q109="Xingyiquan E",513,IF(Atletas!Q109="Baguazhang E",514,IF(Atletas!Q109="Outro Estilo Interno E",515,IF(Atletas!Q109="Xingyiquan F",516,IF(Atletas!Q109="Baguazhang F",517,IF(Atletas!Q109="Outro Estilo Interno F",518, "")))))))))))))))))))</f>
        <v/>
      </c>
      <c r="BZ118" s="50" t="str">
        <f>IF(Atletas!R109="","",IF(Atletas!X109&lt;&gt;"",10000,0)+IF(Atletas!B109="Feminino",1000,IF(Atletas!B109="Masculino",2000,""))+IF(Atletas!R109="Dao A",601,IF(Atletas!R109="Jian A",602,IF(Atletas!R109="Bishou A",603,IF(Atletas!R109="Shanzi A",604,IF(Atletas!R109="Outra Arma Curta A",605,IF(Atletas!R109="Dao B",606,IF(Atletas!R109="Jian B",607,IF(Atletas!R109="Bishou B",608,IF(Atletas!R109="Shanzi B",609,IF(Atletas!R109="Outra Arma Curta B",610,IF(Atletas!R109="Dao C",611,IF(Atletas!R109="Jian C",612,IF(Atletas!R109="Bishou C",613,IF(Atletas!R109="Shanzi C",614,IF(Atletas!R109="Outra Arma Curta C",615,IF(Atletas!R109="Dao D",616,IF(Atletas!R109="Jian D",617,IF(Atletas!R109="Bishou D",618,IF(Atletas!R109="Shanzi D",619,IF(Atletas!R109="Outra Arma Curta D",620,IF(Atletas!R109="Dao E",621,IF(Atletas!R109="Jian E",622,IF(Atletas!R109="Bishou E",623,IF(Atletas!R109="Shanzi E",624,IF(Atletas!R109="Outra Arma Curta E",625,IF(Atletas!R109="Dao F",626,IF(Atletas!R109="Jian F",627,IF(Atletas!R109="Bishou F",628,IF(Atletas!R109="Shanzi F",629,IF(Atletas!R109="Outra Arma Curta F",630, "")))))))))))))))))))))))))))))))</f>
        <v/>
      </c>
      <c r="CA118" s="50" t="str">
        <f>IF(Atletas!S109="","",IF(Atletas!X109&lt;&gt;"",10000,0)+IF(Atletas!B109="Feminino",1000,IF(Atletas!B109="Masculino",2000,""))+IF(Atletas!S109="Gun A",701,IF(Atletas!S109="Qiang A",702,IF(Atletas!S109="Pudao / Guandao A",703,IF(Atletas!S109="Outra Arma Longa A",704,IF(Atletas!S109="Gun B",705,IF(Atletas!S109="Qiang B",706,IF(Atletas!S109="Pudao / Guandao B",707,IF(Atletas!S109="Outra Arma Longa B",708,IF(Atletas!S109="Gun C",709,IF(Atletas!S109="Qiang C",710,IF(Atletas!S109="Pudao / Guandao C",711,IF(Atletas!S109="Outra Arma Longa C",712,IF(Atletas!S109="Gun D",713,IF(Atletas!S109="Qiang D",714,IF(Atletas!S109="Pudao / Guandao D",715,IF(Atletas!S109="Outra Arma Longa D",716,IF(Atletas!S109="Gun E",717,IF(Atletas!S109="Qiang E",718,IF(Atletas!S109="Pudao / Guandao E",719,IF(Atletas!S109="Outra Arma Longa E",720,IF(Atletas!S109="Gun F",721,IF(Atletas!S109="Qiang F",722,IF(Atletas!S109="Pudao / Guandao F",723,IF(Atletas!S109="Outra Arma Longa F",724,"")))))))))))))))))))))))))</f>
        <v/>
      </c>
      <c r="CB118" s="50" t="str">
        <f>IF(Atletas!T109="","",IF(Atletas!X109&lt;&gt;"",10000,0)+IF(Atletas!B109="Feminino",1000,IF(Atletas!B109="Masculino",2000,""))+IF(Atletas!T109="Outra Arma Dupla A",801,IF(Atletas!T109="Arma Maleável A",802,IF(Atletas!T109="Outra Arma Dupla B",803,IF(Atletas!T109="Arma Maleável B",804,IF(Atletas!T109="Outra Arma Dupla C",805,IF(Atletas!T109="Arma Maleável C",806,IF(Atletas!T109="Outra Arma Dupla D",807,IF(Atletas!T109="Arma Maleável D",808,IF(Atletas!T109="Outra Arma Dupla E",809,IF(Atletas!T109="Arma Maleável E",810,IF(Atletas!T109="Outra Arma Dupla F",811,IF(Atletas!T109="Arma Maleável F",812,IF(Atletas!T109="Shuangdao A",813,IF(Atletas!T109="Shuangdao B",814,IF(Atletas!T109="Shuangdao C",815,IF(Atletas!T109="Shuangdao D",816,IF(Atletas!T109="Shuangdao E",817,IF(Atletas!T109="Shuangdao F",818,"")))))))))))))))))))</f>
        <v/>
      </c>
      <c r="CC118" s="50" t="str">
        <f>IF(Atletas!U109="","",IF(Atletas!X109&lt;&gt;"",10000,0)+IF(Atletas!B109="Feminino",1000,IF(Atletas!B109="Masculino",2000,""))+IF(OR(Atletas!U109="Taijijian Yang A",Atletas!U109="Taijijian Yang Standard A"),901,IF(OR(Atletas!U109="Taijijian Chen A", Atletas!U109="Taijijian Chen Standard A"),902,IF(Atletas!U109="Taijijian Sun A",903,IF(Atletas!U109="Taijijian Wu A",904,IF(Atletas!U109="Taijijian Wu-Hao A",905,IF(OR(Atletas!U109="Taijijian 32 A",Atletas!U109="Taijijian 42 A"),906,IF(OR(Atletas!U109="Taijijian Yang B",Atletas!U109="Taijijian Yang Standard B"),907,IF(OR(Atletas!U109="Taijijian Chen B", Atletas!U109="Taijijian Chen Standard B"),908,IF(Atletas!U109="Taijijian Sun B",909,IF(Atletas!U109="Taijijian Wu B",910,IF(Atletas!U109="Taijijian Wu-Hao B",911,IF(OR(Atletas!U109="Taijijian 32 B",Atletas!U109="Taijijian 42 B"),912,IF(OR(Atletas!U109="Taijijian Yang C",Atletas!U109="Taijijian Yang Standard C"),913,IF(OR(Atletas!U109="Taijijian Chen C", Atletas!U109="Taijijian Chen Standard C"),914,IF(Atletas!U109="Taijijian Sun C",915,IF(Atletas!U109="Taijijian Wu C",916,IF(Atletas!U109="Taijijian Wu-Hao C",917,IF(OR(Atletas!U109="Taijijian 32 C",Atletas!U109="Taijijian 42 C"),918,IF(OR(Atletas!U109="Taijijian Yang D",Atletas!U109="Taijijian Yang Standard D"),919,IF(OR(Atletas!U109="Taijijian Chen D", Atletas!U109="Taijijian Chen Standard D"),920,IF(Atletas!U109="Taijijian Sun D",921,IF(Atletas!U109="Taijijian Wu D",922,IF(Atletas!U109="Taijijian Wu-Hao D",923,IF(OR(Atletas!U109="Taijijian 32 D",Atletas!U109="Taijijian 42 D"),924,IF(OR(Atletas!U109="Taijijian Yang E",Atletas!U109="Taijijian Yang Standard E"),925,IF(OR(Atletas!U109="Taijijian Chen E", Atletas!U109="Taijijian Chen Standard E"),926,IF(Atletas!U109="Taijijian Sun E",927,IF(Atletas!U109="Taijijian Wu E",928,IF(Atletas!U109="Taijijian Wu-Hao E",929,IF(OR(Atletas!U109="Taijijian 32 E",Atletas!U109="Taijijian 42 E"),930,IF(OR(Atletas!U109="Taijijian Yang F",Atletas!U109="Taijijian Yang Standard F"),931,IF(OR(Atletas!U109="Taijijian Chen F", Atletas!U109="Taijijian Chen Standard F"),932,IF(Atletas!U109="Taijijian Sun F",933,IF(Atletas!U109="Taijijian Wu F",934,IF(Atletas!U109="Taijijian Wu-Hao F",935,IF(OR(Atletas!U109="Taijijian 32 F",Atletas!U109="Taijijian 42 F"),936,"")))))))))))))))))))))))))))))))))))))</f>
        <v/>
      </c>
      <c r="CD118" s="50" t="str">
        <f>IF(Atletas!V109="","",IF(Atletas!X109&lt;&gt;"",10000,0)+IF(Atletas!B109="Feminino",1000,IF(Atletas!B109="Masculino",2000,""))+IF(Atletas!V109="Taijidao A",937,IF(Atletas!V109="TaijiShanzi A",938,IF(Atletas!V109="Taijiqiang A",939,IF(Atletas!V109="Bagua de Arma A",940,IF(Atletas!V109="Xingyi de Arma A",941,IF(Atletas!V109="Taijidao B",942,IF(Atletas!V109="TaijiShanzi B",943,IF(Atletas!V109="Taijiqiang B",944,IF(Atletas!V109="Bagua de Arma B",945,IF(Atletas!V109="Xingyi de Arma B",946,IF(Atletas!V109="Taijidao C",947,IF(Atletas!V109="TaijiShanzi C",948,IF(Atletas!V109="Taijiqiang C",949,IF(Atletas!V109="Bagua de Arma C",950,IF(Atletas!V109="Xingyi de Arma C",951,IF(Atletas!V109="Taijidao D",952,IF(Atletas!V109="TaijiShanzi D",953,IF(Atletas!V109="Taijiqiang D",954,IF(Atletas!V109="Bagua de Arma D",955,IF(Atletas!V109="Xingyi de Arma D",956,IF(Atletas!V109="Taijidao E",957,IF(Atletas!V109="TaijiShanzi E",958,IF(Atletas!V109="Taijiqiang E",959,IF(Atletas!V109="Bagua de Arma E",960,IF(Atletas!V109="Xingyi de Arma E",961,IF(Atletas!V109="Taijidao F",962,IF(Atletas!V109="TaijiShanzi F",963,IF(Atletas!V109="Taijiqiang F",964,IF(Atletas!V109="Bagua de Arma F",965,IF(Atletas!V109="Xingyi de Arma F",966,"")))))))))))))))))))))))))))))))</f>
        <v/>
      </c>
      <c r="CE118" s="66" t="str">
        <f>IF(CF118&lt;&gt;"","Tongbeiquan F","")</f>
        <v/>
      </c>
      <c r="CF118" s="66" t="str">
        <f>IF(COUNTIF(BR:CD,1176)&gt;0,COUNTIF(BR:CD,1176),"")</f>
        <v/>
      </c>
      <c r="CG118" s="66" t="str">
        <f>IF(CH118&lt;&gt;"","Tongbeiquan F","")</f>
        <v/>
      </c>
      <c r="CH118" s="66" t="str">
        <f>IF(COUNTIF(BR:CD,2176)&gt;0,COUNTIF(BR:CD,2176),"")</f>
        <v/>
      </c>
      <c r="CI118" s="66" t="str">
        <f>IF(CJ118&lt;&gt;"","Ditangquan B","")</f>
        <v/>
      </c>
      <c r="CJ118" s="66" t="str">
        <f>IF(COUNTIF(BR:CD,11204)&gt;0,COUNTIF(BR:CD,11204),"")</f>
        <v/>
      </c>
      <c r="CK118" s="66" t="str">
        <f>IF(CL118&lt;&gt;"","Ditangquan B","")</f>
        <v/>
      </c>
      <c r="CL118" s="66" t="str">
        <f>IF(COUNTIF(BR:CD,12204)&gt;0,COUNTIF(BR:CD,12204),"")</f>
        <v/>
      </c>
      <c r="CM118" s="50" t="str">
        <f xml:space="preserve"> IF(Atletas!W109="","",IF(Atletas!W109="Duilian de Mãos BC - Equipe 1",1,IF(Atletas!W109="Duilian de Mãos BC - Equipe 2",2,IF(Atletas!W109="Duilian de Armas BC - Equipe 1",3,IF(Atletas!W109="Duilian de Armas BC - Equipe 2",4,IF(Atletas!W109="Duilian de Mãos DE - Equipe 1",5,IF(Atletas!W109="Duilian de Mãos DE - Equipe 2",6,IF(Atletas!W109="Duilian de Armas DE - Equipe 1",7,IF(Atletas!W109="Duilian de Armas DE - Equipe 2",8,IF(Atletas!W109="Duilian de Tuishou - Equipe 1",9,IF(Atletas!W109="Duilian de Tuishou - Equipe 2",10,IF(Atletas!W109="Grupo Externo ABC - Equipe 1",11,IF(Atletas!W109="Grupo Externo ABC - Equipe 2",12,IF(Atletas!W109="Grupo Interno ABC - Equipe 1",13,IF(Atletas!W109="Grupo Interno ABC - Equipe 2",14,IF(Atletas!W109="Grupo Externo DEF - Equipe 1",15,IF(Atletas!W109="Grupo Externo DEF - Equipe 2",16,IF(Atletas!W109="Grupo Interno DEF - Equipe 1",17,IF(Atletas!W109="Grupo Interno DEF - Equipe 2",18,"")))))))))))))))))))</f>
        <v/>
      </c>
    </row>
    <row r="119" spans="2:9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 t="str">
        <f t="array" ref="Z119">IFERROR(INDEX(CE$7:CE$348,SMALL(IF(CE$7:CE$348&lt;&gt;"",ROW(CE$7:CE$348)-ROW(CE$7)+1),ROWS(CE$7:CE118))),"")</f>
        <v/>
      </c>
      <c r="AA119" s="3" t="str">
        <f t="array" ref="AA119">IFERROR(INDEX(CF$7:CF$348,SMALL(IF(CF$7:CF$348&lt;&gt;"",ROW(CF$7:CF$348)-ROW(CF$7)+1),ROWS(CF$7:CF118))),"")</f>
        <v/>
      </c>
      <c r="AB119" s="3" t="str">
        <f t="array" ref="AB119">IFERROR(INDEX(CG$7:CG$348,SMALL(IF(CG$7:CG$348&lt;&gt;"",ROW(CG$7:CG$348)-ROW(CG$7)+1),ROWS(CG$7:CG118))),"")</f>
        <v/>
      </c>
      <c r="AC119" s="3" t="str">
        <f t="array" ref="AC119">IFERROR(INDEX(CH$7:CH$348,SMALL(IF(CH$7:CH$348&lt;&gt;"",ROW(CH$7:CH$348)-ROW(CH$7)+1),ROWS(CH$7:CH118))),"")</f>
        <v/>
      </c>
      <c r="AD119" s="3" t="str">
        <f t="array" ref="AD119">IFERROR(INDEX(CI$7:CI$377,SMALL(IF(CI$7:CI$377&lt;&gt;"",ROW(CI$7:CI$377)-ROW(CI$7)+1),ROWS(CI$7:CI118))),"")</f>
        <v/>
      </c>
      <c r="AE119" s="3" t="str">
        <f t="array" ref="AE119">IFERROR(INDEX(CJ$7:CJ$378,SMALL(IF(CJ$7:CJ$378&lt;&gt;"",ROW(CJ$7:CJ$378)-ROW(CJ$7)+1),ROWS(CJ$7:CJ118))),"")</f>
        <v/>
      </c>
      <c r="AF119" s="3" t="str">
        <f t="array" ref="AF119">IFERROR(INDEX(CK$7:CK$378,SMALL(IF(CK$7:CK$378&lt;&gt;"",ROW(CK$7:CK$378)-ROW(CK$7)+1),ROWS(CK$7:CK118))),"")</f>
        <v/>
      </c>
      <c r="AG119" s="3" t="str">
        <f t="array" ref="AG119">IFERROR(INDEX(CL$7:CL$378,SMALL(IF(CL$7:CL$378&lt;&gt;"",ROW(CL$7:CL$378)-ROW(CL$7)+1),ROWS(CL$7:CL118))),"")</f>
        <v/>
      </c>
      <c r="AH119" s="3"/>
      <c r="AI119" s="3"/>
      <c r="AJ119" s="3"/>
      <c r="AK119" s="3"/>
      <c r="AL119" s="3"/>
      <c r="AM119" s="3"/>
      <c r="AN119" s="52" t="str">
        <f>IF(Atletas!D110="","",IF(Atletas!B110="Feminino",100,IF(Atletas!B110="Masculino",200,""))+(IF(Atletas!D110="Kids 30kg",1,IF(Atletas!D110="Kids 32kg",2, IF(Atletas!D110="Kids 34kg",3,IF(Atletas!D110="Kids 36kg",4,IF(Atletas!D110="Kids 39kg",5,IF(Atletas!D110="Kids 42kg",6,IF(Atletas!D110="Kids 45kg",7, IF(Atletas!D110="Infantil 39kg",8,IF(Atletas!D110="Infantil 42kg",9,IF(Atletas!D110="Infantil 45kg",10,IF(Atletas!D110="Infantil 48kg",11,IF(Atletas!D110="Infantil 52kg",12,IF(Atletas!D110="Infantil 56kg",13,IF(Atletas!D110="Infantil 60kg",14,IF(Atletas!D110="Juvenil 48kg",15,IF(Atletas!D110="Juvenil 52kg",16,IF(Atletas!D110="Juvenil 56kg",17,IF(Atletas!D110="Juvenil 60kg",18,IF(Atletas!D110="Juvenil 65kg",19,IF(Atletas!D110="Juvenil 70kg",20,IF(Atletas!D110="Juvenil 75kg",21,IF(Atletas!D110="Juvenil 80kg",22, IF(Atletas!D110="Juvenil 85kg",23,IF(Atletas!D110="Adulto 48kg",24,IF(Atletas!D110="Adulto 52kg",25,IF(Atletas!D110="Adulto 56kg",26,IF(Atletas!D110="Adulto 60kg",27,IF(Atletas!D110="Adulto 65kg",28,IF(Atletas!D110="Adulto 70kg",29,IF(Atletas!D110="Adulto 75kg",30,IF(Atletas!D110="Adulto 80kg",31,IF(Atletas!D110="Adulto 85kg",32,IF(Atletas!D110="Adulto 90kg",33,IF(Atletas!D110="Adulto 100kg",34, IF(Atletas!D110="Adulto +100kg",35,"")))))))))))))))))))))))))))))))))))))</f>
        <v/>
      </c>
      <c r="AS119" s="6" t="str">
        <f>IF(Atletas!E110="","",IF(Atletas!B110="Feminino",100,IF(Atletas!B110="Masculino",200,""))+(IF(Atletas!E110="Juvenil 44kg",1,IF(Atletas!E110="Juvenil 48kg",2,IF(Atletas!E110="Juvenil 52kg",3,IF(Atletas!E110="Juvenil 56kg",4,IF(Atletas!E110="Juvenil 60kg",5,IF(Atletas!E110="Juvenil 65kg",6,IF(Atletas!E110="Juvenil 70kg",7,IF(Atletas!E110="Juvenil 75kg",8,IF(Atletas!E110="Juvenil 82kg",9,IF(Atletas!E110="Juvenil 90kg",10,IF(Atletas!E110="Juvenil 100kg",11,IF(Atletas!E110="Adulto 48kg",12,IF(Atletas!E110="Adulto 52kg",13,IF(Atletas!E110="Adulto 56kg",14,IF(Atletas!E110="Adulto 60kg",15,IF(Atletas!E110="Adulto 65kg",16,IF(Atletas!E110="Adulto 70kg",17,IF(Atletas!E110="Adulto 75kg",18,IF(Atletas!E110="Adulto 82kg",19,IF(Atletas!E110="Adulto 90kg",20,IF(Atletas!E110="Adulto 100kg",21,IF(Atletas!E110="Adulto +100kg",22,""))))))))))))))))))))))))</f>
        <v/>
      </c>
      <c r="AX119" s="6" t="str">
        <f>IF(Atletas!F110="","",IF(Atletas!B110="Feminino",100,IF(Atletas!B110="Masculino",200,""))+(IF(Atletas!F110="Adulto 48kg",1,IF(Atletas!F110="Adulto 56kg",2,IF(Atletas!F110="Adulto 65kg",3,IF(Atletas!F110="Adulto 75kg",4,IF(Atletas!F110="Adulto +75kg",5,IF(Atletas!F110="Adulto 52kg",6,IF(Atletas!F110="Adulto 60kg",7,IF(Atletas!F110="Adulto 70kg",8,IF(Atletas!F110="Adulto 80kg",9,IF(Atletas!F110="Adulto 90kg",10,IF(Atletas!F110="Adulto +90kg",11,"")))))))))))))</f>
        <v/>
      </c>
      <c r="BC119" s="6" t="str">
        <f>IF(Atletas!G110="","",IF(Atletas!B110="Feminino",10,IF(Atletas!B110="Masculino",20,""))+(IF(Atletas!G110="Baduanjin A",1,IF(Atletas!G110="Baduanjin B",2))))</f>
        <v/>
      </c>
      <c r="BF119" s="52" t="str">
        <f>IF(Atletas!H110="","",IF(Atletas!B110="Feminino",100,IF(Atletas!B110="Masculino",200,""))+(IF(Atletas!H110="Changquan Mirim",1,IF(Atletas!H110="Nanquan Mirim",2,IF(Atletas!H110="Taijiquan Mirim",3,IF(Atletas!H110="Changquan Grupo C",4,IF(Atletas!H110="Nanquan Grupo C",5,IF(Atletas!H110="Taijiquan Grupo C",6,IF(Atletas!H110="Changquan Grupo B",7,IF(Atletas!H110="Nanquan Grupo B",8,IF(Atletas!H110="Taijiquan Grupo B",9,IF(Atletas!H110="Changquan Grupo A",10,IF(Atletas!H110="Nanquan Grupo A",11,IF(Atletas!H110="Taijiquan Grupo A",12,IF(Atletas!H110="Changquan Opcional",13,IF(Atletas!H110="Nanquan Opcional",14,IF(Atletas!H110="Taijiquan Opcional",15,IF(Atletas!H110="Changquan Adulto",16,IF(Atletas!H110="Nanquan Adulto",17,IF(Atletas!H110="Taijiquan Adulto",18,""))))))))))))))))))))</f>
        <v/>
      </c>
      <c r="BG119" s="52" t="str">
        <f>IF(Atletas!I110="","",IF(Atletas!B110="Feminino",100,IF(Atletas!B110="Masculino",200,""))+(IF(Atletas!I110="Daoshu Mirim",19,IF(Atletas!I110="Jianshu Mirim",20,IF(Atletas!I110="Nandao Mirim",21,IF(Atletas!I110="Taijijian Mirim",22,IF(Atletas!I110="Daoshu Grupo C",23,IF(Atletas!I110="Jianshu Grupo C",24,IF(Atletas!I110="Nandao Grupo C",25,IF(Atletas!I110="Taijijian Grupo C",26,IF(Atletas!I110="Daoshu Grupo B",27,IF(Atletas!I110="Jianshu Grupo B",28,IF(Atletas!I110="Nandao Grupo B",29,IF(Atletas!I110="Taijijian Grupo B",30,IF(Atletas!I110="Daoshu Grupo A",31,IF(Atletas!I110="Jianshu Grupo A",32,IF(Atletas!I110="Nandao Grupo A",33,IF(Atletas!I110="Taijijian Grupo A",34,IF(Atletas!I110="Daoshu Opcional",35,IF(Atletas!I110="Jianshu Opcional",36,IF(Atletas!I110="Nandao Opcional",37,IF(Atletas!I110="Taijijian Opcional",38,IF(Atletas!I110="Daoshu Adulto",39,IF(Atletas!I110="Jianshu Adulto",40,IF(Atletas!I110="Nandao Adulto",41,IF(Atletas!I110="Taijijian Adulto",42,""))))))))))))))))))))))))))</f>
        <v/>
      </c>
      <c r="BH119" s="52" t="str">
        <f>IF(Atletas!J110="","",IF(Atletas!B110="Feminino",100,IF(Atletas!B110="Masculino",200,""))+(IF(Atletas!J110="Gunshu Mirim",43,IF(Atletas!J110="Qiangshu Mirim",44,IF(Atletas!J110="Nangun Mirim",45,IF(Atletas!J110="Gunshu Grupo C",46,IF(Atletas!J110="Qiangshu Grupo C",47,IF(Atletas!J110="Nangun Grupo C",48,IF(Atletas!J110="Gunshu Grupo B",49,IF(Atletas!J110="Qiangshu Grupo B",50,IF(Atletas!J110="Nangun Grupo B",51,IF(Atletas!J110="Gunshu Grupo A",52,IF(Atletas!J110="Qiangshu Grupo A",53,IF(Atletas!J110="Nangun Grupo A",54,IF(Atletas!J110="Gunshu Opcional",55,IF(Atletas!J110="Qiangshu Opcional",56,IF(Atletas!J110="Nangun Opcional",57,IF(Atletas!J110="Gunshu Adulto",58,IF(Atletas!J110="Qiangshu Adulto",59,IF(Atletas!J110="Nangun Adulto",60,IF(Atletas!J110="Taijishan Grupo B",61,IF(Atletas!J110="Taijishan Grupo A",62,""))))))))))))))))))))))</f>
        <v/>
      </c>
      <c r="BM119" s="50" t="str">
        <f>IF(Atletas!K110="","",IF(Atletas!B110="Feminino",100,IF(Atletas!B110="Masculino",200,""))+(IF(Atletas!K110="Equipe 1 Grupo B",1,IF(Atletas!K110="Equipe 2 Grupo B",2,IF(Atletas!K110="Equipe 1 Grupo A",3,IF(Atletas!K110="Equipe 2 Grupo A",4,IF(Atletas!K110="Equipe 1 Adulto",5,IF(Atletas!K110="Equipe 2 Adulto",6,""))))))))</f>
        <v/>
      </c>
      <c r="BR119" s="50" t="str">
        <f>IF(Atletas!L110="","",IF(Atletas!X110&lt;&gt;"",10000,0)+(IF(Atletas!B110="Feminino",1000,IF(Atletas!B110="Masculino",2000,""))+IF(Atletas!L110="Choylayfut A",1,IF(Atletas!L110="Hunggar A",2,IF(Atletas!L110="Wuzuquan A",3,IF(Atletas!L110="Wingchun A",4,IF(Atletas!L110="Outra Mão de Sul A",5,IF(Atletas!L110="Choylayfut B",6,IF(Atletas!L110="Hunggar B",7,IF(Atletas!L110="Wuzuquan B",8,IF(Atletas!L110="Wingchun B",9,IF(Atletas!L110="Outra Mão de Sul B",10,IF(Atletas!L110="Choylayfut C",11,IF(Atletas!L110="Hunggar C",12,IF(Atletas!L110="Wuzuquan C",13,IF(Atletas!L110="Wingchun C",14,IF(Atletas!L110="Outra Mão de Sul C",15,IF(Atletas!L110="Choylayfut D",16,IF(Atletas!L110="Hunggar D",17,IF(Atletas!L110="Wuzuquan D",18,IF(Atletas!L110="Wingchun D",19,IF(Atletas!L110="Outra Mão de Sul D",20,IF(Atletas!L110="Choylayfut E",21,IF(Atletas!L110="Hunggar E",22,IF(Atletas!L110="Wuzuquan E",23,IF(Atletas!L110="Wingchun E",24,IF(Atletas!L110="Outra Mão de Sul E",25,IF(Atletas!L110="Choylayfut F",26,IF(Atletas!L110="Hunggar F",27,IF(Atletas!L110="Wuzuquan F",28,IF(Atletas!L110="Wingchun F",29,IF(Atletas!L110="Outra Mão de Sul F",30,IF(Atletas!L110="Dishuquan A",31,IF(Atletas!L110="Dishuquan B",32,IF(Atletas!L110="Dishuquan C",33,IF(Atletas!L110="Dishuquan D",34,IF(Atletas!L110="Dishuquan E",35,IF(Atletas!L110="Dishuquan F",36,""))))))))))))))))))))))))))))))))))))))</f>
        <v/>
      </c>
      <c r="BS119" s="50" t="str">
        <f>IF(Atletas!M110="","",IF(Atletas!X110&lt;&gt;"",10000,0)+(IF(Atletas!B110="Feminino",1000,IF(Atletas!B110="Masculino",2000,""))+(IF(Atletas!M110="Chaquan A",101,IF(Atletas!M110="Emeiquan A",102,IF(Atletas!M110="Fanziquan A",103,IF(Atletas!M110="Huaquan A",104,IF(Atletas!M110="Hongquan A",105,IF(Atletas!M110="Paoquan A",106,IF(Atletas!M110="Piguaquan A",107,IF(Atletas!M110="Shaolinquan A",108,IF(Atletas!M110="Tanglangquan A",109,IF(Atletas!M110="Yingzhaoquan A",110,IF(Atletas!M110="Tongbeiquan A",111,IF(Atletas!M110="Wudangquan A",112,IF(Atletas!M110="Outros Estilos A",113,IF(Atletas!M110="Chaquan B",114,IF(Atletas!M110="Emeiquan B",115,IF(Atletas!M110="Fanziquan B",116,IF(Atletas!M110="Huaquan B",117,IF(Atletas!M110="Hongquan B",118,IF(Atletas!M110="Paoquan B",119,IF(Atletas!M110="Piguaquan B",120,IF(Atletas!M110="Shaolinquan B",121,IF(Atletas!M110="Tanglangquan B",122,IF(Atletas!M110="Yingzhaoquan B",123,IF(Atletas!M110="Tongbeiquan B",124,IF(Atletas!M110="Wudangquan B",125,IF(Atletas!M110="Outros Estilos B",126,IF(Atletas!M110="Chaquan C",127,IF(Atletas!M110="Emeiquan C",128,IF(Atletas!M110="Fanziquan C",129,IF(Atletas!M110="Huaquan C",130,IF(Atletas!M110="Hongquan C",131,IF(Atletas!M110="Paoquan C",132,IF(Atletas!M110="Piguaquan C",133,IF(Atletas!M110="Shaolinquan C",134,IF(Atletas!M110="Tanglangquan C",135,IF(Atletas!M110="Yingzhaoquan C",136,IF(Atletas!M110="Tongbeiquan C",137,IF(Atletas!M110="Wudangquan C",138,IF(Atletas!M110="Outros Estilos C",139,0))))))))))))))))))))))))))))))))))))))))))</f>
        <v/>
      </c>
      <c r="BT119" s="50" t="str">
        <f>IF(Atletas!M110="","",IF(Atletas!X110&lt;&gt;"",10000,0)+(IF(Atletas!B110="Feminino",1000,IF(Atletas!B110="Masculino",2000,""))+(IF(Atletas!M110="Chaquan D",140,IF(Atletas!M110="Emeiquan D",141,IF(Atletas!M110="Fanziquan D",142,IF(Atletas!M110="Huaquan D",143,IF(Atletas!M110="Hongquan D",144,IF(Atletas!M110="Paoquan D",145,IF(Atletas!M110="Piguaquan D",146,IF(Atletas!M110="Shaolinquan D",147,IF(Atletas!M110="Tanglangquan D",148,IF(Atletas!M110="Yingzhaoquan D",149,IF(Atletas!M110="Tongbeiquan D",150,IF(Atletas!M110="Wudangquan D",151,IF(Atletas!M110="Outros Estilos D",152,IF(Atletas!M110="Chaquan E",153,IF(Atletas!M110="Emeiquan E",154,IF(Atletas!M110="Fanziquan E",155,IF(Atletas!M110="Huaquan E",156,IF(Atletas!M110="Hongquan E",157,IF(Atletas!M110="Paoquan E",158,IF(Atletas!M110="Piguaquan E",159,IF(Atletas!M110="Shaolinquan E",160,IF(Atletas!M110="Tanglangquan E",161,IF(Atletas!M110="Yingzhaoquan E",162,IF(Atletas!M110="Tongbeiquan E",163,IF(Atletas!M110="Wudangquan E",164,IF(Atletas!M110="Outros Estilos E",165,IF(Atletas!M110="Chaquan F",166,IF(Atletas!M110="Emeiquan F",167,IF(Atletas!M110="Fanziquan F",168,IF(Atletas!M110="Huaquan F",169,IF(Atletas!M110="Hongquan F",170,IF(Atletas!M110="Paoquan F",171,IF(Atletas!M110="Piguaquan F",172,IF(Atletas!M110="Shaolinquan F",173,IF(Atletas!M110="Tanglangquan F",174,IF(Atletas!M110="Yingzhaoquan F",175,IF(Atletas!M110="Tongbeiquan F",176,IF(Atletas!M110="Wudangquan F",177,IF(Atletas!M110="Outros Estilos F",178,0))))))))))))))))))))))))))))))))))))))))))</f>
        <v/>
      </c>
      <c r="BU119" s="50" t="str">
        <f>IF(Atletas!N110="","",IF(Atletas!X110&lt;&gt;"",10000,0)+(IF(Atletas!B110="Feminino",1000,IF(Atletas!B110="Masculino",2000,""))+(IF(Atletas!N110="Ditangquan A",201,IF(Atletas!N110="Houquan A",202,IF(Atletas!N110="Zuiquan A",203,IF(Atletas!N110="Ditangquan B",204,IF(Atletas!N110="Houquan B",205,IF(Atletas!N110="Zuiquan B",206,IF(Atletas!N110="Ditangquan C",207,IF(Atletas!N110="Houquan C",208,IF(Atletas!N110="Zuiquan C",209,IF(Atletas!N110="Ditangquan D",210,IF(Atletas!N110="Houquan D",211,IF(Atletas!N110="Zuiquan D",212,IF(Atletas!N110="Ditangquan E",213,IF(Atletas!N110="Houquan E",214,IF(Atletas!N110="Zuiquan E",215,IF(Atletas!N110="Ditangquan F",216,IF(Atletas!N110="Houquan F",217,IF(Atletas!N110="Zuiquan F",218,"")))))))))))))))))))))</f>
        <v/>
      </c>
      <c r="BV119" s="50" t="str">
        <f>IF(Atletas!O110="","",IF(Atletas!X110&lt;&gt;"",10000,0)+IF(Atletas!B110="Feminino",1000,IF(Atletas!B110="Masculino",2000,""))+IF(Atletas!O110="Yang A",301,IF(Atletas!O110="Chen A",302,IF(Atletas!O110="Sun A",303,IF(Atletas!O110="Wu A",304,IF(Atletas!O110="Wu-Hao A",305,IF(Atletas!O110="Outro Taijiquan A",306,IF(Atletas!O110="Yang B",307,IF(Atletas!O110="Chen B",308,IF(Atletas!O110="Sun B",309,IF(Atletas!O110="Wu B",310,IF(Atletas!O110="Wu-Hao B",311,IF(Atletas!O110="Outro Taijiquan B",312,IF(Atletas!O110="Yang C",313,IF(Atletas!O110="Chen C",314,IF(Atletas!O110="Sun C",315,IF(Atletas!O110="Wu C",316,IF(Atletas!O110="Wu-Hao C",317,IF(Atletas!O110="Outro Taijiquan C",318,IF(Atletas!O110="Yang D",319,IF(Atletas!O110="Chen D",320,IF(Atletas!O110="Sun D",321,IF(Atletas!O110="Wu D",322,IF(Atletas!O110="Wu-Hao D",323,IF(Atletas!O110="Outro Taijiquan D",324,IF(Atletas!O110="Yang E",325,IF(Atletas!O110="Chen E",326,IF(Atletas!O110="Sun E",327,IF(Atletas!O110="Wu E",328,IF(Atletas!O110="Wu-Hao E",329,IF(Atletas!O110="Outro Taijiquan E",330,IF(Atletas!O110="Yang F",331,IF(Atletas!O110="Chen F",332,IF(Atletas!O110="Sun F",333,IF(Atletas!O110="Wu F",334,IF(Atletas!O110="Wu-Hao F",335,IF(Atletas!O110="Outro Taijiquan F",336,"")))))))))))))))))))))))))))))))))))))</f>
        <v/>
      </c>
      <c r="BW119" s="50" t="str">
        <f>IF(Atletas!P110="","",IF(Atletas!X110&lt;&gt;"",10000,0)+IF(Atletas!B110="Feminino",1000,IF(Atletas!B110="Masculino",2000,""))+IF(OR(Atletas!P110="Yang 26 A",Atletas!P110="Yang 40 A"),401,IF(OR(Atletas!P110="Chen 25 A",Atletas!P110="Chen 36 A",Atletas!P110="Chen 56 A"),402,IF(Atletas!P110="Sun 73 A",403,IF(Atletas!P110="Wu 45 A",404,IF(Atletas!P110="Wu-Hao 46 A",405,IF(OR(Atletas!P110="Taijiquan 16 A",Atletas!P110="Taijiquan 24 A",Atletas!P110="Taijiquan 32 A",Atletas!P110="Taijiquan 42 A"),406,IF(OR(Atletas!P110="Yang 26 B",Atletas!P110="Yang 40 B"),407,IF(OR(Atletas!P110="Chen 25 B",Atletas!P110="Chen 36 B",Atletas!P110="Chen 56 B"),408,IF(Atletas!P110="Sun 73 B",409,IF(Atletas!P110="Wu 45 B",410,IF(Atletas!P110="Wu-Hao 46 B",411,IF(OR(Atletas!P110="Taijiquan 16 B",Atletas!P110="Taijiquan 24 B",Atletas!P110="Taijiquan 32 B",Atletas!P110="Taijiquan 42 B"),412,IF(OR(Atletas!P110="Yang 26 C",Atletas!P110="Yang 40 C"),413,IF(OR(Atletas!P110="Chen 25 C",Atletas!P110="Chen 36 C",Atletas!P110="Chen 56 C"),414,IF(Atletas!P110="Sun 73 C",415,IF(Atletas!P110="Wu 45 C",416,IF(Atletas!P110="Wu-Hao 46 C",417,IF(OR(Atletas!P110="Taijiquan 16 C",Atletas!P110="Taijiquan 24 C",Atletas!P110="Taijiquan 32 C",Atletas!P110="Taijiquan 42 C"),418,0)))))))))))))))))))</f>
        <v/>
      </c>
      <c r="BX119" s="50" t="str">
        <f>IF(Atletas!P110="","",IF(Atletas!X110&lt;&gt;"",10000,0)+IF(Atletas!B110="Feminino",1000,IF(Atletas!B110="Masculino",2000,""))+IF(OR(Atletas!P110="Yang 26 D",Atletas!P110="Yang 40 D"),419,IF(OR(Atletas!P110="Chen 25 D",Atletas!P110="Chen 36 D",Atletas!P110="Chen 56 D"),420,IF(Atletas!P110="Sun 73 D",421,IF(Atletas!P110="Wu 45 D",422,IF(Atletas!P110="Wu-Hao 46 D",423,IF(OR(Atletas!P110="Taijiquan 16 D",Atletas!P110="Taijiquan 24 D",Atletas!P110="Taijiquan 32 D",Atletas!P110="Taijiquan 42 D"),424,IF(OR(Atletas!P110="Yang 26 E",Atletas!P110="Yang 40 E"),425,IF(OR(Atletas!P110="Chen 25 E",Atletas!P110="Chen 36 E",Atletas!P110="Chen 56 E"),426,IF(Atletas!P110="Sun 73 E",427,IF(Atletas!P110="Wu 45 E",428,IF(Atletas!P110="Wu-Hao 46 E",429,IF(OR(Atletas!P110="Taijiquan 16 E",Atletas!P110="Taijiquan 24 E",Atletas!P110="Taijiquan 32 E",Atletas!P110="Taijiquan 42 E"),430,IF(OR(Atletas!P110="Yang 26 F",Atletas!P110="Yang 40 F"),431,IF(OR(Atletas!P110="Chen 25 F",Atletas!P110="Chen 36 F",Atletas!P110="Chen 56 F"),432,IF(Atletas!P110="Sun 73 F",433,IF(Atletas!P110="Wu 45 F",434,IF(Atletas!P110="Wu-Hao 46 F",435,IF(OR(Atletas!P110="Taijiquan 16 F",Atletas!P110="Taijiquan 24 F",Atletas!P110="Taijiquan 32 F",Atletas!P110="Taijiquan 42 F"),436,0)))))))))))))))))))</f>
        <v/>
      </c>
      <c r="BY119" s="50" t="str">
        <f>IF(Atletas!Q110="","",IF(Atletas!X110&lt;&gt;"",10000,0)+IF(Atletas!B110="Feminino",1000,IF(Atletas!B110="Masculino",2000,""))+IF(Atletas!Q110="Xingyiquan A",501,IF(Atletas!Q110="Baguazhang A",502,IF(Atletas!Q110="Outro Estilo Interno A",503,IF(Atletas!Q110="Xingyiquan B",504,IF(Atletas!Q110="Baguazhang B",505,IF(Atletas!Q110="Outro Estilo Interno B",506,IF(Atletas!Q110="Xingyiquan C",507,IF(Atletas!Q110="Baguazhang C",508,IF(Atletas!Q110="Outro Estilo Interno C",509,IF(Atletas!Q110="Xingyiquan D",510,IF(Atletas!Q110="Baguazhang D",511,IF(Atletas!Q110="Outro Estilo Interno D",512,IF(Atletas!Q110="Xingyiquan E",513,IF(Atletas!Q110="Baguazhang E",514,IF(Atletas!Q110="Outro Estilo Interno E",515,IF(Atletas!Q110="Xingyiquan F",516,IF(Atletas!Q110="Baguazhang F",517,IF(Atletas!Q110="Outro Estilo Interno F",518, "")))))))))))))))))))</f>
        <v/>
      </c>
      <c r="BZ119" s="50" t="str">
        <f>IF(Atletas!R110="","",IF(Atletas!X110&lt;&gt;"",10000,0)+IF(Atletas!B110="Feminino",1000,IF(Atletas!B110="Masculino",2000,""))+IF(Atletas!R110="Dao A",601,IF(Atletas!R110="Jian A",602,IF(Atletas!R110="Bishou A",603,IF(Atletas!R110="Shanzi A",604,IF(Atletas!R110="Outra Arma Curta A",605,IF(Atletas!R110="Dao B",606,IF(Atletas!R110="Jian B",607,IF(Atletas!R110="Bishou B",608,IF(Atletas!R110="Shanzi B",609,IF(Atletas!R110="Outra Arma Curta B",610,IF(Atletas!R110="Dao C",611,IF(Atletas!R110="Jian C",612,IF(Atletas!R110="Bishou C",613,IF(Atletas!R110="Shanzi C",614,IF(Atletas!R110="Outra Arma Curta C",615,IF(Atletas!R110="Dao D",616,IF(Atletas!R110="Jian D",617,IF(Atletas!R110="Bishou D",618,IF(Atletas!R110="Shanzi D",619,IF(Atletas!R110="Outra Arma Curta D",620,IF(Atletas!R110="Dao E",621,IF(Atletas!R110="Jian E",622,IF(Atletas!R110="Bishou E",623,IF(Atletas!R110="Shanzi E",624,IF(Atletas!R110="Outra Arma Curta E",625,IF(Atletas!R110="Dao F",626,IF(Atletas!R110="Jian F",627,IF(Atletas!R110="Bishou F",628,IF(Atletas!R110="Shanzi F",629,IF(Atletas!R110="Outra Arma Curta F",630, "")))))))))))))))))))))))))))))))</f>
        <v/>
      </c>
      <c r="CA119" s="50" t="str">
        <f>IF(Atletas!S110="","",IF(Atletas!X110&lt;&gt;"",10000,0)+IF(Atletas!B110="Feminino",1000,IF(Atletas!B110="Masculino",2000,""))+IF(Atletas!S110="Gun A",701,IF(Atletas!S110="Qiang A",702,IF(Atletas!S110="Pudao / Guandao A",703,IF(Atletas!S110="Outra Arma Longa A",704,IF(Atletas!S110="Gun B",705,IF(Atletas!S110="Qiang B",706,IF(Atletas!S110="Pudao / Guandao B",707,IF(Atletas!S110="Outra Arma Longa B",708,IF(Atletas!S110="Gun C",709,IF(Atletas!S110="Qiang C",710,IF(Atletas!S110="Pudao / Guandao C",711,IF(Atletas!S110="Outra Arma Longa C",712,IF(Atletas!S110="Gun D",713,IF(Atletas!S110="Qiang D",714,IF(Atletas!S110="Pudao / Guandao D",715,IF(Atletas!S110="Outra Arma Longa D",716,IF(Atletas!S110="Gun E",717,IF(Atletas!S110="Qiang E",718,IF(Atletas!S110="Pudao / Guandao E",719,IF(Atletas!S110="Outra Arma Longa E",720,IF(Atletas!S110="Gun F",721,IF(Atletas!S110="Qiang F",722,IF(Atletas!S110="Pudao / Guandao F",723,IF(Atletas!S110="Outra Arma Longa F",724,"")))))))))))))))))))))))))</f>
        <v/>
      </c>
      <c r="CB119" s="50" t="str">
        <f>IF(Atletas!T110="","",IF(Atletas!X110&lt;&gt;"",10000,0)+IF(Atletas!B110="Feminino",1000,IF(Atletas!B110="Masculino",2000,""))+IF(Atletas!T110="Outra Arma Dupla A",801,IF(Atletas!T110="Arma Maleável A",802,IF(Atletas!T110="Outra Arma Dupla B",803,IF(Atletas!T110="Arma Maleável B",804,IF(Atletas!T110="Outra Arma Dupla C",805,IF(Atletas!T110="Arma Maleável C",806,IF(Atletas!T110="Outra Arma Dupla D",807,IF(Atletas!T110="Arma Maleável D",808,IF(Atletas!T110="Outra Arma Dupla E",809,IF(Atletas!T110="Arma Maleável E",810,IF(Atletas!T110="Outra Arma Dupla F",811,IF(Atletas!T110="Arma Maleável F",812,IF(Atletas!T110="Shuangdao A",813,IF(Atletas!T110="Shuangdao B",814,IF(Atletas!T110="Shuangdao C",815,IF(Atletas!T110="Shuangdao D",816,IF(Atletas!T110="Shuangdao E",817,IF(Atletas!T110="Shuangdao F",818,"")))))))))))))))))))</f>
        <v/>
      </c>
      <c r="CC119" s="50" t="str">
        <f>IF(Atletas!U110="","",IF(Atletas!X110&lt;&gt;"",10000,0)+IF(Atletas!B110="Feminino",1000,IF(Atletas!B110="Masculino",2000,""))+IF(OR(Atletas!U110="Taijijian Yang A",Atletas!U110="Taijijian Yang Standard A"),901,IF(OR(Atletas!U110="Taijijian Chen A", Atletas!U110="Taijijian Chen Standard A"),902,IF(Atletas!U110="Taijijian Sun A",903,IF(Atletas!U110="Taijijian Wu A",904,IF(Atletas!U110="Taijijian Wu-Hao A",905,IF(OR(Atletas!U110="Taijijian 32 A",Atletas!U110="Taijijian 42 A"),906,IF(OR(Atletas!U110="Taijijian Yang B",Atletas!U110="Taijijian Yang Standard B"),907,IF(OR(Atletas!U110="Taijijian Chen B", Atletas!U110="Taijijian Chen Standard B"),908,IF(Atletas!U110="Taijijian Sun B",909,IF(Atletas!U110="Taijijian Wu B",910,IF(Atletas!U110="Taijijian Wu-Hao B",911,IF(OR(Atletas!U110="Taijijian 32 B",Atletas!U110="Taijijian 42 B"),912,IF(OR(Atletas!U110="Taijijian Yang C",Atletas!U110="Taijijian Yang Standard C"),913,IF(OR(Atletas!U110="Taijijian Chen C", Atletas!U110="Taijijian Chen Standard C"),914,IF(Atletas!U110="Taijijian Sun C",915,IF(Atletas!U110="Taijijian Wu C",916,IF(Atletas!U110="Taijijian Wu-Hao C",917,IF(OR(Atletas!U110="Taijijian 32 C",Atletas!U110="Taijijian 42 C"),918,IF(OR(Atletas!U110="Taijijian Yang D",Atletas!U110="Taijijian Yang Standard D"),919,IF(OR(Atletas!U110="Taijijian Chen D", Atletas!U110="Taijijian Chen Standard D"),920,IF(Atletas!U110="Taijijian Sun D",921,IF(Atletas!U110="Taijijian Wu D",922,IF(Atletas!U110="Taijijian Wu-Hao D",923,IF(OR(Atletas!U110="Taijijian 32 D",Atletas!U110="Taijijian 42 D"),924,IF(OR(Atletas!U110="Taijijian Yang E",Atletas!U110="Taijijian Yang Standard E"),925,IF(OR(Atletas!U110="Taijijian Chen E", Atletas!U110="Taijijian Chen Standard E"),926,IF(Atletas!U110="Taijijian Sun E",927,IF(Atletas!U110="Taijijian Wu E",928,IF(Atletas!U110="Taijijian Wu-Hao E",929,IF(OR(Atletas!U110="Taijijian 32 E",Atletas!U110="Taijijian 42 E"),930,IF(OR(Atletas!U110="Taijijian Yang F",Atletas!U110="Taijijian Yang Standard F"),931,IF(OR(Atletas!U110="Taijijian Chen F", Atletas!U110="Taijijian Chen Standard F"),932,IF(Atletas!U110="Taijijian Sun F",933,IF(Atletas!U110="Taijijian Wu F",934,IF(Atletas!U110="Taijijian Wu-Hao F",935,IF(OR(Atletas!U110="Taijijian 32 F",Atletas!U110="Taijijian 42 F"),936,"")))))))))))))))))))))))))))))))))))))</f>
        <v/>
      </c>
      <c r="CD119" s="50" t="str">
        <f>IF(Atletas!V110="","",IF(Atletas!X110&lt;&gt;"",10000,0)+IF(Atletas!B110="Feminino",1000,IF(Atletas!B110="Masculino",2000,""))+IF(Atletas!V110="Taijidao A",937,IF(Atletas!V110="TaijiShanzi A",938,IF(Atletas!V110="Taijiqiang A",939,IF(Atletas!V110="Bagua de Arma A",940,IF(Atletas!V110="Xingyi de Arma A",941,IF(Atletas!V110="Taijidao B",942,IF(Atletas!V110="TaijiShanzi B",943,IF(Atletas!V110="Taijiqiang B",944,IF(Atletas!V110="Bagua de Arma B",945,IF(Atletas!V110="Xingyi de Arma B",946,IF(Atletas!V110="Taijidao C",947,IF(Atletas!V110="TaijiShanzi C",948,IF(Atletas!V110="Taijiqiang C",949,IF(Atletas!V110="Bagua de Arma C",950,IF(Atletas!V110="Xingyi de Arma C",951,IF(Atletas!V110="Taijidao D",952,IF(Atletas!V110="TaijiShanzi D",953,IF(Atletas!V110="Taijiqiang D",954,IF(Atletas!V110="Bagua de Arma D",955,IF(Atletas!V110="Xingyi de Arma D",956,IF(Atletas!V110="Taijidao E",957,IF(Atletas!V110="TaijiShanzi E",958,IF(Atletas!V110="Taijiqiang E",959,IF(Atletas!V110="Bagua de Arma E",960,IF(Atletas!V110="Xingyi de Arma E",961,IF(Atletas!V110="Taijidao F",962,IF(Atletas!V110="TaijiShanzi F",963,IF(Atletas!V110="Taijiqiang F",964,IF(Atletas!V110="Bagua de Arma F",965,IF(Atletas!V110="Xingyi de Arma F",966,"")))))))))))))))))))))))))))))))</f>
        <v/>
      </c>
      <c r="CE119" s="66" t="str">
        <f>IF(CF119&lt;&gt;"","Wudangquan F","")</f>
        <v/>
      </c>
      <c r="CF119" s="66" t="str">
        <f>IF(COUNTIF(BR:CD,1177)&gt;0,COUNTIF(BR:CD,1177),"")</f>
        <v/>
      </c>
      <c r="CG119" s="66" t="str">
        <f>IF(CH119&lt;&gt;"","Wudangquan F","")</f>
        <v/>
      </c>
      <c r="CH119" s="66" t="str">
        <f>IF(COUNTIF(BR:CD,2177)&gt;0,COUNTIF(BR:CD,2177),"")</f>
        <v/>
      </c>
      <c r="CI119" s="66" t="str">
        <f>IF(CJ119&lt;&gt;"","Houquan B","")</f>
        <v/>
      </c>
      <c r="CJ119" s="66" t="str">
        <f>IF(COUNTIF(BR:CD,11205)&gt;0,COUNTIF(BR:CD,11205),"")</f>
        <v/>
      </c>
      <c r="CK119" s="66" t="str">
        <f>IF(CL119&lt;&gt;"","Houquan B","")</f>
        <v/>
      </c>
      <c r="CL119" s="66" t="str">
        <f>IF(COUNTIF(BR:CD,12205)&gt;0,COUNTIF(BR:CD,12205),"")</f>
        <v/>
      </c>
      <c r="CM119" s="50" t="str">
        <f xml:space="preserve"> IF(Atletas!W110="","",IF(Atletas!W110="Duilian de Mãos BC - Equipe 1",1,IF(Atletas!W110="Duilian de Mãos BC - Equipe 2",2,IF(Atletas!W110="Duilian de Armas BC - Equipe 1",3,IF(Atletas!W110="Duilian de Armas BC - Equipe 2",4,IF(Atletas!W110="Duilian de Mãos DE - Equipe 1",5,IF(Atletas!W110="Duilian de Mãos DE - Equipe 2",6,IF(Atletas!W110="Duilian de Armas DE - Equipe 1",7,IF(Atletas!W110="Duilian de Armas DE - Equipe 2",8,IF(Atletas!W110="Duilian de Tuishou - Equipe 1",9,IF(Atletas!W110="Duilian de Tuishou - Equipe 2",10,IF(Atletas!W110="Grupo Externo ABC - Equipe 1",11,IF(Atletas!W110="Grupo Externo ABC - Equipe 2",12,IF(Atletas!W110="Grupo Interno ABC - Equipe 1",13,IF(Atletas!W110="Grupo Interno ABC - Equipe 2",14,IF(Atletas!W110="Grupo Externo DEF - Equipe 1",15,IF(Atletas!W110="Grupo Externo DEF - Equipe 2",16,IF(Atletas!W110="Grupo Interno DEF - Equipe 1",17,IF(Atletas!W110="Grupo Interno DEF - Equipe 2",18,"")))))))))))))))))))</f>
        <v/>
      </c>
    </row>
    <row r="120" spans="2:91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 t="str">
        <f t="array" ref="Z120">IFERROR(INDEX(CE$7:CE$348,SMALL(IF(CE$7:CE$348&lt;&gt;"",ROW(CE$7:CE$348)-ROW(CE$7)+1),ROWS(CE$7:CE119))),"")</f>
        <v/>
      </c>
      <c r="AA120" s="3" t="str">
        <f t="array" ref="AA120">IFERROR(INDEX(CF$7:CF$348,SMALL(IF(CF$7:CF$348&lt;&gt;"",ROW(CF$7:CF$348)-ROW(CF$7)+1),ROWS(CF$7:CF119))),"")</f>
        <v/>
      </c>
      <c r="AB120" s="3" t="str">
        <f t="array" ref="AB120">IFERROR(INDEX(CG$7:CG$348,SMALL(IF(CG$7:CG$348&lt;&gt;"",ROW(CG$7:CG$348)-ROW(CG$7)+1),ROWS(CG$7:CG119))),"")</f>
        <v/>
      </c>
      <c r="AC120" s="3" t="str">
        <f t="array" ref="AC120">IFERROR(INDEX(CH$7:CH$348,SMALL(IF(CH$7:CH$348&lt;&gt;"",ROW(CH$7:CH$348)-ROW(CH$7)+1),ROWS(CH$7:CH119))),"")</f>
        <v/>
      </c>
      <c r="AD120" s="3" t="str">
        <f t="array" ref="AD120">IFERROR(INDEX(CI$7:CI$377,SMALL(IF(CI$7:CI$377&lt;&gt;"",ROW(CI$7:CI$377)-ROW(CI$7)+1),ROWS(CI$7:CI119))),"")</f>
        <v/>
      </c>
      <c r="AE120" s="3" t="str">
        <f t="array" ref="AE120">IFERROR(INDEX(CJ$7:CJ$378,SMALL(IF(CJ$7:CJ$378&lt;&gt;"",ROW(CJ$7:CJ$378)-ROW(CJ$7)+1),ROWS(CJ$7:CJ119))),"")</f>
        <v/>
      </c>
      <c r="AF120" s="3" t="str">
        <f t="array" ref="AF120">IFERROR(INDEX(CK$7:CK$378,SMALL(IF(CK$7:CK$378&lt;&gt;"",ROW(CK$7:CK$378)-ROW(CK$7)+1),ROWS(CK$7:CK119))),"")</f>
        <v/>
      </c>
      <c r="AG120" s="3" t="str">
        <f t="array" ref="AG120">IFERROR(INDEX(CL$7:CL$378,SMALL(IF(CL$7:CL$378&lt;&gt;"",ROW(CL$7:CL$378)-ROW(CL$7)+1),ROWS(CL$7:CL119))),"")</f>
        <v/>
      </c>
      <c r="AH120" s="3"/>
      <c r="AI120" s="3"/>
      <c r="AJ120" s="3"/>
      <c r="AK120" s="3"/>
      <c r="AL120" s="3"/>
      <c r="AM120" s="3"/>
      <c r="AN120" s="52" t="str">
        <f>IF(Atletas!D111="","",IF(Atletas!B111="Feminino",100,IF(Atletas!B111="Masculino",200,""))+(IF(Atletas!D111="Kids 30kg",1,IF(Atletas!D111="Kids 32kg",2, IF(Atletas!D111="Kids 34kg",3,IF(Atletas!D111="Kids 36kg",4,IF(Atletas!D111="Kids 39kg",5,IF(Atletas!D111="Kids 42kg",6,IF(Atletas!D111="Kids 45kg",7, IF(Atletas!D111="Infantil 39kg",8,IF(Atletas!D111="Infantil 42kg",9,IF(Atletas!D111="Infantil 45kg",10,IF(Atletas!D111="Infantil 48kg",11,IF(Atletas!D111="Infantil 52kg",12,IF(Atletas!D111="Infantil 56kg",13,IF(Atletas!D111="Infantil 60kg",14,IF(Atletas!D111="Juvenil 48kg",15,IF(Atletas!D111="Juvenil 52kg",16,IF(Atletas!D111="Juvenil 56kg",17,IF(Atletas!D111="Juvenil 60kg",18,IF(Atletas!D111="Juvenil 65kg",19,IF(Atletas!D111="Juvenil 70kg",20,IF(Atletas!D111="Juvenil 75kg",21,IF(Atletas!D111="Juvenil 80kg",22, IF(Atletas!D111="Juvenil 85kg",23,IF(Atletas!D111="Adulto 48kg",24,IF(Atletas!D111="Adulto 52kg",25,IF(Atletas!D111="Adulto 56kg",26,IF(Atletas!D111="Adulto 60kg",27,IF(Atletas!D111="Adulto 65kg",28,IF(Atletas!D111="Adulto 70kg",29,IF(Atletas!D111="Adulto 75kg",30,IF(Atletas!D111="Adulto 80kg",31,IF(Atletas!D111="Adulto 85kg",32,IF(Atletas!D111="Adulto 90kg",33,IF(Atletas!D111="Adulto 100kg",34, IF(Atletas!D111="Adulto +100kg",35,"")))))))))))))))))))))))))))))))))))))</f>
        <v/>
      </c>
      <c r="AS120" s="6" t="str">
        <f>IF(Atletas!E111="","",IF(Atletas!B111="Feminino",100,IF(Atletas!B111="Masculino",200,""))+(IF(Atletas!E111="Juvenil 44kg",1,IF(Atletas!E111="Juvenil 48kg",2,IF(Atletas!E111="Juvenil 52kg",3,IF(Atletas!E111="Juvenil 56kg",4,IF(Atletas!E111="Juvenil 60kg",5,IF(Atletas!E111="Juvenil 65kg",6,IF(Atletas!E111="Juvenil 70kg",7,IF(Atletas!E111="Juvenil 75kg",8,IF(Atletas!E111="Juvenil 82kg",9,IF(Atletas!E111="Juvenil 90kg",10,IF(Atletas!E111="Juvenil 100kg",11,IF(Atletas!E111="Adulto 48kg",12,IF(Atletas!E111="Adulto 52kg",13,IF(Atletas!E111="Adulto 56kg",14,IF(Atletas!E111="Adulto 60kg",15,IF(Atletas!E111="Adulto 65kg",16,IF(Atletas!E111="Adulto 70kg",17,IF(Atletas!E111="Adulto 75kg",18,IF(Atletas!E111="Adulto 82kg",19,IF(Atletas!E111="Adulto 90kg",20,IF(Atletas!E111="Adulto 100kg",21,IF(Atletas!E111="Adulto +100kg",22,""))))))))))))))))))))))))</f>
        <v/>
      </c>
      <c r="AX120" s="6" t="str">
        <f>IF(Atletas!F111="","",IF(Atletas!B111="Feminino",100,IF(Atletas!B111="Masculino",200,""))+(IF(Atletas!F111="Adulto 48kg",1,IF(Atletas!F111="Adulto 56kg",2,IF(Atletas!F111="Adulto 65kg",3,IF(Atletas!F111="Adulto 75kg",4,IF(Atletas!F111="Adulto +75kg",5,IF(Atletas!F111="Adulto 52kg",6,IF(Atletas!F111="Adulto 60kg",7,IF(Atletas!F111="Adulto 70kg",8,IF(Atletas!F111="Adulto 80kg",9,IF(Atletas!F111="Adulto 90kg",10,IF(Atletas!F111="Adulto +90kg",11,"")))))))))))))</f>
        <v/>
      </c>
      <c r="BC120" s="6" t="str">
        <f>IF(Atletas!G111="","",IF(Atletas!B111="Feminino",10,IF(Atletas!B111="Masculino",20,""))+(IF(Atletas!G111="Baduanjin A",1,IF(Atletas!G111="Baduanjin B",2))))</f>
        <v/>
      </c>
      <c r="BF120" s="52" t="str">
        <f>IF(Atletas!H111="","",IF(Atletas!B111="Feminino",100,IF(Atletas!B111="Masculino",200,""))+(IF(Atletas!H111="Changquan Mirim",1,IF(Atletas!H111="Nanquan Mirim",2,IF(Atletas!H111="Taijiquan Mirim",3,IF(Atletas!H111="Changquan Grupo C",4,IF(Atletas!H111="Nanquan Grupo C",5,IF(Atletas!H111="Taijiquan Grupo C",6,IF(Atletas!H111="Changquan Grupo B",7,IF(Atletas!H111="Nanquan Grupo B",8,IF(Atletas!H111="Taijiquan Grupo B",9,IF(Atletas!H111="Changquan Grupo A",10,IF(Atletas!H111="Nanquan Grupo A",11,IF(Atletas!H111="Taijiquan Grupo A",12,IF(Atletas!H111="Changquan Opcional",13,IF(Atletas!H111="Nanquan Opcional",14,IF(Atletas!H111="Taijiquan Opcional",15,IF(Atletas!H111="Changquan Adulto",16,IF(Atletas!H111="Nanquan Adulto",17,IF(Atletas!H111="Taijiquan Adulto",18,""))))))))))))))))))))</f>
        <v/>
      </c>
      <c r="BG120" s="52" t="str">
        <f>IF(Atletas!I111="","",IF(Atletas!B111="Feminino",100,IF(Atletas!B111="Masculino",200,""))+(IF(Atletas!I111="Daoshu Mirim",19,IF(Atletas!I111="Jianshu Mirim",20,IF(Atletas!I111="Nandao Mirim",21,IF(Atletas!I111="Taijijian Mirim",22,IF(Atletas!I111="Daoshu Grupo C",23,IF(Atletas!I111="Jianshu Grupo C",24,IF(Atletas!I111="Nandao Grupo C",25,IF(Atletas!I111="Taijijian Grupo C",26,IF(Atletas!I111="Daoshu Grupo B",27,IF(Atletas!I111="Jianshu Grupo B",28,IF(Atletas!I111="Nandao Grupo B",29,IF(Atletas!I111="Taijijian Grupo B",30,IF(Atletas!I111="Daoshu Grupo A",31,IF(Atletas!I111="Jianshu Grupo A",32,IF(Atletas!I111="Nandao Grupo A",33,IF(Atletas!I111="Taijijian Grupo A",34,IF(Atletas!I111="Daoshu Opcional",35,IF(Atletas!I111="Jianshu Opcional",36,IF(Atletas!I111="Nandao Opcional",37,IF(Atletas!I111="Taijijian Opcional",38,IF(Atletas!I111="Daoshu Adulto",39,IF(Atletas!I111="Jianshu Adulto",40,IF(Atletas!I111="Nandao Adulto",41,IF(Atletas!I111="Taijijian Adulto",42,""))))))))))))))))))))))))))</f>
        <v/>
      </c>
      <c r="BH120" s="52" t="str">
        <f>IF(Atletas!J111="","",IF(Atletas!B111="Feminino",100,IF(Atletas!B111="Masculino",200,""))+(IF(Atletas!J111="Gunshu Mirim",43,IF(Atletas!J111="Qiangshu Mirim",44,IF(Atletas!J111="Nangun Mirim",45,IF(Atletas!J111="Gunshu Grupo C",46,IF(Atletas!J111="Qiangshu Grupo C",47,IF(Atletas!J111="Nangun Grupo C",48,IF(Atletas!J111="Gunshu Grupo B",49,IF(Atletas!J111="Qiangshu Grupo B",50,IF(Atletas!J111="Nangun Grupo B",51,IF(Atletas!J111="Gunshu Grupo A",52,IF(Atletas!J111="Qiangshu Grupo A",53,IF(Atletas!J111="Nangun Grupo A",54,IF(Atletas!J111="Gunshu Opcional",55,IF(Atletas!J111="Qiangshu Opcional",56,IF(Atletas!J111="Nangun Opcional",57,IF(Atletas!J111="Gunshu Adulto",58,IF(Atletas!J111="Qiangshu Adulto",59,IF(Atletas!J111="Nangun Adulto",60,IF(Atletas!J111="Taijishan Grupo B",61,IF(Atletas!J111="Taijishan Grupo A",62,""))))))))))))))))))))))</f>
        <v/>
      </c>
      <c r="BM120" s="50" t="str">
        <f>IF(Atletas!K111="","",IF(Atletas!B111="Feminino",100,IF(Atletas!B111="Masculino",200,""))+(IF(Atletas!K111="Equipe 1 Grupo B",1,IF(Atletas!K111="Equipe 2 Grupo B",2,IF(Atletas!K111="Equipe 1 Grupo A",3,IF(Atletas!K111="Equipe 2 Grupo A",4,IF(Atletas!K111="Equipe 1 Adulto",5,IF(Atletas!K111="Equipe 2 Adulto",6,""))))))))</f>
        <v/>
      </c>
      <c r="BR120" s="50" t="str">
        <f>IF(Atletas!L111="","",IF(Atletas!X111&lt;&gt;"",10000,0)+(IF(Atletas!B111="Feminino",1000,IF(Atletas!B111="Masculino",2000,""))+IF(Atletas!L111="Choylayfut A",1,IF(Atletas!L111="Hunggar A",2,IF(Atletas!L111="Wuzuquan A",3,IF(Atletas!L111="Wingchun A",4,IF(Atletas!L111="Outra Mão de Sul A",5,IF(Atletas!L111="Choylayfut B",6,IF(Atletas!L111="Hunggar B",7,IF(Atletas!L111="Wuzuquan B",8,IF(Atletas!L111="Wingchun B",9,IF(Atletas!L111="Outra Mão de Sul B",10,IF(Atletas!L111="Choylayfut C",11,IF(Atletas!L111="Hunggar C",12,IF(Atletas!L111="Wuzuquan C",13,IF(Atletas!L111="Wingchun C",14,IF(Atletas!L111="Outra Mão de Sul C",15,IF(Atletas!L111="Choylayfut D",16,IF(Atletas!L111="Hunggar D",17,IF(Atletas!L111="Wuzuquan D",18,IF(Atletas!L111="Wingchun D",19,IF(Atletas!L111="Outra Mão de Sul D",20,IF(Atletas!L111="Choylayfut E",21,IF(Atletas!L111="Hunggar E",22,IF(Atletas!L111="Wuzuquan E",23,IF(Atletas!L111="Wingchun E",24,IF(Atletas!L111="Outra Mão de Sul E",25,IF(Atletas!L111="Choylayfut F",26,IF(Atletas!L111="Hunggar F",27,IF(Atletas!L111="Wuzuquan F",28,IF(Atletas!L111="Wingchun F",29,IF(Atletas!L111="Outra Mão de Sul F",30,IF(Atletas!L111="Dishuquan A",31,IF(Atletas!L111="Dishuquan B",32,IF(Atletas!L111="Dishuquan C",33,IF(Atletas!L111="Dishuquan D",34,IF(Atletas!L111="Dishuquan E",35,IF(Atletas!L111="Dishuquan F",36,""))))))))))))))))))))))))))))))))))))))</f>
        <v/>
      </c>
      <c r="BS120" s="50" t="str">
        <f>IF(Atletas!M111="","",IF(Atletas!X111&lt;&gt;"",10000,0)+(IF(Atletas!B111="Feminino",1000,IF(Atletas!B111="Masculino",2000,""))+(IF(Atletas!M111="Chaquan A",101,IF(Atletas!M111="Emeiquan A",102,IF(Atletas!M111="Fanziquan A",103,IF(Atletas!M111="Huaquan A",104,IF(Atletas!M111="Hongquan A",105,IF(Atletas!M111="Paoquan A",106,IF(Atletas!M111="Piguaquan A",107,IF(Atletas!M111="Shaolinquan A",108,IF(Atletas!M111="Tanglangquan A",109,IF(Atletas!M111="Yingzhaoquan A",110,IF(Atletas!M111="Tongbeiquan A",111,IF(Atletas!M111="Wudangquan A",112,IF(Atletas!M111="Outros Estilos A",113,IF(Atletas!M111="Chaquan B",114,IF(Atletas!M111="Emeiquan B",115,IF(Atletas!M111="Fanziquan B",116,IF(Atletas!M111="Huaquan B",117,IF(Atletas!M111="Hongquan B",118,IF(Atletas!M111="Paoquan B",119,IF(Atletas!M111="Piguaquan B",120,IF(Atletas!M111="Shaolinquan B",121,IF(Atletas!M111="Tanglangquan B",122,IF(Atletas!M111="Yingzhaoquan B",123,IF(Atletas!M111="Tongbeiquan B",124,IF(Atletas!M111="Wudangquan B",125,IF(Atletas!M111="Outros Estilos B",126,IF(Atletas!M111="Chaquan C",127,IF(Atletas!M111="Emeiquan C",128,IF(Atletas!M111="Fanziquan C",129,IF(Atletas!M111="Huaquan C",130,IF(Atletas!M111="Hongquan C",131,IF(Atletas!M111="Paoquan C",132,IF(Atletas!M111="Piguaquan C",133,IF(Atletas!M111="Shaolinquan C",134,IF(Atletas!M111="Tanglangquan C",135,IF(Atletas!M111="Yingzhaoquan C",136,IF(Atletas!M111="Tongbeiquan C",137,IF(Atletas!M111="Wudangquan C",138,IF(Atletas!M111="Outros Estilos C",139,0))))))))))))))))))))))))))))))))))))))))))</f>
        <v/>
      </c>
      <c r="BT120" s="50" t="str">
        <f>IF(Atletas!M111="","",IF(Atletas!X111&lt;&gt;"",10000,0)+(IF(Atletas!B111="Feminino",1000,IF(Atletas!B111="Masculino",2000,""))+(IF(Atletas!M111="Chaquan D",140,IF(Atletas!M111="Emeiquan D",141,IF(Atletas!M111="Fanziquan D",142,IF(Atletas!M111="Huaquan D",143,IF(Atletas!M111="Hongquan D",144,IF(Atletas!M111="Paoquan D",145,IF(Atletas!M111="Piguaquan D",146,IF(Atletas!M111="Shaolinquan D",147,IF(Atletas!M111="Tanglangquan D",148,IF(Atletas!M111="Yingzhaoquan D",149,IF(Atletas!M111="Tongbeiquan D",150,IF(Atletas!M111="Wudangquan D",151,IF(Atletas!M111="Outros Estilos D",152,IF(Atletas!M111="Chaquan E",153,IF(Atletas!M111="Emeiquan E",154,IF(Atletas!M111="Fanziquan E",155,IF(Atletas!M111="Huaquan E",156,IF(Atletas!M111="Hongquan E",157,IF(Atletas!M111="Paoquan E",158,IF(Atletas!M111="Piguaquan E",159,IF(Atletas!M111="Shaolinquan E",160,IF(Atletas!M111="Tanglangquan E",161,IF(Atletas!M111="Yingzhaoquan E",162,IF(Atletas!M111="Tongbeiquan E",163,IF(Atletas!M111="Wudangquan E",164,IF(Atletas!M111="Outros Estilos E",165,IF(Atletas!M111="Chaquan F",166,IF(Atletas!M111="Emeiquan F",167,IF(Atletas!M111="Fanziquan F",168,IF(Atletas!M111="Huaquan F",169,IF(Atletas!M111="Hongquan F",170,IF(Atletas!M111="Paoquan F",171,IF(Atletas!M111="Piguaquan F",172,IF(Atletas!M111="Shaolinquan F",173,IF(Atletas!M111="Tanglangquan F",174,IF(Atletas!M111="Yingzhaoquan F",175,IF(Atletas!M111="Tongbeiquan F",176,IF(Atletas!M111="Wudangquan F",177,IF(Atletas!M111="Outros Estilos F",178,0))))))))))))))))))))))))))))))))))))))))))</f>
        <v/>
      </c>
      <c r="BU120" s="50" t="str">
        <f>IF(Atletas!N111="","",IF(Atletas!X111&lt;&gt;"",10000,0)+(IF(Atletas!B111="Feminino",1000,IF(Atletas!B111="Masculino",2000,""))+(IF(Atletas!N111="Ditangquan A",201,IF(Atletas!N111="Houquan A",202,IF(Atletas!N111="Zuiquan A",203,IF(Atletas!N111="Ditangquan B",204,IF(Atletas!N111="Houquan B",205,IF(Atletas!N111="Zuiquan B",206,IF(Atletas!N111="Ditangquan C",207,IF(Atletas!N111="Houquan C",208,IF(Atletas!N111="Zuiquan C",209,IF(Atletas!N111="Ditangquan D",210,IF(Atletas!N111="Houquan D",211,IF(Atletas!N111="Zuiquan D",212,IF(Atletas!N111="Ditangquan E",213,IF(Atletas!N111="Houquan E",214,IF(Atletas!N111="Zuiquan E",215,IF(Atletas!N111="Ditangquan F",216,IF(Atletas!N111="Houquan F",217,IF(Atletas!N111="Zuiquan F",218,"")))))))))))))))))))))</f>
        <v/>
      </c>
      <c r="BV120" s="50" t="str">
        <f>IF(Atletas!O111="","",IF(Atletas!X111&lt;&gt;"",10000,0)+IF(Atletas!B111="Feminino",1000,IF(Atletas!B111="Masculino",2000,""))+IF(Atletas!O111="Yang A",301,IF(Atletas!O111="Chen A",302,IF(Atletas!O111="Sun A",303,IF(Atletas!O111="Wu A",304,IF(Atletas!O111="Wu-Hao A",305,IF(Atletas!O111="Outro Taijiquan A",306,IF(Atletas!O111="Yang B",307,IF(Atletas!O111="Chen B",308,IF(Atletas!O111="Sun B",309,IF(Atletas!O111="Wu B",310,IF(Atletas!O111="Wu-Hao B",311,IF(Atletas!O111="Outro Taijiquan B",312,IF(Atletas!O111="Yang C",313,IF(Atletas!O111="Chen C",314,IF(Atletas!O111="Sun C",315,IF(Atletas!O111="Wu C",316,IF(Atletas!O111="Wu-Hao C",317,IF(Atletas!O111="Outro Taijiquan C",318,IF(Atletas!O111="Yang D",319,IF(Atletas!O111="Chen D",320,IF(Atletas!O111="Sun D",321,IF(Atletas!O111="Wu D",322,IF(Atletas!O111="Wu-Hao D",323,IF(Atletas!O111="Outro Taijiquan D",324,IF(Atletas!O111="Yang E",325,IF(Atletas!O111="Chen E",326,IF(Atletas!O111="Sun E",327,IF(Atletas!O111="Wu E",328,IF(Atletas!O111="Wu-Hao E",329,IF(Atletas!O111="Outro Taijiquan E",330,IF(Atletas!O111="Yang F",331,IF(Atletas!O111="Chen F",332,IF(Atletas!O111="Sun F",333,IF(Atletas!O111="Wu F",334,IF(Atletas!O111="Wu-Hao F",335,IF(Atletas!O111="Outro Taijiquan F",336,"")))))))))))))))))))))))))))))))))))))</f>
        <v/>
      </c>
      <c r="BW120" s="50" t="str">
        <f>IF(Atletas!P111="","",IF(Atletas!X111&lt;&gt;"",10000,0)+IF(Atletas!B111="Feminino",1000,IF(Atletas!B111="Masculino",2000,""))+IF(OR(Atletas!P111="Yang 26 A",Atletas!P111="Yang 40 A"),401,IF(OR(Atletas!P111="Chen 25 A",Atletas!P111="Chen 36 A",Atletas!P111="Chen 56 A"),402,IF(Atletas!P111="Sun 73 A",403,IF(Atletas!P111="Wu 45 A",404,IF(Atletas!P111="Wu-Hao 46 A",405,IF(OR(Atletas!P111="Taijiquan 16 A",Atletas!P111="Taijiquan 24 A",Atletas!P111="Taijiquan 32 A",Atletas!P111="Taijiquan 42 A"),406,IF(OR(Atletas!P111="Yang 26 B",Atletas!P111="Yang 40 B"),407,IF(OR(Atletas!P111="Chen 25 B",Atletas!P111="Chen 36 B",Atletas!P111="Chen 56 B"),408,IF(Atletas!P111="Sun 73 B",409,IF(Atletas!P111="Wu 45 B",410,IF(Atletas!P111="Wu-Hao 46 B",411,IF(OR(Atletas!P111="Taijiquan 16 B",Atletas!P111="Taijiquan 24 B",Atletas!P111="Taijiquan 32 B",Atletas!P111="Taijiquan 42 B"),412,IF(OR(Atletas!P111="Yang 26 C",Atletas!P111="Yang 40 C"),413,IF(OR(Atletas!P111="Chen 25 C",Atletas!P111="Chen 36 C",Atletas!P111="Chen 56 C"),414,IF(Atletas!P111="Sun 73 C",415,IF(Atletas!P111="Wu 45 C",416,IF(Atletas!P111="Wu-Hao 46 C",417,IF(OR(Atletas!P111="Taijiquan 16 C",Atletas!P111="Taijiquan 24 C",Atletas!P111="Taijiquan 32 C",Atletas!P111="Taijiquan 42 C"),418,0)))))))))))))))))))</f>
        <v/>
      </c>
      <c r="BX120" s="50" t="str">
        <f>IF(Atletas!P111="","",IF(Atletas!X111&lt;&gt;"",10000,0)+IF(Atletas!B111="Feminino",1000,IF(Atletas!B111="Masculino",2000,""))+IF(OR(Atletas!P111="Yang 26 D",Atletas!P111="Yang 40 D"),419,IF(OR(Atletas!P111="Chen 25 D",Atletas!P111="Chen 36 D",Atletas!P111="Chen 56 D"),420,IF(Atletas!P111="Sun 73 D",421,IF(Atletas!P111="Wu 45 D",422,IF(Atletas!P111="Wu-Hao 46 D",423,IF(OR(Atletas!P111="Taijiquan 16 D",Atletas!P111="Taijiquan 24 D",Atletas!P111="Taijiquan 32 D",Atletas!P111="Taijiquan 42 D"),424,IF(OR(Atletas!P111="Yang 26 E",Atletas!P111="Yang 40 E"),425,IF(OR(Atletas!P111="Chen 25 E",Atletas!P111="Chen 36 E",Atletas!P111="Chen 56 E"),426,IF(Atletas!P111="Sun 73 E",427,IF(Atletas!P111="Wu 45 E",428,IF(Atletas!P111="Wu-Hao 46 E",429,IF(OR(Atletas!P111="Taijiquan 16 E",Atletas!P111="Taijiquan 24 E",Atletas!P111="Taijiquan 32 E",Atletas!P111="Taijiquan 42 E"),430,IF(OR(Atletas!P111="Yang 26 F",Atletas!P111="Yang 40 F"),431,IF(OR(Atletas!P111="Chen 25 F",Atletas!P111="Chen 36 F",Atletas!P111="Chen 56 F"),432,IF(Atletas!P111="Sun 73 F",433,IF(Atletas!P111="Wu 45 F",434,IF(Atletas!P111="Wu-Hao 46 F",435,IF(OR(Atletas!P111="Taijiquan 16 F",Atletas!P111="Taijiquan 24 F",Atletas!P111="Taijiquan 32 F",Atletas!P111="Taijiquan 42 F"),436,0)))))))))))))))))))</f>
        <v/>
      </c>
      <c r="BY120" s="50" t="str">
        <f>IF(Atletas!Q111="","",IF(Atletas!X111&lt;&gt;"",10000,0)+IF(Atletas!B111="Feminino",1000,IF(Atletas!B111="Masculino",2000,""))+IF(Atletas!Q111="Xingyiquan A",501,IF(Atletas!Q111="Baguazhang A",502,IF(Atletas!Q111="Outro Estilo Interno A",503,IF(Atletas!Q111="Xingyiquan B",504,IF(Atletas!Q111="Baguazhang B",505,IF(Atletas!Q111="Outro Estilo Interno B",506,IF(Atletas!Q111="Xingyiquan C",507,IF(Atletas!Q111="Baguazhang C",508,IF(Atletas!Q111="Outro Estilo Interno C",509,IF(Atletas!Q111="Xingyiquan D",510,IF(Atletas!Q111="Baguazhang D",511,IF(Atletas!Q111="Outro Estilo Interno D",512,IF(Atletas!Q111="Xingyiquan E",513,IF(Atletas!Q111="Baguazhang E",514,IF(Atletas!Q111="Outro Estilo Interno E",515,IF(Atletas!Q111="Xingyiquan F",516,IF(Atletas!Q111="Baguazhang F",517,IF(Atletas!Q111="Outro Estilo Interno F",518, "")))))))))))))))))))</f>
        <v/>
      </c>
      <c r="BZ120" s="50" t="str">
        <f>IF(Atletas!R111="","",IF(Atletas!X111&lt;&gt;"",10000,0)+IF(Atletas!B111="Feminino",1000,IF(Atletas!B111="Masculino",2000,""))+IF(Atletas!R111="Dao A",601,IF(Atletas!R111="Jian A",602,IF(Atletas!R111="Bishou A",603,IF(Atletas!R111="Shanzi A",604,IF(Atletas!R111="Outra Arma Curta A",605,IF(Atletas!R111="Dao B",606,IF(Atletas!R111="Jian B",607,IF(Atletas!R111="Bishou B",608,IF(Atletas!R111="Shanzi B",609,IF(Atletas!R111="Outra Arma Curta B",610,IF(Atletas!R111="Dao C",611,IF(Atletas!R111="Jian C",612,IF(Atletas!R111="Bishou C",613,IF(Atletas!R111="Shanzi C",614,IF(Atletas!R111="Outra Arma Curta C",615,IF(Atletas!R111="Dao D",616,IF(Atletas!R111="Jian D",617,IF(Atletas!R111="Bishou D",618,IF(Atletas!R111="Shanzi D",619,IF(Atletas!R111="Outra Arma Curta D",620,IF(Atletas!R111="Dao E",621,IF(Atletas!R111="Jian E",622,IF(Atletas!R111="Bishou E",623,IF(Atletas!R111="Shanzi E",624,IF(Atletas!R111="Outra Arma Curta E",625,IF(Atletas!R111="Dao F",626,IF(Atletas!R111="Jian F",627,IF(Atletas!R111="Bishou F",628,IF(Atletas!R111="Shanzi F",629,IF(Atletas!R111="Outra Arma Curta F",630, "")))))))))))))))))))))))))))))))</f>
        <v/>
      </c>
      <c r="CA120" s="50" t="str">
        <f>IF(Atletas!S111="","",IF(Atletas!X111&lt;&gt;"",10000,0)+IF(Atletas!B111="Feminino",1000,IF(Atletas!B111="Masculino",2000,""))+IF(Atletas!S111="Gun A",701,IF(Atletas!S111="Qiang A",702,IF(Atletas!S111="Pudao / Guandao A",703,IF(Atletas!S111="Outra Arma Longa A",704,IF(Atletas!S111="Gun B",705,IF(Atletas!S111="Qiang B",706,IF(Atletas!S111="Pudao / Guandao B",707,IF(Atletas!S111="Outra Arma Longa B",708,IF(Atletas!S111="Gun C",709,IF(Atletas!S111="Qiang C",710,IF(Atletas!S111="Pudao / Guandao C",711,IF(Atletas!S111="Outra Arma Longa C",712,IF(Atletas!S111="Gun D",713,IF(Atletas!S111="Qiang D",714,IF(Atletas!S111="Pudao / Guandao D",715,IF(Atletas!S111="Outra Arma Longa D",716,IF(Atletas!S111="Gun E",717,IF(Atletas!S111="Qiang E",718,IF(Atletas!S111="Pudao / Guandao E",719,IF(Atletas!S111="Outra Arma Longa E",720,IF(Atletas!S111="Gun F",721,IF(Atletas!S111="Qiang F",722,IF(Atletas!S111="Pudao / Guandao F",723,IF(Atletas!S111="Outra Arma Longa F",724,"")))))))))))))))))))))))))</f>
        <v/>
      </c>
      <c r="CB120" s="50" t="str">
        <f>IF(Atletas!T111="","",IF(Atletas!X111&lt;&gt;"",10000,0)+IF(Atletas!B111="Feminino",1000,IF(Atletas!B111="Masculino",2000,""))+IF(Atletas!T111="Outra Arma Dupla A",801,IF(Atletas!T111="Arma Maleável A",802,IF(Atletas!T111="Outra Arma Dupla B",803,IF(Atletas!T111="Arma Maleável B",804,IF(Atletas!T111="Outra Arma Dupla C",805,IF(Atletas!T111="Arma Maleável C",806,IF(Atletas!T111="Outra Arma Dupla D",807,IF(Atletas!T111="Arma Maleável D",808,IF(Atletas!T111="Outra Arma Dupla E",809,IF(Atletas!T111="Arma Maleável E",810,IF(Atletas!T111="Outra Arma Dupla F",811,IF(Atletas!T111="Arma Maleável F",812,IF(Atletas!T111="Shuangdao A",813,IF(Atletas!T111="Shuangdao B",814,IF(Atletas!T111="Shuangdao C",815,IF(Atletas!T111="Shuangdao D",816,IF(Atletas!T111="Shuangdao E",817,IF(Atletas!T111="Shuangdao F",818,"")))))))))))))))))))</f>
        <v/>
      </c>
      <c r="CC120" s="50" t="str">
        <f>IF(Atletas!U111="","",IF(Atletas!X111&lt;&gt;"",10000,0)+IF(Atletas!B111="Feminino",1000,IF(Atletas!B111="Masculino",2000,""))+IF(OR(Atletas!U111="Taijijian Yang A",Atletas!U111="Taijijian Yang Standard A"),901,IF(OR(Atletas!U111="Taijijian Chen A", Atletas!U111="Taijijian Chen Standard A"),902,IF(Atletas!U111="Taijijian Sun A",903,IF(Atletas!U111="Taijijian Wu A",904,IF(Atletas!U111="Taijijian Wu-Hao A",905,IF(OR(Atletas!U111="Taijijian 32 A",Atletas!U111="Taijijian 42 A"),906,IF(OR(Atletas!U111="Taijijian Yang B",Atletas!U111="Taijijian Yang Standard B"),907,IF(OR(Atletas!U111="Taijijian Chen B", Atletas!U111="Taijijian Chen Standard B"),908,IF(Atletas!U111="Taijijian Sun B",909,IF(Atletas!U111="Taijijian Wu B",910,IF(Atletas!U111="Taijijian Wu-Hao B",911,IF(OR(Atletas!U111="Taijijian 32 B",Atletas!U111="Taijijian 42 B"),912,IF(OR(Atletas!U111="Taijijian Yang C",Atletas!U111="Taijijian Yang Standard C"),913,IF(OR(Atletas!U111="Taijijian Chen C", Atletas!U111="Taijijian Chen Standard C"),914,IF(Atletas!U111="Taijijian Sun C",915,IF(Atletas!U111="Taijijian Wu C",916,IF(Atletas!U111="Taijijian Wu-Hao C",917,IF(OR(Atletas!U111="Taijijian 32 C",Atletas!U111="Taijijian 42 C"),918,IF(OR(Atletas!U111="Taijijian Yang D",Atletas!U111="Taijijian Yang Standard D"),919,IF(OR(Atletas!U111="Taijijian Chen D", Atletas!U111="Taijijian Chen Standard D"),920,IF(Atletas!U111="Taijijian Sun D",921,IF(Atletas!U111="Taijijian Wu D",922,IF(Atletas!U111="Taijijian Wu-Hao D",923,IF(OR(Atletas!U111="Taijijian 32 D",Atletas!U111="Taijijian 42 D"),924,IF(OR(Atletas!U111="Taijijian Yang E",Atletas!U111="Taijijian Yang Standard E"),925,IF(OR(Atletas!U111="Taijijian Chen E", Atletas!U111="Taijijian Chen Standard E"),926,IF(Atletas!U111="Taijijian Sun E",927,IF(Atletas!U111="Taijijian Wu E",928,IF(Atletas!U111="Taijijian Wu-Hao E",929,IF(OR(Atletas!U111="Taijijian 32 E",Atletas!U111="Taijijian 42 E"),930,IF(OR(Atletas!U111="Taijijian Yang F",Atletas!U111="Taijijian Yang Standard F"),931,IF(OR(Atletas!U111="Taijijian Chen F", Atletas!U111="Taijijian Chen Standard F"),932,IF(Atletas!U111="Taijijian Sun F",933,IF(Atletas!U111="Taijijian Wu F",934,IF(Atletas!U111="Taijijian Wu-Hao F",935,IF(OR(Atletas!U111="Taijijian 32 F",Atletas!U111="Taijijian 42 F"),936,"")))))))))))))))))))))))))))))))))))))</f>
        <v/>
      </c>
      <c r="CD120" s="50" t="str">
        <f>IF(Atletas!V111="","",IF(Atletas!X111&lt;&gt;"",10000,0)+IF(Atletas!B111="Feminino",1000,IF(Atletas!B111="Masculino",2000,""))+IF(Atletas!V111="Taijidao A",937,IF(Atletas!V111="TaijiShanzi A",938,IF(Atletas!V111="Taijiqiang A",939,IF(Atletas!V111="Bagua de Arma A",940,IF(Atletas!V111="Xingyi de Arma A",941,IF(Atletas!V111="Taijidao B",942,IF(Atletas!V111="TaijiShanzi B",943,IF(Atletas!V111="Taijiqiang B",944,IF(Atletas!V111="Bagua de Arma B",945,IF(Atletas!V111="Xingyi de Arma B",946,IF(Atletas!V111="Taijidao C",947,IF(Atletas!V111="TaijiShanzi C",948,IF(Atletas!V111="Taijiqiang C",949,IF(Atletas!V111="Bagua de Arma C",950,IF(Atletas!V111="Xingyi de Arma C",951,IF(Atletas!V111="Taijidao D",952,IF(Atletas!V111="TaijiShanzi D",953,IF(Atletas!V111="Taijiqiang D",954,IF(Atletas!V111="Bagua de Arma D",955,IF(Atletas!V111="Xingyi de Arma D",956,IF(Atletas!V111="Taijidao E",957,IF(Atletas!V111="TaijiShanzi E",958,IF(Atletas!V111="Taijiqiang E",959,IF(Atletas!V111="Bagua de Arma E",960,IF(Atletas!V111="Xingyi de Arma E",961,IF(Atletas!V111="Taijidao F",962,IF(Atletas!V111="TaijiShanzi F",963,IF(Atletas!V111="Taijiqiang F",964,IF(Atletas!V111="Bagua de Arma F",965,IF(Atletas!V111="Xingyi de Arma F",966,"")))))))))))))))))))))))))))))))</f>
        <v/>
      </c>
      <c r="CE120" s="66" t="str">
        <f>IF(CF120&lt;&gt;"","Outros Estilos F","")</f>
        <v/>
      </c>
      <c r="CF120" s="66" t="str">
        <f>IF(COUNTIF(BR:CD,1178)&gt;0,COUNTIF(BR:CD,1178),"")</f>
        <v/>
      </c>
      <c r="CG120" s="66" t="str">
        <f>IF(CH120&lt;&gt;"","Outros Estilos F","")</f>
        <v/>
      </c>
      <c r="CH120" s="66" t="str">
        <f>IF(COUNTIF(BR:CD,2178)&gt;0,COUNTIF(BR:CD,2178),"")</f>
        <v/>
      </c>
      <c r="CI120" s="66" t="str">
        <f>IF(CJ120&lt;&gt;"","Zuiquan B","")</f>
        <v/>
      </c>
      <c r="CJ120" s="66" t="str">
        <f>IF(COUNTIF(BR:CD,11206)&gt;0,COUNTIF(BR:CD,11206),"")</f>
        <v/>
      </c>
      <c r="CK120" s="66" t="str">
        <f>IF(CL120&lt;&gt;"","Zuiquan B","")</f>
        <v/>
      </c>
      <c r="CL120" s="66" t="str">
        <f>IF(COUNTIF(BR:CD,12206)&gt;0,COUNTIF(BR:CD,12206),"")</f>
        <v/>
      </c>
      <c r="CM120" s="50" t="str">
        <f xml:space="preserve"> IF(Atletas!W111="","",IF(Atletas!W111="Duilian de Mãos BC - Equipe 1",1,IF(Atletas!W111="Duilian de Mãos BC - Equipe 2",2,IF(Atletas!W111="Duilian de Armas BC - Equipe 1",3,IF(Atletas!W111="Duilian de Armas BC - Equipe 2",4,IF(Atletas!W111="Duilian de Mãos DE - Equipe 1",5,IF(Atletas!W111="Duilian de Mãos DE - Equipe 2",6,IF(Atletas!W111="Duilian de Armas DE - Equipe 1",7,IF(Atletas!W111="Duilian de Armas DE - Equipe 2",8,IF(Atletas!W111="Duilian de Tuishou - Equipe 1",9,IF(Atletas!W111="Duilian de Tuishou - Equipe 2",10,IF(Atletas!W111="Grupo Externo ABC - Equipe 1",11,IF(Atletas!W111="Grupo Externo ABC - Equipe 2",12,IF(Atletas!W111="Grupo Interno ABC - Equipe 1",13,IF(Atletas!W111="Grupo Interno ABC - Equipe 2",14,IF(Atletas!W111="Grupo Externo DEF - Equipe 1",15,IF(Atletas!W111="Grupo Externo DEF - Equipe 2",16,IF(Atletas!W111="Grupo Interno DEF - Equipe 1",17,IF(Atletas!W111="Grupo Interno DEF - Equipe 2",18,"")))))))))))))))))))</f>
        <v/>
      </c>
    </row>
    <row r="121" spans="2:91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 t="str">
        <f t="array" ref="Z121">IFERROR(INDEX(CE$7:CE$348,SMALL(IF(CE$7:CE$348&lt;&gt;"",ROW(CE$7:CE$348)-ROW(CE$7)+1),ROWS(CE$7:CE120))),"")</f>
        <v/>
      </c>
      <c r="AA121" s="3" t="str">
        <f t="array" ref="AA121">IFERROR(INDEX(CF$7:CF$348,SMALL(IF(CF$7:CF$348&lt;&gt;"",ROW(CF$7:CF$348)-ROW(CF$7)+1),ROWS(CF$7:CF120))),"")</f>
        <v/>
      </c>
      <c r="AB121" s="3" t="str">
        <f t="array" ref="AB121">IFERROR(INDEX(CG$7:CG$348,SMALL(IF(CG$7:CG$348&lt;&gt;"",ROW(CG$7:CG$348)-ROW(CG$7)+1),ROWS(CG$7:CG120))),"")</f>
        <v/>
      </c>
      <c r="AC121" s="3" t="str">
        <f t="array" ref="AC121">IFERROR(INDEX(CH$7:CH$348,SMALL(IF(CH$7:CH$348&lt;&gt;"",ROW(CH$7:CH$348)-ROW(CH$7)+1),ROWS(CH$7:CH120))),"")</f>
        <v/>
      </c>
      <c r="AD121" s="3" t="str">
        <f t="array" ref="AD121">IFERROR(INDEX(CI$7:CI$377,SMALL(IF(CI$7:CI$377&lt;&gt;"",ROW(CI$7:CI$377)-ROW(CI$7)+1),ROWS(CI$7:CI120))),"")</f>
        <v/>
      </c>
      <c r="AE121" s="3" t="str">
        <f t="array" ref="AE121">IFERROR(INDEX(CJ$7:CJ$378,SMALL(IF(CJ$7:CJ$378&lt;&gt;"",ROW(CJ$7:CJ$378)-ROW(CJ$7)+1),ROWS(CJ$7:CJ120))),"")</f>
        <v/>
      </c>
      <c r="AF121" s="3" t="str">
        <f t="array" ref="AF121">IFERROR(INDEX(CK$7:CK$378,SMALL(IF(CK$7:CK$378&lt;&gt;"",ROW(CK$7:CK$378)-ROW(CK$7)+1),ROWS(CK$7:CK120))),"")</f>
        <v/>
      </c>
      <c r="AG121" s="3" t="str">
        <f t="array" ref="AG121">IFERROR(INDEX(CL$7:CL$378,SMALL(IF(CL$7:CL$378&lt;&gt;"",ROW(CL$7:CL$378)-ROW(CL$7)+1),ROWS(CL$7:CL120))),"")</f>
        <v/>
      </c>
      <c r="AH121" s="3"/>
      <c r="AI121" s="3"/>
      <c r="AJ121" s="3"/>
      <c r="AK121" s="3"/>
      <c r="AL121" s="3"/>
      <c r="AM121" s="3"/>
      <c r="AN121" s="52" t="str">
        <f>IF(Atletas!D112="","",IF(Atletas!B112="Feminino",100,IF(Atletas!B112="Masculino",200,""))+(IF(Atletas!D112="Kids 30kg",1,IF(Atletas!D112="Kids 32kg",2, IF(Atletas!D112="Kids 34kg",3,IF(Atletas!D112="Kids 36kg",4,IF(Atletas!D112="Kids 39kg",5,IF(Atletas!D112="Kids 42kg",6,IF(Atletas!D112="Kids 45kg",7, IF(Atletas!D112="Infantil 39kg",8,IF(Atletas!D112="Infantil 42kg",9,IF(Atletas!D112="Infantil 45kg",10,IF(Atletas!D112="Infantil 48kg",11,IF(Atletas!D112="Infantil 52kg",12,IF(Atletas!D112="Infantil 56kg",13,IF(Atletas!D112="Infantil 60kg",14,IF(Atletas!D112="Juvenil 48kg",15,IF(Atletas!D112="Juvenil 52kg",16,IF(Atletas!D112="Juvenil 56kg",17,IF(Atletas!D112="Juvenil 60kg",18,IF(Atletas!D112="Juvenil 65kg",19,IF(Atletas!D112="Juvenil 70kg",20,IF(Atletas!D112="Juvenil 75kg",21,IF(Atletas!D112="Juvenil 80kg",22, IF(Atletas!D112="Juvenil 85kg",23,IF(Atletas!D112="Adulto 48kg",24,IF(Atletas!D112="Adulto 52kg",25,IF(Atletas!D112="Adulto 56kg",26,IF(Atletas!D112="Adulto 60kg",27,IF(Atletas!D112="Adulto 65kg",28,IF(Atletas!D112="Adulto 70kg",29,IF(Atletas!D112="Adulto 75kg",30,IF(Atletas!D112="Adulto 80kg",31,IF(Atletas!D112="Adulto 85kg",32,IF(Atletas!D112="Adulto 90kg",33,IF(Atletas!D112="Adulto 100kg",34, IF(Atletas!D112="Adulto +100kg",35,"")))))))))))))))))))))))))))))))))))))</f>
        <v/>
      </c>
      <c r="AS121" s="6" t="str">
        <f>IF(Atletas!E112="","",IF(Atletas!B112="Feminino",100,IF(Atletas!B112="Masculino",200,""))+(IF(Atletas!E112="Juvenil 44kg",1,IF(Atletas!E112="Juvenil 48kg",2,IF(Atletas!E112="Juvenil 52kg",3,IF(Atletas!E112="Juvenil 56kg",4,IF(Atletas!E112="Juvenil 60kg",5,IF(Atletas!E112="Juvenil 65kg",6,IF(Atletas!E112="Juvenil 70kg",7,IF(Atletas!E112="Juvenil 75kg",8,IF(Atletas!E112="Juvenil 82kg",9,IF(Atletas!E112="Juvenil 90kg",10,IF(Atletas!E112="Juvenil 100kg",11,IF(Atletas!E112="Adulto 48kg",12,IF(Atletas!E112="Adulto 52kg",13,IF(Atletas!E112="Adulto 56kg",14,IF(Atletas!E112="Adulto 60kg",15,IF(Atletas!E112="Adulto 65kg",16,IF(Atletas!E112="Adulto 70kg",17,IF(Atletas!E112="Adulto 75kg",18,IF(Atletas!E112="Adulto 82kg",19,IF(Atletas!E112="Adulto 90kg",20,IF(Atletas!E112="Adulto 100kg",21,IF(Atletas!E112="Adulto +100kg",22,""))))))))))))))))))))))))</f>
        <v/>
      </c>
      <c r="AX121" s="6" t="str">
        <f>IF(Atletas!F112="","",IF(Atletas!B112="Feminino",100,IF(Atletas!B112="Masculino",200,""))+(IF(Atletas!F112="Adulto 48kg",1,IF(Atletas!F112="Adulto 56kg",2,IF(Atletas!F112="Adulto 65kg",3,IF(Atletas!F112="Adulto 75kg",4,IF(Atletas!F112="Adulto +75kg",5,IF(Atletas!F112="Adulto 52kg",6,IF(Atletas!F112="Adulto 60kg",7,IF(Atletas!F112="Adulto 70kg",8,IF(Atletas!F112="Adulto 80kg",9,IF(Atletas!F112="Adulto 90kg",10,IF(Atletas!F112="Adulto +90kg",11,"")))))))))))))</f>
        <v/>
      </c>
      <c r="BC121" s="6" t="str">
        <f>IF(Atletas!G112="","",IF(Atletas!B112="Feminino",10,IF(Atletas!B112="Masculino",20,""))+(IF(Atletas!G112="Baduanjin A",1,IF(Atletas!G112="Baduanjin B",2))))</f>
        <v/>
      </c>
      <c r="BF121" s="52" t="str">
        <f>IF(Atletas!H112="","",IF(Atletas!B112="Feminino",100,IF(Atletas!B112="Masculino",200,""))+(IF(Atletas!H112="Changquan Mirim",1,IF(Atletas!H112="Nanquan Mirim",2,IF(Atletas!H112="Taijiquan Mirim",3,IF(Atletas!H112="Changquan Grupo C",4,IF(Atletas!H112="Nanquan Grupo C",5,IF(Atletas!H112="Taijiquan Grupo C",6,IF(Atletas!H112="Changquan Grupo B",7,IF(Atletas!H112="Nanquan Grupo B",8,IF(Atletas!H112="Taijiquan Grupo B",9,IF(Atletas!H112="Changquan Grupo A",10,IF(Atletas!H112="Nanquan Grupo A",11,IF(Atletas!H112="Taijiquan Grupo A",12,IF(Atletas!H112="Changquan Opcional",13,IF(Atletas!H112="Nanquan Opcional",14,IF(Atletas!H112="Taijiquan Opcional",15,IF(Atletas!H112="Changquan Adulto",16,IF(Atletas!H112="Nanquan Adulto",17,IF(Atletas!H112="Taijiquan Adulto",18,""))))))))))))))))))))</f>
        <v/>
      </c>
      <c r="BG121" s="52" t="str">
        <f>IF(Atletas!I112="","",IF(Atletas!B112="Feminino",100,IF(Atletas!B112="Masculino",200,""))+(IF(Atletas!I112="Daoshu Mirim",19,IF(Atletas!I112="Jianshu Mirim",20,IF(Atletas!I112="Nandao Mirim",21,IF(Atletas!I112="Taijijian Mirim",22,IF(Atletas!I112="Daoshu Grupo C",23,IF(Atletas!I112="Jianshu Grupo C",24,IF(Atletas!I112="Nandao Grupo C",25,IF(Atletas!I112="Taijijian Grupo C",26,IF(Atletas!I112="Daoshu Grupo B",27,IF(Atletas!I112="Jianshu Grupo B",28,IF(Atletas!I112="Nandao Grupo B",29,IF(Atletas!I112="Taijijian Grupo B",30,IF(Atletas!I112="Daoshu Grupo A",31,IF(Atletas!I112="Jianshu Grupo A",32,IF(Atletas!I112="Nandao Grupo A",33,IF(Atletas!I112="Taijijian Grupo A",34,IF(Atletas!I112="Daoshu Opcional",35,IF(Atletas!I112="Jianshu Opcional",36,IF(Atletas!I112="Nandao Opcional",37,IF(Atletas!I112="Taijijian Opcional",38,IF(Atletas!I112="Daoshu Adulto",39,IF(Atletas!I112="Jianshu Adulto",40,IF(Atletas!I112="Nandao Adulto",41,IF(Atletas!I112="Taijijian Adulto",42,""))))))))))))))))))))))))))</f>
        <v/>
      </c>
      <c r="BH121" s="52" t="str">
        <f>IF(Atletas!J112="","",IF(Atletas!B112="Feminino",100,IF(Atletas!B112="Masculino",200,""))+(IF(Atletas!J112="Gunshu Mirim",43,IF(Atletas!J112="Qiangshu Mirim",44,IF(Atletas!J112="Nangun Mirim",45,IF(Atletas!J112="Gunshu Grupo C",46,IF(Atletas!J112="Qiangshu Grupo C",47,IF(Atletas!J112="Nangun Grupo C",48,IF(Atletas!J112="Gunshu Grupo B",49,IF(Atletas!J112="Qiangshu Grupo B",50,IF(Atletas!J112="Nangun Grupo B",51,IF(Atletas!J112="Gunshu Grupo A",52,IF(Atletas!J112="Qiangshu Grupo A",53,IF(Atletas!J112="Nangun Grupo A",54,IF(Atletas!J112="Gunshu Opcional",55,IF(Atletas!J112="Qiangshu Opcional",56,IF(Atletas!J112="Nangun Opcional",57,IF(Atletas!J112="Gunshu Adulto",58,IF(Atletas!J112="Qiangshu Adulto",59,IF(Atletas!J112="Nangun Adulto",60,IF(Atletas!J112="Taijishan Grupo B",61,IF(Atletas!J112="Taijishan Grupo A",62,""))))))))))))))))))))))</f>
        <v/>
      </c>
      <c r="BM121" s="50" t="str">
        <f>IF(Atletas!K112="","",IF(Atletas!B112="Feminino",100,IF(Atletas!B112="Masculino",200,""))+(IF(Atletas!K112="Equipe 1 Grupo B",1,IF(Atletas!K112="Equipe 2 Grupo B",2,IF(Atletas!K112="Equipe 1 Grupo A",3,IF(Atletas!K112="Equipe 2 Grupo A",4,IF(Atletas!K112="Equipe 1 Adulto",5,IF(Atletas!K112="Equipe 2 Adulto",6,""))))))))</f>
        <v/>
      </c>
      <c r="BR121" s="50" t="str">
        <f>IF(Atletas!L112="","",IF(Atletas!X112&lt;&gt;"",10000,0)+(IF(Atletas!B112="Feminino",1000,IF(Atletas!B112="Masculino",2000,""))+IF(Atletas!L112="Choylayfut A",1,IF(Atletas!L112="Hunggar A",2,IF(Atletas!L112="Wuzuquan A",3,IF(Atletas!L112="Wingchun A",4,IF(Atletas!L112="Outra Mão de Sul A",5,IF(Atletas!L112="Choylayfut B",6,IF(Atletas!L112="Hunggar B",7,IF(Atletas!L112="Wuzuquan B",8,IF(Atletas!L112="Wingchun B",9,IF(Atletas!L112="Outra Mão de Sul B",10,IF(Atletas!L112="Choylayfut C",11,IF(Atletas!L112="Hunggar C",12,IF(Atletas!L112="Wuzuquan C",13,IF(Atletas!L112="Wingchun C",14,IF(Atletas!L112="Outra Mão de Sul C",15,IF(Atletas!L112="Choylayfut D",16,IF(Atletas!L112="Hunggar D",17,IF(Atletas!L112="Wuzuquan D",18,IF(Atletas!L112="Wingchun D",19,IF(Atletas!L112="Outra Mão de Sul D",20,IF(Atletas!L112="Choylayfut E",21,IF(Atletas!L112="Hunggar E",22,IF(Atletas!L112="Wuzuquan E",23,IF(Atletas!L112="Wingchun E",24,IF(Atletas!L112="Outra Mão de Sul E",25,IF(Atletas!L112="Choylayfut F",26,IF(Atletas!L112="Hunggar F",27,IF(Atletas!L112="Wuzuquan F",28,IF(Atletas!L112="Wingchun F",29,IF(Atletas!L112="Outra Mão de Sul F",30,IF(Atletas!L112="Dishuquan A",31,IF(Atletas!L112="Dishuquan B",32,IF(Atletas!L112="Dishuquan C",33,IF(Atletas!L112="Dishuquan D",34,IF(Atletas!L112="Dishuquan E",35,IF(Atletas!L112="Dishuquan F",36,""))))))))))))))))))))))))))))))))))))))</f>
        <v/>
      </c>
      <c r="BS121" s="50" t="str">
        <f>IF(Atletas!M112="","",IF(Atletas!X112&lt;&gt;"",10000,0)+(IF(Atletas!B112="Feminino",1000,IF(Atletas!B112="Masculino",2000,""))+(IF(Atletas!M112="Chaquan A",101,IF(Atletas!M112="Emeiquan A",102,IF(Atletas!M112="Fanziquan A",103,IF(Atletas!M112="Huaquan A",104,IF(Atletas!M112="Hongquan A",105,IF(Atletas!M112="Paoquan A",106,IF(Atletas!M112="Piguaquan A",107,IF(Atletas!M112="Shaolinquan A",108,IF(Atletas!M112="Tanglangquan A",109,IF(Atletas!M112="Yingzhaoquan A",110,IF(Atletas!M112="Tongbeiquan A",111,IF(Atletas!M112="Wudangquan A",112,IF(Atletas!M112="Outros Estilos A",113,IF(Atletas!M112="Chaquan B",114,IF(Atletas!M112="Emeiquan B",115,IF(Atletas!M112="Fanziquan B",116,IF(Atletas!M112="Huaquan B",117,IF(Atletas!M112="Hongquan B",118,IF(Atletas!M112="Paoquan B",119,IF(Atletas!M112="Piguaquan B",120,IF(Atletas!M112="Shaolinquan B",121,IF(Atletas!M112="Tanglangquan B",122,IF(Atletas!M112="Yingzhaoquan B",123,IF(Atletas!M112="Tongbeiquan B",124,IF(Atletas!M112="Wudangquan B",125,IF(Atletas!M112="Outros Estilos B",126,IF(Atletas!M112="Chaquan C",127,IF(Atletas!M112="Emeiquan C",128,IF(Atletas!M112="Fanziquan C",129,IF(Atletas!M112="Huaquan C",130,IF(Atletas!M112="Hongquan C",131,IF(Atletas!M112="Paoquan C",132,IF(Atletas!M112="Piguaquan C",133,IF(Atletas!M112="Shaolinquan C",134,IF(Atletas!M112="Tanglangquan C",135,IF(Atletas!M112="Yingzhaoquan C",136,IF(Atletas!M112="Tongbeiquan C",137,IF(Atletas!M112="Wudangquan C",138,IF(Atletas!M112="Outros Estilos C",139,0))))))))))))))))))))))))))))))))))))))))))</f>
        <v/>
      </c>
      <c r="BT121" s="50" t="str">
        <f>IF(Atletas!M112="","",IF(Atletas!X112&lt;&gt;"",10000,0)+(IF(Atletas!B112="Feminino",1000,IF(Atletas!B112="Masculino",2000,""))+(IF(Atletas!M112="Chaquan D",140,IF(Atletas!M112="Emeiquan D",141,IF(Atletas!M112="Fanziquan D",142,IF(Atletas!M112="Huaquan D",143,IF(Atletas!M112="Hongquan D",144,IF(Atletas!M112="Paoquan D",145,IF(Atletas!M112="Piguaquan D",146,IF(Atletas!M112="Shaolinquan D",147,IF(Atletas!M112="Tanglangquan D",148,IF(Atletas!M112="Yingzhaoquan D",149,IF(Atletas!M112="Tongbeiquan D",150,IF(Atletas!M112="Wudangquan D",151,IF(Atletas!M112="Outros Estilos D",152,IF(Atletas!M112="Chaquan E",153,IF(Atletas!M112="Emeiquan E",154,IF(Atletas!M112="Fanziquan E",155,IF(Atletas!M112="Huaquan E",156,IF(Atletas!M112="Hongquan E",157,IF(Atletas!M112="Paoquan E",158,IF(Atletas!M112="Piguaquan E",159,IF(Atletas!M112="Shaolinquan E",160,IF(Atletas!M112="Tanglangquan E",161,IF(Atletas!M112="Yingzhaoquan E",162,IF(Atletas!M112="Tongbeiquan E",163,IF(Atletas!M112="Wudangquan E",164,IF(Atletas!M112="Outros Estilos E",165,IF(Atletas!M112="Chaquan F",166,IF(Atletas!M112="Emeiquan F",167,IF(Atletas!M112="Fanziquan F",168,IF(Atletas!M112="Huaquan F",169,IF(Atletas!M112="Hongquan F",170,IF(Atletas!M112="Paoquan F",171,IF(Atletas!M112="Piguaquan F",172,IF(Atletas!M112="Shaolinquan F",173,IF(Atletas!M112="Tanglangquan F",174,IF(Atletas!M112="Yingzhaoquan F",175,IF(Atletas!M112="Tongbeiquan F",176,IF(Atletas!M112="Wudangquan F",177,IF(Atletas!M112="Outros Estilos F",178,0))))))))))))))))))))))))))))))))))))))))))</f>
        <v/>
      </c>
      <c r="BU121" s="50" t="str">
        <f>IF(Atletas!N112="","",IF(Atletas!X112&lt;&gt;"",10000,0)+(IF(Atletas!B112="Feminino",1000,IF(Atletas!B112="Masculino",2000,""))+(IF(Atletas!N112="Ditangquan A",201,IF(Atletas!N112="Houquan A",202,IF(Atletas!N112="Zuiquan A",203,IF(Atletas!N112="Ditangquan B",204,IF(Atletas!N112="Houquan B",205,IF(Atletas!N112="Zuiquan B",206,IF(Atletas!N112="Ditangquan C",207,IF(Atletas!N112="Houquan C",208,IF(Atletas!N112="Zuiquan C",209,IF(Atletas!N112="Ditangquan D",210,IF(Atletas!N112="Houquan D",211,IF(Atletas!N112="Zuiquan D",212,IF(Atletas!N112="Ditangquan E",213,IF(Atletas!N112="Houquan E",214,IF(Atletas!N112="Zuiquan E",215,IF(Atletas!N112="Ditangquan F",216,IF(Atletas!N112="Houquan F",217,IF(Atletas!N112="Zuiquan F",218,"")))))))))))))))))))))</f>
        <v/>
      </c>
      <c r="BV121" s="50" t="str">
        <f>IF(Atletas!O112="","",IF(Atletas!X112&lt;&gt;"",10000,0)+IF(Atletas!B112="Feminino",1000,IF(Atletas!B112="Masculino",2000,""))+IF(Atletas!O112="Yang A",301,IF(Atletas!O112="Chen A",302,IF(Atletas!O112="Sun A",303,IF(Atletas!O112="Wu A",304,IF(Atletas!O112="Wu-Hao A",305,IF(Atletas!O112="Outro Taijiquan A",306,IF(Atletas!O112="Yang B",307,IF(Atletas!O112="Chen B",308,IF(Atletas!O112="Sun B",309,IF(Atletas!O112="Wu B",310,IF(Atletas!O112="Wu-Hao B",311,IF(Atletas!O112="Outro Taijiquan B",312,IF(Atletas!O112="Yang C",313,IF(Atletas!O112="Chen C",314,IF(Atletas!O112="Sun C",315,IF(Atletas!O112="Wu C",316,IF(Atletas!O112="Wu-Hao C",317,IF(Atletas!O112="Outro Taijiquan C",318,IF(Atletas!O112="Yang D",319,IF(Atletas!O112="Chen D",320,IF(Atletas!O112="Sun D",321,IF(Atletas!O112="Wu D",322,IF(Atletas!O112="Wu-Hao D",323,IF(Atletas!O112="Outro Taijiquan D",324,IF(Atletas!O112="Yang E",325,IF(Atletas!O112="Chen E",326,IF(Atletas!O112="Sun E",327,IF(Atletas!O112="Wu E",328,IF(Atletas!O112="Wu-Hao E",329,IF(Atletas!O112="Outro Taijiquan E",330,IF(Atletas!O112="Yang F",331,IF(Atletas!O112="Chen F",332,IF(Atletas!O112="Sun F",333,IF(Atletas!O112="Wu F",334,IF(Atletas!O112="Wu-Hao F",335,IF(Atletas!O112="Outro Taijiquan F",336,"")))))))))))))))))))))))))))))))))))))</f>
        <v/>
      </c>
      <c r="BW121" s="50" t="str">
        <f>IF(Atletas!P112="","",IF(Atletas!X112&lt;&gt;"",10000,0)+IF(Atletas!B112="Feminino",1000,IF(Atletas!B112="Masculino",2000,""))+IF(OR(Atletas!P112="Yang 26 A",Atletas!P112="Yang 40 A"),401,IF(OR(Atletas!P112="Chen 25 A",Atletas!P112="Chen 36 A",Atletas!P112="Chen 56 A"),402,IF(Atletas!P112="Sun 73 A",403,IF(Atletas!P112="Wu 45 A",404,IF(Atletas!P112="Wu-Hao 46 A",405,IF(OR(Atletas!P112="Taijiquan 16 A",Atletas!P112="Taijiquan 24 A",Atletas!P112="Taijiquan 32 A",Atletas!P112="Taijiquan 42 A"),406,IF(OR(Atletas!P112="Yang 26 B",Atletas!P112="Yang 40 B"),407,IF(OR(Atletas!P112="Chen 25 B",Atletas!P112="Chen 36 B",Atletas!P112="Chen 56 B"),408,IF(Atletas!P112="Sun 73 B",409,IF(Atletas!P112="Wu 45 B",410,IF(Atletas!P112="Wu-Hao 46 B",411,IF(OR(Atletas!P112="Taijiquan 16 B",Atletas!P112="Taijiquan 24 B",Atletas!P112="Taijiquan 32 B",Atletas!P112="Taijiquan 42 B"),412,IF(OR(Atletas!P112="Yang 26 C",Atletas!P112="Yang 40 C"),413,IF(OR(Atletas!P112="Chen 25 C",Atletas!P112="Chen 36 C",Atletas!P112="Chen 56 C"),414,IF(Atletas!P112="Sun 73 C",415,IF(Atletas!P112="Wu 45 C",416,IF(Atletas!P112="Wu-Hao 46 C",417,IF(OR(Atletas!P112="Taijiquan 16 C",Atletas!P112="Taijiquan 24 C",Atletas!P112="Taijiquan 32 C",Atletas!P112="Taijiquan 42 C"),418,0)))))))))))))))))))</f>
        <v/>
      </c>
      <c r="BX121" s="50" t="str">
        <f>IF(Atletas!P112="","",IF(Atletas!X112&lt;&gt;"",10000,0)+IF(Atletas!B112="Feminino",1000,IF(Atletas!B112="Masculino",2000,""))+IF(OR(Atletas!P112="Yang 26 D",Atletas!P112="Yang 40 D"),419,IF(OR(Atletas!P112="Chen 25 D",Atletas!P112="Chen 36 D",Atletas!P112="Chen 56 D"),420,IF(Atletas!P112="Sun 73 D",421,IF(Atletas!P112="Wu 45 D",422,IF(Atletas!P112="Wu-Hao 46 D",423,IF(OR(Atletas!P112="Taijiquan 16 D",Atletas!P112="Taijiquan 24 D",Atletas!P112="Taijiquan 32 D",Atletas!P112="Taijiquan 42 D"),424,IF(OR(Atletas!P112="Yang 26 E",Atletas!P112="Yang 40 E"),425,IF(OR(Atletas!P112="Chen 25 E",Atletas!P112="Chen 36 E",Atletas!P112="Chen 56 E"),426,IF(Atletas!P112="Sun 73 E",427,IF(Atletas!P112="Wu 45 E",428,IF(Atletas!P112="Wu-Hao 46 E",429,IF(OR(Atletas!P112="Taijiquan 16 E",Atletas!P112="Taijiquan 24 E",Atletas!P112="Taijiquan 32 E",Atletas!P112="Taijiquan 42 E"),430,IF(OR(Atletas!P112="Yang 26 F",Atletas!P112="Yang 40 F"),431,IF(OR(Atletas!P112="Chen 25 F",Atletas!P112="Chen 36 F",Atletas!P112="Chen 56 F"),432,IF(Atletas!P112="Sun 73 F",433,IF(Atletas!P112="Wu 45 F",434,IF(Atletas!P112="Wu-Hao 46 F",435,IF(OR(Atletas!P112="Taijiquan 16 F",Atletas!P112="Taijiquan 24 F",Atletas!P112="Taijiquan 32 F",Atletas!P112="Taijiquan 42 F"),436,0)))))))))))))))))))</f>
        <v/>
      </c>
      <c r="BY121" s="50" t="str">
        <f>IF(Atletas!Q112="","",IF(Atletas!X112&lt;&gt;"",10000,0)+IF(Atletas!B112="Feminino",1000,IF(Atletas!B112="Masculino",2000,""))+IF(Atletas!Q112="Xingyiquan A",501,IF(Atletas!Q112="Baguazhang A",502,IF(Atletas!Q112="Outro Estilo Interno A",503,IF(Atletas!Q112="Xingyiquan B",504,IF(Atletas!Q112="Baguazhang B",505,IF(Atletas!Q112="Outro Estilo Interno B",506,IF(Atletas!Q112="Xingyiquan C",507,IF(Atletas!Q112="Baguazhang C",508,IF(Atletas!Q112="Outro Estilo Interno C",509,IF(Atletas!Q112="Xingyiquan D",510,IF(Atletas!Q112="Baguazhang D",511,IF(Atletas!Q112="Outro Estilo Interno D",512,IF(Atletas!Q112="Xingyiquan E",513,IF(Atletas!Q112="Baguazhang E",514,IF(Atletas!Q112="Outro Estilo Interno E",515,IF(Atletas!Q112="Xingyiquan F",516,IF(Atletas!Q112="Baguazhang F",517,IF(Atletas!Q112="Outro Estilo Interno F",518, "")))))))))))))))))))</f>
        <v/>
      </c>
      <c r="BZ121" s="50" t="str">
        <f>IF(Atletas!R112="","",IF(Atletas!X112&lt;&gt;"",10000,0)+IF(Atletas!B112="Feminino",1000,IF(Atletas!B112="Masculino",2000,""))+IF(Atletas!R112="Dao A",601,IF(Atletas!R112="Jian A",602,IF(Atletas!R112="Bishou A",603,IF(Atletas!R112="Shanzi A",604,IF(Atletas!R112="Outra Arma Curta A",605,IF(Atletas!R112="Dao B",606,IF(Atletas!R112="Jian B",607,IF(Atletas!R112="Bishou B",608,IF(Atletas!R112="Shanzi B",609,IF(Atletas!R112="Outra Arma Curta B",610,IF(Atletas!R112="Dao C",611,IF(Atletas!R112="Jian C",612,IF(Atletas!R112="Bishou C",613,IF(Atletas!R112="Shanzi C",614,IF(Atletas!R112="Outra Arma Curta C",615,IF(Atletas!R112="Dao D",616,IF(Atletas!R112="Jian D",617,IF(Atletas!R112="Bishou D",618,IF(Atletas!R112="Shanzi D",619,IF(Atletas!R112="Outra Arma Curta D",620,IF(Atletas!R112="Dao E",621,IF(Atletas!R112="Jian E",622,IF(Atletas!R112="Bishou E",623,IF(Atletas!R112="Shanzi E",624,IF(Atletas!R112="Outra Arma Curta E",625,IF(Atletas!R112="Dao F",626,IF(Atletas!R112="Jian F",627,IF(Atletas!R112="Bishou F",628,IF(Atletas!R112="Shanzi F",629,IF(Atletas!R112="Outra Arma Curta F",630, "")))))))))))))))))))))))))))))))</f>
        <v/>
      </c>
      <c r="CA121" s="50" t="str">
        <f>IF(Atletas!S112="","",IF(Atletas!X112&lt;&gt;"",10000,0)+IF(Atletas!B112="Feminino",1000,IF(Atletas!B112="Masculino",2000,""))+IF(Atletas!S112="Gun A",701,IF(Atletas!S112="Qiang A",702,IF(Atletas!S112="Pudao / Guandao A",703,IF(Atletas!S112="Outra Arma Longa A",704,IF(Atletas!S112="Gun B",705,IF(Atletas!S112="Qiang B",706,IF(Atletas!S112="Pudao / Guandao B",707,IF(Atletas!S112="Outra Arma Longa B",708,IF(Atletas!S112="Gun C",709,IF(Atletas!S112="Qiang C",710,IF(Atletas!S112="Pudao / Guandao C",711,IF(Atletas!S112="Outra Arma Longa C",712,IF(Atletas!S112="Gun D",713,IF(Atletas!S112="Qiang D",714,IF(Atletas!S112="Pudao / Guandao D",715,IF(Atletas!S112="Outra Arma Longa D",716,IF(Atletas!S112="Gun E",717,IF(Atletas!S112="Qiang E",718,IF(Atletas!S112="Pudao / Guandao E",719,IF(Atletas!S112="Outra Arma Longa E",720,IF(Atletas!S112="Gun F",721,IF(Atletas!S112="Qiang F",722,IF(Atletas!S112="Pudao / Guandao F",723,IF(Atletas!S112="Outra Arma Longa F",724,"")))))))))))))))))))))))))</f>
        <v/>
      </c>
      <c r="CB121" s="50" t="str">
        <f>IF(Atletas!T112="","",IF(Atletas!X112&lt;&gt;"",10000,0)+IF(Atletas!B112="Feminino",1000,IF(Atletas!B112="Masculino",2000,""))+IF(Atletas!T112="Outra Arma Dupla A",801,IF(Atletas!T112="Arma Maleável A",802,IF(Atletas!T112="Outra Arma Dupla B",803,IF(Atletas!T112="Arma Maleável B",804,IF(Atletas!T112="Outra Arma Dupla C",805,IF(Atletas!T112="Arma Maleável C",806,IF(Atletas!T112="Outra Arma Dupla D",807,IF(Atletas!T112="Arma Maleável D",808,IF(Atletas!T112="Outra Arma Dupla E",809,IF(Atletas!T112="Arma Maleável E",810,IF(Atletas!T112="Outra Arma Dupla F",811,IF(Atletas!T112="Arma Maleável F",812,IF(Atletas!T112="Shuangdao A",813,IF(Atletas!T112="Shuangdao B",814,IF(Atletas!T112="Shuangdao C",815,IF(Atletas!T112="Shuangdao D",816,IF(Atletas!T112="Shuangdao E",817,IF(Atletas!T112="Shuangdao F",818,"")))))))))))))))))))</f>
        <v/>
      </c>
      <c r="CC121" s="50" t="str">
        <f>IF(Atletas!U112="","",IF(Atletas!X112&lt;&gt;"",10000,0)+IF(Atletas!B112="Feminino",1000,IF(Atletas!B112="Masculino",2000,""))+IF(OR(Atletas!U112="Taijijian Yang A",Atletas!U112="Taijijian Yang Standard A"),901,IF(OR(Atletas!U112="Taijijian Chen A", Atletas!U112="Taijijian Chen Standard A"),902,IF(Atletas!U112="Taijijian Sun A",903,IF(Atletas!U112="Taijijian Wu A",904,IF(Atletas!U112="Taijijian Wu-Hao A",905,IF(OR(Atletas!U112="Taijijian 32 A",Atletas!U112="Taijijian 42 A"),906,IF(OR(Atletas!U112="Taijijian Yang B",Atletas!U112="Taijijian Yang Standard B"),907,IF(OR(Atletas!U112="Taijijian Chen B", Atletas!U112="Taijijian Chen Standard B"),908,IF(Atletas!U112="Taijijian Sun B",909,IF(Atletas!U112="Taijijian Wu B",910,IF(Atletas!U112="Taijijian Wu-Hao B",911,IF(OR(Atletas!U112="Taijijian 32 B",Atletas!U112="Taijijian 42 B"),912,IF(OR(Atletas!U112="Taijijian Yang C",Atletas!U112="Taijijian Yang Standard C"),913,IF(OR(Atletas!U112="Taijijian Chen C", Atletas!U112="Taijijian Chen Standard C"),914,IF(Atletas!U112="Taijijian Sun C",915,IF(Atletas!U112="Taijijian Wu C",916,IF(Atletas!U112="Taijijian Wu-Hao C",917,IF(OR(Atletas!U112="Taijijian 32 C",Atletas!U112="Taijijian 42 C"),918,IF(OR(Atletas!U112="Taijijian Yang D",Atletas!U112="Taijijian Yang Standard D"),919,IF(OR(Atletas!U112="Taijijian Chen D", Atletas!U112="Taijijian Chen Standard D"),920,IF(Atletas!U112="Taijijian Sun D",921,IF(Atletas!U112="Taijijian Wu D",922,IF(Atletas!U112="Taijijian Wu-Hao D",923,IF(OR(Atletas!U112="Taijijian 32 D",Atletas!U112="Taijijian 42 D"),924,IF(OR(Atletas!U112="Taijijian Yang E",Atletas!U112="Taijijian Yang Standard E"),925,IF(OR(Atletas!U112="Taijijian Chen E", Atletas!U112="Taijijian Chen Standard E"),926,IF(Atletas!U112="Taijijian Sun E",927,IF(Atletas!U112="Taijijian Wu E",928,IF(Atletas!U112="Taijijian Wu-Hao E",929,IF(OR(Atletas!U112="Taijijian 32 E",Atletas!U112="Taijijian 42 E"),930,IF(OR(Atletas!U112="Taijijian Yang F",Atletas!U112="Taijijian Yang Standard F"),931,IF(OR(Atletas!U112="Taijijian Chen F", Atletas!U112="Taijijian Chen Standard F"),932,IF(Atletas!U112="Taijijian Sun F",933,IF(Atletas!U112="Taijijian Wu F",934,IF(Atletas!U112="Taijijian Wu-Hao F",935,IF(OR(Atletas!U112="Taijijian 32 F",Atletas!U112="Taijijian 42 F"),936,"")))))))))))))))))))))))))))))))))))))</f>
        <v/>
      </c>
      <c r="CD121" s="50" t="str">
        <f>IF(Atletas!V112="","",IF(Atletas!X112&lt;&gt;"",10000,0)+IF(Atletas!B112="Feminino",1000,IF(Atletas!B112="Masculino",2000,""))+IF(Atletas!V112="Taijidao A",937,IF(Atletas!V112="TaijiShanzi A",938,IF(Atletas!V112="Taijiqiang A",939,IF(Atletas!V112="Bagua de Arma A",940,IF(Atletas!V112="Xingyi de Arma A",941,IF(Atletas!V112="Taijidao B",942,IF(Atletas!V112="TaijiShanzi B",943,IF(Atletas!V112="Taijiqiang B",944,IF(Atletas!V112="Bagua de Arma B",945,IF(Atletas!V112="Xingyi de Arma B",946,IF(Atletas!V112="Taijidao C",947,IF(Atletas!V112="TaijiShanzi C",948,IF(Atletas!V112="Taijiqiang C",949,IF(Atletas!V112="Bagua de Arma C",950,IF(Atletas!V112="Xingyi de Arma C",951,IF(Atletas!V112="Taijidao D",952,IF(Atletas!V112="TaijiShanzi D",953,IF(Atletas!V112="Taijiqiang D",954,IF(Atletas!V112="Bagua de Arma D",955,IF(Atletas!V112="Xingyi de Arma D",956,IF(Atletas!V112="Taijidao E",957,IF(Atletas!V112="TaijiShanzi E",958,IF(Atletas!V112="Taijiqiang E",959,IF(Atletas!V112="Bagua de Arma E",960,IF(Atletas!V112="Xingyi de Arma E",961,IF(Atletas!V112="Taijidao F",962,IF(Atletas!V112="TaijiShanzi F",963,IF(Atletas!V112="Taijiqiang F",964,IF(Atletas!V112="Bagua de Arma F",965,IF(Atletas!V112="Xingyi de Arma F",966,"")))))))))))))))))))))))))))))))</f>
        <v/>
      </c>
      <c r="CE121" s="66" t="str">
        <f>IF(CF121&lt;&gt;"","Ditangquan A","")</f>
        <v/>
      </c>
      <c r="CF121" s="66" t="str">
        <f>IF(COUNTIF(BR:CD,1201)&gt;0,COUNTIF(BR:CD,1201),"")</f>
        <v/>
      </c>
      <c r="CG121" s="66" t="str">
        <f>IF(CH121&lt;&gt;"","Ditangquan A","")</f>
        <v/>
      </c>
      <c r="CH121" s="66" t="str">
        <f>IF(COUNTIF(BR:CD,2201)&gt;0,COUNTIF(BR:CD,2201),"")</f>
        <v/>
      </c>
      <c r="CI121" s="66" t="str">
        <f>IF(CJ121&lt;&gt;"","Ditangquan C","")</f>
        <v/>
      </c>
      <c r="CJ121" s="66" t="str">
        <f>IF(COUNTIF(BR:CD,11207)&gt;0,COUNTIF(BR:CD,11207),"")</f>
        <v/>
      </c>
      <c r="CK121" s="66" t="str">
        <f>IF(CL121&lt;&gt;"","Ditangquan C","")</f>
        <v/>
      </c>
      <c r="CL121" s="66" t="str">
        <f>IF(COUNTIF(BR:CD,12207)&gt;0,COUNTIF(BR:CD,12207),"")</f>
        <v/>
      </c>
      <c r="CM121" s="50" t="str">
        <f xml:space="preserve"> IF(Atletas!W112="","",IF(Atletas!W112="Duilian de Mãos BC - Equipe 1",1,IF(Atletas!W112="Duilian de Mãos BC - Equipe 2",2,IF(Atletas!W112="Duilian de Armas BC - Equipe 1",3,IF(Atletas!W112="Duilian de Armas BC - Equipe 2",4,IF(Atletas!W112="Duilian de Mãos DE - Equipe 1",5,IF(Atletas!W112="Duilian de Mãos DE - Equipe 2",6,IF(Atletas!W112="Duilian de Armas DE - Equipe 1",7,IF(Atletas!W112="Duilian de Armas DE - Equipe 2",8,IF(Atletas!W112="Duilian de Tuishou - Equipe 1",9,IF(Atletas!W112="Duilian de Tuishou - Equipe 2",10,IF(Atletas!W112="Grupo Externo ABC - Equipe 1",11,IF(Atletas!W112="Grupo Externo ABC - Equipe 2",12,IF(Atletas!W112="Grupo Interno ABC - Equipe 1",13,IF(Atletas!W112="Grupo Interno ABC - Equipe 2",14,IF(Atletas!W112="Grupo Externo DEF - Equipe 1",15,IF(Atletas!W112="Grupo Externo DEF - Equipe 2",16,IF(Atletas!W112="Grupo Interno DEF - Equipe 1",17,IF(Atletas!W112="Grupo Interno DEF - Equipe 2",18,"")))))))))))))))))))</f>
        <v/>
      </c>
    </row>
    <row r="122" spans="2:91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 t="str">
        <f t="array" ref="Z122">IFERROR(INDEX(CE$7:CE$348,SMALL(IF(CE$7:CE$348&lt;&gt;"",ROW(CE$7:CE$348)-ROW(CE$7)+1),ROWS(CE$7:CE121))),"")</f>
        <v/>
      </c>
      <c r="AA122" s="3" t="str">
        <f t="array" ref="AA122">IFERROR(INDEX(CF$7:CF$348,SMALL(IF(CF$7:CF$348&lt;&gt;"",ROW(CF$7:CF$348)-ROW(CF$7)+1),ROWS(CF$7:CF121))),"")</f>
        <v/>
      </c>
      <c r="AB122" s="3" t="str">
        <f t="array" ref="AB122">IFERROR(INDEX(CG$7:CG$348,SMALL(IF(CG$7:CG$348&lt;&gt;"",ROW(CG$7:CG$348)-ROW(CG$7)+1),ROWS(CG$7:CG121))),"")</f>
        <v/>
      </c>
      <c r="AC122" s="3" t="str">
        <f t="array" ref="AC122">IFERROR(INDEX(CH$7:CH$348,SMALL(IF(CH$7:CH$348&lt;&gt;"",ROW(CH$7:CH$348)-ROW(CH$7)+1),ROWS(CH$7:CH121))),"")</f>
        <v/>
      </c>
      <c r="AD122" s="3" t="str">
        <f t="array" ref="AD122">IFERROR(INDEX(CI$7:CI$377,SMALL(IF(CI$7:CI$377&lt;&gt;"",ROW(CI$7:CI$377)-ROW(CI$7)+1),ROWS(CI$7:CI121))),"")</f>
        <v/>
      </c>
      <c r="AE122" s="3" t="str">
        <f t="array" ref="AE122">IFERROR(INDEX(CJ$7:CJ$378,SMALL(IF(CJ$7:CJ$378&lt;&gt;"",ROW(CJ$7:CJ$378)-ROW(CJ$7)+1),ROWS(CJ$7:CJ121))),"")</f>
        <v/>
      </c>
      <c r="AF122" s="3" t="str">
        <f t="array" ref="AF122">IFERROR(INDEX(CK$7:CK$378,SMALL(IF(CK$7:CK$378&lt;&gt;"",ROW(CK$7:CK$378)-ROW(CK$7)+1),ROWS(CK$7:CK121))),"")</f>
        <v/>
      </c>
      <c r="AG122" s="3" t="str">
        <f t="array" ref="AG122">IFERROR(INDEX(CL$7:CL$378,SMALL(IF(CL$7:CL$378&lt;&gt;"",ROW(CL$7:CL$378)-ROW(CL$7)+1),ROWS(CL$7:CL121))),"")</f>
        <v/>
      </c>
      <c r="AH122" s="3"/>
      <c r="AI122" s="3"/>
      <c r="AJ122" s="3"/>
      <c r="AK122" s="3"/>
      <c r="AL122" s="3"/>
      <c r="AM122" s="3"/>
      <c r="AN122" s="52" t="str">
        <f>IF(Atletas!D113="","",IF(Atletas!B113="Feminino",100,IF(Atletas!B113="Masculino",200,""))+(IF(Atletas!D113="Kids 30kg",1,IF(Atletas!D113="Kids 32kg",2, IF(Atletas!D113="Kids 34kg",3,IF(Atletas!D113="Kids 36kg",4,IF(Atletas!D113="Kids 39kg",5,IF(Atletas!D113="Kids 42kg",6,IF(Atletas!D113="Kids 45kg",7, IF(Atletas!D113="Infantil 39kg",8,IF(Atletas!D113="Infantil 42kg",9,IF(Atletas!D113="Infantil 45kg",10,IF(Atletas!D113="Infantil 48kg",11,IF(Atletas!D113="Infantil 52kg",12,IF(Atletas!D113="Infantil 56kg",13,IF(Atletas!D113="Infantil 60kg",14,IF(Atletas!D113="Juvenil 48kg",15,IF(Atletas!D113="Juvenil 52kg",16,IF(Atletas!D113="Juvenil 56kg",17,IF(Atletas!D113="Juvenil 60kg",18,IF(Atletas!D113="Juvenil 65kg",19,IF(Atletas!D113="Juvenil 70kg",20,IF(Atletas!D113="Juvenil 75kg",21,IF(Atletas!D113="Juvenil 80kg",22, IF(Atletas!D113="Juvenil 85kg",23,IF(Atletas!D113="Adulto 48kg",24,IF(Atletas!D113="Adulto 52kg",25,IF(Atletas!D113="Adulto 56kg",26,IF(Atletas!D113="Adulto 60kg",27,IF(Atletas!D113="Adulto 65kg",28,IF(Atletas!D113="Adulto 70kg",29,IF(Atletas!D113="Adulto 75kg",30,IF(Atletas!D113="Adulto 80kg",31,IF(Atletas!D113="Adulto 85kg",32,IF(Atletas!D113="Adulto 90kg",33,IF(Atletas!D113="Adulto 100kg",34, IF(Atletas!D113="Adulto +100kg",35,"")))))))))))))))))))))))))))))))))))))</f>
        <v/>
      </c>
      <c r="AS122" s="6" t="str">
        <f>IF(Atletas!E113="","",IF(Atletas!B113="Feminino",100,IF(Atletas!B113="Masculino",200,""))+(IF(Atletas!E113="Juvenil 44kg",1,IF(Atletas!E113="Juvenil 48kg",2,IF(Atletas!E113="Juvenil 52kg",3,IF(Atletas!E113="Juvenil 56kg",4,IF(Atletas!E113="Juvenil 60kg",5,IF(Atletas!E113="Juvenil 65kg",6,IF(Atletas!E113="Juvenil 70kg",7,IF(Atletas!E113="Juvenil 75kg",8,IF(Atletas!E113="Juvenil 82kg",9,IF(Atletas!E113="Juvenil 90kg",10,IF(Atletas!E113="Juvenil 100kg",11,IF(Atletas!E113="Adulto 48kg",12,IF(Atletas!E113="Adulto 52kg",13,IF(Atletas!E113="Adulto 56kg",14,IF(Atletas!E113="Adulto 60kg",15,IF(Atletas!E113="Adulto 65kg",16,IF(Atletas!E113="Adulto 70kg",17,IF(Atletas!E113="Adulto 75kg",18,IF(Atletas!E113="Adulto 82kg",19,IF(Atletas!E113="Adulto 90kg",20,IF(Atletas!E113="Adulto 100kg",21,IF(Atletas!E113="Adulto +100kg",22,""))))))))))))))))))))))))</f>
        <v/>
      </c>
      <c r="AX122" s="6" t="str">
        <f>IF(Atletas!F113="","",IF(Atletas!B113="Feminino",100,IF(Atletas!B113="Masculino",200,""))+(IF(Atletas!F113="Adulto 48kg",1,IF(Atletas!F113="Adulto 56kg",2,IF(Atletas!F113="Adulto 65kg",3,IF(Atletas!F113="Adulto 75kg",4,IF(Atletas!F113="Adulto +75kg",5,IF(Atletas!F113="Adulto 52kg",6,IF(Atletas!F113="Adulto 60kg",7,IF(Atletas!F113="Adulto 70kg",8,IF(Atletas!F113="Adulto 80kg",9,IF(Atletas!F113="Adulto 90kg",10,IF(Atletas!F113="Adulto +90kg",11,"")))))))))))))</f>
        <v/>
      </c>
      <c r="BC122" s="6" t="str">
        <f>IF(Atletas!G113="","",IF(Atletas!B113="Feminino",10,IF(Atletas!B113="Masculino",20,""))+(IF(Atletas!G113="Baduanjin A",1,IF(Atletas!G113="Baduanjin B",2))))</f>
        <v/>
      </c>
      <c r="BF122" s="52" t="str">
        <f>IF(Atletas!H113="","",IF(Atletas!B113="Feminino",100,IF(Atletas!B113="Masculino",200,""))+(IF(Atletas!H113="Changquan Mirim",1,IF(Atletas!H113="Nanquan Mirim",2,IF(Atletas!H113="Taijiquan Mirim",3,IF(Atletas!H113="Changquan Grupo C",4,IF(Atletas!H113="Nanquan Grupo C",5,IF(Atletas!H113="Taijiquan Grupo C",6,IF(Atletas!H113="Changquan Grupo B",7,IF(Atletas!H113="Nanquan Grupo B",8,IF(Atletas!H113="Taijiquan Grupo B",9,IF(Atletas!H113="Changquan Grupo A",10,IF(Atletas!H113="Nanquan Grupo A",11,IF(Atletas!H113="Taijiquan Grupo A",12,IF(Atletas!H113="Changquan Opcional",13,IF(Atletas!H113="Nanquan Opcional",14,IF(Atletas!H113="Taijiquan Opcional",15,IF(Atletas!H113="Changquan Adulto",16,IF(Atletas!H113="Nanquan Adulto",17,IF(Atletas!H113="Taijiquan Adulto",18,""))))))))))))))))))))</f>
        <v/>
      </c>
      <c r="BG122" s="52" t="str">
        <f>IF(Atletas!I113="","",IF(Atletas!B113="Feminino",100,IF(Atletas!B113="Masculino",200,""))+(IF(Atletas!I113="Daoshu Mirim",19,IF(Atletas!I113="Jianshu Mirim",20,IF(Atletas!I113="Nandao Mirim",21,IF(Atletas!I113="Taijijian Mirim",22,IF(Atletas!I113="Daoshu Grupo C",23,IF(Atletas!I113="Jianshu Grupo C",24,IF(Atletas!I113="Nandao Grupo C",25,IF(Atletas!I113="Taijijian Grupo C",26,IF(Atletas!I113="Daoshu Grupo B",27,IF(Atletas!I113="Jianshu Grupo B",28,IF(Atletas!I113="Nandao Grupo B",29,IF(Atletas!I113="Taijijian Grupo B",30,IF(Atletas!I113="Daoshu Grupo A",31,IF(Atletas!I113="Jianshu Grupo A",32,IF(Atletas!I113="Nandao Grupo A",33,IF(Atletas!I113="Taijijian Grupo A",34,IF(Atletas!I113="Daoshu Opcional",35,IF(Atletas!I113="Jianshu Opcional",36,IF(Atletas!I113="Nandao Opcional",37,IF(Atletas!I113="Taijijian Opcional",38,IF(Atletas!I113="Daoshu Adulto",39,IF(Atletas!I113="Jianshu Adulto",40,IF(Atletas!I113="Nandao Adulto",41,IF(Atletas!I113="Taijijian Adulto",42,""))))))))))))))))))))))))))</f>
        <v/>
      </c>
      <c r="BH122" s="52" t="str">
        <f>IF(Atletas!J113="","",IF(Atletas!B113="Feminino",100,IF(Atletas!B113="Masculino",200,""))+(IF(Atletas!J113="Gunshu Mirim",43,IF(Atletas!J113="Qiangshu Mirim",44,IF(Atletas!J113="Nangun Mirim",45,IF(Atletas!J113="Gunshu Grupo C",46,IF(Atletas!J113="Qiangshu Grupo C",47,IF(Atletas!J113="Nangun Grupo C",48,IF(Atletas!J113="Gunshu Grupo B",49,IF(Atletas!J113="Qiangshu Grupo B",50,IF(Atletas!J113="Nangun Grupo B",51,IF(Atletas!J113="Gunshu Grupo A",52,IF(Atletas!J113="Qiangshu Grupo A",53,IF(Atletas!J113="Nangun Grupo A",54,IF(Atletas!J113="Gunshu Opcional",55,IF(Atletas!J113="Qiangshu Opcional",56,IF(Atletas!J113="Nangun Opcional",57,IF(Atletas!J113="Gunshu Adulto",58,IF(Atletas!J113="Qiangshu Adulto",59,IF(Atletas!J113="Nangun Adulto",60,IF(Atletas!J113="Taijishan Grupo B",61,IF(Atletas!J113="Taijishan Grupo A",62,""))))))))))))))))))))))</f>
        <v/>
      </c>
      <c r="BM122" s="50" t="str">
        <f>IF(Atletas!K113="","",IF(Atletas!B113="Feminino",100,IF(Atletas!B113="Masculino",200,""))+(IF(Atletas!K113="Equipe 1 Grupo B",1,IF(Atletas!K113="Equipe 2 Grupo B",2,IF(Atletas!K113="Equipe 1 Grupo A",3,IF(Atletas!K113="Equipe 2 Grupo A",4,IF(Atletas!K113="Equipe 1 Adulto",5,IF(Atletas!K113="Equipe 2 Adulto",6,""))))))))</f>
        <v/>
      </c>
      <c r="BR122" s="50" t="str">
        <f>IF(Atletas!L113="","",IF(Atletas!X113&lt;&gt;"",10000,0)+(IF(Atletas!B113="Feminino",1000,IF(Atletas!B113="Masculino",2000,""))+IF(Atletas!L113="Choylayfut A",1,IF(Atletas!L113="Hunggar A",2,IF(Atletas!L113="Wuzuquan A",3,IF(Atletas!L113="Wingchun A",4,IF(Atletas!L113="Outra Mão de Sul A",5,IF(Atletas!L113="Choylayfut B",6,IF(Atletas!L113="Hunggar B",7,IF(Atletas!L113="Wuzuquan B",8,IF(Atletas!L113="Wingchun B",9,IF(Atletas!L113="Outra Mão de Sul B",10,IF(Atletas!L113="Choylayfut C",11,IF(Atletas!L113="Hunggar C",12,IF(Atletas!L113="Wuzuquan C",13,IF(Atletas!L113="Wingchun C",14,IF(Atletas!L113="Outra Mão de Sul C",15,IF(Atletas!L113="Choylayfut D",16,IF(Atletas!L113="Hunggar D",17,IF(Atletas!L113="Wuzuquan D",18,IF(Atletas!L113="Wingchun D",19,IF(Atletas!L113="Outra Mão de Sul D",20,IF(Atletas!L113="Choylayfut E",21,IF(Atletas!L113="Hunggar E",22,IF(Atletas!L113="Wuzuquan E",23,IF(Atletas!L113="Wingchun E",24,IF(Atletas!L113="Outra Mão de Sul E",25,IF(Atletas!L113="Choylayfut F",26,IF(Atletas!L113="Hunggar F",27,IF(Atletas!L113="Wuzuquan F",28,IF(Atletas!L113="Wingchun F",29,IF(Atletas!L113="Outra Mão de Sul F",30,IF(Atletas!L113="Dishuquan A",31,IF(Atletas!L113="Dishuquan B",32,IF(Atletas!L113="Dishuquan C",33,IF(Atletas!L113="Dishuquan D",34,IF(Atletas!L113="Dishuquan E",35,IF(Atletas!L113="Dishuquan F",36,""))))))))))))))))))))))))))))))))))))))</f>
        <v/>
      </c>
      <c r="BS122" s="50" t="str">
        <f>IF(Atletas!M113="","",IF(Atletas!X113&lt;&gt;"",10000,0)+(IF(Atletas!B113="Feminino",1000,IF(Atletas!B113="Masculino",2000,""))+(IF(Atletas!M113="Chaquan A",101,IF(Atletas!M113="Emeiquan A",102,IF(Atletas!M113="Fanziquan A",103,IF(Atletas!M113="Huaquan A",104,IF(Atletas!M113="Hongquan A",105,IF(Atletas!M113="Paoquan A",106,IF(Atletas!M113="Piguaquan A",107,IF(Atletas!M113="Shaolinquan A",108,IF(Atletas!M113="Tanglangquan A",109,IF(Atletas!M113="Yingzhaoquan A",110,IF(Atletas!M113="Tongbeiquan A",111,IF(Atletas!M113="Wudangquan A",112,IF(Atletas!M113="Outros Estilos A",113,IF(Atletas!M113="Chaquan B",114,IF(Atletas!M113="Emeiquan B",115,IF(Atletas!M113="Fanziquan B",116,IF(Atletas!M113="Huaquan B",117,IF(Atletas!M113="Hongquan B",118,IF(Atletas!M113="Paoquan B",119,IF(Atletas!M113="Piguaquan B",120,IF(Atletas!M113="Shaolinquan B",121,IF(Atletas!M113="Tanglangquan B",122,IF(Atletas!M113="Yingzhaoquan B",123,IF(Atletas!M113="Tongbeiquan B",124,IF(Atletas!M113="Wudangquan B",125,IF(Atletas!M113="Outros Estilos B",126,IF(Atletas!M113="Chaquan C",127,IF(Atletas!M113="Emeiquan C",128,IF(Atletas!M113="Fanziquan C",129,IF(Atletas!M113="Huaquan C",130,IF(Atletas!M113="Hongquan C",131,IF(Atletas!M113="Paoquan C",132,IF(Atletas!M113="Piguaquan C",133,IF(Atletas!M113="Shaolinquan C",134,IF(Atletas!M113="Tanglangquan C",135,IF(Atletas!M113="Yingzhaoquan C",136,IF(Atletas!M113="Tongbeiquan C",137,IF(Atletas!M113="Wudangquan C",138,IF(Atletas!M113="Outros Estilos C",139,0))))))))))))))))))))))))))))))))))))))))))</f>
        <v/>
      </c>
      <c r="BT122" s="50" t="str">
        <f>IF(Atletas!M113="","",IF(Atletas!X113&lt;&gt;"",10000,0)+(IF(Atletas!B113="Feminino",1000,IF(Atletas!B113="Masculino",2000,""))+(IF(Atletas!M113="Chaquan D",140,IF(Atletas!M113="Emeiquan D",141,IF(Atletas!M113="Fanziquan D",142,IF(Atletas!M113="Huaquan D",143,IF(Atletas!M113="Hongquan D",144,IF(Atletas!M113="Paoquan D",145,IF(Atletas!M113="Piguaquan D",146,IF(Atletas!M113="Shaolinquan D",147,IF(Atletas!M113="Tanglangquan D",148,IF(Atletas!M113="Yingzhaoquan D",149,IF(Atletas!M113="Tongbeiquan D",150,IF(Atletas!M113="Wudangquan D",151,IF(Atletas!M113="Outros Estilos D",152,IF(Atletas!M113="Chaquan E",153,IF(Atletas!M113="Emeiquan E",154,IF(Atletas!M113="Fanziquan E",155,IF(Atletas!M113="Huaquan E",156,IF(Atletas!M113="Hongquan E",157,IF(Atletas!M113="Paoquan E",158,IF(Atletas!M113="Piguaquan E",159,IF(Atletas!M113="Shaolinquan E",160,IF(Atletas!M113="Tanglangquan E",161,IF(Atletas!M113="Yingzhaoquan E",162,IF(Atletas!M113="Tongbeiquan E",163,IF(Atletas!M113="Wudangquan E",164,IF(Atletas!M113="Outros Estilos E",165,IF(Atletas!M113="Chaquan F",166,IF(Atletas!M113="Emeiquan F",167,IF(Atletas!M113="Fanziquan F",168,IF(Atletas!M113="Huaquan F",169,IF(Atletas!M113="Hongquan F",170,IF(Atletas!M113="Paoquan F",171,IF(Atletas!M113="Piguaquan F",172,IF(Atletas!M113="Shaolinquan F",173,IF(Atletas!M113="Tanglangquan F",174,IF(Atletas!M113="Yingzhaoquan F",175,IF(Atletas!M113="Tongbeiquan F",176,IF(Atletas!M113="Wudangquan F",177,IF(Atletas!M113="Outros Estilos F",178,0))))))))))))))))))))))))))))))))))))))))))</f>
        <v/>
      </c>
      <c r="BU122" s="50" t="str">
        <f>IF(Atletas!N113="","",IF(Atletas!X113&lt;&gt;"",10000,0)+(IF(Atletas!B113="Feminino",1000,IF(Atletas!B113="Masculino",2000,""))+(IF(Atletas!N113="Ditangquan A",201,IF(Atletas!N113="Houquan A",202,IF(Atletas!N113="Zuiquan A",203,IF(Atletas!N113="Ditangquan B",204,IF(Atletas!N113="Houquan B",205,IF(Atletas!N113="Zuiquan B",206,IF(Atletas!N113="Ditangquan C",207,IF(Atletas!N113="Houquan C",208,IF(Atletas!N113="Zuiquan C",209,IF(Atletas!N113="Ditangquan D",210,IF(Atletas!N113="Houquan D",211,IF(Atletas!N113="Zuiquan D",212,IF(Atletas!N113="Ditangquan E",213,IF(Atletas!N113="Houquan E",214,IF(Atletas!N113="Zuiquan E",215,IF(Atletas!N113="Ditangquan F",216,IF(Atletas!N113="Houquan F",217,IF(Atletas!N113="Zuiquan F",218,"")))))))))))))))))))))</f>
        <v/>
      </c>
      <c r="BV122" s="50" t="str">
        <f>IF(Atletas!O113="","",IF(Atletas!X113&lt;&gt;"",10000,0)+IF(Atletas!B113="Feminino",1000,IF(Atletas!B113="Masculino",2000,""))+IF(Atletas!O113="Yang A",301,IF(Atletas!O113="Chen A",302,IF(Atletas!O113="Sun A",303,IF(Atletas!O113="Wu A",304,IF(Atletas!O113="Wu-Hao A",305,IF(Atletas!O113="Outro Taijiquan A",306,IF(Atletas!O113="Yang B",307,IF(Atletas!O113="Chen B",308,IF(Atletas!O113="Sun B",309,IF(Atletas!O113="Wu B",310,IF(Atletas!O113="Wu-Hao B",311,IF(Atletas!O113="Outro Taijiquan B",312,IF(Atletas!O113="Yang C",313,IF(Atletas!O113="Chen C",314,IF(Atletas!O113="Sun C",315,IF(Atletas!O113="Wu C",316,IF(Atletas!O113="Wu-Hao C",317,IF(Atletas!O113="Outro Taijiquan C",318,IF(Atletas!O113="Yang D",319,IF(Atletas!O113="Chen D",320,IF(Atletas!O113="Sun D",321,IF(Atletas!O113="Wu D",322,IF(Atletas!O113="Wu-Hao D",323,IF(Atletas!O113="Outro Taijiquan D",324,IF(Atletas!O113="Yang E",325,IF(Atletas!O113="Chen E",326,IF(Atletas!O113="Sun E",327,IF(Atletas!O113="Wu E",328,IF(Atletas!O113="Wu-Hao E",329,IF(Atletas!O113="Outro Taijiquan E",330,IF(Atletas!O113="Yang F",331,IF(Atletas!O113="Chen F",332,IF(Atletas!O113="Sun F",333,IF(Atletas!O113="Wu F",334,IF(Atletas!O113="Wu-Hao F",335,IF(Atletas!O113="Outro Taijiquan F",336,"")))))))))))))))))))))))))))))))))))))</f>
        <v/>
      </c>
      <c r="BW122" s="50" t="str">
        <f>IF(Atletas!P113="","",IF(Atletas!X113&lt;&gt;"",10000,0)+IF(Atletas!B113="Feminino",1000,IF(Atletas!B113="Masculino",2000,""))+IF(OR(Atletas!P113="Yang 26 A",Atletas!P113="Yang 40 A"),401,IF(OR(Atletas!P113="Chen 25 A",Atletas!P113="Chen 36 A",Atletas!P113="Chen 56 A"),402,IF(Atletas!P113="Sun 73 A",403,IF(Atletas!P113="Wu 45 A",404,IF(Atletas!P113="Wu-Hao 46 A",405,IF(OR(Atletas!P113="Taijiquan 16 A",Atletas!P113="Taijiquan 24 A",Atletas!P113="Taijiquan 32 A",Atletas!P113="Taijiquan 42 A"),406,IF(OR(Atletas!P113="Yang 26 B",Atletas!P113="Yang 40 B"),407,IF(OR(Atletas!P113="Chen 25 B",Atletas!P113="Chen 36 B",Atletas!P113="Chen 56 B"),408,IF(Atletas!P113="Sun 73 B",409,IF(Atletas!P113="Wu 45 B",410,IF(Atletas!P113="Wu-Hao 46 B",411,IF(OR(Atletas!P113="Taijiquan 16 B",Atletas!P113="Taijiquan 24 B",Atletas!P113="Taijiquan 32 B",Atletas!P113="Taijiquan 42 B"),412,IF(OR(Atletas!P113="Yang 26 C",Atletas!P113="Yang 40 C"),413,IF(OR(Atletas!P113="Chen 25 C",Atletas!P113="Chen 36 C",Atletas!P113="Chen 56 C"),414,IF(Atletas!P113="Sun 73 C",415,IF(Atletas!P113="Wu 45 C",416,IF(Atletas!P113="Wu-Hao 46 C",417,IF(OR(Atletas!P113="Taijiquan 16 C",Atletas!P113="Taijiquan 24 C",Atletas!P113="Taijiquan 32 C",Atletas!P113="Taijiquan 42 C"),418,0)))))))))))))))))))</f>
        <v/>
      </c>
      <c r="BX122" s="50" t="str">
        <f>IF(Atletas!P113="","",IF(Atletas!X113&lt;&gt;"",10000,0)+IF(Atletas!B113="Feminino",1000,IF(Atletas!B113="Masculino",2000,""))+IF(OR(Atletas!P113="Yang 26 D",Atletas!P113="Yang 40 D"),419,IF(OR(Atletas!P113="Chen 25 D",Atletas!P113="Chen 36 D",Atletas!P113="Chen 56 D"),420,IF(Atletas!P113="Sun 73 D",421,IF(Atletas!P113="Wu 45 D",422,IF(Atletas!P113="Wu-Hao 46 D",423,IF(OR(Atletas!P113="Taijiquan 16 D",Atletas!P113="Taijiquan 24 D",Atletas!P113="Taijiquan 32 D",Atletas!P113="Taijiquan 42 D"),424,IF(OR(Atletas!P113="Yang 26 E",Atletas!P113="Yang 40 E"),425,IF(OR(Atletas!P113="Chen 25 E",Atletas!P113="Chen 36 E",Atletas!P113="Chen 56 E"),426,IF(Atletas!P113="Sun 73 E",427,IF(Atletas!P113="Wu 45 E",428,IF(Atletas!P113="Wu-Hao 46 E",429,IF(OR(Atletas!P113="Taijiquan 16 E",Atletas!P113="Taijiquan 24 E",Atletas!P113="Taijiquan 32 E",Atletas!P113="Taijiquan 42 E"),430,IF(OR(Atletas!P113="Yang 26 F",Atletas!P113="Yang 40 F"),431,IF(OR(Atletas!P113="Chen 25 F",Atletas!P113="Chen 36 F",Atletas!P113="Chen 56 F"),432,IF(Atletas!P113="Sun 73 F",433,IF(Atletas!P113="Wu 45 F",434,IF(Atletas!P113="Wu-Hao 46 F",435,IF(OR(Atletas!P113="Taijiquan 16 F",Atletas!P113="Taijiquan 24 F",Atletas!P113="Taijiquan 32 F",Atletas!P113="Taijiquan 42 F"),436,0)))))))))))))))))))</f>
        <v/>
      </c>
      <c r="BY122" s="50" t="str">
        <f>IF(Atletas!Q113="","",IF(Atletas!X113&lt;&gt;"",10000,0)+IF(Atletas!B113="Feminino",1000,IF(Atletas!B113="Masculino",2000,""))+IF(Atletas!Q113="Xingyiquan A",501,IF(Atletas!Q113="Baguazhang A",502,IF(Atletas!Q113="Outro Estilo Interno A",503,IF(Atletas!Q113="Xingyiquan B",504,IF(Atletas!Q113="Baguazhang B",505,IF(Atletas!Q113="Outro Estilo Interno B",506,IF(Atletas!Q113="Xingyiquan C",507,IF(Atletas!Q113="Baguazhang C",508,IF(Atletas!Q113="Outro Estilo Interno C",509,IF(Atletas!Q113="Xingyiquan D",510,IF(Atletas!Q113="Baguazhang D",511,IF(Atletas!Q113="Outro Estilo Interno D",512,IF(Atletas!Q113="Xingyiquan E",513,IF(Atletas!Q113="Baguazhang E",514,IF(Atletas!Q113="Outro Estilo Interno E",515,IF(Atletas!Q113="Xingyiquan F",516,IF(Atletas!Q113="Baguazhang F",517,IF(Atletas!Q113="Outro Estilo Interno F",518, "")))))))))))))))))))</f>
        <v/>
      </c>
      <c r="BZ122" s="50" t="str">
        <f>IF(Atletas!R113="","",IF(Atletas!X113&lt;&gt;"",10000,0)+IF(Atletas!B113="Feminino",1000,IF(Atletas!B113="Masculino",2000,""))+IF(Atletas!R113="Dao A",601,IF(Atletas!R113="Jian A",602,IF(Atletas!R113="Bishou A",603,IF(Atletas!R113="Shanzi A",604,IF(Atletas!R113="Outra Arma Curta A",605,IF(Atletas!R113="Dao B",606,IF(Atletas!R113="Jian B",607,IF(Atletas!R113="Bishou B",608,IF(Atletas!R113="Shanzi B",609,IF(Atletas!R113="Outra Arma Curta B",610,IF(Atletas!R113="Dao C",611,IF(Atletas!R113="Jian C",612,IF(Atletas!R113="Bishou C",613,IF(Atletas!R113="Shanzi C",614,IF(Atletas!R113="Outra Arma Curta C",615,IF(Atletas!R113="Dao D",616,IF(Atletas!R113="Jian D",617,IF(Atletas!R113="Bishou D",618,IF(Atletas!R113="Shanzi D",619,IF(Atletas!R113="Outra Arma Curta D",620,IF(Atletas!R113="Dao E",621,IF(Atletas!R113="Jian E",622,IF(Atletas!R113="Bishou E",623,IF(Atletas!R113="Shanzi E",624,IF(Atletas!R113="Outra Arma Curta E",625,IF(Atletas!R113="Dao F",626,IF(Atletas!R113="Jian F",627,IF(Atletas!R113="Bishou F",628,IF(Atletas!R113="Shanzi F",629,IF(Atletas!R113="Outra Arma Curta F",630, "")))))))))))))))))))))))))))))))</f>
        <v/>
      </c>
      <c r="CA122" s="50" t="str">
        <f>IF(Atletas!S113="","",IF(Atletas!X113&lt;&gt;"",10000,0)+IF(Atletas!B113="Feminino",1000,IF(Atletas!B113="Masculino",2000,""))+IF(Atletas!S113="Gun A",701,IF(Atletas!S113="Qiang A",702,IF(Atletas!S113="Pudao / Guandao A",703,IF(Atletas!S113="Outra Arma Longa A",704,IF(Atletas!S113="Gun B",705,IF(Atletas!S113="Qiang B",706,IF(Atletas!S113="Pudao / Guandao B",707,IF(Atletas!S113="Outra Arma Longa B",708,IF(Atletas!S113="Gun C",709,IF(Atletas!S113="Qiang C",710,IF(Atletas!S113="Pudao / Guandao C",711,IF(Atletas!S113="Outra Arma Longa C",712,IF(Atletas!S113="Gun D",713,IF(Atletas!S113="Qiang D",714,IF(Atletas!S113="Pudao / Guandao D",715,IF(Atletas!S113="Outra Arma Longa D",716,IF(Atletas!S113="Gun E",717,IF(Atletas!S113="Qiang E",718,IF(Atletas!S113="Pudao / Guandao E",719,IF(Atletas!S113="Outra Arma Longa E",720,IF(Atletas!S113="Gun F",721,IF(Atletas!S113="Qiang F",722,IF(Atletas!S113="Pudao / Guandao F",723,IF(Atletas!S113="Outra Arma Longa F",724,"")))))))))))))))))))))))))</f>
        <v/>
      </c>
      <c r="CB122" s="50" t="str">
        <f>IF(Atletas!T113="","",IF(Atletas!X113&lt;&gt;"",10000,0)+IF(Atletas!B113="Feminino",1000,IF(Atletas!B113="Masculino",2000,""))+IF(Atletas!T113="Outra Arma Dupla A",801,IF(Atletas!T113="Arma Maleável A",802,IF(Atletas!T113="Outra Arma Dupla B",803,IF(Atletas!T113="Arma Maleável B",804,IF(Atletas!T113="Outra Arma Dupla C",805,IF(Atletas!T113="Arma Maleável C",806,IF(Atletas!T113="Outra Arma Dupla D",807,IF(Atletas!T113="Arma Maleável D",808,IF(Atletas!T113="Outra Arma Dupla E",809,IF(Atletas!T113="Arma Maleável E",810,IF(Atletas!T113="Outra Arma Dupla F",811,IF(Atletas!T113="Arma Maleável F",812,IF(Atletas!T113="Shuangdao A",813,IF(Atletas!T113="Shuangdao B",814,IF(Atletas!T113="Shuangdao C",815,IF(Atletas!T113="Shuangdao D",816,IF(Atletas!T113="Shuangdao E",817,IF(Atletas!T113="Shuangdao F",818,"")))))))))))))))))))</f>
        <v/>
      </c>
      <c r="CC122" s="50" t="str">
        <f>IF(Atletas!U113="","",IF(Atletas!X113&lt;&gt;"",10000,0)+IF(Atletas!B113="Feminino",1000,IF(Atletas!B113="Masculino",2000,""))+IF(OR(Atletas!U113="Taijijian Yang A",Atletas!U113="Taijijian Yang Standard A"),901,IF(OR(Atletas!U113="Taijijian Chen A", Atletas!U113="Taijijian Chen Standard A"),902,IF(Atletas!U113="Taijijian Sun A",903,IF(Atletas!U113="Taijijian Wu A",904,IF(Atletas!U113="Taijijian Wu-Hao A",905,IF(OR(Atletas!U113="Taijijian 32 A",Atletas!U113="Taijijian 42 A"),906,IF(OR(Atletas!U113="Taijijian Yang B",Atletas!U113="Taijijian Yang Standard B"),907,IF(OR(Atletas!U113="Taijijian Chen B", Atletas!U113="Taijijian Chen Standard B"),908,IF(Atletas!U113="Taijijian Sun B",909,IF(Atletas!U113="Taijijian Wu B",910,IF(Atletas!U113="Taijijian Wu-Hao B",911,IF(OR(Atletas!U113="Taijijian 32 B",Atletas!U113="Taijijian 42 B"),912,IF(OR(Atletas!U113="Taijijian Yang C",Atletas!U113="Taijijian Yang Standard C"),913,IF(OR(Atletas!U113="Taijijian Chen C", Atletas!U113="Taijijian Chen Standard C"),914,IF(Atletas!U113="Taijijian Sun C",915,IF(Atletas!U113="Taijijian Wu C",916,IF(Atletas!U113="Taijijian Wu-Hao C",917,IF(OR(Atletas!U113="Taijijian 32 C",Atletas!U113="Taijijian 42 C"),918,IF(OR(Atletas!U113="Taijijian Yang D",Atletas!U113="Taijijian Yang Standard D"),919,IF(OR(Atletas!U113="Taijijian Chen D", Atletas!U113="Taijijian Chen Standard D"),920,IF(Atletas!U113="Taijijian Sun D",921,IF(Atletas!U113="Taijijian Wu D",922,IF(Atletas!U113="Taijijian Wu-Hao D",923,IF(OR(Atletas!U113="Taijijian 32 D",Atletas!U113="Taijijian 42 D"),924,IF(OR(Atletas!U113="Taijijian Yang E",Atletas!U113="Taijijian Yang Standard E"),925,IF(OR(Atletas!U113="Taijijian Chen E", Atletas!U113="Taijijian Chen Standard E"),926,IF(Atletas!U113="Taijijian Sun E",927,IF(Atletas!U113="Taijijian Wu E",928,IF(Atletas!U113="Taijijian Wu-Hao E",929,IF(OR(Atletas!U113="Taijijian 32 E",Atletas!U113="Taijijian 42 E"),930,IF(OR(Atletas!U113="Taijijian Yang F",Atletas!U113="Taijijian Yang Standard F"),931,IF(OR(Atletas!U113="Taijijian Chen F", Atletas!U113="Taijijian Chen Standard F"),932,IF(Atletas!U113="Taijijian Sun F",933,IF(Atletas!U113="Taijijian Wu F",934,IF(Atletas!U113="Taijijian Wu-Hao F",935,IF(OR(Atletas!U113="Taijijian 32 F",Atletas!U113="Taijijian 42 F"),936,"")))))))))))))))))))))))))))))))))))))</f>
        <v/>
      </c>
      <c r="CD122" s="50" t="str">
        <f>IF(Atletas!V113="","",IF(Atletas!X113&lt;&gt;"",10000,0)+IF(Atletas!B113="Feminino",1000,IF(Atletas!B113="Masculino",2000,""))+IF(Atletas!V113="Taijidao A",937,IF(Atletas!V113="TaijiShanzi A",938,IF(Atletas!V113="Taijiqiang A",939,IF(Atletas!V113="Bagua de Arma A",940,IF(Atletas!V113="Xingyi de Arma A",941,IF(Atletas!V113="Taijidao B",942,IF(Atletas!V113="TaijiShanzi B",943,IF(Atletas!V113="Taijiqiang B",944,IF(Atletas!V113="Bagua de Arma B",945,IF(Atletas!V113="Xingyi de Arma B",946,IF(Atletas!V113="Taijidao C",947,IF(Atletas!V113="TaijiShanzi C",948,IF(Atletas!V113="Taijiqiang C",949,IF(Atletas!V113="Bagua de Arma C",950,IF(Atletas!V113="Xingyi de Arma C",951,IF(Atletas!V113="Taijidao D",952,IF(Atletas!V113="TaijiShanzi D",953,IF(Atletas!V113="Taijiqiang D",954,IF(Atletas!V113="Bagua de Arma D",955,IF(Atletas!V113="Xingyi de Arma D",956,IF(Atletas!V113="Taijidao E",957,IF(Atletas!V113="TaijiShanzi E",958,IF(Atletas!V113="Taijiqiang E",959,IF(Atletas!V113="Bagua de Arma E",960,IF(Atletas!V113="Xingyi de Arma E",961,IF(Atletas!V113="Taijidao F",962,IF(Atletas!V113="TaijiShanzi F",963,IF(Atletas!V113="Taijiqiang F",964,IF(Atletas!V113="Bagua de Arma F",965,IF(Atletas!V113="Xingyi de Arma F",966,"")))))))))))))))))))))))))))))))</f>
        <v/>
      </c>
      <c r="CE122" s="66" t="str">
        <f>IF(CF122&lt;&gt;"","Houquan A","")</f>
        <v/>
      </c>
      <c r="CF122" s="66" t="str">
        <f>IF(COUNTIF(BR:CD,1202)&gt;0,COUNTIF(BR:CD,1202),"")</f>
        <v/>
      </c>
      <c r="CG122" s="66" t="str">
        <f>IF(CH122&lt;&gt;"","Houquan A","")</f>
        <v/>
      </c>
      <c r="CH122" s="66" t="str">
        <f>IF(COUNTIF(BR:CD,2202)&gt;0,COUNTIF(BR:CD,2202),"")</f>
        <v/>
      </c>
      <c r="CI122" s="66" t="str">
        <f>IF(CJ122&lt;&gt;"","Houquan C","")</f>
        <v/>
      </c>
      <c r="CJ122" s="66" t="str">
        <f>IF(COUNTIF(BR:CD,11208)&gt;0,COUNTIF(BR:CD,11208),"")</f>
        <v/>
      </c>
      <c r="CK122" s="66" t="str">
        <f>IF(CL122&lt;&gt;"","Houquan C","")</f>
        <v/>
      </c>
      <c r="CL122" s="66" t="str">
        <f>IF(COUNTIF(BR:CD,12208)&gt;0,COUNTIF(BR:CD,12208),"")</f>
        <v/>
      </c>
      <c r="CM122" s="50" t="str">
        <f xml:space="preserve"> IF(Atletas!W113="","",IF(Atletas!W113="Duilian de Mãos BC - Equipe 1",1,IF(Atletas!W113="Duilian de Mãos BC - Equipe 2",2,IF(Atletas!W113="Duilian de Armas BC - Equipe 1",3,IF(Atletas!W113="Duilian de Armas BC - Equipe 2",4,IF(Atletas!W113="Duilian de Mãos DE - Equipe 1",5,IF(Atletas!W113="Duilian de Mãos DE - Equipe 2",6,IF(Atletas!W113="Duilian de Armas DE - Equipe 1",7,IF(Atletas!W113="Duilian de Armas DE - Equipe 2",8,IF(Atletas!W113="Duilian de Tuishou - Equipe 1",9,IF(Atletas!W113="Duilian de Tuishou - Equipe 2",10,IF(Atletas!W113="Grupo Externo ABC - Equipe 1",11,IF(Atletas!W113="Grupo Externo ABC - Equipe 2",12,IF(Atletas!W113="Grupo Interno ABC - Equipe 1",13,IF(Atletas!W113="Grupo Interno ABC - Equipe 2",14,IF(Atletas!W113="Grupo Externo DEF - Equipe 1",15,IF(Atletas!W113="Grupo Externo DEF - Equipe 2",16,IF(Atletas!W113="Grupo Interno DEF - Equipe 1",17,IF(Atletas!W113="Grupo Interno DEF - Equipe 2",18,"")))))))))))))))))))</f>
        <v/>
      </c>
    </row>
    <row r="123" spans="2:91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 t="str">
        <f t="array" ref="Z123">IFERROR(INDEX(CE$7:CE$348,SMALL(IF(CE$7:CE$348&lt;&gt;"",ROW(CE$7:CE$348)-ROW(CE$7)+1),ROWS(CE$7:CE122))),"")</f>
        <v/>
      </c>
      <c r="AA123" s="3" t="str">
        <f t="array" ref="AA123">IFERROR(INDEX(CF$7:CF$348,SMALL(IF(CF$7:CF$348&lt;&gt;"",ROW(CF$7:CF$348)-ROW(CF$7)+1),ROWS(CF$7:CF122))),"")</f>
        <v/>
      </c>
      <c r="AB123" s="3" t="str">
        <f t="array" ref="AB123">IFERROR(INDEX(CG$7:CG$348,SMALL(IF(CG$7:CG$348&lt;&gt;"",ROW(CG$7:CG$348)-ROW(CG$7)+1),ROWS(CG$7:CG122))),"")</f>
        <v/>
      </c>
      <c r="AC123" s="3" t="str">
        <f t="array" ref="AC123">IFERROR(INDEX(CH$7:CH$348,SMALL(IF(CH$7:CH$348&lt;&gt;"",ROW(CH$7:CH$348)-ROW(CH$7)+1),ROWS(CH$7:CH122))),"")</f>
        <v/>
      </c>
      <c r="AD123" s="3" t="str">
        <f t="array" ref="AD123">IFERROR(INDEX(CI$7:CI$377,SMALL(IF(CI$7:CI$377&lt;&gt;"",ROW(CI$7:CI$377)-ROW(CI$7)+1),ROWS(CI$7:CI122))),"")</f>
        <v/>
      </c>
      <c r="AE123" s="3" t="str">
        <f t="array" ref="AE123">IFERROR(INDEX(CJ$7:CJ$378,SMALL(IF(CJ$7:CJ$378&lt;&gt;"",ROW(CJ$7:CJ$378)-ROW(CJ$7)+1),ROWS(CJ$7:CJ122))),"")</f>
        <v/>
      </c>
      <c r="AF123" s="3" t="str">
        <f t="array" ref="AF123">IFERROR(INDEX(CK$7:CK$378,SMALL(IF(CK$7:CK$378&lt;&gt;"",ROW(CK$7:CK$378)-ROW(CK$7)+1),ROWS(CK$7:CK122))),"")</f>
        <v/>
      </c>
      <c r="AG123" s="3" t="str">
        <f t="array" ref="AG123">IFERROR(INDEX(CL$7:CL$378,SMALL(IF(CL$7:CL$378&lt;&gt;"",ROW(CL$7:CL$378)-ROW(CL$7)+1),ROWS(CL$7:CL122))),"")</f>
        <v/>
      </c>
      <c r="AH123" s="3"/>
      <c r="AI123" s="3"/>
      <c r="AJ123" s="3"/>
      <c r="AK123" s="3"/>
      <c r="AL123" s="3"/>
      <c r="AM123" s="3"/>
      <c r="AN123" s="52" t="str">
        <f>IF(Atletas!D114="","",IF(Atletas!B114="Feminino",100,IF(Atletas!B114="Masculino",200,""))+(IF(Atletas!D114="Kids 30kg",1,IF(Atletas!D114="Kids 32kg",2, IF(Atletas!D114="Kids 34kg",3,IF(Atletas!D114="Kids 36kg",4,IF(Atletas!D114="Kids 39kg",5,IF(Atletas!D114="Kids 42kg",6,IF(Atletas!D114="Kids 45kg",7, IF(Atletas!D114="Infantil 39kg",8,IF(Atletas!D114="Infantil 42kg",9,IF(Atletas!D114="Infantil 45kg",10,IF(Atletas!D114="Infantil 48kg",11,IF(Atletas!D114="Infantil 52kg",12,IF(Atletas!D114="Infantil 56kg",13,IF(Atletas!D114="Infantil 60kg",14,IF(Atletas!D114="Juvenil 48kg",15,IF(Atletas!D114="Juvenil 52kg",16,IF(Atletas!D114="Juvenil 56kg",17,IF(Atletas!D114="Juvenil 60kg",18,IF(Atletas!D114="Juvenil 65kg",19,IF(Atletas!D114="Juvenil 70kg",20,IF(Atletas!D114="Juvenil 75kg",21,IF(Atletas!D114="Juvenil 80kg",22, IF(Atletas!D114="Juvenil 85kg",23,IF(Atletas!D114="Adulto 48kg",24,IF(Atletas!D114="Adulto 52kg",25,IF(Atletas!D114="Adulto 56kg",26,IF(Atletas!D114="Adulto 60kg",27,IF(Atletas!D114="Adulto 65kg",28,IF(Atletas!D114="Adulto 70kg",29,IF(Atletas!D114="Adulto 75kg",30,IF(Atletas!D114="Adulto 80kg",31,IF(Atletas!D114="Adulto 85kg",32,IF(Atletas!D114="Adulto 90kg",33,IF(Atletas!D114="Adulto 100kg",34, IF(Atletas!D114="Adulto +100kg",35,"")))))))))))))))))))))))))))))))))))))</f>
        <v/>
      </c>
      <c r="AS123" s="6" t="str">
        <f>IF(Atletas!E114="","",IF(Atletas!B114="Feminino",100,IF(Atletas!B114="Masculino",200,""))+(IF(Atletas!E114="Juvenil 44kg",1,IF(Atletas!E114="Juvenil 48kg",2,IF(Atletas!E114="Juvenil 52kg",3,IF(Atletas!E114="Juvenil 56kg",4,IF(Atletas!E114="Juvenil 60kg",5,IF(Atletas!E114="Juvenil 65kg",6,IF(Atletas!E114="Juvenil 70kg",7,IF(Atletas!E114="Juvenil 75kg",8,IF(Atletas!E114="Juvenil 82kg",9,IF(Atletas!E114="Juvenil 90kg",10,IF(Atletas!E114="Juvenil 100kg",11,IF(Atletas!E114="Adulto 48kg",12,IF(Atletas!E114="Adulto 52kg",13,IF(Atletas!E114="Adulto 56kg",14,IF(Atletas!E114="Adulto 60kg",15,IF(Atletas!E114="Adulto 65kg",16,IF(Atletas!E114="Adulto 70kg",17,IF(Atletas!E114="Adulto 75kg",18,IF(Atletas!E114="Adulto 82kg",19,IF(Atletas!E114="Adulto 90kg",20,IF(Atletas!E114="Adulto 100kg",21,IF(Atletas!E114="Adulto +100kg",22,""))))))))))))))))))))))))</f>
        <v/>
      </c>
      <c r="AX123" s="6" t="str">
        <f>IF(Atletas!F114="","",IF(Atletas!B114="Feminino",100,IF(Atletas!B114="Masculino",200,""))+(IF(Atletas!F114="Adulto 48kg",1,IF(Atletas!F114="Adulto 56kg",2,IF(Atletas!F114="Adulto 65kg",3,IF(Atletas!F114="Adulto 75kg",4,IF(Atletas!F114="Adulto +75kg",5,IF(Atletas!F114="Adulto 52kg",6,IF(Atletas!F114="Adulto 60kg",7,IF(Atletas!F114="Adulto 70kg",8,IF(Atletas!F114="Adulto 80kg",9,IF(Atletas!F114="Adulto 90kg",10,IF(Atletas!F114="Adulto +90kg",11,"")))))))))))))</f>
        <v/>
      </c>
      <c r="BC123" s="6" t="str">
        <f>IF(Atletas!G114="","",IF(Atletas!B114="Feminino",10,IF(Atletas!B114="Masculino",20,""))+(IF(Atletas!G114="Baduanjin A",1,IF(Atletas!G114="Baduanjin B",2))))</f>
        <v/>
      </c>
      <c r="BF123" s="52" t="str">
        <f>IF(Atletas!H114="","",IF(Atletas!B114="Feminino",100,IF(Atletas!B114="Masculino",200,""))+(IF(Atletas!H114="Changquan Mirim",1,IF(Atletas!H114="Nanquan Mirim",2,IF(Atletas!H114="Taijiquan Mirim",3,IF(Atletas!H114="Changquan Grupo C",4,IF(Atletas!H114="Nanquan Grupo C",5,IF(Atletas!H114="Taijiquan Grupo C",6,IF(Atletas!H114="Changquan Grupo B",7,IF(Atletas!H114="Nanquan Grupo B",8,IF(Atletas!H114="Taijiquan Grupo B",9,IF(Atletas!H114="Changquan Grupo A",10,IF(Atletas!H114="Nanquan Grupo A",11,IF(Atletas!H114="Taijiquan Grupo A",12,IF(Atletas!H114="Changquan Opcional",13,IF(Atletas!H114="Nanquan Opcional",14,IF(Atletas!H114="Taijiquan Opcional",15,IF(Atletas!H114="Changquan Adulto",16,IF(Atletas!H114="Nanquan Adulto",17,IF(Atletas!H114="Taijiquan Adulto",18,""))))))))))))))))))))</f>
        <v/>
      </c>
      <c r="BG123" s="52" t="str">
        <f>IF(Atletas!I114="","",IF(Atletas!B114="Feminino",100,IF(Atletas!B114="Masculino",200,""))+(IF(Atletas!I114="Daoshu Mirim",19,IF(Atletas!I114="Jianshu Mirim",20,IF(Atletas!I114="Nandao Mirim",21,IF(Atletas!I114="Taijijian Mirim",22,IF(Atletas!I114="Daoshu Grupo C",23,IF(Atletas!I114="Jianshu Grupo C",24,IF(Atletas!I114="Nandao Grupo C",25,IF(Atletas!I114="Taijijian Grupo C",26,IF(Atletas!I114="Daoshu Grupo B",27,IF(Atletas!I114="Jianshu Grupo B",28,IF(Atletas!I114="Nandao Grupo B",29,IF(Atletas!I114="Taijijian Grupo B",30,IF(Atletas!I114="Daoshu Grupo A",31,IF(Atletas!I114="Jianshu Grupo A",32,IF(Atletas!I114="Nandao Grupo A",33,IF(Atletas!I114="Taijijian Grupo A",34,IF(Atletas!I114="Daoshu Opcional",35,IF(Atletas!I114="Jianshu Opcional",36,IF(Atletas!I114="Nandao Opcional",37,IF(Atletas!I114="Taijijian Opcional",38,IF(Atletas!I114="Daoshu Adulto",39,IF(Atletas!I114="Jianshu Adulto",40,IF(Atletas!I114="Nandao Adulto",41,IF(Atletas!I114="Taijijian Adulto",42,""))))))))))))))))))))))))))</f>
        <v/>
      </c>
      <c r="BH123" s="52" t="str">
        <f>IF(Atletas!J114="","",IF(Atletas!B114="Feminino",100,IF(Atletas!B114="Masculino",200,""))+(IF(Atletas!J114="Gunshu Mirim",43,IF(Atletas!J114="Qiangshu Mirim",44,IF(Atletas!J114="Nangun Mirim",45,IF(Atletas!J114="Gunshu Grupo C",46,IF(Atletas!J114="Qiangshu Grupo C",47,IF(Atletas!J114="Nangun Grupo C",48,IF(Atletas!J114="Gunshu Grupo B",49,IF(Atletas!J114="Qiangshu Grupo B",50,IF(Atletas!J114="Nangun Grupo B",51,IF(Atletas!J114="Gunshu Grupo A",52,IF(Atletas!J114="Qiangshu Grupo A",53,IF(Atletas!J114="Nangun Grupo A",54,IF(Atletas!J114="Gunshu Opcional",55,IF(Atletas!J114="Qiangshu Opcional",56,IF(Atletas!J114="Nangun Opcional",57,IF(Atletas!J114="Gunshu Adulto",58,IF(Atletas!J114="Qiangshu Adulto",59,IF(Atletas!J114="Nangun Adulto",60,IF(Atletas!J114="Taijishan Grupo B",61,IF(Atletas!J114="Taijishan Grupo A",62,""))))))))))))))))))))))</f>
        <v/>
      </c>
      <c r="BM123" s="50" t="str">
        <f>IF(Atletas!K114="","",IF(Atletas!B114="Feminino",100,IF(Atletas!B114="Masculino",200,""))+(IF(Atletas!K114="Equipe 1 Grupo B",1,IF(Atletas!K114="Equipe 2 Grupo B",2,IF(Atletas!K114="Equipe 1 Grupo A",3,IF(Atletas!K114="Equipe 2 Grupo A",4,IF(Atletas!K114="Equipe 1 Adulto",5,IF(Atletas!K114="Equipe 2 Adulto",6,""))))))))</f>
        <v/>
      </c>
      <c r="BR123" s="50" t="str">
        <f>IF(Atletas!L114="","",IF(Atletas!X114&lt;&gt;"",10000,0)+(IF(Atletas!B114="Feminino",1000,IF(Atletas!B114="Masculino",2000,""))+IF(Atletas!L114="Choylayfut A",1,IF(Atletas!L114="Hunggar A",2,IF(Atletas!L114="Wuzuquan A",3,IF(Atletas!L114="Wingchun A",4,IF(Atletas!L114="Outra Mão de Sul A",5,IF(Atletas!L114="Choylayfut B",6,IF(Atletas!L114="Hunggar B",7,IF(Atletas!L114="Wuzuquan B",8,IF(Atletas!L114="Wingchun B",9,IF(Atletas!L114="Outra Mão de Sul B",10,IF(Atletas!L114="Choylayfut C",11,IF(Atletas!L114="Hunggar C",12,IF(Atletas!L114="Wuzuquan C",13,IF(Atletas!L114="Wingchun C",14,IF(Atletas!L114="Outra Mão de Sul C",15,IF(Atletas!L114="Choylayfut D",16,IF(Atletas!L114="Hunggar D",17,IF(Atletas!L114="Wuzuquan D",18,IF(Atletas!L114="Wingchun D",19,IF(Atletas!L114="Outra Mão de Sul D",20,IF(Atletas!L114="Choylayfut E",21,IF(Atletas!L114="Hunggar E",22,IF(Atletas!L114="Wuzuquan E",23,IF(Atletas!L114="Wingchun E",24,IF(Atletas!L114="Outra Mão de Sul E",25,IF(Atletas!L114="Choylayfut F",26,IF(Atletas!L114="Hunggar F",27,IF(Atletas!L114="Wuzuquan F",28,IF(Atletas!L114="Wingchun F",29,IF(Atletas!L114="Outra Mão de Sul F",30,IF(Atletas!L114="Dishuquan A",31,IF(Atletas!L114="Dishuquan B",32,IF(Atletas!L114="Dishuquan C",33,IF(Atletas!L114="Dishuquan D",34,IF(Atletas!L114="Dishuquan E",35,IF(Atletas!L114="Dishuquan F",36,""))))))))))))))))))))))))))))))))))))))</f>
        <v/>
      </c>
      <c r="BS123" s="50" t="str">
        <f>IF(Atletas!M114="","",IF(Atletas!X114&lt;&gt;"",10000,0)+(IF(Atletas!B114="Feminino",1000,IF(Atletas!B114="Masculino",2000,""))+(IF(Atletas!M114="Chaquan A",101,IF(Atletas!M114="Emeiquan A",102,IF(Atletas!M114="Fanziquan A",103,IF(Atletas!M114="Huaquan A",104,IF(Atletas!M114="Hongquan A",105,IF(Atletas!M114="Paoquan A",106,IF(Atletas!M114="Piguaquan A",107,IF(Atletas!M114="Shaolinquan A",108,IF(Atletas!M114="Tanglangquan A",109,IF(Atletas!M114="Yingzhaoquan A",110,IF(Atletas!M114="Tongbeiquan A",111,IF(Atletas!M114="Wudangquan A",112,IF(Atletas!M114="Outros Estilos A",113,IF(Atletas!M114="Chaquan B",114,IF(Atletas!M114="Emeiquan B",115,IF(Atletas!M114="Fanziquan B",116,IF(Atletas!M114="Huaquan B",117,IF(Atletas!M114="Hongquan B",118,IF(Atletas!M114="Paoquan B",119,IF(Atletas!M114="Piguaquan B",120,IF(Atletas!M114="Shaolinquan B",121,IF(Atletas!M114="Tanglangquan B",122,IF(Atletas!M114="Yingzhaoquan B",123,IF(Atletas!M114="Tongbeiquan B",124,IF(Atletas!M114="Wudangquan B",125,IF(Atletas!M114="Outros Estilos B",126,IF(Atletas!M114="Chaquan C",127,IF(Atletas!M114="Emeiquan C",128,IF(Atletas!M114="Fanziquan C",129,IF(Atletas!M114="Huaquan C",130,IF(Atletas!M114="Hongquan C",131,IF(Atletas!M114="Paoquan C",132,IF(Atletas!M114="Piguaquan C",133,IF(Atletas!M114="Shaolinquan C",134,IF(Atletas!M114="Tanglangquan C",135,IF(Atletas!M114="Yingzhaoquan C",136,IF(Atletas!M114="Tongbeiquan C",137,IF(Atletas!M114="Wudangquan C",138,IF(Atletas!M114="Outros Estilos C",139,0))))))))))))))))))))))))))))))))))))))))))</f>
        <v/>
      </c>
      <c r="BT123" s="50" t="str">
        <f>IF(Atletas!M114="","",IF(Atletas!X114&lt;&gt;"",10000,0)+(IF(Atletas!B114="Feminino",1000,IF(Atletas!B114="Masculino",2000,""))+(IF(Atletas!M114="Chaquan D",140,IF(Atletas!M114="Emeiquan D",141,IF(Atletas!M114="Fanziquan D",142,IF(Atletas!M114="Huaquan D",143,IF(Atletas!M114="Hongquan D",144,IF(Atletas!M114="Paoquan D",145,IF(Atletas!M114="Piguaquan D",146,IF(Atletas!M114="Shaolinquan D",147,IF(Atletas!M114="Tanglangquan D",148,IF(Atletas!M114="Yingzhaoquan D",149,IF(Atletas!M114="Tongbeiquan D",150,IF(Atletas!M114="Wudangquan D",151,IF(Atletas!M114="Outros Estilos D",152,IF(Atletas!M114="Chaquan E",153,IF(Atletas!M114="Emeiquan E",154,IF(Atletas!M114="Fanziquan E",155,IF(Atletas!M114="Huaquan E",156,IF(Atletas!M114="Hongquan E",157,IF(Atletas!M114="Paoquan E",158,IF(Atletas!M114="Piguaquan E",159,IF(Atletas!M114="Shaolinquan E",160,IF(Atletas!M114="Tanglangquan E",161,IF(Atletas!M114="Yingzhaoquan E",162,IF(Atletas!M114="Tongbeiquan E",163,IF(Atletas!M114="Wudangquan E",164,IF(Atletas!M114="Outros Estilos E",165,IF(Atletas!M114="Chaquan F",166,IF(Atletas!M114="Emeiquan F",167,IF(Atletas!M114="Fanziquan F",168,IF(Atletas!M114="Huaquan F",169,IF(Atletas!M114="Hongquan F",170,IF(Atletas!M114="Paoquan F",171,IF(Atletas!M114="Piguaquan F",172,IF(Atletas!M114="Shaolinquan F",173,IF(Atletas!M114="Tanglangquan F",174,IF(Atletas!M114="Yingzhaoquan F",175,IF(Atletas!M114="Tongbeiquan F",176,IF(Atletas!M114="Wudangquan F",177,IF(Atletas!M114="Outros Estilos F",178,0))))))))))))))))))))))))))))))))))))))))))</f>
        <v/>
      </c>
      <c r="BU123" s="50" t="str">
        <f>IF(Atletas!N114="","",IF(Atletas!X114&lt;&gt;"",10000,0)+(IF(Atletas!B114="Feminino",1000,IF(Atletas!B114="Masculino",2000,""))+(IF(Atletas!N114="Ditangquan A",201,IF(Atletas!N114="Houquan A",202,IF(Atletas!N114="Zuiquan A",203,IF(Atletas!N114="Ditangquan B",204,IF(Atletas!N114="Houquan B",205,IF(Atletas!N114="Zuiquan B",206,IF(Atletas!N114="Ditangquan C",207,IF(Atletas!N114="Houquan C",208,IF(Atletas!N114="Zuiquan C",209,IF(Atletas!N114="Ditangquan D",210,IF(Atletas!N114="Houquan D",211,IF(Atletas!N114="Zuiquan D",212,IF(Atletas!N114="Ditangquan E",213,IF(Atletas!N114="Houquan E",214,IF(Atletas!N114="Zuiquan E",215,IF(Atletas!N114="Ditangquan F",216,IF(Atletas!N114="Houquan F",217,IF(Atletas!N114="Zuiquan F",218,"")))))))))))))))))))))</f>
        <v/>
      </c>
      <c r="BV123" s="50" t="str">
        <f>IF(Atletas!O114="","",IF(Atletas!X114&lt;&gt;"",10000,0)+IF(Atletas!B114="Feminino",1000,IF(Atletas!B114="Masculino",2000,""))+IF(Atletas!O114="Yang A",301,IF(Atletas!O114="Chen A",302,IF(Atletas!O114="Sun A",303,IF(Atletas!O114="Wu A",304,IF(Atletas!O114="Wu-Hao A",305,IF(Atletas!O114="Outro Taijiquan A",306,IF(Atletas!O114="Yang B",307,IF(Atletas!O114="Chen B",308,IF(Atletas!O114="Sun B",309,IF(Atletas!O114="Wu B",310,IF(Atletas!O114="Wu-Hao B",311,IF(Atletas!O114="Outro Taijiquan B",312,IF(Atletas!O114="Yang C",313,IF(Atletas!O114="Chen C",314,IF(Atletas!O114="Sun C",315,IF(Atletas!O114="Wu C",316,IF(Atletas!O114="Wu-Hao C",317,IF(Atletas!O114="Outro Taijiquan C",318,IF(Atletas!O114="Yang D",319,IF(Atletas!O114="Chen D",320,IF(Atletas!O114="Sun D",321,IF(Atletas!O114="Wu D",322,IF(Atletas!O114="Wu-Hao D",323,IF(Atletas!O114="Outro Taijiquan D",324,IF(Atletas!O114="Yang E",325,IF(Atletas!O114="Chen E",326,IF(Atletas!O114="Sun E",327,IF(Atletas!O114="Wu E",328,IF(Atletas!O114="Wu-Hao E",329,IF(Atletas!O114="Outro Taijiquan E",330,IF(Atletas!O114="Yang F",331,IF(Atletas!O114="Chen F",332,IF(Atletas!O114="Sun F",333,IF(Atletas!O114="Wu F",334,IF(Atletas!O114="Wu-Hao F",335,IF(Atletas!O114="Outro Taijiquan F",336,"")))))))))))))))))))))))))))))))))))))</f>
        <v/>
      </c>
      <c r="BW123" s="50" t="str">
        <f>IF(Atletas!P114="","",IF(Atletas!X114&lt;&gt;"",10000,0)+IF(Atletas!B114="Feminino",1000,IF(Atletas!B114="Masculino",2000,""))+IF(OR(Atletas!P114="Yang 26 A",Atletas!P114="Yang 40 A"),401,IF(OR(Atletas!P114="Chen 25 A",Atletas!P114="Chen 36 A",Atletas!P114="Chen 56 A"),402,IF(Atletas!P114="Sun 73 A",403,IF(Atletas!P114="Wu 45 A",404,IF(Atletas!P114="Wu-Hao 46 A",405,IF(OR(Atletas!P114="Taijiquan 16 A",Atletas!P114="Taijiquan 24 A",Atletas!P114="Taijiquan 32 A",Atletas!P114="Taijiquan 42 A"),406,IF(OR(Atletas!P114="Yang 26 B",Atletas!P114="Yang 40 B"),407,IF(OR(Atletas!P114="Chen 25 B",Atletas!P114="Chen 36 B",Atletas!P114="Chen 56 B"),408,IF(Atletas!P114="Sun 73 B",409,IF(Atletas!P114="Wu 45 B",410,IF(Atletas!P114="Wu-Hao 46 B",411,IF(OR(Atletas!P114="Taijiquan 16 B",Atletas!P114="Taijiquan 24 B",Atletas!P114="Taijiquan 32 B",Atletas!P114="Taijiquan 42 B"),412,IF(OR(Atletas!P114="Yang 26 C",Atletas!P114="Yang 40 C"),413,IF(OR(Atletas!P114="Chen 25 C",Atletas!P114="Chen 36 C",Atletas!P114="Chen 56 C"),414,IF(Atletas!P114="Sun 73 C",415,IF(Atletas!P114="Wu 45 C",416,IF(Atletas!P114="Wu-Hao 46 C",417,IF(OR(Atletas!P114="Taijiquan 16 C",Atletas!P114="Taijiquan 24 C",Atletas!P114="Taijiquan 32 C",Atletas!P114="Taijiquan 42 C"),418,0)))))))))))))))))))</f>
        <v/>
      </c>
      <c r="BX123" s="50" t="str">
        <f>IF(Atletas!P114="","",IF(Atletas!X114&lt;&gt;"",10000,0)+IF(Atletas!B114="Feminino",1000,IF(Atletas!B114="Masculino",2000,""))+IF(OR(Atletas!P114="Yang 26 D",Atletas!P114="Yang 40 D"),419,IF(OR(Atletas!P114="Chen 25 D",Atletas!P114="Chen 36 D",Atletas!P114="Chen 56 D"),420,IF(Atletas!P114="Sun 73 D",421,IF(Atletas!P114="Wu 45 D",422,IF(Atletas!P114="Wu-Hao 46 D",423,IF(OR(Atletas!P114="Taijiquan 16 D",Atletas!P114="Taijiquan 24 D",Atletas!P114="Taijiquan 32 D",Atletas!P114="Taijiquan 42 D"),424,IF(OR(Atletas!P114="Yang 26 E",Atletas!P114="Yang 40 E"),425,IF(OR(Atletas!P114="Chen 25 E",Atletas!P114="Chen 36 E",Atletas!P114="Chen 56 E"),426,IF(Atletas!P114="Sun 73 E",427,IF(Atletas!P114="Wu 45 E",428,IF(Atletas!P114="Wu-Hao 46 E",429,IF(OR(Atletas!P114="Taijiquan 16 E",Atletas!P114="Taijiquan 24 E",Atletas!P114="Taijiquan 32 E",Atletas!P114="Taijiquan 42 E"),430,IF(OR(Atletas!P114="Yang 26 F",Atletas!P114="Yang 40 F"),431,IF(OR(Atletas!P114="Chen 25 F",Atletas!P114="Chen 36 F",Atletas!P114="Chen 56 F"),432,IF(Atletas!P114="Sun 73 F",433,IF(Atletas!P114="Wu 45 F",434,IF(Atletas!P114="Wu-Hao 46 F",435,IF(OR(Atletas!P114="Taijiquan 16 F",Atletas!P114="Taijiquan 24 F",Atletas!P114="Taijiquan 32 F",Atletas!P114="Taijiquan 42 F"),436,0)))))))))))))))))))</f>
        <v/>
      </c>
      <c r="BY123" s="50" t="str">
        <f>IF(Atletas!Q114="","",IF(Atletas!X114&lt;&gt;"",10000,0)+IF(Atletas!B114="Feminino",1000,IF(Atletas!B114="Masculino",2000,""))+IF(Atletas!Q114="Xingyiquan A",501,IF(Atletas!Q114="Baguazhang A",502,IF(Atletas!Q114="Outro Estilo Interno A",503,IF(Atletas!Q114="Xingyiquan B",504,IF(Atletas!Q114="Baguazhang B",505,IF(Atletas!Q114="Outro Estilo Interno B",506,IF(Atletas!Q114="Xingyiquan C",507,IF(Atletas!Q114="Baguazhang C",508,IF(Atletas!Q114="Outro Estilo Interno C",509,IF(Atletas!Q114="Xingyiquan D",510,IF(Atletas!Q114="Baguazhang D",511,IF(Atletas!Q114="Outro Estilo Interno D",512,IF(Atletas!Q114="Xingyiquan E",513,IF(Atletas!Q114="Baguazhang E",514,IF(Atletas!Q114="Outro Estilo Interno E",515,IF(Atletas!Q114="Xingyiquan F",516,IF(Atletas!Q114="Baguazhang F",517,IF(Atletas!Q114="Outro Estilo Interno F",518, "")))))))))))))))))))</f>
        <v/>
      </c>
      <c r="BZ123" s="50" t="str">
        <f>IF(Atletas!R114="","",IF(Atletas!X114&lt;&gt;"",10000,0)+IF(Atletas!B114="Feminino",1000,IF(Atletas!B114="Masculino",2000,""))+IF(Atletas!R114="Dao A",601,IF(Atletas!R114="Jian A",602,IF(Atletas!R114="Bishou A",603,IF(Atletas!R114="Shanzi A",604,IF(Atletas!R114="Outra Arma Curta A",605,IF(Atletas!R114="Dao B",606,IF(Atletas!R114="Jian B",607,IF(Atletas!R114="Bishou B",608,IF(Atletas!R114="Shanzi B",609,IF(Atletas!R114="Outra Arma Curta B",610,IF(Atletas!R114="Dao C",611,IF(Atletas!R114="Jian C",612,IF(Atletas!R114="Bishou C",613,IF(Atletas!R114="Shanzi C",614,IF(Atletas!R114="Outra Arma Curta C",615,IF(Atletas!R114="Dao D",616,IF(Atletas!R114="Jian D",617,IF(Atletas!R114="Bishou D",618,IF(Atletas!R114="Shanzi D",619,IF(Atletas!R114="Outra Arma Curta D",620,IF(Atletas!R114="Dao E",621,IF(Atletas!R114="Jian E",622,IF(Atletas!R114="Bishou E",623,IF(Atletas!R114="Shanzi E",624,IF(Atletas!R114="Outra Arma Curta E",625,IF(Atletas!R114="Dao F",626,IF(Atletas!R114="Jian F",627,IF(Atletas!R114="Bishou F",628,IF(Atletas!R114="Shanzi F",629,IF(Atletas!R114="Outra Arma Curta F",630, "")))))))))))))))))))))))))))))))</f>
        <v/>
      </c>
      <c r="CA123" s="50" t="str">
        <f>IF(Atletas!S114="","",IF(Atletas!X114&lt;&gt;"",10000,0)+IF(Atletas!B114="Feminino",1000,IF(Atletas!B114="Masculino",2000,""))+IF(Atletas!S114="Gun A",701,IF(Atletas!S114="Qiang A",702,IF(Atletas!S114="Pudao / Guandao A",703,IF(Atletas!S114="Outra Arma Longa A",704,IF(Atletas!S114="Gun B",705,IF(Atletas!S114="Qiang B",706,IF(Atletas!S114="Pudao / Guandao B",707,IF(Atletas!S114="Outra Arma Longa B",708,IF(Atletas!S114="Gun C",709,IF(Atletas!S114="Qiang C",710,IF(Atletas!S114="Pudao / Guandao C",711,IF(Atletas!S114="Outra Arma Longa C",712,IF(Atletas!S114="Gun D",713,IF(Atletas!S114="Qiang D",714,IF(Atletas!S114="Pudao / Guandao D",715,IF(Atletas!S114="Outra Arma Longa D",716,IF(Atletas!S114="Gun E",717,IF(Atletas!S114="Qiang E",718,IF(Atletas!S114="Pudao / Guandao E",719,IF(Atletas!S114="Outra Arma Longa E",720,IF(Atletas!S114="Gun F",721,IF(Atletas!S114="Qiang F",722,IF(Atletas!S114="Pudao / Guandao F",723,IF(Atletas!S114="Outra Arma Longa F",724,"")))))))))))))))))))))))))</f>
        <v/>
      </c>
      <c r="CB123" s="50" t="str">
        <f>IF(Atletas!T114="","",IF(Atletas!X114&lt;&gt;"",10000,0)+IF(Atletas!B114="Feminino",1000,IF(Atletas!B114="Masculino",2000,""))+IF(Atletas!T114="Outra Arma Dupla A",801,IF(Atletas!T114="Arma Maleável A",802,IF(Atletas!T114="Outra Arma Dupla B",803,IF(Atletas!T114="Arma Maleável B",804,IF(Atletas!T114="Outra Arma Dupla C",805,IF(Atletas!T114="Arma Maleável C",806,IF(Atletas!T114="Outra Arma Dupla D",807,IF(Atletas!T114="Arma Maleável D",808,IF(Atletas!T114="Outra Arma Dupla E",809,IF(Atletas!T114="Arma Maleável E",810,IF(Atletas!T114="Outra Arma Dupla F",811,IF(Atletas!T114="Arma Maleável F",812,IF(Atletas!T114="Shuangdao A",813,IF(Atletas!T114="Shuangdao B",814,IF(Atletas!T114="Shuangdao C",815,IF(Atletas!T114="Shuangdao D",816,IF(Atletas!T114="Shuangdao E",817,IF(Atletas!T114="Shuangdao F",818,"")))))))))))))))))))</f>
        <v/>
      </c>
      <c r="CC123" s="50" t="str">
        <f>IF(Atletas!U114="","",IF(Atletas!X114&lt;&gt;"",10000,0)+IF(Atletas!B114="Feminino",1000,IF(Atletas!B114="Masculino",2000,""))+IF(OR(Atletas!U114="Taijijian Yang A",Atletas!U114="Taijijian Yang Standard A"),901,IF(OR(Atletas!U114="Taijijian Chen A", Atletas!U114="Taijijian Chen Standard A"),902,IF(Atletas!U114="Taijijian Sun A",903,IF(Atletas!U114="Taijijian Wu A",904,IF(Atletas!U114="Taijijian Wu-Hao A",905,IF(OR(Atletas!U114="Taijijian 32 A",Atletas!U114="Taijijian 42 A"),906,IF(OR(Atletas!U114="Taijijian Yang B",Atletas!U114="Taijijian Yang Standard B"),907,IF(OR(Atletas!U114="Taijijian Chen B", Atletas!U114="Taijijian Chen Standard B"),908,IF(Atletas!U114="Taijijian Sun B",909,IF(Atletas!U114="Taijijian Wu B",910,IF(Atletas!U114="Taijijian Wu-Hao B",911,IF(OR(Atletas!U114="Taijijian 32 B",Atletas!U114="Taijijian 42 B"),912,IF(OR(Atletas!U114="Taijijian Yang C",Atletas!U114="Taijijian Yang Standard C"),913,IF(OR(Atletas!U114="Taijijian Chen C", Atletas!U114="Taijijian Chen Standard C"),914,IF(Atletas!U114="Taijijian Sun C",915,IF(Atletas!U114="Taijijian Wu C",916,IF(Atletas!U114="Taijijian Wu-Hao C",917,IF(OR(Atletas!U114="Taijijian 32 C",Atletas!U114="Taijijian 42 C"),918,IF(OR(Atletas!U114="Taijijian Yang D",Atletas!U114="Taijijian Yang Standard D"),919,IF(OR(Atletas!U114="Taijijian Chen D", Atletas!U114="Taijijian Chen Standard D"),920,IF(Atletas!U114="Taijijian Sun D",921,IF(Atletas!U114="Taijijian Wu D",922,IF(Atletas!U114="Taijijian Wu-Hao D",923,IF(OR(Atletas!U114="Taijijian 32 D",Atletas!U114="Taijijian 42 D"),924,IF(OR(Atletas!U114="Taijijian Yang E",Atletas!U114="Taijijian Yang Standard E"),925,IF(OR(Atletas!U114="Taijijian Chen E", Atletas!U114="Taijijian Chen Standard E"),926,IF(Atletas!U114="Taijijian Sun E",927,IF(Atletas!U114="Taijijian Wu E",928,IF(Atletas!U114="Taijijian Wu-Hao E",929,IF(OR(Atletas!U114="Taijijian 32 E",Atletas!U114="Taijijian 42 E"),930,IF(OR(Atletas!U114="Taijijian Yang F",Atletas!U114="Taijijian Yang Standard F"),931,IF(OR(Atletas!U114="Taijijian Chen F", Atletas!U114="Taijijian Chen Standard F"),932,IF(Atletas!U114="Taijijian Sun F",933,IF(Atletas!U114="Taijijian Wu F",934,IF(Atletas!U114="Taijijian Wu-Hao F",935,IF(OR(Atletas!U114="Taijijian 32 F",Atletas!U114="Taijijian 42 F"),936,"")))))))))))))))))))))))))))))))))))))</f>
        <v/>
      </c>
      <c r="CD123" s="50" t="str">
        <f>IF(Atletas!V114="","",IF(Atletas!X114&lt;&gt;"",10000,0)+IF(Atletas!B114="Feminino",1000,IF(Atletas!B114="Masculino",2000,""))+IF(Atletas!V114="Taijidao A",937,IF(Atletas!V114="TaijiShanzi A",938,IF(Atletas!V114="Taijiqiang A",939,IF(Atletas!V114="Bagua de Arma A",940,IF(Atletas!V114="Xingyi de Arma A",941,IF(Atletas!V114="Taijidao B",942,IF(Atletas!V114="TaijiShanzi B",943,IF(Atletas!V114="Taijiqiang B",944,IF(Atletas!V114="Bagua de Arma B",945,IF(Atletas!V114="Xingyi de Arma B",946,IF(Atletas!V114="Taijidao C",947,IF(Atletas!V114="TaijiShanzi C",948,IF(Atletas!V114="Taijiqiang C",949,IF(Atletas!V114="Bagua de Arma C",950,IF(Atletas!V114="Xingyi de Arma C",951,IF(Atletas!V114="Taijidao D",952,IF(Atletas!V114="TaijiShanzi D",953,IF(Atletas!V114="Taijiqiang D",954,IF(Atletas!V114="Bagua de Arma D",955,IF(Atletas!V114="Xingyi de Arma D",956,IF(Atletas!V114="Taijidao E",957,IF(Atletas!V114="TaijiShanzi E",958,IF(Atletas!V114="Taijiqiang E",959,IF(Atletas!V114="Bagua de Arma E",960,IF(Atletas!V114="Xingyi de Arma E",961,IF(Atletas!V114="Taijidao F",962,IF(Atletas!V114="TaijiShanzi F",963,IF(Atletas!V114="Taijiqiang F",964,IF(Atletas!V114="Bagua de Arma F",965,IF(Atletas!V114="Xingyi de Arma F",966,"")))))))))))))))))))))))))))))))</f>
        <v/>
      </c>
      <c r="CE123" s="66" t="str">
        <f>IF(CF123&lt;&gt;"","Zuiquan A","")</f>
        <v/>
      </c>
      <c r="CF123" s="66" t="str">
        <f>IF(COUNTIF(BR:CD,1203)&gt;0,COUNTIF(BR:CD,1203),"")</f>
        <v/>
      </c>
      <c r="CG123" s="66" t="str">
        <f>IF(CH123&lt;&gt;"","Zuiquan A","")</f>
        <v/>
      </c>
      <c r="CH123" s="66" t="str">
        <f>IF(COUNTIF(BR:CD,2203)&gt;0,COUNTIF(BR:CD,2203),"")</f>
        <v/>
      </c>
      <c r="CI123" s="66" t="str">
        <f>IF(CJ123&lt;&gt;"","Zuiquan C","")</f>
        <v/>
      </c>
      <c r="CJ123" s="66" t="str">
        <f>IF(COUNTIF(BR:CD,11209)&gt;0,COUNTIF(BR:CD,11209),"")</f>
        <v/>
      </c>
      <c r="CK123" s="66" t="str">
        <f>IF(CL123&lt;&gt;"","Zuiquan C","")</f>
        <v/>
      </c>
      <c r="CL123" s="66" t="str">
        <f>IF(COUNTIF(BR:CD,12209)&gt;0,COUNTIF(BR:CD,12209),"")</f>
        <v/>
      </c>
      <c r="CM123" s="50" t="str">
        <f xml:space="preserve"> IF(Atletas!W114="","",IF(Atletas!W114="Duilian de Mãos BC - Equipe 1",1,IF(Atletas!W114="Duilian de Mãos BC - Equipe 2",2,IF(Atletas!W114="Duilian de Armas BC - Equipe 1",3,IF(Atletas!W114="Duilian de Armas BC - Equipe 2",4,IF(Atletas!W114="Duilian de Mãos DE - Equipe 1",5,IF(Atletas!W114="Duilian de Mãos DE - Equipe 2",6,IF(Atletas!W114="Duilian de Armas DE - Equipe 1",7,IF(Atletas!W114="Duilian de Armas DE - Equipe 2",8,IF(Atletas!W114="Duilian de Tuishou - Equipe 1",9,IF(Atletas!W114="Duilian de Tuishou - Equipe 2",10,IF(Atletas!W114="Grupo Externo ABC - Equipe 1",11,IF(Atletas!W114="Grupo Externo ABC - Equipe 2",12,IF(Atletas!W114="Grupo Interno ABC - Equipe 1",13,IF(Atletas!W114="Grupo Interno ABC - Equipe 2",14,IF(Atletas!W114="Grupo Externo DEF - Equipe 1",15,IF(Atletas!W114="Grupo Externo DEF - Equipe 2",16,IF(Atletas!W114="Grupo Interno DEF - Equipe 1",17,IF(Atletas!W114="Grupo Interno DEF - Equipe 2",18,"")))))))))))))))))))</f>
        <v/>
      </c>
    </row>
    <row r="124" spans="2:91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 t="str">
        <f t="array" ref="Z124">IFERROR(INDEX(CE$7:CE$348,SMALL(IF(CE$7:CE$348&lt;&gt;"",ROW(CE$7:CE$348)-ROW(CE$7)+1),ROWS(CE$7:CE123))),"")</f>
        <v/>
      </c>
      <c r="AA124" s="3" t="str">
        <f t="array" ref="AA124">IFERROR(INDEX(CF$7:CF$348,SMALL(IF(CF$7:CF$348&lt;&gt;"",ROW(CF$7:CF$348)-ROW(CF$7)+1),ROWS(CF$7:CF123))),"")</f>
        <v/>
      </c>
      <c r="AB124" s="3" t="str">
        <f t="array" ref="AB124">IFERROR(INDEX(CG$7:CG$348,SMALL(IF(CG$7:CG$348&lt;&gt;"",ROW(CG$7:CG$348)-ROW(CG$7)+1),ROWS(CG$7:CG123))),"")</f>
        <v/>
      </c>
      <c r="AC124" s="3" t="str">
        <f t="array" ref="AC124">IFERROR(INDEX(CH$7:CH$348,SMALL(IF(CH$7:CH$348&lt;&gt;"",ROW(CH$7:CH$348)-ROW(CH$7)+1),ROWS(CH$7:CH123))),"")</f>
        <v/>
      </c>
      <c r="AD124" s="3" t="str">
        <f t="array" ref="AD124">IFERROR(INDEX(CI$7:CI$377,SMALL(IF(CI$7:CI$377&lt;&gt;"",ROW(CI$7:CI$377)-ROW(CI$7)+1),ROWS(CI$7:CI123))),"")</f>
        <v/>
      </c>
      <c r="AE124" s="3" t="str">
        <f t="array" ref="AE124">IFERROR(INDEX(CJ$7:CJ$378,SMALL(IF(CJ$7:CJ$378&lt;&gt;"",ROW(CJ$7:CJ$378)-ROW(CJ$7)+1),ROWS(CJ$7:CJ123))),"")</f>
        <v/>
      </c>
      <c r="AF124" s="3" t="str">
        <f t="array" ref="AF124">IFERROR(INDEX(CK$7:CK$378,SMALL(IF(CK$7:CK$378&lt;&gt;"",ROW(CK$7:CK$378)-ROW(CK$7)+1),ROWS(CK$7:CK123))),"")</f>
        <v/>
      </c>
      <c r="AG124" s="3" t="str">
        <f t="array" ref="AG124">IFERROR(INDEX(CL$7:CL$378,SMALL(IF(CL$7:CL$378&lt;&gt;"",ROW(CL$7:CL$378)-ROW(CL$7)+1),ROWS(CL$7:CL123))),"")</f>
        <v/>
      </c>
      <c r="AH124" s="3"/>
      <c r="AI124" s="3"/>
      <c r="AJ124" s="3"/>
      <c r="AK124" s="3"/>
      <c r="AL124" s="3"/>
      <c r="AM124" s="3"/>
      <c r="AN124" s="52" t="str">
        <f>IF(Atletas!D115="","",IF(Atletas!B115="Feminino",100,IF(Atletas!B115="Masculino",200,""))+(IF(Atletas!D115="Kids 30kg",1,IF(Atletas!D115="Kids 32kg",2, IF(Atletas!D115="Kids 34kg",3,IF(Atletas!D115="Kids 36kg",4,IF(Atletas!D115="Kids 39kg",5,IF(Atletas!D115="Kids 42kg",6,IF(Atletas!D115="Kids 45kg",7, IF(Atletas!D115="Infantil 39kg",8,IF(Atletas!D115="Infantil 42kg",9,IF(Atletas!D115="Infantil 45kg",10,IF(Atletas!D115="Infantil 48kg",11,IF(Atletas!D115="Infantil 52kg",12,IF(Atletas!D115="Infantil 56kg",13,IF(Atletas!D115="Infantil 60kg",14,IF(Atletas!D115="Juvenil 48kg",15,IF(Atletas!D115="Juvenil 52kg",16,IF(Atletas!D115="Juvenil 56kg",17,IF(Atletas!D115="Juvenil 60kg",18,IF(Atletas!D115="Juvenil 65kg",19,IF(Atletas!D115="Juvenil 70kg",20,IF(Atletas!D115="Juvenil 75kg",21,IF(Atletas!D115="Juvenil 80kg",22, IF(Atletas!D115="Juvenil 85kg",23,IF(Atletas!D115="Adulto 48kg",24,IF(Atletas!D115="Adulto 52kg",25,IF(Atletas!D115="Adulto 56kg",26,IF(Atletas!D115="Adulto 60kg",27,IF(Atletas!D115="Adulto 65kg",28,IF(Atletas!D115="Adulto 70kg",29,IF(Atletas!D115="Adulto 75kg",30,IF(Atletas!D115="Adulto 80kg",31,IF(Atletas!D115="Adulto 85kg",32,IF(Atletas!D115="Adulto 90kg",33,IF(Atletas!D115="Adulto 100kg",34, IF(Atletas!D115="Adulto +100kg",35,"")))))))))))))))))))))))))))))))))))))</f>
        <v/>
      </c>
      <c r="AS124" s="6" t="str">
        <f>IF(Atletas!E115="","",IF(Atletas!B115="Feminino",100,IF(Atletas!B115="Masculino",200,""))+(IF(Atletas!E115="Juvenil 44kg",1,IF(Atletas!E115="Juvenil 48kg",2,IF(Atletas!E115="Juvenil 52kg",3,IF(Atletas!E115="Juvenil 56kg",4,IF(Atletas!E115="Juvenil 60kg",5,IF(Atletas!E115="Juvenil 65kg",6,IF(Atletas!E115="Juvenil 70kg",7,IF(Atletas!E115="Juvenil 75kg",8,IF(Atletas!E115="Juvenil 82kg",9,IF(Atletas!E115="Juvenil 90kg",10,IF(Atletas!E115="Juvenil 100kg",11,IF(Atletas!E115="Adulto 48kg",12,IF(Atletas!E115="Adulto 52kg",13,IF(Atletas!E115="Adulto 56kg",14,IF(Atletas!E115="Adulto 60kg",15,IF(Atletas!E115="Adulto 65kg",16,IF(Atletas!E115="Adulto 70kg",17,IF(Atletas!E115="Adulto 75kg",18,IF(Atletas!E115="Adulto 82kg",19,IF(Atletas!E115="Adulto 90kg",20,IF(Atletas!E115="Adulto 100kg",21,IF(Atletas!E115="Adulto +100kg",22,""))))))))))))))))))))))))</f>
        <v/>
      </c>
      <c r="AX124" s="6" t="str">
        <f>IF(Atletas!F115="","",IF(Atletas!B115="Feminino",100,IF(Atletas!B115="Masculino",200,""))+(IF(Atletas!F115="Adulto 48kg",1,IF(Atletas!F115="Adulto 56kg",2,IF(Atletas!F115="Adulto 65kg",3,IF(Atletas!F115="Adulto 75kg",4,IF(Atletas!F115="Adulto +75kg",5,IF(Atletas!F115="Adulto 52kg",6,IF(Atletas!F115="Adulto 60kg",7,IF(Atletas!F115="Adulto 70kg",8,IF(Atletas!F115="Adulto 80kg",9,IF(Atletas!F115="Adulto 90kg",10,IF(Atletas!F115="Adulto +90kg",11,"")))))))))))))</f>
        <v/>
      </c>
      <c r="BC124" s="6" t="str">
        <f>IF(Atletas!G115="","",IF(Atletas!B115="Feminino",10,IF(Atletas!B115="Masculino",20,""))+(IF(Atletas!G115="Baduanjin A",1,IF(Atletas!G115="Baduanjin B",2))))</f>
        <v/>
      </c>
      <c r="BF124" s="52" t="str">
        <f>IF(Atletas!H115="","",IF(Atletas!B115="Feminino",100,IF(Atletas!B115="Masculino",200,""))+(IF(Atletas!H115="Changquan Mirim",1,IF(Atletas!H115="Nanquan Mirim",2,IF(Atletas!H115="Taijiquan Mirim",3,IF(Atletas!H115="Changquan Grupo C",4,IF(Atletas!H115="Nanquan Grupo C",5,IF(Atletas!H115="Taijiquan Grupo C",6,IF(Atletas!H115="Changquan Grupo B",7,IF(Atletas!H115="Nanquan Grupo B",8,IF(Atletas!H115="Taijiquan Grupo B",9,IF(Atletas!H115="Changquan Grupo A",10,IF(Atletas!H115="Nanquan Grupo A",11,IF(Atletas!H115="Taijiquan Grupo A",12,IF(Atletas!H115="Changquan Opcional",13,IF(Atletas!H115="Nanquan Opcional",14,IF(Atletas!H115="Taijiquan Opcional",15,IF(Atletas!H115="Changquan Adulto",16,IF(Atletas!H115="Nanquan Adulto",17,IF(Atletas!H115="Taijiquan Adulto",18,""))))))))))))))))))))</f>
        <v/>
      </c>
      <c r="BG124" s="52" t="str">
        <f>IF(Atletas!I115="","",IF(Atletas!B115="Feminino",100,IF(Atletas!B115="Masculino",200,""))+(IF(Atletas!I115="Daoshu Mirim",19,IF(Atletas!I115="Jianshu Mirim",20,IF(Atletas!I115="Nandao Mirim",21,IF(Atletas!I115="Taijijian Mirim",22,IF(Atletas!I115="Daoshu Grupo C",23,IF(Atletas!I115="Jianshu Grupo C",24,IF(Atletas!I115="Nandao Grupo C",25,IF(Atletas!I115="Taijijian Grupo C",26,IF(Atletas!I115="Daoshu Grupo B",27,IF(Atletas!I115="Jianshu Grupo B",28,IF(Atletas!I115="Nandao Grupo B",29,IF(Atletas!I115="Taijijian Grupo B",30,IF(Atletas!I115="Daoshu Grupo A",31,IF(Atletas!I115="Jianshu Grupo A",32,IF(Atletas!I115="Nandao Grupo A",33,IF(Atletas!I115="Taijijian Grupo A",34,IF(Atletas!I115="Daoshu Opcional",35,IF(Atletas!I115="Jianshu Opcional",36,IF(Atletas!I115="Nandao Opcional",37,IF(Atletas!I115="Taijijian Opcional",38,IF(Atletas!I115="Daoshu Adulto",39,IF(Atletas!I115="Jianshu Adulto",40,IF(Atletas!I115="Nandao Adulto",41,IF(Atletas!I115="Taijijian Adulto",42,""))))))))))))))))))))))))))</f>
        <v/>
      </c>
      <c r="BH124" s="52" t="str">
        <f>IF(Atletas!J115="","",IF(Atletas!B115="Feminino",100,IF(Atletas!B115="Masculino",200,""))+(IF(Atletas!J115="Gunshu Mirim",43,IF(Atletas!J115="Qiangshu Mirim",44,IF(Atletas!J115="Nangun Mirim",45,IF(Atletas!J115="Gunshu Grupo C",46,IF(Atletas!J115="Qiangshu Grupo C",47,IF(Atletas!J115="Nangun Grupo C",48,IF(Atletas!J115="Gunshu Grupo B",49,IF(Atletas!J115="Qiangshu Grupo B",50,IF(Atletas!J115="Nangun Grupo B",51,IF(Atletas!J115="Gunshu Grupo A",52,IF(Atletas!J115="Qiangshu Grupo A",53,IF(Atletas!J115="Nangun Grupo A",54,IF(Atletas!J115="Gunshu Opcional",55,IF(Atletas!J115="Qiangshu Opcional",56,IF(Atletas!J115="Nangun Opcional",57,IF(Atletas!J115="Gunshu Adulto",58,IF(Atletas!J115="Qiangshu Adulto",59,IF(Atletas!J115="Nangun Adulto",60,IF(Atletas!J115="Taijishan Grupo B",61,IF(Atletas!J115="Taijishan Grupo A",62,""))))))))))))))))))))))</f>
        <v/>
      </c>
      <c r="BM124" s="50" t="str">
        <f>IF(Atletas!K115="","",IF(Atletas!B115="Feminino",100,IF(Atletas!B115="Masculino",200,""))+(IF(Atletas!K115="Equipe 1 Grupo B",1,IF(Atletas!K115="Equipe 2 Grupo B",2,IF(Atletas!K115="Equipe 1 Grupo A",3,IF(Atletas!K115="Equipe 2 Grupo A",4,IF(Atletas!K115="Equipe 1 Adulto",5,IF(Atletas!K115="Equipe 2 Adulto",6,""))))))))</f>
        <v/>
      </c>
      <c r="BR124" s="50" t="str">
        <f>IF(Atletas!L115="","",IF(Atletas!X115&lt;&gt;"",10000,0)+(IF(Atletas!B115="Feminino",1000,IF(Atletas!B115="Masculino",2000,""))+IF(Atletas!L115="Choylayfut A",1,IF(Atletas!L115="Hunggar A",2,IF(Atletas!L115="Wuzuquan A",3,IF(Atletas!L115="Wingchun A",4,IF(Atletas!L115="Outra Mão de Sul A",5,IF(Atletas!L115="Choylayfut B",6,IF(Atletas!L115="Hunggar B",7,IF(Atletas!L115="Wuzuquan B",8,IF(Atletas!L115="Wingchun B",9,IF(Atletas!L115="Outra Mão de Sul B",10,IF(Atletas!L115="Choylayfut C",11,IF(Atletas!L115="Hunggar C",12,IF(Atletas!L115="Wuzuquan C",13,IF(Atletas!L115="Wingchun C",14,IF(Atletas!L115="Outra Mão de Sul C",15,IF(Atletas!L115="Choylayfut D",16,IF(Atletas!L115="Hunggar D",17,IF(Atletas!L115="Wuzuquan D",18,IF(Atletas!L115="Wingchun D",19,IF(Atletas!L115="Outra Mão de Sul D",20,IF(Atletas!L115="Choylayfut E",21,IF(Atletas!L115="Hunggar E",22,IF(Atletas!L115="Wuzuquan E",23,IF(Atletas!L115="Wingchun E",24,IF(Atletas!L115="Outra Mão de Sul E",25,IF(Atletas!L115="Choylayfut F",26,IF(Atletas!L115="Hunggar F",27,IF(Atletas!L115="Wuzuquan F",28,IF(Atletas!L115="Wingchun F",29,IF(Atletas!L115="Outra Mão de Sul F",30,IF(Atletas!L115="Dishuquan A",31,IF(Atletas!L115="Dishuquan B",32,IF(Atletas!L115="Dishuquan C",33,IF(Atletas!L115="Dishuquan D",34,IF(Atletas!L115="Dishuquan E",35,IF(Atletas!L115="Dishuquan F",36,""))))))))))))))))))))))))))))))))))))))</f>
        <v/>
      </c>
      <c r="BS124" s="50" t="str">
        <f>IF(Atletas!M115="","",IF(Atletas!X115&lt;&gt;"",10000,0)+(IF(Atletas!B115="Feminino",1000,IF(Atletas!B115="Masculino",2000,""))+(IF(Atletas!M115="Chaquan A",101,IF(Atletas!M115="Emeiquan A",102,IF(Atletas!M115="Fanziquan A",103,IF(Atletas!M115="Huaquan A",104,IF(Atletas!M115="Hongquan A",105,IF(Atletas!M115="Paoquan A",106,IF(Atletas!M115="Piguaquan A",107,IF(Atletas!M115="Shaolinquan A",108,IF(Atletas!M115="Tanglangquan A",109,IF(Atletas!M115="Yingzhaoquan A",110,IF(Atletas!M115="Tongbeiquan A",111,IF(Atletas!M115="Wudangquan A",112,IF(Atletas!M115="Outros Estilos A",113,IF(Atletas!M115="Chaquan B",114,IF(Atletas!M115="Emeiquan B",115,IF(Atletas!M115="Fanziquan B",116,IF(Atletas!M115="Huaquan B",117,IF(Atletas!M115="Hongquan B",118,IF(Atletas!M115="Paoquan B",119,IF(Atletas!M115="Piguaquan B",120,IF(Atletas!M115="Shaolinquan B",121,IF(Atletas!M115="Tanglangquan B",122,IF(Atletas!M115="Yingzhaoquan B",123,IF(Atletas!M115="Tongbeiquan B",124,IF(Atletas!M115="Wudangquan B",125,IF(Atletas!M115="Outros Estilos B",126,IF(Atletas!M115="Chaquan C",127,IF(Atletas!M115="Emeiquan C",128,IF(Atletas!M115="Fanziquan C",129,IF(Atletas!M115="Huaquan C",130,IF(Atletas!M115="Hongquan C",131,IF(Atletas!M115="Paoquan C",132,IF(Atletas!M115="Piguaquan C",133,IF(Atletas!M115="Shaolinquan C",134,IF(Atletas!M115="Tanglangquan C",135,IF(Atletas!M115="Yingzhaoquan C",136,IF(Atletas!M115="Tongbeiquan C",137,IF(Atletas!M115="Wudangquan C",138,IF(Atletas!M115="Outros Estilos C",139,0))))))))))))))))))))))))))))))))))))))))))</f>
        <v/>
      </c>
      <c r="BT124" s="50" t="str">
        <f>IF(Atletas!M115="","",IF(Atletas!X115&lt;&gt;"",10000,0)+(IF(Atletas!B115="Feminino",1000,IF(Atletas!B115="Masculino",2000,""))+(IF(Atletas!M115="Chaquan D",140,IF(Atletas!M115="Emeiquan D",141,IF(Atletas!M115="Fanziquan D",142,IF(Atletas!M115="Huaquan D",143,IF(Atletas!M115="Hongquan D",144,IF(Atletas!M115="Paoquan D",145,IF(Atletas!M115="Piguaquan D",146,IF(Atletas!M115="Shaolinquan D",147,IF(Atletas!M115="Tanglangquan D",148,IF(Atletas!M115="Yingzhaoquan D",149,IF(Atletas!M115="Tongbeiquan D",150,IF(Atletas!M115="Wudangquan D",151,IF(Atletas!M115="Outros Estilos D",152,IF(Atletas!M115="Chaquan E",153,IF(Atletas!M115="Emeiquan E",154,IF(Atletas!M115="Fanziquan E",155,IF(Atletas!M115="Huaquan E",156,IF(Atletas!M115="Hongquan E",157,IF(Atletas!M115="Paoquan E",158,IF(Atletas!M115="Piguaquan E",159,IF(Atletas!M115="Shaolinquan E",160,IF(Atletas!M115="Tanglangquan E",161,IF(Atletas!M115="Yingzhaoquan E",162,IF(Atletas!M115="Tongbeiquan E",163,IF(Atletas!M115="Wudangquan E",164,IF(Atletas!M115="Outros Estilos E",165,IF(Atletas!M115="Chaquan F",166,IF(Atletas!M115="Emeiquan F",167,IF(Atletas!M115="Fanziquan F",168,IF(Atletas!M115="Huaquan F",169,IF(Atletas!M115="Hongquan F",170,IF(Atletas!M115="Paoquan F",171,IF(Atletas!M115="Piguaquan F",172,IF(Atletas!M115="Shaolinquan F",173,IF(Atletas!M115="Tanglangquan F",174,IF(Atletas!M115="Yingzhaoquan F",175,IF(Atletas!M115="Tongbeiquan F",176,IF(Atletas!M115="Wudangquan F",177,IF(Atletas!M115="Outros Estilos F",178,0))))))))))))))))))))))))))))))))))))))))))</f>
        <v/>
      </c>
      <c r="BU124" s="50" t="str">
        <f>IF(Atletas!N115="","",IF(Atletas!X115&lt;&gt;"",10000,0)+(IF(Atletas!B115="Feminino",1000,IF(Atletas!B115="Masculino",2000,""))+(IF(Atletas!N115="Ditangquan A",201,IF(Atletas!N115="Houquan A",202,IF(Atletas!N115="Zuiquan A",203,IF(Atletas!N115="Ditangquan B",204,IF(Atletas!N115="Houquan B",205,IF(Atletas!N115="Zuiquan B",206,IF(Atletas!N115="Ditangquan C",207,IF(Atletas!N115="Houquan C",208,IF(Atletas!N115="Zuiquan C",209,IF(Atletas!N115="Ditangquan D",210,IF(Atletas!N115="Houquan D",211,IF(Atletas!N115="Zuiquan D",212,IF(Atletas!N115="Ditangquan E",213,IF(Atletas!N115="Houquan E",214,IF(Atletas!N115="Zuiquan E",215,IF(Atletas!N115="Ditangquan F",216,IF(Atletas!N115="Houquan F",217,IF(Atletas!N115="Zuiquan F",218,"")))))))))))))))))))))</f>
        <v/>
      </c>
      <c r="BV124" s="50" t="str">
        <f>IF(Atletas!O115="","",IF(Atletas!X115&lt;&gt;"",10000,0)+IF(Atletas!B115="Feminino",1000,IF(Atletas!B115="Masculino",2000,""))+IF(Atletas!O115="Yang A",301,IF(Atletas!O115="Chen A",302,IF(Atletas!O115="Sun A",303,IF(Atletas!O115="Wu A",304,IF(Atletas!O115="Wu-Hao A",305,IF(Atletas!O115="Outro Taijiquan A",306,IF(Atletas!O115="Yang B",307,IF(Atletas!O115="Chen B",308,IF(Atletas!O115="Sun B",309,IF(Atletas!O115="Wu B",310,IF(Atletas!O115="Wu-Hao B",311,IF(Atletas!O115="Outro Taijiquan B",312,IF(Atletas!O115="Yang C",313,IF(Atletas!O115="Chen C",314,IF(Atletas!O115="Sun C",315,IF(Atletas!O115="Wu C",316,IF(Atletas!O115="Wu-Hao C",317,IF(Atletas!O115="Outro Taijiquan C",318,IF(Atletas!O115="Yang D",319,IF(Atletas!O115="Chen D",320,IF(Atletas!O115="Sun D",321,IF(Atletas!O115="Wu D",322,IF(Atletas!O115="Wu-Hao D",323,IF(Atletas!O115="Outro Taijiquan D",324,IF(Atletas!O115="Yang E",325,IF(Atletas!O115="Chen E",326,IF(Atletas!O115="Sun E",327,IF(Atletas!O115="Wu E",328,IF(Atletas!O115="Wu-Hao E",329,IF(Atletas!O115="Outro Taijiquan E",330,IF(Atletas!O115="Yang F",331,IF(Atletas!O115="Chen F",332,IF(Atletas!O115="Sun F",333,IF(Atletas!O115="Wu F",334,IF(Atletas!O115="Wu-Hao F",335,IF(Atletas!O115="Outro Taijiquan F",336,"")))))))))))))))))))))))))))))))))))))</f>
        <v/>
      </c>
      <c r="BW124" s="50" t="str">
        <f>IF(Atletas!P115="","",IF(Atletas!X115&lt;&gt;"",10000,0)+IF(Atletas!B115="Feminino",1000,IF(Atletas!B115="Masculino",2000,""))+IF(OR(Atletas!P115="Yang 26 A",Atletas!P115="Yang 40 A"),401,IF(OR(Atletas!P115="Chen 25 A",Atletas!P115="Chen 36 A",Atletas!P115="Chen 56 A"),402,IF(Atletas!P115="Sun 73 A",403,IF(Atletas!P115="Wu 45 A",404,IF(Atletas!P115="Wu-Hao 46 A",405,IF(OR(Atletas!P115="Taijiquan 16 A",Atletas!P115="Taijiquan 24 A",Atletas!P115="Taijiquan 32 A",Atletas!P115="Taijiquan 42 A"),406,IF(OR(Atletas!P115="Yang 26 B",Atletas!P115="Yang 40 B"),407,IF(OR(Atletas!P115="Chen 25 B",Atletas!P115="Chen 36 B",Atletas!P115="Chen 56 B"),408,IF(Atletas!P115="Sun 73 B",409,IF(Atletas!P115="Wu 45 B",410,IF(Atletas!P115="Wu-Hao 46 B",411,IF(OR(Atletas!P115="Taijiquan 16 B",Atletas!P115="Taijiquan 24 B",Atletas!P115="Taijiquan 32 B",Atletas!P115="Taijiquan 42 B"),412,IF(OR(Atletas!P115="Yang 26 C",Atletas!P115="Yang 40 C"),413,IF(OR(Atletas!P115="Chen 25 C",Atletas!P115="Chen 36 C",Atletas!P115="Chen 56 C"),414,IF(Atletas!P115="Sun 73 C",415,IF(Atletas!P115="Wu 45 C",416,IF(Atletas!P115="Wu-Hao 46 C",417,IF(OR(Atletas!P115="Taijiquan 16 C",Atletas!P115="Taijiquan 24 C",Atletas!P115="Taijiquan 32 C",Atletas!P115="Taijiquan 42 C"),418,0)))))))))))))))))))</f>
        <v/>
      </c>
      <c r="BX124" s="50" t="str">
        <f>IF(Atletas!P115="","",IF(Atletas!X115&lt;&gt;"",10000,0)+IF(Atletas!B115="Feminino",1000,IF(Atletas!B115="Masculino",2000,""))+IF(OR(Atletas!P115="Yang 26 D",Atletas!P115="Yang 40 D"),419,IF(OR(Atletas!P115="Chen 25 D",Atletas!P115="Chen 36 D",Atletas!P115="Chen 56 D"),420,IF(Atletas!P115="Sun 73 D",421,IF(Atletas!P115="Wu 45 D",422,IF(Atletas!P115="Wu-Hao 46 D",423,IF(OR(Atletas!P115="Taijiquan 16 D",Atletas!P115="Taijiquan 24 D",Atletas!P115="Taijiquan 32 D",Atletas!P115="Taijiquan 42 D"),424,IF(OR(Atletas!P115="Yang 26 E",Atletas!P115="Yang 40 E"),425,IF(OR(Atletas!P115="Chen 25 E",Atletas!P115="Chen 36 E",Atletas!P115="Chen 56 E"),426,IF(Atletas!P115="Sun 73 E",427,IF(Atletas!P115="Wu 45 E",428,IF(Atletas!P115="Wu-Hao 46 E",429,IF(OR(Atletas!P115="Taijiquan 16 E",Atletas!P115="Taijiquan 24 E",Atletas!P115="Taijiquan 32 E",Atletas!P115="Taijiquan 42 E"),430,IF(OR(Atletas!P115="Yang 26 F",Atletas!P115="Yang 40 F"),431,IF(OR(Atletas!P115="Chen 25 F",Atletas!P115="Chen 36 F",Atletas!P115="Chen 56 F"),432,IF(Atletas!P115="Sun 73 F",433,IF(Atletas!P115="Wu 45 F",434,IF(Atletas!P115="Wu-Hao 46 F",435,IF(OR(Atletas!P115="Taijiquan 16 F",Atletas!P115="Taijiquan 24 F",Atletas!P115="Taijiquan 32 F",Atletas!P115="Taijiquan 42 F"),436,0)))))))))))))))))))</f>
        <v/>
      </c>
      <c r="BY124" s="50" t="str">
        <f>IF(Atletas!Q115="","",IF(Atletas!X115&lt;&gt;"",10000,0)+IF(Atletas!B115="Feminino",1000,IF(Atletas!B115="Masculino",2000,""))+IF(Atletas!Q115="Xingyiquan A",501,IF(Atletas!Q115="Baguazhang A",502,IF(Atletas!Q115="Outro Estilo Interno A",503,IF(Atletas!Q115="Xingyiquan B",504,IF(Atletas!Q115="Baguazhang B",505,IF(Atletas!Q115="Outro Estilo Interno B",506,IF(Atletas!Q115="Xingyiquan C",507,IF(Atletas!Q115="Baguazhang C",508,IF(Atletas!Q115="Outro Estilo Interno C",509,IF(Atletas!Q115="Xingyiquan D",510,IF(Atletas!Q115="Baguazhang D",511,IF(Atletas!Q115="Outro Estilo Interno D",512,IF(Atletas!Q115="Xingyiquan E",513,IF(Atletas!Q115="Baguazhang E",514,IF(Atletas!Q115="Outro Estilo Interno E",515,IF(Atletas!Q115="Xingyiquan F",516,IF(Atletas!Q115="Baguazhang F",517,IF(Atletas!Q115="Outro Estilo Interno F",518, "")))))))))))))))))))</f>
        <v/>
      </c>
      <c r="BZ124" s="50" t="str">
        <f>IF(Atletas!R115="","",IF(Atletas!X115&lt;&gt;"",10000,0)+IF(Atletas!B115="Feminino",1000,IF(Atletas!B115="Masculino",2000,""))+IF(Atletas!R115="Dao A",601,IF(Atletas!R115="Jian A",602,IF(Atletas!R115="Bishou A",603,IF(Atletas!R115="Shanzi A",604,IF(Atletas!R115="Outra Arma Curta A",605,IF(Atletas!R115="Dao B",606,IF(Atletas!R115="Jian B",607,IF(Atletas!R115="Bishou B",608,IF(Atletas!R115="Shanzi B",609,IF(Atletas!R115="Outra Arma Curta B",610,IF(Atletas!R115="Dao C",611,IF(Atletas!R115="Jian C",612,IF(Atletas!R115="Bishou C",613,IF(Atletas!R115="Shanzi C",614,IF(Atletas!R115="Outra Arma Curta C",615,IF(Atletas!R115="Dao D",616,IF(Atletas!R115="Jian D",617,IF(Atletas!R115="Bishou D",618,IF(Atletas!R115="Shanzi D",619,IF(Atletas!R115="Outra Arma Curta D",620,IF(Atletas!R115="Dao E",621,IF(Atletas!R115="Jian E",622,IF(Atletas!R115="Bishou E",623,IF(Atletas!R115="Shanzi E",624,IF(Atletas!R115="Outra Arma Curta E",625,IF(Atletas!R115="Dao F",626,IF(Atletas!R115="Jian F",627,IF(Atletas!R115="Bishou F",628,IF(Atletas!R115="Shanzi F",629,IF(Atletas!R115="Outra Arma Curta F",630, "")))))))))))))))))))))))))))))))</f>
        <v/>
      </c>
      <c r="CA124" s="50" t="str">
        <f>IF(Atletas!S115="","",IF(Atletas!X115&lt;&gt;"",10000,0)+IF(Atletas!B115="Feminino",1000,IF(Atletas!B115="Masculino",2000,""))+IF(Atletas!S115="Gun A",701,IF(Atletas!S115="Qiang A",702,IF(Atletas!S115="Pudao / Guandao A",703,IF(Atletas!S115="Outra Arma Longa A",704,IF(Atletas!S115="Gun B",705,IF(Atletas!S115="Qiang B",706,IF(Atletas!S115="Pudao / Guandao B",707,IF(Atletas!S115="Outra Arma Longa B",708,IF(Atletas!S115="Gun C",709,IF(Atletas!S115="Qiang C",710,IF(Atletas!S115="Pudao / Guandao C",711,IF(Atletas!S115="Outra Arma Longa C",712,IF(Atletas!S115="Gun D",713,IF(Atletas!S115="Qiang D",714,IF(Atletas!S115="Pudao / Guandao D",715,IF(Atletas!S115="Outra Arma Longa D",716,IF(Atletas!S115="Gun E",717,IF(Atletas!S115="Qiang E",718,IF(Atletas!S115="Pudao / Guandao E",719,IF(Atletas!S115="Outra Arma Longa E",720,IF(Atletas!S115="Gun F",721,IF(Atletas!S115="Qiang F",722,IF(Atletas!S115="Pudao / Guandao F",723,IF(Atletas!S115="Outra Arma Longa F",724,"")))))))))))))))))))))))))</f>
        <v/>
      </c>
      <c r="CB124" s="50" t="str">
        <f>IF(Atletas!T115="","",IF(Atletas!X115&lt;&gt;"",10000,0)+IF(Atletas!B115="Feminino",1000,IF(Atletas!B115="Masculino",2000,""))+IF(Atletas!T115="Outra Arma Dupla A",801,IF(Atletas!T115="Arma Maleável A",802,IF(Atletas!T115="Outra Arma Dupla B",803,IF(Atletas!T115="Arma Maleável B",804,IF(Atletas!T115="Outra Arma Dupla C",805,IF(Atletas!T115="Arma Maleável C",806,IF(Atletas!T115="Outra Arma Dupla D",807,IF(Atletas!T115="Arma Maleável D",808,IF(Atletas!T115="Outra Arma Dupla E",809,IF(Atletas!T115="Arma Maleável E",810,IF(Atletas!T115="Outra Arma Dupla F",811,IF(Atletas!T115="Arma Maleável F",812,IF(Atletas!T115="Shuangdao A",813,IF(Atletas!T115="Shuangdao B",814,IF(Atletas!T115="Shuangdao C",815,IF(Atletas!T115="Shuangdao D",816,IF(Atletas!T115="Shuangdao E",817,IF(Atletas!T115="Shuangdao F",818,"")))))))))))))))))))</f>
        <v/>
      </c>
      <c r="CC124" s="50" t="str">
        <f>IF(Atletas!U115="","",IF(Atletas!X115&lt;&gt;"",10000,0)+IF(Atletas!B115="Feminino",1000,IF(Atletas!B115="Masculino",2000,""))+IF(OR(Atletas!U115="Taijijian Yang A",Atletas!U115="Taijijian Yang Standard A"),901,IF(OR(Atletas!U115="Taijijian Chen A", Atletas!U115="Taijijian Chen Standard A"),902,IF(Atletas!U115="Taijijian Sun A",903,IF(Atletas!U115="Taijijian Wu A",904,IF(Atletas!U115="Taijijian Wu-Hao A",905,IF(OR(Atletas!U115="Taijijian 32 A",Atletas!U115="Taijijian 42 A"),906,IF(OR(Atletas!U115="Taijijian Yang B",Atletas!U115="Taijijian Yang Standard B"),907,IF(OR(Atletas!U115="Taijijian Chen B", Atletas!U115="Taijijian Chen Standard B"),908,IF(Atletas!U115="Taijijian Sun B",909,IF(Atletas!U115="Taijijian Wu B",910,IF(Atletas!U115="Taijijian Wu-Hao B",911,IF(OR(Atletas!U115="Taijijian 32 B",Atletas!U115="Taijijian 42 B"),912,IF(OR(Atletas!U115="Taijijian Yang C",Atletas!U115="Taijijian Yang Standard C"),913,IF(OR(Atletas!U115="Taijijian Chen C", Atletas!U115="Taijijian Chen Standard C"),914,IF(Atletas!U115="Taijijian Sun C",915,IF(Atletas!U115="Taijijian Wu C",916,IF(Atletas!U115="Taijijian Wu-Hao C",917,IF(OR(Atletas!U115="Taijijian 32 C",Atletas!U115="Taijijian 42 C"),918,IF(OR(Atletas!U115="Taijijian Yang D",Atletas!U115="Taijijian Yang Standard D"),919,IF(OR(Atletas!U115="Taijijian Chen D", Atletas!U115="Taijijian Chen Standard D"),920,IF(Atletas!U115="Taijijian Sun D",921,IF(Atletas!U115="Taijijian Wu D",922,IF(Atletas!U115="Taijijian Wu-Hao D",923,IF(OR(Atletas!U115="Taijijian 32 D",Atletas!U115="Taijijian 42 D"),924,IF(OR(Atletas!U115="Taijijian Yang E",Atletas!U115="Taijijian Yang Standard E"),925,IF(OR(Atletas!U115="Taijijian Chen E", Atletas!U115="Taijijian Chen Standard E"),926,IF(Atletas!U115="Taijijian Sun E",927,IF(Atletas!U115="Taijijian Wu E",928,IF(Atletas!U115="Taijijian Wu-Hao E",929,IF(OR(Atletas!U115="Taijijian 32 E",Atletas!U115="Taijijian 42 E"),930,IF(OR(Atletas!U115="Taijijian Yang F",Atletas!U115="Taijijian Yang Standard F"),931,IF(OR(Atletas!U115="Taijijian Chen F", Atletas!U115="Taijijian Chen Standard F"),932,IF(Atletas!U115="Taijijian Sun F",933,IF(Atletas!U115="Taijijian Wu F",934,IF(Atletas!U115="Taijijian Wu-Hao F",935,IF(OR(Atletas!U115="Taijijian 32 F",Atletas!U115="Taijijian 42 F"),936,"")))))))))))))))))))))))))))))))))))))</f>
        <v/>
      </c>
      <c r="CD124" s="50" t="str">
        <f>IF(Atletas!V115="","",IF(Atletas!X115&lt;&gt;"",10000,0)+IF(Atletas!B115="Feminino",1000,IF(Atletas!B115="Masculino",2000,""))+IF(Atletas!V115="Taijidao A",937,IF(Atletas!V115="TaijiShanzi A",938,IF(Atletas!V115="Taijiqiang A",939,IF(Atletas!V115="Bagua de Arma A",940,IF(Atletas!V115="Xingyi de Arma A",941,IF(Atletas!V115="Taijidao B",942,IF(Atletas!V115="TaijiShanzi B",943,IF(Atletas!V115="Taijiqiang B",944,IF(Atletas!V115="Bagua de Arma B",945,IF(Atletas!V115="Xingyi de Arma B",946,IF(Atletas!V115="Taijidao C",947,IF(Atletas!V115="TaijiShanzi C",948,IF(Atletas!V115="Taijiqiang C",949,IF(Atletas!V115="Bagua de Arma C",950,IF(Atletas!V115="Xingyi de Arma C",951,IF(Atletas!V115="Taijidao D",952,IF(Atletas!V115="TaijiShanzi D",953,IF(Atletas!V115="Taijiqiang D",954,IF(Atletas!V115="Bagua de Arma D",955,IF(Atletas!V115="Xingyi de Arma D",956,IF(Atletas!V115="Taijidao E",957,IF(Atletas!V115="TaijiShanzi E",958,IF(Atletas!V115="Taijiqiang E",959,IF(Atletas!V115="Bagua de Arma E",960,IF(Atletas!V115="Xingyi de Arma E",961,IF(Atletas!V115="Taijidao F",962,IF(Atletas!V115="TaijiShanzi F",963,IF(Atletas!V115="Taijiqiang F",964,IF(Atletas!V115="Bagua de Arma F",965,IF(Atletas!V115="Xingyi de Arma F",966,"")))))))))))))))))))))))))))))))</f>
        <v/>
      </c>
      <c r="CE124" s="66" t="str">
        <f>IF(CF124&lt;&gt;"","Ditangquan B","")</f>
        <v/>
      </c>
      <c r="CF124" s="66" t="str">
        <f>IF(COUNTIF(BR:CD,1204)&gt;0,COUNTIF(BR:CD,1204),"")</f>
        <v/>
      </c>
      <c r="CG124" s="66" t="str">
        <f>IF(CH124&lt;&gt;"","Ditangquan B","")</f>
        <v/>
      </c>
      <c r="CH124" s="66" t="str">
        <f>IF(COUNTIF(BR:CD,2204)&gt;0,COUNTIF(BR:CD,2204),"")</f>
        <v/>
      </c>
      <c r="CI124" s="66" t="str">
        <f>IF(CJ124&lt;&gt;"","Ditangquan D","")</f>
        <v/>
      </c>
      <c r="CJ124" s="66" t="str">
        <f>IF(COUNTIF(BR:CD,11210)&gt;0,COUNTIF(BR:CD,11210),"")</f>
        <v/>
      </c>
      <c r="CK124" s="66" t="str">
        <f>IF(CL124&lt;&gt;"","Ditangquan D","")</f>
        <v/>
      </c>
      <c r="CL124" s="66" t="str">
        <f>IF(COUNTIF(BR:CD,12210)&gt;0,COUNTIF(BR:CD,12210),"")</f>
        <v/>
      </c>
      <c r="CM124" s="50" t="str">
        <f xml:space="preserve"> IF(Atletas!W115="","",IF(Atletas!W115="Duilian de Mãos BC - Equipe 1",1,IF(Atletas!W115="Duilian de Mãos BC - Equipe 2",2,IF(Atletas!W115="Duilian de Armas BC - Equipe 1",3,IF(Atletas!W115="Duilian de Armas BC - Equipe 2",4,IF(Atletas!W115="Duilian de Mãos DE - Equipe 1",5,IF(Atletas!W115="Duilian de Mãos DE - Equipe 2",6,IF(Atletas!W115="Duilian de Armas DE - Equipe 1",7,IF(Atletas!W115="Duilian de Armas DE - Equipe 2",8,IF(Atletas!W115="Duilian de Tuishou - Equipe 1",9,IF(Atletas!W115="Duilian de Tuishou - Equipe 2",10,IF(Atletas!W115="Grupo Externo ABC - Equipe 1",11,IF(Atletas!W115="Grupo Externo ABC - Equipe 2",12,IF(Atletas!W115="Grupo Interno ABC - Equipe 1",13,IF(Atletas!W115="Grupo Interno ABC - Equipe 2",14,IF(Atletas!W115="Grupo Externo DEF - Equipe 1",15,IF(Atletas!W115="Grupo Externo DEF - Equipe 2",16,IF(Atletas!W115="Grupo Interno DEF - Equipe 1",17,IF(Atletas!W115="Grupo Interno DEF - Equipe 2",18,"")))))))))))))))))))</f>
        <v/>
      </c>
    </row>
    <row r="125" spans="2:91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 t="str">
        <f t="array" ref="Z125">IFERROR(INDEX(CE$7:CE$348,SMALL(IF(CE$7:CE$348&lt;&gt;"",ROW(CE$7:CE$348)-ROW(CE$7)+1),ROWS(CE$7:CE124))),"")</f>
        <v/>
      </c>
      <c r="AA125" s="3" t="str">
        <f t="array" ref="AA125">IFERROR(INDEX(CF$7:CF$348,SMALL(IF(CF$7:CF$348&lt;&gt;"",ROW(CF$7:CF$348)-ROW(CF$7)+1),ROWS(CF$7:CF124))),"")</f>
        <v/>
      </c>
      <c r="AB125" s="3" t="str">
        <f t="array" ref="AB125">IFERROR(INDEX(CG$7:CG$348,SMALL(IF(CG$7:CG$348&lt;&gt;"",ROW(CG$7:CG$348)-ROW(CG$7)+1),ROWS(CG$7:CG124))),"")</f>
        <v/>
      </c>
      <c r="AC125" s="3" t="str">
        <f t="array" ref="AC125">IFERROR(INDEX(CH$7:CH$348,SMALL(IF(CH$7:CH$348&lt;&gt;"",ROW(CH$7:CH$348)-ROW(CH$7)+1),ROWS(CH$7:CH124))),"")</f>
        <v/>
      </c>
      <c r="AD125" s="3" t="str">
        <f t="array" ref="AD125">IFERROR(INDEX(CI$7:CI$377,SMALL(IF(CI$7:CI$377&lt;&gt;"",ROW(CI$7:CI$377)-ROW(CI$7)+1),ROWS(CI$7:CI124))),"")</f>
        <v/>
      </c>
      <c r="AE125" s="3" t="str">
        <f t="array" ref="AE125">IFERROR(INDEX(CJ$7:CJ$378,SMALL(IF(CJ$7:CJ$378&lt;&gt;"",ROW(CJ$7:CJ$378)-ROW(CJ$7)+1),ROWS(CJ$7:CJ124))),"")</f>
        <v/>
      </c>
      <c r="AF125" s="3" t="str">
        <f t="array" ref="AF125">IFERROR(INDEX(CK$7:CK$378,SMALL(IF(CK$7:CK$378&lt;&gt;"",ROW(CK$7:CK$378)-ROW(CK$7)+1),ROWS(CK$7:CK124))),"")</f>
        <v/>
      </c>
      <c r="AG125" s="3" t="str">
        <f t="array" ref="AG125">IFERROR(INDEX(CL$7:CL$378,SMALL(IF(CL$7:CL$378&lt;&gt;"",ROW(CL$7:CL$378)-ROW(CL$7)+1),ROWS(CL$7:CL124))),"")</f>
        <v/>
      </c>
      <c r="AH125" s="3"/>
      <c r="AI125" s="3"/>
      <c r="AJ125" s="3"/>
      <c r="AK125" s="3"/>
      <c r="AL125" s="3"/>
      <c r="AM125" s="3"/>
      <c r="AN125" s="52" t="str">
        <f>IF(Atletas!D116="","",IF(Atletas!B116="Feminino",100,IF(Atletas!B116="Masculino",200,""))+(IF(Atletas!D116="Kids 30kg",1,IF(Atletas!D116="Kids 32kg",2, IF(Atletas!D116="Kids 34kg",3,IF(Atletas!D116="Kids 36kg",4,IF(Atletas!D116="Kids 39kg",5,IF(Atletas!D116="Kids 42kg",6,IF(Atletas!D116="Kids 45kg",7, IF(Atletas!D116="Infantil 39kg",8,IF(Atletas!D116="Infantil 42kg",9,IF(Atletas!D116="Infantil 45kg",10,IF(Atletas!D116="Infantil 48kg",11,IF(Atletas!D116="Infantil 52kg",12,IF(Atletas!D116="Infantil 56kg",13,IF(Atletas!D116="Infantil 60kg",14,IF(Atletas!D116="Juvenil 48kg",15,IF(Atletas!D116="Juvenil 52kg",16,IF(Atletas!D116="Juvenil 56kg",17,IF(Atletas!D116="Juvenil 60kg",18,IF(Atletas!D116="Juvenil 65kg",19,IF(Atletas!D116="Juvenil 70kg",20,IF(Atletas!D116="Juvenil 75kg",21,IF(Atletas!D116="Juvenil 80kg",22, IF(Atletas!D116="Juvenil 85kg",23,IF(Atletas!D116="Adulto 48kg",24,IF(Atletas!D116="Adulto 52kg",25,IF(Atletas!D116="Adulto 56kg",26,IF(Atletas!D116="Adulto 60kg",27,IF(Atletas!D116="Adulto 65kg",28,IF(Atletas!D116="Adulto 70kg",29,IF(Atletas!D116="Adulto 75kg",30,IF(Atletas!D116="Adulto 80kg",31,IF(Atletas!D116="Adulto 85kg",32,IF(Atletas!D116="Adulto 90kg",33,IF(Atletas!D116="Adulto 100kg",34, IF(Atletas!D116="Adulto +100kg",35,"")))))))))))))))))))))))))))))))))))))</f>
        <v/>
      </c>
      <c r="AS125" s="6" t="str">
        <f>IF(Atletas!E116="","",IF(Atletas!B116="Feminino",100,IF(Atletas!B116="Masculino",200,""))+(IF(Atletas!E116="Juvenil 44kg",1,IF(Atletas!E116="Juvenil 48kg",2,IF(Atletas!E116="Juvenil 52kg",3,IF(Atletas!E116="Juvenil 56kg",4,IF(Atletas!E116="Juvenil 60kg",5,IF(Atletas!E116="Juvenil 65kg",6,IF(Atletas!E116="Juvenil 70kg",7,IF(Atletas!E116="Juvenil 75kg",8,IF(Atletas!E116="Juvenil 82kg",9,IF(Atletas!E116="Juvenil 90kg",10,IF(Atletas!E116="Juvenil 100kg",11,IF(Atletas!E116="Adulto 48kg",12,IF(Atletas!E116="Adulto 52kg",13,IF(Atletas!E116="Adulto 56kg",14,IF(Atletas!E116="Adulto 60kg",15,IF(Atletas!E116="Adulto 65kg",16,IF(Atletas!E116="Adulto 70kg",17,IF(Atletas!E116="Adulto 75kg",18,IF(Atletas!E116="Adulto 82kg",19,IF(Atletas!E116="Adulto 90kg",20,IF(Atletas!E116="Adulto 100kg",21,IF(Atletas!E116="Adulto +100kg",22,""))))))))))))))))))))))))</f>
        <v/>
      </c>
      <c r="AX125" s="6" t="str">
        <f>IF(Atletas!F116="","",IF(Atletas!B116="Feminino",100,IF(Atletas!B116="Masculino",200,""))+(IF(Atletas!F116="Adulto 48kg",1,IF(Atletas!F116="Adulto 56kg",2,IF(Atletas!F116="Adulto 65kg",3,IF(Atletas!F116="Adulto 75kg",4,IF(Atletas!F116="Adulto +75kg",5,IF(Atletas!F116="Adulto 52kg",6,IF(Atletas!F116="Adulto 60kg",7,IF(Atletas!F116="Adulto 70kg",8,IF(Atletas!F116="Adulto 80kg",9,IF(Atletas!F116="Adulto 90kg",10,IF(Atletas!F116="Adulto +90kg",11,"")))))))))))))</f>
        <v/>
      </c>
      <c r="BC125" s="6" t="str">
        <f>IF(Atletas!G116="","",IF(Atletas!B116="Feminino",10,IF(Atletas!B116="Masculino",20,""))+(IF(Atletas!G116="Baduanjin A",1,IF(Atletas!G116="Baduanjin B",2))))</f>
        <v/>
      </c>
      <c r="BF125" s="52" t="str">
        <f>IF(Atletas!H116="","",IF(Atletas!B116="Feminino",100,IF(Atletas!B116="Masculino",200,""))+(IF(Atletas!H116="Changquan Mirim",1,IF(Atletas!H116="Nanquan Mirim",2,IF(Atletas!H116="Taijiquan Mirim",3,IF(Atletas!H116="Changquan Grupo C",4,IF(Atletas!H116="Nanquan Grupo C",5,IF(Atletas!H116="Taijiquan Grupo C",6,IF(Atletas!H116="Changquan Grupo B",7,IF(Atletas!H116="Nanquan Grupo B",8,IF(Atletas!H116="Taijiquan Grupo B",9,IF(Atletas!H116="Changquan Grupo A",10,IF(Atletas!H116="Nanquan Grupo A",11,IF(Atletas!H116="Taijiquan Grupo A",12,IF(Atletas!H116="Changquan Opcional",13,IF(Atletas!H116="Nanquan Opcional",14,IF(Atletas!H116="Taijiquan Opcional",15,IF(Atletas!H116="Changquan Adulto",16,IF(Atletas!H116="Nanquan Adulto",17,IF(Atletas!H116="Taijiquan Adulto",18,""))))))))))))))))))))</f>
        <v/>
      </c>
      <c r="BG125" s="52" t="str">
        <f>IF(Atletas!I116="","",IF(Atletas!B116="Feminino",100,IF(Atletas!B116="Masculino",200,""))+(IF(Atletas!I116="Daoshu Mirim",19,IF(Atletas!I116="Jianshu Mirim",20,IF(Atletas!I116="Nandao Mirim",21,IF(Atletas!I116="Taijijian Mirim",22,IF(Atletas!I116="Daoshu Grupo C",23,IF(Atletas!I116="Jianshu Grupo C",24,IF(Atletas!I116="Nandao Grupo C",25,IF(Atletas!I116="Taijijian Grupo C",26,IF(Atletas!I116="Daoshu Grupo B",27,IF(Atletas!I116="Jianshu Grupo B",28,IF(Atletas!I116="Nandao Grupo B",29,IF(Atletas!I116="Taijijian Grupo B",30,IF(Atletas!I116="Daoshu Grupo A",31,IF(Atletas!I116="Jianshu Grupo A",32,IF(Atletas!I116="Nandao Grupo A",33,IF(Atletas!I116="Taijijian Grupo A",34,IF(Atletas!I116="Daoshu Opcional",35,IF(Atletas!I116="Jianshu Opcional",36,IF(Atletas!I116="Nandao Opcional",37,IF(Atletas!I116="Taijijian Opcional",38,IF(Atletas!I116="Daoshu Adulto",39,IF(Atletas!I116="Jianshu Adulto",40,IF(Atletas!I116="Nandao Adulto",41,IF(Atletas!I116="Taijijian Adulto",42,""))))))))))))))))))))))))))</f>
        <v/>
      </c>
      <c r="BH125" s="52" t="str">
        <f>IF(Atletas!J116="","",IF(Atletas!B116="Feminino",100,IF(Atletas!B116="Masculino",200,""))+(IF(Atletas!J116="Gunshu Mirim",43,IF(Atletas!J116="Qiangshu Mirim",44,IF(Atletas!J116="Nangun Mirim",45,IF(Atletas!J116="Gunshu Grupo C",46,IF(Atletas!J116="Qiangshu Grupo C",47,IF(Atletas!J116="Nangun Grupo C",48,IF(Atletas!J116="Gunshu Grupo B",49,IF(Atletas!J116="Qiangshu Grupo B",50,IF(Atletas!J116="Nangun Grupo B",51,IF(Atletas!J116="Gunshu Grupo A",52,IF(Atletas!J116="Qiangshu Grupo A",53,IF(Atletas!J116="Nangun Grupo A",54,IF(Atletas!J116="Gunshu Opcional",55,IF(Atletas!J116="Qiangshu Opcional",56,IF(Atletas!J116="Nangun Opcional",57,IF(Atletas!J116="Gunshu Adulto",58,IF(Atletas!J116="Qiangshu Adulto",59,IF(Atletas!J116="Nangun Adulto",60,IF(Atletas!J116="Taijishan Grupo B",61,IF(Atletas!J116="Taijishan Grupo A",62,""))))))))))))))))))))))</f>
        <v/>
      </c>
      <c r="BM125" s="50" t="str">
        <f>IF(Atletas!K116="","",IF(Atletas!B116="Feminino",100,IF(Atletas!B116="Masculino",200,""))+(IF(Atletas!K116="Equipe 1 Grupo B",1,IF(Atletas!K116="Equipe 2 Grupo B",2,IF(Atletas!K116="Equipe 1 Grupo A",3,IF(Atletas!K116="Equipe 2 Grupo A",4,IF(Atletas!K116="Equipe 1 Adulto",5,IF(Atletas!K116="Equipe 2 Adulto",6,""))))))))</f>
        <v/>
      </c>
      <c r="BR125" s="50" t="str">
        <f>IF(Atletas!L116="","",IF(Atletas!X116&lt;&gt;"",10000,0)+(IF(Atletas!B116="Feminino",1000,IF(Atletas!B116="Masculino",2000,""))+IF(Atletas!L116="Choylayfut A",1,IF(Atletas!L116="Hunggar A",2,IF(Atletas!L116="Wuzuquan A",3,IF(Atletas!L116="Wingchun A",4,IF(Atletas!L116="Outra Mão de Sul A",5,IF(Atletas!L116="Choylayfut B",6,IF(Atletas!L116="Hunggar B",7,IF(Atletas!L116="Wuzuquan B",8,IF(Atletas!L116="Wingchun B",9,IF(Atletas!L116="Outra Mão de Sul B",10,IF(Atletas!L116="Choylayfut C",11,IF(Atletas!L116="Hunggar C",12,IF(Atletas!L116="Wuzuquan C",13,IF(Atletas!L116="Wingchun C",14,IF(Atletas!L116="Outra Mão de Sul C",15,IF(Atletas!L116="Choylayfut D",16,IF(Atletas!L116="Hunggar D",17,IF(Atletas!L116="Wuzuquan D",18,IF(Atletas!L116="Wingchun D",19,IF(Atletas!L116="Outra Mão de Sul D",20,IF(Atletas!L116="Choylayfut E",21,IF(Atletas!L116="Hunggar E",22,IF(Atletas!L116="Wuzuquan E",23,IF(Atletas!L116="Wingchun E",24,IF(Atletas!L116="Outra Mão de Sul E",25,IF(Atletas!L116="Choylayfut F",26,IF(Atletas!L116="Hunggar F",27,IF(Atletas!L116="Wuzuquan F",28,IF(Atletas!L116="Wingchun F",29,IF(Atletas!L116="Outra Mão de Sul F",30,IF(Atletas!L116="Dishuquan A",31,IF(Atletas!L116="Dishuquan B",32,IF(Atletas!L116="Dishuquan C",33,IF(Atletas!L116="Dishuquan D",34,IF(Atletas!L116="Dishuquan E",35,IF(Atletas!L116="Dishuquan F",36,""))))))))))))))))))))))))))))))))))))))</f>
        <v/>
      </c>
      <c r="BS125" s="50" t="str">
        <f>IF(Atletas!M116="","",IF(Atletas!X116&lt;&gt;"",10000,0)+(IF(Atletas!B116="Feminino",1000,IF(Atletas!B116="Masculino",2000,""))+(IF(Atletas!M116="Chaquan A",101,IF(Atletas!M116="Emeiquan A",102,IF(Atletas!M116="Fanziquan A",103,IF(Atletas!M116="Huaquan A",104,IF(Atletas!M116="Hongquan A",105,IF(Atletas!M116="Paoquan A",106,IF(Atletas!M116="Piguaquan A",107,IF(Atletas!M116="Shaolinquan A",108,IF(Atletas!M116="Tanglangquan A",109,IF(Atletas!M116="Yingzhaoquan A",110,IF(Atletas!M116="Tongbeiquan A",111,IF(Atletas!M116="Wudangquan A",112,IF(Atletas!M116="Outros Estilos A",113,IF(Atletas!M116="Chaquan B",114,IF(Atletas!M116="Emeiquan B",115,IF(Atletas!M116="Fanziquan B",116,IF(Atletas!M116="Huaquan B",117,IF(Atletas!M116="Hongquan B",118,IF(Atletas!M116="Paoquan B",119,IF(Atletas!M116="Piguaquan B",120,IF(Atletas!M116="Shaolinquan B",121,IF(Atletas!M116="Tanglangquan B",122,IF(Atletas!M116="Yingzhaoquan B",123,IF(Atletas!M116="Tongbeiquan B",124,IF(Atletas!M116="Wudangquan B",125,IF(Atletas!M116="Outros Estilos B",126,IF(Atletas!M116="Chaquan C",127,IF(Atletas!M116="Emeiquan C",128,IF(Atletas!M116="Fanziquan C",129,IF(Atletas!M116="Huaquan C",130,IF(Atletas!M116="Hongquan C",131,IF(Atletas!M116="Paoquan C",132,IF(Atletas!M116="Piguaquan C",133,IF(Atletas!M116="Shaolinquan C",134,IF(Atletas!M116="Tanglangquan C",135,IF(Atletas!M116="Yingzhaoquan C",136,IF(Atletas!M116="Tongbeiquan C",137,IF(Atletas!M116="Wudangquan C",138,IF(Atletas!M116="Outros Estilos C",139,0))))))))))))))))))))))))))))))))))))))))))</f>
        <v/>
      </c>
      <c r="BT125" s="50" t="str">
        <f>IF(Atletas!M116="","",IF(Atletas!X116&lt;&gt;"",10000,0)+(IF(Atletas!B116="Feminino",1000,IF(Atletas!B116="Masculino",2000,""))+(IF(Atletas!M116="Chaquan D",140,IF(Atletas!M116="Emeiquan D",141,IF(Atletas!M116="Fanziquan D",142,IF(Atletas!M116="Huaquan D",143,IF(Atletas!M116="Hongquan D",144,IF(Atletas!M116="Paoquan D",145,IF(Atletas!M116="Piguaquan D",146,IF(Atletas!M116="Shaolinquan D",147,IF(Atletas!M116="Tanglangquan D",148,IF(Atletas!M116="Yingzhaoquan D",149,IF(Atletas!M116="Tongbeiquan D",150,IF(Atletas!M116="Wudangquan D",151,IF(Atletas!M116="Outros Estilos D",152,IF(Atletas!M116="Chaquan E",153,IF(Atletas!M116="Emeiquan E",154,IF(Atletas!M116="Fanziquan E",155,IF(Atletas!M116="Huaquan E",156,IF(Atletas!M116="Hongquan E",157,IF(Atletas!M116="Paoquan E",158,IF(Atletas!M116="Piguaquan E",159,IF(Atletas!M116="Shaolinquan E",160,IF(Atletas!M116="Tanglangquan E",161,IF(Atletas!M116="Yingzhaoquan E",162,IF(Atletas!M116="Tongbeiquan E",163,IF(Atletas!M116="Wudangquan E",164,IF(Atletas!M116="Outros Estilos E",165,IF(Atletas!M116="Chaquan F",166,IF(Atletas!M116="Emeiquan F",167,IF(Atletas!M116="Fanziquan F",168,IF(Atletas!M116="Huaquan F",169,IF(Atletas!M116="Hongquan F",170,IF(Atletas!M116="Paoquan F",171,IF(Atletas!M116="Piguaquan F",172,IF(Atletas!M116="Shaolinquan F",173,IF(Atletas!M116="Tanglangquan F",174,IF(Atletas!M116="Yingzhaoquan F",175,IF(Atletas!M116="Tongbeiquan F",176,IF(Atletas!M116="Wudangquan F",177,IF(Atletas!M116="Outros Estilos F",178,0))))))))))))))))))))))))))))))))))))))))))</f>
        <v/>
      </c>
      <c r="BU125" s="50" t="str">
        <f>IF(Atletas!N116="","",IF(Atletas!X116&lt;&gt;"",10000,0)+(IF(Atletas!B116="Feminino",1000,IF(Atletas!B116="Masculino",2000,""))+(IF(Atletas!N116="Ditangquan A",201,IF(Atletas!N116="Houquan A",202,IF(Atletas!N116="Zuiquan A",203,IF(Atletas!N116="Ditangquan B",204,IF(Atletas!N116="Houquan B",205,IF(Atletas!N116="Zuiquan B",206,IF(Atletas!N116="Ditangquan C",207,IF(Atletas!N116="Houquan C",208,IF(Atletas!N116="Zuiquan C",209,IF(Atletas!N116="Ditangquan D",210,IF(Atletas!N116="Houquan D",211,IF(Atletas!N116="Zuiquan D",212,IF(Atletas!N116="Ditangquan E",213,IF(Atletas!N116="Houquan E",214,IF(Atletas!N116="Zuiquan E",215,IF(Atletas!N116="Ditangquan F",216,IF(Atletas!N116="Houquan F",217,IF(Atletas!N116="Zuiquan F",218,"")))))))))))))))))))))</f>
        <v/>
      </c>
      <c r="BV125" s="50" t="str">
        <f>IF(Atletas!O116="","",IF(Atletas!X116&lt;&gt;"",10000,0)+IF(Atletas!B116="Feminino",1000,IF(Atletas!B116="Masculino",2000,""))+IF(Atletas!O116="Yang A",301,IF(Atletas!O116="Chen A",302,IF(Atletas!O116="Sun A",303,IF(Atletas!O116="Wu A",304,IF(Atletas!O116="Wu-Hao A",305,IF(Atletas!O116="Outro Taijiquan A",306,IF(Atletas!O116="Yang B",307,IF(Atletas!O116="Chen B",308,IF(Atletas!O116="Sun B",309,IF(Atletas!O116="Wu B",310,IF(Atletas!O116="Wu-Hao B",311,IF(Atletas!O116="Outro Taijiquan B",312,IF(Atletas!O116="Yang C",313,IF(Atletas!O116="Chen C",314,IF(Atletas!O116="Sun C",315,IF(Atletas!O116="Wu C",316,IF(Atletas!O116="Wu-Hao C",317,IF(Atletas!O116="Outro Taijiquan C",318,IF(Atletas!O116="Yang D",319,IF(Atletas!O116="Chen D",320,IF(Atletas!O116="Sun D",321,IF(Atletas!O116="Wu D",322,IF(Atletas!O116="Wu-Hao D",323,IF(Atletas!O116="Outro Taijiquan D",324,IF(Atletas!O116="Yang E",325,IF(Atletas!O116="Chen E",326,IF(Atletas!O116="Sun E",327,IF(Atletas!O116="Wu E",328,IF(Atletas!O116="Wu-Hao E",329,IF(Atletas!O116="Outro Taijiquan E",330,IF(Atletas!O116="Yang F",331,IF(Atletas!O116="Chen F",332,IF(Atletas!O116="Sun F",333,IF(Atletas!O116="Wu F",334,IF(Atletas!O116="Wu-Hao F",335,IF(Atletas!O116="Outro Taijiquan F",336,"")))))))))))))))))))))))))))))))))))))</f>
        <v/>
      </c>
      <c r="BW125" s="50" t="str">
        <f>IF(Atletas!P116="","",IF(Atletas!X116&lt;&gt;"",10000,0)+IF(Atletas!B116="Feminino",1000,IF(Atletas!B116="Masculino",2000,""))+IF(OR(Atletas!P116="Yang 26 A",Atletas!P116="Yang 40 A"),401,IF(OR(Atletas!P116="Chen 25 A",Atletas!P116="Chen 36 A",Atletas!P116="Chen 56 A"),402,IF(Atletas!P116="Sun 73 A",403,IF(Atletas!P116="Wu 45 A",404,IF(Atletas!P116="Wu-Hao 46 A",405,IF(OR(Atletas!P116="Taijiquan 16 A",Atletas!P116="Taijiquan 24 A",Atletas!P116="Taijiquan 32 A",Atletas!P116="Taijiquan 42 A"),406,IF(OR(Atletas!P116="Yang 26 B",Atletas!P116="Yang 40 B"),407,IF(OR(Atletas!P116="Chen 25 B",Atletas!P116="Chen 36 B",Atletas!P116="Chen 56 B"),408,IF(Atletas!P116="Sun 73 B",409,IF(Atletas!P116="Wu 45 B",410,IF(Atletas!P116="Wu-Hao 46 B",411,IF(OR(Atletas!P116="Taijiquan 16 B",Atletas!P116="Taijiquan 24 B",Atletas!P116="Taijiquan 32 B",Atletas!P116="Taijiquan 42 B"),412,IF(OR(Atletas!P116="Yang 26 C",Atletas!P116="Yang 40 C"),413,IF(OR(Atletas!P116="Chen 25 C",Atletas!P116="Chen 36 C",Atletas!P116="Chen 56 C"),414,IF(Atletas!P116="Sun 73 C",415,IF(Atletas!P116="Wu 45 C",416,IF(Atletas!P116="Wu-Hao 46 C",417,IF(OR(Atletas!P116="Taijiquan 16 C",Atletas!P116="Taijiquan 24 C",Atletas!P116="Taijiquan 32 C",Atletas!P116="Taijiquan 42 C"),418,0)))))))))))))))))))</f>
        <v/>
      </c>
      <c r="BX125" s="50" t="str">
        <f>IF(Atletas!P116="","",IF(Atletas!X116&lt;&gt;"",10000,0)+IF(Atletas!B116="Feminino",1000,IF(Atletas!B116="Masculino",2000,""))+IF(OR(Atletas!P116="Yang 26 D",Atletas!P116="Yang 40 D"),419,IF(OR(Atletas!P116="Chen 25 D",Atletas!P116="Chen 36 D",Atletas!P116="Chen 56 D"),420,IF(Atletas!P116="Sun 73 D",421,IF(Atletas!P116="Wu 45 D",422,IF(Atletas!P116="Wu-Hao 46 D",423,IF(OR(Atletas!P116="Taijiquan 16 D",Atletas!P116="Taijiquan 24 D",Atletas!P116="Taijiquan 32 D",Atletas!P116="Taijiquan 42 D"),424,IF(OR(Atletas!P116="Yang 26 E",Atletas!P116="Yang 40 E"),425,IF(OR(Atletas!P116="Chen 25 E",Atletas!P116="Chen 36 E",Atletas!P116="Chen 56 E"),426,IF(Atletas!P116="Sun 73 E",427,IF(Atletas!P116="Wu 45 E",428,IF(Atletas!P116="Wu-Hao 46 E",429,IF(OR(Atletas!P116="Taijiquan 16 E",Atletas!P116="Taijiquan 24 E",Atletas!P116="Taijiquan 32 E",Atletas!P116="Taijiquan 42 E"),430,IF(OR(Atletas!P116="Yang 26 F",Atletas!P116="Yang 40 F"),431,IF(OR(Atletas!P116="Chen 25 F",Atletas!P116="Chen 36 F",Atletas!P116="Chen 56 F"),432,IF(Atletas!P116="Sun 73 F",433,IF(Atletas!P116="Wu 45 F",434,IF(Atletas!P116="Wu-Hao 46 F",435,IF(OR(Atletas!P116="Taijiquan 16 F",Atletas!P116="Taijiquan 24 F",Atletas!P116="Taijiquan 32 F",Atletas!P116="Taijiquan 42 F"),436,0)))))))))))))))))))</f>
        <v/>
      </c>
      <c r="BY125" s="50" t="str">
        <f>IF(Atletas!Q116="","",IF(Atletas!X116&lt;&gt;"",10000,0)+IF(Atletas!B116="Feminino",1000,IF(Atletas!B116="Masculino",2000,""))+IF(Atletas!Q116="Xingyiquan A",501,IF(Atletas!Q116="Baguazhang A",502,IF(Atletas!Q116="Outro Estilo Interno A",503,IF(Atletas!Q116="Xingyiquan B",504,IF(Atletas!Q116="Baguazhang B",505,IF(Atletas!Q116="Outro Estilo Interno B",506,IF(Atletas!Q116="Xingyiquan C",507,IF(Atletas!Q116="Baguazhang C",508,IF(Atletas!Q116="Outro Estilo Interno C",509,IF(Atletas!Q116="Xingyiquan D",510,IF(Atletas!Q116="Baguazhang D",511,IF(Atletas!Q116="Outro Estilo Interno D",512,IF(Atletas!Q116="Xingyiquan E",513,IF(Atletas!Q116="Baguazhang E",514,IF(Atletas!Q116="Outro Estilo Interno E",515,IF(Atletas!Q116="Xingyiquan F",516,IF(Atletas!Q116="Baguazhang F",517,IF(Atletas!Q116="Outro Estilo Interno F",518, "")))))))))))))))))))</f>
        <v/>
      </c>
      <c r="BZ125" s="50" t="str">
        <f>IF(Atletas!R116="","",IF(Atletas!X116&lt;&gt;"",10000,0)+IF(Atletas!B116="Feminino",1000,IF(Atletas!B116="Masculino",2000,""))+IF(Atletas!R116="Dao A",601,IF(Atletas!R116="Jian A",602,IF(Atletas!R116="Bishou A",603,IF(Atletas!R116="Shanzi A",604,IF(Atletas!R116="Outra Arma Curta A",605,IF(Atletas!R116="Dao B",606,IF(Atletas!R116="Jian B",607,IF(Atletas!R116="Bishou B",608,IF(Atletas!R116="Shanzi B",609,IF(Atletas!R116="Outra Arma Curta B",610,IF(Atletas!R116="Dao C",611,IF(Atletas!R116="Jian C",612,IF(Atletas!R116="Bishou C",613,IF(Atletas!R116="Shanzi C",614,IF(Atletas!R116="Outra Arma Curta C",615,IF(Atletas!R116="Dao D",616,IF(Atletas!R116="Jian D",617,IF(Atletas!R116="Bishou D",618,IF(Atletas!R116="Shanzi D",619,IF(Atletas!R116="Outra Arma Curta D",620,IF(Atletas!R116="Dao E",621,IF(Atletas!R116="Jian E",622,IF(Atletas!R116="Bishou E",623,IF(Atletas!R116="Shanzi E",624,IF(Atletas!R116="Outra Arma Curta E",625,IF(Atletas!R116="Dao F",626,IF(Atletas!R116="Jian F",627,IF(Atletas!R116="Bishou F",628,IF(Atletas!R116="Shanzi F",629,IF(Atletas!R116="Outra Arma Curta F",630, "")))))))))))))))))))))))))))))))</f>
        <v/>
      </c>
      <c r="CA125" s="50" t="str">
        <f>IF(Atletas!S116="","",IF(Atletas!X116&lt;&gt;"",10000,0)+IF(Atletas!B116="Feminino",1000,IF(Atletas!B116="Masculino",2000,""))+IF(Atletas!S116="Gun A",701,IF(Atletas!S116="Qiang A",702,IF(Atletas!S116="Pudao / Guandao A",703,IF(Atletas!S116="Outra Arma Longa A",704,IF(Atletas!S116="Gun B",705,IF(Atletas!S116="Qiang B",706,IF(Atletas!S116="Pudao / Guandao B",707,IF(Atletas!S116="Outra Arma Longa B",708,IF(Atletas!S116="Gun C",709,IF(Atletas!S116="Qiang C",710,IF(Atletas!S116="Pudao / Guandao C",711,IF(Atletas!S116="Outra Arma Longa C",712,IF(Atletas!S116="Gun D",713,IF(Atletas!S116="Qiang D",714,IF(Atletas!S116="Pudao / Guandao D",715,IF(Atletas!S116="Outra Arma Longa D",716,IF(Atletas!S116="Gun E",717,IF(Atletas!S116="Qiang E",718,IF(Atletas!S116="Pudao / Guandao E",719,IF(Atletas!S116="Outra Arma Longa E",720,IF(Atletas!S116="Gun F",721,IF(Atletas!S116="Qiang F",722,IF(Atletas!S116="Pudao / Guandao F",723,IF(Atletas!S116="Outra Arma Longa F",724,"")))))))))))))))))))))))))</f>
        <v/>
      </c>
      <c r="CB125" s="50" t="str">
        <f>IF(Atletas!T116="","",IF(Atletas!X116&lt;&gt;"",10000,0)+IF(Atletas!B116="Feminino",1000,IF(Atletas!B116="Masculino",2000,""))+IF(Atletas!T116="Outra Arma Dupla A",801,IF(Atletas!T116="Arma Maleável A",802,IF(Atletas!T116="Outra Arma Dupla B",803,IF(Atletas!T116="Arma Maleável B",804,IF(Atletas!T116="Outra Arma Dupla C",805,IF(Atletas!T116="Arma Maleável C",806,IF(Atletas!T116="Outra Arma Dupla D",807,IF(Atletas!T116="Arma Maleável D",808,IF(Atletas!T116="Outra Arma Dupla E",809,IF(Atletas!T116="Arma Maleável E",810,IF(Atletas!T116="Outra Arma Dupla F",811,IF(Atletas!T116="Arma Maleável F",812,IF(Atletas!T116="Shuangdao A",813,IF(Atletas!T116="Shuangdao B",814,IF(Atletas!T116="Shuangdao C",815,IF(Atletas!T116="Shuangdao D",816,IF(Atletas!T116="Shuangdao E",817,IF(Atletas!T116="Shuangdao F",818,"")))))))))))))))))))</f>
        <v/>
      </c>
      <c r="CC125" s="50" t="str">
        <f>IF(Atletas!U116="","",IF(Atletas!X116&lt;&gt;"",10000,0)+IF(Atletas!B116="Feminino",1000,IF(Atletas!B116="Masculino",2000,""))+IF(OR(Atletas!U116="Taijijian Yang A",Atletas!U116="Taijijian Yang Standard A"),901,IF(OR(Atletas!U116="Taijijian Chen A", Atletas!U116="Taijijian Chen Standard A"),902,IF(Atletas!U116="Taijijian Sun A",903,IF(Atletas!U116="Taijijian Wu A",904,IF(Atletas!U116="Taijijian Wu-Hao A",905,IF(OR(Atletas!U116="Taijijian 32 A",Atletas!U116="Taijijian 42 A"),906,IF(OR(Atletas!U116="Taijijian Yang B",Atletas!U116="Taijijian Yang Standard B"),907,IF(OR(Atletas!U116="Taijijian Chen B", Atletas!U116="Taijijian Chen Standard B"),908,IF(Atletas!U116="Taijijian Sun B",909,IF(Atletas!U116="Taijijian Wu B",910,IF(Atletas!U116="Taijijian Wu-Hao B",911,IF(OR(Atletas!U116="Taijijian 32 B",Atletas!U116="Taijijian 42 B"),912,IF(OR(Atletas!U116="Taijijian Yang C",Atletas!U116="Taijijian Yang Standard C"),913,IF(OR(Atletas!U116="Taijijian Chen C", Atletas!U116="Taijijian Chen Standard C"),914,IF(Atletas!U116="Taijijian Sun C",915,IF(Atletas!U116="Taijijian Wu C",916,IF(Atletas!U116="Taijijian Wu-Hao C",917,IF(OR(Atletas!U116="Taijijian 32 C",Atletas!U116="Taijijian 42 C"),918,IF(OR(Atletas!U116="Taijijian Yang D",Atletas!U116="Taijijian Yang Standard D"),919,IF(OR(Atletas!U116="Taijijian Chen D", Atletas!U116="Taijijian Chen Standard D"),920,IF(Atletas!U116="Taijijian Sun D",921,IF(Atletas!U116="Taijijian Wu D",922,IF(Atletas!U116="Taijijian Wu-Hao D",923,IF(OR(Atletas!U116="Taijijian 32 D",Atletas!U116="Taijijian 42 D"),924,IF(OR(Atletas!U116="Taijijian Yang E",Atletas!U116="Taijijian Yang Standard E"),925,IF(OR(Atletas!U116="Taijijian Chen E", Atletas!U116="Taijijian Chen Standard E"),926,IF(Atletas!U116="Taijijian Sun E",927,IF(Atletas!U116="Taijijian Wu E",928,IF(Atletas!U116="Taijijian Wu-Hao E",929,IF(OR(Atletas!U116="Taijijian 32 E",Atletas!U116="Taijijian 42 E"),930,IF(OR(Atletas!U116="Taijijian Yang F",Atletas!U116="Taijijian Yang Standard F"),931,IF(OR(Atletas!U116="Taijijian Chen F", Atletas!U116="Taijijian Chen Standard F"),932,IF(Atletas!U116="Taijijian Sun F",933,IF(Atletas!U116="Taijijian Wu F",934,IF(Atletas!U116="Taijijian Wu-Hao F",935,IF(OR(Atletas!U116="Taijijian 32 F",Atletas!U116="Taijijian 42 F"),936,"")))))))))))))))))))))))))))))))))))))</f>
        <v/>
      </c>
      <c r="CD125" s="50" t="str">
        <f>IF(Atletas!V116="","",IF(Atletas!X116&lt;&gt;"",10000,0)+IF(Atletas!B116="Feminino",1000,IF(Atletas!B116="Masculino",2000,""))+IF(Atletas!V116="Taijidao A",937,IF(Atletas!V116="TaijiShanzi A",938,IF(Atletas!V116="Taijiqiang A",939,IF(Atletas!V116="Bagua de Arma A",940,IF(Atletas!V116="Xingyi de Arma A",941,IF(Atletas!V116="Taijidao B",942,IF(Atletas!V116="TaijiShanzi B",943,IF(Atletas!V116="Taijiqiang B",944,IF(Atletas!V116="Bagua de Arma B",945,IF(Atletas!V116="Xingyi de Arma B",946,IF(Atletas!V116="Taijidao C",947,IF(Atletas!V116="TaijiShanzi C",948,IF(Atletas!V116="Taijiqiang C",949,IF(Atletas!V116="Bagua de Arma C",950,IF(Atletas!V116="Xingyi de Arma C",951,IF(Atletas!V116="Taijidao D",952,IF(Atletas!V116="TaijiShanzi D",953,IF(Atletas!V116="Taijiqiang D",954,IF(Atletas!V116="Bagua de Arma D",955,IF(Atletas!V116="Xingyi de Arma D",956,IF(Atletas!V116="Taijidao E",957,IF(Atletas!V116="TaijiShanzi E",958,IF(Atletas!V116="Taijiqiang E",959,IF(Atletas!V116="Bagua de Arma E",960,IF(Atletas!V116="Xingyi de Arma E",961,IF(Atletas!V116="Taijidao F",962,IF(Atletas!V116="TaijiShanzi F",963,IF(Atletas!V116="Taijiqiang F",964,IF(Atletas!V116="Bagua de Arma F",965,IF(Atletas!V116="Xingyi de Arma F",966,"")))))))))))))))))))))))))))))))</f>
        <v/>
      </c>
      <c r="CE125" s="66" t="str">
        <f>IF(CF125&lt;&gt;"","Houquan B","")</f>
        <v/>
      </c>
      <c r="CF125" s="66" t="str">
        <f>IF(COUNTIF(BR:CD,1205)&gt;0,COUNTIF(BR:CD,1205),"")</f>
        <v/>
      </c>
      <c r="CG125" s="66" t="str">
        <f>IF(CH125&lt;&gt;"","Houquan B","")</f>
        <v/>
      </c>
      <c r="CH125" s="66" t="str">
        <f>IF(COUNTIF(BR:CD,2205)&gt;0,COUNTIF(BR:CD,2205),"")</f>
        <v/>
      </c>
      <c r="CI125" s="66" t="str">
        <f>IF(CJ125&lt;&gt;"","Houquan D","")</f>
        <v/>
      </c>
      <c r="CJ125" s="66" t="str">
        <f>IF(COUNTIF(BR:CD,11211)&gt;0,COUNTIF(BR:CD,11211),"")</f>
        <v/>
      </c>
      <c r="CK125" s="66" t="str">
        <f>IF(CL125&lt;&gt;"","Houquan D","")</f>
        <v/>
      </c>
      <c r="CL125" s="66" t="str">
        <f>IF(COUNTIF(BR:CD,12211)&gt;0,COUNTIF(BR:CD,12211),"")</f>
        <v/>
      </c>
      <c r="CM125" s="50" t="str">
        <f xml:space="preserve"> IF(Atletas!W116="","",IF(Atletas!W116="Duilian de Mãos BC - Equipe 1",1,IF(Atletas!W116="Duilian de Mãos BC - Equipe 2",2,IF(Atletas!W116="Duilian de Armas BC - Equipe 1",3,IF(Atletas!W116="Duilian de Armas BC - Equipe 2",4,IF(Atletas!W116="Duilian de Mãos DE - Equipe 1",5,IF(Atletas!W116="Duilian de Mãos DE - Equipe 2",6,IF(Atletas!W116="Duilian de Armas DE - Equipe 1",7,IF(Atletas!W116="Duilian de Armas DE - Equipe 2",8,IF(Atletas!W116="Duilian de Tuishou - Equipe 1",9,IF(Atletas!W116="Duilian de Tuishou - Equipe 2",10,IF(Atletas!W116="Grupo Externo ABC - Equipe 1",11,IF(Atletas!W116="Grupo Externo ABC - Equipe 2",12,IF(Atletas!W116="Grupo Interno ABC - Equipe 1",13,IF(Atletas!W116="Grupo Interno ABC - Equipe 2",14,IF(Atletas!W116="Grupo Externo DEF - Equipe 1",15,IF(Atletas!W116="Grupo Externo DEF - Equipe 2",16,IF(Atletas!W116="Grupo Interno DEF - Equipe 1",17,IF(Atletas!W116="Grupo Interno DEF - Equipe 2",18,"")))))))))))))))))))</f>
        <v/>
      </c>
    </row>
    <row r="126" spans="2:91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 t="str">
        <f t="array" ref="Z126">IFERROR(INDEX(CE$7:CE$348,SMALL(IF(CE$7:CE$348&lt;&gt;"",ROW(CE$7:CE$348)-ROW(CE$7)+1),ROWS(CE$7:CE125))),"")</f>
        <v/>
      </c>
      <c r="AA126" s="3" t="str">
        <f t="array" ref="AA126">IFERROR(INDEX(CF$7:CF$348,SMALL(IF(CF$7:CF$348&lt;&gt;"",ROW(CF$7:CF$348)-ROW(CF$7)+1),ROWS(CF$7:CF125))),"")</f>
        <v/>
      </c>
      <c r="AB126" s="3" t="str">
        <f t="array" ref="AB126">IFERROR(INDEX(CG$7:CG$348,SMALL(IF(CG$7:CG$348&lt;&gt;"",ROW(CG$7:CG$348)-ROW(CG$7)+1),ROWS(CG$7:CG125))),"")</f>
        <v/>
      </c>
      <c r="AC126" s="3" t="str">
        <f t="array" ref="AC126">IFERROR(INDEX(CH$7:CH$348,SMALL(IF(CH$7:CH$348&lt;&gt;"",ROW(CH$7:CH$348)-ROW(CH$7)+1),ROWS(CH$7:CH125))),"")</f>
        <v/>
      </c>
      <c r="AD126" s="3" t="str">
        <f t="array" ref="AD126">IFERROR(INDEX(CI$7:CI$377,SMALL(IF(CI$7:CI$377&lt;&gt;"",ROW(CI$7:CI$377)-ROW(CI$7)+1),ROWS(CI$7:CI125))),"")</f>
        <v/>
      </c>
      <c r="AE126" s="3" t="str">
        <f t="array" ref="AE126">IFERROR(INDEX(CJ$7:CJ$378,SMALL(IF(CJ$7:CJ$378&lt;&gt;"",ROW(CJ$7:CJ$378)-ROW(CJ$7)+1),ROWS(CJ$7:CJ125))),"")</f>
        <v/>
      </c>
      <c r="AF126" s="3" t="str">
        <f t="array" ref="AF126">IFERROR(INDEX(CK$7:CK$378,SMALL(IF(CK$7:CK$378&lt;&gt;"",ROW(CK$7:CK$378)-ROW(CK$7)+1),ROWS(CK$7:CK125))),"")</f>
        <v/>
      </c>
      <c r="AG126" s="3" t="str">
        <f t="array" ref="AG126">IFERROR(INDEX(CL$7:CL$378,SMALL(IF(CL$7:CL$378&lt;&gt;"",ROW(CL$7:CL$378)-ROW(CL$7)+1),ROWS(CL$7:CL125))),"")</f>
        <v/>
      </c>
      <c r="AH126" s="3"/>
      <c r="AI126" s="3"/>
      <c r="AJ126" s="3"/>
      <c r="AK126" s="3"/>
      <c r="AL126" s="3"/>
      <c r="AM126" s="3"/>
      <c r="AN126" s="52" t="str">
        <f>IF(Atletas!D117="","",IF(Atletas!B117="Feminino",100,IF(Atletas!B117="Masculino",200,""))+(IF(Atletas!D117="Kids 30kg",1,IF(Atletas!D117="Kids 32kg",2, IF(Atletas!D117="Kids 34kg",3,IF(Atletas!D117="Kids 36kg",4,IF(Atletas!D117="Kids 39kg",5,IF(Atletas!D117="Kids 42kg",6,IF(Atletas!D117="Kids 45kg",7, IF(Atletas!D117="Infantil 39kg",8,IF(Atletas!D117="Infantil 42kg",9,IF(Atletas!D117="Infantil 45kg",10,IF(Atletas!D117="Infantil 48kg",11,IF(Atletas!D117="Infantil 52kg",12,IF(Atletas!D117="Infantil 56kg",13,IF(Atletas!D117="Infantil 60kg",14,IF(Atletas!D117="Juvenil 48kg",15,IF(Atletas!D117="Juvenil 52kg",16,IF(Atletas!D117="Juvenil 56kg",17,IF(Atletas!D117="Juvenil 60kg",18,IF(Atletas!D117="Juvenil 65kg",19,IF(Atletas!D117="Juvenil 70kg",20,IF(Atletas!D117="Juvenil 75kg",21,IF(Atletas!D117="Juvenil 80kg",22, IF(Atletas!D117="Juvenil 85kg",23,IF(Atletas!D117="Adulto 48kg",24,IF(Atletas!D117="Adulto 52kg",25,IF(Atletas!D117="Adulto 56kg",26,IF(Atletas!D117="Adulto 60kg",27,IF(Atletas!D117="Adulto 65kg",28,IF(Atletas!D117="Adulto 70kg",29,IF(Atletas!D117="Adulto 75kg",30,IF(Atletas!D117="Adulto 80kg",31,IF(Atletas!D117="Adulto 85kg",32,IF(Atletas!D117="Adulto 90kg",33,IF(Atletas!D117="Adulto 100kg",34, IF(Atletas!D117="Adulto +100kg",35,"")))))))))))))))))))))))))))))))))))))</f>
        <v/>
      </c>
      <c r="AS126" s="6" t="str">
        <f>IF(Atletas!E117="","",IF(Atletas!B117="Feminino",100,IF(Atletas!B117="Masculino",200,""))+(IF(Atletas!E117="Juvenil 44kg",1,IF(Atletas!E117="Juvenil 48kg",2,IF(Atletas!E117="Juvenil 52kg",3,IF(Atletas!E117="Juvenil 56kg",4,IF(Atletas!E117="Juvenil 60kg",5,IF(Atletas!E117="Juvenil 65kg",6,IF(Atletas!E117="Juvenil 70kg",7,IF(Atletas!E117="Juvenil 75kg",8,IF(Atletas!E117="Juvenil 82kg",9,IF(Atletas!E117="Juvenil 90kg",10,IF(Atletas!E117="Juvenil 100kg",11,IF(Atletas!E117="Adulto 48kg",12,IF(Atletas!E117="Adulto 52kg",13,IF(Atletas!E117="Adulto 56kg",14,IF(Atletas!E117="Adulto 60kg",15,IF(Atletas!E117="Adulto 65kg",16,IF(Atletas!E117="Adulto 70kg",17,IF(Atletas!E117="Adulto 75kg",18,IF(Atletas!E117="Adulto 82kg",19,IF(Atletas!E117="Adulto 90kg",20,IF(Atletas!E117="Adulto 100kg",21,IF(Atletas!E117="Adulto +100kg",22,""))))))))))))))))))))))))</f>
        <v/>
      </c>
      <c r="AX126" s="6" t="str">
        <f>IF(Atletas!F117="","",IF(Atletas!B117="Feminino",100,IF(Atletas!B117="Masculino",200,""))+(IF(Atletas!F117="Adulto 48kg",1,IF(Atletas!F117="Adulto 56kg",2,IF(Atletas!F117="Adulto 65kg",3,IF(Atletas!F117="Adulto 75kg",4,IF(Atletas!F117="Adulto +75kg",5,IF(Atletas!F117="Adulto 52kg",6,IF(Atletas!F117="Adulto 60kg",7,IF(Atletas!F117="Adulto 70kg",8,IF(Atletas!F117="Adulto 80kg",9,IF(Atletas!F117="Adulto 90kg",10,IF(Atletas!F117="Adulto +90kg",11,"")))))))))))))</f>
        <v/>
      </c>
      <c r="BC126" s="6" t="str">
        <f>IF(Atletas!G117="","",IF(Atletas!B117="Feminino",10,IF(Atletas!B117="Masculino",20,""))+(IF(Atletas!G117="Baduanjin A",1,IF(Atletas!G117="Baduanjin B",2))))</f>
        <v/>
      </c>
      <c r="BF126" s="52" t="str">
        <f>IF(Atletas!H117="","",IF(Atletas!B117="Feminino",100,IF(Atletas!B117="Masculino",200,""))+(IF(Atletas!H117="Changquan Mirim",1,IF(Atletas!H117="Nanquan Mirim",2,IF(Atletas!H117="Taijiquan Mirim",3,IF(Atletas!H117="Changquan Grupo C",4,IF(Atletas!H117="Nanquan Grupo C",5,IF(Atletas!H117="Taijiquan Grupo C",6,IF(Atletas!H117="Changquan Grupo B",7,IF(Atletas!H117="Nanquan Grupo B",8,IF(Atletas!H117="Taijiquan Grupo B",9,IF(Atletas!H117="Changquan Grupo A",10,IF(Atletas!H117="Nanquan Grupo A",11,IF(Atletas!H117="Taijiquan Grupo A",12,IF(Atletas!H117="Changquan Opcional",13,IF(Atletas!H117="Nanquan Opcional",14,IF(Atletas!H117="Taijiquan Opcional",15,IF(Atletas!H117="Changquan Adulto",16,IF(Atletas!H117="Nanquan Adulto",17,IF(Atletas!H117="Taijiquan Adulto",18,""))))))))))))))))))))</f>
        <v/>
      </c>
      <c r="BG126" s="52" t="str">
        <f>IF(Atletas!I117="","",IF(Atletas!B117="Feminino",100,IF(Atletas!B117="Masculino",200,""))+(IF(Atletas!I117="Daoshu Mirim",19,IF(Atletas!I117="Jianshu Mirim",20,IF(Atletas!I117="Nandao Mirim",21,IF(Atletas!I117="Taijijian Mirim",22,IF(Atletas!I117="Daoshu Grupo C",23,IF(Atletas!I117="Jianshu Grupo C",24,IF(Atletas!I117="Nandao Grupo C",25,IF(Atletas!I117="Taijijian Grupo C",26,IF(Atletas!I117="Daoshu Grupo B",27,IF(Atletas!I117="Jianshu Grupo B",28,IF(Atletas!I117="Nandao Grupo B",29,IF(Atletas!I117="Taijijian Grupo B",30,IF(Atletas!I117="Daoshu Grupo A",31,IF(Atletas!I117="Jianshu Grupo A",32,IF(Atletas!I117="Nandao Grupo A",33,IF(Atletas!I117="Taijijian Grupo A",34,IF(Atletas!I117="Daoshu Opcional",35,IF(Atletas!I117="Jianshu Opcional",36,IF(Atletas!I117="Nandao Opcional",37,IF(Atletas!I117="Taijijian Opcional",38,IF(Atletas!I117="Daoshu Adulto",39,IF(Atletas!I117="Jianshu Adulto",40,IF(Atletas!I117="Nandao Adulto",41,IF(Atletas!I117="Taijijian Adulto",42,""))))))))))))))))))))))))))</f>
        <v/>
      </c>
      <c r="BH126" s="52" t="str">
        <f>IF(Atletas!J117="","",IF(Atletas!B117="Feminino",100,IF(Atletas!B117="Masculino",200,""))+(IF(Atletas!J117="Gunshu Mirim",43,IF(Atletas!J117="Qiangshu Mirim",44,IF(Atletas!J117="Nangun Mirim",45,IF(Atletas!J117="Gunshu Grupo C",46,IF(Atletas!J117="Qiangshu Grupo C",47,IF(Atletas!J117="Nangun Grupo C",48,IF(Atletas!J117="Gunshu Grupo B",49,IF(Atletas!J117="Qiangshu Grupo B",50,IF(Atletas!J117="Nangun Grupo B",51,IF(Atletas!J117="Gunshu Grupo A",52,IF(Atletas!J117="Qiangshu Grupo A",53,IF(Atletas!J117="Nangun Grupo A",54,IF(Atletas!J117="Gunshu Opcional",55,IF(Atletas!J117="Qiangshu Opcional",56,IF(Atletas!J117="Nangun Opcional",57,IF(Atletas!J117="Gunshu Adulto",58,IF(Atletas!J117="Qiangshu Adulto",59,IF(Atletas!J117="Nangun Adulto",60,IF(Atletas!J117="Taijishan Grupo B",61,IF(Atletas!J117="Taijishan Grupo A",62,""))))))))))))))))))))))</f>
        <v/>
      </c>
      <c r="BM126" s="50" t="str">
        <f>IF(Atletas!K117="","",IF(Atletas!B117="Feminino",100,IF(Atletas!B117="Masculino",200,""))+(IF(Atletas!K117="Equipe 1 Grupo B",1,IF(Atletas!K117="Equipe 2 Grupo B",2,IF(Atletas!K117="Equipe 1 Grupo A",3,IF(Atletas!K117="Equipe 2 Grupo A",4,IF(Atletas!K117="Equipe 1 Adulto",5,IF(Atletas!K117="Equipe 2 Adulto",6,""))))))))</f>
        <v/>
      </c>
      <c r="BR126" s="50" t="str">
        <f>IF(Atletas!L117="","",IF(Atletas!X117&lt;&gt;"",10000,0)+(IF(Atletas!B117="Feminino",1000,IF(Atletas!B117="Masculino",2000,""))+IF(Atletas!L117="Choylayfut A",1,IF(Atletas!L117="Hunggar A",2,IF(Atletas!L117="Wuzuquan A",3,IF(Atletas!L117="Wingchun A",4,IF(Atletas!L117="Outra Mão de Sul A",5,IF(Atletas!L117="Choylayfut B",6,IF(Atletas!L117="Hunggar B",7,IF(Atletas!L117="Wuzuquan B",8,IF(Atletas!L117="Wingchun B",9,IF(Atletas!L117="Outra Mão de Sul B",10,IF(Atletas!L117="Choylayfut C",11,IF(Atletas!L117="Hunggar C",12,IF(Atletas!L117="Wuzuquan C",13,IF(Atletas!L117="Wingchun C",14,IF(Atletas!L117="Outra Mão de Sul C",15,IF(Atletas!L117="Choylayfut D",16,IF(Atletas!L117="Hunggar D",17,IF(Atletas!L117="Wuzuquan D",18,IF(Atletas!L117="Wingchun D",19,IF(Atletas!L117="Outra Mão de Sul D",20,IF(Atletas!L117="Choylayfut E",21,IF(Atletas!L117="Hunggar E",22,IF(Atletas!L117="Wuzuquan E",23,IF(Atletas!L117="Wingchun E",24,IF(Atletas!L117="Outra Mão de Sul E",25,IF(Atletas!L117="Choylayfut F",26,IF(Atletas!L117="Hunggar F",27,IF(Atletas!L117="Wuzuquan F",28,IF(Atletas!L117="Wingchun F",29,IF(Atletas!L117="Outra Mão de Sul F",30,IF(Atletas!L117="Dishuquan A",31,IF(Atletas!L117="Dishuquan B",32,IF(Atletas!L117="Dishuquan C",33,IF(Atletas!L117="Dishuquan D",34,IF(Atletas!L117="Dishuquan E",35,IF(Atletas!L117="Dishuquan F",36,""))))))))))))))))))))))))))))))))))))))</f>
        <v/>
      </c>
      <c r="BS126" s="50" t="str">
        <f>IF(Atletas!M117="","",IF(Atletas!X117&lt;&gt;"",10000,0)+(IF(Atletas!B117="Feminino",1000,IF(Atletas!B117="Masculino",2000,""))+(IF(Atletas!M117="Chaquan A",101,IF(Atletas!M117="Emeiquan A",102,IF(Atletas!M117="Fanziquan A",103,IF(Atletas!M117="Huaquan A",104,IF(Atletas!M117="Hongquan A",105,IF(Atletas!M117="Paoquan A",106,IF(Atletas!M117="Piguaquan A",107,IF(Atletas!M117="Shaolinquan A",108,IF(Atletas!M117="Tanglangquan A",109,IF(Atletas!M117="Yingzhaoquan A",110,IF(Atletas!M117="Tongbeiquan A",111,IF(Atletas!M117="Wudangquan A",112,IF(Atletas!M117="Outros Estilos A",113,IF(Atletas!M117="Chaquan B",114,IF(Atletas!M117="Emeiquan B",115,IF(Atletas!M117="Fanziquan B",116,IF(Atletas!M117="Huaquan B",117,IF(Atletas!M117="Hongquan B",118,IF(Atletas!M117="Paoquan B",119,IF(Atletas!M117="Piguaquan B",120,IF(Atletas!M117="Shaolinquan B",121,IF(Atletas!M117="Tanglangquan B",122,IF(Atletas!M117="Yingzhaoquan B",123,IF(Atletas!M117="Tongbeiquan B",124,IF(Atletas!M117="Wudangquan B",125,IF(Atletas!M117="Outros Estilos B",126,IF(Atletas!M117="Chaquan C",127,IF(Atletas!M117="Emeiquan C",128,IF(Atletas!M117="Fanziquan C",129,IF(Atletas!M117="Huaquan C",130,IF(Atletas!M117="Hongquan C",131,IF(Atletas!M117="Paoquan C",132,IF(Atletas!M117="Piguaquan C",133,IF(Atletas!M117="Shaolinquan C",134,IF(Atletas!M117="Tanglangquan C",135,IF(Atletas!M117="Yingzhaoquan C",136,IF(Atletas!M117="Tongbeiquan C",137,IF(Atletas!M117="Wudangquan C",138,IF(Atletas!M117="Outros Estilos C",139,0))))))))))))))))))))))))))))))))))))))))))</f>
        <v/>
      </c>
      <c r="BT126" s="50" t="str">
        <f>IF(Atletas!M117="","",IF(Atletas!X117&lt;&gt;"",10000,0)+(IF(Atletas!B117="Feminino",1000,IF(Atletas!B117="Masculino",2000,""))+(IF(Atletas!M117="Chaquan D",140,IF(Atletas!M117="Emeiquan D",141,IF(Atletas!M117="Fanziquan D",142,IF(Atletas!M117="Huaquan D",143,IF(Atletas!M117="Hongquan D",144,IF(Atletas!M117="Paoquan D",145,IF(Atletas!M117="Piguaquan D",146,IF(Atletas!M117="Shaolinquan D",147,IF(Atletas!M117="Tanglangquan D",148,IF(Atletas!M117="Yingzhaoquan D",149,IF(Atletas!M117="Tongbeiquan D",150,IF(Atletas!M117="Wudangquan D",151,IF(Atletas!M117="Outros Estilos D",152,IF(Atletas!M117="Chaquan E",153,IF(Atletas!M117="Emeiquan E",154,IF(Atletas!M117="Fanziquan E",155,IF(Atletas!M117="Huaquan E",156,IF(Atletas!M117="Hongquan E",157,IF(Atletas!M117="Paoquan E",158,IF(Atletas!M117="Piguaquan E",159,IF(Atletas!M117="Shaolinquan E",160,IF(Atletas!M117="Tanglangquan E",161,IF(Atletas!M117="Yingzhaoquan E",162,IF(Atletas!M117="Tongbeiquan E",163,IF(Atletas!M117="Wudangquan E",164,IF(Atletas!M117="Outros Estilos E",165,IF(Atletas!M117="Chaquan F",166,IF(Atletas!M117="Emeiquan F",167,IF(Atletas!M117="Fanziquan F",168,IF(Atletas!M117="Huaquan F",169,IF(Atletas!M117="Hongquan F",170,IF(Atletas!M117="Paoquan F",171,IF(Atletas!M117="Piguaquan F",172,IF(Atletas!M117="Shaolinquan F",173,IF(Atletas!M117="Tanglangquan F",174,IF(Atletas!M117="Yingzhaoquan F",175,IF(Atletas!M117="Tongbeiquan F",176,IF(Atletas!M117="Wudangquan F",177,IF(Atletas!M117="Outros Estilos F",178,0))))))))))))))))))))))))))))))))))))))))))</f>
        <v/>
      </c>
      <c r="BU126" s="50" t="str">
        <f>IF(Atletas!N117="","",IF(Atletas!X117&lt;&gt;"",10000,0)+(IF(Atletas!B117="Feminino",1000,IF(Atletas!B117="Masculino",2000,""))+(IF(Atletas!N117="Ditangquan A",201,IF(Atletas!N117="Houquan A",202,IF(Atletas!N117="Zuiquan A",203,IF(Atletas!N117="Ditangquan B",204,IF(Atletas!N117="Houquan B",205,IF(Atletas!N117="Zuiquan B",206,IF(Atletas!N117="Ditangquan C",207,IF(Atletas!N117="Houquan C",208,IF(Atletas!N117="Zuiquan C",209,IF(Atletas!N117="Ditangquan D",210,IF(Atletas!N117="Houquan D",211,IF(Atletas!N117="Zuiquan D",212,IF(Atletas!N117="Ditangquan E",213,IF(Atletas!N117="Houquan E",214,IF(Atletas!N117="Zuiquan E",215,IF(Atletas!N117="Ditangquan F",216,IF(Atletas!N117="Houquan F",217,IF(Atletas!N117="Zuiquan F",218,"")))))))))))))))))))))</f>
        <v/>
      </c>
      <c r="BV126" s="50" t="str">
        <f>IF(Atletas!O117="","",IF(Atletas!X117&lt;&gt;"",10000,0)+IF(Atletas!B117="Feminino",1000,IF(Atletas!B117="Masculino",2000,""))+IF(Atletas!O117="Yang A",301,IF(Atletas!O117="Chen A",302,IF(Atletas!O117="Sun A",303,IF(Atletas!O117="Wu A",304,IF(Atletas!O117="Wu-Hao A",305,IF(Atletas!O117="Outro Taijiquan A",306,IF(Atletas!O117="Yang B",307,IF(Atletas!O117="Chen B",308,IF(Atletas!O117="Sun B",309,IF(Atletas!O117="Wu B",310,IF(Atletas!O117="Wu-Hao B",311,IF(Atletas!O117="Outro Taijiquan B",312,IF(Atletas!O117="Yang C",313,IF(Atletas!O117="Chen C",314,IF(Atletas!O117="Sun C",315,IF(Atletas!O117="Wu C",316,IF(Atletas!O117="Wu-Hao C",317,IF(Atletas!O117="Outro Taijiquan C",318,IF(Atletas!O117="Yang D",319,IF(Atletas!O117="Chen D",320,IF(Atletas!O117="Sun D",321,IF(Atletas!O117="Wu D",322,IF(Atletas!O117="Wu-Hao D",323,IF(Atletas!O117="Outro Taijiquan D",324,IF(Atletas!O117="Yang E",325,IF(Atletas!O117="Chen E",326,IF(Atletas!O117="Sun E",327,IF(Atletas!O117="Wu E",328,IF(Atletas!O117="Wu-Hao E",329,IF(Atletas!O117="Outro Taijiquan E",330,IF(Atletas!O117="Yang F",331,IF(Atletas!O117="Chen F",332,IF(Atletas!O117="Sun F",333,IF(Atletas!O117="Wu F",334,IF(Atletas!O117="Wu-Hao F",335,IF(Atletas!O117="Outro Taijiquan F",336,"")))))))))))))))))))))))))))))))))))))</f>
        <v/>
      </c>
      <c r="BW126" s="50" t="str">
        <f>IF(Atletas!P117="","",IF(Atletas!X117&lt;&gt;"",10000,0)+IF(Atletas!B117="Feminino",1000,IF(Atletas!B117="Masculino",2000,""))+IF(OR(Atletas!P117="Yang 26 A",Atletas!P117="Yang 40 A"),401,IF(OR(Atletas!P117="Chen 25 A",Atletas!P117="Chen 36 A",Atletas!P117="Chen 56 A"),402,IF(Atletas!P117="Sun 73 A",403,IF(Atletas!P117="Wu 45 A",404,IF(Atletas!P117="Wu-Hao 46 A",405,IF(OR(Atletas!P117="Taijiquan 16 A",Atletas!P117="Taijiquan 24 A",Atletas!P117="Taijiquan 32 A",Atletas!P117="Taijiquan 42 A"),406,IF(OR(Atletas!P117="Yang 26 B",Atletas!P117="Yang 40 B"),407,IF(OR(Atletas!P117="Chen 25 B",Atletas!P117="Chen 36 B",Atletas!P117="Chen 56 B"),408,IF(Atletas!P117="Sun 73 B",409,IF(Atletas!P117="Wu 45 B",410,IF(Atletas!P117="Wu-Hao 46 B",411,IF(OR(Atletas!P117="Taijiquan 16 B",Atletas!P117="Taijiquan 24 B",Atletas!P117="Taijiquan 32 B",Atletas!P117="Taijiquan 42 B"),412,IF(OR(Atletas!P117="Yang 26 C",Atletas!P117="Yang 40 C"),413,IF(OR(Atletas!P117="Chen 25 C",Atletas!P117="Chen 36 C",Atletas!P117="Chen 56 C"),414,IF(Atletas!P117="Sun 73 C",415,IF(Atletas!P117="Wu 45 C",416,IF(Atletas!P117="Wu-Hao 46 C",417,IF(OR(Atletas!P117="Taijiquan 16 C",Atletas!P117="Taijiquan 24 C",Atletas!P117="Taijiquan 32 C",Atletas!P117="Taijiquan 42 C"),418,0)))))))))))))))))))</f>
        <v/>
      </c>
      <c r="BX126" s="50" t="str">
        <f>IF(Atletas!P117="","",IF(Atletas!X117&lt;&gt;"",10000,0)+IF(Atletas!B117="Feminino",1000,IF(Atletas!B117="Masculino",2000,""))+IF(OR(Atletas!P117="Yang 26 D",Atletas!P117="Yang 40 D"),419,IF(OR(Atletas!P117="Chen 25 D",Atletas!P117="Chen 36 D",Atletas!P117="Chen 56 D"),420,IF(Atletas!P117="Sun 73 D",421,IF(Atletas!P117="Wu 45 D",422,IF(Atletas!P117="Wu-Hao 46 D",423,IF(OR(Atletas!P117="Taijiquan 16 D",Atletas!P117="Taijiquan 24 D",Atletas!P117="Taijiquan 32 D",Atletas!P117="Taijiquan 42 D"),424,IF(OR(Atletas!P117="Yang 26 E",Atletas!P117="Yang 40 E"),425,IF(OR(Atletas!P117="Chen 25 E",Atletas!P117="Chen 36 E",Atletas!P117="Chen 56 E"),426,IF(Atletas!P117="Sun 73 E",427,IF(Atletas!P117="Wu 45 E",428,IF(Atletas!P117="Wu-Hao 46 E",429,IF(OR(Atletas!P117="Taijiquan 16 E",Atletas!P117="Taijiquan 24 E",Atletas!P117="Taijiquan 32 E",Atletas!P117="Taijiquan 42 E"),430,IF(OR(Atletas!P117="Yang 26 F",Atletas!P117="Yang 40 F"),431,IF(OR(Atletas!P117="Chen 25 F",Atletas!P117="Chen 36 F",Atletas!P117="Chen 56 F"),432,IF(Atletas!P117="Sun 73 F",433,IF(Atletas!P117="Wu 45 F",434,IF(Atletas!P117="Wu-Hao 46 F",435,IF(OR(Atletas!P117="Taijiquan 16 F",Atletas!P117="Taijiquan 24 F",Atletas!P117="Taijiquan 32 F",Atletas!P117="Taijiquan 42 F"),436,0)))))))))))))))))))</f>
        <v/>
      </c>
      <c r="BY126" s="50" t="str">
        <f>IF(Atletas!Q117="","",IF(Atletas!X117&lt;&gt;"",10000,0)+IF(Atletas!B117="Feminino",1000,IF(Atletas!B117="Masculino",2000,""))+IF(Atletas!Q117="Xingyiquan A",501,IF(Atletas!Q117="Baguazhang A",502,IF(Atletas!Q117="Outro Estilo Interno A",503,IF(Atletas!Q117="Xingyiquan B",504,IF(Atletas!Q117="Baguazhang B",505,IF(Atletas!Q117="Outro Estilo Interno B",506,IF(Atletas!Q117="Xingyiquan C",507,IF(Atletas!Q117="Baguazhang C",508,IF(Atletas!Q117="Outro Estilo Interno C",509,IF(Atletas!Q117="Xingyiquan D",510,IF(Atletas!Q117="Baguazhang D",511,IF(Atletas!Q117="Outro Estilo Interno D",512,IF(Atletas!Q117="Xingyiquan E",513,IF(Atletas!Q117="Baguazhang E",514,IF(Atletas!Q117="Outro Estilo Interno E",515,IF(Atletas!Q117="Xingyiquan F",516,IF(Atletas!Q117="Baguazhang F",517,IF(Atletas!Q117="Outro Estilo Interno F",518, "")))))))))))))))))))</f>
        <v/>
      </c>
      <c r="BZ126" s="50" t="str">
        <f>IF(Atletas!R117="","",IF(Atletas!X117&lt;&gt;"",10000,0)+IF(Atletas!B117="Feminino",1000,IF(Atletas!B117="Masculino",2000,""))+IF(Atletas!R117="Dao A",601,IF(Atletas!R117="Jian A",602,IF(Atletas!R117="Bishou A",603,IF(Atletas!R117="Shanzi A",604,IF(Atletas!R117="Outra Arma Curta A",605,IF(Atletas!R117="Dao B",606,IF(Atletas!R117="Jian B",607,IF(Atletas!R117="Bishou B",608,IF(Atletas!R117="Shanzi B",609,IF(Atletas!R117="Outra Arma Curta B",610,IF(Atletas!R117="Dao C",611,IF(Atletas!R117="Jian C",612,IF(Atletas!R117="Bishou C",613,IF(Atletas!R117="Shanzi C",614,IF(Atletas!R117="Outra Arma Curta C",615,IF(Atletas!R117="Dao D",616,IF(Atletas!R117="Jian D",617,IF(Atletas!R117="Bishou D",618,IF(Atletas!R117="Shanzi D",619,IF(Atletas!R117="Outra Arma Curta D",620,IF(Atletas!R117="Dao E",621,IF(Atletas!R117="Jian E",622,IF(Atletas!R117="Bishou E",623,IF(Atletas!R117="Shanzi E",624,IF(Atletas!R117="Outra Arma Curta E",625,IF(Atletas!R117="Dao F",626,IF(Atletas!R117="Jian F",627,IF(Atletas!R117="Bishou F",628,IF(Atletas!R117="Shanzi F",629,IF(Atletas!R117="Outra Arma Curta F",630, "")))))))))))))))))))))))))))))))</f>
        <v/>
      </c>
      <c r="CA126" s="50" t="str">
        <f>IF(Atletas!S117="","",IF(Atletas!X117&lt;&gt;"",10000,0)+IF(Atletas!B117="Feminino",1000,IF(Atletas!B117="Masculino",2000,""))+IF(Atletas!S117="Gun A",701,IF(Atletas!S117="Qiang A",702,IF(Atletas!S117="Pudao / Guandao A",703,IF(Atletas!S117="Outra Arma Longa A",704,IF(Atletas!S117="Gun B",705,IF(Atletas!S117="Qiang B",706,IF(Atletas!S117="Pudao / Guandao B",707,IF(Atletas!S117="Outra Arma Longa B",708,IF(Atletas!S117="Gun C",709,IF(Atletas!S117="Qiang C",710,IF(Atletas!S117="Pudao / Guandao C",711,IF(Atletas!S117="Outra Arma Longa C",712,IF(Atletas!S117="Gun D",713,IF(Atletas!S117="Qiang D",714,IF(Atletas!S117="Pudao / Guandao D",715,IF(Atletas!S117="Outra Arma Longa D",716,IF(Atletas!S117="Gun E",717,IF(Atletas!S117="Qiang E",718,IF(Atletas!S117="Pudao / Guandao E",719,IF(Atletas!S117="Outra Arma Longa E",720,IF(Atletas!S117="Gun F",721,IF(Atletas!S117="Qiang F",722,IF(Atletas!S117="Pudao / Guandao F",723,IF(Atletas!S117="Outra Arma Longa F",724,"")))))))))))))))))))))))))</f>
        <v/>
      </c>
      <c r="CB126" s="50" t="str">
        <f>IF(Atletas!T117="","",IF(Atletas!X117&lt;&gt;"",10000,0)+IF(Atletas!B117="Feminino",1000,IF(Atletas!B117="Masculino",2000,""))+IF(Atletas!T117="Outra Arma Dupla A",801,IF(Atletas!T117="Arma Maleável A",802,IF(Atletas!T117="Outra Arma Dupla B",803,IF(Atletas!T117="Arma Maleável B",804,IF(Atletas!T117="Outra Arma Dupla C",805,IF(Atletas!T117="Arma Maleável C",806,IF(Atletas!T117="Outra Arma Dupla D",807,IF(Atletas!T117="Arma Maleável D",808,IF(Atletas!T117="Outra Arma Dupla E",809,IF(Atletas!T117="Arma Maleável E",810,IF(Atletas!T117="Outra Arma Dupla F",811,IF(Atletas!T117="Arma Maleável F",812,IF(Atletas!T117="Shuangdao A",813,IF(Atletas!T117="Shuangdao B",814,IF(Atletas!T117="Shuangdao C",815,IF(Atletas!T117="Shuangdao D",816,IF(Atletas!T117="Shuangdao E",817,IF(Atletas!T117="Shuangdao F",818,"")))))))))))))))))))</f>
        <v/>
      </c>
      <c r="CC126" s="50" t="str">
        <f>IF(Atletas!U117="","",IF(Atletas!X117&lt;&gt;"",10000,0)+IF(Atletas!B117="Feminino",1000,IF(Atletas!B117="Masculino",2000,""))+IF(OR(Atletas!U117="Taijijian Yang A",Atletas!U117="Taijijian Yang Standard A"),901,IF(OR(Atletas!U117="Taijijian Chen A", Atletas!U117="Taijijian Chen Standard A"),902,IF(Atletas!U117="Taijijian Sun A",903,IF(Atletas!U117="Taijijian Wu A",904,IF(Atletas!U117="Taijijian Wu-Hao A",905,IF(OR(Atletas!U117="Taijijian 32 A",Atletas!U117="Taijijian 42 A"),906,IF(OR(Atletas!U117="Taijijian Yang B",Atletas!U117="Taijijian Yang Standard B"),907,IF(OR(Atletas!U117="Taijijian Chen B", Atletas!U117="Taijijian Chen Standard B"),908,IF(Atletas!U117="Taijijian Sun B",909,IF(Atletas!U117="Taijijian Wu B",910,IF(Atletas!U117="Taijijian Wu-Hao B",911,IF(OR(Atletas!U117="Taijijian 32 B",Atletas!U117="Taijijian 42 B"),912,IF(OR(Atletas!U117="Taijijian Yang C",Atletas!U117="Taijijian Yang Standard C"),913,IF(OR(Atletas!U117="Taijijian Chen C", Atletas!U117="Taijijian Chen Standard C"),914,IF(Atletas!U117="Taijijian Sun C",915,IF(Atletas!U117="Taijijian Wu C",916,IF(Atletas!U117="Taijijian Wu-Hao C",917,IF(OR(Atletas!U117="Taijijian 32 C",Atletas!U117="Taijijian 42 C"),918,IF(OR(Atletas!U117="Taijijian Yang D",Atletas!U117="Taijijian Yang Standard D"),919,IF(OR(Atletas!U117="Taijijian Chen D", Atletas!U117="Taijijian Chen Standard D"),920,IF(Atletas!U117="Taijijian Sun D",921,IF(Atletas!U117="Taijijian Wu D",922,IF(Atletas!U117="Taijijian Wu-Hao D",923,IF(OR(Atletas!U117="Taijijian 32 D",Atletas!U117="Taijijian 42 D"),924,IF(OR(Atletas!U117="Taijijian Yang E",Atletas!U117="Taijijian Yang Standard E"),925,IF(OR(Atletas!U117="Taijijian Chen E", Atletas!U117="Taijijian Chen Standard E"),926,IF(Atletas!U117="Taijijian Sun E",927,IF(Atletas!U117="Taijijian Wu E",928,IF(Atletas!U117="Taijijian Wu-Hao E",929,IF(OR(Atletas!U117="Taijijian 32 E",Atletas!U117="Taijijian 42 E"),930,IF(OR(Atletas!U117="Taijijian Yang F",Atletas!U117="Taijijian Yang Standard F"),931,IF(OR(Atletas!U117="Taijijian Chen F", Atletas!U117="Taijijian Chen Standard F"),932,IF(Atletas!U117="Taijijian Sun F",933,IF(Atletas!U117="Taijijian Wu F",934,IF(Atletas!U117="Taijijian Wu-Hao F",935,IF(OR(Atletas!U117="Taijijian 32 F",Atletas!U117="Taijijian 42 F"),936,"")))))))))))))))))))))))))))))))))))))</f>
        <v/>
      </c>
      <c r="CD126" s="50" t="str">
        <f>IF(Atletas!V117="","",IF(Atletas!X117&lt;&gt;"",10000,0)+IF(Atletas!B117="Feminino",1000,IF(Atletas!B117="Masculino",2000,""))+IF(Atletas!V117="Taijidao A",937,IF(Atletas!V117="TaijiShanzi A",938,IF(Atletas!V117="Taijiqiang A",939,IF(Atletas!V117="Bagua de Arma A",940,IF(Atletas!V117="Xingyi de Arma A",941,IF(Atletas!V117="Taijidao B",942,IF(Atletas!V117="TaijiShanzi B",943,IF(Atletas!V117="Taijiqiang B",944,IF(Atletas!V117="Bagua de Arma B",945,IF(Atletas!V117="Xingyi de Arma B",946,IF(Atletas!V117="Taijidao C",947,IF(Atletas!V117="TaijiShanzi C",948,IF(Atletas!V117="Taijiqiang C",949,IF(Atletas!V117="Bagua de Arma C",950,IF(Atletas!V117="Xingyi de Arma C",951,IF(Atletas!V117="Taijidao D",952,IF(Atletas!V117="TaijiShanzi D",953,IF(Atletas!V117="Taijiqiang D",954,IF(Atletas!V117="Bagua de Arma D",955,IF(Atletas!V117="Xingyi de Arma D",956,IF(Atletas!V117="Taijidao E",957,IF(Atletas!V117="TaijiShanzi E",958,IF(Atletas!V117="Taijiqiang E",959,IF(Atletas!V117="Bagua de Arma E",960,IF(Atletas!V117="Xingyi de Arma E",961,IF(Atletas!V117="Taijidao F",962,IF(Atletas!V117="TaijiShanzi F",963,IF(Atletas!V117="Taijiqiang F",964,IF(Atletas!V117="Bagua de Arma F",965,IF(Atletas!V117="Xingyi de Arma F",966,"")))))))))))))))))))))))))))))))</f>
        <v/>
      </c>
      <c r="CE126" s="66" t="str">
        <f>IF(CF126&lt;&gt;"","Zuiquan B","")</f>
        <v/>
      </c>
      <c r="CF126" s="66" t="str">
        <f>IF(COUNTIF(BR:CD,1206)&gt;0,COUNTIF(BR:CD,1206),"")</f>
        <v/>
      </c>
      <c r="CG126" s="66" t="str">
        <f>IF(CH126&lt;&gt;"","Zuiquan B","")</f>
        <v/>
      </c>
      <c r="CH126" s="66" t="str">
        <f>IF(COUNTIF(BR:CD,2206)&gt;0,COUNTIF(BR:CD,2206),"")</f>
        <v/>
      </c>
      <c r="CI126" s="66" t="str">
        <f>IF(CJ126&lt;&gt;"","Zuiquan D","")</f>
        <v/>
      </c>
      <c r="CJ126" s="66" t="str">
        <f>IF(COUNTIF(BR:CD,11212)&gt;0,COUNTIF(BR:CD,11212),"")</f>
        <v/>
      </c>
      <c r="CK126" s="66" t="str">
        <f>IF(CL126&lt;&gt;"","Zuiquan D","")</f>
        <v/>
      </c>
      <c r="CL126" s="66" t="str">
        <f>IF(COUNTIF(BR:CD,12212)&gt;0,COUNTIF(BR:CD,12212),"")</f>
        <v/>
      </c>
      <c r="CM126" s="50" t="str">
        <f xml:space="preserve"> IF(Atletas!W117="","",IF(Atletas!W117="Duilian de Mãos BC - Equipe 1",1,IF(Atletas!W117="Duilian de Mãos BC - Equipe 2",2,IF(Atletas!W117="Duilian de Armas BC - Equipe 1",3,IF(Atletas!W117="Duilian de Armas BC - Equipe 2",4,IF(Atletas!W117="Duilian de Mãos DE - Equipe 1",5,IF(Atletas!W117="Duilian de Mãos DE - Equipe 2",6,IF(Atletas!W117="Duilian de Armas DE - Equipe 1",7,IF(Atletas!W117="Duilian de Armas DE - Equipe 2",8,IF(Atletas!W117="Duilian de Tuishou - Equipe 1",9,IF(Atletas!W117="Duilian de Tuishou - Equipe 2",10,IF(Atletas!W117="Grupo Externo ABC - Equipe 1",11,IF(Atletas!W117="Grupo Externo ABC - Equipe 2",12,IF(Atletas!W117="Grupo Interno ABC - Equipe 1",13,IF(Atletas!W117="Grupo Interno ABC - Equipe 2",14,IF(Atletas!W117="Grupo Externo DEF - Equipe 1",15,IF(Atletas!W117="Grupo Externo DEF - Equipe 2",16,IF(Atletas!W117="Grupo Interno DEF - Equipe 1",17,IF(Atletas!W117="Grupo Interno DEF - Equipe 2",18,"")))))))))))))))))))</f>
        <v/>
      </c>
    </row>
    <row r="127" spans="2:91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 t="str">
        <f t="array" ref="Z127">IFERROR(INDEX(CE$7:CE$348,SMALL(IF(CE$7:CE$348&lt;&gt;"",ROW(CE$7:CE$348)-ROW(CE$7)+1),ROWS(CE$7:CE126))),"")</f>
        <v/>
      </c>
      <c r="AA127" s="3" t="str">
        <f t="array" ref="AA127">IFERROR(INDEX(CF$7:CF$348,SMALL(IF(CF$7:CF$348&lt;&gt;"",ROW(CF$7:CF$348)-ROW(CF$7)+1),ROWS(CF$7:CF126))),"")</f>
        <v/>
      </c>
      <c r="AB127" s="3" t="str">
        <f t="array" ref="AB127">IFERROR(INDEX(CG$7:CG$348,SMALL(IF(CG$7:CG$348&lt;&gt;"",ROW(CG$7:CG$348)-ROW(CG$7)+1),ROWS(CG$7:CG126))),"")</f>
        <v/>
      </c>
      <c r="AC127" s="3" t="str">
        <f t="array" ref="AC127">IFERROR(INDEX(CH$7:CH$348,SMALL(IF(CH$7:CH$348&lt;&gt;"",ROW(CH$7:CH$348)-ROW(CH$7)+1),ROWS(CH$7:CH126))),"")</f>
        <v/>
      </c>
      <c r="AD127" s="3" t="str">
        <f t="array" ref="AD127">IFERROR(INDEX(CI$7:CI$377,SMALL(IF(CI$7:CI$377&lt;&gt;"",ROW(CI$7:CI$377)-ROW(CI$7)+1),ROWS(CI$7:CI126))),"")</f>
        <v/>
      </c>
      <c r="AE127" s="3" t="str">
        <f t="array" ref="AE127">IFERROR(INDEX(CJ$7:CJ$378,SMALL(IF(CJ$7:CJ$378&lt;&gt;"",ROW(CJ$7:CJ$378)-ROW(CJ$7)+1),ROWS(CJ$7:CJ126))),"")</f>
        <v/>
      </c>
      <c r="AF127" s="3" t="str">
        <f t="array" ref="AF127">IFERROR(INDEX(CK$7:CK$378,SMALL(IF(CK$7:CK$378&lt;&gt;"",ROW(CK$7:CK$378)-ROW(CK$7)+1),ROWS(CK$7:CK126))),"")</f>
        <v/>
      </c>
      <c r="AG127" s="3" t="str">
        <f t="array" ref="AG127">IFERROR(INDEX(CL$7:CL$378,SMALL(IF(CL$7:CL$378&lt;&gt;"",ROW(CL$7:CL$378)-ROW(CL$7)+1),ROWS(CL$7:CL126))),"")</f>
        <v/>
      </c>
      <c r="AH127" s="3"/>
      <c r="AI127" s="3"/>
      <c r="AJ127" s="3"/>
      <c r="AK127" s="3"/>
      <c r="AL127" s="3"/>
      <c r="AM127" s="3"/>
      <c r="AN127" s="52" t="str">
        <f>IF(Atletas!D118="","",IF(Atletas!B118="Feminino",100,IF(Atletas!B118="Masculino",200,""))+(IF(Atletas!D118="Kids 30kg",1,IF(Atletas!D118="Kids 32kg",2, IF(Atletas!D118="Kids 34kg",3,IF(Atletas!D118="Kids 36kg",4,IF(Atletas!D118="Kids 39kg",5,IF(Atletas!D118="Kids 42kg",6,IF(Atletas!D118="Kids 45kg",7, IF(Atletas!D118="Infantil 39kg",8,IF(Atletas!D118="Infantil 42kg",9,IF(Atletas!D118="Infantil 45kg",10,IF(Atletas!D118="Infantil 48kg",11,IF(Atletas!D118="Infantil 52kg",12,IF(Atletas!D118="Infantil 56kg",13,IF(Atletas!D118="Infantil 60kg",14,IF(Atletas!D118="Juvenil 48kg",15,IF(Atletas!D118="Juvenil 52kg",16,IF(Atletas!D118="Juvenil 56kg",17,IF(Atletas!D118="Juvenil 60kg",18,IF(Atletas!D118="Juvenil 65kg",19,IF(Atletas!D118="Juvenil 70kg",20,IF(Atletas!D118="Juvenil 75kg",21,IF(Atletas!D118="Juvenil 80kg",22, IF(Atletas!D118="Juvenil 85kg",23,IF(Atletas!D118="Adulto 48kg",24,IF(Atletas!D118="Adulto 52kg",25,IF(Atletas!D118="Adulto 56kg",26,IF(Atletas!D118="Adulto 60kg",27,IF(Atletas!D118="Adulto 65kg",28,IF(Atletas!D118="Adulto 70kg",29,IF(Atletas!D118="Adulto 75kg",30,IF(Atletas!D118="Adulto 80kg",31,IF(Atletas!D118="Adulto 85kg",32,IF(Atletas!D118="Adulto 90kg",33,IF(Atletas!D118="Adulto 100kg",34, IF(Atletas!D118="Adulto +100kg",35,"")))))))))))))))))))))))))))))))))))))</f>
        <v/>
      </c>
      <c r="AS127" s="6" t="str">
        <f>IF(Atletas!E118="","",IF(Atletas!B118="Feminino",100,IF(Atletas!B118="Masculino",200,""))+(IF(Atletas!E118="Juvenil 44kg",1,IF(Atletas!E118="Juvenil 48kg",2,IF(Atletas!E118="Juvenil 52kg",3,IF(Atletas!E118="Juvenil 56kg",4,IF(Atletas!E118="Juvenil 60kg",5,IF(Atletas!E118="Juvenil 65kg",6,IF(Atletas!E118="Juvenil 70kg",7,IF(Atletas!E118="Juvenil 75kg",8,IF(Atletas!E118="Juvenil 82kg",9,IF(Atletas!E118="Juvenil 90kg",10,IF(Atletas!E118="Juvenil 100kg",11,IF(Atletas!E118="Adulto 48kg",12,IF(Atletas!E118="Adulto 52kg",13,IF(Atletas!E118="Adulto 56kg",14,IF(Atletas!E118="Adulto 60kg",15,IF(Atletas!E118="Adulto 65kg",16,IF(Atletas!E118="Adulto 70kg",17,IF(Atletas!E118="Adulto 75kg",18,IF(Atletas!E118="Adulto 82kg",19,IF(Atletas!E118="Adulto 90kg",20,IF(Atletas!E118="Adulto 100kg",21,IF(Atletas!E118="Adulto +100kg",22,""))))))))))))))))))))))))</f>
        <v/>
      </c>
      <c r="AX127" s="6" t="str">
        <f>IF(Atletas!F118="","",IF(Atletas!B118="Feminino",100,IF(Atletas!B118="Masculino",200,""))+(IF(Atletas!F118="Adulto 48kg",1,IF(Atletas!F118="Adulto 56kg",2,IF(Atletas!F118="Adulto 65kg",3,IF(Atletas!F118="Adulto 75kg",4,IF(Atletas!F118="Adulto +75kg",5,IF(Atletas!F118="Adulto 52kg",6,IF(Atletas!F118="Adulto 60kg",7,IF(Atletas!F118="Adulto 70kg",8,IF(Atletas!F118="Adulto 80kg",9,IF(Atletas!F118="Adulto 90kg",10,IF(Atletas!F118="Adulto +90kg",11,"")))))))))))))</f>
        <v/>
      </c>
      <c r="BC127" s="6" t="str">
        <f>IF(Atletas!G118="","",IF(Atletas!B118="Feminino",10,IF(Atletas!B118="Masculino",20,""))+(IF(Atletas!G118="Baduanjin A",1,IF(Atletas!G118="Baduanjin B",2))))</f>
        <v/>
      </c>
      <c r="BF127" s="52" t="str">
        <f>IF(Atletas!H118="","",IF(Atletas!B118="Feminino",100,IF(Atletas!B118="Masculino",200,""))+(IF(Atletas!H118="Changquan Mirim",1,IF(Atletas!H118="Nanquan Mirim",2,IF(Atletas!H118="Taijiquan Mirim",3,IF(Atletas!H118="Changquan Grupo C",4,IF(Atletas!H118="Nanquan Grupo C",5,IF(Atletas!H118="Taijiquan Grupo C",6,IF(Atletas!H118="Changquan Grupo B",7,IF(Atletas!H118="Nanquan Grupo B",8,IF(Atletas!H118="Taijiquan Grupo B",9,IF(Atletas!H118="Changquan Grupo A",10,IF(Atletas!H118="Nanquan Grupo A",11,IF(Atletas!H118="Taijiquan Grupo A",12,IF(Atletas!H118="Changquan Opcional",13,IF(Atletas!H118="Nanquan Opcional",14,IF(Atletas!H118="Taijiquan Opcional",15,IF(Atletas!H118="Changquan Adulto",16,IF(Atletas!H118="Nanquan Adulto",17,IF(Atletas!H118="Taijiquan Adulto",18,""))))))))))))))))))))</f>
        <v/>
      </c>
      <c r="BG127" s="52" t="str">
        <f>IF(Atletas!I118="","",IF(Atletas!B118="Feminino",100,IF(Atletas!B118="Masculino",200,""))+(IF(Atletas!I118="Daoshu Mirim",19,IF(Atletas!I118="Jianshu Mirim",20,IF(Atletas!I118="Nandao Mirim",21,IF(Atletas!I118="Taijijian Mirim",22,IF(Atletas!I118="Daoshu Grupo C",23,IF(Atletas!I118="Jianshu Grupo C",24,IF(Atletas!I118="Nandao Grupo C",25,IF(Atletas!I118="Taijijian Grupo C",26,IF(Atletas!I118="Daoshu Grupo B",27,IF(Atletas!I118="Jianshu Grupo B",28,IF(Atletas!I118="Nandao Grupo B",29,IF(Atletas!I118="Taijijian Grupo B",30,IF(Atletas!I118="Daoshu Grupo A",31,IF(Atletas!I118="Jianshu Grupo A",32,IF(Atletas!I118="Nandao Grupo A",33,IF(Atletas!I118="Taijijian Grupo A",34,IF(Atletas!I118="Daoshu Opcional",35,IF(Atletas!I118="Jianshu Opcional",36,IF(Atletas!I118="Nandao Opcional",37,IF(Atletas!I118="Taijijian Opcional",38,IF(Atletas!I118="Daoshu Adulto",39,IF(Atletas!I118="Jianshu Adulto",40,IF(Atletas!I118="Nandao Adulto",41,IF(Atletas!I118="Taijijian Adulto",42,""))))))))))))))))))))))))))</f>
        <v/>
      </c>
      <c r="BH127" s="52" t="str">
        <f>IF(Atletas!J118="","",IF(Atletas!B118="Feminino",100,IF(Atletas!B118="Masculino",200,""))+(IF(Atletas!J118="Gunshu Mirim",43,IF(Atletas!J118="Qiangshu Mirim",44,IF(Atletas!J118="Nangun Mirim",45,IF(Atletas!J118="Gunshu Grupo C",46,IF(Atletas!J118="Qiangshu Grupo C",47,IF(Atletas!J118="Nangun Grupo C",48,IF(Atletas!J118="Gunshu Grupo B",49,IF(Atletas!J118="Qiangshu Grupo B",50,IF(Atletas!J118="Nangun Grupo B",51,IF(Atletas!J118="Gunshu Grupo A",52,IF(Atletas!J118="Qiangshu Grupo A",53,IF(Atletas!J118="Nangun Grupo A",54,IF(Atletas!J118="Gunshu Opcional",55,IF(Atletas!J118="Qiangshu Opcional",56,IF(Atletas!J118="Nangun Opcional",57,IF(Atletas!J118="Gunshu Adulto",58,IF(Atletas!J118="Qiangshu Adulto",59,IF(Atletas!J118="Nangun Adulto",60,IF(Atletas!J118="Taijishan Grupo B",61,IF(Atletas!J118="Taijishan Grupo A",62,""))))))))))))))))))))))</f>
        <v/>
      </c>
      <c r="BM127" s="50" t="str">
        <f>IF(Atletas!K118="","",IF(Atletas!B118="Feminino",100,IF(Atletas!B118="Masculino",200,""))+(IF(Atletas!K118="Equipe 1 Grupo B",1,IF(Atletas!K118="Equipe 2 Grupo B",2,IF(Atletas!K118="Equipe 1 Grupo A",3,IF(Atletas!K118="Equipe 2 Grupo A",4,IF(Atletas!K118="Equipe 1 Adulto",5,IF(Atletas!K118="Equipe 2 Adulto",6,""))))))))</f>
        <v/>
      </c>
      <c r="BR127" s="50" t="str">
        <f>IF(Atletas!L118="","",IF(Atletas!X118&lt;&gt;"",10000,0)+(IF(Atletas!B118="Feminino",1000,IF(Atletas!B118="Masculino",2000,""))+IF(Atletas!L118="Choylayfut A",1,IF(Atletas!L118="Hunggar A",2,IF(Atletas!L118="Wuzuquan A",3,IF(Atletas!L118="Wingchun A",4,IF(Atletas!L118="Outra Mão de Sul A",5,IF(Atletas!L118="Choylayfut B",6,IF(Atletas!L118="Hunggar B",7,IF(Atletas!L118="Wuzuquan B",8,IF(Atletas!L118="Wingchun B",9,IF(Atletas!L118="Outra Mão de Sul B",10,IF(Atletas!L118="Choylayfut C",11,IF(Atletas!L118="Hunggar C",12,IF(Atletas!L118="Wuzuquan C",13,IF(Atletas!L118="Wingchun C",14,IF(Atletas!L118="Outra Mão de Sul C",15,IF(Atletas!L118="Choylayfut D",16,IF(Atletas!L118="Hunggar D",17,IF(Atletas!L118="Wuzuquan D",18,IF(Atletas!L118="Wingchun D",19,IF(Atletas!L118="Outra Mão de Sul D",20,IF(Atletas!L118="Choylayfut E",21,IF(Atletas!L118="Hunggar E",22,IF(Atletas!L118="Wuzuquan E",23,IF(Atletas!L118="Wingchun E",24,IF(Atletas!L118="Outra Mão de Sul E",25,IF(Atletas!L118="Choylayfut F",26,IF(Atletas!L118="Hunggar F",27,IF(Atletas!L118="Wuzuquan F",28,IF(Atletas!L118="Wingchun F",29,IF(Atletas!L118="Outra Mão de Sul F",30,IF(Atletas!L118="Dishuquan A",31,IF(Atletas!L118="Dishuquan B",32,IF(Atletas!L118="Dishuquan C",33,IF(Atletas!L118="Dishuquan D",34,IF(Atletas!L118="Dishuquan E",35,IF(Atletas!L118="Dishuquan F",36,""))))))))))))))))))))))))))))))))))))))</f>
        <v/>
      </c>
      <c r="BS127" s="50" t="str">
        <f>IF(Atletas!M118="","",IF(Atletas!X118&lt;&gt;"",10000,0)+(IF(Atletas!B118="Feminino",1000,IF(Atletas!B118="Masculino",2000,""))+(IF(Atletas!M118="Chaquan A",101,IF(Atletas!M118="Emeiquan A",102,IF(Atletas!M118="Fanziquan A",103,IF(Atletas!M118="Huaquan A",104,IF(Atletas!M118="Hongquan A",105,IF(Atletas!M118="Paoquan A",106,IF(Atletas!M118="Piguaquan A",107,IF(Atletas!M118="Shaolinquan A",108,IF(Atletas!M118="Tanglangquan A",109,IF(Atletas!M118="Yingzhaoquan A",110,IF(Atletas!M118="Tongbeiquan A",111,IF(Atletas!M118="Wudangquan A",112,IF(Atletas!M118="Outros Estilos A",113,IF(Atletas!M118="Chaquan B",114,IF(Atletas!M118="Emeiquan B",115,IF(Atletas!M118="Fanziquan B",116,IF(Atletas!M118="Huaquan B",117,IF(Atletas!M118="Hongquan B",118,IF(Atletas!M118="Paoquan B",119,IF(Atletas!M118="Piguaquan B",120,IF(Atletas!M118="Shaolinquan B",121,IF(Atletas!M118="Tanglangquan B",122,IF(Atletas!M118="Yingzhaoquan B",123,IF(Atletas!M118="Tongbeiquan B",124,IF(Atletas!M118="Wudangquan B",125,IF(Atletas!M118="Outros Estilos B",126,IF(Atletas!M118="Chaquan C",127,IF(Atletas!M118="Emeiquan C",128,IF(Atletas!M118="Fanziquan C",129,IF(Atletas!M118="Huaquan C",130,IF(Atletas!M118="Hongquan C",131,IF(Atletas!M118="Paoquan C",132,IF(Atletas!M118="Piguaquan C",133,IF(Atletas!M118="Shaolinquan C",134,IF(Atletas!M118="Tanglangquan C",135,IF(Atletas!M118="Yingzhaoquan C",136,IF(Atletas!M118="Tongbeiquan C",137,IF(Atletas!M118="Wudangquan C",138,IF(Atletas!M118="Outros Estilos C",139,0))))))))))))))))))))))))))))))))))))))))))</f>
        <v/>
      </c>
      <c r="BT127" s="50" t="str">
        <f>IF(Atletas!M118="","",IF(Atletas!X118&lt;&gt;"",10000,0)+(IF(Atletas!B118="Feminino",1000,IF(Atletas!B118="Masculino",2000,""))+(IF(Atletas!M118="Chaquan D",140,IF(Atletas!M118="Emeiquan D",141,IF(Atletas!M118="Fanziquan D",142,IF(Atletas!M118="Huaquan D",143,IF(Atletas!M118="Hongquan D",144,IF(Atletas!M118="Paoquan D",145,IF(Atletas!M118="Piguaquan D",146,IF(Atletas!M118="Shaolinquan D",147,IF(Atletas!M118="Tanglangquan D",148,IF(Atletas!M118="Yingzhaoquan D",149,IF(Atletas!M118="Tongbeiquan D",150,IF(Atletas!M118="Wudangquan D",151,IF(Atletas!M118="Outros Estilos D",152,IF(Atletas!M118="Chaquan E",153,IF(Atletas!M118="Emeiquan E",154,IF(Atletas!M118="Fanziquan E",155,IF(Atletas!M118="Huaquan E",156,IF(Atletas!M118="Hongquan E",157,IF(Atletas!M118="Paoquan E",158,IF(Atletas!M118="Piguaquan E",159,IF(Atletas!M118="Shaolinquan E",160,IF(Atletas!M118="Tanglangquan E",161,IF(Atletas!M118="Yingzhaoquan E",162,IF(Atletas!M118="Tongbeiquan E",163,IF(Atletas!M118="Wudangquan E",164,IF(Atletas!M118="Outros Estilos E",165,IF(Atletas!M118="Chaquan F",166,IF(Atletas!M118="Emeiquan F",167,IF(Atletas!M118="Fanziquan F",168,IF(Atletas!M118="Huaquan F",169,IF(Atletas!M118="Hongquan F",170,IF(Atletas!M118="Paoquan F",171,IF(Atletas!M118="Piguaquan F",172,IF(Atletas!M118="Shaolinquan F",173,IF(Atletas!M118="Tanglangquan F",174,IF(Atletas!M118="Yingzhaoquan F",175,IF(Atletas!M118="Tongbeiquan F",176,IF(Atletas!M118="Wudangquan F",177,IF(Atletas!M118="Outros Estilos F",178,0))))))))))))))))))))))))))))))))))))))))))</f>
        <v/>
      </c>
      <c r="BU127" s="50" t="str">
        <f>IF(Atletas!N118="","",IF(Atletas!X118&lt;&gt;"",10000,0)+(IF(Atletas!B118="Feminino",1000,IF(Atletas!B118="Masculino",2000,""))+(IF(Atletas!N118="Ditangquan A",201,IF(Atletas!N118="Houquan A",202,IF(Atletas!N118="Zuiquan A",203,IF(Atletas!N118="Ditangquan B",204,IF(Atletas!N118="Houquan B",205,IF(Atletas!N118="Zuiquan B",206,IF(Atletas!N118="Ditangquan C",207,IF(Atletas!N118="Houquan C",208,IF(Atletas!N118="Zuiquan C",209,IF(Atletas!N118="Ditangquan D",210,IF(Atletas!N118="Houquan D",211,IF(Atletas!N118="Zuiquan D",212,IF(Atletas!N118="Ditangquan E",213,IF(Atletas!N118="Houquan E",214,IF(Atletas!N118="Zuiquan E",215,IF(Atletas!N118="Ditangquan F",216,IF(Atletas!N118="Houquan F",217,IF(Atletas!N118="Zuiquan F",218,"")))))))))))))))))))))</f>
        <v/>
      </c>
      <c r="BV127" s="50" t="str">
        <f>IF(Atletas!O118="","",IF(Atletas!X118&lt;&gt;"",10000,0)+IF(Atletas!B118="Feminino",1000,IF(Atletas!B118="Masculino",2000,""))+IF(Atletas!O118="Yang A",301,IF(Atletas!O118="Chen A",302,IF(Atletas!O118="Sun A",303,IF(Atletas!O118="Wu A",304,IF(Atletas!O118="Wu-Hao A",305,IF(Atletas!O118="Outro Taijiquan A",306,IF(Atletas!O118="Yang B",307,IF(Atletas!O118="Chen B",308,IF(Atletas!O118="Sun B",309,IF(Atletas!O118="Wu B",310,IF(Atletas!O118="Wu-Hao B",311,IF(Atletas!O118="Outro Taijiquan B",312,IF(Atletas!O118="Yang C",313,IF(Atletas!O118="Chen C",314,IF(Atletas!O118="Sun C",315,IF(Atletas!O118="Wu C",316,IF(Atletas!O118="Wu-Hao C",317,IF(Atletas!O118="Outro Taijiquan C",318,IF(Atletas!O118="Yang D",319,IF(Atletas!O118="Chen D",320,IF(Atletas!O118="Sun D",321,IF(Atletas!O118="Wu D",322,IF(Atletas!O118="Wu-Hao D",323,IF(Atletas!O118="Outro Taijiquan D",324,IF(Atletas!O118="Yang E",325,IF(Atletas!O118="Chen E",326,IF(Atletas!O118="Sun E",327,IF(Atletas!O118="Wu E",328,IF(Atletas!O118="Wu-Hao E",329,IF(Atletas!O118="Outro Taijiquan E",330,IF(Atletas!O118="Yang F",331,IF(Atletas!O118="Chen F",332,IF(Atletas!O118="Sun F",333,IF(Atletas!O118="Wu F",334,IF(Atletas!O118="Wu-Hao F",335,IF(Atletas!O118="Outro Taijiquan F",336,"")))))))))))))))))))))))))))))))))))))</f>
        <v/>
      </c>
      <c r="BW127" s="50" t="str">
        <f>IF(Atletas!P118="","",IF(Atletas!X118&lt;&gt;"",10000,0)+IF(Atletas!B118="Feminino",1000,IF(Atletas!B118="Masculino",2000,""))+IF(OR(Atletas!P118="Yang 26 A",Atletas!P118="Yang 40 A"),401,IF(OR(Atletas!P118="Chen 25 A",Atletas!P118="Chen 36 A",Atletas!P118="Chen 56 A"),402,IF(Atletas!P118="Sun 73 A",403,IF(Atletas!P118="Wu 45 A",404,IF(Atletas!P118="Wu-Hao 46 A",405,IF(OR(Atletas!P118="Taijiquan 16 A",Atletas!P118="Taijiquan 24 A",Atletas!P118="Taijiquan 32 A",Atletas!P118="Taijiquan 42 A"),406,IF(OR(Atletas!P118="Yang 26 B",Atletas!P118="Yang 40 B"),407,IF(OR(Atletas!P118="Chen 25 B",Atletas!P118="Chen 36 B",Atletas!P118="Chen 56 B"),408,IF(Atletas!P118="Sun 73 B",409,IF(Atletas!P118="Wu 45 B",410,IF(Atletas!P118="Wu-Hao 46 B",411,IF(OR(Atletas!P118="Taijiquan 16 B",Atletas!P118="Taijiquan 24 B",Atletas!P118="Taijiquan 32 B",Atletas!P118="Taijiquan 42 B"),412,IF(OR(Atletas!P118="Yang 26 C",Atletas!P118="Yang 40 C"),413,IF(OR(Atletas!P118="Chen 25 C",Atletas!P118="Chen 36 C",Atletas!P118="Chen 56 C"),414,IF(Atletas!P118="Sun 73 C",415,IF(Atletas!P118="Wu 45 C",416,IF(Atletas!P118="Wu-Hao 46 C",417,IF(OR(Atletas!P118="Taijiquan 16 C",Atletas!P118="Taijiquan 24 C",Atletas!P118="Taijiquan 32 C",Atletas!P118="Taijiquan 42 C"),418,0)))))))))))))))))))</f>
        <v/>
      </c>
      <c r="BX127" s="50" t="str">
        <f>IF(Atletas!P118="","",IF(Atletas!X118&lt;&gt;"",10000,0)+IF(Atletas!B118="Feminino",1000,IF(Atletas!B118="Masculino",2000,""))+IF(OR(Atletas!P118="Yang 26 D",Atletas!P118="Yang 40 D"),419,IF(OR(Atletas!P118="Chen 25 D",Atletas!P118="Chen 36 D",Atletas!P118="Chen 56 D"),420,IF(Atletas!P118="Sun 73 D",421,IF(Atletas!P118="Wu 45 D",422,IF(Atletas!P118="Wu-Hao 46 D",423,IF(OR(Atletas!P118="Taijiquan 16 D",Atletas!P118="Taijiquan 24 D",Atletas!P118="Taijiquan 32 D",Atletas!P118="Taijiquan 42 D"),424,IF(OR(Atletas!P118="Yang 26 E",Atletas!P118="Yang 40 E"),425,IF(OR(Atletas!P118="Chen 25 E",Atletas!P118="Chen 36 E",Atletas!P118="Chen 56 E"),426,IF(Atletas!P118="Sun 73 E",427,IF(Atletas!P118="Wu 45 E",428,IF(Atletas!P118="Wu-Hao 46 E",429,IF(OR(Atletas!P118="Taijiquan 16 E",Atletas!P118="Taijiquan 24 E",Atletas!P118="Taijiquan 32 E",Atletas!P118="Taijiquan 42 E"),430,IF(OR(Atletas!P118="Yang 26 F",Atletas!P118="Yang 40 F"),431,IF(OR(Atletas!P118="Chen 25 F",Atletas!P118="Chen 36 F",Atletas!P118="Chen 56 F"),432,IF(Atletas!P118="Sun 73 F",433,IF(Atletas!P118="Wu 45 F",434,IF(Atletas!P118="Wu-Hao 46 F",435,IF(OR(Atletas!P118="Taijiquan 16 F",Atletas!P118="Taijiquan 24 F",Atletas!P118="Taijiquan 32 F",Atletas!P118="Taijiquan 42 F"),436,0)))))))))))))))))))</f>
        <v/>
      </c>
      <c r="BY127" s="50" t="str">
        <f>IF(Atletas!Q118="","",IF(Atletas!X118&lt;&gt;"",10000,0)+IF(Atletas!B118="Feminino",1000,IF(Atletas!B118="Masculino",2000,""))+IF(Atletas!Q118="Xingyiquan A",501,IF(Atletas!Q118="Baguazhang A",502,IF(Atletas!Q118="Outro Estilo Interno A",503,IF(Atletas!Q118="Xingyiquan B",504,IF(Atletas!Q118="Baguazhang B",505,IF(Atletas!Q118="Outro Estilo Interno B",506,IF(Atletas!Q118="Xingyiquan C",507,IF(Atletas!Q118="Baguazhang C",508,IF(Atletas!Q118="Outro Estilo Interno C",509,IF(Atletas!Q118="Xingyiquan D",510,IF(Atletas!Q118="Baguazhang D",511,IF(Atletas!Q118="Outro Estilo Interno D",512,IF(Atletas!Q118="Xingyiquan E",513,IF(Atletas!Q118="Baguazhang E",514,IF(Atletas!Q118="Outro Estilo Interno E",515,IF(Atletas!Q118="Xingyiquan F",516,IF(Atletas!Q118="Baguazhang F",517,IF(Atletas!Q118="Outro Estilo Interno F",518, "")))))))))))))))))))</f>
        <v/>
      </c>
      <c r="BZ127" s="50" t="str">
        <f>IF(Atletas!R118="","",IF(Atletas!X118&lt;&gt;"",10000,0)+IF(Atletas!B118="Feminino",1000,IF(Atletas!B118="Masculino",2000,""))+IF(Atletas!R118="Dao A",601,IF(Atletas!R118="Jian A",602,IF(Atletas!R118="Bishou A",603,IF(Atletas!R118="Shanzi A",604,IF(Atletas!R118="Outra Arma Curta A",605,IF(Atletas!R118="Dao B",606,IF(Atletas!R118="Jian B",607,IF(Atletas!R118="Bishou B",608,IF(Atletas!R118="Shanzi B",609,IF(Atletas!R118="Outra Arma Curta B",610,IF(Atletas!R118="Dao C",611,IF(Atletas!R118="Jian C",612,IF(Atletas!R118="Bishou C",613,IF(Atletas!R118="Shanzi C",614,IF(Atletas!R118="Outra Arma Curta C",615,IF(Atletas!R118="Dao D",616,IF(Atletas!R118="Jian D",617,IF(Atletas!R118="Bishou D",618,IF(Atletas!R118="Shanzi D",619,IF(Atletas!R118="Outra Arma Curta D",620,IF(Atletas!R118="Dao E",621,IF(Atletas!R118="Jian E",622,IF(Atletas!R118="Bishou E",623,IF(Atletas!R118="Shanzi E",624,IF(Atletas!R118="Outra Arma Curta E",625,IF(Atletas!R118="Dao F",626,IF(Atletas!R118="Jian F",627,IF(Atletas!R118="Bishou F",628,IF(Atletas!R118="Shanzi F",629,IF(Atletas!R118="Outra Arma Curta F",630, "")))))))))))))))))))))))))))))))</f>
        <v/>
      </c>
      <c r="CA127" s="50" t="str">
        <f>IF(Atletas!S118="","",IF(Atletas!X118&lt;&gt;"",10000,0)+IF(Atletas!B118="Feminino",1000,IF(Atletas!B118="Masculino",2000,""))+IF(Atletas!S118="Gun A",701,IF(Atletas!S118="Qiang A",702,IF(Atletas!S118="Pudao / Guandao A",703,IF(Atletas!S118="Outra Arma Longa A",704,IF(Atletas!S118="Gun B",705,IF(Atletas!S118="Qiang B",706,IF(Atletas!S118="Pudao / Guandao B",707,IF(Atletas!S118="Outra Arma Longa B",708,IF(Atletas!S118="Gun C",709,IF(Atletas!S118="Qiang C",710,IF(Atletas!S118="Pudao / Guandao C",711,IF(Atletas!S118="Outra Arma Longa C",712,IF(Atletas!S118="Gun D",713,IF(Atletas!S118="Qiang D",714,IF(Atletas!S118="Pudao / Guandao D",715,IF(Atletas!S118="Outra Arma Longa D",716,IF(Atletas!S118="Gun E",717,IF(Atletas!S118="Qiang E",718,IF(Atletas!S118="Pudao / Guandao E",719,IF(Atletas!S118="Outra Arma Longa E",720,IF(Atletas!S118="Gun F",721,IF(Atletas!S118="Qiang F",722,IF(Atletas!S118="Pudao / Guandao F",723,IF(Atletas!S118="Outra Arma Longa F",724,"")))))))))))))))))))))))))</f>
        <v/>
      </c>
      <c r="CB127" s="50" t="str">
        <f>IF(Atletas!T118="","",IF(Atletas!X118&lt;&gt;"",10000,0)+IF(Atletas!B118="Feminino",1000,IF(Atletas!B118="Masculino",2000,""))+IF(Atletas!T118="Outra Arma Dupla A",801,IF(Atletas!T118="Arma Maleável A",802,IF(Atletas!T118="Outra Arma Dupla B",803,IF(Atletas!T118="Arma Maleável B",804,IF(Atletas!T118="Outra Arma Dupla C",805,IF(Atletas!T118="Arma Maleável C",806,IF(Atletas!T118="Outra Arma Dupla D",807,IF(Atletas!T118="Arma Maleável D",808,IF(Atletas!T118="Outra Arma Dupla E",809,IF(Atletas!T118="Arma Maleável E",810,IF(Atletas!T118="Outra Arma Dupla F",811,IF(Atletas!T118="Arma Maleável F",812,IF(Atletas!T118="Shuangdao A",813,IF(Atletas!T118="Shuangdao B",814,IF(Atletas!T118="Shuangdao C",815,IF(Atletas!T118="Shuangdao D",816,IF(Atletas!T118="Shuangdao E",817,IF(Atletas!T118="Shuangdao F",818,"")))))))))))))))))))</f>
        <v/>
      </c>
      <c r="CC127" s="50" t="str">
        <f>IF(Atletas!U118="","",IF(Atletas!X118&lt;&gt;"",10000,0)+IF(Atletas!B118="Feminino",1000,IF(Atletas!B118="Masculino",2000,""))+IF(OR(Atletas!U118="Taijijian Yang A",Atletas!U118="Taijijian Yang Standard A"),901,IF(OR(Atletas!U118="Taijijian Chen A", Atletas!U118="Taijijian Chen Standard A"),902,IF(Atletas!U118="Taijijian Sun A",903,IF(Atletas!U118="Taijijian Wu A",904,IF(Atletas!U118="Taijijian Wu-Hao A",905,IF(OR(Atletas!U118="Taijijian 32 A",Atletas!U118="Taijijian 42 A"),906,IF(OR(Atletas!U118="Taijijian Yang B",Atletas!U118="Taijijian Yang Standard B"),907,IF(OR(Atletas!U118="Taijijian Chen B", Atletas!U118="Taijijian Chen Standard B"),908,IF(Atletas!U118="Taijijian Sun B",909,IF(Atletas!U118="Taijijian Wu B",910,IF(Atletas!U118="Taijijian Wu-Hao B",911,IF(OR(Atletas!U118="Taijijian 32 B",Atletas!U118="Taijijian 42 B"),912,IF(OR(Atletas!U118="Taijijian Yang C",Atletas!U118="Taijijian Yang Standard C"),913,IF(OR(Atletas!U118="Taijijian Chen C", Atletas!U118="Taijijian Chen Standard C"),914,IF(Atletas!U118="Taijijian Sun C",915,IF(Atletas!U118="Taijijian Wu C",916,IF(Atletas!U118="Taijijian Wu-Hao C",917,IF(OR(Atletas!U118="Taijijian 32 C",Atletas!U118="Taijijian 42 C"),918,IF(OR(Atletas!U118="Taijijian Yang D",Atletas!U118="Taijijian Yang Standard D"),919,IF(OR(Atletas!U118="Taijijian Chen D", Atletas!U118="Taijijian Chen Standard D"),920,IF(Atletas!U118="Taijijian Sun D",921,IF(Atletas!U118="Taijijian Wu D",922,IF(Atletas!U118="Taijijian Wu-Hao D",923,IF(OR(Atletas!U118="Taijijian 32 D",Atletas!U118="Taijijian 42 D"),924,IF(OR(Atletas!U118="Taijijian Yang E",Atletas!U118="Taijijian Yang Standard E"),925,IF(OR(Atletas!U118="Taijijian Chen E", Atletas!U118="Taijijian Chen Standard E"),926,IF(Atletas!U118="Taijijian Sun E",927,IF(Atletas!U118="Taijijian Wu E",928,IF(Atletas!U118="Taijijian Wu-Hao E",929,IF(OR(Atletas!U118="Taijijian 32 E",Atletas!U118="Taijijian 42 E"),930,IF(OR(Atletas!U118="Taijijian Yang F",Atletas!U118="Taijijian Yang Standard F"),931,IF(OR(Atletas!U118="Taijijian Chen F", Atletas!U118="Taijijian Chen Standard F"),932,IF(Atletas!U118="Taijijian Sun F",933,IF(Atletas!U118="Taijijian Wu F",934,IF(Atletas!U118="Taijijian Wu-Hao F",935,IF(OR(Atletas!U118="Taijijian 32 F",Atletas!U118="Taijijian 42 F"),936,"")))))))))))))))))))))))))))))))))))))</f>
        <v/>
      </c>
      <c r="CD127" s="50" t="str">
        <f>IF(Atletas!V118="","",IF(Atletas!X118&lt;&gt;"",10000,0)+IF(Atletas!B118="Feminino",1000,IF(Atletas!B118="Masculino",2000,""))+IF(Atletas!V118="Taijidao A",937,IF(Atletas!V118="TaijiShanzi A",938,IF(Atletas!V118="Taijiqiang A",939,IF(Atletas!V118="Bagua de Arma A",940,IF(Atletas!V118="Xingyi de Arma A",941,IF(Atletas!V118="Taijidao B",942,IF(Atletas!V118="TaijiShanzi B",943,IF(Atletas!V118="Taijiqiang B",944,IF(Atletas!V118="Bagua de Arma B",945,IF(Atletas!V118="Xingyi de Arma B",946,IF(Atletas!V118="Taijidao C",947,IF(Atletas!V118="TaijiShanzi C",948,IF(Atletas!V118="Taijiqiang C",949,IF(Atletas!V118="Bagua de Arma C",950,IF(Atletas!V118="Xingyi de Arma C",951,IF(Atletas!V118="Taijidao D",952,IF(Atletas!V118="TaijiShanzi D",953,IF(Atletas!V118="Taijiqiang D",954,IF(Atletas!V118="Bagua de Arma D",955,IF(Atletas!V118="Xingyi de Arma D",956,IF(Atletas!V118="Taijidao E",957,IF(Atletas!V118="TaijiShanzi E",958,IF(Atletas!V118="Taijiqiang E",959,IF(Atletas!V118="Bagua de Arma E",960,IF(Atletas!V118="Xingyi de Arma E",961,IF(Atletas!V118="Taijidao F",962,IF(Atletas!V118="TaijiShanzi F",963,IF(Atletas!V118="Taijiqiang F",964,IF(Atletas!V118="Bagua de Arma F",965,IF(Atletas!V118="Xingyi de Arma F",966,"")))))))))))))))))))))))))))))))</f>
        <v/>
      </c>
      <c r="CE127" s="66" t="str">
        <f>IF(CF127&lt;&gt;"","Ditangquan C","")</f>
        <v/>
      </c>
      <c r="CF127" s="66" t="str">
        <f>IF(COUNTIF(BR:CD,1207)&gt;0,COUNTIF(BR:CD,1207),"")</f>
        <v/>
      </c>
      <c r="CG127" s="66" t="str">
        <f>IF(CH127&lt;&gt;"","Ditangquan C","")</f>
        <v/>
      </c>
      <c r="CH127" s="66" t="str">
        <f>IF(COUNTIF(BR:CD,2207)&gt;0,COUNTIF(BR:CD,2207),"")</f>
        <v/>
      </c>
      <c r="CI127" s="66" t="str">
        <f>IF(CJ127&lt;&gt;"","Ditangquan E","")</f>
        <v/>
      </c>
      <c r="CJ127" s="66" t="str">
        <f>IF(COUNTIF(BR:CD,11213)&gt;0,COUNTIF(BR:CD,11213),"")</f>
        <v/>
      </c>
      <c r="CK127" s="66" t="str">
        <f>IF(CL127&lt;&gt;"","Ditangquan E","")</f>
        <v/>
      </c>
      <c r="CL127" s="66" t="str">
        <f>IF(COUNTIF(BR:CD,12213)&gt;0,COUNTIF(BR:CD,12213),"")</f>
        <v/>
      </c>
      <c r="CM127" s="50" t="str">
        <f xml:space="preserve"> IF(Atletas!W118="","",IF(Atletas!W118="Duilian de Mãos BC - Equipe 1",1,IF(Atletas!W118="Duilian de Mãos BC - Equipe 2",2,IF(Atletas!W118="Duilian de Armas BC - Equipe 1",3,IF(Atletas!W118="Duilian de Armas BC - Equipe 2",4,IF(Atletas!W118="Duilian de Mãos DE - Equipe 1",5,IF(Atletas!W118="Duilian de Mãos DE - Equipe 2",6,IF(Atletas!W118="Duilian de Armas DE - Equipe 1",7,IF(Atletas!W118="Duilian de Armas DE - Equipe 2",8,IF(Atletas!W118="Duilian de Tuishou - Equipe 1",9,IF(Atletas!W118="Duilian de Tuishou - Equipe 2",10,IF(Atletas!W118="Grupo Externo ABC - Equipe 1",11,IF(Atletas!W118="Grupo Externo ABC - Equipe 2",12,IF(Atletas!W118="Grupo Interno ABC - Equipe 1",13,IF(Atletas!W118="Grupo Interno ABC - Equipe 2",14,IF(Atletas!W118="Grupo Externo DEF - Equipe 1",15,IF(Atletas!W118="Grupo Externo DEF - Equipe 2",16,IF(Atletas!W118="Grupo Interno DEF - Equipe 1",17,IF(Atletas!W118="Grupo Interno DEF - Equipe 2",18,"")))))))))))))))))))</f>
        <v/>
      </c>
    </row>
    <row r="128" spans="2:9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 t="str">
        <f t="array" ref="Z128">IFERROR(INDEX(CE$7:CE$348,SMALL(IF(CE$7:CE$348&lt;&gt;"",ROW(CE$7:CE$348)-ROW(CE$7)+1),ROWS(CE$7:CE127))),"")</f>
        <v/>
      </c>
      <c r="AA128" s="3" t="str">
        <f t="array" ref="AA128">IFERROR(INDEX(CF$7:CF$348,SMALL(IF(CF$7:CF$348&lt;&gt;"",ROW(CF$7:CF$348)-ROW(CF$7)+1),ROWS(CF$7:CF127))),"")</f>
        <v/>
      </c>
      <c r="AB128" s="3" t="str">
        <f t="array" ref="AB128">IFERROR(INDEX(CG$7:CG$348,SMALL(IF(CG$7:CG$348&lt;&gt;"",ROW(CG$7:CG$348)-ROW(CG$7)+1),ROWS(CG$7:CG127))),"")</f>
        <v/>
      </c>
      <c r="AC128" s="3" t="str">
        <f t="array" ref="AC128">IFERROR(INDEX(CH$7:CH$348,SMALL(IF(CH$7:CH$348&lt;&gt;"",ROW(CH$7:CH$348)-ROW(CH$7)+1),ROWS(CH$7:CH127))),"")</f>
        <v/>
      </c>
      <c r="AD128" s="3" t="str">
        <f t="array" ref="AD128">IFERROR(INDEX(CI$7:CI$377,SMALL(IF(CI$7:CI$377&lt;&gt;"",ROW(CI$7:CI$377)-ROW(CI$7)+1),ROWS(CI$7:CI127))),"")</f>
        <v/>
      </c>
      <c r="AE128" s="3" t="str">
        <f t="array" ref="AE128">IFERROR(INDEX(CJ$7:CJ$378,SMALL(IF(CJ$7:CJ$378&lt;&gt;"",ROW(CJ$7:CJ$378)-ROW(CJ$7)+1),ROWS(CJ$7:CJ127))),"")</f>
        <v/>
      </c>
      <c r="AF128" s="3" t="str">
        <f t="array" ref="AF128">IFERROR(INDEX(CK$7:CK$378,SMALL(IF(CK$7:CK$378&lt;&gt;"",ROW(CK$7:CK$378)-ROW(CK$7)+1),ROWS(CK$7:CK127))),"")</f>
        <v/>
      </c>
      <c r="AG128" s="3" t="str">
        <f t="array" ref="AG128">IFERROR(INDEX(CL$7:CL$378,SMALL(IF(CL$7:CL$378&lt;&gt;"",ROW(CL$7:CL$378)-ROW(CL$7)+1),ROWS(CL$7:CL127))),"")</f>
        <v/>
      </c>
      <c r="AH128" s="3"/>
      <c r="AI128" s="3"/>
      <c r="AJ128" s="3"/>
      <c r="AK128" s="3"/>
      <c r="AL128" s="3"/>
      <c r="AM128" s="3"/>
      <c r="AN128" s="52" t="str">
        <f>IF(Atletas!D119="","",IF(Atletas!B119="Feminino",100,IF(Atletas!B119="Masculino",200,""))+(IF(Atletas!D119="Kids 30kg",1,IF(Atletas!D119="Kids 32kg",2, IF(Atletas!D119="Kids 34kg",3,IF(Atletas!D119="Kids 36kg",4,IF(Atletas!D119="Kids 39kg",5,IF(Atletas!D119="Kids 42kg",6,IF(Atletas!D119="Kids 45kg",7, IF(Atletas!D119="Infantil 39kg",8,IF(Atletas!D119="Infantil 42kg",9,IF(Atletas!D119="Infantil 45kg",10,IF(Atletas!D119="Infantil 48kg",11,IF(Atletas!D119="Infantil 52kg",12,IF(Atletas!D119="Infantil 56kg",13,IF(Atletas!D119="Infantil 60kg",14,IF(Atletas!D119="Juvenil 48kg",15,IF(Atletas!D119="Juvenil 52kg",16,IF(Atletas!D119="Juvenil 56kg",17,IF(Atletas!D119="Juvenil 60kg",18,IF(Atletas!D119="Juvenil 65kg",19,IF(Atletas!D119="Juvenil 70kg",20,IF(Atletas!D119="Juvenil 75kg",21,IF(Atletas!D119="Juvenil 80kg",22, IF(Atletas!D119="Juvenil 85kg",23,IF(Atletas!D119="Adulto 48kg",24,IF(Atletas!D119="Adulto 52kg",25,IF(Atletas!D119="Adulto 56kg",26,IF(Atletas!D119="Adulto 60kg",27,IF(Atletas!D119="Adulto 65kg",28,IF(Atletas!D119="Adulto 70kg",29,IF(Atletas!D119="Adulto 75kg",30,IF(Atletas!D119="Adulto 80kg",31,IF(Atletas!D119="Adulto 85kg",32,IF(Atletas!D119="Adulto 90kg",33,IF(Atletas!D119="Adulto 100kg",34, IF(Atletas!D119="Adulto +100kg",35,"")))))))))))))))))))))))))))))))))))))</f>
        <v/>
      </c>
      <c r="AS128" s="6" t="str">
        <f>IF(Atletas!E119="","",IF(Atletas!B119="Feminino",100,IF(Atletas!B119="Masculino",200,""))+(IF(Atletas!E119="Juvenil 44kg",1,IF(Atletas!E119="Juvenil 48kg",2,IF(Atletas!E119="Juvenil 52kg",3,IF(Atletas!E119="Juvenil 56kg",4,IF(Atletas!E119="Juvenil 60kg",5,IF(Atletas!E119="Juvenil 65kg",6,IF(Atletas!E119="Juvenil 70kg",7,IF(Atletas!E119="Juvenil 75kg",8,IF(Atletas!E119="Juvenil 82kg",9,IF(Atletas!E119="Juvenil 90kg",10,IF(Atletas!E119="Juvenil 100kg",11,IF(Atletas!E119="Adulto 48kg",12,IF(Atletas!E119="Adulto 52kg",13,IF(Atletas!E119="Adulto 56kg",14,IF(Atletas!E119="Adulto 60kg",15,IF(Atletas!E119="Adulto 65kg",16,IF(Atletas!E119="Adulto 70kg",17,IF(Atletas!E119="Adulto 75kg",18,IF(Atletas!E119="Adulto 82kg",19,IF(Atletas!E119="Adulto 90kg",20,IF(Atletas!E119="Adulto 100kg",21,IF(Atletas!E119="Adulto +100kg",22,""))))))))))))))))))))))))</f>
        <v/>
      </c>
      <c r="AX128" s="6" t="str">
        <f>IF(Atletas!F119="","",IF(Atletas!B119="Feminino",100,IF(Atletas!B119="Masculino",200,""))+(IF(Atletas!F119="Adulto 48kg",1,IF(Atletas!F119="Adulto 56kg",2,IF(Atletas!F119="Adulto 65kg",3,IF(Atletas!F119="Adulto 75kg",4,IF(Atletas!F119="Adulto +75kg",5,IF(Atletas!F119="Adulto 52kg",6,IF(Atletas!F119="Adulto 60kg",7,IF(Atletas!F119="Adulto 70kg",8,IF(Atletas!F119="Adulto 80kg",9,IF(Atletas!F119="Adulto 90kg",10,IF(Atletas!F119="Adulto +90kg",11,"")))))))))))))</f>
        <v/>
      </c>
      <c r="BC128" s="6" t="str">
        <f>IF(Atletas!G119="","",IF(Atletas!B119="Feminino",10,IF(Atletas!B119="Masculino",20,""))+(IF(Atletas!G119="Baduanjin A",1,IF(Atletas!G119="Baduanjin B",2))))</f>
        <v/>
      </c>
      <c r="BF128" s="52" t="str">
        <f>IF(Atletas!H119="","",IF(Atletas!B119="Feminino",100,IF(Atletas!B119="Masculino",200,""))+(IF(Atletas!H119="Changquan Mirim",1,IF(Atletas!H119="Nanquan Mirim",2,IF(Atletas!H119="Taijiquan Mirim",3,IF(Atletas!H119="Changquan Grupo C",4,IF(Atletas!H119="Nanquan Grupo C",5,IF(Atletas!H119="Taijiquan Grupo C",6,IF(Atletas!H119="Changquan Grupo B",7,IF(Atletas!H119="Nanquan Grupo B",8,IF(Atletas!H119="Taijiquan Grupo B",9,IF(Atletas!H119="Changquan Grupo A",10,IF(Atletas!H119="Nanquan Grupo A",11,IF(Atletas!H119="Taijiquan Grupo A",12,IF(Atletas!H119="Changquan Opcional",13,IF(Atletas!H119="Nanquan Opcional",14,IF(Atletas!H119="Taijiquan Opcional",15,IF(Atletas!H119="Changquan Adulto",16,IF(Atletas!H119="Nanquan Adulto",17,IF(Atletas!H119="Taijiquan Adulto",18,""))))))))))))))))))))</f>
        <v/>
      </c>
      <c r="BG128" s="52" t="str">
        <f>IF(Atletas!I119="","",IF(Atletas!B119="Feminino",100,IF(Atletas!B119="Masculino",200,""))+(IF(Atletas!I119="Daoshu Mirim",19,IF(Atletas!I119="Jianshu Mirim",20,IF(Atletas!I119="Nandao Mirim",21,IF(Atletas!I119="Taijijian Mirim",22,IF(Atletas!I119="Daoshu Grupo C",23,IF(Atletas!I119="Jianshu Grupo C",24,IF(Atletas!I119="Nandao Grupo C",25,IF(Atletas!I119="Taijijian Grupo C",26,IF(Atletas!I119="Daoshu Grupo B",27,IF(Atletas!I119="Jianshu Grupo B",28,IF(Atletas!I119="Nandao Grupo B",29,IF(Atletas!I119="Taijijian Grupo B",30,IF(Atletas!I119="Daoshu Grupo A",31,IF(Atletas!I119="Jianshu Grupo A",32,IF(Atletas!I119="Nandao Grupo A",33,IF(Atletas!I119="Taijijian Grupo A",34,IF(Atletas!I119="Daoshu Opcional",35,IF(Atletas!I119="Jianshu Opcional",36,IF(Atletas!I119="Nandao Opcional",37,IF(Atletas!I119="Taijijian Opcional",38,IF(Atletas!I119="Daoshu Adulto",39,IF(Atletas!I119="Jianshu Adulto",40,IF(Atletas!I119="Nandao Adulto",41,IF(Atletas!I119="Taijijian Adulto",42,""))))))))))))))))))))))))))</f>
        <v/>
      </c>
      <c r="BH128" s="52" t="str">
        <f>IF(Atletas!J119="","",IF(Atletas!B119="Feminino",100,IF(Atletas!B119="Masculino",200,""))+(IF(Atletas!J119="Gunshu Mirim",43,IF(Atletas!J119="Qiangshu Mirim",44,IF(Atletas!J119="Nangun Mirim",45,IF(Atletas!J119="Gunshu Grupo C",46,IF(Atletas!J119="Qiangshu Grupo C",47,IF(Atletas!J119="Nangun Grupo C",48,IF(Atletas!J119="Gunshu Grupo B",49,IF(Atletas!J119="Qiangshu Grupo B",50,IF(Atletas!J119="Nangun Grupo B",51,IF(Atletas!J119="Gunshu Grupo A",52,IF(Atletas!J119="Qiangshu Grupo A",53,IF(Atletas!J119="Nangun Grupo A",54,IF(Atletas!J119="Gunshu Opcional",55,IF(Atletas!J119="Qiangshu Opcional",56,IF(Atletas!J119="Nangun Opcional",57,IF(Atletas!J119="Gunshu Adulto",58,IF(Atletas!J119="Qiangshu Adulto",59,IF(Atletas!J119="Nangun Adulto",60,IF(Atletas!J119="Taijishan Grupo B",61,IF(Atletas!J119="Taijishan Grupo A",62,""))))))))))))))))))))))</f>
        <v/>
      </c>
      <c r="BM128" s="50" t="str">
        <f>IF(Atletas!K119="","",IF(Atletas!B119="Feminino",100,IF(Atletas!B119="Masculino",200,""))+(IF(Atletas!K119="Equipe 1 Grupo B",1,IF(Atletas!K119="Equipe 2 Grupo B",2,IF(Atletas!K119="Equipe 1 Grupo A",3,IF(Atletas!K119="Equipe 2 Grupo A",4,IF(Atletas!K119="Equipe 1 Adulto",5,IF(Atletas!K119="Equipe 2 Adulto",6,""))))))))</f>
        <v/>
      </c>
      <c r="BR128" s="50" t="str">
        <f>IF(Atletas!L119="","",IF(Atletas!X119&lt;&gt;"",10000,0)+(IF(Atletas!B119="Feminino",1000,IF(Atletas!B119="Masculino",2000,""))+IF(Atletas!L119="Choylayfut A",1,IF(Atletas!L119="Hunggar A",2,IF(Atletas!L119="Wuzuquan A",3,IF(Atletas!L119="Wingchun A",4,IF(Atletas!L119="Outra Mão de Sul A",5,IF(Atletas!L119="Choylayfut B",6,IF(Atletas!L119="Hunggar B",7,IF(Atletas!L119="Wuzuquan B",8,IF(Atletas!L119="Wingchun B",9,IF(Atletas!L119="Outra Mão de Sul B",10,IF(Atletas!L119="Choylayfut C",11,IF(Atletas!L119="Hunggar C",12,IF(Atletas!L119="Wuzuquan C",13,IF(Atletas!L119="Wingchun C",14,IF(Atletas!L119="Outra Mão de Sul C",15,IF(Atletas!L119="Choylayfut D",16,IF(Atletas!L119="Hunggar D",17,IF(Atletas!L119="Wuzuquan D",18,IF(Atletas!L119="Wingchun D",19,IF(Atletas!L119="Outra Mão de Sul D",20,IF(Atletas!L119="Choylayfut E",21,IF(Atletas!L119="Hunggar E",22,IF(Atletas!L119="Wuzuquan E",23,IF(Atletas!L119="Wingchun E",24,IF(Atletas!L119="Outra Mão de Sul E",25,IF(Atletas!L119="Choylayfut F",26,IF(Atletas!L119="Hunggar F",27,IF(Atletas!L119="Wuzuquan F",28,IF(Atletas!L119="Wingchun F",29,IF(Atletas!L119="Outra Mão de Sul F",30,IF(Atletas!L119="Dishuquan A",31,IF(Atletas!L119="Dishuquan B",32,IF(Atletas!L119="Dishuquan C",33,IF(Atletas!L119="Dishuquan D",34,IF(Atletas!L119="Dishuquan E",35,IF(Atletas!L119="Dishuquan F",36,""))))))))))))))))))))))))))))))))))))))</f>
        <v/>
      </c>
      <c r="BS128" s="50" t="str">
        <f>IF(Atletas!M119="","",IF(Atletas!X119&lt;&gt;"",10000,0)+(IF(Atletas!B119="Feminino",1000,IF(Atletas!B119="Masculino",2000,""))+(IF(Atletas!M119="Chaquan A",101,IF(Atletas!M119="Emeiquan A",102,IF(Atletas!M119="Fanziquan A",103,IF(Atletas!M119="Huaquan A",104,IF(Atletas!M119="Hongquan A",105,IF(Atletas!M119="Paoquan A",106,IF(Atletas!M119="Piguaquan A",107,IF(Atletas!M119="Shaolinquan A",108,IF(Atletas!M119="Tanglangquan A",109,IF(Atletas!M119="Yingzhaoquan A",110,IF(Atletas!M119="Tongbeiquan A",111,IF(Atletas!M119="Wudangquan A",112,IF(Atletas!M119="Outros Estilos A",113,IF(Atletas!M119="Chaquan B",114,IF(Atletas!M119="Emeiquan B",115,IF(Atletas!M119="Fanziquan B",116,IF(Atletas!M119="Huaquan B",117,IF(Atletas!M119="Hongquan B",118,IF(Atletas!M119="Paoquan B",119,IF(Atletas!M119="Piguaquan B",120,IF(Atletas!M119="Shaolinquan B",121,IF(Atletas!M119="Tanglangquan B",122,IF(Atletas!M119="Yingzhaoquan B",123,IF(Atletas!M119="Tongbeiquan B",124,IF(Atletas!M119="Wudangquan B",125,IF(Atletas!M119="Outros Estilos B",126,IF(Atletas!M119="Chaquan C",127,IF(Atletas!M119="Emeiquan C",128,IF(Atletas!M119="Fanziquan C",129,IF(Atletas!M119="Huaquan C",130,IF(Atletas!M119="Hongquan C",131,IF(Atletas!M119="Paoquan C",132,IF(Atletas!M119="Piguaquan C",133,IF(Atletas!M119="Shaolinquan C",134,IF(Atletas!M119="Tanglangquan C",135,IF(Atletas!M119="Yingzhaoquan C",136,IF(Atletas!M119="Tongbeiquan C",137,IF(Atletas!M119="Wudangquan C",138,IF(Atletas!M119="Outros Estilos C",139,0))))))))))))))))))))))))))))))))))))))))))</f>
        <v/>
      </c>
      <c r="BT128" s="50" t="str">
        <f>IF(Atletas!M119="","",IF(Atletas!X119&lt;&gt;"",10000,0)+(IF(Atletas!B119="Feminino",1000,IF(Atletas!B119="Masculino",2000,""))+(IF(Atletas!M119="Chaquan D",140,IF(Atletas!M119="Emeiquan D",141,IF(Atletas!M119="Fanziquan D",142,IF(Atletas!M119="Huaquan D",143,IF(Atletas!M119="Hongquan D",144,IF(Atletas!M119="Paoquan D",145,IF(Atletas!M119="Piguaquan D",146,IF(Atletas!M119="Shaolinquan D",147,IF(Atletas!M119="Tanglangquan D",148,IF(Atletas!M119="Yingzhaoquan D",149,IF(Atletas!M119="Tongbeiquan D",150,IF(Atletas!M119="Wudangquan D",151,IF(Atletas!M119="Outros Estilos D",152,IF(Atletas!M119="Chaquan E",153,IF(Atletas!M119="Emeiquan E",154,IF(Atletas!M119="Fanziquan E",155,IF(Atletas!M119="Huaquan E",156,IF(Atletas!M119="Hongquan E",157,IF(Atletas!M119="Paoquan E",158,IF(Atletas!M119="Piguaquan E",159,IF(Atletas!M119="Shaolinquan E",160,IF(Atletas!M119="Tanglangquan E",161,IF(Atletas!M119="Yingzhaoquan E",162,IF(Atletas!M119="Tongbeiquan E",163,IF(Atletas!M119="Wudangquan E",164,IF(Atletas!M119="Outros Estilos E",165,IF(Atletas!M119="Chaquan F",166,IF(Atletas!M119="Emeiquan F",167,IF(Atletas!M119="Fanziquan F",168,IF(Atletas!M119="Huaquan F",169,IF(Atletas!M119="Hongquan F",170,IF(Atletas!M119="Paoquan F",171,IF(Atletas!M119="Piguaquan F",172,IF(Atletas!M119="Shaolinquan F",173,IF(Atletas!M119="Tanglangquan F",174,IF(Atletas!M119="Yingzhaoquan F",175,IF(Atletas!M119="Tongbeiquan F",176,IF(Atletas!M119="Wudangquan F",177,IF(Atletas!M119="Outros Estilos F",178,0))))))))))))))))))))))))))))))))))))))))))</f>
        <v/>
      </c>
      <c r="BU128" s="50" t="str">
        <f>IF(Atletas!N119="","",IF(Atletas!X119&lt;&gt;"",10000,0)+(IF(Atletas!B119="Feminino",1000,IF(Atletas!B119="Masculino",2000,""))+(IF(Atletas!N119="Ditangquan A",201,IF(Atletas!N119="Houquan A",202,IF(Atletas!N119="Zuiquan A",203,IF(Atletas!N119="Ditangquan B",204,IF(Atletas!N119="Houquan B",205,IF(Atletas!N119="Zuiquan B",206,IF(Atletas!N119="Ditangquan C",207,IF(Atletas!N119="Houquan C",208,IF(Atletas!N119="Zuiquan C",209,IF(Atletas!N119="Ditangquan D",210,IF(Atletas!N119="Houquan D",211,IF(Atletas!N119="Zuiquan D",212,IF(Atletas!N119="Ditangquan E",213,IF(Atletas!N119="Houquan E",214,IF(Atletas!N119="Zuiquan E",215,IF(Atletas!N119="Ditangquan F",216,IF(Atletas!N119="Houquan F",217,IF(Atletas!N119="Zuiquan F",218,"")))))))))))))))))))))</f>
        <v/>
      </c>
      <c r="BV128" s="50" t="str">
        <f>IF(Atletas!O119="","",IF(Atletas!X119&lt;&gt;"",10000,0)+IF(Atletas!B119="Feminino",1000,IF(Atletas!B119="Masculino",2000,""))+IF(Atletas!O119="Yang A",301,IF(Atletas!O119="Chen A",302,IF(Atletas!O119="Sun A",303,IF(Atletas!O119="Wu A",304,IF(Atletas!O119="Wu-Hao A",305,IF(Atletas!O119="Outro Taijiquan A",306,IF(Atletas!O119="Yang B",307,IF(Atletas!O119="Chen B",308,IF(Atletas!O119="Sun B",309,IF(Atletas!O119="Wu B",310,IF(Atletas!O119="Wu-Hao B",311,IF(Atletas!O119="Outro Taijiquan B",312,IF(Atletas!O119="Yang C",313,IF(Atletas!O119="Chen C",314,IF(Atletas!O119="Sun C",315,IF(Atletas!O119="Wu C",316,IF(Atletas!O119="Wu-Hao C",317,IF(Atletas!O119="Outro Taijiquan C",318,IF(Atletas!O119="Yang D",319,IF(Atletas!O119="Chen D",320,IF(Atletas!O119="Sun D",321,IF(Atletas!O119="Wu D",322,IF(Atletas!O119="Wu-Hao D",323,IF(Atletas!O119="Outro Taijiquan D",324,IF(Atletas!O119="Yang E",325,IF(Atletas!O119="Chen E",326,IF(Atletas!O119="Sun E",327,IF(Atletas!O119="Wu E",328,IF(Atletas!O119="Wu-Hao E",329,IF(Atletas!O119="Outro Taijiquan E",330,IF(Atletas!O119="Yang F",331,IF(Atletas!O119="Chen F",332,IF(Atletas!O119="Sun F",333,IF(Atletas!O119="Wu F",334,IF(Atletas!O119="Wu-Hao F",335,IF(Atletas!O119="Outro Taijiquan F",336,"")))))))))))))))))))))))))))))))))))))</f>
        <v/>
      </c>
      <c r="BW128" s="50" t="str">
        <f>IF(Atletas!P119="","",IF(Atletas!X119&lt;&gt;"",10000,0)+IF(Atletas!B119="Feminino",1000,IF(Atletas!B119="Masculino",2000,""))+IF(OR(Atletas!P119="Yang 26 A",Atletas!P119="Yang 40 A"),401,IF(OR(Atletas!P119="Chen 25 A",Atletas!P119="Chen 36 A",Atletas!P119="Chen 56 A"),402,IF(Atletas!P119="Sun 73 A",403,IF(Atletas!P119="Wu 45 A",404,IF(Atletas!P119="Wu-Hao 46 A",405,IF(OR(Atletas!P119="Taijiquan 16 A",Atletas!P119="Taijiquan 24 A",Atletas!P119="Taijiquan 32 A",Atletas!P119="Taijiquan 42 A"),406,IF(OR(Atletas!P119="Yang 26 B",Atletas!P119="Yang 40 B"),407,IF(OR(Atletas!P119="Chen 25 B",Atletas!P119="Chen 36 B",Atletas!P119="Chen 56 B"),408,IF(Atletas!P119="Sun 73 B",409,IF(Atletas!P119="Wu 45 B",410,IF(Atletas!P119="Wu-Hao 46 B",411,IF(OR(Atletas!P119="Taijiquan 16 B",Atletas!P119="Taijiquan 24 B",Atletas!P119="Taijiquan 32 B",Atletas!P119="Taijiquan 42 B"),412,IF(OR(Atletas!P119="Yang 26 C",Atletas!P119="Yang 40 C"),413,IF(OR(Atletas!P119="Chen 25 C",Atletas!P119="Chen 36 C",Atletas!P119="Chen 56 C"),414,IF(Atletas!P119="Sun 73 C",415,IF(Atletas!P119="Wu 45 C",416,IF(Atletas!P119="Wu-Hao 46 C",417,IF(OR(Atletas!P119="Taijiquan 16 C",Atletas!P119="Taijiquan 24 C",Atletas!P119="Taijiquan 32 C",Atletas!P119="Taijiquan 42 C"),418,0)))))))))))))))))))</f>
        <v/>
      </c>
      <c r="BX128" s="50" t="str">
        <f>IF(Atletas!P119="","",IF(Atletas!X119&lt;&gt;"",10000,0)+IF(Atletas!B119="Feminino",1000,IF(Atletas!B119="Masculino",2000,""))+IF(OR(Atletas!P119="Yang 26 D",Atletas!P119="Yang 40 D"),419,IF(OR(Atletas!P119="Chen 25 D",Atletas!P119="Chen 36 D",Atletas!P119="Chen 56 D"),420,IF(Atletas!P119="Sun 73 D",421,IF(Atletas!P119="Wu 45 D",422,IF(Atletas!P119="Wu-Hao 46 D",423,IF(OR(Atletas!P119="Taijiquan 16 D",Atletas!P119="Taijiquan 24 D",Atletas!P119="Taijiquan 32 D",Atletas!P119="Taijiquan 42 D"),424,IF(OR(Atletas!P119="Yang 26 E",Atletas!P119="Yang 40 E"),425,IF(OR(Atletas!P119="Chen 25 E",Atletas!P119="Chen 36 E",Atletas!P119="Chen 56 E"),426,IF(Atletas!P119="Sun 73 E",427,IF(Atletas!P119="Wu 45 E",428,IF(Atletas!P119="Wu-Hao 46 E",429,IF(OR(Atletas!P119="Taijiquan 16 E",Atletas!P119="Taijiquan 24 E",Atletas!P119="Taijiquan 32 E",Atletas!P119="Taijiquan 42 E"),430,IF(OR(Atletas!P119="Yang 26 F",Atletas!P119="Yang 40 F"),431,IF(OR(Atletas!P119="Chen 25 F",Atletas!P119="Chen 36 F",Atletas!P119="Chen 56 F"),432,IF(Atletas!P119="Sun 73 F",433,IF(Atletas!P119="Wu 45 F",434,IF(Atletas!P119="Wu-Hao 46 F",435,IF(OR(Atletas!P119="Taijiquan 16 F",Atletas!P119="Taijiquan 24 F",Atletas!P119="Taijiquan 32 F",Atletas!P119="Taijiquan 42 F"),436,0)))))))))))))))))))</f>
        <v/>
      </c>
      <c r="BY128" s="50" t="str">
        <f>IF(Atletas!Q119="","",IF(Atletas!X119&lt;&gt;"",10000,0)+IF(Atletas!B119="Feminino",1000,IF(Atletas!B119="Masculino",2000,""))+IF(Atletas!Q119="Xingyiquan A",501,IF(Atletas!Q119="Baguazhang A",502,IF(Atletas!Q119="Outro Estilo Interno A",503,IF(Atletas!Q119="Xingyiquan B",504,IF(Atletas!Q119="Baguazhang B",505,IF(Atletas!Q119="Outro Estilo Interno B",506,IF(Atletas!Q119="Xingyiquan C",507,IF(Atletas!Q119="Baguazhang C",508,IF(Atletas!Q119="Outro Estilo Interno C",509,IF(Atletas!Q119="Xingyiquan D",510,IF(Atletas!Q119="Baguazhang D",511,IF(Atletas!Q119="Outro Estilo Interno D",512,IF(Atletas!Q119="Xingyiquan E",513,IF(Atletas!Q119="Baguazhang E",514,IF(Atletas!Q119="Outro Estilo Interno E",515,IF(Atletas!Q119="Xingyiquan F",516,IF(Atletas!Q119="Baguazhang F",517,IF(Atletas!Q119="Outro Estilo Interno F",518, "")))))))))))))))))))</f>
        <v/>
      </c>
      <c r="BZ128" s="50" t="str">
        <f>IF(Atletas!R119="","",IF(Atletas!X119&lt;&gt;"",10000,0)+IF(Atletas!B119="Feminino",1000,IF(Atletas!B119="Masculino",2000,""))+IF(Atletas!R119="Dao A",601,IF(Atletas!R119="Jian A",602,IF(Atletas!R119="Bishou A",603,IF(Atletas!R119="Shanzi A",604,IF(Atletas!R119="Outra Arma Curta A",605,IF(Atletas!R119="Dao B",606,IF(Atletas!R119="Jian B",607,IF(Atletas!R119="Bishou B",608,IF(Atletas!R119="Shanzi B",609,IF(Atletas!R119="Outra Arma Curta B",610,IF(Atletas!R119="Dao C",611,IF(Atletas!R119="Jian C",612,IF(Atletas!R119="Bishou C",613,IF(Atletas!R119="Shanzi C",614,IF(Atletas!R119="Outra Arma Curta C",615,IF(Atletas!R119="Dao D",616,IF(Atletas!R119="Jian D",617,IF(Atletas!R119="Bishou D",618,IF(Atletas!R119="Shanzi D",619,IF(Atletas!R119="Outra Arma Curta D",620,IF(Atletas!R119="Dao E",621,IF(Atletas!R119="Jian E",622,IF(Atletas!R119="Bishou E",623,IF(Atletas!R119="Shanzi E",624,IF(Atletas!R119="Outra Arma Curta E",625,IF(Atletas!R119="Dao F",626,IF(Atletas!R119="Jian F",627,IF(Atletas!R119="Bishou F",628,IF(Atletas!R119="Shanzi F",629,IF(Atletas!R119="Outra Arma Curta F",630, "")))))))))))))))))))))))))))))))</f>
        <v/>
      </c>
      <c r="CA128" s="50" t="str">
        <f>IF(Atletas!S119="","",IF(Atletas!X119&lt;&gt;"",10000,0)+IF(Atletas!B119="Feminino",1000,IF(Atletas!B119="Masculino",2000,""))+IF(Atletas!S119="Gun A",701,IF(Atletas!S119="Qiang A",702,IF(Atletas!S119="Pudao / Guandao A",703,IF(Atletas!S119="Outra Arma Longa A",704,IF(Atletas!S119="Gun B",705,IF(Atletas!S119="Qiang B",706,IF(Atletas!S119="Pudao / Guandao B",707,IF(Atletas!S119="Outra Arma Longa B",708,IF(Atletas!S119="Gun C",709,IF(Atletas!S119="Qiang C",710,IF(Atletas!S119="Pudao / Guandao C",711,IF(Atletas!S119="Outra Arma Longa C",712,IF(Atletas!S119="Gun D",713,IF(Atletas!S119="Qiang D",714,IF(Atletas!S119="Pudao / Guandao D",715,IF(Atletas!S119="Outra Arma Longa D",716,IF(Atletas!S119="Gun E",717,IF(Atletas!S119="Qiang E",718,IF(Atletas!S119="Pudao / Guandao E",719,IF(Atletas!S119="Outra Arma Longa E",720,IF(Atletas!S119="Gun F",721,IF(Atletas!S119="Qiang F",722,IF(Atletas!S119="Pudao / Guandao F",723,IF(Atletas!S119="Outra Arma Longa F",724,"")))))))))))))))))))))))))</f>
        <v/>
      </c>
      <c r="CB128" s="50" t="str">
        <f>IF(Atletas!T119="","",IF(Atletas!X119&lt;&gt;"",10000,0)+IF(Atletas!B119="Feminino",1000,IF(Atletas!B119="Masculino",2000,""))+IF(Atletas!T119="Outra Arma Dupla A",801,IF(Atletas!T119="Arma Maleável A",802,IF(Atletas!T119="Outra Arma Dupla B",803,IF(Atletas!T119="Arma Maleável B",804,IF(Atletas!T119="Outra Arma Dupla C",805,IF(Atletas!T119="Arma Maleável C",806,IF(Atletas!T119="Outra Arma Dupla D",807,IF(Atletas!T119="Arma Maleável D",808,IF(Atletas!T119="Outra Arma Dupla E",809,IF(Atletas!T119="Arma Maleável E",810,IF(Atletas!T119="Outra Arma Dupla F",811,IF(Atletas!T119="Arma Maleável F",812,IF(Atletas!T119="Shuangdao A",813,IF(Atletas!T119="Shuangdao B",814,IF(Atletas!T119="Shuangdao C",815,IF(Atletas!T119="Shuangdao D",816,IF(Atletas!T119="Shuangdao E",817,IF(Atletas!T119="Shuangdao F",818,"")))))))))))))))))))</f>
        <v/>
      </c>
      <c r="CC128" s="50" t="str">
        <f>IF(Atletas!U119="","",IF(Atletas!X119&lt;&gt;"",10000,0)+IF(Atletas!B119="Feminino",1000,IF(Atletas!B119="Masculino",2000,""))+IF(OR(Atletas!U119="Taijijian Yang A",Atletas!U119="Taijijian Yang Standard A"),901,IF(OR(Atletas!U119="Taijijian Chen A", Atletas!U119="Taijijian Chen Standard A"),902,IF(Atletas!U119="Taijijian Sun A",903,IF(Atletas!U119="Taijijian Wu A",904,IF(Atletas!U119="Taijijian Wu-Hao A",905,IF(OR(Atletas!U119="Taijijian 32 A",Atletas!U119="Taijijian 42 A"),906,IF(OR(Atletas!U119="Taijijian Yang B",Atletas!U119="Taijijian Yang Standard B"),907,IF(OR(Atletas!U119="Taijijian Chen B", Atletas!U119="Taijijian Chen Standard B"),908,IF(Atletas!U119="Taijijian Sun B",909,IF(Atletas!U119="Taijijian Wu B",910,IF(Atletas!U119="Taijijian Wu-Hao B",911,IF(OR(Atletas!U119="Taijijian 32 B",Atletas!U119="Taijijian 42 B"),912,IF(OR(Atletas!U119="Taijijian Yang C",Atletas!U119="Taijijian Yang Standard C"),913,IF(OR(Atletas!U119="Taijijian Chen C", Atletas!U119="Taijijian Chen Standard C"),914,IF(Atletas!U119="Taijijian Sun C",915,IF(Atletas!U119="Taijijian Wu C",916,IF(Atletas!U119="Taijijian Wu-Hao C",917,IF(OR(Atletas!U119="Taijijian 32 C",Atletas!U119="Taijijian 42 C"),918,IF(OR(Atletas!U119="Taijijian Yang D",Atletas!U119="Taijijian Yang Standard D"),919,IF(OR(Atletas!U119="Taijijian Chen D", Atletas!U119="Taijijian Chen Standard D"),920,IF(Atletas!U119="Taijijian Sun D",921,IF(Atletas!U119="Taijijian Wu D",922,IF(Atletas!U119="Taijijian Wu-Hao D",923,IF(OR(Atletas!U119="Taijijian 32 D",Atletas!U119="Taijijian 42 D"),924,IF(OR(Atletas!U119="Taijijian Yang E",Atletas!U119="Taijijian Yang Standard E"),925,IF(OR(Atletas!U119="Taijijian Chen E", Atletas!U119="Taijijian Chen Standard E"),926,IF(Atletas!U119="Taijijian Sun E",927,IF(Atletas!U119="Taijijian Wu E",928,IF(Atletas!U119="Taijijian Wu-Hao E",929,IF(OR(Atletas!U119="Taijijian 32 E",Atletas!U119="Taijijian 42 E"),930,IF(OR(Atletas!U119="Taijijian Yang F",Atletas!U119="Taijijian Yang Standard F"),931,IF(OR(Atletas!U119="Taijijian Chen F", Atletas!U119="Taijijian Chen Standard F"),932,IF(Atletas!U119="Taijijian Sun F",933,IF(Atletas!U119="Taijijian Wu F",934,IF(Atletas!U119="Taijijian Wu-Hao F",935,IF(OR(Atletas!U119="Taijijian 32 F",Atletas!U119="Taijijian 42 F"),936,"")))))))))))))))))))))))))))))))))))))</f>
        <v/>
      </c>
      <c r="CD128" s="50" t="str">
        <f>IF(Atletas!V119="","",IF(Atletas!X119&lt;&gt;"",10000,0)+IF(Atletas!B119="Feminino",1000,IF(Atletas!B119="Masculino",2000,""))+IF(Atletas!V119="Taijidao A",937,IF(Atletas!V119="TaijiShanzi A",938,IF(Atletas!V119="Taijiqiang A",939,IF(Atletas!V119="Bagua de Arma A",940,IF(Atletas!V119="Xingyi de Arma A",941,IF(Atletas!V119="Taijidao B",942,IF(Atletas!V119="TaijiShanzi B",943,IF(Atletas!V119="Taijiqiang B",944,IF(Atletas!V119="Bagua de Arma B",945,IF(Atletas!V119="Xingyi de Arma B",946,IF(Atletas!V119="Taijidao C",947,IF(Atletas!V119="TaijiShanzi C",948,IF(Atletas!V119="Taijiqiang C",949,IF(Atletas!V119="Bagua de Arma C",950,IF(Atletas!V119="Xingyi de Arma C",951,IF(Atletas!V119="Taijidao D",952,IF(Atletas!V119="TaijiShanzi D",953,IF(Atletas!V119="Taijiqiang D",954,IF(Atletas!V119="Bagua de Arma D",955,IF(Atletas!V119="Xingyi de Arma D",956,IF(Atletas!V119="Taijidao E",957,IF(Atletas!V119="TaijiShanzi E",958,IF(Atletas!V119="Taijiqiang E",959,IF(Atletas!V119="Bagua de Arma E",960,IF(Atletas!V119="Xingyi de Arma E",961,IF(Atletas!V119="Taijidao F",962,IF(Atletas!V119="TaijiShanzi F",963,IF(Atletas!V119="Taijiqiang F",964,IF(Atletas!V119="Bagua de Arma F",965,IF(Atletas!V119="Xingyi de Arma F",966,"")))))))))))))))))))))))))))))))</f>
        <v/>
      </c>
      <c r="CE128" s="66" t="str">
        <f>IF(CF128&lt;&gt;"","Houquan C","")</f>
        <v/>
      </c>
      <c r="CF128" s="66" t="str">
        <f>IF(COUNTIF(BR:CD,1208)&gt;0,COUNTIF(BR:CD,1208),"")</f>
        <v/>
      </c>
      <c r="CG128" s="66" t="str">
        <f>IF(CH128&lt;&gt;"","Houquan C","")</f>
        <v/>
      </c>
      <c r="CH128" s="66" t="str">
        <f>IF(COUNTIF(BR:CD,2208)&gt;0,COUNTIF(BR:CD,2208),"")</f>
        <v/>
      </c>
      <c r="CI128" s="66" t="str">
        <f>IF(CJ128&lt;&gt;"","Houquan E","")</f>
        <v/>
      </c>
      <c r="CJ128" s="66" t="str">
        <f>IF(COUNTIF(BR:CD,11214)&gt;0,COUNTIF(BR:CD,11214),"")</f>
        <v/>
      </c>
      <c r="CK128" s="66" t="str">
        <f>IF(CL128&lt;&gt;"","Houquan E","")</f>
        <v/>
      </c>
      <c r="CL128" s="66" t="str">
        <f>IF(COUNTIF(BR:CD,12214)&gt;0,COUNTIF(BR:CD,12214),"")</f>
        <v/>
      </c>
      <c r="CM128" s="50" t="str">
        <f xml:space="preserve"> IF(Atletas!W119="","",IF(Atletas!W119="Duilian de Mãos BC - Equipe 1",1,IF(Atletas!W119="Duilian de Mãos BC - Equipe 2",2,IF(Atletas!W119="Duilian de Armas BC - Equipe 1",3,IF(Atletas!W119="Duilian de Armas BC - Equipe 2",4,IF(Atletas!W119="Duilian de Mãos DE - Equipe 1",5,IF(Atletas!W119="Duilian de Mãos DE - Equipe 2",6,IF(Atletas!W119="Duilian de Armas DE - Equipe 1",7,IF(Atletas!W119="Duilian de Armas DE - Equipe 2",8,IF(Atletas!W119="Duilian de Tuishou - Equipe 1",9,IF(Atletas!W119="Duilian de Tuishou - Equipe 2",10,IF(Atletas!W119="Grupo Externo ABC - Equipe 1",11,IF(Atletas!W119="Grupo Externo ABC - Equipe 2",12,IF(Atletas!W119="Grupo Interno ABC - Equipe 1",13,IF(Atletas!W119="Grupo Interno ABC - Equipe 2",14,IF(Atletas!W119="Grupo Externo DEF - Equipe 1",15,IF(Atletas!W119="Grupo Externo DEF - Equipe 2",16,IF(Atletas!W119="Grupo Interno DEF - Equipe 1",17,IF(Atletas!W119="Grupo Interno DEF - Equipe 2",18,"")))))))))))))))))))</f>
        <v/>
      </c>
    </row>
    <row r="129" spans="2:91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 t="str">
        <f t="array" ref="Z129">IFERROR(INDEX(CE$7:CE$348,SMALL(IF(CE$7:CE$348&lt;&gt;"",ROW(CE$7:CE$348)-ROW(CE$7)+1),ROWS(CE$7:CE128))),"")</f>
        <v/>
      </c>
      <c r="AA129" s="3" t="str">
        <f t="array" ref="AA129">IFERROR(INDEX(CF$7:CF$348,SMALL(IF(CF$7:CF$348&lt;&gt;"",ROW(CF$7:CF$348)-ROW(CF$7)+1),ROWS(CF$7:CF128))),"")</f>
        <v/>
      </c>
      <c r="AB129" s="3" t="str">
        <f t="array" ref="AB129">IFERROR(INDEX(CG$7:CG$348,SMALL(IF(CG$7:CG$348&lt;&gt;"",ROW(CG$7:CG$348)-ROW(CG$7)+1),ROWS(CG$7:CG128))),"")</f>
        <v/>
      </c>
      <c r="AC129" s="3" t="str">
        <f t="array" ref="AC129">IFERROR(INDEX(CH$7:CH$348,SMALL(IF(CH$7:CH$348&lt;&gt;"",ROW(CH$7:CH$348)-ROW(CH$7)+1),ROWS(CH$7:CH128))),"")</f>
        <v/>
      </c>
      <c r="AD129" s="3" t="str">
        <f t="array" ref="AD129">IFERROR(INDEX(CI$7:CI$377,SMALL(IF(CI$7:CI$377&lt;&gt;"",ROW(CI$7:CI$377)-ROW(CI$7)+1),ROWS(CI$7:CI128))),"")</f>
        <v/>
      </c>
      <c r="AE129" s="3" t="str">
        <f t="array" ref="AE129">IFERROR(INDEX(CJ$7:CJ$378,SMALL(IF(CJ$7:CJ$378&lt;&gt;"",ROW(CJ$7:CJ$378)-ROW(CJ$7)+1),ROWS(CJ$7:CJ128))),"")</f>
        <v/>
      </c>
      <c r="AF129" s="3" t="str">
        <f t="array" ref="AF129">IFERROR(INDEX(CK$7:CK$378,SMALL(IF(CK$7:CK$378&lt;&gt;"",ROW(CK$7:CK$378)-ROW(CK$7)+1),ROWS(CK$7:CK128))),"")</f>
        <v/>
      </c>
      <c r="AG129" s="3" t="str">
        <f t="array" ref="AG129">IFERROR(INDEX(CL$7:CL$378,SMALL(IF(CL$7:CL$378&lt;&gt;"",ROW(CL$7:CL$378)-ROW(CL$7)+1),ROWS(CL$7:CL128))),"")</f>
        <v/>
      </c>
      <c r="AH129" s="3"/>
      <c r="AI129" s="3"/>
      <c r="AJ129" s="3"/>
      <c r="AK129" s="3"/>
      <c r="AL129" s="3"/>
      <c r="AM129" s="3"/>
      <c r="AN129" s="52" t="str">
        <f>IF(Atletas!D120="","",IF(Atletas!B120="Feminino",100,IF(Atletas!B120="Masculino",200,""))+(IF(Atletas!D120="Kids 30kg",1,IF(Atletas!D120="Kids 32kg",2, IF(Atletas!D120="Kids 34kg",3,IF(Atletas!D120="Kids 36kg",4,IF(Atletas!D120="Kids 39kg",5,IF(Atletas!D120="Kids 42kg",6,IF(Atletas!D120="Kids 45kg",7, IF(Atletas!D120="Infantil 39kg",8,IF(Atletas!D120="Infantil 42kg",9,IF(Atletas!D120="Infantil 45kg",10,IF(Atletas!D120="Infantil 48kg",11,IF(Atletas!D120="Infantil 52kg",12,IF(Atletas!D120="Infantil 56kg",13,IF(Atletas!D120="Infantil 60kg",14,IF(Atletas!D120="Juvenil 48kg",15,IF(Atletas!D120="Juvenil 52kg",16,IF(Atletas!D120="Juvenil 56kg",17,IF(Atletas!D120="Juvenil 60kg",18,IF(Atletas!D120="Juvenil 65kg",19,IF(Atletas!D120="Juvenil 70kg",20,IF(Atletas!D120="Juvenil 75kg",21,IF(Atletas!D120="Juvenil 80kg",22, IF(Atletas!D120="Juvenil 85kg",23,IF(Atletas!D120="Adulto 48kg",24,IF(Atletas!D120="Adulto 52kg",25,IF(Atletas!D120="Adulto 56kg",26,IF(Atletas!D120="Adulto 60kg",27,IF(Atletas!D120="Adulto 65kg",28,IF(Atletas!D120="Adulto 70kg",29,IF(Atletas!D120="Adulto 75kg",30,IF(Atletas!D120="Adulto 80kg",31,IF(Atletas!D120="Adulto 85kg",32,IF(Atletas!D120="Adulto 90kg",33,IF(Atletas!D120="Adulto 100kg",34, IF(Atletas!D120="Adulto +100kg",35,"")))))))))))))))))))))))))))))))))))))</f>
        <v/>
      </c>
      <c r="AS129" s="6" t="str">
        <f>IF(Atletas!E120="","",IF(Atletas!B120="Feminino",100,IF(Atletas!B120="Masculino",200,""))+(IF(Atletas!E120="Juvenil 44kg",1,IF(Atletas!E120="Juvenil 48kg",2,IF(Atletas!E120="Juvenil 52kg",3,IF(Atletas!E120="Juvenil 56kg",4,IF(Atletas!E120="Juvenil 60kg",5,IF(Atletas!E120="Juvenil 65kg",6,IF(Atletas!E120="Juvenil 70kg",7,IF(Atletas!E120="Juvenil 75kg",8,IF(Atletas!E120="Juvenil 82kg",9,IF(Atletas!E120="Juvenil 90kg",10,IF(Atletas!E120="Juvenil 100kg",11,IF(Atletas!E120="Adulto 48kg",12,IF(Atletas!E120="Adulto 52kg",13,IF(Atletas!E120="Adulto 56kg",14,IF(Atletas!E120="Adulto 60kg",15,IF(Atletas!E120="Adulto 65kg",16,IF(Atletas!E120="Adulto 70kg",17,IF(Atletas!E120="Adulto 75kg",18,IF(Atletas!E120="Adulto 82kg",19,IF(Atletas!E120="Adulto 90kg",20,IF(Atletas!E120="Adulto 100kg",21,IF(Atletas!E120="Adulto +100kg",22,""))))))))))))))))))))))))</f>
        <v/>
      </c>
      <c r="AX129" s="6" t="str">
        <f>IF(Atletas!F120="","",IF(Atletas!B120="Feminino",100,IF(Atletas!B120="Masculino",200,""))+(IF(Atletas!F120="Adulto 48kg",1,IF(Atletas!F120="Adulto 56kg",2,IF(Atletas!F120="Adulto 65kg",3,IF(Atletas!F120="Adulto 75kg",4,IF(Atletas!F120="Adulto +75kg",5,IF(Atletas!F120="Adulto 52kg",6,IF(Atletas!F120="Adulto 60kg",7,IF(Atletas!F120="Adulto 70kg",8,IF(Atletas!F120="Adulto 80kg",9,IF(Atletas!F120="Adulto 90kg",10,IF(Atletas!F120="Adulto +90kg",11,"")))))))))))))</f>
        <v/>
      </c>
      <c r="BC129" s="6" t="str">
        <f>IF(Atletas!G120="","",IF(Atletas!B120="Feminino",10,IF(Atletas!B120="Masculino",20,""))+(IF(Atletas!G120="Baduanjin A",1,IF(Atletas!G120="Baduanjin B",2))))</f>
        <v/>
      </c>
      <c r="BF129" s="52" t="str">
        <f>IF(Atletas!H120="","",IF(Atletas!B120="Feminino",100,IF(Atletas!B120="Masculino",200,""))+(IF(Atletas!H120="Changquan Mirim",1,IF(Atletas!H120="Nanquan Mirim",2,IF(Atletas!H120="Taijiquan Mirim",3,IF(Atletas!H120="Changquan Grupo C",4,IF(Atletas!H120="Nanquan Grupo C",5,IF(Atletas!H120="Taijiquan Grupo C",6,IF(Atletas!H120="Changquan Grupo B",7,IF(Atletas!H120="Nanquan Grupo B",8,IF(Atletas!H120="Taijiquan Grupo B",9,IF(Atletas!H120="Changquan Grupo A",10,IF(Atletas!H120="Nanquan Grupo A",11,IF(Atletas!H120="Taijiquan Grupo A",12,IF(Atletas!H120="Changquan Opcional",13,IF(Atletas!H120="Nanquan Opcional",14,IF(Atletas!H120="Taijiquan Opcional",15,IF(Atletas!H120="Changquan Adulto",16,IF(Atletas!H120="Nanquan Adulto",17,IF(Atletas!H120="Taijiquan Adulto",18,""))))))))))))))))))))</f>
        <v/>
      </c>
      <c r="BG129" s="52" t="str">
        <f>IF(Atletas!I120="","",IF(Atletas!B120="Feminino",100,IF(Atletas!B120="Masculino",200,""))+(IF(Atletas!I120="Daoshu Mirim",19,IF(Atletas!I120="Jianshu Mirim",20,IF(Atletas!I120="Nandao Mirim",21,IF(Atletas!I120="Taijijian Mirim",22,IF(Atletas!I120="Daoshu Grupo C",23,IF(Atletas!I120="Jianshu Grupo C",24,IF(Atletas!I120="Nandao Grupo C",25,IF(Atletas!I120="Taijijian Grupo C",26,IF(Atletas!I120="Daoshu Grupo B",27,IF(Atletas!I120="Jianshu Grupo B",28,IF(Atletas!I120="Nandao Grupo B",29,IF(Atletas!I120="Taijijian Grupo B",30,IF(Atletas!I120="Daoshu Grupo A",31,IF(Atletas!I120="Jianshu Grupo A",32,IF(Atletas!I120="Nandao Grupo A",33,IF(Atletas!I120="Taijijian Grupo A",34,IF(Atletas!I120="Daoshu Opcional",35,IF(Atletas!I120="Jianshu Opcional",36,IF(Atletas!I120="Nandao Opcional",37,IF(Atletas!I120="Taijijian Opcional",38,IF(Atletas!I120="Daoshu Adulto",39,IF(Atletas!I120="Jianshu Adulto",40,IF(Atletas!I120="Nandao Adulto",41,IF(Atletas!I120="Taijijian Adulto",42,""))))))))))))))))))))))))))</f>
        <v/>
      </c>
      <c r="BH129" s="52" t="str">
        <f>IF(Atletas!J120="","",IF(Atletas!B120="Feminino",100,IF(Atletas!B120="Masculino",200,""))+(IF(Atletas!J120="Gunshu Mirim",43,IF(Atletas!J120="Qiangshu Mirim",44,IF(Atletas!J120="Nangun Mirim",45,IF(Atletas!J120="Gunshu Grupo C",46,IF(Atletas!J120="Qiangshu Grupo C",47,IF(Atletas!J120="Nangun Grupo C",48,IF(Atletas!J120="Gunshu Grupo B",49,IF(Atletas!J120="Qiangshu Grupo B",50,IF(Atletas!J120="Nangun Grupo B",51,IF(Atletas!J120="Gunshu Grupo A",52,IF(Atletas!J120="Qiangshu Grupo A",53,IF(Atletas!J120="Nangun Grupo A",54,IF(Atletas!J120="Gunshu Opcional",55,IF(Atletas!J120="Qiangshu Opcional",56,IF(Atletas!J120="Nangun Opcional",57,IF(Atletas!J120="Gunshu Adulto",58,IF(Atletas!J120="Qiangshu Adulto",59,IF(Atletas!J120="Nangun Adulto",60,IF(Atletas!J120="Taijishan Grupo B",61,IF(Atletas!J120="Taijishan Grupo A",62,""))))))))))))))))))))))</f>
        <v/>
      </c>
      <c r="BM129" s="50" t="str">
        <f>IF(Atletas!K120="","",IF(Atletas!B120="Feminino",100,IF(Atletas!B120="Masculino",200,""))+(IF(Atletas!K120="Equipe 1 Grupo B",1,IF(Atletas!K120="Equipe 2 Grupo B",2,IF(Atletas!K120="Equipe 1 Grupo A",3,IF(Atletas!K120="Equipe 2 Grupo A",4,IF(Atletas!K120="Equipe 1 Adulto",5,IF(Atletas!K120="Equipe 2 Adulto",6,""))))))))</f>
        <v/>
      </c>
      <c r="BR129" s="50" t="str">
        <f>IF(Atletas!L120="","",IF(Atletas!X120&lt;&gt;"",10000,0)+(IF(Atletas!B120="Feminino",1000,IF(Atletas!B120="Masculino",2000,""))+IF(Atletas!L120="Choylayfut A",1,IF(Atletas!L120="Hunggar A",2,IF(Atletas!L120="Wuzuquan A",3,IF(Atletas!L120="Wingchun A",4,IF(Atletas!L120="Outra Mão de Sul A",5,IF(Atletas!L120="Choylayfut B",6,IF(Atletas!L120="Hunggar B",7,IF(Atletas!L120="Wuzuquan B",8,IF(Atletas!L120="Wingchun B",9,IF(Atletas!L120="Outra Mão de Sul B",10,IF(Atletas!L120="Choylayfut C",11,IF(Atletas!L120="Hunggar C",12,IF(Atletas!L120="Wuzuquan C",13,IF(Atletas!L120="Wingchun C",14,IF(Atletas!L120="Outra Mão de Sul C",15,IF(Atletas!L120="Choylayfut D",16,IF(Atletas!L120="Hunggar D",17,IF(Atletas!L120="Wuzuquan D",18,IF(Atletas!L120="Wingchun D",19,IF(Atletas!L120="Outra Mão de Sul D",20,IF(Atletas!L120="Choylayfut E",21,IF(Atletas!L120="Hunggar E",22,IF(Atletas!L120="Wuzuquan E",23,IF(Atletas!L120="Wingchun E",24,IF(Atletas!L120="Outra Mão de Sul E",25,IF(Atletas!L120="Choylayfut F",26,IF(Atletas!L120="Hunggar F",27,IF(Atletas!L120="Wuzuquan F",28,IF(Atletas!L120="Wingchun F",29,IF(Atletas!L120="Outra Mão de Sul F",30,IF(Atletas!L120="Dishuquan A",31,IF(Atletas!L120="Dishuquan B",32,IF(Atletas!L120="Dishuquan C",33,IF(Atletas!L120="Dishuquan D",34,IF(Atletas!L120="Dishuquan E",35,IF(Atletas!L120="Dishuquan F",36,""))))))))))))))))))))))))))))))))))))))</f>
        <v/>
      </c>
      <c r="BS129" s="50" t="str">
        <f>IF(Atletas!M120="","",IF(Atletas!X120&lt;&gt;"",10000,0)+(IF(Atletas!B120="Feminino",1000,IF(Atletas!B120="Masculino",2000,""))+(IF(Atletas!M120="Chaquan A",101,IF(Atletas!M120="Emeiquan A",102,IF(Atletas!M120="Fanziquan A",103,IF(Atletas!M120="Huaquan A",104,IF(Atletas!M120="Hongquan A",105,IF(Atletas!M120="Paoquan A",106,IF(Atletas!M120="Piguaquan A",107,IF(Atletas!M120="Shaolinquan A",108,IF(Atletas!M120="Tanglangquan A",109,IF(Atletas!M120="Yingzhaoquan A",110,IF(Atletas!M120="Tongbeiquan A",111,IF(Atletas!M120="Wudangquan A",112,IF(Atletas!M120="Outros Estilos A",113,IF(Atletas!M120="Chaquan B",114,IF(Atletas!M120="Emeiquan B",115,IF(Atletas!M120="Fanziquan B",116,IF(Atletas!M120="Huaquan B",117,IF(Atletas!M120="Hongquan B",118,IF(Atletas!M120="Paoquan B",119,IF(Atletas!M120="Piguaquan B",120,IF(Atletas!M120="Shaolinquan B",121,IF(Atletas!M120="Tanglangquan B",122,IF(Atletas!M120="Yingzhaoquan B",123,IF(Atletas!M120="Tongbeiquan B",124,IF(Atletas!M120="Wudangquan B",125,IF(Atletas!M120="Outros Estilos B",126,IF(Atletas!M120="Chaquan C",127,IF(Atletas!M120="Emeiquan C",128,IF(Atletas!M120="Fanziquan C",129,IF(Atletas!M120="Huaquan C",130,IF(Atletas!M120="Hongquan C",131,IF(Atletas!M120="Paoquan C",132,IF(Atletas!M120="Piguaquan C",133,IF(Atletas!M120="Shaolinquan C",134,IF(Atletas!M120="Tanglangquan C",135,IF(Atletas!M120="Yingzhaoquan C",136,IF(Atletas!M120="Tongbeiquan C",137,IF(Atletas!M120="Wudangquan C",138,IF(Atletas!M120="Outros Estilos C",139,0))))))))))))))))))))))))))))))))))))))))))</f>
        <v/>
      </c>
      <c r="BT129" s="50" t="str">
        <f>IF(Atletas!M120="","",IF(Atletas!X120&lt;&gt;"",10000,0)+(IF(Atletas!B120="Feminino",1000,IF(Atletas!B120="Masculino",2000,""))+(IF(Atletas!M120="Chaquan D",140,IF(Atletas!M120="Emeiquan D",141,IF(Atletas!M120="Fanziquan D",142,IF(Atletas!M120="Huaquan D",143,IF(Atletas!M120="Hongquan D",144,IF(Atletas!M120="Paoquan D",145,IF(Atletas!M120="Piguaquan D",146,IF(Atletas!M120="Shaolinquan D",147,IF(Atletas!M120="Tanglangquan D",148,IF(Atletas!M120="Yingzhaoquan D",149,IF(Atletas!M120="Tongbeiquan D",150,IF(Atletas!M120="Wudangquan D",151,IF(Atletas!M120="Outros Estilos D",152,IF(Atletas!M120="Chaquan E",153,IF(Atletas!M120="Emeiquan E",154,IF(Atletas!M120="Fanziquan E",155,IF(Atletas!M120="Huaquan E",156,IF(Atletas!M120="Hongquan E",157,IF(Atletas!M120="Paoquan E",158,IF(Atletas!M120="Piguaquan E",159,IF(Atletas!M120="Shaolinquan E",160,IF(Atletas!M120="Tanglangquan E",161,IF(Atletas!M120="Yingzhaoquan E",162,IF(Atletas!M120="Tongbeiquan E",163,IF(Atletas!M120="Wudangquan E",164,IF(Atletas!M120="Outros Estilos E",165,IF(Atletas!M120="Chaquan F",166,IF(Atletas!M120="Emeiquan F",167,IF(Atletas!M120="Fanziquan F",168,IF(Atletas!M120="Huaquan F",169,IF(Atletas!M120="Hongquan F",170,IF(Atletas!M120="Paoquan F",171,IF(Atletas!M120="Piguaquan F",172,IF(Atletas!M120="Shaolinquan F",173,IF(Atletas!M120="Tanglangquan F",174,IF(Atletas!M120="Yingzhaoquan F",175,IF(Atletas!M120="Tongbeiquan F",176,IF(Atletas!M120="Wudangquan F",177,IF(Atletas!M120="Outros Estilos F",178,0))))))))))))))))))))))))))))))))))))))))))</f>
        <v/>
      </c>
      <c r="BU129" s="50" t="str">
        <f>IF(Atletas!N120="","",IF(Atletas!X120&lt;&gt;"",10000,0)+(IF(Atletas!B120="Feminino",1000,IF(Atletas!B120="Masculino",2000,""))+(IF(Atletas!N120="Ditangquan A",201,IF(Atletas!N120="Houquan A",202,IF(Atletas!N120="Zuiquan A",203,IF(Atletas!N120="Ditangquan B",204,IF(Atletas!N120="Houquan B",205,IF(Atletas!N120="Zuiquan B",206,IF(Atletas!N120="Ditangquan C",207,IF(Atletas!N120="Houquan C",208,IF(Atletas!N120="Zuiquan C",209,IF(Atletas!N120="Ditangquan D",210,IF(Atletas!N120="Houquan D",211,IF(Atletas!N120="Zuiquan D",212,IF(Atletas!N120="Ditangquan E",213,IF(Atletas!N120="Houquan E",214,IF(Atletas!N120="Zuiquan E",215,IF(Atletas!N120="Ditangquan F",216,IF(Atletas!N120="Houquan F",217,IF(Atletas!N120="Zuiquan F",218,"")))))))))))))))))))))</f>
        <v/>
      </c>
      <c r="BV129" s="50" t="str">
        <f>IF(Atletas!O120="","",IF(Atletas!X120&lt;&gt;"",10000,0)+IF(Atletas!B120="Feminino",1000,IF(Atletas!B120="Masculino",2000,""))+IF(Atletas!O120="Yang A",301,IF(Atletas!O120="Chen A",302,IF(Atletas!O120="Sun A",303,IF(Atletas!O120="Wu A",304,IF(Atletas!O120="Wu-Hao A",305,IF(Atletas!O120="Outro Taijiquan A",306,IF(Atletas!O120="Yang B",307,IF(Atletas!O120="Chen B",308,IF(Atletas!O120="Sun B",309,IF(Atletas!O120="Wu B",310,IF(Atletas!O120="Wu-Hao B",311,IF(Atletas!O120="Outro Taijiquan B",312,IF(Atletas!O120="Yang C",313,IF(Atletas!O120="Chen C",314,IF(Atletas!O120="Sun C",315,IF(Atletas!O120="Wu C",316,IF(Atletas!O120="Wu-Hao C",317,IF(Atletas!O120="Outro Taijiquan C",318,IF(Atletas!O120="Yang D",319,IF(Atletas!O120="Chen D",320,IF(Atletas!O120="Sun D",321,IF(Atletas!O120="Wu D",322,IF(Atletas!O120="Wu-Hao D",323,IF(Atletas!O120="Outro Taijiquan D",324,IF(Atletas!O120="Yang E",325,IF(Atletas!O120="Chen E",326,IF(Atletas!O120="Sun E",327,IF(Atletas!O120="Wu E",328,IF(Atletas!O120="Wu-Hao E",329,IF(Atletas!O120="Outro Taijiquan E",330,IF(Atletas!O120="Yang F",331,IF(Atletas!O120="Chen F",332,IF(Atletas!O120="Sun F",333,IF(Atletas!O120="Wu F",334,IF(Atletas!O120="Wu-Hao F",335,IF(Atletas!O120="Outro Taijiquan F",336,"")))))))))))))))))))))))))))))))))))))</f>
        <v/>
      </c>
      <c r="BW129" s="50" t="str">
        <f>IF(Atletas!P120="","",IF(Atletas!X120&lt;&gt;"",10000,0)+IF(Atletas!B120="Feminino",1000,IF(Atletas!B120="Masculino",2000,""))+IF(OR(Atletas!P120="Yang 26 A",Atletas!P120="Yang 40 A"),401,IF(OR(Atletas!P120="Chen 25 A",Atletas!P120="Chen 36 A",Atletas!P120="Chen 56 A"),402,IF(Atletas!P120="Sun 73 A",403,IF(Atletas!P120="Wu 45 A",404,IF(Atletas!P120="Wu-Hao 46 A",405,IF(OR(Atletas!P120="Taijiquan 16 A",Atletas!P120="Taijiquan 24 A",Atletas!P120="Taijiquan 32 A",Atletas!P120="Taijiquan 42 A"),406,IF(OR(Atletas!P120="Yang 26 B",Atletas!P120="Yang 40 B"),407,IF(OR(Atletas!P120="Chen 25 B",Atletas!P120="Chen 36 B",Atletas!P120="Chen 56 B"),408,IF(Atletas!P120="Sun 73 B",409,IF(Atletas!P120="Wu 45 B",410,IF(Atletas!P120="Wu-Hao 46 B",411,IF(OR(Atletas!P120="Taijiquan 16 B",Atletas!P120="Taijiquan 24 B",Atletas!P120="Taijiquan 32 B",Atletas!P120="Taijiquan 42 B"),412,IF(OR(Atletas!P120="Yang 26 C",Atletas!P120="Yang 40 C"),413,IF(OR(Atletas!P120="Chen 25 C",Atletas!P120="Chen 36 C",Atletas!P120="Chen 56 C"),414,IF(Atletas!P120="Sun 73 C",415,IF(Atletas!P120="Wu 45 C",416,IF(Atletas!P120="Wu-Hao 46 C",417,IF(OR(Atletas!P120="Taijiquan 16 C",Atletas!P120="Taijiquan 24 C",Atletas!P120="Taijiquan 32 C",Atletas!P120="Taijiquan 42 C"),418,0)))))))))))))))))))</f>
        <v/>
      </c>
      <c r="BX129" s="50" t="str">
        <f>IF(Atletas!P120="","",IF(Atletas!X120&lt;&gt;"",10000,0)+IF(Atletas!B120="Feminino",1000,IF(Atletas!B120="Masculino",2000,""))+IF(OR(Atletas!P120="Yang 26 D",Atletas!P120="Yang 40 D"),419,IF(OR(Atletas!P120="Chen 25 D",Atletas!P120="Chen 36 D",Atletas!P120="Chen 56 D"),420,IF(Atletas!P120="Sun 73 D",421,IF(Atletas!P120="Wu 45 D",422,IF(Atletas!P120="Wu-Hao 46 D",423,IF(OR(Atletas!P120="Taijiquan 16 D",Atletas!P120="Taijiquan 24 D",Atletas!P120="Taijiquan 32 D",Atletas!P120="Taijiquan 42 D"),424,IF(OR(Atletas!P120="Yang 26 E",Atletas!P120="Yang 40 E"),425,IF(OR(Atletas!P120="Chen 25 E",Atletas!P120="Chen 36 E",Atletas!P120="Chen 56 E"),426,IF(Atletas!P120="Sun 73 E",427,IF(Atletas!P120="Wu 45 E",428,IF(Atletas!P120="Wu-Hao 46 E",429,IF(OR(Atletas!P120="Taijiquan 16 E",Atletas!P120="Taijiquan 24 E",Atletas!P120="Taijiquan 32 E",Atletas!P120="Taijiquan 42 E"),430,IF(OR(Atletas!P120="Yang 26 F",Atletas!P120="Yang 40 F"),431,IF(OR(Atletas!P120="Chen 25 F",Atletas!P120="Chen 36 F",Atletas!P120="Chen 56 F"),432,IF(Atletas!P120="Sun 73 F",433,IF(Atletas!P120="Wu 45 F",434,IF(Atletas!P120="Wu-Hao 46 F",435,IF(OR(Atletas!P120="Taijiquan 16 F",Atletas!P120="Taijiquan 24 F",Atletas!P120="Taijiquan 32 F",Atletas!P120="Taijiquan 42 F"),436,0)))))))))))))))))))</f>
        <v/>
      </c>
      <c r="BY129" s="50" t="str">
        <f>IF(Atletas!Q120="","",IF(Atletas!X120&lt;&gt;"",10000,0)+IF(Atletas!B120="Feminino",1000,IF(Atletas!B120="Masculino",2000,""))+IF(Atletas!Q120="Xingyiquan A",501,IF(Atletas!Q120="Baguazhang A",502,IF(Atletas!Q120="Outro Estilo Interno A",503,IF(Atletas!Q120="Xingyiquan B",504,IF(Atletas!Q120="Baguazhang B",505,IF(Atletas!Q120="Outro Estilo Interno B",506,IF(Atletas!Q120="Xingyiquan C",507,IF(Atletas!Q120="Baguazhang C",508,IF(Atletas!Q120="Outro Estilo Interno C",509,IF(Atletas!Q120="Xingyiquan D",510,IF(Atletas!Q120="Baguazhang D",511,IF(Atletas!Q120="Outro Estilo Interno D",512,IF(Atletas!Q120="Xingyiquan E",513,IF(Atletas!Q120="Baguazhang E",514,IF(Atletas!Q120="Outro Estilo Interno E",515,IF(Atletas!Q120="Xingyiquan F",516,IF(Atletas!Q120="Baguazhang F",517,IF(Atletas!Q120="Outro Estilo Interno F",518, "")))))))))))))))))))</f>
        <v/>
      </c>
      <c r="BZ129" s="50" t="str">
        <f>IF(Atletas!R120="","",IF(Atletas!X120&lt;&gt;"",10000,0)+IF(Atletas!B120="Feminino",1000,IF(Atletas!B120="Masculino",2000,""))+IF(Atletas!R120="Dao A",601,IF(Atletas!R120="Jian A",602,IF(Atletas!R120="Bishou A",603,IF(Atletas!R120="Shanzi A",604,IF(Atletas!R120="Outra Arma Curta A",605,IF(Atletas!R120="Dao B",606,IF(Atletas!R120="Jian B",607,IF(Atletas!R120="Bishou B",608,IF(Atletas!R120="Shanzi B",609,IF(Atletas!R120="Outra Arma Curta B",610,IF(Atletas!R120="Dao C",611,IF(Atletas!R120="Jian C",612,IF(Atletas!R120="Bishou C",613,IF(Atletas!R120="Shanzi C",614,IF(Atletas!R120="Outra Arma Curta C",615,IF(Atletas!R120="Dao D",616,IF(Atletas!R120="Jian D",617,IF(Atletas!R120="Bishou D",618,IF(Atletas!R120="Shanzi D",619,IF(Atletas!R120="Outra Arma Curta D",620,IF(Atletas!R120="Dao E",621,IF(Atletas!R120="Jian E",622,IF(Atletas!R120="Bishou E",623,IF(Atletas!R120="Shanzi E",624,IF(Atletas!R120="Outra Arma Curta E",625,IF(Atletas!R120="Dao F",626,IF(Atletas!R120="Jian F",627,IF(Atletas!R120="Bishou F",628,IF(Atletas!R120="Shanzi F",629,IF(Atletas!R120="Outra Arma Curta F",630, "")))))))))))))))))))))))))))))))</f>
        <v/>
      </c>
      <c r="CA129" s="50" t="str">
        <f>IF(Atletas!S120="","",IF(Atletas!X120&lt;&gt;"",10000,0)+IF(Atletas!B120="Feminino",1000,IF(Atletas!B120="Masculino",2000,""))+IF(Atletas!S120="Gun A",701,IF(Atletas!S120="Qiang A",702,IF(Atletas!S120="Pudao / Guandao A",703,IF(Atletas!S120="Outra Arma Longa A",704,IF(Atletas!S120="Gun B",705,IF(Atletas!S120="Qiang B",706,IF(Atletas!S120="Pudao / Guandao B",707,IF(Atletas!S120="Outra Arma Longa B",708,IF(Atletas!S120="Gun C",709,IF(Atletas!S120="Qiang C",710,IF(Atletas!S120="Pudao / Guandao C",711,IF(Atletas!S120="Outra Arma Longa C",712,IF(Atletas!S120="Gun D",713,IF(Atletas!S120="Qiang D",714,IF(Atletas!S120="Pudao / Guandao D",715,IF(Atletas!S120="Outra Arma Longa D",716,IF(Atletas!S120="Gun E",717,IF(Atletas!S120="Qiang E",718,IF(Atletas!S120="Pudao / Guandao E",719,IF(Atletas!S120="Outra Arma Longa E",720,IF(Atletas!S120="Gun F",721,IF(Atletas!S120="Qiang F",722,IF(Atletas!S120="Pudao / Guandao F",723,IF(Atletas!S120="Outra Arma Longa F",724,"")))))))))))))))))))))))))</f>
        <v/>
      </c>
      <c r="CB129" s="50" t="str">
        <f>IF(Atletas!T120="","",IF(Atletas!X120&lt;&gt;"",10000,0)+IF(Atletas!B120="Feminino",1000,IF(Atletas!B120="Masculino",2000,""))+IF(Atletas!T120="Outra Arma Dupla A",801,IF(Atletas!T120="Arma Maleável A",802,IF(Atletas!T120="Outra Arma Dupla B",803,IF(Atletas!T120="Arma Maleável B",804,IF(Atletas!T120="Outra Arma Dupla C",805,IF(Atletas!T120="Arma Maleável C",806,IF(Atletas!T120="Outra Arma Dupla D",807,IF(Atletas!T120="Arma Maleável D",808,IF(Atletas!T120="Outra Arma Dupla E",809,IF(Atletas!T120="Arma Maleável E",810,IF(Atletas!T120="Outra Arma Dupla F",811,IF(Atletas!T120="Arma Maleável F",812,IF(Atletas!T120="Shuangdao A",813,IF(Atletas!T120="Shuangdao B",814,IF(Atletas!T120="Shuangdao C",815,IF(Atletas!T120="Shuangdao D",816,IF(Atletas!T120="Shuangdao E",817,IF(Atletas!T120="Shuangdao F",818,"")))))))))))))))))))</f>
        <v/>
      </c>
      <c r="CC129" s="50" t="str">
        <f>IF(Atletas!U120="","",IF(Atletas!X120&lt;&gt;"",10000,0)+IF(Atletas!B120="Feminino",1000,IF(Atletas!B120="Masculino",2000,""))+IF(OR(Atletas!U120="Taijijian Yang A",Atletas!U120="Taijijian Yang Standard A"),901,IF(OR(Atletas!U120="Taijijian Chen A", Atletas!U120="Taijijian Chen Standard A"),902,IF(Atletas!U120="Taijijian Sun A",903,IF(Atletas!U120="Taijijian Wu A",904,IF(Atletas!U120="Taijijian Wu-Hao A",905,IF(OR(Atletas!U120="Taijijian 32 A",Atletas!U120="Taijijian 42 A"),906,IF(OR(Atletas!U120="Taijijian Yang B",Atletas!U120="Taijijian Yang Standard B"),907,IF(OR(Atletas!U120="Taijijian Chen B", Atletas!U120="Taijijian Chen Standard B"),908,IF(Atletas!U120="Taijijian Sun B",909,IF(Atletas!U120="Taijijian Wu B",910,IF(Atletas!U120="Taijijian Wu-Hao B",911,IF(OR(Atletas!U120="Taijijian 32 B",Atletas!U120="Taijijian 42 B"),912,IF(OR(Atletas!U120="Taijijian Yang C",Atletas!U120="Taijijian Yang Standard C"),913,IF(OR(Atletas!U120="Taijijian Chen C", Atletas!U120="Taijijian Chen Standard C"),914,IF(Atletas!U120="Taijijian Sun C",915,IF(Atletas!U120="Taijijian Wu C",916,IF(Atletas!U120="Taijijian Wu-Hao C",917,IF(OR(Atletas!U120="Taijijian 32 C",Atletas!U120="Taijijian 42 C"),918,IF(OR(Atletas!U120="Taijijian Yang D",Atletas!U120="Taijijian Yang Standard D"),919,IF(OR(Atletas!U120="Taijijian Chen D", Atletas!U120="Taijijian Chen Standard D"),920,IF(Atletas!U120="Taijijian Sun D",921,IF(Atletas!U120="Taijijian Wu D",922,IF(Atletas!U120="Taijijian Wu-Hao D",923,IF(OR(Atletas!U120="Taijijian 32 D",Atletas!U120="Taijijian 42 D"),924,IF(OR(Atletas!U120="Taijijian Yang E",Atletas!U120="Taijijian Yang Standard E"),925,IF(OR(Atletas!U120="Taijijian Chen E", Atletas!U120="Taijijian Chen Standard E"),926,IF(Atletas!U120="Taijijian Sun E",927,IF(Atletas!U120="Taijijian Wu E",928,IF(Atletas!U120="Taijijian Wu-Hao E",929,IF(OR(Atletas!U120="Taijijian 32 E",Atletas!U120="Taijijian 42 E"),930,IF(OR(Atletas!U120="Taijijian Yang F",Atletas!U120="Taijijian Yang Standard F"),931,IF(OR(Atletas!U120="Taijijian Chen F", Atletas!U120="Taijijian Chen Standard F"),932,IF(Atletas!U120="Taijijian Sun F",933,IF(Atletas!U120="Taijijian Wu F",934,IF(Atletas!U120="Taijijian Wu-Hao F",935,IF(OR(Atletas!U120="Taijijian 32 F",Atletas!U120="Taijijian 42 F"),936,"")))))))))))))))))))))))))))))))))))))</f>
        <v/>
      </c>
      <c r="CD129" s="50" t="str">
        <f>IF(Atletas!V120="","",IF(Atletas!X120&lt;&gt;"",10000,0)+IF(Atletas!B120="Feminino",1000,IF(Atletas!B120="Masculino",2000,""))+IF(Atletas!V120="Taijidao A",937,IF(Atletas!V120="TaijiShanzi A",938,IF(Atletas!V120="Taijiqiang A",939,IF(Atletas!V120="Bagua de Arma A",940,IF(Atletas!V120="Xingyi de Arma A",941,IF(Atletas!V120="Taijidao B",942,IF(Atletas!V120="TaijiShanzi B",943,IF(Atletas!V120="Taijiqiang B",944,IF(Atletas!V120="Bagua de Arma B",945,IF(Atletas!V120="Xingyi de Arma B",946,IF(Atletas!V120="Taijidao C",947,IF(Atletas!V120="TaijiShanzi C",948,IF(Atletas!V120="Taijiqiang C",949,IF(Atletas!V120="Bagua de Arma C",950,IF(Atletas!V120="Xingyi de Arma C",951,IF(Atletas!V120="Taijidao D",952,IF(Atletas!V120="TaijiShanzi D",953,IF(Atletas!V120="Taijiqiang D",954,IF(Atletas!V120="Bagua de Arma D",955,IF(Atletas!V120="Xingyi de Arma D",956,IF(Atletas!V120="Taijidao E",957,IF(Atletas!V120="TaijiShanzi E",958,IF(Atletas!V120="Taijiqiang E",959,IF(Atletas!V120="Bagua de Arma E",960,IF(Atletas!V120="Xingyi de Arma E",961,IF(Atletas!V120="Taijidao F",962,IF(Atletas!V120="TaijiShanzi F",963,IF(Atletas!V120="Taijiqiang F",964,IF(Atletas!V120="Bagua de Arma F",965,IF(Atletas!V120="Xingyi de Arma F",966,"")))))))))))))))))))))))))))))))</f>
        <v/>
      </c>
      <c r="CE129" s="66" t="str">
        <f>IF(CF129&lt;&gt;"","Zuiquan C","")</f>
        <v/>
      </c>
      <c r="CF129" s="66" t="str">
        <f>IF(COUNTIF(BR:CD,1209)&gt;0,COUNTIF(BR:CD,1209),"")</f>
        <v/>
      </c>
      <c r="CG129" s="66" t="str">
        <f>IF(CH129&lt;&gt;"","Zuiquan C","")</f>
        <v/>
      </c>
      <c r="CH129" s="66" t="str">
        <f>IF(COUNTIF(BR:CD,2209)&gt;0,COUNTIF(BR:CD,2209),"")</f>
        <v/>
      </c>
      <c r="CI129" s="66" t="str">
        <f>IF(CJ129&lt;&gt;"","Zuiquan E","")</f>
        <v/>
      </c>
      <c r="CJ129" s="66" t="str">
        <f>IF(COUNTIF(BR:CD,11215)&gt;0,COUNTIF(BR:CD,11215),"")</f>
        <v/>
      </c>
      <c r="CK129" s="66" t="str">
        <f>IF(CL129&lt;&gt;"","Zuiquan E","")</f>
        <v/>
      </c>
      <c r="CL129" s="66" t="str">
        <f>IF(COUNTIF(BR:CD,12215)&gt;0,COUNTIF(BR:CD,12215),"")</f>
        <v/>
      </c>
      <c r="CM129" s="50" t="str">
        <f xml:space="preserve"> IF(Atletas!W120="","",IF(Atletas!W120="Duilian de Mãos BC - Equipe 1",1,IF(Atletas!W120="Duilian de Mãos BC - Equipe 2",2,IF(Atletas!W120="Duilian de Armas BC - Equipe 1",3,IF(Atletas!W120="Duilian de Armas BC - Equipe 2",4,IF(Atletas!W120="Duilian de Mãos DE - Equipe 1",5,IF(Atletas!W120="Duilian de Mãos DE - Equipe 2",6,IF(Atletas!W120="Duilian de Armas DE - Equipe 1",7,IF(Atletas!W120="Duilian de Armas DE - Equipe 2",8,IF(Atletas!W120="Duilian de Tuishou - Equipe 1",9,IF(Atletas!W120="Duilian de Tuishou - Equipe 2",10,IF(Atletas!W120="Grupo Externo ABC - Equipe 1",11,IF(Atletas!W120="Grupo Externo ABC - Equipe 2",12,IF(Atletas!W120="Grupo Interno ABC - Equipe 1",13,IF(Atletas!W120="Grupo Interno ABC - Equipe 2",14,IF(Atletas!W120="Grupo Externo DEF - Equipe 1",15,IF(Atletas!W120="Grupo Externo DEF - Equipe 2",16,IF(Atletas!W120="Grupo Interno DEF - Equipe 1",17,IF(Atletas!W120="Grupo Interno DEF - Equipe 2",18,"")))))))))))))))))))</f>
        <v/>
      </c>
    </row>
    <row r="130" spans="2:91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 t="str">
        <f t="array" ref="Z130">IFERROR(INDEX(CE$7:CE$348,SMALL(IF(CE$7:CE$348&lt;&gt;"",ROW(CE$7:CE$348)-ROW(CE$7)+1),ROWS(CE$7:CE129))),"")</f>
        <v/>
      </c>
      <c r="AA130" s="3" t="str">
        <f t="array" ref="AA130">IFERROR(INDEX(CF$7:CF$348,SMALL(IF(CF$7:CF$348&lt;&gt;"",ROW(CF$7:CF$348)-ROW(CF$7)+1),ROWS(CF$7:CF129))),"")</f>
        <v/>
      </c>
      <c r="AB130" s="3" t="str">
        <f t="array" ref="AB130">IFERROR(INDEX(CG$7:CG$348,SMALL(IF(CG$7:CG$348&lt;&gt;"",ROW(CG$7:CG$348)-ROW(CG$7)+1),ROWS(CG$7:CG129))),"")</f>
        <v/>
      </c>
      <c r="AC130" s="3" t="str">
        <f t="array" ref="AC130">IFERROR(INDEX(CH$7:CH$348,SMALL(IF(CH$7:CH$348&lt;&gt;"",ROW(CH$7:CH$348)-ROW(CH$7)+1),ROWS(CH$7:CH129))),"")</f>
        <v/>
      </c>
      <c r="AD130" s="3" t="str">
        <f t="array" ref="AD130">IFERROR(INDEX(CI$7:CI$377,SMALL(IF(CI$7:CI$377&lt;&gt;"",ROW(CI$7:CI$377)-ROW(CI$7)+1),ROWS(CI$7:CI129))),"")</f>
        <v/>
      </c>
      <c r="AE130" s="3" t="str">
        <f t="array" ref="AE130">IFERROR(INDEX(CJ$7:CJ$378,SMALL(IF(CJ$7:CJ$378&lt;&gt;"",ROW(CJ$7:CJ$378)-ROW(CJ$7)+1),ROWS(CJ$7:CJ129))),"")</f>
        <v/>
      </c>
      <c r="AF130" s="3" t="str">
        <f t="array" ref="AF130">IFERROR(INDEX(CK$7:CK$378,SMALL(IF(CK$7:CK$378&lt;&gt;"",ROW(CK$7:CK$378)-ROW(CK$7)+1),ROWS(CK$7:CK129))),"")</f>
        <v/>
      </c>
      <c r="AG130" s="3" t="str">
        <f t="array" ref="AG130">IFERROR(INDEX(CL$7:CL$378,SMALL(IF(CL$7:CL$378&lt;&gt;"",ROW(CL$7:CL$378)-ROW(CL$7)+1),ROWS(CL$7:CL129))),"")</f>
        <v/>
      </c>
      <c r="AH130" s="3"/>
      <c r="AI130" s="3"/>
      <c r="AJ130" s="3"/>
      <c r="AK130" s="3"/>
      <c r="AL130" s="3"/>
      <c r="AM130" s="3"/>
      <c r="AN130" s="52" t="str">
        <f>IF(Atletas!D121="","",IF(Atletas!B121="Feminino",100,IF(Atletas!B121="Masculino",200,""))+(IF(Atletas!D121="Kids 30kg",1,IF(Atletas!D121="Kids 32kg",2, IF(Atletas!D121="Kids 34kg",3,IF(Atletas!D121="Kids 36kg",4,IF(Atletas!D121="Kids 39kg",5,IF(Atletas!D121="Kids 42kg",6,IF(Atletas!D121="Kids 45kg",7, IF(Atletas!D121="Infantil 39kg",8,IF(Atletas!D121="Infantil 42kg",9,IF(Atletas!D121="Infantil 45kg",10,IF(Atletas!D121="Infantil 48kg",11,IF(Atletas!D121="Infantil 52kg",12,IF(Atletas!D121="Infantil 56kg",13,IF(Atletas!D121="Infantil 60kg",14,IF(Atletas!D121="Juvenil 48kg",15,IF(Atletas!D121="Juvenil 52kg",16,IF(Atletas!D121="Juvenil 56kg",17,IF(Atletas!D121="Juvenil 60kg",18,IF(Atletas!D121="Juvenil 65kg",19,IF(Atletas!D121="Juvenil 70kg",20,IF(Atletas!D121="Juvenil 75kg",21,IF(Atletas!D121="Juvenil 80kg",22, IF(Atletas!D121="Juvenil 85kg",23,IF(Atletas!D121="Adulto 48kg",24,IF(Atletas!D121="Adulto 52kg",25,IF(Atletas!D121="Adulto 56kg",26,IF(Atletas!D121="Adulto 60kg",27,IF(Atletas!D121="Adulto 65kg",28,IF(Atletas!D121="Adulto 70kg",29,IF(Atletas!D121="Adulto 75kg",30,IF(Atletas!D121="Adulto 80kg",31,IF(Atletas!D121="Adulto 85kg",32,IF(Atletas!D121="Adulto 90kg",33,IF(Atletas!D121="Adulto 100kg",34, IF(Atletas!D121="Adulto +100kg",35,"")))))))))))))))))))))))))))))))))))))</f>
        <v/>
      </c>
      <c r="AS130" s="6" t="str">
        <f>IF(Atletas!E121="","",IF(Atletas!B121="Feminino",100,IF(Atletas!B121="Masculino",200,""))+(IF(Atletas!E121="Juvenil 44kg",1,IF(Atletas!E121="Juvenil 48kg",2,IF(Atletas!E121="Juvenil 52kg",3,IF(Atletas!E121="Juvenil 56kg",4,IF(Atletas!E121="Juvenil 60kg",5,IF(Atletas!E121="Juvenil 65kg",6,IF(Atletas!E121="Juvenil 70kg",7,IF(Atletas!E121="Juvenil 75kg",8,IF(Atletas!E121="Juvenil 82kg",9,IF(Atletas!E121="Juvenil 90kg",10,IF(Atletas!E121="Juvenil 100kg",11,IF(Atletas!E121="Adulto 48kg",12,IF(Atletas!E121="Adulto 52kg",13,IF(Atletas!E121="Adulto 56kg",14,IF(Atletas!E121="Adulto 60kg",15,IF(Atletas!E121="Adulto 65kg",16,IF(Atletas!E121="Adulto 70kg",17,IF(Atletas!E121="Adulto 75kg",18,IF(Atletas!E121="Adulto 82kg",19,IF(Atletas!E121="Adulto 90kg",20,IF(Atletas!E121="Adulto 100kg",21,IF(Atletas!E121="Adulto +100kg",22,""))))))))))))))))))))))))</f>
        <v/>
      </c>
      <c r="AX130" s="6" t="str">
        <f>IF(Atletas!F121="","",IF(Atletas!B121="Feminino",100,IF(Atletas!B121="Masculino",200,""))+(IF(Atletas!F121="Adulto 48kg",1,IF(Atletas!F121="Adulto 56kg",2,IF(Atletas!F121="Adulto 65kg",3,IF(Atletas!F121="Adulto 75kg",4,IF(Atletas!F121="Adulto +75kg",5,IF(Atletas!F121="Adulto 52kg",6,IF(Atletas!F121="Adulto 60kg",7,IF(Atletas!F121="Adulto 70kg",8,IF(Atletas!F121="Adulto 80kg",9,IF(Atletas!F121="Adulto 90kg",10,IF(Atletas!F121="Adulto +90kg",11,"")))))))))))))</f>
        <v/>
      </c>
      <c r="BC130" s="6" t="str">
        <f>IF(Atletas!G121="","",IF(Atletas!B121="Feminino",10,IF(Atletas!B121="Masculino",20,""))+(IF(Atletas!G121="Baduanjin A",1,IF(Atletas!G121="Baduanjin B",2))))</f>
        <v/>
      </c>
      <c r="BF130" s="52" t="str">
        <f>IF(Atletas!H121="","",IF(Atletas!B121="Feminino",100,IF(Atletas!B121="Masculino",200,""))+(IF(Atletas!H121="Changquan Mirim",1,IF(Atletas!H121="Nanquan Mirim",2,IF(Atletas!H121="Taijiquan Mirim",3,IF(Atletas!H121="Changquan Grupo C",4,IF(Atletas!H121="Nanquan Grupo C",5,IF(Atletas!H121="Taijiquan Grupo C",6,IF(Atletas!H121="Changquan Grupo B",7,IF(Atletas!H121="Nanquan Grupo B",8,IF(Atletas!H121="Taijiquan Grupo B",9,IF(Atletas!H121="Changquan Grupo A",10,IF(Atletas!H121="Nanquan Grupo A",11,IF(Atletas!H121="Taijiquan Grupo A",12,IF(Atletas!H121="Changquan Opcional",13,IF(Atletas!H121="Nanquan Opcional",14,IF(Atletas!H121="Taijiquan Opcional",15,IF(Atletas!H121="Changquan Adulto",16,IF(Atletas!H121="Nanquan Adulto",17,IF(Atletas!H121="Taijiquan Adulto",18,""))))))))))))))))))))</f>
        <v/>
      </c>
      <c r="BG130" s="52" t="str">
        <f>IF(Atletas!I121="","",IF(Atletas!B121="Feminino",100,IF(Atletas!B121="Masculino",200,""))+(IF(Atletas!I121="Daoshu Mirim",19,IF(Atletas!I121="Jianshu Mirim",20,IF(Atletas!I121="Nandao Mirim",21,IF(Atletas!I121="Taijijian Mirim",22,IF(Atletas!I121="Daoshu Grupo C",23,IF(Atletas!I121="Jianshu Grupo C",24,IF(Atletas!I121="Nandao Grupo C",25,IF(Atletas!I121="Taijijian Grupo C",26,IF(Atletas!I121="Daoshu Grupo B",27,IF(Atletas!I121="Jianshu Grupo B",28,IF(Atletas!I121="Nandao Grupo B",29,IF(Atletas!I121="Taijijian Grupo B",30,IF(Atletas!I121="Daoshu Grupo A",31,IF(Atletas!I121="Jianshu Grupo A",32,IF(Atletas!I121="Nandao Grupo A",33,IF(Atletas!I121="Taijijian Grupo A",34,IF(Atletas!I121="Daoshu Opcional",35,IF(Atletas!I121="Jianshu Opcional",36,IF(Atletas!I121="Nandao Opcional",37,IF(Atletas!I121="Taijijian Opcional",38,IF(Atletas!I121="Daoshu Adulto",39,IF(Atletas!I121="Jianshu Adulto",40,IF(Atletas!I121="Nandao Adulto",41,IF(Atletas!I121="Taijijian Adulto",42,""))))))))))))))))))))))))))</f>
        <v/>
      </c>
      <c r="BH130" s="52" t="str">
        <f>IF(Atletas!J121="","",IF(Atletas!B121="Feminino",100,IF(Atletas!B121="Masculino",200,""))+(IF(Atletas!J121="Gunshu Mirim",43,IF(Atletas!J121="Qiangshu Mirim",44,IF(Atletas!J121="Nangun Mirim",45,IF(Atletas!J121="Gunshu Grupo C",46,IF(Atletas!J121="Qiangshu Grupo C",47,IF(Atletas!J121="Nangun Grupo C",48,IF(Atletas!J121="Gunshu Grupo B",49,IF(Atletas!J121="Qiangshu Grupo B",50,IF(Atletas!J121="Nangun Grupo B",51,IF(Atletas!J121="Gunshu Grupo A",52,IF(Atletas!J121="Qiangshu Grupo A",53,IF(Atletas!J121="Nangun Grupo A",54,IF(Atletas!J121="Gunshu Opcional",55,IF(Atletas!J121="Qiangshu Opcional",56,IF(Atletas!J121="Nangun Opcional",57,IF(Atletas!J121="Gunshu Adulto",58,IF(Atletas!J121="Qiangshu Adulto",59,IF(Atletas!J121="Nangun Adulto",60,IF(Atletas!J121="Taijishan Grupo B",61,IF(Atletas!J121="Taijishan Grupo A",62,""))))))))))))))))))))))</f>
        <v/>
      </c>
      <c r="BM130" s="50" t="str">
        <f>IF(Atletas!K121="","",IF(Atletas!B121="Feminino",100,IF(Atletas!B121="Masculino",200,""))+(IF(Atletas!K121="Equipe 1 Grupo B",1,IF(Atletas!K121="Equipe 2 Grupo B",2,IF(Atletas!K121="Equipe 1 Grupo A",3,IF(Atletas!K121="Equipe 2 Grupo A",4,IF(Atletas!K121="Equipe 1 Adulto",5,IF(Atletas!K121="Equipe 2 Adulto",6,""))))))))</f>
        <v/>
      </c>
      <c r="BR130" s="50" t="str">
        <f>IF(Atletas!L121="","",IF(Atletas!X121&lt;&gt;"",10000,0)+(IF(Atletas!B121="Feminino",1000,IF(Atletas!B121="Masculino",2000,""))+IF(Atletas!L121="Choylayfut A",1,IF(Atletas!L121="Hunggar A",2,IF(Atletas!L121="Wuzuquan A",3,IF(Atletas!L121="Wingchun A",4,IF(Atletas!L121="Outra Mão de Sul A",5,IF(Atletas!L121="Choylayfut B",6,IF(Atletas!L121="Hunggar B",7,IF(Atletas!L121="Wuzuquan B",8,IF(Atletas!L121="Wingchun B",9,IF(Atletas!L121="Outra Mão de Sul B",10,IF(Atletas!L121="Choylayfut C",11,IF(Atletas!L121="Hunggar C",12,IF(Atletas!L121="Wuzuquan C",13,IF(Atletas!L121="Wingchun C",14,IF(Atletas!L121="Outra Mão de Sul C",15,IF(Atletas!L121="Choylayfut D",16,IF(Atletas!L121="Hunggar D",17,IF(Atletas!L121="Wuzuquan D",18,IF(Atletas!L121="Wingchun D",19,IF(Atletas!L121="Outra Mão de Sul D",20,IF(Atletas!L121="Choylayfut E",21,IF(Atletas!L121="Hunggar E",22,IF(Atletas!L121="Wuzuquan E",23,IF(Atletas!L121="Wingchun E",24,IF(Atletas!L121="Outra Mão de Sul E",25,IF(Atletas!L121="Choylayfut F",26,IF(Atletas!L121="Hunggar F",27,IF(Atletas!L121="Wuzuquan F",28,IF(Atletas!L121="Wingchun F",29,IF(Atletas!L121="Outra Mão de Sul F",30,IF(Atletas!L121="Dishuquan A",31,IF(Atletas!L121="Dishuquan B",32,IF(Atletas!L121="Dishuquan C",33,IF(Atletas!L121="Dishuquan D",34,IF(Atletas!L121="Dishuquan E",35,IF(Atletas!L121="Dishuquan F",36,""))))))))))))))))))))))))))))))))))))))</f>
        <v/>
      </c>
      <c r="BS130" s="50" t="str">
        <f>IF(Atletas!M121="","",IF(Atletas!X121&lt;&gt;"",10000,0)+(IF(Atletas!B121="Feminino",1000,IF(Atletas!B121="Masculino",2000,""))+(IF(Atletas!M121="Chaquan A",101,IF(Atletas!M121="Emeiquan A",102,IF(Atletas!M121="Fanziquan A",103,IF(Atletas!M121="Huaquan A",104,IF(Atletas!M121="Hongquan A",105,IF(Atletas!M121="Paoquan A",106,IF(Atletas!M121="Piguaquan A",107,IF(Atletas!M121="Shaolinquan A",108,IF(Atletas!M121="Tanglangquan A",109,IF(Atletas!M121="Yingzhaoquan A",110,IF(Atletas!M121="Tongbeiquan A",111,IF(Atletas!M121="Wudangquan A",112,IF(Atletas!M121="Outros Estilos A",113,IF(Atletas!M121="Chaquan B",114,IF(Atletas!M121="Emeiquan B",115,IF(Atletas!M121="Fanziquan B",116,IF(Atletas!M121="Huaquan B",117,IF(Atletas!M121="Hongquan B",118,IF(Atletas!M121="Paoquan B",119,IF(Atletas!M121="Piguaquan B",120,IF(Atletas!M121="Shaolinquan B",121,IF(Atletas!M121="Tanglangquan B",122,IF(Atletas!M121="Yingzhaoquan B",123,IF(Atletas!M121="Tongbeiquan B",124,IF(Atletas!M121="Wudangquan B",125,IF(Atletas!M121="Outros Estilos B",126,IF(Atletas!M121="Chaquan C",127,IF(Atletas!M121="Emeiquan C",128,IF(Atletas!M121="Fanziquan C",129,IF(Atletas!M121="Huaquan C",130,IF(Atletas!M121="Hongquan C",131,IF(Atletas!M121="Paoquan C",132,IF(Atletas!M121="Piguaquan C",133,IF(Atletas!M121="Shaolinquan C",134,IF(Atletas!M121="Tanglangquan C",135,IF(Atletas!M121="Yingzhaoquan C",136,IF(Atletas!M121="Tongbeiquan C",137,IF(Atletas!M121="Wudangquan C",138,IF(Atletas!M121="Outros Estilos C",139,0))))))))))))))))))))))))))))))))))))))))))</f>
        <v/>
      </c>
      <c r="BT130" s="50" t="str">
        <f>IF(Atletas!M121="","",IF(Atletas!X121&lt;&gt;"",10000,0)+(IF(Atletas!B121="Feminino",1000,IF(Atletas!B121="Masculino",2000,""))+(IF(Atletas!M121="Chaquan D",140,IF(Atletas!M121="Emeiquan D",141,IF(Atletas!M121="Fanziquan D",142,IF(Atletas!M121="Huaquan D",143,IF(Atletas!M121="Hongquan D",144,IF(Atletas!M121="Paoquan D",145,IF(Atletas!M121="Piguaquan D",146,IF(Atletas!M121="Shaolinquan D",147,IF(Atletas!M121="Tanglangquan D",148,IF(Atletas!M121="Yingzhaoquan D",149,IF(Atletas!M121="Tongbeiquan D",150,IF(Atletas!M121="Wudangquan D",151,IF(Atletas!M121="Outros Estilos D",152,IF(Atletas!M121="Chaquan E",153,IF(Atletas!M121="Emeiquan E",154,IF(Atletas!M121="Fanziquan E",155,IF(Atletas!M121="Huaquan E",156,IF(Atletas!M121="Hongquan E",157,IF(Atletas!M121="Paoquan E",158,IF(Atletas!M121="Piguaquan E",159,IF(Atletas!M121="Shaolinquan E",160,IF(Atletas!M121="Tanglangquan E",161,IF(Atletas!M121="Yingzhaoquan E",162,IF(Atletas!M121="Tongbeiquan E",163,IF(Atletas!M121="Wudangquan E",164,IF(Atletas!M121="Outros Estilos E",165,IF(Atletas!M121="Chaquan F",166,IF(Atletas!M121="Emeiquan F",167,IF(Atletas!M121="Fanziquan F",168,IF(Atletas!M121="Huaquan F",169,IF(Atletas!M121="Hongquan F",170,IF(Atletas!M121="Paoquan F",171,IF(Atletas!M121="Piguaquan F",172,IF(Atletas!M121="Shaolinquan F",173,IF(Atletas!M121="Tanglangquan F",174,IF(Atletas!M121="Yingzhaoquan F",175,IF(Atletas!M121="Tongbeiquan F",176,IF(Atletas!M121="Wudangquan F",177,IF(Atletas!M121="Outros Estilos F",178,0))))))))))))))))))))))))))))))))))))))))))</f>
        <v/>
      </c>
      <c r="BU130" s="50" t="str">
        <f>IF(Atletas!N121="","",IF(Atletas!X121&lt;&gt;"",10000,0)+(IF(Atletas!B121="Feminino",1000,IF(Atletas!B121="Masculino",2000,""))+(IF(Atletas!N121="Ditangquan A",201,IF(Atletas!N121="Houquan A",202,IF(Atletas!N121="Zuiquan A",203,IF(Atletas!N121="Ditangquan B",204,IF(Atletas!N121="Houquan B",205,IF(Atletas!N121="Zuiquan B",206,IF(Atletas!N121="Ditangquan C",207,IF(Atletas!N121="Houquan C",208,IF(Atletas!N121="Zuiquan C",209,IF(Atletas!N121="Ditangquan D",210,IF(Atletas!N121="Houquan D",211,IF(Atletas!N121="Zuiquan D",212,IF(Atletas!N121="Ditangquan E",213,IF(Atletas!N121="Houquan E",214,IF(Atletas!N121="Zuiquan E",215,IF(Atletas!N121="Ditangquan F",216,IF(Atletas!N121="Houquan F",217,IF(Atletas!N121="Zuiquan F",218,"")))))))))))))))))))))</f>
        <v/>
      </c>
      <c r="BV130" s="50" t="str">
        <f>IF(Atletas!O121="","",IF(Atletas!X121&lt;&gt;"",10000,0)+IF(Atletas!B121="Feminino",1000,IF(Atletas!B121="Masculino",2000,""))+IF(Atletas!O121="Yang A",301,IF(Atletas!O121="Chen A",302,IF(Atletas!O121="Sun A",303,IF(Atletas!O121="Wu A",304,IF(Atletas!O121="Wu-Hao A",305,IF(Atletas!O121="Outro Taijiquan A",306,IF(Atletas!O121="Yang B",307,IF(Atletas!O121="Chen B",308,IF(Atletas!O121="Sun B",309,IF(Atletas!O121="Wu B",310,IF(Atletas!O121="Wu-Hao B",311,IF(Atletas!O121="Outro Taijiquan B",312,IF(Atletas!O121="Yang C",313,IF(Atletas!O121="Chen C",314,IF(Atletas!O121="Sun C",315,IF(Atletas!O121="Wu C",316,IF(Atletas!O121="Wu-Hao C",317,IF(Atletas!O121="Outro Taijiquan C",318,IF(Atletas!O121="Yang D",319,IF(Atletas!O121="Chen D",320,IF(Atletas!O121="Sun D",321,IF(Atletas!O121="Wu D",322,IF(Atletas!O121="Wu-Hao D",323,IF(Atletas!O121="Outro Taijiquan D",324,IF(Atletas!O121="Yang E",325,IF(Atletas!O121="Chen E",326,IF(Atletas!O121="Sun E",327,IF(Atletas!O121="Wu E",328,IF(Atletas!O121="Wu-Hao E",329,IF(Atletas!O121="Outro Taijiquan E",330,IF(Atletas!O121="Yang F",331,IF(Atletas!O121="Chen F",332,IF(Atletas!O121="Sun F",333,IF(Atletas!O121="Wu F",334,IF(Atletas!O121="Wu-Hao F",335,IF(Atletas!O121="Outro Taijiquan F",336,"")))))))))))))))))))))))))))))))))))))</f>
        <v/>
      </c>
      <c r="BW130" s="50" t="str">
        <f>IF(Atletas!P121="","",IF(Atletas!X121&lt;&gt;"",10000,0)+IF(Atletas!B121="Feminino",1000,IF(Atletas!B121="Masculino",2000,""))+IF(OR(Atletas!P121="Yang 26 A",Atletas!P121="Yang 40 A"),401,IF(OR(Atletas!P121="Chen 25 A",Atletas!P121="Chen 36 A",Atletas!P121="Chen 56 A"),402,IF(Atletas!P121="Sun 73 A",403,IF(Atletas!P121="Wu 45 A",404,IF(Atletas!P121="Wu-Hao 46 A",405,IF(OR(Atletas!P121="Taijiquan 16 A",Atletas!P121="Taijiquan 24 A",Atletas!P121="Taijiquan 32 A",Atletas!P121="Taijiquan 42 A"),406,IF(OR(Atletas!P121="Yang 26 B",Atletas!P121="Yang 40 B"),407,IF(OR(Atletas!P121="Chen 25 B",Atletas!P121="Chen 36 B",Atletas!P121="Chen 56 B"),408,IF(Atletas!P121="Sun 73 B",409,IF(Atletas!P121="Wu 45 B",410,IF(Atletas!P121="Wu-Hao 46 B",411,IF(OR(Atletas!P121="Taijiquan 16 B",Atletas!P121="Taijiquan 24 B",Atletas!P121="Taijiquan 32 B",Atletas!P121="Taijiquan 42 B"),412,IF(OR(Atletas!P121="Yang 26 C",Atletas!P121="Yang 40 C"),413,IF(OR(Atletas!P121="Chen 25 C",Atletas!P121="Chen 36 C",Atletas!P121="Chen 56 C"),414,IF(Atletas!P121="Sun 73 C",415,IF(Atletas!P121="Wu 45 C",416,IF(Atletas!P121="Wu-Hao 46 C",417,IF(OR(Atletas!P121="Taijiquan 16 C",Atletas!P121="Taijiquan 24 C",Atletas!P121="Taijiquan 32 C",Atletas!P121="Taijiquan 42 C"),418,0)))))))))))))))))))</f>
        <v/>
      </c>
      <c r="BX130" s="50" t="str">
        <f>IF(Atletas!P121="","",IF(Atletas!X121&lt;&gt;"",10000,0)+IF(Atletas!B121="Feminino",1000,IF(Atletas!B121="Masculino",2000,""))+IF(OR(Atletas!P121="Yang 26 D",Atletas!P121="Yang 40 D"),419,IF(OR(Atletas!P121="Chen 25 D",Atletas!P121="Chen 36 D",Atletas!P121="Chen 56 D"),420,IF(Atletas!P121="Sun 73 D",421,IF(Atletas!P121="Wu 45 D",422,IF(Atletas!P121="Wu-Hao 46 D",423,IF(OR(Atletas!P121="Taijiquan 16 D",Atletas!P121="Taijiquan 24 D",Atletas!P121="Taijiquan 32 D",Atletas!P121="Taijiquan 42 D"),424,IF(OR(Atletas!P121="Yang 26 E",Atletas!P121="Yang 40 E"),425,IF(OR(Atletas!P121="Chen 25 E",Atletas!P121="Chen 36 E",Atletas!P121="Chen 56 E"),426,IF(Atletas!P121="Sun 73 E",427,IF(Atletas!P121="Wu 45 E",428,IF(Atletas!P121="Wu-Hao 46 E",429,IF(OR(Atletas!P121="Taijiquan 16 E",Atletas!P121="Taijiquan 24 E",Atletas!P121="Taijiquan 32 E",Atletas!P121="Taijiquan 42 E"),430,IF(OR(Atletas!P121="Yang 26 F",Atletas!P121="Yang 40 F"),431,IF(OR(Atletas!P121="Chen 25 F",Atletas!P121="Chen 36 F",Atletas!P121="Chen 56 F"),432,IF(Atletas!P121="Sun 73 F",433,IF(Atletas!P121="Wu 45 F",434,IF(Atletas!P121="Wu-Hao 46 F",435,IF(OR(Atletas!P121="Taijiquan 16 F",Atletas!P121="Taijiquan 24 F",Atletas!P121="Taijiquan 32 F",Atletas!P121="Taijiquan 42 F"),436,0)))))))))))))))))))</f>
        <v/>
      </c>
      <c r="BY130" s="50" t="str">
        <f>IF(Atletas!Q121="","",IF(Atletas!X121&lt;&gt;"",10000,0)+IF(Atletas!B121="Feminino",1000,IF(Atletas!B121="Masculino",2000,""))+IF(Atletas!Q121="Xingyiquan A",501,IF(Atletas!Q121="Baguazhang A",502,IF(Atletas!Q121="Outro Estilo Interno A",503,IF(Atletas!Q121="Xingyiquan B",504,IF(Atletas!Q121="Baguazhang B",505,IF(Atletas!Q121="Outro Estilo Interno B",506,IF(Atletas!Q121="Xingyiquan C",507,IF(Atletas!Q121="Baguazhang C",508,IF(Atletas!Q121="Outro Estilo Interno C",509,IF(Atletas!Q121="Xingyiquan D",510,IF(Atletas!Q121="Baguazhang D",511,IF(Atletas!Q121="Outro Estilo Interno D",512,IF(Atletas!Q121="Xingyiquan E",513,IF(Atletas!Q121="Baguazhang E",514,IF(Atletas!Q121="Outro Estilo Interno E",515,IF(Atletas!Q121="Xingyiquan F",516,IF(Atletas!Q121="Baguazhang F",517,IF(Atletas!Q121="Outro Estilo Interno F",518, "")))))))))))))))))))</f>
        <v/>
      </c>
      <c r="BZ130" s="50" t="str">
        <f>IF(Atletas!R121="","",IF(Atletas!X121&lt;&gt;"",10000,0)+IF(Atletas!B121="Feminino",1000,IF(Atletas!B121="Masculino",2000,""))+IF(Atletas!R121="Dao A",601,IF(Atletas!R121="Jian A",602,IF(Atletas!R121="Bishou A",603,IF(Atletas!R121="Shanzi A",604,IF(Atletas!R121="Outra Arma Curta A",605,IF(Atletas!R121="Dao B",606,IF(Atletas!R121="Jian B",607,IF(Atletas!R121="Bishou B",608,IF(Atletas!R121="Shanzi B",609,IF(Atletas!R121="Outra Arma Curta B",610,IF(Atletas!R121="Dao C",611,IF(Atletas!R121="Jian C",612,IF(Atletas!R121="Bishou C",613,IF(Atletas!R121="Shanzi C",614,IF(Atletas!R121="Outra Arma Curta C",615,IF(Atletas!R121="Dao D",616,IF(Atletas!R121="Jian D",617,IF(Atletas!R121="Bishou D",618,IF(Atletas!R121="Shanzi D",619,IF(Atletas!R121="Outra Arma Curta D",620,IF(Atletas!R121="Dao E",621,IF(Atletas!R121="Jian E",622,IF(Atletas!R121="Bishou E",623,IF(Atletas!R121="Shanzi E",624,IF(Atletas!R121="Outra Arma Curta E",625,IF(Atletas!R121="Dao F",626,IF(Atletas!R121="Jian F",627,IF(Atletas!R121="Bishou F",628,IF(Atletas!R121="Shanzi F",629,IF(Atletas!R121="Outra Arma Curta F",630, "")))))))))))))))))))))))))))))))</f>
        <v/>
      </c>
      <c r="CA130" s="50" t="str">
        <f>IF(Atletas!S121="","",IF(Atletas!X121&lt;&gt;"",10000,0)+IF(Atletas!B121="Feminino",1000,IF(Atletas!B121="Masculino",2000,""))+IF(Atletas!S121="Gun A",701,IF(Atletas!S121="Qiang A",702,IF(Atletas!S121="Pudao / Guandao A",703,IF(Atletas!S121="Outra Arma Longa A",704,IF(Atletas!S121="Gun B",705,IF(Atletas!S121="Qiang B",706,IF(Atletas!S121="Pudao / Guandao B",707,IF(Atletas!S121="Outra Arma Longa B",708,IF(Atletas!S121="Gun C",709,IF(Atletas!S121="Qiang C",710,IF(Atletas!S121="Pudao / Guandao C",711,IF(Atletas!S121="Outra Arma Longa C",712,IF(Atletas!S121="Gun D",713,IF(Atletas!S121="Qiang D",714,IF(Atletas!S121="Pudao / Guandao D",715,IF(Atletas!S121="Outra Arma Longa D",716,IF(Atletas!S121="Gun E",717,IF(Atletas!S121="Qiang E",718,IF(Atletas!S121="Pudao / Guandao E",719,IF(Atletas!S121="Outra Arma Longa E",720,IF(Atletas!S121="Gun F",721,IF(Atletas!S121="Qiang F",722,IF(Atletas!S121="Pudao / Guandao F",723,IF(Atletas!S121="Outra Arma Longa F",724,"")))))))))))))))))))))))))</f>
        <v/>
      </c>
      <c r="CB130" s="50" t="str">
        <f>IF(Atletas!T121="","",IF(Atletas!X121&lt;&gt;"",10000,0)+IF(Atletas!B121="Feminino",1000,IF(Atletas!B121="Masculino",2000,""))+IF(Atletas!T121="Outra Arma Dupla A",801,IF(Atletas!T121="Arma Maleável A",802,IF(Atletas!T121="Outra Arma Dupla B",803,IF(Atletas!T121="Arma Maleável B",804,IF(Atletas!T121="Outra Arma Dupla C",805,IF(Atletas!T121="Arma Maleável C",806,IF(Atletas!T121="Outra Arma Dupla D",807,IF(Atletas!T121="Arma Maleável D",808,IF(Atletas!T121="Outra Arma Dupla E",809,IF(Atletas!T121="Arma Maleável E",810,IF(Atletas!T121="Outra Arma Dupla F",811,IF(Atletas!T121="Arma Maleável F",812,IF(Atletas!T121="Shuangdao A",813,IF(Atletas!T121="Shuangdao B",814,IF(Atletas!T121="Shuangdao C",815,IF(Atletas!T121="Shuangdao D",816,IF(Atletas!T121="Shuangdao E",817,IF(Atletas!T121="Shuangdao F",818,"")))))))))))))))))))</f>
        <v/>
      </c>
      <c r="CC130" s="50" t="str">
        <f>IF(Atletas!U121="","",IF(Atletas!X121&lt;&gt;"",10000,0)+IF(Atletas!B121="Feminino",1000,IF(Atletas!B121="Masculino",2000,""))+IF(OR(Atletas!U121="Taijijian Yang A",Atletas!U121="Taijijian Yang Standard A"),901,IF(OR(Atletas!U121="Taijijian Chen A", Atletas!U121="Taijijian Chen Standard A"),902,IF(Atletas!U121="Taijijian Sun A",903,IF(Atletas!U121="Taijijian Wu A",904,IF(Atletas!U121="Taijijian Wu-Hao A",905,IF(OR(Atletas!U121="Taijijian 32 A",Atletas!U121="Taijijian 42 A"),906,IF(OR(Atletas!U121="Taijijian Yang B",Atletas!U121="Taijijian Yang Standard B"),907,IF(OR(Atletas!U121="Taijijian Chen B", Atletas!U121="Taijijian Chen Standard B"),908,IF(Atletas!U121="Taijijian Sun B",909,IF(Atletas!U121="Taijijian Wu B",910,IF(Atletas!U121="Taijijian Wu-Hao B",911,IF(OR(Atletas!U121="Taijijian 32 B",Atletas!U121="Taijijian 42 B"),912,IF(OR(Atletas!U121="Taijijian Yang C",Atletas!U121="Taijijian Yang Standard C"),913,IF(OR(Atletas!U121="Taijijian Chen C", Atletas!U121="Taijijian Chen Standard C"),914,IF(Atletas!U121="Taijijian Sun C",915,IF(Atletas!U121="Taijijian Wu C",916,IF(Atletas!U121="Taijijian Wu-Hao C",917,IF(OR(Atletas!U121="Taijijian 32 C",Atletas!U121="Taijijian 42 C"),918,IF(OR(Atletas!U121="Taijijian Yang D",Atletas!U121="Taijijian Yang Standard D"),919,IF(OR(Atletas!U121="Taijijian Chen D", Atletas!U121="Taijijian Chen Standard D"),920,IF(Atletas!U121="Taijijian Sun D",921,IF(Atletas!U121="Taijijian Wu D",922,IF(Atletas!U121="Taijijian Wu-Hao D",923,IF(OR(Atletas!U121="Taijijian 32 D",Atletas!U121="Taijijian 42 D"),924,IF(OR(Atletas!U121="Taijijian Yang E",Atletas!U121="Taijijian Yang Standard E"),925,IF(OR(Atletas!U121="Taijijian Chen E", Atletas!U121="Taijijian Chen Standard E"),926,IF(Atletas!U121="Taijijian Sun E",927,IF(Atletas!U121="Taijijian Wu E",928,IF(Atletas!U121="Taijijian Wu-Hao E",929,IF(OR(Atletas!U121="Taijijian 32 E",Atletas!U121="Taijijian 42 E"),930,IF(OR(Atletas!U121="Taijijian Yang F",Atletas!U121="Taijijian Yang Standard F"),931,IF(OR(Atletas!U121="Taijijian Chen F", Atletas!U121="Taijijian Chen Standard F"),932,IF(Atletas!U121="Taijijian Sun F",933,IF(Atletas!U121="Taijijian Wu F",934,IF(Atletas!U121="Taijijian Wu-Hao F",935,IF(OR(Atletas!U121="Taijijian 32 F",Atletas!U121="Taijijian 42 F"),936,"")))))))))))))))))))))))))))))))))))))</f>
        <v/>
      </c>
      <c r="CD130" s="50" t="str">
        <f>IF(Atletas!V121="","",IF(Atletas!X121&lt;&gt;"",10000,0)+IF(Atletas!B121="Feminino",1000,IF(Atletas!B121="Masculino",2000,""))+IF(Atletas!V121="Taijidao A",937,IF(Atletas!V121="TaijiShanzi A",938,IF(Atletas!V121="Taijiqiang A",939,IF(Atletas!V121="Bagua de Arma A",940,IF(Atletas!V121="Xingyi de Arma A",941,IF(Atletas!V121="Taijidao B",942,IF(Atletas!V121="TaijiShanzi B",943,IF(Atletas!V121="Taijiqiang B",944,IF(Atletas!V121="Bagua de Arma B",945,IF(Atletas!V121="Xingyi de Arma B",946,IF(Atletas!V121="Taijidao C",947,IF(Atletas!V121="TaijiShanzi C",948,IF(Atletas!V121="Taijiqiang C",949,IF(Atletas!V121="Bagua de Arma C",950,IF(Atletas!V121="Xingyi de Arma C",951,IF(Atletas!V121="Taijidao D",952,IF(Atletas!V121="TaijiShanzi D",953,IF(Atletas!V121="Taijiqiang D",954,IF(Atletas!V121="Bagua de Arma D",955,IF(Atletas!V121="Xingyi de Arma D",956,IF(Atletas!V121="Taijidao E",957,IF(Atletas!V121="TaijiShanzi E",958,IF(Atletas!V121="Taijiqiang E",959,IF(Atletas!V121="Bagua de Arma E",960,IF(Atletas!V121="Xingyi de Arma E",961,IF(Atletas!V121="Taijidao F",962,IF(Atletas!V121="TaijiShanzi F",963,IF(Atletas!V121="Taijiqiang F",964,IF(Atletas!V121="Bagua de Arma F",965,IF(Atletas!V121="Xingyi de Arma F",966,"")))))))))))))))))))))))))))))))</f>
        <v/>
      </c>
      <c r="CE130" s="66" t="str">
        <f>IF(CF130&lt;&gt;"","Ditangquan D","")</f>
        <v/>
      </c>
      <c r="CF130" s="66" t="str">
        <f>IF(COUNTIF(BR:CD,1210)&gt;0,COUNTIF(BR:CD,1210),"")</f>
        <v/>
      </c>
      <c r="CG130" s="66" t="str">
        <f>IF(CH130&lt;&gt;"","Ditangquan D","")</f>
        <v/>
      </c>
      <c r="CH130" s="66" t="str">
        <f>IF(COUNTIF(BR:CD,2210)&gt;0,COUNTIF(BR:CD,2210),"")</f>
        <v/>
      </c>
      <c r="CI130" s="66" t="str">
        <f>IF(CJ130&lt;&gt;"","Ditangquan F","")</f>
        <v/>
      </c>
      <c r="CJ130" s="66" t="str">
        <f>IF(COUNTIF(BR:CD,11216)&gt;0,COUNTIF(BR:CD,11216),"")</f>
        <v/>
      </c>
      <c r="CK130" s="66" t="str">
        <f>IF(CL130&lt;&gt;"","Ditangquan F","")</f>
        <v/>
      </c>
      <c r="CL130" s="66" t="str">
        <f>IF(COUNTIF(BR:CD,12216)&gt;0,COUNTIF(BR:CD,12216),"")</f>
        <v/>
      </c>
      <c r="CM130" s="50" t="str">
        <f xml:space="preserve"> IF(Atletas!W121="","",IF(Atletas!W121="Duilian de Mãos BC - Equipe 1",1,IF(Atletas!W121="Duilian de Mãos BC - Equipe 2",2,IF(Atletas!W121="Duilian de Armas BC - Equipe 1",3,IF(Atletas!W121="Duilian de Armas BC - Equipe 2",4,IF(Atletas!W121="Duilian de Mãos DE - Equipe 1",5,IF(Atletas!W121="Duilian de Mãos DE - Equipe 2",6,IF(Atletas!W121="Duilian de Armas DE - Equipe 1",7,IF(Atletas!W121="Duilian de Armas DE - Equipe 2",8,IF(Atletas!W121="Duilian de Tuishou - Equipe 1",9,IF(Atletas!W121="Duilian de Tuishou - Equipe 2",10,IF(Atletas!W121="Grupo Externo ABC - Equipe 1",11,IF(Atletas!W121="Grupo Externo ABC - Equipe 2",12,IF(Atletas!W121="Grupo Interno ABC - Equipe 1",13,IF(Atletas!W121="Grupo Interno ABC - Equipe 2",14,IF(Atletas!W121="Grupo Externo DEF - Equipe 1",15,IF(Atletas!W121="Grupo Externo DEF - Equipe 2",16,IF(Atletas!W121="Grupo Interno DEF - Equipe 1",17,IF(Atletas!W121="Grupo Interno DEF - Equipe 2",18,"")))))))))))))))))))</f>
        <v/>
      </c>
    </row>
    <row r="131" spans="2:91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 t="str">
        <f t="array" ref="Z131">IFERROR(INDEX(CE$7:CE$348,SMALL(IF(CE$7:CE$348&lt;&gt;"",ROW(CE$7:CE$348)-ROW(CE$7)+1),ROWS(CE$7:CE130))),"")</f>
        <v/>
      </c>
      <c r="AA131" s="3" t="str">
        <f t="array" ref="AA131">IFERROR(INDEX(CF$7:CF$348,SMALL(IF(CF$7:CF$348&lt;&gt;"",ROW(CF$7:CF$348)-ROW(CF$7)+1),ROWS(CF$7:CF130))),"")</f>
        <v/>
      </c>
      <c r="AB131" s="3" t="str">
        <f t="array" ref="AB131">IFERROR(INDEX(CG$7:CG$348,SMALL(IF(CG$7:CG$348&lt;&gt;"",ROW(CG$7:CG$348)-ROW(CG$7)+1),ROWS(CG$7:CG130))),"")</f>
        <v/>
      </c>
      <c r="AC131" s="3" t="str">
        <f t="array" ref="AC131">IFERROR(INDEX(CH$7:CH$348,SMALL(IF(CH$7:CH$348&lt;&gt;"",ROW(CH$7:CH$348)-ROW(CH$7)+1),ROWS(CH$7:CH130))),"")</f>
        <v/>
      </c>
      <c r="AD131" s="3" t="str">
        <f t="array" ref="AD131">IFERROR(INDEX(CI$7:CI$377,SMALL(IF(CI$7:CI$377&lt;&gt;"",ROW(CI$7:CI$377)-ROW(CI$7)+1),ROWS(CI$7:CI130))),"")</f>
        <v/>
      </c>
      <c r="AE131" s="3" t="str">
        <f t="array" ref="AE131">IFERROR(INDEX(CJ$7:CJ$378,SMALL(IF(CJ$7:CJ$378&lt;&gt;"",ROW(CJ$7:CJ$378)-ROW(CJ$7)+1),ROWS(CJ$7:CJ130))),"")</f>
        <v/>
      </c>
      <c r="AF131" s="3" t="str">
        <f t="array" ref="AF131">IFERROR(INDEX(CK$7:CK$378,SMALL(IF(CK$7:CK$378&lt;&gt;"",ROW(CK$7:CK$378)-ROW(CK$7)+1),ROWS(CK$7:CK130))),"")</f>
        <v/>
      </c>
      <c r="AG131" s="3" t="str">
        <f t="array" ref="AG131">IFERROR(INDEX(CL$7:CL$378,SMALL(IF(CL$7:CL$378&lt;&gt;"",ROW(CL$7:CL$378)-ROW(CL$7)+1),ROWS(CL$7:CL130))),"")</f>
        <v/>
      </c>
      <c r="AH131" s="3"/>
      <c r="AI131" s="3"/>
      <c r="AJ131" s="3"/>
      <c r="AK131" s="3"/>
      <c r="AL131" s="3"/>
      <c r="AM131" s="3"/>
      <c r="AN131" s="52" t="str">
        <f>IF(Atletas!D122="","",IF(Atletas!B122="Feminino",100,IF(Atletas!B122="Masculino",200,""))+(IF(Atletas!D122="Kids 30kg",1,IF(Atletas!D122="Kids 32kg",2, IF(Atletas!D122="Kids 34kg",3,IF(Atletas!D122="Kids 36kg",4,IF(Atletas!D122="Kids 39kg",5,IF(Atletas!D122="Kids 42kg",6,IF(Atletas!D122="Kids 45kg",7, IF(Atletas!D122="Infantil 39kg",8,IF(Atletas!D122="Infantil 42kg",9,IF(Atletas!D122="Infantil 45kg",10,IF(Atletas!D122="Infantil 48kg",11,IF(Atletas!D122="Infantil 52kg",12,IF(Atletas!D122="Infantil 56kg",13,IF(Atletas!D122="Infantil 60kg",14,IF(Atletas!D122="Juvenil 48kg",15,IF(Atletas!D122="Juvenil 52kg",16,IF(Atletas!D122="Juvenil 56kg",17,IF(Atletas!D122="Juvenil 60kg",18,IF(Atletas!D122="Juvenil 65kg",19,IF(Atletas!D122="Juvenil 70kg",20,IF(Atletas!D122="Juvenil 75kg",21,IF(Atletas!D122="Juvenil 80kg",22, IF(Atletas!D122="Juvenil 85kg",23,IF(Atletas!D122="Adulto 48kg",24,IF(Atletas!D122="Adulto 52kg",25,IF(Atletas!D122="Adulto 56kg",26,IF(Atletas!D122="Adulto 60kg",27,IF(Atletas!D122="Adulto 65kg",28,IF(Atletas!D122="Adulto 70kg",29,IF(Atletas!D122="Adulto 75kg",30,IF(Atletas!D122="Adulto 80kg",31,IF(Atletas!D122="Adulto 85kg",32,IF(Atletas!D122="Adulto 90kg",33,IF(Atletas!D122="Adulto 100kg",34, IF(Atletas!D122="Adulto +100kg",35,"")))))))))))))))))))))))))))))))))))))</f>
        <v/>
      </c>
      <c r="AS131" s="6" t="str">
        <f>IF(Atletas!E122="","",IF(Atletas!B122="Feminino",100,IF(Atletas!B122="Masculino",200,""))+(IF(Atletas!E122="Juvenil 44kg",1,IF(Atletas!E122="Juvenil 48kg",2,IF(Atletas!E122="Juvenil 52kg",3,IF(Atletas!E122="Juvenil 56kg",4,IF(Atletas!E122="Juvenil 60kg",5,IF(Atletas!E122="Juvenil 65kg",6,IF(Atletas!E122="Juvenil 70kg",7,IF(Atletas!E122="Juvenil 75kg",8,IF(Atletas!E122="Juvenil 82kg",9,IF(Atletas!E122="Juvenil 90kg",10,IF(Atletas!E122="Juvenil 100kg",11,IF(Atletas!E122="Adulto 48kg",12,IF(Atletas!E122="Adulto 52kg",13,IF(Atletas!E122="Adulto 56kg",14,IF(Atletas!E122="Adulto 60kg",15,IF(Atletas!E122="Adulto 65kg",16,IF(Atletas!E122="Adulto 70kg",17,IF(Atletas!E122="Adulto 75kg",18,IF(Atletas!E122="Adulto 82kg",19,IF(Atletas!E122="Adulto 90kg",20,IF(Atletas!E122="Adulto 100kg",21,IF(Atletas!E122="Adulto +100kg",22,""))))))))))))))))))))))))</f>
        <v/>
      </c>
      <c r="AX131" s="6" t="str">
        <f>IF(Atletas!F122="","",IF(Atletas!B122="Feminino",100,IF(Atletas!B122="Masculino",200,""))+(IF(Atletas!F122="Adulto 48kg",1,IF(Atletas!F122="Adulto 56kg",2,IF(Atletas!F122="Adulto 65kg",3,IF(Atletas!F122="Adulto 75kg",4,IF(Atletas!F122="Adulto +75kg",5,IF(Atletas!F122="Adulto 52kg",6,IF(Atletas!F122="Adulto 60kg",7,IF(Atletas!F122="Adulto 70kg",8,IF(Atletas!F122="Adulto 80kg",9,IF(Atletas!F122="Adulto 90kg",10,IF(Atletas!F122="Adulto +90kg",11,"")))))))))))))</f>
        <v/>
      </c>
      <c r="BC131" s="6" t="str">
        <f>IF(Atletas!G122="","",IF(Atletas!B122="Feminino",10,IF(Atletas!B122="Masculino",20,""))+(IF(Atletas!G122="Baduanjin A",1,IF(Atletas!G122="Baduanjin B",2))))</f>
        <v/>
      </c>
      <c r="BF131" s="52" t="str">
        <f>IF(Atletas!H122="","",IF(Atletas!B122="Feminino",100,IF(Atletas!B122="Masculino",200,""))+(IF(Atletas!H122="Changquan Mirim",1,IF(Atletas!H122="Nanquan Mirim",2,IF(Atletas!H122="Taijiquan Mirim",3,IF(Atletas!H122="Changquan Grupo C",4,IF(Atletas!H122="Nanquan Grupo C",5,IF(Atletas!H122="Taijiquan Grupo C",6,IF(Atletas!H122="Changquan Grupo B",7,IF(Atletas!H122="Nanquan Grupo B",8,IF(Atletas!H122="Taijiquan Grupo B",9,IF(Atletas!H122="Changquan Grupo A",10,IF(Atletas!H122="Nanquan Grupo A",11,IF(Atletas!H122="Taijiquan Grupo A",12,IF(Atletas!H122="Changquan Opcional",13,IF(Atletas!H122="Nanquan Opcional",14,IF(Atletas!H122="Taijiquan Opcional",15,IF(Atletas!H122="Changquan Adulto",16,IF(Atletas!H122="Nanquan Adulto",17,IF(Atletas!H122="Taijiquan Adulto",18,""))))))))))))))))))))</f>
        <v/>
      </c>
      <c r="BG131" s="52" t="str">
        <f>IF(Atletas!I122="","",IF(Atletas!B122="Feminino",100,IF(Atletas!B122="Masculino",200,""))+(IF(Atletas!I122="Daoshu Mirim",19,IF(Atletas!I122="Jianshu Mirim",20,IF(Atletas!I122="Nandao Mirim",21,IF(Atletas!I122="Taijijian Mirim",22,IF(Atletas!I122="Daoshu Grupo C",23,IF(Atletas!I122="Jianshu Grupo C",24,IF(Atletas!I122="Nandao Grupo C",25,IF(Atletas!I122="Taijijian Grupo C",26,IF(Atletas!I122="Daoshu Grupo B",27,IF(Atletas!I122="Jianshu Grupo B",28,IF(Atletas!I122="Nandao Grupo B",29,IF(Atletas!I122="Taijijian Grupo B",30,IF(Atletas!I122="Daoshu Grupo A",31,IF(Atletas!I122="Jianshu Grupo A",32,IF(Atletas!I122="Nandao Grupo A",33,IF(Atletas!I122="Taijijian Grupo A",34,IF(Atletas!I122="Daoshu Opcional",35,IF(Atletas!I122="Jianshu Opcional",36,IF(Atletas!I122="Nandao Opcional",37,IF(Atletas!I122="Taijijian Opcional",38,IF(Atletas!I122="Daoshu Adulto",39,IF(Atletas!I122="Jianshu Adulto",40,IF(Atletas!I122="Nandao Adulto",41,IF(Atletas!I122="Taijijian Adulto",42,""))))))))))))))))))))))))))</f>
        <v/>
      </c>
      <c r="BH131" s="52" t="str">
        <f>IF(Atletas!J122="","",IF(Atletas!B122="Feminino",100,IF(Atletas!B122="Masculino",200,""))+(IF(Atletas!J122="Gunshu Mirim",43,IF(Atletas!J122="Qiangshu Mirim",44,IF(Atletas!J122="Nangun Mirim",45,IF(Atletas!J122="Gunshu Grupo C",46,IF(Atletas!J122="Qiangshu Grupo C",47,IF(Atletas!J122="Nangun Grupo C",48,IF(Atletas!J122="Gunshu Grupo B",49,IF(Atletas!J122="Qiangshu Grupo B",50,IF(Atletas!J122="Nangun Grupo B",51,IF(Atletas!J122="Gunshu Grupo A",52,IF(Atletas!J122="Qiangshu Grupo A",53,IF(Atletas!J122="Nangun Grupo A",54,IF(Atletas!J122="Gunshu Opcional",55,IF(Atletas!J122="Qiangshu Opcional",56,IF(Atletas!J122="Nangun Opcional",57,IF(Atletas!J122="Gunshu Adulto",58,IF(Atletas!J122="Qiangshu Adulto",59,IF(Atletas!J122="Nangun Adulto",60,IF(Atletas!J122="Taijishan Grupo B",61,IF(Atletas!J122="Taijishan Grupo A",62,""))))))))))))))))))))))</f>
        <v/>
      </c>
      <c r="BM131" s="50" t="str">
        <f>IF(Atletas!K122="","",IF(Atletas!B122="Feminino",100,IF(Atletas!B122="Masculino",200,""))+(IF(Atletas!K122="Equipe 1 Grupo B",1,IF(Atletas!K122="Equipe 2 Grupo B",2,IF(Atletas!K122="Equipe 1 Grupo A",3,IF(Atletas!K122="Equipe 2 Grupo A",4,IF(Atletas!K122="Equipe 1 Adulto",5,IF(Atletas!K122="Equipe 2 Adulto",6,""))))))))</f>
        <v/>
      </c>
      <c r="BR131" s="50" t="str">
        <f>IF(Atletas!L122="","",IF(Atletas!X122&lt;&gt;"",10000,0)+(IF(Atletas!B122="Feminino",1000,IF(Atletas!B122="Masculino",2000,""))+IF(Atletas!L122="Choylayfut A",1,IF(Atletas!L122="Hunggar A",2,IF(Atletas!L122="Wuzuquan A",3,IF(Atletas!L122="Wingchun A",4,IF(Atletas!L122="Outra Mão de Sul A",5,IF(Atletas!L122="Choylayfut B",6,IF(Atletas!L122="Hunggar B",7,IF(Atletas!L122="Wuzuquan B",8,IF(Atletas!L122="Wingchun B",9,IF(Atletas!L122="Outra Mão de Sul B",10,IF(Atletas!L122="Choylayfut C",11,IF(Atletas!L122="Hunggar C",12,IF(Atletas!L122="Wuzuquan C",13,IF(Atletas!L122="Wingchun C",14,IF(Atletas!L122="Outra Mão de Sul C",15,IF(Atletas!L122="Choylayfut D",16,IF(Atletas!L122="Hunggar D",17,IF(Atletas!L122="Wuzuquan D",18,IF(Atletas!L122="Wingchun D",19,IF(Atletas!L122="Outra Mão de Sul D",20,IF(Atletas!L122="Choylayfut E",21,IF(Atletas!L122="Hunggar E",22,IF(Atletas!L122="Wuzuquan E",23,IF(Atletas!L122="Wingchun E",24,IF(Atletas!L122="Outra Mão de Sul E",25,IF(Atletas!L122="Choylayfut F",26,IF(Atletas!L122="Hunggar F",27,IF(Atletas!L122="Wuzuquan F",28,IF(Atletas!L122="Wingchun F",29,IF(Atletas!L122="Outra Mão de Sul F",30,IF(Atletas!L122="Dishuquan A",31,IF(Atletas!L122="Dishuquan B",32,IF(Atletas!L122="Dishuquan C",33,IF(Atletas!L122="Dishuquan D",34,IF(Atletas!L122="Dishuquan E",35,IF(Atletas!L122="Dishuquan F",36,""))))))))))))))))))))))))))))))))))))))</f>
        <v/>
      </c>
      <c r="BS131" s="50" t="str">
        <f>IF(Atletas!M122="","",IF(Atletas!X122&lt;&gt;"",10000,0)+(IF(Atletas!B122="Feminino",1000,IF(Atletas!B122="Masculino",2000,""))+(IF(Atletas!M122="Chaquan A",101,IF(Atletas!M122="Emeiquan A",102,IF(Atletas!M122="Fanziquan A",103,IF(Atletas!M122="Huaquan A",104,IF(Atletas!M122="Hongquan A",105,IF(Atletas!M122="Paoquan A",106,IF(Atletas!M122="Piguaquan A",107,IF(Atletas!M122="Shaolinquan A",108,IF(Atletas!M122="Tanglangquan A",109,IF(Atletas!M122="Yingzhaoquan A",110,IF(Atletas!M122="Tongbeiquan A",111,IF(Atletas!M122="Wudangquan A",112,IF(Atletas!M122="Outros Estilos A",113,IF(Atletas!M122="Chaquan B",114,IF(Atletas!M122="Emeiquan B",115,IF(Atletas!M122="Fanziquan B",116,IF(Atletas!M122="Huaquan B",117,IF(Atletas!M122="Hongquan B",118,IF(Atletas!M122="Paoquan B",119,IF(Atletas!M122="Piguaquan B",120,IF(Atletas!M122="Shaolinquan B",121,IF(Atletas!M122="Tanglangquan B",122,IF(Atletas!M122="Yingzhaoquan B",123,IF(Atletas!M122="Tongbeiquan B",124,IF(Atletas!M122="Wudangquan B",125,IF(Atletas!M122="Outros Estilos B",126,IF(Atletas!M122="Chaquan C",127,IF(Atletas!M122="Emeiquan C",128,IF(Atletas!M122="Fanziquan C",129,IF(Atletas!M122="Huaquan C",130,IF(Atletas!M122="Hongquan C",131,IF(Atletas!M122="Paoquan C",132,IF(Atletas!M122="Piguaquan C",133,IF(Atletas!M122="Shaolinquan C",134,IF(Atletas!M122="Tanglangquan C",135,IF(Atletas!M122="Yingzhaoquan C",136,IF(Atletas!M122="Tongbeiquan C",137,IF(Atletas!M122="Wudangquan C",138,IF(Atletas!M122="Outros Estilos C",139,0))))))))))))))))))))))))))))))))))))))))))</f>
        <v/>
      </c>
      <c r="BT131" s="50" t="str">
        <f>IF(Atletas!M122="","",IF(Atletas!X122&lt;&gt;"",10000,0)+(IF(Atletas!B122="Feminino",1000,IF(Atletas!B122="Masculino",2000,""))+(IF(Atletas!M122="Chaquan D",140,IF(Atletas!M122="Emeiquan D",141,IF(Atletas!M122="Fanziquan D",142,IF(Atletas!M122="Huaquan D",143,IF(Atletas!M122="Hongquan D",144,IF(Atletas!M122="Paoquan D",145,IF(Atletas!M122="Piguaquan D",146,IF(Atletas!M122="Shaolinquan D",147,IF(Atletas!M122="Tanglangquan D",148,IF(Atletas!M122="Yingzhaoquan D",149,IF(Atletas!M122="Tongbeiquan D",150,IF(Atletas!M122="Wudangquan D",151,IF(Atletas!M122="Outros Estilos D",152,IF(Atletas!M122="Chaquan E",153,IF(Atletas!M122="Emeiquan E",154,IF(Atletas!M122="Fanziquan E",155,IF(Atletas!M122="Huaquan E",156,IF(Atletas!M122="Hongquan E",157,IF(Atletas!M122="Paoquan E",158,IF(Atletas!M122="Piguaquan E",159,IF(Atletas!M122="Shaolinquan E",160,IF(Atletas!M122="Tanglangquan E",161,IF(Atletas!M122="Yingzhaoquan E",162,IF(Atletas!M122="Tongbeiquan E",163,IF(Atletas!M122="Wudangquan E",164,IF(Atletas!M122="Outros Estilos E",165,IF(Atletas!M122="Chaquan F",166,IF(Atletas!M122="Emeiquan F",167,IF(Atletas!M122="Fanziquan F",168,IF(Atletas!M122="Huaquan F",169,IF(Atletas!M122="Hongquan F",170,IF(Atletas!M122="Paoquan F",171,IF(Atletas!M122="Piguaquan F",172,IF(Atletas!M122="Shaolinquan F",173,IF(Atletas!M122="Tanglangquan F",174,IF(Atletas!M122="Yingzhaoquan F",175,IF(Atletas!M122="Tongbeiquan F",176,IF(Atletas!M122="Wudangquan F",177,IF(Atletas!M122="Outros Estilos F",178,0))))))))))))))))))))))))))))))))))))))))))</f>
        <v/>
      </c>
      <c r="BU131" s="50" t="str">
        <f>IF(Atletas!N122="","",IF(Atletas!X122&lt;&gt;"",10000,0)+(IF(Atletas!B122="Feminino",1000,IF(Atletas!B122="Masculino",2000,""))+(IF(Atletas!N122="Ditangquan A",201,IF(Atletas!N122="Houquan A",202,IF(Atletas!N122="Zuiquan A",203,IF(Atletas!N122="Ditangquan B",204,IF(Atletas!N122="Houquan B",205,IF(Atletas!N122="Zuiquan B",206,IF(Atletas!N122="Ditangquan C",207,IF(Atletas!N122="Houquan C",208,IF(Atletas!N122="Zuiquan C",209,IF(Atletas!N122="Ditangquan D",210,IF(Atletas!N122="Houquan D",211,IF(Atletas!N122="Zuiquan D",212,IF(Atletas!N122="Ditangquan E",213,IF(Atletas!N122="Houquan E",214,IF(Atletas!N122="Zuiquan E",215,IF(Atletas!N122="Ditangquan F",216,IF(Atletas!N122="Houquan F",217,IF(Atletas!N122="Zuiquan F",218,"")))))))))))))))))))))</f>
        <v/>
      </c>
      <c r="BV131" s="50" t="str">
        <f>IF(Atletas!O122="","",IF(Atletas!X122&lt;&gt;"",10000,0)+IF(Atletas!B122="Feminino",1000,IF(Atletas!B122="Masculino",2000,""))+IF(Atletas!O122="Yang A",301,IF(Atletas!O122="Chen A",302,IF(Atletas!O122="Sun A",303,IF(Atletas!O122="Wu A",304,IF(Atletas!O122="Wu-Hao A",305,IF(Atletas!O122="Outro Taijiquan A",306,IF(Atletas!O122="Yang B",307,IF(Atletas!O122="Chen B",308,IF(Atletas!O122="Sun B",309,IF(Atletas!O122="Wu B",310,IF(Atletas!O122="Wu-Hao B",311,IF(Atletas!O122="Outro Taijiquan B",312,IF(Atletas!O122="Yang C",313,IF(Atletas!O122="Chen C",314,IF(Atletas!O122="Sun C",315,IF(Atletas!O122="Wu C",316,IF(Atletas!O122="Wu-Hao C",317,IF(Atletas!O122="Outro Taijiquan C",318,IF(Atletas!O122="Yang D",319,IF(Atletas!O122="Chen D",320,IF(Atletas!O122="Sun D",321,IF(Atletas!O122="Wu D",322,IF(Atletas!O122="Wu-Hao D",323,IF(Atletas!O122="Outro Taijiquan D",324,IF(Atletas!O122="Yang E",325,IF(Atletas!O122="Chen E",326,IF(Atletas!O122="Sun E",327,IF(Atletas!O122="Wu E",328,IF(Atletas!O122="Wu-Hao E",329,IF(Atletas!O122="Outro Taijiquan E",330,IF(Atletas!O122="Yang F",331,IF(Atletas!O122="Chen F",332,IF(Atletas!O122="Sun F",333,IF(Atletas!O122="Wu F",334,IF(Atletas!O122="Wu-Hao F",335,IF(Atletas!O122="Outro Taijiquan F",336,"")))))))))))))))))))))))))))))))))))))</f>
        <v/>
      </c>
      <c r="BW131" s="50" t="str">
        <f>IF(Atletas!P122="","",IF(Atletas!X122&lt;&gt;"",10000,0)+IF(Atletas!B122="Feminino",1000,IF(Atletas!B122="Masculino",2000,""))+IF(OR(Atletas!P122="Yang 26 A",Atletas!P122="Yang 40 A"),401,IF(OR(Atletas!P122="Chen 25 A",Atletas!P122="Chen 36 A",Atletas!P122="Chen 56 A"),402,IF(Atletas!P122="Sun 73 A",403,IF(Atletas!P122="Wu 45 A",404,IF(Atletas!P122="Wu-Hao 46 A",405,IF(OR(Atletas!P122="Taijiquan 16 A",Atletas!P122="Taijiquan 24 A",Atletas!P122="Taijiquan 32 A",Atletas!P122="Taijiquan 42 A"),406,IF(OR(Atletas!P122="Yang 26 B",Atletas!P122="Yang 40 B"),407,IF(OR(Atletas!P122="Chen 25 B",Atletas!P122="Chen 36 B",Atletas!P122="Chen 56 B"),408,IF(Atletas!P122="Sun 73 B",409,IF(Atletas!P122="Wu 45 B",410,IF(Atletas!P122="Wu-Hao 46 B",411,IF(OR(Atletas!P122="Taijiquan 16 B",Atletas!P122="Taijiquan 24 B",Atletas!P122="Taijiquan 32 B",Atletas!P122="Taijiquan 42 B"),412,IF(OR(Atletas!P122="Yang 26 C",Atletas!P122="Yang 40 C"),413,IF(OR(Atletas!P122="Chen 25 C",Atletas!P122="Chen 36 C",Atletas!P122="Chen 56 C"),414,IF(Atletas!P122="Sun 73 C",415,IF(Atletas!P122="Wu 45 C",416,IF(Atletas!P122="Wu-Hao 46 C",417,IF(OR(Atletas!P122="Taijiquan 16 C",Atletas!P122="Taijiquan 24 C",Atletas!P122="Taijiquan 32 C",Atletas!P122="Taijiquan 42 C"),418,0)))))))))))))))))))</f>
        <v/>
      </c>
      <c r="BX131" s="50" t="str">
        <f>IF(Atletas!P122="","",IF(Atletas!X122&lt;&gt;"",10000,0)+IF(Atletas!B122="Feminino",1000,IF(Atletas!B122="Masculino",2000,""))+IF(OR(Atletas!P122="Yang 26 D",Atletas!P122="Yang 40 D"),419,IF(OR(Atletas!P122="Chen 25 D",Atletas!P122="Chen 36 D",Atletas!P122="Chen 56 D"),420,IF(Atletas!P122="Sun 73 D",421,IF(Atletas!P122="Wu 45 D",422,IF(Atletas!P122="Wu-Hao 46 D",423,IF(OR(Atletas!P122="Taijiquan 16 D",Atletas!P122="Taijiquan 24 D",Atletas!P122="Taijiquan 32 D",Atletas!P122="Taijiquan 42 D"),424,IF(OR(Atletas!P122="Yang 26 E",Atletas!P122="Yang 40 E"),425,IF(OR(Atletas!P122="Chen 25 E",Atletas!P122="Chen 36 E",Atletas!P122="Chen 56 E"),426,IF(Atletas!P122="Sun 73 E",427,IF(Atletas!P122="Wu 45 E",428,IF(Atletas!P122="Wu-Hao 46 E",429,IF(OR(Atletas!P122="Taijiquan 16 E",Atletas!P122="Taijiquan 24 E",Atletas!P122="Taijiquan 32 E",Atletas!P122="Taijiquan 42 E"),430,IF(OR(Atletas!P122="Yang 26 F",Atletas!P122="Yang 40 F"),431,IF(OR(Atletas!P122="Chen 25 F",Atletas!P122="Chen 36 F",Atletas!P122="Chen 56 F"),432,IF(Atletas!P122="Sun 73 F",433,IF(Atletas!P122="Wu 45 F",434,IF(Atletas!P122="Wu-Hao 46 F",435,IF(OR(Atletas!P122="Taijiquan 16 F",Atletas!P122="Taijiquan 24 F",Atletas!P122="Taijiquan 32 F",Atletas!P122="Taijiquan 42 F"),436,0)))))))))))))))))))</f>
        <v/>
      </c>
      <c r="BY131" s="50" t="str">
        <f>IF(Atletas!Q122="","",IF(Atletas!X122&lt;&gt;"",10000,0)+IF(Atletas!B122="Feminino",1000,IF(Atletas!B122="Masculino",2000,""))+IF(Atletas!Q122="Xingyiquan A",501,IF(Atletas!Q122="Baguazhang A",502,IF(Atletas!Q122="Outro Estilo Interno A",503,IF(Atletas!Q122="Xingyiquan B",504,IF(Atletas!Q122="Baguazhang B",505,IF(Atletas!Q122="Outro Estilo Interno B",506,IF(Atletas!Q122="Xingyiquan C",507,IF(Atletas!Q122="Baguazhang C",508,IF(Atletas!Q122="Outro Estilo Interno C",509,IF(Atletas!Q122="Xingyiquan D",510,IF(Atletas!Q122="Baguazhang D",511,IF(Atletas!Q122="Outro Estilo Interno D",512,IF(Atletas!Q122="Xingyiquan E",513,IF(Atletas!Q122="Baguazhang E",514,IF(Atletas!Q122="Outro Estilo Interno E",515,IF(Atletas!Q122="Xingyiquan F",516,IF(Atletas!Q122="Baguazhang F",517,IF(Atletas!Q122="Outro Estilo Interno F",518, "")))))))))))))))))))</f>
        <v/>
      </c>
      <c r="BZ131" s="50" t="str">
        <f>IF(Atletas!R122="","",IF(Atletas!X122&lt;&gt;"",10000,0)+IF(Atletas!B122="Feminino",1000,IF(Atletas!B122="Masculino",2000,""))+IF(Atletas!R122="Dao A",601,IF(Atletas!R122="Jian A",602,IF(Atletas!R122="Bishou A",603,IF(Atletas!R122="Shanzi A",604,IF(Atletas!R122="Outra Arma Curta A",605,IF(Atletas!R122="Dao B",606,IF(Atletas!R122="Jian B",607,IF(Atletas!R122="Bishou B",608,IF(Atletas!R122="Shanzi B",609,IF(Atletas!R122="Outra Arma Curta B",610,IF(Atletas!R122="Dao C",611,IF(Atletas!R122="Jian C",612,IF(Atletas!R122="Bishou C",613,IF(Atletas!R122="Shanzi C",614,IF(Atletas!R122="Outra Arma Curta C",615,IF(Atletas!R122="Dao D",616,IF(Atletas!R122="Jian D",617,IF(Atletas!R122="Bishou D",618,IF(Atletas!R122="Shanzi D",619,IF(Atletas!R122="Outra Arma Curta D",620,IF(Atletas!R122="Dao E",621,IF(Atletas!R122="Jian E",622,IF(Atletas!R122="Bishou E",623,IF(Atletas!R122="Shanzi E",624,IF(Atletas!R122="Outra Arma Curta E",625,IF(Atletas!R122="Dao F",626,IF(Atletas!R122="Jian F",627,IF(Atletas!R122="Bishou F",628,IF(Atletas!R122="Shanzi F",629,IF(Atletas!R122="Outra Arma Curta F",630, "")))))))))))))))))))))))))))))))</f>
        <v/>
      </c>
      <c r="CA131" s="50" t="str">
        <f>IF(Atletas!S122="","",IF(Atletas!X122&lt;&gt;"",10000,0)+IF(Atletas!B122="Feminino",1000,IF(Atletas!B122="Masculino",2000,""))+IF(Atletas!S122="Gun A",701,IF(Atletas!S122="Qiang A",702,IF(Atletas!S122="Pudao / Guandao A",703,IF(Atletas!S122="Outra Arma Longa A",704,IF(Atletas!S122="Gun B",705,IF(Atletas!S122="Qiang B",706,IF(Atletas!S122="Pudao / Guandao B",707,IF(Atletas!S122="Outra Arma Longa B",708,IF(Atletas!S122="Gun C",709,IF(Atletas!S122="Qiang C",710,IF(Atletas!S122="Pudao / Guandao C",711,IF(Atletas!S122="Outra Arma Longa C",712,IF(Atletas!S122="Gun D",713,IF(Atletas!S122="Qiang D",714,IF(Atletas!S122="Pudao / Guandao D",715,IF(Atletas!S122="Outra Arma Longa D",716,IF(Atletas!S122="Gun E",717,IF(Atletas!S122="Qiang E",718,IF(Atletas!S122="Pudao / Guandao E",719,IF(Atletas!S122="Outra Arma Longa E",720,IF(Atletas!S122="Gun F",721,IF(Atletas!S122="Qiang F",722,IF(Atletas!S122="Pudao / Guandao F",723,IF(Atletas!S122="Outra Arma Longa F",724,"")))))))))))))))))))))))))</f>
        <v/>
      </c>
      <c r="CB131" s="50" t="str">
        <f>IF(Atletas!T122="","",IF(Atletas!X122&lt;&gt;"",10000,0)+IF(Atletas!B122="Feminino",1000,IF(Atletas!B122="Masculino",2000,""))+IF(Atletas!T122="Outra Arma Dupla A",801,IF(Atletas!T122="Arma Maleável A",802,IF(Atletas!T122="Outra Arma Dupla B",803,IF(Atletas!T122="Arma Maleável B",804,IF(Atletas!T122="Outra Arma Dupla C",805,IF(Atletas!T122="Arma Maleável C",806,IF(Atletas!T122="Outra Arma Dupla D",807,IF(Atletas!T122="Arma Maleável D",808,IF(Atletas!T122="Outra Arma Dupla E",809,IF(Atletas!T122="Arma Maleável E",810,IF(Atletas!T122="Outra Arma Dupla F",811,IF(Atletas!T122="Arma Maleável F",812,IF(Atletas!T122="Shuangdao A",813,IF(Atletas!T122="Shuangdao B",814,IF(Atletas!T122="Shuangdao C",815,IF(Atletas!T122="Shuangdao D",816,IF(Atletas!T122="Shuangdao E",817,IF(Atletas!T122="Shuangdao F",818,"")))))))))))))))))))</f>
        <v/>
      </c>
      <c r="CC131" s="50" t="str">
        <f>IF(Atletas!U122="","",IF(Atletas!X122&lt;&gt;"",10000,0)+IF(Atletas!B122="Feminino",1000,IF(Atletas!B122="Masculino",2000,""))+IF(OR(Atletas!U122="Taijijian Yang A",Atletas!U122="Taijijian Yang Standard A"),901,IF(OR(Atletas!U122="Taijijian Chen A", Atletas!U122="Taijijian Chen Standard A"),902,IF(Atletas!U122="Taijijian Sun A",903,IF(Atletas!U122="Taijijian Wu A",904,IF(Atletas!U122="Taijijian Wu-Hao A",905,IF(OR(Atletas!U122="Taijijian 32 A",Atletas!U122="Taijijian 42 A"),906,IF(OR(Atletas!U122="Taijijian Yang B",Atletas!U122="Taijijian Yang Standard B"),907,IF(OR(Atletas!U122="Taijijian Chen B", Atletas!U122="Taijijian Chen Standard B"),908,IF(Atletas!U122="Taijijian Sun B",909,IF(Atletas!U122="Taijijian Wu B",910,IF(Atletas!U122="Taijijian Wu-Hao B",911,IF(OR(Atletas!U122="Taijijian 32 B",Atletas!U122="Taijijian 42 B"),912,IF(OR(Atletas!U122="Taijijian Yang C",Atletas!U122="Taijijian Yang Standard C"),913,IF(OR(Atletas!U122="Taijijian Chen C", Atletas!U122="Taijijian Chen Standard C"),914,IF(Atletas!U122="Taijijian Sun C",915,IF(Atletas!U122="Taijijian Wu C",916,IF(Atletas!U122="Taijijian Wu-Hao C",917,IF(OR(Atletas!U122="Taijijian 32 C",Atletas!U122="Taijijian 42 C"),918,IF(OR(Atletas!U122="Taijijian Yang D",Atletas!U122="Taijijian Yang Standard D"),919,IF(OR(Atletas!U122="Taijijian Chen D", Atletas!U122="Taijijian Chen Standard D"),920,IF(Atletas!U122="Taijijian Sun D",921,IF(Atletas!U122="Taijijian Wu D",922,IF(Atletas!U122="Taijijian Wu-Hao D",923,IF(OR(Atletas!U122="Taijijian 32 D",Atletas!U122="Taijijian 42 D"),924,IF(OR(Atletas!U122="Taijijian Yang E",Atletas!U122="Taijijian Yang Standard E"),925,IF(OR(Atletas!U122="Taijijian Chen E", Atletas!U122="Taijijian Chen Standard E"),926,IF(Atletas!U122="Taijijian Sun E",927,IF(Atletas!U122="Taijijian Wu E",928,IF(Atletas!U122="Taijijian Wu-Hao E",929,IF(OR(Atletas!U122="Taijijian 32 E",Atletas!U122="Taijijian 42 E"),930,IF(OR(Atletas!U122="Taijijian Yang F",Atletas!U122="Taijijian Yang Standard F"),931,IF(OR(Atletas!U122="Taijijian Chen F", Atletas!U122="Taijijian Chen Standard F"),932,IF(Atletas!U122="Taijijian Sun F",933,IF(Atletas!U122="Taijijian Wu F",934,IF(Atletas!U122="Taijijian Wu-Hao F",935,IF(OR(Atletas!U122="Taijijian 32 F",Atletas!U122="Taijijian 42 F"),936,"")))))))))))))))))))))))))))))))))))))</f>
        <v/>
      </c>
      <c r="CD131" s="50" t="str">
        <f>IF(Atletas!V122="","",IF(Atletas!X122&lt;&gt;"",10000,0)+IF(Atletas!B122="Feminino",1000,IF(Atletas!B122="Masculino",2000,""))+IF(Atletas!V122="Taijidao A",937,IF(Atletas!V122="TaijiShanzi A",938,IF(Atletas!V122="Taijiqiang A",939,IF(Atletas!V122="Bagua de Arma A",940,IF(Atletas!V122="Xingyi de Arma A",941,IF(Atletas!V122="Taijidao B",942,IF(Atletas!V122="TaijiShanzi B",943,IF(Atletas!V122="Taijiqiang B",944,IF(Atletas!V122="Bagua de Arma B",945,IF(Atletas!V122="Xingyi de Arma B",946,IF(Atletas!V122="Taijidao C",947,IF(Atletas!V122="TaijiShanzi C",948,IF(Atletas!V122="Taijiqiang C",949,IF(Atletas!V122="Bagua de Arma C",950,IF(Atletas!V122="Xingyi de Arma C",951,IF(Atletas!V122="Taijidao D",952,IF(Atletas!V122="TaijiShanzi D",953,IF(Atletas!V122="Taijiqiang D",954,IF(Atletas!V122="Bagua de Arma D",955,IF(Atletas!V122="Xingyi de Arma D",956,IF(Atletas!V122="Taijidao E",957,IF(Atletas!V122="TaijiShanzi E",958,IF(Atletas!V122="Taijiqiang E",959,IF(Atletas!V122="Bagua de Arma E",960,IF(Atletas!V122="Xingyi de Arma E",961,IF(Atletas!V122="Taijidao F",962,IF(Atletas!V122="TaijiShanzi F",963,IF(Atletas!V122="Taijiqiang F",964,IF(Atletas!V122="Bagua de Arma F",965,IF(Atletas!V122="Xingyi de Arma F",966,"")))))))))))))))))))))))))))))))</f>
        <v/>
      </c>
      <c r="CE131" s="66" t="str">
        <f>IF(CF131&lt;&gt;"","Houquan D","")</f>
        <v/>
      </c>
      <c r="CF131" s="66" t="str">
        <f>IF(COUNTIF(BR:CD,1211)&gt;0,COUNTIF(BR:CD,1211),"")</f>
        <v/>
      </c>
      <c r="CG131" s="66" t="str">
        <f>IF(CH131&lt;&gt;"","Houquan D","")</f>
        <v/>
      </c>
      <c r="CH131" s="66" t="str">
        <f>IF(COUNTIF(BR:CD,2211)&gt;0,COUNTIF(BR:CD,2211),"")</f>
        <v/>
      </c>
      <c r="CI131" s="66" t="str">
        <f>IF(CJ131&lt;&gt;"","Houquan F","")</f>
        <v/>
      </c>
      <c r="CJ131" s="66" t="str">
        <f>IF(COUNTIF(BR:CD,11217)&gt;0,COUNTIF(BR:CD,11217),"")</f>
        <v/>
      </c>
      <c r="CK131" s="66" t="str">
        <f>IF(CL131&lt;&gt;"","Houquan F","")</f>
        <v/>
      </c>
      <c r="CL131" s="66" t="str">
        <f>IF(COUNTIF(BR:CD,12217)&gt;0,COUNTIF(BR:CD,12217),"")</f>
        <v/>
      </c>
      <c r="CM131" s="50" t="str">
        <f xml:space="preserve"> IF(Atletas!W122="","",IF(Atletas!W122="Duilian de Mãos BC - Equipe 1",1,IF(Atletas!W122="Duilian de Mãos BC - Equipe 2",2,IF(Atletas!W122="Duilian de Armas BC - Equipe 1",3,IF(Atletas!W122="Duilian de Armas BC - Equipe 2",4,IF(Atletas!W122="Duilian de Mãos DE - Equipe 1",5,IF(Atletas!W122="Duilian de Mãos DE - Equipe 2",6,IF(Atletas!W122="Duilian de Armas DE - Equipe 1",7,IF(Atletas!W122="Duilian de Armas DE - Equipe 2",8,IF(Atletas!W122="Duilian de Tuishou - Equipe 1",9,IF(Atletas!W122="Duilian de Tuishou - Equipe 2",10,IF(Atletas!W122="Grupo Externo ABC - Equipe 1",11,IF(Atletas!W122="Grupo Externo ABC - Equipe 2",12,IF(Atletas!W122="Grupo Interno ABC - Equipe 1",13,IF(Atletas!W122="Grupo Interno ABC - Equipe 2",14,IF(Atletas!W122="Grupo Externo DEF - Equipe 1",15,IF(Atletas!W122="Grupo Externo DEF - Equipe 2",16,IF(Atletas!W122="Grupo Interno DEF - Equipe 1",17,IF(Atletas!W122="Grupo Interno DEF - Equipe 2",18,"")))))))))))))))))))</f>
        <v/>
      </c>
    </row>
    <row r="132" spans="2:91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 t="str">
        <f t="array" ref="Z132">IFERROR(INDEX(CE$7:CE$348,SMALL(IF(CE$7:CE$348&lt;&gt;"",ROW(CE$7:CE$348)-ROW(CE$7)+1),ROWS(CE$7:CE131))),"")</f>
        <v/>
      </c>
      <c r="AA132" s="3" t="str">
        <f t="array" ref="AA132">IFERROR(INDEX(CF$7:CF$348,SMALL(IF(CF$7:CF$348&lt;&gt;"",ROW(CF$7:CF$348)-ROW(CF$7)+1),ROWS(CF$7:CF131))),"")</f>
        <v/>
      </c>
      <c r="AB132" s="3" t="str">
        <f t="array" ref="AB132">IFERROR(INDEX(CG$7:CG$348,SMALL(IF(CG$7:CG$348&lt;&gt;"",ROW(CG$7:CG$348)-ROW(CG$7)+1),ROWS(CG$7:CG131))),"")</f>
        <v/>
      </c>
      <c r="AC132" s="3" t="str">
        <f t="array" ref="AC132">IFERROR(INDEX(CH$7:CH$348,SMALL(IF(CH$7:CH$348&lt;&gt;"",ROW(CH$7:CH$348)-ROW(CH$7)+1),ROWS(CH$7:CH131))),"")</f>
        <v/>
      </c>
      <c r="AD132" s="3" t="str">
        <f t="array" ref="AD132">IFERROR(INDEX(CI$7:CI$377,SMALL(IF(CI$7:CI$377&lt;&gt;"",ROW(CI$7:CI$377)-ROW(CI$7)+1),ROWS(CI$7:CI131))),"")</f>
        <v/>
      </c>
      <c r="AE132" s="3" t="str">
        <f t="array" ref="AE132">IFERROR(INDEX(CJ$7:CJ$378,SMALL(IF(CJ$7:CJ$378&lt;&gt;"",ROW(CJ$7:CJ$378)-ROW(CJ$7)+1),ROWS(CJ$7:CJ131))),"")</f>
        <v/>
      </c>
      <c r="AF132" s="3" t="str">
        <f t="array" ref="AF132">IFERROR(INDEX(CK$7:CK$378,SMALL(IF(CK$7:CK$378&lt;&gt;"",ROW(CK$7:CK$378)-ROW(CK$7)+1),ROWS(CK$7:CK131))),"")</f>
        <v/>
      </c>
      <c r="AG132" s="3" t="str">
        <f t="array" ref="AG132">IFERROR(INDEX(CL$7:CL$378,SMALL(IF(CL$7:CL$378&lt;&gt;"",ROW(CL$7:CL$378)-ROW(CL$7)+1),ROWS(CL$7:CL131))),"")</f>
        <v/>
      </c>
      <c r="AH132" s="3"/>
      <c r="AI132" s="3"/>
      <c r="AJ132" s="3"/>
      <c r="AK132" s="3"/>
      <c r="AL132" s="3"/>
      <c r="AM132" s="3"/>
      <c r="AN132" s="52" t="str">
        <f>IF(Atletas!D123="","",IF(Atletas!B123="Feminino",100,IF(Atletas!B123="Masculino",200,""))+(IF(Atletas!D123="Kids 30kg",1,IF(Atletas!D123="Kids 32kg",2, IF(Atletas!D123="Kids 34kg",3,IF(Atletas!D123="Kids 36kg",4,IF(Atletas!D123="Kids 39kg",5,IF(Atletas!D123="Kids 42kg",6,IF(Atletas!D123="Kids 45kg",7, IF(Atletas!D123="Infantil 39kg",8,IF(Atletas!D123="Infantil 42kg",9,IF(Atletas!D123="Infantil 45kg",10,IF(Atletas!D123="Infantil 48kg",11,IF(Atletas!D123="Infantil 52kg",12,IF(Atletas!D123="Infantil 56kg",13,IF(Atletas!D123="Infantil 60kg",14,IF(Atletas!D123="Juvenil 48kg",15,IF(Atletas!D123="Juvenil 52kg",16,IF(Atletas!D123="Juvenil 56kg",17,IF(Atletas!D123="Juvenil 60kg",18,IF(Atletas!D123="Juvenil 65kg",19,IF(Atletas!D123="Juvenil 70kg",20,IF(Atletas!D123="Juvenil 75kg",21,IF(Atletas!D123="Juvenil 80kg",22, IF(Atletas!D123="Juvenil 85kg",23,IF(Atletas!D123="Adulto 48kg",24,IF(Atletas!D123="Adulto 52kg",25,IF(Atletas!D123="Adulto 56kg",26,IF(Atletas!D123="Adulto 60kg",27,IF(Atletas!D123="Adulto 65kg",28,IF(Atletas!D123="Adulto 70kg",29,IF(Atletas!D123="Adulto 75kg",30,IF(Atletas!D123="Adulto 80kg",31,IF(Atletas!D123="Adulto 85kg",32,IF(Atletas!D123="Adulto 90kg",33,IF(Atletas!D123="Adulto 100kg",34, IF(Atletas!D123="Adulto +100kg",35,"")))))))))))))))))))))))))))))))))))))</f>
        <v/>
      </c>
      <c r="AS132" s="6" t="str">
        <f>IF(Atletas!E123="","",IF(Atletas!B123="Feminino",100,IF(Atletas!B123="Masculino",200,""))+(IF(Atletas!E123="Juvenil 44kg",1,IF(Atletas!E123="Juvenil 48kg",2,IF(Atletas!E123="Juvenil 52kg",3,IF(Atletas!E123="Juvenil 56kg",4,IF(Atletas!E123="Juvenil 60kg",5,IF(Atletas!E123="Juvenil 65kg",6,IF(Atletas!E123="Juvenil 70kg",7,IF(Atletas!E123="Juvenil 75kg",8,IF(Atletas!E123="Juvenil 82kg",9,IF(Atletas!E123="Juvenil 90kg",10,IF(Atletas!E123="Juvenil 100kg",11,IF(Atletas!E123="Adulto 48kg",12,IF(Atletas!E123="Adulto 52kg",13,IF(Atletas!E123="Adulto 56kg",14,IF(Atletas!E123="Adulto 60kg",15,IF(Atletas!E123="Adulto 65kg",16,IF(Atletas!E123="Adulto 70kg",17,IF(Atletas!E123="Adulto 75kg",18,IF(Atletas!E123="Adulto 82kg",19,IF(Atletas!E123="Adulto 90kg",20,IF(Atletas!E123="Adulto 100kg",21,IF(Atletas!E123="Adulto +100kg",22,""))))))))))))))))))))))))</f>
        <v/>
      </c>
      <c r="AX132" s="6" t="str">
        <f>IF(Atletas!F123="","",IF(Atletas!B123="Feminino",100,IF(Atletas!B123="Masculino",200,""))+(IF(Atletas!F123="Adulto 48kg",1,IF(Atletas!F123="Adulto 56kg",2,IF(Atletas!F123="Adulto 65kg",3,IF(Atletas!F123="Adulto 75kg",4,IF(Atletas!F123="Adulto +75kg",5,IF(Atletas!F123="Adulto 52kg",6,IF(Atletas!F123="Adulto 60kg",7,IF(Atletas!F123="Adulto 70kg",8,IF(Atletas!F123="Adulto 80kg",9,IF(Atletas!F123="Adulto 90kg",10,IF(Atletas!F123="Adulto +90kg",11,"")))))))))))))</f>
        <v/>
      </c>
      <c r="BC132" s="6" t="str">
        <f>IF(Atletas!G123="","",IF(Atletas!B123="Feminino",10,IF(Atletas!B123="Masculino",20,""))+(IF(Atletas!G123="Baduanjin A",1,IF(Atletas!G123="Baduanjin B",2))))</f>
        <v/>
      </c>
      <c r="BF132" s="52" t="str">
        <f>IF(Atletas!H123="","",IF(Atletas!B123="Feminino",100,IF(Atletas!B123="Masculino",200,""))+(IF(Atletas!H123="Changquan Mirim",1,IF(Atletas!H123="Nanquan Mirim",2,IF(Atletas!H123="Taijiquan Mirim",3,IF(Atletas!H123="Changquan Grupo C",4,IF(Atletas!H123="Nanquan Grupo C",5,IF(Atletas!H123="Taijiquan Grupo C",6,IF(Atletas!H123="Changquan Grupo B",7,IF(Atletas!H123="Nanquan Grupo B",8,IF(Atletas!H123="Taijiquan Grupo B",9,IF(Atletas!H123="Changquan Grupo A",10,IF(Atletas!H123="Nanquan Grupo A",11,IF(Atletas!H123="Taijiquan Grupo A",12,IF(Atletas!H123="Changquan Opcional",13,IF(Atletas!H123="Nanquan Opcional",14,IF(Atletas!H123="Taijiquan Opcional",15,IF(Atletas!H123="Changquan Adulto",16,IF(Atletas!H123="Nanquan Adulto",17,IF(Atletas!H123="Taijiquan Adulto",18,""))))))))))))))))))))</f>
        <v/>
      </c>
      <c r="BG132" s="52" t="str">
        <f>IF(Atletas!I123="","",IF(Atletas!B123="Feminino",100,IF(Atletas!B123="Masculino",200,""))+(IF(Atletas!I123="Daoshu Mirim",19,IF(Atletas!I123="Jianshu Mirim",20,IF(Atletas!I123="Nandao Mirim",21,IF(Atletas!I123="Taijijian Mirim",22,IF(Atletas!I123="Daoshu Grupo C",23,IF(Atletas!I123="Jianshu Grupo C",24,IF(Atletas!I123="Nandao Grupo C",25,IF(Atletas!I123="Taijijian Grupo C",26,IF(Atletas!I123="Daoshu Grupo B",27,IF(Atletas!I123="Jianshu Grupo B",28,IF(Atletas!I123="Nandao Grupo B",29,IF(Atletas!I123="Taijijian Grupo B",30,IF(Atletas!I123="Daoshu Grupo A",31,IF(Atletas!I123="Jianshu Grupo A",32,IF(Atletas!I123="Nandao Grupo A",33,IF(Atletas!I123="Taijijian Grupo A",34,IF(Atletas!I123="Daoshu Opcional",35,IF(Atletas!I123="Jianshu Opcional",36,IF(Atletas!I123="Nandao Opcional",37,IF(Atletas!I123="Taijijian Opcional",38,IF(Atletas!I123="Daoshu Adulto",39,IF(Atletas!I123="Jianshu Adulto",40,IF(Atletas!I123="Nandao Adulto",41,IF(Atletas!I123="Taijijian Adulto",42,""))))))))))))))))))))))))))</f>
        <v/>
      </c>
      <c r="BH132" s="52" t="str">
        <f>IF(Atletas!J123="","",IF(Atletas!B123="Feminino",100,IF(Atletas!B123="Masculino",200,""))+(IF(Atletas!J123="Gunshu Mirim",43,IF(Atletas!J123="Qiangshu Mirim",44,IF(Atletas!J123="Nangun Mirim",45,IF(Atletas!J123="Gunshu Grupo C",46,IF(Atletas!J123="Qiangshu Grupo C",47,IF(Atletas!J123="Nangun Grupo C",48,IF(Atletas!J123="Gunshu Grupo B",49,IF(Atletas!J123="Qiangshu Grupo B",50,IF(Atletas!J123="Nangun Grupo B",51,IF(Atletas!J123="Gunshu Grupo A",52,IF(Atletas!J123="Qiangshu Grupo A",53,IF(Atletas!J123="Nangun Grupo A",54,IF(Atletas!J123="Gunshu Opcional",55,IF(Atletas!J123="Qiangshu Opcional",56,IF(Atletas!J123="Nangun Opcional",57,IF(Atletas!J123="Gunshu Adulto",58,IF(Atletas!J123="Qiangshu Adulto",59,IF(Atletas!J123="Nangun Adulto",60,IF(Atletas!J123="Taijishan Grupo B",61,IF(Atletas!J123="Taijishan Grupo A",62,""))))))))))))))))))))))</f>
        <v/>
      </c>
      <c r="BM132" s="50" t="str">
        <f>IF(Atletas!K123="","",IF(Atletas!B123="Feminino",100,IF(Atletas!B123="Masculino",200,""))+(IF(Atletas!K123="Equipe 1 Grupo B",1,IF(Atletas!K123="Equipe 2 Grupo B",2,IF(Atletas!K123="Equipe 1 Grupo A",3,IF(Atletas!K123="Equipe 2 Grupo A",4,IF(Atletas!K123="Equipe 1 Adulto",5,IF(Atletas!K123="Equipe 2 Adulto",6,""))))))))</f>
        <v/>
      </c>
      <c r="BR132" s="50" t="str">
        <f>IF(Atletas!L123="","",IF(Atletas!X123&lt;&gt;"",10000,0)+(IF(Atletas!B123="Feminino",1000,IF(Atletas!B123="Masculino",2000,""))+IF(Atletas!L123="Choylayfut A",1,IF(Atletas!L123="Hunggar A",2,IF(Atletas!L123="Wuzuquan A",3,IF(Atletas!L123="Wingchun A",4,IF(Atletas!L123="Outra Mão de Sul A",5,IF(Atletas!L123="Choylayfut B",6,IF(Atletas!L123="Hunggar B",7,IF(Atletas!L123="Wuzuquan B",8,IF(Atletas!L123="Wingchun B",9,IF(Atletas!L123="Outra Mão de Sul B",10,IF(Atletas!L123="Choylayfut C",11,IF(Atletas!L123="Hunggar C",12,IF(Atletas!L123="Wuzuquan C",13,IF(Atletas!L123="Wingchun C",14,IF(Atletas!L123="Outra Mão de Sul C",15,IF(Atletas!L123="Choylayfut D",16,IF(Atletas!L123="Hunggar D",17,IF(Atletas!L123="Wuzuquan D",18,IF(Atletas!L123="Wingchun D",19,IF(Atletas!L123="Outra Mão de Sul D",20,IF(Atletas!L123="Choylayfut E",21,IF(Atletas!L123="Hunggar E",22,IF(Atletas!L123="Wuzuquan E",23,IF(Atletas!L123="Wingchun E",24,IF(Atletas!L123="Outra Mão de Sul E",25,IF(Atletas!L123="Choylayfut F",26,IF(Atletas!L123="Hunggar F",27,IF(Atletas!L123="Wuzuquan F",28,IF(Atletas!L123="Wingchun F",29,IF(Atletas!L123="Outra Mão de Sul F",30,IF(Atletas!L123="Dishuquan A",31,IF(Atletas!L123="Dishuquan B",32,IF(Atletas!L123="Dishuquan C",33,IF(Atletas!L123="Dishuquan D",34,IF(Atletas!L123="Dishuquan E",35,IF(Atletas!L123="Dishuquan F",36,""))))))))))))))))))))))))))))))))))))))</f>
        <v/>
      </c>
      <c r="BS132" s="50" t="str">
        <f>IF(Atletas!M123="","",IF(Atletas!X123&lt;&gt;"",10000,0)+(IF(Atletas!B123="Feminino",1000,IF(Atletas!B123="Masculino",2000,""))+(IF(Atletas!M123="Chaquan A",101,IF(Atletas!M123="Emeiquan A",102,IF(Atletas!M123="Fanziquan A",103,IF(Atletas!M123="Huaquan A",104,IF(Atletas!M123="Hongquan A",105,IF(Atletas!M123="Paoquan A",106,IF(Atletas!M123="Piguaquan A",107,IF(Atletas!M123="Shaolinquan A",108,IF(Atletas!M123="Tanglangquan A",109,IF(Atletas!M123="Yingzhaoquan A",110,IF(Atletas!M123="Tongbeiquan A",111,IF(Atletas!M123="Wudangquan A",112,IF(Atletas!M123="Outros Estilos A",113,IF(Atletas!M123="Chaquan B",114,IF(Atletas!M123="Emeiquan B",115,IF(Atletas!M123="Fanziquan B",116,IF(Atletas!M123="Huaquan B",117,IF(Atletas!M123="Hongquan B",118,IF(Atletas!M123="Paoquan B",119,IF(Atletas!M123="Piguaquan B",120,IF(Atletas!M123="Shaolinquan B",121,IF(Atletas!M123="Tanglangquan B",122,IF(Atletas!M123="Yingzhaoquan B",123,IF(Atletas!M123="Tongbeiquan B",124,IF(Atletas!M123="Wudangquan B",125,IF(Atletas!M123="Outros Estilos B",126,IF(Atletas!M123="Chaquan C",127,IF(Atletas!M123="Emeiquan C",128,IF(Atletas!M123="Fanziquan C",129,IF(Atletas!M123="Huaquan C",130,IF(Atletas!M123="Hongquan C",131,IF(Atletas!M123="Paoquan C",132,IF(Atletas!M123="Piguaquan C",133,IF(Atletas!M123="Shaolinquan C",134,IF(Atletas!M123="Tanglangquan C",135,IF(Atletas!M123="Yingzhaoquan C",136,IF(Atletas!M123="Tongbeiquan C",137,IF(Atletas!M123="Wudangquan C",138,IF(Atletas!M123="Outros Estilos C",139,0))))))))))))))))))))))))))))))))))))))))))</f>
        <v/>
      </c>
      <c r="BT132" s="50" t="str">
        <f>IF(Atletas!M123="","",IF(Atletas!X123&lt;&gt;"",10000,0)+(IF(Atletas!B123="Feminino",1000,IF(Atletas!B123="Masculino",2000,""))+(IF(Atletas!M123="Chaquan D",140,IF(Atletas!M123="Emeiquan D",141,IF(Atletas!M123="Fanziquan D",142,IF(Atletas!M123="Huaquan D",143,IF(Atletas!M123="Hongquan D",144,IF(Atletas!M123="Paoquan D",145,IF(Atletas!M123="Piguaquan D",146,IF(Atletas!M123="Shaolinquan D",147,IF(Atletas!M123="Tanglangquan D",148,IF(Atletas!M123="Yingzhaoquan D",149,IF(Atletas!M123="Tongbeiquan D",150,IF(Atletas!M123="Wudangquan D",151,IF(Atletas!M123="Outros Estilos D",152,IF(Atletas!M123="Chaquan E",153,IF(Atletas!M123="Emeiquan E",154,IF(Atletas!M123="Fanziquan E",155,IF(Atletas!M123="Huaquan E",156,IF(Atletas!M123="Hongquan E",157,IF(Atletas!M123="Paoquan E",158,IF(Atletas!M123="Piguaquan E",159,IF(Atletas!M123="Shaolinquan E",160,IF(Atletas!M123="Tanglangquan E",161,IF(Atletas!M123="Yingzhaoquan E",162,IF(Atletas!M123="Tongbeiquan E",163,IF(Atletas!M123="Wudangquan E",164,IF(Atletas!M123="Outros Estilos E",165,IF(Atletas!M123="Chaquan F",166,IF(Atletas!M123="Emeiquan F",167,IF(Atletas!M123="Fanziquan F",168,IF(Atletas!M123="Huaquan F",169,IF(Atletas!M123="Hongquan F",170,IF(Atletas!M123="Paoquan F",171,IF(Atletas!M123="Piguaquan F",172,IF(Atletas!M123="Shaolinquan F",173,IF(Atletas!M123="Tanglangquan F",174,IF(Atletas!M123="Yingzhaoquan F",175,IF(Atletas!M123="Tongbeiquan F",176,IF(Atletas!M123="Wudangquan F",177,IF(Atletas!M123="Outros Estilos F",178,0))))))))))))))))))))))))))))))))))))))))))</f>
        <v/>
      </c>
      <c r="BU132" s="50" t="str">
        <f>IF(Atletas!N123="","",IF(Atletas!X123&lt;&gt;"",10000,0)+(IF(Atletas!B123="Feminino",1000,IF(Atletas!B123="Masculino",2000,""))+(IF(Atletas!N123="Ditangquan A",201,IF(Atletas!N123="Houquan A",202,IF(Atletas!N123="Zuiquan A",203,IF(Atletas!N123="Ditangquan B",204,IF(Atletas!N123="Houquan B",205,IF(Atletas!N123="Zuiquan B",206,IF(Atletas!N123="Ditangquan C",207,IF(Atletas!N123="Houquan C",208,IF(Atletas!N123="Zuiquan C",209,IF(Atletas!N123="Ditangquan D",210,IF(Atletas!N123="Houquan D",211,IF(Atletas!N123="Zuiquan D",212,IF(Atletas!N123="Ditangquan E",213,IF(Atletas!N123="Houquan E",214,IF(Atletas!N123="Zuiquan E",215,IF(Atletas!N123="Ditangquan F",216,IF(Atletas!N123="Houquan F",217,IF(Atletas!N123="Zuiquan F",218,"")))))))))))))))))))))</f>
        <v/>
      </c>
      <c r="BV132" s="50" t="str">
        <f>IF(Atletas!O123="","",IF(Atletas!X123&lt;&gt;"",10000,0)+IF(Atletas!B123="Feminino",1000,IF(Atletas!B123="Masculino",2000,""))+IF(Atletas!O123="Yang A",301,IF(Atletas!O123="Chen A",302,IF(Atletas!O123="Sun A",303,IF(Atletas!O123="Wu A",304,IF(Atletas!O123="Wu-Hao A",305,IF(Atletas!O123="Outro Taijiquan A",306,IF(Atletas!O123="Yang B",307,IF(Atletas!O123="Chen B",308,IF(Atletas!O123="Sun B",309,IF(Atletas!O123="Wu B",310,IF(Atletas!O123="Wu-Hao B",311,IF(Atletas!O123="Outro Taijiquan B",312,IF(Atletas!O123="Yang C",313,IF(Atletas!O123="Chen C",314,IF(Atletas!O123="Sun C",315,IF(Atletas!O123="Wu C",316,IF(Atletas!O123="Wu-Hao C",317,IF(Atletas!O123="Outro Taijiquan C",318,IF(Atletas!O123="Yang D",319,IF(Atletas!O123="Chen D",320,IF(Atletas!O123="Sun D",321,IF(Atletas!O123="Wu D",322,IF(Atletas!O123="Wu-Hao D",323,IF(Atletas!O123="Outro Taijiquan D",324,IF(Atletas!O123="Yang E",325,IF(Atletas!O123="Chen E",326,IF(Atletas!O123="Sun E",327,IF(Atletas!O123="Wu E",328,IF(Atletas!O123="Wu-Hao E",329,IF(Atletas!O123="Outro Taijiquan E",330,IF(Atletas!O123="Yang F",331,IF(Atletas!O123="Chen F",332,IF(Atletas!O123="Sun F",333,IF(Atletas!O123="Wu F",334,IF(Atletas!O123="Wu-Hao F",335,IF(Atletas!O123="Outro Taijiquan F",336,"")))))))))))))))))))))))))))))))))))))</f>
        <v/>
      </c>
      <c r="BW132" s="50" t="str">
        <f>IF(Atletas!P123="","",IF(Atletas!X123&lt;&gt;"",10000,0)+IF(Atletas!B123="Feminino",1000,IF(Atletas!B123="Masculino",2000,""))+IF(OR(Atletas!P123="Yang 26 A",Atletas!P123="Yang 40 A"),401,IF(OR(Atletas!P123="Chen 25 A",Atletas!P123="Chen 36 A",Atletas!P123="Chen 56 A"),402,IF(Atletas!P123="Sun 73 A",403,IF(Atletas!P123="Wu 45 A",404,IF(Atletas!P123="Wu-Hao 46 A",405,IF(OR(Atletas!P123="Taijiquan 16 A",Atletas!P123="Taijiquan 24 A",Atletas!P123="Taijiquan 32 A",Atletas!P123="Taijiquan 42 A"),406,IF(OR(Atletas!P123="Yang 26 B",Atletas!P123="Yang 40 B"),407,IF(OR(Atletas!P123="Chen 25 B",Atletas!P123="Chen 36 B",Atletas!P123="Chen 56 B"),408,IF(Atletas!P123="Sun 73 B",409,IF(Atletas!P123="Wu 45 B",410,IF(Atletas!P123="Wu-Hao 46 B",411,IF(OR(Atletas!P123="Taijiquan 16 B",Atletas!P123="Taijiquan 24 B",Atletas!P123="Taijiquan 32 B",Atletas!P123="Taijiquan 42 B"),412,IF(OR(Atletas!P123="Yang 26 C",Atletas!P123="Yang 40 C"),413,IF(OR(Atletas!P123="Chen 25 C",Atletas!P123="Chen 36 C",Atletas!P123="Chen 56 C"),414,IF(Atletas!P123="Sun 73 C",415,IF(Atletas!P123="Wu 45 C",416,IF(Atletas!P123="Wu-Hao 46 C",417,IF(OR(Atletas!P123="Taijiquan 16 C",Atletas!P123="Taijiquan 24 C",Atletas!P123="Taijiquan 32 C",Atletas!P123="Taijiquan 42 C"),418,0)))))))))))))))))))</f>
        <v/>
      </c>
      <c r="BX132" s="50" t="str">
        <f>IF(Atletas!P123="","",IF(Atletas!X123&lt;&gt;"",10000,0)+IF(Atletas!B123="Feminino",1000,IF(Atletas!B123="Masculino",2000,""))+IF(OR(Atletas!P123="Yang 26 D",Atletas!P123="Yang 40 D"),419,IF(OR(Atletas!P123="Chen 25 D",Atletas!P123="Chen 36 D",Atletas!P123="Chen 56 D"),420,IF(Atletas!P123="Sun 73 D",421,IF(Atletas!P123="Wu 45 D",422,IF(Atletas!P123="Wu-Hao 46 D",423,IF(OR(Atletas!P123="Taijiquan 16 D",Atletas!P123="Taijiquan 24 D",Atletas!P123="Taijiquan 32 D",Atletas!P123="Taijiquan 42 D"),424,IF(OR(Atletas!P123="Yang 26 E",Atletas!P123="Yang 40 E"),425,IF(OR(Atletas!P123="Chen 25 E",Atletas!P123="Chen 36 E",Atletas!P123="Chen 56 E"),426,IF(Atletas!P123="Sun 73 E",427,IF(Atletas!P123="Wu 45 E",428,IF(Atletas!P123="Wu-Hao 46 E",429,IF(OR(Atletas!P123="Taijiquan 16 E",Atletas!P123="Taijiquan 24 E",Atletas!P123="Taijiquan 32 E",Atletas!P123="Taijiquan 42 E"),430,IF(OR(Atletas!P123="Yang 26 F",Atletas!P123="Yang 40 F"),431,IF(OR(Atletas!P123="Chen 25 F",Atletas!P123="Chen 36 F",Atletas!P123="Chen 56 F"),432,IF(Atletas!P123="Sun 73 F",433,IF(Atletas!P123="Wu 45 F",434,IF(Atletas!P123="Wu-Hao 46 F",435,IF(OR(Atletas!P123="Taijiquan 16 F",Atletas!P123="Taijiquan 24 F",Atletas!P123="Taijiquan 32 F",Atletas!P123="Taijiquan 42 F"),436,0)))))))))))))))))))</f>
        <v/>
      </c>
      <c r="BY132" s="50" t="str">
        <f>IF(Atletas!Q123="","",IF(Atletas!X123&lt;&gt;"",10000,0)+IF(Atletas!B123="Feminino",1000,IF(Atletas!B123="Masculino",2000,""))+IF(Atletas!Q123="Xingyiquan A",501,IF(Atletas!Q123="Baguazhang A",502,IF(Atletas!Q123="Outro Estilo Interno A",503,IF(Atletas!Q123="Xingyiquan B",504,IF(Atletas!Q123="Baguazhang B",505,IF(Atletas!Q123="Outro Estilo Interno B",506,IF(Atletas!Q123="Xingyiquan C",507,IF(Atletas!Q123="Baguazhang C",508,IF(Atletas!Q123="Outro Estilo Interno C",509,IF(Atletas!Q123="Xingyiquan D",510,IF(Atletas!Q123="Baguazhang D",511,IF(Atletas!Q123="Outro Estilo Interno D",512,IF(Atletas!Q123="Xingyiquan E",513,IF(Atletas!Q123="Baguazhang E",514,IF(Atletas!Q123="Outro Estilo Interno E",515,IF(Atletas!Q123="Xingyiquan F",516,IF(Atletas!Q123="Baguazhang F",517,IF(Atletas!Q123="Outro Estilo Interno F",518, "")))))))))))))))))))</f>
        <v/>
      </c>
      <c r="BZ132" s="50" t="str">
        <f>IF(Atletas!R123="","",IF(Atletas!X123&lt;&gt;"",10000,0)+IF(Atletas!B123="Feminino",1000,IF(Atletas!B123="Masculino",2000,""))+IF(Atletas!R123="Dao A",601,IF(Atletas!R123="Jian A",602,IF(Atletas!R123="Bishou A",603,IF(Atletas!R123="Shanzi A",604,IF(Atletas!R123="Outra Arma Curta A",605,IF(Atletas!R123="Dao B",606,IF(Atletas!R123="Jian B",607,IF(Atletas!R123="Bishou B",608,IF(Atletas!R123="Shanzi B",609,IF(Atletas!R123="Outra Arma Curta B",610,IF(Atletas!R123="Dao C",611,IF(Atletas!R123="Jian C",612,IF(Atletas!R123="Bishou C",613,IF(Atletas!R123="Shanzi C",614,IF(Atletas!R123="Outra Arma Curta C",615,IF(Atletas!R123="Dao D",616,IF(Atletas!R123="Jian D",617,IF(Atletas!R123="Bishou D",618,IF(Atletas!R123="Shanzi D",619,IF(Atletas!R123="Outra Arma Curta D",620,IF(Atletas!R123="Dao E",621,IF(Atletas!R123="Jian E",622,IF(Atletas!R123="Bishou E",623,IF(Atletas!R123="Shanzi E",624,IF(Atletas!R123="Outra Arma Curta E",625,IF(Atletas!R123="Dao F",626,IF(Atletas!R123="Jian F",627,IF(Atletas!R123="Bishou F",628,IF(Atletas!R123="Shanzi F",629,IF(Atletas!R123="Outra Arma Curta F",630, "")))))))))))))))))))))))))))))))</f>
        <v/>
      </c>
      <c r="CA132" s="50" t="str">
        <f>IF(Atletas!S123="","",IF(Atletas!X123&lt;&gt;"",10000,0)+IF(Atletas!B123="Feminino",1000,IF(Atletas!B123="Masculino",2000,""))+IF(Atletas!S123="Gun A",701,IF(Atletas!S123="Qiang A",702,IF(Atletas!S123="Pudao / Guandao A",703,IF(Atletas!S123="Outra Arma Longa A",704,IF(Atletas!S123="Gun B",705,IF(Atletas!S123="Qiang B",706,IF(Atletas!S123="Pudao / Guandao B",707,IF(Atletas!S123="Outra Arma Longa B",708,IF(Atletas!S123="Gun C",709,IF(Atletas!S123="Qiang C",710,IF(Atletas!S123="Pudao / Guandao C",711,IF(Atletas!S123="Outra Arma Longa C",712,IF(Atletas!S123="Gun D",713,IF(Atletas!S123="Qiang D",714,IF(Atletas!S123="Pudao / Guandao D",715,IF(Atletas!S123="Outra Arma Longa D",716,IF(Atletas!S123="Gun E",717,IF(Atletas!S123="Qiang E",718,IF(Atletas!S123="Pudao / Guandao E",719,IF(Atletas!S123="Outra Arma Longa E",720,IF(Atletas!S123="Gun F",721,IF(Atletas!S123="Qiang F",722,IF(Atletas!S123="Pudao / Guandao F",723,IF(Atletas!S123="Outra Arma Longa F",724,"")))))))))))))))))))))))))</f>
        <v/>
      </c>
      <c r="CB132" s="50" t="str">
        <f>IF(Atletas!T123="","",IF(Atletas!X123&lt;&gt;"",10000,0)+IF(Atletas!B123="Feminino",1000,IF(Atletas!B123="Masculino",2000,""))+IF(Atletas!T123="Outra Arma Dupla A",801,IF(Atletas!T123="Arma Maleável A",802,IF(Atletas!T123="Outra Arma Dupla B",803,IF(Atletas!T123="Arma Maleável B",804,IF(Atletas!T123="Outra Arma Dupla C",805,IF(Atletas!T123="Arma Maleável C",806,IF(Atletas!T123="Outra Arma Dupla D",807,IF(Atletas!T123="Arma Maleável D",808,IF(Atletas!T123="Outra Arma Dupla E",809,IF(Atletas!T123="Arma Maleável E",810,IF(Atletas!T123="Outra Arma Dupla F",811,IF(Atletas!T123="Arma Maleável F",812,IF(Atletas!T123="Shuangdao A",813,IF(Atletas!T123="Shuangdao B",814,IF(Atletas!T123="Shuangdao C",815,IF(Atletas!T123="Shuangdao D",816,IF(Atletas!T123="Shuangdao E",817,IF(Atletas!T123="Shuangdao F",818,"")))))))))))))))))))</f>
        <v/>
      </c>
      <c r="CC132" s="50" t="str">
        <f>IF(Atletas!U123="","",IF(Atletas!X123&lt;&gt;"",10000,0)+IF(Atletas!B123="Feminino",1000,IF(Atletas!B123="Masculino",2000,""))+IF(OR(Atletas!U123="Taijijian Yang A",Atletas!U123="Taijijian Yang Standard A"),901,IF(OR(Atletas!U123="Taijijian Chen A", Atletas!U123="Taijijian Chen Standard A"),902,IF(Atletas!U123="Taijijian Sun A",903,IF(Atletas!U123="Taijijian Wu A",904,IF(Atletas!U123="Taijijian Wu-Hao A",905,IF(OR(Atletas!U123="Taijijian 32 A",Atletas!U123="Taijijian 42 A"),906,IF(OR(Atletas!U123="Taijijian Yang B",Atletas!U123="Taijijian Yang Standard B"),907,IF(OR(Atletas!U123="Taijijian Chen B", Atletas!U123="Taijijian Chen Standard B"),908,IF(Atletas!U123="Taijijian Sun B",909,IF(Atletas!U123="Taijijian Wu B",910,IF(Atletas!U123="Taijijian Wu-Hao B",911,IF(OR(Atletas!U123="Taijijian 32 B",Atletas!U123="Taijijian 42 B"),912,IF(OR(Atletas!U123="Taijijian Yang C",Atletas!U123="Taijijian Yang Standard C"),913,IF(OR(Atletas!U123="Taijijian Chen C", Atletas!U123="Taijijian Chen Standard C"),914,IF(Atletas!U123="Taijijian Sun C",915,IF(Atletas!U123="Taijijian Wu C",916,IF(Atletas!U123="Taijijian Wu-Hao C",917,IF(OR(Atletas!U123="Taijijian 32 C",Atletas!U123="Taijijian 42 C"),918,IF(OR(Atletas!U123="Taijijian Yang D",Atletas!U123="Taijijian Yang Standard D"),919,IF(OR(Atletas!U123="Taijijian Chen D", Atletas!U123="Taijijian Chen Standard D"),920,IF(Atletas!U123="Taijijian Sun D",921,IF(Atletas!U123="Taijijian Wu D",922,IF(Atletas!U123="Taijijian Wu-Hao D",923,IF(OR(Atletas!U123="Taijijian 32 D",Atletas!U123="Taijijian 42 D"),924,IF(OR(Atletas!U123="Taijijian Yang E",Atletas!U123="Taijijian Yang Standard E"),925,IF(OR(Atletas!U123="Taijijian Chen E", Atletas!U123="Taijijian Chen Standard E"),926,IF(Atletas!U123="Taijijian Sun E",927,IF(Atletas!U123="Taijijian Wu E",928,IF(Atletas!U123="Taijijian Wu-Hao E",929,IF(OR(Atletas!U123="Taijijian 32 E",Atletas!U123="Taijijian 42 E"),930,IF(OR(Atletas!U123="Taijijian Yang F",Atletas!U123="Taijijian Yang Standard F"),931,IF(OR(Atletas!U123="Taijijian Chen F", Atletas!U123="Taijijian Chen Standard F"),932,IF(Atletas!U123="Taijijian Sun F",933,IF(Atletas!U123="Taijijian Wu F",934,IF(Atletas!U123="Taijijian Wu-Hao F",935,IF(OR(Atletas!U123="Taijijian 32 F",Atletas!U123="Taijijian 42 F"),936,"")))))))))))))))))))))))))))))))))))))</f>
        <v/>
      </c>
      <c r="CD132" s="50" t="str">
        <f>IF(Atletas!V123="","",IF(Atletas!X123&lt;&gt;"",10000,0)+IF(Atletas!B123="Feminino",1000,IF(Atletas!B123="Masculino",2000,""))+IF(Atletas!V123="Taijidao A",937,IF(Atletas!V123="TaijiShanzi A",938,IF(Atletas!V123="Taijiqiang A",939,IF(Atletas!V123="Bagua de Arma A",940,IF(Atletas!V123="Xingyi de Arma A",941,IF(Atletas!V123="Taijidao B",942,IF(Atletas!V123="TaijiShanzi B",943,IF(Atletas!V123="Taijiqiang B",944,IF(Atletas!V123="Bagua de Arma B",945,IF(Atletas!V123="Xingyi de Arma B",946,IF(Atletas!V123="Taijidao C",947,IF(Atletas!V123="TaijiShanzi C",948,IF(Atletas!V123="Taijiqiang C",949,IF(Atletas!V123="Bagua de Arma C",950,IF(Atletas!V123="Xingyi de Arma C",951,IF(Atletas!V123="Taijidao D",952,IF(Atletas!V123="TaijiShanzi D",953,IF(Atletas!V123="Taijiqiang D",954,IF(Atletas!V123="Bagua de Arma D",955,IF(Atletas!V123="Xingyi de Arma D",956,IF(Atletas!V123="Taijidao E",957,IF(Atletas!V123="TaijiShanzi E",958,IF(Atletas!V123="Taijiqiang E",959,IF(Atletas!V123="Bagua de Arma E",960,IF(Atletas!V123="Xingyi de Arma E",961,IF(Atletas!V123="Taijidao F",962,IF(Atletas!V123="TaijiShanzi F",963,IF(Atletas!V123="Taijiqiang F",964,IF(Atletas!V123="Bagua de Arma F",965,IF(Atletas!V123="Xingyi de Arma F",966,"")))))))))))))))))))))))))))))))</f>
        <v/>
      </c>
      <c r="CE132" s="66" t="str">
        <f>IF(CF132&lt;&gt;"","Zuiquan D","")</f>
        <v/>
      </c>
      <c r="CF132" s="66" t="str">
        <f>IF(COUNTIF(BR:CD,1212)&gt;0,COUNTIF(BR:CD,1212),"")</f>
        <v/>
      </c>
      <c r="CG132" s="66" t="str">
        <f>IF(CH132&lt;&gt;"","Zuiquan D","")</f>
        <v/>
      </c>
      <c r="CH132" s="66" t="str">
        <f>IF(COUNTIF(BR:CD,2212)&gt;0,COUNTIF(BR:CD,2212),"")</f>
        <v/>
      </c>
      <c r="CI132" s="66" t="str">
        <f>IF(CJ132&lt;&gt;"","Zuiquan F","")</f>
        <v/>
      </c>
      <c r="CJ132" s="66" t="str">
        <f>IF(COUNTIF(BR:CD,11218)&gt;0,COUNTIF(BR:CD,11218),"")</f>
        <v/>
      </c>
      <c r="CK132" s="66" t="str">
        <f>IF(CL132&lt;&gt;"","Zuiquan F","")</f>
        <v/>
      </c>
      <c r="CL132" s="66" t="str">
        <f>IF(COUNTIF(BR:CD,12218)&gt;0,COUNTIF(BR:CD,12218),"")</f>
        <v/>
      </c>
      <c r="CM132" s="50" t="str">
        <f xml:space="preserve"> IF(Atletas!W123="","",IF(Atletas!W123="Duilian de Mãos BC - Equipe 1",1,IF(Atletas!W123="Duilian de Mãos BC - Equipe 2",2,IF(Atletas!W123="Duilian de Armas BC - Equipe 1",3,IF(Atletas!W123="Duilian de Armas BC - Equipe 2",4,IF(Atletas!W123="Duilian de Mãos DE - Equipe 1",5,IF(Atletas!W123="Duilian de Mãos DE - Equipe 2",6,IF(Atletas!W123="Duilian de Armas DE - Equipe 1",7,IF(Atletas!W123="Duilian de Armas DE - Equipe 2",8,IF(Atletas!W123="Duilian de Tuishou - Equipe 1",9,IF(Atletas!W123="Duilian de Tuishou - Equipe 2",10,IF(Atletas!W123="Grupo Externo ABC - Equipe 1",11,IF(Atletas!W123="Grupo Externo ABC - Equipe 2",12,IF(Atletas!W123="Grupo Interno ABC - Equipe 1",13,IF(Atletas!W123="Grupo Interno ABC - Equipe 2",14,IF(Atletas!W123="Grupo Externo DEF - Equipe 1",15,IF(Atletas!W123="Grupo Externo DEF - Equipe 2",16,IF(Atletas!W123="Grupo Interno DEF - Equipe 1",17,IF(Atletas!W123="Grupo Interno DEF - Equipe 2",18,"")))))))))))))))))))</f>
        <v/>
      </c>
    </row>
    <row r="133" spans="2:91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 t="str">
        <f t="array" ref="Z133">IFERROR(INDEX(CE$7:CE$348,SMALL(IF(CE$7:CE$348&lt;&gt;"",ROW(CE$7:CE$348)-ROW(CE$7)+1),ROWS(CE$7:CE132))),"")</f>
        <v/>
      </c>
      <c r="AA133" s="3" t="str">
        <f t="array" ref="AA133">IFERROR(INDEX(CF$7:CF$348,SMALL(IF(CF$7:CF$348&lt;&gt;"",ROW(CF$7:CF$348)-ROW(CF$7)+1),ROWS(CF$7:CF132))),"")</f>
        <v/>
      </c>
      <c r="AB133" s="3" t="str">
        <f t="array" ref="AB133">IFERROR(INDEX(CG$7:CG$348,SMALL(IF(CG$7:CG$348&lt;&gt;"",ROW(CG$7:CG$348)-ROW(CG$7)+1),ROWS(CG$7:CG132))),"")</f>
        <v/>
      </c>
      <c r="AC133" s="3" t="str">
        <f t="array" ref="AC133">IFERROR(INDEX(CH$7:CH$348,SMALL(IF(CH$7:CH$348&lt;&gt;"",ROW(CH$7:CH$348)-ROW(CH$7)+1),ROWS(CH$7:CH132))),"")</f>
        <v/>
      </c>
      <c r="AD133" s="3" t="str">
        <f t="array" ref="AD133">IFERROR(INDEX(CI$7:CI$377,SMALL(IF(CI$7:CI$377&lt;&gt;"",ROW(CI$7:CI$377)-ROW(CI$7)+1),ROWS(CI$7:CI132))),"")</f>
        <v/>
      </c>
      <c r="AE133" s="3" t="str">
        <f t="array" ref="AE133">IFERROR(INDEX(CJ$7:CJ$378,SMALL(IF(CJ$7:CJ$378&lt;&gt;"",ROW(CJ$7:CJ$378)-ROW(CJ$7)+1),ROWS(CJ$7:CJ132))),"")</f>
        <v/>
      </c>
      <c r="AF133" s="3" t="str">
        <f t="array" ref="AF133">IFERROR(INDEX(CK$7:CK$378,SMALL(IF(CK$7:CK$378&lt;&gt;"",ROW(CK$7:CK$378)-ROW(CK$7)+1),ROWS(CK$7:CK132))),"")</f>
        <v/>
      </c>
      <c r="AG133" s="3" t="str">
        <f t="array" ref="AG133">IFERROR(INDEX(CL$7:CL$378,SMALL(IF(CL$7:CL$378&lt;&gt;"",ROW(CL$7:CL$378)-ROW(CL$7)+1),ROWS(CL$7:CL132))),"")</f>
        <v/>
      </c>
      <c r="AH133" s="3"/>
      <c r="AI133" s="3"/>
      <c r="AJ133" s="3"/>
      <c r="AK133" s="3"/>
      <c r="AL133" s="3"/>
      <c r="AM133" s="3"/>
      <c r="AN133" s="52" t="str">
        <f>IF(Atletas!D124="","",IF(Atletas!B124="Feminino",100,IF(Atletas!B124="Masculino",200,""))+(IF(Atletas!D124="Kids 30kg",1,IF(Atletas!D124="Kids 32kg",2, IF(Atletas!D124="Kids 34kg",3,IF(Atletas!D124="Kids 36kg",4,IF(Atletas!D124="Kids 39kg",5,IF(Atletas!D124="Kids 42kg",6,IF(Atletas!D124="Kids 45kg",7, IF(Atletas!D124="Infantil 39kg",8,IF(Atletas!D124="Infantil 42kg",9,IF(Atletas!D124="Infantil 45kg",10,IF(Atletas!D124="Infantil 48kg",11,IF(Atletas!D124="Infantil 52kg",12,IF(Atletas!D124="Infantil 56kg",13,IF(Atletas!D124="Infantil 60kg",14,IF(Atletas!D124="Juvenil 48kg",15,IF(Atletas!D124="Juvenil 52kg",16,IF(Atletas!D124="Juvenil 56kg",17,IF(Atletas!D124="Juvenil 60kg",18,IF(Atletas!D124="Juvenil 65kg",19,IF(Atletas!D124="Juvenil 70kg",20,IF(Atletas!D124="Juvenil 75kg",21,IF(Atletas!D124="Juvenil 80kg",22, IF(Atletas!D124="Juvenil 85kg",23,IF(Atletas!D124="Adulto 48kg",24,IF(Atletas!D124="Adulto 52kg",25,IF(Atletas!D124="Adulto 56kg",26,IF(Atletas!D124="Adulto 60kg",27,IF(Atletas!D124="Adulto 65kg",28,IF(Atletas!D124="Adulto 70kg",29,IF(Atletas!D124="Adulto 75kg",30,IF(Atletas!D124="Adulto 80kg",31,IF(Atletas!D124="Adulto 85kg",32,IF(Atletas!D124="Adulto 90kg",33,IF(Atletas!D124="Adulto 100kg",34, IF(Atletas!D124="Adulto +100kg",35,"")))))))))))))))))))))))))))))))))))))</f>
        <v/>
      </c>
      <c r="AS133" s="6" t="str">
        <f>IF(Atletas!E124="","",IF(Atletas!B124="Feminino",100,IF(Atletas!B124="Masculino",200,""))+(IF(Atletas!E124="Juvenil 44kg",1,IF(Atletas!E124="Juvenil 48kg",2,IF(Atletas!E124="Juvenil 52kg",3,IF(Atletas!E124="Juvenil 56kg",4,IF(Atletas!E124="Juvenil 60kg",5,IF(Atletas!E124="Juvenil 65kg",6,IF(Atletas!E124="Juvenil 70kg",7,IF(Atletas!E124="Juvenil 75kg",8,IF(Atletas!E124="Juvenil 82kg",9,IF(Atletas!E124="Juvenil 90kg",10,IF(Atletas!E124="Juvenil 100kg",11,IF(Atletas!E124="Adulto 48kg",12,IF(Atletas!E124="Adulto 52kg",13,IF(Atletas!E124="Adulto 56kg",14,IF(Atletas!E124="Adulto 60kg",15,IF(Atletas!E124="Adulto 65kg",16,IF(Atletas!E124="Adulto 70kg",17,IF(Atletas!E124="Adulto 75kg",18,IF(Atletas!E124="Adulto 82kg",19,IF(Atletas!E124="Adulto 90kg",20,IF(Atletas!E124="Adulto 100kg",21,IF(Atletas!E124="Adulto +100kg",22,""))))))))))))))))))))))))</f>
        <v/>
      </c>
      <c r="AX133" s="6" t="str">
        <f>IF(Atletas!F124="","",IF(Atletas!B124="Feminino",100,IF(Atletas!B124="Masculino",200,""))+(IF(Atletas!F124="Adulto 48kg",1,IF(Atletas!F124="Adulto 56kg",2,IF(Atletas!F124="Adulto 65kg",3,IF(Atletas!F124="Adulto 75kg",4,IF(Atletas!F124="Adulto +75kg",5,IF(Atletas!F124="Adulto 52kg",6,IF(Atletas!F124="Adulto 60kg",7,IF(Atletas!F124="Adulto 70kg",8,IF(Atletas!F124="Adulto 80kg",9,IF(Atletas!F124="Adulto 90kg",10,IF(Atletas!F124="Adulto +90kg",11,"")))))))))))))</f>
        <v/>
      </c>
      <c r="BC133" s="6" t="str">
        <f>IF(Atletas!G124="","",IF(Atletas!B124="Feminino",10,IF(Atletas!B124="Masculino",20,""))+(IF(Atletas!G124="Baduanjin A",1,IF(Atletas!G124="Baduanjin B",2))))</f>
        <v/>
      </c>
      <c r="BF133" s="52" t="str">
        <f>IF(Atletas!H124="","",IF(Atletas!B124="Feminino",100,IF(Atletas!B124="Masculino",200,""))+(IF(Atletas!H124="Changquan Mirim",1,IF(Atletas!H124="Nanquan Mirim",2,IF(Atletas!H124="Taijiquan Mirim",3,IF(Atletas!H124="Changquan Grupo C",4,IF(Atletas!H124="Nanquan Grupo C",5,IF(Atletas!H124="Taijiquan Grupo C",6,IF(Atletas!H124="Changquan Grupo B",7,IF(Atletas!H124="Nanquan Grupo B",8,IF(Atletas!H124="Taijiquan Grupo B",9,IF(Atletas!H124="Changquan Grupo A",10,IF(Atletas!H124="Nanquan Grupo A",11,IF(Atletas!H124="Taijiquan Grupo A",12,IF(Atletas!H124="Changquan Opcional",13,IF(Atletas!H124="Nanquan Opcional",14,IF(Atletas!H124="Taijiquan Opcional",15,IF(Atletas!H124="Changquan Adulto",16,IF(Atletas!H124="Nanquan Adulto",17,IF(Atletas!H124="Taijiquan Adulto",18,""))))))))))))))))))))</f>
        <v/>
      </c>
      <c r="BG133" s="52" t="str">
        <f>IF(Atletas!I124="","",IF(Atletas!B124="Feminino",100,IF(Atletas!B124="Masculino",200,""))+(IF(Atletas!I124="Daoshu Mirim",19,IF(Atletas!I124="Jianshu Mirim",20,IF(Atletas!I124="Nandao Mirim",21,IF(Atletas!I124="Taijijian Mirim",22,IF(Atletas!I124="Daoshu Grupo C",23,IF(Atletas!I124="Jianshu Grupo C",24,IF(Atletas!I124="Nandao Grupo C",25,IF(Atletas!I124="Taijijian Grupo C",26,IF(Atletas!I124="Daoshu Grupo B",27,IF(Atletas!I124="Jianshu Grupo B",28,IF(Atletas!I124="Nandao Grupo B",29,IF(Atletas!I124="Taijijian Grupo B",30,IF(Atletas!I124="Daoshu Grupo A",31,IF(Atletas!I124="Jianshu Grupo A",32,IF(Atletas!I124="Nandao Grupo A",33,IF(Atletas!I124="Taijijian Grupo A",34,IF(Atletas!I124="Daoshu Opcional",35,IF(Atletas!I124="Jianshu Opcional",36,IF(Atletas!I124="Nandao Opcional",37,IF(Atletas!I124="Taijijian Opcional",38,IF(Atletas!I124="Daoshu Adulto",39,IF(Atletas!I124="Jianshu Adulto",40,IF(Atletas!I124="Nandao Adulto",41,IF(Atletas!I124="Taijijian Adulto",42,""))))))))))))))))))))))))))</f>
        <v/>
      </c>
      <c r="BH133" s="52" t="str">
        <f>IF(Atletas!J124="","",IF(Atletas!B124="Feminino",100,IF(Atletas!B124="Masculino",200,""))+(IF(Atletas!J124="Gunshu Mirim",43,IF(Atletas!J124="Qiangshu Mirim",44,IF(Atletas!J124="Nangun Mirim",45,IF(Atletas!J124="Gunshu Grupo C",46,IF(Atletas!J124="Qiangshu Grupo C",47,IF(Atletas!J124="Nangun Grupo C",48,IF(Atletas!J124="Gunshu Grupo B",49,IF(Atletas!J124="Qiangshu Grupo B",50,IF(Atletas!J124="Nangun Grupo B",51,IF(Atletas!J124="Gunshu Grupo A",52,IF(Atletas!J124="Qiangshu Grupo A",53,IF(Atletas!J124="Nangun Grupo A",54,IF(Atletas!J124="Gunshu Opcional",55,IF(Atletas!J124="Qiangshu Opcional",56,IF(Atletas!J124="Nangun Opcional",57,IF(Atletas!J124="Gunshu Adulto",58,IF(Atletas!J124="Qiangshu Adulto",59,IF(Atletas!J124="Nangun Adulto",60,IF(Atletas!J124="Taijishan Grupo B",61,IF(Atletas!J124="Taijishan Grupo A",62,""))))))))))))))))))))))</f>
        <v/>
      </c>
      <c r="BM133" s="50" t="str">
        <f>IF(Atletas!K124="","",IF(Atletas!B124="Feminino",100,IF(Atletas!B124="Masculino",200,""))+(IF(Atletas!K124="Equipe 1 Grupo B",1,IF(Atletas!K124="Equipe 2 Grupo B",2,IF(Atletas!K124="Equipe 1 Grupo A",3,IF(Atletas!K124="Equipe 2 Grupo A",4,IF(Atletas!K124="Equipe 1 Adulto",5,IF(Atletas!K124="Equipe 2 Adulto",6,""))))))))</f>
        <v/>
      </c>
      <c r="BR133" s="50" t="str">
        <f>IF(Atletas!L124="","",IF(Atletas!X124&lt;&gt;"",10000,0)+(IF(Atletas!B124="Feminino",1000,IF(Atletas!B124="Masculino",2000,""))+IF(Atletas!L124="Choylayfut A",1,IF(Atletas!L124="Hunggar A",2,IF(Atletas!L124="Wuzuquan A",3,IF(Atletas!L124="Wingchun A",4,IF(Atletas!L124="Outra Mão de Sul A",5,IF(Atletas!L124="Choylayfut B",6,IF(Atletas!L124="Hunggar B",7,IF(Atletas!L124="Wuzuquan B",8,IF(Atletas!L124="Wingchun B",9,IF(Atletas!L124="Outra Mão de Sul B",10,IF(Atletas!L124="Choylayfut C",11,IF(Atletas!L124="Hunggar C",12,IF(Atletas!L124="Wuzuquan C",13,IF(Atletas!L124="Wingchun C",14,IF(Atletas!L124="Outra Mão de Sul C",15,IF(Atletas!L124="Choylayfut D",16,IF(Atletas!L124="Hunggar D",17,IF(Atletas!L124="Wuzuquan D",18,IF(Atletas!L124="Wingchun D",19,IF(Atletas!L124="Outra Mão de Sul D",20,IF(Atletas!L124="Choylayfut E",21,IF(Atletas!L124="Hunggar E",22,IF(Atletas!L124="Wuzuquan E",23,IF(Atletas!L124="Wingchun E",24,IF(Atletas!L124="Outra Mão de Sul E",25,IF(Atletas!L124="Choylayfut F",26,IF(Atletas!L124="Hunggar F",27,IF(Atletas!L124="Wuzuquan F",28,IF(Atletas!L124="Wingchun F",29,IF(Atletas!L124="Outra Mão de Sul F",30,IF(Atletas!L124="Dishuquan A",31,IF(Atletas!L124="Dishuquan B",32,IF(Atletas!L124="Dishuquan C",33,IF(Atletas!L124="Dishuquan D",34,IF(Atletas!L124="Dishuquan E",35,IF(Atletas!L124="Dishuquan F",36,""))))))))))))))))))))))))))))))))))))))</f>
        <v/>
      </c>
      <c r="BS133" s="50" t="str">
        <f>IF(Atletas!M124="","",IF(Atletas!X124&lt;&gt;"",10000,0)+(IF(Atletas!B124="Feminino",1000,IF(Atletas!B124="Masculino",2000,""))+(IF(Atletas!M124="Chaquan A",101,IF(Atletas!M124="Emeiquan A",102,IF(Atletas!M124="Fanziquan A",103,IF(Atletas!M124="Huaquan A",104,IF(Atletas!M124="Hongquan A",105,IF(Atletas!M124="Paoquan A",106,IF(Atletas!M124="Piguaquan A",107,IF(Atletas!M124="Shaolinquan A",108,IF(Atletas!M124="Tanglangquan A",109,IF(Atletas!M124="Yingzhaoquan A",110,IF(Atletas!M124="Tongbeiquan A",111,IF(Atletas!M124="Wudangquan A",112,IF(Atletas!M124="Outros Estilos A",113,IF(Atletas!M124="Chaquan B",114,IF(Atletas!M124="Emeiquan B",115,IF(Atletas!M124="Fanziquan B",116,IF(Atletas!M124="Huaquan B",117,IF(Atletas!M124="Hongquan B",118,IF(Atletas!M124="Paoquan B",119,IF(Atletas!M124="Piguaquan B",120,IF(Atletas!M124="Shaolinquan B",121,IF(Atletas!M124="Tanglangquan B",122,IF(Atletas!M124="Yingzhaoquan B",123,IF(Atletas!M124="Tongbeiquan B",124,IF(Atletas!M124="Wudangquan B",125,IF(Atletas!M124="Outros Estilos B",126,IF(Atletas!M124="Chaquan C",127,IF(Atletas!M124="Emeiquan C",128,IF(Atletas!M124="Fanziquan C",129,IF(Atletas!M124="Huaquan C",130,IF(Atletas!M124="Hongquan C",131,IF(Atletas!M124="Paoquan C",132,IF(Atletas!M124="Piguaquan C",133,IF(Atletas!M124="Shaolinquan C",134,IF(Atletas!M124="Tanglangquan C",135,IF(Atletas!M124="Yingzhaoquan C",136,IF(Atletas!M124="Tongbeiquan C",137,IF(Atletas!M124="Wudangquan C",138,IF(Atletas!M124="Outros Estilos C",139,0))))))))))))))))))))))))))))))))))))))))))</f>
        <v/>
      </c>
      <c r="BT133" s="50" t="str">
        <f>IF(Atletas!M124="","",IF(Atletas!X124&lt;&gt;"",10000,0)+(IF(Atletas!B124="Feminino",1000,IF(Atletas!B124="Masculino",2000,""))+(IF(Atletas!M124="Chaquan D",140,IF(Atletas!M124="Emeiquan D",141,IF(Atletas!M124="Fanziquan D",142,IF(Atletas!M124="Huaquan D",143,IF(Atletas!M124="Hongquan D",144,IF(Atletas!M124="Paoquan D",145,IF(Atletas!M124="Piguaquan D",146,IF(Atletas!M124="Shaolinquan D",147,IF(Atletas!M124="Tanglangquan D",148,IF(Atletas!M124="Yingzhaoquan D",149,IF(Atletas!M124="Tongbeiquan D",150,IF(Atletas!M124="Wudangquan D",151,IF(Atletas!M124="Outros Estilos D",152,IF(Atletas!M124="Chaquan E",153,IF(Atletas!M124="Emeiquan E",154,IF(Atletas!M124="Fanziquan E",155,IF(Atletas!M124="Huaquan E",156,IF(Atletas!M124="Hongquan E",157,IF(Atletas!M124="Paoquan E",158,IF(Atletas!M124="Piguaquan E",159,IF(Atletas!M124="Shaolinquan E",160,IF(Atletas!M124="Tanglangquan E",161,IF(Atletas!M124="Yingzhaoquan E",162,IF(Atletas!M124="Tongbeiquan E",163,IF(Atletas!M124="Wudangquan E",164,IF(Atletas!M124="Outros Estilos E",165,IF(Atletas!M124="Chaquan F",166,IF(Atletas!M124="Emeiquan F",167,IF(Atletas!M124="Fanziquan F",168,IF(Atletas!M124="Huaquan F",169,IF(Atletas!M124="Hongquan F",170,IF(Atletas!M124="Paoquan F",171,IF(Atletas!M124="Piguaquan F",172,IF(Atletas!M124="Shaolinquan F",173,IF(Atletas!M124="Tanglangquan F",174,IF(Atletas!M124="Yingzhaoquan F",175,IF(Atletas!M124="Tongbeiquan F",176,IF(Atletas!M124="Wudangquan F",177,IF(Atletas!M124="Outros Estilos F",178,0))))))))))))))))))))))))))))))))))))))))))</f>
        <v/>
      </c>
      <c r="BU133" s="50" t="str">
        <f>IF(Atletas!N124="","",IF(Atletas!X124&lt;&gt;"",10000,0)+(IF(Atletas!B124="Feminino",1000,IF(Atletas!B124="Masculino",2000,""))+(IF(Atletas!N124="Ditangquan A",201,IF(Atletas!N124="Houquan A",202,IF(Atletas!N124="Zuiquan A",203,IF(Atletas!N124="Ditangquan B",204,IF(Atletas!N124="Houquan B",205,IF(Atletas!N124="Zuiquan B",206,IF(Atletas!N124="Ditangquan C",207,IF(Atletas!N124="Houquan C",208,IF(Atletas!N124="Zuiquan C",209,IF(Atletas!N124="Ditangquan D",210,IF(Atletas!N124="Houquan D",211,IF(Atletas!N124="Zuiquan D",212,IF(Atletas!N124="Ditangquan E",213,IF(Atletas!N124="Houquan E",214,IF(Atletas!N124="Zuiquan E",215,IF(Atletas!N124="Ditangquan F",216,IF(Atletas!N124="Houquan F",217,IF(Atletas!N124="Zuiquan F",218,"")))))))))))))))))))))</f>
        <v/>
      </c>
      <c r="BV133" s="50" t="str">
        <f>IF(Atletas!O124="","",IF(Atletas!X124&lt;&gt;"",10000,0)+IF(Atletas!B124="Feminino",1000,IF(Atletas!B124="Masculino",2000,""))+IF(Atletas!O124="Yang A",301,IF(Atletas!O124="Chen A",302,IF(Atletas!O124="Sun A",303,IF(Atletas!O124="Wu A",304,IF(Atletas!O124="Wu-Hao A",305,IF(Atletas!O124="Outro Taijiquan A",306,IF(Atletas!O124="Yang B",307,IF(Atletas!O124="Chen B",308,IF(Atletas!O124="Sun B",309,IF(Atletas!O124="Wu B",310,IF(Atletas!O124="Wu-Hao B",311,IF(Atletas!O124="Outro Taijiquan B",312,IF(Atletas!O124="Yang C",313,IF(Atletas!O124="Chen C",314,IF(Atletas!O124="Sun C",315,IF(Atletas!O124="Wu C",316,IF(Atletas!O124="Wu-Hao C",317,IF(Atletas!O124="Outro Taijiquan C",318,IF(Atletas!O124="Yang D",319,IF(Atletas!O124="Chen D",320,IF(Atletas!O124="Sun D",321,IF(Atletas!O124="Wu D",322,IF(Atletas!O124="Wu-Hao D",323,IF(Atletas!O124="Outro Taijiquan D",324,IF(Atletas!O124="Yang E",325,IF(Atletas!O124="Chen E",326,IF(Atletas!O124="Sun E",327,IF(Atletas!O124="Wu E",328,IF(Atletas!O124="Wu-Hao E",329,IF(Atletas!O124="Outro Taijiquan E",330,IF(Atletas!O124="Yang F",331,IF(Atletas!O124="Chen F",332,IF(Atletas!O124="Sun F",333,IF(Atletas!O124="Wu F",334,IF(Atletas!O124="Wu-Hao F",335,IF(Atletas!O124="Outro Taijiquan F",336,"")))))))))))))))))))))))))))))))))))))</f>
        <v/>
      </c>
      <c r="BW133" s="50" t="str">
        <f>IF(Atletas!P124="","",IF(Atletas!X124&lt;&gt;"",10000,0)+IF(Atletas!B124="Feminino",1000,IF(Atletas!B124="Masculino",2000,""))+IF(OR(Atletas!P124="Yang 26 A",Atletas!P124="Yang 40 A"),401,IF(OR(Atletas!P124="Chen 25 A",Atletas!P124="Chen 36 A",Atletas!P124="Chen 56 A"),402,IF(Atletas!P124="Sun 73 A",403,IF(Atletas!P124="Wu 45 A",404,IF(Atletas!P124="Wu-Hao 46 A",405,IF(OR(Atletas!P124="Taijiquan 16 A",Atletas!P124="Taijiquan 24 A",Atletas!P124="Taijiquan 32 A",Atletas!P124="Taijiquan 42 A"),406,IF(OR(Atletas!P124="Yang 26 B",Atletas!P124="Yang 40 B"),407,IF(OR(Atletas!P124="Chen 25 B",Atletas!P124="Chen 36 B",Atletas!P124="Chen 56 B"),408,IF(Atletas!P124="Sun 73 B",409,IF(Atletas!P124="Wu 45 B",410,IF(Atletas!P124="Wu-Hao 46 B",411,IF(OR(Atletas!P124="Taijiquan 16 B",Atletas!P124="Taijiquan 24 B",Atletas!P124="Taijiquan 32 B",Atletas!P124="Taijiquan 42 B"),412,IF(OR(Atletas!P124="Yang 26 C",Atletas!P124="Yang 40 C"),413,IF(OR(Atletas!P124="Chen 25 C",Atletas!P124="Chen 36 C",Atletas!P124="Chen 56 C"),414,IF(Atletas!P124="Sun 73 C",415,IF(Atletas!P124="Wu 45 C",416,IF(Atletas!P124="Wu-Hao 46 C",417,IF(OR(Atletas!P124="Taijiquan 16 C",Atletas!P124="Taijiquan 24 C",Atletas!P124="Taijiquan 32 C",Atletas!P124="Taijiquan 42 C"),418,0)))))))))))))))))))</f>
        <v/>
      </c>
      <c r="BX133" s="50" t="str">
        <f>IF(Atletas!P124="","",IF(Atletas!X124&lt;&gt;"",10000,0)+IF(Atletas!B124="Feminino",1000,IF(Atletas!B124="Masculino",2000,""))+IF(OR(Atletas!P124="Yang 26 D",Atletas!P124="Yang 40 D"),419,IF(OR(Atletas!P124="Chen 25 D",Atletas!P124="Chen 36 D",Atletas!P124="Chen 56 D"),420,IF(Atletas!P124="Sun 73 D",421,IF(Atletas!P124="Wu 45 D",422,IF(Atletas!P124="Wu-Hao 46 D",423,IF(OR(Atletas!P124="Taijiquan 16 D",Atletas!P124="Taijiquan 24 D",Atletas!P124="Taijiquan 32 D",Atletas!P124="Taijiquan 42 D"),424,IF(OR(Atletas!P124="Yang 26 E",Atletas!P124="Yang 40 E"),425,IF(OR(Atletas!P124="Chen 25 E",Atletas!P124="Chen 36 E",Atletas!P124="Chen 56 E"),426,IF(Atletas!P124="Sun 73 E",427,IF(Atletas!P124="Wu 45 E",428,IF(Atletas!P124="Wu-Hao 46 E",429,IF(OR(Atletas!P124="Taijiquan 16 E",Atletas!P124="Taijiquan 24 E",Atletas!P124="Taijiquan 32 E",Atletas!P124="Taijiquan 42 E"),430,IF(OR(Atletas!P124="Yang 26 F",Atletas!P124="Yang 40 F"),431,IF(OR(Atletas!P124="Chen 25 F",Atletas!P124="Chen 36 F",Atletas!P124="Chen 56 F"),432,IF(Atletas!P124="Sun 73 F",433,IF(Atletas!P124="Wu 45 F",434,IF(Atletas!P124="Wu-Hao 46 F",435,IF(OR(Atletas!P124="Taijiquan 16 F",Atletas!P124="Taijiquan 24 F",Atletas!P124="Taijiquan 32 F",Atletas!P124="Taijiquan 42 F"),436,0)))))))))))))))))))</f>
        <v/>
      </c>
      <c r="BY133" s="50" t="str">
        <f>IF(Atletas!Q124="","",IF(Atletas!X124&lt;&gt;"",10000,0)+IF(Atletas!B124="Feminino",1000,IF(Atletas!B124="Masculino",2000,""))+IF(Atletas!Q124="Xingyiquan A",501,IF(Atletas!Q124="Baguazhang A",502,IF(Atletas!Q124="Outro Estilo Interno A",503,IF(Atletas!Q124="Xingyiquan B",504,IF(Atletas!Q124="Baguazhang B",505,IF(Atletas!Q124="Outro Estilo Interno B",506,IF(Atletas!Q124="Xingyiquan C",507,IF(Atletas!Q124="Baguazhang C",508,IF(Atletas!Q124="Outro Estilo Interno C",509,IF(Atletas!Q124="Xingyiquan D",510,IF(Atletas!Q124="Baguazhang D",511,IF(Atletas!Q124="Outro Estilo Interno D",512,IF(Atletas!Q124="Xingyiquan E",513,IF(Atletas!Q124="Baguazhang E",514,IF(Atletas!Q124="Outro Estilo Interno E",515,IF(Atletas!Q124="Xingyiquan F",516,IF(Atletas!Q124="Baguazhang F",517,IF(Atletas!Q124="Outro Estilo Interno F",518, "")))))))))))))))))))</f>
        <v/>
      </c>
      <c r="BZ133" s="50" t="str">
        <f>IF(Atletas!R124="","",IF(Atletas!X124&lt;&gt;"",10000,0)+IF(Atletas!B124="Feminino",1000,IF(Atletas!B124="Masculino",2000,""))+IF(Atletas!R124="Dao A",601,IF(Atletas!R124="Jian A",602,IF(Atletas!R124="Bishou A",603,IF(Atletas!R124="Shanzi A",604,IF(Atletas!R124="Outra Arma Curta A",605,IF(Atletas!R124="Dao B",606,IF(Atletas!R124="Jian B",607,IF(Atletas!R124="Bishou B",608,IF(Atletas!R124="Shanzi B",609,IF(Atletas!R124="Outra Arma Curta B",610,IF(Atletas!R124="Dao C",611,IF(Atletas!R124="Jian C",612,IF(Atletas!R124="Bishou C",613,IF(Atletas!R124="Shanzi C",614,IF(Atletas!R124="Outra Arma Curta C",615,IF(Atletas!R124="Dao D",616,IF(Atletas!R124="Jian D",617,IF(Atletas!R124="Bishou D",618,IF(Atletas!R124="Shanzi D",619,IF(Atletas!R124="Outra Arma Curta D",620,IF(Atletas!R124="Dao E",621,IF(Atletas!R124="Jian E",622,IF(Atletas!R124="Bishou E",623,IF(Atletas!R124="Shanzi E",624,IF(Atletas!R124="Outra Arma Curta E",625,IF(Atletas!R124="Dao F",626,IF(Atletas!R124="Jian F",627,IF(Atletas!R124="Bishou F",628,IF(Atletas!R124="Shanzi F",629,IF(Atletas!R124="Outra Arma Curta F",630, "")))))))))))))))))))))))))))))))</f>
        <v/>
      </c>
      <c r="CA133" s="50" t="str">
        <f>IF(Atletas!S124="","",IF(Atletas!X124&lt;&gt;"",10000,0)+IF(Atletas!B124="Feminino",1000,IF(Atletas!B124="Masculino",2000,""))+IF(Atletas!S124="Gun A",701,IF(Atletas!S124="Qiang A",702,IF(Atletas!S124="Pudao / Guandao A",703,IF(Atletas!S124="Outra Arma Longa A",704,IF(Atletas!S124="Gun B",705,IF(Atletas!S124="Qiang B",706,IF(Atletas!S124="Pudao / Guandao B",707,IF(Atletas!S124="Outra Arma Longa B",708,IF(Atletas!S124="Gun C",709,IF(Atletas!S124="Qiang C",710,IF(Atletas!S124="Pudao / Guandao C",711,IF(Atletas!S124="Outra Arma Longa C",712,IF(Atletas!S124="Gun D",713,IF(Atletas!S124="Qiang D",714,IF(Atletas!S124="Pudao / Guandao D",715,IF(Atletas!S124="Outra Arma Longa D",716,IF(Atletas!S124="Gun E",717,IF(Atletas!S124="Qiang E",718,IF(Atletas!S124="Pudao / Guandao E",719,IF(Atletas!S124="Outra Arma Longa E",720,IF(Atletas!S124="Gun F",721,IF(Atletas!S124="Qiang F",722,IF(Atletas!S124="Pudao / Guandao F",723,IF(Atletas!S124="Outra Arma Longa F",724,"")))))))))))))))))))))))))</f>
        <v/>
      </c>
      <c r="CB133" s="50" t="str">
        <f>IF(Atletas!T124="","",IF(Atletas!X124&lt;&gt;"",10000,0)+IF(Atletas!B124="Feminino",1000,IF(Atletas!B124="Masculino",2000,""))+IF(Atletas!T124="Outra Arma Dupla A",801,IF(Atletas!T124="Arma Maleável A",802,IF(Atletas!T124="Outra Arma Dupla B",803,IF(Atletas!T124="Arma Maleável B",804,IF(Atletas!T124="Outra Arma Dupla C",805,IF(Atletas!T124="Arma Maleável C",806,IF(Atletas!T124="Outra Arma Dupla D",807,IF(Atletas!T124="Arma Maleável D",808,IF(Atletas!T124="Outra Arma Dupla E",809,IF(Atletas!T124="Arma Maleável E",810,IF(Atletas!T124="Outra Arma Dupla F",811,IF(Atletas!T124="Arma Maleável F",812,IF(Atletas!T124="Shuangdao A",813,IF(Atletas!T124="Shuangdao B",814,IF(Atletas!T124="Shuangdao C",815,IF(Atletas!T124="Shuangdao D",816,IF(Atletas!T124="Shuangdao E",817,IF(Atletas!T124="Shuangdao F",818,"")))))))))))))))))))</f>
        <v/>
      </c>
      <c r="CC133" s="50" t="str">
        <f>IF(Atletas!U124="","",IF(Atletas!X124&lt;&gt;"",10000,0)+IF(Atletas!B124="Feminino",1000,IF(Atletas!B124="Masculino",2000,""))+IF(OR(Atletas!U124="Taijijian Yang A",Atletas!U124="Taijijian Yang Standard A"),901,IF(OR(Atletas!U124="Taijijian Chen A", Atletas!U124="Taijijian Chen Standard A"),902,IF(Atletas!U124="Taijijian Sun A",903,IF(Atletas!U124="Taijijian Wu A",904,IF(Atletas!U124="Taijijian Wu-Hao A",905,IF(OR(Atletas!U124="Taijijian 32 A",Atletas!U124="Taijijian 42 A"),906,IF(OR(Atletas!U124="Taijijian Yang B",Atletas!U124="Taijijian Yang Standard B"),907,IF(OR(Atletas!U124="Taijijian Chen B", Atletas!U124="Taijijian Chen Standard B"),908,IF(Atletas!U124="Taijijian Sun B",909,IF(Atletas!U124="Taijijian Wu B",910,IF(Atletas!U124="Taijijian Wu-Hao B",911,IF(OR(Atletas!U124="Taijijian 32 B",Atletas!U124="Taijijian 42 B"),912,IF(OR(Atletas!U124="Taijijian Yang C",Atletas!U124="Taijijian Yang Standard C"),913,IF(OR(Atletas!U124="Taijijian Chen C", Atletas!U124="Taijijian Chen Standard C"),914,IF(Atletas!U124="Taijijian Sun C",915,IF(Atletas!U124="Taijijian Wu C",916,IF(Atletas!U124="Taijijian Wu-Hao C",917,IF(OR(Atletas!U124="Taijijian 32 C",Atletas!U124="Taijijian 42 C"),918,IF(OR(Atletas!U124="Taijijian Yang D",Atletas!U124="Taijijian Yang Standard D"),919,IF(OR(Atletas!U124="Taijijian Chen D", Atletas!U124="Taijijian Chen Standard D"),920,IF(Atletas!U124="Taijijian Sun D",921,IF(Atletas!U124="Taijijian Wu D",922,IF(Atletas!U124="Taijijian Wu-Hao D",923,IF(OR(Atletas!U124="Taijijian 32 D",Atletas!U124="Taijijian 42 D"),924,IF(OR(Atletas!U124="Taijijian Yang E",Atletas!U124="Taijijian Yang Standard E"),925,IF(OR(Atletas!U124="Taijijian Chen E", Atletas!U124="Taijijian Chen Standard E"),926,IF(Atletas!U124="Taijijian Sun E",927,IF(Atletas!U124="Taijijian Wu E",928,IF(Atletas!U124="Taijijian Wu-Hao E",929,IF(OR(Atletas!U124="Taijijian 32 E",Atletas!U124="Taijijian 42 E"),930,IF(OR(Atletas!U124="Taijijian Yang F",Atletas!U124="Taijijian Yang Standard F"),931,IF(OR(Atletas!U124="Taijijian Chen F", Atletas!U124="Taijijian Chen Standard F"),932,IF(Atletas!U124="Taijijian Sun F",933,IF(Atletas!U124="Taijijian Wu F",934,IF(Atletas!U124="Taijijian Wu-Hao F",935,IF(OR(Atletas!U124="Taijijian 32 F",Atletas!U124="Taijijian 42 F"),936,"")))))))))))))))))))))))))))))))))))))</f>
        <v/>
      </c>
      <c r="CD133" s="50" t="str">
        <f>IF(Atletas!V124="","",IF(Atletas!X124&lt;&gt;"",10000,0)+IF(Atletas!B124="Feminino",1000,IF(Atletas!B124="Masculino",2000,""))+IF(Atletas!V124="Taijidao A",937,IF(Atletas!V124="TaijiShanzi A",938,IF(Atletas!V124="Taijiqiang A",939,IF(Atletas!V124="Bagua de Arma A",940,IF(Atletas!V124="Xingyi de Arma A",941,IF(Atletas!V124="Taijidao B",942,IF(Atletas!V124="TaijiShanzi B",943,IF(Atletas!V124="Taijiqiang B",944,IF(Atletas!V124="Bagua de Arma B",945,IF(Atletas!V124="Xingyi de Arma B",946,IF(Atletas!V124="Taijidao C",947,IF(Atletas!V124="TaijiShanzi C",948,IF(Atletas!V124="Taijiqiang C",949,IF(Atletas!V124="Bagua de Arma C",950,IF(Atletas!V124="Xingyi de Arma C",951,IF(Atletas!V124="Taijidao D",952,IF(Atletas!V124="TaijiShanzi D",953,IF(Atletas!V124="Taijiqiang D",954,IF(Atletas!V124="Bagua de Arma D",955,IF(Atletas!V124="Xingyi de Arma D",956,IF(Atletas!V124="Taijidao E",957,IF(Atletas!V124="TaijiShanzi E",958,IF(Atletas!V124="Taijiqiang E",959,IF(Atletas!V124="Bagua de Arma E",960,IF(Atletas!V124="Xingyi de Arma E",961,IF(Atletas!V124="Taijidao F",962,IF(Atletas!V124="TaijiShanzi F",963,IF(Atletas!V124="Taijiqiang F",964,IF(Atletas!V124="Bagua de Arma F",965,IF(Atletas!V124="Xingyi de Arma F",966,"")))))))))))))))))))))))))))))))</f>
        <v/>
      </c>
      <c r="CE133" s="66" t="str">
        <f>IF(CF133&lt;&gt;"","Ditangquan E","")</f>
        <v/>
      </c>
      <c r="CF133" s="66" t="str">
        <f>IF(COUNTIF(BR:CD,1213)&gt;0,COUNTIF(BR:CD,1213),"")</f>
        <v/>
      </c>
      <c r="CG133" s="66" t="str">
        <f>IF(CH133&lt;&gt;"","Ditangquan E","")</f>
        <v/>
      </c>
      <c r="CH133" s="66" t="str">
        <f>IF(COUNTIF(BR:CD,2213)&gt;0,COUNTIF(BR:CD,2213),"")</f>
        <v/>
      </c>
      <c r="CI133" s="66" t="str">
        <f>IF(CJ133&lt;&gt;"","TJQ Trad. Yang A","")</f>
        <v/>
      </c>
      <c r="CJ133" s="66" t="str">
        <f>IF(COUNTIF(BR:CD,11301)&gt;0,COUNTIF(BR:CD,11301),"")</f>
        <v/>
      </c>
      <c r="CK133" s="66" t="str">
        <f>IF(CL133&lt;&gt;"","TJQ Trad. Yang A","")</f>
        <v/>
      </c>
      <c r="CL133" s="66" t="str">
        <f>IF(COUNTIF(BR:CD,12301)&gt;0,COUNTIF(BR:CD,12301),"")</f>
        <v/>
      </c>
      <c r="CM133" s="50" t="str">
        <f xml:space="preserve"> IF(Atletas!W124="","",IF(Atletas!W124="Duilian de Mãos BC - Equipe 1",1,IF(Atletas!W124="Duilian de Mãos BC - Equipe 2",2,IF(Atletas!W124="Duilian de Armas BC - Equipe 1",3,IF(Atletas!W124="Duilian de Armas BC - Equipe 2",4,IF(Atletas!W124="Duilian de Mãos DE - Equipe 1",5,IF(Atletas!W124="Duilian de Mãos DE - Equipe 2",6,IF(Atletas!W124="Duilian de Armas DE - Equipe 1",7,IF(Atletas!W124="Duilian de Armas DE - Equipe 2",8,IF(Atletas!W124="Duilian de Tuishou - Equipe 1",9,IF(Atletas!W124="Duilian de Tuishou - Equipe 2",10,IF(Atletas!W124="Grupo Externo ABC - Equipe 1",11,IF(Atletas!W124="Grupo Externo ABC - Equipe 2",12,IF(Atletas!W124="Grupo Interno ABC - Equipe 1",13,IF(Atletas!W124="Grupo Interno ABC - Equipe 2",14,IF(Atletas!W124="Grupo Externo DEF - Equipe 1",15,IF(Atletas!W124="Grupo Externo DEF - Equipe 2",16,IF(Atletas!W124="Grupo Interno DEF - Equipe 1",17,IF(Atletas!W124="Grupo Interno DEF - Equipe 2",18,"")))))))))))))))))))</f>
        <v/>
      </c>
    </row>
    <row r="134" spans="2:91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 t="str">
        <f t="array" ref="Z134">IFERROR(INDEX(CE$7:CE$348,SMALL(IF(CE$7:CE$348&lt;&gt;"",ROW(CE$7:CE$348)-ROW(CE$7)+1),ROWS(CE$7:CE133))),"")</f>
        <v/>
      </c>
      <c r="AA134" s="3" t="str">
        <f t="array" ref="AA134">IFERROR(INDEX(CF$7:CF$348,SMALL(IF(CF$7:CF$348&lt;&gt;"",ROW(CF$7:CF$348)-ROW(CF$7)+1),ROWS(CF$7:CF133))),"")</f>
        <v/>
      </c>
      <c r="AB134" s="3" t="str">
        <f t="array" ref="AB134">IFERROR(INDEX(CG$7:CG$348,SMALL(IF(CG$7:CG$348&lt;&gt;"",ROW(CG$7:CG$348)-ROW(CG$7)+1),ROWS(CG$7:CG133))),"")</f>
        <v/>
      </c>
      <c r="AC134" s="3" t="str">
        <f t="array" ref="AC134">IFERROR(INDEX(CH$7:CH$348,SMALL(IF(CH$7:CH$348&lt;&gt;"",ROW(CH$7:CH$348)-ROW(CH$7)+1),ROWS(CH$7:CH133))),"")</f>
        <v/>
      </c>
      <c r="AD134" s="3" t="str">
        <f t="array" ref="AD134">IFERROR(INDEX(CI$7:CI$377,SMALL(IF(CI$7:CI$377&lt;&gt;"",ROW(CI$7:CI$377)-ROW(CI$7)+1),ROWS(CI$7:CI133))),"")</f>
        <v/>
      </c>
      <c r="AE134" s="3" t="str">
        <f t="array" ref="AE134">IFERROR(INDEX(CJ$7:CJ$378,SMALL(IF(CJ$7:CJ$378&lt;&gt;"",ROW(CJ$7:CJ$378)-ROW(CJ$7)+1),ROWS(CJ$7:CJ133))),"")</f>
        <v/>
      </c>
      <c r="AF134" s="3" t="str">
        <f t="array" ref="AF134">IFERROR(INDEX(CK$7:CK$378,SMALL(IF(CK$7:CK$378&lt;&gt;"",ROW(CK$7:CK$378)-ROW(CK$7)+1),ROWS(CK$7:CK133))),"")</f>
        <v/>
      </c>
      <c r="AG134" s="3" t="str">
        <f t="array" ref="AG134">IFERROR(INDEX(CL$7:CL$378,SMALL(IF(CL$7:CL$378&lt;&gt;"",ROW(CL$7:CL$378)-ROW(CL$7)+1),ROWS(CL$7:CL133))),"")</f>
        <v/>
      </c>
      <c r="AH134" s="3"/>
      <c r="AI134" s="3"/>
      <c r="AJ134" s="3"/>
      <c r="AK134" s="3"/>
      <c r="AL134" s="3"/>
      <c r="AM134" s="3"/>
      <c r="AN134" s="52" t="str">
        <f>IF(Atletas!D125="","",IF(Atletas!B125="Feminino",100,IF(Atletas!B125="Masculino",200,""))+(IF(Atletas!D125="Kids 30kg",1,IF(Atletas!D125="Kids 32kg",2, IF(Atletas!D125="Kids 34kg",3,IF(Atletas!D125="Kids 36kg",4,IF(Atletas!D125="Kids 39kg",5,IF(Atletas!D125="Kids 42kg",6,IF(Atletas!D125="Kids 45kg",7, IF(Atletas!D125="Infantil 39kg",8,IF(Atletas!D125="Infantil 42kg",9,IF(Atletas!D125="Infantil 45kg",10,IF(Atletas!D125="Infantil 48kg",11,IF(Atletas!D125="Infantil 52kg",12,IF(Atletas!D125="Infantil 56kg",13,IF(Atletas!D125="Infantil 60kg",14,IF(Atletas!D125="Juvenil 48kg",15,IF(Atletas!D125="Juvenil 52kg",16,IF(Atletas!D125="Juvenil 56kg",17,IF(Atletas!D125="Juvenil 60kg",18,IF(Atletas!D125="Juvenil 65kg",19,IF(Atletas!D125="Juvenil 70kg",20,IF(Atletas!D125="Juvenil 75kg",21,IF(Atletas!D125="Juvenil 80kg",22, IF(Atletas!D125="Juvenil 85kg",23,IF(Atletas!D125="Adulto 48kg",24,IF(Atletas!D125="Adulto 52kg",25,IF(Atletas!D125="Adulto 56kg",26,IF(Atletas!D125="Adulto 60kg",27,IF(Atletas!D125="Adulto 65kg",28,IF(Atletas!D125="Adulto 70kg",29,IF(Atletas!D125="Adulto 75kg",30,IF(Atletas!D125="Adulto 80kg",31,IF(Atletas!D125="Adulto 85kg",32,IF(Atletas!D125="Adulto 90kg",33,IF(Atletas!D125="Adulto 100kg",34, IF(Atletas!D125="Adulto +100kg",35,"")))))))))))))))))))))))))))))))))))))</f>
        <v/>
      </c>
      <c r="AS134" s="6" t="str">
        <f>IF(Atletas!E125="","",IF(Atletas!B125="Feminino",100,IF(Atletas!B125="Masculino",200,""))+(IF(Atletas!E125="Juvenil 44kg",1,IF(Atletas!E125="Juvenil 48kg",2,IF(Atletas!E125="Juvenil 52kg",3,IF(Atletas!E125="Juvenil 56kg",4,IF(Atletas!E125="Juvenil 60kg",5,IF(Atletas!E125="Juvenil 65kg",6,IF(Atletas!E125="Juvenil 70kg",7,IF(Atletas!E125="Juvenil 75kg",8,IF(Atletas!E125="Juvenil 82kg",9,IF(Atletas!E125="Juvenil 90kg",10,IF(Atletas!E125="Juvenil 100kg",11,IF(Atletas!E125="Adulto 48kg",12,IF(Atletas!E125="Adulto 52kg",13,IF(Atletas!E125="Adulto 56kg",14,IF(Atletas!E125="Adulto 60kg",15,IF(Atletas!E125="Adulto 65kg",16,IF(Atletas!E125="Adulto 70kg",17,IF(Atletas!E125="Adulto 75kg",18,IF(Atletas!E125="Adulto 82kg",19,IF(Atletas!E125="Adulto 90kg",20,IF(Atletas!E125="Adulto 100kg",21,IF(Atletas!E125="Adulto +100kg",22,""))))))))))))))))))))))))</f>
        <v/>
      </c>
      <c r="AX134" s="6" t="str">
        <f>IF(Atletas!F125="","",IF(Atletas!B125="Feminino",100,IF(Atletas!B125="Masculino",200,""))+(IF(Atletas!F125="Adulto 48kg",1,IF(Atletas!F125="Adulto 56kg",2,IF(Atletas!F125="Adulto 65kg",3,IF(Atletas!F125="Adulto 75kg",4,IF(Atletas!F125="Adulto +75kg",5,IF(Atletas!F125="Adulto 52kg",6,IF(Atletas!F125="Adulto 60kg",7,IF(Atletas!F125="Adulto 70kg",8,IF(Atletas!F125="Adulto 80kg",9,IF(Atletas!F125="Adulto 90kg",10,IF(Atletas!F125="Adulto +90kg",11,"")))))))))))))</f>
        <v/>
      </c>
      <c r="BC134" s="6" t="str">
        <f>IF(Atletas!G125="","",IF(Atletas!B125="Feminino",10,IF(Atletas!B125="Masculino",20,""))+(IF(Atletas!G125="Baduanjin A",1,IF(Atletas!G125="Baduanjin B",2))))</f>
        <v/>
      </c>
      <c r="BF134" s="52" t="str">
        <f>IF(Atletas!H125="","",IF(Atletas!B125="Feminino",100,IF(Atletas!B125="Masculino",200,""))+(IF(Atletas!H125="Changquan Mirim",1,IF(Atletas!H125="Nanquan Mirim",2,IF(Atletas!H125="Taijiquan Mirim",3,IF(Atletas!H125="Changquan Grupo C",4,IF(Atletas!H125="Nanquan Grupo C",5,IF(Atletas!H125="Taijiquan Grupo C",6,IF(Atletas!H125="Changquan Grupo B",7,IF(Atletas!H125="Nanquan Grupo B",8,IF(Atletas!H125="Taijiquan Grupo B",9,IF(Atletas!H125="Changquan Grupo A",10,IF(Atletas!H125="Nanquan Grupo A",11,IF(Atletas!H125="Taijiquan Grupo A",12,IF(Atletas!H125="Changquan Opcional",13,IF(Atletas!H125="Nanquan Opcional",14,IF(Atletas!H125="Taijiquan Opcional",15,IF(Atletas!H125="Changquan Adulto",16,IF(Atletas!H125="Nanquan Adulto",17,IF(Atletas!H125="Taijiquan Adulto",18,""))))))))))))))))))))</f>
        <v/>
      </c>
      <c r="BG134" s="52" t="str">
        <f>IF(Atletas!I125="","",IF(Atletas!B125="Feminino",100,IF(Atletas!B125="Masculino",200,""))+(IF(Atletas!I125="Daoshu Mirim",19,IF(Atletas!I125="Jianshu Mirim",20,IF(Atletas!I125="Nandao Mirim",21,IF(Atletas!I125="Taijijian Mirim",22,IF(Atletas!I125="Daoshu Grupo C",23,IF(Atletas!I125="Jianshu Grupo C",24,IF(Atletas!I125="Nandao Grupo C",25,IF(Atletas!I125="Taijijian Grupo C",26,IF(Atletas!I125="Daoshu Grupo B",27,IF(Atletas!I125="Jianshu Grupo B",28,IF(Atletas!I125="Nandao Grupo B",29,IF(Atletas!I125="Taijijian Grupo B",30,IF(Atletas!I125="Daoshu Grupo A",31,IF(Atletas!I125="Jianshu Grupo A",32,IF(Atletas!I125="Nandao Grupo A",33,IF(Atletas!I125="Taijijian Grupo A",34,IF(Atletas!I125="Daoshu Opcional",35,IF(Atletas!I125="Jianshu Opcional",36,IF(Atletas!I125="Nandao Opcional",37,IF(Atletas!I125="Taijijian Opcional",38,IF(Atletas!I125="Daoshu Adulto",39,IF(Atletas!I125="Jianshu Adulto",40,IF(Atletas!I125="Nandao Adulto",41,IF(Atletas!I125="Taijijian Adulto",42,""))))))))))))))))))))))))))</f>
        <v/>
      </c>
      <c r="BH134" s="52" t="str">
        <f>IF(Atletas!J125="","",IF(Atletas!B125="Feminino",100,IF(Atletas!B125="Masculino",200,""))+(IF(Atletas!J125="Gunshu Mirim",43,IF(Atletas!J125="Qiangshu Mirim",44,IF(Atletas!J125="Nangun Mirim",45,IF(Atletas!J125="Gunshu Grupo C",46,IF(Atletas!J125="Qiangshu Grupo C",47,IF(Atletas!J125="Nangun Grupo C",48,IF(Atletas!J125="Gunshu Grupo B",49,IF(Atletas!J125="Qiangshu Grupo B",50,IF(Atletas!J125="Nangun Grupo B",51,IF(Atletas!J125="Gunshu Grupo A",52,IF(Atletas!J125="Qiangshu Grupo A",53,IF(Atletas!J125="Nangun Grupo A",54,IF(Atletas!J125="Gunshu Opcional",55,IF(Atletas!J125="Qiangshu Opcional",56,IF(Atletas!J125="Nangun Opcional",57,IF(Atletas!J125="Gunshu Adulto",58,IF(Atletas!J125="Qiangshu Adulto",59,IF(Atletas!J125="Nangun Adulto",60,IF(Atletas!J125="Taijishan Grupo B",61,IF(Atletas!J125="Taijishan Grupo A",62,""))))))))))))))))))))))</f>
        <v/>
      </c>
      <c r="BM134" s="50" t="str">
        <f>IF(Atletas!K125="","",IF(Atletas!B125="Feminino",100,IF(Atletas!B125="Masculino",200,""))+(IF(Atletas!K125="Equipe 1 Grupo B",1,IF(Atletas!K125="Equipe 2 Grupo B",2,IF(Atletas!K125="Equipe 1 Grupo A",3,IF(Atletas!K125="Equipe 2 Grupo A",4,IF(Atletas!K125="Equipe 1 Adulto",5,IF(Atletas!K125="Equipe 2 Adulto",6,""))))))))</f>
        <v/>
      </c>
      <c r="BR134" s="50" t="str">
        <f>IF(Atletas!L125="","",IF(Atletas!X125&lt;&gt;"",10000,0)+(IF(Atletas!B125="Feminino",1000,IF(Atletas!B125="Masculino",2000,""))+IF(Atletas!L125="Choylayfut A",1,IF(Atletas!L125="Hunggar A",2,IF(Atletas!L125="Wuzuquan A",3,IF(Atletas!L125="Wingchun A",4,IF(Atletas!L125="Outra Mão de Sul A",5,IF(Atletas!L125="Choylayfut B",6,IF(Atletas!L125="Hunggar B",7,IF(Atletas!L125="Wuzuquan B",8,IF(Atletas!L125="Wingchun B",9,IF(Atletas!L125="Outra Mão de Sul B",10,IF(Atletas!L125="Choylayfut C",11,IF(Atletas!L125="Hunggar C",12,IF(Atletas!L125="Wuzuquan C",13,IF(Atletas!L125="Wingchun C",14,IF(Atletas!L125="Outra Mão de Sul C",15,IF(Atletas!L125="Choylayfut D",16,IF(Atletas!L125="Hunggar D",17,IF(Atletas!L125="Wuzuquan D",18,IF(Atletas!L125="Wingchun D",19,IF(Atletas!L125="Outra Mão de Sul D",20,IF(Atletas!L125="Choylayfut E",21,IF(Atletas!L125="Hunggar E",22,IF(Atletas!L125="Wuzuquan E",23,IF(Atletas!L125="Wingchun E",24,IF(Atletas!L125="Outra Mão de Sul E",25,IF(Atletas!L125="Choylayfut F",26,IF(Atletas!L125="Hunggar F",27,IF(Atletas!L125="Wuzuquan F",28,IF(Atletas!L125="Wingchun F",29,IF(Atletas!L125="Outra Mão de Sul F",30,IF(Atletas!L125="Dishuquan A",31,IF(Atletas!L125="Dishuquan B",32,IF(Atletas!L125="Dishuquan C",33,IF(Atletas!L125="Dishuquan D",34,IF(Atletas!L125="Dishuquan E",35,IF(Atletas!L125="Dishuquan F",36,""))))))))))))))))))))))))))))))))))))))</f>
        <v/>
      </c>
      <c r="BS134" s="50" t="str">
        <f>IF(Atletas!M125="","",IF(Atletas!X125&lt;&gt;"",10000,0)+(IF(Atletas!B125="Feminino",1000,IF(Atletas!B125="Masculino",2000,""))+(IF(Atletas!M125="Chaquan A",101,IF(Atletas!M125="Emeiquan A",102,IF(Atletas!M125="Fanziquan A",103,IF(Atletas!M125="Huaquan A",104,IF(Atletas!M125="Hongquan A",105,IF(Atletas!M125="Paoquan A",106,IF(Atletas!M125="Piguaquan A",107,IF(Atletas!M125="Shaolinquan A",108,IF(Atletas!M125="Tanglangquan A",109,IF(Atletas!M125="Yingzhaoquan A",110,IF(Atletas!M125="Tongbeiquan A",111,IF(Atletas!M125="Wudangquan A",112,IF(Atletas!M125="Outros Estilos A",113,IF(Atletas!M125="Chaquan B",114,IF(Atletas!M125="Emeiquan B",115,IF(Atletas!M125="Fanziquan B",116,IF(Atletas!M125="Huaquan B",117,IF(Atletas!M125="Hongquan B",118,IF(Atletas!M125="Paoquan B",119,IF(Atletas!M125="Piguaquan B",120,IF(Atletas!M125="Shaolinquan B",121,IF(Atletas!M125="Tanglangquan B",122,IF(Atletas!M125="Yingzhaoquan B",123,IF(Atletas!M125="Tongbeiquan B",124,IF(Atletas!M125="Wudangquan B",125,IF(Atletas!M125="Outros Estilos B",126,IF(Atletas!M125="Chaquan C",127,IF(Atletas!M125="Emeiquan C",128,IF(Atletas!M125="Fanziquan C",129,IF(Atletas!M125="Huaquan C",130,IF(Atletas!M125="Hongquan C",131,IF(Atletas!M125="Paoquan C",132,IF(Atletas!M125="Piguaquan C",133,IF(Atletas!M125="Shaolinquan C",134,IF(Atletas!M125="Tanglangquan C",135,IF(Atletas!M125="Yingzhaoquan C",136,IF(Atletas!M125="Tongbeiquan C",137,IF(Atletas!M125="Wudangquan C",138,IF(Atletas!M125="Outros Estilos C",139,0))))))))))))))))))))))))))))))))))))))))))</f>
        <v/>
      </c>
      <c r="BT134" s="50" t="str">
        <f>IF(Atletas!M125="","",IF(Atletas!X125&lt;&gt;"",10000,0)+(IF(Atletas!B125="Feminino",1000,IF(Atletas!B125="Masculino",2000,""))+(IF(Atletas!M125="Chaquan D",140,IF(Atletas!M125="Emeiquan D",141,IF(Atletas!M125="Fanziquan D",142,IF(Atletas!M125="Huaquan D",143,IF(Atletas!M125="Hongquan D",144,IF(Atletas!M125="Paoquan D",145,IF(Atletas!M125="Piguaquan D",146,IF(Atletas!M125="Shaolinquan D",147,IF(Atletas!M125="Tanglangquan D",148,IF(Atletas!M125="Yingzhaoquan D",149,IF(Atletas!M125="Tongbeiquan D",150,IF(Atletas!M125="Wudangquan D",151,IF(Atletas!M125="Outros Estilos D",152,IF(Atletas!M125="Chaquan E",153,IF(Atletas!M125="Emeiquan E",154,IF(Atletas!M125="Fanziquan E",155,IF(Atletas!M125="Huaquan E",156,IF(Atletas!M125="Hongquan E",157,IF(Atletas!M125="Paoquan E",158,IF(Atletas!M125="Piguaquan E",159,IF(Atletas!M125="Shaolinquan E",160,IF(Atletas!M125="Tanglangquan E",161,IF(Atletas!M125="Yingzhaoquan E",162,IF(Atletas!M125="Tongbeiquan E",163,IF(Atletas!M125="Wudangquan E",164,IF(Atletas!M125="Outros Estilos E",165,IF(Atletas!M125="Chaquan F",166,IF(Atletas!M125="Emeiquan F",167,IF(Atletas!M125="Fanziquan F",168,IF(Atletas!M125="Huaquan F",169,IF(Atletas!M125="Hongquan F",170,IF(Atletas!M125="Paoquan F",171,IF(Atletas!M125="Piguaquan F",172,IF(Atletas!M125="Shaolinquan F",173,IF(Atletas!M125="Tanglangquan F",174,IF(Atletas!M125="Yingzhaoquan F",175,IF(Atletas!M125="Tongbeiquan F",176,IF(Atletas!M125="Wudangquan F",177,IF(Atletas!M125="Outros Estilos F",178,0))))))))))))))))))))))))))))))))))))))))))</f>
        <v/>
      </c>
      <c r="BU134" s="50" t="str">
        <f>IF(Atletas!N125="","",IF(Atletas!X125&lt;&gt;"",10000,0)+(IF(Atletas!B125="Feminino",1000,IF(Atletas!B125="Masculino",2000,""))+(IF(Atletas!N125="Ditangquan A",201,IF(Atletas!N125="Houquan A",202,IF(Atletas!N125="Zuiquan A",203,IF(Atletas!N125="Ditangquan B",204,IF(Atletas!N125="Houquan B",205,IF(Atletas!N125="Zuiquan B",206,IF(Atletas!N125="Ditangquan C",207,IF(Atletas!N125="Houquan C",208,IF(Atletas!N125="Zuiquan C",209,IF(Atletas!N125="Ditangquan D",210,IF(Atletas!N125="Houquan D",211,IF(Atletas!N125="Zuiquan D",212,IF(Atletas!N125="Ditangquan E",213,IF(Atletas!N125="Houquan E",214,IF(Atletas!N125="Zuiquan E",215,IF(Atletas!N125="Ditangquan F",216,IF(Atletas!N125="Houquan F",217,IF(Atletas!N125="Zuiquan F",218,"")))))))))))))))))))))</f>
        <v/>
      </c>
      <c r="BV134" s="50" t="str">
        <f>IF(Atletas!O125="","",IF(Atletas!X125&lt;&gt;"",10000,0)+IF(Atletas!B125="Feminino",1000,IF(Atletas!B125="Masculino",2000,""))+IF(Atletas!O125="Yang A",301,IF(Atletas!O125="Chen A",302,IF(Atletas!O125="Sun A",303,IF(Atletas!O125="Wu A",304,IF(Atletas!O125="Wu-Hao A",305,IF(Atletas!O125="Outro Taijiquan A",306,IF(Atletas!O125="Yang B",307,IF(Atletas!O125="Chen B",308,IF(Atletas!O125="Sun B",309,IF(Atletas!O125="Wu B",310,IF(Atletas!O125="Wu-Hao B",311,IF(Atletas!O125="Outro Taijiquan B",312,IF(Atletas!O125="Yang C",313,IF(Atletas!O125="Chen C",314,IF(Atletas!O125="Sun C",315,IF(Atletas!O125="Wu C",316,IF(Atletas!O125="Wu-Hao C",317,IF(Atletas!O125="Outro Taijiquan C",318,IF(Atletas!O125="Yang D",319,IF(Atletas!O125="Chen D",320,IF(Atletas!O125="Sun D",321,IF(Atletas!O125="Wu D",322,IF(Atletas!O125="Wu-Hao D",323,IF(Atletas!O125="Outro Taijiquan D",324,IF(Atletas!O125="Yang E",325,IF(Atletas!O125="Chen E",326,IF(Atletas!O125="Sun E",327,IF(Atletas!O125="Wu E",328,IF(Atletas!O125="Wu-Hao E",329,IF(Atletas!O125="Outro Taijiquan E",330,IF(Atletas!O125="Yang F",331,IF(Atletas!O125="Chen F",332,IF(Atletas!O125="Sun F",333,IF(Atletas!O125="Wu F",334,IF(Atletas!O125="Wu-Hao F",335,IF(Atletas!O125="Outro Taijiquan F",336,"")))))))))))))))))))))))))))))))))))))</f>
        <v/>
      </c>
      <c r="BW134" s="50" t="str">
        <f>IF(Atletas!P125="","",IF(Atletas!X125&lt;&gt;"",10000,0)+IF(Atletas!B125="Feminino",1000,IF(Atletas!B125="Masculino",2000,""))+IF(OR(Atletas!P125="Yang 26 A",Atletas!P125="Yang 40 A"),401,IF(OR(Atletas!P125="Chen 25 A",Atletas!P125="Chen 36 A",Atletas!P125="Chen 56 A"),402,IF(Atletas!P125="Sun 73 A",403,IF(Atletas!P125="Wu 45 A",404,IF(Atletas!P125="Wu-Hao 46 A",405,IF(OR(Atletas!P125="Taijiquan 16 A",Atletas!P125="Taijiquan 24 A",Atletas!P125="Taijiquan 32 A",Atletas!P125="Taijiquan 42 A"),406,IF(OR(Atletas!P125="Yang 26 B",Atletas!P125="Yang 40 B"),407,IF(OR(Atletas!P125="Chen 25 B",Atletas!P125="Chen 36 B",Atletas!P125="Chen 56 B"),408,IF(Atletas!P125="Sun 73 B",409,IF(Atletas!P125="Wu 45 B",410,IF(Atletas!P125="Wu-Hao 46 B",411,IF(OR(Atletas!P125="Taijiquan 16 B",Atletas!P125="Taijiquan 24 B",Atletas!P125="Taijiquan 32 B",Atletas!P125="Taijiquan 42 B"),412,IF(OR(Atletas!P125="Yang 26 C",Atletas!P125="Yang 40 C"),413,IF(OR(Atletas!P125="Chen 25 C",Atletas!P125="Chen 36 C",Atletas!P125="Chen 56 C"),414,IF(Atletas!P125="Sun 73 C",415,IF(Atletas!P125="Wu 45 C",416,IF(Atletas!P125="Wu-Hao 46 C",417,IF(OR(Atletas!P125="Taijiquan 16 C",Atletas!P125="Taijiquan 24 C",Atletas!P125="Taijiquan 32 C",Atletas!P125="Taijiquan 42 C"),418,0)))))))))))))))))))</f>
        <v/>
      </c>
      <c r="BX134" s="50" t="str">
        <f>IF(Atletas!P125="","",IF(Atletas!X125&lt;&gt;"",10000,0)+IF(Atletas!B125="Feminino",1000,IF(Atletas!B125="Masculino",2000,""))+IF(OR(Atletas!P125="Yang 26 D",Atletas!P125="Yang 40 D"),419,IF(OR(Atletas!P125="Chen 25 D",Atletas!P125="Chen 36 D",Atletas!P125="Chen 56 D"),420,IF(Atletas!P125="Sun 73 D",421,IF(Atletas!P125="Wu 45 D",422,IF(Atletas!P125="Wu-Hao 46 D",423,IF(OR(Atletas!P125="Taijiquan 16 D",Atletas!P125="Taijiquan 24 D",Atletas!P125="Taijiquan 32 D",Atletas!P125="Taijiquan 42 D"),424,IF(OR(Atletas!P125="Yang 26 E",Atletas!P125="Yang 40 E"),425,IF(OR(Atletas!P125="Chen 25 E",Atletas!P125="Chen 36 E",Atletas!P125="Chen 56 E"),426,IF(Atletas!P125="Sun 73 E",427,IF(Atletas!P125="Wu 45 E",428,IF(Atletas!P125="Wu-Hao 46 E",429,IF(OR(Atletas!P125="Taijiquan 16 E",Atletas!P125="Taijiquan 24 E",Atletas!P125="Taijiquan 32 E",Atletas!P125="Taijiquan 42 E"),430,IF(OR(Atletas!P125="Yang 26 F",Atletas!P125="Yang 40 F"),431,IF(OR(Atletas!P125="Chen 25 F",Atletas!P125="Chen 36 F",Atletas!P125="Chen 56 F"),432,IF(Atletas!P125="Sun 73 F",433,IF(Atletas!P125="Wu 45 F",434,IF(Atletas!P125="Wu-Hao 46 F",435,IF(OR(Atletas!P125="Taijiquan 16 F",Atletas!P125="Taijiquan 24 F",Atletas!P125="Taijiquan 32 F",Atletas!P125="Taijiquan 42 F"),436,0)))))))))))))))))))</f>
        <v/>
      </c>
      <c r="BY134" s="50" t="str">
        <f>IF(Atletas!Q125="","",IF(Atletas!X125&lt;&gt;"",10000,0)+IF(Atletas!B125="Feminino",1000,IF(Atletas!B125="Masculino",2000,""))+IF(Atletas!Q125="Xingyiquan A",501,IF(Atletas!Q125="Baguazhang A",502,IF(Atletas!Q125="Outro Estilo Interno A",503,IF(Atletas!Q125="Xingyiquan B",504,IF(Atletas!Q125="Baguazhang B",505,IF(Atletas!Q125="Outro Estilo Interno B",506,IF(Atletas!Q125="Xingyiquan C",507,IF(Atletas!Q125="Baguazhang C",508,IF(Atletas!Q125="Outro Estilo Interno C",509,IF(Atletas!Q125="Xingyiquan D",510,IF(Atletas!Q125="Baguazhang D",511,IF(Atletas!Q125="Outro Estilo Interno D",512,IF(Atletas!Q125="Xingyiquan E",513,IF(Atletas!Q125="Baguazhang E",514,IF(Atletas!Q125="Outro Estilo Interno E",515,IF(Atletas!Q125="Xingyiquan F",516,IF(Atletas!Q125="Baguazhang F",517,IF(Atletas!Q125="Outro Estilo Interno F",518, "")))))))))))))))))))</f>
        <v/>
      </c>
      <c r="BZ134" s="50" t="str">
        <f>IF(Atletas!R125="","",IF(Atletas!X125&lt;&gt;"",10000,0)+IF(Atletas!B125="Feminino",1000,IF(Atletas!B125="Masculino",2000,""))+IF(Atletas!R125="Dao A",601,IF(Atletas!R125="Jian A",602,IF(Atletas!R125="Bishou A",603,IF(Atletas!R125="Shanzi A",604,IF(Atletas!R125="Outra Arma Curta A",605,IF(Atletas!R125="Dao B",606,IF(Atletas!R125="Jian B",607,IF(Atletas!R125="Bishou B",608,IF(Atletas!R125="Shanzi B",609,IF(Atletas!R125="Outra Arma Curta B",610,IF(Atletas!R125="Dao C",611,IF(Atletas!R125="Jian C",612,IF(Atletas!R125="Bishou C",613,IF(Atletas!R125="Shanzi C",614,IF(Atletas!R125="Outra Arma Curta C",615,IF(Atletas!R125="Dao D",616,IF(Atletas!R125="Jian D",617,IF(Atletas!R125="Bishou D",618,IF(Atletas!R125="Shanzi D",619,IF(Atletas!R125="Outra Arma Curta D",620,IF(Atletas!R125="Dao E",621,IF(Atletas!R125="Jian E",622,IF(Atletas!R125="Bishou E",623,IF(Atletas!R125="Shanzi E",624,IF(Atletas!R125="Outra Arma Curta E",625,IF(Atletas!R125="Dao F",626,IF(Atletas!R125="Jian F",627,IF(Atletas!R125="Bishou F",628,IF(Atletas!R125="Shanzi F",629,IF(Atletas!R125="Outra Arma Curta F",630, "")))))))))))))))))))))))))))))))</f>
        <v/>
      </c>
      <c r="CA134" s="50" t="str">
        <f>IF(Atletas!S125="","",IF(Atletas!X125&lt;&gt;"",10000,0)+IF(Atletas!B125="Feminino",1000,IF(Atletas!B125="Masculino",2000,""))+IF(Atletas!S125="Gun A",701,IF(Atletas!S125="Qiang A",702,IF(Atletas!S125="Pudao / Guandao A",703,IF(Atletas!S125="Outra Arma Longa A",704,IF(Atletas!S125="Gun B",705,IF(Atletas!S125="Qiang B",706,IF(Atletas!S125="Pudao / Guandao B",707,IF(Atletas!S125="Outra Arma Longa B",708,IF(Atletas!S125="Gun C",709,IF(Atletas!S125="Qiang C",710,IF(Atletas!S125="Pudao / Guandao C",711,IF(Atletas!S125="Outra Arma Longa C",712,IF(Atletas!S125="Gun D",713,IF(Atletas!S125="Qiang D",714,IF(Atletas!S125="Pudao / Guandao D",715,IF(Atletas!S125="Outra Arma Longa D",716,IF(Atletas!S125="Gun E",717,IF(Atletas!S125="Qiang E",718,IF(Atletas!S125="Pudao / Guandao E",719,IF(Atletas!S125="Outra Arma Longa E",720,IF(Atletas!S125="Gun F",721,IF(Atletas!S125="Qiang F",722,IF(Atletas!S125="Pudao / Guandao F",723,IF(Atletas!S125="Outra Arma Longa F",724,"")))))))))))))))))))))))))</f>
        <v/>
      </c>
      <c r="CB134" s="50" t="str">
        <f>IF(Atletas!T125="","",IF(Atletas!X125&lt;&gt;"",10000,0)+IF(Atletas!B125="Feminino",1000,IF(Atletas!B125="Masculino",2000,""))+IF(Atletas!T125="Outra Arma Dupla A",801,IF(Atletas!T125="Arma Maleável A",802,IF(Atletas!T125="Outra Arma Dupla B",803,IF(Atletas!T125="Arma Maleável B",804,IF(Atletas!T125="Outra Arma Dupla C",805,IF(Atletas!T125="Arma Maleável C",806,IF(Atletas!T125="Outra Arma Dupla D",807,IF(Atletas!T125="Arma Maleável D",808,IF(Atletas!T125="Outra Arma Dupla E",809,IF(Atletas!T125="Arma Maleável E",810,IF(Atletas!T125="Outra Arma Dupla F",811,IF(Atletas!T125="Arma Maleável F",812,IF(Atletas!T125="Shuangdao A",813,IF(Atletas!T125="Shuangdao B",814,IF(Atletas!T125="Shuangdao C",815,IF(Atletas!T125="Shuangdao D",816,IF(Atletas!T125="Shuangdao E",817,IF(Atletas!T125="Shuangdao F",818,"")))))))))))))))))))</f>
        <v/>
      </c>
      <c r="CC134" s="50" t="str">
        <f>IF(Atletas!U125="","",IF(Atletas!X125&lt;&gt;"",10000,0)+IF(Atletas!B125="Feminino",1000,IF(Atletas!B125="Masculino",2000,""))+IF(OR(Atletas!U125="Taijijian Yang A",Atletas!U125="Taijijian Yang Standard A"),901,IF(OR(Atletas!U125="Taijijian Chen A", Atletas!U125="Taijijian Chen Standard A"),902,IF(Atletas!U125="Taijijian Sun A",903,IF(Atletas!U125="Taijijian Wu A",904,IF(Atletas!U125="Taijijian Wu-Hao A",905,IF(OR(Atletas!U125="Taijijian 32 A",Atletas!U125="Taijijian 42 A"),906,IF(OR(Atletas!U125="Taijijian Yang B",Atletas!U125="Taijijian Yang Standard B"),907,IF(OR(Atletas!U125="Taijijian Chen B", Atletas!U125="Taijijian Chen Standard B"),908,IF(Atletas!U125="Taijijian Sun B",909,IF(Atletas!U125="Taijijian Wu B",910,IF(Atletas!U125="Taijijian Wu-Hao B",911,IF(OR(Atletas!U125="Taijijian 32 B",Atletas!U125="Taijijian 42 B"),912,IF(OR(Atletas!U125="Taijijian Yang C",Atletas!U125="Taijijian Yang Standard C"),913,IF(OR(Atletas!U125="Taijijian Chen C", Atletas!U125="Taijijian Chen Standard C"),914,IF(Atletas!U125="Taijijian Sun C",915,IF(Atletas!U125="Taijijian Wu C",916,IF(Atletas!U125="Taijijian Wu-Hao C",917,IF(OR(Atletas!U125="Taijijian 32 C",Atletas!U125="Taijijian 42 C"),918,IF(OR(Atletas!U125="Taijijian Yang D",Atletas!U125="Taijijian Yang Standard D"),919,IF(OR(Atletas!U125="Taijijian Chen D", Atletas!U125="Taijijian Chen Standard D"),920,IF(Atletas!U125="Taijijian Sun D",921,IF(Atletas!U125="Taijijian Wu D",922,IF(Atletas!U125="Taijijian Wu-Hao D",923,IF(OR(Atletas!U125="Taijijian 32 D",Atletas!U125="Taijijian 42 D"),924,IF(OR(Atletas!U125="Taijijian Yang E",Atletas!U125="Taijijian Yang Standard E"),925,IF(OR(Atletas!U125="Taijijian Chen E", Atletas!U125="Taijijian Chen Standard E"),926,IF(Atletas!U125="Taijijian Sun E",927,IF(Atletas!U125="Taijijian Wu E",928,IF(Atletas!U125="Taijijian Wu-Hao E",929,IF(OR(Atletas!U125="Taijijian 32 E",Atletas!U125="Taijijian 42 E"),930,IF(OR(Atletas!U125="Taijijian Yang F",Atletas!U125="Taijijian Yang Standard F"),931,IF(OR(Atletas!U125="Taijijian Chen F", Atletas!U125="Taijijian Chen Standard F"),932,IF(Atletas!U125="Taijijian Sun F",933,IF(Atletas!U125="Taijijian Wu F",934,IF(Atletas!U125="Taijijian Wu-Hao F",935,IF(OR(Atletas!U125="Taijijian 32 F",Atletas!U125="Taijijian 42 F"),936,"")))))))))))))))))))))))))))))))))))))</f>
        <v/>
      </c>
      <c r="CD134" s="50" t="str">
        <f>IF(Atletas!V125="","",IF(Atletas!X125&lt;&gt;"",10000,0)+IF(Atletas!B125="Feminino",1000,IF(Atletas!B125="Masculino",2000,""))+IF(Atletas!V125="Taijidao A",937,IF(Atletas!V125="TaijiShanzi A",938,IF(Atletas!V125="Taijiqiang A",939,IF(Atletas!V125="Bagua de Arma A",940,IF(Atletas!V125="Xingyi de Arma A",941,IF(Atletas!V125="Taijidao B",942,IF(Atletas!V125="TaijiShanzi B",943,IF(Atletas!V125="Taijiqiang B",944,IF(Atletas!V125="Bagua de Arma B",945,IF(Atletas!V125="Xingyi de Arma B",946,IF(Atletas!V125="Taijidao C",947,IF(Atletas!V125="TaijiShanzi C",948,IF(Atletas!V125="Taijiqiang C",949,IF(Atletas!V125="Bagua de Arma C",950,IF(Atletas!V125="Xingyi de Arma C",951,IF(Atletas!V125="Taijidao D",952,IF(Atletas!V125="TaijiShanzi D",953,IF(Atletas!V125="Taijiqiang D",954,IF(Atletas!V125="Bagua de Arma D",955,IF(Atletas!V125="Xingyi de Arma D",956,IF(Atletas!V125="Taijidao E",957,IF(Atletas!V125="TaijiShanzi E",958,IF(Atletas!V125="Taijiqiang E",959,IF(Atletas!V125="Bagua de Arma E",960,IF(Atletas!V125="Xingyi de Arma E",961,IF(Atletas!V125="Taijidao F",962,IF(Atletas!V125="TaijiShanzi F",963,IF(Atletas!V125="Taijiqiang F",964,IF(Atletas!V125="Bagua de Arma F",965,IF(Atletas!V125="Xingyi de Arma F",966,"")))))))))))))))))))))))))))))))</f>
        <v/>
      </c>
      <c r="CE134" s="66" t="str">
        <f>IF(CF134&lt;&gt;"","Houquan E","")</f>
        <v/>
      </c>
      <c r="CF134" s="66" t="str">
        <f>IF(COUNTIF(BR:CD,1214)&gt;0,COUNTIF(BR:CD,1214),"")</f>
        <v/>
      </c>
      <c r="CG134" s="66" t="str">
        <f>IF(CH134&lt;&gt;"","Houquan E","")</f>
        <v/>
      </c>
      <c r="CH134" s="66" t="str">
        <f>IF(COUNTIF(BR:CD,2214)&gt;0,COUNTIF(BR:CD,2214),"")</f>
        <v/>
      </c>
      <c r="CI134" s="66" t="str">
        <f>IF(CJ134&lt;&gt;"","TJQ Trad. Chen A","")</f>
        <v/>
      </c>
      <c r="CJ134" s="66" t="str">
        <f>IF(COUNTIF(BR:CD,11302)&gt;0,COUNTIF(BR:CD,11302),"")</f>
        <v/>
      </c>
      <c r="CK134" s="66" t="str">
        <f>IF(CL134&lt;&gt;"","TJQ Trad. Chen A","")</f>
        <v/>
      </c>
      <c r="CL134" s="66" t="str">
        <f>IF(COUNTIF(BR:CD,12302)&gt;0,COUNTIF(BR:CD,12302),"")</f>
        <v/>
      </c>
      <c r="CM134" s="50" t="str">
        <f xml:space="preserve"> IF(Atletas!W125="","",IF(Atletas!W125="Duilian de Mãos BC - Equipe 1",1,IF(Atletas!W125="Duilian de Mãos BC - Equipe 2",2,IF(Atletas!W125="Duilian de Armas BC - Equipe 1",3,IF(Atletas!W125="Duilian de Armas BC - Equipe 2",4,IF(Atletas!W125="Duilian de Mãos DE - Equipe 1",5,IF(Atletas!W125="Duilian de Mãos DE - Equipe 2",6,IF(Atletas!W125="Duilian de Armas DE - Equipe 1",7,IF(Atletas!W125="Duilian de Armas DE - Equipe 2",8,IF(Atletas!W125="Duilian de Tuishou - Equipe 1",9,IF(Atletas!W125="Duilian de Tuishou - Equipe 2",10,IF(Atletas!W125="Grupo Externo ABC - Equipe 1",11,IF(Atletas!W125="Grupo Externo ABC - Equipe 2",12,IF(Atletas!W125="Grupo Interno ABC - Equipe 1",13,IF(Atletas!W125="Grupo Interno ABC - Equipe 2",14,IF(Atletas!W125="Grupo Externo DEF - Equipe 1",15,IF(Atletas!W125="Grupo Externo DEF - Equipe 2",16,IF(Atletas!W125="Grupo Interno DEF - Equipe 1",17,IF(Atletas!W125="Grupo Interno DEF - Equipe 2",18,"")))))))))))))))))))</f>
        <v/>
      </c>
    </row>
    <row r="135" spans="2:91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 t="str">
        <f t="array" ref="Z135">IFERROR(INDEX(CE$7:CE$348,SMALL(IF(CE$7:CE$348&lt;&gt;"",ROW(CE$7:CE$348)-ROW(CE$7)+1),ROWS(CE$7:CE134))),"")</f>
        <v/>
      </c>
      <c r="AA135" s="3" t="str">
        <f t="array" ref="AA135">IFERROR(INDEX(CF$7:CF$348,SMALL(IF(CF$7:CF$348&lt;&gt;"",ROW(CF$7:CF$348)-ROW(CF$7)+1),ROWS(CF$7:CF134))),"")</f>
        <v/>
      </c>
      <c r="AB135" s="3" t="str">
        <f t="array" ref="AB135">IFERROR(INDEX(CG$7:CG$348,SMALL(IF(CG$7:CG$348&lt;&gt;"",ROW(CG$7:CG$348)-ROW(CG$7)+1),ROWS(CG$7:CG134))),"")</f>
        <v/>
      </c>
      <c r="AC135" s="3" t="str">
        <f t="array" ref="AC135">IFERROR(INDEX(CH$7:CH$348,SMALL(IF(CH$7:CH$348&lt;&gt;"",ROW(CH$7:CH$348)-ROW(CH$7)+1),ROWS(CH$7:CH134))),"")</f>
        <v/>
      </c>
      <c r="AD135" s="3" t="str">
        <f t="array" ref="AD135">IFERROR(INDEX(CI$7:CI$377,SMALL(IF(CI$7:CI$377&lt;&gt;"",ROW(CI$7:CI$377)-ROW(CI$7)+1),ROWS(CI$7:CI134))),"")</f>
        <v/>
      </c>
      <c r="AE135" s="3" t="str">
        <f t="array" ref="AE135">IFERROR(INDEX(CJ$7:CJ$378,SMALL(IF(CJ$7:CJ$378&lt;&gt;"",ROW(CJ$7:CJ$378)-ROW(CJ$7)+1),ROWS(CJ$7:CJ134))),"")</f>
        <v/>
      </c>
      <c r="AF135" s="3" t="str">
        <f t="array" ref="AF135">IFERROR(INDEX(CK$7:CK$378,SMALL(IF(CK$7:CK$378&lt;&gt;"",ROW(CK$7:CK$378)-ROW(CK$7)+1),ROWS(CK$7:CK134))),"")</f>
        <v/>
      </c>
      <c r="AG135" s="3" t="str">
        <f t="array" ref="AG135">IFERROR(INDEX(CL$7:CL$378,SMALL(IF(CL$7:CL$378&lt;&gt;"",ROW(CL$7:CL$378)-ROW(CL$7)+1),ROWS(CL$7:CL134))),"")</f>
        <v/>
      </c>
      <c r="AH135" s="3"/>
      <c r="AI135" s="3"/>
      <c r="AJ135" s="3"/>
      <c r="AK135" s="3"/>
      <c r="AL135" s="3"/>
      <c r="AM135" s="3"/>
      <c r="AN135" s="52" t="str">
        <f>IF(Atletas!D126="","",IF(Atletas!B126="Feminino",100,IF(Atletas!B126="Masculino",200,""))+(IF(Atletas!D126="Kids 30kg",1,IF(Atletas!D126="Kids 32kg",2, IF(Atletas!D126="Kids 34kg",3,IF(Atletas!D126="Kids 36kg",4,IF(Atletas!D126="Kids 39kg",5,IF(Atletas!D126="Kids 42kg",6,IF(Atletas!D126="Kids 45kg",7, IF(Atletas!D126="Infantil 39kg",8,IF(Atletas!D126="Infantil 42kg",9,IF(Atletas!D126="Infantil 45kg",10,IF(Atletas!D126="Infantil 48kg",11,IF(Atletas!D126="Infantil 52kg",12,IF(Atletas!D126="Infantil 56kg",13,IF(Atletas!D126="Infantil 60kg",14,IF(Atletas!D126="Juvenil 48kg",15,IF(Atletas!D126="Juvenil 52kg",16,IF(Atletas!D126="Juvenil 56kg",17,IF(Atletas!D126="Juvenil 60kg",18,IF(Atletas!D126="Juvenil 65kg",19,IF(Atletas!D126="Juvenil 70kg",20,IF(Atletas!D126="Juvenil 75kg",21,IF(Atletas!D126="Juvenil 80kg",22, IF(Atletas!D126="Juvenil 85kg",23,IF(Atletas!D126="Adulto 48kg",24,IF(Atletas!D126="Adulto 52kg",25,IF(Atletas!D126="Adulto 56kg",26,IF(Atletas!D126="Adulto 60kg",27,IF(Atletas!D126="Adulto 65kg",28,IF(Atletas!D126="Adulto 70kg",29,IF(Atletas!D126="Adulto 75kg",30,IF(Atletas!D126="Adulto 80kg",31,IF(Atletas!D126="Adulto 85kg",32,IF(Atletas!D126="Adulto 90kg",33,IF(Atletas!D126="Adulto 100kg",34, IF(Atletas!D126="Adulto +100kg",35,"")))))))))))))))))))))))))))))))))))))</f>
        <v/>
      </c>
      <c r="AS135" s="6" t="str">
        <f>IF(Atletas!E126="","",IF(Atletas!B126="Feminino",100,IF(Atletas!B126="Masculino",200,""))+(IF(Atletas!E126="Juvenil 44kg",1,IF(Atletas!E126="Juvenil 48kg",2,IF(Atletas!E126="Juvenil 52kg",3,IF(Atletas!E126="Juvenil 56kg",4,IF(Atletas!E126="Juvenil 60kg",5,IF(Atletas!E126="Juvenil 65kg",6,IF(Atletas!E126="Juvenil 70kg",7,IF(Atletas!E126="Juvenil 75kg",8,IF(Atletas!E126="Juvenil 82kg",9,IF(Atletas!E126="Juvenil 90kg",10,IF(Atletas!E126="Juvenil 100kg",11,IF(Atletas!E126="Adulto 48kg",12,IF(Atletas!E126="Adulto 52kg",13,IF(Atletas!E126="Adulto 56kg",14,IF(Atletas!E126="Adulto 60kg",15,IF(Atletas!E126="Adulto 65kg",16,IF(Atletas!E126="Adulto 70kg",17,IF(Atletas!E126="Adulto 75kg",18,IF(Atletas!E126="Adulto 82kg",19,IF(Atletas!E126="Adulto 90kg",20,IF(Atletas!E126="Adulto 100kg",21,IF(Atletas!E126="Adulto +100kg",22,""))))))))))))))))))))))))</f>
        <v/>
      </c>
      <c r="AX135" s="6" t="str">
        <f>IF(Atletas!F126="","",IF(Atletas!B126="Feminino",100,IF(Atletas!B126="Masculino",200,""))+(IF(Atletas!F126="Adulto 48kg",1,IF(Atletas!F126="Adulto 56kg",2,IF(Atletas!F126="Adulto 65kg",3,IF(Atletas!F126="Adulto 75kg",4,IF(Atletas!F126="Adulto +75kg",5,IF(Atletas!F126="Adulto 52kg",6,IF(Atletas!F126="Adulto 60kg",7,IF(Atletas!F126="Adulto 70kg",8,IF(Atletas!F126="Adulto 80kg",9,IF(Atletas!F126="Adulto 90kg",10,IF(Atletas!F126="Adulto +90kg",11,"")))))))))))))</f>
        <v/>
      </c>
      <c r="BC135" s="6" t="str">
        <f>IF(Atletas!G126="","",IF(Atletas!B126="Feminino",10,IF(Atletas!B126="Masculino",20,""))+(IF(Atletas!G126="Baduanjin A",1,IF(Atletas!G126="Baduanjin B",2))))</f>
        <v/>
      </c>
      <c r="BF135" s="52" t="str">
        <f>IF(Atletas!H126="","",IF(Atletas!B126="Feminino",100,IF(Atletas!B126="Masculino",200,""))+(IF(Atletas!H126="Changquan Mirim",1,IF(Atletas!H126="Nanquan Mirim",2,IF(Atletas!H126="Taijiquan Mirim",3,IF(Atletas!H126="Changquan Grupo C",4,IF(Atletas!H126="Nanquan Grupo C",5,IF(Atletas!H126="Taijiquan Grupo C",6,IF(Atletas!H126="Changquan Grupo B",7,IF(Atletas!H126="Nanquan Grupo B",8,IF(Atletas!H126="Taijiquan Grupo B",9,IF(Atletas!H126="Changquan Grupo A",10,IF(Atletas!H126="Nanquan Grupo A",11,IF(Atletas!H126="Taijiquan Grupo A",12,IF(Atletas!H126="Changquan Opcional",13,IF(Atletas!H126="Nanquan Opcional",14,IF(Atletas!H126="Taijiquan Opcional",15,IF(Atletas!H126="Changquan Adulto",16,IF(Atletas!H126="Nanquan Adulto",17,IF(Atletas!H126="Taijiquan Adulto",18,""))))))))))))))))))))</f>
        <v/>
      </c>
      <c r="BG135" s="52" t="str">
        <f>IF(Atletas!I126="","",IF(Atletas!B126="Feminino",100,IF(Atletas!B126="Masculino",200,""))+(IF(Atletas!I126="Daoshu Mirim",19,IF(Atletas!I126="Jianshu Mirim",20,IF(Atletas!I126="Nandao Mirim",21,IF(Atletas!I126="Taijijian Mirim",22,IF(Atletas!I126="Daoshu Grupo C",23,IF(Atletas!I126="Jianshu Grupo C",24,IF(Atletas!I126="Nandao Grupo C",25,IF(Atletas!I126="Taijijian Grupo C",26,IF(Atletas!I126="Daoshu Grupo B",27,IF(Atletas!I126="Jianshu Grupo B",28,IF(Atletas!I126="Nandao Grupo B",29,IF(Atletas!I126="Taijijian Grupo B",30,IF(Atletas!I126="Daoshu Grupo A",31,IF(Atletas!I126="Jianshu Grupo A",32,IF(Atletas!I126="Nandao Grupo A",33,IF(Atletas!I126="Taijijian Grupo A",34,IF(Atletas!I126="Daoshu Opcional",35,IF(Atletas!I126="Jianshu Opcional",36,IF(Atletas!I126="Nandao Opcional",37,IF(Atletas!I126="Taijijian Opcional",38,IF(Atletas!I126="Daoshu Adulto",39,IF(Atletas!I126="Jianshu Adulto",40,IF(Atletas!I126="Nandao Adulto",41,IF(Atletas!I126="Taijijian Adulto",42,""))))))))))))))))))))))))))</f>
        <v/>
      </c>
      <c r="BH135" s="52" t="str">
        <f>IF(Atletas!J126="","",IF(Atletas!B126="Feminino",100,IF(Atletas!B126="Masculino",200,""))+(IF(Atletas!J126="Gunshu Mirim",43,IF(Atletas!J126="Qiangshu Mirim",44,IF(Atletas!J126="Nangun Mirim",45,IF(Atletas!J126="Gunshu Grupo C",46,IF(Atletas!J126="Qiangshu Grupo C",47,IF(Atletas!J126="Nangun Grupo C",48,IF(Atletas!J126="Gunshu Grupo B",49,IF(Atletas!J126="Qiangshu Grupo B",50,IF(Atletas!J126="Nangun Grupo B",51,IF(Atletas!J126="Gunshu Grupo A",52,IF(Atletas!J126="Qiangshu Grupo A",53,IF(Atletas!J126="Nangun Grupo A",54,IF(Atletas!J126="Gunshu Opcional",55,IF(Atletas!J126="Qiangshu Opcional",56,IF(Atletas!J126="Nangun Opcional",57,IF(Atletas!J126="Gunshu Adulto",58,IF(Atletas!J126="Qiangshu Adulto",59,IF(Atletas!J126="Nangun Adulto",60,IF(Atletas!J126="Taijishan Grupo B",61,IF(Atletas!J126="Taijishan Grupo A",62,""))))))))))))))))))))))</f>
        <v/>
      </c>
      <c r="BM135" s="50" t="str">
        <f>IF(Atletas!K126="","",IF(Atletas!B126="Feminino",100,IF(Atletas!B126="Masculino",200,""))+(IF(Atletas!K126="Equipe 1 Grupo B",1,IF(Atletas!K126="Equipe 2 Grupo B",2,IF(Atletas!K126="Equipe 1 Grupo A",3,IF(Atletas!K126="Equipe 2 Grupo A",4,IF(Atletas!K126="Equipe 1 Adulto",5,IF(Atletas!K126="Equipe 2 Adulto",6,""))))))))</f>
        <v/>
      </c>
      <c r="BR135" s="50" t="str">
        <f>IF(Atletas!L126="","",IF(Atletas!X126&lt;&gt;"",10000,0)+(IF(Atletas!B126="Feminino",1000,IF(Atletas!B126="Masculino",2000,""))+IF(Atletas!L126="Choylayfut A",1,IF(Atletas!L126="Hunggar A",2,IF(Atletas!L126="Wuzuquan A",3,IF(Atletas!L126="Wingchun A",4,IF(Atletas!L126="Outra Mão de Sul A",5,IF(Atletas!L126="Choylayfut B",6,IF(Atletas!L126="Hunggar B",7,IF(Atletas!L126="Wuzuquan B",8,IF(Atletas!L126="Wingchun B",9,IF(Atletas!L126="Outra Mão de Sul B",10,IF(Atletas!L126="Choylayfut C",11,IF(Atletas!L126="Hunggar C",12,IF(Atletas!L126="Wuzuquan C",13,IF(Atletas!L126="Wingchun C",14,IF(Atletas!L126="Outra Mão de Sul C",15,IF(Atletas!L126="Choylayfut D",16,IF(Atletas!L126="Hunggar D",17,IF(Atletas!L126="Wuzuquan D",18,IF(Atletas!L126="Wingchun D",19,IF(Atletas!L126="Outra Mão de Sul D",20,IF(Atletas!L126="Choylayfut E",21,IF(Atletas!L126="Hunggar E",22,IF(Atletas!L126="Wuzuquan E",23,IF(Atletas!L126="Wingchun E",24,IF(Atletas!L126="Outra Mão de Sul E",25,IF(Atletas!L126="Choylayfut F",26,IF(Atletas!L126="Hunggar F",27,IF(Atletas!L126="Wuzuquan F",28,IF(Atletas!L126="Wingchun F",29,IF(Atletas!L126="Outra Mão de Sul F",30,IF(Atletas!L126="Dishuquan A",31,IF(Atletas!L126="Dishuquan B",32,IF(Atletas!L126="Dishuquan C",33,IF(Atletas!L126="Dishuquan D",34,IF(Atletas!L126="Dishuquan E",35,IF(Atletas!L126="Dishuquan F",36,""))))))))))))))))))))))))))))))))))))))</f>
        <v/>
      </c>
      <c r="BS135" s="50" t="str">
        <f>IF(Atletas!M126="","",IF(Atletas!X126&lt;&gt;"",10000,0)+(IF(Atletas!B126="Feminino",1000,IF(Atletas!B126="Masculino",2000,""))+(IF(Atletas!M126="Chaquan A",101,IF(Atletas!M126="Emeiquan A",102,IF(Atletas!M126="Fanziquan A",103,IF(Atletas!M126="Huaquan A",104,IF(Atletas!M126="Hongquan A",105,IF(Atletas!M126="Paoquan A",106,IF(Atletas!M126="Piguaquan A",107,IF(Atletas!M126="Shaolinquan A",108,IF(Atletas!M126="Tanglangquan A",109,IF(Atletas!M126="Yingzhaoquan A",110,IF(Atletas!M126="Tongbeiquan A",111,IF(Atletas!M126="Wudangquan A",112,IF(Atletas!M126="Outros Estilos A",113,IF(Atletas!M126="Chaquan B",114,IF(Atletas!M126="Emeiquan B",115,IF(Atletas!M126="Fanziquan B",116,IF(Atletas!M126="Huaquan B",117,IF(Atletas!M126="Hongquan B",118,IF(Atletas!M126="Paoquan B",119,IF(Atletas!M126="Piguaquan B",120,IF(Atletas!M126="Shaolinquan B",121,IF(Atletas!M126="Tanglangquan B",122,IF(Atletas!M126="Yingzhaoquan B",123,IF(Atletas!M126="Tongbeiquan B",124,IF(Atletas!M126="Wudangquan B",125,IF(Atletas!M126="Outros Estilos B",126,IF(Atletas!M126="Chaquan C",127,IF(Atletas!M126="Emeiquan C",128,IF(Atletas!M126="Fanziquan C",129,IF(Atletas!M126="Huaquan C",130,IF(Atletas!M126="Hongquan C",131,IF(Atletas!M126="Paoquan C",132,IF(Atletas!M126="Piguaquan C",133,IF(Atletas!M126="Shaolinquan C",134,IF(Atletas!M126="Tanglangquan C",135,IF(Atletas!M126="Yingzhaoquan C",136,IF(Atletas!M126="Tongbeiquan C",137,IF(Atletas!M126="Wudangquan C",138,IF(Atletas!M126="Outros Estilos C",139,0))))))))))))))))))))))))))))))))))))))))))</f>
        <v/>
      </c>
      <c r="BT135" s="50" t="str">
        <f>IF(Atletas!M126="","",IF(Atletas!X126&lt;&gt;"",10000,0)+(IF(Atletas!B126="Feminino",1000,IF(Atletas!B126="Masculino",2000,""))+(IF(Atletas!M126="Chaquan D",140,IF(Atletas!M126="Emeiquan D",141,IF(Atletas!M126="Fanziquan D",142,IF(Atletas!M126="Huaquan D",143,IF(Atletas!M126="Hongquan D",144,IF(Atletas!M126="Paoquan D",145,IF(Atletas!M126="Piguaquan D",146,IF(Atletas!M126="Shaolinquan D",147,IF(Atletas!M126="Tanglangquan D",148,IF(Atletas!M126="Yingzhaoquan D",149,IF(Atletas!M126="Tongbeiquan D",150,IF(Atletas!M126="Wudangquan D",151,IF(Atletas!M126="Outros Estilos D",152,IF(Atletas!M126="Chaquan E",153,IF(Atletas!M126="Emeiquan E",154,IF(Atletas!M126="Fanziquan E",155,IF(Atletas!M126="Huaquan E",156,IF(Atletas!M126="Hongquan E",157,IF(Atletas!M126="Paoquan E",158,IF(Atletas!M126="Piguaquan E",159,IF(Atletas!M126="Shaolinquan E",160,IF(Atletas!M126="Tanglangquan E",161,IF(Atletas!M126="Yingzhaoquan E",162,IF(Atletas!M126="Tongbeiquan E",163,IF(Atletas!M126="Wudangquan E",164,IF(Atletas!M126="Outros Estilos E",165,IF(Atletas!M126="Chaquan F",166,IF(Atletas!M126="Emeiquan F",167,IF(Atletas!M126="Fanziquan F",168,IF(Atletas!M126="Huaquan F",169,IF(Atletas!M126="Hongquan F",170,IF(Atletas!M126="Paoquan F",171,IF(Atletas!M126="Piguaquan F",172,IF(Atletas!M126="Shaolinquan F",173,IF(Atletas!M126="Tanglangquan F",174,IF(Atletas!M126="Yingzhaoquan F",175,IF(Atletas!M126="Tongbeiquan F",176,IF(Atletas!M126="Wudangquan F",177,IF(Atletas!M126="Outros Estilos F",178,0))))))))))))))))))))))))))))))))))))))))))</f>
        <v/>
      </c>
      <c r="BU135" s="50" t="str">
        <f>IF(Atletas!N126="","",IF(Atletas!X126&lt;&gt;"",10000,0)+(IF(Atletas!B126="Feminino",1000,IF(Atletas!B126="Masculino",2000,""))+(IF(Atletas!N126="Ditangquan A",201,IF(Atletas!N126="Houquan A",202,IF(Atletas!N126="Zuiquan A",203,IF(Atletas!N126="Ditangquan B",204,IF(Atletas!N126="Houquan B",205,IF(Atletas!N126="Zuiquan B",206,IF(Atletas!N126="Ditangquan C",207,IF(Atletas!N126="Houquan C",208,IF(Atletas!N126="Zuiquan C",209,IF(Atletas!N126="Ditangquan D",210,IF(Atletas!N126="Houquan D",211,IF(Atletas!N126="Zuiquan D",212,IF(Atletas!N126="Ditangquan E",213,IF(Atletas!N126="Houquan E",214,IF(Atletas!N126="Zuiquan E",215,IF(Atletas!N126="Ditangquan F",216,IF(Atletas!N126="Houquan F",217,IF(Atletas!N126="Zuiquan F",218,"")))))))))))))))))))))</f>
        <v/>
      </c>
      <c r="BV135" s="50" t="str">
        <f>IF(Atletas!O126="","",IF(Atletas!X126&lt;&gt;"",10000,0)+IF(Atletas!B126="Feminino",1000,IF(Atletas!B126="Masculino",2000,""))+IF(Atletas!O126="Yang A",301,IF(Atletas!O126="Chen A",302,IF(Atletas!O126="Sun A",303,IF(Atletas!O126="Wu A",304,IF(Atletas!O126="Wu-Hao A",305,IF(Atletas!O126="Outro Taijiquan A",306,IF(Atletas!O126="Yang B",307,IF(Atletas!O126="Chen B",308,IF(Atletas!O126="Sun B",309,IF(Atletas!O126="Wu B",310,IF(Atletas!O126="Wu-Hao B",311,IF(Atletas!O126="Outro Taijiquan B",312,IF(Atletas!O126="Yang C",313,IF(Atletas!O126="Chen C",314,IF(Atletas!O126="Sun C",315,IF(Atletas!O126="Wu C",316,IF(Atletas!O126="Wu-Hao C",317,IF(Atletas!O126="Outro Taijiquan C",318,IF(Atletas!O126="Yang D",319,IF(Atletas!O126="Chen D",320,IF(Atletas!O126="Sun D",321,IF(Atletas!O126="Wu D",322,IF(Atletas!O126="Wu-Hao D",323,IF(Atletas!O126="Outro Taijiquan D",324,IF(Atletas!O126="Yang E",325,IF(Atletas!O126="Chen E",326,IF(Atletas!O126="Sun E",327,IF(Atletas!O126="Wu E",328,IF(Atletas!O126="Wu-Hao E",329,IF(Atletas!O126="Outro Taijiquan E",330,IF(Atletas!O126="Yang F",331,IF(Atletas!O126="Chen F",332,IF(Atletas!O126="Sun F",333,IF(Atletas!O126="Wu F",334,IF(Atletas!O126="Wu-Hao F",335,IF(Atletas!O126="Outro Taijiquan F",336,"")))))))))))))))))))))))))))))))))))))</f>
        <v/>
      </c>
      <c r="BW135" s="50" t="str">
        <f>IF(Atletas!P126="","",IF(Atletas!X126&lt;&gt;"",10000,0)+IF(Atletas!B126="Feminino",1000,IF(Atletas!B126="Masculino",2000,""))+IF(OR(Atletas!P126="Yang 26 A",Atletas!P126="Yang 40 A"),401,IF(OR(Atletas!P126="Chen 25 A",Atletas!P126="Chen 36 A",Atletas!P126="Chen 56 A"),402,IF(Atletas!P126="Sun 73 A",403,IF(Atletas!P126="Wu 45 A",404,IF(Atletas!P126="Wu-Hao 46 A",405,IF(OR(Atletas!P126="Taijiquan 16 A",Atletas!P126="Taijiquan 24 A",Atletas!P126="Taijiquan 32 A",Atletas!P126="Taijiquan 42 A"),406,IF(OR(Atletas!P126="Yang 26 B",Atletas!P126="Yang 40 B"),407,IF(OR(Atletas!P126="Chen 25 B",Atletas!P126="Chen 36 B",Atletas!P126="Chen 56 B"),408,IF(Atletas!P126="Sun 73 B",409,IF(Atletas!P126="Wu 45 B",410,IF(Atletas!P126="Wu-Hao 46 B",411,IF(OR(Atletas!P126="Taijiquan 16 B",Atletas!P126="Taijiquan 24 B",Atletas!P126="Taijiquan 32 B",Atletas!P126="Taijiquan 42 B"),412,IF(OR(Atletas!P126="Yang 26 C",Atletas!P126="Yang 40 C"),413,IF(OR(Atletas!P126="Chen 25 C",Atletas!P126="Chen 36 C",Atletas!P126="Chen 56 C"),414,IF(Atletas!P126="Sun 73 C",415,IF(Atletas!P126="Wu 45 C",416,IF(Atletas!P126="Wu-Hao 46 C",417,IF(OR(Atletas!P126="Taijiquan 16 C",Atletas!P126="Taijiquan 24 C",Atletas!P126="Taijiquan 32 C",Atletas!P126="Taijiquan 42 C"),418,0)))))))))))))))))))</f>
        <v/>
      </c>
      <c r="BX135" s="50" t="str">
        <f>IF(Atletas!P126="","",IF(Atletas!X126&lt;&gt;"",10000,0)+IF(Atletas!B126="Feminino",1000,IF(Atletas!B126="Masculino",2000,""))+IF(OR(Atletas!P126="Yang 26 D",Atletas!P126="Yang 40 D"),419,IF(OR(Atletas!P126="Chen 25 D",Atletas!P126="Chen 36 D",Atletas!P126="Chen 56 D"),420,IF(Atletas!P126="Sun 73 D",421,IF(Atletas!P126="Wu 45 D",422,IF(Atletas!P126="Wu-Hao 46 D",423,IF(OR(Atletas!P126="Taijiquan 16 D",Atletas!P126="Taijiquan 24 D",Atletas!P126="Taijiquan 32 D",Atletas!P126="Taijiquan 42 D"),424,IF(OR(Atletas!P126="Yang 26 E",Atletas!P126="Yang 40 E"),425,IF(OR(Atletas!P126="Chen 25 E",Atletas!P126="Chen 36 E",Atletas!P126="Chen 56 E"),426,IF(Atletas!P126="Sun 73 E",427,IF(Atletas!P126="Wu 45 E",428,IF(Atletas!P126="Wu-Hao 46 E",429,IF(OR(Atletas!P126="Taijiquan 16 E",Atletas!P126="Taijiquan 24 E",Atletas!P126="Taijiquan 32 E",Atletas!P126="Taijiquan 42 E"),430,IF(OR(Atletas!P126="Yang 26 F",Atletas!P126="Yang 40 F"),431,IF(OR(Atletas!P126="Chen 25 F",Atletas!P126="Chen 36 F",Atletas!P126="Chen 56 F"),432,IF(Atletas!P126="Sun 73 F",433,IF(Atletas!P126="Wu 45 F",434,IF(Atletas!P126="Wu-Hao 46 F",435,IF(OR(Atletas!P126="Taijiquan 16 F",Atletas!P126="Taijiquan 24 F",Atletas!P126="Taijiquan 32 F",Atletas!P126="Taijiquan 42 F"),436,0)))))))))))))))))))</f>
        <v/>
      </c>
      <c r="BY135" s="50" t="str">
        <f>IF(Atletas!Q126="","",IF(Atletas!X126&lt;&gt;"",10000,0)+IF(Atletas!B126="Feminino",1000,IF(Atletas!B126="Masculino",2000,""))+IF(Atletas!Q126="Xingyiquan A",501,IF(Atletas!Q126="Baguazhang A",502,IF(Atletas!Q126="Outro Estilo Interno A",503,IF(Atletas!Q126="Xingyiquan B",504,IF(Atletas!Q126="Baguazhang B",505,IF(Atletas!Q126="Outro Estilo Interno B",506,IF(Atletas!Q126="Xingyiquan C",507,IF(Atletas!Q126="Baguazhang C",508,IF(Atletas!Q126="Outro Estilo Interno C",509,IF(Atletas!Q126="Xingyiquan D",510,IF(Atletas!Q126="Baguazhang D",511,IF(Atletas!Q126="Outro Estilo Interno D",512,IF(Atletas!Q126="Xingyiquan E",513,IF(Atletas!Q126="Baguazhang E",514,IF(Atletas!Q126="Outro Estilo Interno E",515,IF(Atletas!Q126="Xingyiquan F",516,IF(Atletas!Q126="Baguazhang F",517,IF(Atletas!Q126="Outro Estilo Interno F",518, "")))))))))))))))))))</f>
        <v/>
      </c>
      <c r="BZ135" s="50" t="str">
        <f>IF(Atletas!R126="","",IF(Atletas!X126&lt;&gt;"",10000,0)+IF(Atletas!B126="Feminino",1000,IF(Atletas!B126="Masculino",2000,""))+IF(Atletas!R126="Dao A",601,IF(Atletas!R126="Jian A",602,IF(Atletas!R126="Bishou A",603,IF(Atletas!R126="Shanzi A",604,IF(Atletas!R126="Outra Arma Curta A",605,IF(Atletas!R126="Dao B",606,IF(Atletas!R126="Jian B",607,IF(Atletas!R126="Bishou B",608,IF(Atletas!R126="Shanzi B",609,IF(Atletas!R126="Outra Arma Curta B",610,IF(Atletas!R126="Dao C",611,IF(Atletas!R126="Jian C",612,IF(Atletas!R126="Bishou C",613,IF(Atletas!R126="Shanzi C",614,IF(Atletas!R126="Outra Arma Curta C",615,IF(Atletas!R126="Dao D",616,IF(Atletas!R126="Jian D",617,IF(Atletas!R126="Bishou D",618,IF(Atletas!R126="Shanzi D",619,IF(Atletas!R126="Outra Arma Curta D",620,IF(Atletas!R126="Dao E",621,IF(Atletas!R126="Jian E",622,IF(Atletas!R126="Bishou E",623,IF(Atletas!R126="Shanzi E",624,IF(Atletas!R126="Outra Arma Curta E",625,IF(Atletas!R126="Dao F",626,IF(Atletas!R126="Jian F",627,IF(Atletas!R126="Bishou F",628,IF(Atletas!R126="Shanzi F",629,IF(Atletas!R126="Outra Arma Curta F",630, "")))))))))))))))))))))))))))))))</f>
        <v/>
      </c>
      <c r="CA135" s="50" t="str">
        <f>IF(Atletas!S126="","",IF(Atletas!X126&lt;&gt;"",10000,0)+IF(Atletas!B126="Feminino",1000,IF(Atletas!B126="Masculino",2000,""))+IF(Atletas!S126="Gun A",701,IF(Atletas!S126="Qiang A",702,IF(Atletas!S126="Pudao / Guandao A",703,IF(Atletas!S126="Outra Arma Longa A",704,IF(Atletas!S126="Gun B",705,IF(Atletas!S126="Qiang B",706,IF(Atletas!S126="Pudao / Guandao B",707,IF(Atletas!S126="Outra Arma Longa B",708,IF(Atletas!S126="Gun C",709,IF(Atletas!S126="Qiang C",710,IF(Atletas!S126="Pudao / Guandao C",711,IF(Atletas!S126="Outra Arma Longa C",712,IF(Atletas!S126="Gun D",713,IF(Atletas!S126="Qiang D",714,IF(Atletas!S126="Pudao / Guandao D",715,IF(Atletas!S126="Outra Arma Longa D",716,IF(Atletas!S126="Gun E",717,IF(Atletas!S126="Qiang E",718,IF(Atletas!S126="Pudao / Guandao E",719,IF(Atletas!S126="Outra Arma Longa E",720,IF(Atletas!S126="Gun F",721,IF(Atletas!S126="Qiang F",722,IF(Atletas!S126="Pudao / Guandao F",723,IF(Atletas!S126="Outra Arma Longa F",724,"")))))))))))))))))))))))))</f>
        <v/>
      </c>
      <c r="CB135" s="50" t="str">
        <f>IF(Atletas!T126="","",IF(Atletas!X126&lt;&gt;"",10000,0)+IF(Atletas!B126="Feminino",1000,IF(Atletas!B126="Masculino",2000,""))+IF(Atletas!T126="Outra Arma Dupla A",801,IF(Atletas!T126="Arma Maleável A",802,IF(Atletas!T126="Outra Arma Dupla B",803,IF(Atletas!T126="Arma Maleável B",804,IF(Atletas!T126="Outra Arma Dupla C",805,IF(Atletas!T126="Arma Maleável C",806,IF(Atletas!T126="Outra Arma Dupla D",807,IF(Atletas!T126="Arma Maleável D",808,IF(Atletas!T126="Outra Arma Dupla E",809,IF(Atletas!T126="Arma Maleável E",810,IF(Atletas!T126="Outra Arma Dupla F",811,IF(Atletas!T126="Arma Maleável F",812,IF(Atletas!T126="Shuangdao A",813,IF(Atletas!T126="Shuangdao B",814,IF(Atletas!T126="Shuangdao C",815,IF(Atletas!T126="Shuangdao D",816,IF(Atletas!T126="Shuangdao E",817,IF(Atletas!T126="Shuangdao F",818,"")))))))))))))))))))</f>
        <v/>
      </c>
      <c r="CC135" s="50" t="str">
        <f>IF(Atletas!U126="","",IF(Atletas!X126&lt;&gt;"",10000,0)+IF(Atletas!B126="Feminino",1000,IF(Atletas!B126="Masculino",2000,""))+IF(OR(Atletas!U126="Taijijian Yang A",Atletas!U126="Taijijian Yang Standard A"),901,IF(OR(Atletas!U126="Taijijian Chen A", Atletas!U126="Taijijian Chen Standard A"),902,IF(Atletas!U126="Taijijian Sun A",903,IF(Atletas!U126="Taijijian Wu A",904,IF(Atletas!U126="Taijijian Wu-Hao A",905,IF(OR(Atletas!U126="Taijijian 32 A",Atletas!U126="Taijijian 42 A"),906,IF(OR(Atletas!U126="Taijijian Yang B",Atletas!U126="Taijijian Yang Standard B"),907,IF(OR(Atletas!U126="Taijijian Chen B", Atletas!U126="Taijijian Chen Standard B"),908,IF(Atletas!U126="Taijijian Sun B",909,IF(Atletas!U126="Taijijian Wu B",910,IF(Atletas!U126="Taijijian Wu-Hao B",911,IF(OR(Atletas!U126="Taijijian 32 B",Atletas!U126="Taijijian 42 B"),912,IF(OR(Atletas!U126="Taijijian Yang C",Atletas!U126="Taijijian Yang Standard C"),913,IF(OR(Atletas!U126="Taijijian Chen C", Atletas!U126="Taijijian Chen Standard C"),914,IF(Atletas!U126="Taijijian Sun C",915,IF(Atletas!U126="Taijijian Wu C",916,IF(Atletas!U126="Taijijian Wu-Hao C",917,IF(OR(Atletas!U126="Taijijian 32 C",Atletas!U126="Taijijian 42 C"),918,IF(OR(Atletas!U126="Taijijian Yang D",Atletas!U126="Taijijian Yang Standard D"),919,IF(OR(Atletas!U126="Taijijian Chen D", Atletas!U126="Taijijian Chen Standard D"),920,IF(Atletas!U126="Taijijian Sun D",921,IF(Atletas!U126="Taijijian Wu D",922,IF(Atletas!U126="Taijijian Wu-Hao D",923,IF(OR(Atletas!U126="Taijijian 32 D",Atletas!U126="Taijijian 42 D"),924,IF(OR(Atletas!U126="Taijijian Yang E",Atletas!U126="Taijijian Yang Standard E"),925,IF(OR(Atletas!U126="Taijijian Chen E", Atletas!U126="Taijijian Chen Standard E"),926,IF(Atletas!U126="Taijijian Sun E",927,IF(Atletas!U126="Taijijian Wu E",928,IF(Atletas!U126="Taijijian Wu-Hao E",929,IF(OR(Atletas!U126="Taijijian 32 E",Atletas!U126="Taijijian 42 E"),930,IF(OR(Atletas!U126="Taijijian Yang F",Atletas!U126="Taijijian Yang Standard F"),931,IF(OR(Atletas!U126="Taijijian Chen F", Atletas!U126="Taijijian Chen Standard F"),932,IF(Atletas!U126="Taijijian Sun F",933,IF(Atletas!U126="Taijijian Wu F",934,IF(Atletas!U126="Taijijian Wu-Hao F",935,IF(OR(Atletas!U126="Taijijian 32 F",Atletas!U126="Taijijian 42 F"),936,"")))))))))))))))))))))))))))))))))))))</f>
        <v/>
      </c>
      <c r="CD135" s="50" t="str">
        <f>IF(Atletas!V126="","",IF(Atletas!X126&lt;&gt;"",10000,0)+IF(Atletas!B126="Feminino",1000,IF(Atletas!B126="Masculino",2000,""))+IF(Atletas!V126="Taijidao A",937,IF(Atletas!V126="TaijiShanzi A",938,IF(Atletas!V126="Taijiqiang A",939,IF(Atletas!V126="Bagua de Arma A",940,IF(Atletas!V126="Xingyi de Arma A",941,IF(Atletas!V126="Taijidao B",942,IF(Atletas!V126="TaijiShanzi B",943,IF(Atletas!V126="Taijiqiang B",944,IF(Atletas!V126="Bagua de Arma B",945,IF(Atletas!V126="Xingyi de Arma B",946,IF(Atletas!V126="Taijidao C",947,IF(Atletas!V126="TaijiShanzi C",948,IF(Atletas!V126="Taijiqiang C",949,IF(Atletas!V126="Bagua de Arma C",950,IF(Atletas!V126="Xingyi de Arma C",951,IF(Atletas!V126="Taijidao D",952,IF(Atletas!V126="TaijiShanzi D",953,IF(Atletas!V126="Taijiqiang D",954,IF(Atletas!V126="Bagua de Arma D",955,IF(Atletas!V126="Xingyi de Arma D",956,IF(Atletas!V126="Taijidao E",957,IF(Atletas!V126="TaijiShanzi E",958,IF(Atletas!V126="Taijiqiang E",959,IF(Atletas!V126="Bagua de Arma E",960,IF(Atletas!V126="Xingyi de Arma E",961,IF(Atletas!V126="Taijidao F",962,IF(Atletas!V126="TaijiShanzi F",963,IF(Atletas!V126="Taijiqiang F",964,IF(Atletas!V126="Bagua de Arma F",965,IF(Atletas!V126="Xingyi de Arma F",966,"")))))))))))))))))))))))))))))))</f>
        <v/>
      </c>
      <c r="CE135" s="66" t="str">
        <f>IF(CF135&lt;&gt;"","Zuiquan E","")</f>
        <v/>
      </c>
      <c r="CF135" s="66" t="str">
        <f>IF(COUNTIF(BR:CD,1215)&gt;0,COUNTIF(BR:CD,1215),"")</f>
        <v/>
      </c>
      <c r="CG135" s="66" t="str">
        <f>IF(CH135&lt;&gt;"","Zuiquan E","")</f>
        <v/>
      </c>
      <c r="CH135" s="66" t="str">
        <f>IF(COUNTIF(BR:CD,2215)&gt;0,COUNTIF(BR:CD,2215),"")</f>
        <v/>
      </c>
      <c r="CI135" s="66" t="str">
        <f>IF(CJ135&lt;&gt;"","TJQ Trad. Sun A","")</f>
        <v/>
      </c>
      <c r="CJ135" s="66" t="str">
        <f>IF(COUNTIF(BR:CD,11303)&gt;0,COUNTIF(BR:CD,11303),"")</f>
        <v/>
      </c>
      <c r="CK135" s="66" t="str">
        <f>IF(CL135&lt;&gt;"","TJQ Trad. Sun A","")</f>
        <v/>
      </c>
      <c r="CL135" s="66" t="str">
        <f>IF(COUNTIF(BR:CD,12303)&gt;0,COUNTIF(BR:CD,12303),"")</f>
        <v/>
      </c>
      <c r="CM135" s="50" t="str">
        <f xml:space="preserve"> IF(Atletas!W126="","",IF(Atletas!W126="Duilian de Mãos BC - Equipe 1",1,IF(Atletas!W126="Duilian de Mãos BC - Equipe 2",2,IF(Atletas!W126="Duilian de Armas BC - Equipe 1",3,IF(Atletas!W126="Duilian de Armas BC - Equipe 2",4,IF(Atletas!W126="Duilian de Mãos DE - Equipe 1",5,IF(Atletas!W126="Duilian de Mãos DE - Equipe 2",6,IF(Atletas!W126="Duilian de Armas DE - Equipe 1",7,IF(Atletas!W126="Duilian de Armas DE - Equipe 2",8,IF(Atletas!W126="Duilian de Tuishou - Equipe 1",9,IF(Atletas!W126="Duilian de Tuishou - Equipe 2",10,IF(Atletas!W126="Grupo Externo ABC - Equipe 1",11,IF(Atletas!W126="Grupo Externo ABC - Equipe 2",12,IF(Atletas!W126="Grupo Interno ABC - Equipe 1",13,IF(Atletas!W126="Grupo Interno ABC - Equipe 2",14,IF(Atletas!W126="Grupo Externo DEF - Equipe 1",15,IF(Atletas!W126="Grupo Externo DEF - Equipe 2",16,IF(Atletas!W126="Grupo Interno DEF - Equipe 1",17,IF(Atletas!W126="Grupo Interno DEF - Equipe 2",18,"")))))))))))))))))))</f>
        <v/>
      </c>
    </row>
    <row r="136" spans="2:91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 t="str">
        <f t="array" ref="Z136">IFERROR(INDEX(CE$7:CE$348,SMALL(IF(CE$7:CE$348&lt;&gt;"",ROW(CE$7:CE$348)-ROW(CE$7)+1),ROWS(CE$7:CE135))),"")</f>
        <v/>
      </c>
      <c r="AA136" s="3" t="str">
        <f t="array" ref="AA136">IFERROR(INDEX(CF$7:CF$348,SMALL(IF(CF$7:CF$348&lt;&gt;"",ROW(CF$7:CF$348)-ROW(CF$7)+1),ROWS(CF$7:CF135))),"")</f>
        <v/>
      </c>
      <c r="AB136" s="3" t="str">
        <f t="array" ref="AB136">IFERROR(INDEX(CG$7:CG$348,SMALL(IF(CG$7:CG$348&lt;&gt;"",ROW(CG$7:CG$348)-ROW(CG$7)+1),ROWS(CG$7:CG135))),"")</f>
        <v/>
      </c>
      <c r="AC136" s="3" t="str">
        <f t="array" ref="AC136">IFERROR(INDEX(CH$7:CH$348,SMALL(IF(CH$7:CH$348&lt;&gt;"",ROW(CH$7:CH$348)-ROW(CH$7)+1),ROWS(CH$7:CH135))),"")</f>
        <v/>
      </c>
      <c r="AD136" s="3" t="str">
        <f t="array" ref="AD136">IFERROR(INDEX(CI$7:CI$377,SMALL(IF(CI$7:CI$377&lt;&gt;"",ROW(CI$7:CI$377)-ROW(CI$7)+1),ROWS(CI$7:CI135))),"")</f>
        <v/>
      </c>
      <c r="AE136" s="3" t="str">
        <f t="array" ref="AE136">IFERROR(INDEX(CJ$7:CJ$378,SMALL(IF(CJ$7:CJ$378&lt;&gt;"",ROW(CJ$7:CJ$378)-ROW(CJ$7)+1),ROWS(CJ$7:CJ135))),"")</f>
        <v/>
      </c>
      <c r="AF136" s="3" t="str">
        <f t="array" ref="AF136">IFERROR(INDEX(CK$7:CK$378,SMALL(IF(CK$7:CK$378&lt;&gt;"",ROW(CK$7:CK$378)-ROW(CK$7)+1),ROWS(CK$7:CK135))),"")</f>
        <v/>
      </c>
      <c r="AG136" s="3" t="str">
        <f t="array" ref="AG136">IFERROR(INDEX(CL$7:CL$378,SMALL(IF(CL$7:CL$378&lt;&gt;"",ROW(CL$7:CL$378)-ROW(CL$7)+1),ROWS(CL$7:CL135))),"")</f>
        <v/>
      </c>
      <c r="AH136" s="3"/>
      <c r="AI136" s="3"/>
      <c r="AJ136" s="3"/>
      <c r="AK136" s="3"/>
      <c r="AL136" s="3"/>
      <c r="AM136" s="3"/>
      <c r="AN136" s="52" t="str">
        <f>IF(Atletas!D127="","",IF(Atletas!B127="Feminino",100,IF(Atletas!B127="Masculino",200,""))+(IF(Atletas!D127="Kids 30kg",1,IF(Atletas!D127="Kids 32kg",2, IF(Atletas!D127="Kids 34kg",3,IF(Atletas!D127="Kids 36kg",4,IF(Atletas!D127="Kids 39kg",5,IF(Atletas!D127="Kids 42kg",6,IF(Atletas!D127="Kids 45kg",7, IF(Atletas!D127="Infantil 39kg",8,IF(Atletas!D127="Infantil 42kg",9,IF(Atletas!D127="Infantil 45kg",10,IF(Atletas!D127="Infantil 48kg",11,IF(Atletas!D127="Infantil 52kg",12,IF(Atletas!D127="Infantil 56kg",13,IF(Atletas!D127="Infantil 60kg",14,IF(Atletas!D127="Juvenil 48kg",15,IF(Atletas!D127="Juvenil 52kg",16,IF(Atletas!D127="Juvenil 56kg",17,IF(Atletas!D127="Juvenil 60kg",18,IF(Atletas!D127="Juvenil 65kg",19,IF(Atletas!D127="Juvenil 70kg",20,IF(Atletas!D127="Juvenil 75kg",21,IF(Atletas!D127="Juvenil 80kg",22, IF(Atletas!D127="Juvenil 85kg",23,IF(Atletas!D127="Adulto 48kg",24,IF(Atletas!D127="Adulto 52kg",25,IF(Atletas!D127="Adulto 56kg",26,IF(Atletas!D127="Adulto 60kg",27,IF(Atletas!D127="Adulto 65kg",28,IF(Atletas!D127="Adulto 70kg",29,IF(Atletas!D127="Adulto 75kg",30,IF(Atletas!D127="Adulto 80kg",31,IF(Atletas!D127="Adulto 85kg",32,IF(Atletas!D127="Adulto 90kg",33,IF(Atletas!D127="Adulto 100kg",34, IF(Atletas!D127="Adulto +100kg",35,"")))))))))))))))))))))))))))))))))))))</f>
        <v/>
      </c>
      <c r="AS136" s="6" t="str">
        <f>IF(Atletas!E127="","",IF(Atletas!B127="Feminino",100,IF(Atletas!B127="Masculino",200,""))+(IF(Atletas!E127="Juvenil 44kg",1,IF(Atletas!E127="Juvenil 48kg",2,IF(Atletas!E127="Juvenil 52kg",3,IF(Atletas!E127="Juvenil 56kg",4,IF(Atletas!E127="Juvenil 60kg",5,IF(Atletas!E127="Juvenil 65kg",6,IF(Atletas!E127="Juvenil 70kg",7,IF(Atletas!E127="Juvenil 75kg",8,IF(Atletas!E127="Juvenil 82kg",9,IF(Atletas!E127="Juvenil 90kg",10,IF(Atletas!E127="Juvenil 100kg",11,IF(Atletas!E127="Adulto 48kg",12,IF(Atletas!E127="Adulto 52kg",13,IF(Atletas!E127="Adulto 56kg",14,IF(Atletas!E127="Adulto 60kg",15,IF(Atletas!E127="Adulto 65kg",16,IF(Atletas!E127="Adulto 70kg",17,IF(Atletas!E127="Adulto 75kg",18,IF(Atletas!E127="Adulto 82kg",19,IF(Atletas!E127="Adulto 90kg",20,IF(Atletas!E127="Adulto 100kg",21,IF(Atletas!E127="Adulto +100kg",22,""))))))))))))))))))))))))</f>
        <v/>
      </c>
      <c r="AX136" s="6" t="str">
        <f>IF(Atletas!F127="","",IF(Atletas!B127="Feminino",100,IF(Atletas!B127="Masculino",200,""))+(IF(Atletas!F127="Adulto 48kg",1,IF(Atletas!F127="Adulto 56kg",2,IF(Atletas!F127="Adulto 65kg",3,IF(Atletas!F127="Adulto 75kg",4,IF(Atletas!F127="Adulto +75kg",5,IF(Atletas!F127="Adulto 52kg",6,IF(Atletas!F127="Adulto 60kg",7,IF(Atletas!F127="Adulto 70kg",8,IF(Atletas!F127="Adulto 80kg",9,IF(Atletas!F127="Adulto 90kg",10,IF(Atletas!F127="Adulto +90kg",11,"")))))))))))))</f>
        <v/>
      </c>
      <c r="BC136" s="6" t="str">
        <f>IF(Atletas!G127="","",IF(Atletas!B127="Feminino",10,IF(Atletas!B127="Masculino",20,""))+(IF(Atletas!G127="Baduanjin A",1,IF(Atletas!G127="Baduanjin B",2))))</f>
        <v/>
      </c>
      <c r="BF136" s="52" t="str">
        <f>IF(Atletas!H127="","",IF(Atletas!B127="Feminino",100,IF(Atletas!B127="Masculino",200,""))+(IF(Atletas!H127="Changquan Mirim",1,IF(Atletas!H127="Nanquan Mirim",2,IF(Atletas!H127="Taijiquan Mirim",3,IF(Atletas!H127="Changquan Grupo C",4,IF(Atletas!H127="Nanquan Grupo C",5,IF(Atletas!H127="Taijiquan Grupo C",6,IF(Atletas!H127="Changquan Grupo B",7,IF(Atletas!H127="Nanquan Grupo B",8,IF(Atletas!H127="Taijiquan Grupo B",9,IF(Atletas!H127="Changquan Grupo A",10,IF(Atletas!H127="Nanquan Grupo A",11,IF(Atletas!H127="Taijiquan Grupo A",12,IF(Atletas!H127="Changquan Opcional",13,IF(Atletas!H127="Nanquan Opcional",14,IF(Atletas!H127="Taijiquan Opcional",15,IF(Atletas!H127="Changquan Adulto",16,IF(Atletas!H127="Nanquan Adulto",17,IF(Atletas!H127="Taijiquan Adulto",18,""))))))))))))))))))))</f>
        <v/>
      </c>
      <c r="BG136" s="52" t="str">
        <f>IF(Atletas!I127="","",IF(Atletas!B127="Feminino",100,IF(Atletas!B127="Masculino",200,""))+(IF(Atletas!I127="Daoshu Mirim",19,IF(Atletas!I127="Jianshu Mirim",20,IF(Atletas!I127="Nandao Mirim",21,IF(Atletas!I127="Taijijian Mirim",22,IF(Atletas!I127="Daoshu Grupo C",23,IF(Atletas!I127="Jianshu Grupo C",24,IF(Atletas!I127="Nandao Grupo C",25,IF(Atletas!I127="Taijijian Grupo C",26,IF(Atletas!I127="Daoshu Grupo B",27,IF(Atletas!I127="Jianshu Grupo B",28,IF(Atletas!I127="Nandao Grupo B",29,IF(Atletas!I127="Taijijian Grupo B",30,IF(Atletas!I127="Daoshu Grupo A",31,IF(Atletas!I127="Jianshu Grupo A",32,IF(Atletas!I127="Nandao Grupo A",33,IF(Atletas!I127="Taijijian Grupo A",34,IF(Atletas!I127="Daoshu Opcional",35,IF(Atletas!I127="Jianshu Opcional",36,IF(Atletas!I127="Nandao Opcional",37,IF(Atletas!I127="Taijijian Opcional",38,IF(Atletas!I127="Daoshu Adulto",39,IF(Atletas!I127="Jianshu Adulto",40,IF(Atletas!I127="Nandao Adulto",41,IF(Atletas!I127="Taijijian Adulto",42,""))))))))))))))))))))))))))</f>
        <v/>
      </c>
      <c r="BH136" s="52" t="str">
        <f>IF(Atletas!J127="","",IF(Atletas!B127="Feminino",100,IF(Atletas!B127="Masculino",200,""))+(IF(Atletas!J127="Gunshu Mirim",43,IF(Atletas!J127="Qiangshu Mirim",44,IF(Atletas!J127="Nangun Mirim",45,IF(Atletas!J127="Gunshu Grupo C",46,IF(Atletas!J127="Qiangshu Grupo C",47,IF(Atletas!J127="Nangun Grupo C",48,IF(Atletas!J127="Gunshu Grupo B",49,IF(Atletas!J127="Qiangshu Grupo B",50,IF(Atletas!J127="Nangun Grupo B",51,IF(Atletas!J127="Gunshu Grupo A",52,IF(Atletas!J127="Qiangshu Grupo A",53,IF(Atletas!J127="Nangun Grupo A",54,IF(Atletas!J127="Gunshu Opcional",55,IF(Atletas!J127="Qiangshu Opcional",56,IF(Atletas!J127="Nangun Opcional",57,IF(Atletas!J127="Gunshu Adulto",58,IF(Atletas!J127="Qiangshu Adulto",59,IF(Atletas!J127="Nangun Adulto",60,IF(Atletas!J127="Taijishan Grupo B",61,IF(Atletas!J127="Taijishan Grupo A",62,""))))))))))))))))))))))</f>
        <v/>
      </c>
      <c r="BM136" s="50" t="str">
        <f>IF(Atletas!K127="","",IF(Atletas!B127="Feminino",100,IF(Atletas!B127="Masculino",200,""))+(IF(Atletas!K127="Equipe 1 Grupo B",1,IF(Atletas!K127="Equipe 2 Grupo B",2,IF(Atletas!K127="Equipe 1 Grupo A",3,IF(Atletas!K127="Equipe 2 Grupo A",4,IF(Atletas!K127="Equipe 1 Adulto",5,IF(Atletas!K127="Equipe 2 Adulto",6,""))))))))</f>
        <v/>
      </c>
      <c r="BR136" s="50" t="str">
        <f>IF(Atletas!L127="","",IF(Atletas!X127&lt;&gt;"",10000,0)+(IF(Atletas!B127="Feminino",1000,IF(Atletas!B127="Masculino",2000,""))+IF(Atletas!L127="Choylayfut A",1,IF(Atletas!L127="Hunggar A",2,IF(Atletas!L127="Wuzuquan A",3,IF(Atletas!L127="Wingchun A",4,IF(Atletas!L127="Outra Mão de Sul A",5,IF(Atletas!L127="Choylayfut B",6,IF(Atletas!L127="Hunggar B",7,IF(Atletas!L127="Wuzuquan B",8,IF(Atletas!L127="Wingchun B",9,IF(Atletas!L127="Outra Mão de Sul B",10,IF(Atletas!L127="Choylayfut C",11,IF(Atletas!L127="Hunggar C",12,IF(Atletas!L127="Wuzuquan C",13,IF(Atletas!L127="Wingchun C",14,IF(Atletas!L127="Outra Mão de Sul C",15,IF(Atletas!L127="Choylayfut D",16,IF(Atletas!L127="Hunggar D",17,IF(Atletas!L127="Wuzuquan D",18,IF(Atletas!L127="Wingchun D",19,IF(Atletas!L127="Outra Mão de Sul D",20,IF(Atletas!L127="Choylayfut E",21,IF(Atletas!L127="Hunggar E",22,IF(Atletas!L127="Wuzuquan E",23,IF(Atletas!L127="Wingchun E",24,IF(Atletas!L127="Outra Mão de Sul E",25,IF(Atletas!L127="Choylayfut F",26,IF(Atletas!L127="Hunggar F",27,IF(Atletas!L127="Wuzuquan F",28,IF(Atletas!L127="Wingchun F",29,IF(Atletas!L127="Outra Mão de Sul F",30,IF(Atletas!L127="Dishuquan A",31,IF(Atletas!L127="Dishuquan B",32,IF(Atletas!L127="Dishuquan C",33,IF(Atletas!L127="Dishuquan D",34,IF(Atletas!L127="Dishuquan E",35,IF(Atletas!L127="Dishuquan F",36,""))))))))))))))))))))))))))))))))))))))</f>
        <v/>
      </c>
      <c r="BS136" s="50" t="str">
        <f>IF(Atletas!M127="","",IF(Atletas!X127&lt;&gt;"",10000,0)+(IF(Atletas!B127="Feminino",1000,IF(Atletas!B127="Masculino",2000,""))+(IF(Atletas!M127="Chaquan A",101,IF(Atletas!M127="Emeiquan A",102,IF(Atletas!M127="Fanziquan A",103,IF(Atletas!M127="Huaquan A",104,IF(Atletas!M127="Hongquan A",105,IF(Atletas!M127="Paoquan A",106,IF(Atletas!M127="Piguaquan A",107,IF(Atletas!M127="Shaolinquan A",108,IF(Atletas!M127="Tanglangquan A",109,IF(Atletas!M127="Yingzhaoquan A",110,IF(Atletas!M127="Tongbeiquan A",111,IF(Atletas!M127="Wudangquan A",112,IF(Atletas!M127="Outros Estilos A",113,IF(Atletas!M127="Chaquan B",114,IF(Atletas!M127="Emeiquan B",115,IF(Atletas!M127="Fanziquan B",116,IF(Atletas!M127="Huaquan B",117,IF(Atletas!M127="Hongquan B",118,IF(Atletas!M127="Paoquan B",119,IF(Atletas!M127="Piguaquan B",120,IF(Atletas!M127="Shaolinquan B",121,IF(Atletas!M127="Tanglangquan B",122,IF(Atletas!M127="Yingzhaoquan B",123,IF(Atletas!M127="Tongbeiquan B",124,IF(Atletas!M127="Wudangquan B",125,IF(Atletas!M127="Outros Estilos B",126,IF(Atletas!M127="Chaquan C",127,IF(Atletas!M127="Emeiquan C",128,IF(Atletas!M127="Fanziquan C",129,IF(Atletas!M127="Huaquan C",130,IF(Atletas!M127="Hongquan C",131,IF(Atletas!M127="Paoquan C",132,IF(Atletas!M127="Piguaquan C",133,IF(Atletas!M127="Shaolinquan C",134,IF(Atletas!M127="Tanglangquan C",135,IF(Atletas!M127="Yingzhaoquan C",136,IF(Atletas!M127="Tongbeiquan C",137,IF(Atletas!M127="Wudangquan C",138,IF(Atletas!M127="Outros Estilos C",139,0))))))))))))))))))))))))))))))))))))))))))</f>
        <v/>
      </c>
      <c r="BT136" s="50" t="str">
        <f>IF(Atletas!M127="","",IF(Atletas!X127&lt;&gt;"",10000,0)+(IF(Atletas!B127="Feminino",1000,IF(Atletas!B127="Masculino",2000,""))+(IF(Atletas!M127="Chaquan D",140,IF(Atletas!M127="Emeiquan D",141,IF(Atletas!M127="Fanziquan D",142,IF(Atletas!M127="Huaquan D",143,IF(Atletas!M127="Hongquan D",144,IF(Atletas!M127="Paoquan D",145,IF(Atletas!M127="Piguaquan D",146,IF(Atletas!M127="Shaolinquan D",147,IF(Atletas!M127="Tanglangquan D",148,IF(Atletas!M127="Yingzhaoquan D",149,IF(Atletas!M127="Tongbeiquan D",150,IF(Atletas!M127="Wudangquan D",151,IF(Atletas!M127="Outros Estilos D",152,IF(Atletas!M127="Chaquan E",153,IF(Atletas!M127="Emeiquan E",154,IF(Atletas!M127="Fanziquan E",155,IF(Atletas!M127="Huaquan E",156,IF(Atletas!M127="Hongquan E",157,IF(Atletas!M127="Paoquan E",158,IF(Atletas!M127="Piguaquan E",159,IF(Atletas!M127="Shaolinquan E",160,IF(Atletas!M127="Tanglangquan E",161,IF(Atletas!M127="Yingzhaoquan E",162,IF(Atletas!M127="Tongbeiquan E",163,IF(Atletas!M127="Wudangquan E",164,IF(Atletas!M127="Outros Estilos E",165,IF(Atletas!M127="Chaquan F",166,IF(Atletas!M127="Emeiquan F",167,IF(Atletas!M127="Fanziquan F",168,IF(Atletas!M127="Huaquan F",169,IF(Atletas!M127="Hongquan F",170,IF(Atletas!M127="Paoquan F",171,IF(Atletas!M127="Piguaquan F",172,IF(Atletas!M127="Shaolinquan F",173,IF(Atletas!M127="Tanglangquan F",174,IF(Atletas!M127="Yingzhaoquan F",175,IF(Atletas!M127="Tongbeiquan F",176,IF(Atletas!M127="Wudangquan F",177,IF(Atletas!M127="Outros Estilos F",178,0))))))))))))))))))))))))))))))))))))))))))</f>
        <v/>
      </c>
      <c r="BU136" s="50" t="str">
        <f>IF(Atletas!N127="","",IF(Atletas!X127&lt;&gt;"",10000,0)+(IF(Atletas!B127="Feminino",1000,IF(Atletas!B127="Masculino",2000,""))+(IF(Atletas!N127="Ditangquan A",201,IF(Atletas!N127="Houquan A",202,IF(Atletas!N127="Zuiquan A",203,IF(Atletas!N127="Ditangquan B",204,IF(Atletas!N127="Houquan B",205,IF(Atletas!N127="Zuiquan B",206,IF(Atletas!N127="Ditangquan C",207,IF(Atletas!N127="Houquan C",208,IF(Atletas!N127="Zuiquan C",209,IF(Atletas!N127="Ditangquan D",210,IF(Atletas!N127="Houquan D",211,IF(Atletas!N127="Zuiquan D",212,IF(Atletas!N127="Ditangquan E",213,IF(Atletas!N127="Houquan E",214,IF(Atletas!N127="Zuiquan E",215,IF(Atletas!N127="Ditangquan F",216,IF(Atletas!N127="Houquan F",217,IF(Atletas!N127="Zuiquan F",218,"")))))))))))))))))))))</f>
        <v/>
      </c>
      <c r="BV136" s="50" t="str">
        <f>IF(Atletas!O127="","",IF(Atletas!X127&lt;&gt;"",10000,0)+IF(Atletas!B127="Feminino",1000,IF(Atletas!B127="Masculino",2000,""))+IF(Atletas!O127="Yang A",301,IF(Atletas!O127="Chen A",302,IF(Atletas!O127="Sun A",303,IF(Atletas!O127="Wu A",304,IF(Atletas!O127="Wu-Hao A",305,IF(Atletas!O127="Outro Taijiquan A",306,IF(Atletas!O127="Yang B",307,IF(Atletas!O127="Chen B",308,IF(Atletas!O127="Sun B",309,IF(Atletas!O127="Wu B",310,IF(Atletas!O127="Wu-Hao B",311,IF(Atletas!O127="Outro Taijiquan B",312,IF(Atletas!O127="Yang C",313,IF(Atletas!O127="Chen C",314,IF(Atletas!O127="Sun C",315,IF(Atletas!O127="Wu C",316,IF(Atletas!O127="Wu-Hao C",317,IF(Atletas!O127="Outro Taijiquan C",318,IF(Atletas!O127="Yang D",319,IF(Atletas!O127="Chen D",320,IF(Atletas!O127="Sun D",321,IF(Atletas!O127="Wu D",322,IF(Atletas!O127="Wu-Hao D",323,IF(Atletas!O127="Outro Taijiquan D",324,IF(Atletas!O127="Yang E",325,IF(Atletas!O127="Chen E",326,IF(Atletas!O127="Sun E",327,IF(Atletas!O127="Wu E",328,IF(Atletas!O127="Wu-Hao E",329,IF(Atletas!O127="Outro Taijiquan E",330,IF(Atletas!O127="Yang F",331,IF(Atletas!O127="Chen F",332,IF(Atletas!O127="Sun F",333,IF(Atletas!O127="Wu F",334,IF(Atletas!O127="Wu-Hao F",335,IF(Atletas!O127="Outro Taijiquan F",336,"")))))))))))))))))))))))))))))))))))))</f>
        <v/>
      </c>
      <c r="BW136" s="50" t="str">
        <f>IF(Atletas!P127="","",IF(Atletas!X127&lt;&gt;"",10000,0)+IF(Atletas!B127="Feminino",1000,IF(Atletas!B127="Masculino",2000,""))+IF(OR(Atletas!P127="Yang 26 A",Atletas!P127="Yang 40 A"),401,IF(OR(Atletas!P127="Chen 25 A",Atletas!P127="Chen 36 A",Atletas!P127="Chen 56 A"),402,IF(Atletas!P127="Sun 73 A",403,IF(Atletas!P127="Wu 45 A",404,IF(Atletas!P127="Wu-Hao 46 A",405,IF(OR(Atletas!P127="Taijiquan 16 A",Atletas!P127="Taijiquan 24 A",Atletas!P127="Taijiquan 32 A",Atletas!P127="Taijiquan 42 A"),406,IF(OR(Atletas!P127="Yang 26 B",Atletas!P127="Yang 40 B"),407,IF(OR(Atletas!P127="Chen 25 B",Atletas!P127="Chen 36 B",Atletas!P127="Chen 56 B"),408,IF(Atletas!P127="Sun 73 B",409,IF(Atletas!P127="Wu 45 B",410,IF(Atletas!P127="Wu-Hao 46 B",411,IF(OR(Atletas!P127="Taijiquan 16 B",Atletas!P127="Taijiquan 24 B",Atletas!P127="Taijiquan 32 B",Atletas!P127="Taijiquan 42 B"),412,IF(OR(Atletas!P127="Yang 26 C",Atletas!P127="Yang 40 C"),413,IF(OR(Atletas!P127="Chen 25 C",Atletas!P127="Chen 36 C",Atletas!P127="Chen 56 C"),414,IF(Atletas!P127="Sun 73 C",415,IF(Atletas!P127="Wu 45 C",416,IF(Atletas!P127="Wu-Hao 46 C",417,IF(OR(Atletas!P127="Taijiquan 16 C",Atletas!P127="Taijiquan 24 C",Atletas!P127="Taijiquan 32 C",Atletas!P127="Taijiquan 42 C"),418,0)))))))))))))))))))</f>
        <v/>
      </c>
      <c r="BX136" s="50" t="str">
        <f>IF(Atletas!P127="","",IF(Atletas!X127&lt;&gt;"",10000,0)+IF(Atletas!B127="Feminino",1000,IF(Atletas!B127="Masculino",2000,""))+IF(OR(Atletas!P127="Yang 26 D",Atletas!P127="Yang 40 D"),419,IF(OR(Atletas!P127="Chen 25 D",Atletas!P127="Chen 36 D",Atletas!P127="Chen 56 D"),420,IF(Atletas!P127="Sun 73 D",421,IF(Atletas!P127="Wu 45 D",422,IF(Atletas!P127="Wu-Hao 46 D",423,IF(OR(Atletas!P127="Taijiquan 16 D",Atletas!P127="Taijiquan 24 D",Atletas!P127="Taijiquan 32 D",Atletas!P127="Taijiquan 42 D"),424,IF(OR(Atletas!P127="Yang 26 E",Atletas!P127="Yang 40 E"),425,IF(OR(Atletas!P127="Chen 25 E",Atletas!P127="Chen 36 E",Atletas!P127="Chen 56 E"),426,IF(Atletas!P127="Sun 73 E",427,IF(Atletas!P127="Wu 45 E",428,IF(Atletas!P127="Wu-Hao 46 E",429,IF(OR(Atletas!P127="Taijiquan 16 E",Atletas!P127="Taijiquan 24 E",Atletas!P127="Taijiquan 32 E",Atletas!P127="Taijiquan 42 E"),430,IF(OR(Atletas!P127="Yang 26 F",Atletas!P127="Yang 40 F"),431,IF(OR(Atletas!P127="Chen 25 F",Atletas!P127="Chen 36 F",Atletas!P127="Chen 56 F"),432,IF(Atletas!P127="Sun 73 F",433,IF(Atletas!P127="Wu 45 F",434,IF(Atletas!P127="Wu-Hao 46 F",435,IF(OR(Atletas!P127="Taijiquan 16 F",Atletas!P127="Taijiquan 24 F",Atletas!P127="Taijiquan 32 F",Atletas!P127="Taijiquan 42 F"),436,0)))))))))))))))))))</f>
        <v/>
      </c>
      <c r="BY136" s="50" t="str">
        <f>IF(Atletas!Q127="","",IF(Atletas!X127&lt;&gt;"",10000,0)+IF(Atletas!B127="Feminino",1000,IF(Atletas!B127="Masculino",2000,""))+IF(Atletas!Q127="Xingyiquan A",501,IF(Atletas!Q127="Baguazhang A",502,IF(Atletas!Q127="Outro Estilo Interno A",503,IF(Atletas!Q127="Xingyiquan B",504,IF(Atletas!Q127="Baguazhang B",505,IF(Atletas!Q127="Outro Estilo Interno B",506,IF(Atletas!Q127="Xingyiquan C",507,IF(Atletas!Q127="Baguazhang C",508,IF(Atletas!Q127="Outro Estilo Interno C",509,IF(Atletas!Q127="Xingyiquan D",510,IF(Atletas!Q127="Baguazhang D",511,IF(Atletas!Q127="Outro Estilo Interno D",512,IF(Atletas!Q127="Xingyiquan E",513,IF(Atletas!Q127="Baguazhang E",514,IF(Atletas!Q127="Outro Estilo Interno E",515,IF(Atletas!Q127="Xingyiquan F",516,IF(Atletas!Q127="Baguazhang F",517,IF(Atletas!Q127="Outro Estilo Interno F",518, "")))))))))))))))))))</f>
        <v/>
      </c>
      <c r="BZ136" s="50" t="str">
        <f>IF(Atletas!R127="","",IF(Atletas!X127&lt;&gt;"",10000,0)+IF(Atletas!B127="Feminino",1000,IF(Atletas!B127="Masculino",2000,""))+IF(Atletas!R127="Dao A",601,IF(Atletas!R127="Jian A",602,IF(Atletas!R127="Bishou A",603,IF(Atletas!R127="Shanzi A",604,IF(Atletas!R127="Outra Arma Curta A",605,IF(Atletas!R127="Dao B",606,IF(Atletas!R127="Jian B",607,IF(Atletas!R127="Bishou B",608,IF(Atletas!R127="Shanzi B",609,IF(Atletas!R127="Outra Arma Curta B",610,IF(Atletas!R127="Dao C",611,IF(Atletas!R127="Jian C",612,IF(Atletas!R127="Bishou C",613,IF(Atletas!R127="Shanzi C",614,IF(Atletas!R127="Outra Arma Curta C",615,IF(Atletas!R127="Dao D",616,IF(Atletas!R127="Jian D",617,IF(Atletas!R127="Bishou D",618,IF(Atletas!R127="Shanzi D",619,IF(Atletas!R127="Outra Arma Curta D",620,IF(Atletas!R127="Dao E",621,IF(Atletas!R127="Jian E",622,IF(Atletas!R127="Bishou E",623,IF(Atletas!R127="Shanzi E",624,IF(Atletas!R127="Outra Arma Curta E",625,IF(Atletas!R127="Dao F",626,IF(Atletas!R127="Jian F",627,IF(Atletas!R127="Bishou F",628,IF(Atletas!R127="Shanzi F",629,IF(Atletas!R127="Outra Arma Curta F",630, "")))))))))))))))))))))))))))))))</f>
        <v/>
      </c>
      <c r="CA136" s="50" t="str">
        <f>IF(Atletas!S127="","",IF(Atletas!X127&lt;&gt;"",10000,0)+IF(Atletas!B127="Feminino",1000,IF(Atletas!B127="Masculino",2000,""))+IF(Atletas!S127="Gun A",701,IF(Atletas!S127="Qiang A",702,IF(Atletas!S127="Pudao / Guandao A",703,IF(Atletas!S127="Outra Arma Longa A",704,IF(Atletas!S127="Gun B",705,IF(Atletas!S127="Qiang B",706,IF(Atletas!S127="Pudao / Guandao B",707,IF(Atletas!S127="Outra Arma Longa B",708,IF(Atletas!S127="Gun C",709,IF(Atletas!S127="Qiang C",710,IF(Atletas!S127="Pudao / Guandao C",711,IF(Atletas!S127="Outra Arma Longa C",712,IF(Atletas!S127="Gun D",713,IF(Atletas!S127="Qiang D",714,IF(Atletas!S127="Pudao / Guandao D",715,IF(Atletas!S127="Outra Arma Longa D",716,IF(Atletas!S127="Gun E",717,IF(Atletas!S127="Qiang E",718,IF(Atletas!S127="Pudao / Guandao E",719,IF(Atletas!S127="Outra Arma Longa E",720,IF(Atletas!S127="Gun F",721,IF(Atletas!S127="Qiang F",722,IF(Atletas!S127="Pudao / Guandao F",723,IF(Atletas!S127="Outra Arma Longa F",724,"")))))))))))))))))))))))))</f>
        <v/>
      </c>
      <c r="CB136" s="50" t="str">
        <f>IF(Atletas!T127="","",IF(Atletas!X127&lt;&gt;"",10000,0)+IF(Atletas!B127="Feminino",1000,IF(Atletas!B127="Masculino",2000,""))+IF(Atletas!T127="Outra Arma Dupla A",801,IF(Atletas!T127="Arma Maleável A",802,IF(Atletas!T127="Outra Arma Dupla B",803,IF(Atletas!T127="Arma Maleável B",804,IF(Atletas!T127="Outra Arma Dupla C",805,IF(Atletas!T127="Arma Maleável C",806,IF(Atletas!T127="Outra Arma Dupla D",807,IF(Atletas!T127="Arma Maleável D",808,IF(Atletas!T127="Outra Arma Dupla E",809,IF(Atletas!T127="Arma Maleável E",810,IF(Atletas!T127="Outra Arma Dupla F",811,IF(Atletas!T127="Arma Maleável F",812,IF(Atletas!T127="Shuangdao A",813,IF(Atletas!T127="Shuangdao B",814,IF(Atletas!T127="Shuangdao C",815,IF(Atletas!T127="Shuangdao D",816,IF(Atletas!T127="Shuangdao E",817,IF(Atletas!T127="Shuangdao F",818,"")))))))))))))))))))</f>
        <v/>
      </c>
      <c r="CC136" s="50" t="str">
        <f>IF(Atletas!U127="","",IF(Atletas!X127&lt;&gt;"",10000,0)+IF(Atletas!B127="Feminino",1000,IF(Atletas!B127="Masculino",2000,""))+IF(OR(Atletas!U127="Taijijian Yang A",Atletas!U127="Taijijian Yang Standard A"),901,IF(OR(Atletas!U127="Taijijian Chen A", Atletas!U127="Taijijian Chen Standard A"),902,IF(Atletas!U127="Taijijian Sun A",903,IF(Atletas!U127="Taijijian Wu A",904,IF(Atletas!U127="Taijijian Wu-Hao A",905,IF(OR(Atletas!U127="Taijijian 32 A",Atletas!U127="Taijijian 42 A"),906,IF(OR(Atletas!U127="Taijijian Yang B",Atletas!U127="Taijijian Yang Standard B"),907,IF(OR(Atletas!U127="Taijijian Chen B", Atletas!U127="Taijijian Chen Standard B"),908,IF(Atletas!U127="Taijijian Sun B",909,IF(Atletas!U127="Taijijian Wu B",910,IF(Atletas!U127="Taijijian Wu-Hao B",911,IF(OR(Atletas!U127="Taijijian 32 B",Atletas!U127="Taijijian 42 B"),912,IF(OR(Atletas!U127="Taijijian Yang C",Atletas!U127="Taijijian Yang Standard C"),913,IF(OR(Atletas!U127="Taijijian Chen C", Atletas!U127="Taijijian Chen Standard C"),914,IF(Atletas!U127="Taijijian Sun C",915,IF(Atletas!U127="Taijijian Wu C",916,IF(Atletas!U127="Taijijian Wu-Hao C",917,IF(OR(Atletas!U127="Taijijian 32 C",Atletas!U127="Taijijian 42 C"),918,IF(OR(Atletas!U127="Taijijian Yang D",Atletas!U127="Taijijian Yang Standard D"),919,IF(OR(Atletas!U127="Taijijian Chen D", Atletas!U127="Taijijian Chen Standard D"),920,IF(Atletas!U127="Taijijian Sun D",921,IF(Atletas!U127="Taijijian Wu D",922,IF(Atletas!U127="Taijijian Wu-Hao D",923,IF(OR(Atletas!U127="Taijijian 32 D",Atletas!U127="Taijijian 42 D"),924,IF(OR(Atletas!U127="Taijijian Yang E",Atletas!U127="Taijijian Yang Standard E"),925,IF(OR(Atletas!U127="Taijijian Chen E", Atletas!U127="Taijijian Chen Standard E"),926,IF(Atletas!U127="Taijijian Sun E",927,IF(Atletas!U127="Taijijian Wu E",928,IF(Atletas!U127="Taijijian Wu-Hao E",929,IF(OR(Atletas!U127="Taijijian 32 E",Atletas!U127="Taijijian 42 E"),930,IF(OR(Atletas!U127="Taijijian Yang F",Atletas!U127="Taijijian Yang Standard F"),931,IF(OR(Atletas!U127="Taijijian Chen F", Atletas!U127="Taijijian Chen Standard F"),932,IF(Atletas!U127="Taijijian Sun F",933,IF(Atletas!U127="Taijijian Wu F",934,IF(Atletas!U127="Taijijian Wu-Hao F",935,IF(OR(Atletas!U127="Taijijian 32 F",Atletas!U127="Taijijian 42 F"),936,"")))))))))))))))))))))))))))))))))))))</f>
        <v/>
      </c>
      <c r="CD136" s="50" t="str">
        <f>IF(Atletas!V127="","",IF(Atletas!X127&lt;&gt;"",10000,0)+IF(Atletas!B127="Feminino",1000,IF(Atletas!B127="Masculino",2000,""))+IF(Atletas!V127="Taijidao A",937,IF(Atletas!V127="TaijiShanzi A",938,IF(Atletas!V127="Taijiqiang A",939,IF(Atletas!V127="Bagua de Arma A",940,IF(Atletas!V127="Xingyi de Arma A",941,IF(Atletas!V127="Taijidao B",942,IF(Atletas!V127="TaijiShanzi B",943,IF(Atletas!V127="Taijiqiang B",944,IF(Atletas!V127="Bagua de Arma B",945,IF(Atletas!V127="Xingyi de Arma B",946,IF(Atletas!V127="Taijidao C",947,IF(Atletas!V127="TaijiShanzi C",948,IF(Atletas!V127="Taijiqiang C",949,IF(Atletas!V127="Bagua de Arma C",950,IF(Atletas!V127="Xingyi de Arma C",951,IF(Atletas!V127="Taijidao D",952,IF(Atletas!V127="TaijiShanzi D",953,IF(Atletas!V127="Taijiqiang D",954,IF(Atletas!V127="Bagua de Arma D",955,IF(Atletas!V127="Xingyi de Arma D",956,IF(Atletas!V127="Taijidao E",957,IF(Atletas!V127="TaijiShanzi E",958,IF(Atletas!V127="Taijiqiang E",959,IF(Atletas!V127="Bagua de Arma E",960,IF(Atletas!V127="Xingyi de Arma E",961,IF(Atletas!V127="Taijidao F",962,IF(Atletas!V127="TaijiShanzi F",963,IF(Atletas!V127="Taijiqiang F",964,IF(Atletas!V127="Bagua de Arma F",965,IF(Atletas!V127="Xingyi de Arma F",966,"")))))))))))))))))))))))))))))))</f>
        <v/>
      </c>
      <c r="CE136" s="66" t="str">
        <f>IF(CF136&lt;&gt;"","Ditangquan F","")</f>
        <v/>
      </c>
      <c r="CF136" s="66" t="str">
        <f>IF(COUNTIF(BR:CD,1216)&gt;0,COUNTIF(BR:CD,1216),"")</f>
        <v/>
      </c>
      <c r="CG136" s="66" t="str">
        <f>IF(CH136&lt;&gt;"","Ditangquan F","")</f>
        <v/>
      </c>
      <c r="CH136" s="66" t="str">
        <f>IF(COUNTIF(BR:CD,2216)&gt;0,COUNTIF(BR:CD,2216),"")</f>
        <v/>
      </c>
      <c r="CI136" s="66" t="str">
        <f>IF(CJ136&lt;&gt;"","TJQ Trad. Wu A","")</f>
        <v/>
      </c>
      <c r="CJ136" s="66" t="str">
        <f>IF(COUNTIF(BR:CD,11304)&gt;0,COUNTIF(BR:CD,11304),"")</f>
        <v/>
      </c>
      <c r="CK136" s="66" t="str">
        <f>IF(CL136&lt;&gt;"","TJQ Trad. Wu A","")</f>
        <v/>
      </c>
      <c r="CL136" s="66" t="str">
        <f>IF(COUNTIF(BR:CD,12304)&gt;0,COUNTIF(BR:CD,12304),"")</f>
        <v/>
      </c>
      <c r="CM136" s="50" t="str">
        <f xml:space="preserve"> IF(Atletas!W127="","",IF(Atletas!W127="Duilian de Mãos BC - Equipe 1",1,IF(Atletas!W127="Duilian de Mãos BC - Equipe 2",2,IF(Atletas!W127="Duilian de Armas BC - Equipe 1",3,IF(Atletas!W127="Duilian de Armas BC - Equipe 2",4,IF(Atletas!W127="Duilian de Mãos DE - Equipe 1",5,IF(Atletas!W127="Duilian de Mãos DE - Equipe 2",6,IF(Atletas!W127="Duilian de Armas DE - Equipe 1",7,IF(Atletas!W127="Duilian de Armas DE - Equipe 2",8,IF(Atletas!W127="Duilian de Tuishou - Equipe 1",9,IF(Atletas!W127="Duilian de Tuishou - Equipe 2",10,IF(Atletas!W127="Grupo Externo ABC - Equipe 1",11,IF(Atletas!W127="Grupo Externo ABC - Equipe 2",12,IF(Atletas!W127="Grupo Interno ABC - Equipe 1",13,IF(Atletas!W127="Grupo Interno ABC - Equipe 2",14,IF(Atletas!W127="Grupo Externo DEF - Equipe 1",15,IF(Atletas!W127="Grupo Externo DEF - Equipe 2",16,IF(Atletas!W127="Grupo Interno DEF - Equipe 1",17,IF(Atletas!W127="Grupo Interno DEF - Equipe 2",18,"")))))))))))))))))))</f>
        <v/>
      </c>
    </row>
    <row r="137" spans="2:91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 t="str">
        <f t="array" ref="Z137">IFERROR(INDEX(CE$7:CE$348,SMALL(IF(CE$7:CE$348&lt;&gt;"",ROW(CE$7:CE$348)-ROW(CE$7)+1),ROWS(CE$7:CE136))),"")</f>
        <v/>
      </c>
      <c r="AA137" s="3" t="str">
        <f t="array" ref="AA137">IFERROR(INDEX(CF$7:CF$348,SMALL(IF(CF$7:CF$348&lt;&gt;"",ROW(CF$7:CF$348)-ROW(CF$7)+1),ROWS(CF$7:CF136))),"")</f>
        <v/>
      </c>
      <c r="AB137" s="3" t="str">
        <f t="array" ref="AB137">IFERROR(INDEX(CG$7:CG$348,SMALL(IF(CG$7:CG$348&lt;&gt;"",ROW(CG$7:CG$348)-ROW(CG$7)+1),ROWS(CG$7:CG136))),"")</f>
        <v/>
      </c>
      <c r="AC137" s="3" t="str">
        <f t="array" ref="AC137">IFERROR(INDEX(CH$7:CH$348,SMALL(IF(CH$7:CH$348&lt;&gt;"",ROW(CH$7:CH$348)-ROW(CH$7)+1),ROWS(CH$7:CH136))),"")</f>
        <v/>
      </c>
      <c r="AD137" s="3" t="str">
        <f t="array" ref="AD137">IFERROR(INDEX(CI$7:CI$377,SMALL(IF(CI$7:CI$377&lt;&gt;"",ROW(CI$7:CI$377)-ROW(CI$7)+1),ROWS(CI$7:CI136))),"")</f>
        <v/>
      </c>
      <c r="AE137" s="3" t="str">
        <f t="array" ref="AE137">IFERROR(INDEX(CJ$7:CJ$378,SMALL(IF(CJ$7:CJ$378&lt;&gt;"",ROW(CJ$7:CJ$378)-ROW(CJ$7)+1),ROWS(CJ$7:CJ136))),"")</f>
        <v/>
      </c>
      <c r="AF137" s="3" t="str">
        <f t="array" ref="AF137">IFERROR(INDEX(CK$7:CK$378,SMALL(IF(CK$7:CK$378&lt;&gt;"",ROW(CK$7:CK$378)-ROW(CK$7)+1),ROWS(CK$7:CK136))),"")</f>
        <v/>
      </c>
      <c r="AG137" s="3" t="str">
        <f t="array" ref="AG137">IFERROR(INDEX(CL$7:CL$378,SMALL(IF(CL$7:CL$378&lt;&gt;"",ROW(CL$7:CL$378)-ROW(CL$7)+1),ROWS(CL$7:CL136))),"")</f>
        <v/>
      </c>
      <c r="AH137" s="3"/>
      <c r="AI137" s="3"/>
      <c r="AJ137" s="3"/>
      <c r="AK137" s="3"/>
      <c r="AL137" s="3"/>
      <c r="AM137" s="3"/>
      <c r="AN137" s="52" t="str">
        <f>IF(Atletas!D128="","",IF(Atletas!B128="Feminino",100,IF(Atletas!B128="Masculino",200,""))+(IF(Atletas!D128="Kids 30kg",1,IF(Atletas!D128="Kids 32kg",2, IF(Atletas!D128="Kids 34kg",3,IF(Atletas!D128="Kids 36kg",4,IF(Atletas!D128="Kids 39kg",5,IF(Atletas!D128="Kids 42kg",6,IF(Atletas!D128="Kids 45kg",7, IF(Atletas!D128="Infantil 39kg",8,IF(Atletas!D128="Infantil 42kg",9,IF(Atletas!D128="Infantil 45kg",10,IF(Atletas!D128="Infantil 48kg",11,IF(Atletas!D128="Infantil 52kg",12,IF(Atletas!D128="Infantil 56kg",13,IF(Atletas!D128="Infantil 60kg",14,IF(Atletas!D128="Juvenil 48kg",15,IF(Atletas!D128="Juvenil 52kg",16,IF(Atletas!D128="Juvenil 56kg",17,IF(Atletas!D128="Juvenil 60kg",18,IF(Atletas!D128="Juvenil 65kg",19,IF(Atletas!D128="Juvenil 70kg",20,IF(Atletas!D128="Juvenil 75kg",21,IF(Atletas!D128="Juvenil 80kg",22, IF(Atletas!D128="Juvenil 85kg",23,IF(Atletas!D128="Adulto 48kg",24,IF(Atletas!D128="Adulto 52kg",25,IF(Atletas!D128="Adulto 56kg",26,IF(Atletas!D128="Adulto 60kg",27,IF(Atletas!D128="Adulto 65kg",28,IF(Atletas!D128="Adulto 70kg",29,IF(Atletas!D128="Adulto 75kg",30,IF(Atletas!D128="Adulto 80kg",31,IF(Atletas!D128="Adulto 85kg",32,IF(Atletas!D128="Adulto 90kg",33,IF(Atletas!D128="Adulto 100kg",34, IF(Atletas!D128="Adulto +100kg",35,"")))))))))))))))))))))))))))))))))))))</f>
        <v/>
      </c>
      <c r="AS137" s="6" t="str">
        <f>IF(Atletas!E128="","",IF(Atletas!B128="Feminino",100,IF(Atletas!B128="Masculino",200,""))+(IF(Atletas!E128="Juvenil 44kg",1,IF(Atletas!E128="Juvenil 48kg",2,IF(Atletas!E128="Juvenil 52kg",3,IF(Atletas!E128="Juvenil 56kg",4,IF(Atletas!E128="Juvenil 60kg",5,IF(Atletas!E128="Juvenil 65kg",6,IF(Atletas!E128="Juvenil 70kg",7,IF(Atletas!E128="Juvenil 75kg",8,IF(Atletas!E128="Juvenil 82kg",9,IF(Atletas!E128="Juvenil 90kg",10,IF(Atletas!E128="Juvenil 100kg",11,IF(Atletas!E128="Adulto 48kg",12,IF(Atletas!E128="Adulto 52kg",13,IF(Atletas!E128="Adulto 56kg",14,IF(Atletas!E128="Adulto 60kg",15,IF(Atletas!E128="Adulto 65kg",16,IF(Atletas!E128="Adulto 70kg",17,IF(Atletas!E128="Adulto 75kg",18,IF(Atletas!E128="Adulto 82kg",19,IF(Atletas!E128="Adulto 90kg",20,IF(Atletas!E128="Adulto 100kg",21,IF(Atletas!E128="Adulto +100kg",22,""))))))))))))))))))))))))</f>
        <v/>
      </c>
      <c r="AX137" s="6" t="str">
        <f>IF(Atletas!F128="","",IF(Atletas!B128="Feminino",100,IF(Atletas!B128="Masculino",200,""))+(IF(Atletas!F128="Adulto 48kg",1,IF(Atletas!F128="Adulto 56kg",2,IF(Atletas!F128="Adulto 65kg",3,IF(Atletas!F128="Adulto 75kg",4,IF(Atletas!F128="Adulto +75kg",5,IF(Atletas!F128="Adulto 52kg",6,IF(Atletas!F128="Adulto 60kg",7,IF(Atletas!F128="Adulto 70kg",8,IF(Atletas!F128="Adulto 80kg",9,IF(Atletas!F128="Adulto 90kg",10,IF(Atletas!F128="Adulto +90kg",11,"")))))))))))))</f>
        <v/>
      </c>
      <c r="BC137" s="6" t="str">
        <f>IF(Atletas!G128="","",IF(Atletas!B128="Feminino",10,IF(Atletas!B128="Masculino",20,""))+(IF(Atletas!G128="Baduanjin A",1,IF(Atletas!G128="Baduanjin B",2))))</f>
        <v/>
      </c>
      <c r="BF137" s="52" t="str">
        <f>IF(Atletas!H128="","",IF(Atletas!B128="Feminino",100,IF(Atletas!B128="Masculino",200,""))+(IF(Atletas!H128="Changquan Mirim",1,IF(Atletas!H128="Nanquan Mirim",2,IF(Atletas!H128="Taijiquan Mirim",3,IF(Atletas!H128="Changquan Grupo C",4,IF(Atletas!H128="Nanquan Grupo C",5,IF(Atletas!H128="Taijiquan Grupo C",6,IF(Atletas!H128="Changquan Grupo B",7,IF(Atletas!H128="Nanquan Grupo B",8,IF(Atletas!H128="Taijiquan Grupo B",9,IF(Atletas!H128="Changquan Grupo A",10,IF(Atletas!H128="Nanquan Grupo A",11,IF(Atletas!H128="Taijiquan Grupo A",12,IF(Atletas!H128="Changquan Opcional",13,IF(Atletas!H128="Nanquan Opcional",14,IF(Atletas!H128="Taijiquan Opcional",15,IF(Atletas!H128="Changquan Adulto",16,IF(Atletas!H128="Nanquan Adulto",17,IF(Atletas!H128="Taijiquan Adulto",18,""))))))))))))))))))))</f>
        <v/>
      </c>
      <c r="BG137" s="52" t="str">
        <f>IF(Atletas!I128="","",IF(Atletas!B128="Feminino",100,IF(Atletas!B128="Masculino",200,""))+(IF(Atletas!I128="Daoshu Mirim",19,IF(Atletas!I128="Jianshu Mirim",20,IF(Atletas!I128="Nandao Mirim",21,IF(Atletas!I128="Taijijian Mirim",22,IF(Atletas!I128="Daoshu Grupo C",23,IF(Atletas!I128="Jianshu Grupo C",24,IF(Atletas!I128="Nandao Grupo C",25,IF(Atletas!I128="Taijijian Grupo C",26,IF(Atletas!I128="Daoshu Grupo B",27,IF(Atletas!I128="Jianshu Grupo B",28,IF(Atletas!I128="Nandao Grupo B",29,IF(Atletas!I128="Taijijian Grupo B",30,IF(Atletas!I128="Daoshu Grupo A",31,IF(Atletas!I128="Jianshu Grupo A",32,IF(Atletas!I128="Nandao Grupo A",33,IF(Atletas!I128="Taijijian Grupo A",34,IF(Atletas!I128="Daoshu Opcional",35,IF(Atletas!I128="Jianshu Opcional",36,IF(Atletas!I128="Nandao Opcional",37,IF(Atletas!I128="Taijijian Opcional",38,IF(Atletas!I128="Daoshu Adulto",39,IF(Atletas!I128="Jianshu Adulto",40,IF(Atletas!I128="Nandao Adulto",41,IF(Atletas!I128="Taijijian Adulto",42,""))))))))))))))))))))))))))</f>
        <v/>
      </c>
      <c r="BH137" s="52" t="str">
        <f>IF(Atletas!J128="","",IF(Atletas!B128="Feminino",100,IF(Atletas!B128="Masculino",200,""))+(IF(Atletas!J128="Gunshu Mirim",43,IF(Atletas!J128="Qiangshu Mirim",44,IF(Atletas!J128="Nangun Mirim",45,IF(Atletas!J128="Gunshu Grupo C",46,IF(Atletas!J128="Qiangshu Grupo C",47,IF(Atletas!J128="Nangun Grupo C",48,IF(Atletas!J128="Gunshu Grupo B",49,IF(Atletas!J128="Qiangshu Grupo B",50,IF(Atletas!J128="Nangun Grupo B",51,IF(Atletas!J128="Gunshu Grupo A",52,IF(Atletas!J128="Qiangshu Grupo A",53,IF(Atletas!J128="Nangun Grupo A",54,IF(Atletas!J128="Gunshu Opcional",55,IF(Atletas!J128="Qiangshu Opcional",56,IF(Atletas!J128="Nangun Opcional",57,IF(Atletas!J128="Gunshu Adulto",58,IF(Atletas!J128="Qiangshu Adulto",59,IF(Atletas!J128="Nangun Adulto",60,IF(Atletas!J128="Taijishan Grupo B",61,IF(Atletas!J128="Taijishan Grupo A",62,""))))))))))))))))))))))</f>
        <v/>
      </c>
      <c r="BM137" s="50" t="str">
        <f>IF(Atletas!K128="","",IF(Atletas!B128="Feminino",100,IF(Atletas!B128="Masculino",200,""))+(IF(Atletas!K128="Equipe 1 Grupo B",1,IF(Atletas!K128="Equipe 2 Grupo B",2,IF(Atletas!K128="Equipe 1 Grupo A",3,IF(Atletas!K128="Equipe 2 Grupo A",4,IF(Atletas!K128="Equipe 1 Adulto",5,IF(Atletas!K128="Equipe 2 Adulto",6,""))))))))</f>
        <v/>
      </c>
      <c r="BR137" s="50" t="str">
        <f>IF(Atletas!L128="","",IF(Atletas!X128&lt;&gt;"",10000,0)+(IF(Atletas!B128="Feminino",1000,IF(Atletas!B128="Masculino",2000,""))+IF(Atletas!L128="Choylayfut A",1,IF(Atletas!L128="Hunggar A",2,IF(Atletas!L128="Wuzuquan A",3,IF(Atletas!L128="Wingchun A",4,IF(Atletas!L128="Outra Mão de Sul A",5,IF(Atletas!L128="Choylayfut B",6,IF(Atletas!L128="Hunggar B",7,IF(Atletas!L128="Wuzuquan B",8,IF(Atletas!L128="Wingchun B",9,IF(Atletas!L128="Outra Mão de Sul B",10,IF(Atletas!L128="Choylayfut C",11,IF(Atletas!L128="Hunggar C",12,IF(Atletas!L128="Wuzuquan C",13,IF(Atletas!L128="Wingchun C",14,IF(Atletas!L128="Outra Mão de Sul C",15,IF(Atletas!L128="Choylayfut D",16,IF(Atletas!L128="Hunggar D",17,IF(Atletas!L128="Wuzuquan D",18,IF(Atletas!L128="Wingchun D",19,IF(Atletas!L128="Outra Mão de Sul D",20,IF(Atletas!L128="Choylayfut E",21,IF(Atletas!L128="Hunggar E",22,IF(Atletas!L128="Wuzuquan E",23,IF(Atletas!L128="Wingchun E",24,IF(Atletas!L128="Outra Mão de Sul E",25,IF(Atletas!L128="Choylayfut F",26,IF(Atletas!L128="Hunggar F",27,IF(Atletas!L128="Wuzuquan F",28,IF(Atletas!L128="Wingchun F",29,IF(Atletas!L128="Outra Mão de Sul F",30,IF(Atletas!L128="Dishuquan A",31,IF(Atletas!L128="Dishuquan B",32,IF(Atletas!L128="Dishuquan C",33,IF(Atletas!L128="Dishuquan D",34,IF(Atletas!L128="Dishuquan E",35,IF(Atletas!L128="Dishuquan F",36,""))))))))))))))))))))))))))))))))))))))</f>
        <v/>
      </c>
      <c r="BS137" s="50" t="str">
        <f>IF(Atletas!M128="","",IF(Atletas!X128&lt;&gt;"",10000,0)+(IF(Atletas!B128="Feminino",1000,IF(Atletas!B128="Masculino",2000,""))+(IF(Atletas!M128="Chaquan A",101,IF(Atletas!M128="Emeiquan A",102,IF(Atletas!M128="Fanziquan A",103,IF(Atletas!M128="Huaquan A",104,IF(Atletas!M128="Hongquan A",105,IF(Atletas!M128="Paoquan A",106,IF(Atletas!M128="Piguaquan A",107,IF(Atletas!M128="Shaolinquan A",108,IF(Atletas!M128="Tanglangquan A",109,IF(Atletas!M128="Yingzhaoquan A",110,IF(Atletas!M128="Tongbeiquan A",111,IF(Atletas!M128="Wudangquan A",112,IF(Atletas!M128="Outros Estilos A",113,IF(Atletas!M128="Chaquan B",114,IF(Atletas!M128="Emeiquan B",115,IF(Atletas!M128="Fanziquan B",116,IF(Atletas!M128="Huaquan B",117,IF(Atletas!M128="Hongquan B",118,IF(Atletas!M128="Paoquan B",119,IF(Atletas!M128="Piguaquan B",120,IF(Atletas!M128="Shaolinquan B",121,IF(Atletas!M128="Tanglangquan B",122,IF(Atletas!M128="Yingzhaoquan B",123,IF(Atletas!M128="Tongbeiquan B",124,IF(Atletas!M128="Wudangquan B",125,IF(Atletas!M128="Outros Estilos B",126,IF(Atletas!M128="Chaquan C",127,IF(Atletas!M128="Emeiquan C",128,IF(Atletas!M128="Fanziquan C",129,IF(Atletas!M128="Huaquan C",130,IF(Atletas!M128="Hongquan C",131,IF(Atletas!M128="Paoquan C",132,IF(Atletas!M128="Piguaquan C",133,IF(Atletas!M128="Shaolinquan C",134,IF(Atletas!M128="Tanglangquan C",135,IF(Atletas!M128="Yingzhaoquan C",136,IF(Atletas!M128="Tongbeiquan C",137,IF(Atletas!M128="Wudangquan C",138,IF(Atletas!M128="Outros Estilos C",139,0))))))))))))))))))))))))))))))))))))))))))</f>
        <v/>
      </c>
      <c r="BT137" s="50" t="str">
        <f>IF(Atletas!M128="","",IF(Atletas!X128&lt;&gt;"",10000,0)+(IF(Atletas!B128="Feminino",1000,IF(Atletas!B128="Masculino",2000,""))+(IF(Atletas!M128="Chaquan D",140,IF(Atletas!M128="Emeiquan D",141,IF(Atletas!M128="Fanziquan D",142,IF(Atletas!M128="Huaquan D",143,IF(Atletas!M128="Hongquan D",144,IF(Atletas!M128="Paoquan D",145,IF(Atletas!M128="Piguaquan D",146,IF(Atletas!M128="Shaolinquan D",147,IF(Atletas!M128="Tanglangquan D",148,IF(Atletas!M128="Yingzhaoquan D",149,IF(Atletas!M128="Tongbeiquan D",150,IF(Atletas!M128="Wudangquan D",151,IF(Atletas!M128="Outros Estilos D",152,IF(Atletas!M128="Chaquan E",153,IF(Atletas!M128="Emeiquan E",154,IF(Atletas!M128="Fanziquan E",155,IF(Atletas!M128="Huaquan E",156,IF(Atletas!M128="Hongquan E",157,IF(Atletas!M128="Paoquan E",158,IF(Atletas!M128="Piguaquan E",159,IF(Atletas!M128="Shaolinquan E",160,IF(Atletas!M128="Tanglangquan E",161,IF(Atletas!M128="Yingzhaoquan E",162,IF(Atletas!M128="Tongbeiquan E",163,IF(Atletas!M128="Wudangquan E",164,IF(Atletas!M128="Outros Estilos E",165,IF(Atletas!M128="Chaquan F",166,IF(Atletas!M128="Emeiquan F",167,IF(Atletas!M128="Fanziquan F",168,IF(Atletas!M128="Huaquan F",169,IF(Atletas!M128="Hongquan F",170,IF(Atletas!M128="Paoquan F",171,IF(Atletas!M128="Piguaquan F",172,IF(Atletas!M128="Shaolinquan F",173,IF(Atletas!M128="Tanglangquan F",174,IF(Atletas!M128="Yingzhaoquan F",175,IF(Atletas!M128="Tongbeiquan F",176,IF(Atletas!M128="Wudangquan F",177,IF(Atletas!M128="Outros Estilos F",178,0))))))))))))))))))))))))))))))))))))))))))</f>
        <v/>
      </c>
      <c r="BU137" s="50" t="str">
        <f>IF(Atletas!N128="","",IF(Atletas!X128&lt;&gt;"",10000,0)+(IF(Atletas!B128="Feminino",1000,IF(Atletas!B128="Masculino",2000,""))+(IF(Atletas!N128="Ditangquan A",201,IF(Atletas!N128="Houquan A",202,IF(Atletas!N128="Zuiquan A",203,IF(Atletas!N128="Ditangquan B",204,IF(Atletas!N128="Houquan B",205,IF(Atletas!N128="Zuiquan B",206,IF(Atletas!N128="Ditangquan C",207,IF(Atletas!N128="Houquan C",208,IF(Atletas!N128="Zuiquan C",209,IF(Atletas!N128="Ditangquan D",210,IF(Atletas!N128="Houquan D",211,IF(Atletas!N128="Zuiquan D",212,IF(Atletas!N128="Ditangquan E",213,IF(Atletas!N128="Houquan E",214,IF(Atletas!N128="Zuiquan E",215,IF(Atletas!N128="Ditangquan F",216,IF(Atletas!N128="Houquan F",217,IF(Atletas!N128="Zuiquan F",218,"")))))))))))))))))))))</f>
        <v/>
      </c>
      <c r="BV137" s="50" t="str">
        <f>IF(Atletas!O128="","",IF(Atletas!X128&lt;&gt;"",10000,0)+IF(Atletas!B128="Feminino",1000,IF(Atletas!B128="Masculino",2000,""))+IF(Atletas!O128="Yang A",301,IF(Atletas!O128="Chen A",302,IF(Atletas!O128="Sun A",303,IF(Atletas!O128="Wu A",304,IF(Atletas!O128="Wu-Hao A",305,IF(Atletas!O128="Outro Taijiquan A",306,IF(Atletas!O128="Yang B",307,IF(Atletas!O128="Chen B",308,IF(Atletas!O128="Sun B",309,IF(Atletas!O128="Wu B",310,IF(Atletas!O128="Wu-Hao B",311,IF(Atletas!O128="Outro Taijiquan B",312,IF(Atletas!O128="Yang C",313,IF(Atletas!O128="Chen C",314,IF(Atletas!O128="Sun C",315,IF(Atletas!O128="Wu C",316,IF(Atletas!O128="Wu-Hao C",317,IF(Atletas!O128="Outro Taijiquan C",318,IF(Atletas!O128="Yang D",319,IF(Atletas!O128="Chen D",320,IF(Atletas!O128="Sun D",321,IF(Atletas!O128="Wu D",322,IF(Atletas!O128="Wu-Hao D",323,IF(Atletas!O128="Outro Taijiquan D",324,IF(Atletas!O128="Yang E",325,IF(Atletas!O128="Chen E",326,IF(Atletas!O128="Sun E",327,IF(Atletas!O128="Wu E",328,IF(Atletas!O128="Wu-Hao E",329,IF(Atletas!O128="Outro Taijiquan E",330,IF(Atletas!O128="Yang F",331,IF(Atletas!O128="Chen F",332,IF(Atletas!O128="Sun F",333,IF(Atletas!O128="Wu F",334,IF(Atletas!O128="Wu-Hao F",335,IF(Atletas!O128="Outro Taijiquan F",336,"")))))))))))))))))))))))))))))))))))))</f>
        <v/>
      </c>
      <c r="BW137" s="50" t="str">
        <f>IF(Atletas!P128="","",IF(Atletas!X128&lt;&gt;"",10000,0)+IF(Atletas!B128="Feminino",1000,IF(Atletas!B128="Masculino",2000,""))+IF(OR(Atletas!P128="Yang 26 A",Atletas!P128="Yang 40 A"),401,IF(OR(Atletas!P128="Chen 25 A",Atletas!P128="Chen 36 A",Atletas!P128="Chen 56 A"),402,IF(Atletas!P128="Sun 73 A",403,IF(Atletas!P128="Wu 45 A",404,IF(Atletas!P128="Wu-Hao 46 A",405,IF(OR(Atletas!P128="Taijiquan 16 A",Atletas!P128="Taijiquan 24 A",Atletas!P128="Taijiquan 32 A",Atletas!P128="Taijiquan 42 A"),406,IF(OR(Atletas!P128="Yang 26 B",Atletas!P128="Yang 40 B"),407,IF(OR(Atletas!P128="Chen 25 B",Atletas!P128="Chen 36 B",Atletas!P128="Chen 56 B"),408,IF(Atletas!P128="Sun 73 B",409,IF(Atletas!P128="Wu 45 B",410,IF(Atletas!P128="Wu-Hao 46 B",411,IF(OR(Atletas!P128="Taijiquan 16 B",Atletas!P128="Taijiquan 24 B",Atletas!P128="Taijiquan 32 B",Atletas!P128="Taijiquan 42 B"),412,IF(OR(Atletas!P128="Yang 26 C",Atletas!P128="Yang 40 C"),413,IF(OR(Atletas!P128="Chen 25 C",Atletas!P128="Chen 36 C",Atletas!P128="Chen 56 C"),414,IF(Atletas!P128="Sun 73 C",415,IF(Atletas!P128="Wu 45 C",416,IF(Atletas!P128="Wu-Hao 46 C",417,IF(OR(Atletas!P128="Taijiquan 16 C",Atletas!P128="Taijiquan 24 C",Atletas!P128="Taijiquan 32 C",Atletas!P128="Taijiquan 42 C"),418,0)))))))))))))))))))</f>
        <v/>
      </c>
      <c r="BX137" s="50" t="str">
        <f>IF(Atletas!P128="","",IF(Atletas!X128&lt;&gt;"",10000,0)+IF(Atletas!B128="Feminino",1000,IF(Atletas!B128="Masculino",2000,""))+IF(OR(Atletas!P128="Yang 26 D",Atletas!P128="Yang 40 D"),419,IF(OR(Atletas!P128="Chen 25 D",Atletas!P128="Chen 36 D",Atletas!P128="Chen 56 D"),420,IF(Atletas!P128="Sun 73 D",421,IF(Atletas!P128="Wu 45 D",422,IF(Atletas!P128="Wu-Hao 46 D",423,IF(OR(Atletas!P128="Taijiquan 16 D",Atletas!P128="Taijiquan 24 D",Atletas!P128="Taijiquan 32 D",Atletas!P128="Taijiquan 42 D"),424,IF(OR(Atletas!P128="Yang 26 E",Atletas!P128="Yang 40 E"),425,IF(OR(Atletas!P128="Chen 25 E",Atletas!P128="Chen 36 E",Atletas!P128="Chen 56 E"),426,IF(Atletas!P128="Sun 73 E",427,IF(Atletas!P128="Wu 45 E",428,IF(Atletas!P128="Wu-Hao 46 E",429,IF(OR(Atletas!P128="Taijiquan 16 E",Atletas!P128="Taijiquan 24 E",Atletas!P128="Taijiquan 32 E",Atletas!P128="Taijiquan 42 E"),430,IF(OR(Atletas!P128="Yang 26 F",Atletas!P128="Yang 40 F"),431,IF(OR(Atletas!P128="Chen 25 F",Atletas!P128="Chen 36 F",Atletas!P128="Chen 56 F"),432,IF(Atletas!P128="Sun 73 F",433,IF(Atletas!P128="Wu 45 F",434,IF(Atletas!P128="Wu-Hao 46 F",435,IF(OR(Atletas!P128="Taijiquan 16 F",Atletas!P128="Taijiquan 24 F",Atletas!P128="Taijiquan 32 F",Atletas!P128="Taijiquan 42 F"),436,0)))))))))))))))))))</f>
        <v/>
      </c>
      <c r="BY137" s="50" t="str">
        <f>IF(Atletas!Q128="","",IF(Atletas!X128&lt;&gt;"",10000,0)+IF(Atletas!B128="Feminino",1000,IF(Atletas!B128="Masculino",2000,""))+IF(Atletas!Q128="Xingyiquan A",501,IF(Atletas!Q128="Baguazhang A",502,IF(Atletas!Q128="Outro Estilo Interno A",503,IF(Atletas!Q128="Xingyiquan B",504,IF(Atletas!Q128="Baguazhang B",505,IF(Atletas!Q128="Outro Estilo Interno B",506,IF(Atletas!Q128="Xingyiquan C",507,IF(Atletas!Q128="Baguazhang C",508,IF(Atletas!Q128="Outro Estilo Interno C",509,IF(Atletas!Q128="Xingyiquan D",510,IF(Atletas!Q128="Baguazhang D",511,IF(Atletas!Q128="Outro Estilo Interno D",512,IF(Atletas!Q128="Xingyiquan E",513,IF(Atletas!Q128="Baguazhang E",514,IF(Atletas!Q128="Outro Estilo Interno E",515,IF(Atletas!Q128="Xingyiquan F",516,IF(Atletas!Q128="Baguazhang F",517,IF(Atletas!Q128="Outro Estilo Interno F",518, "")))))))))))))))))))</f>
        <v/>
      </c>
      <c r="BZ137" s="50" t="str">
        <f>IF(Atletas!R128="","",IF(Atletas!X128&lt;&gt;"",10000,0)+IF(Atletas!B128="Feminino",1000,IF(Atletas!B128="Masculino",2000,""))+IF(Atletas!R128="Dao A",601,IF(Atletas!R128="Jian A",602,IF(Atletas!R128="Bishou A",603,IF(Atletas!R128="Shanzi A",604,IF(Atletas!R128="Outra Arma Curta A",605,IF(Atletas!R128="Dao B",606,IF(Atletas!R128="Jian B",607,IF(Atletas!R128="Bishou B",608,IF(Atletas!R128="Shanzi B",609,IF(Atletas!R128="Outra Arma Curta B",610,IF(Atletas!R128="Dao C",611,IF(Atletas!R128="Jian C",612,IF(Atletas!R128="Bishou C",613,IF(Atletas!R128="Shanzi C",614,IF(Atletas!R128="Outra Arma Curta C",615,IF(Atletas!R128="Dao D",616,IF(Atletas!R128="Jian D",617,IF(Atletas!R128="Bishou D",618,IF(Atletas!R128="Shanzi D",619,IF(Atletas!R128="Outra Arma Curta D",620,IF(Atletas!R128="Dao E",621,IF(Atletas!R128="Jian E",622,IF(Atletas!R128="Bishou E",623,IF(Atletas!R128="Shanzi E",624,IF(Atletas!R128="Outra Arma Curta E",625,IF(Atletas!R128="Dao F",626,IF(Atletas!R128="Jian F",627,IF(Atletas!R128="Bishou F",628,IF(Atletas!R128="Shanzi F",629,IF(Atletas!R128="Outra Arma Curta F",630, "")))))))))))))))))))))))))))))))</f>
        <v/>
      </c>
      <c r="CA137" s="50" t="str">
        <f>IF(Atletas!S128="","",IF(Atletas!X128&lt;&gt;"",10000,0)+IF(Atletas!B128="Feminino",1000,IF(Atletas!B128="Masculino",2000,""))+IF(Atletas!S128="Gun A",701,IF(Atletas!S128="Qiang A",702,IF(Atletas!S128="Pudao / Guandao A",703,IF(Atletas!S128="Outra Arma Longa A",704,IF(Atletas!S128="Gun B",705,IF(Atletas!S128="Qiang B",706,IF(Atletas!S128="Pudao / Guandao B",707,IF(Atletas!S128="Outra Arma Longa B",708,IF(Atletas!S128="Gun C",709,IF(Atletas!S128="Qiang C",710,IF(Atletas!S128="Pudao / Guandao C",711,IF(Atletas!S128="Outra Arma Longa C",712,IF(Atletas!S128="Gun D",713,IF(Atletas!S128="Qiang D",714,IF(Atletas!S128="Pudao / Guandao D",715,IF(Atletas!S128="Outra Arma Longa D",716,IF(Atletas!S128="Gun E",717,IF(Atletas!S128="Qiang E",718,IF(Atletas!S128="Pudao / Guandao E",719,IF(Atletas!S128="Outra Arma Longa E",720,IF(Atletas!S128="Gun F",721,IF(Atletas!S128="Qiang F",722,IF(Atletas!S128="Pudao / Guandao F",723,IF(Atletas!S128="Outra Arma Longa F",724,"")))))))))))))))))))))))))</f>
        <v/>
      </c>
      <c r="CB137" s="50" t="str">
        <f>IF(Atletas!T128="","",IF(Atletas!X128&lt;&gt;"",10000,0)+IF(Atletas!B128="Feminino",1000,IF(Atletas!B128="Masculino",2000,""))+IF(Atletas!T128="Outra Arma Dupla A",801,IF(Atletas!T128="Arma Maleável A",802,IF(Atletas!T128="Outra Arma Dupla B",803,IF(Atletas!T128="Arma Maleável B",804,IF(Atletas!T128="Outra Arma Dupla C",805,IF(Atletas!T128="Arma Maleável C",806,IF(Atletas!T128="Outra Arma Dupla D",807,IF(Atletas!T128="Arma Maleável D",808,IF(Atletas!T128="Outra Arma Dupla E",809,IF(Atletas!T128="Arma Maleável E",810,IF(Atletas!T128="Outra Arma Dupla F",811,IF(Atletas!T128="Arma Maleável F",812,IF(Atletas!T128="Shuangdao A",813,IF(Atletas!T128="Shuangdao B",814,IF(Atletas!T128="Shuangdao C",815,IF(Atletas!T128="Shuangdao D",816,IF(Atletas!T128="Shuangdao E",817,IF(Atletas!T128="Shuangdao F",818,"")))))))))))))))))))</f>
        <v/>
      </c>
      <c r="CC137" s="50" t="str">
        <f>IF(Atletas!U128="","",IF(Atletas!X128&lt;&gt;"",10000,0)+IF(Atletas!B128="Feminino",1000,IF(Atletas!B128="Masculino",2000,""))+IF(OR(Atletas!U128="Taijijian Yang A",Atletas!U128="Taijijian Yang Standard A"),901,IF(OR(Atletas!U128="Taijijian Chen A", Atletas!U128="Taijijian Chen Standard A"),902,IF(Atletas!U128="Taijijian Sun A",903,IF(Atletas!U128="Taijijian Wu A",904,IF(Atletas!U128="Taijijian Wu-Hao A",905,IF(OR(Atletas!U128="Taijijian 32 A",Atletas!U128="Taijijian 42 A"),906,IF(OR(Atletas!U128="Taijijian Yang B",Atletas!U128="Taijijian Yang Standard B"),907,IF(OR(Atletas!U128="Taijijian Chen B", Atletas!U128="Taijijian Chen Standard B"),908,IF(Atletas!U128="Taijijian Sun B",909,IF(Atletas!U128="Taijijian Wu B",910,IF(Atletas!U128="Taijijian Wu-Hao B",911,IF(OR(Atletas!U128="Taijijian 32 B",Atletas!U128="Taijijian 42 B"),912,IF(OR(Atletas!U128="Taijijian Yang C",Atletas!U128="Taijijian Yang Standard C"),913,IF(OR(Atletas!U128="Taijijian Chen C", Atletas!U128="Taijijian Chen Standard C"),914,IF(Atletas!U128="Taijijian Sun C",915,IF(Atletas!U128="Taijijian Wu C",916,IF(Atletas!U128="Taijijian Wu-Hao C",917,IF(OR(Atletas!U128="Taijijian 32 C",Atletas!U128="Taijijian 42 C"),918,IF(OR(Atletas!U128="Taijijian Yang D",Atletas!U128="Taijijian Yang Standard D"),919,IF(OR(Atletas!U128="Taijijian Chen D", Atletas!U128="Taijijian Chen Standard D"),920,IF(Atletas!U128="Taijijian Sun D",921,IF(Atletas!U128="Taijijian Wu D",922,IF(Atletas!U128="Taijijian Wu-Hao D",923,IF(OR(Atletas!U128="Taijijian 32 D",Atletas!U128="Taijijian 42 D"),924,IF(OR(Atletas!U128="Taijijian Yang E",Atletas!U128="Taijijian Yang Standard E"),925,IF(OR(Atletas!U128="Taijijian Chen E", Atletas!U128="Taijijian Chen Standard E"),926,IF(Atletas!U128="Taijijian Sun E",927,IF(Atletas!U128="Taijijian Wu E",928,IF(Atletas!U128="Taijijian Wu-Hao E",929,IF(OR(Atletas!U128="Taijijian 32 E",Atletas!U128="Taijijian 42 E"),930,IF(OR(Atletas!U128="Taijijian Yang F",Atletas!U128="Taijijian Yang Standard F"),931,IF(OR(Atletas!U128="Taijijian Chen F", Atletas!U128="Taijijian Chen Standard F"),932,IF(Atletas!U128="Taijijian Sun F",933,IF(Atletas!U128="Taijijian Wu F",934,IF(Atletas!U128="Taijijian Wu-Hao F",935,IF(OR(Atletas!U128="Taijijian 32 F",Atletas!U128="Taijijian 42 F"),936,"")))))))))))))))))))))))))))))))))))))</f>
        <v/>
      </c>
      <c r="CD137" s="50" t="str">
        <f>IF(Atletas!V128="","",IF(Atletas!X128&lt;&gt;"",10000,0)+IF(Atletas!B128="Feminino",1000,IF(Atletas!B128="Masculino",2000,""))+IF(Atletas!V128="Taijidao A",937,IF(Atletas!V128="TaijiShanzi A",938,IF(Atletas!V128="Taijiqiang A",939,IF(Atletas!V128="Bagua de Arma A",940,IF(Atletas!V128="Xingyi de Arma A",941,IF(Atletas!V128="Taijidao B",942,IF(Atletas!V128="TaijiShanzi B",943,IF(Atletas!V128="Taijiqiang B",944,IF(Atletas!V128="Bagua de Arma B",945,IF(Atletas!V128="Xingyi de Arma B",946,IF(Atletas!V128="Taijidao C",947,IF(Atletas!V128="TaijiShanzi C",948,IF(Atletas!V128="Taijiqiang C",949,IF(Atletas!V128="Bagua de Arma C",950,IF(Atletas!V128="Xingyi de Arma C",951,IF(Atletas!V128="Taijidao D",952,IF(Atletas!V128="TaijiShanzi D",953,IF(Atletas!V128="Taijiqiang D",954,IF(Atletas!V128="Bagua de Arma D",955,IF(Atletas!V128="Xingyi de Arma D",956,IF(Atletas!V128="Taijidao E",957,IF(Atletas!V128="TaijiShanzi E",958,IF(Atletas!V128="Taijiqiang E",959,IF(Atletas!V128="Bagua de Arma E",960,IF(Atletas!V128="Xingyi de Arma E",961,IF(Atletas!V128="Taijidao F",962,IF(Atletas!V128="TaijiShanzi F",963,IF(Atletas!V128="Taijiqiang F",964,IF(Atletas!V128="Bagua de Arma F",965,IF(Atletas!V128="Xingyi de Arma F",966,"")))))))))))))))))))))))))))))))</f>
        <v/>
      </c>
      <c r="CE137" s="66" t="str">
        <f>IF(CF137&lt;&gt;"","Houquan F","")</f>
        <v/>
      </c>
      <c r="CF137" s="66" t="str">
        <f>IF(COUNTIF(BR:CD,1217)&gt;0,COUNTIF(BR:CD,1217),"")</f>
        <v/>
      </c>
      <c r="CG137" s="66" t="str">
        <f>IF(CH137&lt;&gt;"","Houquan F","")</f>
        <v/>
      </c>
      <c r="CH137" s="66" t="str">
        <f>IF(COUNTIF(BR:CD,2217)&gt;0,COUNTIF(BR:CD,2217),"")</f>
        <v/>
      </c>
      <c r="CI137" s="66" t="str">
        <f>IF(CJ137&lt;&gt;"","TJQ Trad. Wu-Hao A","")</f>
        <v/>
      </c>
      <c r="CJ137" s="66" t="str">
        <f>IF(COUNTIF(BR:CD,11305)&gt;0,COUNTIF(BR:CD,11305),"")</f>
        <v/>
      </c>
      <c r="CK137" s="66" t="str">
        <f>IF(CL137&lt;&gt;"","TJQ Trad. Wu-Hao A","")</f>
        <v/>
      </c>
      <c r="CL137" s="66" t="str">
        <f>IF(COUNTIF(BR:CD,12305)&gt;0,COUNTIF(BR:CD,12305),"")</f>
        <v/>
      </c>
      <c r="CM137" s="50" t="str">
        <f xml:space="preserve"> IF(Atletas!W128="","",IF(Atletas!W128="Duilian de Mãos BC - Equipe 1",1,IF(Atletas!W128="Duilian de Mãos BC - Equipe 2",2,IF(Atletas!W128="Duilian de Armas BC - Equipe 1",3,IF(Atletas!W128="Duilian de Armas BC - Equipe 2",4,IF(Atletas!W128="Duilian de Mãos DE - Equipe 1",5,IF(Atletas!W128="Duilian de Mãos DE - Equipe 2",6,IF(Atletas!W128="Duilian de Armas DE - Equipe 1",7,IF(Atletas!W128="Duilian de Armas DE - Equipe 2",8,IF(Atletas!W128="Duilian de Tuishou - Equipe 1",9,IF(Atletas!W128="Duilian de Tuishou - Equipe 2",10,IF(Atletas!W128="Grupo Externo ABC - Equipe 1",11,IF(Atletas!W128="Grupo Externo ABC - Equipe 2",12,IF(Atletas!W128="Grupo Interno ABC - Equipe 1",13,IF(Atletas!W128="Grupo Interno ABC - Equipe 2",14,IF(Atletas!W128="Grupo Externo DEF - Equipe 1",15,IF(Atletas!W128="Grupo Externo DEF - Equipe 2",16,IF(Atletas!W128="Grupo Interno DEF - Equipe 1",17,IF(Atletas!W128="Grupo Interno DEF - Equipe 2",18,"")))))))))))))))))))</f>
        <v/>
      </c>
    </row>
    <row r="138" spans="2:91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 t="str">
        <f t="array" ref="Z138">IFERROR(INDEX(CE$7:CE$348,SMALL(IF(CE$7:CE$348&lt;&gt;"",ROW(CE$7:CE$348)-ROW(CE$7)+1),ROWS(CE$7:CE137))),"")</f>
        <v/>
      </c>
      <c r="AA138" s="3" t="str">
        <f t="array" ref="AA138">IFERROR(INDEX(CF$7:CF$348,SMALL(IF(CF$7:CF$348&lt;&gt;"",ROW(CF$7:CF$348)-ROW(CF$7)+1),ROWS(CF$7:CF137))),"")</f>
        <v/>
      </c>
      <c r="AB138" s="3" t="str">
        <f t="array" ref="AB138">IFERROR(INDEX(CG$7:CG$348,SMALL(IF(CG$7:CG$348&lt;&gt;"",ROW(CG$7:CG$348)-ROW(CG$7)+1),ROWS(CG$7:CG137))),"")</f>
        <v/>
      </c>
      <c r="AC138" s="3" t="str">
        <f t="array" ref="AC138">IFERROR(INDEX(CH$7:CH$348,SMALL(IF(CH$7:CH$348&lt;&gt;"",ROW(CH$7:CH$348)-ROW(CH$7)+1),ROWS(CH$7:CH137))),"")</f>
        <v/>
      </c>
      <c r="AD138" s="3" t="str">
        <f t="array" ref="AD138">IFERROR(INDEX(CI$7:CI$377,SMALL(IF(CI$7:CI$377&lt;&gt;"",ROW(CI$7:CI$377)-ROW(CI$7)+1),ROWS(CI$7:CI137))),"")</f>
        <v/>
      </c>
      <c r="AE138" s="3" t="str">
        <f t="array" ref="AE138">IFERROR(INDEX(CJ$7:CJ$378,SMALL(IF(CJ$7:CJ$378&lt;&gt;"",ROW(CJ$7:CJ$378)-ROW(CJ$7)+1),ROWS(CJ$7:CJ137))),"")</f>
        <v/>
      </c>
      <c r="AF138" s="3" t="str">
        <f t="array" ref="AF138">IFERROR(INDEX(CK$7:CK$378,SMALL(IF(CK$7:CK$378&lt;&gt;"",ROW(CK$7:CK$378)-ROW(CK$7)+1),ROWS(CK$7:CK137))),"")</f>
        <v/>
      </c>
      <c r="AG138" s="3" t="str">
        <f t="array" ref="AG138">IFERROR(INDEX(CL$7:CL$378,SMALL(IF(CL$7:CL$378&lt;&gt;"",ROW(CL$7:CL$378)-ROW(CL$7)+1),ROWS(CL$7:CL137))),"")</f>
        <v/>
      </c>
      <c r="AH138" s="3"/>
      <c r="AI138" s="3"/>
      <c r="AJ138" s="3"/>
      <c r="AK138" s="3"/>
      <c r="AL138" s="3"/>
      <c r="AM138" s="3"/>
      <c r="AN138" s="52" t="str">
        <f>IF(Atletas!D129="","",IF(Atletas!B129="Feminino",100,IF(Atletas!B129="Masculino",200,""))+(IF(Atletas!D129="Kids 30kg",1,IF(Atletas!D129="Kids 32kg",2, IF(Atletas!D129="Kids 34kg",3,IF(Atletas!D129="Kids 36kg",4,IF(Atletas!D129="Kids 39kg",5,IF(Atletas!D129="Kids 42kg",6,IF(Atletas!D129="Kids 45kg",7, IF(Atletas!D129="Infantil 39kg",8,IF(Atletas!D129="Infantil 42kg",9,IF(Atletas!D129="Infantil 45kg",10,IF(Atletas!D129="Infantil 48kg",11,IF(Atletas!D129="Infantil 52kg",12,IF(Atletas!D129="Infantil 56kg",13,IF(Atletas!D129="Infantil 60kg",14,IF(Atletas!D129="Juvenil 48kg",15,IF(Atletas!D129="Juvenil 52kg",16,IF(Atletas!D129="Juvenil 56kg",17,IF(Atletas!D129="Juvenil 60kg",18,IF(Atletas!D129="Juvenil 65kg",19,IF(Atletas!D129="Juvenil 70kg",20,IF(Atletas!D129="Juvenil 75kg",21,IF(Atletas!D129="Juvenil 80kg",22, IF(Atletas!D129="Juvenil 85kg",23,IF(Atletas!D129="Adulto 48kg",24,IF(Atletas!D129="Adulto 52kg",25,IF(Atletas!D129="Adulto 56kg",26,IF(Atletas!D129="Adulto 60kg",27,IF(Atletas!D129="Adulto 65kg",28,IF(Atletas!D129="Adulto 70kg",29,IF(Atletas!D129="Adulto 75kg",30,IF(Atletas!D129="Adulto 80kg",31,IF(Atletas!D129="Adulto 85kg",32,IF(Atletas!D129="Adulto 90kg",33,IF(Atletas!D129="Adulto 100kg",34, IF(Atletas!D129="Adulto +100kg",35,"")))))))))))))))))))))))))))))))))))))</f>
        <v/>
      </c>
      <c r="AS138" s="6" t="str">
        <f>IF(Atletas!E129="","",IF(Atletas!B129="Feminino",100,IF(Atletas!B129="Masculino",200,""))+(IF(Atletas!E129="Juvenil 44kg",1,IF(Atletas!E129="Juvenil 48kg",2,IF(Atletas!E129="Juvenil 52kg",3,IF(Atletas!E129="Juvenil 56kg",4,IF(Atletas!E129="Juvenil 60kg",5,IF(Atletas!E129="Juvenil 65kg",6,IF(Atletas!E129="Juvenil 70kg",7,IF(Atletas!E129="Juvenil 75kg",8,IF(Atletas!E129="Juvenil 82kg",9,IF(Atletas!E129="Juvenil 90kg",10,IF(Atletas!E129="Juvenil 100kg",11,IF(Atletas!E129="Adulto 48kg",12,IF(Atletas!E129="Adulto 52kg",13,IF(Atletas!E129="Adulto 56kg",14,IF(Atletas!E129="Adulto 60kg",15,IF(Atletas!E129="Adulto 65kg",16,IF(Atletas!E129="Adulto 70kg",17,IF(Atletas!E129="Adulto 75kg",18,IF(Atletas!E129="Adulto 82kg",19,IF(Atletas!E129="Adulto 90kg",20,IF(Atletas!E129="Adulto 100kg",21,IF(Atletas!E129="Adulto +100kg",22,""))))))))))))))))))))))))</f>
        <v/>
      </c>
      <c r="AX138" s="6" t="str">
        <f>IF(Atletas!F129="","",IF(Atletas!B129="Feminino",100,IF(Atletas!B129="Masculino",200,""))+(IF(Atletas!F129="Adulto 48kg",1,IF(Atletas!F129="Adulto 56kg",2,IF(Atletas!F129="Adulto 65kg",3,IF(Atletas!F129="Adulto 75kg",4,IF(Atletas!F129="Adulto +75kg",5,IF(Atletas!F129="Adulto 52kg",6,IF(Atletas!F129="Adulto 60kg",7,IF(Atletas!F129="Adulto 70kg",8,IF(Atletas!F129="Adulto 80kg",9,IF(Atletas!F129="Adulto 90kg",10,IF(Atletas!F129="Adulto +90kg",11,"")))))))))))))</f>
        <v/>
      </c>
      <c r="BC138" s="6" t="str">
        <f>IF(Atletas!G129="","",IF(Atletas!B129="Feminino",10,IF(Atletas!B129="Masculino",20,""))+(IF(Atletas!G129="Baduanjin A",1,IF(Atletas!G129="Baduanjin B",2))))</f>
        <v/>
      </c>
      <c r="BF138" s="52" t="str">
        <f>IF(Atletas!H129="","",IF(Atletas!B129="Feminino",100,IF(Atletas!B129="Masculino",200,""))+(IF(Atletas!H129="Changquan Mirim",1,IF(Atletas!H129="Nanquan Mirim",2,IF(Atletas!H129="Taijiquan Mirim",3,IF(Atletas!H129="Changquan Grupo C",4,IF(Atletas!H129="Nanquan Grupo C",5,IF(Atletas!H129="Taijiquan Grupo C",6,IF(Atletas!H129="Changquan Grupo B",7,IF(Atletas!H129="Nanquan Grupo B",8,IF(Atletas!H129="Taijiquan Grupo B",9,IF(Atletas!H129="Changquan Grupo A",10,IF(Atletas!H129="Nanquan Grupo A",11,IF(Atletas!H129="Taijiquan Grupo A",12,IF(Atletas!H129="Changquan Opcional",13,IF(Atletas!H129="Nanquan Opcional",14,IF(Atletas!H129="Taijiquan Opcional",15,IF(Atletas!H129="Changquan Adulto",16,IF(Atletas!H129="Nanquan Adulto",17,IF(Atletas!H129="Taijiquan Adulto",18,""))))))))))))))))))))</f>
        <v/>
      </c>
      <c r="BG138" s="52" t="str">
        <f>IF(Atletas!I129="","",IF(Atletas!B129="Feminino",100,IF(Atletas!B129="Masculino",200,""))+(IF(Atletas!I129="Daoshu Mirim",19,IF(Atletas!I129="Jianshu Mirim",20,IF(Atletas!I129="Nandao Mirim",21,IF(Atletas!I129="Taijijian Mirim",22,IF(Atletas!I129="Daoshu Grupo C",23,IF(Atletas!I129="Jianshu Grupo C",24,IF(Atletas!I129="Nandao Grupo C",25,IF(Atletas!I129="Taijijian Grupo C",26,IF(Atletas!I129="Daoshu Grupo B",27,IF(Atletas!I129="Jianshu Grupo B",28,IF(Atletas!I129="Nandao Grupo B",29,IF(Atletas!I129="Taijijian Grupo B",30,IF(Atletas!I129="Daoshu Grupo A",31,IF(Atletas!I129="Jianshu Grupo A",32,IF(Atletas!I129="Nandao Grupo A",33,IF(Atletas!I129="Taijijian Grupo A",34,IF(Atletas!I129="Daoshu Opcional",35,IF(Atletas!I129="Jianshu Opcional",36,IF(Atletas!I129="Nandao Opcional",37,IF(Atletas!I129="Taijijian Opcional",38,IF(Atletas!I129="Daoshu Adulto",39,IF(Atletas!I129="Jianshu Adulto",40,IF(Atletas!I129="Nandao Adulto",41,IF(Atletas!I129="Taijijian Adulto",42,""))))))))))))))))))))))))))</f>
        <v/>
      </c>
      <c r="BH138" s="52" t="str">
        <f>IF(Atletas!J129="","",IF(Atletas!B129="Feminino",100,IF(Atletas!B129="Masculino",200,""))+(IF(Atletas!J129="Gunshu Mirim",43,IF(Atletas!J129="Qiangshu Mirim",44,IF(Atletas!J129="Nangun Mirim",45,IF(Atletas!J129="Gunshu Grupo C",46,IF(Atletas!J129="Qiangshu Grupo C",47,IF(Atletas!J129="Nangun Grupo C",48,IF(Atletas!J129="Gunshu Grupo B",49,IF(Atletas!J129="Qiangshu Grupo B",50,IF(Atletas!J129="Nangun Grupo B",51,IF(Atletas!J129="Gunshu Grupo A",52,IF(Atletas!J129="Qiangshu Grupo A",53,IF(Atletas!J129="Nangun Grupo A",54,IF(Atletas!J129="Gunshu Opcional",55,IF(Atletas!J129="Qiangshu Opcional",56,IF(Atletas!J129="Nangun Opcional",57,IF(Atletas!J129="Gunshu Adulto",58,IF(Atletas!J129="Qiangshu Adulto",59,IF(Atletas!J129="Nangun Adulto",60,IF(Atletas!J129="Taijishan Grupo B",61,IF(Atletas!J129="Taijishan Grupo A",62,""))))))))))))))))))))))</f>
        <v/>
      </c>
      <c r="BM138" s="50" t="str">
        <f>IF(Atletas!K129="","",IF(Atletas!B129="Feminino",100,IF(Atletas!B129="Masculino",200,""))+(IF(Atletas!K129="Equipe 1 Grupo B",1,IF(Atletas!K129="Equipe 2 Grupo B",2,IF(Atletas!K129="Equipe 1 Grupo A",3,IF(Atletas!K129="Equipe 2 Grupo A",4,IF(Atletas!K129="Equipe 1 Adulto",5,IF(Atletas!K129="Equipe 2 Adulto",6,""))))))))</f>
        <v/>
      </c>
      <c r="BR138" s="50" t="str">
        <f>IF(Atletas!L129="","",IF(Atletas!X129&lt;&gt;"",10000,0)+(IF(Atletas!B129="Feminino",1000,IF(Atletas!B129="Masculino",2000,""))+IF(Atletas!L129="Choylayfut A",1,IF(Atletas!L129="Hunggar A",2,IF(Atletas!L129="Wuzuquan A",3,IF(Atletas!L129="Wingchun A",4,IF(Atletas!L129="Outra Mão de Sul A",5,IF(Atletas!L129="Choylayfut B",6,IF(Atletas!L129="Hunggar B",7,IF(Atletas!L129="Wuzuquan B",8,IF(Atletas!L129="Wingchun B",9,IF(Atletas!L129="Outra Mão de Sul B",10,IF(Atletas!L129="Choylayfut C",11,IF(Atletas!L129="Hunggar C",12,IF(Atletas!L129="Wuzuquan C",13,IF(Atletas!L129="Wingchun C",14,IF(Atletas!L129="Outra Mão de Sul C",15,IF(Atletas!L129="Choylayfut D",16,IF(Atletas!L129="Hunggar D",17,IF(Atletas!L129="Wuzuquan D",18,IF(Atletas!L129="Wingchun D",19,IF(Atletas!L129="Outra Mão de Sul D",20,IF(Atletas!L129="Choylayfut E",21,IF(Atletas!L129="Hunggar E",22,IF(Atletas!L129="Wuzuquan E",23,IF(Atletas!L129="Wingchun E",24,IF(Atletas!L129="Outra Mão de Sul E",25,IF(Atletas!L129="Choylayfut F",26,IF(Atletas!L129="Hunggar F",27,IF(Atletas!L129="Wuzuquan F",28,IF(Atletas!L129="Wingchun F",29,IF(Atletas!L129="Outra Mão de Sul F",30,IF(Atletas!L129="Dishuquan A",31,IF(Atletas!L129="Dishuquan B",32,IF(Atletas!L129="Dishuquan C",33,IF(Atletas!L129="Dishuquan D",34,IF(Atletas!L129="Dishuquan E",35,IF(Atletas!L129="Dishuquan F",36,""))))))))))))))))))))))))))))))))))))))</f>
        <v/>
      </c>
      <c r="BS138" s="50" t="str">
        <f>IF(Atletas!M129="","",IF(Atletas!X129&lt;&gt;"",10000,0)+(IF(Atletas!B129="Feminino",1000,IF(Atletas!B129="Masculino",2000,""))+(IF(Atletas!M129="Chaquan A",101,IF(Atletas!M129="Emeiquan A",102,IF(Atletas!M129="Fanziquan A",103,IF(Atletas!M129="Huaquan A",104,IF(Atletas!M129="Hongquan A",105,IF(Atletas!M129="Paoquan A",106,IF(Atletas!M129="Piguaquan A",107,IF(Atletas!M129="Shaolinquan A",108,IF(Atletas!M129="Tanglangquan A",109,IF(Atletas!M129="Yingzhaoquan A",110,IF(Atletas!M129="Tongbeiquan A",111,IF(Atletas!M129="Wudangquan A",112,IF(Atletas!M129="Outros Estilos A",113,IF(Atletas!M129="Chaquan B",114,IF(Atletas!M129="Emeiquan B",115,IF(Atletas!M129="Fanziquan B",116,IF(Atletas!M129="Huaquan B",117,IF(Atletas!M129="Hongquan B",118,IF(Atletas!M129="Paoquan B",119,IF(Atletas!M129="Piguaquan B",120,IF(Atletas!M129="Shaolinquan B",121,IF(Atletas!M129="Tanglangquan B",122,IF(Atletas!M129="Yingzhaoquan B",123,IF(Atletas!M129="Tongbeiquan B",124,IF(Atletas!M129="Wudangquan B",125,IF(Atletas!M129="Outros Estilos B",126,IF(Atletas!M129="Chaquan C",127,IF(Atletas!M129="Emeiquan C",128,IF(Atletas!M129="Fanziquan C",129,IF(Atletas!M129="Huaquan C",130,IF(Atletas!M129="Hongquan C",131,IF(Atletas!M129="Paoquan C",132,IF(Atletas!M129="Piguaquan C",133,IF(Atletas!M129="Shaolinquan C",134,IF(Atletas!M129="Tanglangquan C",135,IF(Atletas!M129="Yingzhaoquan C",136,IF(Atletas!M129="Tongbeiquan C",137,IF(Atletas!M129="Wudangquan C",138,IF(Atletas!M129="Outros Estilos C",139,0))))))))))))))))))))))))))))))))))))))))))</f>
        <v/>
      </c>
      <c r="BT138" s="50" t="str">
        <f>IF(Atletas!M129="","",IF(Atletas!X129&lt;&gt;"",10000,0)+(IF(Atletas!B129="Feminino",1000,IF(Atletas!B129="Masculino",2000,""))+(IF(Atletas!M129="Chaquan D",140,IF(Atletas!M129="Emeiquan D",141,IF(Atletas!M129="Fanziquan D",142,IF(Atletas!M129="Huaquan D",143,IF(Atletas!M129="Hongquan D",144,IF(Atletas!M129="Paoquan D",145,IF(Atletas!M129="Piguaquan D",146,IF(Atletas!M129="Shaolinquan D",147,IF(Atletas!M129="Tanglangquan D",148,IF(Atletas!M129="Yingzhaoquan D",149,IF(Atletas!M129="Tongbeiquan D",150,IF(Atletas!M129="Wudangquan D",151,IF(Atletas!M129="Outros Estilos D",152,IF(Atletas!M129="Chaquan E",153,IF(Atletas!M129="Emeiquan E",154,IF(Atletas!M129="Fanziquan E",155,IF(Atletas!M129="Huaquan E",156,IF(Atletas!M129="Hongquan E",157,IF(Atletas!M129="Paoquan E",158,IF(Atletas!M129="Piguaquan E",159,IF(Atletas!M129="Shaolinquan E",160,IF(Atletas!M129="Tanglangquan E",161,IF(Atletas!M129="Yingzhaoquan E",162,IF(Atletas!M129="Tongbeiquan E",163,IF(Atletas!M129="Wudangquan E",164,IF(Atletas!M129="Outros Estilos E",165,IF(Atletas!M129="Chaquan F",166,IF(Atletas!M129="Emeiquan F",167,IF(Atletas!M129="Fanziquan F",168,IF(Atletas!M129="Huaquan F",169,IF(Atletas!M129="Hongquan F",170,IF(Atletas!M129="Paoquan F",171,IF(Atletas!M129="Piguaquan F",172,IF(Atletas!M129="Shaolinquan F",173,IF(Atletas!M129="Tanglangquan F",174,IF(Atletas!M129="Yingzhaoquan F",175,IF(Atletas!M129="Tongbeiquan F",176,IF(Atletas!M129="Wudangquan F",177,IF(Atletas!M129="Outros Estilos F",178,0))))))))))))))))))))))))))))))))))))))))))</f>
        <v/>
      </c>
      <c r="BU138" s="50" t="str">
        <f>IF(Atletas!N129="","",IF(Atletas!X129&lt;&gt;"",10000,0)+(IF(Atletas!B129="Feminino",1000,IF(Atletas!B129="Masculino",2000,""))+(IF(Atletas!N129="Ditangquan A",201,IF(Atletas!N129="Houquan A",202,IF(Atletas!N129="Zuiquan A",203,IF(Atletas!N129="Ditangquan B",204,IF(Atletas!N129="Houquan B",205,IF(Atletas!N129="Zuiquan B",206,IF(Atletas!N129="Ditangquan C",207,IF(Atletas!N129="Houquan C",208,IF(Atletas!N129="Zuiquan C",209,IF(Atletas!N129="Ditangquan D",210,IF(Atletas!N129="Houquan D",211,IF(Atletas!N129="Zuiquan D",212,IF(Atletas!N129="Ditangquan E",213,IF(Atletas!N129="Houquan E",214,IF(Atletas!N129="Zuiquan E",215,IF(Atletas!N129="Ditangquan F",216,IF(Atletas!N129="Houquan F",217,IF(Atletas!N129="Zuiquan F",218,"")))))))))))))))))))))</f>
        <v/>
      </c>
      <c r="BV138" s="50" t="str">
        <f>IF(Atletas!O129="","",IF(Atletas!X129&lt;&gt;"",10000,0)+IF(Atletas!B129="Feminino",1000,IF(Atletas!B129="Masculino",2000,""))+IF(Atletas!O129="Yang A",301,IF(Atletas!O129="Chen A",302,IF(Atletas!O129="Sun A",303,IF(Atletas!O129="Wu A",304,IF(Atletas!O129="Wu-Hao A",305,IF(Atletas!O129="Outro Taijiquan A",306,IF(Atletas!O129="Yang B",307,IF(Atletas!O129="Chen B",308,IF(Atletas!O129="Sun B",309,IF(Atletas!O129="Wu B",310,IF(Atletas!O129="Wu-Hao B",311,IF(Atletas!O129="Outro Taijiquan B",312,IF(Atletas!O129="Yang C",313,IF(Atletas!O129="Chen C",314,IF(Atletas!O129="Sun C",315,IF(Atletas!O129="Wu C",316,IF(Atletas!O129="Wu-Hao C",317,IF(Atletas!O129="Outro Taijiquan C",318,IF(Atletas!O129="Yang D",319,IF(Atletas!O129="Chen D",320,IF(Atletas!O129="Sun D",321,IF(Atletas!O129="Wu D",322,IF(Atletas!O129="Wu-Hao D",323,IF(Atletas!O129="Outro Taijiquan D",324,IF(Atletas!O129="Yang E",325,IF(Atletas!O129="Chen E",326,IF(Atletas!O129="Sun E",327,IF(Atletas!O129="Wu E",328,IF(Atletas!O129="Wu-Hao E",329,IF(Atletas!O129="Outro Taijiquan E",330,IF(Atletas!O129="Yang F",331,IF(Atletas!O129="Chen F",332,IF(Atletas!O129="Sun F",333,IF(Atletas!O129="Wu F",334,IF(Atletas!O129="Wu-Hao F",335,IF(Atletas!O129="Outro Taijiquan F",336,"")))))))))))))))))))))))))))))))))))))</f>
        <v/>
      </c>
      <c r="BW138" s="50" t="str">
        <f>IF(Atletas!P129="","",IF(Atletas!X129&lt;&gt;"",10000,0)+IF(Atletas!B129="Feminino",1000,IF(Atletas!B129="Masculino",2000,""))+IF(OR(Atletas!P129="Yang 26 A",Atletas!P129="Yang 40 A"),401,IF(OR(Atletas!P129="Chen 25 A",Atletas!P129="Chen 36 A",Atletas!P129="Chen 56 A"),402,IF(Atletas!P129="Sun 73 A",403,IF(Atletas!P129="Wu 45 A",404,IF(Atletas!P129="Wu-Hao 46 A",405,IF(OR(Atletas!P129="Taijiquan 16 A",Atletas!P129="Taijiquan 24 A",Atletas!P129="Taijiquan 32 A",Atletas!P129="Taijiquan 42 A"),406,IF(OR(Atletas!P129="Yang 26 B",Atletas!P129="Yang 40 B"),407,IF(OR(Atletas!P129="Chen 25 B",Atletas!P129="Chen 36 B",Atletas!P129="Chen 56 B"),408,IF(Atletas!P129="Sun 73 B",409,IF(Atletas!P129="Wu 45 B",410,IF(Atletas!P129="Wu-Hao 46 B",411,IF(OR(Atletas!P129="Taijiquan 16 B",Atletas!P129="Taijiquan 24 B",Atletas!P129="Taijiquan 32 B",Atletas!P129="Taijiquan 42 B"),412,IF(OR(Atletas!P129="Yang 26 C",Atletas!P129="Yang 40 C"),413,IF(OR(Atletas!P129="Chen 25 C",Atletas!P129="Chen 36 C",Atletas!P129="Chen 56 C"),414,IF(Atletas!P129="Sun 73 C",415,IF(Atletas!P129="Wu 45 C",416,IF(Atletas!P129="Wu-Hao 46 C",417,IF(OR(Atletas!P129="Taijiquan 16 C",Atletas!P129="Taijiquan 24 C",Atletas!P129="Taijiquan 32 C",Atletas!P129="Taijiquan 42 C"),418,0)))))))))))))))))))</f>
        <v/>
      </c>
      <c r="BX138" s="50" t="str">
        <f>IF(Atletas!P129="","",IF(Atletas!X129&lt;&gt;"",10000,0)+IF(Atletas!B129="Feminino",1000,IF(Atletas!B129="Masculino",2000,""))+IF(OR(Atletas!P129="Yang 26 D",Atletas!P129="Yang 40 D"),419,IF(OR(Atletas!P129="Chen 25 D",Atletas!P129="Chen 36 D",Atletas!P129="Chen 56 D"),420,IF(Atletas!P129="Sun 73 D",421,IF(Atletas!P129="Wu 45 D",422,IF(Atletas!P129="Wu-Hao 46 D",423,IF(OR(Atletas!P129="Taijiquan 16 D",Atletas!P129="Taijiquan 24 D",Atletas!P129="Taijiquan 32 D",Atletas!P129="Taijiquan 42 D"),424,IF(OR(Atletas!P129="Yang 26 E",Atletas!P129="Yang 40 E"),425,IF(OR(Atletas!P129="Chen 25 E",Atletas!P129="Chen 36 E",Atletas!P129="Chen 56 E"),426,IF(Atletas!P129="Sun 73 E",427,IF(Atletas!P129="Wu 45 E",428,IF(Atletas!P129="Wu-Hao 46 E",429,IF(OR(Atletas!P129="Taijiquan 16 E",Atletas!P129="Taijiquan 24 E",Atletas!P129="Taijiquan 32 E",Atletas!P129="Taijiquan 42 E"),430,IF(OR(Atletas!P129="Yang 26 F",Atletas!P129="Yang 40 F"),431,IF(OR(Atletas!P129="Chen 25 F",Atletas!P129="Chen 36 F",Atletas!P129="Chen 56 F"),432,IF(Atletas!P129="Sun 73 F",433,IF(Atletas!P129="Wu 45 F",434,IF(Atletas!P129="Wu-Hao 46 F",435,IF(OR(Atletas!P129="Taijiquan 16 F",Atletas!P129="Taijiquan 24 F",Atletas!P129="Taijiquan 32 F",Atletas!P129="Taijiquan 42 F"),436,0)))))))))))))))))))</f>
        <v/>
      </c>
      <c r="BY138" s="50" t="str">
        <f>IF(Atletas!Q129="","",IF(Atletas!X129&lt;&gt;"",10000,0)+IF(Atletas!B129="Feminino",1000,IF(Atletas!B129="Masculino",2000,""))+IF(Atletas!Q129="Xingyiquan A",501,IF(Atletas!Q129="Baguazhang A",502,IF(Atletas!Q129="Outro Estilo Interno A",503,IF(Atletas!Q129="Xingyiquan B",504,IF(Atletas!Q129="Baguazhang B",505,IF(Atletas!Q129="Outro Estilo Interno B",506,IF(Atletas!Q129="Xingyiquan C",507,IF(Atletas!Q129="Baguazhang C",508,IF(Atletas!Q129="Outro Estilo Interno C",509,IF(Atletas!Q129="Xingyiquan D",510,IF(Atletas!Q129="Baguazhang D",511,IF(Atletas!Q129="Outro Estilo Interno D",512,IF(Atletas!Q129="Xingyiquan E",513,IF(Atletas!Q129="Baguazhang E",514,IF(Atletas!Q129="Outro Estilo Interno E",515,IF(Atletas!Q129="Xingyiquan F",516,IF(Atletas!Q129="Baguazhang F",517,IF(Atletas!Q129="Outro Estilo Interno F",518, "")))))))))))))))))))</f>
        <v/>
      </c>
      <c r="BZ138" s="50" t="str">
        <f>IF(Atletas!R129="","",IF(Atletas!X129&lt;&gt;"",10000,0)+IF(Atletas!B129="Feminino",1000,IF(Atletas!B129="Masculino",2000,""))+IF(Atletas!R129="Dao A",601,IF(Atletas!R129="Jian A",602,IF(Atletas!R129="Bishou A",603,IF(Atletas!R129="Shanzi A",604,IF(Atletas!R129="Outra Arma Curta A",605,IF(Atletas!R129="Dao B",606,IF(Atletas!R129="Jian B",607,IF(Atletas!R129="Bishou B",608,IF(Atletas!R129="Shanzi B",609,IF(Atletas!R129="Outra Arma Curta B",610,IF(Atletas!R129="Dao C",611,IF(Atletas!R129="Jian C",612,IF(Atletas!R129="Bishou C",613,IF(Atletas!R129="Shanzi C",614,IF(Atletas!R129="Outra Arma Curta C",615,IF(Atletas!R129="Dao D",616,IF(Atletas!R129="Jian D",617,IF(Atletas!R129="Bishou D",618,IF(Atletas!R129="Shanzi D",619,IF(Atletas!R129="Outra Arma Curta D",620,IF(Atletas!R129="Dao E",621,IF(Atletas!R129="Jian E",622,IF(Atletas!R129="Bishou E",623,IF(Atletas!R129="Shanzi E",624,IF(Atletas!R129="Outra Arma Curta E",625,IF(Atletas!R129="Dao F",626,IF(Atletas!R129="Jian F",627,IF(Atletas!R129="Bishou F",628,IF(Atletas!R129="Shanzi F",629,IF(Atletas!R129="Outra Arma Curta F",630, "")))))))))))))))))))))))))))))))</f>
        <v/>
      </c>
      <c r="CA138" s="50" t="str">
        <f>IF(Atletas!S129="","",IF(Atletas!X129&lt;&gt;"",10000,0)+IF(Atletas!B129="Feminino",1000,IF(Atletas!B129="Masculino",2000,""))+IF(Atletas!S129="Gun A",701,IF(Atletas!S129="Qiang A",702,IF(Atletas!S129="Pudao / Guandao A",703,IF(Atletas!S129="Outra Arma Longa A",704,IF(Atletas!S129="Gun B",705,IF(Atletas!S129="Qiang B",706,IF(Atletas!S129="Pudao / Guandao B",707,IF(Atletas!S129="Outra Arma Longa B",708,IF(Atletas!S129="Gun C",709,IF(Atletas!S129="Qiang C",710,IF(Atletas!S129="Pudao / Guandao C",711,IF(Atletas!S129="Outra Arma Longa C",712,IF(Atletas!S129="Gun D",713,IF(Atletas!S129="Qiang D",714,IF(Atletas!S129="Pudao / Guandao D",715,IF(Atletas!S129="Outra Arma Longa D",716,IF(Atletas!S129="Gun E",717,IF(Atletas!S129="Qiang E",718,IF(Atletas!S129="Pudao / Guandao E",719,IF(Atletas!S129="Outra Arma Longa E",720,IF(Atletas!S129="Gun F",721,IF(Atletas!S129="Qiang F",722,IF(Atletas!S129="Pudao / Guandao F",723,IF(Atletas!S129="Outra Arma Longa F",724,"")))))))))))))))))))))))))</f>
        <v/>
      </c>
      <c r="CB138" s="50" t="str">
        <f>IF(Atletas!T129="","",IF(Atletas!X129&lt;&gt;"",10000,0)+IF(Atletas!B129="Feminino",1000,IF(Atletas!B129="Masculino",2000,""))+IF(Atletas!T129="Outra Arma Dupla A",801,IF(Atletas!T129="Arma Maleável A",802,IF(Atletas!T129="Outra Arma Dupla B",803,IF(Atletas!T129="Arma Maleável B",804,IF(Atletas!T129="Outra Arma Dupla C",805,IF(Atletas!T129="Arma Maleável C",806,IF(Atletas!T129="Outra Arma Dupla D",807,IF(Atletas!T129="Arma Maleável D",808,IF(Atletas!T129="Outra Arma Dupla E",809,IF(Atletas!T129="Arma Maleável E",810,IF(Atletas!T129="Outra Arma Dupla F",811,IF(Atletas!T129="Arma Maleável F",812,IF(Atletas!T129="Shuangdao A",813,IF(Atletas!T129="Shuangdao B",814,IF(Atletas!T129="Shuangdao C",815,IF(Atletas!T129="Shuangdao D",816,IF(Atletas!T129="Shuangdao E",817,IF(Atletas!T129="Shuangdao F",818,"")))))))))))))))))))</f>
        <v/>
      </c>
      <c r="CC138" s="50" t="str">
        <f>IF(Atletas!U129="","",IF(Atletas!X129&lt;&gt;"",10000,0)+IF(Atletas!B129="Feminino",1000,IF(Atletas!B129="Masculino",2000,""))+IF(OR(Atletas!U129="Taijijian Yang A",Atletas!U129="Taijijian Yang Standard A"),901,IF(OR(Atletas!U129="Taijijian Chen A", Atletas!U129="Taijijian Chen Standard A"),902,IF(Atletas!U129="Taijijian Sun A",903,IF(Atletas!U129="Taijijian Wu A",904,IF(Atletas!U129="Taijijian Wu-Hao A",905,IF(OR(Atletas!U129="Taijijian 32 A",Atletas!U129="Taijijian 42 A"),906,IF(OR(Atletas!U129="Taijijian Yang B",Atletas!U129="Taijijian Yang Standard B"),907,IF(OR(Atletas!U129="Taijijian Chen B", Atletas!U129="Taijijian Chen Standard B"),908,IF(Atletas!U129="Taijijian Sun B",909,IF(Atletas!U129="Taijijian Wu B",910,IF(Atletas!U129="Taijijian Wu-Hao B",911,IF(OR(Atletas!U129="Taijijian 32 B",Atletas!U129="Taijijian 42 B"),912,IF(OR(Atletas!U129="Taijijian Yang C",Atletas!U129="Taijijian Yang Standard C"),913,IF(OR(Atletas!U129="Taijijian Chen C", Atletas!U129="Taijijian Chen Standard C"),914,IF(Atletas!U129="Taijijian Sun C",915,IF(Atletas!U129="Taijijian Wu C",916,IF(Atletas!U129="Taijijian Wu-Hao C",917,IF(OR(Atletas!U129="Taijijian 32 C",Atletas!U129="Taijijian 42 C"),918,IF(OR(Atletas!U129="Taijijian Yang D",Atletas!U129="Taijijian Yang Standard D"),919,IF(OR(Atletas!U129="Taijijian Chen D", Atletas!U129="Taijijian Chen Standard D"),920,IF(Atletas!U129="Taijijian Sun D",921,IF(Atletas!U129="Taijijian Wu D",922,IF(Atletas!U129="Taijijian Wu-Hao D",923,IF(OR(Atletas!U129="Taijijian 32 D",Atletas!U129="Taijijian 42 D"),924,IF(OR(Atletas!U129="Taijijian Yang E",Atletas!U129="Taijijian Yang Standard E"),925,IF(OR(Atletas!U129="Taijijian Chen E", Atletas!U129="Taijijian Chen Standard E"),926,IF(Atletas!U129="Taijijian Sun E",927,IF(Atletas!U129="Taijijian Wu E",928,IF(Atletas!U129="Taijijian Wu-Hao E",929,IF(OR(Atletas!U129="Taijijian 32 E",Atletas!U129="Taijijian 42 E"),930,IF(OR(Atletas!U129="Taijijian Yang F",Atletas!U129="Taijijian Yang Standard F"),931,IF(OR(Atletas!U129="Taijijian Chen F", Atletas!U129="Taijijian Chen Standard F"),932,IF(Atletas!U129="Taijijian Sun F",933,IF(Atletas!U129="Taijijian Wu F",934,IF(Atletas!U129="Taijijian Wu-Hao F",935,IF(OR(Atletas!U129="Taijijian 32 F",Atletas!U129="Taijijian 42 F"),936,"")))))))))))))))))))))))))))))))))))))</f>
        <v/>
      </c>
      <c r="CD138" s="50" t="str">
        <f>IF(Atletas!V129="","",IF(Atletas!X129&lt;&gt;"",10000,0)+IF(Atletas!B129="Feminino",1000,IF(Atletas!B129="Masculino",2000,""))+IF(Atletas!V129="Taijidao A",937,IF(Atletas!V129="TaijiShanzi A",938,IF(Atletas!V129="Taijiqiang A",939,IF(Atletas!V129="Bagua de Arma A",940,IF(Atletas!V129="Xingyi de Arma A",941,IF(Atletas!V129="Taijidao B",942,IF(Atletas!V129="TaijiShanzi B",943,IF(Atletas!V129="Taijiqiang B",944,IF(Atletas!V129="Bagua de Arma B",945,IF(Atletas!V129="Xingyi de Arma B",946,IF(Atletas!V129="Taijidao C",947,IF(Atletas!V129="TaijiShanzi C",948,IF(Atletas!V129="Taijiqiang C",949,IF(Atletas!V129="Bagua de Arma C",950,IF(Atletas!V129="Xingyi de Arma C",951,IF(Atletas!V129="Taijidao D",952,IF(Atletas!V129="TaijiShanzi D",953,IF(Atletas!V129="Taijiqiang D",954,IF(Atletas!V129="Bagua de Arma D",955,IF(Atletas!V129="Xingyi de Arma D",956,IF(Atletas!V129="Taijidao E",957,IF(Atletas!V129="TaijiShanzi E",958,IF(Atletas!V129="Taijiqiang E",959,IF(Atletas!V129="Bagua de Arma E",960,IF(Atletas!V129="Xingyi de Arma E",961,IF(Atletas!V129="Taijidao F",962,IF(Atletas!V129="TaijiShanzi F",963,IF(Atletas!V129="Taijiqiang F",964,IF(Atletas!V129="Bagua de Arma F",965,IF(Atletas!V129="Xingyi de Arma F",966,"")))))))))))))))))))))))))))))))</f>
        <v/>
      </c>
      <c r="CE138" s="66" t="str">
        <f>IF(CF138&lt;&gt;"","Zuiquan F","")</f>
        <v/>
      </c>
      <c r="CF138" s="66" t="str">
        <f>IF(COUNTIF(BR:CD,1218)&gt;0,COUNTIF(BR:CD,1218),"")</f>
        <v/>
      </c>
      <c r="CG138" s="66" t="str">
        <f>IF(CH138&lt;&gt;"","Zuiquan F","")</f>
        <v/>
      </c>
      <c r="CH138" s="66" t="str">
        <f>IF(COUNTIF(BR:CD,2218)&gt;0,COUNTIF(BR:CD,2218),"")</f>
        <v/>
      </c>
      <c r="CI138" s="66" t="str">
        <f>IF(CJ138&lt;&gt;"","Outro Taijiquan A","")</f>
        <v/>
      </c>
      <c r="CJ138" s="66" t="str">
        <f>IF(COUNTIF(BR:CD,11306)&gt;0,COUNTIF(BR:CD,11306),"")</f>
        <v/>
      </c>
      <c r="CK138" s="66" t="str">
        <f>IF(CL138&lt;&gt;"","Outro Taijiquan A","")</f>
        <v/>
      </c>
      <c r="CL138" s="66" t="str">
        <f>IF(COUNTIF(BR:CD,12306)&gt;0,COUNTIF(BR:CD,12306),"")</f>
        <v/>
      </c>
      <c r="CM138" s="50" t="str">
        <f xml:space="preserve"> IF(Atletas!W129="","",IF(Atletas!W129="Duilian de Mãos BC - Equipe 1",1,IF(Atletas!W129="Duilian de Mãos BC - Equipe 2",2,IF(Atletas!W129="Duilian de Armas BC - Equipe 1",3,IF(Atletas!W129="Duilian de Armas BC - Equipe 2",4,IF(Atletas!W129="Duilian de Mãos DE - Equipe 1",5,IF(Atletas!W129="Duilian de Mãos DE - Equipe 2",6,IF(Atletas!W129="Duilian de Armas DE - Equipe 1",7,IF(Atletas!W129="Duilian de Armas DE - Equipe 2",8,IF(Atletas!W129="Duilian de Tuishou - Equipe 1",9,IF(Atletas!W129="Duilian de Tuishou - Equipe 2",10,IF(Atletas!W129="Grupo Externo ABC - Equipe 1",11,IF(Atletas!W129="Grupo Externo ABC - Equipe 2",12,IF(Atletas!W129="Grupo Interno ABC - Equipe 1",13,IF(Atletas!W129="Grupo Interno ABC - Equipe 2",14,IF(Atletas!W129="Grupo Externo DEF - Equipe 1",15,IF(Atletas!W129="Grupo Externo DEF - Equipe 2",16,IF(Atletas!W129="Grupo Interno DEF - Equipe 1",17,IF(Atletas!W129="Grupo Interno DEF - Equipe 2",18,"")))))))))))))))))))</f>
        <v/>
      </c>
    </row>
    <row r="139" spans="2:91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 t="str">
        <f t="array" ref="Z139">IFERROR(INDEX(CE$7:CE$348,SMALL(IF(CE$7:CE$348&lt;&gt;"",ROW(CE$7:CE$348)-ROW(CE$7)+1),ROWS(CE$7:CE138))),"")</f>
        <v/>
      </c>
      <c r="AA139" s="3" t="str">
        <f t="array" ref="AA139">IFERROR(INDEX(CF$7:CF$348,SMALL(IF(CF$7:CF$348&lt;&gt;"",ROW(CF$7:CF$348)-ROW(CF$7)+1),ROWS(CF$7:CF138))),"")</f>
        <v/>
      </c>
      <c r="AB139" s="3" t="str">
        <f t="array" ref="AB139">IFERROR(INDEX(CG$7:CG$348,SMALL(IF(CG$7:CG$348&lt;&gt;"",ROW(CG$7:CG$348)-ROW(CG$7)+1),ROWS(CG$7:CG138))),"")</f>
        <v/>
      </c>
      <c r="AC139" s="3" t="str">
        <f t="array" ref="AC139">IFERROR(INDEX(CH$7:CH$348,SMALL(IF(CH$7:CH$348&lt;&gt;"",ROW(CH$7:CH$348)-ROW(CH$7)+1),ROWS(CH$7:CH138))),"")</f>
        <v/>
      </c>
      <c r="AD139" s="3" t="str">
        <f t="array" ref="AD139">IFERROR(INDEX(CI$7:CI$377,SMALL(IF(CI$7:CI$377&lt;&gt;"",ROW(CI$7:CI$377)-ROW(CI$7)+1),ROWS(CI$7:CI138))),"")</f>
        <v/>
      </c>
      <c r="AE139" s="3" t="str">
        <f t="array" ref="AE139">IFERROR(INDEX(CJ$7:CJ$378,SMALL(IF(CJ$7:CJ$378&lt;&gt;"",ROW(CJ$7:CJ$378)-ROW(CJ$7)+1),ROWS(CJ$7:CJ138))),"")</f>
        <v/>
      </c>
      <c r="AF139" s="3" t="str">
        <f t="array" ref="AF139">IFERROR(INDEX(CK$7:CK$378,SMALL(IF(CK$7:CK$378&lt;&gt;"",ROW(CK$7:CK$378)-ROW(CK$7)+1),ROWS(CK$7:CK138))),"")</f>
        <v/>
      </c>
      <c r="AG139" s="3" t="str">
        <f t="array" ref="AG139">IFERROR(INDEX(CL$7:CL$378,SMALL(IF(CL$7:CL$378&lt;&gt;"",ROW(CL$7:CL$378)-ROW(CL$7)+1),ROWS(CL$7:CL138))),"")</f>
        <v/>
      </c>
      <c r="AH139" s="3"/>
      <c r="AI139" s="3"/>
      <c r="AJ139" s="3"/>
      <c r="AK139" s="3"/>
      <c r="AL139" s="3"/>
      <c r="AM139" s="3"/>
      <c r="AN139" s="52" t="str">
        <f>IF(Atletas!D130="","",IF(Atletas!B130="Feminino",100,IF(Atletas!B130="Masculino",200,""))+(IF(Atletas!D130="Kids 30kg",1,IF(Atletas!D130="Kids 32kg",2, IF(Atletas!D130="Kids 34kg",3,IF(Atletas!D130="Kids 36kg",4,IF(Atletas!D130="Kids 39kg",5,IF(Atletas!D130="Kids 42kg",6,IF(Atletas!D130="Kids 45kg",7, IF(Atletas!D130="Infantil 39kg",8,IF(Atletas!D130="Infantil 42kg",9,IF(Atletas!D130="Infantil 45kg",10,IF(Atletas!D130="Infantil 48kg",11,IF(Atletas!D130="Infantil 52kg",12,IF(Atletas!D130="Infantil 56kg",13,IF(Atletas!D130="Infantil 60kg",14,IF(Atletas!D130="Juvenil 48kg",15,IF(Atletas!D130="Juvenil 52kg",16,IF(Atletas!D130="Juvenil 56kg",17,IF(Atletas!D130="Juvenil 60kg",18,IF(Atletas!D130="Juvenil 65kg",19,IF(Atletas!D130="Juvenil 70kg",20,IF(Atletas!D130="Juvenil 75kg",21,IF(Atletas!D130="Juvenil 80kg",22, IF(Atletas!D130="Juvenil 85kg",23,IF(Atletas!D130="Adulto 48kg",24,IF(Atletas!D130="Adulto 52kg",25,IF(Atletas!D130="Adulto 56kg",26,IF(Atletas!D130="Adulto 60kg",27,IF(Atletas!D130="Adulto 65kg",28,IF(Atletas!D130="Adulto 70kg",29,IF(Atletas!D130="Adulto 75kg",30,IF(Atletas!D130="Adulto 80kg",31,IF(Atletas!D130="Adulto 85kg",32,IF(Atletas!D130="Adulto 90kg",33,IF(Atletas!D130="Adulto 100kg",34, IF(Atletas!D130="Adulto +100kg",35,"")))))))))))))))))))))))))))))))))))))</f>
        <v/>
      </c>
      <c r="AS139" s="6" t="str">
        <f>IF(Atletas!E130="","",IF(Atletas!B130="Feminino",100,IF(Atletas!B130="Masculino",200,""))+(IF(Atletas!E130="Juvenil 44kg",1,IF(Atletas!E130="Juvenil 48kg",2,IF(Atletas!E130="Juvenil 52kg",3,IF(Atletas!E130="Juvenil 56kg",4,IF(Atletas!E130="Juvenil 60kg",5,IF(Atletas!E130="Juvenil 65kg",6,IF(Atletas!E130="Juvenil 70kg",7,IF(Atletas!E130="Juvenil 75kg",8,IF(Atletas!E130="Juvenil 82kg",9,IF(Atletas!E130="Juvenil 90kg",10,IF(Atletas!E130="Juvenil 100kg",11,IF(Atletas!E130="Adulto 48kg",12,IF(Atletas!E130="Adulto 52kg",13,IF(Atletas!E130="Adulto 56kg",14,IF(Atletas!E130="Adulto 60kg",15,IF(Atletas!E130="Adulto 65kg",16,IF(Atletas!E130="Adulto 70kg",17,IF(Atletas!E130="Adulto 75kg",18,IF(Atletas!E130="Adulto 82kg",19,IF(Atletas!E130="Adulto 90kg",20,IF(Atletas!E130="Adulto 100kg",21,IF(Atletas!E130="Adulto +100kg",22,""))))))))))))))))))))))))</f>
        <v/>
      </c>
      <c r="AX139" s="6" t="str">
        <f>IF(Atletas!F130="","",IF(Atletas!B130="Feminino",100,IF(Atletas!B130="Masculino",200,""))+(IF(Atletas!F130="Adulto 48kg",1,IF(Atletas!F130="Adulto 56kg",2,IF(Atletas!F130="Adulto 65kg",3,IF(Atletas!F130="Adulto 75kg",4,IF(Atletas!F130="Adulto +75kg",5,IF(Atletas!F130="Adulto 52kg",6,IF(Atletas!F130="Adulto 60kg",7,IF(Atletas!F130="Adulto 70kg",8,IF(Atletas!F130="Adulto 80kg",9,IF(Atletas!F130="Adulto 90kg",10,IF(Atletas!F130="Adulto +90kg",11,"")))))))))))))</f>
        <v/>
      </c>
      <c r="BC139" s="6" t="str">
        <f>IF(Atletas!G130="","",IF(Atletas!B130="Feminino",10,IF(Atletas!B130="Masculino",20,""))+(IF(Atletas!G130="Baduanjin A",1,IF(Atletas!G130="Baduanjin B",2))))</f>
        <v/>
      </c>
      <c r="BF139" s="52" t="str">
        <f>IF(Atletas!H130="","",IF(Atletas!B130="Feminino",100,IF(Atletas!B130="Masculino",200,""))+(IF(Atletas!H130="Changquan Mirim",1,IF(Atletas!H130="Nanquan Mirim",2,IF(Atletas!H130="Taijiquan Mirim",3,IF(Atletas!H130="Changquan Grupo C",4,IF(Atletas!H130="Nanquan Grupo C",5,IF(Atletas!H130="Taijiquan Grupo C",6,IF(Atletas!H130="Changquan Grupo B",7,IF(Atletas!H130="Nanquan Grupo B",8,IF(Atletas!H130="Taijiquan Grupo B",9,IF(Atletas!H130="Changquan Grupo A",10,IF(Atletas!H130="Nanquan Grupo A",11,IF(Atletas!H130="Taijiquan Grupo A",12,IF(Atletas!H130="Changquan Opcional",13,IF(Atletas!H130="Nanquan Opcional",14,IF(Atletas!H130="Taijiquan Opcional",15,IF(Atletas!H130="Changquan Adulto",16,IF(Atletas!H130="Nanquan Adulto",17,IF(Atletas!H130="Taijiquan Adulto",18,""))))))))))))))))))))</f>
        <v/>
      </c>
      <c r="BG139" s="52" t="str">
        <f>IF(Atletas!I130="","",IF(Atletas!B130="Feminino",100,IF(Atletas!B130="Masculino",200,""))+(IF(Atletas!I130="Daoshu Mirim",19,IF(Atletas!I130="Jianshu Mirim",20,IF(Atletas!I130="Nandao Mirim",21,IF(Atletas!I130="Taijijian Mirim",22,IF(Atletas!I130="Daoshu Grupo C",23,IF(Atletas!I130="Jianshu Grupo C",24,IF(Atletas!I130="Nandao Grupo C",25,IF(Atletas!I130="Taijijian Grupo C",26,IF(Atletas!I130="Daoshu Grupo B",27,IF(Atletas!I130="Jianshu Grupo B",28,IF(Atletas!I130="Nandao Grupo B",29,IF(Atletas!I130="Taijijian Grupo B",30,IF(Atletas!I130="Daoshu Grupo A",31,IF(Atletas!I130="Jianshu Grupo A",32,IF(Atletas!I130="Nandao Grupo A",33,IF(Atletas!I130="Taijijian Grupo A",34,IF(Atletas!I130="Daoshu Opcional",35,IF(Atletas!I130="Jianshu Opcional",36,IF(Atletas!I130="Nandao Opcional",37,IF(Atletas!I130="Taijijian Opcional",38,IF(Atletas!I130="Daoshu Adulto",39,IF(Atletas!I130="Jianshu Adulto",40,IF(Atletas!I130="Nandao Adulto",41,IF(Atletas!I130="Taijijian Adulto",42,""))))))))))))))))))))))))))</f>
        <v/>
      </c>
      <c r="BH139" s="52" t="str">
        <f>IF(Atletas!J130="","",IF(Atletas!B130="Feminino",100,IF(Atletas!B130="Masculino",200,""))+(IF(Atletas!J130="Gunshu Mirim",43,IF(Atletas!J130="Qiangshu Mirim",44,IF(Atletas!J130="Nangun Mirim",45,IF(Atletas!J130="Gunshu Grupo C",46,IF(Atletas!J130="Qiangshu Grupo C",47,IF(Atletas!J130="Nangun Grupo C",48,IF(Atletas!J130="Gunshu Grupo B",49,IF(Atletas!J130="Qiangshu Grupo B",50,IF(Atletas!J130="Nangun Grupo B",51,IF(Atletas!J130="Gunshu Grupo A",52,IF(Atletas!J130="Qiangshu Grupo A",53,IF(Atletas!J130="Nangun Grupo A",54,IF(Atletas!J130="Gunshu Opcional",55,IF(Atletas!J130="Qiangshu Opcional",56,IF(Atletas!J130="Nangun Opcional",57,IF(Atletas!J130="Gunshu Adulto",58,IF(Atletas!J130="Qiangshu Adulto",59,IF(Atletas!J130="Nangun Adulto",60,IF(Atletas!J130="Taijishan Grupo B",61,IF(Atletas!J130="Taijishan Grupo A",62,""))))))))))))))))))))))</f>
        <v/>
      </c>
      <c r="BM139" s="50" t="str">
        <f>IF(Atletas!K130="","",IF(Atletas!B130="Feminino",100,IF(Atletas!B130="Masculino",200,""))+(IF(Atletas!K130="Equipe 1 Grupo B",1,IF(Atletas!K130="Equipe 2 Grupo B",2,IF(Atletas!K130="Equipe 1 Grupo A",3,IF(Atletas!K130="Equipe 2 Grupo A",4,IF(Atletas!K130="Equipe 1 Adulto",5,IF(Atletas!K130="Equipe 2 Adulto",6,""))))))))</f>
        <v/>
      </c>
      <c r="BR139" s="50" t="str">
        <f>IF(Atletas!L130="","",IF(Atletas!X130&lt;&gt;"",10000,0)+(IF(Atletas!B130="Feminino",1000,IF(Atletas!B130="Masculino",2000,""))+IF(Atletas!L130="Choylayfut A",1,IF(Atletas!L130="Hunggar A",2,IF(Atletas!L130="Wuzuquan A",3,IF(Atletas!L130="Wingchun A",4,IF(Atletas!L130="Outra Mão de Sul A",5,IF(Atletas!L130="Choylayfut B",6,IF(Atletas!L130="Hunggar B",7,IF(Atletas!L130="Wuzuquan B",8,IF(Atletas!L130="Wingchun B",9,IF(Atletas!L130="Outra Mão de Sul B",10,IF(Atletas!L130="Choylayfut C",11,IF(Atletas!L130="Hunggar C",12,IF(Atletas!L130="Wuzuquan C",13,IF(Atletas!L130="Wingchun C",14,IF(Atletas!L130="Outra Mão de Sul C",15,IF(Atletas!L130="Choylayfut D",16,IF(Atletas!L130="Hunggar D",17,IF(Atletas!L130="Wuzuquan D",18,IF(Atletas!L130="Wingchun D",19,IF(Atletas!L130="Outra Mão de Sul D",20,IF(Atletas!L130="Choylayfut E",21,IF(Atletas!L130="Hunggar E",22,IF(Atletas!L130="Wuzuquan E",23,IF(Atletas!L130="Wingchun E",24,IF(Atletas!L130="Outra Mão de Sul E",25,IF(Atletas!L130="Choylayfut F",26,IF(Atletas!L130="Hunggar F",27,IF(Atletas!L130="Wuzuquan F",28,IF(Atletas!L130="Wingchun F",29,IF(Atletas!L130="Outra Mão de Sul F",30,IF(Atletas!L130="Dishuquan A",31,IF(Atletas!L130="Dishuquan B",32,IF(Atletas!L130="Dishuquan C",33,IF(Atletas!L130="Dishuquan D",34,IF(Atletas!L130="Dishuquan E",35,IF(Atletas!L130="Dishuquan F",36,""))))))))))))))))))))))))))))))))))))))</f>
        <v/>
      </c>
      <c r="BS139" s="50" t="str">
        <f>IF(Atletas!M130="","",IF(Atletas!X130&lt;&gt;"",10000,0)+(IF(Atletas!B130="Feminino",1000,IF(Atletas!B130="Masculino",2000,""))+(IF(Atletas!M130="Chaquan A",101,IF(Atletas!M130="Emeiquan A",102,IF(Atletas!M130="Fanziquan A",103,IF(Atletas!M130="Huaquan A",104,IF(Atletas!M130="Hongquan A",105,IF(Atletas!M130="Paoquan A",106,IF(Atletas!M130="Piguaquan A",107,IF(Atletas!M130="Shaolinquan A",108,IF(Atletas!M130="Tanglangquan A",109,IF(Atletas!M130="Yingzhaoquan A",110,IF(Atletas!M130="Tongbeiquan A",111,IF(Atletas!M130="Wudangquan A",112,IF(Atletas!M130="Outros Estilos A",113,IF(Atletas!M130="Chaquan B",114,IF(Atletas!M130="Emeiquan B",115,IF(Atletas!M130="Fanziquan B",116,IF(Atletas!M130="Huaquan B",117,IF(Atletas!M130="Hongquan B",118,IF(Atletas!M130="Paoquan B",119,IF(Atletas!M130="Piguaquan B",120,IF(Atletas!M130="Shaolinquan B",121,IF(Atletas!M130="Tanglangquan B",122,IF(Atletas!M130="Yingzhaoquan B",123,IF(Atletas!M130="Tongbeiquan B",124,IF(Atletas!M130="Wudangquan B",125,IF(Atletas!M130="Outros Estilos B",126,IF(Atletas!M130="Chaquan C",127,IF(Atletas!M130="Emeiquan C",128,IF(Atletas!M130="Fanziquan C",129,IF(Atletas!M130="Huaquan C",130,IF(Atletas!M130="Hongquan C",131,IF(Atletas!M130="Paoquan C",132,IF(Atletas!M130="Piguaquan C",133,IF(Atletas!M130="Shaolinquan C",134,IF(Atletas!M130="Tanglangquan C",135,IF(Atletas!M130="Yingzhaoquan C",136,IF(Atletas!M130="Tongbeiquan C",137,IF(Atletas!M130="Wudangquan C",138,IF(Atletas!M130="Outros Estilos C",139,0))))))))))))))))))))))))))))))))))))))))))</f>
        <v/>
      </c>
      <c r="BT139" s="50" t="str">
        <f>IF(Atletas!M130="","",IF(Atletas!X130&lt;&gt;"",10000,0)+(IF(Atletas!B130="Feminino",1000,IF(Atletas!B130="Masculino",2000,""))+(IF(Atletas!M130="Chaquan D",140,IF(Atletas!M130="Emeiquan D",141,IF(Atletas!M130="Fanziquan D",142,IF(Atletas!M130="Huaquan D",143,IF(Atletas!M130="Hongquan D",144,IF(Atletas!M130="Paoquan D",145,IF(Atletas!M130="Piguaquan D",146,IF(Atletas!M130="Shaolinquan D",147,IF(Atletas!M130="Tanglangquan D",148,IF(Atletas!M130="Yingzhaoquan D",149,IF(Atletas!M130="Tongbeiquan D",150,IF(Atletas!M130="Wudangquan D",151,IF(Atletas!M130="Outros Estilos D",152,IF(Atletas!M130="Chaquan E",153,IF(Atletas!M130="Emeiquan E",154,IF(Atletas!M130="Fanziquan E",155,IF(Atletas!M130="Huaquan E",156,IF(Atletas!M130="Hongquan E",157,IF(Atletas!M130="Paoquan E",158,IF(Atletas!M130="Piguaquan E",159,IF(Atletas!M130="Shaolinquan E",160,IF(Atletas!M130="Tanglangquan E",161,IF(Atletas!M130="Yingzhaoquan E",162,IF(Atletas!M130="Tongbeiquan E",163,IF(Atletas!M130="Wudangquan E",164,IF(Atletas!M130="Outros Estilos E",165,IF(Atletas!M130="Chaquan F",166,IF(Atletas!M130="Emeiquan F",167,IF(Atletas!M130="Fanziquan F",168,IF(Atletas!M130="Huaquan F",169,IF(Atletas!M130="Hongquan F",170,IF(Atletas!M130="Paoquan F",171,IF(Atletas!M130="Piguaquan F",172,IF(Atletas!M130="Shaolinquan F",173,IF(Atletas!M130="Tanglangquan F",174,IF(Atletas!M130="Yingzhaoquan F",175,IF(Atletas!M130="Tongbeiquan F",176,IF(Atletas!M130="Wudangquan F",177,IF(Atletas!M130="Outros Estilos F",178,0))))))))))))))))))))))))))))))))))))))))))</f>
        <v/>
      </c>
      <c r="BU139" s="50" t="str">
        <f>IF(Atletas!N130="","",IF(Atletas!X130&lt;&gt;"",10000,0)+(IF(Atletas!B130="Feminino",1000,IF(Atletas!B130="Masculino",2000,""))+(IF(Atletas!N130="Ditangquan A",201,IF(Atletas!N130="Houquan A",202,IF(Atletas!N130="Zuiquan A",203,IF(Atletas!N130="Ditangquan B",204,IF(Atletas!N130="Houquan B",205,IF(Atletas!N130="Zuiquan B",206,IF(Atletas!N130="Ditangquan C",207,IF(Atletas!N130="Houquan C",208,IF(Atletas!N130="Zuiquan C",209,IF(Atletas!N130="Ditangquan D",210,IF(Atletas!N130="Houquan D",211,IF(Atletas!N130="Zuiquan D",212,IF(Atletas!N130="Ditangquan E",213,IF(Atletas!N130="Houquan E",214,IF(Atletas!N130="Zuiquan E",215,IF(Atletas!N130="Ditangquan F",216,IF(Atletas!N130="Houquan F",217,IF(Atletas!N130="Zuiquan F",218,"")))))))))))))))))))))</f>
        <v/>
      </c>
      <c r="BV139" s="50" t="str">
        <f>IF(Atletas!O130="","",IF(Atletas!X130&lt;&gt;"",10000,0)+IF(Atletas!B130="Feminino",1000,IF(Atletas!B130="Masculino",2000,""))+IF(Atletas!O130="Yang A",301,IF(Atletas!O130="Chen A",302,IF(Atletas!O130="Sun A",303,IF(Atletas!O130="Wu A",304,IF(Atletas!O130="Wu-Hao A",305,IF(Atletas!O130="Outro Taijiquan A",306,IF(Atletas!O130="Yang B",307,IF(Atletas!O130="Chen B",308,IF(Atletas!O130="Sun B",309,IF(Atletas!O130="Wu B",310,IF(Atletas!O130="Wu-Hao B",311,IF(Atletas!O130="Outro Taijiquan B",312,IF(Atletas!O130="Yang C",313,IF(Atletas!O130="Chen C",314,IF(Atletas!O130="Sun C",315,IF(Atletas!O130="Wu C",316,IF(Atletas!O130="Wu-Hao C",317,IF(Atletas!O130="Outro Taijiquan C",318,IF(Atletas!O130="Yang D",319,IF(Atletas!O130="Chen D",320,IF(Atletas!O130="Sun D",321,IF(Atletas!O130="Wu D",322,IF(Atletas!O130="Wu-Hao D",323,IF(Atletas!O130="Outro Taijiquan D",324,IF(Atletas!O130="Yang E",325,IF(Atletas!O130="Chen E",326,IF(Atletas!O130="Sun E",327,IF(Atletas!O130="Wu E",328,IF(Atletas!O130="Wu-Hao E",329,IF(Atletas!O130="Outro Taijiquan E",330,IF(Atletas!O130="Yang F",331,IF(Atletas!O130="Chen F",332,IF(Atletas!O130="Sun F",333,IF(Atletas!O130="Wu F",334,IF(Atletas!O130="Wu-Hao F",335,IF(Atletas!O130="Outro Taijiquan F",336,"")))))))))))))))))))))))))))))))))))))</f>
        <v/>
      </c>
      <c r="BW139" s="50" t="str">
        <f>IF(Atletas!P130="","",IF(Atletas!X130&lt;&gt;"",10000,0)+IF(Atletas!B130="Feminino",1000,IF(Atletas!B130="Masculino",2000,""))+IF(OR(Atletas!P130="Yang 26 A",Atletas!P130="Yang 40 A"),401,IF(OR(Atletas!P130="Chen 25 A",Atletas!P130="Chen 36 A",Atletas!P130="Chen 56 A"),402,IF(Atletas!P130="Sun 73 A",403,IF(Atletas!P130="Wu 45 A",404,IF(Atletas!P130="Wu-Hao 46 A",405,IF(OR(Atletas!P130="Taijiquan 16 A",Atletas!P130="Taijiquan 24 A",Atletas!P130="Taijiquan 32 A",Atletas!P130="Taijiquan 42 A"),406,IF(OR(Atletas!P130="Yang 26 B",Atletas!P130="Yang 40 B"),407,IF(OR(Atletas!P130="Chen 25 B",Atletas!P130="Chen 36 B",Atletas!P130="Chen 56 B"),408,IF(Atletas!P130="Sun 73 B",409,IF(Atletas!P130="Wu 45 B",410,IF(Atletas!P130="Wu-Hao 46 B",411,IF(OR(Atletas!P130="Taijiquan 16 B",Atletas!P130="Taijiquan 24 B",Atletas!P130="Taijiquan 32 B",Atletas!P130="Taijiquan 42 B"),412,IF(OR(Atletas!P130="Yang 26 C",Atletas!P130="Yang 40 C"),413,IF(OR(Atletas!P130="Chen 25 C",Atletas!P130="Chen 36 C",Atletas!P130="Chen 56 C"),414,IF(Atletas!P130="Sun 73 C",415,IF(Atletas!P130="Wu 45 C",416,IF(Atletas!P130="Wu-Hao 46 C",417,IF(OR(Atletas!P130="Taijiquan 16 C",Atletas!P130="Taijiquan 24 C",Atletas!P130="Taijiquan 32 C",Atletas!P130="Taijiquan 42 C"),418,0)))))))))))))))))))</f>
        <v/>
      </c>
      <c r="BX139" s="50" t="str">
        <f>IF(Atletas!P130="","",IF(Atletas!X130&lt;&gt;"",10000,0)+IF(Atletas!B130="Feminino",1000,IF(Atletas!B130="Masculino",2000,""))+IF(OR(Atletas!P130="Yang 26 D",Atletas!P130="Yang 40 D"),419,IF(OR(Atletas!P130="Chen 25 D",Atletas!P130="Chen 36 D",Atletas!P130="Chen 56 D"),420,IF(Atletas!P130="Sun 73 D",421,IF(Atletas!P130="Wu 45 D",422,IF(Atletas!P130="Wu-Hao 46 D",423,IF(OR(Atletas!P130="Taijiquan 16 D",Atletas!P130="Taijiquan 24 D",Atletas!P130="Taijiquan 32 D",Atletas!P130="Taijiquan 42 D"),424,IF(OR(Atletas!P130="Yang 26 E",Atletas!P130="Yang 40 E"),425,IF(OR(Atletas!P130="Chen 25 E",Atletas!P130="Chen 36 E",Atletas!P130="Chen 56 E"),426,IF(Atletas!P130="Sun 73 E",427,IF(Atletas!P130="Wu 45 E",428,IF(Atletas!P130="Wu-Hao 46 E",429,IF(OR(Atletas!P130="Taijiquan 16 E",Atletas!P130="Taijiquan 24 E",Atletas!P130="Taijiquan 32 E",Atletas!P130="Taijiquan 42 E"),430,IF(OR(Atletas!P130="Yang 26 F",Atletas!P130="Yang 40 F"),431,IF(OR(Atletas!P130="Chen 25 F",Atletas!P130="Chen 36 F",Atletas!P130="Chen 56 F"),432,IF(Atletas!P130="Sun 73 F",433,IF(Atletas!P130="Wu 45 F",434,IF(Atletas!P130="Wu-Hao 46 F",435,IF(OR(Atletas!P130="Taijiquan 16 F",Atletas!P130="Taijiquan 24 F",Atletas!P130="Taijiquan 32 F",Atletas!P130="Taijiquan 42 F"),436,0)))))))))))))))))))</f>
        <v/>
      </c>
      <c r="BY139" s="50" t="str">
        <f>IF(Atletas!Q130="","",IF(Atletas!X130&lt;&gt;"",10000,0)+IF(Atletas!B130="Feminino",1000,IF(Atletas!B130="Masculino",2000,""))+IF(Atletas!Q130="Xingyiquan A",501,IF(Atletas!Q130="Baguazhang A",502,IF(Atletas!Q130="Outro Estilo Interno A",503,IF(Atletas!Q130="Xingyiquan B",504,IF(Atletas!Q130="Baguazhang B",505,IF(Atletas!Q130="Outro Estilo Interno B",506,IF(Atletas!Q130="Xingyiquan C",507,IF(Atletas!Q130="Baguazhang C",508,IF(Atletas!Q130="Outro Estilo Interno C",509,IF(Atletas!Q130="Xingyiquan D",510,IF(Atletas!Q130="Baguazhang D",511,IF(Atletas!Q130="Outro Estilo Interno D",512,IF(Atletas!Q130="Xingyiquan E",513,IF(Atletas!Q130="Baguazhang E",514,IF(Atletas!Q130="Outro Estilo Interno E",515,IF(Atletas!Q130="Xingyiquan F",516,IF(Atletas!Q130="Baguazhang F",517,IF(Atletas!Q130="Outro Estilo Interno F",518, "")))))))))))))))))))</f>
        <v/>
      </c>
      <c r="BZ139" s="50" t="str">
        <f>IF(Atletas!R130="","",IF(Atletas!X130&lt;&gt;"",10000,0)+IF(Atletas!B130="Feminino",1000,IF(Atletas!B130="Masculino",2000,""))+IF(Atletas!R130="Dao A",601,IF(Atletas!R130="Jian A",602,IF(Atletas!R130="Bishou A",603,IF(Atletas!R130="Shanzi A",604,IF(Atletas!R130="Outra Arma Curta A",605,IF(Atletas!R130="Dao B",606,IF(Atletas!R130="Jian B",607,IF(Atletas!R130="Bishou B",608,IF(Atletas!R130="Shanzi B",609,IF(Atletas!R130="Outra Arma Curta B",610,IF(Atletas!R130="Dao C",611,IF(Atletas!R130="Jian C",612,IF(Atletas!R130="Bishou C",613,IF(Atletas!R130="Shanzi C",614,IF(Atletas!R130="Outra Arma Curta C",615,IF(Atletas!R130="Dao D",616,IF(Atletas!R130="Jian D",617,IF(Atletas!R130="Bishou D",618,IF(Atletas!R130="Shanzi D",619,IF(Atletas!R130="Outra Arma Curta D",620,IF(Atletas!R130="Dao E",621,IF(Atletas!R130="Jian E",622,IF(Atletas!R130="Bishou E",623,IF(Atletas!R130="Shanzi E",624,IF(Atletas!R130="Outra Arma Curta E",625,IF(Atletas!R130="Dao F",626,IF(Atletas!R130="Jian F",627,IF(Atletas!R130="Bishou F",628,IF(Atletas!R130="Shanzi F",629,IF(Atletas!R130="Outra Arma Curta F",630, "")))))))))))))))))))))))))))))))</f>
        <v/>
      </c>
      <c r="CA139" s="50" t="str">
        <f>IF(Atletas!S130="","",IF(Atletas!X130&lt;&gt;"",10000,0)+IF(Atletas!B130="Feminino",1000,IF(Atletas!B130="Masculino",2000,""))+IF(Atletas!S130="Gun A",701,IF(Atletas!S130="Qiang A",702,IF(Atletas!S130="Pudao / Guandao A",703,IF(Atletas!S130="Outra Arma Longa A",704,IF(Atletas!S130="Gun B",705,IF(Atletas!S130="Qiang B",706,IF(Atletas!S130="Pudao / Guandao B",707,IF(Atletas!S130="Outra Arma Longa B",708,IF(Atletas!S130="Gun C",709,IF(Atletas!S130="Qiang C",710,IF(Atletas!S130="Pudao / Guandao C",711,IF(Atletas!S130="Outra Arma Longa C",712,IF(Atletas!S130="Gun D",713,IF(Atletas!S130="Qiang D",714,IF(Atletas!S130="Pudao / Guandao D",715,IF(Atletas!S130="Outra Arma Longa D",716,IF(Atletas!S130="Gun E",717,IF(Atletas!S130="Qiang E",718,IF(Atletas!S130="Pudao / Guandao E",719,IF(Atletas!S130="Outra Arma Longa E",720,IF(Atletas!S130="Gun F",721,IF(Atletas!S130="Qiang F",722,IF(Atletas!S130="Pudao / Guandao F",723,IF(Atletas!S130="Outra Arma Longa F",724,"")))))))))))))))))))))))))</f>
        <v/>
      </c>
      <c r="CB139" s="50" t="str">
        <f>IF(Atletas!T130="","",IF(Atletas!X130&lt;&gt;"",10000,0)+IF(Atletas!B130="Feminino",1000,IF(Atletas!B130="Masculino",2000,""))+IF(Atletas!T130="Outra Arma Dupla A",801,IF(Atletas!T130="Arma Maleável A",802,IF(Atletas!T130="Outra Arma Dupla B",803,IF(Atletas!T130="Arma Maleável B",804,IF(Atletas!T130="Outra Arma Dupla C",805,IF(Atletas!T130="Arma Maleável C",806,IF(Atletas!T130="Outra Arma Dupla D",807,IF(Atletas!T130="Arma Maleável D",808,IF(Atletas!T130="Outra Arma Dupla E",809,IF(Atletas!T130="Arma Maleável E",810,IF(Atletas!T130="Outra Arma Dupla F",811,IF(Atletas!T130="Arma Maleável F",812,IF(Atletas!T130="Shuangdao A",813,IF(Atletas!T130="Shuangdao B",814,IF(Atletas!T130="Shuangdao C",815,IF(Atletas!T130="Shuangdao D",816,IF(Atletas!T130="Shuangdao E",817,IF(Atletas!T130="Shuangdao F",818,"")))))))))))))))))))</f>
        <v/>
      </c>
      <c r="CC139" s="50" t="str">
        <f>IF(Atletas!U130="","",IF(Atletas!X130&lt;&gt;"",10000,0)+IF(Atletas!B130="Feminino",1000,IF(Atletas!B130="Masculino",2000,""))+IF(OR(Atletas!U130="Taijijian Yang A",Atletas!U130="Taijijian Yang Standard A"),901,IF(OR(Atletas!U130="Taijijian Chen A", Atletas!U130="Taijijian Chen Standard A"),902,IF(Atletas!U130="Taijijian Sun A",903,IF(Atletas!U130="Taijijian Wu A",904,IF(Atletas!U130="Taijijian Wu-Hao A",905,IF(OR(Atletas!U130="Taijijian 32 A",Atletas!U130="Taijijian 42 A"),906,IF(OR(Atletas!U130="Taijijian Yang B",Atletas!U130="Taijijian Yang Standard B"),907,IF(OR(Atletas!U130="Taijijian Chen B", Atletas!U130="Taijijian Chen Standard B"),908,IF(Atletas!U130="Taijijian Sun B",909,IF(Atletas!U130="Taijijian Wu B",910,IF(Atletas!U130="Taijijian Wu-Hao B",911,IF(OR(Atletas!U130="Taijijian 32 B",Atletas!U130="Taijijian 42 B"),912,IF(OR(Atletas!U130="Taijijian Yang C",Atletas!U130="Taijijian Yang Standard C"),913,IF(OR(Atletas!U130="Taijijian Chen C", Atletas!U130="Taijijian Chen Standard C"),914,IF(Atletas!U130="Taijijian Sun C",915,IF(Atletas!U130="Taijijian Wu C",916,IF(Atletas!U130="Taijijian Wu-Hao C",917,IF(OR(Atletas!U130="Taijijian 32 C",Atletas!U130="Taijijian 42 C"),918,IF(OR(Atletas!U130="Taijijian Yang D",Atletas!U130="Taijijian Yang Standard D"),919,IF(OR(Atletas!U130="Taijijian Chen D", Atletas!U130="Taijijian Chen Standard D"),920,IF(Atletas!U130="Taijijian Sun D",921,IF(Atletas!U130="Taijijian Wu D",922,IF(Atletas!U130="Taijijian Wu-Hao D",923,IF(OR(Atletas!U130="Taijijian 32 D",Atletas!U130="Taijijian 42 D"),924,IF(OR(Atletas!U130="Taijijian Yang E",Atletas!U130="Taijijian Yang Standard E"),925,IF(OR(Atletas!U130="Taijijian Chen E", Atletas!U130="Taijijian Chen Standard E"),926,IF(Atletas!U130="Taijijian Sun E",927,IF(Atletas!U130="Taijijian Wu E",928,IF(Atletas!U130="Taijijian Wu-Hao E",929,IF(OR(Atletas!U130="Taijijian 32 E",Atletas!U130="Taijijian 42 E"),930,IF(OR(Atletas!U130="Taijijian Yang F",Atletas!U130="Taijijian Yang Standard F"),931,IF(OR(Atletas!U130="Taijijian Chen F", Atletas!U130="Taijijian Chen Standard F"),932,IF(Atletas!U130="Taijijian Sun F",933,IF(Atletas!U130="Taijijian Wu F",934,IF(Atletas!U130="Taijijian Wu-Hao F",935,IF(OR(Atletas!U130="Taijijian 32 F",Atletas!U130="Taijijian 42 F"),936,"")))))))))))))))))))))))))))))))))))))</f>
        <v/>
      </c>
      <c r="CD139" s="50" t="str">
        <f>IF(Atletas!V130="","",IF(Atletas!X130&lt;&gt;"",10000,0)+IF(Atletas!B130="Feminino",1000,IF(Atletas!B130="Masculino",2000,""))+IF(Atletas!V130="Taijidao A",937,IF(Atletas!V130="TaijiShanzi A",938,IF(Atletas!V130="Taijiqiang A",939,IF(Atletas!V130="Bagua de Arma A",940,IF(Atletas!V130="Xingyi de Arma A",941,IF(Atletas!V130="Taijidao B",942,IF(Atletas!V130="TaijiShanzi B",943,IF(Atletas!V130="Taijiqiang B",944,IF(Atletas!V130="Bagua de Arma B",945,IF(Atletas!V130="Xingyi de Arma B",946,IF(Atletas!V130="Taijidao C",947,IF(Atletas!V130="TaijiShanzi C",948,IF(Atletas!V130="Taijiqiang C",949,IF(Atletas!V130="Bagua de Arma C",950,IF(Atletas!V130="Xingyi de Arma C",951,IF(Atletas!V130="Taijidao D",952,IF(Atletas!V130="TaijiShanzi D",953,IF(Atletas!V130="Taijiqiang D",954,IF(Atletas!V130="Bagua de Arma D",955,IF(Atletas!V130="Xingyi de Arma D",956,IF(Atletas!V130="Taijidao E",957,IF(Atletas!V130="TaijiShanzi E",958,IF(Atletas!V130="Taijiqiang E",959,IF(Atletas!V130="Bagua de Arma E",960,IF(Atletas!V130="Xingyi de Arma E",961,IF(Atletas!V130="Taijidao F",962,IF(Atletas!V130="TaijiShanzi F",963,IF(Atletas!V130="Taijiqiang F",964,IF(Atletas!V130="Bagua de Arma F",965,IF(Atletas!V130="Xingyi de Arma F",966,"")))))))))))))))))))))))))))))))</f>
        <v/>
      </c>
      <c r="CE139" s="66" t="str">
        <f>IF(CF139&lt;&gt;"","TJQ Trad. Yang A","")</f>
        <v/>
      </c>
      <c r="CF139" s="66" t="str">
        <f>IF(COUNTIF(BR:CD,1301)&gt;0,COUNTIF(BR:CD,1301),"")</f>
        <v/>
      </c>
      <c r="CG139" s="66" t="str">
        <f>IF(CH139&lt;&gt;"","TJQ Trad. Yang A","")</f>
        <v/>
      </c>
      <c r="CH139" s="66" t="str">
        <f>IF(COUNTIF(BR:CD,2301)&gt;0,COUNTIF(BR:CD,2301),"")</f>
        <v/>
      </c>
      <c r="CI139" s="66" t="str">
        <f>IF(CJ139&lt;&gt;"","TJQ Trad. Yang B","")</f>
        <v/>
      </c>
      <c r="CJ139" s="66" t="str">
        <f>IF(COUNTIF(BR:CD,11307)&gt;0,COUNTIF(BR:CD,11307),"")</f>
        <v/>
      </c>
      <c r="CK139" s="66" t="str">
        <f>IF(CL139&lt;&gt;"","TJQ Trad. Yang B","")</f>
        <v/>
      </c>
      <c r="CL139" s="66" t="str">
        <f>IF(COUNTIF(BR:CD,12307)&gt;0,COUNTIF(BR:CD,12307),"")</f>
        <v/>
      </c>
      <c r="CM139" s="50" t="str">
        <f xml:space="preserve"> IF(Atletas!W130="","",IF(Atletas!W130="Duilian de Mãos BC - Equipe 1",1,IF(Atletas!W130="Duilian de Mãos BC - Equipe 2",2,IF(Atletas!W130="Duilian de Armas BC - Equipe 1",3,IF(Atletas!W130="Duilian de Armas BC - Equipe 2",4,IF(Atletas!W130="Duilian de Mãos DE - Equipe 1",5,IF(Atletas!W130="Duilian de Mãos DE - Equipe 2",6,IF(Atletas!W130="Duilian de Armas DE - Equipe 1",7,IF(Atletas!W130="Duilian de Armas DE - Equipe 2",8,IF(Atletas!W130="Duilian de Tuishou - Equipe 1",9,IF(Atletas!W130="Duilian de Tuishou - Equipe 2",10,IF(Atletas!W130="Grupo Externo ABC - Equipe 1",11,IF(Atletas!W130="Grupo Externo ABC - Equipe 2",12,IF(Atletas!W130="Grupo Interno ABC - Equipe 1",13,IF(Atletas!W130="Grupo Interno ABC - Equipe 2",14,IF(Atletas!W130="Grupo Externo DEF - Equipe 1",15,IF(Atletas!W130="Grupo Externo DEF - Equipe 2",16,IF(Atletas!W130="Grupo Interno DEF - Equipe 1",17,IF(Atletas!W130="Grupo Interno DEF - Equipe 2",18,"")))))))))))))))))))</f>
        <v/>
      </c>
    </row>
    <row r="140" spans="2:9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 t="str">
        <f t="array" ref="Z140">IFERROR(INDEX(CE$7:CE$348,SMALL(IF(CE$7:CE$348&lt;&gt;"",ROW(CE$7:CE$348)-ROW(CE$7)+1),ROWS(CE$7:CE139))),"")</f>
        <v/>
      </c>
      <c r="AA140" s="3" t="str">
        <f t="array" ref="AA140">IFERROR(INDEX(CF$7:CF$348,SMALL(IF(CF$7:CF$348&lt;&gt;"",ROW(CF$7:CF$348)-ROW(CF$7)+1),ROWS(CF$7:CF139))),"")</f>
        <v/>
      </c>
      <c r="AB140" s="3" t="str">
        <f t="array" ref="AB140">IFERROR(INDEX(CG$7:CG$348,SMALL(IF(CG$7:CG$348&lt;&gt;"",ROW(CG$7:CG$348)-ROW(CG$7)+1),ROWS(CG$7:CG139))),"")</f>
        <v/>
      </c>
      <c r="AC140" s="3" t="str">
        <f t="array" ref="AC140">IFERROR(INDEX(CH$7:CH$348,SMALL(IF(CH$7:CH$348&lt;&gt;"",ROW(CH$7:CH$348)-ROW(CH$7)+1),ROWS(CH$7:CH139))),"")</f>
        <v/>
      </c>
      <c r="AD140" s="3" t="str">
        <f t="array" ref="AD140">IFERROR(INDEX(CI$7:CI$377,SMALL(IF(CI$7:CI$377&lt;&gt;"",ROW(CI$7:CI$377)-ROW(CI$7)+1),ROWS(CI$7:CI139))),"")</f>
        <v/>
      </c>
      <c r="AE140" s="3" t="str">
        <f t="array" ref="AE140">IFERROR(INDEX(CJ$7:CJ$378,SMALL(IF(CJ$7:CJ$378&lt;&gt;"",ROW(CJ$7:CJ$378)-ROW(CJ$7)+1),ROWS(CJ$7:CJ139))),"")</f>
        <v/>
      </c>
      <c r="AF140" s="3" t="str">
        <f t="array" ref="AF140">IFERROR(INDEX(CK$7:CK$378,SMALL(IF(CK$7:CK$378&lt;&gt;"",ROW(CK$7:CK$378)-ROW(CK$7)+1),ROWS(CK$7:CK139))),"")</f>
        <v/>
      </c>
      <c r="AG140" s="3" t="str">
        <f t="array" ref="AG140">IFERROR(INDEX(CL$7:CL$378,SMALL(IF(CL$7:CL$378&lt;&gt;"",ROW(CL$7:CL$378)-ROW(CL$7)+1),ROWS(CL$7:CL139))),"")</f>
        <v/>
      </c>
      <c r="AH140" s="3"/>
      <c r="AI140" s="3"/>
      <c r="AJ140" s="3"/>
      <c r="AK140" s="3"/>
      <c r="AL140" s="3"/>
      <c r="AM140" s="3"/>
      <c r="AN140" s="52" t="str">
        <f>IF(Atletas!D131="","",IF(Atletas!B131="Feminino",100,IF(Atletas!B131="Masculino",200,""))+(IF(Atletas!D131="Kids 30kg",1,IF(Atletas!D131="Kids 32kg",2, IF(Atletas!D131="Kids 34kg",3,IF(Atletas!D131="Kids 36kg",4,IF(Atletas!D131="Kids 39kg",5,IF(Atletas!D131="Kids 42kg",6,IF(Atletas!D131="Kids 45kg",7, IF(Atletas!D131="Infantil 39kg",8,IF(Atletas!D131="Infantil 42kg",9,IF(Atletas!D131="Infantil 45kg",10,IF(Atletas!D131="Infantil 48kg",11,IF(Atletas!D131="Infantil 52kg",12,IF(Atletas!D131="Infantil 56kg",13,IF(Atletas!D131="Infantil 60kg",14,IF(Atletas!D131="Juvenil 48kg",15,IF(Atletas!D131="Juvenil 52kg",16,IF(Atletas!D131="Juvenil 56kg",17,IF(Atletas!D131="Juvenil 60kg",18,IF(Atletas!D131="Juvenil 65kg",19,IF(Atletas!D131="Juvenil 70kg",20,IF(Atletas!D131="Juvenil 75kg",21,IF(Atletas!D131="Juvenil 80kg",22, IF(Atletas!D131="Juvenil 85kg",23,IF(Atletas!D131="Adulto 48kg",24,IF(Atletas!D131="Adulto 52kg",25,IF(Atletas!D131="Adulto 56kg",26,IF(Atletas!D131="Adulto 60kg",27,IF(Atletas!D131="Adulto 65kg",28,IF(Atletas!D131="Adulto 70kg",29,IF(Atletas!D131="Adulto 75kg",30,IF(Atletas!D131="Adulto 80kg",31,IF(Atletas!D131="Adulto 85kg",32,IF(Atletas!D131="Adulto 90kg",33,IF(Atletas!D131="Adulto 100kg",34, IF(Atletas!D131="Adulto +100kg",35,"")))))))))))))))))))))))))))))))))))))</f>
        <v/>
      </c>
      <c r="AS140" s="6" t="str">
        <f>IF(Atletas!E131="","",IF(Atletas!B131="Feminino",100,IF(Atletas!B131="Masculino",200,""))+(IF(Atletas!E131="Juvenil 44kg",1,IF(Atletas!E131="Juvenil 48kg",2,IF(Atletas!E131="Juvenil 52kg",3,IF(Atletas!E131="Juvenil 56kg",4,IF(Atletas!E131="Juvenil 60kg",5,IF(Atletas!E131="Juvenil 65kg",6,IF(Atletas!E131="Juvenil 70kg",7,IF(Atletas!E131="Juvenil 75kg",8,IF(Atletas!E131="Juvenil 82kg",9,IF(Atletas!E131="Juvenil 90kg",10,IF(Atletas!E131="Juvenil 100kg",11,IF(Atletas!E131="Adulto 48kg",12,IF(Atletas!E131="Adulto 52kg",13,IF(Atletas!E131="Adulto 56kg",14,IF(Atletas!E131="Adulto 60kg",15,IF(Atletas!E131="Adulto 65kg",16,IF(Atletas!E131="Adulto 70kg",17,IF(Atletas!E131="Adulto 75kg",18,IF(Atletas!E131="Adulto 82kg",19,IF(Atletas!E131="Adulto 90kg",20,IF(Atletas!E131="Adulto 100kg",21,IF(Atletas!E131="Adulto +100kg",22,""))))))))))))))))))))))))</f>
        <v/>
      </c>
      <c r="AX140" s="6" t="str">
        <f>IF(Atletas!F131="","",IF(Atletas!B131="Feminino",100,IF(Atletas!B131="Masculino",200,""))+(IF(Atletas!F131="Adulto 48kg",1,IF(Atletas!F131="Adulto 56kg",2,IF(Atletas!F131="Adulto 65kg",3,IF(Atletas!F131="Adulto 75kg",4,IF(Atletas!F131="Adulto +75kg",5,IF(Atletas!F131="Adulto 52kg",6,IF(Atletas!F131="Adulto 60kg",7,IF(Atletas!F131="Adulto 70kg",8,IF(Atletas!F131="Adulto 80kg",9,IF(Atletas!F131="Adulto 90kg",10,IF(Atletas!F131="Adulto +90kg",11,"")))))))))))))</f>
        <v/>
      </c>
      <c r="BC140" s="6" t="str">
        <f>IF(Atletas!G131="","",IF(Atletas!B131="Feminino",10,IF(Atletas!B131="Masculino",20,""))+(IF(Atletas!G131="Baduanjin A",1,IF(Atletas!G131="Baduanjin B",2))))</f>
        <v/>
      </c>
      <c r="BF140" s="52" t="str">
        <f>IF(Atletas!H131="","",IF(Atletas!B131="Feminino",100,IF(Atletas!B131="Masculino",200,""))+(IF(Atletas!H131="Changquan Mirim",1,IF(Atletas!H131="Nanquan Mirim",2,IF(Atletas!H131="Taijiquan Mirim",3,IF(Atletas!H131="Changquan Grupo C",4,IF(Atletas!H131="Nanquan Grupo C",5,IF(Atletas!H131="Taijiquan Grupo C",6,IF(Atletas!H131="Changquan Grupo B",7,IF(Atletas!H131="Nanquan Grupo B",8,IF(Atletas!H131="Taijiquan Grupo B",9,IF(Atletas!H131="Changquan Grupo A",10,IF(Atletas!H131="Nanquan Grupo A",11,IF(Atletas!H131="Taijiquan Grupo A",12,IF(Atletas!H131="Changquan Opcional",13,IF(Atletas!H131="Nanquan Opcional",14,IF(Atletas!H131="Taijiquan Opcional",15,IF(Atletas!H131="Changquan Adulto",16,IF(Atletas!H131="Nanquan Adulto",17,IF(Atletas!H131="Taijiquan Adulto",18,""))))))))))))))))))))</f>
        <v/>
      </c>
      <c r="BG140" s="52" t="str">
        <f>IF(Atletas!I131="","",IF(Atletas!B131="Feminino",100,IF(Atletas!B131="Masculino",200,""))+(IF(Atletas!I131="Daoshu Mirim",19,IF(Atletas!I131="Jianshu Mirim",20,IF(Atletas!I131="Nandao Mirim",21,IF(Atletas!I131="Taijijian Mirim",22,IF(Atletas!I131="Daoshu Grupo C",23,IF(Atletas!I131="Jianshu Grupo C",24,IF(Atletas!I131="Nandao Grupo C",25,IF(Atletas!I131="Taijijian Grupo C",26,IF(Atletas!I131="Daoshu Grupo B",27,IF(Atletas!I131="Jianshu Grupo B",28,IF(Atletas!I131="Nandao Grupo B",29,IF(Atletas!I131="Taijijian Grupo B",30,IF(Atletas!I131="Daoshu Grupo A",31,IF(Atletas!I131="Jianshu Grupo A",32,IF(Atletas!I131="Nandao Grupo A",33,IF(Atletas!I131="Taijijian Grupo A",34,IF(Atletas!I131="Daoshu Opcional",35,IF(Atletas!I131="Jianshu Opcional",36,IF(Atletas!I131="Nandao Opcional",37,IF(Atletas!I131="Taijijian Opcional",38,IF(Atletas!I131="Daoshu Adulto",39,IF(Atletas!I131="Jianshu Adulto",40,IF(Atletas!I131="Nandao Adulto",41,IF(Atletas!I131="Taijijian Adulto",42,""))))))))))))))))))))))))))</f>
        <v/>
      </c>
      <c r="BH140" s="52" t="str">
        <f>IF(Atletas!J131="","",IF(Atletas!B131="Feminino",100,IF(Atletas!B131="Masculino",200,""))+(IF(Atletas!J131="Gunshu Mirim",43,IF(Atletas!J131="Qiangshu Mirim",44,IF(Atletas!J131="Nangun Mirim",45,IF(Atletas!J131="Gunshu Grupo C",46,IF(Atletas!J131="Qiangshu Grupo C",47,IF(Atletas!J131="Nangun Grupo C",48,IF(Atletas!J131="Gunshu Grupo B",49,IF(Atletas!J131="Qiangshu Grupo B",50,IF(Atletas!J131="Nangun Grupo B",51,IF(Atletas!J131="Gunshu Grupo A",52,IF(Atletas!J131="Qiangshu Grupo A",53,IF(Atletas!J131="Nangun Grupo A",54,IF(Atletas!J131="Gunshu Opcional",55,IF(Atletas!J131="Qiangshu Opcional",56,IF(Atletas!J131="Nangun Opcional",57,IF(Atletas!J131="Gunshu Adulto",58,IF(Atletas!J131="Qiangshu Adulto",59,IF(Atletas!J131="Nangun Adulto",60,IF(Atletas!J131="Taijishan Grupo B",61,IF(Atletas!J131="Taijishan Grupo A",62,""))))))))))))))))))))))</f>
        <v/>
      </c>
      <c r="BM140" s="50" t="str">
        <f>IF(Atletas!K131="","",IF(Atletas!B131="Feminino",100,IF(Atletas!B131="Masculino",200,""))+(IF(Atletas!K131="Equipe 1 Grupo B",1,IF(Atletas!K131="Equipe 2 Grupo B",2,IF(Atletas!K131="Equipe 1 Grupo A",3,IF(Atletas!K131="Equipe 2 Grupo A",4,IF(Atletas!K131="Equipe 1 Adulto",5,IF(Atletas!K131="Equipe 2 Adulto",6,""))))))))</f>
        <v/>
      </c>
      <c r="BR140" s="50" t="str">
        <f>IF(Atletas!L131="","",IF(Atletas!X131&lt;&gt;"",10000,0)+(IF(Atletas!B131="Feminino",1000,IF(Atletas!B131="Masculino",2000,""))+IF(Atletas!L131="Choylayfut A",1,IF(Atletas!L131="Hunggar A",2,IF(Atletas!L131="Wuzuquan A",3,IF(Atletas!L131="Wingchun A",4,IF(Atletas!L131="Outra Mão de Sul A",5,IF(Atletas!L131="Choylayfut B",6,IF(Atletas!L131="Hunggar B",7,IF(Atletas!L131="Wuzuquan B",8,IF(Atletas!L131="Wingchun B",9,IF(Atletas!L131="Outra Mão de Sul B",10,IF(Atletas!L131="Choylayfut C",11,IF(Atletas!L131="Hunggar C",12,IF(Atletas!L131="Wuzuquan C",13,IF(Atletas!L131="Wingchun C",14,IF(Atletas!L131="Outra Mão de Sul C",15,IF(Atletas!L131="Choylayfut D",16,IF(Atletas!L131="Hunggar D",17,IF(Atletas!L131="Wuzuquan D",18,IF(Atletas!L131="Wingchun D",19,IF(Atletas!L131="Outra Mão de Sul D",20,IF(Atletas!L131="Choylayfut E",21,IF(Atletas!L131="Hunggar E",22,IF(Atletas!L131="Wuzuquan E",23,IF(Atletas!L131="Wingchun E",24,IF(Atletas!L131="Outra Mão de Sul E",25,IF(Atletas!L131="Choylayfut F",26,IF(Atletas!L131="Hunggar F",27,IF(Atletas!L131="Wuzuquan F",28,IF(Atletas!L131="Wingchun F",29,IF(Atletas!L131="Outra Mão de Sul F",30,IF(Atletas!L131="Dishuquan A",31,IF(Atletas!L131="Dishuquan B",32,IF(Atletas!L131="Dishuquan C",33,IF(Atletas!L131="Dishuquan D",34,IF(Atletas!L131="Dishuquan E",35,IF(Atletas!L131="Dishuquan F",36,""))))))))))))))))))))))))))))))))))))))</f>
        <v/>
      </c>
      <c r="BS140" s="50" t="str">
        <f>IF(Atletas!M131="","",IF(Atletas!X131&lt;&gt;"",10000,0)+(IF(Atletas!B131="Feminino",1000,IF(Atletas!B131="Masculino",2000,""))+(IF(Atletas!M131="Chaquan A",101,IF(Atletas!M131="Emeiquan A",102,IF(Atletas!M131="Fanziquan A",103,IF(Atletas!M131="Huaquan A",104,IF(Atletas!M131="Hongquan A",105,IF(Atletas!M131="Paoquan A",106,IF(Atletas!M131="Piguaquan A",107,IF(Atletas!M131="Shaolinquan A",108,IF(Atletas!M131="Tanglangquan A",109,IF(Atletas!M131="Yingzhaoquan A",110,IF(Atletas!M131="Tongbeiquan A",111,IF(Atletas!M131="Wudangquan A",112,IF(Atletas!M131="Outros Estilos A",113,IF(Atletas!M131="Chaquan B",114,IF(Atletas!M131="Emeiquan B",115,IF(Atletas!M131="Fanziquan B",116,IF(Atletas!M131="Huaquan B",117,IF(Atletas!M131="Hongquan B",118,IF(Atletas!M131="Paoquan B",119,IF(Atletas!M131="Piguaquan B",120,IF(Atletas!M131="Shaolinquan B",121,IF(Atletas!M131="Tanglangquan B",122,IF(Atletas!M131="Yingzhaoquan B",123,IF(Atletas!M131="Tongbeiquan B",124,IF(Atletas!M131="Wudangquan B",125,IF(Atletas!M131="Outros Estilos B",126,IF(Atletas!M131="Chaquan C",127,IF(Atletas!M131="Emeiquan C",128,IF(Atletas!M131="Fanziquan C",129,IF(Atletas!M131="Huaquan C",130,IF(Atletas!M131="Hongquan C",131,IF(Atletas!M131="Paoquan C",132,IF(Atletas!M131="Piguaquan C",133,IF(Atletas!M131="Shaolinquan C",134,IF(Atletas!M131="Tanglangquan C",135,IF(Atletas!M131="Yingzhaoquan C",136,IF(Atletas!M131="Tongbeiquan C",137,IF(Atletas!M131="Wudangquan C",138,IF(Atletas!M131="Outros Estilos C",139,0))))))))))))))))))))))))))))))))))))))))))</f>
        <v/>
      </c>
      <c r="BT140" s="50" t="str">
        <f>IF(Atletas!M131="","",IF(Atletas!X131&lt;&gt;"",10000,0)+(IF(Atletas!B131="Feminino",1000,IF(Atletas!B131="Masculino",2000,""))+(IF(Atletas!M131="Chaquan D",140,IF(Atletas!M131="Emeiquan D",141,IF(Atletas!M131="Fanziquan D",142,IF(Atletas!M131="Huaquan D",143,IF(Atletas!M131="Hongquan D",144,IF(Atletas!M131="Paoquan D",145,IF(Atletas!M131="Piguaquan D",146,IF(Atletas!M131="Shaolinquan D",147,IF(Atletas!M131="Tanglangquan D",148,IF(Atletas!M131="Yingzhaoquan D",149,IF(Atletas!M131="Tongbeiquan D",150,IF(Atletas!M131="Wudangquan D",151,IF(Atletas!M131="Outros Estilos D",152,IF(Atletas!M131="Chaquan E",153,IF(Atletas!M131="Emeiquan E",154,IF(Atletas!M131="Fanziquan E",155,IF(Atletas!M131="Huaquan E",156,IF(Atletas!M131="Hongquan E",157,IF(Atletas!M131="Paoquan E",158,IF(Atletas!M131="Piguaquan E",159,IF(Atletas!M131="Shaolinquan E",160,IF(Atletas!M131="Tanglangquan E",161,IF(Atletas!M131="Yingzhaoquan E",162,IF(Atletas!M131="Tongbeiquan E",163,IF(Atletas!M131="Wudangquan E",164,IF(Atletas!M131="Outros Estilos E",165,IF(Atletas!M131="Chaquan F",166,IF(Atletas!M131="Emeiquan F",167,IF(Atletas!M131="Fanziquan F",168,IF(Atletas!M131="Huaquan F",169,IF(Atletas!M131="Hongquan F",170,IF(Atletas!M131="Paoquan F",171,IF(Atletas!M131="Piguaquan F",172,IF(Atletas!M131="Shaolinquan F",173,IF(Atletas!M131="Tanglangquan F",174,IF(Atletas!M131="Yingzhaoquan F",175,IF(Atletas!M131="Tongbeiquan F",176,IF(Atletas!M131="Wudangquan F",177,IF(Atletas!M131="Outros Estilos F",178,0))))))))))))))))))))))))))))))))))))))))))</f>
        <v/>
      </c>
      <c r="BU140" s="50" t="str">
        <f>IF(Atletas!N131="","",IF(Atletas!X131&lt;&gt;"",10000,0)+(IF(Atletas!B131="Feminino",1000,IF(Atletas!B131="Masculino",2000,""))+(IF(Atletas!N131="Ditangquan A",201,IF(Atletas!N131="Houquan A",202,IF(Atletas!N131="Zuiquan A",203,IF(Atletas!N131="Ditangquan B",204,IF(Atletas!N131="Houquan B",205,IF(Atletas!N131="Zuiquan B",206,IF(Atletas!N131="Ditangquan C",207,IF(Atletas!N131="Houquan C",208,IF(Atletas!N131="Zuiquan C",209,IF(Atletas!N131="Ditangquan D",210,IF(Atletas!N131="Houquan D",211,IF(Atletas!N131="Zuiquan D",212,IF(Atletas!N131="Ditangquan E",213,IF(Atletas!N131="Houquan E",214,IF(Atletas!N131="Zuiquan E",215,IF(Atletas!N131="Ditangquan F",216,IF(Atletas!N131="Houquan F",217,IF(Atletas!N131="Zuiquan F",218,"")))))))))))))))))))))</f>
        <v/>
      </c>
      <c r="BV140" s="50" t="str">
        <f>IF(Atletas!O131="","",IF(Atletas!X131&lt;&gt;"",10000,0)+IF(Atletas!B131="Feminino",1000,IF(Atletas!B131="Masculino",2000,""))+IF(Atletas!O131="Yang A",301,IF(Atletas!O131="Chen A",302,IF(Atletas!O131="Sun A",303,IF(Atletas!O131="Wu A",304,IF(Atletas!O131="Wu-Hao A",305,IF(Atletas!O131="Outro Taijiquan A",306,IF(Atletas!O131="Yang B",307,IF(Atletas!O131="Chen B",308,IF(Atletas!O131="Sun B",309,IF(Atletas!O131="Wu B",310,IF(Atletas!O131="Wu-Hao B",311,IF(Atletas!O131="Outro Taijiquan B",312,IF(Atletas!O131="Yang C",313,IF(Atletas!O131="Chen C",314,IF(Atletas!O131="Sun C",315,IF(Atletas!O131="Wu C",316,IF(Atletas!O131="Wu-Hao C",317,IF(Atletas!O131="Outro Taijiquan C",318,IF(Atletas!O131="Yang D",319,IF(Atletas!O131="Chen D",320,IF(Atletas!O131="Sun D",321,IF(Atletas!O131="Wu D",322,IF(Atletas!O131="Wu-Hao D",323,IF(Atletas!O131="Outro Taijiquan D",324,IF(Atletas!O131="Yang E",325,IF(Atletas!O131="Chen E",326,IF(Atletas!O131="Sun E",327,IF(Atletas!O131="Wu E",328,IF(Atletas!O131="Wu-Hao E",329,IF(Atletas!O131="Outro Taijiquan E",330,IF(Atletas!O131="Yang F",331,IF(Atletas!O131="Chen F",332,IF(Atletas!O131="Sun F",333,IF(Atletas!O131="Wu F",334,IF(Atletas!O131="Wu-Hao F",335,IF(Atletas!O131="Outro Taijiquan F",336,"")))))))))))))))))))))))))))))))))))))</f>
        <v/>
      </c>
      <c r="BW140" s="50" t="str">
        <f>IF(Atletas!P131="","",IF(Atletas!X131&lt;&gt;"",10000,0)+IF(Atletas!B131="Feminino",1000,IF(Atletas!B131="Masculino",2000,""))+IF(OR(Atletas!P131="Yang 26 A",Atletas!P131="Yang 40 A"),401,IF(OR(Atletas!P131="Chen 25 A",Atletas!P131="Chen 36 A",Atletas!P131="Chen 56 A"),402,IF(Atletas!P131="Sun 73 A",403,IF(Atletas!P131="Wu 45 A",404,IF(Atletas!P131="Wu-Hao 46 A",405,IF(OR(Atletas!P131="Taijiquan 16 A",Atletas!P131="Taijiquan 24 A",Atletas!P131="Taijiquan 32 A",Atletas!P131="Taijiquan 42 A"),406,IF(OR(Atletas!P131="Yang 26 B",Atletas!P131="Yang 40 B"),407,IF(OR(Atletas!P131="Chen 25 B",Atletas!P131="Chen 36 B",Atletas!P131="Chen 56 B"),408,IF(Atletas!P131="Sun 73 B",409,IF(Atletas!P131="Wu 45 B",410,IF(Atletas!P131="Wu-Hao 46 B",411,IF(OR(Atletas!P131="Taijiquan 16 B",Atletas!P131="Taijiquan 24 B",Atletas!P131="Taijiquan 32 B",Atletas!P131="Taijiquan 42 B"),412,IF(OR(Atletas!P131="Yang 26 C",Atletas!P131="Yang 40 C"),413,IF(OR(Atletas!P131="Chen 25 C",Atletas!P131="Chen 36 C",Atletas!P131="Chen 56 C"),414,IF(Atletas!P131="Sun 73 C",415,IF(Atletas!P131="Wu 45 C",416,IF(Atletas!P131="Wu-Hao 46 C",417,IF(OR(Atletas!P131="Taijiquan 16 C",Atletas!P131="Taijiquan 24 C",Atletas!P131="Taijiquan 32 C",Atletas!P131="Taijiquan 42 C"),418,0)))))))))))))))))))</f>
        <v/>
      </c>
      <c r="BX140" s="50" t="str">
        <f>IF(Atletas!P131="","",IF(Atletas!X131&lt;&gt;"",10000,0)+IF(Atletas!B131="Feminino",1000,IF(Atletas!B131="Masculino",2000,""))+IF(OR(Atletas!P131="Yang 26 D",Atletas!P131="Yang 40 D"),419,IF(OR(Atletas!P131="Chen 25 D",Atletas!P131="Chen 36 D",Atletas!P131="Chen 56 D"),420,IF(Atletas!P131="Sun 73 D",421,IF(Atletas!P131="Wu 45 D",422,IF(Atletas!P131="Wu-Hao 46 D",423,IF(OR(Atletas!P131="Taijiquan 16 D",Atletas!P131="Taijiquan 24 D",Atletas!P131="Taijiquan 32 D",Atletas!P131="Taijiquan 42 D"),424,IF(OR(Atletas!P131="Yang 26 E",Atletas!P131="Yang 40 E"),425,IF(OR(Atletas!P131="Chen 25 E",Atletas!P131="Chen 36 E",Atletas!P131="Chen 56 E"),426,IF(Atletas!P131="Sun 73 E",427,IF(Atletas!P131="Wu 45 E",428,IF(Atletas!P131="Wu-Hao 46 E",429,IF(OR(Atletas!P131="Taijiquan 16 E",Atletas!P131="Taijiquan 24 E",Atletas!P131="Taijiquan 32 E",Atletas!P131="Taijiquan 42 E"),430,IF(OR(Atletas!P131="Yang 26 F",Atletas!P131="Yang 40 F"),431,IF(OR(Atletas!P131="Chen 25 F",Atletas!P131="Chen 36 F",Atletas!P131="Chen 56 F"),432,IF(Atletas!P131="Sun 73 F",433,IF(Atletas!P131="Wu 45 F",434,IF(Atletas!P131="Wu-Hao 46 F",435,IF(OR(Atletas!P131="Taijiquan 16 F",Atletas!P131="Taijiquan 24 F",Atletas!P131="Taijiquan 32 F",Atletas!P131="Taijiquan 42 F"),436,0)))))))))))))))))))</f>
        <v/>
      </c>
      <c r="BY140" s="50" t="str">
        <f>IF(Atletas!Q131="","",IF(Atletas!X131&lt;&gt;"",10000,0)+IF(Atletas!B131="Feminino",1000,IF(Atletas!B131="Masculino",2000,""))+IF(Atletas!Q131="Xingyiquan A",501,IF(Atletas!Q131="Baguazhang A",502,IF(Atletas!Q131="Outro Estilo Interno A",503,IF(Atletas!Q131="Xingyiquan B",504,IF(Atletas!Q131="Baguazhang B",505,IF(Atletas!Q131="Outro Estilo Interno B",506,IF(Atletas!Q131="Xingyiquan C",507,IF(Atletas!Q131="Baguazhang C",508,IF(Atletas!Q131="Outro Estilo Interno C",509,IF(Atletas!Q131="Xingyiquan D",510,IF(Atletas!Q131="Baguazhang D",511,IF(Atletas!Q131="Outro Estilo Interno D",512,IF(Atletas!Q131="Xingyiquan E",513,IF(Atletas!Q131="Baguazhang E",514,IF(Atletas!Q131="Outro Estilo Interno E",515,IF(Atletas!Q131="Xingyiquan F",516,IF(Atletas!Q131="Baguazhang F",517,IF(Atletas!Q131="Outro Estilo Interno F",518, "")))))))))))))))))))</f>
        <v/>
      </c>
      <c r="BZ140" s="50" t="str">
        <f>IF(Atletas!R131="","",IF(Atletas!X131&lt;&gt;"",10000,0)+IF(Atletas!B131="Feminino",1000,IF(Atletas!B131="Masculino",2000,""))+IF(Atletas!R131="Dao A",601,IF(Atletas!R131="Jian A",602,IF(Atletas!R131="Bishou A",603,IF(Atletas!R131="Shanzi A",604,IF(Atletas!R131="Outra Arma Curta A",605,IF(Atletas!R131="Dao B",606,IF(Atletas!R131="Jian B",607,IF(Atletas!R131="Bishou B",608,IF(Atletas!R131="Shanzi B",609,IF(Atletas!R131="Outra Arma Curta B",610,IF(Atletas!R131="Dao C",611,IF(Atletas!R131="Jian C",612,IF(Atletas!R131="Bishou C",613,IF(Atletas!R131="Shanzi C",614,IF(Atletas!R131="Outra Arma Curta C",615,IF(Atletas!R131="Dao D",616,IF(Atletas!R131="Jian D",617,IF(Atletas!R131="Bishou D",618,IF(Atletas!R131="Shanzi D",619,IF(Atletas!R131="Outra Arma Curta D",620,IF(Atletas!R131="Dao E",621,IF(Atletas!R131="Jian E",622,IF(Atletas!R131="Bishou E",623,IF(Atletas!R131="Shanzi E",624,IF(Atletas!R131="Outra Arma Curta E",625,IF(Atletas!R131="Dao F",626,IF(Atletas!R131="Jian F",627,IF(Atletas!R131="Bishou F",628,IF(Atletas!R131="Shanzi F",629,IF(Atletas!R131="Outra Arma Curta F",630, "")))))))))))))))))))))))))))))))</f>
        <v/>
      </c>
      <c r="CA140" s="50" t="str">
        <f>IF(Atletas!S131="","",IF(Atletas!X131&lt;&gt;"",10000,0)+IF(Atletas!B131="Feminino",1000,IF(Atletas!B131="Masculino",2000,""))+IF(Atletas!S131="Gun A",701,IF(Atletas!S131="Qiang A",702,IF(Atletas!S131="Pudao / Guandao A",703,IF(Atletas!S131="Outra Arma Longa A",704,IF(Atletas!S131="Gun B",705,IF(Atletas!S131="Qiang B",706,IF(Atletas!S131="Pudao / Guandao B",707,IF(Atletas!S131="Outra Arma Longa B",708,IF(Atletas!S131="Gun C",709,IF(Atletas!S131="Qiang C",710,IF(Atletas!S131="Pudao / Guandao C",711,IF(Atletas!S131="Outra Arma Longa C",712,IF(Atletas!S131="Gun D",713,IF(Atletas!S131="Qiang D",714,IF(Atletas!S131="Pudao / Guandao D",715,IF(Atletas!S131="Outra Arma Longa D",716,IF(Atletas!S131="Gun E",717,IF(Atletas!S131="Qiang E",718,IF(Atletas!S131="Pudao / Guandao E",719,IF(Atletas!S131="Outra Arma Longa E",720,IF(Atletas!S131="Gun F",721,IF(Atletas!S131="Qiang F",722,IF(Atletas!S131="Pudao / Guandao F",723,IF(Atletas!S131="Outra Arma Longa F",724,"")))))))))))))))))))))))))</f>
        <v/>
      </c>
      <c r="CB140" s="50" t="str">
        <f>IF(Atletas!T131="","",IF(Atletas!X131&lt;&gt;"",10000,0)+IF(Atletas!B131="Feminino",1000,IF(Atletas!B131="Masculino",2000,""))+IF(Atletas!T131="Outra Arma Dupla A",801,IF(Atletas!T131="Arma Maleável A",802,IF(Atletas!T131="Outra Arma Dupla B",803,IF(Atletas!T131="Arma Maleável B",804,IF(Atletas!T131="Outra Arma Dupla C",805,IF(Atletas!T131="Arma Maleável C",806,IF(Atletas!T131="Outra Arma Dupla D",807,IF(Atletas!T131="Arma Maleável D",808,IF(Atletas!T131="Outra Arma Dupla E",809,IF(Atletas!T131="Arma Maleável E",810,IF(Atletas!T131="Outra Arma Dupla F",811,IF(Atletas!T131="Arma Maleável F",812,IF(Atletas!T131="Shuangdao A",813,IF(Atletas!T131="Shuangdao B",814,IF(Atletas!T131="Shuangdao C",815,IF(Atletas!T131="Shuangdao D",816,IF(Atletas!T131="Shuangdao E",817,IF(Atletas!T131="Shuangdao F",818,"")))))))))))))))))))</f>
        <v/>
      </c>
      <c r="CC140" s="50" t="str">
        <f>IF(Atletas!U131="","",IF(Atletas!X131&lt;&gt;"",10000,0)+IF(Atletas!B131="Feminino",1000,IF(Atletas!B131="Masculino",2000,""))+IF(OR(Atletas!U131="Taijijian Yang A",Atletas!U131="Taijijian Yang Standard A"),901,IF(OR(Atletas!U131="Taijijian Chen A", Atletas!U131="Taijijian Chen Standard A"),902,IF(Atletas!U131="Taijijian Sun A",903,IF(Atletas!U131="Taijijian Wu A",904,IF(Atletas!U131="Taijijian Wu-Hao A",905,IF(OR(Atletas!U131="Taijijian 32 A",Atletas!U131="Taijijian 42 A"),906,IF(OR(Atletas!U131="Taijijian Yang B",Atletas!U131="Taijijian Yang Standard B"),907,IF(OR(Atletas!U131="Taijijian Chen B", Atletas!U131="Taijijian Chen Standard B"),908,IF(Atletas!U131="Taijijian Sun B",909,IF(Atletas!U131="Taijijian Wu B",910,IF(Atletas!U131="Taijijian Wu-Hao B",911,IF(OR(Atletas!U131="Taijijian 32 B",Atletas!U131="Taijijian 42 B"),912,IF(OR(Atletas!U131="Taijijian Yang C",Atletas!U131="Taijijian Yang Standard C"),913,IF(OR(Atletas!U131="Taijijian Chen C", Atletas!U131="Taijijian Chen Standard C"),914,IF(Atletas!U131="Taijijian Sun C",915,IF(Atletas!U131="Taijijian Wu C",916,IF(Atletas!U131="Taijijian Wu-Hao C",917,IF(OR(Atletas!U131="Taijijian 32 C",Atletas!U131="Taijijian 42 C"),918,IF(OR(Atletas!U131="Taijijian Yang D",Atletas!U131="Taijijian Yang Standard D"),919,IF(OR(Atletas!U131="Taijijian Chen D", Atletas!U131="Taijijian Chen Standard D"),920,IF(Atletas!U131="Taijijian Sun D",921,IF(Atletas!U131="Taijijian Wu D",922,IF(Atletas!U131="Taijijian Wu-Hao D",923,IF(OR(Atletas!U131="Taijijian 32 D",Atletas!U131="Taijijian 42 D"),924,IF(OR(Atletas!U131="Taijijian Yang E",Atletas!U131="Taijijian Yang Standard E"),925,IF(OR(Atletas!U131="Taijijian Chen E", Atletas!U131="Taijijian Chen Standard E"),926,IF(Atletas!U131="Taijijian Sun E",927,IF(Atletas!U131="Taijijian Wu E",928,IF(Atletas!U131="Taijijian Wu-Hao E",929,IF(OR(Atletas!U131="Taijijian 32 E",Atletas!U131="Taijijian 42 E"),930,IF(OR(Atletas!U131="Taijijian Yang F",Atletas!U131="Taijijian Yang Standard F"),931,IF(OR(Atletas!U131="Taijijian Chen F", Atletas!U131="Taijijian Chen Standard F"),932,IF(Atletas!U131="Taijijian Sun F",933,IF(Atletas!U131="Taijijian Wu F",934,IF(Atletas!U131="Taijijian Wu-Hao F",935,IF(OR(Atletas!U131="Taijijian 32 F",Atletas!U131="Taijijian 42 F"),936,"")))))))))))))))))))))))))))))))))))))</f>
        <v/>
      </c>
      <c r="CD140" s="50" t="str">
        <f>IF(Atletas!V131="","",IF(Atletas!X131&lt;&gt;"",10000,0)+IF(Atletas!B131="Feminino",1000,IF(Atletas!B131="Masculino",2000,""))+IF(Atletas!V131="Taijidao A",937,IF(Atletas!V131="TaijiShanzi A",938,IF(Atletas!V131="Taijiqiang A",939,IF(Atletas!V131="Bagua de Arma A",940,IF(Atletas!V131="Xingyi de Arma A",941,IF(Atletas!V131="Taijidao B",942,IF(Atletas!V131="TaijiShanzi B",943,IF(Atletas!V131="Taijiqiang B",944,IF(Atletas!V131="Bagua de Arma B",945,IF(Atletas!V131="Xingyi de Arma B",946,IF(Atletas!V131="Taijidao C",947,IF(Atletas!V131="TaijiShanzi C",948,IF(Atletas!V131="Taijiqiang C",949,IF(Atletas!V131="Bagua de Arma C",950,IF(Atletas!V131="Xingyi de Arma C",951,IF(Atletas!V131="Taijidao D",952,IF(Atletas!V131="TaijiShanzi D",953,IF(Atletas!V131="Taijiqiang D",954,IF(Atletas!V131="Bagua de Arma D",955,IF(Atletas!V131="Xingyi de Arma D",956,IF(Atletas!V131="Taijidao E",957,IF(Atletas!V131="TaijiShanzi E",958,IF(Atletas!V131="Taijiqiang E",959,IF(Atletas!V131="Bagua de Arma E",960,IF(Atletas!V131="Xingyi de Arma E",961,IF(Atletas!V131="Taijidao F",962,IF(Atletas!V131="TaijiShanzi F",963,IF(Atletas!V131="Taijiqiang F",964,IF(Atletas!V131="Bagua de Arma F",965,IF(Atletas!V131="Xingyi de Arma F",966,"")))))))))))))))))))))))))))))))</f>
        <v/>
      </c>
      <c r="CE140" s="66" t="str">
        <f>IF(CF140&lt;&gt;"","TJQ Trad. Chen A","")</f>
        <v/>
      </c>
      <c r="CF140" s="66" t="str">
        <f>IF(COUNTIF(BR:CD,1302)&gt;0,COUNTIF(BR:CD,1302),"")</f>
        <v/>
      </c>
      <c r="CG140" s="66" t="str">
        <f>IF(CH140&lt;&gt;"","TJQ Trad. Chen A","")</f>
        <v/>
      </c>
      <c r="CH140" s="66" t="str">
        <f>IF(COUNTIF(BR:CD,2302)&gt;0,COUNTIF(BR:CD,2302),"")</f>
        <v/>
      </c>
      <c r="CI140" s="66" t="str">
        <f>IF(CJ140&lt;&gt;"","TJQ Trad. Chen B","")</f>
        <v/>
      </c>
      <c r="CJ140" s="66" t="str">
        <f>IF(COUNTIF(BR:CD,11308)&gt;0,COUNTIF(BR:CD,11308),"")</f>
        <v/>
      </c>
      <c r="CK140" s="66" t="str">
        <f>IF(CL140&lt;&gt;"","TJQ Trad. Chen B","")</f>
        <v/>
      </c>
      <c r="CL140" s="66" t="str">
        <f>IF(COUNTIF(BR:CD,12308)&gt;0,COUNTIF(BR:CD,12308),"")</f>
        <v/>
      </c>
      <c r="CM140" s="50" t="str">
        <f xml:space="preserve"> IF(Atletas!W131="","",IF(Atletas!W131="Duilian de Mãos BC - Equipe 1",1,IF(Atletas!W131="Duilian de Mãos BC - Equipe 2",2,IF(Atletas!W131="Duilian de Armas BC - Equipe 1",3,IF(Atletas!W131="Duilian de Armas BC - Equipe 2",4,IF(Atletas!W131="Duilian de Mãos DE - Equipe 1",5,IF(Atletas!W131="Duilian de Mãos DE - Equipe 2",6,IF(Atletas!W131="Duilian de Armas DE - Equipe 1",7,IF(Atletas!W131="Duilian de Armas DE - Equipe 2",8,IF(Atletas!W131="Duilian de Tuishou - Equipe 1",9,IF(Atletas!W131="Duilian de Tuishou - Equipe 2",10,IF(Atletas!W131="Grupo Externo ABC - Equipe 1",11,IF(Atletas!W131="Grupo Externo ABC - Equipe 2",12,IF(Atletas!W131="Grupo Interno ABC - Equipe 1",13,IF(Atletas!W131="Grupo Interno ABC - Equipe 2",14,IF(Atletas!W131="Grupo Externo DEF - Equipe 1",15,IF(Atletas!W131="Grupo Externo DEF - Equipe 2",16,IF(Atletas!W131="Grupo Interno DEF - Equipe 1",17,IF(Atletas!W131="Grupo Interno DEF - Equipe 2",18,"")))))))))))))))))))</f>
        <v/>
      </c>
    </row>
    <row r="141" spans="2:91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 t="str">
        <f t="array" ref="Z141">IFERROR(INDEX(CE$7:CE$348,SMALL(IF(CE$7:CE$348&lt;&gt;"",ROW(CE$7:CE$348)-ROW(CE$7)+1),ROWS(CE$7:CE140))),"")</f>
        <v/>
      </c>
      <c r="AA141" s="3" t="str">
        <f t="array" ref="AA141">IFERROR(INDEX(CF$7:CF$348,SMALL(IF(CF$7:CF$348&lt;&gt;"",ROW(CF$7:CF$348)-ROW(CF$7)+1),ROWS(CF$7:CF140))),"")</f>
        <v/>
      </c>
      <c r="AB141" s="3" t="str">
        <f t="array" ref="AB141">IFERROR(INDEX(CG$7:CG$348,SMALL(IF(CG$7:CG$348&lt;&gt;"",ROW(CG$7:CG$348)-ROW(CG$7)+1),ROWS(CG$7:CG140))),"")</f>
        <v/>
      </c>
      <c r="AC141" s="3" t="str">
        <f t="array" ref="AC141">IFERROR(INDEX(CH$7:CH$348,SMALL(IF(CH$7:CH$348&lt;&gt;"",ROW(CH$7:CH$348)-ROW(CH$7)+1),ROWS(CH$7:CH140))),"")</f>
        <v/>
      </c>
      <c r="AD141" s="3" t="str">
        <f t="array" ref="AD141">IFERROR(INDEX(CI$7:CI$377,SMALL(IF(CI$7:CI$377&lt;&gt;"",ROW(CI$7:CI$377)-ROW(CI$7)+1),ROWS(CI$7:CI140))),"")</f>
        <v/>
      </c>
      <c r="AE141" s="3" t="str">
        <f t="array" ref="AE141">IFERROR(INDEX(CJ$7:CJ$378,SMALL(IF(CJ$7:CJ$378&lt;&gt;"",ROW(CJ$7:CJ$378)-ROW(CJ$7)+1),ROWS(CJ$7:CJ140))),"")</f>
        <v/>
      </c>
      <c r="AF141" s="3" t="str">
        <f t="array" ref="AF141">IFERROR(INDEX(CK$7:CK$378,SMALL(IF(CK$7:CK$378&lt;&gt;"",ROW(CK$7:CK$378)-ROW(CK$7)+1),ROWS(CK$7:CK140))),"")</f>
        <v/>
      </c>
      <c r="AG141" s="3" t="str">
        <f t="array" ref="AG141">IFERROR(INDEX(CL$7:CL$378,SMALL(IF(CL$7:CL$378&lt;&gt;"",ROW(CL$7:CL$378)-ROW(CL$7)+1),ROWS(CL$7:CL140))),"")</f>
        <v/>
      </c>
      <c r="AH141" s="3"/>
      <c r="AI141" s="3"/>
      <c r="AJ141" s="3"/>
      <c r="AK141" s="3"/>
      <c r="AL141" s="3"/>
      <c r="AM141" s="3"/>
      <c r="AN141" s="52" t="str">
        <f>IF(Atletas!D132="","",IF(Atletas!B132="Feminino",100,IF(Atletas!B132="Masculino",200,""))+(IF(Atletas!D132="Kids 30kg",1,IF(Atletas!D132="Kids 32kg",2, IF(Atletas!D132="Kids 34kg",3,IF(Atletas!D132="Kids 36kg",4,IF(Atletas!D132="Kids 39kg",5,IF(Atletas!D132="Kids 42kg",6,IF(Atletas!D132="Kids 45kg",7, IF(Atletas!D132="Infantil 39kg",8,IF(Atletas!D132="Infantil 42kg",9,IF(Atletas!D132="Infantil 45kg",10,IF(Atletas!D132="Infantil 48kg",11,IF(Atletas!D132="Infantil 52kg",12,IF(Atletas!D132="Infantil 56kg",13,IF(Atletas!D132="Infantil 60kg",14,IF(Atletas!D132="Juvenil 48kg",15,IF(Atletas!D132="Juvenil 52kg",16,IF(Atletas!D132="Juvenil 56kg",17,IF(Atletas!D132="Juvenil 60kg",18,IF(Atletas!D132="Juvenil 65kg",19,IF(Atletas!D132="Juvenil 70kg",20,IF(Atletas!D132="Juvenil 75kg",21,IF(Atletas!D132="Juvenil 80kg",22, IF(Atletas!D132="Juvenil 85kg",23,IF(Atletas!D132="Adulto 48kg",24,IF(Atletas!D132="Adulto 52kg",25,IF(Atletas!D132="Adulto 56kg",26,IF(Atletas!D132="Adulto 60kg",27,IF(Atletas!D132="Adulto 65kg",28,IF(Atletas!D132="Adulto 70kg",29,IF(Atletas!D132="Adulto 75kg",30,IF(Atletas!D132="Adulto 80kg",31,IF(Atletas!D132="Adulto 85kg",32,IF(Atletas!D132="Adulto 90kg",33,IF(Atletas!D132="Adulto 100kg",34, IF(Atletas!D132="Adulto +100kg",35,"")))))))))))))))))))))))))))))))))))))</f>
        <v/>
      </c>
      <c r="AS141" s="6" t="str">
        <f>IF(Atletas!E132="","",IF(Atletas!B132="Feminino",100,IF(Atletas!B132="Masculino",200,""))+(IF(Atletas!E132="Juvenil 44kg",1,IF(Atletas!E132="Juvenil 48kg",2,IF(Atletas!E132="Juvenil 52kg",3,IF(Atletas!E132="Juvenil 56kg",4,IF(Atletas!E132="Juvenil 60kg",5,IF(Atletas!E132="Juvenil 65kg",6,IF(Atletas!E132="Juvenil 70kg",7,IF(Atletas!E132="Juvenil 75kg",8,IF(Atletas!E132="Juvenil 82kg",9,IF(Atletas!E132="Juvenil 90kg",10,IF(Atletas!E132="Juvenil 100kg",11,IF(Atletas!E132="Adulto 48kg",12,IF(Atletas!E132="Adulto 52kg",13,IF(Atletas!E132="Adulto 56kg",14,IF(Atletas!E132="Adulto 60kg",15,IF(Atletas!E132="Adulto 65kg",16,IF(Atletas!E132="Adulto 70kg",17,IF(Atletas!E132="Adulto 75kg",18,IF(Atletas!E132="Adulto 82kg",19,IF(Atletas!E132="Adulto 90kg",20,IF(Atletas!E132="Adulto 100kg",21,IF(Atletas!E132="Adulto +100kg",22,""))))))))))))))))))))))))</f>
        <v/>
      </c>
      <c r="AX141" s="6" t="str">
        <f>IF(Atletas!F132="","",IF(Atletas!B132="Feminino",100,IF(Atletas!B132="Masculino",200,""))+(IF(Atletas!F132="Adulto 48kg",1,IF(Atletas!F132="Adulto 56kg",2,IF(Atletas!F132="Adulto 65kg",3,IF(Atletas!F132="Adulto 75kg",4,IF(Atletas!F132="Adulto +75kg",5,IF(Atletas!F132="Adulto 52kg",6,IF(Atletas!F132="Adulto 60kg",7,IF(Atletas!F132="Adulto 70kg",8,IF(Atletas!F132="Adulto 80kg",9,IF(Atletas!F132="Adulto 90kg",10,IF(Atletas!F132="Adulto +90kg",11,"")))))))))))))</f>
        <v/>
      </c>
      <c r="BC141" s="6" t="str">
        <f>IF(Atletas!G132="","",IF(Atletas!B132="Feminino",10,IF(Atletas!B132="Masculino",20,""))+(IF(Atletas!G132="Baduanjin A",1,IF(Atletas!G132="Baduanjin B",2))))</f>
        <v/>
      </c>
      <c r="BF141" s="52" t="str">
        <f>IF(Atletas!H132="","",IF(Atletas!B132="Feminino",100,IF(Atletas!B132="Masculino",200,""))+(IF(Atletas!H132="Changquan Mirim",1,IF(Atletas!H132="Nanquan Mirim",2,IF(Atletas!H132="Taijiquan Mirim",3,IF(Atletas!H132="Changquan Grupo C",4,IF(Atletas!H132="Nanquan Grupo C",5,IF(Atletas!H132="Taijiquan Grupo C",6,IF(Atletas!H132="Changquan Grupo B",7,IF(Atletas!H132="Nanquan Grupo B",8,IF(Atletas!H132="Taijiquan Grupo B",9,IF(Atletas!H132="Changquan Grupo A",10,IF(Atletas!H132="Nanquan Grupo A",11,IF(Atletas!H132="Taijiquan Grupo A",12,IF(Atletas!H132="Changquan Opcional",13,IF(Atletas!H132="Nanquan Opcional",14,IF(Atletas!H132="Taijiquan Opcional",15,IF(Atletas!H132="Changquan Adulto",16,IF(Atletas!H132="Nanquan Adulto",17,IF(Atletas!H132="Taijiquan Adulto",18,""))))))))))))))))))))</f>
        <v/>
      </c>
      <c r="BG141" s="52" t="str">
        <f>IF(Atletas!I132="","",IF(Atletas!B132="Feminino",100,IF(Atletas!B132="Masculino",200,""))+(IF(Atletas!I132="Daoshu Mirim",19,IF(Atletas!I132="Jianshu Mirim",20,IF(Atletas!I132="Nandao Mirim",21,IF(Atletas!I132="Taijijian Mirim",22,IF(Atletas!I132="Daoshu Grupo C",23,IF(Atletas!I132="Jianshu Grupo C",24,IF(Atletas!I132="Nandao Grupo C",25,IF(Atletas!I132="Taijijian Grupo C",26,IF(Atletas!I132="Daoshu Grupo B",27,IF(Atletas!I132="Jianshu Grupo B",28,IF(Atletas!I132="Nandao Grupo B",29,IF(Atletas!I132="Taijijian Grupo B",30,IF(Atletas!I132="Daoshu Grupo A",31,IF(Atletas!I132="Jianshu Grupo A",32,IF(Atletas!I132="Nandao Grupo A",33,IF(Atletas!I132="Taijijian Grupo A",34,IF(Atletas!I132="Daoshu Opcional",35,IF(Atletas!I132="Jianshu Opcional",36,IF(Atletas!I132="Nandao Opcional",37,IF(Atletas!I132="Taijijian Opcional",38,IF(Atletas!I132="Daoshu Adulto",39,IF(Atletas!I132="Jianshu Adulto",40,IF(Atletas!I132="Nandao Adulto",41,IF(Atletas!I132="Taijijian Adulto",42,""))))))))))))))))))))))))))</f>
        <v/>
      </c>
      <c r="BH141" s="52" t="str">
        <f>IF(Atletas!J132="","",IF(Atletas!B132="Feminino",100,IF(Atletas!B132="Masculino",200,""))+(IF(Atletas!J132="Gunshu Mirim",43,IF(Atletas!J132="Qiangshu Mirim",44,IF(Atletas!J132="Nangun Mirim",45,IF(Atletas!J132="Gunshu Grupo C",46,IF(Atletas!J132="Qiangshu Grupo C",47,IF(Atletas!J132="Nangun Grupo C",48,IF(Atletas!J132="Gunshu Grupo B",49,IF(Atletas!J132="Qiangshu Grupo B",50,IF(Atletas!J132="Nangun Grupo B",51,IF(Atletas!J132="Gunshu Grupo A",52,IF(Atletas!J132="Qiangshu Grupo A",53,IF(Atletas!J132="Nangun Grupo A",54,IF(Atletas!J132="Gunshu Opcional",55,IF(Atletas!J132="Qiangshu Opcional",56,IF(Atletas!J132="Nangun Opcional",57,IF(Atletas!J132="Gunshu Adulto",58,IF(Atletas!J132="Qiangshu Adulto",59,IF(Atletas!J132="Nangun Adulto",60,IF(Atletas!J132="Taijishan Grupo B",61,IF(Atletas!J132="Taijishan Grupo A",62,""))))))))))))))))))))))</f>
        <v/>
      </c>
      <c r="BM141" s="50" t="str">
        <f>IF(Atletas!K132="","",IF(Atletas!B132="Feminino",100,IF(Atletas!B132="Masculino",200,""))+(IF(Atletas!K132="Equipe 1 Grupo B",1,IF(Atletas!K132="Equipe 2 Grupo B",2,IF(Atletas!K132="Equipe 1 Grupo A",3,IF(Atletas!K132="Equipe 2 Grupo A",4,IF(Atletas!K132="Equipe 1 Adulto",5,IF(Atletas!K132="Equipe 2 Adulto",6,""))))))))</f>
        <v/>
      </c>
      <c r="BR141" s="50" t="str">
        <f>IF(Atletas!L132="","",IF(Atletas!X132&lt;&gt;"",10000,0)+(IF(Atletas!B132="Feminino",1000,IF(Atletas!B132="Masculino",2000,""))+IF(Atletas!L132="Choylayfut A",1,IF(Atletas!L132="Hunggar A",2,IF(Atletas!L132="Wuzuquan A",3,IF(Atletas!L132="Wingchun A",4,IF(Atletas!L132="Outra Mão de Sul A",5,IF(Atletas!L132="Choylayfut B",6,IF(Atletas!L132="Hunggar B",7,IF(Atletas!L132="Wuzuquan B",8,IF(Atletas!L132="Wingchun B",9,IF(Atletas!L132="Outra Mão de Sul B",10,IF(Atletas!L132="Choylayfut C",11,IF(Atletas!L132="Hunggar C",12,IF(Atletas!L132="Wuzuquan C",13,IF(Atletas!L132="Wingchun C",14,IF(Atletas!L132="Outra Mão de Sul C",15,IF(Atletas!L132="Choylayfut D",16,IF(Atletas!L132="Hunggar D",17,IF(Atletas!L132="Wuzuquan D",18,IF(Atletas!L132="Wingchun D",19,IF(Atletas!L132="Outra Mão de Sul D",20,IF(Atletas!L132="Choylayfut E",21,IF(Atletas!L132="Hunggar E",22,IF(Atletas!L132="Wuzuquan E",23,IF(Atletas!L132="Wingchun E",24,IF(Atletas!L132="Outra Mão de Sul E",25,IF(Atletas!L132="Choylayfut F",26,IF(Atletas!L132="Hunggar F",27,IF(Atletas!L132="Wuzuquan F",28,IF(Atletas!L132="Wingchun F",29,IF(Atletas!L132="Outra Mão de Sul F",30,IF(Atletas!L132="Dishuquan A",31,IF(Atletas!L132="Dishuquan B",32,IF(Atletas!L132="Dishuquan C",33,IF(Atletas!L132="Dishuquan D",34,IF(Atletas!L132="Dishuquan E",35,IF(Atletas!L132="Dishuquan F",36,""))))))))))))))))))))))))))))))))))))))</f>
        <v/>
      </c>
      <c r="BS141" s="50" t="str">
        <f>IF(Atletas!M132="","",IF(Atletas!X132&lt;&gt;"",10000,0)+(IF(Atletas!B132="Feminino",1000,IF(Atletas!B132="Masculino",2000,""))+(IF(Atletas!M132="Chaquan A",101,IF(Atletas!M132="Emeiquan A",102,IF(Atletas!M132="Fanziquan A",103,IF(Atletas!M132="Huaquan A",104,IF(Atletas!M132="Hongquan A",105,IF(Atletas!M132="Paoquan A",106,IF(Atletas!M132="Piguaquan A",107,IF(Atletas!M132="Shaolinquan A",108,IF(Atletas!M132="Tanglangquan A",109,IF(Atletas!M132="Yingzhaoquan A",110,IF(Atletas!M132="Tongbeiquan A",111,IF(Atletas!M132="Wudangquan A",112,IF(Atletas!M132="Outros Estilos A",113,IF(Atletas!M132="Chaquan B",114,IF(Atletas!M132="Emeiquan B",115,IF(Atletas!M132="Fanziquan B",116,IF(Atletas!M132="Huaquan B",117,IF(Atletas!M132="Hongquan B",118,IF(Atletas!M132="Paoquan B",119,IF(Atletas!M132="Piguaquan B",120,IF(Atletas!M132="Shaolinquan B",121,IF(Atletas!M132="Tanglangquan B",122,IF(Atletas!M132="Yingzhaoquan B",123,IF(Atletas!M132="Tongbeiquan B",124,IF(Atletas!M132="Wudangquan B",125,IF(Atletas!M132="Outros Estilos B",126,IF(Atletas!M132="Chaquan C",127,IF(Atletas!M132="Emeiquan C",128,IF(Atletas!M132="Fanziquan C",129,IF(Atletas!M132="Huaquan C",130,IF(Atletas!M132="Hongquan C",131,IF(Atletas!M132="Paoquan C",132,IF(Atletas!M132="Piguaquan C",133,IF(Atletas!M132="Shaolinquan C",134,IF(Atletas!M132="Tanglangquan C",135,IF(Atletas!M132="Yingzhaoquan C",136,IF(Atletas!M132="Tongbeiquan C",137,IF(Atletas!M132="Wudangquan C",138,IF(Atletas!M132="Outros Estilos C",139,0))))))))))))))))))))))))))))))))))))))))))</f>
        <v/>
      </c>
      <c r="BT141" s="50" t="str">
        <f>IF(Atletas!M132="","",IF(Atletas!X132&lt;&gt;"",10000,0)+(IF(Atletas!B132="Feminino",1000,IF(Atletas!B132="Masculino",2000,""))+(IF(Atletas!M132="Chaquan D",140,IF(Atletas!M132="Emeiquan D",141,IF(Atletas!M132="Fanziquan D",142,IF(Atletas!M132="Huaquan D",143,IF(Atletas!M132="Hongquan D",144,IF(Atletas!M132="Paoquan D",145,IF(Atletas!M132="Piguaquan D",146,IF(Atletas!M132="Shaolinquan D",147,IF(Atletas!M132="Tanglangquan D",148,IF(Atletas!M132="Yingzhaoquan D",149,IF(Atletas!M132="Tongbeiquan D",150,IF(Atletas!M132="Wudangquan D",151,IF(Atletas!M132="Outros Estilos D",152,IF(Atletas!M132="Chaquan E",153,IF(Atletas!M132="Emeiquan E",154,IF(Atletas!M132="Fanziquan E",155,IF(Atletas!M132="Huaquan E",156,IF(Atletas!M132="Hongquan E",157,IF(Atletas!M132="Paoquan E",158,IF(Atletas!M132="Piguaquan E",159,IF(Atletas!M132="Shaolinquan E",160,IF(Atletas!M132="Tanglangquan E",161,IF(Atletas!M132="Yingzhaoquan E",162,IF(Atletas!M132="Tongbeiquan E",163,IF(Atletas!M132="Wudangquan E",164,IF(Atletas!M132="Outros Estilos E",165,IF(Atletas!M132="Chaquan F",166,IF(Atletas!M132="Emeiquan F",167,IF(Atletas!M132="Fanziquan F",168,IF(Atletas!M132="Huaquan F",169,IF(Atletas!M132="Hongquan F",170,IF(Atletas!M132="Paoquan F",171,IF(Atletas!M132="Piguaquan F",172,IF(Atletas!M132="Shaolinquan F",173,IF(Atletas!M132="Tanglangquan F",174,IF(Atletas!M132="Yingzhaoquan F",175,IF(Atletas!M132="Tongbeiquan F",176,IF(Atletas!M132="Wudangquan F",177,IF(Atletas!M132="Outros Estilos F",178,0))))))))))))))))))))))))))))))))))))))))))</f>
        <v/>
      </c>
      <c r="BU141" s="50" t="str">
        <f>IF(Atletas!N132="","",IF(Atletas!X132&lt;&gt;"",10000,0)+(IF(Atletas!B132="Feminino",1000,IF(Atletas!B132="Masculino",2000,""))+(IF(Atletas!N132="Ditangquan A",201,IF(Atletas!N132="Houquan A",202,IF(Atletas!N132="Zuiquan A",203,IF(Atletas!N132="Ditangquan B",204,IF(Atletas!N132="Houquan B",205,IF(Atletas!N132="Zuiquan B",206,IF(Atletas!N132="Ditangquan C",207,IF(Atletas!N132="Houquan C",208,IF(Atletas!N132="Zuiquan C",209,IF(Atletas!N132="Ditangquan D",210,IF(Atletas!N132="Houquan D",211,IF(Atletas!N132="Zuiquan D",212,IF(Atletas!N132="Ditangquan E",213,IF(Atletas!N132="Houquan E",214,IF(Atletas!N132="Zuiquan E",215,IF(Atletas!N132="Ditangquan F",216,IF(Atletas!N132="Houquan F",217,IF(Atletas!N132="Zuiquan F",218,"")))))))))))))))))))))</f>
        <v/>
      </c>
      <c r="BV141" s="50" t="str">
        <f>IF(Atletas!O132="","",IF(Atletas!X132&lt;&gt;"",10000,0)+IF(Atletas!B132="Feminino",1000,IF(Atletas!B132="Masculino",2000,""))+IF(Atletas!O132="Yang A",301,IF(Atletas!O132="Chen A",302,IF(Atletas!O132="Sun A",303,IF(Atletas!O132="Wu A",304,IF(Atletas!O132="Wu-Hao A",305,IF(Atletas!O132="Outro Taijiquan A",306,IF(Atletas!O132="Yang B",307,IF(Atletas!O132="Chen B",308,IF(Atletas!O132="Sun B",309,IF(Atletas!O132="Wu B",310,IF(Atletas!O132="Wu-Hao B",311,IF(Atletas!O132="Outro Taijiquan B",312,IF(Atletas!O132="Yang C",313,IF(Atletas!O132="Chen C",314,IF(Atletas!O132="Sun C",315,IF(Atletas!O132="Wu C",316,IF(Atletas!O132="Wu-Hao C",317,IF(Atletas!O132="Outro Taijiquan C",318,IF(Atletas!O132="Yang D",319,IF(Atletas!O132="Chen D",320,IF(Atletas!O132="Sun D",321,IF(Atletas!O132="Wu D",322,IF(Atletas!O132="Wu-Hao D",323,IF(Atletas!O132="Outro Taijiquan D",324,IF(Atletas!O132="Yang E",325,IF(Atletas!O132="Chen E",326,IF(Atletas!O132="Sun E",327,IF(Atletas!O132="Wu E",328,IF(Atletas!O132="Wu-Hao E",329,IF(Atletas!O132="Outro Taijiquan E",330,IF(Atletas!O132="Yang F",331,IF(Atletas!O132="Chen F",332,IF(Atletas!O132="Sun F",333,IF(Atletas!O132="Wu F",334,IF(Atletas!O132="Wu-Hao F",335,IF(Atletas!O132="Outro Taijiquan F",336,"")))))))))))))))))))))))))))))))))))))</f>
        <v/>
      </c>
      <c r="BW141" s="50" t="str">
        <f>IF(Atletas!P132="","",IF(Atletas!X132&lt;&gt;"",10000,0)+IF(Atletas!B132="Feminino",1000,IF(Atletas!B132="Masculino",2000,""))+IF(OR(Atletas!P132="Yang 26 A",Atletas!P132="Yang 40 A"),401,IF(OR(Atletas!P132="Chen 25 A",Atletas!P132="Chen 36 A",Atletas!P132="Chen 56 A"),402,IF(Atletas!P132="Sun 73 A",403,IF(Atletas!P132="Wu 45 A",404,IF(Atletas!P132="Wu-Hao 46 A",405,IF(OR(Atletas!P132="Taijiquan 16 A",Atletas!P132="Taijiquan 24 A",Atletas!P132="Taijiquan 32 A",Atletas!P132="Taijiquan 42 A"),406,IF(OR(Atletas!P132="Yang 26 B",Atletas!P132="Yang 40 B"),407,IF(OR(Atletas!P132="Chen 25 B",Atletas!P132="Chen 36 B",Atletas!P132="Chen 56 B"),408,IF(Atletas!P132="Sun 73 B",409,IF(Atletas!P132="Wu 45 B",410,IF(Atletas!P132="Wu-Hao 46 B",411,IF(OR(Atletas!P132="Taijiquan 16 B",Atletas!P132="Taijiquan 24 B",Atletas!P132="Taijiquan 32 B",Atletas!P132="Taijiquan 42 B"),412,IF(OR(Atletas!P132="Yang 26 C",Atletas!P132="Yang 40 C"),413,IF(OR(Atletas!P132="Chen 25 C",Atletas!P132="Chen 36 C",Atletas!P132="Chen 56 C"),414,IF(Atletas!P132="Sun 73 C",415,IF(Atletas!P132="Wu 45 C",416,IF(Atletas!P132="Wu-Hao 46 C",417,IF(OR(Atletas!P132="Taijiquan 16 C",Atletas!P132="Taijiquan 24 C",Atletas!P132="Taijiquan 32 C",Atletas!P132="Taijiquan 42 C"),418,0)))))))))))))))))))</f>
        <v/>
      </c>
      <c r="BX141" s="50" t="str">
        <f>IF(Atletas!P132="","",IF(Atletas!X132&lt;&gt;"",10000,0)+IF(Atletas!B132="Feminino",1000,IF(Atletas!B132="Masculino",2000,""))+IF(OR(Atletas!P132="Yang 26 D",Atletas!P132="Yang 40 D"),419,IF(OR(Atletas!P132="Chen 25 D",Atletas!P132="Chen 36 D",Atletas!P132="Chen 56 D"),420,IF(Atletas!P132="Sun 73 D",421,IF(Atletas!P132="Wu 45 D",422,IF(Atletas!P132="Wu-Hao 46 D",423,IF(OR(Atletas!P132="Taijiquan 16 D",Atletas!P132="Taijiquan 24 D",Atletas!P132="Taijiquan 32 D",Atletas!P132="Taijiquan 42 D"),424,IF(OR(Atletas!P132="Yang 26 E",Atletas!P132="Yang 40 E"),425,IF(OR(Atletas!P132="Chen 25 E",Atletas!P132="Chen 36 E",Atletas!P132="Chen 56 E"),426,IF(Atletas!P132="Sun 73 E",427,IF(Atletas!P132="Wu 45 E",428,IF(Atletas!P132="Wu-Hao 46 E",429,IF(OR(Atletas!P132="Taijiquan 16 E",Atletas!P132="Taijiquan 24 E",Atletas!P132="Taijiquan 32 E",Atletas!P132="Taijiquan 42 E"),430,IF(OR(Atletas!P132="Yang 26 F",Atletas!P132="Yang 40 F"),431,IF(OR(Atletas!P132="Chen 25 F",Atletas!P132="Chen 36 F",Atletas!P132="Chen 56 F"),432,IF(Atletas!P132="Sun 73 F",433,IF(Atletas!P132="Wu 45 F",434,IF(Atletas!P132="Wu-Hao 46 F",435,IF(OR(Atletas!P132="Taijiquan 16 F",Atletas!P132="Taijiquan 24 F",Atletas!P132="Taijiquan 32 F",Atletas!P132="Taijiquan 42 F"),436,0)))))))))))))))))))</f>
        <v/>
      </c>
      <c r="BY141" s="50" t="str">
        <f>IF(Atletas!Q132="","",IF(Atletas!X132&lt;&gt;"",10000,0)+IF(Atletas!B132="Feminino",1000,IF(Atletas!B132="Masculino",2000,""))+IF(Atletas!Q132="Xingyiquan A",501,IF(Atletas!Q132="Baguazhang A",502,IF(Atletas!Q132="Outro Estilo Interno A",503,IF(Atletas!Q132="Xingyiquan B",504,IF(Atletas!Q132="Baguazhang B",505,IF(Atletas!Q132="Outro Estilo Interno B",506,IF(Atletas!Q132="Xingyiquan C",507,IF(Atletas!Q132="Baguazhang C",508,IF(Atletas!Q132="Outro Estilo Interno C",509,IF(Atletas!Q132="Xingyiquan D",510,IF(Atletas!Q132="Baguazhang D",511,IF(Atletas!Q132="Outro Estilo Interno D",512,IF(Atletas!Q132="Xingyiquan E",513,IF(Atletas!Q132="Baguazhang E",514,IF(Atletas!Q132="Outro Estilo Interno E",515,IF(Atletas!Q132="Xingyiquan F",516,IF(Atletas!Q132="Baguazhang F",517,IF(Atletas!Q132="Outro Estilo Interno F",518, "")))))))))))))))))))</f>
        <v/>
      </c>
      <c r="BZ141" s="50" t="str">
        <f>IF(Atletas!R132="","",IF(Atletas!X132&lt;&gt;"",10000,0)+IF(Atletas!B132="Feminino",1000,IF(Atletas!B132="Masculino",2000,""))+IF(Atletas!R132="Dao A",601,IF(Atletas!R132="Jian A",602,IF(Atletas!R132="Bishou A",603,IF(Atletas!R132="Shanzi A",604,IF(Atletas!R132="Outra Arma Curta A",605,IF(Atletas!R132="Dao B",606,IF(Atletas!R132="Jian B",607,IF(Atletas!R132="Bishou B",608,IF(Atletas!R132="Shanzi B",609,IF(Atletas!R132="Outra Arma Curta B",610,IF(Atletas!R132="Dao C",611,IF(Atletas!R132="Jian C",612,IF(Atletas!R132="Bishou C",613,IF(Atletas!R132="Shanzi C",614,IF(Atletas!R132="Outra Arma Curta C",615,IF(Atletas!R132="Dao D",616,IF(Atletas!R132="Jian D",617,IF(Atletas!R132="Bishou D",618,IF(Atletas!R132="Shanzi D",619,IF(Atletas!R132="Outra Arma Curta D",620,IF(Atletas!R132="Dao E",621,IF(Atletas!R132="Jian E",622,IF(Atletas!R132="Bishou E",623,IF(Atletas!R132="Shanzi E",624,IF(Atletas!R132="Outra Arma Curta E",625,IF(Atletas!R132="Dao F",626,IF(Atletas!R132="Jian F",627,IF(Atletas!R132="Bishou F",628,IF(Atletas!R132="Shanzi F",629,IF(Atletas!R132="Outra Arma Curta F",630, "")))))))))))))))))))))))))))))))</f>
        <v/>
      </c>
      <c r="CA141" s="50" t="str">
        <f>IF(Atletas!S132="","",IF(Atletas!X132&lt;&gt;"",10000,0)+IF(Atletas!B132="Feminino",1000,IF(Atletas!B132="Masculino",2000,""))+IF(Atletas!S132="Gun A",701,IF(Atletas!S132="Qiang A",702,IF(Atletas!S132="Pudao / Guandao A",703,IF(Atletas!S132="Outra Arma Longa A",704,IF(Atletas!S132="Gun B",705,IF(Atletas!S132="Qiang B",706,IF(Atletas!S132="Pudao / Guandao B",707,IF(Atletas!S132="Outra Arma Longa B",708,IF(Atletas!S132="Gun C",709,IF(Atletas!S132="Qiang C",710,IF(Atletas!S132="Pudao / Guandao C",711,IF(Atletas!S132="Outra Arma Longa C",712,IF(Atletas!S132="Gun D",713,IF(Atletas!S132="Qiang D",714,IF(Atletas!S132="Pudao / Guandao D",715,IF(Atletas!S132="Outra Arma Longa D",716,IF(Atletas!S132="Gun E",717,IF(Atletas!S132="Qiang E",718,IF(Atletas!S132="Pudao / Guandao E",719,IF(Atletas!S132="Outra Arma Longa E",720,IF(Atletas!S132="Gun F",721,IF(Atletas!S132="Qiang F",722,IF(Atletas!S132="Pudao / Guandao F",723,IF(Atletas!S132="Outra Arma Longa F",724,"")))))))))))))))))))))))))</f>
        <v/>
      </c>
      <c r="CB141" s="50" t="str">
        <f>IF(Atletas!T132="","",IF(Atletas!X132&lt;&gt;"",10000,0)+IF(Atletas!B132="Feminino",1000,IF(Atletas!B132="Masculino",2000,""))+IF(Atletas!T132="Outra Arma Dupla A",801,IF(Atletas!T132="Arma Maleável A",802,IF(Atletas!T132="Outra Arma Dupla B",803,IF(Atletas!T132="Arma Maleável B",804,IF(Atletas!T132="Outra Arma Dupla C",805,IF(Atletas!T132="Arma Maleável C",806,IF(Atletas!T132="Outra Arma Dupla D",807,IF(Atletas!T132="Arma Maleável D",808,IF(Atletas!T132="Outra Arma Dupla E",809,IF(Atletas!T132="Arma Maleável E",810,IF(Atletas!T132="Outra Arma Dupla F",811,IF(Atletas!T132="Arma Maleável F",812,IF(Atletas!T132="Shuangdao A",813,IF(Atletas!T132="Shuangdao B",814,IF(Atletas!T132="Shuangdao C",815,IF(Atletas!T132="Shuangdao D",816,IF(Atletas!T132="Shuangdao E",817,IF(Atletas!T132="Shuangdao F",818,"")))))))))))))))))))</f>
        <v/>
      </c>
      <c r="CC141" s="50" t="str">
        <f>IF(Atletas!U132="","",IF(Atletas!X132&lt;&gt;"",10000,0)+IF(Atletas!B132="Feminino",1000,IF(Atletas!B132="Masculino",2000,""))+IF(OR(Atletas!U132="Taijijian Yang A",Atletas!U132="Taijijian Yang Standard A"),901,IF(OR(Atletas!U132="Taijijian Chen A", Atletas!U132="Taijijian Chen Standard A"),902,IF(Atletas!U132="Taijijian Sun A",903,IF(Atletas!U132="Taijijian Wu A",904,IF(Atletas!U132="Taijijian Wu-Hao A",905,IF(OR(Atletas!U132="Taijijian 32 A",Atletas!U132="Taijijian 42 A"),906,IF(OR(Atletas!U132="Taijijian Yang B",Atletas!U132="Taijijian Yang Standard B"),907,IF(OR(Atletas!U132="Taijijian Chen B", Atletas!U132="Taijijian Chen Standard B"),908,IF(Atletas!U132="Taijijian Sun B",909,IF(Atletas!U132="Taijijian Wu B",910,IF(Atletas!U132="Taijijian Wu-Hao B",911,IF(OR(Atletas!U132="Taijijian 32 B",Atletas!U132="Taijijian 42 B"),912,IF(OR(Atletas!U132="Taijijian Yang C",Atletas!U132="Taijijian Yang Standard C"),913,IF(OR(Atletas!U132="Taijijian Chen C", Atletas!U132="Taijijian Chen Standard C"),914,IF(Atletas!U132="Taijijian Sun C",915,IF(Atletas!U132="Taijijian Wu C",916,IF(Atletas!U132="Taijijian Wu-Hao C",917,IF(OR(Atletas!U132="Taijijian 32 C",Atletas!U132="Taijijian 42 C"),918,IF(OR(Atletas!U132="Taijijian Yang D",Atletas!U132="Taijijian Yang Standard D"),919,IF(OR(Atletas!U132="Taijijian Chen D", Atletas!U132="Taijijian Chen Standard D"),920,IF(Atletas!U132="Taijijian Sun D",921,IF(Atletas!U132="Taijijian Wu D",922,IF(Atletas!U132="Taijijian Wu-Hao D",923,IF(OR(Atletas!U132="Taijijian 32 D",Atletas!U132="Taijijian 42 D"),924,IF(OR(Atletas!U132="Taijijian Yang E",Atletas!U132="Taijijian Yang Standard E"),925,IF(OR(Atletas!U132="Taijijian Chen E", Atletas!U132="Taijijian Chen Standard E"),926,IF(Atletas!U132="Taijijian Sun E",927,IF(Atletas!U132="Taijijian Wu E",928,IF(Atletas!U132="Taijijian Wu-Hao E",929,IF(OR(Atletas!U132="Taijijian 32 E",Atletas!U132="Taijijian 42 E"),930,IF(OR(Atletas!U132="Taijijian Yang F",Atletas!U132="Taijijian Yang Standard F"),931,IF(OR(Atletas!U132="Taijijian Chen F", Atletas!U132="Taijijian Chen Standard F"),932,IF(Atletas!U132="Taijijian Sun F",933,IF(Atletas!U132="Taijijian Wu F",934,IF(Atletas!U132="Taijijian Wu-Hao F",935,IF(OR(Atletas!U132="Taijijian 32 F",Atletas!U132="Taijijian 42 F"),936,"")))))))))))))))))))))))))))))))))))))</f>
        <v/>
      </c>
      <c r="CD141" s="50" t="str">
        <f>IF(Atletas!V132="","",IF(Atletas!X132&lt;&gt;"",10000,0)+IF(Atletas!B132="Feminino",1000,IF(Atletas!B132="Masculino",2000,""))+IF(Atletas!V132="Taijidao A",937,IF(Atletas!V132="TaijiShanzi A",938,IF(Atletas!V132="Taijiqiang A",939,IF(Atletas!V132="Bagua de Arma A",940,IF(Atletas!V132="Xingyi de Arma A",941,IF(Atletas!V132="Taijidao B",942,IF(Atletas!V132="TaijiShanzi B",943,IF(Atletas!V132="Taijiqiang B",944,IF(Atletas!V132="Bagua de Arma B",945,IF(Atletas!V132="Xingyi de Arma B",946,IF(Atletas!V132="Taijidao C",947,IF(Atletas!V132="TaijiShanzi C",948,IF(Atletas!V132="Taijiqiang C",949,IF(Atletas!V132="Bagua de Arma C",950,IF(Atletas!V132="Xingyi de Arma C",951,IF(Atletas!V132="Taijidao D",952,IF(Atletas!V132="TaijiShanzi D",953,IF(Atletas!V132="Taijiqiang D",954,IF(Atletas!V132="Bagua de Arma D",955,IF(Atletas!V132="Xingyi de Arma D",956,IF(Atletas!V132="Taijidao E",957,IF(Atletas!V132="TaijiShanzi E",958,IF(Atletas!V132="Taijiqiang E",959,IF(Atletas!V132="Bagua de Arma E",960,IF(Atletas!V132="Xingyi de Arma E",961,IF(Atletas!V132="Taijidao F",962,IF(Atletas!V132="TaijiShanzi F",963,IF(Atletas!V132="Taijiqiang F",964,IF(Atletas!V132="Bagua de Arma F",965,IF(Atletas!V132="Xingyi de Arma F",966,"")))))))))))))))))))))))))))))))</f>
        <v/>
      </c>
      <c r="CE141" s="66" t="str">
        <f>IF(CF141&lt;&gt;"","TJQ Trad. Sun A","")</f>
        <v/>
      </c>
      <c r="CF141" s="66" t="str">
        <f>IF(COUNTIF(BR:CD,1303)&gt;0,COUNTIF(BR:CD,1303),"")</f>
        <v/>
      </c>
      <c r="CG141" s="66" t="str">
        <f>IF(CH141&lt;&gt;"","TJQ Trad. Sun A","")</f>
        <v/>
      </c>
      <c r="CH141" s="66" t="str">
        <f>IF(COUNTIF(BR:CD,2303)&gt;0,COUNTIF(BR:CD,2303),"")</f>
        <v/>
      </c>
      <c r="CI141" s="66" t="str">
        <f>IF(CJ141&lt;&gt;"","TJQ Trad. Sun B","")</f>
        <v/>
      </c>
      <c r="CJ141" s="66" t="str">
        <f>IF(COUNTIF(BR:CD,11309)&gt;0,COUNTIF(BR:CD,11309),"")</f>
        <v/>
      </c>
      <c r="CK141" s="66" t="str">
        <f>IF(CL141&lt;&gt;"","TJQ Trad. Sun B","")</f>
        <v/>
      </c>
      <c r="CL141" s="66" t="str">
        <f>IF(COUNTIF(BR:CD,12309)&gt;0,COUNTIF(BR:CD,12309),"")</f>
        <v/>
      </c>
      <c r="CM141" s="50" t="str">
        <f xml:space="preserve"> IF(Atletas!W132="","",IF(Atletas!W132="Duilian de Mãos BC - Equipe 1",1,IF(Atletas!W132="Duilian de Mãos BC - Equipe 2",2,IF(Atletas!W132="Duilian de Armas BC - Equipe 1",3,IF(Atletas!W132="Duilian de Armas BC - Equipe 2",4,IF(Atletas!W132="Duilian de Mãos DE - Equipe 1",5,IF(Atletas!W132="Duilian de Mãos DE - Equipe 2",6,IF(Atletas!W132="Duilian de Armas DE - Equipe 1",7,IF(Atletas!W132="Duilian de Armas DE - Equipe 2",8,IF(Atletas!W132="Duilian de Tuishou - Equipe 1",9,IF(Atletas!W132="Duilian de Tuishou - Equipe 2",10,IF(Atletas!W132="Grupo Externo ABC - Equipe 1",11,IF(Atletas!W132="Grupo Externo ABC - Equipe 2",12,IF(Atletas!W132="Grupo Interno ABC - Equipe 1",13,IF(Atletas!W132="Grupo Interno ABC - Equipe 2",14,IF(Atletas!W132="Grupo Externo DEF - Equipe 1",15,IF(Atletas!W132="Grupo Externo DEF - Equipe 2",16,IF(Atletas!W132="Grupo Interno DEF - Equipe 1",17,IF(Atletas!W132="Grupo Interno DEF - Equipe 2",18,"")))))))))))))))))))</f>
        <v/>
      </c>
    </row>
    <row r="142" spans="2:91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 t="str">
        <f t="array" ref="Z142">IFERROR(INDEX(CE$7:CE$348,SMALL(IF(CE$7:CE$348&lt;&gt;"",ROW(CE$7:CE$348)-ROW(CE$7)+1),ROWS(CE$7:CE141))),"")</f>
        <v/>
      </c>
      <c r="AA142" s="3" t="str">
        <f t="array" ref="AA142">IFERROR(INDEX(CF$7:CF$348,SMALL(IF(CF$7:CF$348&lt;&gt;"",ROW(CF$7:CF$348)-ROW(CF$7)+1),ROWS(CF$7:CF141))),"")</f>
        <v/>
      </c>
      <c r="AB142" s="3" t="str">
        <f t="array" ref="AB142">IFERROR(INDEX(CG$7:CG$348,SMALL(IF(CG$7:CG$348&lt;&gt;"",ROW(CG$7:CG$348)-ROW(CG$7)+1),ROWS(CG$7:CG141))),"")</f>
        <v/>
      </c>
      <c r="AC142" s="3" t="str">
        <f t="array" ref="AC142">IFERROR(INDEX(CH$7:CH$348,SMALL(IF(CH$7:CH$348&lt;&gt;"",ROW(CH$7:CH$348)-ROW(CH$7)+1),ROWS(CH$7:CH141))),"")</f>
        <v/>
      </c>
      <c r="AD142" s="3" t="str">
        <f t="array" ref="AD142">IFERROR(INDEX(CI$7:CI$377,SMALL(IF(CI$7:CI$377&lt;&gt;"",ROW(CI$7:CI$377)-ROW(CI$7)+1),ROWS(CI$7:CI141))),"")</f>
        <v/>
      </c>
      <c r="AE142" s="3" t="str">
        <f t="array" ref="AE142">IFERROR(INDEX(CJ$7:CJ$378,SMALL(IF(CJ$7:CJ$378&lt;&gt;"",ROW(CJ$7:CJ$378)-ROW(CJ$7)+1),ROWS(CJ$7:CJ141))),"")</f>
        <v/>
      </c>
      <c r="AF142" s="3" t="str">
        <f t="array" ref="AF142">IFERROR(INDEX(CK$7:CK$378,SMALL(IF(CK$7:CK$378&lt;&gt;"",ROW(CK$7:CK$378)-ROW(CK$7)+1),ROWS(CK$7:CK141))),"")</f>
        <v/>
      </c>
      <c r="AG142" s="3" t="str">
        <f t="array" ref="AG142">IFERROR(INDEX(CL$7:CL$378,SMALL(IF(CL$7:CL$378&lt;&gt;"",ROW(CL$7:CL$378)-ROW(CL$7)+1),ROWS(CL$7:CL141))),"")</f>
        <v/>
      </c>
      <c r="AH142" s="3"/>
      <c r="AI142" s="3"/>
      <c r="AJ142" s="3"/>
      <c r="AK142" s="3"/>
      <c r="AL142" s="3"/>
      <c r="AM142" s="3"/>
      <c r="AN142" s="52" t="str">
        <f>IF(Atletas!D133="","",IF(Atletas!B133="Feminino",100,IF(Atletas!B133="Masculino",200,""))+(IF(Atletas!D133="Kids 30kg",1,IF(Atletas!D133="Kids 32kg",2, IF(Atletas!D133="Kids 34kg",3,IF(Atletas!D133="Kids 36kg",4,IF(Atletas!D133="Kids 39kg",5,IF(Atletas!D133="Kids 42kg",6,IF(Atletas!D133="Kids 45kg",7, IF(Atletas!D133="Infantil 39kg",8,IF(Atletas!D133="Infantil 42kg",9,IF(Atletas!D133="Infantil 45kg",10,IF(Atletas!D133="Infantil 48kg",11,IF(Atletas!D133="Infantil 52kg",12,IF(Atletas!D133="Infantil 56kg",13,IF(Atletas!D133="Infantil 60kg",14,IF(Atletas!D133="Juvenil 48kg",15,IF(Atletas!D133="Juvenil 52kg",16,IF(Atletas!D133="Juvenil 56kg",17,IF(Atletas!D133="Juvenil 60kg",18,IF(Atletas!D133="Juvenil 65kg",19,IF(Atletas!D133="Juvenil 70kg",20,IF(Atletas!D133="Juvenil 75kg",21,IF(Atletas!D133="Juvenil 80kg",22, IF(Atletas!D133="Juvenil 85kg",23,IF(Atletas!D133="Adulto 48kg",24,IF(Atletas!D133="Adulto 52kg",25,IF(Atletas!D133="Adulto 56kg",26,IF(Atletas!D133="Adulto 60kg",27,IF(Atletas!D133="Adulto 65kg",28,IF(Atletas!D133="Adulto 70kg",29,IF(Atletas!D133="Adulto 75kg",30,IF(Atletas!D133="Adulto 80kg",31,IF(Atletas!D133="Adulto 85kg",32,IF(Atletas!D133="Adulto 90kg",33,IF(Atletas!D133="Adulto 100kg",34, IF(Atletas!D133="Adulto +100kg",35,"")))))))))))))))))))))))))))))))))))))</f>
        <v/>
      </c>
      <c r="AS142" s="6" t="str">
        <f>IF(Atletas!E133="","",IF(Atletas!B133="Feminino",100,IF(Atletas!B133="Masculino",200,""))+(IF(Atletas!E133="Juvenil 44kg",1,IF(Atletas!E133="Juvenil 48kg",2,IF(Atletas!E133="Juvenil 52kg",3,IF(Atletas!E133="Juvenil 56kg",4,IF(Atletas!E133="Juvenil 60kg",5,IF(Atletas!E133="Juvenil 65kg",6,IF(Atletas!E133="Juvenil 70kg",7,IF(Atletas!E133="Juvenil 75kg",8,IF(Atletas!E133="Juvenil 82kg",9,IF(Atletas!E133="Juvenil 90kg",10,IF(Atletas!E133="Juvenil 100kg",11,IF(Atletas!E133="Adulto 48kg",12,IF(Atletas!E133="Adulto 52kg",13,IF(Atletas!E133="Adulto 56kg",14,IF(Atletas!E133="Adulto 60kg",15,IF(Atletas!E133="Adulto 65kg",16,IF(Atletas!E133="Adulto 70kg",17,IF(Atletas!E133="Adulto 75kg",18,IF(Atletas!E133="Adulto 82kg",19,IF(Atletas!E133="Adulto 90kg",20,IF(Atletas!E133="Adulto 100kg",21,IF(Atletas!E133="Adulto +100kg",22,""))))))))))))))))))))))))</f>
        <v/>
      </c>
      <c r="AX142" s="6" t="str">
        <f>IF(Atletas!F133="","",IF(Atletas!B133="Feminino",100,IF(Atletas!B133="Masculino",200,""))+(IF(Atletas!F133="Adulto 48kg",1,IF(Atletas!F133="Adulto 56kg",2,IF(Atletas!F133="Adulto 65kg",3,IF(Atletas!F133="Adulto 75kg",4,IF(Atletas!F133="Adulto +75kg",5,IF(Atletas!F133="Adulto 52kg",6,IF(Atletas!F133="Adulto 60kg",7,IF(Atletas!F133="Adulto 70kg",8,IF(Atletas!F133="Adulto 80kg",9,IF(Atletas!F133="Adulto 90kg",10,IF(Atletas!F133="Adulto +90kg",11,"")))))))))))))</f>
        <v/>
      </c>
      <c r="BC142" s="6" t="str">
        <f>IF(Atletas!G133="","",IF(Atletas!B133="Feminino",10,IF(Atletas!B133="Masculino",20,""))+(IF(Atletas!G133="Baduanjin A",1,IF(Atletas!G133="Baduanjin B",2))))</f>
        <v/>
      </c>
      <c r="BF142" s="52" t="str">
        <f>IF(Atletas!H133="","",IF(Atletas!B133="Feminino",100,IF(Atletas!B133="Masculino",200,""))+(IF(Atletas!H133="Changquan Mirim",1,IF(Atletas!H133="Nanquan Mirim",2,IF(Atletas!H133="Taijiquan Mirim",3,IF(Atletas!H133="Changquan Grupo C",4,IF(Atletas!H133="Nanquan Grupo C",5,IF(Atletas!H133="Taijiquan Grupo C",6,IF(Atletas!H133="Changquan Grupo B",7,IF(Atletas!H133="Nanquan Grupo B",8,IF(Atletas!H133="Taijiquan Grupo B",9,IF(Atletas!H133="Changquan Grupo A",10,IF(Atletas!H133="Nanquan Grupo A",11,IF(Atletas!H133="Taijiquan Grupo A",12,IF(Atletas!H133="Changquan Opcional",13,IF(Atletas!H133="Nanquan Opcional",14,IF(Atletas!H133="Taijiquan Opcional",15,IF(Atletas!H133="Changquan Adulto",16,IF(Atletas!H133="Nanquan Adulto",17,IF(Atletas!H133="Taijiquan Adulto",18,""))))))))))))))))))))</f>
        <v/>
      </c>
      <c r="BG142" s="52" t="str">
        <f>IF(Atletas!I133="","",IF(Atletas!B133="Feminino",100,IF(Atletas!B133="Masculino",200,""))+(IF(Atletas!I133="Daoshu Mirim",19,IF(Atletas!I133="Jianshu Mirim",20,IF(Atletas!I133="Nandao Mirim",21,IF(Atletas!I133="Taijijian Mirim",22,IF(Atletas!I133="Daoshu Grupo C",23,IF(Atletas!I133="Jianshu Grupo C",24,IF(Atletas!I133="Nandao Grupo C",25,IF(Atletas!I133="Taijijian Grupo C",26,IF(Atletas!I133="Daoshu Grupo B",27,IF(Atletas!I133="Jianshu Grupo B",28,IF(Atletas!I133="Nandao Grupo B",29,IF(Atletas!I133="Taijijian Grupo B",30,IF(Atletas!I133="Daoshu Grupo A",31,IF(Atletas!I133="Jianshu Grupo A",32,IF(Atletas!I133="Nandao Grupo A",33,IF(Atletas!I133="Taijijian Grupo A",34,IF(Atletas!I133="Daoshu Opcional",35,IF(Atletas!I133="Jianshu Opcional",36,IF(Atletas!I133="Nandao Opcional",37,IF(Atletas!I133="Taijijian Opcional",38,IF(Atletas!I133="Daoshu Adulto",39,IF(Atletas!I133="Jianshu Adulto",40,IF(Atletas!I133="Nandao Adulto",41,IF(Atletas!I133="Taijijian Adulto",42,""))))))))))))))))))))))))))</f>
        <v/>
      </c>
      <c r="BH142" s="52" t="str">
        <f>IF(Atletas!J133="","",IF(Atletas!B133="Feminino",100,IF(Atletas!B133="Masculino",200,""))+(IF(Atletas!J133="Gunshu Mirim",43,IF(Atletas!J133="Qiangshu Mirim",44,IF(Atletas!J133="Nangun Mirim",45,IF(Atletas!J133="Gunshu Grupo C",46,IF(Atletas!J133="Qiangshu Grupo C",47,IF(Atletas!J133="Nangun Grupo C",48,IF(Atletas!J133="Gunshu Grupo B",49,IF(Atletas!J133="Qiangshu Grupo B",50,IF(Atletas!J133="Nangun Grupo B",51,IF(Atletas!J133="Gunshu Grupo A",52,IF(Atletas!J133="Qiangshu Grupo A",53,IF(Atletas!J133="Nangun Grupo A",54,IF(Atletas!J133="Gunshu Opcional",55,IF(Atletas!J133="Qiangshu Opcional",56,IF(Atletas!J133="Nangun Opcional",57,IF(Atletas!J133="Gunshu Adulto",58,IF(Atletas!J133="Qiangshu Adulto",59,IF(Atletas!J133="Nangun Adulto",60,IF(Atletas!J133="Taijishan Grupo B",61,IF(Atletas!J133="Taijishan Grupo A",62,""))))))))))))))))))))))</f>
        <v/>
      </c>
      <c r="BM142" s="50" t="str">
        <f>IF(Atletas!K133="","",IF(Atletas!B133="Feminino",100,IF(Atletas!B133="Masculino",200,""))+(IF(Atletas!K133="Equipe 1 Grupo B",1,IF(Atletas!K133="Equipe 2 Grupo B",2,IF(Atletas!K133="Equipe 1 Grupo A",3,IF(Atletas!K133="Equipe 2 Grupo A",4,IF(Atletas!K133="Equipe 1 Adulto",5,IF(Atletas!K133="Equipe 2 Adulto",6,""))))))))</f>
        <v/>
      </c>
      <c r="BR142" s="50" t="str">
        <f>IF(Atletas!L133="","",IF(Atletas!X133&lt;&gt;"",10000,0)+(IF(Atletas!B133="Feminino",1000,IF(Atletas!B133="Masculino",2000,""))+IF(Atletas!L133="Choylayfut A",1,IF(Atletas!L133="Hunggar A",2,IF(Atletas!L133="Wuzuquan A",3,IF(Atletas!L133="Wingchun A",4,IF(Atletas!L133="Outra Mão de Sul A",5,IF(Atletas!L133="Choylayfut B",6,IF(Atletas!L133="Hunggar B",7,IF(Atletas!L133="Wuzuquan B",8,IF(Atletas!L133="Wingchun B",9,IF(Atletas!L133="Outra Mão de Sul B",10,IF(Atletas!L133="Choylayfut C",11,IF(Atletas!L133="Hunggar C",12,IF(Atletas!L133="Wuzuquan C",13,IF(Atletas!L133="Wingchun C",14,IF(Atletas!L133="Outra Mão de Sul C",15,IF(Atletas!L133="Choylayfut D",16,IF(Atletas!L133="Hunggar D",17,IF(Atletas!L133="Wuzuquan D",18,IF(Atletas!L133="Wingchun D",19,IF(Atletas!L133="Outra Mão de Sul D",20,IF(Atletas!L133="Choylayfut E",21,IF(Atletas!L133="Hunggar E",22,IF(Atletas!L133="Wuzuquan E",23,IF(Atletas!L133="Wingchun E",24,IF(Atletas!L133="Outra Mão de Sul E",25,IF(Atletas!L133="Choylayfut F",26,IF(Atletas!L133="Hunggar F",27,IF(Atletas!L133="Wuzuquan F",28,IF(Atletas!L133="Wingchun F",29,IF(Atletas!L133="Outra Mão de Sul F",30,IF(Atletas!L133="Dishuquan A",31,IF(Atletas!L133="Dishuquan B",32,IF(Atletas!L133="Dishuquan C",33,IF(Atletas!L133="Dishuquan D",34,IF(Atletas!L133="Dishuquan E",35,IF(Atletas!L133="Dishuquan F",36,""))))))))))))))))))))))))))))))))))))))</f>
        <v/>
      </c>
      <c r="BS142" s="50" t="str">
        <f>IF(Atletas!M133="","",IF(Atletas!X133&lt;&gt;"",10000,0)+(IF(Atletas!B133="Feminino",1000,IF(Atletas!B133="Masculino",2000,""))+(IF(Atletas!M133="Chaquan A",101,IF(Atletas!M133="Emeiquan A",102,IF(Atletas!M133="Fanziquan A",103,IF(Atletas!M133="Huaquan A",104,IF(Atletas!M133="Hongquan A",105,IF(Atletas!M133="Paoquan A",106,IF(Atletas!M133="Piguaquan A",107,IF(Atletas!M133="Shaolinquan A",108,IF(Atletas!M133="Tanglangquan A",109,IF(Atletas!M133="Yingzhaoquan A",110,IF(Atletas!M133="Tongbeiquan A",111,IF(Atletas!M133="Wudangquan A",112,IF(Atletas!M133="Outros Estilos A",113,IF(Atletas!M133="Chaquan B",114,IF(Atletas!M133="Emeiquan B",115,IF(Atletas!M133="Fanziquan B",116,IF(Atletas!M133="Huaquan B",117,IF(Atletas!M133="Hongquan B",118,IF(Atletas!M133="Paoquan B",119,IF(Atletas!M133="Piguaquan B",120,IF(Atletas!M133="Shaolinquan B",121,IF(Atletas!M133="Tanglangquan B",122,IF(Atletas!M133="Yingzhaoquan B",123,IF(Atletas!M133="Tongbeiquan B",124,IF(Atletas!M133="Wudangquan B",125,IF(Atletas!M133="Outros Estilos B",126,IF(Atletas!M133="Chaquan C",127,IF(Atletas!M133="Emeiquan C",128,IF(Atletas!M133="Fanziquan C",129,IF(Atletas!M133="Huaquan C",130,IF(Atletas!M133="Hongquan C",131,IF(Atletas!M133="Paoquan C",132,IF(Atletas!M133="Piguaquan C",133,IF(Atletas!M133="Shaolinquan C",134,IF(Atletas!M133="Tanglangquan C",135,IF(Atletas!M133="Yingzhaoquan C",136,IF(Atletas!M133="Tongbeiquan C",137,IF(Atletas!M133="Wudangquan C",138,IF(Atletas!M133="Outros Estilos C",139,0))))))))))))))))))))))))))))))))))))))))))</f>
        <v/>
      </c>
      <c r="BT142" s="50" t="str">
        <f>IF(Atletas!M133="","",IF(Atletas!X133&lt;&gt;"",10000,0)+(IF(Atletas!B133="Feminino",1000,IF(Atletas!B133="Masculino",2000,""))+(IF(Atletas!M133="Chaquan D",140,IF(Atletas!M133="Emeiquan D",141,IF(Atletas!M133="Fanziquan D",142,IF(Atletas!M133="Huaquan D",143,IF(Atletas!M133="Hongquan D",144,IF(Atletas!M133="Paoquan D",145,IF(Atletas!M133="Piguaquan D",146,IF(Atletas!M133="Shaolinquan D",147,IF(Atletas!M133="Tanglangquan D",148,IF(Atletas!M133="Yingzhaoquan D",149,IF(Atletas!M133="Tongbeiquan D",150,IF(Atletas!M133="Wudangquan D",151,IF(Atletas!M133="Outros Estilos D",152,IF(Atletas!M133="Chaquan E",153,IF(Atletas!M133="Emeiquan E",154,IF(Atletas!M133="Fanziquan E",155,IF(Atletas!M133="Huaquan E",156,IF(Atletas!M133="Hongquan E",157,IF(Atletas!M133="Paoquan E",158,IF(Atletas!M133="Piguaquan E",159,IF(Atletas!M133="Shaolinquan E",160,IF(Atletas!M133="Tanglangquan E",161,IF(Atletas!M133="Yingzhaoquan E",162,IF(Atletas!M133="Tongbeiquan E",163,IF(Atletas!M133="Wudangquan E",164,IF(Atletas!M133="Outros Estilos E",165,IF(Atletas!M133="Chaquan F",166,IF(Atletas!M133="Emeiquan F",167,IF(Atletas!M133="Fanziquan F",168,IF(Atletas!M133="Huaquan F",169,IF(Atletas!M133="Hongquan F",170,IF(Atletas!M133="Paoquan F",171,IF(Atletas!M133="Piguaquan F",172,IF(Atletas!M133="Shaolinquan F",173,IF(Atletas!M133="Tanglangquan F",174,IF(Atletas!M133="Yingzhaoquan F",175,IF(Atletas!M133="Tongbeiquan F",176,IF(Atletas!M133="Wudangquan F",177,IF(Atletas!M133="Outros Estilos F",178,0))))))))))))))))))))))))))))))))))))))))))</f>
        <v/>
      </c>
      <c r="BU142" s="50" t="str">
        <f>IF(Atletas!N133="","",IF(Atletas!X133&lt;&gt;"",10000,0)+(IF(Atletas!B133="Feminino",1000,IF(Atletas!B133="Masculino",2000,""))+(IF(Atletas!N133="Ditangquan A",201,IF(Atletas!N133="Houquan A",202,IF(Atletas!N133="Zuiquan A",203,IF(Atletas!N133="Ditangquan B",204,IF(Atletas!N133="Houquan B",205,IF(Atletas!N133="Zuiquan B",206,IF(Atletas!N133="Ditangquan C",207,IF(Atletas!N133="Houquan C",208,IF(Atletas!N133="Zuiquan C",209,IF(Atletas!N133="Ditangquan D",210,IF(Atletas!N133="Houquan D",211,IF(Atletas!N133="Zuiquan D",212,IF(Atletas!N133="Ditangquan E",213,IF(Atletas!N133="Houquan E",214,IF(Atletas!N133="Zuiquan E",215,IF(Atletas!N133="Ditangquan F",216,IF(Atletas!N133="Houquan F",217,IF(Atletas!N133="Zuiquan F",218,"")))))))))))))))))))))</f>
        <v/>
      </c>
      <c r="BV142" s="50" t="str">
        <f>IF(Atletas!O133="","",IF(Atletas!X133&lt;&gt;"",10000,0)+IF(Atletas!B133="Feminino",1000,IF(Atletas!B133="Masculino",2000,""))+IF(Atletas!O133="Yang A",301,IF(Atletas!O133="Chen A",302,IF(Atletas!O133="Sun A",303,IF(Atletas!O133="Wu A",304,IF(Atletas!O133="Wu-Hao A",305,IF(Atletas!O133="Outro Taijiquan A",306,IF(Atletas!O133="Yang B",307,IF(Atletas!O133="Chen B",308,IF(Atletas!O133="Sun B",309,IF(Atletas!O133="Wu B",310,IF(Atletas!O133="Wu-Hao B",311,IF(Atletas!O133="Outro Taijiquan B",312,IF(Atletas!O133="Yang C",313,IF(Atletas!O133="Chen C",314,IF(Atletas!O133="Sun C",315,IF(Atletas!O133="Wu C",316,IF(Atletas!O133="Wu-Hao C",317,IF(Atletas!O133="Outro Taijiquan C",318,IF(Atletas!O133="Yang D",319,IF(Atletas!O133="Chen D",320,IF(Atletas!O133="Sun D",321,IF(Atletas!O133="Wu D",322,IF(Atletas!O133="Wu-Hao D",323,IF(Atletas!O133="Outro Taijiquan D",324,IF(Atletas!O133="Yang E",325,IF(Atletas!O133="Chen E",326,IF(Atletas!O133="Sun E",327,IF(Atletas!O133="Wu E",328,IF(Atletas!O133="Wu-Hao E",329,IF(Atletas!O133="Outro Taijiquan E",330,IF(Atletas!O133="Yang F",331,IF(Atletas!O133="Chen F",332,IF(Atletas!O133="Sun F",333,IF(Atletas!O133="Wu F",334,IF(Atletas!O133="Wu-Hao F",335,IF(Atletas!O133="Outro Taijiquan F",336,"")))))))))))))))))))))))))))))))))))))</f>
        <v/>
      </c>
      <c r="BW142" s="50" t="str">
        <f>IF(Atletas!P133="","",IF(Atletas!X133&lt;&gt;"",10000,0)+IF(Atletas!B133="Feminino",1000,IF(Atletas!B133="Masculino",2000,""))+IF(OR(Atletas!P133="Yang 26 A",Atletas!P133="Yang 40 A"),401,IF(OR(Atletas!P133="Chen 25 A",Atletas!P133="Chen 36 A",Atletas!P133="Chen 56 A"),402,IF(Atletas!P133="Sun 73 A",403,IF(Atletas!P133="Wu 45 A",404,IF(Atletas!P133="Wu-Hao 46 A",405,IF(OR(Atletas!P133="Taijiquan 16 A",Atletas!P133="Taijiquan 24 A",Atletas!P133="Taijiquan 32 A",Atletas!P133="Taijiquan 42 A"),406,IF(OR(Atletas!P133="Yang 26 B",Atletas!P133="Yang 40 B"),407,IF(OR(Atletas!P133="Chen 25 B",Atletas!P133="Chen 36 B",Atletas!P133="Chen 56 B"),408,IF(Atletas!P133="Sun 73 B",409,IF(Atletas!P133="Wu 45 B",410,IF(Atletas!P133="Wu-Hao 46 B",411,IF(OR(Atletas!P133="Taijiquan 16 B",Atletas!P133="Taijiquan 24 B",Atletas!P133="Taijiquan 32 B",Atletas!P133="Taijiquan 42 B"),412,IF(OR(Atletas!P133="Yang 26 C",Atletas!P133="Yang 40 C"),413,IF(OR(Atletas!P133="Chen 25 C",Atletas!P133="Chen 36 C",Atletas!P133="Chen 56 C"),414,IF(Atletas!P133="Sun 73 C",415,IF(Atletas!P133="Wu 45 C",416,IF(Atletas!P133="Wu-Hao 46 C",417,IF(OR(Atletas!P133="Taijiquan 16 C",Atletas!P133="Taijiquan 24 C",Atletas!P133="Taijiquan 32 C",Atletas!P133="Taijiquan 42 C"),418,0)))))))))))))))))))</f>
        <v/>
      </c>
      <c r="BX142" s="50" t="str">
        <f>IF(Atletas!P133="","",IF(Atletas!X133&lt;&gt;"",10000,0)+IF(Atletas!B133="Feminino",1000,IF(Atletas!B133="Masculino",2000,""))+IF(OR(Atletas!P133="Yang 26 D",Atletas!P133="Yang 40 D"),419,IF(OR(Atletas!P133="Chen 25 D",Atletas!P133="Chen 36 D",Atletas!P133="Chen 56 D"),420,IF(Atletas!P133="Sun 73 D",421,IF(Atletas!P133="Wu 45 D",422,IF(Atletas!P133="Wu-Hao 46 D",423,IF(OR(Atletas!P133="Taijiquan 16 D",Atletas!P133="Taijiquan 24 D",Atletas!P133="Taijiquan 32 D",Atletas!P133="Taijiquan 42 D"),424,IF(OR(Atletas!P133="Yang 26 E",Atletas!P133="Yang 40 E"),425,IF(OR(Atletas!P133="Chen 25 E",Atletas!P133="Chen 36 E",Atletas!P133="Chen 56 E"),426,IF(Atletas!P133="Sun 73 E",427,IF(Atletas!P133="Wu 45 E",428,IF(Atletas!P133="Wu-Hao 46 E",429,IF(OR(Atletas!P133="Taijiquan 16 E",Atletas!P133="Taijiquan 24 E",Atletas!P133="Taijiquan 32 E",Atletas!P133="Taijiquan 42 E"),430,IF(OR(Atletas!P133="Yang 26 F",Atletas!P133="Yang 40 F"),431,IF(OR(Atletas!P133="Chen 25 F",Atletas!P133="Chen 36 F",Atletas!P133="Chen 56 F"),432,IF(Atletas!P133="Sun 73 F",433,IF(Atletas!P133="Wu 45 F",434,IF(Atletas!P133="Wu-Hao 46 F",435,IF(OR(Atletas!P133="Taijiquan 16 F",Atletas!P133="Taijiquan 24 F",Atletas!P133="Taijiquan 32 F",Atletas!P133="Taijiquan 42 F"),436,0)))))))))))))))))))</f>
        <v/>
      </c>
      <c r="BY142" s="50" t="str">
        <f>IF(Atletas!Q133="","",IF(Atletas!X133&lt;&gt;"",10000,0)+IF(Atletas!B133="Feminino",1000,IF(Atletas!B133="Masculino",2000,""))+IF(Atletas!Q133="Xingyiquan A",501,IF(Atletas!Q133="Baguazhang A",502,IF(Atletas!Q133="Outro Estilo Interno A",503,IF(Atletas!Q133="Xingyiquan B",504,IF(Atletas!Q133="Baguazhang B",505,IF(Atletas!Q133="Outro Estilo Interno B",506,IF(Atletas!Q133="Xingyiquan C",507,IF(Atletas!Q133="Baguazhang C",508,IF(Atletas!Q133="Outro Estilo Interno C",509,IF(Atletas!Q133="Xingyiquan D",510,IF(Atletas!Q133="Baguazhang D",511,IF(Atletas!Q133="Outro Estilo Interno D",512,IF(Atletas!Q133="Xingyiquan E",513,IF(Atletas!Q133="Baguazhang E",514,IF(Atletas!Q133="Outro Estilo Interno E",515,IF(Atletas!Q133="Xingyiquan F",516,IF(Atletas!Q133="Baguazhang F",517,IF(Atletas!Q133="Outro Estilo Interno F",518, "")))))))))))))))))))</f>
        <v/>
      </c>
      <c r="BZ142" s="50" t="str">
        <f>IF(Atletas!R133="","",IF(Atletas!X133&lt;&gt;"",10000,0)+IF(Atletas!B133="Feminino",1000,IF(Atletas!B133="Masculino",2000,""))+IF(Atletas!R133="Dao A",601,IF(Atletas!R133="Jian A",602,IF(Atletas!R133="Bishou A",603,IF(Atletas!R133="Shanzi A",604,IF(Atletas!R133="Outra Arma Curta A",605,IF(Atletas!R133="Dao B",606,IF(Atletas!R133="Jian B",607,IF(Atletas!R133="Bishou B",608,IF(Atletas!R133="Shanzi B",609,IF(Atletas!R133="Outra Arma Curta B",610,IF(Atletas!R133="Dao C",611,IF(Atletas!R133="Jian C",612,IF(Atletas!R133="Bishou C",613,IF(Atletas!R133="Shanzi C",614,IF(Atletas!R133="Outra Arma Curta C",615,IF(Atletas!R133="Dao D",616,IF(Atletas!R133="Jian D",617,IF(Atletas!R133="Bishou D",618,IF(Atletas!R133="Shanzi D",619,IF(Atletas!R133="Outra Arma Curta D",620,IF(Atletas!R133="Dao E",621,IF(Atletas!R133="Jian E",622,IF(Atletas!R133="Bishou E",623,IF(Atletas!R133="Shanzi E",624,IF(Atletas!R133="Outra Arma Curta E",625,IF(Atletas!R133="Dao F",626,IF(Atletas!R133="Jian F",627,IF(Atletas!R133="Bishou F",628,IF(Atletas!R133="Shanzi F",629,IF(Atletas!R133="Outra Arma Curta F",630, "")))))))))))))))))))))))))))))))</f>
        <v/>
      </c>
      <c r="CA142" s="50" t="str">
        <f>IF(Atletas!S133="","",IF(Atletas!X133&lt;&gt;"",10000,0)+IF(Atletas!B133="Feminino",1000,IF(Atletas!B133="Masculino",2000,""))+IF(Atletas!S133="Gun A",701,IF(Atletas!S133="Qiang A",702,IF(Atletas!S133="Pudao / Guandao A",703,IF(Atletas!S133="Outra Arma Longa A",704,IF(Atletas!S133="Gun B",705,IF(Atletas!S133="Qiang B",706,IF(Atletas!S133="Pudao / Guandao B",707,IF(Atletas!S133="Outra Arma Longa B",708,IF(Atletas!S133="Gun C",709,IF(Atletas!S133="Qiang C",710,IF(Atletas!S133="Pudao / Guandao C",711,IF(Atletas!S133="Outra Arma Longa C",712,IF(Atletas!S133="Gun D",713,IF(Atletas!S133="Qiang D",714,IF(Atletas!S133="Pudao / Guandao D",715,IF(Atletas!S133="Outra Arma Longa D",716,IF(Atletas!S133="Gun E",717,IF(Atletas!S133="Qiang E",718,IF(Atletas!S133="Pudao / Guandao E",719,IF(Atletas!S133="Outra Arma Longa E",720,IF(Atletas!S133="Gun F",721,IF(Atletas!S133="Qiang F",722,IF(Atletas!S133="Pudao / Guandao F",723,IF(Atletas!S133="Outra Arma Longa F",724,"")))))))))))))))))))))))))</f>
        <v/>
      </c>
      <c r="CB142" s="50" t="str">
        <f>IF(Atletas!T133="","",IF(Atletas!X133&lt;&gt;"",10000,0)+IF(Atletas!B133="Feminino",1000,IF(Atletas!B133="Masculino",2000,""))+IF(Atletas!T133="Outra Arma Dupla A",801,IF(Atletas!T133="Arma Maleável A",802,IF(Atletas!T133="Outra Arma Dupla B",803,IF(Atletas!T133="Arma Maleável B",804,IF(Atletas!T133="Outra Arma Dupla C",805,IF(Atletas!T133="Arma Maleável C",806,IF(Atletas!T133="Outra Arma Dupla D",807,IF(Atletas!T133="Arma Maleável D",808,IF(Atletas!T133="Outra Arma Dupla E",809,IF(Atletas!T133="Arma Maleável E",810,IF(Atletas!T133="Outra Arma Dupla F",811,IF(Atletas!T133="Arma Maleável F",812,IF(Atletas!T133="Shuangdao A",813,IF(Atletas!T133="Shuangdao B",814,IF(Atletas!T133="Shuangdao C",815,IF(Atletas!T133="Shuangdao D",816,IF(Atletas!T133="Shuangdao E",817,IF(Atletas!T133="Shuangdao F",818,"")))))))))))))))))))</f>
        <v/>
      </c>
      <c r="CC142" s="50" t="str">
        <f>IF(Atletas!U133="","",IF(Atletas!X133&lt;&gt;"",10000,0)+IF(Atletas!B133="Feminino",1000,IF(Atletas!B133="Masculino",2000,""))+IF(OR(Atletas!U133="Taijijian Yang A",Atletas!U133="Taijijian Yang Standard A"),901,IF(OR(Atletas!U133="Taijijian Chen A", Atletas!U133="Taijijian Chen Standard A"),902,IF(Atletas!U133="Taijijian Sun A",903,IF(Atletas!U133="Taijijian Wu A",904,IF(Atletas!U133="Taijijian Wu-Hao A",905,IF(OR(Atletas!U133="Taijijian 32 A",Atletas!U133="Taijijian 42 A"),906,IF(OR(Atletas!U133="Taijijian Yang B",Atletas!U133="Taijijian Yang Standard B"),907,IF(OR(Atletas!U133="Taijijian Chen B", Atletas!U133="Taijijian Chen Standard B"),908,IF(Atletas!U133="Taijijian Sun B",909,IF(Atletas!U133="Taijijian Wu B",910,IF(Atletas!U133="Taijijian Wu-Hao B",911,IF(OR(Atletas!U133="Taijijian 32 B",Atletas!U133="Taijijian 42 B"),912,IF(OR(Atletas!U133="Taijijian Yang C",Atletas!U133="Taijijian Yang Standard C"),913,IF(OR(Atletas!U133="Taijijian Chen C", Atletas!U133="Taijijian Chen Standard C"),914,IF(Atletas!U133="Taijijian Sun C",915,IF(Atletas!U133="Taijijian Wu C",916,IF(Atletas!U133="Taijijian Wu-Hao C",917,IF(OR(Atletas!U133="Taijijian 32 C",Atletas!U133="Taijijian 42 C"),918,IF(OR(Atletas!U133="Taijijian Yang D",Atletas!U133="Taijijian Yang Standard D"),919,IF(OR(Atletas!U133="Taijijian Chen D", Atletas!U133="Taijijian Chen Standard D"),920,IF(Atletas!U133="Taijijian Sun D",921,IF(Atletas!U133="Taijijian Wu D",922,IF(Atletas!U133="Taijijian Wu-Hao D",923,IF(OR(Atletas!U133="Taijijian 32 D",Atletas!U133="Taijijian 42 D"),924,IF(OR(Atletas!U133="Taijijian Yang E",Atletas!U133="Taijijian Yang Standard E"),925,IF(OR(Atletas!U133="Taijijian Chen E", Atletas!U133="Taijijian Chen Standard E"),926,IF(Atletas!U133="Taijijian Sun E",927,IF(Atletas!U133="Taijijian Wu E",928,IF(Atletas!U133="Taijijian Wu-Hao E",929,IF(OR(Atletas!U133="Taijijian 32 E",Atletas!U133="Taijijian 42 E"),930,IF(OR(Atletas!U133="Taijijian Yang F",Atletas!U133="Taijijian Yang Standard F"),931,IF(OR(Atletas!U133="Taijijian Chen F", Atletas!U133="Taijijian Chen Standard F"),932,IF(Atletas!U133="Taijijian Sun F",933,IF(Atletas!U133="Taijijian Wu F",934,IF(Atletas!U133="Taijijian Wu-Hao F",935,IF(OR(Atletas!U133="Taijijian 32 F",Atletas!U133="Taijijian 42 F"),936,"")))))))))))))))))))))))))))))))))))))</f>
        <v/>
      </c>
      <c r="CD142" s="50" t="str">
        <f>IF(Atletas!V133="","",IF(Atletas!X133&lt;&gt;"",10000,0)+IF(Atletas!B133="Feminino",1000,IF(Atletas!B133="Masculino",2000,""))+IF(Atletas!V133="Taijidao A",937,IF(Atletas!V133="TaijiShanzi A",938,IF(Atletas!V133="Taijiqiang A",939,IF(Atletas!V133="Bagua de Arma A",940,IF(Atletas!V133="Xingyi de Arma A",941,IF(Atletas!V133="Taijidao B",942,IF(Atletas!V133="TaijiShanzi B",943,IF(Atletas!V133="Taijiqiang B",944,IF(Atletas!V133="Bagua de Arma B",945,IF(Atletas!V133="Xingyi de Arma B",946,IF(Atletas!V133="Taijidao C",947,IF(Atletas!V133="TaijiShanzi C",948,IF(Atletas!V133="Taijiqiang C",949,IF(Atletas!V133="Bagua de Arma C",950,IF(Atletas!V133="Xingyi de Arma C",951,IF(Atletas!V133="Taijidao D",952,IF(Atletas!V133="TaijiShanzi D",953,IF(Atletas!V133="Taijiqiang D",954,IF(Atletas!V133="Bagua de Arma D",955,IF(Atletas!V133="Xingyi de Arma D",956,IF(Atletas!V133="Taijidao E",957,IF(Atletas!V133="TaijiShanzi E",958,IF(Atletas!V133="Taijiqiang E",959,IF(Atletas!V133="Bagua de Arma E",960,IF(Atletas!V133="Xingyi de Arma E",961,IF(Atletas!V133="Taijidao F",962,IF(Atletas!V133="TaijiShanzi F",963,IF(Atletas!V133="Taijiqiang F",964,IF(Atletas!V133="Bagua de Arma F",965,IF(Atletas!V133="Xingyi de Arma F",966,"")))))))))))))))))))))))))))))))</f>
        <v/>
      </c>
      <c r="CE142" s="66" t="str">
        <f>IF(CF142&lt;&gt;"","TJQ Trad. Wu A","")</f>
        <v/>
      </c>
      <c r="CF142" s="66" t="str">
        <f>IF(COUNTIF(BR:CD,1304)&gt;0,COUNTIF(BR:CD,1304),"")</f>
        <v/>
      </c>
      <c r="CG142" s="66" t="str">
        <f>IF(CH142&lt;&gt;"","TJQ Trad. Wu A","")</f>
        <v/>
      </c>
      <c r="CH142" s="66" t="str">
        <f>IF(COUNTIF(BR:CD,2304)&gt;0,COUNTIF(BR:CD,2304),"")</f>
        <v/>
      </c>
      <c r="CI142" s="66" t="str">
        <f>IF(CJ142&lt;&gt;"","TJQ Trad. Wu B","")</f>
        <v/>
      </c>
      <c r="CJ142" s="66" t="str">
        <f>IF(COUNTIF(BR:CD,11310)&gt;0,COUNTIF(BR:CD,11310),"")</f>
        <v/>
      </c>
      <c r="CK142" s="66" t="str">
        <f>IF(CL142&lt;&gt;"","TJQ Trad. Wu B","")</f>
        <v/>
      </c>
      <c r="CL142" s="66" t="str">
        <f>IF(COUNTIF(BR:CD,12310)&gt;0,COUNTIF(BR:CD,12310),"")</f>
        <v/>
      </c>
      <c r="CM142" s="50" t="str">
        <f xml:space="preserve"> IF(Atletas!W133="","",IF(Atletas!W133="Duilian de Mãos BC - Equipe 1",1,IF(Atletas!W133="Duilian de Mãos BC - Equipe 2",2,IF(Atletas!W133="Duilian de Armas BC - Equipe 1",3,IF(Atletas!W133="Duilian de Armas BC - Equipe 2",4,IF(Atletas!W133="Duilian de Mãos DE - Equipe 1",5,IF(Atletas!W133="Duilian de Mãos DE - Equipe 2",6,IF(Atletas!W133="Duilian de Armas DE - Equipe 1",7,IF(Atletas!W133="Duilian de Armas DE - Equipe 2",8,IF(Atletas!W133="Duilian de Tuishou - Equipe 1",9,IF(Atletas!W133="Duilian de Tuishou - Equipe 2",10,IF(Atletas!W133="Grupo Externo ABC - Equipe 1",11,IF(Atletas!W133="Grupo Externo ABC - Equipe 2",12,IF(Atletas!W133="Grupo Interno ABC - Equipe 1",13,IF(Atletas!W133="Grupo Interno ABC - Equipe 2",14,IF(Atletas!W133="Grupo Externo DEF - Equipe 1",15,IF(Atletas!W133="Grupo Externo DEF - Equipe 2",16,IF(Atletas!W133="Grupo Interno DEF - Equipe 1",17,IF(Atletas!W133="Grupo Interno DEF - Equipe 2",18,"")))))))))))))))))))</f>
        <v/>
      </c>
    </row>
    <row r="143" spans="2:91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 t="str">
        <f t="array" ref="Z143">IFERROR(INDEX(CE$7:CE$348,SMALL(IF(CE$7:CE$348&lt;&gt;"",ROW(CE$7:CE$348)-ROW(CE$7)+1),ROWS(CE$7:CE142))),"")</f>
        <v/>
      </c>
      <c r="AA143" s="3" t="str">
        <f t="array" ref="AA143">IFERROR(INDEX(CF$7:CF$348,SMALL(IF(CF$7:CF$348&lt;&gt;"",ROW(CF$7:CF$348)-ROW(CF$7)+1),ROWS(CF$7:CF142))),"")</f>
        <v/>
      </c>
      <c r="AB143" s="3" t="str">
        <f t="array" ref="AB143">IFERROR(INDEX(CG$7:CG$348,SMALL(IF(CG$7:CG$348&lt;&gt;"",ROW(CG$7:CG$348)-ROW(CG$7)+1),ROWS(CG$7:CG142))),"")</f>
        <v/>
      </c>
      <c r="AC143" s="3" t="str">
        <f t="array" ref="AC143">IFERROR(INDEX(CH$7:CH$348,SMALL(IF(CH$7:CH$348&lt;&gt;"",ROW(CH$7:CH$348)-ROW(CH$7)+1),ROWS(CH$7:CH142))),"")</f>
        <v/>
      </c>
      <c r="AD143" s="3" t="str">
        <f t="array" ref="AD143">IFERROR(INDEX(CI$7:CI$377,SMALL(IF(CI$7:CI$377&lt;&gt;"",ROW(CI$7:CI$377)-ROW(CI$7)+1),ROWS(CI$7:CI142))),"")</f>
        <v/>
      </c>
      <c r="AE143" s="3" t="str">
        <f t="array" ref="AE143">IFERROR(INDEX(CJ$7:CJ$378,SMALL(IF(CJ$7:CJ$378&lt;&gt;"",ROW(CJ$7:CJ$378)-ROW(CJ$7)+1),ROWS(CJ$7:CJ142))),"")</f>
        <v/>
      </c>
      <c r="AF143" s="3" t="str">
        <f t="array" ref="AF143">IFERROR(INDEX(CK$7:CK$378,SMALL(IF(CK$7:CK$378&lt;&gt;"",ROW(CK$7:CK$378)-ROW(CK$7)+1),ROWS(CK$7:CK142))),"")</f>
        <v/>
      </c>
      <c r="AG143" s="3" t="str">
        <f t="array" ref="AG143">IFERROR(INDEX(CL$7:CL$378,SMALL(IF(CL$7:CL$378&lt;&gt;"",ROW(CL$7:CL$378)-ROW(CL$7)+1),ROWS(CL$7:CL142))),"")</f>
        <v/>
      </c>
      <c r="AH143" s="3"/>
      <c r="AI143" s="3"/>
      <c r="AJ143" s="3"/>
      <c r="AK143" s="3"/>
      <c r="AL143" s="3"/>
      <c r="AM143" s="3"/>
      <c r="AN143" s="52" t="str">
        <f>IF(Atletas!D134="","",IF(Atletas!B134="Feminino",100,IF(Atletas!B134="Masculino",200,""))+(IF(Atletas!D134="Kids 30kg",1,IF(Atletas!D134="Kids 32kg",2, IF(Atletas!D134="Kids 34kg",3,IF(Atletas!D134="Kids 36kg",4,IF(Atletas!D134="Kids 39kg",5,IF(Atletas!D134="Kids 42kg",6,IF(Atletas!D134="Kids 45kg",7, IF(Atletas!D134="Infantil 39kg",8,IF(Atletas!D134="Infantil 42kg",9,IF(Atletas!D134="Infantil 45kg",10,IF(Atletas!D134="Infantil 48kg",11,IF(Atletas!D134="Infantil 52kg",12,IF(Atletas!D134="Infantil 56kg",13,IF(Atletas!D134="Infantil 60kg",14,IF(Atletas!D134="Juvenil 48kg",15,IF(Atletas!D134="Juvenil 52kg",16,IF(Atletas!D134="Juvenil 56kg",17,IF(Atletas!D134="Juvenil 60kg",18,IF(Atletas!D134="Juvenil 65kg",19,IF(Atletas!D134="Juvenil 70kg",20,IF(Atletas!D134="Juvenil 75kg",21,IF(Atletas!D134="Juvenil 80kg",22, IF(Atletas!D134="Juvenil 85kg",23,IF(Atletas!D134="Adulto 48kg",24,IF(Atletas!D134="Adulto 52kg",25,IF(Atletas!D134="Adulto 56kg",26,IF(Atletas!D134="Adulto 60kg",27,IF(Atletas!D134="Adulto 65kg",28,IF(Atletas!D134="Adulto 70kg",29,IF(Atletas!D134="Adulto 75kg",30,IF(Atletas!D134="Adulto 80kg",31,IF(Atletas!D134="Adulto 85kg",32,IF(Atletas!D134="Adulto 90kg",33,IF(Atletas!D134="Adulto 100kg",34, IF(Atletas!D134="Adulto +100kg",35,"")))))))))))))))))))))))))))))))))))))</f>
        <v/>
      </c>
      <c r="AS143" s="6" t="str">
        <f>IF(Atletas!E134="","",IF(Atletas!B134="Feminino",100,IF(Atletas!B134="Masculino",200,""))+(IF(Atletas!E134="Juvenil 44kg",1,IF(Atletas!E134="Juvenil 48kg",2,IF(Atletas!E134="Juvenil 52kg",3,IF(Atletas!E134="Juvenil 56kg",4,IF(Atletas!E134="Juvenil 60kg",5,IF(Atletas!E134="Juvenil 65kg",6,IF(Atletas!E134="Juvenil 70kg",7,IF(Atletas!E134="Juvenil 75kg",8,IF(Atletas!E134="Juvenil 82kg",9,IF(Atletas!E134="Juvenil 90kg",10,IF(Atletas!E134="Juvenil 100kg",11,IF(Atletas!E134="Adulto 48kg",12,IF(Atletas!E134="Adulto 52kg",13,IF(Atletas!E134="Adulto 56kg",14,IF(Atletas!E134="Adulto 60kg",15,IF(Atletas!E134="Adulto 65kg",16,IF(Atletas!E134="Adulto 70kg",17,IF(Atletas!E134="Adulto 75kg",18,IF(Atletas!E134="Adulto 82kg",19,IF(Atletas!E134="Adulto 90kg",20,IF(Atletas!E134="Adulto 100kg",21,IF(Atletas!E134="Adulto +100kg",22,""))))))))))))))))))))))))</f>
        <v/>
      </c>
      <c r="AX143" s="6" t="str">
        <f>IF(Atletas!F134="","",IF(Atletas!B134="Feminino",100,IF(Atletas!B134="Masculino",200,""))+(IF(Atletas!F134="Adulto 48kg",1,IF(Atletas!F134="Adulto 56kg",2,IF(Atletas!F134="Adulto 65kg",3,IF(Atletas!F134="Adulto 75kg",4,IF(Atletas!F134="Adulto +75kg",5,IF(Atletas!F134="Adulto 52kg",6,IF(Atletas!F134="Adulto 60kg",7,IF(Atletas!F134="Adulto 70kg",8,IF(Atletas!F134="Adulto 80kg",9,IF(Atletas!F134="Adulto 90kg",10,IF(Atletas!F134="Adulto +90kg",11,"")))))))))))))</f>
        <v/>
      </c>
      <c r="BC143" s="6" t="str">
        <f>IF(Atletas!G134="","",IF(Atletas!B134="Feminino",10,IF(Atletas!B134="Masculino",20,""))+(IF(Atletas!G134="Baduanjin A",1,IF(Atletas!G134="Baduanjin B",2))))</f>
        <v/>
      </c>
      <c r="BF143" s="52" t="str">
        <f>IF(Atletas!H134="","",IF(Atletas!B134="Feminino",100,IF(Atletas!B134="Masculino",200,""))+(IF(Atletas!H134="Changquan Mirim",1,IF(Atletas!H134="Nanquan Mirim",2,IF(Atletas!H134="Taijiquan Mirim",3,IF(Atletas!H134="Changquan Grupo C",4,IF(Atletas!H134="Nanquan Grupo C",5,IF(Atletas!H134="Taijiquan Grupo C",6,IF(Atletas!H134="Changquan Grupo B",7,IF(Atletas!H134="Nanquan Grupo B",8,IF(Atletas!H134="Taijiquan Grupo B",9,IF(Atletas!H134="Changquan Grupo A",10,IF(Atletas!H134="Nanquan Grupo A",11,IF(Atletas!H134="Taijiquan Grupo A",12,IF(Atletas!H134="Changquan Opcional",13,IF(Atletas!H134="Nanquan Opcional",14,IF(Atletas!H134="Taijiquan Opcional",15,IF(Atletas!H134="Changquan Adulto",16,IF(Atletas!H134="Nanquan Adulto",17,IF(Atletas!H134="Taijiquan Adulto",18,""))))))))))))))))))))</f>
        <v/>
      </c>
      <c r="BG143" s="52" t="str">
        <f>IF(Atletas!I134="","",IF(Atletas!B134="Feminino",100,IF(Atletas!B134="Masculino",200,""))+(IF(Atletas!I134="Daoshu Mirim",19,IF(Atletas!I134="Jianshu Mirim",20,IF(Atletas!I134="Nandao Mirim",21,IF(Atletas!I134="Taijijian Mirim",22,IF(Atletas!I134="Daoshu Grupo C",23,IF(Atletas!I134="Jianshu Grupo C",24,IF(Atletas!I134="Nandao Grupo C",25,IF(Atletas!I134="Taijijian Grupo C",26,IF(Atletas!I134="Daoshu Grupo B",27,IF(Atletas!I134="Jianshu Grupo B",28,IF(Atletas!I134="Nandao Grupo B",29,IF(Atletas!I134="Taijijian Grupo B",30,IF(Atletas!I134="Daoshu Grupo A",31,IF(Atletas!I134="Jianshu Grupo A",32,IF(Atletas!I134="Nandao Grupo A",33,IF(Atletas!I134="Taijijian Grupo A",34,IF(Atletas!I134="Daoshu Opcional",35,IF(Atletas!I134="Jianshu Opcional",36,IF(Atletas!I134="Nandao Opcional",37,IF(Atletas!I134="Taijijian Opcional",38,IF(Atletas!I134="Daoshu Adulto",39,IF(Atletas!I134="Jianshu Adulto",40,IF(Atletas!I134="Nandao Adulto",41,IF(Atletas!I134="Taijijian Adulto",42,""))))))))))))))))))))))))))</f>
        <v/>
      </c>
      <c r="BH143" s="52" t="str">
        <f>IF(Atletas!J134="","",IF(Atletas!B134="Feminino",100,IF(Atletas!B134="Masculino",200,""))+(IF(Atletas!J134="Gunshu Mirim",43,IF(Atletas!J134="Qiangshu Mirim",44,IF(Atletas!J134="Nangun Mirim",45,IF(Atletas!J134="Gunshu Grupo C",46,IF(Atletas!J134="Qiangshu Grupo C",47,IF(Atletas!J134="Nangun Grupo C",48,IF(Atletas!J134="Gunshu Grupo B",49,IF(Atletas!J134="Qiangshu Grupo B",50,IF(Atletas!J134="Nangun Grupo B",51,IF(Atletas!J134="Gunshu Grupo A",52,IF(Atletas!J134="Qiangshu Grupo A",53,IF(Atletas!J134="Nangun Grupo A",54,IF(Atletas!J134="Gunshu Opcional",55,IF(Atletas!J134="Qiangshu Opcional",56,IF(Atletas!J134="Nangun Opcional",57,IF(Atletas!J134="Gunshu Adulto",58,IF(Atletas!J134="Qiangshu Adulto",59,IF(Atletas!J134="Nangun Adulto",60,IF(Atletas!J134="Taijishan Grupo B",61,IF(Atletas!J134="Taijishan Grupo A",62,""))))))))))))))))))))))</f>
        <v/>
      </c>
      <c r="BM143" s="50" t="str">
        <f>IF(Atletas!K134="","",IF(Atletas!B134="Feminino",100,IF(Atletas!B134="Masculino",200,""))+(IF(Atletas!K134="Equipe 1 Grupo B",1,IF(Atletas!K134="Equipe 2 Grupo B",2,IF(Atletas!K134="Equipe 1 Grupo A",3,IF(Atletas!K134="Equipe 2 Grupo A",4,IF(Atletas!K134="Equipe 1 Adulto",5,IF(Atletas!K134="Equipe 2 Adulto",6,""))))))))</f>
        <v/>
      </c>
      <c r="BR143" s="50" t="str">
        <f>IF(Atletas!L134="","",IF(Atletas!X134&lt;&gt;"",10000,0)+(IF(Atletas!B134="Feminino",1000,IF(Atletas!B134="Masculino",2000,""))+IF(Atletas!L134="Choylayfut A",1,IF(Atletas!L134="Hunggar A",2,IF(Atletas!L134="Wuzuquan A",3,IF(Atletas!L134="Wingchun A",4,IF(Atletas!L134="Outra Mão de Sul A",5,IF(Atletas!L134="Choylayfut B",6,IF(Atletas!L134="Hunggar B",7,IF(Atletas!L134="Wuzuquan B",8,IF(Atletas!L134="Wingchun B",9,IF(Atletas!L134="Outra Mão de Sul B",10,IF(Atletas!L134="Choylayfut C",11,IF(Atletas!L134="Hunggar C",12,IF(Atletas!L134="Wuzuquan C",13,IF(Atletas!L134="Wingchun C",14,IF(Atletas!L134="Outra Mão de Sul C",15,IF(Atletas!L134="Choylayfut D",16,IF(Atletas!L134="Hunggar D",17,IF(Atletas!L134="Wuzuquan D",18,IF(Atletas!L134="Wingchun D",19,IF(Atletas!L134="Outra Mão de Sul D",20,IF(Atletas!L134="Choylayfut E",21,IF(Atletas!L134="Hunggar E",22,IF(Atletas!L134="Wuzuquan E",23,IF(Atletas!L134="Wingchun E",24,IF(Atletas!L134="Outra Mão de Sul E",25,IF(Atletas!L134="Choylayfut F",26,IF(Atletas!L134="Hunggar F",27,IF(Atletas!L134="Wuzuquan F",28,IF(Atletas!L134="Wingchun F",29,IF(Atletas!L134="Outra Mão de Sul F",30,IF(Atletas!L134="Dishuquan A",31,IF(Atletas!L134="Dishuquan B",32,IF(Atletas!L134="Dishuquan C",33,IF(Atletas!L134="Dishuquan D",34,IF(Atletas!L134="Dishuquan E",35,IF(Atletas!L134="Dishuquan F",36,""))))))))))))))))))))))))))))))))))))))</f>
        <v/>
      </c>
      <c r="BS143" s="50" t="str">
        <f>IF(Atletas!M134="","",IF(Atletas!X134&lt;&gt;"",10000,0)+(IF(Atletas!B134="Feminino",1000,IF(Atletas!B134="Masculino",2000,""))+(IF(Atletas!M134="Chaquan A",101,IF(Atletas!M134="Emeiquan A",102,IF(Atletas!M134="Fanziquan A",103,IF(Atletas!M134="Huaquan A",104,IF(Atletas!M134="Hongquan A",105,IF(Atletas!M134="Paoquan A",106,IF(Atletas!M134="Piguaquan A",107,IF(Atletas!M134="Shaolinquan A",108,IF(Atletas!M134="Tanglangquan A",109,IF(Atletas!M134="Yingzhaoquan A",110,IF(Atletas!M134="Tongbeiquan A",111,IF(Atletas!M134="Wudangquan A",112,IF(Atletas!M134="Outros Estilos A",113,IF(Atletas!M134="Chaquan B",114,IF(Atletas!M134="Emeiquan B",115,IF(Atletas!M134="Fanziquan B",116,IF(Atletas!M134="Huaquan B",117,IF(Atletas!M134="Hongquan B",118,IF(Atletas!M134="Paoquan B",119,IF(Atletas!M134="Piguaquan B",120,IF(Atletas!M134="Shaolinquan B",121,IF(Atletas!M134="Tanglangquan B",122,IF(Atletas!M134="Yingzhaoquan B",123,IF(Atletas!M134="Tongbeiquan B",124,IF(Atletas!M134="Wudangquan B",125,IF(Atletas!M134="Outros Estilos B",126,IF(Atletas!M134="Chaquan C",127,IF(Atletas!M134="Emeiquan C",128,IF(Atletas!M134="Fanziquan C",129,IF(Atletas!M134="Huaquan C",130,IF(Atletas!M134="Hongquan C",131,IF(Atletas!M134="Paoquan C",132,IF(Atletas!M134="Piguaquan C",133,IF(Atletas!M134="Shaolinquan C",134,IF(Atletas!M134="Tanglangquan C",135,IF(Atletas!M134="Yingzhaoquan C",136,IF(Atletas!M134="Tongbeiquan C",137,IF(Atletas!M134="Wudangquan C",138,IF(Atletas!M134="Outros Estilos C",139,0))))))))))))))))))))))))))))))))))))))))))</f>
        <v/>
      </c>
      <c r="BT143" s="50" t="str">
        <f>IF(Atletas!M134="","",IF(Atletas!X134&lt;&gt;"",10000,0)+(IF(Atletas!B134="Feminino",1000,IF(Atletas!B134="Masculino",2000,""))+(IF(Atletas!M134="Chaquan D",140,IF(Atletas!M134="Emeiquan D",141,IF(Atletas!M134="Fanziquan D",142,IF(Atletas!M134="Huaquan D",143,IF(Atletas!M134="Hongquan D",144,IF(Atletas!M134="Paoquan D",145,IF(Atletas!M134="Piguaquan D",146,IF(Atletas!M134="Shaolinquan D",147,IF(Atletas!M134="Tanglangquan D",148,IF(Atletas!M134="Yingzhaoquan D",149,IF(Atletas!M134="Tongbeiquan D",150,IF(Atletas!M134="Wudangquan D",151,IF(Atletas!M134="Outros Estilos D",152,IF(Atletas!M134="Chaquan E",153,IF(Atletas!M134="Emeiquan E",154,IF(Atletas!M134="Fanziquan E",155,IF(Atletas!M134="Huaquan E",156,IF(Atletas!M134="Hongquan E",157,IF(Atletas!M134="Paoquan E",158,IF(Atletas!M134="Piguaquan E",159,IF(Atletas!M134="Shaolinquan E",160,IF(Atletas!M134="Tanglangquan E",161,IF(Atletas!M134="Yingzhaoquan E",162,IF(Atletas!M134="Tongbeiquan E",163,IF(Atletas!M134="Wudangquan E",164,IF(Atletas!M134="Outros Estilos E",165,IF(Atletas!M134="Chaquan F",166,IF(Atletas!M134="Emeiquan F",167,IF(Atletas!M134="Fanziquan F",168,IF(Atletas!M134="Huaquan F",169,IF(Atletas!M134="Hongquan F",170,IF(Atletas!M134="Paoquan F",171,IF(Atletas!M134="Piguaquan F",172,IF(Atletas!M134="Shaolinquan F",173,IF(Atletas!M134="Tanglangquan F",174,IF(Atletas!M134="Yingzhaoquan F",175,IF(Atletas!M134="Tongbeiquan F",176,IF(Atletas!M134="Wudangquan F",177,IF(Atletas!M134="Outros Estilos F",178,0))))))))))))))))))))))))))))))))))))))))))</f>
        <v/>
      </c>
      <c r="BU143" s="50" t="str">
        <f>IF(Atletas!N134="","",IF(Atletas!X134&lt;&gt;"",10000,0)+(IF(Atletas!B134="Feminino",1000,IF(Atletas!B134="Masculino",2000,""))+(IF(Atletas!N134="Ditangquan A",201,IF(Atletas!N134="Houquan A",202,IF(Atletas!N134="Zuiquan A",203,IF(Atletas!N134="Ditangquan B",204,IF(Atletas!N134="Houquan B",205,IF(Atletas!N134="Zuiquan B",206,IF(Atletas!N134="Ditangquan C",207,IF(Atletas!N134="Houquan C",208,IF(Atletas!N134="Zuiquan C",209,IF(Atletas!N134="Ditangquan D",210,IF(Atletas!N134="Houquan D",211,IF(Atletas!N134="Zuiquan D",212,IF(Atletas!N134="Ditangquan E",213,IF(Atletas!N134="Houquan E",214,IF(Atletas!N134="Zuiquan E",215,IF(Atletas!N134="Ditangquan F",216,IF(Atletas!N134="Houquan F",217,IF(Atletas!N134="Zuiquan F",218,"")))))))))))))))))))))</f>
        <v/>
      </c>
      <c r="BV143" s="50" t="str">
        <f>IF(Atletas!O134="","",IF(Atletas!X134&lt;&gt;"",10000,0)+IF(Atletas!B134="Feminino",1000,IF(Atletas!B134="Masculino",2000,""))+IF(Atletas!O134="Yang A",301,IF(Atletas!O134="Chen A",302,IF(Atletas!O134="Sun A",303,IF(Atletas!O134="Wu A",304,IF(Atletas!O134="Wu-Hao A",305,IF(Atletas!O134="Outro Taijiquan A",306,IF(Atletas!O134="Yang B",307,IF(Atletas!O134="Chen B",308,IF(Atletas!O134="Sun B",309,IF(Atletas!O134="Wu B",310,IF(Atletas!O134="Wu-Hao B",311,IF(Atletas!O134="Outro Taijiquan B",312,IF(Atletas!O134="Yang C",313,IF(Atletas!O134="Chen C",314,IF(Atletas!O134="Sun C",315,IF(Atletas!O134="Wu C",316,IF(Atletas!O134="Wu-Hao C",317,IF(Atletas!O134="Outro Taijiquan C",318,IF(Atletas!O134="Yang D",319,IF(Atletas!O134="Chen D",320,IF(Atletas!O134="Sun D",321,IF(Atletas!O134="Wu D",322,IF(Atletas!O134="Wu-Hao D",323,IF(Atletas!O134="Outro Taijiquan D",324,IF(Atletas!O134="Yang E",325,IF(Atletas!O134="Chen E",326,IF(Atletas!O134="Sun E",327,IF(Atletas!O134="Wu E",328,IF(Atletas!O134="Wu-Hao E",329,IF(Atletas!O134="Outro Taijiquan E",330,IF(Atletas!O134="Yang F",331,IF(Atletas!O134="Chen F",332,IF(Atletas!O134="Sun F",333,IF(Atletas!O134="Wu F",334,IF(Atletas!O134="Wu-Hao F",335,IF(Atletas!O134="Outro Taijiquan F",336,"")))))))))))))))))))))))))))))))))))))</f>
        <v/>
      </c>
      <c r="BW143" s="50" t="str">
        <f>IF(Atletas!P134="","",IF(Atletas!X134&lt;&gt;"",10000,0)+IF(Atletas!B134="Feminino",1000,IF(Atletas!B134="Masculino",2000,""))+IF(OR(Atletas!P134="Yang 26 A",Atletas!P134="Yang 40 A"),401,IF(OR(Atletas!P134="Chen 25 A",Atletas!P134="Chen 36 A",Atletas!P134="Chen 56 A"),402,IF(Atletas!P134="Sun 73 A",403,IF(Atletas!P134="Wu 45 A",404,IF(Atletas!P134="Wu-Hao 46 A",405,IF(OR(Atletas!P134="Taijiquan 16 A",Atletas!P134="Taijiquan 24 A",Atletas!P134="Taijiquan 32 A",Atletas!P134="Taijiquan 42 A"),406,IF(OR(Atletas!P134="Yang 26 B",Atletas!P134="Yang 40 B"),407,IF(OR(Atletas!P134="Chen 25 B",Atletas!P134="Chen 36 B",Atletas!P134="Chen 56 B"),408,IF(Atletas!P134="Sun 73 B",409,IF(Atletas!P134="Wu 45 B",410,IF(Atletas!P134="Wu-Hao 46 B",411,IF(OR(Atletas!P134="Taijiquan 16 B",Atletas!P134="Taijiquan 24 B",Atletas!P134="Taijiquan 32 B",Atletas!P134="Taijiquan 42 B"),412,IF(OR(Atletas!P134="Yang 26 C",Atletas!P134="Yang 40 C"),413,IF(OR(Atletas!P134="Chen 25 C",Atletas!P134="Chen 36 C",Atletas!P134="Chen 56 C"),414,IF(Atletas!P134="Sun 73 C",415,IF(Atletas!P134="Wu 45 C",416,IF(Atletas!P134="Wu-Hao 46 C",417,IF(OR(Atletas!P134="Taijiquan 16 C",Atletas!P134="Taijiquan 24 C",Atletas!P134="Taijiquan 32 C",Atletas!P134="Taijiquan 42 C"),418,0)))))))))))))))))))</f>
        <v/>
      </c>
      <c r="BX143" s="50" t="str">
        <f>IF(Atletas!P134="","",IF(Atletas!X134&lt;&gt;"",10000,0)+IF(Atletas!B134="Feminino",1000,IF(Atletas!B134="Masculino",2000,""))+IF(OR(Atletas!P134="Yang 26 D",Atletas!P134="Yang 40 D"),419,IF(OR(Atletas!P134="Chen 25 D",Atletas!P134="Chen 36 D",Atletas!P134="Chen 56 D"),420,IF(Atletas!P134="Sun 73 D",421,IF(Atletas!P134="Wu 45 D",422,IF(Atletas!P134="Wu-Hao 46 D",423,IF(OR(Atletas!P134="Taijiquan 16 D",Atletas!P134="Taijiquan 24 D",Atletas!P134="Taijiquan 32 D",Atletas!P134="Taijiquan 42 D"),424,IF(OR(Atletas!P134="Yang 26 E",Atletas!P134="Yang 40 E"),425,IF(OR(Atletas!P134="Chen 25 E",Atletas!P134="Chen 36 E",Atletas!P134="Chen 56 E"),426,IF(Atletas!P134="Sun 73 E",427,IF(Atletas!P134="Wu 45 E",428,IF(Atletas!P134="Wu-Hao 46 E",429,IF(OR(Atletas!P134="Taijiquan 16 E",Atletas!P134="Taijiquan 24 E",Atletas!P134="Taijiquan 32 E",Atletas!P134="Taijiquan 42 E"),430,IF(OR(Atletas!P134="Yang 26 F",Atletas!P134="Yang 40 F"),431,IF(OR(Atletas!P134="Chen 25 F",Atletas!P134="Chen 36 F",Atletas!P134="Chen 56 F"),432,IF(Atletas!P134="Sun 73 F",433,IF(Atletas!P134="Wu 45 F",434,IF(Atletas!P134="Wu-Hao 46 F",435,IF(OR(Atletas!P134="Taijiquan 16 F",Atletas!P134="Taijiquan 24 F",Atletas!P134="Taijiquan 32 F",Atletas!P134="Taijiquan 42 F"),436,0)))))))))))))))))))</f>
        <v/>
      </c>
      <c r="BY143" s="50" t="str">
        <f>IF(Atletas!Q134="","",IF(Atletas!X134&lt;&gt;"",10000,0)+IF(Atletas!B134="Feminino",1000,IF(Atletas!B134="Masculino",2000,""))+IF(Atletas!Q134="Xingyiquan A",501,IF(Atletas!Q134="Baguazhang A",502,IF(Atletas!Q134="Outro Estilo Interno A",503,IF(Atletas!Q134="Xingyiquan B",504,IF(Atletas!Q134="Baguazhang B",505,IF(Atletas!Q134="Outro Estilo Interno B",506,IF(Atletas!Q134="Xingyiquan C",507,IF(Atletas!Q134="Baguazhang C",508,IF(Atletas!Q134="Outro Estilo Interno C",509,IF(Atletas!Q134="Xingyiquan D",510,IF(Atletas!Q134="Baguazhang D",511,IF(Atletas!Q134="Outro Estilo Interno D",512,IF(Atletas!Q134="Xingyiquan E",513,IF(Atletas!Q134="Baguazhang E",514,IF(Atletas!Q134="Outro Estilo Interno E",515,IF(Atletas!Q134="Xingyiquan F",516,IF(Atletas!Q134="Baguazhang F",517,IF(Atletas!Q134="Outro Estilo Interno F",518, "")))))))))))))))))))</f>
        <v/>
      </c>
      <c r="BZ143" s="50" t="str">
        <f>IF(Atletas!R134="","",IF(Atletas!X134&lt;&gt;"",10000,0)+IF(Atletas!B134="Feminino",1000,IF(Atletas!B134="Masculino",2000,""))+IF(Atletas!R134="Dao A",601,IF(Atletas!R134="Jian A",602,IF(Atletas!R134="Bishou A",603,IF(Atletas!R134="Shanzi A",604,IF(Atletas!R134="Outra Arma Curta A",605,IF(Atletas!R134="Dao B",606,IF(Atletas!R134="Jian B",607,IF(Atletas!R134="Bishou B",608,IF(Atletas!R134="Shanzi B",609,IF(Atletas!R134="Outra Arma Curta B",610,IF(Atletas!R134="Dao C",611,IF(Atletas!R134="Jian C",612,IF(Atletas!R134="Bishou C",613,IF(Atletas!R134="Shanzi C",614,IF(Atletas!R134="Outra Arma Curta C",615,IF(Atletas!R134="Dao D",616,IF(Atletas!R134="Jian D",617,IF(Atletas!R134="Bishou D",618,IF(Atletas!R134="Shanzi D",619,IF(Atletas!R134="Outra Arma Curta D",620,IF(Atletas!R134="Dao E",621,IF(Atletas!R134="Jian E",622,IF(Atletas!R134="Bishou E",623,IF(Atletas!R134="Shanzi E",624,IF(Atletas!R134="Outra Arma Curta E",625,IF(Atletas!R134="Dao F",626,IF(Atletas!R134="Jian F",627,IF(Atletas!R134="Bishou F",628,IF(Atletas!R134="Shanzi F",629,IF(Atletas!R134="Outra Arma Curta F",630, "")))))))))))))))))))))))))))))))</f>
        <v/>
      </c>
      <c r="CA143" s="50" t="str">
        <f>IF(Atletas!S134="","",IF(Atletas!X134&lt;&gt;"",10000,0)+IF(Atletas!B134="Feminino",1000,IF(Atletas!B134="Masculino",2000,""))+IF(Atletas!S134="Gun A",701,IF(Atletas!S134="Qiang A",702,IF(Atletas!S134="Pudao / Guandao A",703,IF(Atletas!S134="Outra Arma Longa A",704,IF(Atletas!S134="Gun B",705,IF(Atletas!S134="Qiang B",706,IF(Atletas!S134="Pudao / Guandao B",707,IF(Atletas!S134="Outra Arma Longa B",708,IF(Atletas!S134="Gun C",709,IF(Atletas!S134="Qiang C",710,IF(Atletas!S134="Pudao / Guandao C",711,IF(Atletas!S134="Outra Arma Longa C",712,IF(Atletas!S134="Gun D",713,IF(Atletas!S134="Qiang D",714,IF(Atletas!S134="Pudao / Guandao D",715,IF(Atletas!S134="Outra Arma Longa D",716,IF(Atletas!S134="Gun E",717,IF(Atletas!S134="Qiang E",718,IF(Atletas!S134="Pudao / Guandao E",719,IF(Atletas!S134="Outra Arma Longa E",720,IF(Atletas!S134="Gun F",721,IF(Atletas!S134="Qiang F",722,IF(Atletas!S134="Pudao / Guandao F",723,IF(Atletas!S134="Outra Arma Longa F",724,"")))))))))))))))))))))))))</f>
        <v/>
      </c>
      <c r="CB143" s="50" t="str">
        <f>IF(Atletas!T134="","",IF(Atletas!X134&lt;&gt;"",10000,0)+IF(Atletas!B134="Feminino",1000,IF(Atletas!B134="Masculino",2000,""))+IF(Atletas!T134="Outra Arma Dupla A",801,IF(Atletas!T134="Arma Maleável A",802,IF(Atletas!T134="Outra Arma Dupla B",803,IF(Atletas!T134="Arma Maleável B",804,IF(Atletas!T134="Outra Arma Dupla C",805,IF(Atletas!T134="Arma Maleável C",806,IF(Atletas!T134="Outra Arma Dupla D",807,IF(Atletas!T134="Arma Maleável D",808,IF(Atletas!T134="Outra Arma Dupla E",809,IF(Atletas!T134="Arma Maleável E",810,IF(Atletas!T134="Outra Arma Dupla F",811,IF(Atletas!T134="Arma Maleável F",812,IF(Atletas!T134="Shuangdao A",813,IF(Atletas!T134="Shuangdao B",814,IF(Atletas!T134="Shuangdao C",815,IF(Atletas!T134="Shuangdao D",816,IF(Atletas!T134="Shuangdao E",817,IF(Atletas!T134="Shuangdao F",818,"")))))))))))))))))))</f>
        <v/>
      </c>
      <c r="CC143" s="50" t="str">
        <f>IF(Atletas!U134="","",IF(Atletas!X134&lt;&gt;"",10000,0)+IF(Atletas!B134="Feminino",1000,IF(Atletas!B134="Masculino",2000,""))+IF(OR(Atletas!U134="Taijijian Yang A",Atletas!U134="Taijijian Yang Standard A"),901,IF(OR(Atletas!U134="Taijijian Chen A", Atletas!U134="Taijijian Chen Standard A"),902,IF(Atletas!U134="Taijijian Sun A",903,IF(Atletas!U134="Taijijian Wu A",904,IF(Atletas!U134="Taijijian Wu-Hao A",905,IF(OR(Atletas!U134="Taijijian 32 A",Atletas!U134="Taijijian 42 A"),906,IF(OR(Atletas!U134="Taijijian Yang B",Atletas!U134="Taijijian Yang Standard B"),907,IF(OR(Atletas!U134="Taijijian Chen B", Atletas!U134="Taijijian Chen Standard B"),908,IF(Atletas!U134="Taijijian Sun B",909,IF(Atletas!U134="Taijijian Wu B",910,IF(Atletas!U134="Taijijian Wu-Hao B",911,IF(OR(Atletas!U134="Taijijian 32 B",Atletas!U134="Taijijian 42 B"),912,IF(OR(Atletas!U134="Taijijian Yang C",Atletas!U134="Taijijian Yang Standard C"),913,IF(OR(Atletas!U134="Taijijian Chen C", Atletas!U134="Taijijian Chen Standard C"),914,IF(Atletas!U134="Taijijian Sun C",915,IF(Atletas!U134="Taijijian Wu C",916,IF(Atletas!U134="Taijijian Wu-Hao C",917,IF(OR(Atletas!U134="Taijijian 32 C",Atletas!U134="Taijijian 42 C"),918,IF(OR(Atletas!U134="Taijijian Yang D",Atletas!U134="Taijijian Yang Standard D"),919,IF(OR(Atletas!U134="Taijijian Chen D", Atletas!U134="Taijijian Chen Standard D"),920,IF(Atletas!U134="Taijijian Sun D",921,IF(Atletas!U134="Taijijian Wu D",922,IF(Atletas!U134="Taijijian Wu-Hao D",923,IF(OR(Atletas!U134="Taijijian 32 D",Atletas!U134="Taijijian 42 D"),924,IF(OR(Atletas!U134="Taijijian Yang E",Atletas!U134="Taijijian Yang Standard E"),925,IF(OR(Atletas!U134="Taijijian Chen E", Atletas!U134="Taijijian Chen Standard E"),926,IF(Atletas!U134="Taijijian Sun E",927,IF(Atletas!U134="Taijijian Wu E",928,IF(Atletas!U134="Taijijian Wu-Hao E",929,IF(OR(Atletas!U134="Taijijian 32 E",Atletas!U134="Taijijian 42 E"),930,IF(OR(Atletas!U134="Taijijian Yang F",Atletas!U134="Taijijian Yang Standard F"),931,IF(OR(Atletas!U134="Taijijian Chen F", Atletas!U134="Taijijian Chen Standard F"),932,IF(Atletas!U134="Taijijian Sun F",933,IF(Atletas!U134="Taijijian Wu F",934,IF(Atletas!U134="Taijijian Wu-Hao F",935,IF(OR(Atletas!U134="Taijijian 32 F",Atletas!U134="Taijijian 42 F"),936,"")))))))))))))))))))))))))))))))))))))</f>
        <v/>
      </c>
      <c r="CD143" s="50" t="str">
        <f>IF(Atletas!V134="","",IF(Atletas!X134&lt;&gt;"",10000,0)+IF(Atletas!B134="Feminino",1000,IF(Atletas!B134="Masculino",2000,""))+IF(Atletas!V134="Taijidao A",937,IF(Atletas!V134="TaijiShanzi A",938,IF(Atletas!V134="Taijiqiang A",939,IF(Atletas!V134="Bagua de Arma A",940,IF(Atletas!V134="Xingyi de Arma A",941,IF(Atletas!V134="Taijidao B",942,IF(Atletas!V134="TaijiShanzi B",943,IF(Atletas!V134="Taijiqiang B",944,IF(Atletas!V134="Bagua de Arma B",945,IF(Atletas!V134="Xingyi de Arma B",946,IF(Atletas!V134="Taijidao C",947,IF(Atletas!V134="TaijiShanzi C",948,IF(Atletas!V134="Taijiqiang C",949,IF(Atletas!V134="Bagua de Arma C",950,IF(Atletas!V134="Xingyi de Arma C",951,IF(Atletas!V134="Taijidao D",952,IF(Atletas!V134="TaijiShanzi D",953,IF(Atletas!V134="Taijiqiang D",954,IF(Atletas!V134="Bagua de Arma D",955,IF(Atletas!V134="Xingyi de Arma D",956,IF(Atletas!V134="Taijidao E",957,IF(Atletas!V134="TaijiShanzi E",958,IF(Atletas!V134="Taijiqiang E",959,IF(Atletas!V134="Bagua de Arma E",960,IF(Atletas!V134="Xingyi de Arma E",961,IF(Atletas!V134="Taijidao F",962,IF(Atletas!V134="TaijiShanzi F",963,IF(Atletas!V134="Taijiqiang F",964,IF(Atletas!V134="Bagua de Arma F",965,IF(Atletas!V134="Xingyi de Arma F",966,"")))))))))))))))))))))))))))))))</f>
        <v/>
      </c>
      <c r="CE143" s="66" t="str">
        <f>IF(CF143&lt;&gt;"","TJQ Trad. Wu-Hao A","")</f>
        <v/>
      </c>
      <c r="CF143" s="66" t="str">
        <f>IF(COUNTIF(BR:CD,1305)&gt;0,COUNTIF(BR:CD,1305),"")</f>
        <v/>
      </c>
      <c r="CG143" s="66" t="str">
        <f>IF(CH143&lt;&gt;"","TJQ Trad. Wu-Hao A","")</f>
        <v/>
      </c>
      <c r="CH143" s="66" t="str">
        <f>IF(COUNTIF(BR:CD,2305)&gt;0,COUNTIF(BR:CD,2305),"")</f>
        <v/>
      </c>
      <c r="CI143" s="66" t="str">
        <f>IF(CJ143&lt;&gt;"","TJQ Trad. Wu-Hao B","")</f>
        <v/>
      </c>
      <c r="CJ143" s="66" t="str">
        <f>IF(COUNTIF(BR:CD,11311)&gt;0,COUNTIF(BR:CD,11311),"")</f>
        <v/>
      </c>
      <c r="CK143" s="66" t="str">
        <f>IF(CL143&lt;&gt;"","TJQ Trad. Wu-Hao B","")</f>
        <v/>
      </c>
      <c r="CL143" s="66" t="str">
        <f>IF(COUNTIF(BR:CD,12311)&gt;0,COUNTIF(BR:CD,12311),"")</f>
        <v/>
      </c>
      <c r="CM143" s="50" t="str">
        <f xml:space="preserve"> IF(Atletas!W134="","",IF(Atletas!W134="Duilian de Mãos BC - Equipe 1",1,IF(Atletas!W134="Duilian de Mãos BC - Equipe 2",2,IF(Atletas!W134="Duilian de Armas BC - Equipe 1",3,IF(Atletas!W134="Duilian de Armas BC - Equipe 2",4,IF(Atletas!W134="Duilian de Mãos DE - Equipe 1",5,IF(Atletas!W134="Duilian de Mãos DE - Equipe 2",6,IF(Atletas!W134="Duilian de Armas DE - Equipe 1",7,IF(Atletas!W134="Duilian de Armas DE - Equipe 2",8,IF(Atletas!W134="Duilian de Tuishou - Equipe 1",9,IF(Atletas!W134="Duilian de Tuishou - Equipe 2",10,IF(Atletas!W134="Grupo Externo ABC - Equipe 1",11,IF(Atletas!W134="Grupo Externo ABC - Equipe 2",12,IF(Atletas!W134="Grupo Interno ABC - Equipe 1",13,IF(Atletas!W134="Grupo Interno ABC - Equipe 2",14,IF(Atletas!W134="Grupo Externo DEF - Equipe 1",15,IF(Atletas!W134="Grupo Externo DEF - Equipe 2",16,IF(Atletas!W134="Grupo Interno DEF - Equipe 1",17,IF(Atletas!W134="Grupo Interno DEF - Equipe 2",18,"")))))))))))))))))))</f>
        <v/>
      </c>
    </row>
    <row r="144" spans="2:91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 t="str">
        <f t="array" ref="Z144">IFERROR(INDEX(CE$7:CE$348,SMALL(IF(CE$7:CE$348&lt;&gt;"",ROW(CE$7:CE$348)-ROW(CE$7)+1),ROWS(CE$7:CE143))),"")</f>
        <v/>
      </c>
      <c r="AA144" s="3" t="str">
        <f t="array" ref="AA144">IFERROR(INDEX(CF$7:CF$348,SMALL(IF(CF$7:CF$348&lt;&gt;"",ROW(CF$7:CF$348)-ROW(CF$7)+1),ROWS(CF$7:CF143))),"")</f>
        <v/>
      </c>
      <c r="AB144" s="3" t="str">
        <f t="array" ref="AB144">IFERROR(INDEX(CG$7:CG$348,SMALL(IF(CG$7:CG$348&lt;&gt;"",ROW(CG$7:CG$348)-ROW(CG$7)+1),ROWS(CG$7:CG143))),"")</f>
        <v/>
      </c>
      <c r="AC144" s="3" t="str">
        <f t="array" ref="AC144">IFERROR(INDEX(CH$7:CH$348,SMALL(IF(CH$7:CH$348&lt;&gt;"",ROW(CH$7:CH$348)-ROW(CH$7)+1),ROWS(CH$7:CH143))),"")</f>
        <v/>
      </c>
      <c r="AD144" s="3" t="str">
        <f t="array" ref="AD144">IFERROR(INDEX(CI$7:CI$377,SMALL(IF(CI$7:CI$377&lt;&gt;"",ROW(CI$7:CI$377)-ROW(CI$7)+1),ROWS(CI$7:CI143))),"")</f>
        <v/>
      </c>
      <c r="AE144" s="3" t="str">
        <f t="array" ref="AE144">IFERROR(INDEX(CJ$7:CJ$378,SMALL(IF(CJ$7:CJ$378&lt;&gt;"",ROW(CJ$7:CJ$378)-ROW(CJ$7)+1),ROWS(CJ$7:CJ143))),"")</f>
        <v/>
      </c>
      <c r="AF144" s="3" t="str">
        <f t="array" ref="AF144">IFERROR(INDEX(CK$7:CK$378,SMALL(IF(CK$7:CK$378&lt;&gt;"",ROW(CK$7:CK$378)-ROW(CK$7)+1),ROWS(CK$7:CK143))),"")</f>
        <v/>
      </c>
      <c r="AG144" s="3" t="str">
        <f t="array" ref="AG144">IFERROR(INDEX(CL$7:CL$378,SMALL(IF(CL$7:CL$378&lt;&gt;"",ROW(CL$7:CL$378)-ROW(CL$7)+1),ROWS(CL$7:CL143))),"")</f>
        <v/>
      </c>
      <c r="AH144" s="3"/>
      <c r="AI144" s="3"/>
      <c r="AJ144" s="3"/>
      <c r="AK144" s="3"/>
      <c r="AL144" s="3"/>
      <c r="AM144" s="3"/>
      <c r="AN144" s="52" t="str">
        <f>IF(Atletas!D135="","",IF(Atletas!B135="Feminino",100,IF(Atletas!B135="Masculino",200,""))+(IF(Atletas!D135="Kids 30kg",1,IF(Atletas!D135="Kids 32kg",2, IF(Atletas!D135="Kids 34kg",3,IF(Atletas!D135="Kids 36kg",4,IF(Atletas!D135="Kids 39kg",5,IF(Atletas!D135="Kids 42kg",6,IF(Atletas!D135="Kids 45kg",7, IF(Atletas!D135="Infantil 39kg",8,IF(Atletas!D135="Infantil 42kg",9,IF(Atletas!D135="Infantil 45kg",10,IF(Atletas!D135="Infantil 48kg",11,IF(Atletas!D135="Infantil 52kg",12,IF(Atletas!D135="Infantil 56kg",13,IF(Atletas!D135="Infantil 60kg",14,IF(Atletas!D135="Juvenil 48kg",15,IF(Atletas!D135="Juvenil 52kg",16,IF(Atletas!D135="Juvenil 56kg",17,IF(Atletas!D135="Juvenil 60kg",18,IF(Atletas!D135="Juvenil 65kg",19,IF(Atletas!D135="Juvenil 70kg",20,IF(Atletas!D135="Juvenil 75kg",21,IF(Atletas!D135="Juvenil 80kg",22, IF(Atletas!D135="Juvenil 85kg",23,IF(Atletas!D135="Adulto 48kg",24,IF(Atletas!D135="Adulto 52kg",25,IF(Atletas!D135="Adulto 56kg",26,IF(Atletas!D135="Adulto 60kg",27,IF(Atletas!D135="Adulto 65kg",28,IF(Atletas!D135="Adulto 70kg",29,IF(Atletas!D135="Adulto 75kg",30,IF(Atletas!D135="Adulto 80kg",31,IF(Atletas!D135="Adulto 85kg",32,IF(Atletas!D135="Adulto 90kg",33,IF(Atletas!D135="Adulto 100kg",34, IF(Atletas!D135="Adulto +100kg",35,"")))))))))))))))))))))))))))))))))))))</f>
        <v/>
      </c>
      <c r="AS144" s="6" t="str">
        <f>IF(Atletas!E135="","",IF(Atletas!B135="Feminino",100,IF(Atletas!B135="Masculino",200,""))+(IF(Atletas!E135="Juvenil 44kg",1,IF(Atletas!E135="Juvenil 48kg",2,IF(Atletas!E135="Juvenil 52kg",3,IF(Atletas!E135="Juvenil 56kg",4,IF(Atletas!E135="Juvenil 60kg",5,IF(Atletas!E135="Juvenil 65kg",6,IF(Atletas!E135="Juvenil 70kg",7,IF(Atletas!E135="Juvenil 75kg",8,IF(Atletas!E135="Juvenil 82kg",9,IF(Atletas!E135="Juvenil 90kg",10,IF(Atletas!E135="Juvenil 100kg",11,IF(Atletas!E135="Adulto 48kg",12,IF(Atletas!E135="Adulto 52kg",13,IF(Atletas!E135="Adulto 56kg",14,IF(Atletas!E135="Adulto 60kg",15,IF(Atletas!E135="Adulto 65kg",16,IF(Atletas!E135="Adulto 70kg",17,IF(Atletas!E135="Adulto 75kg",18,IF(Atletas!E135="Adulto 82kg",19,IF(Atletas!E135="Adulto 90kg",20,IF(Atletas!E135="Adulto 100kg",21,IF(Atletas!E135="Adulto +100kg",22,""))))))))))))))))))))))))</f>
        <v/>
      </c>
      <c r="AX144" s="6" t="str">
        <f>IF(Atletas!F135="","",IF(Atletas!B135="Feminino",100,IF(Atletas!B135="Masculino",200,""))+(IF(Atletas!F135="Adulto 48kg",1,IF(Atletas!F135="Adulto 56kg",2,IF(Atletas!F135="Adulto 65kg",3,IF(Atletas!F135="Adulto 75kg",4,IF(Atletas!F135="Adulto +75kg",5,IF(Atletas!F135="Adulto 52kg",6,IF(Atletas!F135="Adulto 60kg",7,IF(Atletas!F135="Adulto 70kg",8,IF(Atletas!F135="Adulto 80kg",9,IF(Atletas!F135="Adulto 90kg",10,IF(Atletas!F135="Adulto +90kg",11,"")))))))))))))</f>
        <v/>
      </c>
      <c r="BC144" s="6" t="str">
        <f>IF(Atletas!G135="","",IF(Atletas!B135="Feminino",10,IF(Atletas!B135="Masculino",20,""))+(IF(Atletas!G135="Baduanjin A",1,IF(Atletas!G135="Baduanjin B",2))))</f>
        <v/>
      </c>
      <c r="BF144" s="52" t="str">
        <f>IF(Atletas!H135="","",IF(Atletas!B135="Feminino",100,IF(Atletas!B135="Masculino",200,""))+(IF(Atletas!H135="Changquan Mirim",1,IF(Atletas!H135="Nanquan Mirim",2,IF(Atletas!H135="Taijiquan Mirim",3,IF(Atletas!H135="Changquan Grupo C",4,IF(Atletas!H135="Nanquan Grupo C",5,IF(Atletas!H135="Taijiquan Grupo C",6,IF(Atletas!H135="Changquan Grupo B",7,IF(Atletas!H135="Nanquan Grupo B",8,IF(Atletas!H135="Taijiquan Grupo B",9,IF(Atletas!H135="Changquan Grupo A",10,IF(Atletas!H135="Nanquan Grupo A",11,IF(Atletas!H135="Taijiquan Grupo A",12,IF(Atletas!H135="Changquan Opcional",13,IF(Atletas!H135="Nanquan Opcional",14,IF(Atletas!H135="Taijiquan Opcional",15,IF(Atletas!H135="Changquan Adulto",16,IF(Atletas!H135="Nanquan Adulto",17,IF(Atletas!H135="Taijiquan Adulto",18,""))))))))))))))))))))</f>
        <v/>
      </c>
      <c r="BG144" s="52" t="str">
        <f>IF(Atletas!I135="","",IF(Atletas!B135="Feminino",100,IF(Atletas!B135="Masculino",200,""))+(IF(Atletas!I135="Daoshu Mirim",19,IF(Atletas!I135="Jianshu Mirim",20,IF(Atletas!I135="Nandao Mirim",21,IF(Atletas!I135="Taijijian Mirim",22,IF(Atletas!I135="Daoshu Grupo C",23,IF(Atletas!I135="Jianshu Grupo C",24,IF(Atletas!I135="Nandao Grupo C",25,IF(Atletas!I135="Taijijian Grupo C",26,IF(Atletas!I135="Daoshu Grupo B",27,IF(Atletas!I135="Jianshu Grupo B",28,IF(Atletas!I135="Nandao Grupo B",29,IF(Atletas!I135="Taijijian Grupo B",30,IF(Atletas!I135="Daoshu Grupo A",31,IF(Atletas!I135="Jianshu Grupo A",32,IF(Atletas!I135="Nandao Grupo A",33,IF(Atletas!I135="Taijijian Grupo A",34,IF(Atletas!I135="Daoshu Opcional",35,IF(Atletas!I135="Jianshu Opcional",36,IF(Atletas!I135="Nandao Opcional",37,IF(Atletas!I135="Taijijian Opcional",38,IF(Atletas!I135="Daoshu Adulto",39,IF(Atletas!I135="Jianshu Adulto",40,IF(Atletas!I135="Nandao Adulto",41,IF(Atletas!I135="Taijijian Adulto",42,""))))))))))))))))))))))))))</f>
        <v/>
      </c>
      <c r="BH144" s="52" t="str">
        <f>IF(Atletas!J135="","",IF(Atletas!B135="Feminino",100,IF(Atletas!B135="Masculino",200,""))+(IF(Atletas!J135="Gunshu Mirim",43,IF(Atletas!J135="Qiangshu Mirim",44,IF(Atletas!J135="Nangun Mirim",45,IF(Atletas!J135="Gunshu Grupo C",46,IF(Atletas!J135="Qiangshu Grupo C",47,IF(Atletas!J135="Nangun Grupo C",48,IF(Atletas!J135="Gunshu Grupo B",49,IF(Atletas!J135="Qiangshu Grupo B",50,IF(Atletas!J135="Nangun Grupo B",51,IF(Atletas!J135="Gunshu Grupo A",52,IF(Atletas!J135="Qiangshu Grupo A",53,IF(Atletas!J135="Nangun Grupo A",54,IF(Atletas!J135="Gunshu Opcional",55,IF(Atletas!J135="Qiangshu Opcional",56,IF(Atletas!J135="Nangun Opcional",57,IF(Atletas!J135="Gunshu Adulto",58,IF(Atletas!J135="Qiangshu Adulto",59,IF(Atletas!J135="Nangun Adulto",60,IF(Atletas!J135="Taijishan Grupo B",61,IF(Atletas!J135="Taijishan Grupo A",62,""))))))))))))))))))))))</f>
        <v/>
      </c>
      <c r="BM144" s="50" t="str">
        <f>IF(Atletas!K135="","",IF(Atletas!B135="Feminino",100,IF(Atletas!B135="Masculino",200,""))+(IF(Atletas!K135="Equipe 1 Grupo B",1,IF(Atletas!K135="Equipe 2 Grupo B",2,IF(Atletas!K135="Equipe 1 Grupo A",3,IF(Atletas!K135="Equipe 2 Grupo A",4,IF(Atletas!K135="Equipe 1 Adulto",5,IF(Atletas!K135="Equipe 2 Adulto",6,""))))))))</f>
        <v/>
      </c>
      <c r="BR144" s="50" t="str">
        <f>IF(Atletas!L135="","",IF(Atletas!X135&lt;&gt;"",10000,0)+(IF(Atletas!B135="Feminino",1000,IF(Atletas!B135="Masculino",2000,""))+IF(Atletas!L135="Choylayfut A",1,IF(Atletas!L135="Hunggar A",2,IF(Atletas!L135="Wuzuquan A",3,IF(Atletas!L135="Wingchun A",4,IF(Atletas!L135="Outra Mão de Sul A",5,IF(Atletas!L135="Choylayfut B",6,IF(Atletas!L135="Hunggar B",7,IF(Atletas!L135="Wuzuquan B",8,IF(Atletas!L135="Wingchun B",9,IF(Atletas!L135="Outra Mão de Sul B",10,IF(Atletas!L135="Choylayfut C",11,IF(Atletas!L135="Hunggar C",12,IF(Atletas!L135="Wuzuquan C",13,IF(Atletas!L135="Wingchun C",14,IF(Atletas!L135="Outra Mão de Sul C",15,IF(Atletas!L135="Choylayfut D",16,IF(Atletas!L135="Hunggar D",17,IF(Atletas!L135="Wuzuquan D",18,IF(Atletas!L135="Wingchun D",19,IF(Atletas!L135="Outra Mão de Sul D",20,IF(Atletas!L135="Choylayfut E",21,IF(Atletas!L135="Hunggar E",22,IF(Atletas!L135="Wuzuquan E",23,IF(Atletas!L135="Wingchun E",24,IF(Atletas!L135="Outra Mão de Sul E",25,IF(Atletas!L135="Choylayfut F",26,IF(Atletas!L135="Hunggar F",27,IF(Atletas!L135="Wuzuquan F",28,IF(Atletas!L135="Wingchun F",29,IF(Atletas!L135="Outra Mão de Sul F",30,IF(Atletas!L135="Dishuquan A",31,IF(Atletas!L135="Dishuquan B",32,IF(Atletas!L135="Dishuquan C",33,IF(Atletas!L135="Dishuquan D",34,IF(Atletas!L135="Dishuquan E",35,IF(Atletas!L135="Dishuquan F",36,""))))))))))))))))))))))))))))))))))))))</f>
        <v/>
      </c>
      <c r="BS144" s="50" t="str">
        <f>IF(Atletas!M135="","",IF(Atletas!X135&lt;&gt;"",10000,0)+(IF(Atletas!B135="Feminino",1000,IF(Atletas!B135="Masculino",2000,""))+(IF(Atletas!M135="Chaquan A",101,IF(Atletas!M135="Emeiquan A",102,IF(Atletas!M135="Fanziquan A",103,IF(Atletas!M135="Huaquan A",104,IF(Atletas!M135="Hongquan A",105,IF(Atletas!M135="Paoquan A",106,IF(Atletas!M135="Piguaquan A",107,IF(Atletas!M135="Shaolinquan A",108,IF(Atletas!M135="Tanglangquan A",109,IF(Atletas!M135="Yingzhaoquan A",110,IF(Atletas!M135="Tongbeiquan A",111,IF(Atletas!M135="Wudangquan A",112,IF(Atletas!M135="Outros Estilos A",113,IF(Atletas!M135="Chaquan B",114,IF(Atletas!M135="Emeiquan B",115,IF(Atletas!M135="Fanziquan B",116,IF(Atletas!M135="Huaquan B",117,IF(Atletas!M135="Hongquan B",118,IF(Atletas!M135="Paoquan B",119,IF(Atletas!M135="Piguaquan B",120,IF(Atletas!M135="Shaolinquan B",121,IF(Atletas!M135="Tanglangquan B",122,IF(Atletas!M135="Yingzhaoquan B",123,IF(Atletas!M135="Tongbeiquan B",124,IF(Atletas!M135="Wudangquan B",125,IF(Atletas!M135="Outros Estilos B",126,IF(Atletas!M135="Chaquan C",127,IF(Atletas!M135="Emeiquan C",128,IF(Atletas!M135="Fanziquan C",129,IF(Atletas!M135="Huaquan C",130,IF(Atletas!M135="Hongquan C",131,IF(Atletas!M135="Paoquan C",132,IF(Atletas!M135="Piguaquan C",133,IF(Atletas!M135="Shaolinquan C",134,IF(Atletas!M135="Tanglangquan C",135,IF(Atletas!M135="Yingzhaoquan C",136,IF(Atletas!M135="Tongbeiquan C",137,IF(Atletas!M135="Wudangquan C",138,IF(Atletas!M135="Outros Estilos C",139,0))))))))))))))))))))))))))))))))))))))))))</f>
        <v/>
      </c>
      <c r="BT144" s="50" t="str">
        <f>IF(Atletas!M135="","",IF(Atletas!X135&lt;&gt;"",10000,0)+(IF(Atletas!B135="Feminino",1000,IF(Atletas!B135="Masculino",2000,""))+(IF(Atletas!M135="Chaquan D",140,IF(Atletas!M135="Emeiquan D",141,IF(Atletas!M135="Fanziquan D",142,IF(Atletas!M135="Huaquan D",143,IF(Atletas!M135="Hongquan D",144,IF(Atletas!M135="Paoquan D",145,IF(Atletas!M135="Piguaquan D",146,IF(Atletas!M135="Shaolinquan D",147,IF(Atletas!M135="Tanglangquan D",148,IF(Atletas!M135="Yingzhaoquan D",149,IF(Atletas!M135="Tongbeiquan D",150,IF(Atletas!M135="Wudangquan D",151,IF(Atletas!M135="Outros Estilos D",152,IF(Atletas!M135="Chaquan E",153,IF(Atletas!M135="Emeiquan E",154,IF(Atletas!M135="Fanziquan E",155,IF(Atletas!M135="Huaquan E",156,IF(Atletas!M135="Hongquan E",157,IF(Atletas!M135="Paoquan E",158,IF(Atletas!M135="Piguaquan E",159,IF(Atletas!M135="Shaolinquan E",160,IF(Atletas!M135="Tanglangquan E",161,IF(Atletas!M135="Yingzhaoquan E",162,IF(Atletas!M135="Tongbeiquan E",163,IF(Atletas!M135="Wudangquan E",164,IF(Atletas!M135="Outros Estilos E",165,IF(Atletas!M135="Chaquan F",166,IF(Atletas!M135="Emeiquan F",167,IF(Atletas!M135="Fanziquan F",168,IF(Atletas!M135="Huaquan F",169,IF(Atletas!M135="Hongquan F",170,IF(Atletas!M135="Paoquan F",171,IF(Atletas!M135="Piguaquan F",172,IF(Atletas!M135="Shaolinquan F",173,IF(Atletas!M135="Tanglangquan F",174,IF(Atletas!M135="Yingzhaoquan F",175,IF(Atletas!M135="Tongbeiquan F",176,IF(Atletas!M135="Wudangquan F",177,IF(Atletas!M135="Outros Estilos F",178,0))))))))))))))))))))))))))))))))))))))))))</f>
        <v/>
      </c>
      <c r="BU144" s="50" t="str">
        <f>IF(Atletas!N135="","",IF(Atletas!X135&lt;&gt;"",10000,0)+(IF(Atletas!B135="Feminino",1000,IF(Atletas!B135="Masculino",2000,""))+(IF(Atletas!N135="Ditangquan A",201,IF(Atletas!N135="Houquan A",202,IF(Atletas!N135="Zuiquan A",203,IF(Atletas!N135="Ditangquan B",204,IF(Atletas!N135="Houquan B",205,IF(Atletas!N135="Zuiquan B",206,IF(Atletas!N135="Ditangquan C",207,IF(Atletas!N135="Houquan C",208,IF(Atletas!N135="Zuiquan C",209,IF(Atletas!N135="Ditangquan D",210,IF(Atletas!N135="Houquan D",211,IF(Atletas!N135="Zuiquan D",212,IF(Atletas!N135="Ditangquan E",213,IF(Atletas!N135="Houquan E",214,IF(Atletas!N135="Zuiquan E",215,IF(Atletas!N135="Ditangquan F",216,IF(Atletas!N135="Houquan F",217,IF(Atletas!N135="Zuiquan F",218,"")))))))))))))))))))))</f>
        <v/>
      </c>
      <c r="BV144" s="50" t="str">
        <f>IF(Atletas!O135="","",IF(Atletas!X135&lt;&gt;"",10000,0)+IF(Atletas!B135="Feminino",1000,IF(Atletas!B135="Masculino",2000,""))+IF(Atletas!O135="Yang A",301,IF(Atletas!O135="Chen A",302,IF(Atletas!O135="Sun A",303,IF(Atletas!O135="Wu A",304,IF(Atletas!O135="Wu-Hao A",305,IF(Atletas!O135="Outro Taijiquan A",306,IF(Atletas!O135="Yang B",307,IF(Atletas!O135="Chen B",308,IF(Atletas!O135="Sun B",309,IF(Atletas!O135="Wu B",310,IF(Atletas!O135="Wu-Hao B",311,IF(Atletas!O135="Outro Taijiquan B",312,IF(Atletas!O135="Yang C",313,IF(Atletas!O135="Chen C",314,IF(Atletas!O135="Sun C",315,IF(Atletas!O135="Wu C",316,IF(Atletas!O135="Wu-Hao C",317,IF(Atletas!O135="Outro Taijiquan C",318,IF(Atletas!O135="Yang D",319,IF(Atletas!O135="Chen D",320,IF(Atletas!O135="Sun D",321,IF(Atletas!O135="Wu D",322,IF(Atletas!O135="Wu-Hao D",323,IF(Atletas!O135="Outro Taijiquan D",324,IF(Atletas!O135="Yang E",325,IF(Atletas!O135="Chen E",326,IF(Atletas!O135="Sun E",327,IF(Atletas!O135="Wu E",328,IF(Atletas!O135="Wu-Hao E",329,IF(Atletas!O135="Outro Taijiquan E",330,IF(Atletas!O135="Yang F",331,IF(Atletas!O135="Chen F",332,IF(Atletas!O135="Sun F",333,IF(Atletas!O135="Wu F",334,IF(Atletas!O135="Wu-Hao F",335,IF(Atletas!O135="Outro Taijiquan F",336,"")))))))))))))))))))))))))))))))))))))</f>
        <v/>
      </c>
      <c r="BW144" s="50" t="str">
        <f>IF(Atletas!P135="","",IF(Atletas!X135&lt;&gt;"",10000,0)+IF(Atletas!B135="Feminino",1000,IF(Atletas!B135="Masculino",2000,""))+IF(OR(Atletas!P135="Yang 26 A",Atletas!P135="Yang 40 A"),401,IF(OR(Atletas!P135="Chen 25 A",Atletas!P135="Chen 36 A",Atletas!P135="Chen 56 A"),402,IF(Atletas!P135="Sun 73 A",403,IF(Atletas!P135="Wu 45 A",404,IF(Atletas!P135="Wu-Hao 46 A",405,IF(OR(Atletas!P135="Taijiquan 16 A",Atletas!P135="Taijiquan 24 A",Atletas!P135="Taijiquan 32 A",Atletas!P135="Taijiquan 42 A"),406,IF(OR(Atletas!P135="Yang 26 B",Atletas!P135="Yang 40 B"),407,IF(OR(Atletas!P135="Chen 25 B",Atletas!P135="Chen 36 B",Atletas!P135="Chen 56 B"),408,IF(Atletas!P135="Sun 73 B",409,IF(Atletas!P135="Wu 45 B",410,IF(Atletas!P135="Wu-Hao 46 B",411,IF(OR(Atletas!P135="Taijiquan 16 B",Atletas!P135="Taijiquan 24 B",Atletas!P135="Taijiquan 32 B",Atletas!P135="Taijiquan 42 B"),412,IF(OR(Atletas!P135="Yang 26 C",Atletas!P135="Yang 40 C"),413,IF(OR(Atletas!P135="Chen 25 C",Atletas!P135="Chen 36 C",Atletas!P135="Chen 56 C"),414,IF(Atletas!P135="Sun 73 C",415,IF(Atletas!P135="Wu 45 C",416,IF(Atletas!P135="Wu-Hao 46 C",417,IF(OR(Atletas!P135="Taijiquan 16 C",Atletas!P135="Taijiquan 24 C",Atletas!P135="Taijiquan 32 C",Atletas!P135="Taijiquan 42 C"),418,0)))))))))))))))))))</f>
        <v/>
      </c>
      <c r="BX144" s="50" t="str">
        <f>IF(Atletas!P135="","",IF(Atletas!X135&lt;&gt;"",10000,0)+IF(Atletas!B135="Feminino",1000,IF(Atletas!B135="Masculino",2000,""))+IF(OR(Atletas!P135="Yang 26 D",Atletas!P135="Yang 40 D"),419,IF(OR(Atletas!P135="Chen 25 D",Atletas!P135="Chen 36 D",Atletas!P135="Chen 56 D"),420,IF(Atletas!P135="Sun 73 D",421,IF(Atletas!P135="Wu 45 D",422,IF(Atletas!P135="Wu-Hao 46 D",423,IF(OR(Atletas!P135="Taijiquan 16 D",Atletas!P135="Taijiquan 24 D",Atletas!P135="Taijiquan 32 D",Atletas!P135="Taijiquan 42 D"),424,IF(OR(Atletas!P135="Yang 26 E",Atletas!P135="Yang 40 E"),425,IF(OR(Atletas!P135="Chen 25 E",Atletas!P135="Chen 36 E",Atletas!P135="Chen 56 E"),426,IF(Atletas!P135="Sun 73 E",427,IF(Atletas!P135="Wu 45 E",428,IF(Atletas!P135="Wu-Hao 46 E",429,IF(OR(Atletas!P135="Taijiquan 16 E",Atletas!P135="Taijiquan 24 E",Atletas!P135="Taijiquan 32 E",Atletas!P135="Taijiquan 42 E"),430,IF(OR(Atletas!P135="Yang 26 F",Atletas!P135="Yang 40 F"),431,IF(OR(Atletas!P135="Chen 25 F",Atletas!P135="Chen 36 F",Atletas!P135="Chen 56 F"),432,IF(Atletas!P135="Sun 73 F",433,IF(Atletas!P135="Wu 45 F",434,IF(Atletas!P135="Wu-Hao 46 F",435,IF(OR(Atletas!P135="Taijiquan 16 F",Atletas!P135="Taijiquan 24 F",Atletas!P135="Taijiquan 32 F",Atletas!P135="Taijiquan 42 F"),436,0)))))))))))))))))))</f>
        <v/>
      </c>
      <c r="BY144" s="50" t="str">
        <f>IF(Atletas!Q135="","",IF(Atletas!X135&lt;&gt;"",10000,0)+IF(Atletas!B135="Feminino",1000,IF(Atletas!B135="Masculino",2000,""))+IF(Atletas!Q135="Xingyiquan A",501,IF(Atletas!Q135="Baguazhang A",502,IF(Atletas!Q135="Outro Estilo Interno A",503,IF(Atletas!Q135="Xingyiquan B",504,IF(Atletas!Q135="Baguazhang B",505,IF(Atletas!Q135="Outro Estilo Interno B",506,IF(Atletas!Q135="Xingyiquan C",507,IF(Atletas!Q135="Baguazhang C",508,IF(Atletas!Q135="Outro Estilo Interno C",509,IF(Atletas!Q135="Xingyiquan D",510,IF(Atletas!Q135="Baguazhang D",511,IF(Atletas!Q135="Outro Estilo Interno D",512,IF(Atletas!Q135="Xingyiquan E",513,IF(Atletas!Q135="Baguazhang E",514,IF(Atletas!Q135="Outro Estilo Interno E",515,IF(Atletas!Q135="Xingyiquan F",516,IF(Atletas!Q135="Baguazhang F",517,IF(Atletas!Q135="Outro Estilo Interno F",518, "")))))))))))))))))))</f>
        <v/>
      </c>
      <c r="BZ144" s="50" t="str">
        <f>IF(Atletas!R135="","",IF(Atletas!X135&lt;&gt;"",10000,0)+IF(Atletas!B135="Feminino",1000,IF(Atletas!B135="Masculino",2000,""))+IF(Atletas!R135="Dao A",601,IF(Atletas!R135="Jian A",602,IF(Atletas!R135="Bishou A",603,IF(Atletas!R135="Shanzi A",604,IF(Atletas!R135="Outra Arma Curta A",605,IF(Atletas!R135="Dao B",606,IF(Atletas!R135="Jian B",607,IF(Atletas!R135="Bishou B",608,IF(Atletas!R135="Shanzi B",609,IF(Atletas!R135="Outra Arma Curta B",610,IF(Atletas!R135="Dao C",611,IF(Atletas!R135="Jian C",612,IF(Atletas!R135="Bishou C",613,IF(Atletas!R135="Shanzi C",614,IF(Atletas!R135="Outra Arma Curta C",615,IF(Atletas!R135="Dao D",616,IF(Atletas!R135="Jian D",617,IF(Atletas!R135="Bishou D",618,IF(Atletas!R135="Shanzi D",619,IF(Atletas!R135="Outra Arma Curta D",620,IF(Atletas!R135="Dao E",621,IF(Atletas!R135="Jian E",622,IF(Atletas!R135="Bishou E",623,IF(Atletas!R135="Shanzi E",624,IF(Atletas!R135="Outra Arma Curta E",625,IF(Atletas!R135="Dao F",626,IF(Atletas!R135="Jian F",627,IF(Atletas!R135="Bishou F",628,IF(Atletas!R135="Shanzi F",629,IF(Atletas!R135="Outra Arma Curta F",630, "")))))))))))))))))))))))))))))))</f>
        <v/>
      </c>
      <c r="CA144" s="50" t="str">
        <f>IF(Atletas!S135="","",IF(Atletas!X135&lt;&gt;"",10000,0)+IF(Atletas!B135="Feminino",1000,IF(Atletas!B135="Masculino",2000,""))+IF(Atletas!S135="Gun A",701,IF(Atletas!S135="Qiang A",702,IF(Atletas!S135="Pudao / Guandao A",703,IF(Atletas!S135="Outra Arma Longa A",704,IF(Atletas!S135="Gun B",705,IF(Atletas!S135="Qiang B",706,IF(Atletas!S135="Pudao / Guandao B",707,IF(Atletas!S135="Outra Arma Longa B",708,IF(Atletas!S135="Gun C",709,IF(Atletas!S135="Qiang C",710,IF(Atletas!S135="Pudao / Guandao C",711,IF(Atletas!S135="Outra Arma Longa C",712,IF(Atletas!S135="Gun D",713,IF(Atletas!S135="Qiang D",714,IF(Atletas!S135="Pudao / Guandao D",715,IF(Atletas!S135="Outra Arma Longa D",716,IF(Atletas!S135="Gun E",717,IF(Atletas!S135="Qiang E",718,IF(Atletas!S135="Pudao / Guandao E",719,IF(Atletas!S135="Outra Arma Longa E",720,IF(Atletas!S135="Gun F",721,IF(Atletas!S135="Qiang F",722,IF(Atletas!S135="Pudao / Guandao F",723,IF(Atletas!S135="Outra Arma Longa F",724,"")))))))))))))))))))))))))</f>
        <v/>
      </c>
      <c r="CB144" s="50" t="str">
        <f>IF(Atletas!T135="","",IF(Atletas!X135&lt;&gt;"",10000,0)+IF(Atletas!B135="Feminino",1000,IF(Atletas!B135="Masculino",2000,""))+IF(Atletas!T135="Outra Arma Dupla A",801,IF(Atletas!T135="Arma Maleável A",802,IF(Atletas!T135="Outra Arma Dupla B",803,IF(Atletas!T135="Arma Maleável B",804,IF(Atletas!T135="Outra Arma Dupla C",805,IF(Atletas!T135="Arma Maleável C",806,IF(Atletas!T135="Outra Arma Dupla D",807,IF(Atletas!T135="Arma Maleável D",808,IF(Atletas!T135="Outra Arma Dupla E",809,IF(Atletas!T135="Arma Maleável E",810,IF(Atletas!T135="Outra Arma Dupla F",811,IF(Atletas!T135="Arma Maleável F",812,IF(Atletas!T135="Shuangdao A",813,IF(Atletas!T135="Shuangdao B",814,IF(Atletas!T135="Shuangdao C",815,IF(Atletas!T135="Shuangdao D",816,IF(Atletas!T135="Shuangdao E",817,IF(Atletas!T135="Shuangdao F",818,"")))))))))))))))))))</f>
        <v/>
      </c>
      <c r="CC144" s="50" t="str">
        <f>IF(Atletas!U135="","",IF(Atletas!X135&lt;&gt;"",10000,0)+IF(Atletas!B135="Feminino",1000,IF(Atletas!B135="Masculino",2000,""))+IF(OR(Atletas!U135="Taijijian Yang A",Atletas!U135="Taijijian Yang Standard A"),901,IF(OR(Atletas!U135="Taijijian Chen A", Atletas!U135="Taijijian Chen Standard A"),902,IF(Atletas!U135="Taijijian Sun A",903,IF(Atletas!U135="Taijijian Wu A",904,IF(Atletas!U135="Taijijian Wu-Hao A",905,IF(OR(Atletas!U135="Taijijian 32 A",Atletas!U135="Taijijian 42 A"),906,IF(OR(Atletas!U135="Taijijian Yang B",Atletas!U135="Taijijian Yang Standard B"),907,IF(OR(Atletas!U135="Taijijian Chen B", Atletas!U135="Taijijian Chen Standard B"),908,IF(Atletas!U135="Taijijian Sun B",909,IF(Atletas!U135="Taijijian Wu B",910,IF(Atletas!U135="Taijijian Wu-Hao B",911,IF(OR(Atletas!U135="Taijijian 32 B",Atletas!U135="Taijijian 42 B"),912,IF(OR(Atletas!U135="Taijijian Yang C",Atletas!U135="Taijijian Yang Standard C"),913,IF(OR(Atletas!U135="Taijijian Chen C", Atletas!U135="Taijijian Chen Standard C"),914,IF(Atletas!U135="Taijijian Sun C",915,IF(Atletas!U135="Taijijian Wu C",916,IF(Atletas!U135="Taijijian Wu-Hao C",917,IF(OR(Atletas!U135="Taijijian 32 C",Atletas!U135="Taijijian 42 C"),918,IF(OR(Atletas!U135="Taijijian Yang D",Atletas!U135="Taijijian Yang Standard D"),919,IF(OR(Atletas!U135="Taijijian Chen D", Atletas!U135="Taijijian Chen Standard D"),920,IF(Atletas!U135="Taijijian Sun D",921,IF(Atletas!U135="Taijijian Wu D",922,IF(Atletas!U135="Taijijian Wu-Hao D",923,IF(OR(Atletas!U135="Taijijian 32 D",Atletas!U135="Taijijian 42 D"),924,IF(OR(Atletas!U135="Taijijian Yang E",Atletas!U135="Taijijian Yang Standard E"),925,IF(OR(Atletas!U135="Taijijian Chen E", Atletas!U135="Taijijian Chen Standard E"),926,IF(Atletas!U135="Taijijian Sun E",927,IF(Atletas!U135="Taijijian Wu E",928,IF(Atletas!U135="Taijijian Wu-Hao E",929,IF(OR(Atletas!U135="Taijijian 32 E",Atletas!U135="Taijijian 42 E"),930,IF(OR(Atletas!U135="Taijijian Yang F",Atletas!U135="Taijijian Yang Standard F"),931,IF(OR(Atletas!U135="Taijijian Chen F", Atletas!U135="Taijijian Chen Standard F"),932,IF(Atletas!U135="Taijijian Sun F",933,IF(Atletas!U135="Taijijian Wu F",934,IF(Atletas!U135="Taijijian Wu-Hao F",935,IF(OR(Atletas!U135="Taijijian 32 F",Atletas!U135="Taijijian 42 F"),936,"")))))))))))))))))))))))))))))))))))))</f>
        <v/>
      </c>
      <c r="CD144" s="50" t="str">
        <f>IF(Atletas!V135="","",IF(Atletas!X135&lt;&gt;"",10000,0)+IF(Atletas!B135="Feminino",1000,IF(Atletas!B135="Masculino",2000,""))+IF(Atletas!V135="Taijidao A",937,IF(Atletas!V135="TaijiShanzi A",938,IF(Atletas!V135="Taijiqiang A",939,IF(Atletas!V135="Bagua de Arma A",940,IF(Atletas!V135="Xingyi de Arma A",941,IF(Atletas!V135="Taijidao B",942,IF(Atletas!V135="TaijiShanzi B",943,IF(Atletas!V135="Taijiqiang B",944,IF(Atletas!V135="Bagua de Arma B",945,IF(Atletas!V135="Xingyi de Arma B",946,IF(Atletas!V135="Taijidao C",947,IF(Atletas!V135="TaijiShanzi C",948,IF(Atletas!V135="Taijiqiang C",949,IF(Atletas!V135="Bagua de Arma C",950,IF(Atletas!V135="Xingyi de Arma C",951,IF(Atletas!V135="Taijidao D",952,IF(Atletas!V135="TaijiShanzi D",953,IF(Atletas!V135="Taijiqiang D",954,IF(Atletas!V135="Bagua de Arma D",955,IF(Atletas!V135="Xingyi de Arma D",956,IF(Atletas!V135="Taijidao E",957,IF(Atletas!V135="TaijiShanzi E",958,IF(Atletas!V135="Taijiqiang E",959,IF(Atletas!V135="Bagua de Arma E",960,IF(Atletas!V135="Xingyi de Arma E",961,IF(Atletas!V135="Taijidao F",962,IF(Atletas!V135="TaijiShanzi F",963,IF(Atletas!V135="Taijiqiang F",964,IF(Atletas!V135="Bagua de Arma F",965,IF(Atletas!V135="Xingyi de Arma F",966,"")))))))))))))))))))))))))))))))</f>
        <v/>
      </c>
      <c r="CE144" s="66" t="str">
        <f>IF(CF144&lt;&gt;"","Outro Taijiquan A","")</f>
        <v/>
      </c>
      <c r="CF144" s="66" t="str">
        <f>IF(COUNTIF(BR:CD,1306)&gt;0,COUNTIF(BR:CD,1306),"")</f>
        <v/>
      </c>
      <c r="CG144" s="66" t="str">
        <f>IF(CH144&lt;&gt;"","Outro Taijiquan A","")</f>
        <v/>
      </c>
      <c r="CH144" s="66" t="str">
        <f>IF(COUNTIF(BR:CD,2306)&gt;0,COUNTIF(BR:CD,2306),"")</f>
        <v/>
      </c>
      <c r="CI144" s="66" t="str">
        <f>IF(CJ144&lt;&gt;"","Outro Taijiquan B","")</f>
        <v/>
      </c>
      <c r="CJ144" s="66" t="str">
        <f>IF(COUNTIF(BR:CD,11312)&gt;0,COUNTIF(BR:CD,11312),"")</f>
        <v/>
      </c>
      <c r="CK144" s="66" t="str">
        <f>IF(CL144&lt;&gt;"","Outro Taijiquan B","")</f>
        <v/>
      </c>
      <c r="CL144" s="66" t="str">
        <f>IF(COUNTIF(BR:CD,12312)&gt;0,COUNTIF(BR:CD,12312),"")</f>
        <v/>
      </c>
      <c r="CM144" s="50" t="str">
        <f xml:space="preserve"> IF(Atletas!W135="","",IF(Atletas!W135="Duilian de Mãos BC - Equipe 1",1,IF(Atletas!W135="Duilian de Mãos BC - Equipe 2",2,IF(Atletas!W135="Duilian de Armas BC - Equipe 1",3,IF(Atletas!W135="Duilian de Armas BC - Equipe 2",4,IF(Atletas!W135="Duilian de Mãos DE - Equipe 1",5,IF(Atletas!W135="Duilian de Mãos DE - Equipe 2",6,IF(Atletas!W135="Duilian de Armas DE - Equipe 1",7,IF(Atletas!W135="Duilian de Armas DE - Equipe 2",8,IF(Atletas!W135="Duilian de Tuishou - Equipe 1",9,IF(Atletas!W135="Duilian de Tuishou - Equipe 2",10,IF(Atletas!W135="Grupo Externo ABC - Equipe 1",11,IF(Atletas!W135="Grupo Externo ABC - Equipe 2",12,IF(Atletas!W135="Grupo Interno ABC - Equipe 1",13,IF(Atletas!W135="Grupo Interno ABC - Equipe 2",14,IF(Atletas!W135="Grupo Externo DEF - Equipe 1",15,IF(Atletas!W135="Grupo Externo DEF - Equipe 2",16,IF(Atletas!W135="Grupo Interno DEF - Equipe 1",17,IF(Atletas!W135="Grupo Interno DEF - Equipe 2",18,"")))))))))))))))))))</f>
        <v/>
      </c>
    </row>
    <row r="145" spans="2:91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 t="str">
        <f t="array" ref="Z145">IFERROR(INDEX(CE$7:CE$348,SMALL(IF(CE$7:CE$348&lt;&gt;"",ROW(CE$7:CE$348)-ROW(CE$7)+1),ROWS(CE$7:CE144))),"")</f>
        <v/>
      </c>
      <c r="AA145" s="3" t="str">
        <f t="array" ref="AA145">IFERROR(INDEX(CF$7:CF$348,SMALL(IF(CF$7:CF$348&lt;&gt;"",ROW(CF$7:CF$348)-ROW(CF$7)+1),ROWS(CF$7:CF144))),"")</f>
        <v/>
      </c>
      <c r="AB145" s="3" t="str">
        <f t="array" ref="AB145">IFERROR(INDEX(CG$7:CG$348,SMALL(IF(CG$7:CG$348&lt;&gt;"",ROW(CG$7:CG$348)-ROW(CG$7)+1),ROWS(CG$7:CG144))),"")</f>
        <v/>
      </c>
      <c r="AC145" s="3" t="str">
        <f t="array" ref="AC145">IFERROR(INDEX(CH$7:CH$348,SMALL(IF(CH$7:CH$348&lt;&gt;"",ROW(CH$7:CH$348)-ROW(CH$7)+1),ROWS(CH$7:CH144))),"")</f>
        <v/>
      </c>
      <c r="AD145" s="3" t="str">
        <f t="array" ref="AD145">IFERROR(INDEX(CI$7:CI$377,SMALL(IF(CI$7:CI$377&lt;&gt;"",ROW(CI$7:CI$377)-ROW(CI$7)+1),ROWS(CI$7:CI144))),"")</f>
        <v/>
      </c>
      <c r="AE145" s="3" t="str">
        <f t="array" ref="AE145">IFERROR(INDEX(CJ$7:CJ$378,SMALL(IF(CJ$7:CJ$378&lt;&gt;"",ROW(CJ$7:CJ$378)-ROW(CJ$7)+1),ROWS(CJ$7:CJ144))),"")</f>
        <v/>
      </c>
      <c r="AF145" s="3" t="str">
        <f t="array" ref="AF145">IFERROR(INDEX(CK$7:CK$378,SMALL(IF(CK$7:CK$378&lt;&gt;"",ROW(CK$7:CK$378)-ROW(CK$7)+1),ROWS(CK$7:CK144))),"")</f>
        <v/>
      </c>
      <c r="AG145" s="3" t="str">
        <f t="array" ref="AG145">IFERROR(INDEX(CL$7:CL$378,SMALL(IF(CL$7:CL$378&lt;&gt;"",ROW(CL$7:CL$378)-ROW(CL$7)+1),ROWS(CL$7:CL144))),"")</f>
        <v/>
      </c>
      <c r="AH145" s="3"/>
      <c r="AI145" s="3"/>
      <c r="AJ145" s="3"/>
      <c r="AK145" s="3"/>
      <c r="AL145" s="3"/>
      <c r="AM145" s="3"/>
      <c r="AN145" s="52" t="str">
        <f>IF(Atletas!D136="","",IF(Atletas!B136="Feminino",100,IF(Atletas!B136="Masculino",200,""))+(IF(Atletas!D136="Kids 30kg",1,IF(Atletas!D136="Kids 32kg",2, IF(Atletas!D136="Kids 34kg",3,IF(Atletas!D136="Kids 36kg",4,IF(Atletas!D136="Kids 39kg",5,IF(Atletas!D136="Kids 42kg",6,IF(Atletas!D136="Kids 45kg",7, IF(Atletas!D136="Infantil 39kg",8,IF(Atletas!D136="Infantil 42kg",9,IF(Atletas!D136="Infantil 45kg",10,IF(Atletas!D136="Infantil 48kg",11,IF(Atletas!D136="Infantil 52kg",12,IF(Atletas!D136="Infantil 56kg",13,IF(Atletas!D136="Infantil 60kg",14,IF(Atletas!D136="Juvenil 48kg",15,IF(Atletas!D136="Juvenil 52kg",16,IF(Atletas!D136="Juvenil 56kg",17,IF(Atletas!D136="Juvenil 60kg",18,IF(Atletas!D136="Juvenil 65kg",19,IF(Atletas!D136="Juvenil 70kg",20,IF(Atletas!D136="Juvenil 75kg",21,IF(Atletas!D136="Juvenil 80kg",22, IF(Atletas!D136="Juvenil 85kg",23,IF(Atletas!D136="Adulto 48kg",24,IF(Atletas!D136="Adulto 52kg",25,IF(Atletas!D136="Adulto 56kg",26,IF(Atletas!D136="Adulto 60kg",27,IF(Atletas!D136="Adulto 65kg",28,IF(Atletas!D136="Adulto 70kg",29,IF(Atletas!D136="Adulto 75kg",30,IF(Atletas!D136="Adulto 80kg",31,IF(Atletas!D136="Adulto 85kg",32,IF(Atletas!D136="Adulto 90kg",33,IF(Atletas!D136="Adulto 100kg",34, IF(Atletas!D136="Adulto +100kg",35,"")))))))))))))))))))))))))))))))))))))</f>
        <v/>
      </c>
      <c r="AS145" s="6" t="str">
        <f>IF(Atletas!E136="","",IF(Atletas!B136="Feminino",100,IF(Atletas!B136="Masculino",200,""))+(IF(Atletas!E136="Juvenil 44kg",1,IF(Atletas!E136="Juvenil 48kg",2,IF(Atletas!E136="Juvenil 52kg",3,IF(Atletas!E136="Juvenil 56kg",4,IF(Atletas!E136="Juvenil 60kg",5,IF(Atletas!E136="Juvenil 65kg",6,IF(Atletas!E136="Juvenil 70kg",7,IF(Atletas!E136="Juvenil 75kg",8,IF(Atletas!E136="Juvenil 82kg",9,IF(Atletas!E136="Juvenil 90kg",10,IF(Atletas!E136="Juvenil 100kg",11,IF(Atletas!E136="Adulto 48kg",12,IF(Atletas!E136="Adulto 52kg",13,IF(Atletas!E136="Adulto 56kg",14,IF(Atletas!E136="Adulto 60kg",15,IF(Atletas!E136="Adulto 65kg",16,IF(Atletas!E136="Adulto 70kg",17,IF(Atletas!E136="Adulto 75kg",18,IF(Atletas!E136="Adulto 82kg",19,IF(Atletas!E136="Adulto 90kg",20,IF(Atletas!E136="Adulto 100kg",21,IF(Atletas!E136="Adulto +100kg",22,""))))))))))))))))))))))))</f>
        <v/>
      </c>
      <c r="AX145" s="6" t="str">
        <f>IF(Atletas!F136="","",IF(Atletas!B136="Feminino",100,IF(Atletas!B136="Masculino",200,""))+(IF(Atletas!F136="Adulto 48kg",1,IF(Atletas!F136="Adulto 56kg",2,IF(Atletas!F136="Adulto 65kg",3,IF(Atletas!F136="Adulto 75kg",4,IF(Atletas!F136="Adulto +75kg",5,IF(Atletas!F136="Adulto 52kg",6,IF(Atletas!F136="Adulto 60kg",7,IF(Atletas!F136="Adulto 70kg",8,IF(Atletas!F136="Adulto 80kg",9,IF(Atletas!F136="Adulto 90kg",10,IF(Atletas!F136="Adulto +90kg",11,"")))))))))))))</f>
        <v/>
      </c>
      <c r="BC145" s="6" t="str">
        <f>IF(Atletas!G136="","",IF(Atletas!B136="Feminino",10,IF(Atletas!B136="Masculino",20,""))+(IF(Atletas!G136="Baduanjin A",1,IF(Atletas!G136="Baduanjin B",2))))</f>
        <v/>
      </c>
      <c r="BF145" s="52" t="str">
        <f>IF(Atletas!H136="","",IF(Atletas!B136="Feminino",100,IF(Atletas!B136="Masculino",200,""))+(IF(Atletas!H136="Changquan Mirim",1,IF(Atletas!H136="Nanquan Mirim",2,IF(Atletas!H136="Taijiquan Mirim",3,IF(Atletas!H136="Changquan Grupo C",4,IF(Atletas!H136="Nanquan Grupo C",5,IF(Atletas!H136="Taijiquan Grupo C",6,IF(Atletas!H136="Changquan Grupo B",7,IF(Atletas!H136="Nanquan Grupo B",8,IF(Atletas!H136="Taijiquan Grupo B",9,IF(Atletas!H136="Changquan Grupo A",10,IF(Atletas!H136="Nanquan Grupo A",11,IF(Atletas!H136="Taijiquan Grupo A",12,IF(Atletas!H136="Changquan Opcional",13,IF(Atletas!H136="Nanquan Opcional",14,IF(Atletas!H136="Taijiquan Opcional",15,IF(Atletas!H136="Changquan Adulto",16,IF(Atletas!H136="Nanquan Adulto",17,IF(Atletas!H136="Taijiquan Adulto",18,""))))))))))))))))))))</f>
        <v/>
      </c>
      <c r="BG145" s="52" t="str">
        <f>IF(Atletas!I136="","",IF(Atletas!B136="Feminino",100,IF(Atletas!B136="Masculino",200,""))+(IF(Atletas!I136="Daoshu Mirim",19,IF(Atletas!I136="Jianshu Mirim",20,IF(Atletas!I136="Nandao Mirim",21,IF(Atletas!I136="Taijijian Mirim",22,IF(Atletas!I136="Daoshu Grupo C",23,IF(Atletas!I136="Jianshu Grupo C",24,IF(Atletas!I136="Nandao Grupo C",25,IF(Atletas!I136="Taijijian Grupo C",26,IF(Atletas!I136="Daoshu Grupo B",27,IF(Atletas!I136="Jianshu Grupo B",28,IF(Atletas!I136="Nandao Grupo B",29,IF(Atletas!I136="Taijijian Grupo B",30,IF(Atletas!I136="Daoshu Grupo A",31,IF(Atletas!I136="Jianshu Grupo A",32,IF(Atletas!I136="Nandao Grupo A",33,IF(Atletas!I136="Taijijian Grupo A",34,IF(Atletas!I136="Daoshu Opcional",35,IF(Atletas!I136="Jianshu Opcional",36,IF(Atletas!I136="Nandao Opcional",37,IF(Atletas!I136="Taijijian Opcional",38,IF(Atletas!I136="Daoshu Adulto",39,IF(Atletas!I136="Jianshu Adulto",40,IF(Atletas!I136="Nandao Adulto",41,IF(Atletas!I136="Taijijian Adulto",42,""))))))))))))))))))))))))))</f>
        <v/>
      </c>
      <c r="BH145" s="52" t="str">
        <f>IF(Atletas!J136="","",IF(Atletas!B136="Feminino",100,IF(Atletas!B136="Masculino",200,""))+(IF(Atletas!J136="Gunshu Mirim",43,IF(Atletas!J136="Qiangshu Mirim",44,IF(Atletas!J136="Nangun Mirim",45,IF(Atletas!J136="Gunshu Grupo C",46,IF(Atletas!J136="Qiangshu Grupo C",47,IF(Atletas!J136="Nangun Grupo C",48,IF(Atletas!J136="Gunshu Grupo B",49,IF(Atletas!J136="Qiangshu Grupo B",50,IF(Atletas!J136="Nangun Grupo B",51,IF(Atletas!J136="Gunshu Grupo A",52,IF(Atletas!J136="Qiangshu Grupo A",53,IF(Atletas!J136="Nangun Grupo A",54,IF(Atletas!J136="Gunshu Opcional",55,IF(Atletas!J136="Qiangshu Opcional",56,IF(Atletas!J136="Nangun Opcional",57,IF(Atletas!J136="Gunshu Adulto",58,IF(Atletas!J136="Qiangshu Adulto",59,IF(Atletas!J136="Nangun Adulto",60,IF(Atletas!J136="Taijishan Grupo B",61,IF(Atletas!J136="Taijishan Grupo A",62,""))))))))))))))))))))))</f>
        <v/>
      </c>
      <c r="BM145" s="50" t="str">
        <f>IF(Atletas!K136="","",IF(Atletas!B136="Feminino",100,IF(Atletas!B136="Masculino",200,""))+(IF(Atletas!K136="Equipe 1 Grupo B",1,IF(Atletas!K136="Equipe 2 Grupo B",2,IF(Atletas!K136="Equipe 1 Grupo A",3,IF(Atletas!K136="Equipe 2 Grupo A",4,IF(Atletas!K136="Equipe 1 Adulto",5,IF(Atletas!K136="Equipe 2 Adulto",6,""))))))))</f>
        <v/>
      </c>
      <c r="BR145" s="50" t="str">
        <f>IF(Atletas!L136="","",IF(Atletas!X136&lt;&gt;"",10000,0)+(IF(Atletas!B136="Feminino",1000,IF(Atletas!B136="Masculino",2000,""))+IF(Atletas!L136="Choylayfut A",1,IF(Atletas!L136="Hunggar A",2,IF(Atletas!L136="Wuzuquan A",3,IF(Atletas!L136="Wingchun A",4,IF(Atletas!L136="Outra Mão de Sul A",5,IF(Atletas!L136="Choylayfut B",6,IF(Atletas!L136="Hunggar B",7,IF(Atletas!L136="Wuzuquan B",8,IF(Atletas!L136="Wingchun B",9,IF(Atletas!L136="Outra Mão de Sul B",10,IF(Atletas!L136="Choylayfut C",11,IF(Atletas!L136="Hunggar C",12,IF(Atletas!L136="Wuzuquan C",13,IF(Atletas!L136="Wingchun C",14,IF(Atletas!L136="Outra Mão de Sul C",15,IF(Atletas!L136="Choylayfut D",16,IF(Atletas!L136="Hunggar D",17,IF(Atletas!L136="Wuzuquan D",18,IF(Atletas!L136="Wingchun D",19,IF(Atletas!L136="Outra Mão de Sul D",20,IF(Atletas!L136="Choylayfut E",21,IF(Atletas!L136="Hunggar E",22,IF(Atletas!L136="Wuzuquan E",23,IF(Atletas!L136="Wingchun E",24,IF(Atletas!L136="Outra Mão de Sul E",25,IF(Atletas!L136="Choylayfut F",26,IF(Atletas!L136="Hunggar F",27,IF(Atletas!L136="Wuzuquan F",28,IF(Atletas!L136="Wingchun F",29,IF(Atletas!L136="Outra Mão de Sul F",30,IF(Atletas!L136="Dishuquan A",31,IF(Atletas!L136="Dishuquan B",32,IF(Atletas!L136="Dishuquan C",33,IF(Atletas!L136="Dishuquan D",34,IF(Atletas!L136="Dishuquan E",35,IF(Atletas!L136="Dishuquan F",36,""))))))))))))))))))))))))))))))))))))))</f>
        <v/>
      </c>
      <c r="BS145" s="50" t="str">
        <f>IF(Atletas!M136="","",IF(Atletas!X136&lt;&gt;"",10000,0)+(IF(Atletas!B136="Feminino",1000,IF(Atletas!B136="Masculino",2000,""))+(IF(Atletas!M136="Chaquan A",101,IF(Atletas!M136="Emeiquan A",102,IF(Atletas!M136="Fanziquan A",103,IF(Atletas!M136="Huaquan A",104,IF(Atletas!M136="Hongquan A",105,IF(Atletas!M136="Paoquan A",106,IF(Atletas!M136="Piguaquan A",107,IF(Atletas!M136="Shaolinquan A",108,IF(Atletas!M136="Tanglangquan A",109,IF(Atletas!M136="Yingzhaoquan A",110,IF(Atletas!M136="Tongbeiquan A",111,IF(Atletas!M136="Wudangquan A",112,IF(Atletas!M136="Outros Estilos A",113,IF(Atletas!M136="Chaquan B",114,IF(Atletas!M136="Emeiquan B",115,IF(Atletas!M136="Fanziquan B",116,IF(Atletas!M136="Huaquan B",117,IF(Atletas!M136="Hongquan B",118,IF(Atletas!M136="Paoquan B",119,IF(Atletas!M136="Piguaquan B",120,IF(Atletas!M136="Shaolinquan B",121,IF(Atletas!M136="Tanglangquan B",122,IF(Atletas!M136="Yingzhaoquan B",123,IF(Atletas!M136="Tongbeiquan B",124,IF(Atletas!M136="Wudangquan B",125,IF(Atletas!M136="Outros Estilos B",126,IF(Atletas!M136="Chaquan C",127,IF(Atletas!M136="Emeiquan C",128,IF(Atletas!M136="Fanziquan C",129,IF(Atletas!M136="Huaquan C",130,IF(Atletas!M136="Hongquan C",131,IF(Atletas!M136="Paoquan C",132,IF(Atletas!M136="Piguaquan C",133,IF(Atletas!M136="Shaolinquan C",134,IF(Atletas!M136="Tanglangquan C",135,IF(Atletas!M136="Yingzhaoquan C",136,IF(Atletas!M136="Tongbeiquan C",137,IF(Atletas!M136="Wudangquan C",138,IF(Atletas!M136="Outros Estilos C",139,0))))))))))))))))))))))))))))))))))))))))))</f>
        <v/>
      </c>
      <c r="BT145" s="50" t="str">
        <f>IF(Atletas!M136="","",IF(Atletas!X136&lt;&gt;"",10000,0)+(IF(Atletas!B136="Feminino",1000,IF(Atletas!B136="Masculino",2000,""))+(IF(Atletas!M136="Chaquan D",140,IF(Atletas!M136="Emeiquan D",141,IF(Atletas!M136="Fanziquan D",142,IF(Atletas!M136="Huaquan D",143,IF(Atletas!M136="Hongquan D",144,IF(Atletas!M136="Paoquan D",145,IF(Atletas!M136="Piguaquan D",146,IF(Atletas!M136="Shaolinquan D",147,IF(Atletas!M136="Tanglangquan D",148,IF(Atletas!M136="Yingzhaoquan D",149,IF(Atletas!M136="Tongbeiquan D",150,IF(Atletas!M136="Wudangquan D",151,IF(Atletas!M136="Outros Estilos D",152,IF(Atletas!M136="Chaquan E",153,IF(Atletas!M136="Emeiquan E",154,IF(Atletas!M136="Fanziquan E",155,IF(Atletas!M136="Huaquan E",156,IF(Atletas!M136="Hongquan E",157,IF(Atletas!M136="Paoquan E",158,IF(Atletas!M136="Piguaquan E",159,IF(Atletas!M136="Shaolinquan E",160,IF(Atletas!M136="Tanglangquan E",161,IF(Atletas!M136="Yingzhaoquan E",162,IF(Atletas!M136="Tongbeiquan E",163,IF(Atletas!M136="Wudangquan E",164,IF(Atletas!M136="Outros Estilos E",165,IF(Atletas!M136="Chaquan F",166,IF(Atletas!M136="Emeiquan F",167,IF(Atletas!M136="Fanziquan F",168,IF(Atletas!M136="Huaquan F",169,IF(Atletas!M136="Hongquan F",170,IF(Atletas!M136="Paoquan F",171,IF(Atletas!M136="Piguaquan F",172,IF(Atletas!M136="Shaolinquan F",173,IF(Atletas!M136="Tanglangquan F",174,IF(Atletas!M136="Yingzhaoquan F",175,IF(Atletas!M136="Tongbeiquan F",176,IF(Atletas!M136="Wudangquan F",177,IF(Atletas!M136="Outros Estilos F",178,0))))))))))))))))))))))))))))))))))))))))))</f>
        <v/>
      </c>
      <c r="BU145" s="50" t="str">
        <f>IF(Atletas!N136="","",IF(Atletas!X136&lt;&gt;"",10000,0)+(IF(Atletas!B136="Feminino",1000,IF(Atletas!B136="Masculino",2000,""))+(IF(Atletas!N136="Ditangquan A",201,IF(Atletas!N136="Houquan A",202,IF(Atletas!N136="Zuiquan A",203,IF(Atletas!N136="Ditangquan B",204,IF(Atletas!N136="Houquan B",205,IF(Atletas!N136="Zuiquan B",206,IF(Atletas!N136="Ditangquan C",207,IF(Atletas!N136="Houquan C",208,IF(Atletas!N136="Zuiquan C",209,IF(Atletas!N136="Ditangquan D",210,IF(Atletas!N136="Houquan D",211,IF(Atletas!N136="Zuiquan D",212,IF(Atletas!N136="Ditangquan E",213,IF(Atletas!N136="Houquan E",214,IF(Atletas!N136="Zuiquan E",215,IF(Atletas!N136="Ditangquan F",216,IF(Atletas!N136="Houquan F",217,IF(Atletas!N136="Zuiquan F",218,"")))))))))))))))))))))</f>
        <v/>
      </c>
      <c r="BV145" s="50" t="str">
        <f>IF(Atletas!O136="","",IF(Atletas!X136&lt;&gt;"",10000,0)+IF(Atletas!B136="Feminino",1000,IF(Atletas!B136="Masculino",2000,""))+IF(Atletas!O136="Yang A",301,IF(Atletas!O136="Chen A",302,IF(Atletas!O136="Sun A",303,IF(Atletas!O136="Wu A",304,IF(Atletas!O136="Wu-Hao A",305,IF(Atletas!O136="Outro Taijiquan A",306,IF(Atletas!O136="Yang B",307,IF(Atletas!O136="Chen B",308,IF(Atletas!O136="Sun B",309,IF(Atletas!O136="Wu B",310,IF(Atletas!O136="Wu-Hao B",311,IF(Atletas!O136="Outro Taijiquan B",312,IF(Atletas!O136="Yang C",313,IF(Atletas!O136="Chen C",314,IF(Atletas!O136="Sun C",315,IF(Atletas!O136="Wu C",316,IF(Atletas!O136="Wu-Hao C",317,IF(Atletas!O136="Outro Taijiquan C",318,IF(Atletas!O136="Yang D",319,IF(Atletas!O136="Chen D",320,IF(Atletas!O136="Sun D",321,IF(Atletas!O136="Wu D",322,IF(Atletas!O136="Wu-Hao D",323,IF(Atletas!O136="Outro Taijiquan D",324,IF(Atletas!O136="Yang E",325,IF(Atletas!O136="Chen E",326,IF(Atletas!O136="Sun E",327,IF(Atletas!O136="Wu E",328,IF(Atletas!O136="Wu-Hao E",329,IF(Atletas!O136="Outro Taijiquan E",330,IF(Atletas!O136="Yang F",331,IF(Atletas!O136="Chen F",332,IF(Atletas!O136="Sun F",333,IF(Atletas!O136="Wu F",334,IF(Atletas!O136="Wu-Hao F",335,IF(Atletas!O136="Outro Taijiquan F",336,"")))))))))))))))))))))))))))))))))))))</f>
        <v/>
      </c>
      <c r="BW145" s="50" t="str">
        <f>IF(Atletas!P136="","",IF(Atletas!X136&lt;&gt;"",10000,0)+IF(Atletas!B136="Feminino",1000,IF(Atletas!B136="Masculino",2000,""))+IF(OR(Atletas!P136="Yang 26 A",Atletas!P136="Yang 40 A"),401,IF(OR(Atletas!P136="Chen 25 A",Atletas!P136="Chen 36 A",Atletas!P136="Chen 56 A"),402,IF(Atletas!P136="Sun 73 A",403,IF(Atletas!P136="Wu 45 A",404,IF(Atletas!P136="Wu-Hao 46 A",405,IF(OR(Atletas!P136="Taijiquan 16 A",Atletas!P136="Taijiquan 24 A",Atletas!P136="Taijiquan 32 A",Atletas!P136="Taijiquan 42 A"),406,IF(OR(Atletas!P136="Yang 26 B",Atletas!P136="Yang 40 B"),407,IF(OR(Atletas!P136="Chen 25 B",Atletas!P136="Chen 36 B",Atletas!P136="Chen 56 B"),408,IF(Atletas!P136="Sun 73 B",409,IF(Atletas!P136="Wu 45 B",410,IF(Atletas!P136="Wu-Hao 46 B",411,IF(OR(Atletas!P136="Taijiquan 16 B",Atletas!P136="Taijiquan 24 B",Atletas!P136="Taijiquan 32 B",Atletas!P136="Taijiquan 42 B"),412,IF(OR(Atletas!P136="Yang 26 C",Atletas!P136="Yang 40 C"),413,IF(OR(Atletas!P136="Chen 25 C",Atletas!P136="Chen 36 C",Atletas!P136="Chen 56 C"),414,IF(Atletas!P136="Sun 73 C",415,IF(Atletas!P136="Wu 45 C",416,IF(Atletas!P136="Wu-Hao 46 C",417,IF(OR(Atletas!P136="Taijiquan 16 C",Atletas!P136="Taijiquan 24 C",Atletas!P136="Taijiquan 32 C",Atletas!P136="Taijiquan 42 C"),418,0)))))))))))))))))))</f>
        <v/>
      </c>
      <c r="BX145" s="50" t="str">
        <f>IF(Atletas!P136="","",IF(Atletas!X136&lt;&gt;"",10000,0)+IF(Atletas!B136="Feminino",1000,IF(Atletas!B136="Masculino",2000,""))+IF(OR(Atletas!P136="Yang 26 D",Atletas!P136="Yang 40 D"),419,IF(OR(Atletas!P136="Chen 25 D",Atletas!P136="Chen 36 D",Atletas!P136="Chen 56 D"),420,IF(Atletas!P136="Sun 73 D",421,IF(Atletas!P136="Wu 45 D",422,IF(Atletas!P136="Wu-Hao 46 D",423,IF(OR(Atletas!P136="Taijiquan 16 D",Atletas!P136="Taijiquan 24 D",Atletas!P136="Taijiquan 32 D",Atletas!P136="Taijiquan 42 D"),424,IF(OR(Atletas!P136="Yang 26 E",Atletas!P136="Yang 40 E"),425,IF(OR(Atletas!P136="Chen 25 E",Atletas!P136="Chen 36 E",Atletas!P136="Chen 56 E"),426,IF(Atletas!P136="Sun 73 E",427,IF(Atletas!P136="Wu 45 E",428,IF(Atletas!P136="Wu-Hao 46 E",429,IF(OR(Atletas!P136="Taijiquan 16 E",Atletas!P136="Taijiquan 24 E",Atletas!P136="Taijiquan 32 E",Atletas!P136="Taijiquan 42 E"),430,IF(OR(Atletas!P136="Yang 26 F",Atletas!P136="Yang 40 F"),431,IF(OR(Atletas!P136="Chen 25 F",Atletas!P136="Chen 36 F",Atletas!P136="Chen 56 F"),432,IF(Atletas!P136="Sun 73 F",433,IF(Atletas!P136="Wu 45 F",434,IF(Atletas!P136="Wu-Hao 46 F",435,IF(OR(Atletas!P136="Taijiquan 16 F",Atletas!P136="Taijiquan 24 F",Atletas!P136="Taijiquan 32 F",Atletas!P136="Taijiquan 42 F"),436,0)))))))))))))))))))</f>
        <v/>
      </c>
      <c r="BY145" s="50" t="str">
        <f>IF(Atletas!Q136="","",IF(Atletas!X136&lt;&gt;"",10000,0)+IF(Atletas!B136="Feminino",1000,IF(Atletas!B136="Masculino",2000,""))+IF(Atletas!Q136="Xingyiquan A",501,IF(Atletas!Q136="Baguazhang A",502,IF(Atletas!Q136="Outro Estilo Interno A",503,IF(Atletas!Q136="Xingyiquan B",504,IF(Atletas!Q136="Baguazhang B",505,IF(Atletas!Q136="Outro Estilo Interno B",506,IF(Atletas!Q136="Xingyiquan C",507,IF(Atletas!Q136="Baguazhang C",508,IF(Atletas!Q136="Outro Estilo Interno C",509,IF(Atletas!Q136="Xingyiquan D",510,IF(Atletas!Q136="Baguazhang D",511,IF(Atletas!Q136="Outro Estilo Interno D",512,IF(Atletas!Q136="Xingyiquan E",513,IF(Atletas!Q136="Baguazhang E",514,IF(Atletas!Q136="Outro Estilo Interno E",515,IF(Atletas!Q136="Xingyiquan F",516,IF(Atletas!Q136="Baguazhang F",517,IF(Atletas!Q136="Outro Estilo Interno F",518, "")))))))))))))))))))</f>
        <v/>
      </c>
      <c r="BZ145" s="50" t="str">
        <f>IF(Atletas!R136="","",IF(Atletas!X136&lt;&gt;"",10000,0)+IF(Atletas!B136="Feminino",1000,IF(Atletas!B136="Masculino",2000,""))+IF(Atletas!R136="Dao A",601,IF(Atletas!R136="Jian A",602,IF(Atletas!R136="Bishou A",603,IF(Atletas!R136="Shanzi A",604,IF(Atletas!R136="Outra Arma Curta A",605,IF(Atletas!R136="Dao B",606,IF(Atletas!R136="Jian B",607,IF(Atletas!R136="Bishou B",608,IF(Atletas!R136="Shanzi B",609,IF(Atletas!R136="Outra Arma Curta B",610,IF(Atletas!R136="Dao C",611,IF(Atletas!R136="Jian C",612,IF(Atletas!R136="Bishou C",613,IF(Atletas!R136="Shanzi C",614,IF(Atletas!R136="Outra Arma Curta C",615,IF(Atletas!R136="Dao D",616,IF(Atletas!R136="Jian D",617,IF(Atletas!R136="Bishou D",618,IF(Atletas!R136="Shanzi D",619,IF(Atletas!R136="Outra Arma Curta D",620,IF(Atletas!R136="Dao E",621,IF(Atletas!R136="Jian E",622,IF(Atletas!R136="Bishou E",623,IF(Atletas!R136="Shanzi E",624,IF(Atletas!R136="Outra Arma Curta E",625,IF(Atletas!R136="Dao F",626,IF(Atletas!R136="Jian F",627,IF(Atletas!R136="Bishou F",628,IF(Atletas!R136="Shanzi F",629,IF(Atletas!R136="Outra Arma Curta F",630, "")))))))))))))))))))))))))))))))</f>
        <v/>
      </c>
      <c r="CA145" s="50" t="str">
        <f>IF(Atletas!S136="","",IF(Atletas!X136&lt;&gt;"",10000,0)+IF(Atletas!B136="Feminino",1000,IF(Atletas!B136="Masculino",2000,""))+IF(Atletas!S136="Gun A",701,IF(Atletas!S136="Qiang A",702,IF(Atletas!S136="Pudao / Guandao A",703,IF(Atletas!S136="Outra Arma Longa A",704,IF(Atletas!S136="Gun B",705,IF(Atletas!S136="Qiang B",706,IF(Atletas!S136="Pudao / Guandao B",707,IF(Atletas!S136="Outra Arma Longa B",708,IF(Atletas!S136="Gun C",709,IF(Atletas!S136="Qiang C",710,IF(Atletas!S136="Pudao / Guandao C",711,IF(Atletas!S136="Outra Arma Longa C",712,IF(Atletas!S136="Gun D",713,IF(Atletas!S136="Qiang D",714,IF(Atletas!S136="Pudao / Guandao D",715,IF(Atletas!S136="Outra Arma Longa D",716,IF(Atletas!S136="Gun E",717,IF(Atletas!S136="Qiang E",718,IF(Atletas!S136="Pudao / Guandao E",719,IF(Atletas!S136="Outra Arma Longa E",720,IF(Atletas!S136="Gun F",721,IF(Atletas!S136="Qiang F",722,IF(Atletas!S136="Pudao / Guandao F",723,IF(Atletas!S136="Outra Arma Longa F",724,"")))))))))))))))))))))))))</f>
        <v/>
      </c>
      <c r="CB145" s="50" t="str">
        <f>IF(Atletas!T136="","",IF(Atletas!X136&lt;&gt;"",10000,0)+IF(Atletas!B136="Feminino",1000,IF(Atletas!B136="Masculino",2000,""))+IF(Atletas!T136="Outra Arma Dupla A",801,IF(Atletas!T136="Arma Maleável A",802,IF(Atletas!T136="Outra Arma Dupla B",803,IF(Atletas!T136="Arma Maleável B",804,IF(Atletas!T136="Outra Arma Dupla C",805,IF(Atletas!T136="Arma Maleável C",806,IF(Atletas!T136="Outra Arma Dupla D",807,IF(Atletas!T136="Arma Maleável D",808,IF(Atletas!T136="Outra Arma Dupla E",809,IF(Atletas!T136="Arma Maleável E",810,IF(Atletas!T136="Outra Arma Dupla F",811,IF(Atletas!T136="Arma Maleável F",812,IF(Atletas!T136="Shuangdao A",813,IF(Atletas!T136="Shuangdao B",814,IF(Atletas!T136="Shuangdao C",815,IF(Atletas!T136="Shuangdao D",816,IF(Atletas!T136="Shuangdao E",817,IF(Atletas!T136="Shuangdao F",818,"")))))))))))))))))))</f>
        <v/>
      </c>
      <c r="CC145" s="50" t="str">
        <f>IF(Atletas!U136="","",IF(Atletas!X136&lt;&gt;"",10000,0)+IF(Atletas!B136="Feminino",1000,IF(Atletas!B136="Masculino",2000,""))+IF(OR(Atletas!U136="Taijijian Yang A",Atletas!U136="Taijijian Yang Standard A"),901,IF(OR(Atletas!U136="Taijijian Chen A", Atletas!U136="Taijijian Chen Standard A"),902,IF(Atletas!U136="Taijijian Sun A",903,IF(Atletas!U136="Taijijian Wu A",904,IF(Atletas!U136="Taijijian Wu-Hao A",905,IF(OR(Atletas!U136="Taijijian 32 A",Atletas!U136="Taijijian 42 A"),906,IF(OR(Atletas!U136="Taijijian Yang B",Atletas!U136="Taijijian Yang Standard B"),907,IF(OR(Atletas!U136="Taijijian Chen B", Atletas!U136="Taijijian Chen Standard B"),908,IF(Atletas!U136="Taijijian Sun B",909,IF(Atletas!U136="Taijijian Wu B",910,IF(Atletas!U136="Taijijian Wu-Hao B",911,IF(OR(Atletas!U136="Taijijian 32 B",Atletas!U136="Taijijian 42 B"),912,IF(OR(Atletas!U136="Taijijian Yang C",Atletas!U136="Taijijian Yang Standard C"),913,IF(OR(Atletas!U136="Taijijian Chen C", Atletas!U136="Taijijian Chen Standard C"),914,IF(Atletas!U136="Taijijian Sun C",915,IF(Atletas!U136="Taijijian Wu C",916,IF(Atletas!U136="Taijijian Wu-Hao C",917,IF(OR(Atletas!U136="Taijijian 32 C",Atletas!U136="Taijijian 42 C"),918,IF(OR(Atletas!U136="Taijijian Yang D",Atletas!U136="Taijijian Yang Standard D"),919,IF(OR(Atletas!U136="Taijijian Chen D", Atletas!U136="Taijijian Chen Standard D"),920,IF(Atletas!U136="Taijijian Sun D",921,IF(Atletas!U136="Taijijian Wu D",922,IF(Atletas!U136="Taijijian Wu-Hao D",923,IF(OR(Atletas!U136="Taijijian 32 D",Atletas!U136="Taijijian 42 D"),924,IF(OR(Atletas!U136="Taijijian Yang E",Atletas!U136="Taijijian Yang Standard E"),925,IF(OR(Atletas!U136="Taijijian Chen E", Atletas!U136="Taijijian Chen Standard E"),926,IF(Atletas!U136="Taijijian Sun E",927,IF(Atletas!U136="Taijijian Wu E",928,IF(Atletas!U136="Taijijian Wu-Hao E",929,IF(OR(Atletas!U136="Taijijian 32 E",Atletas!U136="Taijijian 42 E"),930,IF(OR(Atletas!U136="Taijijian Yang F",Atletas!U136="Taijijian Yang Standard F"),931,IF(OR(Atletas!U136="Taijijian Chen F", Atletas!U136="Taijijian Chen Standard F"),932,IF(Atletas!U136="Taijijian Sun F",933,IF(Atletas!U136="Taijijian Wu F",934,IF(Atletas!U136="Taijijian Wu-Hao F",935,IF(OR(Atletas!U136="Taijijian 32 F",Atletas!U136="Taijijian 42 F"),936,"")))))))))))))))))))))))))))))))))))))</f>
        <v/>
      </c>
      <c r="CD145" s="50" t="str">
        <f>IF(Atletas!V136="","",IF(Atletas!X136&lt;&gt;"",10000,0)+IF(Atletas!B136="Feminino",1000,IF(Atletas!B136="Masculino",2000,""))+IF(Atletas!V136="Taijidao A",937,IF(Atletas!V136="TaijiShanzi A",938,IF(Atletas!V136="Taijiqiang A",939,IF(Atletas!V136="Bagua de Arma A",940,IF(Atletas!V136="Xingyi de Arma A",941,IF(Atletas!V136="Taijidao B",942,IF(Atletas!V136="TaijiShanzi B",943,IF(Atletas!V136="Taijiqiang B",944,IF(Atletas!V136="Bagua de Arma B",945,IF(Atletas!V136="Xingyi de Arma B",946,IF(Atletas!V136="Taijidao C",947,IF(Atletas!V136="TaijiShanzi C",948,IF(Atletas!V136="Taijiqiang C",949,IF(Atletas!V136="Bagua de Arma C",950,IF(Atletas!V136="Xingyi de Arma C",951,IF(Atletas!V136="Taijidao D",952,IF(Atletas!V136="TaijiShanzi D",953,IF(Atletas!V136="Taijiqiang D",954,IF(Atletas!V136="Bagua de Arma D",955,IF(Atletas!V136="Xingyi de Arma D",956,IF(Atletas!V136="Taijidao E",957,IF(Atletas!V136="TaijiShanzi E",958,IF(Atletas!V136="Taijiqiang E",959,IF(Atletas!V136="Bagua de Arma E",960,IF(Atletas!V136="Xingyi de Arma E",961,IF(Atletas!V136="Taijidao F",962,IF(Atletas!V136="TaijiShanzi F",963,IF(Atletas!V136="Taijiqiang F",964,IF(Atletas!V136="Bagua de Arma F",965,IF(Atletas!V136="Xingyi de Arma F",966,"")))))))))))))))))))))))))))))))</f>
        <v/>
      </c>
      <c r="CE145" s="66" t="str">
        <f>IF(CF145&lt;&gt;"","TJQ Trad. Yang B","")</f>
        <v/>
      </c>
      <c r="CF145" s="66" t="str">
        <f>IF(COUNTIF(BR:CD,1307)&gt;0,COUNTIF(BR:CD,1307),"")</f>
        <v/>
      </c>
      <c r="CG145" s="66" t="str">
        <f>IF(CH145&lt;&gt;"","TJQ Trad. Yang B","")</f>
        <v/>
      </c>
      <c r="CH145" s="66" t="str">
        <f>IF(COUNTIF(BR:CD,2307)&gt;0,COUNTIF(BR:CD,2307),"")</f>
        <v/>
      </c>
      <c r="CI145" s="66" t="str">
        <f>IF(CJ145&lt;&gt;"","TJQ Trad. Yang C","")</f>
        <v/>
      </c>
      <c r="CJ145" s="66" t="str">
        <f>IF(COUNTIF(BR:CD,11313)&gt;0,COUNTIF(BR:CD,11313),"")</f>
        <v/>
      </c>
      <c r="CK145" s="66" t="str">
        <f>IF(CL145&lt;&gt;"","TJQ Trad. Yang C","")</f>
        <v/>
      </c>
      <c r="CL145" s="66" t="str">
        <f>IF(COUNTIF(BR:CD,12313)&gt;0,COUNTIF(BR:CD,12313),"")</f>
        <v/>
      </c>
      <c r="CM145" s="50" t="str">
        <f xml:space="preserve"> IF(Atletas!W136="","",IF(Atletas!W136="Duilian de Mãos BC - Equipe 1",1,IF(Atletas!W136="Duilian de Mãos BC - Equipe 2",2,IF(Atletas!W136="Duilian de Armas BC - Equipe 1",3,IF(Atletas!W136="Duilian de Armas BC - Equipe 2",4,IF(Atletas!W136="Duilian de Mãos DE - Equipe 1",5,IF(Atletas!W136="Duilian de Mãos DE - Equipe 2",6,IF(Atletas!W136="Duilian de Armas DE - Equipe 1",7,IF(Atletas!W136="Duilian de Armas DE - Equipe 2",8,IF(Atletas!W136="Duilian de Tuishou - Equipe 1",9,IF(Atletas!W136="Duilian de Tuishou - Equipe 2",10,IF(Atletas!W136="Grupo Externo ABC - Equipe 1",11,IF(Atletas!W136="Grupo Externo ABC - Equipe 2",12,IF(Atletas!W136="Grupo Interno ABC - Equipe 1",13,IF(Atletas!W136="Grupo Interno ABC - Equipe 2",14,IF(Atletas!W136="Grupo Externo DEF - Equipe 1",15,IF(Atletas!W136="Grupo Externo DEF - Equipe 2",16,IF(Atletas!W136="Grupo Interno DEF - Equipe 1",17,IF(Atletas!W136="Grupo Interno DEF - Equipe 2",18,"")))))))))))))))))))</f>
        <v/>
      </c>
    </row>
    <row r="146" spans="2:91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 t="str">
        <f t="array" ref="Z146">IFERROR(INDEX(CE$7:CE$348,SMALL(IF(CE$7:CE$348&lt;&gt;"",ROW(CE$7:CE$348)-ROW(CE$7)+1),ROWS(CE$7:CE145))),"")</f>
        <v/>
      </c>
      <c r="AA146" s="3" t="str">
        <f t="array" ref="AA146">IFERROR(INDEX(CF$7:CF$348,SMALL(IF(CF$7:CF$348&lt;&gt;"",ROW(CF$7:CF$348)-ROW(CF$7)+1),ROWS(CF$7:CF145))),"")</f>
        <v/>
      </c>
      <c r="AB146" s="3" t="str">
        <f t="array" ref="AB146">IFERROR(INDEX(CG$7:CG$348,SMALL(IF(CG$7:CG$348&lt;&gt;"",ROW(CG$7:CG$348)-ROW(CG$7)+1),ROWS(CG$7:CG145))),"")</f>
        <v/>
      </c>
      <c r="AC146" s="3" t="str">
        <f t="array" ref="AC146">IFERROR(INDEX(CH$7:CH$348,SMALL(IF(CH$7:CH$348&lt;&gt;"",ROW(CH$7:CH$348)-ROW(CH$7)+1),ROWS(CH$7:CH145))),"")</f>
        <v/>
      </c>
      <c r="AD146" s="3" t="str">
        <f t="array" ref="AD146">IFERROR(INDEX(CI$7:CI$377,SMALL(IF(CI$7:CI$377&lt;&gt;"",ROW(CI$7:CI$377)-ROW(CI$7)+1),ROWS(CI$7:CI145))),"")</f>
        <v/>
      </c>
      <c r="AE146" s="3" t="str">
        <f t="array" ref="AE146">IFERROR(INDEX(CJ$7:CJ$378,SMALL(IF(CJ$7:CJ$378&lt;&gt;"",ROW(CJ$7:CJ$378)-ROW(CJ$7)+1),ROWS(CJ$7:CJ145))),"")</f>
        <v/>
      </c>
      <c r="AF146" s="3" t="str">
        <f t="array" ref="AF146">IFERROR(INDEX(CK$7:CK$378,SMALL(IF(CK$7:CK$378&lt;&gt;"",ROW(CK$7:CK$378)-ROW(CK$7)+1),ROWS(CK$7:CK145))),"")</f>
        <v/>
      </c>
      <c r="AG146" s="3" t="str">
        <f t="array" ref="AG146">IFERROR(INDEX(CL$7:CL$378,SMALL(IF(CL$7:CL$378&lt;&gt;"",ROW(CL$7:CL$378)-ROW(CL$7)+1),ROWS(CL$7:CL145))),"")</f>
        <v/>
      </c>
      <c r="AH146" s="3"/>
      <c r="AI146" s="3"/>
      <c r="AJ146" s="3"/>
      <c r="AK146" s="3"/>
      <c r="AL146" s="3"/>
      <c r="AM146" s="3"/>
      <c r="AN146" s="52" t="str">
        <f>IF(Atletas!D137="","",IF(Atletas!B137="Feminino",100,IF(Atletas!B137="Masculino",200,""))+(IF(Atletas!D137="Kids 30kg",1,IF(Atletas!D137="Kids 32kg",2, IF(Atletas!D137="Kids 34kg",3,IF(Atletas!D137="Kids 36kg",4,IF(Atletas!D137="Kids 39kg",5,IF(Atletas!D137="Kids 42kg",6,IF(Atletas!D137="Kids 45kg",7, IF(Atletas!D137="Infantil 39kg",8,IF(Atletas!D137="Infantil 42kg",9,IF(Atletas!D137="Infantil 45kg",10,IF(Atletas!D137="Infantil 48kg",11,IF(Atletas!D137="Infantil 52kg",12,IF(Atletas!D137="Infantil 56kg",13,IF(Atletas!D137="Infantil 60kg",14,IF(Atletas!D137="Juvenil 48kg",15,IF(Atletas!D137="Juvenil 52kg",16,IF(Atletas!D137="Juvenil 56kg",17,IF(Atletas!D137="Juvenil 60kg",18,IF(Atletas!D137="Juvenil 65kg",19,IF(Atletas!D137="Juvenil 70kg",20,IF(Atletas!D137="Juvenil 75kg",21,IF(Atletas!D137="Juvenil 80kg",22, IF(Atletas!D137="Juvenil 85kg",23,IF(Atletas!D137="Adulto 48kg",24,IF(Atletas!D137="Adulto 52kg",25,IF(Atletas!D137="Adulto 56kg",26,IF(Atletas!D137="Adulto 60kg",27,IF(Atletas!D137="Adulto 65kg",28,IF(Atletas!D137="Adulto 70kg",29,IF(Atletas!D137="Adulto 75kg",30,IF(Atletas!D137="Adulto 80kg",31,IF(Atletas!D137="Adulto 85kg",32,IF(Atletas!D137="Adulto 90kg",33,IF(Atletas!D137="Adulto 100kg",34, IF(Atletas!D137="Adulto +100kg",35,"")))))))))))))))))))))))))))))))))))))</f>
        <v/>
      </c>
      <c r="AS146" s="6" t="str">
        <f>IF(Atletas!E137="","",IF(Atletas!B137="Feminino",100,IF(Atletas!B137="Masculino",200,""))+(IF(Atletas!E137="Juvenil 44kg",1,IF(Atletas!E137="Juvenil 48kg",2,IF(Atletas!E137="Juvenil 52kg",3,IF(Atletas!E137="Juvenil 56kg",4,IF(Atletas!E137="Juvenil 60kg",5,IF(Atletas!E137="Juvenil 65kg",6,IF(Atletas!E137="Juvenil 70kg",7,IF(Atletas!E137="Juvenil 75kg",8,IF(Atletas!E137="Juvenil 82kg",9,IF(Atletas!E137="Juvenil 90kg",10,IF(Atletas!E137="Juvenil 100kg",11,IF(Atletas!E137="Adulto 48kg",12,IF(Atletas!E137="Adulto 52kg",13,IF(Atletas!E137="Adulto 56kg",14,IF(Atletas!E137="Adulto 60kg",15,IF(Atletas!E137="Adulto 65kg",16,IF(Atletas!E137="Adulto 70kg",17,IF(Atletas!E137="Adulto 75kg",18,IF(Atletas!E137="Adulto 82kg",19,IF(Atletas!E137="Adulto 90kg",20,IF(Atletas!E137="Adulto 100kg",21,IF(Atletas!E137="Adulto +100kg",22,""))))))))))))))))))))))))</f>
        <v/>
      </c>
      <c r="AX146" s="6" t="str">
        <f>IF(Atletas!F137="","",IF(Atletas!B137="Feminino",100,IF(Atletas!B137="Masculino",200,""))+(IF(Atletas!F137="Adulto 48kg",1,IF(Atletas!F137="Adulto 56kg",2,IF(Atletas!F137="Adulto 65kg",3,IF(Atletas!F137="Adulto 75kg",4,IF(Atletas!F137="Adulto +75kg",5,IF(Atletas!F137="Adulto 52kg",6,IF(Atletas!F137="Adulto 60kg",7,IF(Atletas!F137="Adulto 70kg",8,IF(Atletas!F137="Adulto 80kg",9,IF(Atletas!F137="Adulto 90kg",10,IF(Atletas!F137="Adulto +90kg",11,"")))))))))))))</f>
        <v/>
      </c>
      <c r="BC146" s="6" t="str">
        <f>IF(Atletas!G137="","",IF(Atletas!B137="Feminino",10,IF(Atletas!B137="Masculino",20,""))+(IF(Atletas!G137="Baduanjin A",1,IF(Atletas!G137="Baduanjin B",2))))</f>
        <v/>
      </c>
      <c r="BF146" s="52" t="str">
        <f>IF(Atletas!H137="","",IF(Atletas!B137="Feminino",100,IF(Atletas!B137="Masculino",200,""))+(IF(Atletas!H137="Changquan Mirim",1,IF(Atletas!H137="Nanquan Mirim",2,IF(Atletas!H137="Taijiquan Mirim",3,IF(Atletas!H137="Changquan Grupo C",4,IF(Atletas!H137="Nanquan Grupo C",5,IF(Atletas!H137="Taijiquan Grupo C",6,IF(Atletas!H137="Changquan Grupo B",7,IF(Atletas!H137="Nanquan Grupo B",8,IF(Atletas!H137="Taijiquan Grupo B",9,IF(Atletas!H137="Changquan Grupo A",10,IF(Atletas!H137="Nanquan Grupo A",11,IF(Atletas!H137="Taijiquan Grupo A",12,IF(Atletas!H137="Changquan Opcional",13,IF(Atletas!H137="Nanquan Opcional",14,IF(Atletas!H137="Taijiquan Opcional",15,IF(Atletas!H137="Changquan Adulto",16,IF(Atletas!H137="Nanquan Adulto",17,IF(Atletas!H137="Taijiquan Adulto",18,""))))))))))))))))))))</f>
        <v/>
      </c>
      <c r="BG146" s="52" t="str">
        <f>IF(Atletas!I137="","",IF(Atletas!B137="Feminino",100,IF(Atletas!B137="Masculino",200,""))+(IF(Atletas!I137="Daoshu Mirim",19,IF(Atletas!I137="Jianshu Mirim",20,IF(Atletas!I137="Nandao Mirim",21,IF(Atletas!I137="Taijijian Mirim",22,IF(Atletas!I137="Daoshu Grupo C",23,IF(Atletas!I137="Jianshu Grupo C",24,IF(Atletas!I137="Nandao Grupo C",25,IF(Atletas!I137="Taijijian Grupo C",26,IF(Atletas!I137="Daoshu Grupo B",27,IF(Atletas!I137="Jianshu Grupo B",28,IF(Atletas!I137="Nandao Grupo B",29,IF(Atletas!I137="Taijijian Grupo B",30,IF(Atletas!I137="Daoshu Grupo A",31,IF(Atletas!I137="Jianshu Grupo A",32,IF(Atletas!I137="Nandao Grupo A",33,IF(Atletas!I137="Taijijian Grupo A",34,IF(Atletas!I137="Daoshu Opcional",35,IF(Atletas!I137="Jianshu Opcional",36,IF(Atletas!I137="Nandao Opcional",37,IF(Atletas!I137="Taijijian Opcional",38,IF(Atletas!I137="Daoshu Adulto",39,IF(Atletas!I137="Jianshu Adulto",40,IF(Atletas!I137="Nandao Adulto",41,IF(Atletas!I137="Taijijian Adulto",42,""))))))))))))))))))))))))))</f>
        <v/>
      </c>
      <c r="BH146" s="52" t="str">
        <f>IF(Atletas!J137="","",IF(Atletas!B137="Feminino",100,IF(Atletas!B137="Masculino",200,""))+(IF(Atletas!J137="Gunshu Mirim",43,IF(Atletas!J137="Qiangshu Mirim",44,IF(Atletas!J137="Nangun Mirim",45,IF(Atletas!J137="Gunshu Grupo C",46,IF(Atletas!J137="Qiangshu Grupo C",47,IF(Atletas!J137="Nangun Grupo C",48,IF(Atletas!J137="Gunshu Grupo B",49,IF(Atletas!J137="Qiangshu Grupo B",50,IF(Atletas!J137="Nangun Grupo B",51,IF(Atletas!J137="Gunshu Grupo A",52,IF(Atletas!J137="Qiangshu Grupo A",53,IF(Atletas!J137="Nangun Grupo A",54,IF(Atletas!J137="Gunshu Opcional",55,IF(Atletas!J137="Qiangshu Opcional",56,IF(Atletas!J137="Nangun Opcional",57,IF(Atletas!J137="Gunshu Adulto",58,IF(Atletas!J137="Qiangshu Adulto",59,IF(Atletas!J137="Nangun Adulto",60,IF(Atletas!J137="Taijishan Grupo B",61,IF(Atletas!J137="Taijishan Grupo A",62,""))))))))))))))))))))))</f>
        <v/>
      </c>
      <c r="BM146" s="50" t="str">
        <f>IF(Atletas!K137="","",IF(Atletas!B137="Feminino",100,IF(Atletas!B137="Masculino",200,""))+(IF(Atletas!K137="Equipe 1 Grupo B",1,IF(Atletas!K137="Equipe 2 Grupo B",2,IF(Atletas!K137="Equipe 1 Grupo A",3,IF(Atletas!K137="Equipe 2 Grupo A",4,IF(Atletas!K137="Equipe 1 Adulto",5,IF(Atletas!K137="Equipe 2 Adulto",6,""))))))))</f>
        <v/>
      </c>
      <c r="BR146" s="50" t="str">
        <f>IF(Atletas!L137="","",IF(Atletas!X137&lt;&gt;"",10000,0)+(IF(Atletas!B137="Feminino",1000,IF(Atletas!B137="Masculino",2000,""))+IF(Atletas!L137="Choylayfut A",1,IF(Atletas!L137="Hunggar A",2,IF(Atletas!L137="Wuzuquan A",3,IF(Atletas!L137="Wingchun A",4,IF(Atletas!L137="Outra Mão de Sul A",5,IF(Atletas!L137="Choylayfut B",6,IF(Atletas!L137="Hunggar B",7,IF(Atletas!L137="Wuzuquan B",8,IF(Atletas!L137="Wingchun B",9,IF(Atletas!L137="Outra Mão de Sul B",10,IF(Atletas!L137="Choylayfut C",11,IF(Atletas!L137="Hunggar C",12,IF(Atletas!L137="Wuzuquan C",13,IF(Atletas!L137="Wingchun C",14,IF(Atletas!L137="Outra Mão de Sul C",15,IF(Atletas!L137="Choylayfut D",16,IF(Atletas!L137="Hunggar D",17,IF(Atletas!L137="Wuzuquan D",18,IF(Atletas!L137="Wingchun D",19,IF(Atletas!L137="Outra Mão de Sul D",20,IF(Atletas!L137="Choylayfut E",21,IF(Atletas!L137="Hunggar E",22,IF(Atletas!L137="Wuzuquan E",23,IF(Atletas!L137="Wingchun E",24,IF(Atletas!L137="Outra Mão de Sul E",25,IF(Atletas!L137="Choylayfut F",26,IF(Atletas!L137="Hunggar F",27,IF(Atletas!L137="Wuzuquan F",28,IF(Atletas!L137="Wingchun F",29,IF(Atletas!L137="Outra Mão de Sul F",30,IF(Atletas!L137="Dishuquan A",31,IF(Atletas!L137="Dishuquan B",32,IF(Atletas!L137="Dishuquan C",33,IF(Atletas!L137="Dishuquan D",34,IF(Atletas!L137="Dishuquan E",35,IF(Atletas!L137="Dishuquan F",36,""))))))))))))))))))))))))))))))))))))))</f>
        <v/>
      </c>
      <c r="BS146" s="50" t="str">
        <f>IF(Atletas!M137="","",IF(Atletas!X137&lt;&gt;"",10000,0)+(IF(Atletas!B137="Feminino",1000,IF(Atletas!B137="Masculino",2000,""))+(IF(Atletas!M137="Chaquan A",101,IF(Atletas!M137="Emeiquan A",102,IF(Atletas!M137="Fanziquan A",103,IF(Atletas!M137="Huaquan A",104,IF(Atletas!M137="Hongquan A",105,IF(Atletas!M137="Paoquan A",106,IF(Atletas!M137="Piguaquan A",107,IF(Atletas!M137="Shaolinquan A",108,IF(Atletas!M137="Tanglangquan A",109,IF(Atletas!M137="Yingzhaoquan A",110,IF(Atletas!M137="Tongbeiquan A",111,IF(Atletas!M137="Wudangquan A",112,IF(Atletas!M137="Outros Estilos A",113,IF(Atletas!M137="Chaquan B",114,IF(Atletas!M137="Emeiquan B",115,IF(Atletas!M137="Fanziquan B",116,IF(Atletas!M137="Huaquan B",117,IF(Atletas!M137="Hongquan B",118,IF(Atletas!M137="Paoquan B",119,IF(Atletas!M137="Piguaquan B",120,IF(Atletas!M137="Shaolinquan B",121,IF(Atletas!M137="Tanglangquan B",122,IF(Atletas!M137="Yingzhaoquan B",123,IF(Atletas!M137="Tongbeiquan B",124,IF(Atletas!M137="Wudangquan B",125,IF(Atletas!M137="Outros Estilos B",126,IF(Atletas!M137="Chaquan C",127,IF(Atletas!M137="Emeiquan C",128,IF(Atletas!M137="Fanziquan C",129,IF(Atletas!M137="Huaquan C",130,IF(Atletas!M137="Hongquan C",131,IF(Atletas!M137="Paoquan C",132,IF(Atletas!M137="Piguaquan C",133,IF(Atletas!M137="Shaolinquan C",134,IF(Atletas!M137="Tanglangquan C",135,IF(Atletas!M137="Yingzhaoquan C",136,IF(Atletas!M137="Tongbeiquan C",137,IF(Atletas!M137="Wudangquan C",138,IF(Atletas!M137="Outros Estilos C",139,0))))))))))))))))))))))))))))))))))))))))))</f>
        <v/>
      </c>
      <c r="BT146" s="50" t="str">
        <f>IF(Atletas!M137="","",IF(Atletas!X137&lt;&gt;"",10000,0)+(IF(Atletas!B137="Feminino",1000,IF(Atletas!B137="Masculino",2000,""))+(IF(Atletas!M137="Chaquan D",140,IF(Atletas!M137="Emeiquan D",141,IF(Atletas!M137="Fanziquan D",142,IF(Atletas!M137="Huaquan D",143,IF(Atletas!M137="Hongquan D",144,IF(Atletas!M137="Paoquan D",145,IF(Atletas!M137="Piguaquan D",146,IF(Atletas!M137="Shaolinquan D",147,IF(Atletas!M137="Tanglangquan D",148,IF(Atletas!M137="Yingzhaoquan D",149,IF(Atletas!M137="Tongbeiquan D",150,IF(Atletas!M137="Wudangquan D",151,IF(Atletas!M137="Outros Estilos D",152,IF(Atletas!M137="Chaquan E",153,IF(Atletas!M137="Emeiquan E",154,IF(Atletas!M137="Fanziquan E",155,IF(Atletas!M137="Huaquan E",156,IF(Atletas!M137="Hongquan E",157,IF(Atletas!M137="Paoquan E",158,IF(Atletas!M137="Piguaquan E",159,IF(Atletas!M137="Shaolinquan E",160,IF(Atletas!M137="Tanglangquan E",161,IF(Atletas!M137="Yingzhaoquan E",162,IF(Atletas!M137="Tongbeiquan E",163,IF(Atletas!M137="Wudangquan E",164,IF(Atletas!M137="Outros Estilos E",165,IF(Atletas!M137="Chaquan F",166,IF(Atletas!M137="Emeiquan F",167,IF(Atletas!M137="Fanziquan F",168,IF(Atletas!M137="Huaquan F",169,IF(Atletas!M137="Hongquan F",170,IF(Atletas!M137="Paoquan F",171,IF(Atletas!M137="Piguaquan F",172,IF(Atletas!M137="Shaolinquan F",173,IF(Atletas!M137="Tanglangquan F",174,IF(Atletas!M137="Yingzhaoquan F",175,IF(Atletas!M137="Tongbeiquan F",176,IF(Atletas!M137="Wudangquan F",177,IF(Atletas!M137="Outros Estilos F",178,0))))))))))))))))))))))))))))))))))))))))))</f>
        <v/>
      </c>
      <c r="BU146" s="50" t="str">
        <f>IF(Atletas!N137="","",IF(Atletas!X137&lt;&gt;"",10000,0)+(IF(Atletas!B137="Feminino",1000,IF(Atletas!B137="Masculino",2000,""))+(IF(Atletas!N137="Ditangquan A",201,IF(Atletas!N137="Houquan A",202,IF(Atletas!N137="Zuiquan A",203,IF(Atletas!N137="Ditangquan B",204,IF(Atletas!N137="Houquan B",205,IF(Atletas!N137="Zuiquan B",206,IF(Atletas!N137="Ditangquan C",207,IF(Atletas!N137="Houquan C",208,IF(Atletas!N137="Zuiquan C",209,IF(Atletas!N137="Ditangquan D",210,IF(Atletas!N137="Houquan D",211,IF(Atletas!N137="Zuiquan D",212,IF(Atletas!N137="Ditangquan E",213,IF(Atletas!N137="Houquan E",214,IF(Atletas!N137="Zuiquan E",215,IF(Atletas!N137="Ditangquan F",216,IF(Atletas!N137="Houquan F",217,IF(Atletas!N137="Zuiquan F",218,"")))))))))))))))))))))</f>
        <v/>
      </c>
      <c r="BV146" s="50" t="str">
        <f>IF(Atletas!O137="","",IF(Atletas!X137&lt;&gt;"",10000,0)+IF(Atletas!B137="Feminino",1000,IF(Atletas!B137="Masculino",2000,""))+IF(Atletas!O137="Yang A",301,IF(Atletas!O137="Chen A",302,IF(Atletas!O137="Sun A",303,IF(Atletas!O137="Wu A",304,IF(Atletas!O137="Wu-Hao A",305,IF(Atletas!O137="Outro Taijiquan A",306,IF(Atletas!O137="Yang B",307,IF(Atletas!O137="Chen B",308,IF(Atletas!O137="Sun B",309,IF(Atletas!O137="Wu B",310,IF(Atletas!O137="Wu-Hao B",311,IF(Atletas!O137="Outro Taijiquan B",312,IF(Atletas!O137="Yang C",313,IF(Atletas!O137="Chen C",314,IF(Atletas!O137="Sun C",315,IF(Atletas!O137="Wu C",316,IF(Atletas!O137="Wu-Hao C",317,IF(Atletas!O137="Outro Taijiquan C",318,IF(Atletas!O137="Yang D",319,IF(Atletas!O137="Chen D",320,IF(Atletas!O137="Sun D",321,IF(Atletas!O137="Wu D",322,IF(Atletas!O137="Wu-Hao D",323,IF(Atletas!O137="Outro Taijiquan D",324,IF(Atletas!O137="Yang E",325,IF(Atletas!O137="Chen E",326,IF(Atletas!O137="Sun E",327,IF(Atletas!O137="Wu E",328,IF(Atletas!O137="Wu-Hao E",329,IF(Atletas!O137="Outro Taijiquan E",330,IF(Atletas!O137="Yang F",331,IF(Atletas!O137="Chen F",332,IF(Atletas!O137="Sun F",333,IF(Atletas!O137="Wu F",334,IF(Atletas!O137="Wu-Hao F",335,IF(Atletas!O137="Outro Taijiquan F",336,"")))))))))))))))))))))))))))))))))))))</f>
        <v/>
      </c>
      <c r="BW146" s="50" t="str">
        <f>IF(Atletas!P137="","",IF(Atletas!X137&lt;&gt;"",10000,0)+IF(Atletas!B137="Feminino",1000,IF(Atletas!B137="Masculino",2000,""))+IF(OR(Atletas!P137="Yang 26 A",Atletas!P137="Yang 40 A"),401,IF(OR(Atletas!P137="Chen 25 A",Atletas!P137="Chen 36 A",Atletas!P137="Chen 56 A"),402,IF(Atletas!P137="Sun 73 A",403,IF(Atletas!P137="Wu 45 A",404,IF(Atletas!P137="Wu-Hao 46 A",405,IF(OR(Atletas!P137="Taijiquan 16 A",Atletas!P137="Taijiquan 24 A",Atletas!P137="Taijiquan 32 A",Atletas!P137="Taijiquan 42 A"),406,IF(OR(Atletas!P137="Yang 26 B",Atletas!P137="Yang 40 B"),407,IF(OR(Atletas!P137="Chen 25 B",Atletas!P137="Chen 36 B",Atletas!P137="Chen 56 B"),408,IF(Atletas!P137="Sun 73 B",409,IF(Atletas!P137="Wu 45 B",410,IF(Atletas!P137="Wu-Hao 46 B",411,IF(OR(Atletas!P137="Taijiquan 16 B",Atletas!P137="Taijiquan 24 B",Atletas!P137="Taijiquan 32 B",Atletas!P137="Taijiquan 42 B"),412,IF(OR(Atletas!P137="Yang 26 C",Atletas!P137="Yang 40 C"),413,IF(OR(Atletas!P137="Chen 25 C",Atletas!P137="Chen 36 C",Atletas!P137="Chen 56 C"),414,IF(Atletas!P137="Sun 73 C",415,IF(Atletas!P137="Wu 45 C",416,IF(Atletas!P137="Wu-Hao 46 C",417,IF(OR(Atletas!P137="Taijiquan 16 C",Atletas!P137="Taijiquan 24 C",Atletas!P137="Taijiquan 32 C",Atletas!P137="Taijiquan 42 C"),418,0)))))))))))))))))))</f>
        <v/>
      </c>
      <c r="BX146" s="50" t="str">
        <f>IF(Atletas!P137="","",IF(Atletas!X137&lt;&gt;"",10000,0)+IF(Atletas!B137="Feminino",1000,IF(Atletas!B137="Masculino",2000,""))+IF(OR(Atletas!P137="Yang 26 D",Atletas!P137="Yang 40 D"),419,IF(OR(Atletas!P137="Chen 25 D",Atletas!P137="Chen 36 D",Atletas!P137="Chen 56 D"),420,IF(Atletas!P137="Sun 73 D",421,IF(Atletas!P137="Wu 45 D",422,IF(Atletas!P137="Wu-Hao 46 D",423,IF(OR(Atletas!P137="Taijiquan 16 D",Atletas!P137="Taijiquan 24 D",Atletas!P137="Taijiquan 32 D",Atletas!P137="Taijiquan 42 D"),424,IF(OR(Atletas!P137="Yang 26 E",Atletas!P137="Yang 40 E"),425,IF(OR(Atletas!P137="Chen 25 E",Atletas!P137="Chen 36 E",Atletas!P137="Chen 56 E"),426,IF(Atletas!P137="Sun 73 E",427,IF(Atletas!P137="Wu 45 E",428,IF(Atletas!P137="Wu-Hao 46 E",429,IF(OR(Atletas!P137="Taijiquan 16 E",Atletas!P137="Taijiquan 24 E",Atletas!P137="Taijiquan 32 E",Atletas!P137="Taijiquan 42 E"),430,IF(OR(Atletas!P137="Yang 26 F",Atletas!P137="Yang 40 F"),431,IF(OR(Atletas!P137="Chen 25 F",Atletas!P137="Chen 36 F",Atletas!P137="Chen 56 F"),432,IF(Atletas!P137="Sun 73 F",433,IF(Atletas!P137="Wu 45 F",434,IF(Atletas!P137="Wu-Hao 46 F",435,IF(OR(Atletas!P137="Taijiquan 16 F",Atletas!P137="Taijiquan 24 F",Atletas!P137="Taijiquan 32 F",Atletas!P137="Taijiquan 42 F"),436,0)))))))))))))))))))</f>
        <v/>
      </c>
      <c r="BY146" s="50" t="str">
        <f>IF(Atletas!Q137="","",IF(Atletas!X137&lt;&gt;"",10000,0)+IF(Atletas!B137="Feminino",1000,IF(Atletas!B137="Masculino",2000,""))+IF(Atletas!Q137="Xingyiquan A",501,IF(Atletas!Q137="Baguazhang A",502,IF(Atletas!Q137="Outro Estilo Interno A",503,IF(Atletas!Q137="Xingyiquan B",504,IF(Atletas!Q137="Baguazhang B",505,IF(Atletas!Q137="Outro Estilo Interno B",506,IF(Atletas!Q137="Xingyiquan C",507,IF(Atletas!Q137="Baguazhang C",508,IF(Atletas!Q137="Outro Estilo Interno C",509,IF(Atletas!Q137="Xingyiquan D",510,IF(Atletas!Q137="Baguazhang D",511,IF(Atletas!Q137="Outro Estilo Interno D",512,IF(Atletas!Q137="Xingyiquan E",513,IF(Atletas!Q137="Baguazhang E",514,IF(Atletas!Q137="Outro Estilo Interno E",515,IF(Atletas!Q137="Xingyiquan F",516,IF(Atletas!Q137="Baguazhang F",517,IF(Atletas!Q137="Outro Estilo Interno F",518, "")))))))))))))))))))</f>
        <v/>
      </c>
      <c r="BZ146" s="50" t="str">
        <f>IF(Atletas!R137="","",IF(Atletas!X137&lt;&gt;"",10000,0)+IF(Atletas!B137="Feminino",1000,IF(Atletas!B137="Masculino",2000,""))+IF(Atletas!R137="Dao A",601,IF(Atletas!R137="Jian A",602,IF(Atletas!R137="Bishou A",603,IF(Atletas!R137="Shanzi A",604,IF(Atletas!R137="Outra Arma Curta A",605,IF(Atletas!R137="Dao B",606,IF(Atletas!R137="Jian B",607,IF(Atletas!R137="Bishou B",608,IF(Atletas!R137="Shanzi B",609,IF(Atletas!R137="Outra Arma Curta B",610,IF(Atletas!R137="Dao C",611,IF(Atletas!R137="Jian C",612,IF(Atletas!R137="Bishou C",613,IF(Atletas!R137="Shanzi C",614,IF(Atletas!R137="Outra Arma Curta C",615,IF(Atletas!R137="Dao D",616,IF(Atletas!R137="Jian D",617,IF(Atletas!R137="Bishou D",618,IF(Atletas!R137="Shanzi D",619,IF(Atletas!R137="Outra Arma Curta D",620,IF(Atletas!R137="Dao E",621,IF(Atletas!R137="Jian E",622,IF(Atletas!R137="Bishou E",623,IF(Atletas!R137="Shanzi E",624,IF(Atletas!R137="Outra Arma Curta E",625,IF(Atletas!R137="Dao F",626,IF(Atletas!R137="Jian F",627,IF(Atletas!R137="Bishou F",628,IF(Atletas!R137="Shanzi F",629,IF(Atletas!R137="Outra Arma Curta F",630, "")))))))))))))))))))))))))))))))</f>
        <v/>
      </c>
      <c r="CA146" s="50" t="str">
        <f>IF(Atletas!S137="","",IF(Atletas!X137&lt;&gt;"",10000,0)+IF(Atletas!B137="Feminino",1000,IF(Atletas!B137="Masculino",2000,""))+IF(Atletas!S137="Gun A",701,IF(Atletas!S137="Qiang A",702,IF(Atletas!S137="Pudao / Guandao A",703,IF(Atletas!S137="Outra Arma Longa A",704,IF(Atletas!S137="Gun B",705,IF(Atletas!S137="Qiang B",706,IF(Atletas!S137="Pudao / Guandao B",707,IF(Atletas!S137="Outra Arma Longa B",708,IF(Atletas!S137="Gun C",709,IF(Atletas!S137="Qiang C",710,IF(Atletas!S137="Pudao / Guandao C",711,IF(Atletas!S137="Outra Arma Longa C",712,IF(Atletas!S137="Gun D",713,IF(Atletas!S137="Qiang D",714,IF(Atletas!S137="Pudao / Guandao D",715,IF(Atletas!S137="Outra Arma Longa D",716,IF(Atletas!S137="Gun E",717,IF(Atletas!S137="Qiang E",718,IF(Atletas!S137="Pudao / Guandao E",719,IF(Atletas!S137="Outra Arma Longa E",720,IF(Atletas!S137="Gun F",721,IF(Atletas!S137="Qiang F",722,IF(Atletas!S137="Pudao / Guandao F",723,IF(Atletas!S137="Outra Arma Longa F",724,"")))))))))))))))))))))))))</f>
        <v/>
      </c>
      <c r="CB146" s="50" t="str">
        <f>IF(Atletas!T137="","",IF(Atletas!X137&lt;&gt;"",10000,0)+IF(Atletas!B137="Feminino",1000,IF(Atletas!B137="Masculino",2000,""))+IF(Atletas!T137="Outra Arma Dupla A",801,IF(Atletas!T137="Arma Maleável A",802,IF(Atletas!T137="Outra Arma Dupla B",803,IF(Atletas!T137="Arma Maleável B",804,IF(Atletas!T137="Outra Arma Dupla C",805,IF(Atletas!T137="Arma Maleável C",806,IF(Atletas!T137="Outra Arma Dupla D",807,IF(Atletas!T137="Arma Maleável D",808,IF(Atletas!T137="Outra Arma Dupla E",809,IF(Atletas!T137="Arma Maleável E",810,IF(Atletas!T137="Outra Arma Dupla F",811,IF(Atletas!T137="Arma Maleável F",812,IF(Atletas!T137="Shuangdao A",813,IF(Atletas!T137="Shuangdao B",814,IF(Atletas!T137="Shuangdao C",815,IF(Atletas!T137="Shuangdao D",816,IF(Atletas!T137="Shuangdao E",817,IF(Atletas!T137="Shuangdao F",818,"")))))))))))))))))))</f>
        <v/>
      </c>
      <c r="CC146" s="50" t="str">
        <f>IF(Atletas!U137="","",IF(Atletas!X137&lt;&gt;"",10000,0)+IF(Atletas!B137="Feminino",1000,IF(Atletas!B137="Masculino",2000,""))+IF(OR(Atletas!U137="Taijijian Yang A",Atletas!U137="Taijijian Yang Standard A"),901,IF(OR(Atletas!U137="Taijijian Chen A", Atletas!U137="Taijijian Chen Standard A"),902,IF(Atletas!U137="Taijijian Sun A",903,IF(Atletas!U137="Taijijian Wu A",904,IF(Atletas!U137="Taijijian Wu-Hao A",905,IF(OR(Atletas!U137="Taijijian 32 A",Atletas!U137="Taijijian 42 A"),906,IF(OR(Atletas!U137="Taijijian Yang B",Atletas!U137="Taijijian Yang Standard B"),907,IF(OR(Atletas!U137="Taijijian Chen B", Atletas!U137="Taijijian Chen Standard B"),908,IF(Atletas!U137="Taijijian Sun B",909,IF(Atletas!U137="Taijijian Wu B",910,IF(Atletas!U137="Taijijian Wu-Hao B",911,IF(OR(Atletas!U137="Taijijian 32 B",Atletas!U137="Taijijian 42 B"),912,IF(OR(Atletas!U137="Taijijian Yang C",Atletas!U137="Taijijian Yang Standard C"),913,IF(OR(Atletas!U137="Taijijian Chen C", Atletas!U137="Taijijian Chen Standard C"),914,IF(Atletas!U137="Taijijian Sun C",915,IF(Atletas!U137="Taijijian Wu C",916,IF(Atletas!U137="Taijijian Wu-Hao C",917,IF(OR(Atletas!U137="Taijijian 32 C",Atletas!U137="Taijijian 42 C"),918,IF(OR(Atletas!U137="Taijijian Yang D",Atletas!U137="Taijijian Yang Standard D"),919,IF(OR(Atletas!U137="Taijijian Chen D", Atletas!U137="Taijijian Chen Standard D"),920,IF(Atletas!U137="Taijijian Sun D",921,IF(Atletas!U137="Taijijian Wu D",922,IF(Atletas!U137="Taijijian Wu-Hao D",923,IF(OR(Atletas!U137="Taijijian 32 D",Atletas!U137="Taijijian 42 D"),924,IF(OR(Atletas!U137="Taijijian Yang E",Atletas!U137="Taijijian Yang Standard E"),925,IF(OR(Atletas!U137="Taijijian Chen E", Atletas!U137="Taijijian Chen Standard E"),926,IF(Atletas!U137="Taijijian Sun E",927,IF(Atletas!U137="Taijijian Wu E",928,IF(Atletas!U137="Taijijian Wu-Hao E",929,IF(OR(Atletas!U137="Taijijian 32 E",Atletas!U137="Taijijian 42 E"),930,IF(OR(Atletas!U137="Taijijian Yang F",Atletas!U137="Taijijian Yang Standard F"),931,IF(OR(Atletas!U137="Taijijian Chen F", Atletas!U137="Taijijian Chen Standard F"),932,IF(Atletas!U137="Taijijian Sun F",933,IF(Atletas!U137="Taijijian Wu F",934,IF(Atletas!U137="Taijijian Wu-Hao F",935,IF(OR(Atletas!U137="Taijijian 32 F",Atletas!U137="Taijijian 42 F"),936,"")))))))))))))))))))))))))))))))))))))</f>
        <v/>
      </c>
      <c r="CD146" s="50" t="str">
        <f>IF(Atletas!V137="","",IF(Atletas!X137&lt;&gt;"",10000,0)+IF(Atletas!B137="Feminino",1000,IF(Atletas!B137="Masculino",2000,""))+IF(Atletas!V137="Taijidao A",937,IF(Atletas!V137="TaijiShanzi A",938,IF(Atletas!V137="Taijiqiang A",939,IF(Atletas!V137="Bagua de Arma A",940,IF(Atletas!V137="Xingyi de Arma A",941,IF(Atletas!V137="Taijidao B",942,IF(Atletas!V137="TaijiShanzi B",943,IF(Atletas!V137="Taijiqiang B",944,IF(Atletas!V137="Bagua de Arma B",945,IF(Atletas!V137="Xingyi de Arma B",946,IF(Atletas!V137="Taijidao C",947,IF(Atletas!V137="TaijiShanzi C",948,IF(Atletas!V137="Taijiqiang C",949,IF(Atletas!V137="Bagua de Arma C",950,IF(Atletas!V137="Xingyi de Arma C",951,IF(Atletas!V137="Taijidao D",952,IF(Atletas!V137="TaijiShanzi D",953,IF(Atletas!V137="Taijiqiang D",954,IF(Atletas!V137="Bagua de Arma D",955,IF(Atletas!V137="Xingyi de Arma D",956,IF(Atletas!V137="Taijidao E",957,IF(Atletas!V137="TaijiShanzi E",958,IF(Atletas!V137="Taijiqiang E",959,IF(Atletas!V137="Bagua de Arma E",960,IF(Atletas!V137="Xingyi de Arma E",961,IF(Atletas!V137="Taijidao F",962,IF(Atletas!V137="TaijiShanzi F",963,IF(Atletas!V137="Taijiqiang F",964,IF(Atletas!V137="Bagua de Arma F",965,IF(Atletas!V137="Xingyi de Arma F",966,"")))))))))))))))))))))))))))))))</f>
        <v/>
      </c>
      <c r="CE146" s="66" t="str">
        <f>IF(CF146&lt;&gt;"","TJQ Trad. Chen B","")</f>
        <v/>
      </c>
      <c r="CF146" s="66" t="str">
        <f>IF(COUNTIF(BR:CD,1308)&gt;0,COUNTIF(BR:CD,1308),"")</f>
        <v/>
      </c>
      <c r="CG146" s="66" t="str">
        <f>IF(CH146&lt;&gt;"","TJQ Trad. Chen B","")</f>
        <v/>
      </c>
      <c r="CH146" s="66" t="str">
        <f>IF(COUNTIF(BR:CD,2308)&gt;0,COUNTIF(BR:CD,2308),"")</f>
        <v/>
      </c>
      <c r="CI146" s="66" t="str">
        <f>IF(CJ146&lt;&gt;"","TJQ Trad. Chen C","")</f>
        <v/>
      </c>
      <c r="CJ146" s="66" t="str">
        <f>IF(COUNTIF(BR:CD,11314)&gt;0,COUNTIF(BR:CD,11314),"")</f>
        <v/>
      </c>
      <c r="CK146" s="66" t="str">
        <f>IF(CL146&lt;&gt;"","TJQ Trad. Chen C","")</f>
        <v/>
      </c>
      <c r="CL146" s="66" t="str">
        <f>IF(COUNTIF(BR:CD,12314)&gt;0,COUNTIF(BR:CD,12314),"")</f>
        <v/>
      </c>
      <c r="CM146" s="50" t="str">
        <f xml:space="preserve"> IF(Atletas!W137="","",IF(Atletas!W137="Duilian de Mãos BC - Equipe 1",1,IF(Atletas!W137="Duilian de Mãos BC - Equipe 2",2,IF(Atletas!W137="Duilian de Armas BC - Equipe 1",3,IF(Atletas!W137="Duilian de Armas BC - Equipe 2",4,IF(Atletas!W137="Duilian de Mãos DE - Equipe 1",5,IF(Atletas!W137="Duilian de Mãos DE - Equipe 2",6,IF(Atletas!W137="Duilian de Armas DE - Equipe 1",7,IF(Atletas!W137="Duilian de Armas DE - Equipe 2",8,IF(Atletas!W137="Duilian de Tuishou - Equipe 1",9,IF(Atletas!W137="Duilian de Tuishou - Equipe 2",10,IF(Atletas!W137="Grupo Externo ABC - Equipe 1",11,IF(Atletas!W137="Grupo Externo ABC - Equipe 2",12,IF(Atletas!W137="Grupo Interno ABC - Equipe 1",13,IF(Atletas!W137="Grupo Interno ABC - Equipe 2",14,IF(Atletas!W137="Grupo Externo DEF - Equipe 1",15,IF(Atletas!W137="Grupo Externo DEF - Equipe 2",16,IF(Atletas!W137="Grupo Interno DEF - Equipe 1",17,IF(Atletas!W137="Grupo Interno DEF - Equipe 2",18,"")))))))))))))))))))</f>
        <v/>
      </c>
    </row>
    <row r="147" spans="2:91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 t="str">
        <f t="array" ref="Z147">IFERROR(INDEX(CE$7:CE$348,SMALL(IF(CE$7:CE$348&lt;&gt;"",ROW(CE$7:CE$348)-ROW(CE$7)+1),ROWS(CE$7:CE146))),"")</f>
        <v/>
      </c>
      <c r="AA147" s="3" t="str">
        <f t="array" ref="AA147">IFERROR(INDEX(CF$7:CF$348,SMALL(IF(CF$7:CF$348&lt;&gt;"",ROW(CF$7:CF$348)-ROW(CF$7)+1),ROWS(CF$7:CF146))),"")</f>
        <v/>
      </c>
      <c r="AB147" s="3" t="str">
        <f t="array" ref="AB147">IFERROR(INDEX(CG$7:CG$348,SMALL(IF(CG$7:CG$348&lt;&gt;"",ROW(CG$7:CG$348)-ROW(CG$7)+1),ROWS(CG$7:CG146))),"")</f>
        <v/>
      </c>
      <c r="AC147" s="3" t="str">
        <f t="array" ref="AC147">IFERROR(INDEX(CH$7:CH$348,SMALL(IF(CH$7:CH$348&lt;&gt;"",ROW(CH$7:CH$348)-ROW(CH$7)+1),ROWS(CH$7:CH146))),"")</f>
        <v/>
      </c>
      <c r="AD147" s="3" t="str">
        <f t="array" ref="AD147">IFERROR(INDEX(CI$7:CI$377,SMALL(IF(CI$7:CI$377&lt;&gt;"",ROW(CI$7:CI$377)-ROW(CI$7)+1),ROWS(CI$7:CI146))),"")</f>
        <v/>
      </c>
      <c r="AE147" s="3" t="str">
        <f t="array" ref="AE147">IFERROR(INDEX(CJ$7:CJ$378,SMALL(IF(CJ$7:CJ$378&lt;&gt;"",ROW(CJ$7:CJ$378)-ROW(CJ$7)+1),ROWS(CJ$7:CJ146))),"")</f>
        <v/>
      </c>
      <c r="AF147" s="3" t="str">
        <f t="array" ref="AF147">IFERROR(INDEX(CK$7:CK$378,SMALL(IF(CK$7:CK$378&lt;&gt;"",ROW(CK$7:CK$378)-ROW(CK$7)+1),ROWS(CK$7:CK146))),"")</f>
        <v/>
      </c>
      <c r="AG147" s="3" t="str">
        <f t="array" ref="AG147">IFERROR(INDEX(CL$7:CL$378,SMALL(IF(CL$7:CL$378&lt;&gt;"",ROW(CL$7:CL$378)-ROW(CL$7)+1),ROWS(CL$7:CL146))),"")</f>
        <v/>
      </c>
      <c r="AH147" s="3"/>
      <c r="AI147" s="3"/>
      <c r="AJ147" s="3"/>
      <c r="AK147" s="3"/>
      <c r="AL147" s="3"/>
      <c r="AM147" s="3"/>
      <c r="AN147" s="52" t="str">
        <f>IF(Atletas!D138="","",IF(Atletas!B138="Feminino",100,IF(Atletas!B138="Masculino",200,""))+(IF(Atletas!D138="Kids 30kg",1,IF(Atletas!D138="Kids 32kg",2, IF(Atletas!D138="Kids 34kg",3,IF(Atletas!D138="Kids 36kg",4,IF(Atletas!D138="Kids 39kg",5,IF(Atletas!D138="Kids 42kg",6,IF(Atletas!D138="Kids 45kg",7, IF(Atletas!D138="Infantil 39kg",8,IF(Atletas!D138="Infantil 42kg",9,IF(Atletas!D138="Infantil 45kg",10,IF(Atletas!D138="Infantil 48kg",11,IF(Atletas!D138="Infantil 52kg",12,IF(Atletas!D138="Infantil 56kg",13,IF(Atletas!D138="Infantil 60kg",14,IF(Atletas!D138="Juvenil 48kg",15,IF(Atletas!D138="Juvenil 52kg",16,IF(Atletas!D138="Juvenil 56kg",17,IF(Atletas!D138="Juvenil 60kg",18,IF(Atletas!D138="Juvenil 65kg",19,IF(Atletas!D138="Juvenil 70kg",20,IF(Atletas!D138="Juvenil 75kg",21,IF(Atletas!D138="Juvenil 80kg",22, IF(Atletas!D138="Juvenil 85kg",23,IF(Atletas!D138="Adulto 48kg",24,IF(Atletas!D138="Adulto 52kg",25,IF(Atletas!D138="Adulto 56kg",26,IF(Atletas!D138="Adulto 60kg",27,IF(Atletas!D138="Adulto 65kg",28,IF(Atletas!D138="Adulto 70kg",29,IF(Atletas!D138="Adulto 75kg",30,IF(Atletas!D138="Adulto 80kg",31,IF(Atletas!D138="Adulto 85kg",32,IF(Atletas!D138="Adulto 90kg",33,IF(Atletas!D138="Adulto 100kg",34, IF(Atletas!D138="Adulto +100kg",35,"")))))))))))))))))))))))))))))))))))))</f>
        <v/>
      </c>
      <c r="AS147" s="6" t="str">
        <f>IF(Atletas!E138="","",IF(Atletas!B138="Feminino",100,IF(Atletas!B138="Masculino",200,""))+(IF(Atletas!E138="Juvenil 44kg",1,IF(Atletas!E138="Juvenil 48kg",2,IF(Atletas!E138="Juvenil 52kg",3,IF(Atletas!E138="Juvenil 56kg",4,IF(Atletas!E138="Juvenil 60kg",5,IF(Atletas!E138="Juvenil 65kg",6,IF(Atletas!E138="Juvenil 70kg",7,IF(Atletas!E138="Juvenil 75kg",8,IF(Atletas!E138="Juvenil 82kg",9,IF(Atletas!E138="Juvenil 90kg",10,IF(Atletas!E138="Juvenil 100kg",11,IF(Atletas!E138="Adulto 48kg",12,IF(Atletas!E138="Adulto 52kg",13,IF(Atletas!E138="Adulto 56kg",14,IF(Atletas!E138="Adulto 60kg",15,IF(Atletas!E138="Adulto 65kg",16,IF(Atletas!E138="Adulto 70kg",17,IF(Atletas!E138="Adulto 75kg",18,IF(Atletas!E138="Adulto 82kg",19,IF(Atletas!E138="Adulto 90kg",20,IF(Atletas!E138="Adulto 100kg",21,IF(Atletas!E138="Adulto +100kg",22,""))))))))))))))))))))))))</f>
        <v/>
      </c>
      <c r="AX147" s="6" t="str">
        <f>IF(Atletas!F138="","",IF(Atletas!B138="Feminino",100,IF(Atletas!B138="Masculino",200,""))+(IF(Atletas!F138="Adulto 48kg",1,IF(Atletas!F138="Adulto 56kg",2,IF(Atletas!F138="Adulto 65kg",3,IF(Atletas!F138="Adulto 75kg",4,IF(Atletas!F138="Adulto +75kg",5,IF(Atletas!F138="Adulto 52kg",6,IF(Atletas!F138="Adulto 60kg",7,IF(Atletas!F138="Adulto 70kg",8,IF(Atletas!F138="Adulto 80kg",9,IF(Atletas!F138="Adulto 90kg",10,IF(Atletas!F138="Adulto +90kg",11,"")))))))))))))</f>
        <v/>
      </c>
      <c r="BC147" s="6" t="str">
        <f>IF(Atletas!G138="","",IF(Atletas!B138="Feminino",10,IF(Atletas!B138="Masculino",20,""))+(IF(Atletas!G138="Baduanjin A",1,IF(Atletas!G138="Baduanjin B",2))))</f>
        <v/>
      </c>
      <c r="BF147" s="52" t="str">
        <f>IF(Atletas!H138="","",IF(Atletas!B138="Feminino",100,IF(Atletas!B138="Masculino",200,""))+(IF(Atletas!H138="Changquan Mirim",1,IF(Atletas!H138="Nanquan Mirim",2,IF(Atletas!H138="Taijiquan Mirim",3,IF(Atletas!H138="Changquan Grupo C",4,IF(Atletas!H138="Nanquan Grupo C",5,IF(Atletas!H138="Taijiquan Grupo C",6,IF(Atletas!H138="Changquan Grupo B",7,IF(Atletas!H138="Nanquan Grupo B",8,IF(Atletas!H138="Taijiquan Grupo B",9,IF(Atletas!H138="Changquan Grupo A",10,IF(Atletas!H138="Nanquan Grupo A",11,IF(Atletas!H138="Taijiquan Grupo A",12,IF(Atletas!H138="Changquan Opcional",13,IF(Atletas!H138="Nanquan Opcional",14,IF(Atletas!H138="Taijiquan Opcional",15,IF(Atletas!H138="Changquan Adulto",16,IF(Atletas!H138="Nanquan Adulto",17,IF(Atletas!H138="Taijiquan Adulto",18,""))))))))))))))))))))</f>
        <v/>
      </c>
      <c r="BG147" s="52" t="str">
        <f>IF(Atletas!I138="","",IF(Atletas!B138="Feminino",100,IF(Atletas!B138="Masculino",200,""))+(IF(Atletas!I138="Daoshu Mirim",19,IF(Atletas!I138="Jianshu Mirim",20,IF(Atletas!I138="Nandao Mirim",21,IF(Atletas!I138="Taijijian Mirim",22,IF(Atletas!I138="Daoshu Grupo C",23,IF(Atletas!I138="Jianshu Grupo C",24,IF(Atletas!I138="Nandao Grupo C",25,IF(Atletas!I138="Taijijian Grupo C",26,IF(Atletas!I138="Daoshu Grupo B",27,IF(Atletas!I138="Jianshu Grupo B",28,IF(Atletas!I138="Nandao Grupo B",29,IF(Atletas!I138="Taijijian Grupo B",30,IF(Atletas!I138="Daoshu Grupo A",31,IF(Atletas!I138="Jianshu Grupo A",32,IF(Atletas!I138="Nandao Grupo A",33,IF(Atletas!I138="Taijijian Grupo A",34,IF(Atletas!I138="Daoshu Opcional",35,IF(Atletas!I138="Jianshu Opcional",36,IF(Atletas!I138="Nandao Opcional",37,IF(Atletas!I138="Taijijian Opcional",38,IF(Atletas!I138="Daoshu Adulto",39,IF(Atletas!I138="Jianshu Adulto",40,IF(Atletas!I138="Nandao Adulto",41,IF(Atletas!I138="Taijijian Adulto",42,""))))))))))))))))))))))))))</f>
        <v/>
      </c>
      <c r="BH147" s="52" t="str">
        <f>IF(Atletas!J138="","",IF(Atletas!B138="Feminino",100,IF(Atletas!B138="Masculino",200,""))+(IF(Atletas!J138="Gunshu Mirim",43,IF(Atletas!J138="Qiangshu Mirim",44,IF(Atletas!J138="Nangun Mirim",45,IF(Atletas!J138="Gunshu Grupo C",46,IF(Atletas!J138="Qiangshu Grupo C",47,IF(Atletas!J138="Nangun Grupo C",48,IF(Atletas!J138="Gunshu Grupo B",49,IF(Atletas!J138="Qiangshu Grupo B",50,IF(Atletas!J138="Nangun Grupo B",51,IF(Atletas!J138="Gunshu Grupo A",52,IF(Atletas!J138="Qiangshu Grupo A",53,IF(Atletas!J138="Nangun Grupo A",54,IF(Atletas!J138="Gunshu Opcional",55,IF(Atletas!J138="Qiangshu Opcional",56,IF(Atletas!J138="Nangun Opcional",57,IF(Atletas!J138="Gunshu Adulto",58,IF(Atletas!J138="Qiangshu Adulto",59,IF(Atletas!J138="Nangun Adulto",60,IF(Atletas!J138="Taijishan Grupo B",61,IF(Atletas!J138="Taijishan Grupo A",62,""))))))))))))))))))))))</f>
        <v/>
      </c>
      <c r="BM147" s="50" t="str">
        <f>IF(Atletas!K138="","",IF(Atletas!B138="Feminino",100,IF(Atletas!B138="Masculino",200,""))+(IF(Atletas!K138="Equipe 1 Grupo B",1,IF(Atletas!K138="Equipe 2 Grupo B",2,IF(Atletas!K138="Equipe 1 Grupo A",3,IF(Atletas!K138="Equipe 2 Grupo A",4,IF(Atletas!K138="Equipe 1 Adulto",5,IF(Atletas!K138="Equipe 2 Adulto",6,""))))))))</f>
        <v/>
      </c>
      <c r="BR147" s="50" t="str">
        <f>IF(Atletas!L138="","",IF(Atletas!X138&lt;&gt;"",10000,0)+(IF(Atletas!B138="Feminino",1000,IF(Atletas!B138="Masculino",2000,""))+IF(Atletas!L138="Choylayfut A",1,IF(Atletas!L138="Hunggar A",2,IF(Atletas!L138="Wuzuquan A",3,IF(Atletas!L138="Wingchun A",4,IF(Atletas!L138="Outra Mão de Sul A",5,IF(Atletas!L138="Choylayfut B",6,IF(Atletas!L138="Hunggar B",7,IF(Atletas!L138="Wuzuquan B",8,IF(Atletas!L138="Wingchun B",9,IF(Atletas!L138="Outra Mão de Sul B",10,IF(Atletas!L138="Choylayfut C",11,IF(Atletas!L138="Hunggar C",12,IF(Atletas!L138="Wuzuquan C",13,IF(Atletas!L138="Wingchun C",14,IF(Atletas!L138="Outra Mão de Sul C",15,IF(Atletas!L138="Choylayfut D",16,IF(Atletas!L138="Hunggar D",17,IF(Atletas!L138="Wuzuquan D",18,IF(Atletas!L138="Wingchun D",19,IF(Atletas!L138="Outra Mão de Sul D",20,IF(Atletas!L138="Choylayfut E",21,IF(Atletas!L138="Hunggar E",22,IF(Atletas!L138="Wuzuquan E",23,IF(Atletas!L138="Wingchun E",24,IF(Atletas!L138="Outra Mão de Sul E",25,IF(Atletas!L138="Choylayfut F",26,IF(Atletas!L138="Hunggar F",27,IF(Atletas!L138="Wuzuquan F",28,IF(Atletas!L138="Wingchun F",29,IF(Atletas!L138="Outra Mão de Sul F",30,IF(Atletas!L138="Dishuquan A",31,IF(Atletas!L138="Dishuquan B",32,IF(Atletas!L138="Dishuquan C",33,IF(Atletas!L138="Dishuquan D",34,IF(Atletas!L138="Dishuquan E",35,IF(Atletas!L138="Dishuquan F",36,""))))))))))))))))))))))))))))))))))))))</f>
        <v/>
      </c>
      <c r="BS147" s="50" t="str">
        <f>IF(Atletas!M138="","",IF(Atletas!X138&lt;&gt;"",10000,0)+(IF(Atletas!B138="Feminino",1000,IF(Atletas!B138="Masculino",2000,""))+(IF(Atletas!M138="Chaquan A",101,IF(Atletas!M138="Emeiquan A",102,IF(Atletas!M138="Fanziquan A",103,IF(Atletas!M138="Huaquan A",104,IF(Atletas!M138="Hongquan A",105,IF(Atletas!M138="Paoquan A",106,IF(Atletas!M138="Piguaquan A",107,IF(Atletas!M138="Shaolinquan A",108,IF(Atletas!M138="Tanglangquan A",109,IF(Atletas!M138="Yingzhaoquan A",110,IF(Atletas!M138="Tongbeiquan A",111,IF(Atletas!M138="Wudangquan A",112,IF(Atletas!M138="Outros Estilos A",113,IF(Atletas!M138="Chaquan B",114,IF(Atletas!M138="Emeiquan B",115,IF(Atletas!M138="Fanziquan B",116,IF(Atletas!M138="Huaquan B",117,IF(Atletas!M138="Hongquan B",118,IF(Atletas!M138="Paoquan B",119,IF(Atletas!M138="Piguaquan B",120,IF(Atletas!M138="Shaolinquan B",121,IF(Atletas!M138="Tanglangquan B",122,IF(Atletas!M138="Yingzhaoquan B",123,IF(Atletas!M138="Tongbeiquan B",124,IF(Atletas!M138="Wudangquan B",125,IF(Atletas!M138="Outros Estilos B",126,IF(Atletas!M138="Chaquan C",127,IF(Atletas!M138="Emeiquan C",128,IF(Atletas!M138="Fanziquan C",129,IF(Atletas!M138="Huaquan C",130,IF(Atletas!M138="Hongquan C",131,IF(Atletas!M138="Paoquan C",132,IF(Atletas!M138="Piguaquan C",133,IF(Atletas!M138="Shaolinquan C",134,IF(Atletas!M138="Tanglangquan C",135,IF(Atletas!M138="Yingzhaoquan C",136,IF(Atletas!M138="Tongbeiquan C",137,IF(Atletas!M138="Wudangquan C",138,IF(Atletas!M138="Outros Estilos C",139,0))))))))))))))))))))))))))))))))))))))))))</f>
        <v/>
      </c>
      <c r="BT147" s="50" t="str">
        <f>IF(Atletas!M138="","",IF(Atletas!X138&lt;&gt;"",10000,0)+(IF(Atletas!B138="Feminino",1000,IF(Atletas!B138="Masculino",2000,""))+(IF(Atletas!M138="Chaquan D",140,IF(Atletas!M138="Emeiquan D",141,IF(Atletas!M138="Fanziquan D",142,IF(Atletas!M138="Huaquan D",143,IF(Atletas!M138="Hongquan D",144,IF(Atletas!M138="Paoquan D",145,IF(Atletas!M138="Piguaquan D",146,IF(Atletas!M138="Shaolinquan D",147,IF(Atletas!M138="Tanglangquan D",148,IF(Atletas!M138="Yingzhaoquan D",149,IF(Atletas!M138="Tongbeiquan D",150,IF(Atletas!M138="Wudangquan D",151,IF(Atletas!M138="Outros Estilos D",152,IF(Atletas!M138="Chaquan E",153,IF(Atletas!M138="Emeiquan E",154,IF(Atletas!M138="Fanziquan E",155,IF(Atletas!M138="Huaquan E",156,IF(Atletas!M138="Hongquan E",157,IF(Atletas!M138="Paoquan E",158,IF(Atletas!M138="Piguaquan E",159,IF(Atletas!M138="Shaolinquan E",160,IF(Atletas!M138="Tanglangquan E",161,IF(Atletas!M138="Yingzhaoquan E",162,IF(Atletas!M138="Tongbeiquan E",163,IF(Atletas!M138="Wudangquan E",164,IF(Atletas!M138="Outros Estilos E",165,IF(Atletas!M138="Chaquan F",166,IF(Atletas!M138="Emeiquan F",167,IF(Atletas!M138="Fanziquan F",168,IF(Atletas!M138="Huaquan F",169,IF(Atletas!M138="Hongquan F",170,IF(Atletas!M138="Paoquan F",171,IF(Atletas!M138="Piguaquan F",172,IF(Atletas!M138="Shaolinquan F",173,IF(Atletas!M138="Tanglangquan F",174,IF(Atletas!M138="Yingzhaoquan F",175,IF(Atletas!M138="Tongbeiquan F",176,IF(Atletas!M138="Wudangquan F",177,IF(Atletas!M138="Outros Estilos F",178,0))))))))))))))))))))))))))))))))))))))))))</f>
        <v/>
      </c>
      <c r="BU147" s="50" t="str">
        <f>IF(Atletas!N138="","",IF(Atletas!X138&lt;&gt;"",10000,0)+(IF(Atletas!B138="Feminino",1000,IF(Atletas!B138="Masculino",2000,""))+(IF(Atletas!N138="Ditangquan A",201,IF(Atletas!N138="Houquan A",202,IF(Atletas!N138="Zuiquan A",203,IF(Atletas!N138="Ditangquan B",204,IF(Atletas!N138="Houquan B",205,IF(Atletas!N138="Zuiquan B",206,IF(Atletas!N138="Ditangquan C",207,IF(Atletas!N138="Houquan C",208,IF(Atletas!N138="Zuiquan C",209,IF(Atletas!N138="Ditangquan D",210,IF(Atletas!N138="Houquan D",211,IF(Atletas!N138="Zuiquan D",212,IF(Atletas!N138="Ditangquan E",213,IF(Atletas!N138="Houquan E",214,IF(Atletas!N138="Zuiquan E",215,IF(Atletas!N138="Ditangquan F",216,IF(Atletas!N138="Houquan F",217,IF(Atletas!N138="Zuiquan F",218,"")))))))))))))))))))))</f>
        <v/>
      </c>
      <c r="BV147" s="50" t="str">
        <f>IF(Atletas!O138="","",IF(Atletas!X138&lt;&gt;"",10000,0)+IF(Atletas!B138="Feminino",1000,IF(Atletas!B138="Masculino",2000,""))+IF(Atletas!O138="Yang A",301,IF(Atletas!O138="Chen A",302,IF(Atletas!O138="Sun A",303,IF(Atletas!O138="Wu A",304,IF(Atletas!O138="Wu-Hao A",305,IF(Atletas!O138="Outro Taijiquan A",306,IF(Atletas!O138="Yang B",307,IF(Atletas!O138="Chen B",308,IF(Atletas!O138="Sun B",309,IF(Atletas!O138="Wu B",310,IF(Atletas!O138="Wu-Hao B",311,IF(Atletas!O138="Outro Taijiquan B",312,IF(Atletas!O138="Yang C",313,IF(Atletas!O138="Chen C",314,IF(Atletas!O138="Sun C",315,IF(Atletas!O138="Wu C",316,IF(Atletas!O138="Wu-Hao C",317,IF(Atletas!O138="Outro Taijiquan C",318,IF(Atletas!O138="Yang D",319,IF(Atletas!O138="Chen D",320,IF(Atletas!O138="Sun D",321,IF(Atletas!O138="Wu D",322,IF(Atletas!O138="Wu-Hao D",323,IF(Atletas!O138="Outro Taijiquan D",324,IF(Atletas!O138="Yang E",325,IF(Atletas!O138="Chen E",326,IF(Atletas!O138="Sun E",327,IF(Atletas!O138="Wu E",328,IF(Atletas!O138="Wu-Hao E",329,IF(Atletas!O138="Outro Taijiquan E",330,IF(Atletas!O138="Yang F",331,IF(Atletas!O138="Chen F",332,IF(Atletas!O138="Sun F",333,IF(Atletas!O138="Wu F",334,IF(Atletas!O138="Wu-Hao F",335,IF(Atletas!O138="Outro Taijiquan F",336,"")))))))))))))))))))))))))))))))))))))</f>
        <v/>
      </c>
      <c r="BW147" s="50" t="str">
        <f>IF(Atletas!P138="","",IF(Atletas!X138&lt;&gt;"",10000,0)+IF(Atletas!B138="Feminino",1000,IF(Atletas!B138="Masculino",2000,""))+IF(OR(Atletas!P138="Yang 26 A",Atletas!P138="Yang 40 A"),401,IF(OR(Atletas!P138="Chen 25 A",Atletas!P138="Chen 36 A",Atletas!P138="Chen 56 A"),402,IF(Atletas!P138="Sun 73 A",403,IF(Atletas!P138="Wu 45 A",404,IF(Atletas!P138="Wu-Hao 46 A",405,IF(OR(Atletas!P138="Taijiquan 16 A",Atletas!P138="Taijiquan 24 A",Atletas!P138="Taijiquan 32 A",Atletas!P138="Taijiquan 42 A"),406,IF(OR(Atletas!P138="Yang 26 B",Atletas!P138="Yang 40 B"),407,IF(OR(Atletas!P138="Chen 25 B",Atletas!P138="Chen 36 B",Atletas!P138="Chen 56 B"),408,IF(Atletas!P138="Sun 73 B",409,IF(Atletas!P138="Wu 45 B",410,IF(Atletas!P138="Wu-Hao 46 B",411,IF(OR(Atletas!P138="Taijiquan 16 B",Atletas!P138="Taijiquan 24 B",Atletas!P138="Taijiquan 32 B",Atletas!P138="Taijiquan 42 B"),412,IF(OR(Atletas!P138="Yang 26 C",Atletas!P138="Yang 40 C"),413,IF(OR(Atletas!P138="Chen 25 C",Atletas!P138="Chen 36 C",Atletas!P138="Chen 56 C"),414,IF(Atletas!P138="Sun 73 C",415,IF(Atletas!P138="Wu 45 C",416,IF(Atletas!P138="Wu-Hao 46 C",417,IF(OR(Atletas!P138="Taijiquan 16 C",Atletas!P138="Taijiquan 24 C",Atletas!P138="Taijiquan 32 C",Atletas!P138="Taijiquan 42 C"),418,0)))))))))))))))))))</f>
        <v/>
      </c>
      <c r="BX147" s="50" t="str">
        <f>IF(Atletas!P138="","",IF(Atletas!X138&lt;&gt;"",10000,0)+IF(Atletas!B138="Feminino",1000,IF(Atletas!B138="Masculino",2000,""))+IF(OR(Atletas!P138="Yang 26 D",Atletas!P138="Yang 40 D"),419,IF(OR(Atletas!P138="Chen 25 D",Atletas!P138="Chen 36 D",Atletas!P138="Chen 56 D"),420,IF(Atletas!P138="Sun 73 D",421,IF(Atletas!P138="Wu 45 D",422,IF(Atletas!P138="Wu-Hao 46 D",423,IF(OR(Atletas!P138="Taijiquan 16 D",Atletas!P138="Taijiquan 24 D",Atletas!P138="Taijiquan 32 D",Atletas!P138="Taijiquan 42 D"),424,IF(OR(Atletas!P138="Yang 26 E",Atletas!P138="Yang 40 E"),425,IF(OR(Atletas!P138="Chen 25 E",Atletas!P138="Chen 36 E",Atletas!P138="Chen 56 E"),426,IF(Atletas!P138="Sun 73 E",427,IF(Atletas!P138="Wu 45 E",428,IF(Atletas!P138="Wu-Hao 46 E",429,IF(OR(Atletas!P138="Taijiquan 16 E",Atletas!P138="Taijiquan 24 E",Atletas!P138="Taijiquan 32 E",Atletas!P138="Taijiquan 42 E"),430,IF(OR(Atletas!P138="Yang 26 F",Atletas!P138="Yang 40 F"),431,IF(OR(Atletas!P138="Chen 25 F",Atletas!P138="Chen 36 F",Atletas!P138="Chen 56 F"),432,IF(Atletas!P138="Sun 73 F",433,IF(Atletas!P138="Wu 45 F",434,IF(Atletas!P138="Wu-Hao 46 F",435,IF(OR(Atletas!P138="Taijiquan 16 F",Atletas!P138="Taijiquan 24 F",Atletas!P138="Taijiquan 32 F",Atletas!P138="Taijiquan 42 F"),436,0)))))))))))))))))))</f>
        <v/>
      </c>
      <c r="BY147" s="50" t="str">
        <f>IF(Atletas!Q138="","",IF(Atletas!X138&lt;&gt;"",10000,0)+IF(Atletas!B138="Feminino",1000,IF(Atletas!B138="Masculino",2000,""))+IF(Atletas!Q138="Xingyiquan A",501,IF(Atletas!Q138="Baguazhang A",502,IF(Atletas!Q138="Outro Estilo Interno A",503,IF(Atletas!Q138="Xingyiquan B",504,IF(Atletas!Q138="Baguazhang B",505,IF(Atletas!Q138="Outro Estilo Interno B",506,IF(Atletas!Q138="Xingyiquan C",507,IF(Atletas!Q138="Baguazhang C",508,IF(Atletas!Q138="Outro Estilo Interno C",509,IF(Atletas!Q138="Xingyiquan D",510,IF(Atletas!Q138="Baguazhang D",511,IF(Atletas!Q138="Outro Estilo Interno D",512,IF(Atletas!Q138="Xingyiquan E",513,IF(Atletas!Q138="Baguazhang E",514,IF(Atletas!Q138="Outro Estilo Interno E",515,IF(Atletas!Q138="Xingyiquan F",516,IF(Atletas!Q138="Baguazhang F",517,IF(Atletas!Q138="Outro Estilo Interno F",518, "")))))))))))))))))))</f>
        <v/>
      </c>
      <c r="BZ147" s="50" t="str">
        <f>IF(Atletas!R138="","",IF(Atletas!X138&lt;&gt;"",10000,0)+IF(Atletas!B138="Feminino",1000,IF(Atletas!B138="Masculino",2000,""))+IF(Atletas!R138="Dao A",601,IF(Atletas!R138="Jian A",602,IF(Atletas!R138="Bishou A",603,IF(Atletas!R138="Shanzi A",604,IF(Atletas!R138="Outra Arma Curta A",605,IF(Atletas!R138="Dao B",606,IF(Atletas!R138="Jian B",607,IF(Atletas!R138="Bishou B",608,IF(Atletas!R138="Shanzi B",609,IF(Atletas!R138="Outra Arma Curta B",610,IF(Atletas!R138="Dao C",611,IF(Atletas!R138="Jian C",612,IF(Atletas!R138="Bishou C",613,IF(Atletas!R138="Shanzi C",614,IF(Atletas!R138="Outra Arma Curta C",615,IF(Atletas!R138="Dao D",616,IF(Atletas!R138="Jian D",617,IF(Atletas!R138="Bishou D",618,IF(Atletas!R138="Shanzi D",619,IF(Atletas!R138="Outra Arma Curta D",620,IF(Atletas!R138="Dao E",621,IF(Atletas!R138="Jian E",622,IF(Atletas!R138="Bishou E",623,IF(Atletas!R138="Shanzi E",624,IF(Atletas!R138="Outra Arma Curta E",625,IF(Atletas!R138="Dao F",626,IF(Atletas!R138="Jian F",627,IF(Atletas!R138="Bishou F",628,IF(Atletas!R138="Shanzi F",629,IF(Atletas!R138="Outra Arma Curta F",630, "")))))))))))))))))))))))))))))))</f>
        <v/>
      </c>
      <c r="CA147" s="50" t="str">
        <f>IF(Atletas!S138="","",IF(Atletas!X138&lt;&gt;"",10000,0)+IF(Atletas!B138="Feminino",1000,IF(Atletas!B138="Masculino",2000,""))+IF(Atletas!S138="Gun A",701,IF(Atletas!S138="Qiang A",702,IF(Atletas!S138="Pudao / Guandao A",703,IF(Atletas!S138="Outra Arma Longa A",704,IF(Atletas!S138="Gun B",705,IF(Atletas!S138="Qiang B",706,IF(Atletas!S138="Pudao / Guandao B",707,IF(Atletas!S138="Outra Arma Longa B",708,IF(Atletas!S138="Gun C",709,IF(Atletas!S138="Qiang C",710,IF(Atletas!S138="Pudao / Guandao C",711,IF(Atletas!S138="Outra Arma Longa C",712,IF(Atletas!S138="Gun D",713,IF(Atletas!S138="Qiang D",714,IF(Atletas!S138="Pudao / Guandao D",715,IF(Atletas!S138="Outra Arma Longa D",716,IF(Atletas!S138="Gun E",717,IF(Atletas!S138="Qiang E",718,IF(Atletas!S138="Pudao / Guandao E",719,IF(Atletas!S138="Outra Arma Longa E",720,IF(Atletas!S138="Gun F",721,IF(Atletas!S138="Qiang F",722,IF(Atletas!S138="Pudao / Guandao F",723,IF(Atletas!S138="Outra Arma Longa F",724,"")))))))))))))))))))))))))</f>
        <v/>
      </c>
      <c r="CB147" s="50" t="str">
        <f>IF(Atletas!T138="","",IF(Atletas!X138&lt;&gt;"",10000,0)+IF(Atletas!B138="Feminino",1000,IF(Atletas!B138="Masculino",2000,""))+IF(Atletas!T138="Outra Arma Dupla A",801,IF(Atletas!T138="Arma Maleável A",802,IF(Atletas!T138="Outra Arma Dupla B",803,IF(Atletas!T138="Arma Maleável B",804,IF(Atletas!T138="Outra Arma Dupla C",805,IF(Atletas!T138="Arma Maleável C",806,IF(Atletas!T138="Outra Arma Dupla D",807,IF(Atletas!T138="Arma Maleável D",808,IF(Atletas!T138="Outra Arma Dupla E",809,IF(Atletas!T138="Arma Maleável E",810,IF(Atletas!T138="Outra Arma Dupla F",811,IF(Atletas!T138="Arma Maleável F",812,IF(Atletas!T138="Shuangdao A",813,IF(Atletas!T138="Shuangdao B",814,IF(Atletas!T138="Shuangdao C",815,IF(Atletas!T138="Shuangdao D",816,IF(Atletas!T138="Shuangdao E",817,IF(Atletas!T138="Shuangdao F",818,"")))))))))))))))))))</f>
        <v/>
      </c>
      <c r="CC147" s="50" t="str">
        <f>IF(Atletas!U138="","",IF(Atletas!X138&lt;&gt;"",10000,0)+IF(Atletas!B138="Feminino",1000,IF(Atletas!B138="Masculino",2000,""))+IF(OR(Atletas!U138="Taijijian Yang A",Atletas!U138="Taijijian Yang Standard A"),901,IF(OR(Atletas!U138="Taijijian Chen A", Atletas!U138="Taijijian Chen Standard A"),902,IF(Atletas!U138="Taijijian Sun A",903,IF(Atletas!U138="Taijijian Wu A",904,IF(Atletas!U138="Taijijian Wu-Hao A",905,IF(OR(Atletas!U138="Taijijian 32 A",Atletas!U138="Taijijian 42 A"),906,IF(OR(Atletas!U138="Taijijian Yang B",Atletas!U138="Taijijian Yang Standard B"),907,IF(OR(Atletas!U138="Taijijian Chen B", Atletas!U138="Taijijian Chen Standard B"),908,IF(Atletas!U138="Taijijian Sun B",909,IF(Atletas!U138="Taijijian Wu B",910,IF(Atletas!U138="Taijijian Wu-Hao B",911,IF(OR(Atletas!U138="Taijijian 32 B",Atletas!U138="Taijijian 42 B"),912,IF(OR(Atletas!U138="Taijijian Yang C",Atletas!U138="Taijijian Yang Standard C"),913,IF(OR(Atletas!U138="Taijijian Chen C", Atletas!U138="Taijijian Chen Standard C"),914,IF(Atletas!U138="Taijijian Sun C",915,IF(Atletas!U138="Taijijian Wu C",916,IF(Atletas!U138="Taijijian Wu-Hao C",917,IF(OR(Atletas!U138="Taijijian 32 C",Atletas!U138="Taijijian 42 C"),918,IF(OR(Atletas!U138="Taijijian Yang D",Atletas!U138="Taijijian Yang Standard D"),919,IF(OR(Atletas!U138="Taijijian Chen D", Atletas!U138="Taijijian Chen Standard D"),920,IF(Atletas!U138="Taijijian Sun D",921,IF(Atletas!U138="Taijijian Wu D",922,IF(Atletas!U138="Taijijian Wu-Hao D",923,IF(OR(Atletas!U138="Taijijian 32 D",Atletas!U138="Taijijian 42 D"),924,IF(OR(Atletas!U138="Taijijian Yang E",Atletas!U138="Taijijian Yang Standard E"),925,IF(OR(Atletas!U138="Taijijian Chen E", Atletas!U138="Taijijian Chen Standard E"),926,IF(Atletas!U138="Taijijian Sun E",927,IF(Atletas!U138="Taijijian Wu E",928,IF(Atletas!U138="Taijijian Wu-Hao E",929,IF(OR(Atletas!U138="Taijijian 32 E",Atletas!U138="Taijijian 42 E"),930,IF(OR(Atletas!U138="Taijijian Yang F",Atletas!U138="Taijijian Yang Standard F"),931,IF(OR(Atletas!U138="Taijijian Chen F", Atletas!U138="Taijijian Chen Standard F"),932,IF(Atletas!U138="Taijijian Sun F",933,IF(Atletas!U138="Taijijian Wu F",934,IF(Atletas!U138="Taijijian Wu-Hao F",935,IF(OR(Atletas!U138="Taijijian 32 F",Atletas!U138="Taijijian 42 F"),936,"")))))))))))))))))))))))))))))))))))))</f>
        <v/>
      </c>
      <c r="CD147" s="50" t="str">
        <f>IF(Atletas!V138="","",IF(Atletas!X138&lt;&gt;"",10000,0)+IF(Atletas!B138="Feminino",1000,IF(Atletas!B138="Masculino",2000,""))+IF(Atletas!V138="Taijidao A",937,IF(Atletas!V138="TaijiShanzi A",938,IF(Atletas!V138="Taijiqiang A",939,IF(Atletas!V138="Bagua de Arma A",940,IF(Atletas!V138="Xingyi de Arma A",941,IF(Atletas!V138="Taijidao B",942,IF(Atletas!V138="TaijiShanzi B",943,IF(Atletas!V138="Taijiqiang B",944,IF(Atletas!V138="Bagua de Arma B",945,IF(Atletas!V138="Xingyi de Arma B",946,IF(Atletas!V138="Taijidao C",947,IF(Atletas!V138="TaijiShanzi C",948,IF(Atletas!V138="Taijiqiang C",949,IF(Atletas!V138="Bagua de Arma C",950,IF(Atletas!V138="Xingyi de Arma C",951,IF(Atletas!V138="Taijidao D",952,IF(Atletas!V138="TaijiShanzi D",953,IF(Atletas!V138="Taijiqiang D",954,IF(Atletas!V138="Bagua de Arma D",955,IF(Atletas!V138="Xingyi de Arma D",956,IF(Atletas!V138="Taijidao E",957,IF(Atletas!V138="TaijiShanzi E",958,IF(Atletas!V138="Taijiqiang E",959,IF(Atletas!V138="Bagua de Arma E",960,IF(Atletas!V138="Xingyi de Arma E",961,IF(Atletas!V138="Taijidao F",962,IF(Atletas!V138="TaijiShanzi F",963,IF(Atletas!V138="Taijiqiang F",964,IF(Atletas!V138="Bagua de Arma F",965,IF(Atletas!V138="Xingyi de Arma F",966,"")))))))))))))))))))))))))))))))</f>
        <v/>
      </c>
      <c r="CE147" s="66" t="str">
        <f>IF(CF147&lt;&gt;"","TJQ Trad. Sun B","")</f>
        <v/>
      </c>
      <c r="CF147" s="66" t="str">
        <f>IF(COUNTIF(BR:CD,1309)&gt;0,COUNTIF(BR:CD,1309),"")</f>
        <v/>
      </c>
      <c r="CG147" s="66" t="str">
        <f>IF(CH147&lt;&gt;"","TJQ Trad. Sun B","")</f>
        <v/>
      </c>
      <c r="CH147" s="66" t="str">
        <f>IF(COUNTIF(BR:CD,2309)&gt;0,COUNTIF(BR:CD,2309),"")</f>
        <v/>
      </c>
      <c r="CI147" s="66" t="str">
        <f>IF(CJ147&lt;&gt;"","TJQ Trad. Sun C","")</f>
        <v/>
      </c>
      <c r="CJ147" s="66" t="str">
        <f>IF(COUNTIF(BR:CD,11315)&gt;0,COUNTIF(BR:CD,11315),"")</f>
        <v/>
      </c>
      <c r="CK147" s="66" t="str">
        <f>IF(CL147&lt;&gt;"","TJQ Trad. Sun C","")</f>
        <v/>
      </c>
      <c r="CL147" s="66" t="str">
        <f>IF(COUNTIF(BR:CD,12315)&gt;0,COUNTIF(BR:CD,12315),"")</f>
        <v/>
      </c>
      <c r="CM147" s="50" t="str">
        <f xml:space="preserve"> IF(Atletas!W138="","",IF(Atletas!W138="Duilian de Mãos BC - Equipe 1",1,IF(Atletas!W138="Duilian de Mãos BC - Equipe 2",2,IF(Atletas!W138="Duilian de Armas BC - Equipe 1",3,IF(Atletas!W138="Duilian de Armas BC - Equipe 2",4,IF(Atletas!W138="Duilian de Mãos DE - Equipe 1",5,IF(Atletas!W138="Duilian de Mãos DE - Equipe 2",6,IF(Atletas!W138="Duilian de Armas DE - Equipe 1",7,IF(Atletas!W138="Duilian de Armas DE - Equipe 2",8,IF(Atletas!W138="Duilian de Tuishou - Equipe 1",9,IF(Atletas!W138="Duilian de Tuishou - Equipe 2",10,IF(Atletas!W138="Grupo Externo ABC - Equipe 1",11,IF(Atletas!W138="Grupo Externo ABC - Equipe 2",12,IF(Atletas!W138="Grupo Interno ABC - Equipe 1",13,IF(Atletas!W138="Grupo Interno ABC - Equipe 2",14,IF(Atletas!W138="Grupo Externo DEF - Equipe 1",15,IF(Atletas!W138="Grupo Externo DEF - Equipe 2",16,IF(Atletas!W138="Grupo Interno DEF - Equipe 1",17,IF(Atletas!W138="Grupo Interno DEF - Equipe 2",18,"")))))))))))))))))))</f>
        <v/>
      </c>
    </row>
    <row r="148" spans="2:91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 t="str">
        <f t="array" ref="Z148">IFERROR(INDEX(CE$7:CE$348,SMALL(IF(CE$7:CE$348&lt;&gt;"",ROW(CE$7:CE$348)-ROW(CE$7)+1),ROWS(CE$7:CE147))),"")</f>
        <v/>
      </c>
      <c r="AA148" s="3" t="str">
        <f t="array" ref="AA148">IFERROR(INDEX(CF$7:CF$348,SMALL(IF(CF$7:CF$348&lt;&gt;"",ROW(CF$7:CF$348)-ROW(CF$7)+1),ROWS(CF$7:CF147))),"")</f>
        <v/>
      </c>
      <c r="AB148" s="3" t="str">
        <f t="array" ref="AB148">IFERROR(INDEX(CG$7:CG$348,SMALL(IF(CG$7:CG$348&lt;&gt;"",ROW(CG$7:CG$348)-ROW(CG$7)+1),ROWS(CG$7:CG147))),"")</f>
        <v/>
      </c>
      <c r="AC148" s="3" t="str">
        <f t="array" ref="AC148">IFERROR(INDEX(CH$7:CH$348,SMALL(IF(CH$7:CH$348&lt;&gt;"",ROW(CH$7:CH$348)-ROW(CH$7)+1),ROWS(CH$7:CH147))),"")</f>
        <v/>
      </c>
      <c r="AD148" s="3" t="str">
        <f t="array" ref="AD148">IFERROR(INDEX(CI$7:CI$377,SMALL(IF(CI$7:CI$377&lt;&gt;"",ROW(CI$7:CI$377)-ROW(CI$7)+1),ROWS(CI$7:CI147))),"")</f>
        <v/>
      </c>
      <c r="AE148" s="3" t="str">
        <f t="array" ref="AE148">IFERROR(INDEX(CJ$7:CJ$378,SMALL(IF(CJ$7:CJ$378&lt;&gt;"",ROW(CJ$7:CJ$378)-ROW(CJ$7)+1),ROWS(CJ$7:CJ147))),"")</f>
        <v/>
      </c>
      <c r="AF148" s="3" t="str">
        <f t="array" ref="AF148">IFERROR(INDEX(CK$7:CK$378,SMALL(IF(CK$7:CK$378&lt;&gt;"",ROW(CK$7:CK$378)-ROW(CK$7)+1),ROWS(CK$7:CK147))),"")</f>
        <v/>
      </c>
      <c r="AG148" s="3" t="str">
        <f t="array" ref="AG148">IFERROR(INDEX(CL$7:CL$378,SMALL(IF(CL$7:CL$378&lt;&gt;"",ROW(CL$7:CL$378)-ROW(CL$7)+1),ROWS(CL$7:CL147))),"")</f>
        <v/>
      </c>
      <c r="AH148" s="3"/>
      <c r="AI148" s="3"/>
      <c r="AJ148" s="3"/>
      <c r="AK148" s="3"/>
      <c r="AL148" s="3"/>
      <c r="AM148" s="3"/>
      <c r="AN148" s="52" t="str">
        <f>IF(Atletas!D139="","",IF(Atletas!B139="Feminino",100,IF(Atletas!B139="Masculino",200,""))+(IF(Atletas!D139="Kids 30kg",1,IF(Atletas!D139="Kids 32kg",2, IF(Atletas!D139="Kids 34kg",3,IF(Atletas!D139="Kids 36kg",4,IF(Atletas!D139="Kids 39kg",5,IF(Atletas!D139="Kids 42kg",6,IF(Atletas!D139="Kids 45kg",7, IF(Atletas!D139="Infantil 39kg",8,IF(Atletas!D139="Infantil 42kg",9,IF(Atletas!D139="Infantil 45kg",10,IF(Atletas!D139="Infantil 48kg",11,IF(Atletas!D139="Infantil 52kg",12,IF(Atletas!D139="Infantil 56kg",13,IF(Atletas!D139="Infantil 60kg",14,IF(Atletas!D139="Juvenil 48kg",15,IF(Atletas!D139="Juvenil 52kg",16,IF(Atletas!D139="Juvenil 56kg",17,IF(Atletas!D139="Juvenil 60kg",18,IF(Atletas!D139="Juvenil 65kg",19,IF(Atletas!D139="Juvenil 70kg",20,IF(Atletas!D139="Juvenil 75kg",21,IF(Atletas!D139="Juvenil 80kg",22, IF(Atletas!D139="Juvenil 85kg",23,IF(Atletas!D139="Adulto 48kg",24,IF(Atletas!D139="Adulto 52kg",25,IF(Atletas!D139="Adulto 56kg",26,IF(Atletas!D139="Adulto 60kg",27,IF(Atletas!D139="Adulto 65kg",28,IF(Atletas!D139="Adulto 70kg",29,IF(Atletas!D139="Adulto 75kg",30,IF(Atletas!D139="Adulto 80kg",31,IF(Atletas!D139="Adulto 85kg",32,IF(Atletas!D139="Adulto 90kg",33,IF(Atletas!D139="Adulto 100kg",34, IF(Atletas!D139="Adulto +100kg",35,"")))))))))))))))))))))))))))))))))))))</f>
        <v/>
      </c>
      <c r="AS148" s="6" t="str">
        <f>IF(Atletas!E139="","",IF(Atletas!B139="Feminino",100,IF(Atletas!B139="Masculino",200,""))+(IF(Atletas!E139="Juvenil 44kg",1,IF(Atletas!E139="Juvenil 48kg",2,IF(Atletas!E139="Juvenil 52kg",3,IF(Atletas!E139="Juvenil 56kg",4,IF(Atletas!E139="Juvenil 60kg",5,IF(Atletas!E139="Juvenil 65kg",6,IF(Atletas!E139="Juvenil 70kg",7,IF(Atletas!E139="Juvenil 75kg",8,IF(Atletas!E139="Juvenil 82kg",9,IF(Atletas!E139="Juvenil 90kg",10,IF(Atletas!E139="Juvenil 100kg",11,IF(Atletas!E139="Adulto 48kg",12,IF(Atletas!E139="Adulto 52kg",13,IF(Atletas!E139="Adulto 56kg",14,IF(Atletas!E139="Adulto 60kg",15,IF(Atletas!E139="Adulto 65kg",16,IF(Atletas!E139="Adulto 70kg",17,IF(Atletas!E139="Adulto 75kg",18,IF(Atletas!E139="Adulto 82kg",19,IF(Atletas!E139="Adulto 90kg",20,IF(Atletas!E139="Adulto 100kg",21,IF(Atletas!E139="Adulto +100kg",22,""))))))))))))))))))))))))</f>
        <v/>
      </c>
      <c r="AX148" s="6" t="str">
        <f>IF(Atletas!F139="","",IF(Atletas!B139="Feminino",100,IF(Atletas!B139="Masculino",200,""))+(IF(Atletas!F139="Adulto 48kg",1,IF(Atletas!F139="Adulto 56kg",2,IF(Atletas!F139="Adulto 65kg",3,IF(Atletas!F139="Adulto 75kg",4,IF(Atletas!F139="Adulto +75kg",5,IF(Atletas!F139="Adulto 52kg",6,IF(Atletas!F139="Adulto 60kg",7,IF(Atletas!F139="Adulto 70kg",8,IF(Atletas!F139="Adulto 80kg",9,IF(Atletas!F139="Adulto 90kg",10,IF(Atletas!F139="Adulto +90kg",11,"")))))))))))))</f>
        <v/>
      </c>
      <c r="BC148" s="6" t="str">
        <f>IF(Atletas!G139="","",IF(Atletas!B139="Feminino",10,IF(Atletas!B139="Masculino",20,""))+(IF(Atletas!G139="Baduanjin A",1,IF(Atletas!G139="Baduanjin B",2))))</f>
        <v/>
      </c>
      <c r="BF148" s="52" t="str">
        <f>IF(Atletas!H139="","",IF(Atletas!B139="Feminino",100,IF(Atletas!B139="Masculino",200,""))+(IF(Atletas!H139="Changquan Mirim",1,IF(Atletas!H139="Nanquan Mirim",2,IF(Atletas!H139="Taijiquan Mirim",3,IF(Atletas!H139="Changquan Grupo C",4,IF(Atletas!H139="Nanquan Grupo C",5,IF(Atletas!H139="Taijiquan Grupo C",6,IF(Atletas!H139="Changquan Grupo B",7,IF(Atletas!H139="Nanquan Grupo B",8,IF(Atletas!H139="Taijiquan Grupo B",9,IF(Atletas!H139="Changquan Grupo A",10,IF(Atletas!H139="Nanquan Grupo A",11,IF(Atletas!H139="Taijiquan Grupo A",12,IF(Atletas!H139="Changquan Opcional",13,IF(Atletas!H139="Nanquan Opcional",14,IF(Atletas!H139="Taijiquan Opcional",15,IF(Atletas!H139="Changquan Adulto",16,IF(Atletas!H139="Nanquan Adulto",17,IF(Atletas!H139="Taijiquan Adulto",18,""))))))))))))))))))))</f>
        <v/>
      </c>
      <c r="BG148" s="52" t="str">
        <f>IF(Atletas!I139="","",IF(Atletas!B139="Feminino",100,IF(Atletas!B139="Masculino",200,""))+(IF(Atletas!I139="Daoshu Mirim",19,IF(Atletas!I139="Jianshu Mirim",20,IF(Atletas!I139="Nandao Mirim",21,IF(Atletas!I139="Taijijian Mirim",22,IF(Atletas!I139="Daoshu Grupo C",23,IF(Atletas!I139="Jianshu Grupo C",24,IF(Atletas!I139="Nandao Grupo C",25,IF(Atletas!I139="Taijijian Grupo C",26,IF(Atletas!I139="Daoshu Grupo B",27,IF(Atletas!I139="Jianshu Grupo B",28,IF(Atletas!I139="Nandao Grupo B",29,IF(Atletas!I139="Taijijian Grupo B",30,IF(Atletas!I139="Daoshu Grupo A",31,IF(Atletas!I139="Jianshu Grupo A",32,IF(Atletas!I139="Nandao Grupo A",33,IF(Atletas!I139="Taijijian Grupo A",34,IF(Atletas!I139="Daoshu Opcional",35,IF(Atletas!I139="Jianshu Opcional",36,IF(Atletas!I139="Nandao Opcional",37,IF(Atletas!I139="Taijijian Opcional",38,IF(Atletas!I139="Daoshu Adulto",39,IF(Atletas!I139="Jianshu Adulto",40,IF(Atletas!I139="Nandao Adulto",41,IF(Atletas!I139="Taijijian Adulto",42,""))))))))))))))))))))))))))</f>
        <v/>
      </c>
      <c r="BH148" s="52" t="str">
        <f>IF(Atletas!J139="","",IF(Atletas!B139="Feminino",100,IF(Atletas!B139="Masculino",200,""))+(IF(Atletas!J139="Gunshu Mirim",43,IF(Atletas!J139="Qiangshu Mirim",44,IF(Atletas!J139="Nangun Mirim",45,IF(Atletas!J139="Gunshu Grupo C",46,IF(Atletas!J139="Qiangshu Grupo C",47,IF(Atletas!J139="Nangun Grupo C",48,IF(Atletas!J139="Gunshu Grupo B",49,IF(Atletas!J139="Qiangshu Grupo B",50,IF(Atletas!J139="Nangun Grupo B",51,IF(Atletas!J139="Gunshu Grupo A",52,IF(Atletas!J139="Qiangshu Grupo A",53,IF(Atletas!J139="Nangun Grupo A",54,IF(Atletas!J139="Gunshu Opcional",55,IF(Atletas!J139="Qiangshu Opcional",56,IF(Atletas!J139="Nangun Opcional",57,IF(Atletas!J139="Gunshu Adulto",58,IF(Atletas!J139="Qiangshu Adulto",59,IF(Atletas!J139="Nangun Adulto",60,IF(Atletas!J139="Taijishan Grupo B",61,IF(Atletas!J139="Taijishan Grupo A",62,""))))))))))))))))))))))</f>
        <v/>
      </c>
      <c r="BM148" s="50" t="str">
        <f>IF(Atletas!K139="","",IF(Atletas!B139="Feminino",100,IF(Atletas!B139="Masculino",200,""))+(IF(Atletas!K139="Equipe 1 Grupo B",1,IF(Atletas!K139="Equipe 2 Grupo B",2,IF(Atletas!K139="Equipe 1 Grupo A",3,IF(Atletas!K139="Equipe 2 Grupo A",4,IF(Atletas!K139="Equipe 1 Adulto",5,IF(Atletas!K139="Equipe 2 Adulto",6,""))))))))</f>
        <v/>
      </c>
      <c r="BR148" s="50" t="str">
        <f>IF(Atletas!L139="","",IF(Atletas!X139&lt;&gt;"",10000,0)+(IF(Atletas!B139="Feminino",1000,IF(Atletas!B139="Masculino",2000,""))+IF(Atletas!L139="Choylayfut A",1,IF(Atletas!L139="Hunggar A",2,IF(Atletas!L139="Wuzuquan A",3,IF(Atletas!L139="Wingchun A",4,IF(Atletas!L139="Outra Mão de Sul A",5,IF(Atletas!L139="Choylayfut B",6,IF(Atletas!L139="Hunggar B",7,IF(Atletas!L139="Wuzuquan B",8,IF(Atletas!L139="Wingchun B",9,IF(Atletas!L139="Outra Mão de Sul B",10,IF(Atletas!L139="Choylayfut C",11,IF(Atletas!L139="Hunggar C",12,IF(Atletas!L139="Wuzuquan C",13,IF(Atletas!L139="Wingchun C",14,IF(Atletas!L139="Outra Mão de Sul C",15,IF(Atletas!L139="Choylayfut D",16,IF(Atletas!L139="Hunggar D",17,IF(Atletas!L139="Wuzuquan D",18,IF(Atletas!L139="Wingchun D",19,IF(Atletas!L139="Outra Mão de Sul D",20,IF(Atletas!L139="Choylayfut E",21,IF(Atletas!L139="Hunggar E",22,IF(Atletas!L139="Wuzuquan E",23,IF(Atletas!L139="Wingchun E",24,IF(Atletas!L139="Outra Mão de Sul E",25,IF(Atletas!L139="Choylayfut F",26,IF(Atletas!L139="Hunggar F",27,IF(Atletas!L139="Wuzuquan F",28,IF(Atletas!L139="Wingchun F",29,IF(Atletas!L139="Outra Mão de Sul F",30,IF(Atletas!L139="Dishuquan A",31,IF(Atletas!L139="Dishuquan B",32,IF(Atletas!L139="Dishuquan C",33,IF(Atletas!L139="Dishuquan D",34,IF(Atletas!L139="Dishuquan E",35,IF(Atletas!L139="Dishuquan F",36,""))))))))))))))))))))))))))))))))))))))</f>
        <v/>
      </c>
      <c r="BS148" s="50" t="str">
        <f>IF(Atletas!M139="","",IF(Atletas!X139&lt;&gt;"",10000,0)+(IF(Atletas!B139="Feminino",1000,IF(Atletas!B139="Masculino",2000,""))+(IF(Atletas!M139="Chaquan A",101,IF(Atletas!M139="Emeiquan A",102,IF(Atletas!M139="Fanziquan A",103,IF(Atletas!M139="Huaquan A",104,IF(Atletas!M139="Hongquan A",105,IF(Atletas!M139="Paoquan A",106,IF(Atletas!M139="Piguaquan A",107,IF(Atletas!M139="Shaolinquan A",108,IF(Atletas!M139="Tanglangquan A",109,IF(Atletas!M139="Yingzhaoquan A",110,IF(Atletas!M139="Tongbeiquan A",111,IF(Atletas!M139="Wudangquan A",112,IF(Atletas!M139="Outros Estilos A",113,IF(Atletas!M139="Chaquan B",114,IF(Atletas!M139="Emeiquan B",115,IF(Atletas!M139="Fanziquan B",116,IF(Atletas!M139="Huaquan B",117,IF(Atletas!M139="Hongquan B",118,IF(Atletas!M139="Paoquan B",119,IF(Atletas!M139="Piguaquan B",120,IF(Atletas!M139="Shaolinquan B",121,IF(Atletas!M139="Tanglangquan B",122,IF(Atletas!M139="Yingzhaoquan B",123,IF(Atletas!M139="Tongbeiquan B",124,IF(Atletas!M139="Wudangquan B",125,IF(Atletas!M139="Outros Estilos B",126,IF(Atletas!M139="Chaquan C",127,IF(Atletas!M139="Emeiquan C",128,IF(Atletas!M139="Fanziquan C",129,IF(Atletas!M139="Huaquan C",130,IF(Atletas!M139="Hongquan C",131,IF(Atletas!M139="Paoquan C",132,IF(Atletas!M139="Piguaquan C",133,IF(Atletas!M139="Shaolinquan C",134,IF(Atletas!M139="Tanglangquan C",135,IF(Atletas!M139="Yingzhaoquan C",136,IF(Atletas!M139="Tongbeiquan C",137,IF(Atletas!M139="Wudangquan C",138,IF(Atletas!M139="Outros Estilos C",139,0))))))))))))))))))))))))))))))))))))))))))</f>
        <v/>
      </c>
      <c r="BT148" s="50" t="str">
        <f>IF(Atletas!M139="","",IF(Atletas!X139&lt;&gt;"",10000,0)+(IF(Atletas!B139="Feminino",1000,IF(Atletas!B139="Masculino",2000,""))+(IF(Atletas!M139="Chaquan D",140,IF(Atletas!M139="Emeiquan D",141,IF(Atletas!M139="Fanziquan D",142,IF(Atletas!M139="Huaquan D",143,IF(Atletas!M139="Hongquan D",144,IF(Atletas!M139="Paoquan D",145,IF(Atletas!M139="Piguaquan D",146,IF(Atletas!M139="Shaolinquan D",147,IF(Atletas!M139="Tanglangquan D",148,IF(Atletas!M139="Yingzhaoquan D",149,IF(Atletas!M139="Tongbeiquan D",150,IF(Atletas!M139="Wudangquan D",151,IF(Atletas!M139="Outros Estilos D",152,IF(Atletas!M139="Chaquan E",153,IF(Atletas!M139="Emeiquan E",154,IF(Atletas!M139="Fanziquan E",155,IF(Atletas!M139="Huaquan E",156,IF(Atletas!M139="Hongquan E",157,IF(Atletas!M139="Paoquan E",158,IF(Atletas!M139="Piguaquan E",159,IF(Atletas!M139="Shaolinquan E",160,IF(Atletas!M139="Tanglangquan E",161,IF(Atletas!M139="Yingzhaoquan E",162,IF(Atletas!M139="Tongbeiquan E",163,IF(Atletas!M139="Wudangquan E",164,IF(Atletas!M139="Outros Estilos E",165,IF(Atletas!M139="Chaquan F",166,IF(Atletas!M139="Emeiquan F",167,IF(Atletas!M139="Fanziquan F",168,IF(Atletas!M139="Huaquan F",169,IF(Atletas!M139="Hongquan F",170,IF(Atletas!M139="Paoquan F",171,IF(Atletas!M139="Piguaquan F",172,IF(Atletas!M139="Shaolinquan F",173,IF(Atletas!M139="Tanglangquan F",174,IF(Atletas!M139="Yingzhaoquan F",175,IF(Atletas!M139="Tongbeiquan F",176,IF(Atletas!M139="Wudangquan F",177,IF(Atletas!M139="Outros Estilos F",178,0))))))))))))))))))))))))))))))))))))))))))</f>
        <v/>
      </c>
      <c r="BU148" s="50" t="str">
        <f>IF(Atletas!N139="","",IF(Atletas!X139&lt;&gt;"",10000,0)+(IF(Atletas!B139="Feminino",1000,IF(Atletas!B139="Masculino",2000,""))+(IF(Atletas!N139="Ditangquan A",201,IF(Atletas!N139="Houquan A",202,IF(Atletas!N139="Zuiquan A",203,IF(Atletas!N139="Ditangquan B",204,IF(Atletas!N139="Houquan B",205,IF(Atletas!N139="Zuiquan B",206,IF(Atletas!N139="Ditangquan C",207,IF(Atletas!N139="Houquan C",208,IF(Atletas!N139="Zuiquan C",209,IF(Atletas!N139="Ditangquan D",210,IF(Atletas!N139="Houquan D",211,IF(Atletas!N139="Zuiquan D",212,IF(Atletas!N139="Ditangquan E",213,IF(Atletas!N139="Houquan E",214,IF(Atletas!N139="Zuiquan E",215,IF(Atletas!N139="Ditangquan F",216,IF(Atletas!N139="Houquan F",217,IF(Atletas!N139="Zuiquan F",218,"")))))))))))))))))))))</f>
        <v/>
      </c>
      <c r="BV148" s="50" t="str">
        <f>IF(Atletas!O139="","",IF(Atletas!X139&lt;&gt;"",10000,0)+IF(Atletas!B139="Feminino",1000,IF(Atletas!B139="Masculino",2000,""))+IF(Atletas!O139="Yang A",301,IF(Atletas!O139="Chen A",302,IF(Atletas!O139="Sun A",303,IF(Atletas!O139="Wu A",304,IF(Atletas!O139="Wu-Hao A",305,IF(Atletas!O139="Outro Taijiquan A",306,IF(Atletas!O139="Yang B",307,IF(Atletas!O139="Chen B",308,IF(Atletas!O139="Sun B",309,IF(Atletas!O139="Wu B",310,IF(Atletas!O139="Wu-Hao B",311,IF(Atletas!O139="Outro Taijiquan B",312,IF(Atletas!O139="Yang C",313,IF(Atletas!O139="Chen C",314,IF(Atletas!O139="Sun C",315,IF(Atletas!O139="Wu C",316,IF(Atletas!O139="Wu-Hao C",317,IF(Atletas!O139="Outro Taijiquan C",318,IF(Atletas!O139="Yang D",319,IF(Atletas!O139="Chen D",320,IF(Atletas!O139="Sun D",321,IF(Atletas!O139="Wu D",322,IF(Atletas!O139="Wu-Hao D",323,IF(Atletas!O139="Outro Taijiquan D",324,IF(Atletas!O139="Yang E",325,IF(Atletas!O139="Chen E",326,IF(Atletas!O139="Sun E",327,IF(Atletas!O139="Wu E",328,IF(Atletas!O139="Wu-Hao E",329,IF(Atletas!O139="Outro Taijiquan E",330,IF(Atletas!O139="Yang F",331,IF(Atletas!O139="Chen F",332,IF(Atletas!O139="Sun F",333,IF(Atletas!O139="Wu F",334,IF(Atletas!O139="Wu-Hao F",335,IF(Atletas!O139="Outro Taijiquan F",336,"")))))))))))))))))))))))))))))))))))))</f>
        <v/>
      </c>
      <c r="BW148" s="50" t="str">
        <f>IF(Atletas!P139="","",IF(Atletas!X139&lt;&gt;"",10000,0)+IF(Atletas!B139="Feminino",1000,IF(Atletas!B139="Masculino",2000,""))+IF(OR(Atletas!P139="Yang 26 A",Atletas!P139="Yang 40 A"),401,IF(OR(Atletas!P139="Chen 25 A",Atletas!P139="Chen 36 A",Atletas!P139="Chen 56 A"),402,IF(Atletas!P139="Sun 73 A",403,IF(Atletas!P139="Wu 45 A",404,IF(Atletas!P139="Wu-Hao 46 A",405,IF(OR(Atletas!P139="Taijiquan 16 A",Atletas!P139="Taijiquan 24 A",Atletas!P139="Taijiquan 32 A",Atletas!P139="Taijiquan 42 A"),406,IF(OR(Atletas!P139="Yang 26 B",Atletas!P139="Yang 40 B"),407,IF(OR(Atletas!P139="Chen 25 B",Atletas!P139="Chen 36 B",Atletas!P139="Chen 56 B"),408,IF(Atletas!P139="Sun 73 B",409,IF(Atletas!P139="Wu 45 B",410,IF(Atletas!P139="Wu-Hao 46 B",411,IF(OR(Atletas!P139="Taijiquan 16 B",Atletas!P139="Taijiquan 24 B",Atletas!P139="Taijiquan 32 B",Atletas!P139="Taijiquan 42 B"),412,IF(OR(Atletas!P139="Yang 26 C",Atletas!P139="Yang 40 C"),413,IF(OR(Atletas!P139="Chen 25 C",Atletas!P139="Chen 36 C",Atletas!P139="Chen 56 C"),414,IF(Atletas!P139="Sun 73 C",415,IF(Atletas!P139="Wu 45 C",416,IF(Atletas!P139="Wu-Hao 46 C",417,IF(OR(Atletas!P139="Taijiquan 16 C",Atletas!P139="Taijiquan 24 C",Atletas!P139="Taijiquan 32 C",Atletas!P139="Taijiquan 42 C"),418,0)))))))))))))))))))</f>
        <v/>
      </c>
      <c r="BX148" s="50" t="str">
        <f>IF(Atletas!P139="","",IF(Atletas!X139&lt;&gt;"",10000,0)+IF(Atletas!B139="Feminino",1000,IF(Atletas!B139="Masculino",2000,""))+IF(OR(Atletas!P139="Yang 26 D",Atletas!P139="Yang 40 D"),419,IF(OR(Atletas!P139="Chen 25 D",Atletas!P139="Chen 36 D",Atletas!P139="Chen 56 D"),420,IF(Atletas!P139="Sun 73 D",421,IF(Atletas!P139="Wu 45 D",422,IF(Atletas!P139="Wu-Hao 46 D",423,IF(OR(Atletas!P139="Taijiquan 16 D",Atletas!P139="Taijiquan 24 D",Atletas!P139="Taijiquan 32 D",Atletas!P139="Taijiquan 42 D"),424,IF(OR(Atletas!P139="Yang 26 E",Atletas!P139="Yang 40 E"),425,IF(OR(Atletas!P139="Chen 25 E",Atletas!P139="Chen 36 E",Atletas!P139="Chen 56 E"),426,IF(Atletas!P139="Sun 73 E",427,IF(Atletas!P139="Wu 45 E",428,IF(Atletas!P139="Wu-Hao 46 E",429,IF(OR(Atletas!P139="Taijiquan 16 E",Atletas!P139="Taijiquan 24 E",Atletas!P139="Taijiquan 32 E",Atletas!P139="Taijiquan 42 E"),430,IF(OR(Atletas!P139="Yang 26 F",Atletas!P139="Yang 40 F"),431,IF(OR(Atletas!P139="Chen 25 F",Atletas!P139="Chen 36 F",Atletas!P139="Chen 56 F"),432,IF(Atletas!P139="Sun 73 F",433,IF(Atletas!P139="Wu 45 F",434,IF(Atletas!P139="Wu-Hao 46 F",435,IF(OR(Atletas!P139="Taijiquan 16 F",Atletas!P139="Taijiquan 24 F",Atletas!P139="Taijiquan 32 F",Atletas!P139="Taijiquan 42 F"),436,0)))))))))))))))))))</f>
        <v/>
      </c>
      <c r="BY148" s="50" t="str">
        <f>IF(Atletas!Q139="","",IF(Atletas!X139&lt;&gt;"",10000,0)+IF(Atletas!B139="Feminino",1000,IF(Atletas!B139="Masculino",2000,""))+IF(Atletas!Q139="Xingyiquan A",501,IF(Atletas!Q139="Baguazhang A",502,IF(Atletas!Q139="Outro Estilo Interno A",503,IF(Atletas!Q139="Xingyiquan B",504,IF(Atletas!Q139="Baguazhang B",505,IF(Atletas!Q139="Outro Estilo Interno B",506,IF(Atletas!Q139="Xingyiquan C",507,IF(Atletas!Q139="Baguazhang C",508,IF(Atletas!Q139="Outro Estilo Interno C",509,IF(Atletas!Q139="Xingyiquan D",510,IF(Atletas!Q139="Baguazhang D",511,IF(Atletas!Q139="Outro Estilo Interno D",512,IF(Atletas!Q139="Xingyiquan E",513,IF(Atletas!Q139="Baguazhang E",514,IF(Atletas!Q139="Outro Estilo Interno E",515,IF(Atletas!Q139="Xingyiquan F",516,IF(Atletas!Q139="Baguazhang F",517,IF(Atletas!Q139="Outro Estilo Interno F",518, "")))))))))))))))))))</f>
        <v/>
      </c>
      <c r="BZ148" s="50" t="str">
        <f>IF(Atletas!R139="","",IF(Atletas!X139&lt;&gt;"",10000,0)+IF(Atletas!B139="Feminino",1000,IF(Atletas!B139="Masculino",2000,""))+IF(Atletas!R139="Dao A",601,IF(Atletas!R139="Jian A",602,IF(Atletas!R139="Bishou A",603,IF(Atletas!R139="Shanzi A",604,IF(Atletas!R139="Outra Arma Curta A",605,IF(Atletas!R139="Dao B",606,IF(Atletas!R139="Jian B",607,IF(Atletas!R139="Bishou B",608,IF(Atletas!R139="Shanzi B",609,IF(Atletas!R139="Outra Arma Curta B",610,IF(Atletas!R139="Dao C",611,IF(Atletas!R139="Jian C",612,IF(Atletas!R139="Bishou C",613,IF(Atletas!R139="Shanzi C",614,IF(Atletas!R139="Outra Arma Curta C",615,IF(Atletas!R139="Dao D",616,IF(Atletas!R139="Jian D",617,IF(Atletas!R139="Bishou D",618,IF(Atletas!R139="Shanzi D",619,IF(Atletas!R139="Outra Arma Curta D",620,IF(Atletas!R139="Dao E",621,IF(Atletas!R139="Jian E",622,IF(Atletas!R139="Bishou E",623,IF(Atletas!R139="Shanzi E",624,IF(Atletas!R139="Outra Arma Curta E",625,IF(Atletas!R139="Dao F",626,IF(Atletas!R139="Jian F",627,IF(Atletas!R139="Bishou F",628,IF(Atletas!R139="Shanzi F",629,IF(Atletas!R139="Outra Arma Curta F",630, "")))))))))))))))))))))))))))))))</f>
        <v/>
      </c>
      <c r="CA148" s="50" t="str">
        <f>IF(Atletas!S139="","",IF(Atletas!X139&lt;&gt;"",10000,0)+IF(Atletas!B139="Feminino",1000,IF(Atletas!B139="Masculino",2000,""))+IF(Atletas!S139="Gun A",701,IF(Atletas!S139="Qiang A",702,IF(Atletas!S139="Pudao / Guandao A",703,IF(Atletas!S139="Outra Arma Longa A",704,IF(Atletas!S139="Gun B",705,IF(Atletas!S139="Qiang B",706,IF(Atletas!S139="Pudao / Guandao B",707,IF(Atletas!S139="Outra Arma Longa B",708,IF(Atletas!S139="Gun C",709,IF(Atletas!S139="Qiang C",710,IF(Atletas!S139="Pudao / Guandao C",711,IF(Atletas!S139="Outra Arma Longa C",712,IF(Atletas!S139="Gun D",713,IF(Atletas!S139="Qiang D",714,IF(Atletas!S139="Pudao / Guandao D",715,IF(Atletas!S139="Outra Arma Longa D",716,IF(Atletas!S139="Gun E",717,IF(Atletas!S139="Qiang E",718,IF(Atletas!S139="Pudao / Guandao E",719,IF(Atletas!S139="Outra Arma Longa E",720,IF(Atletas!S139="Gun F",721,IF(Atletas!S139="Qiang F",722,IF(Atletas!S139="Pudao / Guandao F",723,IF(Atletas!S139="Outra Arma Longa F",724,"")))))))))))))))))))))))))</f>
        <v/>
      </c>
      <c r="CB148" s="50" t="str">
        <f>IF(Atletas!T139="","",IF(Atletas!X139&lt;&gt;"",10000,0)+IF(Atletas!B139="Feminino",1000,IF(Atletas!B139="Masculino",2000,""))+IF(Atletas!T139="Outra Arma Dupla A",801,IF(Atletas!T139="Arma Maleável A",802,IF(Atletas!T139="Outra Arma Dupla B",803,IF(Atletas!T139="Arma Maleável B",804,IF(Atletas!T139="Outra Arma Dupla C",805,IF(Atletas!T139="Arma Maleável C",806,IF(Atletas!T139="Outra Arma Dupla D",807,IF(Atletas!T139="Arma Maleável D",808,IF(Atletas!T139="Outra Arma Dupla E",809,IF(Atletas!T139="Arma Maleável E",810,IF(Atletas!T139="Outra Arma Dupla F",811,IF(Atletas!T139="Arma Maleável F",812,IF(Atletas!T139="Shuangdao A",813,IF(Atletas!T139="Shuangdao B",814,IF(Atletas!T139="Shuangdao C",815,IF(Atletas!T139="Shuangdao D",816,IF(Atletas!T139="Shuangdao E",817,IF(Atletas!T139="Shuangdao F",818,"")))))))))))))))))))</f>
        <v/>
      </c>
      <c r="CC148" s="50" t="str">
        <f>IF(Atletas!U139="","",IF(Atletas!X139&lt;&gt;"",10000,0)+IF(Atletas!B139="Feminino",1000,IF(Atletas!B139="Masculino",2000,""))+IF(OR(Atletas!U139="Taijijian Yang A",Atletas!U139="Taijijian Yang Standard A"),901,IF(OR(Atletas!U139="Taijijian Chen A", Atletas!U139="Taijijian Chen Standard A"),902,IF(Atletas!U139="Taijijian Sun A",903,IF(Atletas!U139="Taijijian Wu A",904,IF(Atletas!U139="Taijijian Wu-Hao A",905,IF(OR(Atletas!U139="Taijijian 32 A",Atletas!U139="Taijijian 42 A"),906,IF(OR(Atletas!U139="Taijijian Yang B",Atletas!U139="Taijijian Yang Standard B"),907,IF(OR(Atletas!U139="Taijijian Chen B", Atletas!U139="Taijijian Chen Standard B"),908,IF(Atletas!U139="Taijijian Sun B",909,IF(Atletas!U139="Taijijian Wu B",910,IF(Atletas!U139="Taijijian Wu-Hao B",911,IF(OR(Atletas!U139="Taijijian 32 B",Atletas!U139="Taijijian 42 B"),912,IF(OR(Atletas!U139="Taijijian Yang C",Atletas!U139="Taijijian Yang Standard C"),913,IF(OR(Atletas!U139="Taijijian Chen C", Atletas!U139="Taijijian Chen Standard C"),914,IF(Atletas!U139="Taijijian Sun C",915,IF(Atletas!U139="Taijijian Wu C",916,IF(Atletas!U139="Taijijian Wu-Hao C",917,IF(OR(Atletas!U139="Taijijian 32 C",Atletas!U139="Taijijian 42 C"),918,IF(OR(Atletas!U139="Taijijian Yang D",Atletas!U139="Taijijian Yang Standard D"),919,IF(OR(Atletas!U139="Taijijian Chen D", Atletas!U139="Taijijian Chen Standard D"),920,IF(Atletas!U139="Taijijian Sun D",921,IF(Atletas!U139="Taijijian Wu D",922,IF(Atletas!U139="Taijijian Wu-Hao D",923,IF(OR(Atletas!U139="Taijijian 32 D",Atletas!U139="Taijijian 42 D"),924,IF(OR(Atletas!U139="Taijijian Yang E",Atletas!U139="Taijijian Yang Standard E"),925,IF(OR(Atletas!U139="Taijijian Chen E", Atletas!U139="Taijijian Chen Standard E"),926,IF(Atletas!U139="Taijijian Sun E",927,IF(Atletas!U139="Taijijian Wu E",928,IF(Atletas!U139="Taijijian Wu-Hao E",929,IF(OR(Atletas!U139="Taijijian 32 E",Atletas!U139="Taijijian 42 E"),930,IF(OR(Atletas!U139="Taijijian Yang F",Atletas!U139="Taijijian Yang Standard F"),931,IF(OR(Atletas!U139="Taijijian Chen F", Atletas!U139="Taijijian Chen Standard F"),932,IF(Atletas!U139="Taijijian Sun F",933,IF(Atletas!U139="Taijijian Wu F",934,IF(Atletas!U139="Taijijian Wu-Hao F",935,IF(OR(Atletas!U139="Taijijian 32 F",Atletas!U139="Taijijian 42 F"),936,"")))))))))))))))))))))))))))))))))))))</f>
        <v/>
      </c>
      <c r="CD148" s="50" t="str">
        <f>IF(Atletas!V139="","",IF(Atletas!X139&lt;&gt;"",10000,0)+IF(Atletas!B139="Feminino",1000,IF(Atletas!B139="Masculino",2000,""))+IF(Atletas!V139="Taijidao A",937,IF(Atletas!V139="TaijiShanzi A",938,IF(Atletas!V139="Taijiqiang A",939,IF(Atletas!V139="Bagua de Arma A",940,IF(Atletas!V139="Xingyi de Arma A",941,IF(Atletas!V139="Taijidao B",942,IF(Atletas!V139="TaijiShanzi B",943,IF(Atletas!V139="Taijiqiang B",944,IF(Atletas!V139="Bagua de Arma B",945,IF(Atletas!V139="Xingyi de Arma B",946,IF(Atletas!V139="Taijidao C",947,IF(Atletas!V139="TaijiShanzi C",948,IF(Atletas!V139="Taijiqiang C",949,IF(Atletas!V139="Bagua de Arma C",950,IF(Atletas!V139="Xingyi de Arma C",951,IF(Atletas!V139="Taijidao D",952,IF(Atletas!V139="TaijiShanzi D",953,IF(Atletas!V139="Taijiqiang D",954,IF(Atletas!V139="Bagua de Arma D",955,IF(Atletas!V139="Xingyi de Arma D",956,IF(Atletas!V139="Taijidao E",957,IF(Atletas!V139="TaijiShanzi E",958,IF(Atletas!V139="Taijiqiang E",959,IF(Atletas!V139="Bagua de Arma E",960,IF(Atletas!V139="Xingyi de Arma E",961,IF(Atletas!V139="Taijidao F",962,IF(Atletas!V139="TaijiShanzi F",963,IF(Atletas!V139="Taijiqiang F",964,IF(Atletas!V139="Bagua de Arma F",965,IF(Atletas!V139="Xingyi de Arma F",966,"")))))))))))))))))))))))))))))))</f>
        <v/>
      </c>
      <c r="CE148" s="66" t="str">
        <f>IF(CF148&lt;&gt;"","TJQ Trad. Wu B","")</f>
        <v/>
      </c>
      <c r="CF148" s="66" t="str">
        <f>IF(COUNTIF(BR:CD,1310)&gt;0,COUNTIF(BR:CD,1310),"")</f>
        <v/>
      </c>
      <c r="CG148" s="66" t="str">
        <f>IF(CH148&lt;&gt;"","TJQ Trad. Wu B","")</f>
        <v/>
      </c>
      <c r="CH148" s="66" t="str">
        <f>IF(COUNTIF(BR:CD,2310)&gt;0,COUNTIF(BR:CD,2310),"")</f>
        <v/>
      </c>
      <c r="CI148" s="66" t="str">
        <f>IF(CJ148&lt;&gt;"","TJQ Trad. Wu C","")</f>
        <v/>
      </c>
      <c r="CJ148" s="66" t="str">
        <f>IF(COUNTIF(BR:CD,11316)&gt;0,COUNTIF(BR:CD,11316),"")</f>
        <v/>
      </c>
      <c r="CK148" s="66" t="str">
        <f>IF(CL148&lt;&gt;"","TJQ Trad. Wu C","")</f>
        <v/>
      </c>
      <c r="CL148" s="66" t="str">
        <f>IF(COUNTIF(BR:CD,12316)&gt;0,COUNTIF(BR:CD,12316),"")</f>
        <v/>
      </c>
      <c r="CM148" s="50" t="str">
        <f xml:space="preserve"> IF(Atletas!W139="","",IF(Atletas!W139="Duilian de Mãos BC - Equipe 1",1,IF(Atletas!W139="Duilian de Mãos BC - Equipe 2",2,IF(Atletas!W139="Duilian de Armas BC - Equipe 1",3,IF(Atletas!W139="Duilian de Armas BC - Equipe 2",4,IF(Atletas!W139="Duilian de Mãos DE - Equipe 1",5,IF(Atletas!W139="Duilian de Mãos DE - Equipe 2",6,IF(Atletas!W139="Duilian de Armas DE - Equipe 1",7,IF(Atletas!W139="Duilian de Armas DE - Equipe 2",8,IF(Atletas!W139="Duilian de Tuishou - Equipe 1",9,IF(Atletas!W139="Duilian de Tuishou - Equipe 2",10,IF(Atletas!W139="Grupo Externo ABC - Equipe 1",11,IF(Atletas!W139="Grupo Externo ABC - Equipe 2",12,IF(Atletas!W139="Grupo Interno ABC - Equipe 1",13,IF(Atletas!W139="Grupo Interno ABC - Equipe 2",14,IF(Atletas!W139="Grupo Externo DEF - Equipe 1",15,IF(Atletas!W139="Grupo Externo DEF - Equipe 2",16,IF(Atletas!W139="Grupo Interno DEF - Equipe 1",17,IF(Atletas!W139="Grupo Interno DEF - Equipe 2",18,"")))))))))))))))))))</f>
        <v/>
      </c>
    </row>
    <row r="149" spans="2:91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 t="str">
        <f t="array" ref="Z149">IFERROR(INDEX(CE$7:CE$348,SMALL(IF(CE$7:CE$348&lt;&gt;"",ROW(CE$7:CE$348)-ROW(CE$7)+1),ROWS(CE$7:CE148))),"")</f>
        <v/>
      </c>
      <c r="AA149" s="3" t="str">
        <f t="array" ref="AA149">IFERROR(INDEX(CF$7:CF$348,SMALL(IF(CF$7:CF$348&lt;&gt;"",ROW(CF$7:CF$348)-ROW(CF$7)+1),ROWS(CF$7:CF148))),"")</f>
        <v/>
      </c>
      <c r="AB149" s="3" t="str">
        <f t="array" ref="AB149">IFERROR(INDEX(CG$7:CG$348,SMALL(IF(CG$7:CG$348&lt;&gt;"",ROW(CG$7:CG$348)-ROW(CG$7)+1),ROWS(CG$7:CG148))),"")</f>
        <v/>
      </c>
      <c r="AC149" s="3" t="str">
        <f t="array" ref="AC149">IFERROR(INDEX(CH$7:CH$348,SMALL(IF(CH$7:CH$348&lt;&gt;"",ROW(CH$7:CH$348)-ROW(CH$7)+1),ROWS(CH$7:CH148))),"")</f>
        <v/>
      </c>
      <c r="AD149" s="3" t="str">
        <f t="array" ref="AD149">IFERROR(INDEX(CI$7:CI$377,SMALL(IF(CI$7:CI$377&lt;&gt;"",ROW(CI$7:CI$377)-ROW(CI$7)+1),ROWS(CI$7:CI148))),"")</f>
        <v/>
      </c>
      <c r="AE149" s="3" t="str">
        <f t="array" ref="AE149">IFERROR(INDEX(CJ$7:CJ$378,SMALL(IF(CJ$7:CJ$378&lt;&gt;"",ROW(CJ$7:CJ$378)-ROW(CJ$7)+1),ROWS(CJ$7:CJ148))),"")</f>
        <v/>
      </c>
      <c r="AF149" s="3" t="str">
        <f t="array" ref="AF149">IFERROR(INDEX(CK$7:CK$378,SMALL(IF(CK$7:CK$378&lt;&gt;"",ROW(CK$7:CK$378)-ROW(CK$7)+1),ROWS(CK$7:CK148))),"")</f>
        <v/>
      </c>
      <c r="AG149" s="3" t="str">
        <f t="array" ref="AG149">IFERROR(INDEX(CL$7:CL$378,SMALL(IF(CL$7:CL$378&lt;&gt;"",ROW(CL$7:CL$378)-ROW(CL$7)+1),ROWS(CL$7:CL148))),"")</f>
        <v/>
      </c>
      <c r="AH149" s="3"/>
      <c r="AI149" s="3"/>
      <c r="AJ149" s="3"/>
      <c r="AK149" s="3"/>
      <c r="AL149" s="3"/>
      <c r="AM149" s="3"/>
      <c r="AN149" s="52" t="str">
        <f>IF(Atletas!D140="","",IF(Atletas!B140="Feminino",100,IF(Atletas!B140="Masculino",200,""))+(IF(Atletas!D140="Kids 30kg",1,IF(Atletas!D140="Kids 32kg",2, IF(Atletas!D140="Kids 34kg",3,IF(Atletas!D140="Kids 36kg",4,IF(Atletas!D140="Kids 39kg",5,IF(Atletas!D140="Kids 42kg",6,IF(Atletas!D140="Kids 45kg",7, IF(Atletas!D140="Infantil 39kg",8,IF(Atletas!D140="Infantil 42kg",9,IF(Atletas!D140="Infantil 45kg",10,IF(Atletas!D140="Infantil 48kg",11,IF(Atletas!D140="Infantil 52kg",12,IF(Atletas!D140="Infantil 56kg",13,IF(Atletas!D140="Infantil 60kg",14,IF(Atletas!D140="Juvenil 48kg",15,IF(Atletas!D140="Juvenil 52kg",16,IF(Atletas!D140="Juvenil 56kg",17,IF(Atletas!D140="Juvenil 60kg",18,IF(Atletas!D140="Juvenil 65kg",19,IF(Atletas!D140="Juvenil 70kg",20,IF(Atletas!D140="Juvenil 75kg",21,IF(Atletas!D140="Juvenil 80kg",22, IF(Atletas!D140="Juvenil 85kg",23,IF(Atletas!D140="Adulto 48kg",24,IF(Atletas!D140="Adulto 52kg",25,IF(Atletas!D140="Adulto 56kg",26,IF(Atletas!D140="Adulto 60kg",27,IF(Atletas!D140="Adulto 65kg",28,IF(Atletas!D140="Adulto 70kg",29,IF(Atletas!D140="Adulto 75kg",30,IF(Atletas!D140="Adulto 80kg",31,IF(Atletas!D140="Adulto 85kg",32,IF(Atletas!D140="Adulto 90kg",33,IF(Atletas!D140="Adulto 100kg",34, IF(Atletas!D140="Adulto +100kg",35,"")))))))))))))))))))))))))))))))))))))</f>
        <v/>
      </c>
      <c r="AS149" s="6" t="str">
        <f>IF(Atletas!E140="","",IF(Atletas!B140="Feminino",100,IF(Atletas!B140="Masculino",200,""))+(IF(Atletas!E140="Juvenil 44kg",1,IF(Atletas!E140="Juvenil 48kg",2,IF(Atletas!E140="Juvenil 52kg",3,IF(Atletas!E140="Juvenil 56kg",4,IF(Atletas!E140="Juvenil 60kg",5,IF(Atletas!E140="Juvenil 65kg",6,IF(Atletas!E140="Juvenil 70kg",7,IF(Atletas!E140="Juvenil 75kg",8,IF(Atletas!E140="Juvenil 82kg",9,IF(Atletas!E140="Juvenil 90kg",10,IF(Atletas!E140="Juvenil 100kg",11,IF(Atletas!E140="Adulto 48kg",12,IF(Atletas!E140="Adulto 52kg",13,IF(Atletas!E140="Adulto 56kg",14,IF(Atletas!E140="Adulto 60kg",15,IF(Atletas!E140="Adulto 65kg",16,IF(Atletas!E140="Adulto 70kg",17,IF(Atletas!E140="Adulto 75kg",18,IF(Atletas!E140="Adulto 82kg",19,IF(Atletas!E140="Adulto 90kg",20,IF(Atletas!E140="Adulto 100kg",21,IF(Atletas!E140="Adulto +100kg",22,""))))))))))))))))))))))))</f>
        <v/>
      </c>
      <c r="AX149" s="6" t="str">
        <f>IF(Atletas!F140="","",IF(Atletas!B140="Feminino",100,IF(Atletas!B140="Masculino",200,""))+(IF(Atletas!F140="Adulto 48kg",1,IF(Atletas!F140="Adulto 56kg",2,IF(Atletas!F140="Adulto 65kg",3,IF(Atletas!F140="Adulto 75kg",4,IF(Atletas!F140="Adulto +75kg",5,IF(Atletas!F140="Adulto 52kg",6,IF(Atletas!F140="Adulto 60kg",7,IF(Atletas!F140="Adulto 70kg",8,IF(Atletas!F140="Adulto 80kg",9,IF(Atletas!F140="Adulto 90kg",10,IF(Atletas!F140="Adulto +90kg",11,"")))))))))))))</f>
        <v/>
      </c>
      <c r="BC149" s="6" t="str">
        <f>IF(Atletas!G140="","",IF(Atletas!B140="Feminino",10,IF(Atletas!B140="Masculino",20,""))+(IF(Atletas!G140="Baduanjin A",1,IF(Atletas!G140="Baduanjin B",2))))</f>
        <v/>
      </c>
      <c r="BF149" s="52" t="str">
        <f>IF(Atletas!H140="","",IF(Atletas!B140="Feminino",100,IF(Atletas!B140="Masculino",200,""))+(IF(Atletas!H140="Changquan Mirim",1,IF(Atletas!H140="Nanquan Mirim",2,IF(Atletas!H140="Taijiquan Mirim",3,IF(Atletas!H140="Changquan Grupo C",4,IF(Atletas!H140="Nanquan Grupo C",5,IF(Atletas!H140="Taijiquan Grupo C",6,IF(Atletas!H140="Changquan Grupo B",7,IF(Atletas!H140="Nanquan Grupo B",8,IF(Atletas!H140="Taijiquan Grupo B",9,IF(Atletas!H140="Changquan Grupo A",10,IF(Atletas!H140="Nanquan Grupo A",11,IF(Atletas!H140="Taijiquan Grupo A",12,IF(Atletas!H140="Changquan Opcional",13,IF(Atletas!H140="Nanquan Opcional",14,IF(Atletas!H140="Taijiquan Opcional",15,IF(Atletas!H140="Changquan Adulto",16,IF(Atletas!H140="Nanquan Adulto",17,IF(Atletas!H140="Taijiquan Adulto",18,""))))))))))))))))))))</f>
        <v/>
      </c>
      <c r="BG149" s="52" t="str">
        <f>IF(Atletas!I140="","",IF(Atletas!B140="Feminino",100,IF(Atletas!B140="Masculino",200,""))+(IF(Atletas!I140="Daoshu Mirim",19,IF(Atletas!I140="Jianshu Mirim",20,IF(Atletas!I140="Nandao Mirim",21,IF(Atletas!I140="Taijijian Mirim",22,IF(Atletas!I140="Daoshu Grupo C",23,IF(Atletas!I140="Jianshu Grupo C",24,IF(Atletas!I140="Nandao Grupo C",25,IF(Atletas!I140="Taijijian Grupo C",26,IF(Atletas!I140="Daoshu Grupo B",27,IF(Atletas!I140="Jianshu Grupo B",28,IF(Atletas!I140="Nandao Grupo B",29,IF(Atletas!I140="Taijijian Grupo B",30,IF(Atletas!I140="Daoshu Grupo A",31,IF(Atletas!I140="Jianshu Grupo A",32,IF(Atletas!I140="Nandao Grupo A",33,IF(Atletas!I140="Taijijian Grupo A",34,IF(Atletas!I140="Daoshu Opcional",35,IF(Atletas!I140="Jianshu Opcional",36,IF(Atletas!I140="Nandao Opcional",37,IF(Atletas!I140="Taijijian Opcional",38,IF(Atletas!I140="Daoshu Adulto",39,IF(Atletas!I140="Jianshu Adulto",40,IF(Atletas!I140="Nandao Adulto",41,IF(Atletas!I140="Taijijian Adulto",42,""))))))))))))))))))))))))))</f>
        <v/>
      </c>
      <c r="BH149" s="52" t="str">
        <f>IF(Atletas!J140="","",IF(Atletas!B140="Feminino",100,IF(Atletas!B140="Masculino",200,""))+(IF(Atletas!J140="Gunshu Mirim",43,IF(Atletas!J140="Qiangshu Mirim",44,IF(Atletas!J140="Nangun Mirim",45,IF(Atletas!J140="Gunshu Grupo C",46,IF(Atletas!J140="Qiangshu Grupo C",47,IF(Atletas!J140="Nangun Grupo C",48,IF(Atletas!J140="Gunshu Grupo B",49,IF(Atletas!J140="Qiangshu Grupo B",50,IF(Atletas!J140="Nangun Grupo B",51,IF(Atletas!J140="Gunshu Grupo A",52,IF(Atletas!J140="Qiangshu Grupo A",53,IF(Atletas!J140="Nangun Grupo A",54,IF(Atletas!J140="Gunshu Opcional",55,IF(Atletas!J140="Qiangshu Opcional",56,IF(Atletas!J140="Nangun Opcional",57,IF(Atletas!J140="Gunshu Adulto",58,IF(Atletas!J140="Qiangshu Adulto",59,IF(Atletas!J140="Nangun Adulto",60,IF(Atletas!J140="Taijishan Grupo B",61,IF(Atletas!J140="Taijishan Grupo A",62,""))))))))))))))))))))))</f>
        <v/>
      </c>
      <c r="BM149" s="50" t="str">
        <f>IF(Atletas!K140="","",IF(Atletas!B140="Feminino",100,IF(Atletas!B140="Masculino",200,""))+(IF(Atletas!K140="Equipe 1 Grupo B",1,IF(Atletas!K140="Equipe 2 Grupo B",2,IF(Atletas!K140="Equipe 1 Grupo A",3,IF(Atletas!K140="Equipe 2 Grupo A",4,IF(Atletas!K140="Equipe 1 Adulto",5,IF(Atletas!K140="Equipe 2 Adulto",6,""))))))))</f>
        <v/>
      </c>
      <c r="BR149" s="50" t="str">
        <f>IF(Atletas!L140="","",IF(Atletas!X140&lt;&gt;"",10000,0)+(IF(Atletas!B140="Feminino",1000,IF(Atletas!B140="Masculino",2000,""))+IF(Atletas!L140="Choylayfut A",1,IF(Atletas!L140="Hunggar A",2,IF(Atletas!L140="Wuzuquan A",3,IF(Atletas!L140="Wingchun A",4,IF(Atletas!L140="Outra Mão de Sul A",5,IF(Atletas!L140="Choylayfut B",6,IF(Atletas!L140="Hunggar B",7,IF(Atletas!L140="Wuzuquan B",8,IF(Atletas!L140="Wingchun B",9,IF(Atletas!L140="Outra Mão de Sul B",10,IF(Atletas!L140="Choylayfut C",11,IF(Atletas!L140="Hunggar C",12,IF(Atletas!L140="Wuzuquan C",13,IF(Atletas!L140="Wingchun C",14,IF(Atletas!L140="Outra Mão de Sul C",15,IF(Atletas!L140="Choylayfut D",16,IF(Atletas!L140="Hunggar D",17,IF(Atletas!L140="Wuzuquan D",18,IF(Atletas!L140="Wingchun D",19,IF(Atletas!L140="Outra Mão de Sul D",20,IF(Atletas!L140="Choylayfut E",21,IF(Atletas!L140="Hunggar E",22,IF(Atletas!L140="Wuzuquan E",23,IF(Atletas!L140="Wingchun E",24,IF(Atletas!L140="Outra Mão de Sul E",25,IF(Atletas!L140="Choylayfut F",26,IF(Atletas!L140="Hunggar F",27,IF(Atletas!L140="Wuzuquan F",28,IF(Atletas!L140="Wingchun F",29,IF(Atletas!L140="Outra Mão de Sul F",30,IF(Atletas!L140="Dishuquan A",31,IF(Atletas!L140="Dishuquan B",32,IF(Atletas!L140="Dishuquan C",33,IF(Atletas!L140="Dishuquan D",34,IF(Atletas!L140="Dishuquan E",35,IF(Atletas!L140="Dishuquan F",36,""))))))))))))))))))))))))))))))))))))))</f>
        <v/>
      </c>
      <c r="BS149" s="50" t="str">
        <f>IF(Atletas!M140="","",IF(Atletas!X140&lt;&gt;"",10000,0)+(IF(Atletas!B140="Feminino",1000,IF(Atletas!B140="Masculino",2000,""))+(IF(Atletas!M140="Chaquan A",101,IF(Atletas!M140="Emeiquan A",102,IF(Atletas!M140="Fanziquan A",103,IF(Atletas!M140="Huaquan A",104,IF(Atletas!M140="Hongquan A",105,IF(Atletas!M140="Paoquan A",106,IF(Atletas!M140="Piguaquan A",107,IF(Atletas!M140="Shaolinquan A",108,IF(Atletas!M140="Tanglangquan A",109,IF(Atletas!M140="Yingzhaoquan A",110,IF(Atletas!M140="Tongbeiquan A",111,IF(Atletas!M140="Wudangquan A",112,IF(Atletas!M140="Outros Estilos A",113,IF(Atletas!M140="Chaquan B",114,IF(Atletas!M140="Emeiquan B",115,IF(Atletas!M140="Fanziquan B",116,IF(Atletas!M140="Huaquan B",117,IF(Atletas!M140="Hongquan B",118,IF(Atletas!M140="Paoquan B",119,IF(Atletas!M140="Piguaquan B",120,IF(Atletas!M140="Shaolinquan B",121,IF(Atletas!M140="Tanglangquan B",122,IF(Atletas!M140="Yingzhaoquan B",123,IF(Atletas!M140="Tongbeiquan B",124,IF(Atletas!M140="Wudangquan B",125,IF(Atletas!M140="Outros Estilos B",126,IF(Atletas!M140="Chaquan C",127,IF(Atletas!M140="Emeiquan C",128,IF(Atletas!M140="Fanziquan C",129,IF(Atletas!M140="Huaquan C",130,IF(Atletas!M140="Hongquan C",131,IF(Atletas!M140="Paoquan C",132,IF(Atletas!M140="Piguaquan C",133,IF(Atletas!M140="Shaolinquan C",134,IF(Atletas!M140="Tanglangquan C",135,IF(Atletas!M140="Yingzhaoquan C",136,IF(Atletas!M140="Tongbeiquan C",137,IF(Atletas!M140="Wudangquan C",138,IF(Atletas!M140="Outros Estilos C",139,0))))))))))))))))))))))))))))))))))))))))))</f>
        <v/>
      </c>
      <c r="BT149" s="50" t="str">
        <f>IF(Atletas!M140="","",IF(Atletas!X140&lt;&gt;"",10000,0)+(IF(Atletas!B140="Feminino",1000,IF(Atletas!B140="Masculino",2000,""))+(IF(Atletas!M140="Chaquan D",140,IF(Atletas!M140="Emeiquan D",141,IF(Atletas!M140="Fanziquan D",142,IF(Atletas!M140="Huaquan D",143,IF(Atletas!M140="Hongquan D",144,IF(Atletas!M140="Paoquan D",145,IF(Atletas!M140="Piguaquan D",146,IF(Atletas!M140="Shaolinquan D",147,IF(Atletas!M140="Tanglangquan D",148,IF(Atletas!M140="Yingzhaoquan D",149,IF(Atletas!M140="Tongbeiquan D",150,IF(Atletas!M140="Wudangquan D",151,IF(Atletas!M140="Outros Estilos D",152,IF(Atletas!M140="Chaquan E",153,IF(Atletas!M140="Emeiquan E",154,IF(Atletas!M140="Fanziquan E",155,IF(Atletas!M140="Huaquan E",156,IF(Atletas!M140="Hongquan E",157,IF(Atletas!M140="Paoquan E",158,IF(Atletas!M140="Piguaquan E",159,IF(Atletas!M140="Shaolinquan E",160,IF(Atletas!M140="Tanglangquan E",161,IF(Atletas!M140="Yingzhaoquan E",162,IF(Atletas!M140="Tongbeiquan E",163,IF(Atletas!M140="Wudangquan E",164,IF(Atletas!M140="Outros Estilos E",165,IF(Atletas!M140="Chaquan F",166,IF(Atletas!M140="Emeiquan F",167,IF(Atletas!M140="Fanziquan F",168,IF(Atletas!M140="Huaquan F",169,IF(Atletas!M140="Hongquan F",170,IF(Atletas!M140="Paoquan F",171,IF(Atletas!M140="Piguaquan F",172,IF(Atletas!M140="Shaolinquan F",173,IF(Atletas!M140="Tanglangquan F",174,IF(Atletas!M140="Yingzhaoquan F",175,IF(Atletas!M140="Tongbeiquan F",176,IF(Atletas!M140="Wudangquan F",177,IF(Atletas!M140="Outros Estilos F",178,0))))))))))))))))))))))))))))))))))))))))))</f>
        <v/>
      </c>
      <c r="BU149" s="50" t="str">
        <f>IF(Atletas!N140="","",IF(Atletas!X140&lt;&gt;"",10000,0)+(IF(Atletas!B140="Feminino",1000,IF(Atletas!B140="Masculino",2000,""))+(IF(Atletas!N140="Ditangquan A",201,IF(Atletas!N140="Houquan A",202,IF(Atletas!N140="Zuiquan A",203,IF(Atletas!N140="Ditangquan B",204,IF(Atletas!N140="Houquan B",205,IF(Atletas!N140="Zuiquan B",206,IF(Atletas!N140="Ditangquan C",207,IF(Atletas!N140="Houquan C",208,IF(Atletas!N140="Zuiquan C",209,IF(Atletas!N140="Ditangquan D",210,IF(Atletas!N140="Houquan D",211,IF(Atletas!N140="Zuiquan D",212,IF(Atletas!N140="Ditangquan E",213,IF(Atletas!N140="Houquan E",214,IF(Atletas!N140="Zuiquan E",215,IF(Atletas!N140="Ditangquan F",216,IF(Atletas!N140="Houquan F",217,IF(Atletas!N140="Zuiquan F",218,"")))))))))))))))))))))</f>
        <v/>
      </c>
      <c r="BV149" s="50" t="str">
        <f>IF(Atletas!O140="","",IF(Atletas!X140&lt;&gt;"",10000,0)+IF(Atletas!B140="Feminino",1000,IF(Atletas!B140="Masculino",2000,""))+IF(Atletas!O140="Yang A",301,IF(Atletas!O140="Chen A",302,IF(Atletas!O140="Sun A",303,IF(Atletas!O140="Wu A",304,IF(Atletas!O140="Wu-Hao A",305,IF(Atletas!O140="Outro Taijiquan A",306,IF(Atletas!O140="Yang B",307,IF(Atletas!O140="Chen B",308,IF(Atletas!O140="Sun B",309,IF(Atletas!O140="Wu B",310,IF(Atletas!O140="Wu-Hao B",311,IF(Atletas!O140="Outro Taijiquan B",312,IF(Atletas!O140="Yang C",313,IF(Atletas!O140="Chen C",314,IF(Atletas!O140="Sun C",315,IF(Atletas!O140="Wu C",316,IF(Atletas!O140="Wu-Hao C",317,IF(Atletas!O140="Outro Taijiquan C",318,IF(Atletas!O140="Yang D",319,IF(Atletas!O140="Chen D",320,IF(Atletas!O140="Sun D",321,IF(Atletas!O140="Wu D",322,IF(Atletas!O140="Wu-Hao D",323,IF(Atletas!O140="Outro Taijiquan D",324,IF(Atletas!O140="Yang E",325,IF(Atletas!O140="Chen E",326,IF(Atletas!O140="Sun E",327,IF(Atletas!O140="Wu E",328,IF(Atletas!O140="Wu-Hao E",329,IF(Atletas!O140="Outro Taijiquan E",330,IF(Atletas!O140="Yang F",331,IF(Atletas!O140="Chen F",332,IF(Atletas!O140="Sun F",333,IF(Atletas!O140="Wu F",334,IF(Atletas!O140="Wu-Hao F",335,IF(Atletas!O140="Outro Taijiquan F",336,"")))))))))))))))))))))))))))))))))))))</f>
        <v/>
      </c>
      <c r="BW149" s="50" t="str">
        <f>IF(Atletas!P140="","",IF(Atletas!X140&lt;&gt;"",10000,0)+IF(Atletas!B140="Feminino",1000,IF(Atletas!B140="Masculino",2000,""))+IF(OR(Atletas!P140="Yang 26 A",Atletas!P140="Yang 40 A"),401,IF(OR(Atletas!P140="Chen 25 A",Atletas!P140="Chen 36 A",Atletas!P140="Chen 56 A"),402,IF(Atletas!P140="Sun 73 A",403,IF(Atletas!P140="Wu 45 A",404,IF(Atletas!P140="Wu-Hao 46 A",405,IF(OR(Atletas!P140="Taijiquan 16 A",Atletas!P140="Taijiquan 24 A",Atletas!P140="Taijiquan 32 A",Atletas!P140="Taijiquan 42 A"),406,IF(OR(Atletas!P140="Yang 26 B",Atletas!P140="Yang 40 B"),407,IF(OR(Atletas!P140="Chen 25 B",Atletas!P140="Chen 36 B",Atletas!P140="Chen 56 B"),408,IF(Atletas!P140="Sun 73 B",409,IF(Atletas!P140="Wu 45 B",410,IF(Atletas!P140="Wu-Hao 46 B",411,IF(OR(Atletas!P140="Taijiquan 16 B",Atletas!P140="Taijiquan 24 B",Atletas!P140="Taijiquan 32 B",Atletas!P140="Taijiquan 42 B"),412,IF(OR(Atletas!P140="Yang 26 C",Atletas!P140="Yang 40 C"),413,IF(OR(Atletas!P140="Chen 25 C",Atletas!P140="Chen 36 C",Atletas!P140="Chen 56 C"),414,IF(Atletas!P140="Sun 73 C",415,IF(Atletas!P140="Wu 45 C",416,IF(Atletas!P140="Wu-Hao 46 C",417,IF(OR(Atletas!P140="Taijiquan 16 C",Atletas!P140="Taijiquan 24 C",Atletas!P140="Taijiquan 32 C",Atletas!P140="Taijiquan 42 C"),418,0)))))))))))))))))))</f>
        <v/>
      </c>
      <c r="BX149" s="50" t="str">
        <f>IF(Atletas!P140="","",IF(Atletas!X140&lt;&gt;"",10000,0)+IF(Atletas!B140="Feminino",1000,IF(Atletas!B140="Masculino",2000,""))+IF(OR(Atletas!P140="Yang 26 D",Atletas!P140="Yang 40 D"),419,IF(OR(Atletas!P140="Chen 25 D",Atletas!P140="Chen 36 D",Atletas!P140="Chen 56 D"),420,IF(Atletas!P140="Sun 73 D",421,IF(Atletas!P140="Wu 45 D",422,IF(Atletas!P140="Wu-Hao 46 D",423,IF(OR(Atletas!P140="Taijiquan 16 D",Atletas!P140="Taijiquan 24 D",Atletas!P140="Taijiquan 32 D",Atletas!P140="Taijiquan 42 D"),424,IF(OR(Atletas!P140="Yang 26 E",Atletas!P140="Yang 40 E"),425,IF(OR(Atletas!P140="Chen 25 E",Atletas!P140="Chen 36 E",Atletas!P140="Chen 56 E"),426,IF(Atletas!P140="Sun 73 E",427,IF(Atletas!P140="Wu 45 E",428,IF(Atletas!P140="Wu-Hao 46 E",429,IF(OR(Atletas!P140="Taijiquan 16 E",Atletas!P140="Taijiquan 24 E",Atletas!P140="Taijiquan 32 E",Atletas!P140="Taijiquan 42 E"),430,IF(OR(Atletas!P140="Yang 26 F",Atletas!P140="Yang 40 F"),431,IF(OR(Atletas!P140="Chen 25 F",Atletas!P140="Chen 36 F",Atletas!P140="Chen 56 F"),432,IF(Atletas!P140="Sun 73 F",433,IF(Atletas!P140="Wu 45 F",434,IF(Atletas!P140="Wu-Hao 46 F",435,IF(OR(Atletas!P140="Taijiquan 16 F",Atletas!P140="Taijiquan 24 F",Atletas!P140="Taijiquan 32 F",Atletas!P140="Taijiquan 42 F"),436,0)))))))))))))))))))</f>
        <v/>
      </c>
      <c r="BY149" s="50" t="str">
        <f>IF(Atletas!Q140="","",IF(Atletas!X140&lt;&gt;"",10000,0)+IF(Atletas!B140="Feminino",1000,IF(Atletas!B140="Masculino",2000,""))+IF(Atletas!Q140="Xingyiquan A",501,IF(Atletas!Q140="Baguazhang A",502,IF(Atletas!Q140="Outro Estilo Interno A",503,IF(Atletas!Q140="Xingyiquan B",504,IF(Atletas!Q140="Baguazhang B",505,IF(Atletas!Q140="Outro Estilo Interno B",506,IF(Atletas!Q140="Xingyiquan C",507,IF(Atletas!Q140="Baguazhang C",508,IF(Atletas!Q140="Outro Estilo Interno C",509,IF(Atletas!Q140="Xingyiquan D",510,IF(Atletas!Q140="Baguazhang D",511,IF(Atletas!Q140="Outro Estilo Interno D",512,IF(Atletas!Q140="Xingyiquan E",513,IF(Atletas!Q140="Baguazhang E",514,IF(Atletas!Q140="Outro Estilo Interno E",515,IF(Atletas!Q140="Xingyiquan F",516,IF(Atletas!Q140="Baguazhang F",517,IF(Atletas!Q140="Outro Estilo Interno F",518, "")))))))))))))))))))</f>
        <v/>
      </c>
      <c r="BZ149" s="50" t="str">
        <f>IF(Atletas!R140="","",IF(Atletas!X140&lt;&gt;"",10000,0)+IF(Atletas!B140="Feminino",1000,IF(Atletas!B140="Masculino",2000,""))+IF(Atletas!R140="Dao A",601,IF(Atletas!R140="Jian A",602,IF(Atletas!R140="Bishou A",603,IF(Atletas!R140="Shanzi A",604,IF(Atletas!R140="Outra Arma Curta A",605,IF(Atletas!R140="Dao B",606,IF(Atletas!R140="Jian B",607,IF(Atletas!R140="Bishou B",608,IF(Atletas!R140="Shanzi B",609,IF(Atletas!R140="Outra Arma Curta B",610,IF(Atletas!R140="Dao C",611,IF(Atletas!R140="Jian C",612,IF(Atletas!R140="Bishou C",613,IF(Atletas!R140="Shanzi C",614,IF(Atletas!R140="Outra Arma Curta C",615,IF(Atletas!R140="Dao D",616,IF(Atletas!R140="Jian D",617,IF(Atletas!R140="Bishou D",618,IF(Atletas!R140="Shanzi D",619,IF(Atletas!R140="Outra Arma Curta D",620,IF(Atletas!R140="Dao E",621,IF(Atletas!R140="Jian E",622,IF(Atletas!R140="Bishou E",623,IF(Atletas!R140="Shanzi E",624,IF(Atletas!R140="Outra Arma Curta E",625,IF(Atletas!R140="Dao F",626,IF(Atletas!R140="Jian F",627,IF(Atletas!R140="Bishou F",628,IF(Atletas!R140="Shanzi F",629,IF(Atletas!R140="Outra Arma Curta F",630, "")))))))))))))))))))))))))))))))</f>
        <v/>
      </c>
      <c r="CA149" s="50" t="str">
        <f>IF(Atletas!S140="","",IF(Atletas!X140&lt;&gt;"",10000,0)+IF(Atletas!B140="Feminino",1000,IF(Atletas!B140="Masculino",2000,""))+IF(Atletas!S140="Gun A",701,IF(Atletas!S140="Qiang A",702,IF(Atletas!S140="Pudao / Guandao A",703,IF(Atletas!S140="Outra Arma Longa A",704,IF(Atletas!S140="Gun B",705,IF(Atletas!S140="Qiang B",706,IF(Atletas!S140="Pudao / Guandao B",707,IF(Atletas!S140="Outra Arma Longa B",708,IF(Atletas!S140="Gun C",709,IF(Atletas!S140="Qiang C",710,IF(Atletas!S140="Pudao / Guandao C",711,IF(Atletas!S140="Outra Arma Longa C",712,IF(Atletas!S140="Gun D",713,IF(Atletas!S140="Qiang D",714,IF(Atletas!S140="Pudao / Guandao D",715,IF(Atletas!S140="Outra Arma Longa D",716,IF(Atletas!S140="Gun E",717,IF(Atletas!S140="Qiang E",718,IF(Atletas!S140="Pudao / Guandao E",719,IF(Atletas!S140="Outra Arma Longa E",720,IF(Atletas!S140="Gun F",721,IF(Atletas!S140="Qiang F",722,IF(Atletas!S140="Pudao / Guandao F",723,IF(Atletas!S140="Outra Arma Longa F",724,"")))))))))))))))))))))))))</f>
        <v/>
      </c>
      <c r="CB149" s="50" t="str">
        <f>IF(Atletas!T140="","",IF(Atletas!X140&lt;&gt;"",10000,0)+IF(Atletas!B140="Feminino",1000,IF(Atletas!B140="Masculino",2000,""))+IF(Atletas!T140="Outra Arma Dupla A",801,IF(Atletas!T140="Arma Maleável A",802,IF(Atletas!T140="Outra Arma Dupla B",803,IF(Atletas!T140="Arma Maleável B",804,IF(Atletas!T140="Outra Arma Dupla C",805,IF(Atletas!T140="Arma Maleável C",806,IF(Atletas!T140="Outra Arma Dupla D",807,IF(Atletas!T140="Arma Maleável D",808,IF(Atletas!T140="Outra Arma Dupla E",809,IF(Atletas!T140="Arma Maleável E",810,IF(Atletas!T140="Outra Arma Dupla F",811,IF(Atletas!T140="Arma Maleável F",812,IF(Atletas!T140="Shuangdao A",813,IF(Atletas!T140="Shuangdao B",814,IF(Atletas!T140="Shuangdao C",815,IF(Atletas!T140="Shuangdao D",816,IF(Atletas!T140="Shuangdao E",817,IF(Atletas!T140="Shuangdao F",818,"")))))))))))))))))))</f>
        <v/>
      </c>
      <c r="CC149" s="50" t="str">
        <f>IF(Atletas!U140="","",IF(Atletas!X140&lt;&gt;"",10000,0)+IF(Atletas!B140="Feminino",1000,IF(Atletas!B140="Masculino",2000,""))+IF(OR(Atletas!U140="Taijijian Yang A",Atletas!U140="Taijijian Yang Standard A"),901,IF(OR(Atletas!U140="Taijijian Chen A", Atletas!U140="Taijijian Chen Standard A"),902,IF(Atletas!U140="Taijijian Sun A",903,IF(Atletas!U140="Taijijian Wu A",904,IF(Atletas!U140="Taijijian Wu-Hao A",905,IF(OR(Atletas!U140="Taijijian 32 A",Atletas!U140="Taijijian 42 A"),906,IF(OR(Atletas!U140="Taijijian Yang B",Atletas!U140="Taijijian Yang Standard B"),907,IF(OR(Atletas!U140="Taijijian Chen B", Atletas!U140="Taijijian Chen Standard B"),908,IF(Atletas!U140="Taijijian Sun B",909,IF(Atletas!U140="Taijijian Wu B",910,IF(Atletas!U140="Taijijian Wu-Hao B",911,IF(OR(Atletas!U140="Taijijian 32 B",Atletas!U140="Taijijian 42 B"),912,IF(OR(Atletas!U140="Taijijian Yang C",Atletas!U140="Taijijian Yang Standard C"),913,IF(OR(Atletas!U140="Taijijian Chen C", Atletas!U140="Taijijian Chen Standard C"),914,IF(Atletas!U140="Taijijian Sun C",915,IF(Atletas!U140="Taijijian Wu C",916,IF(Atletas!U140="Taijijian Wu-Hao C",917,IF(OR(Atletas!U140="Taijijian 32 C",Atletas!U140="Taijijian 42 C"),918,IF(OR(Atletas!U140="Taijijian Yang D",Atletas!U140="Taijijian Yang Standard D"),919,IF(OR(Atletas!U140="Taijijian Chen D", Atletas!U140="Taijijian Chen Standard D"),920,IF(Atletas!U140="Taijijian Sun D",921,IF(Atletas!U140="Taijijian Wu D",922,IF(Atletas!U140="Taijijian Wu-Hao D",923,IF(OR(Atletas!U140="Taijijian 32 D",Atletas!U140="Taijijian 42 D"),924,IF(OR(Atletas!U140="Taijijian Yang E",Atletas!U140="Taijijian Yang Standard E"),925,IF(OR(Atletas!U140="Taijijian Chen E", Atletas!U140="Taijijian Chen Standard E"),926,IF(Atletas!U140="Taijijian Sun E",927,IF(Atletas!U140="Taijijian Wu E",928,IF(Atletas!U140="Taijijian Wu-Hao E",929,IF(OR(Atletas!U140="Taijijian 32 E",Atletas!U140="Taijijian 42 E"),930,IF(OR(Atletas!U140="Taijijian Yang F",Atletas!U140="Taijijian Yang Standard F"),931,IF(OR(Atletas!U140="Taijijian Chen F", Atletas!U140="Taijijian Chen Standard F"),932,IF(Atletas!U140="Taijijian Sun F",933,IF(Atletas!U140="Taijijian Wu F",934,IF(Atletas!U140="Taijijian Wu-Hao F",935,IF(OR(Atletas!U140="Taijijian 32 F",Atletas!U140="Taijijian 42 F"),936,"")))))))))))))))))))))))))))))))))))))</f>
        <v/>
      </c>
      <c r="CD149" s="50" t="str">
        <f>IF(Atletas!V140="","",IF(Atletas!X140&lt;&gt;"",10000,0)+IF(Atletas!B140="Feminino",1000,IF(Atletas!B140="Masculino",2000,""))+IF(Atletas!V140="Taijidao A",937,IF(Atletas!V140="TaijiShanzi A",938,IF(Atletas!V140="Taijiqiang A",939,IF(Atletas!V140="Bagua de Arma A",940,IF(Atletas!V140="Xingyi de Arma A",941,IF(Atletas!V140="Taijidao B",942,IF(Atletas!V140="TaijiShanzi B",943,IF(Atletas!V140="Taijiqiang B",944,IF(Atletas!V140="Bagua de Arma B",945,IF(Atletas!V140="Xingyi de Arma B",946,IF(Atletas!V140="Taijidao C",947,IF(Atletas!V140="TaijiShanzi C",948,IF(Atletas!V140="Taijiqiang C",949,IF(Atletas!V140="Bagua de Arma C",950,IF(Atletas!V140="Xingyi de Arma C",951,IF(Atletas!V140="Taijidao D",952,IF(Atletas!V140="TaijiShanzi D",953,IF(Atletas!V140="Taijiqiang D",954,IF(Atletas!V140="Bagua de Arma D",955,IF(Atletas!V140="Xingyi de Arma D",956,IF(Atletas!V140="Taijidao E",957,IF(Atletas!V140="TaijiShanzi E",958,IF(Atletas!V140="Taijiqiang E",959,IF(Atletas!V140="Bagua de Arma E",960,IF(Atletas!V140="Xingyi de Arma E",961,IF(Atletas!V140="Taijidao F",962,IF(Atletas!V140="TaijiShanzi F",963,IF(Atletas!V140="Taijiqiang F",964,IF(Atletas!V140="Bagua de Arma F",965,IF(Atletas!V140="Xingyi de Arma F",966,"")))))))))))))))))))))))))))))))</f>
        <v/>
      </c>
      <c r="CE149" s="66" t="str">
        <f>IF(CF149&lt;&gt;"","TJQ Trad. Wu-Hao B","")</f>
        <v/>
      </c>
      <c r="CF149" s="66" t="str">
        <f>IF(COUNTIF(BR:CD,1311)&gt;0,COUNTIF(BR:CD,1311),"")</f>
        <v/>
      </c>
      <c r="CG149" s="66" t="str">
        <f>IF(CH149&lt;&gt;"","TJQ Trad. Wu-Hao B","")</f>
        <v/>
      </c>
      <c r="CH149" s="66" t="str">
        <f>IF(COUNTIF(BR:CD,2311)&gt;0,COUNTIF(BR:CD,2311),"")</f>
        <v/>
      </c>
      <c r="CI149" s="66" t="str">
        <f>IF(CJ149&lt;&gt;"","TJQ Trad. Wu-Hao C","")</f>
        <v/>
      </c>
      <c r="CJ149" s="66" t="str">
        <f>IF(COUNTIF(BR:CD,11317)&gt;0,COUNTIF(BR:CD,11317),"")</f>
        <v/>
      </c>
      <c r="CK149" s="66" t="str">
        <f>IF(CL149&lt;&gt;"","TJQ Trad. Wu-Hao C","")</f>
        <v/>
      </c>
      <c r="CL149" s="66" t="str">
        <f>IF(COUNTIF(BR:CD,12317)&gt;0,COUNTIF(BR:CD,12317),"")</f>
        <v/>
      </c>
      <c r="CM149" s="50" t="str">
        <f xml:space="preserve"> IF(Atletas!W140="","",IF(Atletas!W140="Duilian de Mãos BC - Equipe 1",1,IF(Atletas!W140="Duilian de Mãos BC - Equipe 2",2,IF(Atletas!W140="Duilian de Armas BC - Equipe 1",3,IF(Atletas!W140="Duilian de Armas BC - Equipe 2",4,IF(Atletas!W140="Duilian de Mãos DE - Equipe 1",5,IF(Atletas!W140="Duilian de Mãos DE - Equipe 2",6,IF(Atletas!W140="Duilian de Armas DE - Equipe 1",7,IF(Atletas!W140="Duilian de Armas DE - Equipe 2",8,IF(Atletas!W140="Duilian de Tuishou - Equipe 1",9,IF(Atletas!W140="Duilian de Tuishou - Equipe 2",10,IF(Atletas!W140="Grupo Externo ABC - Equipe 1",11,IF(Atletas!W140="Grupo Externo ABC - Equipe 2",12,IF(Atletas!W140="Grupo Interno ABC - Equipe 1",13,IF(Atletas!W140="Grupo Interno ABC - Equipe 2",14,IF(Atletas!W140="Grupo Externo DEF - Equipe 1",15,IF(Atletas!W140="Grupo Externo DEF - Equipe 2",16,IF(Atletas!W140="Grupo Interno DEF - Equipe 1",17,IF(Atletas!W140="Grupo Interno DEF - Equipe 2",18,"")))))))))))))))))))</f>
        <v/>
      </c>
    </row>
    <row r="150" spans="2:9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 t="str">
        <f t="array" ref="Z150">IFERROR(INDEX(CE$7:CE$348,SMALL(IF(CE$7:CE$348&lt;&gt;"",ROW(CE$7:CE$348)-ROW(CE$7)+1),ROWS(CE$7:CE149))),"")</f>
        <v/>
      </c>
      <c r="AA150" s="3" t="str">
        <f t="array" ref="AA150">IFERROR(INDEX(CF$7:CF$348,SMALL(IF(CF$7:CF$348&lt;&gt;"",ROW(CF$7:CF$348)-ROW(CF$7)+1),ROWS(CF$7:CF149))),"")</f>
        <v/>
      </c>
      <c r="AB150" s="3" t="str">
        <f t="array" ref="AB150">IFERROR(INDEX(CG$7:CG$348,SMALL(IF(CG$7:CG$348&lt;&gt;"",ROW(CG$7:CG$348)-ROW(CG$7)+1),ROWS(CG$7:CG149))),"")</f>
        <v/>
      </c>
      <c r="AC150" s="3" t="str">
        <f t="array" ref="AC150">IFERROR(INDEX(CH$7:CH$348,SMALL(IF(CH$7:CH$348&lt;&gt;"",ROW(CH$7:CH$348)-ROW(CH$7)+1),ROWS(CH$7:CH149))),"")</f>
        <v/>
      </c>
      <c r="AD150" s="3" t="str">
        <f t="array" ref="AD150">IFERROR(INDEX(CI$7:CI$377,SMALL(IF(CI$7:CI$377&lt;&gt;"",ROW(CI$7:CI$377)-ROW(CI$7)+1),ROWS(CI$7:CI149))),"")</f>
        <v/>
      </c>
      <c r="AE150" s="3" t="str">
        <f t="array" ref="AE150">IFERROR(INDEX(CJ$7:CJ$378,SMALL(IF(CJ$7:CJ$378&lt;&gt;"",ROW(CJ$7:CJ$378)-ROW(CJ$7)+1),ROWS(CJ$7:CJ149))),"")</f>
        <v/>
      </c>
      <c r="AF150" s="3" t="str">
        <f t="array" ref="AF150">IFERROR(INDEX(CK$7:CK$378,SMALL(IF(CK$7:CK$378&lt;&gt;"",ROW(CK$7:CK$378)-ROW(CK$7)+1),ROWS(CK$7:CK149))),"")</f>
        <v/>
      </c>
      <c r="AG150" s="3" t="str">
        <f t="array" ref="AG150">IFERROR(INDEX(CL$7:CL$378,SMALL(IF(CL$7:CL$378&lt;&gt;"",ROW(CL$7:CL$378)-ROW(CL$7)+1),ROWS(CL$7:CL149))),"")</f>
        <v/>
      </c>
      <c r="AH150" s="3"/>
      <c r="AI150" s="3"/>
      <c r="AJ150" s="3"/>
      <c r="AK150" s="3"/>
      <c r="AL150" s="3"/>
      <c r="AM150" s="3"/>
      <c r="AN150" s="52" t="str">
        <f>IF(Atletas!D141="","",IF(Atletas!B141="Feminino",100,IF(Atletas!B141="Masculino",200,""))+(IF(Atletas!D141="Kids 30kg",1,IF(Atletas!D141="Kids 32kg",2, IF(Atletas!D141="Kids 34kg",3,IF(Atletas!D141="Kids 36kg",4,IF(Atletas!D141="Kids 39kg",5,IF(Atletas!D141="Kids 42kg",6,IF(Atletas!D141="Kids 45kg",7, IF(Atletas!D141="Infantil 39kg",8,IF(Atletas!D141="Infantil 42kg",9,IF(Atletas!D141="Infantil 45kg",10,IF(Atletas!D141="Infantil 48kg",11,IF(Atletas!D141="Infantil 52kg",12,IF(Atletas!D141="Infantil 56kg",13,IF(Atletas!D141="Infantil 60kg",14,IF(Atletas!D141="Juvenil 48kg",15,IF(Atletas!D141="Juvenil 52kg",16,IF(Atletas!D141="Juvenil 56kg",17,IF(Atletas!D141="Juvenil 60kg",18,IF(Atletas!D141="Juvenil 65kg",19,IF(Atletas!D141="Juvenil 70kg",20,IF(Atletas!D141="Juvenil 75kg",21,IF(Atletas!D141="Juvenil 80kg",22, IF(Atletas!D141="Juvenil 85kg",23,IF(Atletas!D141="Adulto 48kg",24,IF(Atletas!D141="Adulto 52kg",25,IF(Atletas!D141="Adulto 56kg",26,IF(Atletas!D141="Adulto 60kg",27,IF(Atletas!D141="Adulto 65kg",28,IF(Atletas!D141="Adulto 70kg",29,IF(Atletas!D141="Adulto 75kg",30,IF(Atletas!D141="Adulto 80kg",31,IF(Atletas!D141="Adulto 85kg",32,IF(Atletas!D141="Adulto 90kg",33,IF(Atletas!D141="Adulto 100kg",34, IF(Atletas!D141="Adulto +100kg",35,"")))))))))))))))))))))))))))))))))))))</f>
        <v/>
      </c>
      <c r="AS150" s="6" t="str">
        <f>IF(Atletas!E141="","",IF(Atletas!B141="Feminino",100,IF(Atletas!B141="Masculino",200,""))+(IF(Atletas!E141="Juvenil 44kg",1,IF(Atletas!E141="Juvenil 48kg",2,IF(Atletas!E141="Juvenil 52kg",3,IF(Atletas!E141="Juvenil 56kg",4,IF(Atletas!E141="Juvenil 60kg",5,IF(Atletas!E141="Juvenil 65kg",6,IF(Atletas!E141="Juvenil 70kg",7,IF(Atletas!E141="Juvenil 75kg",8,IF(Atletas!E141="Juvenil 82kg",9,IF(Atletas!E141="Juvenil 90kg",10,IF(Atletas!E141="Juvenil 100kg",11,IF(Atletas!E141="Adulto 48kg",12,IF(Atletas!E141="Adulto 52kg",13,IF(Atletas!E141="Adulto 56kg",14,IF(Atletas!E141="Adulto 60kg",15,IF(Atletas!E141="Adulto 65kg",16,IF(Atletas!E141="Adulto 70kg",17,IF(Atletas!E141="Adulto 75kg",18,IF(Atletas!E141="Adulto 82kg",19,IF(Atletas!E141="Adulto 90kg",20,IF(Atletas!E141="Adulto 100kg",21,IF(Atletas!E141="Adulto +100kg",22,""))))))))))))))))))))))))</f>
        <v/>
      </c>
      <c r="AX150" s="6" t="str">
        <f>IF(Atletas!F141="","",IF(Atletas!B141="Feminino",100,IF(Atletas!B141="Masculino",200,""))+(IF(Atletas!F141="Adulto 48kg",1,IF(Atletas!F141="Adulto 56kg",2,IF(Atletas!F141="Adulto 65kg",3,IF(Atletas!F141="Adulto 75kg",4,IF(Atletas!F141="Adulto +75kg",5,IF(Atletas!F141="Adulto 52kg",6,IF(Atletas!F141="Adulto 60kg",7,IF(Atletas!F141="Adulto 70kg",8,IF(Atletas!F141="Adulto 80kg",9,IF(Atletas!F141="Adulto 90kg",10,IF(Atletas!F141="Adulto +90kg",11,"")))))))))))))</f>
        <v/>
      </c>
      <c r="BC150" s="6" t="str">
        <f>IF(Atletas!G141="","",IF(Atletas!B141="Feminino",10,IF(Atletas!B141="Masculino",20,""))+(IF(Atletas!G141="Baduanjin A",1,IF(Atletas!G141="Baduanjin B",2))))</f>
        <v/>
      </c>
      <c r="BF150" s="52" t="str">
        <f>IF(Atletas!H141="","",IF(Atletas!B141="Feminino",100,IF(Atletas!B141="Masculino",200,""))+(IF(Atletas!H141="Changquan Mirim",1,IF(Atletas!H141="Nanquan Mirim",2,IF(Atletas!H141="Taijiquan Mirim",3,IF(Atletas!H141="Changquan Grupo C",4,IF(Atletas!H141="Nanquan Grupo C",5,IF(Atletas!H141="Taijiquan Grupo C",6,IF(Atletas!H141="Changquan Grupo B",7,IF(Atletas!H141="Nanquan Grupo B",8,IF(Atletas!H141="Taijiquan Grupo B",9,IF(Atletas!H141="Changquan Grupo A",10,IF(Atletas!H141="Nanquan Grupo A",11,IF(Atletas!H141="Taijiquan Grupo A",12,IF(Atletas!H141="Changquan Opcional",13,IF(Atletas!H141="Nanquan Opcional",14,IF(Atletas!H141="Taijiquan Opcional",15,IF(Atletas!H141="Changquan Adulto",16,IF(Atletas!H141="Nanquan Adulto",17,IF(Atletas!H141="Taijiquan Adulto",18,""))))))))))))))))))))</f>
        <v/>
      </c>
      <c r="BG150" s="52" t="str">
        <f>IF(Atletas!I141="","",IF(Atletas!B141="Feminino",100,IF(Atletas!B141="Masculino",200,""))+(IF(Atletas!I141="Daoshu Mirim",19,IF(Atletas!I141="Jianshu Mirim",20,IF(Atletas!I141="Nandao Mirim",21,IF(Atletas!I141="Taijijian Mirim",22,IF(Atletas!I141="Daoshu Grupo C",23,IF(Atletas!I141="Jianshu Grupo C",24,IF(Atletas!I141="Nandao Grupo C",25,IF(Atletas!I141="Taijijian Grupo C",26,IF(Atletas!I141="Daoshu Grupo B",27,IF(Atletas!I141="Jianshu Grupo B",28,IF(Atletas!I141="Nandao Grupo B",29,IF(Atletas!I141="Taijijian Grupo B",30,IF(Atletas!I141="Daoshu Grupo A",31,IF(Atletas!I141="Jianshu Grupo A",32,IF(Atletas!I141="Nandao Grupo A",33,IF(Atletas!I141="Taijijian Grupo A",34,IF(Atletas!I141="Daoshu Opcional",35,IF(Atletas!I141="Jianshu Opcional",36,IF(Atletas!I141="Nandao Opcional",37,IF(Atletas!I141="Taijijian Opcional",38,IF(Atletas!I141="Daoshu Adulto",39,IF(Atletas!I141="Jianshu Adulto",40,IF(Atletas!I141="Nandao Adulto",41,IF(Atletas!I141="Taijijian Adulto",42,""))))))))))))))))))))))))))</f>
        <v/>
      </c>
      <c r="BH150" s="52" t="str">
        <f>IF(Atletas!J141="","",IF(Atletas!B141="Feminino",100,IF(Atletas!B141="Masculino",200,""))+(IF(Atletas!J141="Gunshu Mirim",43,IF(Atletas!J141="Qiangshu Mirim",44,IF(Atletas!J141="Nangun Mirim",45,IF(Atletas!J141="Gunshu Grupo C",46,IF(Atletas!J141="Qiangshu Grupo C",47,IF(Atletas!J141="Nangun Grupo C",48,IF(Atletas!J141="Gunshu Grupo B",49,IF(Atletas!J141="Qiangshu Grupo B",50,IF(Atletas!J141="Nangun Grupo B",51,IF(Atletas!J141="Gunshu Grupo A",52,IF(Atletas!J141="Qiangshu Grupo A",53,IF(Atletas!J141="Nangun Grupo A",54,IF(Atletas!J141="Gunshu Opcional",55,IF(Atletas!J141="Qiangshu Opcional",56,IF(Atletas!J141="Nangun Opcional",57,IF(Atletas!J141="Gunshu Adulto",58,IF(Atletas!J141="Qiangshu Adulto",59,IF(Atletas!J141="Nangun Adulto",60,IF(Atletas!J141="Taijishan Grupo B",61,IF(Atletas!J141="Taijishan Grupo A",62,""))))))))))))))))))))))</f>
        <v/>
      </c>
      <c r="BM150" s="50" t="str">
        <f>IF(Atletas!K141="","",IF(Atletas!B141="Feminino",100,IF(Atletas!B141="Masculino",200,""))+(IF(Atletas!K141="Equipe 1 Grupo B",1,IF(Atletas!K141="Equipe 2 Grupo B",2,IF(Atletas!K141="Equipe 1 Grupo A",3,IF(Atletas!K141="Equipe 2 Grupo A",4,IF(Atletas!K141="Equipe 1 Adulto",5,IF(Atletas!K141="Equipe 2 Adulto",6,""))))))))</f>
        <v/>
      </c>
      <c r="BR150" s="50" t="str">
        <f>IF(Atletas!L141="","",IF(Atletas!X141&lt;&gt;"",10000,0)+(IF(Atletas!B141="Feminino",1000,IF(Atletas!B141="Masculino",2000,""))+IF(Atletas!L141="Choylayfut A",1,IF(Atletas!L141="Hunggar A",2,IF(Atletas!L141="Wuzuquan A",3,IF(Atletas!L141="Wingchun A",4,IF(Atletas!L141="Outra Mão de Sul A",5,IF(Atletas!L141="Choylayfut B",6,IF(Atletas!L141="Hunggar B",7,IF(Atletas!L141="Wuzuquan B",8,IF(Atletas!L141="Wingchun B",9,IF(Atletas!L141="Outra Mão de Sul B",10,IF(Atletas!L141="Choylayfut C",11,IF(Atletas!L141="Hunggar C",12,IF(Atletas!L141="Wuzuquan C",13,IF(Atletas!L141="Wingchun C",14,IF(Atletas!L141="Outra Mão de Sul C",15,IF(Atletas!L141="Choylayfut D",16,IF(Atletas!L141="Hunggar D",17,IF(Atletas!L141="Wuzuquan D",18,IF(Atletas!L141="Wingchun D",19,IF(Atletas!L141="Outra Mão de Sul D",20,IF(Atletas!L141="Choylayfut E",21,IF(Atletas!L141="Hunggar E",22,IF(Atletas!L141="Wuzuquan E",23,IF(Atletas!L141="Wingchun E",24,IF(Atletas!L141="Outra Mão de Sul E",25,IF(Atletas!L141="Choylayfut F",26,IF(Atletas!L141="Hunggar F",27,IF(Atletas!L141="Wuzuquan F",28,IF(Atletas!L141="Wingchun F",29,IF(Atletas!L141="Outra Mão de Sul F",30,IF(Atletas!L141="Dishuquan A",31,IF(Atletas!L141="Dishuquan B",32,IF(Atletas!L141="Dishuquan C",33,IF(Atletas!L141="Dishuquan D",34,IF(Atletas!L141="Dishuquan E",35,IF(Atletas!L141="Dishuquan F",36,""))))))))))))))))))))))))))))))))))))))</f>
        <v/>
      </c>
      <c r="BS150" s="50" t="str">
        <f>IF(Atletas!M141="","",IF(Atletas!X141&lt;&gt;"",10000,0)+(IF(Atletas!B141="Feminino",1000,IF(Atletas!B141="Masculino",2000,""))+(IF(Atletas!M141="Chaquan A",101,IF(Atletas!M141="Emeiquan A",102,IF(Atletas!M141="Fanziquan A",103,IF(Atletas!M141="Huaquan A",104,IF(Atletas!M141="Hongquan A",105,IF(Atletas!M141="Paoquan A",106,IF(Atletas!M141="Piguaquan A",107,IF(Atletas!M141="Shaolinquan A",108,IF(Atletas!M141="Tanglangquan A",109,IF(Atletas!M141="Yingzhaoquan A",110,IF(Atletas!M141="Tongbeiquan A",111,IF(Atletas!M141="Wudangquan A",112,IF(Atletas!M141="Outros Estilos A",113,IF(Atletas!M141="Chaquan B",114,IF(Atletas!M141="Emeiquan B",115,IF(Atletas!M141="Fanziquan B",116,IF(Atletas!M141="Huaquan B",117,IF(Atletas!M141="Hongquan B",118,IF(Atletas!M141="Paoquan B",119,IF(Atletas!M141="Piguaquan B",120,IF(Atletas!M141="Shaolinquan B",121,IF(Atletas!M141="Tanglangquan B",122,IF(Atletas!M141="Yingzhaoquan B",123,IF(Atletas!M141="Tongbeiquan B",124,IF(Atletas!M141="Wudangquan B",125,IF(Atletas!M141="Outros Estilos B",126,IF(Atletas!M141="Chaquan C",127,IF(Atletas!M141="Emeiquan C",128,IF(Atletas!M141="Fanziquan C",129,IF(Atletas!M141="Huaquan C",130,IF(Atletas!M141="Hongquan C",131,IF(Atletas!M141="Paoquan C",132,IF(Atletas!M141="Piguaquan C",133,IF(Atletas!M141="Shaolinquan C",134,IF(Atletas!M141="Tanglangquan C",135,IF(Atletas!M141="Yingzhaoquan C",136,IF(Atletas!M141="Tongbeiquan C",137,IF(Atletas!M141="Wudangquan C",138,IF(Atletas!M141="Outros Estilos C",139,0))))))))))))))))))))))))))))))))))))))))))</f>
        <v/>
      </c>
      <c r="BT150" s="50" t="str">
        <f>IF(Atletas!M141="","",IF(Atletas!X141&lt;&gt;"",10000,0)+(IF(Atletas!B141="Feminino",1000,IF(Atletas!B141="Masculino",2000,""))+(IF(Atletas!M141="Chaquan D",140,IF(Atletas!M141="Emeiquan D",141,IF(Atletas!M141="Fanziquan D",142,IF(Atletas!M141="Huaquan D",143,IF(Atletas!M141="Hongquan D",144,IF(Atletas!M141="Paoquan D",145,IF(Atletas!M141="Piguaquan D",146,IF(Atletas!M141="Shaolinquan D",147,IF(Atletas!M141="Tanglangquan D",148,IF(Atletas!M141="Yingzhaoquan D",149,IF(Atletas!M141="Tongbeiquan D",150,IF(Atletas!M141="Wudangquan D",151,IF(Atletas!M141="Outros Estilos D",152,IF(Atletas!M141="Chaquan E",153,IF(Atletas!M141="Emeiquan E",154,IF(Atletas!M141="Fanziquan E",155,IF(Atletas!M141="Huaquan E",156,IF(Atletas!M141="Hongquan E",157,IF(Atletas!M141="Paoquan E",158,IF(Atletas!M141="Piguaquan E",159,IF(Atletas!M141="Shaolinquan E",160,IF(Atletas!M141="Tanglangquan E",161,IF(Atletas!M141="Yingzhaoquan E",162,IF(Atletas!M141="Tongbeiquan E",163,IF(Atletas!M141="Wudangquan E",164,IF(Atletas!M141="Outros Estilos E",165,IF(Atletas!M141="Chaquan F",166,IF(Atletas!M141="Emeiquan F",167,IF(Atletas!M141="Fanziquan F",168,IF(Atletas!M141="Huaquan F",169,IF(Atletas!M141="Hongquan F",170,IF(Atletas!M141="Paoquan F",171,IF(Atletas!M141="Piguaquan F",172,IF(Atletas!M141="Shaolinquan F",173,IF(Atletas!M141="Tanglangquan F",174,IF(Atletas!M141="Yingzhaoquan F",175,IF(Atletas!M141="Tongbeiquan F",176,IF(Atletas!M141="Wudangquan F",177,IF(Atletas!M141="Outros Estilos F",178,0))))))))))))))))))))))))))))))))))))))))))</f>
        <v/>
      </c>
      <c r="BU150" s="50" t="str">
        <f>IF(Atletas!N141="","",IF(Atletas!X141&lt;&gt;"",10000,0)+(IF(Atletas!B141="Feminino",1000,IF(Atletas!B141="Masculino",2000,""))+(IF(Atletas!N141="Ditangquan A",201,IF(Atletas!N141="Houquan A",202,IF(Atletas!N141="Zuiquan A",203,IF(Atletas!N141="Ditangquan B",204,IF(Atletas!N141="Houquan B",205,IF(Atletas!N141="Zuiquan B",206,IF(Atletas!N141="Ditangquan C",207,IF(Atletas!N141="Houquan C",208,IF(Atletas!N141="Zuiquan C",209,IF(Atletas!N141="Ditangquan D",210,IF(Atletas!N141="Houquan D",211,IF(Atletas!N141="Zuiquan D",212,IF(Atletas!N141="Ditangquan E",213,IF(Atletas!N141="Houquan E",214,IF(Atletas!N141="Zuiquan E",215,IF(Atletas!N141="Ditangquan F",216,IF(Atletas!N141="Houquan F",217,IF(Atletas!N141="Zuiquan F",218,"")))))))))))))))))))))</f>
        <v/>
      </c>
      <c r="BV150" s="50" t="str">
        <f>IF(Atletas!O141="","",IF(Atletas!X141&lt;&gt;"",10000,0)+IF(Atletas!B141="Feminino",1000,IF(Atletas!B141="Masculino",2000,""))+IF(Atletas!O141="Yang A",301,IF(Atletas!O141="Chen A",302,IF(Atletas!O141="Sun A",303,IF(Atletas!O141="Wu A",304,IF(Atletas!O141="Wu-Hao A",305,IF(Atletas!O141="Outro Taijiquan A",306,IF(Atletas!O141="Yang B",307,IF(Atletas!O141="Chen B",308,IF(Atletas!O141="Sun B",309,IF(Atletas!O141="Wu B",310,IF(Atletas!O141="Wu-Hao B",311,IF(Atletas!O141="Outro Taijiquan B",312,IF(Atletas!O141="Yang C",313,IF(Atletas!O141="Chen C",314,IF(Atletas!O141="Sun C",315,IF(Atletas!O141="Wu C",316,IF(Atletas!O141="Wu-Hao C",317,IF(Atletas!O141="Outro Taijiquan C",318,IF(Atletas!O141="Yang D",319,IF(Atletas!O141="Chen D",320,IF(Atletas!O141="Sun D",321,IF(Atletas!O141="Wu D",322,IF(Atletas!O141="Wu-Hao D",323,IF(Atletas!O141="Outro Taijiquan D",324,IF(Atletas!O141="Yang E",325,IF(Atletas!O141="Chen E",326,IF(Atletas!O141="Sun E",327,IF(Atletas!O141="Wu E",328,IF(Atletas!O141="Wu-Hao E",329,IF(Atletas!O141="Outro Taijiquan E",330,IF(Atletas!O141="Yang F",331,IF(Atletas!O141="Chen F",332,IF(Atletas!O141="Sun F",333,IF(Atletas!O141="Wu F",334,IF(Atletas!O141="Wu-Hao F",335,IF(Atletas!O141="Outro Taijiquan F",336,"")))))))))))))))))))))))))))))))))))))</f>
        <v/>
      </c>
      <c r="BW150" s="50" t="str">
        <f>IF(Atletas!P141="","",IF(Atletas!X141&lt;&gt;"",10000,0)+IF(Atletas!B141="Feminino",1000,IF(Atletas!B141="Masculino",2000,""))+IF(OR(Atletas!P141="Yang 26 A",Atletas!P141="Yang 40 A"),401,IF(OR(Atletas!P141="Chen 25 A",Atletas!P141="Chen 36 A",Atletas!P141="Chen 56 A"),402,IF(Atletas!P141="Sun 73 A",403,IF(Atletas!P141="Wu 45 A",404,IF(Atletas!P141="Wu-Hao 46 A",405,IF(OR(Atletas!P141="Taijiquan 16 A",Atletas!P141="Taijiquan 24 A",Atletas!P141="Taijiquan 32 A",Atletas!P141="Taijiquan 42 A"),406,IF(OR(Atletas!P141="Yang 26 B",Atletas!P141="Yang 40 B"),407,IF(OR(Atletas!P141="Chen 25 B",Atletas!P141="Chen 36 B",Atletas!P141="Chen 56 B"),408,IF(Atletas!P141="Sun 73 B",409,IF(Atletas!P141="Wu 45 B",410,IF(Atletas!P141="Wu-Hao 46 B",411,IF(OR(Atletas!P141="Taijiquan 16 B",Atletas!P141="Taijiquan 24 B",Atletas!P141="Taijiquan 32 B",Atletas!P141="Taijiquan 42 B"),412,IF(OR(Atletas!P141="Yang 26 C",Atletas!P141="Yang 40 C"),413,IF(OR(Atletas!P141="Chen 25 C",Atletas!P141="Chen 36 C",Atletas!P141="Chen 56 C"),414,IF(Atletas!P141="Sun 73 C",415,IF(Atletas!P141="Wu 45 C",416,IF(Atletas!P141="Wu-Hao 46 C",417,IF(OR(Atletas!P141="Taijiquan 16 C",Atletas!P141="Taijiquan 24 C",Atletas!P141="Taijiquan 32 C",Atletas!P141="Taijiquan 42 C"),418,0)))))))))))))))))))</f>
        <v/>
      </c>
      <c r="BX150" s="50" t="str">
        <f>IF(Atletas!P141="","",IF(Atletas!X141&lt;&gt;"",10000,0)+IF(Atletas!B141="Feminino",1000,IF(Atletas!B141="Masculino",2000,""))+IF(OR(Atletas!P141="Yang 26 D",Atletas!P141="Yang 40 D"),419,IF(OR(Atletas!P141="Chen 25 D",Atletas!P141="Chen 36 D",Atletas!P141="Chen 56 D"),420,IF(Atletas!P141="Sun 73 D",421,IF(Atletas!P141="Wu 45 D",422,IF(Atletas!P141="Wu-Hao 46 D",423,IF(OR(Atletas!P141="Taijiquan 16 D",Atletas!P141="Taijiquan 24 D",Atletas!P141="Taijiquan 32 D",Atletas!P141="Taijiquan 42 D"),424,IF(OR(Atletas!P141="Yang 26 E",Atletas!P141="Yang 40 E"),425,IF(OR(Atletas!P141="Chen 25 E",Atletas!P141="Chen 36 E",Atletas!P141="Chen 56 E"),426,IF(Atletas!P141="Sun 73 E",427,IF(Atletas!P141="Wu 45 E",428,IF(Atletas!P141="Wu-Hao 46 E",429,IF(OR(Atletas!P141="Taijiquan 16 E",Atletas!P141="Taijiquan 24 E",Atletas!P141="Taijiquan 32 E",Atletas!P141="Taijiquan 42 E"),430,IF(OR(Atletas!P141="Yang 26 F",Atletas!P141="Yang 40 F"),431,IF(OR(Atletas!P141="Chen 25 F",Atletas!P141="Chen 36 F",Atletas!P141="Chen 56 F"),432,IF(Atletas!P141="Sun 73 F",433,IF(Atletas!P141="Wu 45 F",434,IF(Atletas!P141="Wu-Hao 46 F",435,IF(OR(Atletas!P141="Taijiquan 16 F",Atletas!P141="Taijiquan 24 F",Atletas!P141="Taijiquan 32 F",Atletas!P141="Taijiquan 42 F"),436,0)))))))))))))))))))</f>
        <v/>
      </c>
      <c r="BY150" s="50" t="str">
        <f>IF(Atletas!Q141="","",IF(Atletas!X141&lt;&gt;"",10000,0)+IF(Atletas!B141="Feminino",1000,IF(Atletas!B141="Masculino",2000,""))+IF(Atletas!Q141="Xingyiquan A",501,IF(Atletas!Q141="Baguazhang A",502,IF(Atletas!Q141="Outro Estilo Interno A",503,IF(Atletas!Q141="Xingyiquan B",504,IF(Atletas!Q141="Baguazhang B",505,IF(Atletas!Q141="Outro Estilo Interno B",506,IF(Atletas!Q141="Xingyiquan C",507,IF(Atletas!Q141="Baguazhang C",508,IF(Atletas!Q141="Outro Estilo Interno C",509,IF(Atletas!Q141="Xingyiquan D",510,IF(Atletas!Q141="Baguazhang D",511,IF(Atletas!Q141="Outro Estilo Interno D",512,IF(Atletas!Q141="Xingyiquan E",513,IF(Atletas!Q141="Baguazhang E",514,IF(Atletas!Q141="Outro Estilo Interno E",515,IF(Atletas!Q141="Xingyiquan F",516,IF(Atletas!Q141="Baguazhang F",517,IF(Atletas!Q141="Outro Estilo Interno F",518, "")))))))))))))))))))</f>
        <v/>
      </c>
      <c r="BZ150" s="50" t="str">
        <f>IF(Atletas!R141="","",IF(Atletas!X141&lt;&gt;"",10000,0)+IF(Atletas!B141="Feminino",1000,IF(Atletas!B141="Masculino",2000,""))+IF(Atletas!R141="Dao A",601,IF(Atletas!R141="Jian A",602,IF(Atletas!R141="Bishou A",603,IF(Atletas!R141="Shanzi A",604,IF(Atletas!R141="Outra Arma Curta A",605,IF(Atletas!R141="Dao B",606,IF(Atletas!R141="Jian B",607,IF(Atletas!R141="Bishou B",608,IF(Atletas!R141="Shanzi B",609,IF(Atletas!R141="Outra Arma Curta B",610,IF(Atletas!R141="Dao C",611,IF(Atletas!R141="Jian C",612,IF(Atletas!R141="Bishou C",613,IF(Atletas!R141="Shanzi C",614,IF(Atletas!R141="Outra Arma Curta C",615,IF(Atletas!R141="Dao D",616,IF(Atletas!R141="Jian D",617,IF(Atletas!R141="Bishou D",618,IF(Atletas!R141="Shanzi D",619,IF(Atletas!R141="Outra Arma Curta D",620,IF(Atletas!R141="Dao E",621,IF(Atletas!R141="Jian E",622,IF(Atletas!R141="Bishou E",623,IF(Atletas!R141="Shanzi E",624,IF(Atletas!R141="Outra Arma Curta E",625,IF(Atletas!R141="Dao F",626,IF(Atletas!R141="Jian F",627,IF(Atletas!R141="Bishou F",628,IF(Atletas!R141="Shanzi F",629,IF(Atletas!R141="Outra Arma Curta F",630, "")))))))))))))))))))))))))))))))</f>
        <v/>
      </c>
      <c r="CA150" s="50" t="str">
        <f>IF(Atletas!S141="","",IF(Atletas!X141&lt;&gt;"",10000,0)+IF(Atletas!B141="Feminino",1000,IF(Atletas!B141="Masculino",2000,""))+IF(Atletas!S141="Gun A",701,IF(Atletas!S141="Qiang A",702,IF(Atletas!S141="Pudao / Guandao A",703,IF(Atletas!S141="Outra Arma Longa A",704,IF(Atletas!S141="Gun B",705,IF(Atletas!S141="Qiang B",706,IF(Atletas!S141="Pudao / Guandao B",707,IF(Atletas!S141="Outra Arma Longa B",708,IF(Atletas!S141="Gun C",709,IF(Atletas!S141="Qiang C",710,IF(Atletas!S141="Pudao / Guandao C",711,IF(Atletas!S141="Outra Arma Longa C",712,IF(Atletas!S141="Gun D",713,IF(Atletas!S141="Qiang D",714,IF(Atletas!S141="Pudao / Guandao D",715,IF(Atletas!S141="Outra Arma Longa D",716,IF(Atletas!S141="Gun E",717,IF(Atletas!S141="Qiang E",718,IF(Atletas!S141="Pudao / Guandao E",719,IF(Atletas!S141="Outra Arma Longa E",720,IF(Atletas!S141="Gun F",721,IF(Atletas!S141="Qiang F",722,IF(Atletas!S141="Pudao / Guandao F",723,IF(Atletas!S141="Outra Arma Longa F",724,"")))))))))))))))))))))))))</f>
        <v/>
      </c>
      <c r="CB150" s="50" t="str">
        <f>IF(Atletas!T141="","",IF(Atletas!X141&lt;&gt;"",10000,0)+IF(Atletas!B141="Feminino",1000,IF(Atletas!B141="Masculino",2000,""))+IF(Atletas!T141="Outra Arma Dupla A",801,IF(Atletas!T141="Arma Maleável A",802,IF(Atletas!T141="Outra Arma Dupla B",803,IF(Atletas!T141="Arma Maleável B",804,IF(Atletas!T141="Outra Arma Dupla C",805,IF(Atletas!T141="Arma Maleável C",806,IF(Atletas!T141="Outra Arma Dupla D",807,IF(Atletas!T141="Arma Maleável D",808,IF(Atletas!T141="Outra Arma Dupla E",809,IF(Atletas!T141="Arma Maleável E",810,IF(Atletas!T141="Outra Arma Dupla F",811,IF(Atletas!T141="Arma Maleável F",812,IF(Atletas!T141="Shuangdao A",813,IF(Atletas!T141="Shuangdao B",814,IF(Atletas!T141="Shuangdao C",815,IF(Atletas!T141="Shuangdao D",816,IF(Atletas!T141="Shuangdao E",817,IF(Atletas!T141="Shuangdao F",818,"")))))))))))))))))))</f>
        <v/>
      </c>
      <c r="CC150" s="50" t="str">
        <f>IF(Atletas!U141="","",IF(Atletas!X141&lt;&gt;"",10000,0)+IF(Atletas!B141="Feminino",1000,IF(Atletas!B141="Masculino",2000,""))+IF(OR(Atletas!U141="Taijijian Yang A",Atletas!U141="Taijijian Yang Standard A"),901,IF(OR(Atletas!U141="Taijijian Chen A", Atletas!U141="Taijijian Chen Standard A"),902,IF(Atletas!U141="Taijijian Sun A",903,IF(Atletas!U141="Taijijian Wu A",904,IF(Atletas!U141="Taijijian Wu-Hao A",905,IF(OR(Atletas!U141="Taijijian 32 A",Atletas!U141="Taijijian 42 A"),906,IF(OR(Atletas!U141="Taijijian Yang B",Atletas!U141="Taijijian Yang Standard B"),907,IF(OR(Atletas!U141="Taijijian Chen B", Atletas!U141="Taijijian Chen Standard B"),908,IF(Atletas!U141="Taijijian Sun B",909,IF(Atletas!U141="Taijijian Wu B",910,IF(Atletas!U141="Taijijian Wu-Hao B",911,IF(OR(Atletas!U141="Taijijian 32 B",Atletas!U141="Taijijian 42 B"),912,IF(OR(Atletas!U141="Taijijian Yang C",Atletas!U141="Taijijian Yang Standard C"),913,IF(OR(Atletas!U141="Taijijian Chen C", Atletas!U141="Taijijian Chen Standard C"),914,IF(Atletas!U141="Taijijian Sun C",915,IF(Atletas!U141="Taijijian Wu C",916,IF(Atletas!U141="Taijijian Wu-Hao C",917,IF(OR(Atletas!U141="Taijijian 32 C",Atletas!U141="Taijijian 42 C"),918,IF(OR(Atletas!U141="Taijijian Yang D",Atletas!U141="Taijijian Yang Standard D"),919,IF(OR(Atletas!U141="Taijijian Chen D", Atletas!U141="Taijijian Chen Standard D"),920,IF(Atletas!U141="Taijijian Sun D",921,IF(Atletas!U141="Taijijian Wu D",922,IF(Atletas!U141="Taijijian Wu-Hao D",923,IF(OR(Atletas!U141="Taijijian 32 D",Atletas!U141="Taijijian 42 D"),924,IF(OR(Atletas!U141="Taijijian Yang E",Atletas!U141="Taijijian Yang Standard E"),925,IF(OR(Atletas!U141="Taijijian Chen E", Atletas!U141="Taijijian Chen Standard E"),926,IF(Atletas!U141="Taijijian Sun E",927,IF(Atletas!U141="Taijijian Wu E",928,IF(Atletas!U141="Taijijian Wu-Hao E",929,IF(OR(Atletas!U141="Taijijian 32 E",Atletas!U141="Taijijian 42 E"),930,IF(OR(Atletas!U141="Taijijian Yang F",Atletas!U141="Taijijian Yang Standard F"),931,IF(OR(Atletas!U141="Taijijian Chen F", Atletas!U141="Taijijian Chen Standard F"),932,IF(Atletas!U141="Taijijian Sun F",933,IF(Atletas!U141="Taijijian Wu F",934,IF(Atletas!U141="Taijijian Wu-Hao F",935,IF(OR(Atletas!U141="Taijijian 32 F",Atletas!U141="Taijijian 42 F"),936,"")))))))))))))))))))))))))))))))))))))</f>
        <v/>
      </c>
      <c r="CD150" s="50" t="str">
        <f>IF(Atletas!V141="","",IF(Atletas!X141&lt;&gt;"",10000,0)+IF(Atletas!B141="Feminino",1000,IF(Atletas!B141="Masculino",2000,""))+IF(Atletas!V141="Taijidao A",937,IF(Atletas!V141="TaijiShanzi A",938,IF(Atletas!V141="Taijiqiang A",939,IF(Atletas!V141="Bagua de Arma A",940,IF(Atletas!V141="Xingyi de Arma A",941,IF(Atletas!V141="Taijidao B",942,IF(Atletas!V141="TaijiShanzi B",943,IF(Atletas!V141="Taijiqiang B",944,IF(Atletas!V141="Bagua de Arma B",945,IF(Atletas!V141="Xingyi de Arma B",946,IF(Atletas!V141="Taijidao C",947,IF(Atletas!V141="TaijiShanzi C",948,IF(Atletas!V141="Taijiqiang C",949,IF(Atletas!V141="Bagua de Arma C",950,IF(Atletas!V141="Xingyi de Arma C",951,IF(Atletas!V141="Taijidao D",952,IF(Atletas!V141="TaijiShanzi D",953,IF(Atletas!V141="Taijiqiang D",954,IF(Atletas!V141="Bagua de Arma D",955,IF(Atletas!V141="Xingyi de Arma D",956,IF(Atletas!V141="Taijidao E",957,IF(Atletas!V141="TaijiShanzi E",958,IF(Atletas!V141="Taijiqiang E",959,IF(Atletas!V141="Bagua de Arma E",960,IF(Atletas!V141="Xingyi de Arma E",961,IF(Atletas!V141="Taijidao F",962,IF(Atletas!V141="TaijiShanzi F",963,IF(Atletas!V141="Taijiqiang F",964,IF(Atletas!V141="Bagua de Arma F",965,IF(Atletas!V141="Xingyi de Arma F",966,"")))))))))))))))))))))))))))))))</f>
        <v/>
      </c>
      <c r="CE150" s="66" t="str">
        <f>IF(CF150&lt;&gt;"","Outro Taijiquan B","")</f>
        <v/>
      </c>
      <c r="CF150" s="66" t="str">
        <f>IF(COUNTIF(BR:CD,1312)&gt;0,COUNTIF(BR:CD,1312),"")</f>
        <v/>
      </c>
      <c r="CG150" s="66" t="str">
        <f>IF(CH150&lt;&gt;"","Outro Taijiquan B","")</f>
        <v/>
      </c>
      <c r="CH150" s="66" t="str">
        <f>IF(COUNTIF(BR:CD,2312)&gt;0,COUNTIF(BR:CD,2312),"")</f>
        <v/>
      </c>
      <c r="CI150" s="66" t="str">
        <f>IF(CJ150&lt;&gt;"","Outro Taijiquan C","")</f>
        <v/>
      </c>
      <c r="CJ150" s="66" t="str">
        <f>IF(COUNTIF(BR:CD,11318)&gt;0,COUNTIF(BR:CD,11318),"")</f>
        <v/>
      </c>
      <c r="CK150" s="66" t="str">
        <f>IF(CL150&lt;&gt;"","Outro Taijiquan C","")</f>
        <v/>
      </c>
      <c r="CL150" s="66" t="str">
        <f>IF(COUNTIF(BR:CD,12318)&gt;0,COUNTIF(BR:CD,12318),"")</f>
        <v/>
      </c>
      <c r="CM150" s="50" t="str">
        <f xml:space="preserve"> IF(Atletas!W141="","",IF(Atletas!W141="Duilian de Mãos BC - Equipe 1",1,IF(Atletas!W141="Duilian de Mãos BC - Equipe 2",2,IF(Atletas!W141="Duilian de Armas BC - Equipe 1",3,IF(Atletas!W141="Duilian de Armas BC - Equipe 2",4,IF(Atletas!W141="Duilian de Mãos DE - Equipe 1",5,IF(Atletas!W141="Duilian de Mãos DE - Equipe 2",6,IF(Atletas!W141="Duilian de Armas DE - Equipe 1",7,IF(Atletas!W141="Duilian de Armas DE - Equipe 2",8,IF(Atletas!W141="Duilian de Tuishou - Equipe 1",9,IF(Atletas!W141="Duilian de Tuishou - Equipe 2",10,IF(Atletas!W141="Grupo Externo ABC - Equipe 1",11,IF(Atletas!W141="Grupo Externo ABC - Equipe 2",12,IF(Atletas!W141="Grupo Interno ABC - Equipe 1",13,IF(Atletas!W141="Grupo Interno ABC - Equipe 2",14,IF(Atletas!W141="Grupo Externo DEF - Equipe 1",15,IF(Atletas!W141="Grupo Externo DEF - Equipe 2",16,IF(Atletas!W141="Grupo Interno DEF - Equipe 1",17,IF(Atletas!W141="Grupo Interno DEF - Equipe 2",18,"")))))))))))))))))))</f>
        <v/>
      </c>
    </row>
    <row r="151" spans="2:9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 t="str">
        <f t="array" ref="Z151">IFERROR(INDEX(CE$7:CE$348,SMALL(IF(CE$7:CE$348&lt;&gt;"",ROW(CE$7:CE$348)-ROW(CE$7)+1),ROWS(CE$7:CE150))),"")</f>
        <v/>
      </c>
      <c r="AA151" s="3" t="str">
        <f t="array" ref="AA151">IFERROR(INDEX(CF$7:CF$348,SMALL(IF(CF$7:CF$348&lt;&gt;"",ROW(CF$7:CF$348)-ROW(CF$7)+1),ROWS(CF$7:CF150))),"")</f>
        <v/>
      </c>
      <c r="AB151" s="3" t="str">
        <f t="array" ref="AB151">IFERROR(INDEX(CG$7:CG$348,SMALL(IF(CG$7:CG$348&lt;&gt;"",ROW(CG$7:CG$348)-ROW(CG$7)+1),ROWS(CG$7:CG150))),"")</f>
        <v/>
      </c>
      <c r="AC151" s="3" t="str">
        <f t="array" ref="AC151">IFERROR(INDEX(CH$7:CH$348,SMALL(IF(CH$7:CH$348&lt;&gt;"",ROW(CH$7:CH$348)-ROW(CH$7)+1),ROWS(CH$7:CH150))),"")</f>
        <v/>
      </c>
      <c r="AD151" s="3" t="str">
        <f t="array" ref="AD151">IFERROR(INDEX(CI$7:CI$377,SMALL(IF(CI$7:CI$377&lt;&gt;"",ROW(CI$7:CI$377)-ROW(CI$7)+1),ROWS(CI$7:CI150))),"")</f>
        <v/>
      </c>
      <c r="AE151" s="3" t="str">
        <f t="array" ref="AE151">IFERROR(INDEX(CJ$7:CJ$378,SMALL(IF(CJ$7:CJ$378&lt;&gt;"",ROW(CJ$7:CJ$378)-ROW(CJ$7)+1),ROWS(CJ$7:CJ150))),"")</f>
        <v/>
      </c>
      <c r="AF151" s="3" t="str">
        <f t="array" ref="AF151">IFERROR(INDEX(CK$7:CK$378,SMALL(IF(CK$7:CK$378&lt;&gt;"",ROW(CK$7:CK$378)-ROW(CK$7)+1),ROWS(CK$7:CK150))),"")</f>
        <v/>
      </c>
      <c r="AG151" s="3" t="str">
        <f t="array" ref="AG151">IFERROR(INDEX(CL$7:CL$378,SMALL(IF(CL$7:CL$378&lt;&gt;"",ROW(CL$7:CL$378)-ROW(CL$7)+1),ROWS(CL$7:CL150))),"")</f>
        <v/>
      </c>
      <c r="AH151" s="3"/>
      <c r="AI151" s="3"/>
      <c r="AJ151" s="3"/>
      <c r="AK151" s="3"/>
      <c r="AL151" s="3"/>
      <c r="AM151" s="3"/>
      <c r="AN151" s="52" t="str">
        <f>IF(Atletas!D142="","",IF(Atletas!B142="Feminino",100,IF(Atletas!B142="Masculino",200,""))+(IF(Atletas!D142="Kids 30kg",1,IF(Atletas!D142="Kids 32kg",2, IF(Atletas!D142="Kids 34kg",3,IF(Atletas!D142="Kids 36kg",4,IF(Atletas!D142="Kids 39kg",5,IF(Atletas!D142="Kids 42kg",6,IF(Atletas!D142="Kids 45kg",7, IF(Atletas!D142="Infantil 39kg",8,IF(Atletas!D142="Infantil 42kg",9,IF(Atletas!D142="Infantil 45kg",10,IF(Atletas!D142="Infantil 48kg",11,IF(Atletas!D142="Infantil 52kg",12,IF(Atletas!D142="Infantil 56kg",13,IF(Atletas!D142="Infantil 60kg",14,IF(Atletas!D142="Juvenil 48kg",15,IF(Atletas!D142="Juvenil 52kg",16,IF(Atletas!D142="Juvenil 56kg",17,IF(Atletas!D142="Juvenil 60kg",18,IF(Atletas!D142="Juvenil 65kg",19,IF(Atletas!D142="Juvenil 70kg",20,IF(Atletas!D142="Juvenil 75kg",21,IF(Atletas!D142="Juvenil 80kg",22, IF(Atletas!D142="Juvenil 85kg",23,IF(Atletas!D142="Adulto 48kg",24,IF(Atletas!D142="Adulto 52kg",25,IF(Atletas!D142="Adulto 56kg",26,IF(Atletas!D142="Adulto 60kg",27,IF(Atletas!D142="Adulto 65kg",28,IF(Atletas!D142="Adulto 70kg",29,IF(Atletas!D142="Adulto 75kg",30,IF(Atletas!D142="Adulto 80kg",31,IF(Atletas!D142="Adulto 85kg",32,IF(Atletas!D142="Adulto 90kg",33,IF(Atletas!D142="Adulto 100kg",34, IF(Atletas!D142="Adulto +100kg",35,"")))))))))))))))))))))))))))))))))))))</f>
        <v/>
      </c>
      <c r="AS151" s="6" t="str">
        <f>IF(Atletas!E142="","",IF(Atletas!B142="Feminino",100,IF(Atletas!B142="Masculino",200,""))+(IF(Atletas!E142="Juvenil 44kg",1,IF(Atletas!E142="Juvenil 48kg",2,IF(Atletas!E142="Juvenil 52kg",3,IF(Atletas!E142="Juvenil 56kg",4,IF(Atletas!E142="Juvenil 60kg",5,IF(Atletas!E142="Juvenil 65kg",6,IF(Atletas!E142="Juvenil 70kg",7,IF(Atletas!E142="Juvenil 75kg",8,IF(Atletas!E142="Juvenil 82kg",9,IF(Atletas!E142="Juvenil 90kg",10,IF(Atletas!E142="Juvenil 100kg",11,IF(Atletas!E142="Adulto 48kg",12,IF(Atletas!E142="Adulto 52kg",13,IF(Atletas!E142="Adulto 56kg",14,IF(Atletas!E142="Adulto 60kg",15,IF(Atletas!E142="Adulto 65kg",16,IF(Atletas!E142="Adulto 70kg",17,IF(Atletas!E142="Adulto 75kg",18,IF(Atletas!E142="Adulto 82kg",19,IF(Atletas!E142="Adulto 90kg",20,IF(Atletas!E142="Adulto 100kg",21,IF(Atletas!E142="Adulto +100kg",22,""))))))))))))))))))))))))</f>
        <v/>
      </c>
      <c r="AX151" s="6" t="str">
        <f>IF(Atletas!F142="","",IF(Atletas!B142="Feminino",100,IF(Atletas!B142="Masculino",200,""))+(IF(Atletas!F142="Adulto 48kg",1,IF(Atletas!F142="Adulto 56kg",2,IF(Atletas!F142="Adulto 65kg",3,IF(Atletas!F142="Adulto 75kg",4,IF(Atletas!F142="Adulto +75kg",5,IF(Atletas!F142="Adulto 52kg",6,IF(Atletas!F142="Adulto 60kg",7,IF(Atletas!F142="Adulto 70kg",8,IF(Atletas!F142="Adulto 80kg",9,IF(Atletas!F142="Adulto 90kg",10,IF(Atletas!F142="Adulto +90kg",11,"")))))))))))))</f>
        <v/>
      </c>
      <c r="BC151" s="6" t="str">
        <f>IF(Atletas!G142="","",IF(Atletas!B142="Feminino",10,IF(Atletas!B142="Masculino",20,""))+(IF(Atletas!G142="Baduanjin A",1,IF(Atletas!G142="Baduanjin B",2))))</f>
        <v/>
      </c>
      <c r="BF151" s="52" t="str">
        <f>IF(Atletas!H142="","",IF(Atletas!B142="Feminino",100,IF(Atletas!B142="Masculino",200,""))+(IF(Atletas!H142="Changquan Mirim",1,IF(Atletas!H142="Nanquan Mirim",2,IF(Atletas!H142="Taijiquan Mirim",3,IF(Atletas!H142="Changquan Grupo C",4,IF(Atletas!H142="Nanquan Grupo C",5,IF(Atletas!H142="Taijiquan Grupo C",6,IF(Atletas!H142="Changquan Grupo B",7,IF(Atletas!H142="Nanquan Grupo B",8,IF(Atletas!H142="Taijiquan Grupo B",9,IF(Atletas!H142="Changquan Grupo A",10,IF(Atletas!H142="Nanquan Grupo A",11,IF(Atletas!H142="Taijiquan Grupo A",12,IF(Atletas!H142="Changquan Opcional",13,IF(Atletas!H142="Nanquan Opcional",14,IF(Atletas!H142="Taijiquan Opcional",15,IF(Atletas!H142="Changquan Adulto",16,IF(Atletas!H142="Nanquan Adulto",17,IF(Atletas!H142="Taijiquan Adulto",18,""))))))))))))))))))))</f>
        <v/>
      </c>
      <c r="BG151" s="52" t="str">
        <f>IF(Atletas!I142="","",IF(Atletas!B142="Feminino",100,IF(Atletas!B142="Masculino",200,""))+(IF(Atletas!I142="Daoshu Mirim",19,IF(Atletas!I142="Jianshu Mirim",20,IF(Atletas!I142="Nandao Mirim",21,IF(Atletas!I142="Taijijian Mirim",22,IF(Atletas!I142="Daoshu Grupo C",23,IF(Atletas!I142="Jianshu Grupo C",24,IF(Atletas!I142="Nandao Grupo C",25,IF(Atletas!I142="Taijijian Grupo C",26,IF(Atletas!I142="Daoshu Grupo B",27,IF(Atletas!I142="Jianshu Grupo B",28,IF(Atletas!I142="Nandao Grupo B",29,IF(Atletas!I142="Taijijian Grupo B",30,IF(Atletas!I142="Daoshu Grupo A",31,IF(Atletas!I142="Jianshu Grupo A",32,IF(Atletas!I142="Nandao Grupo A",33,IF(Atletas!I142="Taijijian Grupo A",34,IF(Atletas!I142="Daoshu Opcional",35,IF(Atletas!I142="Jianshu Opcional",36,IF(Atletas!I142="Nandao Opcional",37,IF(Atletas!I142="Taijijian Opcional",38,IF(Atletas!I142="Daoshu Adulto",39,IF(Atletas!I142="Jianshu Adulto",40,IF(Atletas!I142="Nandao Adulto",41,IF(Atletas!I142="Taijijian Adulto",42,""))))))))))))))))))))))))))</f>
        <v/>
      </c>
      <c r="BH151" s="52" t="str">
        <f>IF(Atletas!J142="","",IF(Atletas!B142="Feminino",100,IF(Atletas!B142="Masculino",200,""))+(IF(Atletas!J142="Gunshu Mirim",43,IF(Atletas!J142="Qiangshu Mirim",44,IF(Atletas!J142="Nangun Mirim",45,IF(Atletas!J142="Gunshu Grupo C",46,IF(Atletas!J142="Qiangshu Grupo C",47,IF(Atletas!J142="Nangun Grupo C",48,IF(Atletas!J142="Gunshu Grupo B",49,IF(Atletas!J142="Qiangshu Grupo B",50,IF(Atletas!J142="Nangun Grupo B",51,IF(Atletas!J142="Gunshu Grupo A",52,IF(Atletas!J142="Qiangshu Grupo A",53,IF(Atletas!J142="Nangun Grupo A",54,IF(Atletas!J142="Gunshu Opcional",55,IF(Atletas!J142="Qiangshu Opcional",56,IF(Atletas!J142="Nangun Opcional",57,IF(Atletas!J142="Gunshu Adulto",58,IF(Atletas!J142="Qiangshu Adulto",59,IF(Atletas!J142="Nangun Adulto",60,IF(Atletas!J142="Taijishan Grupo B",61,IF(Atletas!J142="Taijishan Grupo A",62,""))))))))))))))))))))))</f>
        <v/>
      </c>
      <c r="BM151" s="50" t="str">
        <f>IF(Atletas!K142="","",IF(Atletas!B142="Feminino",100,IF(Atletas!B142="Masculino",200,""))+(IF(Atletas!K142="Equipe 1 Grupo B",1,IF(Atletas!K142="Equipe 2 Grupo B",2,IF(Atletas!K142="Equipe 1 Grupo A",3,IF(Atletas!K142="Equipe 2 Grupo A",4,IF(Atletas!K142="Equipe 1 Adulto",5,IF(Atletas!K142="Equipe 2 Adulto",6,""))))))))</f>
        <v/>
      </c>
      <c r="BR151" s="50" t="str">
        <f>IF(Atletas!L142="","",IF(Atletas!X142&lt;&gt;"",10000,0)+(IF(Atletas!B142="Feminino",1000,IF(Atletas!B142="Masculino",2000,""))+IF(Atletas!L142="Choylayfut A",1,IF(Atletas!L142="Hunggar A",2,IF(Atletas!L142="Wuzuquan A",3,IF(Atletas!L142="Wingchun A",4,IF(Atletas!L142="Outra Mão de Sul A",5,IF(Atletas!L142="Choylayfut B",6,IF(Atletas!L142="Hunggar B",7,IF(Atletas!L142="Wuzuquan B",8,IF(Atletas!L142="Wingchun B",9,IF(Atletas!L142="Outra Mão de Sul B",10,IF(Atletas!L142="Choylayfut C",11,IF(Atletas!L142="Hunggar C",12,IF(Atletas!L142="Wuzuquan C",13,IF(Atletas!L142="Wingchun C",14,IF(Atletas!L142="Outra Mão de Sul C",15,IF(Atletas!L142="Choylayfut D",16,IF(Atletas!L142="Hunggar D",17,IF(Atletas!L142="Wuzuquan D",18,IF(Atletas!L142="Wingchun D",19,IF(Atletas!L142="Outra Mão de Sul D",20,IF(Atletas!L142="Choylayfut E",21,IF(Atletas!L142="Hunggar E",22,IF(Atletas!L142="Wuzuquan E",23,IF(Atletas!L142="Wingchun E",24,IF(Atletas!L142="Outra Mão de Sul E",25,IF(Atletas!L142="Choylayfut F",26,IF(Atletas!L142="Hunggar F",27,IF(Atletas!L142="Wuzuquan F",28,IF(Atletas!L142="Wingchun F",29,IF(Atletas!L142="Outra Mão de Sul F",30,IF(Atletas!L142="Dishuquan A",31,IF(Atletas!L142="Dishuquan B",32,IF(Atletas!L142="Dishuquan C",33,IF(Atletas!L142="Dishuquan D",34,IF(Atletas!L142="Dishuquan E",35,IF(Atletas!L142="Dishuquan F",36,""))))))))))))))))))))))))))))))))))))))</f>
        <v/>
      </c>
      <c r="BS151" s="50" t="str">
        <f>IF(Atletas!M142="","",IF(Atletas!X142&lt;&gt;"",10000,0)+(IF(Atletas!B142="Feminino",1000,IF(Atletas!B142="Masculino",2000,""))+(IF(Atletas!M142="Chaquan A",101,IF(Atletas!M142="Emeiquan A",102,IF(Atletas!M142="Fanziquan A",103,IF(Atletas!M142="Huaquan A",104,IF(Atletas!M142="Hongquan A",105,IF(Atletas!M142="Paoquan A",106,IF(Atletas!M142="Piguaquan A",107,IF(Atletas!M142="Shaolinquan A",108,IF(Atletas!M142="Tanglangquan A",109,IF(Atletas!M142="Yingzhaoquan A",110,IF(Atletas!M142="Tongbeiquan A",111,IF(Atletas!M142="Wudangquan A",112,IF(Atletas!M142="Outros Estilos A",113,IF(Atletas!M142="Chaquan B",114,IF(Atletas!M142="Emeiquan B",115,IF(Atletas!M142="Fanziquan B",116,IF(Atletas!M142="Huaquan B",117,IF(Atletas!M142="Hongquan B",118,IF(Atletas!M142="Paoquan B",119,IF(Atletas!M142="Piguaquan B",120,IF(Atletas!M142="Shaolinquan B",121,IF(Atletas!M142="Tanglangquan B",122,IF(Atletas!M142="Yingzhaoquan B",123,IF(Atletas!M142="Tongbeiquan B",124,IF(Atletas!M142="Wudangquan B",125,IF(Atletas!M142="Outros Estilos B",126,IF(Atletas!M142="Chaquan C",127,IF(Atletas!M142="Emeiquan C",128,IF(Atletas!M142="Fanziquan C",129,IF(Atletas!M142="Huaquan C",130,IF(Atletas!M142="Hongquan C",131,IF(Atletas!M142="Paoquan C",132,IF(Atletas!M142="Piguaquan C",133,IF(Atletas!M142="Shaolinquan C",134,IF(Atletas!M142="Tanglangquan C",135,IF(Atletas!M142="Yingzhaoquan C",136,IF(Atletas!M142="Tongbeiquan C",137,IF(Atletas!M142="Wudangquan C",138,IF(Atletas!M142="Outros Estilos C",139,0))))))))))))))))))))))))))))))))))))))))))</f>
        <v/>
      </c>
      <c r="BT151" s="50" t="str">
        <f>IF(Atletas!M142="","",IF(Atletas!X142&lt;&gt;"",10000,0)+(IF(Atletas!B142="Feminino",1000,IF(Atletas!B142="Masculino",2000,""))+(IF(Atletas!M142="Chaquan D",140,IF(Atletas!M142="Emeiquan D",141,IF(Atletas!M142="Fanziquan D",142,IF(Atletas!M142="Huaquan D",143,IF(Atletas!M142="Hongquan D",144,IF(Atletas!M142="Paoquan D",145,IF(Atletas!M142="Piguaquan D",146,IF(Atletas!M142="Shaolinquan D",147,IF(Atletas!M142="Tanglangquan D",148,IF(Atletas!M142="Yingzhaoquan D",149,IF(Atletas!M142="Tongbeiquan D",150,IF(Atletas!M142="Wudangquan D",151,IF(Atletas!M142="Outros Estilos D",152,IF(Atletas!M142="Chaquan E",153,IF(Atletas!M142="Emeiquan E",154,IF(Atletas!M142="Fanziquan E",155,IF(Atletas!M142="Huaquan E",156,IF(Atletas!M142="Hongquan E",157,IF(Atletas!M142="Paoquan E",158,IF(Atletas!M142="Piguaquan E",159,IF(Atletas!M142="Shaolinquan E",160,IF(Atletas!M142="Tanglangquan E",161,IF(Atletas!M142="Yingzhaoquan E",162,IF(Atletas!M142="Tongbeiquan E",163,IF(Atletas!M142="Wudangquan E",164,IF(Atletas!M142="Outros Estilos E",165,IF(Atletas!M142="Chaquan F",166,IF(Atletas!M142="Emeiquan F",167,IF(Atletas!M142="Fanziquan F",168,IF(Atletas!M142="Huaquan F",169,IF(Atletas!M142="Hongquan F",170,IF(Atletas!M142="Paoquan F",171,IF(Atletas!M142="Piguaquan F",172,IF(Atletas!M142="Shaolinquan F",173,IF(Atletas!M142="Tanglangquan F",174,IF(Atletas!M142="Yingzhaoquan F",175,IF(Atletas!M142="Tongbeiquan F",176,IF(Atletas!M142="Wudangquan F",177,IF(Atletas!M142="Outros Estilos F",178,0))))))))))))))))))))))))))))))))))))))))))</f>
        <v/>
      </c>
      <c r="BU151" s="50" t="str">
        <f>IF(Atletas!N142="","",IF(Atletas!X142&lt;&gt;"",10000,0)+(IF(Atletas!B142="Feminino",1000,IF(Atletas!B142="Masculino",2000,""))+(IF(Atletas!N142="Ditangquan A",201,IF(Atletas!N142="Houquan A",202,IF(Atletas!N142="Zuiquan A",203,IF(Atletas!N142="Ditangquan B",204,IF(Atletas!N142="Houquan B",205,IF(Atletas!N142="Zuiquan B",206,IF(Atletas!N142="Ditangquan C",207,IF(Atletas!N142="Houquan C",208,IF(Atletas!N142="Zuiquan C",209,IF(Atletas!N142="Ditangquan D",210,IF(Atletas!N142="Houquan D",211,IF(Atletas!N142="Zuiquan D",212,IF(Atletas!N142="Ditangquan E",213,IF(Atletas!N142="Houquan E",214,IF(Atletas!N142="Zuiquan E",215,IF(Atletas!N142="Ditangquan F",216,IF(Atletas!N142="Houquan F",217,IF(Atletas!N142="Zuiquan F",218,"")))))))))))))))))))))</f>
        <v/>
      </c>
      <c r="BV151" s="50" t="str">
        <f>IF(Atletas!O142="","",IF(Atletas!X142&lt;&gt;"",10000,0)+IF(Atletas!B142="Feminino",1000,IF(Atletas!B142="Masculino",2000,""))+IF(Atletas!O142="Yang A",301,IF(Atletas!O142="Chen A",302,IF(Atletas!O142="Sun A",303,IF(Atletas!O142="Wu A",304,IF(Atletas!O142="Wu-Hao A",305,IF(Atletas!O142="Outro Taijiquan A",306,IF(Atletas!O142="Yang B",307,IF(Atletas!O142="Chen B",308,IF(Atletas!O142="Sun B",309,IF(Atletas!O142="Wu B",310,IF(Atletas!O142="Wu-Hao B",311,IF(Atletas!O142="Outro Taijiquan B",312,IF(Atletas!O142="Yang C",313,IF(Atletas!O142="Chen C",314,IF(Atletas!O142="Sun C",315,IF(Atletas!O142="Wu C",316,IF(Atletas!O142="Wu-Hao C",317,IF(Atletas!O142="Outro Taijiquan C",318,IF(Atletas!O142="Yang D",319,IF(Atletas!O142="Chen D",320,IF(Atletas!O142="Sun D",321,IF(Atletas!O142="Wu D",322,IF(Atletas!O142="Wu-Hao D",323,IF(Atletas!O142="Outro Taijiquan D",324,IF(Atletas!O142="Yang E",325,IF(Atletas!O142="Chen E",326,IF(Atletas!O142="Sun E",327,IF(Atletas!O142="Wu E",328,IF(Atletas!O142="Wu-Hao E",329,IF(Atletas!O142="Outro Taijiquan E",330,IF(Atletas!O142="Yang F",331,IF(Atletas!O142="Chen F",332,IF(Atletas!O142="Sun F",333,IF(Atletas!O142="Wu F",334,IF(Atletas!O142="Wu-Hao F",335,IF(Atletas!O142="Outro Taijiquan F",336,"")))))))))))))))))))))))))))))))))))))</f>
        <v/>
      </c>
      <c r="BW151" s="50" t="str">
        <f>IF(Atletas!P142="","",IF(Atletas!X142&lt;&gt;"",10000,0)+IF(Atletas!B142="Feminino",1000,IF(Atletas!B142="Masculino",2000,""))+IF(OR(Atletas!P142="Yang 26 A",Atletas!P142="Yang 40 A"),401,IF(OR(Atletas!P142="Chen 25 A",Atletas!P142="Chen 36 A",Atletas!P142="Chen 56 A"),402,IF(Atletas!P142="Sun 73 A",403,IF(Atletas!P142="Wu 45 A",404,IF(Atletas!P142="Wu-Hao 46 A",405,IF(OR(Atletas!P142="Taijiquan 16 A",Atletas!P142="Taijiquan 24 A",Atletas!P142="Taijiquan 32 A",Atletas!P142="Taijiquan 42 A"),406,IF(OR(Atletas!P142="Yang 26 B",Atletas!P142="Yang 40 B"),407,IF(OR(Atletas!P142="Chen 25 B",Atletas!P142="Chen 36 B",Atletas!P142="Chen 56 B"),408,IF(Atletas!P142="Sun 73 B",409,IF(Atletas!P142="Wu 45 B",410,IF(Atletas!P142="Wu-Hao 46 B",411,IF(OR(Atletas!P142="Taijiquan 16 B",Atletas!P142="Taijiquan 24 B",Atletas!P142="Taijiquan 32 B",Atletas!P142="Taijiquan 42 B"),412,IF(OR(Atletas!P142="Yang 26 C",Atletas!P142="Yang 40 C"),413,IF(OR(Atletas!P142="Chen 25 C",Atletas!P142="Chen 36 C",Atletas!P142="Chen 56 C"),414,IF(Atletas!P142="Sun 73 C",415,IF(Atletas!P142="Wu 45 C",416,IF(Atletas!P142="Wu-Hao 46 C",417,IF(OR(Atletas!P142="Taijiquan 16 C",Atletas!P142="Taijiquan 24 C",Atletas!P142="Taijiquan 32 C",Atletas!P142="Taijiquan 42 C"),418,0)))))))))))))))))))</f>
        <v/>
      </c>
      <c r="BX151" s="50" t="str">
        <f>IF(Atletas!P142="","",IF(Atletas!X142&lt;&gt;"",10000,0)+IF(Atletas!B142="Feminino",1000,IF(Atletas!B142="Masculino",2000,""))+IF(OR(Atletas!P142="Yang 26 D",Atletas!P142="Yang 40 D"),419,IF(OR(Atletas!P142="Chen 25 D",Atletas!P142="Chen 36 D",Atletas!P142="Chen 56 D"),420,IF(Atletas!P142="Sun 73 D",421,IF(Atletas!P142="Wu 45 D",422,IF(Atletas!P142="Wu-Hao 46 D",423,IF(OR(Atletas!P142="Taijiquan 16 D",Atletas!P142="Taijiquan 24 D",Atletas!P142="Taijiquan 32 D",Atletas!P142="Taijiquan 42 D"),424,IF(OR(Atletas!P142="Yang 26 E",Atletas!P142="Yang 40 E"),425,IF(OR(Atletas!P142="Chen 25 E",Atletas!P142="Chen 36 E",Atletas!P142="Chen 56 E"),426,IF(Atletas!P142="Sun 73 E",427,IF(Atletas!P142="Wu 45 E",428,IF(Atletas!P142="Wu-Hao 46 E",429,IF(OR(Atletas!P142="Taijiquan 16 E",Atletas!P142="Taijiquan 24 E",Atletas!P142="Taijiquan 32 E",Atletas!P142="Taijiquan 42 E"),430,IF(OR(Atletas!P142="Yang 26 F",Atletas!P142="Yang 40 F"),431,IF(OR(Atletas!P142="Chen 25 F",Atletas!P142="Chen 36 F",Atletas!P142="Chen 56 F"),432,IF(Atletas!P142="Sun 73 F",433,IF(Atletas!P142="Wu 45 F",434,IF(Atletas!P142="Wu-Hao 46 F",435,IF(OR(Atletas!P142="Taijiquan 16 F",Atletas!P142="Taijiquan 24 F",Atletas!P142="Taijiquan 32 F",Atletas!P142="Taijiquan 42 F"),436,0)))))))))))))))))))</f>
        <v/>
      </c>
      <c r="BY151" s="50" t="str">
        <f>IF(Atletas!Q142="","",IF(Atletas!X142&lt;&gt;"",10000,0)+IF(Atletas!B142="Feminino",1000,IF(Atletas!B142="Masculino",2000,""))+IF(Atletas!Q142="Xingyiquan A",501,IF(Atletas!Q142="Baguazhang A",502,IF(Atletas!Q142="Outro Estilo Interno A",503,IF(Atletas!Q142="Xingyiquan B",504,IF(Atletas!Q142="Baguazhang B",505,IF(Atletas!Q142="Outro Estilo Interno B",506,IF(Atletas!Q142="Xingyiquan C",507,IF(Atletas!Q142="Baguazhang C",508,IF(Atletas!Q142="Outro Estilo Interno C",509,IF(Atletas!Q142="Xingyiquan D",510,IF(Atletas!Q142="Baguazhang D",511,IF(Atletas!Q142="Outro Estilo Interno D",512,IF(Atletas!Q142="Xingyiquan E",513,IF(Atletas!Q142="Baguazhang E",514,IF(Atletas!Q142="Outro Estilo Interno E",515,IF(Atletas!Q142="Xingyiquan F",516,IF(Atletas!Q142="Baguazhang F",517,IF(Atletas!Q142="Outro Estilo Interno F",518, "")))))))))))))))))))</f>
        <v/>
      </c>
      <c r="BZ151" s="50" t="str">
        <f>IF(Atletas!R142="","",IF(Atletas!X142&lt;&gt;"",10000,0)+IF(Atletas!B142="Feminino",1000,IF(Atletas!B142="Masculino",2000,""))+IF(Atletas!R142="Dao A",601,IF(Atletas!R142="Jian A",602,IF(Atletas!R142="Bishou A",603,IF(Atletas!R142="Shanzi A",604,IF(Atletas!R142="Outra Arma Curta A",605,IF(Atletas!R142="Dao B",606,IF(Atletas!R142="Jian B",607,IF(Atletas!R142="Bishou B",608,IF(Atletas!R142="Shanzi B",609,IF(Atletas!R142="Outra Arma Curta B",610,IF(Atletas!R142="Dao C",611,IF(Atletas!R142="Jian C",612,IF(Atletas!R142="Bishou C",613,IF(Atletas!R142="Shanzi C",614,IF(Atletas!R142="Outra Arma Curta C",615,IF(Atletas!R142="Dao D",616,IF(Atletas!R142="Jian D",617,IF(Atletas!R142="Bishou D",618,IF(Atletas!R142="Shanzi D",619,IF(Atletas!R142="Outra Arma Curta D",620,IF(Atletas!R142="Dao E",621,IF(Atletas!R142="Jian E",622,IF(Atletas!R142="Bishou E",623,IF(Atletas!R142="Shanzi E",624,IF(Atletas!R142="Outra Arma Curta E",625,IF(Atletas!R142="Dao F",626,IF(Atletas!R142="Jian F",627,IF(Atletas!R142="Bishou F",628,IF(Atletas!R142="Shanzi F",629,IF(Atletas!R142="Outra Arma Curta F",630, "")))))))))))))))))))))))))))))))</f>
        <v/>
      </c>
      <c r="CA151" s="50" t="str">
        <f>IF(Atletas!S142="","",IF(Atletas!X142&lt;&gt;"",10000,0)+IF(Atletas!B142="Feminino",1000,IF(Atletas!B142="Masculino",2000,""))+IF(Atletas!S142="Gun A",701,IF(Atletas!S142="Qiang A",702,IF(Atletas!S142="Pudao / Guandao A",703,IF(Atletas!S142="Outra Arma Longa A",704,IF(Atletas!S142="Gun B",705,IF(Atletas!S142="Qiang B",706,IF(Atletas!S142="Pudao / Guandao B",707,IF(Atletas!S142="Outra Arma Longa B",708,IF(Atletas!S142="Gun C",709,IF(Atletas!S142="Qiang C",710,IF(Atletas!S142="Pudao / Guandao C",711,IF(Atletas!S142="Outra Arma Longa C",712,IF(Atletas!S142="Gun D",713,IF(Atletas!S142="Qiang D",714,IF(Atletas!S142="Pudao / Guandao D",715,IF(Atletas!S142="Outra Arma Longa D",716,IF(Atletas!S142="Gun E",717,IF(Atletas!S142="Qiang E",718,IF(Atletas!S142="Pudao / Guandao E",719,IF(Atletas!S142="Outra Arma Longa E",720,IF(Atletas!S142="Gun F",721,IF(Atletas!S142="Qiang F",722,IF(Atletas!S142="Pudao / Guandao F",723,IF(Atletas!S142="Outra Arma Longa F",724,"")))))))))))))))))))))))))</f>
        <v/>
      </c>
      <c r="CB151" s="50" t="str">
        <f>IF(Atletas!T142="","",IF(Atletas!X142&lt;&gt;"",10000,0)+IF(Atletas!B142="Feminino",1000,IF(Atletas!B142="Masculino",2000,""))+IF(Atletas!T142="Outra Arma Dupla A",801,IF(Atletas!T142="Arma Maleável A",802,IF(Atletas!T142="Outra Arma Dupla B",803,IF(Atletas!T142="Arma Maleável B",804,IF(Atletas!T142="Outra Arma Dupla C",805,IF(Atletas!T142="Arma Maleável C",806,IF(Atletas!T142="Outra Arma Dupla D",807,IF(Atletas!T142="Arma Maleável D",808,IF(Atletas!T142="Outra Arma Dupla E",809,IF(Atletas!T142="Arma Maleável E",810,IF(Atletas!T142="Outra Arma Dupla F",811,IF(Atletas!T142="Arma Maleável F",812,IF(Atletas!T142="Shuangdao A",813,IF(Atletas!T142="Shuangdao B",814,IF(Atletas!T142="Shuangdao C",815,IF(Atletas!T142="Shuangdao D",816,IF(Atletas!T142="Shuangdao E",817,IF(Atletas!T142="Shuangdao F",818,"")))))))))))))))))))</f>
        <v/>
      </c>
      <c r="CC151" s="50" t="str">
        <f>IF(Atletas!U142="","",IF(Atletas!X142&lt;&gt;"",10000,0)+IF(Atletas!B142="Feminino",1000,IF(Atletas!B142="Masculino",2000,""))+IF(OR(Atletas!U142="Taijijian Yang A",Atletas!U142="Taijijian Yang Standard A"),901,IF(OR(Atletas!U142="Taijijian Chen A", Atletas!U142="Taijijian Chen Standard A"),902,IF(Atletas!U142="Taijijian Sun A",903,IF(Atletas!U142="Taijijian Wu A",904,IF(Atletas!U142="Taijijian Wu-Hao A",905,IF(OR(Atletas!U142="Taijijian 32 A",Atletas!U142="Taijijian 42 A"),906,IF(OR(Atletas!U142="Taijijian Yang B",Atletas!U142="Taijijian Yang Standard B"),907,IF(OR(Atletas!U142="Taijijian Chen B", Atletas!U142="Taijijian Chen Standard B"),908,IF(Atletas!U142="Taijijian Sun B",909,IF(Atletas!U142="Taijijian Wu B",910,IF(Atletas!U142="Taijijian Wu-Hao B",911,IF(OR(Atletas!U142="Taijijian 32 B",Atletas!U142="Taijijian 42 B"),912,IF(OR(Atletas!U142="Taijijian Yang C",Atletas!U142="Taijijian Yang Standard C"),913,IF(OR(Atletas!U142="Taijijian Chen C", Atletas!U142="Taijijian Chen Standard C"),914,IF(Atletas!U142="Taijijian Sun C",915,IF(Atletas!U142="Taijijian Wu C",916,IF(Atletas!U142="Taijijian Wu-Hao C",917,IF(OR(Atletas!U142="Taijijian 32 C",Atletas!U142="Taijijian 42 C"),918,IF(OR(Atletas!U142="Taijijian Yang D",Atletas!U142="Taijijian Yang Standard D"),919,IF(OR(Atletas!U142="Taijijian Chen D", Atletas!U142="Taijijian Chen Standard D"),920,IF(Atletas!U142="Taijijian Sun D",921,IF(Atletas!U142="Taijijian Wu D",922,IF(Atletas!U142="Taijijian Wu-Hao D",923,IF(OR(Atletas!U142="Taijijian 32 D",Atletas!U142="Taijijian 42 D"),924,IF(OR(Atletas!U142="Taijijian Yang E",Atletas!U142="Taijijian Yang Standard E"),925,IF(OR(Atletas!U142="Taijijian Chen E", Atletas!U142="Taijijian Chen Standard E"),926,IF(Atletas!U142="Taijijian Sun E",927,IF(Atletas!U142="Taijijian Wu E",928,IF(Atletas!U142="Taijijian Wu-Hao E",929,IF(OR(Atletas!U142="Taijijian 32 E",Atletas!U142="Taijijian 42 E"),930,IF(OR(Atletas!U142="Taijijian Yang F",Atletas!U142="Taijijian Yang Standard F"),931,IF(OR(Atletas!U142="Taijijian Chen F", Atletas!U142="Taijijian Chen Standard F"),932,IF(Atletas!U142="Taijijian Sun F",933,IF(Atletas!U142="Taijijian Wu F",934,IF(Atletas!U142="Taijijian Wu-Hao F",935,IF(OR(Atletas!U142="Taijijian 32 F",Atletas!U142="Taijijian 42 F"),936,"")))))))))))))))))))))))))))))))))))))</f>
        <v/>
      </c>
      <c r="CD151" s="50" t="str">
        <f>IF(Atletas!V142="","",IF(Atletas!X142&lt;&gt;"",10000,0)+IF(Atletas!B142="Feminino",1000,IF(Atletas!B142="Masculino",2000,""))+IF(Atletas!V142="Taijidao A",937,IF(Atletas!V142="TaijiShanzi A",938,IF(Atletas!V142="Taijiqiang A",939,IF(Atletas!V142="Bagua de Arma A",940,IF(Atletas!V142="Xingyi de Arma A",941,IF(Atletas!V142="Taijidao B",942,IF(Atletas!V142="TaijiShanzi B",943,IF(Atletas!V142="Taijiqiang B",944,IF(Atletas!V142="Bagua de Arma B",945,IF(Atletas!V142="Xingyi de Arma B",946,IF(Atletas!V142="Taijidao C",947,IF(Atletas!V142="TaijiShanzi C",948,IF(Atletas!V142="Taijiqiang C",949,IF(Atletas!V142="Bagua de Arma C",950,IF(Atletas!V142="Xingyi de Arma C",951,IF(Atletas!V142="Taijidao D",952,IF(Atletas!V142="TaijiShanzi D",953,IF(Atletas!V142="Taijiqiang D",954,IF(Atletas!V142="Bagua de Arma D",955,IF(Atletas!V142="Xingyi de Arma D",956,IF(Atletas!V142="Taijidao E",957,IF(Atletas!V142="TaijiShanzi E",958,IF(Atletas!V142="Taijiqiang E",959,IF(Atletas!V142="Bagua de Arma E",960,IF(Atletas!V142="Xingyi de Arma E",961,IF(Atletas!V142="Taijidao F",962,IF(Atletas!V142="TaijiShanzi F",963,IF(Atletas!V142="Taijiqiang F",964,IF(Atletas!V142="Bagua de Arma F",965,IF(Atletas!V142="Xingyi de Arma F",966,"")))))))))))))))))))))))))))))))</f>
        <v/>
      </c>
      <c r="CE151" s="66" t="str">
        <f>IF(CF151&lt;&gt;"","TJQ Trad. Yang C","")</f>
        <v/>
      </c>
      <c r="CF151" s="66" t="str">
        <f>IF(COUNTIF(BR:CD,1313)&gt;0,COUNTIF(BR:CD,1313),"")</f>
        <v/>
      </c>
      <c r="CG151" s="66" t="str">
        <f>IF(CH151&lt;&gt;"","TJQ Trad. Yang C","")</f>
        <v/>
      </c>
      <c r="CH151" s="66" t="str">
        <f>IF(COUNTIF(BR:CD,2313)&gt;0,COUNTIF(BR:CD,2313),"")</f>
        <v/>
      </c>
      <c r="CI151" s="66" t="str">
        <f>IF(CJ151&lt;&gt;"","TJQ Trad. Yang D","")</f>
        <v/>
      </c>
      <c r="CJ151" s="66" t="str">
        <f>IF(COUNTIF(BR:CD,11319)&gt;0,COUNTIF(BR:CD,11319),"")</f>
        <v/>
      </c>
      <c r="CK151" s="66" t="str">
        <f>IF(CL151&lt;&gt;"","TJQ Trad. Yang D","")</f>
        <v/>
      </c>
      <c r="CL151" s="66" t="str">
        <f>IF(COUNTIF(BR:CD,12319)&gt;0,COUNTIF(BR:CD,12319),"")</f>
        <v/>
      </c>
      <c r="CM151" s="50" t="str">
        <f xml:space="preserve"> IF(Atletas!W142="","",IF(Atletas!W142="Duilian de Mãos BC - Equipe 1",1,IF(Atletas!W142="Duilian de Mãos BC - Equipe 2",2,IF(Atletas!W142="Duilian de Armas BC - Equipe 1",3,IF(Atletas!W142="Duilian de Armas BC - Equipe 2",4,IF(Atletas!W142="Duilian de Mãos DE - Equipe 1",5,IF(Atletas!W142="Duilian de Mãos DE - Equipe 2",6,IF(Atletas!W142="Duilian de Armas DE - Equipe 1",7,IF(Atletas!W142="Duilian de Armas DE - Equipe 2",8,IF(Atletas!W142="Duilian de Tuishou - Equipe 1",9,IF(Atletas!W142="Duilian de Tuishou - Equipe 2",10,IF(Atletas!W142="Grupo Externo ABC - Equipe 1",11,IF(Atletas!W142="Grupo Externo ABC - Equipe 2",12,IF(Atletas!W142="Grupo Interno ABC - Equipe 1",13,IF(Atletas!W142="Grupo Interno ABC - Equipe 2",14,IF(Atletas!W142="Grupo Externo DEF - Equipe 1",15,IF(Atletas!W142="Grupo Externo DEF - Equipe 2",16,IF(Atletas!W142="Grupo Interno DEF - Equipe 1",17,IF(Atletas!W142="Grupo Interno DEF - Equipe 2",18,"")))))))))))))))))))</f>
        <v/>
      </c>
    </row>
    <row r="152" spans="2:9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 t="str">
        <f t="array" ref="Z152">IFERROR(INDEX(CE$7:CE$348,SMALL(IF(CE$7:CE$348&lt;&gt;"",ROW(CE$7:CE$348)-ROW(CE$7)+1),ROWS(CE$7:CE151))),"")</f>
        <v/>
      </c>
      <c r="AA152" s="3" t="str">
        <f t="array" ref="AA152">IFERROR(INDEX(CF$7:CF$348,SMALL(IF(CF$7:CF$348&lt;&gt;"",ROW(CF$7:CF$348)-ROW(CF$7)+1),ROWS(CF$7:CF151))),"")</f>
        <v/>
      </c>
      <c r="AB152" s="3" t="str">
        <f t="array" ref="AB152">IFERROR(INDEX(CG$7:CG$348,SMALL(IF(CG$7:CG$348&lt;&gt;"",ROW(CG$7:CG$348)-ROW(CG$7)+1),ROWS(CG$7:CG151))),"")</f>
        <v/>
      </c>
      <c r="AC152" s="3" t="str">
        <f t="array" ref="AC152">IFERROR(INDEX(CH$7:CH$348,SMALL(IF(CH$7:CH$348&lt;&gt;"",ROW(CH$7:CH$348)-ROW(CH$7)+1),ROWS(CH$7:CH151))),"")</f>
        <v/>
      </c>
      <c r="AD152" s="3" t="str">
        <f t="array" ref="AD152">IFERROR(INDEX(CI$7:CI$377,SMALL(IF(CI$7:CI$377&lt;&gt;"",ROW(CI$7:CI$377)-ROW(CI$7)+1),ROWS(CI$7:CI151))),"")</f>
        <v/>
      </c>
      <c r="AE152" s="3" t="str">
        <f t="array" ref="AE152">IFERROR(INDEX(CJ$7:CJ$378,SMALL(IF(CJ$7:CJ$378&lt;&gt;"",ROW(CJ$7:CJ$378)-ROW(CJ$7)+1),ROWS(CJ$7:CJ151))),"")</f>
        <v/>
      </c>
      <c r="AF152" s="3" t="str">
        <f t="array" ref="AF152">IFERROR(INDEX(CK$7:CK$378,SMALL(IF(CK$7:CK$378&lt;&gt;"",ROW(CK$7:CK$378)-ROW(CK$7)+1),ROWS(CK$7:CK151))),"")</f>
        <v/>
      </c>
      <c r="AG152" s="3" t="str">
        <f t="array" ref="AG152">IFERROR(INDEX(CL$7:CL$378,SMALL(IF(CL$7:CL$378&lt;&gt;"",ROW(CL$7:CL$378)-ROW(CL$7)+1),ROWS(CL$7:CL151))),"")</f>
        <v/>
      </c>
      <c r="AH152" s="3"/>
      <c r="AI152" s="3"/>
      <c r="AJ152" s="3"/>
      <c r="AK152" s="3"/>
      <c r="AL152" s="3"/>
      <c r="AM152" s="3"/>
      <c r="AN152" s="52" t="str">
        <f>IF(Atletas!D143="","",IF(Atletas!B143="Feminino",100,IF(Atletas!B143="Masculino",200,""))+(IF(Atletas!D143="Kids 30kg",1,IF(Atletas!D143="Kids 32kg",2, IF(Atletas!D143="Kids 34kg",3,IF(Atletas!D143="Kids 36kg",4,IF(Atletas!D143="Kids 39kg",5,IF(Atletas!D143="Kids 42kg",6,IF(Atletas!D143="Kids 45kg",7, IF(Atletas!D143="Infantil 39kg",8,IF(Atletas!D143="Infantil 42kg",9,IF(Atletas!D143="Infantil 45kg",10,IF(Atletas!D143="Infantil 48kg",11,IF(Atletas!D143="Infantil 52kg",12,IF(Atletas!D143="Infantil 56kg",13,IF(Atletas!D143="Infantil 60kg",14,IF(Atletas!D143="Juvenil 48kg",15,IF(Atletas!D143="Juvenil 52kg",16,IF(Atletas!D143="Juvenil 56kg",17,IF(Atletas!D143="Juvenil 60kg",18,IF(Atletas!D143="Juvenil 65kg",19,IF(Atletas!D143="Juvenil 70kg",20,IF(Atletas!D143="Juvenil 75kg",21,IF(Atletas!D143="Juvenil 80kg",22, IF(Atletas!D143="Juvenil 85kg",23,IF(Atletas!D143="Adulto 48kg",24,IF(Atletas!D143="Adulto 52kg",25,IF(Atletas!D143="Adulto 56kg",26,IF(Atletas!D143="Adulto 60kg",27,IF(Atletas!D143="Adulto 65kg",28,IF(Atletas!D143="Adulto 70kg",29,IF(Atletas!D143="Adulto 75kg",30,IF(Atletas!D143="Adulto 80kg",31,IF(Atletas!D143="Adulto 85kg",32,IF(Atletas!D143="Adulto 90kg",33,IF(Atletas!D143="Adulto 100kg",34, IF(Atletas!D143="Adulto +100kg",35,"")))))))))))))))))))))))))))))))))))))</f>
        <v/>
      </c>
      <c r="AS152" s="6" t="str">
        <f>IF(Atletas!E143="","",IF(Atletas!B143="Feminino",100,IF(Atletas!B143="Masculino",200,""))+(IF(Atletas!E143="Juvenil 44kg",1,IF(Atletas!E143="Juvenil 48kg",2,IF(Atletas!E143="Juvenil 52kg",3,IF(Atletas!E143="Juvenil 56kg",4,IF(Atletas!E143="Juvenil 60kg",5,IF(Atletas!E143="Juvenil 65kg",6,IF(Atletas!E143="Juvenil 70kg",7,IF(Atletas!E143="Juvenil 75kg",8,IF(Atletas!E143="Juvenil 82kg",9,IF(Atletas!E143="Juvenil 90kg",10,IF(Atletas!E143="Juvenil 100kg",11,IF(Atletas!E143="Adulto 48kg",12,IF(Atletas!E143="Adulto 52kg",13,IF(Atletas!E143="Adulto 56kg",14,IF(Atletas!E143="Adulto 60kg",15,IF(Atletas!E143="Adulto 65kg",16,IF(Atletas!E143="Adulto 70kg",17,IF(Atletas!E143="Adulto 75kg",18,IF(Atletas!E143="Adulto 82kg",19,IF(Atletas!E143="Adulto 90kg",20,IF(Atletas!E143="Adulto 100kg",21,IF(Atletas!E143="Adulto +100kg",22,""))))))))))))))))))))))))</f>
        <v/>
      </c>
      <c r="AX152" s="6" t="str">
        <f>IF(Atletas!F143="","",IF(Atletas!B143="Feminino",100,IF(Atletas!B143="Masculino",200,""))+(IF(Atletas!F143="Adulto 48kg",1,IF(Atletas!F143="Adulto 56kg",2,IF(Atletas!F143="Adulto 65kg",3,IF(Atletas!F143="Adulto 75kg",4,IF(Atletas!F143="Adulto +75kg",5,IF(Atletas!F143="Adulto 52kg",6,IF(Atletas!F143="Adulto 60kg",7,IF(Atletas!F143="Adulto 70kg",8,IF(Atletas!F143="Adulto 80kg",9,IF(Atletas!F143="Adulto 90kg",10,IF(Atletas!F143="Adulto +90kg",11,"")))))))))))))</f>
        <v/>
      </c>
      <c r="BC152" s="6" t="str">
        <f>IF(Atletas!G143="","",IF(Atletas!B143="Feminino",10,IF(Atletas!B143="Masculino",20,""))+(IF(Atletas!G143="Baduanjin A",1,IF(Atletas!G143="Baduanjin B",2))))</f>
        <v/>
      </c>
      <c r="BF152" s="52" t="str">
        <f>IF(Atletas!H143="","",IF(Atletas!B143="Feminino",100,IF(Atletas!B143="Masculino",200,""))+(IF(Atletas!H143="Changquan Mirim",1,IF(Atletas!H143="Nanquan Mirim",2,IF(Atletas!H143="Taijiquan Mirim",3,IF(Atletas!H143="Changquan Grupo C",4,IF(Atletas!H143="Nanquan Grupo C",5,IF(Atletas!H143="Taijiquan Grupo C",6,IF(Atletas!H143="Changquan Grupo B",7,IF(Atletas!H143="Nanquan Grupo B",8,IF(Atletas!H143="Taijiquan Grupo B",9,IF(Atletas!H143="Changquan Grupo A",10,IF(Atletas!H143="Nanquan Grupo A",11,IF(Atletas!H143="Taijiquan Grupo A",12,IF(Atletas!H143="Changquan Opcional",13,IF(Atletas!H143="Nanquan Opcional",14,IF(Atletas!H143="Taijiquan Opcional",15,IF(Atletas!H143="Changquan Adulto",16,IF(Atletas!H143="Nanquan Adulto",17,IF(Atletas!H143="Taijiquan Adulto",18,""))))))))))))))))))))</f>
        <v/>
      </c>
      <c r="BG152" s="52" t="str">
        <f>IF(Atletas!I143="","",IF(Atletas!B143="Feminino",100,IF(Atletas!B143="Masculino",200,""))+(IF(Atletas!I143="Daoshu Mirim",19,IF(Atletas!I143="Jianshu Mirim",20,IF(Atletas!I143="Nandao Mirim",21,IF(Atletas!I143="Taijijian Mirim",22,IF(Atletas!I143="Daoshu Grupo C",23,IF(Atletas!I143="Jianshu Grupo C",24,IF(Atletas!I143="Nandao Grupo C",25,IF(Atletas!I143="Taijijian Grupo C",26,IF(Atletas!I143="Daoshu Grupo B",27,IF(Atletas!I143="Jianshu Grupo B",28,IF(Atletas!I143="Nandao Grupo B",29,IF(Atletas!I143="Taijijian Grupo B",30,IF(Atletas!I143="Daoshu Grupo A",31,IF(Atletas!I143="Jianshu Grupo A",32,IF(Atletas!I143="Nandao Grupo A",33,IF(Atletas!I143="Taijijian Grupo A",34,IF(Atletas!I143="Daoshu Opcional",35,IF(Atletas!I143="Jianshu Opcional",36,IF(Atletas!I143="Nandao Opcional",37,IF(Atletas!I143="Taijijian Opcional",38,IF(Atletas!I143="Daoshu Adulto",39,IF(Atletas!I143="Jianshu Adulto",40,IF(Atletas!I143="Nandao Adulto",41,IF(Atletas!I143="Taijijian Adulto",42,""))))))))))))))))))))))))))</f>
        <v/>
      </c>
      <c r="BH152" s="52" t="str">
        <f>IF(Atletas!J143="","",IF(Atletas!B143="Feminino",100,IF(Atletas!B143="Masculino",200,""))+(IF(Atletas!J143="Gunshu Mirim",43,IF(Atletas!J143="Qiangshu Mirim",44,IF(Atletas!J143="Nangun Mirim",45,IF(Atletas!J143="Gunshu Grupo C",46,IF(Atletas!J143="Qiangshu Grupo C",47,IF(Atletas!J143="Nangun Grupo C",48,IF(Atletas!J143="Gunshu Grupo B",49,IF(Atletas!J143="Qiangshu Grupo B",50,IF(Atletas!J143="Nangun Grupo B",51,IF(Atletas!J143="Gunshu Grupo A",52,IF(Atletas!J143="Qiangshu Grupo A",53,IF(Atletas!J143="Nangun Grupo A",54,IF(Atletas!J143="Gunshu Opcional",55,IF(Atletas!J143="Qiangshu Opcional",56,IF(Atletas!J143="Nangun Opcional",57,IF(Atletas!J143="Gunshu Adulto",58,IF(Atletas!J143="Qiangshu Adulto",59,IF(Atletas!J143="Nangun Adulto",60,IF(Atletas!J143="Taijishan Grupo B",61,IF(Atletas!J143="Taijishan Grupo A",62,""))))))))))))))))))))))</f>
        <v/>
      </c>
      <c r="BM152" s="50" t="str">
        <f>IF(Atletas!K143="","",IF(Atletas!B143="Feminino",100,IF(Atletas!B143="Masculino",200,""))+(IF(Atletas!K143="Equipe 1 Grupo B",1,IF(Atletas!K143="Equipe 2 Grupo B",2,IF(Atletas!K143="Equipe 1 Grupo A",3,IF(Atletas!K143="Equipe 2 Grupo A",4,IF(Atletas!K143="Equipe 1 Adulto",5,IF(Atletas!K143="Equipe 2 Adulto",6,""))))))))</f>
        <v/>
      </c>
      <c r="BR152" s="50" t="str">
        <f>IF(Atletas!L143="","",IF(Atletas!X143&lt;&gt;"",10000,0)+(IF(Atletas!B143="Feminino",1000,IF(Atletas!B143="Masculino",2000,""))+IF(Atletas!L143="Choylayfut A",1,IF(Atletas!L143="Hunggar A",2,IF(Atletas!L143="Wuzuquan A",3,IF(Atletas!L143="Wingchun A",4,IF(Atletas!L143="Outra Mão de Sul A",5,IF(Atletas!L143="Choylayfut B",6,IF(Atletas!L143="Hunggar B",7,IF(Atletas!L143="Wuzuquan B",8,IF(Atletas!L143="Wingchun B",9,IF(Atletas!L143="Outra Mão de Sul B",10,IF(Atletas!L143="Choylayfut C",11,IF(Atletas!L143="Hunggar C",12,IF(Atletas!L143="Wuzuquan C",13,IF(Atletas!L143="Wingchun C",14,IF(Atletas!L143="Outra Mão de Sul C",15,IF(Atletas!L143="Choylayfut D",16,IF(Atletas!L143="Hunggar D",17,IF(Atletas!L143="Wuzuquan D",18,IF(Atletas!L143="Wingchun D",19,IF(Atletas!L143="Outra Mão de Sul D",20,IF(Atletas!L143="Choylayfut E",21,IF(Atletas!L143="Hunggar E",22,IF(Atletas!L143="Wuzuquan E",23,IF(Atletas!L143="Wingchun E",24,IF(Atletas!L143="Outra Mão de Sul E",25,IF(Atletas!L143="Choylayfut F",26,IF(Atletas!L143="Hunggar F",27,IF(Atletas!L143="Wuzuquan F",28,IF(Atletas!L143="Wingchun F",29,IF(Atletas!L143="Outra Mão de Sul F",30,IF(Atletas!L143="Dishuquan A",31,IF(Atletas!L143="Dishuquan B",32,IF(Atletas!L143="Dishuquan C",33,IF(Atletas!L143="Dishuquan D",34,IF(Atletas!L143="Dishuquan E",35,IF(Atletas!L143="Dishuquan F",36,""))))))))))))))))))))))))))))))))))))))</f>
        <v/>
      </c>
      <c r="BS152" s="50" t="str">
        <f>IF(Atletas!M143="","",IF(Atletas!X143&lt;&gt;"",10000,0)+(IF(Atletas!B143="Feminino",1000,IF(Atletas!B143="Masculino",2000,""))+(IF(Atletas!M143="Chaquan A",101,IF(Atletas!M143="Emeiquan A",102,IF(Atletas!M143="Fanziquan A",103,IF(Atletas!M143="Huaquan A",104,IF(Atletas!M143="Hongquan A",105,IF(Atletas!M143="Paoquan A",106,IF(Atletas!M143="Piguaquan A",107,IF(Atletas!M143="Shaolinquan A",108,IF(Atletas!M143="Tanglangquan A",109,IF(Atletas!M143="Yingzhaoquan A",110,IF(Atletas!M143="Tongbeiquan A",111,IF(Atletas!M143="Wudangquan A",112,IF(Atletas!M143="Outros Estilos A",113,IF(Atletas!M143="Chaquan B",114,IF(Atletas!M143="Emeiquan B",115,IF(Atletas!M143="Fanziquan B",116,IF(Atletas!M143="Huaquan B",117,IF(Atletas!M143="Hongquan B",118,IF(Atletas!M143="Paoquan B",119,IF(Atletas!M143="Piguaquan B",120,IF(Atletas!M143="Shaolinquan B",121,IF(Atletas!M143="Tanglangquan B",122,IF(Atletas!M143="Yingzhaoquan B",123,IF(Atletas!M143="Tongbeiquan B",124,IF(Atletas!M143="Wudangquan B",125,IF(Atletas!M143="Outros Estilos B",126,IF(Atletas!M143="Chaquan C",127,IF(Atletas!M143="Emeiquan C",128,IF(Atletas!M143="Fanziquan C",129,IF(Atletas!M143="Huaquan C",130,IF(Atletas!M143="Hongquan C",131,IF(Atletas!M143="Paoquan C",132,IF(Atletas!M143="Piguaquan C",133,IF(Atletas!M143="Shaolinquan C",134,IF(Atletas!M143="Tanglangquan C",135,IF(Atletas!M143="Yingzhaoquan C",136,IF(Atletas!M143="Tongbeiquan C",137,IF(Atletas!M143="Wudangquan C",138,IF(Atletas!M143="Outros Estilos C",139,0))))))))))))))))))))))))))))))))))))))))))</f>
        <v/>
      </c>
      <c r="BT152" s="50" t="str">
        <f>IF(Atletas!M143="","",IF(Atletas!X143&lt;&gt;"",10000,0)+(IF(Atletas!B143="Feminino",1000,IF(Atletas!B143="Masculino",2000,""))+(IF(Atletas!M143="Chaquan D",140,IF(Atletas!M143="Emeiquan D",141,IF(Atletas!M143="Fanziquan D",142,IF(Atletas!M143="Huaquan D",143,IF(Atletas!M143="Hongquan D",144,IF(Atletas!M143="Paoquan D",145,IF(Atletas!M143="Piguaquan D",146,IF(Atletas!M143="Shaolinquan D",147,IF(Atletas!M143="Tanglangquan D",148,IF(Atletas!M143="Yingzhaoquan D",149,IF(Atletas!M143="Tongbeiquan D",150,IF(Atletas!M143="Wudangquan D",151,IF(Atletas!M143="Outros Estilos D",152,IF(Atletas!M143="Chaquan E",153,IF(Atletas!M143="Emeiquan E",154,IF(Atletas!M143="Fanziquan E",155,IF(Atletas!M143="Huaquan E",156,IF(Atletas!M143="Hongquan E",157,IF(Atletas!M143="Paoquan E",158,IF(Atletas!M143="Piguaquan E",159,IF(Atletas!M143="Shaolinquan E",160,IF(Atletas!M143="Tanglangquan E",161,IF(Atletas!M143="Yingzhaoquan E",162,IF(Atletas!M143="Tongbeiquan E",163,IF(Atletas!M143="Wudangquan E",164,IF(Atletas!M143="Outros Estilos E",165,IF(Atletas!M143="Chaquan F",166,IF(Atletas!M143="Emeiquan F",167,IF(Atletas!M143="Fanziquan F",168,IF(Atletas!M143="Huaquan F",169,IF(Atletas!M143="Hongquan F",170,IF(Atletas!M143="Paoquan F",171,IF(Atletas!M143="Piguaquan F",172,IF(Atletas!M143="Shaolinquan F",173,IF(Atletas!M143="Tanglangquan F",174,IF(Atletas!M143="Yingzhaoquan F",175,IF(Atletas!M143="Tongbeiquan F",176,IF(Atletas!M143="Wudangquan F",177,IF(Atletas!M143="Outros Estilos F",178,0))))))))))))))))))))))))))))))))))))))))))</f>
        <v/>
      </c>
      <c r="BU152" s="50" t="str">
        <f>IF(Atletas!N143="","",IF(Atletas!X143&lt;&gt;"",10000,0)+(IF(Atletas!B143="Feminino",1000,IF(Atletas!B143="Masculino",2000,""))+(IF(Atletas!N143="Ditangquan A",201,IF(Atletas!N143="Houquan A",202,IF(Atletas!N143="Zuiquan A",203,IF(Atletas!N143="Ditangquan B",204,IF(Atletas!N143="Houquan B",205,IF(Atletas!N143="Zuiquan B",206,IF(Atletas!N143="Ditangquan C",207,IF(Atletas!N143="Houquan C",208,IF(Atletas!N143="Zuiquan C",209,IF(Atletas!N143="Ditangquan D",210,IF(Atletas!N143="Houquan D",211,IF(Atletas!N143="Zuiquan D",212,IF(Atletas!N143="Ditangquan E",213,IF(Atletas!N143="Houquan E",214,IF(Atletas!N143="Zuiquan E",215,IF(Atletas!N143="Ditangquan F",216,IF(Atletas!N143="Houquan F",217,IF(Atletas!N143="Zuiquan F",218,"")))))))))))))))))))))</f>
        <v/>
      </c>
      <c r="BV152" s="50" t="str">
        <f>IF(Atletas!O143="","",IF(Atletas!X143&lt;&gt;"",10000,0)+IF(Atletas!B143="Feminino",1000,IF(Atletas!B143="Masculino",2000,""))+IF(Atletas!O143="Yang A",301,IF(Atletas!O143="Chen A",302,IF(Atletas!O143="Sun A",303,IF(Atletas!O143="Wu A",304,IF(Atletas!O143="Wu-Hao A",305,IF(Atletas!O143="Outro Taijiquan A",306,IF(Atletas!O143="Yang B",307,IF(Atletas!O143="Chen B",308,IF(Atletas!O143="Sun B",309,IF(Atletas!O143="Wu B",310,IF(Atletas!O143="Wu-Hao B",311,IF(Atletas!O143="Outro Taijiquan B",312,IF(Atletas!O143="Yang C",313,IF(Atletas!O143="Chen C",314,IF(Atletas!O143="Sun C",315,IF(Atletas!O143="Wu C",316,IF(Atletas!O143="Wu-Hao C",317,IF(Atletas!O143="Outro Taijiquan C",318,IF(Atletas!O143="Yang D",319,IF(Atletas!O143="Chen D",320,IF(Atletas!O143="Sun D",321,IF(Atletas!O143="Wu D",322,IF(Atletas!O143="Wu-Hao D",323,IF(Atletas!O143="Outro Taijiquan D",324,IF(Atletas!O143="Yang E",325,IF(Atletas!O143="Chen E",326,IF(Atletas!O143="Sun E",327,IF(Atletas!O143="Wu E",328,IF(Atletas!O143="Wu-Hao E",329,IF(Atletas!O143="Outro Taijiquan E",330,IF(Atletas!O143="Yang F",331,IF(Atletas!O143="Chen F",332,IF(Atletas!O143="Sun F",333,IF(Atletas!O143="Wu F",334,IF(Atletas!O143="Wu-Hao F",335,IF(Atletas!O143="Outro Taijiquan F",336,"")))))))))))))))))))))))))))))))))))))</f>
        <v/>
      </c>
      <c r="BW152" s="50" t="str">
        <f>IF(Atletas!P143="","",IF(Atletas!X143&lt;&gt;"",10000,0)+IF(Atletas!B143="Feminino",1000,IF(Atletas!B143="Masculino",2000,""))+IF(OR(Atletas!P143="Yang 26 A",Atletas!P143="Yang 40 A"),401,IF(OR(Atletas!P143="Chen 25 A",Atletas!P143="Chen 36 A",Atletas!P143="Chen 56 A"),402,IF(Atletas!P143="Sun 73 A",403,IF(Atletas!P143="Wu 45 A",404,IF(Atletas!P143="Wu-Hao 46 A",405,IF(OR(Atletas!P143="Taijiquan 16 A",Atletas!P143="Taijiquan 24 A",Atletas!P143="Taijiquan 32 A",Atletas!P143="Taijiquan 42 A"),406,IF(OR(Atletas!P143="Yang 26 B",Atletas!P143="Yang 40 B"),407,IF(OR(Atletas!P143="Chen 25 B",Atletas!P143="Chen 36 B",Atletas!P143="Chen 56 B"),408,IF(Atletas!P143="Sun 73 B",409,IF(Atletas!P143="Wu 45 B",410,IF(Atletas!P143="Wu-Hao 46 B",411,IF(OR(Atletas!P143="Taijiquan 16 B",Atletas!P143="Taijiquan 24 B",Atletas!P143="Taijiquan 32 B",Atletas!P143="Taijiquan 42 B"),412,IF(OR(Atletas!P143="Yang 26 C",Atletas!P143="Yang 40 C"),413,IF(OR(Atletas!P143="Chen 25 C",Atletas!P143="Chen 36 C",Atletas!P143="Chen 56 C"),414,IF(Atletas!P143="Sun 73 C",415,IF(Atletas!P143="Wu 45 C",416,IF(Atletas!P143="Wu-Hao 46 C",417,IF(OR(Atletas!P143="Taijiquan 16 C",Atletas!P143="Taijiquan 24 C",Atletas!P143="Taijiquan 32 C",Atletas!P143="Taijiquan 42 C"),418,0)))))))))))))))))))</f>
        <v/>
      </c>
      <c r="BX152" s="50" t="str">
        <f>IF(Atletas!P143="","",IF(Atletas!X143&lt;&gt;"",10000,0)+IF(Atletas!B143="Feminino",1000,IF(Atletas!B143="Masculino",2000,""))+IF(OR(Atletas!P143="Yang 26 D",Atletas!P143="Yang 40 D"),419,IF(OR(Atletas!P143="Chen 25 D",Atletas!P143="Chen 36 D",Atletas!P143="Chen 56 D"),420,IF(Atletas!P143="Sun 73 D",421,IF(Atletas!P143="Wu 45 D",422,IF(Atletas!P143="Wu-Hao 46 D",423,IF(OR(Atletas!P143="Taijiquan 16 D",Atletas!P143="Taijiquan 24 D",Atletas!P143="Taijiquan 32 D",Atletas!P143="Taijiquan 42 D"),424,IF(OR(Atletas!P143="Yang 26 E",Atletas!P143="Yang 40 E"),425,IF(OR(Atletas!P143="Chen 25 E",Atletas!P143="Chen 36 E",Atletas!P143="Chen 56 E"),426,IF(Atletas!P143="Sun 73 E",427,IF(Atletas!P143="Wu 45 E",428,IF(Atletas!P143="Wu-Hao 46 E",429,IF(OR(Atletas!P143="Taijiquan 16 E",Atletas!P143="Taijiquan 24 E",Atletas!P143="Taijiquan 32 E",Atletas!P143="Taijiquan 42 E"),430,IF(OR(Atletas!P143="Yang 26 F",Atletas!P143="Yang 40 F"),431,IF(OR(Atletas!P143="Chen 25 F",Atletas!P143="Chen 36 F",Atletas!P143="Chen 56 F"),432,IF(Atletas!P143="Sun 73 F",433,IF(Atletas!P143="Wu 45 F",434,IF(Atletas!P143="Wu-Hao 46 F",435,IF(OR(Atletas!P143="Taijiquan 16 F",Atletas!P143="Taijiquan 24 F",Atletas!P143="Taijiquan 32 F",Atletas!P143="Taijiquan 42 F"),436,0)))))))))))))))))))</f>
        <v/>
      </c>
      <c r="BY152" s="50" t="str">
        <f>IF(Atletas!Q143="","",IF(Atletas!X143&lt;&gt;"",10000,0)+IF(Atletas!B143="Feminino",1000,IF(Atletas!B143="Masculino",2000,""))+IF(Atletas!Q143="Xingyiquan A",501,IF(Atletas!Q143="Baguazhang A",502,IF(Atletas!Q143="Outro Estilo Interno A",503,IF(Atletas!Q143="Xingyiquan B",504,IF(Atletas!Q143="Baguazhang B",505,IF(Atletas!Q143="Outro Estilo Interno B",506,IF(Atletas!Q143="Xingyiquan C",507,IF(Atletas!Q143="Baguazhang C",508,IF(Atletas!Q143="Outro Estilo Interno C",509,IF(Atletas!Q143="Xingyiquan D",510,IF(Atletas!Q143="Baguazhang D",511,IF(Atletas!Q143="Outro Estilo Interno D",512,IF(Atletas!Q143="Xingyiquan E",513,IF(Atletas!Q143="Baguazhang E",514,IF(Atletas!Q143="Outro Estilo Interno E",515,IF(Atletas!Q143="Xingyiquan F",516,IF(Atletas!Q143="Baguazhang F",517,IF(Atletas!Q143="Outro Estilo Interno F",518, "")))))))))))))))))))</f>
        <v/>
      </c>
      <c r="BZ152" s="50" t="str">
        <f>IF(Atletas!R143="","",IF(Atletas!X143&lt;&gt;"",10000,0)+IF(Atletas!B143="Feminino",1000,IF(Atletas!B143="Masculino",2000,""))+IF(Atletas!R143="Dao A",601,IF(Atletas!R143="Jian A",602,IF(Atletas!R143="Bishou A",603,IF(Atletas!R143="Shanzi A",604,IF(Atletas!R143="Outra Arma Curta A",605,IF(Atletas!R143="Dao B",606,IF(Atletas!R143="Jian B",607,IF(Atletas!R143="Bishou B",608,IF(Atletas!R143="Shanzi B",609,IF(Atletas!R143="Outra Arma Curta B",610,IF(Atletas!R143="Dao C",611,IF(Atletas!R143="Jian C",612,IF(Atletas!R143="Bishou C",613,IF(Atletas!R143="Shanzi C",614,IF(Atletas!R143="Outra Arma Curta C",615,IF(Atletas!R143="Dao D",616,IF(Atletas!R143="Jian D",617,IF(Atletas!R143="Bishou D",618,IF(Atletas!R143="Shanzi D",619,IF(Atletas!R143="Outra Arma Curta D",620,IF(Atletas!R143="Dao E",621,IF(Atletas!R143="Jian E",622,IF(Atletas!R143="Bishou E",623,IF(Atletas!R143="Shanzi E",624,IF(Atletas!R143="Outra Arma Curta E",625,IF(Atletas!R143="Dao F",626,IF(Atletas!R143="Jian F",627,IF(Atletas!R143="Bishou F",628,IF(Atletas!R143="Shanzi F",629,IF(Atletas!R143="Outra Arma Curta F",630, "")))))))))))))))))))))))))))))))</f>
        <v/>
      </c>
      <c r="CA152" s="50" t="str">
        <f>IF(Atletas!S143="","",IF(Atletas!X143&lt;&gt;"",10000,0)+IF(Atletas!B143="Feminino",1000,IF(Atletas!B143="Masculino",2000,""))+IF(Atletas!S143="Gun A",701,IF(Atletas!S143="Qiang A",702,IF(Atletas!S143="Pudao / Guandao A",703,IF(Atletas!S143="Outra Arma Longa A",704,IF(Atletas!S143="Gun B",705,IF(Atletas!S143="Qiang B",706,IF(Atletas!S143="Pudao / Guandao B",707,IF(Atletas!S143="Outra Arma Longa B",708,IF(Atletas!S143="Gun C",709,IF(Atletas!S143="Qiang C",710,IF(Atletas!S143="Pudao / Guandao C",711,IF(Atletas!S143="Outra Arma Longa C",712,IF(Atletas!S143="Gun D",713,IF(Atletas!S143="Qiang D",714,IF(Atletas!S143="Pudao / Guandao D",715,IF(Atletas!S143="Outra Arma Longa D",716,IF(Atletas!S143="Gun E",717,IF(Atletas!S143="Qiang E",718,IF(Atletas!S143="Pudao / Guandao E",719,IF(Atletas!S143="Outra Arma Longa E",720,IF(Atletas!S143="Gun F",721,IF(Atletas!S143="Qiang F",722,IF(Atletas!S143="Pudao / Guandao F",723,IF(Atletas!S143="Outra Arma Longa F",724,"")))))))))))))))))))))))))</f>
        <v/>
      </c>
      <c r="CB152" s="50" t="str">
        <f>IF(Atletas!T143="","",IF(Atletas!X143&lt;&gt;"",10000,0)+IF(Atletas!B143="Feminino",1000,IF(Atletas!B143="Masculino",2000,""))+IF(Atletas!T143="Outra Arma Dupla A",801,IF(Atletas!T143="Arma Maleável A",802,IF(Atletas!T143="Outra Arma Dupla B",803,IF(Atletas!T143="Arma Maleável B",804,IF(Atletas!T143="Outra Arma Dupla C",805,IF(Atletas!T143="Arma Maleável C",806,IF(Atletas!T143="Outra Arma Dupla D",807,IF(Atletas!T143="Arma Maleável D",808,IF(Atletas!T143="Outra Arma Dupla E",809,IF(Atletas!T143="Arma Maleável E",810,IF(Atletas!T143="Outra Arma Dupla F",811,IF(Atletas!T143="Arma Maleável F",812,IF(Atletas!T143="Shuangdao A",813,IF(Atletas!T143="Shuangdao B",814,IF(Atletas!T143="Shuangdao C",815,IF(Atletas!T143="Shuangdao D",816,IF(Atletas!T143="Shuangdao E",817,IF(Atletas!T143="Shuangdao F",818,"")))))))))))))))))))</f>
        <v/>
      </c>
      <c r="CC152" s="50" t="str">
        <f>IF(Atletas!U143="","",IF(Atletas!X143&lt;&gt;"",10000,0)+IF(Atletas!B143="Feminino",1000,IF(Atletas!B143="Masculino",2000,""))+IF(OR(Atletas!U143="Taijijian Yang A",Atletas!U143="Taijijian Yang Standard A"),901,IF(OR(Atletas!U143="Taijijian Chen A", Atletas!U143="Taijijian Chen Standard A"),902,IF(Atletas!U143="Taijijian Sun A",903,IF(Atletas!U143="Taijijian Wu A",904,IF(Atletas!U143="Taijijian Wu-Hao A",905,IF(OR(Atletas!U143="Taijijian 32 A",Atletas!U143="Taijijian 42 A"),906,IF(OR(Atletas!U143="Taijijian Yang B",Atletas!U143="Taijijian Yang Standard B"),907,IF(OR(Atletas!U143="Taijijian Chen B", Atletas!U143="Taijijian Chen Standard B"),908,IF(Atletas!U143="Taijijian Sun B",909,IF(Atletas!U143="Taijijian Wu B",910,IF(Atletas!U143="Taijijian Wu-Hao B",911,IF(OR(Atletas!U143="Taijijian 32 B",Atletas!U143="Taijijian 42 B"),912,IF(OR(Atletas!U143="Taijijian Yang C",Atletas!U143="Taijijian Yang Standard C"),913,IF(OR(Atletas!U143="Taijijian Chen C", Atletas!U143="Taijijian Chen Standard C"),914,IF(Atletas!U143="Taijijian Sun C",915,IF(Atletas!U143="Taijijian Wu C",916,IF(Atletas!U143="Taijijian Wu-Hao C",917,IF(OR(Atletas!U143="Taijijian 32 C",Atletas!U143="Taijijian 42 C"),918,IF(OR(Atletas!U143="Taijijian Yang D",Atletas!U143="Taijijian Yang Standard D"),919,IF(OR(Atletas!U143="Taijijian Chen D", Atletas!U143="Taijijian Chen Standard D"),920,IF(Atletas!U143="Taijijian Sun D",921,IF(Atletas!U143="Taijijian Wu D",922,IF(Atletas!U143="Taijijian Wu-Hao D",923,IF(OR(Atletas!U143="Taijijian 32 D",Atletas!U143="Taijijian 42 D"),924,IF(OR(Atletas!U143="Taijijian Yang E",Atletas!U143="Taijijian Yang Standard E"),925,IF(OR(Atletas!U143="Taijijian Chen E", Atletas!U143="Taijijian Chen Standard E"),926,IF(Atletas!U143="Taijijian Sun E",927,IF(Atletas!U143="Taijijian Wu E",928,IF(Atletas!U143="Taijijian Wu-Hao E",929,IF(OR(Atletas!U143="Taijijian 32 E",Atletas!U143="Taijijian 42 E"),930,IF(OR(Atletas!U143="Taijijian Yang F",Atletas!U143="Taijijian Yang Standard F"),931,IF(OR(Atletas!U143="Taijijian Chen F", Atletas!U143="Taijijian Chen Standard F"),932,IF(Atletas!U143="Taijijian Sun F",933,IF(Atletas!U143="Taijijian Wu F",934,IF(Atletas!U143="Taijijian Wu-Hao F",935,IF(OR(Atletas!U143="Taijijian 32 F",Atletas!U143="Taijijian 42 F"),936,"")))))))))))))))))))))))))))))))))))))</f>
        <v/>
      </c>
      <c r="CD152" s="50" t="str">
        <f>IF(Atletas!V143="","",IF(Atletas!X143&lt;&gt;"",10000,0)+IF(Atletas!B143="Feminino",1000,IF(Atletas!B143="Masculino",2000,""))+IF(Atletas!V143="Taijidao A",937,IF(Atletas!V143="TaijiShanzi A",938,IF(Atletas!V143="Taijiqiang A",939,IF(Atletas!V143="Bagua de Arma A",940,IF(Atletas!V143="Xingyi de Arma A",941,IF(Atletas!V143="Taijidao B",942,IF(Atletas!V143="TaijiShanzi B",943,IF(Atletas!V143="Taijiqiang B",944,IF(Atletas!V143="Bagua de Arma B",945,IF(Atletas!V143="Xingyi de Arma B",946,IF(Atletas!V143="Taijidao C",947,IF(Atletas!V143="TaijiShanzi C",948,IF(Atletas!V143="Taijiqiang C",949,IF(Atletas!V143="Bagua de Arma C",950,IF(Atletas!V143="Xingyi de Arma C",951,IF(Atletas!V143="Taijidao D",952,IF(Atletas!V143="TaijiShanzi D",953,IF(Atletas!V143="Taijiqiang D",954,IF(Atletas!V143="Bagua de Arma D",955,IF(Atletas!V143="Xingyi de Arma D",956,IF(Atletas!V143="Taijidao E",957,IF(Atletas!V143="TaijiShanzi E",958,IF(Atletas!V143="Taijiqiang E",959,IF(Atletas!V143="Bagua de Arma E",960,IF(Atletas!V143="Xingyi de Arma E",961,IF(Atletas!V143="Taijidao F",962,IF(Atletas!V143="TaijiShanzi F",963,IF(Atletas!V143="Taijiqiang F",964,IF(Atletas!V143="Bagua de Arma F",965,IF(Atletas!V143="Xingyi de Arma F",966,"")))))))))))))))))))))))))))))))</f>
        <v/>
      </c>
      <c r="CE152" s="66" t="str">
        <f>IF(CF152&lt;&gt;"","TJQ Trad. Chen C","")</f>
        <v/>
      </c>
      <c r="CF152" s="66" t="str">
        <f>IF(COUNTIF(BR:CD,1314)&gt;0,COUNTIF(BR:CD,1314),"")</f>
        <v/>
      </c>
      <c r="CG152" s="66" t="str">
        <f>IF(CH152&lt;&gt;"","TJQ Trad. Chen C","")</f>
        <v/>
      </c>
      <c r="CH152" s="66" t="str">
        <f>IF(COUNTIF(BR:CD,2314)&gt;0,COUNTIF(BR:CD,2314),"")</f>
        <v/>
      </c>
      <c r="CI152" s="66" t="str">
        <f>IF(CJ152&lt;&gt;"","TJQ Trad. Chen D","")</f>
        <v/>
      </c>
      <c r="CJ152" s="66" t="str">
        <f>IF(COUNTIF(BR:CD,11320)&gt;0,COUNTIF(BR:CD,11320),"")</f>
        <v/>
      </c>
      <c r="CK152" s="66" t="str">
        <f>IF(CL152&lt;&gt;"","TJQ Trad. Chen D","")</f>
        <v/>
      </c>
      <c r="CL152" s="66" t="str">
        <f>IF(COUNTIF(BR:CD,12320)&gt;0,COUNTIF(BR:CD,12320),"")</f>
        <v/>
      </c>
      <c r="CM152" s="50" t="str">
        <f xml:space="preserve"> IF(Atletas!W143="","",IF(Atletas!W143="Duilian de Mãos BC - Equipe 1",1,IF(Atletas!W143="Duilian de Mãos BC - Equipe 2",2,IF(Atletas!W143="Duilian de Armas BC - Equipe 1",3,IF(Atletas!W143="Duilian de Armas BC - Equipe 2",4,IF(Atletas!W143="Duilian de Mãos DE - Equipe 1",5,IF(Atletas!W143="Duilian de Mãos DE - Equipe 2",6,IF(Atletas!W143="Duilian de Armas DE - Equipe 1",7,IF(Atletas!W143="Duilian de Armas DE - Equipe 2",8,IF(Atletas!W143="Duilian de Tuishou - Equipe 1",9,IF(Atletas!W143="Duilian de Tuishou - Equipe 2",10,IF(Atletas!W143="Grupo Externo ABC - Equipe 1",11,IF(Atletas!W143="Grupo Externo ABC - Equipe 2",12,IF(Atletas!W143="Grupo Interno ABC - Equipe 1",13,IF(Atletas!W143="Grupo Interno ABC - Equipe 2",14,IF(Atletas!W143="Grupo Externo DEF - Equipe 1",15,IF(Atletas!W143="Grupo Externo DEF - Equipe 2",16,IF(Atletas!W143="Grupo Interno DEF - Equipe 1",17,IF(Atletas!W143="Grupo Interno DEF - Equipe 2",18,"")))))))))))))))))))</f>
        <v/>
      </c>
    </row>
    <row r="153" spans="2:9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 t="str">
        <f t="array" ref="Z153">IFERROR(INDEX(CE$7:CE$348,SMALL(IF(CE$7:CE$348&lt;&gt;"",ROW(CE$7:CE$348)-ROW(CE$7)+1),ROWS(CE$7:CE152))),"")</f>
        <v/>
      </c>
      <c r="AA153" s="3" t="str">
        <f t="array" ref="AA153">IFERROR(INDEX(CF$7:CF$348,SMALL(IF(CF$7:CF$348&lt;&gt;"",ROW(CF$7:CF$348)-ROW(CF$7)+1),ROWS(CF$7:CF152))),"")</f>
        <v/>
      </c>
      <c r="AB153" s="3" t="str">
        <f t="array" ref="AB153">IFERROR(INDEX(CG$7:CG$348,SMALL(IF(CG$7:CG$348&lt;&gt;"",ROW(CG$7:CG$348)-ROW(CG$7)+1),ROWS(CG$7:CG152))),"")</f>
        <v/>
      </c>
      <c r="AC153" s="3" t="str">
        <f t="array" ref="AC153">IFERROR(INDEX(CH$7:CH$348,SMALL(IF(CH$7:CH$348&lt;&gt;"",ROW(CH$7:CH$348)-ROW(CH$7)+1),ROWS(CH$7:CH152))),"")</f>
        <v/>
      </c>
      <c r="AD153" s="3" t="str">
        <f t="array" ref="AD153">IFERROR(INDEX(CI$7:CI$377,SMALL(IF(CI$7:CI$377&lt;&gt;"",ROW(CI$7:CI$377)-ROW(CI$7)+1),ROWS(CI$7:CI152))),"")</f>
        <v/>
      </c>
      <c r="AE153" s="3" t="str">
        <f t="array" ref="AE153">IFERROR(INDEX(CJ$7:CJ$378,SMALL(IF(CJ$7:CJ$378&lt;&gt;"",ROW(CJ$7:CJ$378)-ROW(CJ$7)+1),ROWS(CJ$7:CJ152))),"")</f>
        <v/>
      </c>
      <c r="AF153" s="3" t="str">
        <f t="array" ref="AF153">IFERROR(INDEX(CK$7:CK$378,SMALL(IF(CK$7:CK$378&lt;&gt;"",ROW(CK$7:CK$378)-ROW(CK$7)+1),ROWS(CK$7:CK152))),"")</f>
        <v/>
      </c>
      <c r="AG153" s="3" t="str">
        <f t="array" ref="AG153">IFERROR(INDEX(CL$7:CL$378,SMALL(IF(CL$7:CL$378&lt;&gt;"",ROW(CL$7:CL$378)-ROW(CL$7)+1),ROWS(CL$7:CL152))),"")</f>
        <v/>
      </c>
      <c r="AH153" s="3"/>
      <c r="AI153" s="3"/>
      <c r="AJ153" s="3"/>
      <c r="AK153" s="3"/>
      <c r="AL153" s="3"/>
      <c r="AM153" s="3"/>
      <c r="AN153" s="52" t="str">
        <f>IF(Atletas!D144="","",IF(Atletas!B144="Feminino",100,IF(Atletas!B144="Masculino",200,""))+(IF(Atletas!D144="Kids 30kg",1,IF(Atletas!D144="Kids 32kg",2, IF(Atletas!D144="Kids 34kg",3,IF(Atletas!D144="Kids 36kg",4,IF(Atletas!D144="Kids 39kg",5,IF(Atletas!D144="Kids 42kg",6,IF(Atletas!D144="Kids 45kg",7, IF(Atletas!D144="Infantil 39kg",8,IF(Atletas!D144="Infantil 42kg",9,IF(Atletas!D144="Infantil 45kg",10,IF(Atletas!D144="Infantil 48kg",11,IF(Atletas!D144="Infantil 52kg",12,IF(Atletas!D144="Infantil 56kg",13,IF(Atletas!D144="Infantil 60kg",14,IF(Atletas!D144="Juvenil 48kg",15,IF(Atletas!D144="Juvenil 52kg",16,IF(Atletas!D144="Juvenil 56kg",17,IF(Atletas!D144="Juvenil 60kg",18,IF(Atletas!D144="Juvenil 65kg",19,IF(Atletas!D144="Juvenil 70kg",20,IF(Atletas!D144="Juvenil 75kg",21,IF(Atletas!D144="Juvenil 80kg",22, IF(Atletas!D144="Juvenil 85kg",23,IF(Atletas!D144="Adulto 48kg",24,IF(Atletas!D144="Adulto 52kg",25,IF(Atletas!D144="Adulto 56kg",26,IF(Atletas!D144="Adulto 60kg",27,IF(Atletas!D144="Adulto 65kg",28,IF(Atletas!D144="Adulto 70kg",29,IF(Atletas!D144="Adulto 75kg",30,IF(Atletas!D144="Adulto 80kg",31,IF(Atletas!D144="Adulto 85kg",32,IF(Atletas!D144="Adulto 90kg",33,IF(Atletas!D144="Adulto 100kg",34, IF(Atletas!D144="Adulto +100kg",35,"")))))))))))))))))))))))))))))))))))))</f>
        <v/>
      </c>
      <c r="AS153" s="6" t="str">
        <f>IF(Atletas!E144="","",IF(Atletas!B144="Feminino",100,IF(Atletas!B144="Masculino",200,""))+(IF(Atletas!E144="Juvenil 44kg",1,IF(Atletas!E144="Juvenil 48kg",2,IF(Atletas!E144="Juvenil 52kg",3,IF(Atletas!E144="Juvenil 56kg",4,IF(Atletas!E144="Juvenil 60kg",5,IF(Atletas!E144="Juvenil 65kg",6,IF(Atletas!E144="Juvenil 70kg",7,IF(Atletas!E144="Juvenil 75kg",8,IF(Atletas!E144="Juvenil 82kg",9,IF(Atletas!E144="Juvenil 90kg",10,IF(Atletas!E144="Juvenil 100kg",11,IF(Atletas!E144="Adulto 48kg",12,IF(Atletas!E144="Adulto 52kg",13,IF(Atletas!E144="Adulto 56kg",14,IF(Atletas!E144="Adulto 60kg",15,IF(Atletas!E144="Adulto 65kg",16,IF(Atletas!E144="Adulto 70kg",17,IF(Atletas!E144="Adulto 75kg",18,IF(Atletas!E144="Adulto 82kg",19,IF(Atletas!E144="Adulto 90kg",20,IF(Atletas!E144="Adulto 100kg",21,IF(Atletas!E144="Adulto +100kg",22,""))))))))))))))))))))))))</f>
        <v/>
      </c>
      <c r="AX153" s="6" t="str">
        <f>IF(Atletas!F144="","",IF(Atletas!B144="Feminino",100,IF(Atletas!B144="Masculino",200,""))+(IF(Atletas!F144="Adulto 48kg",1,IF(Atletas!F144="Adulto 56kg",2,IF(Atletas!F144="Adulto 65kg",3,IF(Atletas!F144="Adulto 75kg",4,IF(Atletas!F144="Adulto +75kg",5,IF(Atletas!F144="Adulto 52kg",6,IF(Atletas!F144="Adulto 60kg",7,IF(Atletas!F144="Adulto 70kg",8,IF(Atletas!F144="Adulto 80kg",9,IF(Atletas!F144="Adulto 90kg",10,IF(Atletas!F144="Adulto +90kg",11,"")))))))))))))</f>
        <v/>
      </c>
      <c r="BC153" s="6" t="str">
        <f>IF(Atletas!G144="","",IF(Atletas!B144="Feminino",10,IF(Atletas!B144="Masculino",20,""))+(IF(Atletas!G144="Baduanjin A",1,IF(Atletas!G144="Baduanjin B",2))))</f>
        <v/>
      </c>
      <c r="BF153" s="52" t="str">
        <f>IF(Atletas!H144="","",IF(Atletas!B144="Feminino",100,IF(Atletas!B144="Masculino",200,""))+(IF(Atletas!H144="Changquan Mirim",1,IF(Atletas!H144="Nanquan Mirim",2,IF(Atletas!H144="Taijiquan Mirim",3,IF(Atletas!H144="Changquan Grupo C",4,IF(Atletas!H144="Nanquan Grupo C",5,IF(Atletas!H144="Taijiquan Grupo C",6,IF(Atletas!H144="Changquan Grupo B",7,IF(Atletas!H144="Nanquan Grupo B",8,IF(Atletas!H144="Taijiquan Grupo B",9,IF(Atletas!H144="Changquan Grupo A",10,IF(Atletas!H144="Nanquan Grupo A",11,IF(Atletas!H144="Taijiquan Grupo A",12,IF(Atletas!H144="Changquan Opcional",13,IF(Atletas!H144="Nanquan Opcional",14,IF(Atletas!H144="Taijiquan Opcional",15,IF(Atletas!H144="Changquan Adulto",16,IF(Atletas!H144="Nanquan Adulto",17,IF(Atletas!H144="Taijiquan Adulto",18,""))))))))))))))))))))</f>
        <v/>
      </c>
      <c r="BG153" s="52" t="str">
        <f>IF(Atletas!I144="","",IF(Atletas!B144="Feminino",100,IF(Atletas!B144="Masculino",200,""))+(IF(Atletas!I144="Daoshu Mirim",19,IF(Atletas!I144="Jianshu Mirim",20,IF(Atletas!I144="Nandao Mirim",21,IF(Atletas!I144="Taijijian Mirim",22,IF(Atletas!I144="Daoshu Grupo C",23,IF(Atletas!I144="Jianshu Grupo C",24,IF(Atletas!I144="Nandao Grupo C",25,IF(Atletas!I144="Taijijian Grupo C",26,IF(Atletas!I144="Daoshu Grupo B",27,IF(Atletas!I144="Jianshu Grupo B",28,IF(Atletas!I144="Nandao Grupo B",29,IF(Atletas!I144="Taijijian Grupo B",30,IF(Atletas!I144="Daoshu Grupo A",31,IF(Atletas!I144="Jianshu Grupo A",32,IF(Atletas!I144="Nandao Grupo A",33,IF(Atletas!I144="Taijijian Grupo A",34,IF(Atletas!I144="Daoshu Opcional",35,IF(Atletas!I144="Jianshu Opcional",36,IF(Atletas!I144="Nandao Opcional",37,IF(Atletas!I144="Taijijian Opcional",38,IF(Atletas!I144="Daoshu Adulto",39,IF(Atletas!I144="Jianshu Adulto",40,IF(Atletas!I144="Nandao Adulto",41,IF(Atletas!I144="Taijijian Adulto",42,""))))))))))))))))))))))))))</f>
        <v/>
      </c>
      <c r="BH153" s="52" t="str">
        <f>IF(Atletas!J144="","",IF(Atletas!B144="Feminino",100,IF(Atletas!B144="Masculino",200,""))+(IF(Atletas!J144="Gunshu Mirim",43,IF(Atletas!J144="Qiangshu Mirim",44,IF(Atletas!J144="Nangun Mirim",45,IF(Atletas!J144="Gunshu Grupo C",46,IF(Atletas!J144="Qiangshu Grupo C",47,IF(Atletas!J144="Nangun Grupo C",48,IF(Atletas!J144="Gunshu Grupo B",49,IF(Atletas!J144="Qiangshu Grupo B",50,IF(Atletas!J144="Nangun Grupo B",51,IF(Atletas!J144="Gunshu Grupo A",52,IF(Atletas!J144="Qiangshu Grupo A",53,IF(Atletas!J144="Nangun Grupo A",54,IF(Atletas!J144="Gunshu Opcional",55,IF(Atletas!J144="Qiangshu Opcional",56,IF(Atletas!J144="Nangun Opcional",57,IF(Atletas!J144="Gunshu Adulto",58,IF(Atletas!J144="Qiangshu Adulto",59,IF(Atletas!J144="Nangun Adulto",60,IF(Atletas!J144="Taijishan Grupo B",61,IF(Atletas!J144="Taijishan Grupo A",62,""))))))))))))))))))))))</f>
        <v/>
      </c>
      <c r="BM153" s="50" t="str">
        <f>IF(Atletas!K144="","",IF(Atletas!B144="Feminino",100,IF(Atletas!B144="Masculino",200,""))+(IF(Atletas!K144="Equipe 1 Grupo B",1,IF(Atletas!K144="Equipe 2 Grupo B",2,IF(Atletas!K144="Equipe 1 Grupo A",3,IF(Atletas!K144="Equipe 2 Grupo A",4,IF(Atletas!K144="Equipe 1 Adulto",5,IF(Atletas!K144="Equipe 2 Adulto",6,""))))))))</f>
        <v/>
      </c>
      <c r="BR153" s="50" t="str">
        <f>IF(Atletas!L144="","",IF(Atletas!X144&lt;&gt;"",10000,0)+(IF(Atletas!B144="Feminino",1000,IF(Atletas!B144="Masculino",2000,""))+IF(Atletas!L144="Choylayfut A",1,IF(Atletas!L144="Hunggar A",2,IF(Atletas!L144="Wuzuquan A",3,IF(Atletas!L144="Wingchun A",4,IF(Atletas!L144="Outra Mão de Sul A",5,IF(Atletas!L144="Choylayfut B",6,IF(Atletas!L144="Hunggar B",7,IF(Atletas!L144="Wuzuquan B",8,IF(Atletas!L144="Wingchun B",9,IF(Atletas!L144="Outra Mão de Sul B",10,IF(Atletas!L144="Choylayfut C",11,IF(Atletas!L144="Hunggar C",12,IF(Atletas!L144="Wuzuquan C",13,IF(Atletas!L144="Wingchun C",14,IF(Atletas!L144="Outra Mão de Sul C",15,IF(Atletas!L144="Choylayfut D",16,IF(Atletas!L144="Hunggar D",17,IF(Atletas!L144="Wuzuquan D",18,IF(Atletas!L144="Wingchun D",19,IF(Atletas!L144="Outra Mão de Sul D",20,IF(Atletas!L144="Choylayfut E",21,IF(Atletas!L144="Hunggar E",22,IF(Atletas!L144="Wuzuquan E",23,IF(Atletas!L144="Wingchun E",24,IF(Atletas!L144="Outra Mão de Sul E",25,IF(Atletas!L144="Choylayfut F",26,IF(Atletas!L144="Hunggar F",27,IF(Atletas!L144="Wuzuquan F",28,IF(Atletas!L144="Wingchun F",29,IF(Atletas!L144="Outra Mão de Sul F",30,IF(Atletas!L144="Dishuquan A",31,IF(Atletas!L144="Dishuquan B",32,IF(Atletas!L144="Dishuquan C",33,IF(Atletas!L144="Dishuquan D",34,IF(Atletas!L144="Dishuquan E",35,IF(Atletas!L144="Dishuquan F",36,""))))))))))))))))))))))))))))))))))))))</f>
        <v/>
      </c>
      <c r="BS153" s="50" t="str">
        <f>IF(Atletas!M144="","",IF(Atletas!X144&lt;&gt;"",10000,0)+(IF(Atletas!B144="Feminino",1000,IF(Atletas!B144="Masculino",2000,""))+(IF(Atletas!M144="Chaquan A",101,IF(Atletas!M144="Emeiquan A",102,IF(Atletas!M144="Fanziquan A",103,IF(Atletas!M144="Huaquan A",104,IF(Atletas!M144="Hongquan A",105,IF(Atletas!M144="Paoquan A",106,IF(Atletas!M144="Piguaquan A",107,IF(Atletas!M144="Shaolinquan A",108,IF(Atletas!M144="Tanglangquan A",109,IF(Atletas!M144="Yingzhaoquan A",110,IF(Atletas!M144="Tongbeiquan A",111,IF(Atletas!M144="Wudangquan A",112,IF(Atletas!M144="Outros Estilos A",113,IF(Atletas!M144="Chaquan B",114,IF(Atletas!M144="Emeiquan B",115,IF(Atletas!M144="Fanziquan B",116,IF(Atletas!M144="Huaquan B",117,IF(Atletas!M144="Hongquan B",118,IF(Atletas!M144="Paoquan B",119,IF(Atletas!M144="Piguaquan B",120,IF(Atletas!M144="Shaolinquan B",121,IF(Atletas!M144="Tanglangquan B",122,IF(Atletas!M144="Yingzhaoquan B",123,IF(Atletas!M144="Tongbeiquan B",124,IF(Atletas!M144="Wudangquan B",125,IF(Atletas!M144="Outros Estilos B",126,IF(Atletas!M144="Chaquan C",127,IF(Atletas!M144="Emeiquan C",128,IF(Atletas!M144="Fanziquan C",129,IF(Atletas!M144="Huaquan C",130,IF(Atletas!M144="Hongquan C",131,IF(Atletas!M144="Paoquan C",132,IF(Atletas!M144="Piguaquan C",133,IF(Atletas!M144="Shaolinquan C",134,IF(Atletas!M144="Tanglangquan C",135,IF(Atletas!M144="Yingzhaoquan C",136,IF(Atletas!M144="Tongbeiquan C",137,IF(Atletas!M144="Wudangquan C",138,IF(Atletas!M144="Outros Estilos C",139,0))))))))))))))))))))))))))))))))))))))))))</f>
        <v/>
      </c>
      <c r="BT153" s="50" t="str">
        <f>IF(Atletas!M144="","",IF(Atletas!X144&lt;&gt;"",10000,0)+(IF(Atletas!B144="Feminino",1000,IF(Atletas!B144="Masculino",2000,""))+(IF(Atletas!M144="Chaquan D",140,IF(Atletas!M144="Emeiquan D",141,IF(Atletas!M144="Fanziquan D",142,IF(Atletas!M144="Huaquan D",143,IF(Atletas!M144="Hongquan D",144,IF(Atletas!M144="Paoquan D",145,IF(Atletas!M144="Piguaquan D",146,IF(Atletas!M144="Shaolinquan D",147,IF(Atletas!M144="Tanglangquan D",148,IF(Atletas!M144="Yingzhaoquan D",149,IF(Atletas!M144="Tongbeiquan D",150,IF(Atletas!M144="Wudangquan D",151,IF(Atletas!M144="Outros Estilos D",152,IF(Atletas!M144="Chaquan E",153,IF(Atletas!M144="Emeiquan E",154,IF(Atletas!M144="Fanziquan E",155,IF(Atletas!M144="Huaquan E",156,IF(Atletas!M144="Hongquan E",157,IF(Atletas!M144="Paoquan E",158,IF(Atletas!M144="Piguaquan E",159,IF(Atletas!M144="Shaolinquan E",160,IF(Atletas!M144="Tanglangquan E",161,IF(Atletas!M144="Yingzhaoquan E",162,IF(Atletas!M144="Tongbeiquan E",163,IF(Atletas!M144="Wudangquan E",164,IF(Atletas!M144="Outros Estilos E",165,IF(Atletas!M144="Chaquan F",166,IF(Atletas!M144="Emeiquan F",167,IF(Atletas!M144="Fanziquan F",168,IF(Atletas!M144="Huaquan F",169,IF(Atletas!M144="Hongquan F",170,IF(Atletas!M144="Paoquan F",171,IF(Atletas!M144="Piguaquan F",172,IF(Atletas!M144="Shaolinquan F",173,IF(Atletas!M144="Tanglangquan F",174,IF(Atletas!M144="Yingzhaoquan F",175,IF(Atletas!M144="Tongbeiquan F",176,IF(Atletas!M144="Wudangquan F",177,IF(Atletas!M144="Outros Estilos F",178,0))))))))))))))))))))))))))))))))))))))))))</f>
        <v/>
      </c>
      <c r="BU153" s="50" t="str">
        <f>IF(Atletas!N144="","",IF(Atletas!X144&lt;&gt;"",10000,0)+(IF(Atletas!B144="Feminino",1000,IF(Atletas!B144="Masculino",2000,""))+(IF(Atletas!N144="Ditangquan A",201,IF(Atletas!N144="Houquan A",202,IF(Atletas!N144="Zuiquan A",203,IF(Atletas!N144="Ditangquan B",204,IF(Atletas!N144="Houquan B",205,IF(Atletas!N144="Zuiquan B",206,IF(Atletas!N144="Ditangquan C",207,IF(Atletas!N144="Houquan C",208,IF(Atletas!N144="Zuiquan C",209,IF(Atletas!N144="Ditangquan D",210,IF(Atletas!N144="Houquan D",211,IF(Atletas!N144="Zuiquan D",212,IF(Atletas!N144="Ditangquan E",213,IF(Atletas!N144="Houquan E",214,IF(Atletas!N144="Zuiquan E",215,IF(Atletas!N144="Ditangquan F",216,IF(Atletas!N144="Houquan F",217,IF(Atletas!N144="Zuiquan F",218,"")))))))))))))))))))))</f>
        <v/>
      </c>
      <c r="BV153" s="50" t="str">
        <f>IF(Atletas!O144="","",IF(Atletas!X144&lt;&gt;"",10000,0)+IF(Atletas!B144="Feminino",1000,IF(Atletas!B144="Masculino",2000,""))+IF(Atletas!O144="Yang A",301,IF(Atletas!O144="Chen A",302,IF(Atletas!O144="Sun A",303,IF(Atletas!O144="Wu A",304,IF(Atletas!O144="Wu-Hao A",305,IF(Atletas!O144="Outro Taijiquan A",306,IF(Atletas!O144="Yang B",307,IF(Atletas!O144="Chen B",308,IF(Atletas!O144="Sun B",309,IF(Atletas!O144="Wu B",310,IF(Atletas!O144="Wu-Hao B",311,IF(Atletas!O144="Outro Taijiquan B",312,IF(Atletas!O144="Yang C",313,IF(Atletas!O144="Chen C",314,IF(Atletas!O144="Sun C",315,IF(Atletas!O144="Wu C",316,IF(Atletas!O144="Wu-Hao C",317,IF(Atletas!O144="Outro Taijiquan C",318,IF(Atletas!O144="Yang D",319,IF(Atletas!O144="Chen D",320,IF(Atletas!O144="Sun D",321,IF(Atletas!O144="Wu D",322,IF(Atletas!O144="Wu-Hao D",323,IF(Atletas!O144="Outro Taijiquan D",324,IF(Atletas!O144="Yang E",325,IF(Atletas!O144="Chen E",326,IF(Atletas!O144="Sun E",327,IF(Atletas!O144="Wu E",328,IF(Atletas!O144="Wu-Hao E",329,IF(Atletas!O144="Outro Taijiquan E",330,IF(Atletas!O144="Yang F",331,IF(Atletas!O144="Chen F",332,IF(Atletas!O144="Sun F",333,IF(Atletas!O144="Wu F",334,IF(Atletas!O144="Wu-Hao F",335,IF(Atletas!O144="Outro Taijiquan F",336,"")))))))))))))))))))))))))))))))))))))</f>
        <v/>
      </c>
      <c r="BW153" s="50" t="str">
        <f>IF(Atletas!P144="","",IF(Atletas!X144&lt;&gt;"",10000,0)+IF(Atletas!B144="Feminino",1000,IF(Atletas!B144="Masculino",2000,""))+IF(OR(Atletas!P144="Yang 26 A",Atletas!P144="Yang 40 A"),401,IF(OR(Atletas!P144="Chen 25 A",Atletas!P144="Chen 36 A",Atletas!P144="Chen 56 A"),402,IF(Atletas!P144="Sun 73 A",403,IF(Atletas!P144="Wu 45 A",404,IF(Atletas!P144="Wu-Hao 46 A",405,IF(OR(Atletas!P144="Taijiquan 16 A",Atletas!P144="Taijiquan 24 A",Atletas!P144="Taijiquan 32 A",Atletas!P144="Taijiquan 42 A"),406,IF(OR(Atletas!P144="Yang 26 B",Atletas!P144="Yang 40 B"),407,IF(OR(Atletas!P144="Chen 25 B",Atletas!P144="Chen 36 B",Atletas!P144="Chen 56 B"),408,IF(Atletas!P144="Sun 73 B",409,IF(Atletas!P144="Wu 45 B",410,IF(Atletas!P144="Wu-Hao 46 B",411,IF(OR(Atletas!P144="Taijiquan 16 B",Atletas!P144="Taijiquan 24 B",Atletas!P144="Taijiquan 32 B",Atletas!P144="Taijiquan 42 B"),412,IF(OR(Atletas!P144="Yang 26 C",Atletas!P144="Yang 40 C"),413,IF(OR(Atletas!P144="Chen 25 C",Atletas!P144="Chen 36 C",Atletas!P144="Chen 56 C"),414,IF(Atletas!P144="Sun 73 C",415,IF(Atletas!P144="Wu 45 C",416,IF(Atletas!P144="Wu-Hao 46 C",417,IF(OR(Atletas!P144="Taijiquan 16 C",Atletas!P144="Taijiquan 24 C",Atletas!P144="Taijiquan 32 C",Atletas!P144="Taijiquan 42 C"),418,0)))))))))))))))))))</f>
        <v/>
      </c>
      <c r="BX153" s="50" t="str">
        <f>IF(Atletas!P144="","",IF(Atletas!X144&lt;&gt;"",10000,0)+IF(Atletas!B144="Feminino",1000,IF(Atletas!B144="Masculino",2000,""))+IF(OR(Atletas!P144="Yang 26 D",Atletas!P144="Yang 40 D"),419,IF(OR(Atletas!P144="Chen 25 D",Atletas!P144="Chen 36 D",Atletas!P144="Chen 56 D"),420,IF(Atletas!P144="Sun 73 D",421,IF(Atletas!P144="Wu 45 D",422,IF(Atletas!P144="Wu-Hao 46 D",423,IF(OR(Atletas!P144="Taijiquan 16 D",Atletas!P144="Taijiquan 24 D",Atletas!P144="Taijiquan 32 D",Atletas!P144="Taijiquan 42 D"),424,IF(OR(Atletas!P144="Yang 26 E",Atletas!P144="Yang 40 E"),425,IF(OR(Atletas!P144="Chen 25 E",Atletas!P144="Chen 36 E",Atletas!P144="Chen 56 E"),426,IF(Atletas!P144="Sun 73 E",427,IF(Atletas!P144="Wu 45 E",428,IF(Atletas!P144="Wu-Hao 46 E",429,IF(OR(Atletas!P144="Taijiquan 16 E",Atletas!P144="Taijiquan 24 E",Atletas!P144="Taijiquan 32 E",Atletas!P144="Taijiquan 42 E"),430,IF(OR(Atletas!P144="Yang 26 F",Atletas!P144="Yang 40 F"),431,IF(OR(Atletas!P144="Chen 25 F",Atletas!P144="Chen 36 F",Atletas!P144="Chen 56 F"),432,IF(Atletas!P144="Sun 73 F",433,IF(Atletas!P144="Wu 45 F",434,IF(Atletas!P144="Wu-Hao 46 F",435,IF(OR(Atletas!P144="Taijiquan 16 F",Atletas!P144="Taijiquan 24 F",Atletas!P144="Taijiquan 32 F",Atletas!P144="Taijiquan 42 F"),436,0)))))))))))))))))))</f>
        <v/>
      </c>
      <c r="BY153" s="50" t="str">
        <f>IF(Atletas!Q144="","",IF(Atletas!X144&lt;&gt;"",10000,0)+IF(Atletas!B144="Feminino",1000,IF(Atletas!B144="Masculino",2000,""))+IF(Atletas!Q144="Xingyiquan A",501,IF(Atletas!Q144="Baguazhang A",502,IF(Atletas!Q144="Outro Estilo Interno A",503,IF(Atletas!Q144="Xingyiquan B",504,IF(Atletas!Q144="Baguazhang B",505,IF(Atletas!Q144="Outro Estilo Interno B",506,IF(Atletas!Q144="Xingyiquan C",507,IF(Atletas!Q144="Baguazhang C",508,IF(Atletas!Q144="Outro Estilo Interno C",509,IF(Atletas!Q144="Xingyiquan D",510,IF(Atletas!Q144="Baguazhang D",511,IF(Atletas!Q144="Outro Estilo Interno D",512,IF(Atletas!Q144="Xingyiquan E",513,IF(Atletas!Q144="Baguazhang E",514,IF(Atletas!Q144="Outro Estilo Interno E",515,IF(Atletas!Q144="Xingyiquan F",516,IF(Atletas!Q144="Baguazhang F",517,IF(Atletas!Q144="Outro Estilo Interno F",518, "")))))))))))))))))))</f>
        <v/>
      </c>
      <c r="BZ153" s="50" t="str">
        <f>IF(Atletas!R144="","",IF(Atletas!X144&lt;&gt;"",10000,0)+IF(Atletas!B144="Feminino",1000,IF(Atletas!B144="Masculino",2000,""))+IF(Atletas!R144="Dao A",601,IF(Atletas!R144="Jian A",602,IF(Atletas!R144="Bishou A",603,IF(Atletas!R144="Shanzi A",604,IF(Atletas!R144="Outra Arma Curta A",605,IF(Atletas!R144="Dao B",606,IF(Atletas!R144="Jian B",607,IF(Atletas!R144="Bishou B",608,IF(Atletas!R144="Shanzi B",609,IF(Atletas!R144="Outra Arma Curta B",610,IF(Atletas!R144="Dao C",611,IF(Atletas!R144="Jian C",612,IF(Atletas!R144="Bishou C",613,IF(Atletas!R144="Shanzi C",614,IF(Atletas!R144="Outra Arma Curta C",615,IF(Atletas!R144="Dao D",616,IF(Atletas!R144="Jian D",617,IF(Atletas!R144="Bishou D",618,IF(Atletas!R144="Shanzi D",619,IF(Atletas!R144="Outra Arma Curta D",620,IF(Atletas!R144="Dao E",621,IF(Atletas!R144="Jian E",622,IF(Atletas!R144="Bishou E",623,IF(Atletas!R144="Shanzi E",624,IF(Atletas!R144="Outra Arma Curta E",625,IF(Atletas!R144="Dao F",626,IF(Atletas!R144="Jian F",627,IF(Atletas!R144="Bishou F",628,IF(Atletas!R144="Shanzi F",629,IF(Atletas!R144="Outra Arma Curta F",630, "")))))))))))))))))))))))))))))))</f>
        <v/>
      </c>
      <c r="CA153" s="50" t="str">
        <f>IF(Atletas!S144="","",IF(Atletas!X144&lt;&gt;"",10000,0)+IF(Atletas!B144="Feminino",1000,IF(Atletas!B144="Masculino",2000,""))+IF(Atletas!S144="Gun A",701,IF(Atletas!S144="Qiang A",702,IF(Atletas!S144="Pudao / Guandao A",703,IF(Atletas!S144="Outra Arma Longa A",704,IF(Atletas!S144="Gun B",705,IF(Atletas!S144="Qiang B",706,IF(Atletas!S144="Pudao / Guandao B",707,IF(Atletas!S144="Outra Arma Longa B",708,IF(Atletas!S144="Gun C",709,IF(Atletas!S144="Qiang C",710,IF(Atletas!S144="Pudao / Guandao C",711,IF(Atletas!S144="Outra Arma Longa C",712,IF(Atletas!S144="Gun D",713,IF(Atletas!S144="Qiang D",714,IF(Atletas!S144="Pudao / Guandao D",715,IF(Atletas!S144="Outra Arma Longa D",716,IF(Atletas!S144="Gun E",717,IF(Atletas!S144="Qiang E",718,IF(Atletas!S144="Pudao / Guandao E",719,IF(Atletas!S144="Outra Arma Longa E",720,IF(Atletas!S144="Gun F",721,IF(Atletas!S144="Qiang F",722,IF(Atletas!S144="Pudao / Guandao F",723,IF(Atletas!S144="Outra Arma Longa F",724,"")))))))))))))))))))))))))</f>
        <v/>
      </c>
      <c r="CB153" s="50" t="str">
        <f>IF(Atletas!T144="","",IF(Atletas!X144&lt;&gt;"",10000,0)+IF(Atletas!B144="Feminino",1000,IF(Atletas!B144="Masculino",2000,""))+IF(Atletas!T144="Outra Arma Dupla A",801,IF(Atletas!T144="Arma Maleável A",802,IF(Atletas!T144="Outra Arma Dupla B",803,IF(Atletas!T144="Arma Maleável B",804,IF(Atletas!T144="Outra Arma Dupla C",805,IF(Atletas!T144="Arma Maleável C",806,IF(Atletas!T144="Outra Arma Dupla D",807,IF(Atletas!T144="Arma Maleável D",808,IF(Atletas!T144="Outra Arma Dupla E",809,IF(Atletas!T144="Arma Maleável E",810,IF(Atletas!T144="Outra Arma Dupla F",811,IF(Atletas!T144="Arma Maleável F",812,IF(Atletas!T144="Shuangdao A",813,IF(Atletas!T144="Shuangdao B",814,IF(Atletas!T144="Shuangdao C",815,IF(Atletas!T144="Shuangdao D",816,IF(Atletas!T144="Shuangdao E",817,IF(Atletas!T144="Shuangdao F",818,"")))))))))))))))))))</f>
        <v/>
      </c>
      <c r="CC153" s="50" t="str">
        <f>IF(Atletas!U144="","",IF(Atletas!X144&lt;&gt;"",10000,0)+IF(Atletas!B144="Feminino",1000,IF(Atletas!B144="Masculino",2000,""))+IF(OR(Atletas!U144="Taijijian Yang A",Atletas!U144="Taijijian Yang Standard A"),901,IF(OR(Atletas!U144="Taijijian Chen A", Atletas!U144="Taijijian Chen Standard A"),902,IF(Atletas!U144="Taijijian Sun A",903,IF(Atletas!U144="Taijijian Wu A",904,IF(Atletas!U144="Taijijian Wu-Hao A",905,IF(OR(Atletas!U144="Taijijian 32 A",Atletas!U144="Taijijian 42 A"),906,IF(OR(Atletas!U144="Taijijian Yang B",Atletas!U144="Taijijian Yang Standard B"),907,IF(OR(Atletas!U144="Taijijian Chen B", Atletas!U144="Taijijian Chen Standard B"),908,IF(Atletas!U144="Taijijian Sun B",909,IF(Atletas!U144="Taijijian Wu B",910,IF(Atletas!U144="Taijijian Wu-Hao B",911,IF(OR(Atletas!U144="Taijijian 32 B",Atletas!U144="Taijijian 42 B"),912,IF(OR(Atletas!U144="Taijijian Yang C",Atletas!U144="Taijijian Yang Standard C"),913,IF(OR(Atletas!U144="Taijijian Chen C", Atletas!U144="Taijijian Chen Standard C"),914,IF(Atletas!U144="Taijijian Sun C",915,IF(Atletas!U144="Taijijian Wu C",916,IF(Atletas!U144="Taijijian Wu-Hao C",917,IF(OR(Atletas!U144="Taijijian 32 C",Atletas!U144="Taijijian 42 C"),918,IF(OR(Atletas!U144="Taijijian Yang D",Atletas!U144="Taijijian Yang Standard D"),919,IF(OR(Atletas!U144="Taijijian Chen D", Atletas!U144="Taijijian Chen Standard D"),920,IF(Atletas!U144="Taijijian Sun D",921,IF(Atletas!U144="Taijijian Wu D",922,IF(Atletas!U144="Taijijian Wu-Hao D",923,IF(OR(Atletas!U144="Taijijian 32 D",Atletas!U144="Taijijian 42 D"),924,IF(OR(Atletas!U144="Taijijian Yang E",Atletas!U144="Taijijian Yang Standard E"),925,IF(OR(Atletas!U144="Taijijian Chen E", Atletas!U144="Taijijian Chen Standard E"),926,IF(Atletas!U144="Taijijian Sun E",927,IF(Atletas!U144="Taijijian Wu E",928,IF(Atletas!U144="Taijijian Wu-Hao E",929,IF(OR(Atletas!U144="Taijijian 32 E",Atletas!U144="Taijijian 42 E"),930,IF(OR(Atletas!U144="Taijijian Yang F",Atletas!U144="Taijijian Yang Standard F"),931,IF(OR(Atletas!U144="Taijijian Chen F", Atletas!U144="Taijijian Chen Standard F"),932,IF(Atletas!U144="Taijijian Sun F",933,IF(Atletas!U144="Taijijian Wu F",934,IF(Atletas!U144="Taijijian Wu-Hao F",935,IF(OR(Atletas!U144="Taijijian 32 F",Atletas!U144="Taijijian 42 F"),936,"")))))))))))))))))))))))))))))))))))))</f>
        <v/>
      </c>
      <c r="CD153" s="50" t="str">
        <f>IF(Atletas!V144="","",IF(Atletas!X144&lt;&gt;"",10000,0)+IF(Atletas!B144="Feminino",1000,IF(Atletas!B144="Masculino",2000,""))+IF(Atletas!V144="Taijidao A",937,IF(Atletas!V144="TaijiShanzi A",938,IF(Atletas!V144="Taijiqiang A",939,IF(Atletas!V144="Bagua de Arma A",940,IF(Atletas!V144="Xingyi de Arma A",941,IF(Atletas!V144="Taijidao B",942,IF(Atletas!V144="TaijiShanzi B",943,IF(Atletas!V144="Taijiqiang B",944,IF(Atletas!V144="Bagua de Arma B",945,IF(Atletas!V144="Xingyi de Arma B",946,IF(Atletas!V144="Taijidao C",947,IF(Atletas!V144="TaijiShanzi C",948,IF(Atletas!V144="Taijiqiang C",949,IF(Atletas!V144="Bagua de Arma C",950,IF(Atletas!V144="Xingyi de Arma C",951,IF(Atletas!V144="Taijidao D",952,IF(Atletas!V144="TaijiShanzi D",953,IF(Atletas!V144="Taijiqiang D",954,IF(Atletas!V144="Bagua de Arma D",955,IF(Atletas!V144="Xingyi de Arma D",956,IF(Atletas!V144="Taijidao E",957,IF(Atletas!V144="TaijiShanzi E",958,IF(Atletas!V144="Taijiqiang E",959,IF(Atletas!V144="Bagua de Arma E",960,IF(Atletas!V144="Xingyi de Arma E",961,IF(Atletas!V144="Taijidao F",962,IF(Atletas!V144="TaijiShanzi F",963,IF(Atletas!V144="Taijiqiang F",964,IF(Atletas!V144="Bagua de Arma F",965,IF(Atletas!V144="Xingyi de Arma F",966,"")))))))))))))))))))))))))))))))</f>
        <v/>
      </c>
      <c r="CE153" s="66" t="str">
        <f>IF(CF153&lt;&gt;"","TJQ Trad. Sun C","")</f>
        <v/>
      </c>
      <c r="CF153" s="66" t="str">
        <f>IF(COUNTIF(BR:CD,1315)&gt;0,COUNTIF(BR:CD,1315),"")</f>
        <v/>
      </c>
      <c r="CG153" s="66" t="str">
        <f>IF(CH153&lt;&gt;"","TJQ Trad. Sun C","")</f>
        <v/>
      </c>
      <c r="CH153" s="66" t="str">
        <f>IF(COUNTIF(BR:CD,2315)&gt;0,COUNTIF(BR:CD,2315),"")</f>
        <v/>
      </c>
      <c r="CI153" s="66" t="str">
        <f>IF(CJ153&lt;&gt;"","TJQ Trad. Sun D","")</f>
        <v/>
      </c>
      <c r="CJ153" s="66" t="str">
        <f>IF(COUNTIF(BR:CD,11321)&gt;0,COUNTIF(BR:CD,11321),"")</f>
        <v/>
      </c>
      <c r="CK153" s="66" t="str">
        <f>IF(CL153&lt;&gt;"","TJQ Trad. Sun D","")</f>
        <v/>
      </c>
      <c r="CL153" s="66" t="str">
        <f>IF(COUNTIF(BR:CD,12321)&gt;0,COUNTIF(BR:CD,12321),"")</f>
        <v/>
      </c>
      <c r="CM153" s="50" t="str">
        <f xml:space="preserve"> IF(Atletas!W144="","",IF(Atletas!W144="Duilian de Mãos BC - Equipe 1",1,IF(Atletas!W144="Duilian de Mãos BC - Equipe 2",2,IF(Atletas!W144="Duilian de Armas BC - Equipe 1",3,IF(Atletas!W144="Duilian de Armas BC - Equipe 2",4,IF(Atletas!W144="Duilian de Mãos DE - Equipe 1",5,IF(Atletas!W144="Duilian de Mãos DE - Equipe 2",6,IF(Atletas!W144="Duilian de Armas DE - Equipe 1",7,IF(Atletas!W144="Duilian de Armas DE - Equipe 2",8,IF(Atletas!W144="Duilian de Tuishou - Equipe 1",9,IF(Atletas!W144="Duilian de Tuishou - Equipe 2",10,IF(Atletas!W144="Grupo Externo ABC - Equipe 1",11,IF(Atletas!W144="Grupo Externo ABC - Equipe 2",12,IF(Atletas!W144="Grupo Interno ABC - Equipe 1",13,IF(Atletas!W144="Grupo Interno ABC - Equipe 2",14,IF(Atletas!W144="Grupo Externo DEF - Equipe 1",15,IF(Atletas!W144="Grupo Externo DEF - Equipe 2",16,IF(Atletas!W144="Grupo Interno DEF - Equipe 1",17,IF(Atletas!W144="Grupo Interno DEF - Equipe 2",18,"")))))))))))))))))))</f>
        <v/>
      </c>
    </row>
    <row r="154" spans="2:9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 t="str">
        <f t="array" ref="Z154">IFERROR(INDEX(CE$7:CE$348,SMALL(IF(CE$7:CE$348&lt;&gt;"",ROW(CE$7:CE$348)-ROW(CE$7)+1),ROWS(CE$7:CE153))),"")</f>
        <v/>
      </c>
      <c r="AA154" s="3" t="str">
        <f t="array" ref="AA154">IFERROR(INDEX(CF$7:CF$348,SMALL(IF(CF$7:CF$348&lt;&gt;"",ROW(CF$7:CF$348)-ROW(CF$7)+1),ROWS(CF$7:CF153))),"")</f>
        <v/>
      </c>
      <c r="AB154" s="3" t="str">
        <f t="array" ref="AB154">IFERROR(INDEX(CG$7:CG$348,SMALL(IF(CG$7:CG$348&lt;&gt;"",ROW(CG$7:CG$348)-ROW(CG$7)+1),ROWS(CG$7:CG153))),"")</f>
        <v/>
      </c>
      <c r="AC154" s="3" t="str">
        <f t="array" ref="AC154">IFERROR(INDEX(CH$7:CH$348,SMALL(IF(CH$7:CH$348&lt;&gt;"",ROW(CH$7:CH$348)-ROW(CH$7)+1),ROWS(CH$7:CH153))),"")</f>
        <v/>
      </c>
      <c r="AD154" s="3" t="str">
        <f t="array" ref="AD154">IFERROR(INDEX(CI$7:CI$377,SMALL(IF(CI$7:CI$377&lt;&gt;"",ROW(CI$7:CI$377)-ROW(CI$7)+1),ROWS(CI$7:CI153))),"")</f>
        <v/>
      </c>
      <c r="AE154" s="3" t="str">
        <f t="array" ref="AE154">IFERROR(INDEX(CJ$7:CJ$378,SMALL(IF(CJ$7:CJ$378&lt;&gt;"",ROW(CJ$7:CJ$378)-ROW(CJ$7)+1),ROWS(CJ$7:CJ153))),"")</f>
        <v/>
      </c>
      <c r="AF154" s="3" t="str">
        <f t="array" ref="AF154">IFERROR(INDEX(CK$7:CK$378,SMALL(IF(CK$7:CK$378&lt;&gt;"",ROW(CK$7:CK$378)-ROW(CK$7)+1),ROWS(CK$7:CK153))),"")</f>
        <v/>
      </c>
      <c r="AG154" s="3" t="str">
        <f t="array" ref="AG154">IFERROR(INDEX(CL$7:CL$378,SMALL(IF(CL$7:CL$378&lt;&gt;"",ROW(CL$7:CL$378)-ROW(CL$7)+1),ROWS(CL$7:CL153))),"")</f>
        <v/>
      </c>
      <c r="AH154" s="3"/>
      <c r="AI154" s="3"/>
      <c r="AJ154" s="3"/>
      <c r="AK154" s="3"/>
      <c r="AL154" s="3"/>
      <c r="AM154" s="3"/>
      <c r="AN154" s="52" t="str">
        <f>IF(Atletas!D145="","",IF(Atletas!B145="Feminino",100,IF(Atletas!B145="Masculino",200,""))+(IF(Atletas!D145="Kids 30kg",1,IF(Atletas!D145="Kids 32kg",2, IF(Atletas!D145="Kids 34kg",3,IF(Atletas!D145="Kids 36kg",4,IF(Atletas!D145="Kids 39kg",5,IF(Atletas!D145="Kids 42kg",6,IF(Atletas!D145="Kids 45kg",7, IF(Atletas!D145="Infantil 39kg",8,IF(Atletas!D145="Infantil 42kg",9,IF(Atletas!D145="Infantil 45kg",10,IF(Atletas!D145="Infantil 48kg",11,IF(Atletas!D145="Infantil 52kg",12,IF(Atletas!D145="Infantil 56kg",13,IF(Atletas!D145="Infantil 60kg",14,IF(Atletas!D145="Juvenil 48kg",15,IF(Atletas!D145="Juvenil 52kg",16,IF(Atletas!D145="Juvenil 56kg",17,IF(Atletas!D145="Juvenil 60kg",18,IF(Atletas!D145="Juvenil 65kg",19,IF(Atletas!D145="Juvenil 70kg",20,IF(Atletas!D145="Juvenil 75kg",21,IF(Atletas!D145="Juvenil 80kg",22, IF(Atletas!D145="Juvenil 85kg",23,IF(Atletas!D145="Adulto 48kg",24,IF(Atletas!D145="Adulto 52kg",25,IF(Atletas!D145="Adulto 56kg",26,IF(Atletas!D145="Adulto 60kg",27,IF(Atletas!D145="Adulto 65kg",28,IF(Atletas!D145="Adulto 70kg",29,IF(Atletas!D145="Adulto 75kg",30,IF(Atletas!D145="Adulto 80kg",31,IF(Atletas!D145="Adulto 85kg",32,IF(Atletas!D145="Adulto 90kg",33,IF(Atletas!D145="Adulto 100kg",34, IF(Atletas!D145="Adulto +100kg",35,"")))))))))))))))))))))))))))))))))))))</f>
        <v/>
      </c>
      <c r="AS154" s="6" t="str">
        <f>IF(Atletas!E145="","",IF(Atletas!B145="Feminino",100,IF(Atletas!B145="Masculino",200,""))+(IF(Atletas!E145="Juvenil 44kg",1,IF(Atletas!E145="Juvenil 48kg",2,IF(Atletas!E145="Juvenil 52kg",3,IF(Atletas!E145="Juvenil 56kg",4,IF(Atletas!E145="Juvenil 60kg",5,IF(Atletas!E145="Juvenil 65kg",6,IF(Atletas!E145="Juvenil 70kg",7,IF(Atletas!E145="Juvenil 75kg",8,IF(Atletas!E145="Juvenil 82kg",9,IF(Atletas!E145="Juvenil 90kg",10,IF(Atletas!E145="Juvenil 100kg",11,IF(Atletas!E145="Adulto 48kg",12,IF(Atletas!E145="Adulto 52kg",13,IF(Atletas!E145="Adulto 56kg",14,IF(Atletas!E145="Adulto 60kg",15,IF(Atletas!E145="Adulto 65kg",16,IF(Atletas!E145="Adulto 70kg",17,IF(Atletas!E145="Adulto 75kg",18,IF(Atletas!E145="Adulto 82kg",19,IF(Atletas!E145="Adulto 90kg",20,IF(Atletas!E145="Adulto 100kg",21,IF(Atletas!E145="Adulto +100kg",22,""))))))))))))))))))))))))</f>
        <v/>
      </c>
      <c r="AX154" s="6" t="str">
        <f>IF(Atletas!F145="","",IF(Atletas!B145="Feminino",100,IF(Atletas!B145="Masculino",200,""))+(IF(Atletas!F145="Adulto 48kg",1,IF(Atletas!F145="Adulto 56kg",2,IF(Atletas!F145="Adulto 65kg",3,IF(Atletas!F145="Adulto 75kg",4,IF(Atletas!F145="Adulto +75kg",5,IF(Atletas!F145="Adulto 52kg",6,IF(Atletas!F145="Adulto 60kg",7,IF(Atletas!F145="Adulto 70kg",8,IF(Atletas!F145="Adulto 80kg",9,IF(Atletas!F145="Adulto 90kg",10,IF(Atletas!F145="Adulto +90kg",11,"")))))))))))))</f>
        <v/>
      </c>
      <c r="BC154" s="6" t="str">
        <f>IF(Atletas!G145="","",IF(Atletas!B145="Feminino",10,IF(Atletas!B145="Masculino",20,""))+(IF(Atletas!G145="Baduanjin A",1,IF(Atletas!G145="Baduanjin B",2))))</f>
        <v/>
      </c>
      <c r="BF154" s="52" t="str">
        <f>IF(Atletas!H145="","",IF(Atletas!B145="Feminino",100,IF(Atletas!B145="Masculino",200,""))+(IF(Atletas!H145="Changquan Mirim",1,IF(Atletas!H145="Nanquan Mirim",2,IF(Atletas!H145="Taijiquan Mirim",3,IF(Atletas!H145="Changquan Grupo C",4,IF(Atletas!H145="Nanquan Grupo C",5,IF(Atletas!H145="Taijiquan Grupo C",6,IF(Atletas!H145="Changquan Grupo B",7,IF(Atletas!H145="Nanquan Grupo B",8,IF(Atletas!H145="Taijiquan Grupo B",9,IF(Atletas!H145="Changquan Grupo A",10,IF(Atletas!H145="Nanquan Grupo A",11,IF(Atletas!H145="Taijiquan Grupo A",12,IF(Atletas!H145="Changquan Opcional",13,IF(Atletas!H145="Nanquan Opcional",14,IF(Atletas!H145="Taijiquan Opcional",15,IF(Atletas!H145="Changquan Adulto",16,IF(Atletas!H145="Nanquan Adulto",17,IF(Atletas!H145="Taijiquan Adulto",18,""))))))))))))))))))))</f>
        <v/>
      </c>
      <c r="BG154" s="52" t="str">
        <f>IF(Atletas!I145="","",IF(Atletas!B145="Feminino",100,IF(Atletas!B145="Masculino",200,""))+(IF(Atletas!I145="Daoshu Mirim",19,IF(Atletas!I145="Jianshu Mirim",20,IF(Atletas!I145="Nandao Mirim",21,IF(Atletas!I145="Taijijian Mirim",22,IF(Atletas!I145="Daoshu Grupo C",23,IF(Atletas!I145="Jianshu Grupo C",24,IF(Atletas!I145="Nandao Grupo C",25,IF(Atletas!I145="Taijijian Grupo C",26,IF(Atletas!I145="Daoshu Grupo B",27,IF(Atletas!I145="Jianshu Grupo B",28,IF(Atletas!I145="Nandao Grupo B",29,IF(Atletas!I145="Taijijian Grupo B",30,IF(Atletas!I145="Daoshu Grupo A",31,IF(Atletas!I145="Jianshu Grupo A",32,IF(Atletas!I145="Nandao Grupo A",33,IF(Atletas!I145="Taijijian Grupo A",34,IF(Atletas!I145="Daoshu Opcional",35,IF(Atletas!I145="Jianshu Opcional",36,IF(Atletas!I145="Nandao Opcional",37,IF(Atletas!I145="Taijijian Opcional",38,IF(Atletas!I145="Daoshu Adulto",39,IF(Atletas!I145="Jianshu Adulto",40,IF(Atletas!I145="Nandao Adulto",41,IF(Atletas!I145="Taijijian Adulto",42,""))))))))))))))))))))))))))</f>
        <v/>
      </c>
      <c r="BH154" s="52" t="str">
        <f>IF(Atletas!J145="","",IF(Atletas!B145="Feminino",100,IF(Atletas!B145="Masculino",200,""))+(IF(Atletas!J145="Gunshu Mirim",43,IF(Atletas!J145="Qiangshu Mirim",44,IF(Atletas!J145="Nangun Mirim",45,IF(Atletas!J145="Gunshu Grupo C",46,IF(Atletas!J145="Qiangshu Grupo C",47,IF(Atletas!J145="Nangun Grupo C",48,IF(Atletas!J145="Gunshu Grupo B",49,IF(Atletas!J145="Qiangshu Grupo B",50,IF(Atletas!J145="Nangun Grupo B",51,IF(Atletas!J145="Gunshu Grupo A",52,IF(Atletas!J145="Qiangshu Grupo A",53,IF(Atletas!J145="Nangun Grupo A",54,IF(Atletas!J145="Gunshu Opcional",55,IF(Atletas!J145="Qiangshu Opcional",56,IF(Atletas!J145="Nangun Opcional",57,IF(Atletas!J145="Gunshu Adulto",58,IF(Atletas!J145="Qiangshu Adulto",59,IF(Atletas!J145="Nangun Adulto",60,IF(Atletas!J145="Taijishan Grupo B",61,IF(Atletas!J145="Taijishan Grupo A",62,""))))))))))))))))))))))</f>
        <v/>
      </c>
      <c r="BM154" s="50" t="str">
        <f>IF(Atletas!K145="","",IF(Atletas!B145="Feminino",100,IF(Atletas!B145="Masculino",200,""))+(IF(Atletas!K145="Equipe 1 Grupo B",1,IF(Atletas!K145="Equipe 2 Grupo B",2,IF(Atletas!K145="Equipe 1 Grupo A",3,IF(Atletas!K145="Equipe 2 Grupo A",4,IF(Atletas!K145="Equipe 1 Adulto",5,IF(Atletas!K145="Equipe 2 Adulto",6,""))))))))</f>
        <v/>
      </c>
      <c r="BR154" s="50" t="str">
        <f>IF(Atletas!L145="","",IF(Atletas!X145&lt;&gt;"",10000,0)+(IF(Atletas!B145="Feminino",1000,IF(Atletas!B145="Masculino",2000,""))+IF(Atletas!L145="Choylayfut A",1,IF(Atletas!L145="Hunggar A",2,IF(Atletas!L145="Wuzuquan A",3,IF(Atletas!L145="Wingchun A",4,IF(Atletas!L145="Outra Mão de Sul A",5,IF(Atletas!L145="Choylayfut B",6,IF(Atletas!L145="Hunggar B",7,IF(Atletas!L145="Wuzuquan B",8,IF(Atletas!L145="Wingchun B",9,IF(Atletas!L145="Outra Mão de Sul B",10,IF(Atletas!L145="Choylayfut C",11,IF(Atletas!L145="Hunggar C",12,IF(Atletas!L145="Wuzuquan C",13,IF(Atletas!L145="Wingchun C",14,IF(Atletas!L145="Outra Mão de Sul C",15,IF(Atletas!L145="Choylayfut D",16,IF(Atletas!L145="Hunggar D",17,IF(Atletas!L145="Wuzuquan D",18,IF(Atletas!L145="Wingchun D",19,IF(Atletas!L145="Outra Mão de Sul D",20,IF(Atletas!L145="Choylayfut E",21,IF(Atletas!L145="Hunggar E",22,IF(Atletas!L145="Wuzuquan E",23,IF(Atletas!L145="Wingchun E",24,IF(Atletas!L145="Outra Mão de Sul E",25,IF(Atletas!L145="Choylayfut F",26,IF(Atletas!L145="Hunggar F",27,IF(Atletas!L145="Wuzuquan F",28,IF(Atletas!L145="Wingchun F",29,IF(Atletas!L145="Outra Mão de Sul F",30,IF(Atletas!L145="Dishuquan A",31,IF(Atletas!L145="Dishuquan B",32,IF(Atletas!L145="Dishuquan C",33,IF(Atletas!L145="Dishuquan D",34,IF(Atletas!L145="Dishuquan E",35,IF(Atletas!L145="Dishuquan F",36,""))))))))))))))))))))))))))))))))))))))</f>
        <v/>
      </c>
      <c r="BS154" s="50" t="str">
        <f>IF(Atletas!M145="","",IF(Atletas!X145&lt;&gt;"",10000,0)+(IF(Atletas!B145="Feminino",1000,IF(Atletas!B145="Masculino",2000,""))+(IF(Atletas!M145="Chaquan A",101,IF(Atletas!M145="Emeiquan A",102,IF(Atletas!M145="Fanziquan A",103,IF(Atletas!M145="Huaquan A",104,IF(Atletas!M145="Hongquan A",105,IF(Atletas!M145="Paoquan A",106,IF(Atletas!M145="Piguaquan A",107,IF(Atletas!M145="Shaolinquan A",108,IF(Atletas!M145="Tanglangquan A",109,IF(Atletas!M145="Yingzhaoquan A",110,IF(Atletas!M145="Tongbeiquan A",111,IF(Atletas!M145="Wudangquan A",112,IF(Atletas!M145="Outros Estilos A",113,IF(Atletas!M145="Chaquan B",114,IF(Atletas!M145="Emeiquan B",115,IF(Atletas!M145="Fanziquan B",116,IF(Atletas!M145="Huaquan B",117,IF(Atletas!M145="Hongquan B",118,IF(Atletas!M145="Paoquan B",119,IF(Atletas!M145="Piguaquan B",120,IF(Atletas!M145="Shaolinquan B",121,IF(Atletas!M145="Tanglangquan B",122,IF(Atletas!M145="Yingzhaoquan B",123,IF(Atletas!M145="Tongbeiquan B",124,IF(Atletas!M145="Wudangquan B",125,IF(Atletas!M145="Outros Estilos B",126,IF(Atletas!M145="Chaquan C",127,IF(Atletas!M145="Emeiquan C",128,IF(Atletas!M145="Fanziquan C",129,IF(Atletas!M145="Huaquan C",130,IF(Atletas!M145="Hongquan C",131,IF(Atletas!M145="Paoquan C",132,IF(Atletas!M145="Piguaquan C",133,IF(Atletas!M145="Shaolinquan C",134,IF(Atletas!M145="Tanglangquan C",135,IF(Atletas!M145="Yingzhaoquan C",136,IF(Atletas!M145="Tongbeiquan C",137,IF(Atletas!M145="Wudangquan C",138,IF(Atletas!M145="Outros Estilos C",139,0))))))))))))))))))))))))))))))))))))))))))</f>
        <v/>
      </c>
      <c r="BT154" s="50" t="str">
        <f>IF(Atletas!M145="","",IF(Atletas!X145&lt;&gt;"",10000,0)+(IF(Atletas!B145="Feminino",1000,IF(Atletas!B145="Masculino",2000,""))+(IF(Atletas!M145="Chaquan D",140,IF(Atletas!M145="Emeiquan D",141,IF(Atletas!M145="Fanziquan D",142,IF(Atletas!M145="Huaquan D",143,IF(Atletas!M145="Hongquan D",144,IF(Atletas!M145="Paoquan D",145,IF(Atletas!M145="Piguaquan D",146,IF(Atletas!M145="Shaolinquan D",147,IF(Atletas!M145="Tanglangquan D",148,IF(Atletas!M145="Yingzhaoquan D",149,IF(Atletas!M145="Tongbeiquan D",150,IF(Atletas!M145="Wudangquan D",151,IF(Atletas!M145="Outros Estilos D",152,IF(Atletas!M145="Chaquan E",153,IF(Atletas!M145="Emeiquan E",154,IF(Atletas!M145="Fanziquan E",155,IF(Atletas!M145="Huaquan E",156,IF(Atletas!M145="Hongquan E",157,IF(Atletas!M145="Paoquan E",158,IF(Atletas!M145="Piguaquan E",159,IF(Atletas!M145="Shaolinquan E",160,IF(Atletas!M145="Tanglangquan E",161,IF(Atletas!M145="Yingzhaoquan E",162,IF(Atletas!M145="Tongbeiquan E",163,IF(Atletas!M145="Wudangquan E",164,IF(Atletas!M145="Outros Estilos E",165,IF(Atletas!M145="Chaquan F",166,IF(Atletas!M145="Emeiquan F",167,IF(Atletas!M145="Fanziquan F",168,IF(Atletas!M145="Huaquan F",169,IF(Atletas!M145="Hongquan F",170,IF(Atletas!M145="Paoquan F",171,IF(Atletas!M145="Piguaquan F",172,IF(Atletas!M145="Shaolinquan F",173,IF(Atletas!M145="Tanglangquan F",174,IF(Atletas!M145="Yingzhaoquan F",175,IF(Atletas!M145="Tongbeiquan F",176,IF(Atletas!M145="Wudangquan F",177,IF(Atletas!M145="Outros Estilos F",178,0))))))))))))))))))))))))))))))))))))))))))</f>
        <v/>
      </c>
      <c r="BU154" s="50" t="str">
        <f>IF(Atletas!N145="","",IF(Atletas!X145&lt;&gt;"",10000,0)+(IF(Atletas!B145="Feminino",1000,IF(Atletas!B145="Masculino",2000,""))+(IF(Atletas!N145="Ditangquan A",201,IF(Atletas!N145="Houquan A",202,IF(Atletas!N145="Zuiquan A",203,IF(Atletas!N145="Ditangquan B",204,IF(Atletas!N145="Houquan B",205,IF(Atletas!N145="Zuiquan B",206,IF(Atletas!N145="Ditangquan C",207,IF(Atletas!N145="Houquan C",208,IF(Atletas!N145="Zuiquan C",209,IF(Atletas!N145="Ditangquan D",210,IF(Atletas!N145="Houquan D",211,IF(Atletas!N145="Zuiquan D",212,IF(Atletas!N145="Ditangquan E",213,IF(Atletas!N145="Houquan E",214,IF(Atletas!N145="Zuiquan E",215,IF(Atletas!N145="Ditangquan F",216,IF(Atletas!N145="Houquan F",217,IF(Atletas!N145="Zuiquan F",218,"")))))))))))))))))))))</f>
        <v/>
      </c>
      <c r="BV154" s="50" t="str">
        <f>IF(Atletas!O145="","",IF(Atletas!X145&lt;&gt;"",10000,0)+IF(Atletas!B145="Feminino",1000,IF(Atletas!B145="Masculino",2000,""))+IF(Atletas!O145="Yang A",301,IF(Atletas!O145="Chen A",302,IF(Atletas!O145="Sun A",303,IF(Atletas!O145="Wu A",304,IF(Atletas!O145="Wu-Hao A",305,IF(Atletas!O145="Outro Taijiquan A",306,IF(Atletas!O145="Yang B",307,IF(Atletas!O145="Chen B",308,IF(Atletas!O145="Sun B",309,IF(Atletas!O145="Wu B",310,IF(Atletas!O145="Wu-Hao B",311,IF(Atletas!O145="Outro Taijiquan B",312,IF(Atletas!O145="Yang C",313,IF(Atletas!O145="Chen C",314,IF(Atletas!O145="Sun C",315,IF(Atletas!O145="Wu C",316,IF(Atletas!O145="Wu-Hao C",317,IF(Atletas!O145="Outro Taijiquan C",318,IF(Atletas!O145="Yang D",319,IF(Atletas!O145="Chen D",320,IF(Atletas!O145="Sun D",321,IF(Atletas!O145="Wu D",322,IF(Atletas!O145="Wu-Hao D",323,IF(Atletas!O145="Outro Taijiquan D",324,IF(Atletas!O145="Yang E",325,IF(Atletas!O145="Chen E",326,IF(Atletas!O145="Sun E",327,IF(Atletas!O145="Wu E",328,IF(Atletas!O145="Wu-Hao E",329,IF(Atletas!O145="Outro Taijiquan E",330,IF(Atletas!O145="Yang F",331,IF(Atletas!O145="Chen F",332,IF(Atletas!O145="Sun F",333,IF(Atletas!O145="Wu F",334,IF(Atletas!O145="Wu-Hao F",335,IF(Atletas!O145="Outro Taijiquan F",336,"")))))))))))))))))))))))))))))))))))))</f>
        <v/>
      </c>
      <c r="BW154" s="50" t="str">
        <f>IF(Atletas!P145="","",IF(Atletas!X145&lt;&gt;"",10000,0)+IF(Atletas!B145="Feminino",1000,IF(Atletas!B145="Masculino",2000,""))+IF(OR(Atletas!P145="Yang 26 A",Atletas!P145="Yang 40 A"),401,IF(OR(Atletas!P145="Chen 25 A",Atletas!P145="Chen 36 A",Atletas!P145="Chen 56 A"),402,IF(Atletas!P145="Sun 73 A",403,IF(Atletas!P145="Wu 45 A",404,IF(Atletas!P145="Wu-Hao 46 A",405,IF(OR(Atletas!P145="Taijiquan 16 A",Atletas!P145="Taijiquan 24 A",Atletas!P145="Taijiquan 32 A",Atletas!P145="Taijiquan 42 A"),406,IF(OR(Atletas!P145="Yang 26 B",Atletas!P145="Yang 40 B"),407,IF(OR(Atletas!P145="Chen 25 B",Atletas!P145="Chen 36 B",Atletas!P145="Chen 56 B"),408,IF(Atletas!P145="Sun 73 B",409,IF(Atletas!P145="Wu 45 B",410,IF(Atletas!P145="Wu-Hao 46 B",411,IF(OR(Atletas!P145="Taijiquan 16 B",Atletas!P145="Taijiquan 24 B",Atletas!P145="Taijiquan 32 B",Atletas!P145="Taijiquan 42 B"),412,IF(OR(Atletas!P145="Yang 26 C",Atletas!P145="Yang 40 C"),413,IF(OR(Atletas!P145="Chen 25 C",Atletas!P145="Chen 36 C",Atletas!P145="Chen 56 C"),414,IF(Atletas!P145="Sun 73 C",415,IF(Atletas!P145="Wu 45 C",416,IF(Atletas!P145="Wu-Hao 46 C",417,IF(OR(Atletas!P145="Taijiquan 16 C",Atletas!P145="Taijiquan 24 C",Atletas!P145="Taijiquan 32 C",Atletas!P145="Taijiquan 42 C"),418,0)))))))))))))))))))</f>
        <v/>
      </c>
      <c r="BX154" s="50" t="str">
        <f>IF(Atletas!P145="","",IF(Atletas!X145&lt;&gt;"",10000,0)+IF(Atletas!B145="Feminino",1000,IF(Atletas!B145="Masculino",2000,""))+IF(OR(Atletas!P145="Yang 26 D",Atletas!P145="Yang 40 D"),419,IF(OR(Atletas!P145="Chen 25 D",Atletas!P145="Chen 36 D",Atletas!P145="Chen 56 D"),420,IF(Atletas!P145="Sun 73 D",421,IF(Atletas!P145="Wu 45 D",422,IF(Atletas!P145="Wu-Hao 46 D",423,IF(OR(Atletas!P145="Taijiquan 16 D",Atletas!P145="Taijiquan 24 D",Atletas!P145="Taijiquan 32 D",Atletas!P145="Taijiquan 42 D"),424,IF(OR(Atletas!P145="Yang 26 E",Atletas!P145="Yang 40 E"),425,IF(OR(Atletas!P145="Chen 25 E",Atletas!P145="Chen 36 E",Atletas!P145="Chen 56 E"),426,IF(Atletas!P145="Sun 73 E",427,IF(Atletas!P145="Wu 45 E",428,IF(Atletas!P145="Wu-Hao 46 E",429,IF(OR(Atletas!P145="Taijiquan 16 E",Atletas!P145="Taijiquan 24 E",Atletas!P145="Taijiquan 32 E",Atletas!P145="Taijiquan 42 E"),430,IF(OR(Atletas!P145="Yang 26 F",Atletas!P145="Yang 40 F"),431,IF(OR(Atletas!P145="Chen 25 F",Atletas!P145="Chen 36 F",Atletas!P145="Chen 56 F"),432,IF(Atletas!P145="Sun 73 F",433,IF(Atletas!P145="Wu 45 F",434,IF(Atletas!P145="Wu-Hao 46 F",435,IF(OR(Atletas!P145="Taijiquan 16 F",Atletas!P145="Taijiquan 24 F",Atletas!P145="Taijiquan 32 F",Atletas!P145="Taijiquan 42 F"),436,0)))))))))))))))))))</f>
        <v/>
      </c>
      <c r="BY154" s="50" t="str">
        <f>IF(Atletas!Q145="","",IF(Atletas!X145&lt;&gt;"",10000,0)+IF(Atletas!B145="Feminino",1000,IF(Atletas!B145="Masculino",2000,""))+IF(Atletas!Q145="Xingyiquan A",501,IF(Atletas!Q145="Baguazhang A",502,IF(Atletas!Q145="Outro Estilo Interno A",503,IF(Atletas!Q145="Xingyiquan B",504,IF(Atletas!Q145="Baguazhang B",505,IF(Atletas!Q145="Outro Estilo Interno B",506,IF(Atletas!Q145="Xingyiquan C",507,IF(Atletas!Q145="Baguazhang C",508,IF(Atletas!Q145="Outro Estilo Interno C",509,IF(Atletas!Q145="Xingyiquan D",510,IF(Atletas!Q145="Baguazhang D",511,IF(Atletas!Q145="Outro Estilo Interno D",512,IF(Atletas!Q145="Xingyiquan E",513,IF(Atletas!Q145="Baguazhang E",514,IF(Atletas!Q145="Outro Estilo Interno E",515,IF(Atletas!Q145="Xingyiquan F",516,IF(Atletas!Q145="Baguazhang F",517,IF(Atletas!Q145="Outro Estilo Interno F",518, "")))))))))))))))))))</f>
        <v/>
      </c>
      <c r="BZ154" s="50" t="str">
        <f>IF(Atletas!R145="","",IF(Atletas!X145&lt;&gt;"",10000,0)+IF(Atletas!B145="Feminino",1000,IF(Atletas!B145="Masculino",2000,""))+IF(Atletas!R145="Dao A",601,IF(Atletas!R145="Jian A",602,IF(Atletas!R145="Bishou A",603,IF(Atletas!R145="Shanzi A",604,IF(Atletas!R145="Outra Arma Curta A",605,IF(Atletas!R145="Dao B",606,IF(Atletas!R145="Jian B",607,IF(Atletas!R145="Bishou B",608,IF(Atletas!R145="Shanzi B",609,IF(Atletas!R145="Outra Arma Curta B",610,IF(Atletas!R145="Dao C",611,IF(Atletas!R145="Jian C",612,IF(Atletas!R145="Bishou C",613,IF(Atletas!R145="Shanzi C",614,IF(Atletas!R145="Outra Arma Curta C",615,IF(Atletas!R145="Dao D",616,IF(Atletas!R145="Jian D",617,IF(Atletas!R145="Bishou D",618,IF(Atletas!R145="Shanzi D",619,IF(Atletas!R145="Outra Arma Curta D",620,IF(Atletas!R145="Dao E",621,IF(Atletas!R145="Jian E",622,IF(Atletas!R145="Bishou E",623,IF(Atletas!R145="Shanzi E",624,IF(Atletas!R145="Outra Arma Curta E",625,IF(Atletas!R145="Dao F",626,IF(Atletas!R145="Jian F",627,IF(Atletas!R145="Bishou F",628,IF(Atletas!R145="Shanzi F",629,IF(Atletas!R145="Outra Arma Curta F",630, "")))))))))))))))))))))))))))))))</f>
        <v/>
      </c>
      <c r="CA154" s="50" t="str">
        <f>IF(Atletas!S145="","",IF(Atletas!X145&lt;&gt;"",10000,0)+IF(Atletas!B145="Feminino",1000,IF(Atletas!B145="Masculino",2000,""))+IF(Atletas!S145="Gun A",701,IF(Atletas!S145="Qiang A",702,IF(Atletas!S145="Pudao / Guandao A",703,IF(Atletas!S145="Outra Arma Longa A",704,IF(Atletas!S145="Gun B",705,IF(Atletas!S145="Qiang B",706,IF(Atletas!S145="Pudao / Guandao B",707,IF(Atletas!S145="Outra Arma Longa B",708,IF(Atletas!S145="Gun C",709,IF(Atletas!S145="Qiang C",710,IF(Atletas!S145="Pudao / Guandao C",711,IF(Atletas!S145="Outra Arma Longa C",712,IF(Atletas!S145="Gun D",713,IF(Atletas!S145="Qiang D",714,IF(Atletas!S145="Pudao / Guandao D",715,IF(Atletas!S145="Outra Arma Longa D",716,IF(Atletas!S145="Gun E",717,IF(Atletas!S145="Qiang E",718,IF(Atletas!S145="Pudao / Guandao E",719,IF(Atletas!S145="Outra Arma Longa E",720,IF(Atletas!S145="Gun F",721,IF(Atletas!S145="Qiang F",722,IF(Atletas!S145="Pudao / Guandao F",723,IF(Atletas!S145="Outra Arma Longa F",724,"")))))))))))))))))))))))))</f>
        <v/>
      </c>
      <c r="CB154" s="50" t="str">
        <f>IF(Atletas!T145="","",IF(Atletas!X145&lt;&gt;"",10000,0)+IF(Atletas!B145="Feminino",1000,IF(Atletas!B145="Masculino",2000,""))+IF(Atletas!T145="Outra Arma Dupla A",801,IF(Atletas!T145="Arma Maleável A",802,IF(Atletas!T145="Outra Arma Dupla B",803,IF(Atletas!T145="Arma Maleável B",804,IF(Atletas!T145="Outra Arma Dupla C",805,IF(Atletas!T145="Arma Maleável C",806,IF(Atletas!T145="Outra Arma Dupla D",807,IF(Atletas!T145="Arma Maleável D",808,IF(Atletas!T145="Outra Arma Dupla E",809,IF(Atletas!T145="Arma Maleável E",810,IF(Atletas!T145="Outra Arma Dupla F",811,IF(Atletas!T145="Arma Maleável F",812,IF(Atletas!T145="Shuangdao A",813,IF(Atletas!T145="Shuangdao B",814,IF(Atletas!T145="Shuangdao C",815,IF(Atletas!T145="Shuangdao D",816,IF(Atletas!T145="Shuangdao E",817,IF(Atletas!T145="Shuangdao F",818,"")))))))))))))))))))</f>
        <v/>
      </c>
      <c r="CC154" s="50" t="str">
        <f>IF(Atletas!U145="","",IF(Atletas!X145&lt;&gt;"",10000,0)+IF(Atletas!B145="Feminino",1000,IF(Atletas!B145="Masculino",2000,""))+IF(OR(Atletas!U145="Taijijian Yang A",Atletas!U145="Taijijian Yang Standard A"),901,IF(OR(Atletas!U145="Taijijian Chen A", Atletas!U145="Taijijian Chen Standard A"),902,IF(Atletas!U145="Taijijian Sun A",903,IF(Atletas!U145="Taijijian Wu A",904,IF(Atletas!U145="Taijijian Wu-Hao A",905,IF(OR(Atletas!U145="Taijijian 32 A",Atletas!U145="Taijijian 42 A"),906,IF(OR(Atletas!U145="Taijijian Yang B",Atletas!U145="Taijijian Yang Standard B"),907,IF(OR(Atletas!U145="Taijijian Chen B", Atletas!U145="Taijijian Chen Standard B"),908,IF(Atletas!U145="Taijijian Sun B",909,IF(Atletas!U145="Taijijian Wu B",910,IF(Atletas!U145="Taijijian Wu-Hao B",911,IF(OR(Atletas!U145="Taijijian 32 B",Atletas!U145="Taijijian 42 B"),912,IF(OR(Atletas!U145="Taijijian Yang C",Atletas!U145="Taijijian Yang Standard C"),913,IF(OR(Atletas!U145="Taijijian Chen C", Atletas!U145="Taijijian Chen Standard C"),914,IF(Atletas!U145="Taijijian Sun C",915,IF(Atletas!U145="Taijijian Wu C",916,IF(Atletas!U145="Taijijian Wu-Hao C",917,IF(OR(Atletas!U145="Taijijian 32 C",Atletas!U145="Taijijian 42 C"),918,IF(OR(Atletas!U145="Taijijian Yang D",Atletas!U145="Taijijian Yang Standard D"),919,IF(OR(Atletas!U145="Taijijian Chen D", Atletas!U145="Taijijian Chen Standard D"),920,IF(Atletas!U145="Taijijian Sun D",921,IF(Atletas!U145="Taijijian Wu D",922,IF(Atletas!U145="Taijijian Wu-Hao D",923,IF(OR(Atletas!U145="Taijijian 32 D",Atletas!U145="Taijijian 42 D"),924,IF(OR(Atletas!U145="Taijijian Yang E",Atletas!U145="Taijijian Yang Standard E"),925,IF(OR(Atletas!U145="Taijijian Chen E", Atletas!U145="Taijijian Chen Standard E"),926,IF(Atletas!U145="Taijijian Sun E",927,IF(Atletas!U145="Taijijian Wu E",928,IF(Atletas!U145="Taijijian Wu-Hao E",929,IF(OR(Atletas!U145="Taijijian 32 E",Atletas!U145="Taijijian 42 E"),930,IF(OR(Atletas!U145="Taijijian Yang F",Atletas!U145="Taijijian Yang Standard F"),931,IF(OR(Atletas!U145="Taijijian Chen F", Atletas!U145="Taijijian Chen Standard F"),932,IF(Atletas!U145="Taijijian Sun F",933,IF(Atletas!U145="Taijijian Wu F",934,IF(Atletas!U145="Taijijian Wu-Hao F",935,IF(OR(Atletas!U145="Taijijian 32 F",Atletas!U145="Taijijian 42 F"),936,"")))))))))))))))))))))))))))))))))))))</f>
        <v/>
      </c>
      <c r="CD154" s="50" t="str">
        <f>IF(Atletas!V145="","",IF(Atletas!X145&lt;&gt;"",10000,0)+IF(Atletas!B145="Feminino",1000,IF(Atletas!B145="Masculino",2000,""))+IF(Atletas!V145="Taijidao A",937,IF(Atletas!V145="TaijiShanzi A",938,IF(Atletas!V145="Taijiqiang A",939,IF(Atletas!V145="Bagua de Arma A",940,IF(Atletas!V145="Xingyi de Arma A",941,IF(Atletas!V145="Taijidao B",942,IF(Atletas!V145="TaijiShanzi B",943,IF(Atletas!V145="Taijiqiang B",944,IF(Atletas!V145="Bagua de Arma B",945,IF(Atletas!V145="Xingyi de Arma B",946,IF(Atletas!V145="Taijidao C",947,IF(Atletas!V145="TaijiShanzi C",948,IF(Atletas!V145="Taijiqiang C",949,IF(Atletas!V145="Bagua de Arma C",950,IF(Atletas!V145="Xingyi de Arma C",951,IF(Atletas!V145="Taijidao D",952,IF(Atletas!V145="TaijiShanzi D",953,IF(Atletas!V145="Taijiqiang D",954,IF(Atletas!V145="Bagua de Arma D",955,IF(Atletas!V145="Xingyi de Arma D",956,IF(Atletas!V145="Taijidao E",957,IF(Atletas!V145="TaijiShanzi E",958,IF(Atletas!V145="Taijiqiang E",959,IF(Atletas!V145="Bagua de Arma E",960,IF(Atletas!V145="Xingyi de Arma E",961,IF(Atletas!V145="Taijidao F",962,IF(Atletas!V145="TaijiShanzi F",963,IF(Atletas!V145="Taijiqiang F",964,IF(Atletas!V145="Bagua de Arma F",965,IF(Atletas!V145="Xingyi de Arma F",966,"")))))))))))))))))))))))))))))))</f>
        <v/>
      </c>
      <c r="CE154" s="66" t="str">
        <f>IF(CF154&lt;&gt;"","TJQ Trad. Wu C","")</f>
        <v/>
      </c>
      <c r="CF154" s="66" t="str">
        <f>IF(COUNTIF(BR:CD,1316)&gt;0,COUNTIF(BR:CD,1316),"")</f>
        <v/>
      </c>
      <c r="CG154" s="66" t="str">
        <f>IF(CH154&lt;&gt;"","TJQ Trad. Wu C","")</f>
        <v/>
      </c>
      <c r="CH154" s="66" t="str">
        <f>IF(COUNTIF(BR:CD,2316)&gt;0,COUNTIF(BR:CD,2316),"")</f>
        <v/>
      </c>
      <c r="CI154" s="66" t="str">
        <f>IF(CJ154&lt;&gt;"","TJQ Trad. Wu D","")</f>
        <v/>
      </c>
      <c r="CJ154" s="66" t="str">
        <f>IF(COUNTIF(BR:CD,11322)&gt;0,COUNTIF(BR:CD,11322),"")</f>
        <v/>
      </c>
      <c r="CK154" s="66" t="str">
        <f>IF(CL154&lt;&gt;"","TJQ Trad. Wu D","")</f>
        <v/>
      </c>
      <c r="CL154" s="66" t="str">
        <f>IF(COUNTIF(BR:CD,12322)&gt;0,COUNTIF(BR:CD,12322),"")</f>
        <v/>
      </c>
      <c r="CM154" s="50" t="str">
        <f xml:space="preserve"> IF(Atletas!W145="","",IF(Atletas!W145="Duilian de Mãos BC - Equipe 1",1,IF(Atletas!W145="Duilian de Mãos BC - Equipe 2",2,IF(Atletas!W145="Duilian de Armas BC - Equipe 1",3,IF(Atletas!W145="Duilian de Armas BC - Equipe 2",4,IF(Atletas!W145="Duilian de Mãos DE - Equipe 1",5,IF(Atletas!W145="Duilian de Mãos DE - Equipe 2",6,IF(Atletas!W145="Duilian de Armas DE - Equipe 1",7,IF(Atletas!W145="Duilian de Armas DE - Equipe 2",8,IF(Atletas!W145="Duilian de Tuishou - Equipe 1",9,IF(Atletas!W145="Duilian de Tuishou - Equipe 2",10,IF(Atletas!W145="Grupo Externo ABC - Equipe 1",11,IF(Atletas!W145="Grupo Externo ABC - Equipe 2",12,IF(Atletas!W145="Grupo Interno ABC - Equipe 1",13,IF(Atletas!W145="Grupo Interno ABC - Equipe 2",14,IF(Atletas!W145="Grupo Externo DEF - Equipe 1",15,IF(Atletas!W145="Grupo Externo DEF - Equipe 2",16,IF(Atletas!W145="Grupo Interno DEF - Equipe 1",17,IF(Atletas!W145="Grupo Interno DEF - Equipe 2",18,"")))))))))))))))))))</f>
        <v/>
      </c>
    </row>
    <row r="155" spans="2:9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 t="str">
        <f t="array" ref="Z155">IFERROR(INDEX(CE$7:CE$348,SMALL(IF(CE$7:CE$348&lt;&gt;"",ROW(CE$7:CE$348)-ROW(CE$7)+1),ROWS(CE$7:CE154))),"")</f>
        <v/>
      </c>
      <c r="AA155" s="3" t="str">
        <f t="array" ref="AA155">IFERROR(INDEX(CF$7:CF$348,SMALL(IF(CF$7:CF$348&lt;&gt;"",ROW(CF$7:CF$348)-ROW(CF$7)+1),ROWS(CF$7:CF154))),"")</f>
        <v/>
      </c>
      <c r="AB155" s="3" t="str">
        <f t="array" ref="AB155">IFERROR(INDEX(CG$7:CG$348,SMALL(IF(CG$7:CG$348&lt;&gt;"",ROW(CG$7:CG$348)-ROW(CG$7)+1),ROWS(CG$7:CG154))),"")</f>
        <v/>
      </c>
      <c r="AC155" s="3" t="str">
        <f t="array" ref="AC155">IFERROR(INDEX(CH$7:CH$348,SMALL(IF(CH$7:CH$348&lt;&gt;"",ROW(CH$7:CH$348)-ROW(CH$7)+1),ROWS(CH$7:CH154))),"")</f>
        <v/>
      </c>
      <c r="AD155" s="3" t="str">
        <f t="array" ref="AD155">IFERROR(INDEX(CI$7:CI$377,SMALL(IF(CI$7:CI$377&lt;&gt;"",ROW(CI$7:CI$377)-ROW(CI$7)+1),ROWS(CI$7:CI154))),"")</f>
        <v/>
      </c>
      <c r="AE155" s="3" t="str">
        <f t="array" ref="AE155">IFERROR(INDEX(CJ$7:CJ$378,SMALL(IF(CJ$7:CJ$378&lt;&gt;"",ROW(CJ$7:CJ$378)-ROW(CJ$7)+1),ROWS(CJ$7:CJ154))),"")</f>
        <v/>
      </c>
      <c r="AF155" s="3" t="str">
        <f t="array" ref="AF155">IFERROR(INDEX(CK$7:CK$378,SMALL(IF(CK$7:CK$378&lt;&gt;"",ROW(CK$7:CK$378)-ROW(CK$7)+1),ROWS(CK$7:CK154))),"")</f>
        <v/>
      </c>
      <c r="AG155" s="3" t="str">
        <f t="array" ref="AG155">IFERROR(INDEX(CL$7:CL$378,SMALL(IF(CL$7:CL$378&lt;&gt;"",ROW(CL$7:CL$378)-ROW(CL$7)+1),ROWS(CL$7:CL154))),"")</f>
        <v/>
      </c>
      <c r="AH155" s="3"/>
      <c r="AI155" s="3"/>
      <c r="AJ155" s="3"/>
      <c r="AK155" s="3"/>
      <c r="AL155" s="3"/>
      <c r="AM155" s="3"/>
      <c r="AN155" s="52" t="str">
        <f>IF(Atletas!D146="","",IF(Atletas!B146="Feminino",100,IF(Atletas!B146="Masculino",200,""))+(IF(Atletas!D146="Kids 30kg",1,IF(Atletas!D146="Kids 32kg",2, IF(Atletas!D146="Kids 34kg",3,IF(Atletas!D146="Kids 36kg",4,IF(Atletas!D146="Kids 39kg",5,IF(Atletas!D146="Kids 42kg",6,IF(Atletas!D146="Kids 45kg",7, IF(Atletas!D146="Infantil 39kg",8,IF(Atletas!D146="Infantil 42kg",9,IF(Atletas!D146="Infantil 45kg",10,IF(Atletas!D146="Infantil 48kg",11,IF(Atletas!D146="Infantil 52kg",12,IF(Atletas!D146="Infantil 56kg",13,IF(Atletas!D146="Infantil 60kg",14,IF(Atletas!D146="Juvenil 48kg",15,IF(Atletas!D146="Juvenil 52kg",16,IF(Atletas!D146="Juvenil 56kg",17,IF(Atletas!D146="Juvenil 60kg",18,IF(Atletas!D146="Juvenil 65kg",19,IF(Atletas!D146="Juvenil 70kg",20,IF(Atletas!D146="Juvenil 75kg",21,IF(Atletas!D146="Juvenil 80kg",22, IF(Atletas!D146="Juvenil 85kg",23,IF(Atletas!D146="Adulto 48kg",24,IF(Atletas!D146="Adulto 52kg",25,IF(Atletas!D146="Adulto 56kg",26,IF(Atletas!D146="Adulto 60kg",27,IF(Atletas!D146="Adulto 65kg",28,IF(Atletas!D146="Adulto 70kg",29,IF(Atletas!D146="Adulto 75kg",30,IF(Atletas!D146="Adulto 80kg",31,IF(Atletas!D146="Adulto 85kg",32,IF(Atletas!D146="Adulto 90kg",33,IF(Atletas!D146="Adulto 100kg",34, IF(Atletas!D146="Adulto +100kg",35,"")))))))))))))))))))))))))))))))))))))</f>
        <v/>
      </c>
      <c r="AS155" s="6" t="str">
        <f>IF(Atletas!E146="","",IF(Atletas!B146="Feminino",100,IF(Atletas!B146="Masculino",200,""))+(IF(Atletas!E146="Juvenil 44kg",1,IF(Atletas!E146="Juvenil 48kg",2,IF(Atletas!E146="Juvenil 52kg",3,IF(Atletas!E146="Juvenil 56kg",4,IF(Atletas!E146="Juvenil 60kg",5,IF(Atletas!E146="Juvenil 65kg",6,IF(Atletas!E146="Juvenil 70kg",7,IF(Atletas!E146="Juvenil 75kg",8,IF(Atletas!E146="Juvenil 82kg",9,IF(Atletas!E146="Juvenil 90kg",10,IF(Atletas!E146="Juvenil 100kg",11,IF(Atletas!E146="Adulto 48kg",12,IF(Atletas!E146="Adulto 52kg",13,IF(Atletas!E146="Adulto 56kg",14,IF(Atletas!E146="Adulto 60kg",15,IF(Atletas!E146="Adulto 65kg",16,IF(Atletas!E146="Adulto 70kg",17,IF(Atletas!E146="Adulto 75kg",18,IF(Atletas!E146="Adulto 82kg",19,IF(Atletas!E146="Adulto 90kg",20,IF(Atletas!E146="Adulto 100kg",21,IF(Atletas!E146="Adulto +100kg",22,""))))))))))))))))))))))))</f>
        <v/>
      </c>
      <c r="AX155" s="6" t="str">
        <f>IF(Atletas!F146="","",IF(Atletas!B146="Feminino",100,IF(Atletas!B146="Masculino",200,""))+(IF(Atletas!F146="Adulto 48kg",1,IF(Atletas!F146="Adulto 56kg",2,IF(Atletas!F146="Adulto 65kg",3,IF(Atletas!F146="Adulto 75kg",4,IF(Atletas!F146="Adulto +75kg",5,IF(Atletas!F146="Adulto 52kg",6,IF(Atletas!F146="Adulto 60kg",7,IF(Atletas!F146="Adulto 70kg",8,IF(Atletas!F146="Adulto 80kg",9,IF(Atletas!F146="Adulto 90kg",10,IF(Atletas!F146="Adulto +90kg",11,"")))))))))))))</f>
        <v/>
      </c>
      <c r="BC155" s="6" t="str">
        <f>IF(Atletas!G146="","",IF(Atletas!B146="Feminino",10,IF(Atletas!B146="Masculino",20,""))+(IF(Atletas!G146="Baduanjin A",1,IF(Atletas!G146="Baduanjin B",2))))</f>
        <v/>
      </c>
      <c r="BF155" s="52" t="str">
        <f>IF(Atletas!H146="","",IF(Atletas!B146="Feminino",100,IF(Atletas!B146="Masculino",200,""))+(IF(Atletas!H146="Changquan Mirim",1,IF(Atletas!H146="Nanquan Mirim",2,IF(Atletas!H146="Taijiquan Mirim",3,IF(Atletas!H146="Changquan Grupo C",4,IF(Atletas!H146="Nanquan Grupo C",5,IF(Atletas!H146="Taijiquan Grupo C",6,IF(Atletas!H146="Changquan Grupo B",7,IF(Atletas!H146="Nanquan Grupo B",8,IF(Atletas!H146="Taijiquan Grupo B",9,IF(Atletas!H146="Changquan Grupo A",10,IF(Atletas!H146="Nanquan Grupo A",11,IF(Atletas!H146="Taijiquan Grupo A",12,IF(Atletas!H146="Changquan Opcional",13,IF(Atletas!H146="Nanquan Opcional",14,IF(Atletas!H146="Taijiquan Opcional",15,IF(Atletas!H146="Changquan Adulto",16,IF(Atletas!H146="Nanquan Adulto",17,IF(Atletas!H146="Taijiquan Adulto",18,""))))))))))))))))))))</f>
        <v/>
      </c>
      <c r="BG155" s="52" t="str">
        <f>IF(Atletas!I146="","",IF(Atletas!B146="Feminino",100,IF(Atletas!B146="Masculino",200,""))+(IF(Atletas!I146="Daoshu Mirim",19,IF(Atletas!I146="Jianshu Mirim",20,IF(Atletas!I146="Nandao Mirim",21,IF(Atletas!I146="Taijijian Mirim",22,IF(Atletas!I146="Daoshu Grupo C",23,IF(Atletas!I146="Jianshu Grupo C",24,IF(Atletas!I146="Nandao Grupo C",25,IF(Atletas!I146="Taijijian Grupo C",26,IF(Atletas!I146="Daoshu Grupo B",27,IF(Atletas!I146="Jianshu Grupo B",28,IF(Atletas!I146="Nandao Grupo B",29,IF(Atletas!I146="Taijijian Grupo B",30,IF(Atletas!I146="Daoshu Grupo A",31,IF(Atletas!I146="Jianshu Grupo A",32,IF(Atletas!I146="Nandao Grupo A",33,IF(Atletas!I146="Taijijian Grupo A",34,IF(Atletas!I146="Daoshu Opcional",35,IF(Atletas!I146="Jianshu Opcional",36,IF(Atletas!I146="Nandao Opcional",37,IF(Atletas!I146="Taijijian Opcional",38,IF(Atletas!I146="Daoshu Adulto",39,IF(Atletas!I146="Jianshu Adulto",40,IF(Atletas!I146="Nandao Adulto",41,IF(Atletas!I146="Taijijian Adulto",42,""))))))))))))))))))))))))))</f>
        <v/>
      </c>
      <c r="BH155" s="52" t="str">
        <f>IF(Atletas!J146="","",IF(Atletas!B146="Feminino",100,IF(Atletas!B146="Masculino",200,""))+(IF(Atletas!J146="Gunshu Mirim",43,IF(Atletas!J146="Qiangshu Mirim",44,IF(Atletas!J146="Nangun Mirim",45,IF(Atletas!J146="Gunshu Grupo C",46,IF(Atletas!J146="Qiangshu Grupo C",47,IF(Atletas!J146="Nangun Grupo C",48,IF(Atletas!J146="Gunshu Grupo B",49,IF(Atletas!J146="Qiangshu Grupo B",50,IF(Atletas!J146="Nangun Grupo B",51,IF(Atletas!J146="Gunshu Grupo A",52,IF(Atletas!J146="Qiangshu Grupo A",53,IF(Atletas!J146="Nangun Grupo A",54,IF(Atletas!J146="Gunshu Opcional",55,IF(Atletas!J146="Qiangshu Opcional",56,IF(Atletas!J146="Nangun Opcional",57,IF(Atletas!J146="Gunshu Adulto",58,IF(Atletas!J146="Qiangshu Adulto",59,IF(Atletas!J146="Nangun Adulto",60,IF(Atletas!J146="Taijishan Grupo B",61,IF(Atletas!J146="Taijishan Grupo A",62,""))))))))))))))))))))))</f>
        <v/>
      </c>
      <c r="BM155" s="50" t="str">
        <f>IF(Atletas!K146="","",IF(Atletas!B146="Feminino",100,IF(Atletas!B146="Masculino",200,""))+(IF(Atletas!K146="Equipe 1 Grupo B",1,IF(Atletas!K146="Equipe 2 Grupo B",2,IF(Atletas!K146="Equipe 1 Grupo A",3,IF(Atletas!K146="Equipe 2 Grupo A",4,IF(Atletas!K146="Equipe 1 Adulto",5,IF(Atletas!K146="Equipe 2 Adulto",6,""))))))))</f>
        <v/>
      </c>
      <c r="BR155" s="50" t="str">
        <f>IF(Atletas!L146="","",IF(Atletas!X146&lt;&gt;"",10000,0)+(IF(Atletas!B146="Feminino",1000,IF(Atletas!B146="Masculino",2000,""))+IF(Atletas!L146="Choylayfut A",1,IF(Atletas!L146="Hunggar A",2,IF(Atletas!L146="Wuzuquan A",3,IF(Atletas!L146="Wingchun A",4,IF(Atletas!L146="Outra Mão de Sul A",5,IF(Atletas!L146="Choylayfut B",6,IF(Atletas!L146="Hunggar B",7,IF(Atletas!L146="Wuzuquan B",8,IF(Atletas!L146="Wingchun B",9,IF(Atletas!L146="Outra Mão de Sul B",10,IF(Atletas!L146="Choylayfut C",11,IF(Atletas!L146="Hunggar C",12,IF(Atletas!L146="Wuzuquan C",13,IF(Atletas!L146="Wingchun C",14,IF(Atletas!L146="Outra Mão de Sul C",15,IF(Atletas!L146="Choylayfut D",16,IF(Atletas!L146="Hunggar D",17,IF(Atletas!L146="Wuzuquan D",18,IF(Atletas!L146="Wingchun D",19,IF(Atletas!L146="Outra Mão de Sul D",20,IF(Atletas!L146="Choylayfut E",21,IF(Atletas!L146="Hunggar E",22,IF(Atletas!L146="Wuzuquan E",23,IF(Atletas!L146="Wingchun E",24,IF(Atletas!L146="Outra Mão de Sul E",25,IF(Atletas!L146="Choylayfut F",26,IF(Atletas!L146="Hunggar F",27,IF(Atletas!L146="Wuzuquan F",28,IF(Atletas!L146="Wingchun F",29,IF(Atletas!L146="Outra Mão de Sul F",30,IF(Atletas!L146="Dishuquan A",31,IF(Atletas!L146="Dishuquan B",32,IF(Atletas!L146="Dishuquan C",33,IF(Atletas!L146="Dishuquan D",34,IF(Atletas!L146="Dishuquan E",35,IF(Atletas!L146="Dishuquan F",36,""))))))))))))))))))))))))))))))))))))))</f>
        <v/>
      </c>
      <c r="BS155" s="50" t="str">
        <f>IF(Atletas!M146="","",IF(Atletas!X146&lt;&gt;"",10000,0)+(IF(Atletas!B146="Feminino",1000,IF(Atletas!B146="Masculino",2000,""))+(IF(Atletas!M146="Chaquan A",101,IF(Atletas!M146="Emeiquan A",102,IF(Atletas!M146="Fanziquan A",103,IF(Atletas!M146="Huaquan A",104,IF(Atletas!M146="Hongquan A",105,IF(Atletas!M146="Paoquan A",106,IF(Atletas!M146="Piguaquan A",107,IF(Atletas!M146="Shaolinquan A",108,IF(Atletas!M146="Tanglangquan A",109,IF(Atletas!M146="Yingzhaoquan A",110,IF(Atletas!M146="Tongbeiquan A",111,IF(Atletas!M146="Wudangquan A",112,IF(Atletas!M146="Outros Estilos A",113,IF(Atletas!M146="Chaquan B",114,IF(Atletas!M146="Emeiquan B",115,IF(Atletas!M146="Fanziquan B",116,IF(Atletas!M146="Huaquan B",117,IF(Atletas!M146="Hongquan B",118,IF(Atletas!M146="Paoquan B",119,IF(Atletas!M146="Piguaquan B",120,IF(Atletas!M146="Shaolinquan B",121,IF(Atletas!M146="Tanglangquan B",122,IF(Atletas!M146="Yingzhaoquan B",123,IF(Atletas!M146="Tongbeiquan B",124,IF(Atletas!M146="Wudangquan B",125,IF(Atletas!M146="Outros Estilos B",126,IF(Atletas!M146="Chaquan C",127,IF(Atletas!M146="Emeiquan C",128,IF(Atletas!M146="Fanziquan C",129,IF(Atletas!M146="Huaquan C",130,IF(Atletas!M146="Hongquan C",131,IF(Atletas!M146="Paoquan C",132,IF(Atletas!M146="Piguaquan C",133,IF(Atletas!M146="Shaolinquan C",134,IF(Atletas!M146="Tanglangquan C",135,IF(Atletas!M146="Yingzhaoquan C",136,IF(Atletas!M146="Tongbeiquan C",137,IF(Atletas!M146="Wudangquan C",138,IF(Atletas!M146="Outros Estilos C",139,0))))))))))))))))))))))))))))))))))))))))))</f>
        <v/>
      </c>
      <c r="BT155" s="50" t="str">
        <f>IF(Atletas!M146="","",IF(Atletas!X146&lt;&gt;"",10000,0)+(IF(Atletas!B146="Feminino",1000,IF(Atletas!B146="Masculino",2000,""))+(IF(Atletas!M146="Chaquan D",140,IF(Atletas!M146="Emeiquan D",141,IF(Atletas!M146="Fanziquan D",142,IF(Atletas!M146="Huaquan D",143,IF(Atletas!M146="Hongquan D",144,IF(Atletas!M146="Paoquan D",145,IF(Atletas!M146="Piguaquan D",146,IF(Atletas!M146="Shaolinquan D",147,IF(Atletas!M146="Tanglangquan D",148,IF(Atletas!M146="Yingzhaoquan D",149,IF(Atletas!M146="Tongbeiquan D",150,IF(Atletas!M146="Wudangquan D",151,IF(Atletas!M146="Outros Estilos D",152,IF(Atletas!M146="Chaquan E",153,IF(Atletas!M146="Emeiquan E",154,IF(Atletas!M146="Fanziquan E",155,IF(Atletas!M146="Huaquan E",156,IF(Atletas!M146="Hongquan E",157,IF(Atletas!M146="Paoquan E",158,IF(Atletas!M146="Piguaquan E",159,IF(Atletas!M146="Shaolinquan E",160,IF(Atletas!M146="Tanglangquan E",161,IF(Atletas!M146="Yingzhaoquan E",162,IF(Atletas!M146="Tongbeiquan E",163,IF(Atletas!M146="Wudangquan E",164,IF(Atletas!M146="Outros Estilos E",165,IF(Atletas!M146="Chaquan F",166,IF(Atletas!M146="Emeiquan F",167,IF(Atletas!M146="Fanziquan F",168,IF(Atletas!M146="Huaquan F",169,IF(Atletas!M146="Hongquan F",170,IF(Atletas!M146="Paoquan F",171,IF(Atletas!M146="Piguaquan F",172,IF(Atletas!M146="Shaolinquan F",173,IF(Atletas!M146="Tanglangquan F",174,IF(Atletas!M146="Yingzhaoquan F",175,IF(Atletas!M146="Tongbeiquan F",176,IF(Atletas!M146="Wudangquan F",177,IF(Atletas!M146="Outros Estilos F",178,0))))))))))))))))))))))))))))))))))))))))))</f>
        <v/>
      </c>
      <c r="BU155" s="50" t="str">
        <f>IF(Atletas!N146="","",IF(Atletas!X146&lt;&gt;"",10000,0)+(IF(Atletas!B146="Feminino",1000,IF(Atletas!B146="Masculino",2000,""))+(IF(Atletas!N146="Ditangquan A",201,IF(Atletas!N146="Houquan A",202,IF(Atletas!N146="Zuiquan A",203,IF(Atletas!N146="Ditangquan B",204,IF(Atletas!N146="Houquan B",205,IF(Atletas!N146="Zuiquan B",206,IF(Atletas!N146="Ditangquan C",207,IF(Atletas!N146="Houquan C",208,IF(Atletas!N146="Zuiquan C",209,IF(Atletas!N146="Ditangquan D",210,IF(Atletas!N146="Houquan D",211,IF(Atletas!N146="Zuiquan D",212,IF(Atletas!N146="Ditangquan E",213,IF(Atletas!N146="Houquan E",214,IF(Atletas!N146="Zuiquan E",215,IF(Atletas!N146="Ditangquan F",216,IF(Atletas!N146="Houquan F",217,IF(Atletas!N146="Zuiquan F",218,"")))))))))))))))))))))</f>
        <v/>
      </c>
      <c r="BV155" s="50" t="str">
        <f>IF(Atletas!O146="","",IF(Atletas!X146&lt;&gt;"",10000,0)+IF(Atletas!B146="Feminino",1000,IF(Atletas!B146="Masculino",2000,""))+IF(Atletas!O146="Yang A",301,IF(Atletas!O146="Chen A",302,IF(Atletas!O146="Sun A",303,IF(Atletas!O146="Wu A",304,IF(Atletas!O146="Wu-Hao A",305,IF(Atletas!O146="Outro Taijiquan A",306,IF(Atletas!O146="Yang B",307,IF(Atletas!O146="Chen B",308,IF(Atletas!O146="Sun B",309,IF(Atletas!O146="Wu B",310,IF(Atletas!O146="Wu-Hao B",311,IF(Atletas!O146="Outro Taijiquan B",312,IF(Atletas!O146="Yang C",313,IF(Atletas!O146="Chen C",314,IF(Atletas!O146="Sun C",315,IF(Atletas!O146="Wu C",316,IF(Atletas!O146="Wu-Hao C",317,IF(Atletas!O146="Outro Taijiquan C",318,IF(Atletas!O146="Yang D",319,IF(Atletas!O146="Chen D",320,IF(Atletas!O146="Sun D",321,IF(Atletas!O146="Wu D",322,IF(Atletas!O146="Wu-Hao D",323,IF(Atletas!O146="Outro Taijiquan D",324,IF(Atletas!O146="Yang E",325,IF(Atletas!O146="Chen E",326,IF(Atletas!O146="Sun E",327,IF(Atletas!O146="Wu E",328,IF(Atletas!O146="Wu-Hao E",329,IF(Atletas!O146="Outro Taijiquan E",330,IF(Atletas!O146="Yang F",331,IF(Atletas!O146="Chen F",332,IF(Atletas!O146="Sun F",333,IF(Atletas!O146="Wu F",334,IF(Atletas!O146="Wu-Hao F",335,IF(Atletas!O146="Outro Taijiquan F",336,"")))))))))))))))))))))))))))))))))))))</f>
        <v/>
      </c>
      <c r="BW155" s="50" t="str">
        <f>IF(Atletas!P146="","",IF(Atletas!X146&lt;&gt;"",10000,0)+IF(Atletas!B146="Feminino",1000,IF(Atletas!B146="Masculino",2000,""))+IF(OR(Atletas!P146="Yang 26 A",Atletas!P146="Yang 40 A"),401,IF(OR(Atletas!P146="Chen 25 A",Atletas!P146="Chen 36 A",Atletas!P146="Chen 56 A"),402,IF(Atletas!P146="Sun 73 A",403,IF(Atletas!P146="Wu 45 A",404,IF(Atletas!P146="Wu-Hao 46 A",405,IF(OR(Atletas!P146="Taijiquan 16 A",Atletas!P146="Taijiquan 24 A",Atletas!P146="Taijiquan 32 A",Atletas!P146="Taijiquan 42 A"),406,IF(OR(Atletas!P146="Yang 26 B",Atletas!P146="Yang 40 B"),407,IF(OR(Atletas!P146="Chen 25 B",Atletas!P146="Chen 36 B",Atletas!P146="Chen 56 B"),408,IF(Atletas!P146="Sun 73 B",409,IF(Atletas!P146="Wu 45 B",410,IF(Atletas!P146="Wu-Hao 46 B",411,IF(OR(Atletas!P146="Taijiquan 16 B",Atletas!P146="Taijiquan 24 B",Atletas!P146="Taijiquan 32 B",Atletas!P146="Taijiquan 42 B"),412,IF(OR(Atletas!P146="Yang 26 C",Atletas!P146="Yang 40 C"),413,IF(OR(Atletas!P146="Chen 25 C",Atletas!P146="Chen 36 C",Atletas!P146="Chen 56 C"),414,IF(Atletas!P146="Sun 73 C",415,IF(Atletas!P146="Wu 45 C",416,IF(Atletas!P146="Wu-Hao 46 C",417,IF(OR(Atletas!P146="Taijiquan 16 C",Atletas!P146="Taijiquan 24 C",Atletas!P146="Taijiquan 32 C",Atletas!P146="Taijiquan 42 C"),418,0)))))))))))))))))))</f>
        <v/>
      </c>
      <c r="BX155" s="50" t="str">
        <f>IF(Atletas!P146="","",IF(Atletas!X146&lt;&gt;"",10000,0)+IF(Atletas!B146="Feminino",1000,IF(Atletas!B146="Masculino",2000,""))+IF(OR(Atletas!P146="Yang 26 D",Atletas!P146="Yang 40 D"),419,IF(OR(Atletas!P146="Chen 25 D",Atletas!P146="Chen 36 D",Atletas!P146="Chen 56 D"),420,IF(Atletas!P146="Sun 73 D",421,IF(Atletas!P146="Wu 45 D",422,IF(Atletas!P146="Wu-Hao 46 D",423,IF(OR(Atletas!P146="Taijiquan 16 D",Atletas!P146="Taijiquan 24 D",Atletas!P146="Taijiquan 32 D",Atletas!P146="Taijiquan 42 D"),424,IF(OR(Atletas!P146="Yang 26 E",Atletas!P146="Yang 40 E"),425,IF(OR(Atletas!P146="Chen 25 E",Atletas!P146="Chen 36 E",Atletas!P146="Chen 56 E"),426,IF(Atletas!P146="Sun 73 E",427,IF(Atletas!P146="Wu 45 E",428,IF(Atletas!P146="Wu-Hao 46 E",429,IF(OR(Atletas!P146="Taijiquan 16 E",Atletas!P146="Taijiquan 24 E",Atletas!P146="Taijiquan 32 E",Atletas!P146="Taijiquan 42 E"),430,IF(OR(Atletas!P146="Yang 26 F",Atletas!P146="Yang 40 F"),431,IF(OR(Atletas!P146="Chen 25 F",Atletas!P146="Chen 36 F",Atletas!P146="Chen 56 F"),432,IF(Atletas!P146="Sun 73 F",433,IF(Atletas!P146="Wu 45 F",434,IF(Atletas!P146="Wu-Hao 46 F",435,IF(OR(Atletas!P146="Taijiquan 16 F",Atletas!P146="Taijiquan 24 F",Atletas!P146="Taijiquan 32 F",Atletas!P146="Taijiquan 42 F"),436,0)))))))))))))))))))</f>
        <v/>
      </c>
      <c r="BY155" s="50" t="str">
        <f>IF(Atletas!Q146="","",IF(Atletas!X146&lt;&gt;"",10000,0)+IF(Atletas!B146="Feminino",1000,IF(Atletas!B146="Masculino",2000,""))+IF(Atletas!Q146="Xingyiquan A",501,IF(Atletas!Q146="Baguazhang A",502,IF(Atletas!Q146="Outro Estilo Interno A",503,IF(Atletas!Q146="Xingyiquan B",504,IF(Atletas!Q146="Baguazhang B",505,IF(Atletas!Q146="Outro Estilo Interno B",506,IF(Atletas!Q146="Xingyiquan C",507,IF(Atletas!Q146="Baguazhang C",508,IF(Atletas!Q146="Outro Estilo Interno C",509,IF(Atletas!Q146="Xingyiquan D",510,IF(Atletas!Q146="Baguazhang D",511,IF(Atletas!Q146="Outro Estilo Interno D",512,IF(Atletas!Q146="Xingyiquan E",513,IF(Atletas!Q146="Baguazhang E",514,IF(Atletas!Q146="Outro Estilo Interno E",515,IF(Atletas!Q146="Xingyiquan F",516,IF(Atletas!Q146="Baguazhang F",517,IF(Atletas!Q146="Outro Estilo Interno F",518, "")))))))))))))))))))</f>
        <v/>
      </c>
      <c r="BZ155" s="50" t="str">
        <f>IF(Atletas!R146="","",IF(Atletas!X146&lt;&gt;"",10000,0)+IF(Atletas!B146="Feminino",1000,IF(Atletas!B146="Masculino",2000,""))+IF(Atletas!R146="Dao A",601,IF(Atletas!R146="Jian A",602,IF(Atletas!R146="Bishou A",603,IF(Atletas!R146="Shanzi A",604,IF(Atletas!R146="Outra Arma Curta A",605,IF(Atletas!R146="Dao B",606,IF(Atletas!R146="Jian B",607,IF(Atletas!R146="Bishou B",608,IF(Atletas!R146="Shanzi B",609,IF(Atletas!R146="Outra Arma Curta B",610,IF(Atletas!R146="Dao C",611,IF(Atletas!R146="Jian C",612,IF(Atletas!R146="Bishou C",613,IF(Atletas!R146="Shanzi C",614,IF(Atletas!R146="Outra Arma Curta C",615,IF(Atletas!R146="Dao D",616,IF(Atletas!R146="Jian D",617,IF(Atletas!R146="Bishou D",618,IF(Atletas!R146="Shanzi D",619,IF(Atletas!R146="Outra Arma Curta D",620,IF(Atletas!R146="Dao E",621,IF(Atletas!R146="Jian E",622,IF(Atletas!R146="Bishou E",623,IF(Atletas!R146="Shanzi E",624,IF(Atletas!R146="Outra Arma Curta E",625,IF(Atletas!R146="Dao F",626,IF(Atletas!R146="Jian F",627,IF(Atletas!R146="Bishou F",628,IF(Atletas!R146="Shanzi F",629,IF(Atletas!R146="Outra Arma Curta F",630, "")))))))))))))))))))))))))))))))</f>
        <v/>
      </c>
      <c r="CA155" s="50" t="str">
        <f>IF(Atletas!S146="","",IF(Atletas!X146&lt;&gt;"",10000,0)+IF(Atletas!B146="Feminino",1000,IF(Atletas!B146="Masculino",2000,""))+IF(Atletas!S146="Gun A",701,IF(Atletas!S146="Qiang A",702,IF(Atletas!S146="Pudao / Guandao A",703,IF(Atletas!S146="Outra Arma Longa A",704,IF(Atletas!S146="Gun B",705,IF(Atletas!S146="Qiang B",706,IF(Atletas!S146="Pudao / Guandao B",707,IF(Atletas!S146="Outra Arma Longa B",708,IF(Atletas!S146="Gun C",709,IF(Atletas!S146="Qiang C",710,IF(Atletas!S146="Pudao / Guandao C",711,IF(Atletas!S146="Outra Arma Longa C",712,IF(Atletas!S146="Gun D",713,IF(Atletas!S146="Qiang D",714,IF(Atletas!S146="Pudao / Guandao D",715,IF(Atletas!S146="Outra Arma Longa D",716,IF(Atletas!S146="Gun E",717,IF(Atletas!S146="Qiang E",718,IF(Atletas!S146="Pudao / Guandao E",719,IF(Atletas!S146="Outra Arma Longa E",720,IF(Atletas!S146="Gun F",721,IF(Atletas!S146="Qiang F",722,IF(Atletas!S146="Pudao / Guandao F",723,IF(Atletas!S146="Outra Arma Longa F",724,"")))))))))))))))))))))))))</f>
        <v/>
      </c>
      <c r="CB155" s="50" t="str">
        <f>IF(Atletas!T146="","",IF(Atletas!X146&lt;&gt;"",10000,0)+IF(Atletas!B146="Feminino",1000,IF(Atletas!B146="Masculino",2000,""))+IF(Atletas!T146="Outra Arma Dupla A",801,IF(Atletas!T146="Arma Maleável A",802,IF(Atletas!T146="Outra Arma Dupla B",803,IF(Atletas!T146="Arma Maleável B",804,IF(Atletas!T146="Outra Arma Dupla C",805,IF(Atletas!T146="Arma Maleável C",806,IF(Atletas!T146="Outra Arma Dupla D",807,IF(Atletas!T146="Arma Maleável D",808,IF(Atletas!T146="Outra Arma Dupla E",809,IF(Atletas!T146="Arma Maleável E",810,IF(Atletas!T146="Outra Arma Dupla F",811,IF(Atletas!T146="Arma Maleável F",812,IF(Atletas!T146="Shuangdao A",813,IF(Atletas!T146="Shuangdao B",814,IF(Atletas!T146="Shuangdao C",815,IF(Atletas!T146="Shuangdao D",816,IF(Atletas!T146="Shuangdao E",817,IF(Atletas!T146="Shuangdao F",818,"")))))))))))))))))))</f>
        <v/>
      </c>
      <c r="CC155" s="50" t="str">
        <f>IF(Atletas!U146="","",IF(Atletas!X146&lt;&gt;"",10000,0)+IF(Atletas!B146="Feminino",1000,IF(Atletas!B146="Masculino",2000,""))+IF(OR(Atletas!U146="Taijijian Yang A",Atletas!U146="Taijijian Yang Standard A"),901,IF(OR(Atletas!U146="Taijijian Chen A", Atletas!U146="Taijijian Chen Standard A"),902,IF(Atletas!U146="Taijijian Sun A",903,IF(Atletas!U146="Taijijian Wu A",904,IF(Atletas!U146="Taijijian Wu-Hao A",905,IF(OR(Atletas!U146="Taijijian 32 A",Atletas!U146="Taijijian 42 A"),906,IF(OR(Atletas!U146="Taijijian Yang B",Atletas!U146="Taijijian Yang Standard B"),907,IF(OR(Atletas!U146="Taijijian Chen B", Atletas!U146="Taijijian Chen Standard B"),908,IF(Atletas!U146="Taijijian Sun B",909,IF(Atletas!U146="Taijijian Wu B",910,IF(Atletas!U146="Taijijian Wu-Hao B",911,IF(OR(Atletas!U146="Taijijian 32 B",Atletas!U146="Taijijian 42 B"),912,IF(OR(Atletas!U146="Taijijian Yang C",Atletas!U146="Taijijian Yang Standard C"),913,IF(OR(Atletas!U146="Taijijian Chen C", Atletas!U146="Taijijian Chen Standard C"),914,IF(Atletas!U146="Taijijian Sun C",915,IF(Atletas!U146="Taijijian Wu C",916,IF(Atletas!U146="Taijijian Wu-Hao C",917,IF(OR(Atletas!U146="Taijijian 32 C",Atletas!U146="Taijijian 42 C"),918,IF(OR(Atletas!U146="Taijijian Yang D",Atletas!U146="Taijijian Yang Standard D"),919,IF(OR(Atletas!U146="Taijijian Chen D", Atletas!U146="Taijijian Chen Standard D"),920,IF(Atletas!U146="Taijijian Sun D",921,IF(Atletas!U146="Taijijian Wu D",922,IF(Atletas!U146="Taijijian Wu-Hao D",923,IF(OR(Atletas!U146="Taijijian 32 D",Atletas!U146="Taijijian 42 D"),924,IF(OR(Atletas!U146="Taijijian Yang E",Atletas!U146="Taijijian Yang Standard E"),925,IF(OR(Atletas!U146="Taijijian Chen E", Atletas!U146="Taijijian Chen Standard E"),926,IF(Atletas!U146="Taijijian Sun E",927,IF(Atletas!U146="Taijijian Wu E",928,IF(Atletas!U146="Taijijian Wu-Hao E",929,IF(OR(Atletas!U146="Taijijian 32 E",Atletas!U146="Taijijian 42 E"),930,IF(OR(Atletas!U146="Taijijian Yang F",Atletas!U146="Taijijian Yang Standard F"),931,IF(OR(Atletas!U146="Taijijian Chen F", Atletas!U146="Taijijian Chen Standard F"),932,IF(Atletas!U146="Taijijian Sun F",933,IF(Atletas!U146="Taijijian Wu F",934,IF(Atletas!U146="Taijijian Wu-Hao F",935,IF(OR(Atletas!U146="Taijijian 32 F",Atletas!U146="Taijijian 42 F"),936,"")))))))))))))))))))))))))))))))))))))</f>
        <v/>
      </c>
      <c r="CD155" s="50" t="str">
        <f>IF(Atletas!V146="","",IF(Atletas!X146&lt;&gt;"",10000,0)+IF(Atletas!B146="Feminino",1000,IF(Atletas!B146="Masculino",2000,""))+IF(Atletas!V146="Taijidao A",937,IF(Atletas!V146="TaijiShanzi A",938,IF(Atletas!V146="Taijiqiang A",939,IF(Atletas!V146="Bagua de Arma A",940,IF(Atletas!V146="Xingyi de Arma A",941,IF(Atletas!V146="Taijidao B",942,IF(Atletas!V146="TaijiShanzi B",943,IF(Atletas!V146="Taijiqiang B",944,IF(Atletas!V146="Bagua de Arma B",945,IF(Atletas!V146="Xingyi de Arma B",946,IF(Atletas!V146="Taijidao C",947,IF(Atletas!V146="TaijiShanzi C",948,IF(Atletas!V146="Taijiqiang C",949,IF(Atletas!V146="Bagua de Arma C",950,IF(Atletas!V146="Xingyi de Arma C",951,IF(Atletas!V146="Taijidao D",952,IF(Atletas!V146="TaijiShanzi D",953,IF(Atletas!V146="Taijiqiang D",954,IF(Atletas!V146="Bagua de Arma D",955,IF(Atletas!V146="Xingyi de Arma D",956,IF(Atletas!V146="Taijidao E",957,IF(Atletas!V146="TaijiShanzi E",958,IF(Atletas!V146="Taijiqiang E",959,IF(Atletas!V146="Bagua de Arma E",960,IF(Atletas!V146="Xingyi de Arma E",961,IF(Atletas!V146="Taijidao F",962,IF(Atletas!V146="TaijiShanzi F",963,IF(Atletas!V146="Taijiqiang F",964,IF(Atletas!V146="Bagua de Arma F",965,IF(Atletas!V146="Xingyi de Arma F",966,"")))))))))))))))))))))))))))))))</f>
        <v/>
      </c>
      <c r="CE155" s="66" t="str">
        <f>IF(CF155&lt;&gt;"","TJQ Trad. Wu-Hao C","")</f>
        <v/>
      </c>
      <c r="CF155" s="66" t="str">
        <f>IF(COUNTIF(BR:CD,1317)&gt;0,COUNTIF(BR:CD,1317),"")</f>
        <v/>
      </c>
      <c r="CG155" s="66" t="str">
        <f>IF(CH155&lt;&gt;"","TJQ Trad. Wu-Hao C","")</f>
        <v/>
      </c>
      <c r="CH155" s="66" t="str">
        <f>IF(COUNTIF(BR:CD,2317)&gt;0,COUNTIF(BR:CD,2317),"")</f>
        <v/>
      </c>
      <c r="CI155" s="66" t="str">
        <f>IF(CJ155&lt;&gt;"","TJQ Trad. Wu-Hao D","")</f>
        <v/>
      </c>
      <c r="CJ155" s="66" t="str">
        <f>IF(COUNTIF(BR:CD,11323)&gt;0,COUNTIF(BR:CD,11323),"")</f>
        <v/>
      </c>
      <c r="CK155" s="66" t="str">
        <f>IF(CL155&lt;&gt;"","TJQ Trad. Wu-Hao D","")</f>
        <v/>
      </c>
      <c r="CL155" s="66" t="str">
        <f>IF(COUNTIF(BR:CD,12323)&gt;0,COUNTIF(BR:CD,12323),"")</f>
        <v/>
      </c>
      <c r="CM155" s="50" t="str">
        <f xml:space="preserve"> IF(Atletas!W146="","",IF(Atletas!W146="Duilian de Mãos BC - Equipe 1",1,IF(Atletas!W146="Duilian de Mãos BC - Equipe 2",2,IF(Atletas!W146="Duilian de Armas BC - Equipe 1",3,IF(Atletas!W146="Duilian de Armas BC - Equipe 2",4,IF(Atletas!W146="Duilian de Mãos DE - Equipe 1",5,IF(Atletas!W146="Duilian de Mãos DE - Equipe 2",6,IF(Atletas!W146="Duilian de Armas DE - Equipe 1",7,IF(Atletas!W146="Duilian de Armas DE - Equipe 2",8,IF(Atletas!W146="Duilian de Tuishou - Equipe 1",9,IF(Atletas!W146="Duilian de Tuishou - Equipe 2",10,IF(Atletas!W146="Grupo Externo ABC - Equipe 1",11,IF(Atletas!W146="Grupo Externo ABC - Equipe 2",12,IF(Atletas!W146="Grupo Interno ABC - Equipe 1",13,IF(Atletas!W146="Grupo Interno ABC - Equipe 2",14,IF(Atletas!W146="Grupo Externo DEF - Equipe 1",15,IF(Atletas!W146="Grupo Externo DEF - Equipe 2",16,IF(Atletas!W146="Grupo Interno DEF - Equipe 1",17,IF(Atletas!W146="Grupo Interno DEF - Equipe 2",18,"")))))))))))))))))))</f>
        <v/>
      </c>
    </row>
    <row r="156" spans="2:9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 t="str">
        <f t="array" ref="Z156">IFERROR(INDEX(CE$7:CE$348,SMALL(IF(CE$7:CE$348&lt;&gt;"",ROW(CE$7:CE$348)-ROW(CE$7)+1),ROWS(CE$7:CE155))),"")</f>
        <v/>
      </c>
      <c r="AA156" s="3" t="str">
        <f t="array" ref="AA156">IFERROR(INDEX(CF$7:CF$348,SMALL(IF(CF$7:CF$348&lt;&gt;"",ROW(CF$7:CF$348)-ROW(CF$7)+1),ROWS(CF$7:CF155))),"")</f>
        <v/>
      </c>
      <c r="AB156" s="3" t="str">
        <f t="array" ref="AB156">IFERROR(INDEX(CG$7:CG$348,SMALL(IF(CG$7:CG$348&lt;&gt;"",ROW(CG$7:CG$348)-ROW(CG$7)+1),ROWS(CG$7:CG155))),"")</f>
        <v/>
      </c>
      <c r="AC156" s="3" t="str">
        <f t="array" ref="AC156">IFERROR(INDEX(CH$7:CH$348,SMALL(IF(CH$7:CH$348&lt;&gt;"",ROW(CH$7:CH$348)-ROW(CH$7)+1),ROWS(CH$7:CH155))),"")</f>
        <v/>
      </c>
      <c r="AD156" s="3" t="str">
        <f t="array" ref="AD156">IFERROR(INDEX(CI$7:CI$377,SMALL(IF(CI$7:CI$377&lt;&gt;"",ROW(CI$7:CI$377)-ROW(CI$7)+1),ROWS(CI$7:CI155))),"")</f>
        <v/>
      </c>
      <c r="AE156" s="3" t="str">
        <f t="array" ref="AE156">IFERROR(INDEX(CJ$7:CJ$378,SMALL(IF(CJ$7:CJ$378&lt;&gt;"",ROW(CJ$7:CJ$378)-ROW(CJ$7)+1),ROWS(CJ$7:CJ155))),"")</f>
        <v/>
      </c>
      <c r="AF156" s="3" t="str">
        <f t="array" ref="AF156">IFERROR(INDEX(CK$7:CK$378,SMALL(IF(CK$7:CK$378&lt;&gt;"",ROW(CK$7:CK$378)-ROW(CK$7)+1),ROWS(CK$7:CK155))),"")</f>
        <v/>
      </c>
      <c r="AG156" s="3" t="str">
        <f t="array" ref="AG156">IFERROR(INDEX(CL$7:CL$378,SMALL(IF(CL$7:CL$378&lt;&gt;"",ROW(CL$7:CL$378)-ROW(CL$7)+1),ROWS(CL$7:CL155))),"")</f>
        <v/>
      </c>
      <c r="AH156" s="3"/>
      <c r="AI156" s="3"/>
      <c r="AJ156" s="3"/>
      <c r="AK156" s="3"/>
      <c r="AL156" s="3"/>
      <c r="AM156" s="3"/>
      <c r="AN156" s="52" t="str">
        <f>IF(Atletas!D147="","",IF(Atletas!B147="Feminino",100,IF(Atletas!B147="Masculino",200,""))+(IF(Atletas!D147="Kids 30kg",1,IF(Atletas!D147="Kids 32kg",2, IF(Atletas!D147="Kids 34kg",3,IF(Atletas!D147="Kids 36kg",4,IF(Atletas!D147="Kids 39kg",5,IF(Atletas!D147="Kids 42kg",6,IF(Atletas!D147="Kids 45kg",7, IF(Atletas!D147="Infantil 39kg",8,IF(Atletas!D147="Infantil 42kg",9,IF(Atletas!D147="Infantil 45kg",10,IF(Atletas!D147="Infantil 48kg",11,IF(Atletas!D147="Infantil 52kg",12,IF(Atletas!D147="Infantil 56kg",13,IF(Atletas!D147="Infantil 60kg",14,IF(Atletas!D147="Juvenil 48kg",15,IF(Atletas!D147="Juvenil 52kg",16,IF(Atletas!D147="Juvenil 56kg",17,IF(Atletas!D147="Juvenil 60kg",18,IF(Atletas!D147="Juvenil 65kg",19,IF(Atletas!D147="Juvenil 70kg",20,IF(Atletas!D147="Juvenil 75kg",21,IF(Atletas!D147="Juvenil 80kg",22, IF(Atletas!D147="Juvenil 85kg",23,IF(Atletas!D147="Adulto 48kg",24,IF(Atletas!D147="Adulto 52kg",25,IF(Atletas!D147="Adulto 56kg",26,IF(Atletas!D147="Adulto 60kg",27,IF(Atletas!D147="Adulto 65kg",28,IF(Atletas!D147="Adulto 70kg",29,IF(Atletas!D147="Adulto 75kg",30,IF(Atletas!D147="Adulto 80kg",31,IF(Atletas!D147="Adulto 85kg",32,IF(Atletas!D147="Adulto 90kg",33,IF(Atletas!D147="Adulto 100kg",34, IF(Atletas!D147="Adulto +100kg",35,"")))))))))))))))))))))))))))))))))))))</f>
        <v/>
      </c>
      <c r="AS156" s="6" t="str">
        <f>IF(Atletas!E147="","",IF(Atletas!B147="Feminino",100,IF(Atletas!B147="Masculino",200,""))+(IF(Atletas!E147="Juvenil 44kg",1,IF(Atletas!E147="Juvenil 48kg",2,IF(Atletas!E147="Juvenil 52kg",3,IF(Atletas!E147="Juvenil 56kg",4,IF(Atletas!E147="Juvenil 60kg",5,IF(Atletas!E147="Juvenil 65kg",6,IF(Atletas!E147="Juvenil 70kg",7,IF(Atletas!E147="Juvenil 75kg",8,IF(Atletas!E147="Juvenil 82kg",9,IF(Atletas!E147="Juvenil 90kg",10,IF(Atletas!E147="Juvenil 100kg",11,IF(Atletas!E147="Adulto 48kg",12,IF(Atletas!E147="Adulto 52kg",13,IF(Atletas!E147="Adulto 56kg",14,IF(Atletas!E147="Adulto 60kg",15,IF(Atletas!E147="Adulto 65kg",16,IF(Atletas!E147="Adulto 70kg",17,IF(Atletas!E147="Adulto 75kg",18,IF(Atletas!E147="Adulto 82kg",19,IF(Atletas!E147="Adulto 90kg",20,IF(Atletas!E147="Adulto 100kg",21,IF(Atletas!E147="Adulto +100kg",22,""))))))))))))))))))))))))</f>
        <v/>
      </c>
      <c r="AX156" s="6" t="str">
        <f>IF(Atletas!F147="","",IF(Atletas!B147="Feminino",100,IF(Atletas!B147="Masculino",200,""))+(IF(Atletas!F147="Adulto 48kg",1,IF(Atletas!F147="Adulto 56kg",2,IF(Atletas!F147="Adulto 65kg",3,IF(Atletas!F147="Adulto 75kg",4,IF(Atletas!F147="Adulto +75kg",5,IF(Atletas!F147="Adulto 52kg",6,IF(Atletas!F147="Adulto 60kg",7,IF(Atletas!F147="Adulto 70kg",8,IF(Atletas!F147="Adulto 80kg",9,IF(Atletas!F147="Adulto 90kg",10,IF(Atletas!F147="Adulto +90kg",11,"")))))))))))))</f>
        <v/>
      </c>
      <c r="BC156" s="6" t="str">
        <f>IF(Atletas!G147="","",IF(Atletas!B147="Feminino",10,IF(Atletas!B147="Masculino",20,""))+(IF(Atletas!G147="Baduanjin A",1,IF(Atletas!G147="Baduanjin B",2))))</f>
        <v/>
      </c>
      <c r="BF156" s="52" t="str">
        <f>IF(Atletas!H147="","",IF(Atletas!B147="Feminino",100,IF(Atletas!B147="Masculino",200,""))+(IF(Atletas!H147="Changquan Mirim",1,IF(Atletas!H147="Nanquan Mirim",2,IF(Atletas!H147="Taijiquan Mirim",3,IF(Atletas!H147="Changquan Grupo C",4,IF(Atletas!H147="Nanquan Grupo C",5,IF(Atletas!H147="Taijiquan Grupo C",6,IF(Atletas!H147="Changquan Grupo B",7,IF(Atletas!H147="Nanquan Grupo B",8,IF(Atletas!H147="Taijiquan Grupo B",9,IF(Atletas!H147="Changquan Grupo A",10,IF(Atletas!H147="Nanquan Grupo A",11,IF(Atletas!H147="Taijiquan Grupo A",12,IF(Atletas!H147="Changquan Opcional",13,IF(Atletas!H147="Nanquan Opcional",14,IF(Atletas!H147="Taijiquan Opcional",15,IF(Atletas!H147="Changquan Adulto",16,IF(Atletas!H147="Nanquan Adulto",17,IF(Atletas!H147="Taijiquan Adulto",18,""))))))))))))))))))))</f>
        <v/>
      </c>
      <c r="BG156" s="52" t="str">
        <f>IF(Atletas!I147="","",IF(Atletas!B147="Feminino",100,IF(Atletas!B147="Masculino",200,""))+(IF(Atletas!I147="Daoshu Mirim",19,IF(Atletas!I147="Jianshu Mirim",20,IF(Atletas!I147="Nandao Mirim",21,IF(Atletas!I147="Taijijian Mirim",22,IF(Atletas!I147="Daoshu Grupo C",23,IF(Atletas!I147="Jianshu Grupo C",24,IF(Atletas!I147="Nandao Grupo C",25,IF(Atletas!I147="Taijijian Grupo C",26,IF(Atletas!I147="Daoshu Grupo B",27,IF(Atletas!I147="Jianshu Grupo B",28,IF(Atletas!I147="Nandao Grupo B",29,IF(Atletas!I147="Taijijian Grupo B",30,IF(Atletas!I147="Daoshu Grupo A",31,IF(Atletas!I147="Jianshu Grupo A",32,IF(Atletas!I147="Nandao Grupo A",33,IF(Atletas!I147="Taijijian Grupo A",34,IF(Atletas!I147="Daoshu Opcional",35,IF(Atletas!I147="Jianshu Opcional",36,IF(Atletas!I147="Nandao Opcional",37,IF(Atletas!I147="Taijijian Opcional",38,IF(Atletas!I147="Daoshu Adulto",39,IF(Atletas!I147="Jianshu Adulto",40,IF(Atletas!I147="Nandao Adulto",41,IF(Atletas!I147="Taijijian Adulto",42,""))))))))))))))))))))))))))</f>
        <v/>
      </c>
      <c r="BH156" s="52" t="str">
        <f>IF(Atletas!J147="","",IF(Atletas!B147="Feminino",100,IF(Atletas!B147="Masculino",200,""))+(IF(Atletas!J147="Gunshu Mirim",43,IF(Atletas!J147="Qiangshu Mirim",44,IF(Atletas!J147="Nangun Mirim",45,IF(Atletas!J147="Gunshu Grupo C",46,IF(Atletas!J147="Qiangshu Grupo C",47,IF(Atletas!J147="Nangun Grupo C",48,IF(Atletas!J147="Gunshu Grupo B",49,IF(Atletas!J147="Qiangshu Grupo B",50,IF(Atletas!J147="Nangun Grupo B",51,IF(Atletas!J147="Gunshu Grupo A",52,IF(Atletas!J147="Qiangshu Grupo A",53,IF(Atletas!J147="Nangun Grupo A",54,IF(Atletas!J147="Gunshu Opcional",55,IF(Atletas!J147="Qiangshu Opcional",56,IF(Atletas!J147="Nangun Opcional",57,IF(Atletas!J147="Gunshu Adulto",58,IF(Atletas!J147="Qiangshu Adulto",59,IF(Atletas!J147="Nangun Adulto",60,IF(Atletas!J147="Taijishan Grupo B",61,IF(Atletas!J147="Taijishan Grupo A",62,""))))))))))))))))))))))</f>
        <v/>
      </c>
      <c r="BM156" s="50" t="str">
        <f>IF(Atletas!K147="","",IF(Atletas!B147="Feminino",100,IF(Atletas!B147="Masculino",200,""))+(IF(Atletas!K147="Equipe 1 Grupo B",1,IF(Atletas!K147="Equipe 2 Grupo B",2,IF(Atletas!K147="Equipe 1 Grupo A",3,IF(Atletas!K147="Equipe 2 Grupo A",4,IF(Atletas!K147="Equipe 1 Adulto",5,IF(Atletas!K147="Equipe 2 Adulto",6,""))))))))</f>
        <v/>
      </c>
      <c r="BR156" s="50" t="str">
        <f>IF(Atletas!L147="","",IF(Atletas!X147&lt;&gt;"",10000,0)+(IF(Atletas!B147="Feminino",1000,IF(Atletas!B147="Masculino",2000,""))+IF(Atletas!L147="Choylayfut A",1,IF(Atletas!L147="Hunggar A",2,IF(Atletas!L147="Wuzuquan A",3,IF(Atletas!L147="Wingchun A",4,IF(Atletas!L147="Outra Mão de Sul A",5,IF(Atletas!L147="Choylayfut B",6,IF(Atletas!L147="Hunggar B",7,IF(Atletas!L147="Wuzuquan B",8,IF(Atletas!L147="Wingchun B",9,IF(Atletas!L147="Outra Mão de Sul B",10,IF(Atletas!L147="Choylayfut C",11,IF(Atletas!L147="Hunggar C",12,IF(Atletas!L147="Wuzuquan C",13,IF(Atletas!L147="Wingchun C",14,IF(Atletas!L147="Outra Mão de Sul C",15,IF(Atletas!L147="Choylayfut D",16,IF(Atletas!L147="Hunggar D",17,IF(Atletas!L147="Wuzuquan D",18,IF(Atletas!L147="Wingchun D",19,IF(Atletas!L147="Outra Mão de Sul D",20,IF(Atletas!L147="Choylayfut E",21,IF(Atletas!L147="Hunggar E",22,IF(Atletas!L147="Wuzuquan E",23,IF(Atletas!L147="Wingchun E",24,IF(Atletas!L147="Outra Mão de Sul E",25,IF(Atletas!L147="Choylayfut F",26,IF(Atletas!L147="Hunggar F",27,IF(Atletas!L147="Wuzuquan F",28,IF(Atletas!L147="Wingchun F",29,IF(Atletas!L147="Outra Mão de Sul F",30,IF(Atletas!L147="Dishuquan A",31,IF(Atletas!L147="Dishuquan B",32,IF(Atletas!L147="Dishuquan C",33,IF(Atletas!L147="Dishuquan D",34,IF(Atletas!L147="Dishuquan E",35,IF(Atletas!L147="Dishuquan F",36,""))))))))))))))))))))))))))))))))))))))</f>
        <v/>
      </c>
      <c r="BS156" s="50" t="str">
        <f>IF(Atletas!M147="","",IF(Atletas!X147&lt;&gt;"",10000,0)+(IF(Atletas!B147="Feminino",1000,IF(Atletas!B147="Masculino",2000,""))+(IF(Atletas!M147="Chaquan A",101,IF(Atletas!M147="Emeiquan A",102,IF(Atletas!M147="Fanziquan A",103,IF(Atletas!M147="Huaquan A",104,IF(Atletas!M147="Hongquan A",105,IF(Atletas!M147="Paoquan A",106,IF(Atletas!M147="Piguaquan A",107,IF(Atletas!M147="Shaolinquan A",108,IF(Atletas!M147="Tanglangquan A",109,IF(Atletas!M147="Yingzhaoquan A",110,IF(Atletas!M147="Tongbeiquan A",111,IF(Atletas!M147="Wudangquan A",112,IF(Atletas!M147="Outros Estilos A",113,IF(Atletas!M147="Chaquan B",114,IF(Atletas!M147="Emeiquan B",115,IF(Atletas!M147="Fanziquan B",116,IF(Atletas!M147="Huaquan B",117,IF(Atletas!M147="Hongquan B",118,IF(Atletas!M147="Paoquan B",119,IF(Atletas!M147="Piguaquan B",120,IF(Atletas!M147="Shaolinquan B",121,IF(Atletas!M147="Tanglangquan B",122,IF(Atletas!M147="Yingzhaoquan B",123,IF(Atletas!M147="Tongbeiquan B",124,IF(Atletas!M147="Wudangquan B",125,IF(Atletas!M147="Outros Estilos B",126,IF(Atletas!M147="Chaquan C",127,IF(Atletas!M147="Emeiquan C",128,IF(Atletas!M147="Fanziquan C",129,IF(Atletas!M147="Huaquan C",130,IF(Atletas!M147="Hongquan C",131,IF(Atletas!M147="Paoquan C",132,IF(Atletas!M147="Piguaquan C",133,IF(Atletas!M147="Shaolinquan C",134,IF(Atletas!M147="Tanglangquan C",135,IF(Atletas!M147="Yingzhaoquan C",136,IF(Atletas!M147="Tongbeiquan C",137,IF(Atletas!M147="Wudangquan C",138,IF(Atletas!M147="Outros Estilos C",139,0))))))))))))))))))))))))))))))))))))))))))</f>
        <v/>
      </c>
      <c r="BT156" s="50" t="str">
        <f>IF(Atletas!M147="","",IF(Atletas!X147&lt;&gt;"",10000,0)+(IF(Atletas!B147="Feminino",1000,IF(Atletas!B147="Masculino",2000,""))+(IF(Atletas!M147="Chaquan D",140,IF(Atletas!M147="Emeiquan D",141,IF(Atletas!M147="Fanziquan D",142,IF(Atletas!M147="Huaquan D",143,IF(Atletas!M147="Hongquan D",144,IF(Atletas!M147="Paoquan D",145,IF(Atletas!M147="Piguaquan D",146,IF(Atletas!M147="Shaolinquan D",147,IF(Atletas!M147="Tanglangquan D",148,IF(Atletas!M147="Yingzhaoquan D",149,IF(Atletas!M147="Tongbeiquan D",150,IF(Atletas!M147="Wudangquan D",151,IF(Atletas!M147="Outros Estilos D",152,IF(Atletas!M147="Chaquan E",153,IF(Atletas!M147="Emeiquan E",154,IF(Atletas!M147="Fanziquan E",155,IF(Atletas!M147="Huaquan E",156,IF(Atletas!M147="Hongquan E",157,IF(Atletas!M147="Paoquan E",158,IF(Atletas!M147="Piguaquan E",159,IF(Atletas!M147="Shaolinquan E",160,IF(Atletas!M147="Tanglangquan E",161,IF(Atletas!M147="Yingzhaoquan E",162,IF(Atletas!M147="Tongbeiquan E",163,IF(Atletas!M147="Wudangquan E",164,IF(Atletas!M147="Outros Estilos E",165,IF(Atletas!M147="Chaquan F",166,IF(Atletas!M147="Emeiquan F",167,IF(Atletas!M147="Fanziquan F",168,IF(Atletas!M147="Huaquan F",169,IF(Atletas!M147="Hongquan F",170,IF(Atletas!M147="Paoquan F",171,IF(Atletas!M147="Piguaquan F",172,IF(Atletas!M147="Shaolinquan F",173,IF(Atletas!M147="Tanglangquan F",174,IF(Atletas!M147="Yingzhaoquan F",175,IF(Atletas!M147="Tongbeiquan F",176,IF(Atletas!M147="Wudangquan F",177,IF(Atletas!M147="Outros Estilos F",178,0))))))))))))))))))))))))))))))))))))))))))</f>
        <v/>
      </c>
      <c r="BU156" s="50" t="str">
        <f>IF(Atletas!N147="","",IF(Atletas!X147&lt;&gt;"",10000,0)+(IF(Atletas!B147="Feminino",1000,IF(Atletas!B147="Masculino",2000,""))+(IF(Atletas!N147="Ditangquan A",201,IF(Atletas!N147="Houquan A",202,IF(Atletas!N147="Zuiquan A",203,IF(Atletas!N147="Ditangquan B",204,IF(Atletas!N147="Houquan B",205,IF(Atletas!N147="Zuiquan B",206,IF(Atletas!N147="Ditangquan C",207,IF(Atletas!N147="Houquan C",208,IF(Atletas!N147="Zuiquan C",209,IF(Atletas!N147="Ditangquan D",210,IF(Atletas!N147="Houquan D",211,IF(Atletas!N147="Zuiquan D",212,IF(Atletas!N147="Ditangquan E",213,IF(Atletas!N147="Houquan E",214,IF(Atletas!N147="Zuiquan E",215,IF(Atletas!N147="Ditangquan F",216,IF(Atletas!N147="Houquan F",217,IF(Atletas!N147="Zuiquan F",218,"")))))))))))))))))))))</f>
        <v/>
      </c>
      <c r="BV156" s="50" t="str">
        <f>IF(Atletas!O147="","",IF(Atletas!X147&lt;&gt;"",10000,0)+IF(Atletas!B147="Feminino",1000,IF(Atletas!B147="Masculino",2000,""))+IF(Atletas!O147="Yang A",301,IF(Atletas!O147="Chen A",302,IF(Atletas!O147="Sun A",303,IF(Atletas!O147="Wu A",304,IF(Atletas!O147="Wu-Hao A",305,IF(Atletas!O147="Outro Taijiquan A",306,IF(Atletas!O147="Yang B",307,IF(Atletas!O147="Chen B",308,IF(Atletas!O147="Sun B",309,IF(Atletas!O147="Wu B",310,IF(Atletas!O147="Wu-Hao B",311,IF(Atletas!O147="Outro Taijiquan B",312,IF(Atletas!O147="Yang C",313,IF(Atletas!O147="Chen C",314,IF(Atletas!O147="Sun C",315,IF(Atletas!O147="Wu C",316,IF(Atletas!O147="Wu-Hao C",317,IF(Atletas!O147="Outro Taijiquan C",318,IF(Atletas!O147="Yang D",319,IF(Atletas!O147="Chen D",320,IF(Atletas!O147="Sun D",321,IF(Atletas!O147="Wu D",322,IF(Atletas!O147="Wu-Hao D",323,IF(Atletas!O147="Outro Taijiquan D",324,IF(Atletas!O147="Yang E",325,IF(Atletas!O147="Chen E",326,IF(Atletas!O147="Sun E",327,IF(Atletas!O147="Wu E",328,IF(Atletas!O147="Wu-Hao E",329,IF(Atletas!O147="Outro Taijiquan E",330,IF(Atletas!O147="Yang F",331,IF(Atletas!O147="Chen F",332,IF(Atletas!O147="Sun F",333,IF(Atletas!O147="Wu F",334,IF(Atletas!O147="Wu-Hao F",335,IF(Atletas!O147="Outro Taijiquan F",336,"")))))))))))))))))))))))))))))))))))))</f>
        <v/>
      </c>
      <c r="BW156" s="50" t="str">
        <f>IF(Atletas!P147="","",IF(Atletas!X147&lt;&gt;"",10000,0)+IF(Atletas!B147="Feminino",1000,IF(Atletas!B147="Masculino",2000,""))+IF(OR(Atletas!P147="Yang 26 A",Atletas!P147="Yang 40 A"),401,IF(OR(Atletas!P147="Chen 25 A",Atletas!P147="Chen 36 A",Atletas!P147="Chen 56 A"),402,IF(Atletas!P147="Sun 73 A",403,IF(Atletas!P147="Wu 45 A",404,IF(Atletas!P147="Wu-Hao 46 A",405,IF(OR(Atletas!P147="Taijiquan 16 A",Atletas!P147="Taijiquan 24 A",Atletas!P147="Taijiquan 32 A",Atletas!P147="Taijiquan 42 A"),406,IF(OR(Atletas!P147="Yang 26 B",Atletas!P147="Yang 40 B"),407,IF(OR(Atletas!P147="Chen 25 B",Atletas!P147="Chen 36 B",Atletas!P147="Chen 56 B"),408,IF(Atletas!P147="Sun 73 B",409,IF(Atletas!P147="Wu 45 B",410,IF(Atletas!P147="Wu-Hao 46 B",411,IF(OR(Atletas!P147="Taijiquan 16 B",Atletas!P147="Taijiquan 24 B",Atletas!P147="Taijiquan 32 B",Atletas!P147="Taijiquan 42 B"),412,IF(OR(Atletas!P147="Yang 26 C",Atletas!P147="Yang 40 C"),413,IF(OR(Atletas!P147="Chen 25 C",Atletas!P147="Chen 36 C",Atletas!P147="Chen 56 C"),414,IF(Atletas!P147="Sun 73 C",415,IF(Atletas!P147="Wu 45 C",416,IF(Atletas!P147="Wu-Hao 46 C",417,IF(OR(Atletas!P147="Taijiquan 16 C",Atletas!P147="Taijiquan 24 C",Atletas!P147="Taijiquan 32 C",Atletas!P147="Taijiquan 42 C"),418,0)))))))))))))))))))</f>
        <v/>
      </c>
      <c r="BX156" s="50" t="str">
        <f>IF(Atletas!P147="","",IF(Atletas!X147&lt;&gt;"",10000,0)+IF(Atletas!B147="Feminino",1000,IF(Atletas!B147="Masculino",2000,""))+IF(OR(Atletas!P147="Yang 26 D",Atletas!P147="Yang 40 D"),419,IF(OR(Atletas!P147="Chen 25 D",Atletas!P147="Chen 36 D",Atletas!P147="Chen 56 D"),420,IF(Atletas!P147="Sun 73 D",421,IF(Atletas!P147="Wu 45 D",422,IF(Atletas!P147="Wu-Hao 46 D",423,IF(OR(Atletas!P147="Taijiquan 16 D",Atletas!P147="Taijiquan 24 D",Atletas!P147="Taijiquan 32 D",Atletas!P147="Taijiquan 42 D"),424,IF(OR(Atletas!P147="Yang 26 E",Atletas!P147="Yang 40 E"),425,IF(OR(Atletas!P147="Chen 25 E",Atletas!P147="Chen 36 E",Atletas!P147="Chen 56 E"),426,IF(Atletas!P147="Sun 73 E",427,IF(Atletas!P147="Wu 45 E",428,IF(Atletas!P147="Wu-Hao 46 E",429,IF(OR(Atletas!P147="Taijiquan 16 E",Atletas!P147="Taijiquan 24 E",Atletas!P147="Taijiquan 32 E",Atletas!P147="Taijiquan 42 E"),430,IF(OR(Atletas!P147="Yang 26 F",Atletas!P147="Yang 40 F"),431,IF(OR(Atletas!P147="Chen 25 F",Atletas!P147="Chen 36 F",Atletas!P147="Chen 56 F"),432,IF(Atletas!P147="Sun 73 F",433,IF(Atletas!P147="Wu 45 F",434,IF(Atletas!P147="Wu-Hao 46 F",435,IF(OR(Atletas!P147="Taijiquan 16 F",Atletas!P147="Taijiquan 24 F",Atletas!P147="Taijiquan 32 F",Atletas!P147="Taijiquan 42 F"),436,0)))))))))))))))))))</f>
        <v/>
      </c>
      <c r="BY156" s="50" t="str">
        <f>IF(Atletas!Q147="","",IF(Atletas!X147&lt;&gt;"",10000,0)+IF(Atletas!B147="Feminino",1000,IF(Atletas!B147="Masculino",2000,""))+IF(Atletas!Q147="Xingyiquan A",501,IF(Atletas!Q147="Baguazhang A",502,IF(Atletas!Q147="Outro Estilo Interno A",503,IF(Atletas!Q147="Xingyiquan B",504,IF(Atletas!Q147="Baguazhang B",505,IF(Atletas!Q147="Outro Estilo Interno B",506,IF(Atletas!Q147="Xingyiquan C",507,IF(Atletas!Q147="Baguazhang C",508,IF(Atletas!Q147="Outro Estilo Interno C",509,IF(Atletas!Q147="Xingyiquan D",510,IF(Atletas!Q147="Baguazhang D",511,IF(Atletas!Q147="Outro Estilo Interno D",512,IF(Atletas!Q147="Xingyiquan E",513,IF(Atletas!Q147="Baguazhang E",514,IF(Atletas!Q147="Outro Estilo Interno E",515,IF(Atletas!Q147="Xingyiquan F",516,IF(Atletas!Q147="Baguazhang F",517,IF(Atletas!Q147="Outro Estilo Interno F",518, "")))))))))))))))))))</f>
        <v/>
      </c>
      <c r="BZ156" s="50" t="str">
        <f>IF(Atletas!R147="","",IF(Atletas!X147&lt;&gt;"",10000,0)+IF(Atletas!B147="Feminino",1000,IF(Atletas!B147="Masculino",2000,""))+IF(Atletas!R147="Dao A",601,IF(Atletas!R147="Jian A",602,IF(Atletas!R147="Bishou A",603,IF(Atletas!R147="Shanzi A",604,IF(Atletas!R147="Outra Arma Curta A",605,IF(Atletas!R147="Dao B",606,IF(Atletas!R147="Jian B",607,IF(Atletas!R147="Bishou B",608,IF(Atletas!R147="Shanzi B",609,IF(Atletas!R147="Outra Arma Curta B",610,IF(Atletas!R147="Dao C",611,IF(Atletas!R147="Jian C",612,IF(Atletas!R147="Bishou C",613,IF(Atletas!R147="Shanzi C",614,IF(Atletas!R147="Outra Arma Curta C",615,IF(Atletas!R147="Dao D",616,IF(Atletas!R147="Jian D",617,IF(Atletas!R147="Bishou D",618,IF(Atletas!R147="Shanzi D",619,IF(Atletas!R147="Outra Arma Curta D",620,IF(Atletas!R147="Dao E",621,IF(Atletas!R147="Jian E",622,IF(Atletas!R147="Bishou E",623,IF(Atletas!R147="Shanzi E",624,IF(Atletas!R147="Outra Arma Curta E",625,IF(Atletas!R147="Dao F",626,IF(Atletas!R147="Jian F",627,IF(Atletas!R147="Bishou F",628,IF(Atletas!R147="Shanzi F",629,IF(Atletas!R147="Outra Arma Curta F",630, "")))))))))))))))))))))))))))))))</f>
        <v/>
      </c>
      <c r="CA156" s="50" t="str">
        <f>IF(Atletas!S147="","",IF(Atletas!X147&lt;&gt;"",10000,0)+IF(Atletas!B147="Feminino",1000,IF(Atletas!B147="Masculino",2000,""))+IF(Atletas!S147="Gun A",701,IF(Atletas!S147="Qiang A",702,IF(Atletas!S147="Pudao / Guandao A",703,IF(Atletas!S147="Outra Arma Longa A",704,IF(Atletas!S147="Gun B",705,IF(Atletas!S147="Qiang B",706,IF(Atletas!S147="Pudao / Guandao B",707,IF(Atletas!S147="Outra Arma Longa B",708,IF(Atletas!S147="Gun C",709,IF(Atletas!S147="Qiang C",710,IF(Atletas!S147="Pudao / Guandao C",711,IF(Atletas!S147="Outra Arma Longa C",712,IF(Atletas!S147="Gun D",713,IF(Atletas!S147="Qiang D",714,IF(Atletas!S147="Pudao / Guandao D",715,IF(Atletas!S147="Outra Arma Longa D",716,IF(Atletas!S147="Gun E",717,IF(Atletas!S147="Qiang E",718,IF(Atletas!S147="Pudao / Guandao E",719,IF(Atletas!S147="Outra Arma Longa E",720,IF(Atletas!S147="Gun F",721,IF(Atletas!S147="Qiang F",722,IF(Atletas!S147="Pudao / Guandao F",723,IF(Atletas!S147="Outra Arma Longa F",724,"")))))))))))))))))))))))))</f>
        <v/>
      </c>
      <c r="CB156" s="50" t="str">
        <f>IF(Atletas!T147="","",IF(Atletas!X147&lt;&gt;"",10000,0)+IF(Atletas!B147="Feminino",1000,IF(Atletas!B147="Masculino",2000,""))+IF(Atletas!T147="Outra Arma Dupla A",801,IF(Atletas!T147="Arma Maleável A",802,IF(Atletas!T147="Outra Arma Dupla B",803,IF(Atletas!T147="Arma Maleável B",804,IF(Atletas!T147="Outra Arma Dupla C",805,IF(Atletas!T147="Arma Maleável C",806,IF(Atletas!T147="Outra Arma Dupla D",807,IF(Atletas!T147="Arma Maleável D",808,IF(Atletas!T147="Outra Arma Dupla E",809,IF(Atletas!T147="Arma Maleável E",810,IF(Atletas!T147="Outra Arma Dupla F",811,IF(Atletas!T147="Arma Maleável F",812,IF(Atletas!T147="Shuangdao A",813,IF(Atletas!T147="Shuangdao B",814,IF(Atletas!T147="Shuangdao C",815,IF(Atletas!T147="Shuangdao D",816,IF(Atletas!T147="Shuangdao E",817,IF(Atletas!T147="Shuangdao F",818,"")))))))))))))))))))</f>
        <v/>
      </c>
      <c r="CC156" s="50" t="str">
        <f>IF(Atletas!U147="","",IF(Atletas!X147&lt;&gt;"",10000,0)+IF(Atletas!B147="Feminino",1000,IF(Atletas!B147="Masculino",2000,""))+IF(OR(Atletas!U147="Taijijian Yang A",Atletas!U147="Taijijian Yang Standard A"),901,IF(OR(Atletas!U147="Taijijian Chen A", Atletas!U147="Taijijian Chen Standard A"),902,IF(Atletas!U147="Taijijian Sun A",903,IF(Atletas!U147="Taijijian Wu A",904,IF(Atletas!U147="Taijijian Wu-Hao A",905,IF(OR(Atletas!U147="Taijijian 32 A",Atletas!U147="Taijijian 42 A"),906,IF(OR(Atletas!U147="Taijijian Yang B",Atletas!U147="Taijijian Yang Standard B"),907,IF(OR(Atletas!U147="Taijijian Chen B", Atletas!U147="Taijijian Chen Standard B"),908,IF(Atletas!U147="Taijijian Sun B",909,IF(Atletas!U147="Taijijian Wu B",910,IF(Atletas!U147="Taijijian Wu-Hao B",911,IF(OR(Atletas!U147="Taijijian 32 B",Atletas!U147="Taijijian 42 B"),912,IF(OR(Atletas!U147="Taijijian Yang C",Atletas!U147="Taijijian Yang Standard C"),913,IF(OR(Atletas!U147="Taijijian Chen C", Atletas!U147="Taijijian Chen Standard C"),914,IF(Atletas!U147="Taijijian Sun C",915,IF(Atletas!U147="Taijijian Wu C",916,IF(Atletas!U147="Taijijian Wu-Hao C",917,IF(OR(Atletas!U147="Taijijian 32 C",Atletas!U147="Taijijian 42 C"),918,IF(OR(Atletas!U147="Taijijian Yang D",Atletas!U147="Taijijian Yang Standard D"),919,IF(OR(Atletas!U147="Taijijian Chen D", Atletas!U147="Taijijian Chen Standard D"),920,IF(Atletas!U147="Taijijian Sun D",921,IF(Atletas!U147="Taijijian Wu D",922,IF(Atletas!U147="Taijijian Wu-Hao D",923,IF(OR(Atletas!U147="Taijijian 32 D",Atletas!U147="Taijijian 42 D"),924,IF(OR(Atletas!U147="Taijijian Yang E",Atletas!U147="Taijijian Yang Standard E"),925,IF(OR(Atletas!U147="Taijijian Chen E", Atletas!U147="Taijijian Chen Standard E"),926,IF(Atletas!U147="Taijijian Sun E",927,IF(Atletas!U147="Taijijian Wu E",928,IF(Atletas!U147="Taijijian Wu-Hao E",929,IF(OR(Atletas!U147="Taijijian 32 E",Atletas!U147="Taijijian 42 E"),930,IF(OR(Atletas!U147="Taijijian Yang F",Atletas!U147="Taijijian Yang Standard F"),931,IF(OR(Atletas!U147="Taijijian Chen F", Atletas!U147="Taijijian Chen Standard F"),932,IF(Atletas!U147="Taijijian Sun F",933,IF(Atletas!U147="Taijijian Wu F",934,IF(Atletas!U147="Taijijian Wu-Hao F",935,IF(OR(Atletas!U147="Taijijian 32 F",Atletas!U147="Taijijian 42 F"),936,"")))))))))))))))))))))))))))))))))))))</f>
        <v/>
      </c>
      <c r="CD156" s="50" t="str">
        <f>IF(Atletas!V147="","",IF(Atletas!X147&lt;&gt;"",10000,0)+IF(Atletas!B147="Feminino",1000,IF(Atletas!B147="Masculino",2000,""))+IF(Atletas!V147="Taijidao A",937,IF(Atletas!V147="TaijiShanzi A",938,IF(Atletas!V147="Taijiqiang A",939,IF(Atletas!V147="Bagua de Arma A",940,IF(Atletas!V147="Xingyi de Arma A",941,IF(Atletas!V147="Taijidao B",942,IF(Atletas!V147="TaijiShanzi B",943,IF(Atletas!V147="Taijiqiang B",944,IF(Atletas!V147="Bagua de Arma B",945,IF(Atletas!V147="Xingyi de Arma B",946,IF(Atletas!V147="Taijidao C",947,IF(Atletas!V147="TaijiShanzi C",948,IF(Atletas!V147="Taijiqiang C",949,IF(Atletas!V147="Bagua de Arma C",950,IF(Atletas!V147="Xingyi de Arma C",951,IF(Atletas!V147="Taijidao D",952,IF(Atletas!V147="TaijiShanzi D",953,IF(Atletas!V147="Taijiqiang D",954,IF(Atletas!V147="Bagua de Arma D",955,IF(Atletas!V147="Xingyi de Arma D",956,IF(Atletas!V147="Taijidao E",957,IF(Atletas!V147="TaijiShanzi E",958,IF(Atletas!V147="Taijiqiang E",959,IF(Atletas!V147="Bagua de Arma E",960,IF(Atletas!V147="Xingyi de Arma E",961,IF(Atletas!V147="Taijidao F",962,IF(Atletas!V147="TaijiShanzi F",963,IF(Atletas!V147="Taijiqiang F",964,IF(Atletas!V147="Bagua de Arma F",965,IF(Atletas!V147="Xingyi de Arma F",966,"")))))))))))))))))))))))))))))))</f>
        <v/>
      </c>
      <c r="CE156" s="66" t="str">
        <f>IF(CF156&lt;&gt;"","Outro Taijiquan C","")</f>
        <v/>
      </c>
      <c r="CF156" s="66" t="str">
        <f>IF(COUNTIF(BR:CD,1318)&gt;0,COUNTIF(BR:CD,1318),"")</f>
        <v/>
      </c>
      <c r="CG156" s="66" t="str">
        <f>IF(CH156&lt;&gt;"","Outro Taijiquan C","")</f>
        <v/>
      </c>
      <c r="CH156" s="66" t="str">
        <f>IF(COUNTIF(BR:CD,2318)&gt;0,COUNTIF(BR:CD,2318),"")</f>
        <v/>
      </c>
      <c r="CI156" s="66" t="str">
        <f>IF(CJ156&lt;&gt;"","Outro Taijiquan D","")</f>
        <v/>
      </c>
      <c r="CJ156" s="66" t="str">
        <f>IF(COUNTIF(BR:CD,11324)&gt;0,COUNTIF(BR:CD,11324),"")</f>
        <v/>
      </c>
      <c r="CK156" s="66" t="str">
        <f>IF(CL156&lt;&gt;"","Outro Taijiquan D","")</f>
        <v/>
      </c>
      <c r="CL156" s="66" t="str">
        <f>IF(COUNTIF(BR:CD,12324)&gt;0,COUNTIF(BR:CD,12324),"")</f>
        <v/>
      </c>
      <c r="CM156" s="50" t="str">
        <f xml:space="preserve"> IF(Atletas!W147="","",IF(Atletas!W147="Duilian de Mãos BC - Equipe 1",1,IF(Atletas!W147="Duilian de Mãos BC - Equipe 2",2,IF(Atletas!W147="Duilian de Armas BC - Equipe 1",3,IF(Atletas!W147="Duilian de Armas BC - Equipe 2",4,IF(Atletas!W147="Duilian de Mãos DE - Equipe 1",5,IF(Atletas!W147="Duilian de Mãos DE - Equipe 2",6,IF(Atletas!W147="Duilian de Armas DE - Equipe 1",7,IF(Atletas!W147="Duilian de Armas DE - Equipe 2",8,IF(Atletas!W147="Duilian de Tuishou - Equipe 1",9,IF(Atletas!W147="Duilian de Tuishou - Equipe 2",10,IF(Atletas!W147="Grupo Externo ABC - Equipe 1",11,IF(Atletas!W147="Grupo Externo ABC - Equipe 2",12,IF(Atletas!W147="Grupo Interno ABC - Equipe 1",13,IF(Atletas!W147="Grupo Interno ABC - Equipe 2",14,IF(Atletas!W147="Grupo Externo DEF - Equipe 1",15,IF(Atletas!W147="Grupo Externo DEF - Equipe 2",16,IF(Atletas!W147="Grupo Interno DEF - Equipe 1",17,IF(Atletas!W147="Grupo Interno DEF - Equipe 2",18,"")))))))))))))))))))</f>
        <v/>
      </c>
    </row>
    <row r="157" spans="2:9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 t="str">
        <f t="array" ref="Z157">IFERROR(INDEX(CE$7:CE$348,SMALL(IF(CE$7:CE$348&lt;&gt;"",ROW(CE$7:CE$348)-ROW(CE$7)+1),ROWS(CE$7:CE156))),"")</f>
        <v/>
      </c>
      <c r="AA157" s="3" t="str">
        <f t="array" ref="AA157">IFERROR(INDEX(CF$7:CF$348,SMALL(IF(CF$7:CF$348&lt;&gt;"",ROW(CF$7:CF$348)-ROW(CF$7)+1),ROWS(CF$7:CF156))),"")</f>
        <v/>
      </c>
      <c r="AB157" s="3" t="str">
        <f t="array" ref="AB157">IFERROR(INDEX(CG$7:CG$348,SMALL(IF(CG$7:CG$348&lt;&gt;"",ROW(CG$7:CG$348)-ROW(CG$7)+1),ROWS(CG$7:CG156))),"")</f>
        <v/>
      </c>
      <c r="AC157" s="3" t="str">
        <f t="array" ref="AC157">IFERROR(INDEX(CH$7:CH$348,SMALL(IF(CH$7:CH$348&lt;&gt;"",ROW(CH$7:CH$348)-ROW(CH$7)+1),ROWS(CH$7:CH156))),"")</f>
        <v/>
      </c>
      <c r="AD157" s="3" t="str">
        <f t="array" ref="AD157">IFERROR(INDEX(CI$7:CI$377,SMALL(IF(CI$7:CI$377&lt;&gt;"",ROW(CI$7:CI$377)-ROW(CI$7)+1),ROWS(CI$7:CI156))),"")</f>
        <v/>
      </c>
      <c r="AE157" s="3" t="str">
        <f t="array" ref="AE157">IFERROR(INDEX(CJ$7:CJ$378,SMALL(IF(CJ$7:CJ$378&lt;&gt;"",ROW(CJ$7:CJ$378)-ROW(CJ$7)+1),ROWS(CJ$7:CJ156))),"")</f>
        <v/>
      </c>
      <c r="AF157" s="3" t="str">
        <f t="array" ref="AF157">IFERROR(INDEX(CK$7:CK$378,SMALL(IF(CK$7:CK$378&lt;&gt;"",ROW(CK$7:CK$378)-ROW(CK$7)+1),ROWS(CK$7:CK156))),"")</f>
        <v/>
      </c>
      <c r="AG157" s="3" t="str">
        <f t="array" ref="AG157">IFERROR(INDEX(CL$7:CL$378,SMALL(IF(CL$7:CL$378&lt;&gt;"",ROW(CL$7:CL$378)-ROW(CL$7)+1),ROWS(CL$7:CL156))),"")</f>
        <v/>
      </c>
      <c r="AH157" s="3"/>
      <c r="AI157" s="3"/>
      <c r="AJ157" s="3"/>
      <c r="AK157" s="3"/>
      <c r="AL157" s="3"/>
      <c r="AM157" s="3"/>
      <c r="AN157" s="52" t="str">
        <f>IF(Atletas!D148="","",IF(Atletas!B148="Feminino",100,IF(Atletas!B148="Masculino",200,""))+(IF(Atletas!D148="Kids 30kg",1,IF(Atletas!D148="Kids 32kg",2, IF(Atletas!D148="Kids 34kg",3,IF(Atletas!D148="Kids 36kg",4,IF(Atletas!D148="Kids 39kg",5,IF(Atletas!D148="Kids 42kg",6,IF(Atletas!D148="Kids 45kg",7, IF(Atletas!D148="Infantil 39kg",8,IF(Atletas!D148="Infantil 42kg",9,IF(Atletas!D148="Infantil 45kg",10,IF(Atletas!D148="Infantil 48kg",11,IF(Atletas!D148="Infantil 52kg",12,IF(Atletas!D148="Infantil 56kg",13,IF(Atletas!D148="Infantil 60kg",14,IF(Atletas!D148="Juvenil 48kg",15,IF(Atletas!D148="Juvenil 52kg",16,IF(Atletas!D148="Juvenil 56kg",17,IF(Atletas!D148="Juvenil 60kg",18,IF(Atletas!D148="Juvenil 65kg",19,IF(Atletas!D148="Juvenil 70kg",20,IF(Atletas!D148="Juvenil 75kg",21,IF(Atletas!D148="Juvenil 80kg",22, IF(Atletas!D148="Juvenil 85kg",23,IF(Atletas!D148="Adulto 48kg",24,IF(Atletas!D148="Adulto 52kg",25,IF(Atletas!D148="Adulto 56kg",26,IF(Atletas!D148="Adulto 60kg",27,IF(Atletas!D148="Adulto 65kg",28,IF(Atletas!D148="Adulto 70kg",29,IF(Atletas!D148="Adulto 75kg",30,IF(Atletas!D148="Adulto 80kg",31,IF(Atletas!D148="Adulto 85kg",32,IF(Atletas!D148="Adulto 90kg",33,IF(Atletas!D148="Adulto 100kg",34, IF(Atletas!D148="Adulto +100kg",35,"")))))))))))))))))))))))))))))))))))))</f>
        <v/>
      </c>
      <c r="AS157" s="6" t="str">
        <f>IF(Atletas!E148="","",IF(Atletas!B148="Feminino",100,IF(Atletas!B148="Masculino",200,""))+(IF(Atletas!E148="Juvenil 44kg",1,IF(Atletas!E148="Juvenil 48kg",2,IF(Atletas!E148="Juvenil 52kg",3,IF(Atletas!E148="Juvenil 56kg",4,IF(Atletas!E148="Juvenil 60kg",5,IF(Atletas!E148="Juvenil 65kg",6,IF(Atletas!E148="Juvenil 70kg",7,IF(Atletas!E148="Juvenil 75kg",8,IF(Atletas!E148="Juvenil 82kg",9,IF(Atletas!E148="Juvenil 90kg",10,IF(Atletas!E148="Juvenil 100kg",11,IF(Atletas!E148="Adulto 48kg",12,IF(Atletas!E148="Adulto 52kg",13,IF(Atletas!E148="Adulto 56kg",14,IF(Atletas!E148="Adulto 60kg",15,IF(Atletas!E148="Adulto 65kg",16,IF(Atletas!E148="Adulto 70kg",17,IF(Atletas!E148="Adulto 75kg",18,IF(Atletas!E148="Adulto 82kg",19,IF(Atletas!E148="Adulto 90kg",20,IF(Atletas!E148="Adulto 100kg",21,IF(Atletas!E148="Adulto +100kg",22,""))))))))))))))))))))))))</f>
        <v/>
      </c>
      <c r="AX157" s="6" t="str">
        <f>IF(Atletas!F148="","",IF(Atletas!B148="Feminino",100,IF(Atletas!B148="Masculino",200,""))+(IF(Atletas!F148="Adulto 48kg",1,IF(Atletas!F148="Adulto 56kg",2,IF(Atletas!F148="Adulto 65kg",3,IF(Atletas!F148="Adulto 75kg",4,IF(Atletas!F148="Adulto +75kg",5,IF(Atletas!F148="Adulto 52kg",6,IF(Atletas!F148="Adulto 60kg",7,IF(Atletas!F148="Adulto 70kg",8,IF(Atletas!F148="Adulto 80kg",9,IF(Atletas!F148="Adulto 90kg",10,IF(Atletas!F148="Adulto +90kg",11,"")))))))))))))</f>
        <v/>
      </c>
      <c r="BC157" s="6" t="str">
        <f>IF(Atletas!G148="","",IF(Atletas!B148="Feminino",10,IF(Atletas!B148="Masculino",20,""))+(IF(Atletas!G148="Baduanjin A",1,IF(Atletas!G148="Baduanjin B",2))))</f>
        <v/>
      </c>
      <c r="BF157" s="52" t="str">
        <f>IF(Atletas!H148="","",IF(Atletas!B148="Feminino",100,IF(Atletas!B148="Masculino",200,""))+(IF(Atletas!H148="Changquan Mirim",1,IF(Atletas!H148="Nanquan Mirim",2,IF(Atletas!H148="Taijiquan Mirim",3,IF(Atletas!H148="Changquan Grupo C",4,IF(Atletas!H148="Nanquan Grupo C",5,IF(Atletas!H148="Taijiquan Grupo C",6,IF(Atletas!H148="Changquan Grupo B",7,IF(Atletas!H148="Nanquan Grupo B",8,IF(Atletas!H148="Taijiquan Grupo B",9,IF(Atletas!H148="Changquan Grupo A",10,IF(Atletas!H148="Nanquan Grupo A",11,IF(Atletas!H148="Taijiquan Grupo A",12,IF(Atletas!H148="Changquan Opcional",13,IF(Atletas!H148="Nanquan Opcional",14,IF(Atletas!H148="Taijiquan Opcional",15,IF(Atletas!H148="Changquan Adulto",16,IF(Atletas!H148="Nanquan Adulto",17,IF(Atletas!H148="Taijiquan Adulto",18,""))))))))))))))))))))</f>
        <v/>
      </c>
      <c r="BG157" s="52" t="str">
        <f>IF(Atletas!I148="","",IF(Atletas!B148="Feminino",100,IF(Atletas!B148="Masculino",200,""))+(IF(Atletas!I148="Daoshu Mirim",19,IF(Atletas!I148="Jianshu Mirim",20,IF(Atletas!I148="Nandao Mirim",21,IF(Atletas!I148="Taijijian Mirim",22,IF(Atletas!I148="Daoshu Grupo C",23,IF(Atletas!I148="Jianshu Grupo C",24,IF(Atletas!I148="Nandao Grupo C",25,IF(Atletas!I148="Taijijian Grupo C",26,IF(Atletas!I148="Daoshu Grupo B",27,IF(Atletas!I148="Jianshu Grupo B",28,IF(Atletas!I148="Nandao Grupo B",29,IF(Atletas!I148="Taijijian Grupo B",30,IF(Atletas!I148="Daoshu Grupo A",31,IF(Atletas!I148="Jianshu Grupo A",32,IF(Atletas!I148="Nandao Grupo A",33,IF(Atletas!I148="Taijijian Grupo A",34,IF(Atletas!I148="Daoshu Opcional",35,IF(Atletas!I148="Jianshu Opcional",36,IF(Atletas!I148="Nandao Opcional",37,IF(Atletas!I148="Taijijian Opcional",38,IF(Atletas!I148="Daoshu Adulto",39,IF(Atletas!I148="Jianshu Adulto",40,IF(Atletas!I148="Nandao Adulto",41,IF(Atletas!I148="Taijijian Adulto",42,""))))))))))))))))))))))))))</f>
        <v/>
      </c>
      <c r="BH157" s="52" t="str">
        <f>IF(Atletas!J148="","",IF(Atletas!B148="Feminino",100,IF(Atletas!B148="Masculino",200,""))+(IF(Atletas!J148="Gunshu Mirim",43,IF(Atletas!J148="Qiangshu Mirim",44,IF(Atletas!J148="Nangun Mirim",45,IF(Atletas!J148="Gunshu Grupo C",46,IF(Atletas!J148="Qiangshu Grupo C",47,IF(Atletas!J148="Nangun Grupo C",48,IF(Atletas!J148="Gunshu Grupo B",49,IF(Atletas!J148="Qiangshu Grupo B",50,IF(Atletas!J148="Nangun Grupo B",51,IF(Atletas!J148="Gunshu Grupo A",52,IF(Atletas!J148="Qiangshu Grupo A",53,IF(Atletas!J148="Nangun Grupo A",54,IF(Atletas!J148="Gunshu Opcional",55,IF(Atletas!J148="Qiangshu Opcional",56,IF(Atletas!J148="Nangun Opcional",57,IF(Atletas!J148="Gunshu Adulto",58,IF(Atletas!J148="Qiangshu Adulto",59,IF(Atletas!J148="Nangun Adulto",60,IF(Atletas!J148="Taijishan Grupo B",61,IF(Atletas!J148="Taijishan Grupo A",62,""))))))))))))))))))))))</f>
        <v/>
      </c>
      <c r="BM157" s="50" t="str">
        <f>IF(Atletas!K148="","",IF(Atletas!B148="Feminino",100,IF(Atletas!B148="Masculino",200,""))+(IF(Atletas!K148="Equipe 1 Grupo B",1,IF(Atletas!K148="Equipe 2 Grupo B",2,IF(Atletas!K148="Equipe 1 Grupo A",3,IF(Atletas!K148="Equipe 2 Grupo A",4,IF(Atletas!K148="Equipe 1 Adulto",5,IF(Atletas!K148="Equipe 2 Adulto",6,""))))))))</f>
        <v/>
      </c>
      <c r="BR157" s="50" t="str">
        <f>IF(Atletas!L148="","",IF(Atletas!X148&lt;&gt;"",10000,0)+(IF(Atletas!B148="Feminino",1000,IF(Atletas!B148="Masculino",2000,""))+IF(Atletas!L148="Choylayfut A",1,IF(Atletas!L148="Hunggar A",2,IF(Atletas!L148="Wuzuquan A",3,IF(Atletas!L148="Wingchun A",4,IF(Atletas!L148="Outra Mão de Sul A",5,IF(Atletas!L148="Choylayfut B",6,IF(Atletas!L148="Hunggar B",7,IF(Atletas!L148="Wuzuquan B",8,IF(Atletas!L148="Wingchun B",9,IF(Atletas!L148="Outra Mão de Sul B",10,IF(Atletas!L148="Choylayfut C",11,IF(Atletas!L148="Hunggar C",12,IF(Atletas!L148="Wuzuquan C",13,IF(Atletas!L148="Wingchun C",14,IF(Atletas!L148="Outra Mão de Sul C",15,IF(Atletas!L148="Choylayfut D",16,IF(Atletas!L148="Hunggar D",17,IF(Atletas!L148="Wuzuquan D",18,IF(Atletas!L148="Wingchun D",19,IF(Atletas!L148="Outra Mão de Sul D",20,IF(Atletas!L148="Choylayfut E",21,IF(Atletas!L148="Hunggar E",22,IF(Atletas!L148="Wuzuquan E",23,IF(Atletas!L148="Wingchun E",24,IF(Atletas!L148="Outra Mão de Sul E",25,IF(Atletas!L148="Choylayfut F",26,IF(Atletas!L148="Hunggar F",27,IF(Atletas!L148="Wuzuquan F",28,IF(Atletas!L148="Wingchun F",29,IF(Atletas!L148="Outra Mão de Sul F",30,IF(Atletas!L148="Dishuquan A",31,IF(Atletas!L148="Dishuquan B",32,IF(Atletas!L148="Dishuquan C",33,IF(Atletas!L148="Dishuquan D",34,IF(Atletas!L148="Dishuquan E",35,IF(Atletas!L148="Dishuquan F",36,""))))))))))))))))))))))))))))))))))))))</f>
        <v/>
      </c>
      <c r="BS157" s="50" t="str">
        <f>IF(Atletas!M148="","",IF(Atletas!X148&lt;&gt;"",10000,0)+(IF(Atletas!B148="Feminino",1000,IF(Atletas!B148="Masculino",2000,""))+(IF(Atletas!M148="Chaquan A",101,IF(Atletas!M148="Emeiquan A",102,IF(Atletas!M148="Fanziquan A",103,IF(Atletas!M148="Huaquan A",104,IF(Atletas!M148="Hongquan A",105,IF(Atletas!M148="Paoquan A",106,IF(Atletas!M148="Piguaquan A",107,IF(Atletas!M148="Shaolinquan A",108,IF(Atletas!M148="Tanglangquan A",109,IF(Atletas!M148="Yingzhaoquan A",110,IF(Atletas!M148="Tongbeiquan A",111,IF(Atletas!M148="Wudangquan A",112,IF(Atletas!M148="Outros Estilos A",113,IF(Atletas!M148="Chaquan B",114,IF(Atletas!M148="Emeiquan B",115,IF(Atletas!M148="Fanziquan B",116,IF(Atletas!M148="Huaquan B",117,IF(Atletas!M148="Hongquan B",118,IF(Atletas!M148="Paoquan B",119,IF(Atletas!M148="Piguaquan B",120,IF(Atletas!M148="Shaolinquan B",121,IF(Atletas!M148="Tanglangquan B",122,IF(Atletas!M148="Yingzhaoquan B",123,IF(Atletas!M148="Tongbeiquan B",124,IF(Atletas!M148="Wudangquan B",125,IF(Atletas!M148="Outros Estilos B",126,IF(Atletas!M148="Chaquan C",127,IF(Atletas!M148="Emeiquan C",128,IF(Atletas!M148="Fanziquan C",129,IF(Atletas!M148="Huaquan C",130,IF(Atletas!M148="Hongquan C",131,IF(Atletas!M148="Paoquan C",132,IF(Atletas!M148="Piguaquan C",133,IF(Atletas!M148="Shaolinquan C",134,IF(Atletas!M148="Tanglangquan C",135,IF(Atletas!M148="Yingzhaoquan C",136,IF(Atletas!M148="Tongbeiquan C",137,IF(Atletas!M148="Wudangquan C",138,IF(Atletas!M148="Outros Estilos C",139,0))))))))))))))))))))))))))))))))))))))))))</f>
        <v/>
      </c>
      <c r="BT157" s="50" t="str">
        <f>IF(Atletas!M148="","",IF(Atletas!X148&lt;&gt;"",10000,0)+(IF(Atletas!B148="Feminino",1000,IF(Atletas!B148="Masculino",2000,""))+(IF(Atletas!M148="Chaquan D",140,IF(Atletas!M148="Emeiquan D",141,IF(Atletas!M148="Fanziquan D",142,IF(Atletas!M148="Huaquan D",143,IF(Atletas!M148="Hongquan D",144,IF(Atletas!M148="Paoquan D",145,IF(Atletas!M148="Piguaquan D",146,IF(Atletas!M148="Shaolinquan D",147,IF(Atletas!M148="Tanglangquan D",148,IF(Atletas!M148="Yingzhaoquan D",149,IF(Atletas!M148="Tongbeiquan D",150,IF(Atletas!M148="Wudangquan D",151,IF(Atletas!M148="Outros Estilos D",152,IF(Atletas!M148="Chaquan E",153,IF(Atletas!M148="Emeiquan E",154,IF(Atletas!M148="Fanziquan E",155,IF(Atletas!M148="Huaquan E",156,IF(Atletas!M148="Hongquan E",157,IF(Atletas!M148="Paoquan E",158,IF(Atletas!M148="Piguaquan E",159,IF(Atletas!M148="Shaolinquan E",160,IF(Atletas!M148="Tanglangquan E",161,IF(Atletas!M148="Yingzhaoquan E",162,IF(Atletas!M148="Tongbeiquan E",163,IF(Atletas!M148="Wudangquan E",164,IF(Atletas!M148="Outros Estilos E",165,IF(Atletas!M148="Chaquan F",166,IF(Atletas!M148="Emeiquan F",167,IF(Atletas!M148="Fanziquan F",168,IF(Atletas!M148="Huaquan F",169,IF(Atletas!M148="Hongquan F",170,IF(Atletas!M148="Paoquan F",171,IF(Atletas!M148="Piguaquan F",172,IF(Atletas!M148="Shaolinquan F",173,IF(Atletas!M148="Tanglangquan F",174,IF(Atletas!M148="Yingzhaoquan F",175,IF(Atletas!M148="Tongbeiquan F",176,IF(Atletas!M148="Wudangquan F",177,IF(Atletas!M148="Outros Estilos F",178,0))))))))))))))))))))))))))))))))))))))))))</f>
        <v/>
      </c>
      <c r="BU157" s="50" t="str">
        <f>IF(Atletas!N148="","",IF(Atletas!X148&lt;&gt;"",10000,0)+(IF(Atletas!B148="Feminino",1000,IF(Atletas!B148="Masculino",2000,""))+(IF(Atletas!N148="Ditangquan A",201,IF(Atletas!N148="Houquan A",202,IF(Atletas!N148="Zuiquan A",203,IF(Atletas!N148="Ditangquan B",204,IF(Atletas!N148="Houquan B",205,IF(Atletas!N148="Zuiquan B",206,IF(Atletas!N148="Ditangquan C",207,IF(Atletas!N148="Houquan C",208,IF(Atletas!N148="Zuiquan C",209,IF(Atletas!N148="Ditangquan D",210,IF(Atletas!N148="Houquan D",211,IF(Atletas!N148="Zuiquan D",212,IF(Atletas!N148="Ditangquan E",213,IF(Atletas!N148="Houquan E",214,IF(Atletas!N148="Zuiquan E",215,IF(Atletas!N148="Ditangquan F",216,IF(Atletas!N148="Houquan F",217,IF(Atletas!N148="Zuiquan F",218,"")))))))))))))))))))))</f>
        <v/>
      </c>
      <c r="BV157" s="50" t="str">
        <f>IF(Atletas!O148="","",IF(Atletas!X148&lt;&gt;"",10000,0)+IF(Atletas!B148="Feminino",1000,IF(Atletas!B148="Masculino",2000,""))+IF(Atletas!O148="Yang A",301,IF(Atletas!O148="Chen A",302,IF(Atletas!O148="Sun A",303,IF(Atletas!O148="Wu A",304,IF(Atletas!O148="Wu-Hao A",305,IF(Atletas!O148="Outro Taijiquan A",306,IF(Atletas!O148="Yang B",307,IF(Atletas!O148="Chen B",308,IF(Atletas!O148="Sun B",309,IF(Atletas!O148="Wu B",310,IF(Atletas!O148="Wu-Hao B",311,IF(Atletas!O148="Outro Taijiquan B",312,IF(Atletas!O148="Yang C",313,IF(Atletas!O148="Chen C",314,IF(Atletas!O148="Sun C",315,IF(Atletas!O148="Wu C",316,IF(Atletas!O148="Wu-Hao C",317,IF(Atletas!O148="Outro Taijiquan C",318,IF(Atletas!O148="Yang D",319,IF(Atletas!O148="Chen D",320,IF(Atletas!O148="Sun D",321,IF(Atletas!O148="Wu D",322,IF(Atletas!O148="Wu-Hao D",323,IF(Atletas!O148="Outro Taijiquan D",324,IF(Atletas!O148="Yang E",325,IF(Atletas!O148="Chen E",326,IF(Atletas!O148="Sun E",327,IF(Atletas!O148="Wu E",328,IF(Atletas!O148="Wu-Hao E",329,IF(Atletas!O148="Outro Taijiquan E",330,IF(Atletas!O148="Yang F",331,IF(Atletas!O148="Chen F",332,IF(Atletas!O148="Sun F",333,IF(Atletas!O148="Wu F",334,IF(Atletas!O148="Wu-Hao F",335,IF(Atletas!O148="Outro Taijiquan F",336,"")))))))))))))))))))))))))))))))))))))</f>
        <v/>
      </c>
      <c r="BW157" s="50" t="str">
        <f>IF(Atletas!P148="","",IF(Atletas!X148&lt;&gt;"",10000,0)+IF(Atletas!B148="Feminino",1000,IF(Atletas!B148="Masculino",2000,""))+IF(OR(Atletas!P148="Yang 26 A",Atletas!P148="Yang 40 A"),401,IF(OR(Atletas!P148="Chen 25 A",Atletas!P148="Chen 36 A",Atletas!P148="Chen 56 A"),402,IF(Atletas!P148="Sun 73 A",403,IF(Atletas!P148="Wu 45 A",404,IF(Atletas!P148="Wu-Hao 46 A",405,IF(OR(Atletas!P148="Taijiquan 16 A",Atletas!P148="Taijiquan 24 A",Atletas!P148="Taijiquan 32 A",Atletas!P148="Taijiquan 42 A"),406,IF(OR(Atletas!P148="Yang 26 B",Atletas!P148="Yang 40 B"),407,IF(OR(Atletas!P148="Chen 25 B",Atletas!P148="Chen 36 B",Atletas!P148="Chen 56 B"),408,IF(Atletas!P148="Sun 73 B",409,IF(Atletas!P148="Wu 45 B",410,IF(Atletas!P148="Wu-Hao 46 B",411,IF(OR(Atletas!P148="Taijiquan 16 B",Atletas!P148="Taijiquan 24 B",Atletas!P148="Taijiquan 32 B",Atletas!P148="Taijiquan 42 B"),412,IF(OR(Atletas!P148="Yang 26 C",Atletas!P148="Yang 40 C"),413,IF(OR(Atletas!P148="Chen 25 C",Atletas!P148="Chen 36 C",Atletas!P148="Chen 56 C"),414,IF(Atletas!P148="Sun 73 C",415,IF(Atletas!P148="Wu 45 C",416,IF(Atletas!P148="Wu-Hao 46 C",417,IF(OR(Atletas!P148="Taijiquan 16 C",Atletas!P148="Taijiquan 24 C",Atletas!P148="Taijiquan 32 C",Atletas!P148="Taijiquan 42 C"),418,0)))))))))))))))))))</f>
        <v/>
      </c>
      <c r="BX157" s="50" t="str">
        <f>IF(Atletas!P148="","",IF(Atletas!X148&lt;&gt;"",10000,0)+IF(Atletas!B148="Feminino",1000,IF(Atletas!B148="Masculino",2000,""))+IF(OR(Atletas!P148="Yang 26 D",Atletas!P148="Yang 40 D"),419,IF(OR(Atletas!P148="Chen 25 D",Atletas!P148="Chen 36 D",Atletas!P148="Chen 56 D"),420,IF(Atletas!P148="Sun 73 D",421,IF(Atletas!P148="Wu 45 D",422,IF(Atletas!P148="Wu-Hao 46 D",423,IF(OR(Atletas!P148="Taijiquan 16 D",Atletas!P148="Taijiquan 24 D",Atletas!P148="Taijiquan 32 D",Atletas!P148="Taijiquan 42 D"),424,IF(OR(Atletas!P148="Yang 26 E",Atletas!P148="Yang 40 E"),425,IF(OR(Atletas!P148="Chen 25 E",Atletas!P148="Chen 36 E",Atletas!P148="Chen 56 E"),426,IF(Atletas!P148="Sun 73 E",427,IF(Atletas!P148="Wu 45 E",428,IF(Atletas!P148="Wu-Hao 46 E",429,IF(OR(Atletas!P148="Taijiquan 16 E",Atletas!P148="Taijiquan 24 E",Atletas!P148="Taijiquan 32 E",Atletas!P148="Taijiquan 42 E"),430,IF(OR(Atletas!P148="Yang 26 F",Atletas!P148="Yang 40 F"),431,IF(OR(Atletas!P148="Chen 25 F",Atletas!P148="Chen 36 F",Atletas!P148="Chen 56 F"),432,IF(Atletas!P148="Sun 73 F",433,IF(Atletas!P148="Wu 45 F",434,IF(Atletas!P148="Wu-Hao 46 F",435,IF(OR(Atletas!P148="Taijiquan 16 F",Atletas!P148="Taijiquan 24 F",Atletas!P148="Taijiquan 32 F",Atletas!P148="Taijiquan 42 F"),436,0)))))))))))))))))))</f>
        <v/>
      </c>
      <c r="BY157" s="50" t="str">
        <f>IF(Atletas!Q148="","",IF(Atletas!X148&lt;&gt;"",10000,0)+IF(Atletas!B148="Feminino",1000,IF(Atletas!B148="Masculino",2000,""))+IF(Atletas!Q148="Xingyiquan A",501,IF(Atletas!Q148="Baguazhang A",502,IF(Atletas!Q148="Outro Estilo Interno A",503,IF(Atletas!Q148="Xingyiquan B",504,IF(Atletas!Q148="Baguazhang B",505,IF(Atletas!Q148="Outro Estilo Interno B",506,IF(Atletas!Q148="Xingyiquan C",507,IF(Atletas!Q148="Baguazhang C",508,IF(Atletas!Q148="Outro Estilo Interno C",509,IF(Atletas!Q148="Xingyiquan D",510,IF(Atletas!Q148="Baguazhang D",511,IF(Atletas!Q148="Outro Estilo Interno D",512,IF(Atletas!Q148="Xingyiquan E",513,IF(Atletas!Q148="Baguazhang E",514,IF(Atletas!Q148="Outro Estilo Interno E",515,IF(Atletas!Q148="Xingyiquan F",516,IF(Atletas!Q148="Baguazhang F",517,IF(Atletas!Q148="Outro Estilo Interno F",518, "")))))))))))))))))))</f>
        <v/>
      </c>
      <c r="BZ157" s="50" t="str">
        <f>IF(Atletas!R148="","",IF(Atletas!X148&lt;&gt;"",10000,0)+IF(Atletas!B148="Feminino",1000,IF(Atletas!B148="Masculino",2000,""))+IF(Atletas!R148="Dao A",601,IF(Atletas!R148="Jian A",602,IF(Atletas!R148="Bishou A",603,IF(Atletas!R148="Shanzi A",604,IF(Atletas!R148="Outra Arma Curta A",605,IF(Atletas!R148="Dao B",606,IF(Atletas!R148="Jian B",607,IF(Atletas!R148="Bishou B",608,IF(Atletas!R148="Shanzi B",609,IF(Atletas!R148="Outra Arma Curta B",610,IF(Atletas!R148="Dao C",611,IF(Atletas!R148="Jian C",612,IF(Atletas!R148="Bishou C",613,IF(Atletas!R148="Shanzi C",614,IF(Atletas!R148="Outra Arma Curta C",615,IF(Atletas!R148="Dao D",616,IF(Atletas!R148="Jian D",617,IF(Atletas!R148="Bishou D",618,IF(Atletas!R148="Shanzi D",619,IF(Atletas!R148="Outra Arma Curta D",620,IF(Atletas!R148="Dao E",621,IF(Atletas!R148="Jian E",622,IF(Atletas!R148="Bishou E",623,IF(Atletas!R148="Shanzi E",624,IF(Atletas!R148="Outra Arma Curta E",625,IF(Atletas!R148="Dao F",626,IF(Atletas!R148="Jian F",627,IF(Atletas!R148="Bishou F",628,IF(Atletas!R148="Shanzi F",629,IF(Atletas!R148="Outra Arma Curta F",630, "")))))))))))))))))))))))))))))))</f>
        <v/>
      </c>
      <c r="CA157" s="50" t="str">
        <f>IF(Atletas!S148="","",IF(Atletas!X148&lt;&gt;"",10000,0)+IF(Atletas!B148="Feminino",1000,IF(Atletas!B148="Masculino",2000,""))+IF(Atletas!S148="Gun A",701,IF(Atletas!S148="Qiang A",702,IF(Atletas!S148="Pudao / Guandao A",703,IF(Atletas!S148="Outra Arma Longa A",704,IF(Atletas!S148="Gun B",705,IF(Atletas!S148="Qiang B",706,IF(Atletas!S148="Pudao / Guandao B",707,IF(Atletas!S148="Outra Arma Longa B",708,IF(Atletas!S148="Gun C",709,IF(Atletas!S148="Qiang C",710,IF(Atletas!S148="Pudao / Guandao C",711,IF(Atletas!S148="Outra Arma Longa C",712,IF(Atletas!S148="Gun D",713,IF(Atletas!S148="Qiang D",714,IF(Atletas!S148="Pudao / Guandao D",715,IF(Atletas!S148="Outra Arma Longa D",716,IF(Atletas!S148="Gun E",717,IF(Atletas!S148="Qiang E",718,IF(Atletas!S148="Pudao / Guandao E",719,IF(Atletas!S148="Outra Arma Longa E",720,IF(Atletas!S148="Gun F",721,IF(Atletas!S148="Qiang F",722,IF(Atletas!S148="Pudao / Guandao F",723,IF(Atletas!S148="Outra Arma Longa F",724,"")))))))))))))))))))))))))</f>
        <v/>
      </c>
      <c r="CB157" s="50" t="str">
        <f>IF(Atletas!T148="","",IF(Atletas!X148&lt;&gt;"",10000,0)+IF(Atletas!B148="Feminino",1000,IF(Atletas!B148="Masculino",2000,""))+IF(Atletas!T148="Outra Arma Dupla A",801,IF(Atletas!T148="Arma Maleável A",802,IF(Atletas!T148="Outra Arma Dupla B",803,IF(Atletas!T148="Arma Maleável B",804,IF(Atletas!T148="Outra Arma Dupla C",805,IF(Atletas!T148="Arma Maleável C",806,IF(Atletas!T148="Outra Arma Dupla D",807,IF(Atletas!T148="Arma Maleável D",808,IF(Atletas!T148="Outra Arma Dupla E",809,IF(Atletas!T148="Arma Maleável E",810,IF(Atletas!T148="Outra Arma Dupla F",811,IF(Atletas!T148="Arma Maleável F",812,IF(Atletas!T148="Shuangdao A",813,IF(Atletas!T148="Shuangdao B",814,IF(Atletas!T148="Shuangdao C",815,IF(Atletas!T148="Shuangdao D",816,IF(Atletas!T148="Shuangdao E",817,IF(Atletas!T148="Shuangdao F",818,"")))))))))))))))))))</f>
        <v/>
      </c>
      <c r="CC157" s="50" t="str">
        <f>IF(Atletas!U148="","",IF(Atletas!X148&lt;&gt;"",10000,0)+IF(Atletas!B148="Feminino",1000,IF(Atletas!B148="Masculino",2000,""))+IF(OR(Atletas!U148="Taijijian Yang A",Atletas!U148="Taijijian Yang Standard A"),901,IF(OR(Atletas!U148="Taijijian Chen A", Atletas!U148="Taijijian Chen Standard A"),902,IF(Atletas!U148="Taijijian Sun A",903,IF(Atletas!U148="Taijijian Wu A",904,IF(Atletas!U148="Taijijian Wu-Hao A",905,IF(OR(Atletas!U148="Taijijian 32 A",Atletas!U148="Taijijian 42 A"),906,IF(OR(Atletas!U148="Taijijian Yang B",Atletas!U148="Taijijian Yang Standard B"),907,IF(OR(Atletas!U148="Taijijian Chen B", Atletas!U148="Taijijian Chen Standard B"),908,IF(Atletas!U148="Taijijian Sun B",909,IF(Atletas!U148="Taijijian Wu B",910,IF(Atletas!U148="Taijijian Wu-Hao B",911,IF(OR(Atletas!U148="Taijijian 32 B",Atletas!U148="Taijijian 42 B"),912,IF(OR(Atletas!U148="Taijijian Yang C",Atletas!U148="Taijijian Yang Standard C"),913,IF(OR(Atletas!U148="Taijijian Chen C", Atletas!U148="Taijijian Chen Standard C"),914,IF(Atletas!U148="Taijijian Sun C",915,IF(Atletas!U148="Taijijian Wu C",916,IF(Atletas!U148="Taijijian Wu-Hao C",917,IF(OR(Atletas!U148="Taijijian 32 C",Atletas!U148="Taijijian 42 C"),918,IF(OR(Atletas!U148="Taijijian Yang D",Atletas!U148="Taijijian Yang Standard D"),919,IF(OR(Atletas!U148="Taijijian Chen D", Atletas!U148="Taijijian Chen Standard D"),920,IF(Atletas!U148="Taijijian Sun D",921,IF(Atletas!U148="Taijijian Wu D",922,IF(Atletas!U148="Taijijian Wu-Hao D",923,IF(OR(Atletas!U148="Taijijian 32 D",Atletas!U148="Taijijian 42 D"),924,IF(OR(Atletas!U148="Taijijian Yang E",Atletas!U148="Taijijian Yang Standard E"),925,IF(OR(Atletas!U148="Taijijian Chen E", Atletas!U148="Taijijian Chen Standard E"),926,IF(Atletas!U148="Taijijian Sun E",927,IF(Atletas!U148="Taijijian Wu E",928,IF(Atletas!U148="Taijijian Wu-Hao E",929,IF(OR(Atletas!U148="Taijijian 32 E",Atletas!U148="Taijijian 42 E"),930,IF(OR(Atletas!U148="Taijijian Yang F",Atletas!U148="Taijijian Yang Standard F"),931,IF(OR(Atletas!U148="Taijijian Chen F", Atletas!U148="Taijijian Chen Standard F"),932,IF(Atletas!U148="Taijijian Sun F",933,IF(Atletas!U148="Taijijian Wu F",934,IF(Atletas!U148="Taijijian Wu-Hao F",935,IF(OR(Atletas!U148="Taijijian 32 F",Atletas!U148="Taijijian 42 F"),936,"")))))))))))))))))))))))))))))))))))))</f>
        <v/>
      </c>
      <c r="CD157" s="50" t="str">
        <f>IF(Atletas!V148="","",IF(Atletas!X148&lt;&gt;"",10000,0)+IF(Atletas!B148="Feminino",1000,IF(Atletas!B148="Masculino",2000,""))+IF(Atletas!V148="Taijidao A",937,IF(Atletas!V148="TaijiShanzi A",938,IF(Atletas!V148="Taijiqiang A",939,IF(Atletas!V148="Bagua de Arma A",940,IF(Atletas!V148="Xingyi de Arma A",941,IF(Atletas!V148="Taijidao B",942,IF(Atletas!V148="TaijiShanzi B",943,IF(Atletas!V148="Taijiqiang B",944,IF(Atletas!V148="Bagua de Arma B",945,IF(Atletas!V148="Xingyi de Arma B",946,IF(Atletas!V148="Taijidao C",947,IF(Atletas!V148="TaijiShanzi C",948,IF(Atletas!V148="Taijiqiang C",949,IF(Atletas!V148="Bagua de Arma C",950,IF(Atletas!V148="Xingyi de Arma C",951,IF(Atletas!V148="Taijidao D",952,IF(Atletas!V148="TaijiShanzi D",953,IF(Atletas!V148="Taijiqiang D",954,IF(Atletas!V148="Bagua de Arma D",955,IF(Atletas!V148="Xingyi de Arma D",956,IF(Atletas!V148="Taijidao E",957,IF(Atletas!V148="TaijiShanzi E",958,IF(Atletas!V148="Taijiqiang E",959,IF(Atletas!V148="Bagua de Arma E",960,IF(Atletas!V148="Xingyi de Arma E",961,IF(Atletas!V148="Taijidao F",962,IF(Atletas!V148="TaijiShanzi F",963,IF(Atletas!V148="Taijiqiang F",964,IF(Atletas!V148="Bagua de Arma F",965,IF(Atletas!V148="Xingyi de Arma F",966,"")))))))))))))))))))))))))))))))</f>
        <v/>
      </c>
      <c r="CE157" s="66" t="str">
        <f>IF(CF157&lt;&gt;"","TJQ Trad. Yang D","")</f>
        <v/>
      </c>
      <c r="CF157" s="66" t="str">
        <f>IF(COUNTIF(BR:CD,1319)&gt;0,COUNTIF(BR:CD,1319),"")</f>
        <v/>
      </c>
      <c r="CG157" s="66" t="str">
        <f>IF(CH157&lt;&gt;"","TJQ Trad. Yang D","")</f>
        <v/>
      </c>
      <c r="CH157" s="66" t="str">
        <f>IF(COUNTIF(BR:CD,2319)&gt;0,COUNTIF(BR:CD,2319),"")</f>
        <v/>
      </c>
      <c r="CI157" s="66" t="str">
        <f>IF(CJ157&lt;&gt;"","TJQ Trad. Yang E","")</f>
        <v/>
      </c>
      <c r="CJ157" s="66" t="str">
        <f>IF(COUNTIF(BR:CD,11325)&gt;0,COUNTIF(BR:CD,11325),"")</f>
        <v/>
      </c>
      <c r="CK157" s="66" t="str">
        <f>IF(CL157&lt;&gt;"","TJQ Trad. Yang E","")</f>
        <v/>
      </c>
      <c r="CL157" s="66" t="str">
        <f>IF(COUNTIF(BR:CD,12325)&gt;0,COUNTIF(BR:CD,12325),"")</f>
        <v/>
      </c>
      <c r="CM157" s="50" t="str">
        <f xml:space="preserve"> IF(Atletas!W148="","",IF(Atletas!W148="Duilian de Mãos BC - Equipe 1",1,IF(Atletas!W148="Duilian de Mãos BC - Equipe 2",2,IF(Atletas!W148="Duilian de Armas BC - Equipe 1",3,IF(Atletas!W148="Duilian de Armas BC - Equipe 2",4,IF(Atletas!W148="Duilian de Mãos DE - Equipe 1",5,IF(Atletas!W148="Duilian de Mãos DE - Equipe 2",6,IF(Atletas!W148="Duilian de Armas DE - Equipe 1",7,IF(Atletas!W148="Duilian de Armas DE - Equipe 2",8,IF(Atletas!W148="Duilian de Tuishou - Equipe 1",9,IF(Atletas!W148="Duilian de Tuishou - Equipe 2",10,IF(Atletas!W148="Grupo Externo ABC - Equipe 1",11,IF(Atletas!W148="Grupo Externo ABC - Equipe 2",12,IF(Atletas!W148="Grupo Interno ABC - Equipe 1",13,IF(Atletas!W148="Grupo Interno ABC - Equipe 2",14,IF(Atletas!W148="Grupo Externo DEF - Equipe 1",15,IF(Atletas!W148="Grupo Externo DEF - Equipe 2",16,IF(Atletas!W148="Grupo Interno DEF - Equipe 1",17,IF(Atletas!W148="Grupo Interno DEF - Equipe 2",18,"")))))))))))))))))))</f>
        <v/>
      </c>
    </row>
    <row r="158" spans="2:91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 t="str">
        <f t="array" ref="Z158">IFERROR(INDEX(CE$7:CE$348,SMALL(IF(CE$7:CE$348&lt;&gt;"",ROW(CE$7:CE$348)-ROW(CE$7)+1),ROWS(CE$7:CE157))),"")</f>
        <v/>
      </c>
      <c r="AA158" s="3" t="str">
        <f t="array" ref="AA158">IFERROR(INDEX(CF$7:CF$348,SMALL(IF(CF$7:CF$348&lt;&gt;"",ROW(CF$7:CF$348)-ROW(CF$7)+1),ROWS(CF$7:CF157))),"")</f>
        <v/>
      </c>
      <c r="AB158" s="3" t="str">
        <f t="array" ref="AB158">IFERROR(INDEX(CG$7:CG$348,SMALL(IF(CG$7:CG$348&lt;&gt;"",ROW(CG$7:CG$348)-ROW(CG$7)+1),ROWS(CG$7:CG157))),"")</f>
        <v/>
      </c>
      <c r="AC158" s="3" t="str">
        <f t="array" ref="AC158">IFERROR(INDEX(CH$7:CH$348,SMALL(IF(CH$7:CH$348&lt;&gt;"",ROW(CH$7:CH$348)-ROW(CH$7)+1),ROWS(CH$7:CH157))),"")</f>
        <v/>
      </c>
      <c r="AD158" s="3" t="str">
        <f t="array" ref="AD158">IFERROR(INDEX(CI$7:CI$377,SMALL(IF(CI$7:CI$377&lt;&gt;"",ROW(CI$7:CI$377)-ROW(CI$7)+1),ROWS(CI$7:CI157))),"")</f>
        <v/>
      </c>
      <c r="AE158" s="3" t="str">
        <f t="array" ref="AE158">IFERROR(INDEX(CJ$7:CJ$378,SMALL(IF(CJ$7:CJ$378&lt;&gt;"",ROW(CJ$7:CJ$378)-ROW(CJ$7)+1),ROWS(CJ$7:CJ157))),"")</f>
        <v/>
      </c>
      <c r="AF158" s="3" t="str">
        <f t="array" ref="AF158">IFERROR(INDEX(CK$7:CK$378,SMALL(IF(CK$7:CK$378&lt;&gt;"",ROW(CK$7:CK$378)-ROW(CK$7)+1),ROWS(CK$7:CK157))),"")</f>
        <v/>
      </c>
      <c r="AG158" s="3" t="str">
        <f t="array" ref="AG158">IFERROR(INDEX(CL$7:CL$378,SMALL(IF(CL$7:CL$378&lt;&gt;"",ROW(CL$7:CL$378)-ROW(CL$7)+1),ROWS(CL$7:CL157))),"")</f>
        <v/>
      </c>
      <c r="AH158" s="3"/>
      <c r="AI158" s="3"/>
      <c r="AJ158" s="3"/>
      <c r="AK158" s="3"/>
      <c r="AL158" s="3"/>
      <c r="AM158" s="3"/>
      <c r="AN158" s="52" t="str">
        <f>IF(Atletas!D149="","",IF(Atletas!B149="Feminino",100,IF(Atletas!B149="Masculino",200,""))+(IF(Atletas!D149="Kids 30kg",1,IF(Atletas!D149="Kids 32kg",2, IF(Atletas!D149="Kids 34kg",3,IF(Atletas!D149="Kids 36kg",4,IF(Atletas!D149="Kids 39kg",5,IF(Atletas!D149="Kids 42kg",6,IF(Atletas!D149="Kids 45kg",7, IF(Atletas!D149="Infantil 39kg",8,IF(Atletas!D149="Infantil 42kg",9,IF(Atletas!D149="Infantil 45kg",10,IF(Atletas!D149="Infantil 48kg",11,IF(Atletas!D149="Infantil 52kg",12,IF(Atletas!D149="Infantil 56kg",13,IF(Atletas!D149="Infantil 60kg",14,IF(Atletas!D149="Juvenil 48kg",15,IF(Atletas!D149="Juvenil 52kg",16,IF(Atletas!D149="Juvenil 56kg",17,IF(Atletas!D149="Juvenil 60kg",18,IF(Atletas!D149="Juvenil 65kg",19,IF(Atletas!D149="Juvenil 70kg",20,IF(Atletas!D149="Juvenil 75kg",21,IF(Atletas!D149="Juvenil 80kg",22, IF(Atletas!D149="Juvenil 85kg",23,IF(Atletas!D149="Adulto 48kg",24,IF(Atletas!D149="Adulto 52kg",25,IF(Atletas!D149="Adulto 56kg",26,IF(Atletas!D149="Adulto 60kg",27,IF(Atletas!D149="Adulto 65kg",28,IF(Atletas!D149="Adulto 70kg",29,IF(Atletas!D149="Adulto 75kg",30,IF(Atletas!D149="Adulto 80kg",31,IF(Atletas!D149="Adulto 85kg",32,IF(Atletas!D149="Adulto 90kg",33,IF(Atletas!D149="Adulto 100kg",34, IF(Atletas!D149="Adulto +100kg",35,"")))))))))))))))))))))))))))))))))))))</f>
        <v/>
      </c>
      <c r="AS158" s="6" t="str">
        <f>IF(Atletas!E149="","",IF(Atletas!B149="Feminino",100,IF(Atletas!B149="Masculino",200,""))+(IF(Atletas!E149="Juvenil 44kg",1,IF(Atletas!E149="Juvenil 48kg",2,IF(Atletas!E149="Juvenil 52kg",3,IF(Atletas!E149="Juvenil 56kg",4,IF(Atletas!E149="Juvenil 60kg",5,IF(Atletas!E149="Juvenil 65kg",6,IF(Atletas!E149="Juvenil 70kg",7,IF(Atletas!E149="Juvenil 75kg",8,IF(Atletas!E149="Juvenil 82kg",9,IF(Atletas!E149="Juvenil 90kg",10,IF(Atletas!E149="Juvenil 100kg",11,IF(Atletas!E149="Adulto 48kg",12,IF(Atletas!E149="Adulto 52kg",13,IF(Atletas!E149="Adulto 56kg",14,IF(Atletas!E149="Adulto 60kg",15,IF(Atletas!E149="Adulto 65kg",16,IF(Atletas!E149="Adulto 70kg",17,IF(Atletas!E149="Adulto 75kg",18,IF(Atletas!E149="Adulto 82kg",19,IF(Atletas!E149="Adulto 90kg",20,IF(Atletas!E149="Adulto 100kg",21,IF(Atletas!E149="Adulto +100kg",22,""))))))))))))))))))))))))</f>
        <v/>
      </c>
      <c r="AX158" s="6" t="str">
        <f>IF(Atletas!F149="","",IF(Atletas!B149="Feminino",100,IF(Atletas!B149="Masculino",200,""))+(IF(Atletas!F149="Adulto 48kg",1,IF(Atletas!F149="Adulto 56kg",2,IF(Atletas!F149="Adulto 65kg",3,IF(Atletas!F149="Adulto 75kg",4,IF(Atletas!F149="Adulto +75kg",5,IF(Atletas!F149="Adulto 52kg",6,IF(Atletas!F149="Adulto 60kg",7,IF(Atletas!F149="Adulto 70kg",8,IF(Atletas!F149="Adulto 80kg",9,IF(Atletas!F149="Adulto 90kg",10,IF(Atletas!F149="Adulto +90kg",11,"")))))))))))))</f>
        <v/>
      </c>
      <c r="BC158" s="6" t="str">
        <f>IF(Atletas!G149="","",IF(Atletas!B149="Feminino",10,IF(Atletas!B149="Masculino",20,""))+(IF(Atletas!G149="Baduanjin A",1,IF(Atletas!G149="Baduanjin B",2))))</f>
        <v/>
      </c>
      <c r="BF158" s="52" t="str">
        <f>IF(Atletas!H149="","",IF(Atletas!B149="Feminino",100,IF(Atletas!B149="Masculino",200,""))+(IF(Atletas!H149="Changquan Mirim",1,IF(Atletas!H149="Nanquan Mirim",2,IF(Atletas!H149="Taijiquan Mirim",3,IF(Atletas!H149="Changquan Grupo C",4,IF(Atletas!H149="Nanquan Grupo C",5,IF(Atletas!H149="Taijiquan Grupo C",6,IF(Atletas!H149="Changquan Grupo B",7,IF(Atletas!H149="Nanquan Grupo B",8,IF(Atletas!H149="Taijiquan Grupo B",9,IF(Atletas!H149="Changquan Grupo A",10,IF(Atletas!H149="Nanquan Grupo A",11,IF(Atletas!H149="Taijiquan Grupo A",12,IF(Atletas!H149="Changquan Opcional",13,IF(Atletas!H149="Nanquan Opcional",14,IF(Atletas!H149="Taijiquan Opcional",15,IF(Atletas!H149="Changquan Adulto",16,IF(Atletas!H149="Nanquan Adulto",17,IF(Atletas!H149="Taijiquan Adulto",18,""))))))))))))))))))))</f>
        <v/>
      </c>
      <c r="BG158" s="52" t="str">
        <f>IF(Atletas!I149="","",IF(Atletas!B149="Feminino",100,IF(Atletas!B149="Masculino",200,""))+(IF(Atletas!I149="Daoshu Mirim",19,IF(Atletas!I149="Jianshu Mirim",20,IF(Atletas!I149="Nandao Mirim",21,IF(Atletas!I149="Taijijian Mirim",22,IF(Atletas!I149="Daoshu Grupo C",23,IF(Atletas!I149="Jianshu Grupo C",24,IF(Atletas!I149="Nandao Grupo C",25,IF(Atletas!I149="Taijijian Grupo C",26,IF(Atletas!I149="Daoshu Grupo B",27,IF(Atletas!I149="Jianshu Grupo B",28,IF(Atletas!I149="Nandao Grupo B",29,IF(Atletas!I149="Taijijian Grupo B",30,IF(Atletas!I149="Daoshu Grupo A",31,IF(Atletas!I149="Jianshu Grupo A",32,IF(Atletas!I149="Nandao Grupo A",33,IF(Atletas!I149="Taijijian Grupo A",34,IF(Atletas!I149="Daoshu Opcional",35,IF(Atletas!I149="Jianshu Opcional",36,IF(Atletas!I149="Nandao Opcional",37,IF(Atletas!I149="Taijijian Opcional",38,IF(Atletas!I149="Daoshu Adulto",39,IF(Atletas!I149="Jianshu Adulto",40,IF(Atletas!I149="Nandao Adulto",41,IF(Atletas!I149="Taijijian Adulto",42,""))))))))))))))))))))))))))</f>
        <v/>
      </c>
      <c r="BH158" s="52" t="str">
        <f>IF(Atletas!J149="","",IF(Atletas!B149="Feminino",100,IF(Atletas!B149="Masculino",200,""))+(IF(Atletas!J149="Gunshu Mirim",43,IF(Atletas!J149="Qiangshu Mirim",44,IF(Atletas!J149="Nangun Mirim",45,IF(Atletas!J149="Gunshu Grupo C",46,IF(Atletas!J149="Qiangshu Grupo C",47,IF(Atletas!J149="Nangun Grupo C",48,IF(Atletas!J149="Gunshu Grupo B",49,IF(Atletas!J149="Qiangshu Grupo B",50,IF(Atletas!J149="Nangun Grupo B",51,IF(Atletas!J149="Gunshu Grupo A",52,IF(Atletas!J149="Qiangshu Grupo A",53,IF(Atletas!J149="Nangun Grupo A",54,IF(Atletas!J149="Gunshu Opcional",55,IF(Atletas!J149="Qiangshu Opcional",56,IF(Atletas!J149="Nangun Opcional",57,IF(Atletas!J149="Gunshu Adulto",58,IF(Atletas!J149="Qiangshu Adulto",59,IF(Atletas!J149="Nangun Adulto",60,IF(Atletas!J149="Taijishan Grupo B",61,IF(Atletas!J149="Taijishan Grupo A",62,""))))))))))))))))))))))</f>
        <v/>
      </c>
      <c r="BM158" s="50" t="str">
        <f>IF(Atletas!K149="","",IF(Atletas!B149="Feminino",100,IF(Atletas!B149="Masculino",200,""))+(IF(Atletas!K149="Equipe 1 Grupo B",1,IF(Atletas!K149="Equipe 2 Grupo B",2,IF(Atletas!K149="Equipe 1 Grupo A",3,IF(Atletas!K149="Equipe 2 Grupo A",4,IF(Atletas!K149="Equipe 1 Adulto",5,IF(Atletas!K149="Equipe 2 Adulto",6,""))))))))</f>
        <v/>
      </c>
      <c r="BR158" s="50" t="str">
        <f>IF(Atletas!L149="","",IF(Atletas!X149&lt;&gt;"",10000,0)+(IF(Atletas!B149="Feminino",1000,IF(Atletas!B149="Masculino",2000,""))+IF(Atletas!L149="Choylayfut A",1,IF(Atletas!L149="Hunggar A",2,IF(Atletas!L149="Wuzuquan A",3,IF(Atletas!L149="Wingchun A",4,IF(Atletas!L149="Outra Mão de Sul A",5,IF(Atletas!L149="Choylayfut B",6,IF(Atletas!L149="Hunggar B",7,IF(Atletas!L149="Wuzuquan B",8,IF(Atletas!L149="Wingchun B",9,IF(Atletas!L149="Outra Mão de Sul B",10,IF(Atletas!L149="Choylayfut C",11,IF(Atletas!L149="Hunggar C",12,IF(Atletas!L149="Wuzuquan C",13,IF(Atletas!L149="Wingchun C",14,IF(Atletas!L149="Outra Mão de Sul C",15,IF(Atletas!L149="Choylayfut D",16,IF(Atletas!L149="Hunggar D",17,IF(Atletas!L149="Wuzuquan D",18,IF(Atletas!L149="Wingchun D",19,IF(Atletas!L149="Outra Mão de Sul D",20,IF(Atletas!L149="Choylayfut E",21,IF(Atletas!L149="Hunggar E",22,IF(Atletas!L149="Wuzuquan E",23,IF(Atletas!L149="Wingchun E",24,IF(Atletas!L149="Outra Mão de Sul E",25,IF(Atletas!L149="Choylayfut F",26,IF(Atletas!L149="Hunggar F",27,IF(Atletas!L149="Wuzuquan F",28,IF(Atletas!L149="Wingchun F",29,IF(Atletas!L149="Outra Mão de Sul F",30,IF(Atletas!L149="Dishuquan A",31,IF(Atletas!L149="Dishuquan B",32,IF(Atletas!L149="Dishuquan C",33,IF(Atletas!L149="Dishuquan D",34,IF(Atletas!L149="Dishuquan E",35,IF(Atletas!L149="Dishuquan F",36,""))))))))))))))))))))))))))))))))))))))</f>
        <v/>
      </c>
      <c r="BS158" s="50" t="str">
        <f>IF(Atletas!M149="","",IF(Atletas!X149&lt;&gt;"",10000,0)+(IF(Atletas!B149="Feminino",1000,IF(Atletas!B149="Masculino",2000,""))+(IF(Atletas!M149="Chaquan A",101,IF(Atletas!M149="Emeiquan A",102,IF(Atletas!M149="Fanziquan A",103,IF(Atletas!M149="Huaquan A",104,IF(Atletas!M149="Hongquan A",105,IF(Atletas!M149="Paoquan A",106,IF(Atletas!M149="Piguaquan A",107,IF(Atletas!M149="Shaolinquan A",108,IF(Atletas!M149="Tanglangquan A",109,IF(Atletas!M149="Yingzhaoquan A",110,IF(Atletas!M149="Tongbeiquan A",111,IF(Atletas!M149="Wudangquan A",112,IF(Atletas!M149="Outros Estilos A",113,IF(Atletas!M149="Chaquan B",114,IF(Atletas!M149="Emeiquan B",115,IF(Atletas!M149="Fanziquan B",116,IF(Atletas!M149="Huaquan B",117,IF(Atletas!M149="Hongquan B",118,IF(Atletas!M149="Paoquan B",119,IF(Atletas!M149="Piguaquan B",120,IF(Atletas!M149="Shaolinquan B",121,IF(Atletas!M149="Tanglangquan B",122,IF(Atletas!M149="Yingzhaoquan B",123,IF(Atletas!M149="Tongbeiquan B",124,IF(Atletas!M149="Wudangquan B",125,IF(Atletas!M149="Outros Estilos B",126,IF(Atletas!M149="Chaquan C",127,IF(Atletas!M149="Emeiquan C",128,IF(Atletas!M149="Fanziquan C",129,IF(Atletas!M149="Huaquan C",130,IF(Atletas!M149="Hongquan C",131,IF(Atletas!M149="Paoquan C",132,IF(Atletas!M149="Piguaquan C",133,IF(Atletas!M149="Shaolinquan C",134,IF(Atletas!M149="Tanglangquan C",135,IF(Atletas!M149="Yingzhaoquan C",136,IF(Atletas!M149="Tongbeiquan C",137,IF(Atletas!M149="Wudangquan C",138,IF(Atletas!M149="Outros Estilos C",139,0))))))))))))))))))))))))))))))))))))))))))</f>
        <v/>
      </c>
      <c r="BT158" s="50" t="str">
        <f>IF(Atletas!M149="","",IF(Atletas!X149&lt;&gt;"",10000,0)+(IF(Atletas!B149="Feminino",1000,IF(Atletas!B149="Masculino",2000,""))+(IF(Atletas!M149="Chaquan D",140,IF(Atletas!M149="Emeiquan D",141,IF(Atletas!M149="Fanziquan D",142,IF(Atletas!M149="Huaquan D",143,IF(Atletas!M149="Hongquan D",144,IF(Atletas!M149="Paoquan D",145,IF(Atletas!M149="Piguaquan D",146,IF(Atletas!M149="Shaolinquan D",147,IF(Atletas!M149="Tanglangquan D",148,IF(Atletas!M149="Yingzhaoquan D",149,IF(Atletas!M149="Tongbeiquan D",150,IF(Atletas!M149="Wudangquan D",151,IF(Atletas!M149="Outros Estilos D",152,IF(Atletas!M149="Chaquan E",153,IF(Atletas!M149="Emeiquan E",154,IF(Atletas!M149="Fanziquan E",155,IF(Atletas!M149="Huaquan E",156,IF(Atletas!M149="Hongquan E",157,IF(Atletas!M149="Paoquan E",158,IF(Atletas!M149="Piguaquan E",159,IF(Atletas!M149="Shaolinquan E",160,IF(Atletas!M149="Tanglangquan E",161,IF(Atletas!M149="Yingzhaoquan E",162,IF(Atletas!M149="Tongbeiquan E",163,IF(Atletas!M149="Wudangquan E",164,IF(Atletas!M149="Outros Estilos E",165,IF(Atletas!M149="Chaquan F",166,IF(Atletas!M149="Emeiquan F",167,IF(Atletas!M149="Fanziquan F",168,IF(Atletas!M149="Huaquan F",169,IF(Atletas!M149="Hongquan F",170,IF(Atletas!M149="Paoquan F",171,IF(Atletas!M149="Piguaquan F",172,IF(Atletas!M149="Shaolinquan F",173,IF(Atletas!M149="Tanglangquan F",174,IF(Atletas!M149="Yingzhaoquan F",175,IF(Atletas!M149="Tongbeiquan F",176,IF(Atletas!M149="Wudangquan F",177,IF(Atletas!M149="Outros Estilos F",178,0))))))))))))))))))))))))))))))))))))))))))</f>
        <v/>
      </c>
      <c r="BU158" s="50" t="str">
        <f>IF(Atletas!N149="","",IF(Atletas!X149&lt;&gt;"",10000,0)+(IF(Atletas!B149="Feminino",1000,IF(Atletas!B149="Masculino",2000,""))+(IF(Atletas!N149="Ditangquan A",201,IF(Atletas!N149="Houquan A",202,IF(Atletas!N149="Zuiquan A",203,IF(Atletas!N149="Ditangquan B",204,IF(Atletas!N149="Houquan B",205,IF(Atletas!N149="Zuiquan B",206,IF(Atletas!N149="Ditangquan C",207,IF(Atletas!N149="Houquan C",208,IF(Atletas!N149="Zuiquan C",209,IF(Atletas!N149="Ditangquan D",210,IF(Atletas!N149="Houquan D",211,IF(Atletas!N149="Zuiquan D",212,IF(Atletas!N149="Ditangquan E",213,IF(Atletas!N149="Houquan E",214,IF(Atletas!N149="Zuiquan E",215,IF(Atletas!N149="Ditangquan F",216,IF(Atletas!N149="Houquan F",217,IF(Atletas!N149="Zuiquan F",218,"")))))))))))))))))))))</f>
        <v/>
      </c>
      <c r="BV158" s="50" t="str">
        <f>IF(Atletas!O149="","",IF(Atletas!X149&lt;&gt;"",10000,0)+IF(Atletas!B149="Feminino",1000,IF(Atletas!B149="Masculino",2000,""))+IF(Atletas!O149="Yang A",301,IF(Atletas!O149="Chen A",302,IF(Atletas!O149="Sun A",303,IF(Atletas!O149="Wu A",304,IF(Atletas!O149="Wu-Hao A",305,IF(Atletas!O149="Outro Taijiquan A",306,IF(Atletas!O149="Yang B",307,IF(Atletas!O149="Chen B",308,IF(Atletas!O149="Sun B",309,IF(Atletas!O149="Wu B",310,IF(Atletas!O149="Wu-Hao B",311,IF(Atletas!O149="Outro Taijiquan B",312,IF(Atletas!O149="Yang C",313,IF(Atletas!O149="Chen C",314,IF(Atletas!O149="Sun C",315,IF(Atletas!O149="Wu C",316,IF(Atletas!O149="Wu-Hao C",317,IF(Atletas!O149="Outro Taijiquan C",318,IF(Atletas!O149="Yang D",319,IF(Atletas!O149="Chen D",320,IF(Atletas!O149="Sun D",321,IF(Atletas!O149="Wu D",322,IF(Atletas!O149="Wu-Hao D",323,IF(Atletas!O149="Outro Taijiquan D",324,IF(Atletas!O149="Yang E",325,IF(Atletas!O149="Chen E",326,IF(Atletas!O149="Sun E",327,IF(Atletas!O149="Wu E",328,IF(Atletas!O149="Wu-Hao E",329,IF(Atletas!O149="Outro Taijiquan E",330,IF(Atletas!O149="Yang F",331,IF(Atletas!O149="Chen F",332,IF(Atletas!O149="Sun F",333,IF(Atletas!O149="Wu F",334,IF(Atletas!O149="Wu-Hao F",335,IF(Atletas!O149="Outro Taijiquan F",336,"")))))))))))))))))))))))))))))))))))))</f>
        <v/>
      </c>
      <c r="BW158" s="50" t="str">
        <f>IF(Atletas!P149="","",IF(Atletas!X149&lt;&gt;"",10000,0)+IF(Atletas!B149="Feminino",1000,IF(Atletas!B149="Masculino",2000,""))+IF(OR(Atletas!P149="Yang 26 A",Atletas!P149="Yang 40 A"),401,IF(OR(Atletas!P149="Chen 25 A",Atletas!P149="Chen 36 A",Atletas!P149="Chen 56 A"),402,IF(Atletas!P149="Sun 73 A",403,IF(Atletas!P149="Wu 45 A",404,IF(Atletas!P149="Wu-Hao 46 A",405,IF(OR(Atletas!P149="Taijiquan 16 A",Atletas!P149="Taijiquan 24 A",Atletas!P149="Taijiquan 32 A",Atletas!P149="Taijiquan 42 A"),406,IF(OR(Atletas!P149="Yang 26 B",Atletas!P149="Yang 40 B"),407,IF(OR(Atletas!P149="Chen 25 B",Atletas!P149="Chen 36 B",Atletas!P149="Chen 56 B"),408,IF(Atletas!P149="Sun 73 B",409,IF(Atletas!P149="Wu 45 B",410,IF(Atletas!P149="Wu-Hao 46 B",411,IF(OR(Atletas!P149="Taijiquan 16 B",Atletas!P149="Taijiquan 24 B",Atletas!P149="Taijiquan 32 B",Atletas!P149="Taijiquan 42 B"),412,IF(OR(Atletas!P149="Yang 26 C",Atletas!P149="Yang 40 C"),413,IF(OR(Atletas!P149="Chen 25 C",Atletas!P149="Chen 36 C",Atletas!P149="Chen 56 C"),414,IF(Atletas!P149="Sun 73 C",415,IF(Atletas!P149="Wu 45 C",416,IF(Atletas!P149="Wu-Hao 46 C",417,IF(OR(Atletas!P149="Taijiquan 16 C",Atletas!P149="Taijiquan 24 C",Atletas!P149="Taijiquan 32 C",Atletas!P149="Taijiquan 42 C"),418,0)))))))))))))))))))</f>
        <v/>
      </c>
      <c r="BX158" s="50" t="str">
        <f>IF(Atletas!P149="","",IF(Atletas!X149&lt;&gt;"",10000,0)+IF(Atletas!B149="Feminino",1000,IF(Atletas!B149="Masculino",2000,""))+IF(OR(Atletas!P149="Yang 26 D",Atletas!P149="Yang 40 D"),419,IF(OR(Atletas!P149="Chen 25 D",Atletas!P149="Chen 36 D",Atletas!P149="Chen 56 D"),420,IF(Atletas!P149="Sun 73 D",421,IF(Atletas!P149="Wu 45 D",422,IF(Atletas!P149="Wu-Hao 46 D",423,IF(OR(Atletas!P149="Taijiquan 16 D",Atletas!P149="Taijiquan 24 D",Atletas!P149="Taijiquan 32 D",Atletas!P149="Taijiquan 42 D"),424,IF(OR(Atletas!P149="Yang 26 E",Atletas!P149="Yang 40 E"),425,IF(OR(Atletas!P149="Chen 25 E",Atletas!P149="Chen 36 E",Atletas!P149="Chen 56 E"),426,IF(Atletas!P149="Sun 73 E",427,IF(Atletas!P149="Wu 45 E",428,IF(Atletas!P149="Wu-Hao 46 E",429,IF(OR(Atletas!P149="Taijiquan 16 E",Atletas!P149="Taijiquan 24 E",Atletas!P149="Taijiquan 32 E",Atletas!P149="Taijiquan 42 E"),430,IF(OR(Atletas!P149="Yang 26 F",Atletas!P149="Yang 40 F"),431,IF(OR(Atletas!P149="Chen 25 F",Atletas!P149="Chen 36 F",Atletas!P149="Chen 56 F"),432,IF(Atletas!P149="Sun 73 F",433,IF(Atletas!P149="Wu 45 F",434,IF(Atletas!P149="Wu-Hao 46 F",435,IF(OR(Atletas!P149="Taijiquan 16 F",Atletas!P149="Taijiquan 24 F",Atletas!P149="Taijiquan 32 F",Atletas!P149="Taijiquan 42 F"),436,0)))))))))))))))))))</f>
        <v/>
      </c>
      <c r="BY158" s="50" t="str">
        <f>IF(Atletas!Q149="","",IF(Atletas!X149&lt;&gt;"",10000,0)+IF(Atletas!B149="Feminino",1000,IF(Atletas!B149="Masculino",2000,""))+IF(Atletas!Q149="Xingyiquan A",501,IF(Atletas!Q149="Baguazhang A",502,IF(Atletas!Q149="Outro Estilo Interno A",503,IF(Atletas!Q149="Xingyiquan B",504,IF(Atletas!Q149="Baguazhang B",505,IF(Atletas!Q149="Outro Estilo Interno B",506,IF(Atletas!Q149="Xingyiquan C",507,IF(Atletas!Q149="Baguazhang C",508,IF(Atletas!Q149="Outro Estilo Interno C",509,IF(Atletas!Q149="Xingyiquan D",510,IF(Atletas!Q149="Baguazhang D",511,IF(Atletas!Q149="Outro Estilo Interno D",512,IF(Atletas!Q149="Xingyiquan E",513,IF(Atletas!Q149="Baguazhang E",514,IF(Atletas!Q149="Outro Estilo Interno E",515,IF(Atletas!Q149="Xingyiquan F",516,IF(Atletas!Q149="Baguazhang F",517,IF(Atletas!Q149="Outro Estilo Interno F",518, "")))))))))))))))))))</f>
        <v/>
      </c>
      <c r="BZ158" s="50" t="str">
        <f>IF(Atletas!R149="","",IF(Atletas!X149&lt;&gt;"",10000,0)+IF(Atletas!B149="Feminino",1000,IF(Atletas!B149="Masculino",2000,""))+IF(Atletas!R149="Dao A",601,IF(Atletas!R149="Jian A",602,IF(Atletas!R149="Bishou A",603,IF(Atletas!R149="Shanzi A",604,IF(Atletas!R149="Outra Arma Curta A",605,IF(Atletas!R149="Dao B",606,IF(Atletas!R149="Jian B",607,IF(Atletas!R149="Bishou B",608,IF(Atletas!R149="Shanzi B",609,IF(Atletas!R149="Outra Arma Curta B",610,IF(Atletas!R149="Dao C",611,IF(Atletas!R149="Jian C",612,IF(Atletas!R149="Bishou C",613,IF(Atletas!R149="Shanzi C",614,IF(Atletas!R149="Outra Arma Curta C",615,IF(Atletas!R149="Dao D",616,IF(Atletas!R149="Jian D",617,IF(Atletas!R149="Bishou D",618,IF(Atletas!R149="Shanzi D",619,IF(Atletas!R149="Outra Arma Curta D",620,IF(Atletas!R149="Dao E",621,IF(Atletas!R149="Jian E",622,IF(Atletas!R149="Bishou E",623,IF(Atletas!R149="Shanzi E",624,IF(Atletas!R149="Outra Arma Curta E",625,IF(Atletas!R149="Dao F",626,IF(Atletas!R149="Jian F",627,IF(Atletas!R149="Bishou F",628,IF(Atletas!R149="Shanzi F",629,IF(Atletas!R149="Outra Arma Curta F",630, "")))))))))))))))))))))))))))))))</f>
        <v/>
      </c>
      <c r="CA158" s="50" t="str">
        <f>IF(Atletas!S149="","",IF(Atletas!X149&lt;&gt;"",10000,0)+IF(Atletas!B149="Feminino",1000,IF(Atletas!B149="Masculino",2000,""))+IF(Atletas!S149="Gun A",701,IF(Atletas!S149="Qiang A",702,IF(Atletas!S149="Pudao / Guandao A",703,IF(Atletas!S149="Outra Arma Longa A",704,IF(Atletas!S149="Gun B",705,IF(Atletas!S149="Qiang B",706,IF(Atletas!S149="Pudao / Guandao B",707,IF(Atletas!S149="Outra Arma Longa B",708,IF(Atletas!S149="Gun C",709,IF(Atletas!S149="Qiang C",710,IF(Atletas!S149="Pudao / Guandao C",711,IF(Atletas!S149="Outra Arma Longa C",712,IF(Atletas!S149="Gun D",713,IF(Atletas!S149="Qiang D",714,IF(Atletas!S149="Pudao / Guandao D",715,IF(Atletas!S149="Outra Arma Longa D",716,IF(Atletas!S149="Gun E",717,IF(Atletas!S149="Qiang E",718,IF(Atletas!S149="Pudao / Guandao E",719,IF(Atletas!S149="Outra Arma Longa E",720,IF(Atletas!S149="Gun F",721,IF(Atletas!S149="Qiang F",722,IF(Atletas!S149="Pudao / Guandao F",723,IF(Atletas!S149="Outra Arma Longa F",724,"")))))))))))))))))))))))))</f>
        <v/>
      </c>
      <c r="CB158" s="50" t="str">
        <f>IF(Atletas!T149="","",IF(Atletas!X149&lt;&gt;"",10000,0)+IF(Atletas!B149="Feminino",1000,IF(Atletas!B149="Masculino",2000,""))+IF(Atletas!T149="Outra Arma Dupla A",801,IF(Atletas!T149="Arma Maleável A",802,IF(Atletas!T149="Outra Arma Dupla B",803,IF(Atletas!T149="Arma Maleável B",804,IF(Atletas!T149="Outra Arma Dupla C",805,IF(Atletas!T149="Arma Maleável C",806,IF(Atletas!T149="Outra Arma Dupla D",807,IF(Atletas!T149="Arma Maleável D",808,IF(Atletas!T149="Outra Arma Dupla E",809,IF(Atletas!T149="Arma Maleável E",810,IF(Atletas!T149="Outra Arma Dupla F",811,IF(Atletas!T149="Arma Maleável F",812,IF(Atletas!T149="Shuangdao A",813,IF(Atletas!T149="Shuangdao B",814,IF(Atletas!T149="Shuangdao C",815,IF(Atletas!T149="Shuangdao D",816,IF(Atletas!T149="Shuangdao E",817,IF(Atletas!T149="Shuangdao F",818,"")))))))))))))))))))</f>
        <v/>
      </c>
      <c r="CC158" s="50" t="str">
        <f>IF(Atletas!U149="","",IF(Atletas!X149&lt;&gt;"",10000,0)+IF(Atletas!B149="Feminino",1000,IF(Atletas!B149="Masculino",2000,""))+IF(OR(Atletas!U149="Taijijian Yang A",Atletas!U149="Taijijian Yang Standard A"),901,IF(OR(Atletas!U149="Taijijian Chen A", Atletas!U149="Taijijian Chen Standard A"),902,IF(Atletas!U149="Taijijian Sun A",903,IF(Atletas!U149="Taijijian Wu A",904,IF(Atletas!U149="Taijijian Wu-Hao A",905,IF(OR(Atletas!U149="Taijijian 32 A",Atletas!U149="Taijijian 42 A"),906,IF(OR(Atletas!U149="Taijijian Yang B",Atletas!U149="Taijijian Yang Standard B"),907,IF(OR(Atletas!U149="Taijijian Chen B", Atletas!U149="Taijijian Chen Standard B"),908,IF(Atletas!U149="Taijijian Sun B",909,IF(Atletas!U149="Taijijian Wu B",910,IF(Atletas!U149="Taijijian Wu-Hao B",911,IF(OR(Atletas!U149="Taijijian 32 B",Atletas!U149="Taijijian 42 B"),912,IF(OR(Atletas!U149="Taijijian Yang C",Atletas!U149="Taijijian Yang Standard C"),913,IF(OR(Atletas!U149="Taijijian Chen C", Atletas!U149="Taijijian Chen Standard C"),914,IF(Atletas!U149="Taijijian Sun C",915,IF(Atletas!U149="Taijijian Wu C",916,IF(Atletas!U149="Taijijian Wu-Hao C",917,IF(OR(Atletas!U149="Taijijian 32 C",Atletas!U149="Taijijian 42 C"),918,IF(OR(Atletas!U149="Taijijian Yang D",Atletas!U149="Taijijian Yang Standard D"),919,IF(OR(Atletas!U149="Taijijian Chen D", Atletas!U149="Taijijian Chen Standard D"),920,IF(Atletas!U149="Taijijian Sun D",921,IF(Atletas!U149="Taijijian Wu D",922,IF(Atletas!U149="Taijijian Wu-Hao D",923,IF(OR(Atletas!U149="Taijijian 32 D",Atletas!U149="Taijijian 42 D"),924,IF(OR(Atletas!U149="Taijijian Yang E",Atletas!U149="Taijijian Yang Standard E"),925,IF(OR(Atletas!U149="Taijijian Chen E", Atletas!U149="Taijijian Chen Standard E"),926,IF(Atletas!U149="Taijijian Sun E",927,IF(Atletas!U149="Taijijian Wu E",928,IF(Atletas!U149="Taijijian Wu-Hao E",929,IF(OR(Atletas!U149="Taijijian 32 E",Atletas!U149="Taijijian 42 E"),930,IF(OR(Atletas!U149="Taijijian Yang F",Atletas!U149="Taijijian Yang Standard F"),931,IF(OR(Atletas!U149="Taijijian Chen F", Atletas!U149="Taijijian Chen Standard F"),932,IF(Atletas!U149="Taijijian Sun F",933,IF(Atletas!U149="Taijijian Wu F",934,IF(Atletas!U149="Taijijian Wu-Hao F",935,IF(OR(Atletas!U149="Taijijian 32 F",Atletas!U149="Taijijian 42 F"),936,"")))))))))))))))))))))))))))))))))))))</f>
        <v/>
      </c>
      <c r="CD158" s="50" t="str">
        <f>IF(Atletas!V149="","",IF(Atletas!X149&lt;&gt;"",10000,0)+IF(Atletas!B149="Feminino",1000,IF(Atletas!B149="Masculino",2000,""))+IF(Atletas!V149="Taijidao A",937,IF(Atletas!V149="TaijiShanzi A",938,IF(Atletas!V149="Taijiqiang A",939,IF(Atletas!V149="Bagua de Arma A",940,IF(Atletas!V149="Xingyi de Arma A",941,IF(Atletas!V149="Taijidao B",942,IF(Atletas!V149="TaijiShanzi B",943,IF(Atletas!V149="Taijiqiang B",944,IF(Atletas!V149="Bagua de Arma B",945,IF(Atletas!V149="Xingyi de Arma B",946,IF(Atletas!V149="Taijidao C",947,IF(Atletas!V149="TaijiShanzi C",948,IF(Atletas!V149="Taijiqiang C",949,IF(Atletas!V149="Bagua de Arma C",950,IF(Atletas!V149="Xingyi de Arma C",951,IF(Atletas!V149="Taijidao D",952,IF(Atletas!V149="TaijiShanzi D",953,IF(Atletas!V149="Taijiqiang D",954,IF(Atletas!V149="Bagua de Arma D",955,IF(Atletas!V149="Xingyi de Arma D",956,IF(Atletas!V149="Taijidao E",957,IF(Atletas!V149="TaijiShanzi E",958,IF(Atletas!V149="Taijiqiang E",959,IF(Atletas!V149="Bagua de Arma E",960,IF(Atletas!V149="Xingyi de Arma E",961,IF(Atletas!V149="Taijidao F",962,IF(Atletas!V149="TaijiShanzi F",963,IF(Atletas!V149="Taijiqiang F",964,IF(Atletas!V149="Bagua de Arma F",965,IF(Atletas!V149="Xingyi de Arma F",966,"")))))))))))))))))))))))))))))))</f>
        <v/>
      </c>
      <c r="CE158" s="66" t="str">
        <f>IF(CF158&lt;&gt;"","TJQ Trad. Chen D","")</f>
        <v/>
      </c>
      <c r="CF158" s="66" t="str">
        <f>IF(COUNTIF(BR:CD,1320)&gt;0,COUNTIF(BR:CD,1320),"")</f>
        <v/>
      </c>
      <c r="CG158" s="66" t="str">
        <f>IF(CH158&lt;&gt;"","TJQ Trad. Chen D","")</f>
        <v/>
      </c>
      <c r="CH158" s="66" t="str">
        <f>IF(COUNTIF(BR:CD,2320)&gt;0,COUNTIF(BR:CD,2320),"")</f>
        <v/>
      </c>
      <c r="CI158" s="66" t="str">
        <f>IF(CJ158&lt;&gt;"","TJQ Trad. Chen E","")</f>
        <v/>
      </c>
      <c r="CJ158" s="66" t="str">
        <f>IF(COUNTIF(BR:CD,11326)&gt;0,COUNTIF(BR:CD,11326),"")</f>
        <v/>
      </c>
      <c r="CK158" s="66" t="str">
        <f>IF(CL158&lt;&gt;"","TJQ Trad. Chen E","")</f>
        <v/>
      </c>
      <c r="CL158" s="66" t="str">
        <f>IF(COUNTIF(BR:CD,12326)&gt;0,COUNTIF(BR:CD,12326),"")</f>
        <v/>
      </c>
      <c r="CM158" s="50" t="str">
        <f xml:space="preserve"> IF(Atletas!W149="","",IF(Atletas!W149="Duilian de Mãos BC - Equipe 1",1,IF(Atletas!W149="Duilian de Mãos BC - Equipe 2",2,IF(Atletas!W149="Duilian de Armas BC - Equipe 1",3,IF(Atletas!W149="Duilian de Armas BC - Equipe 2",4,IF(Atletas!W149="Duilian de Mãos DE - Equipe 1",5,IF(Atletas!W149="Duilian de Mãos DE - Equipe 2",6,IF(Atletas!W149="Duilian de Armas DE - Equipe 1",7,IF(Atletas!W149="Duilian de Armas DE - Equipe 2",8,IF(Atletas!W149="Duilian de Tuishou - Equipe 1",9,IF(Atletas!W149="Duilian de Tuishou - Equipe 2",10,IF(Atletas!W149="Grupo Externo ABC - Equipe 1",11,IF(Atletas!W149="Grupo Externo ABC - Equipe 2",12,IF(Atletas!W149="Grupo Interno ABC - Equipe 1",13,IF(Atletas!W149="Grupo Interno ABC - Equipe 2",14,IF(Atletas!W149="Grupo Externo DEF - Equipe 1",15,IF(Atletas!W149="Grupo Externo DEF - Equipe 2",16,IF(Atletas!W149="Grupo Interno DEF - Equipe 1",17,IF(Atletas!W149="Grupo Interno DEF - Equipe 2",18,"")))))))))))))))))))</f>
        <v/>
      </c>
    </row>
    <row r="159" spans="2:9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 t="str">
        <f t="array" ref="Z159">IFERROR(INDEX(CE$7:CE$348,SMALL(IF(CE$7:CE$348&lt;&gt;"",ROW(CE$7:CE$348)-ROW(CE$7)+1),ROWS(CE$7:CE158))),"")</f>
        <v/>
      </c>
      <c r="AA159" s="3" t="str">
        <f t="array" ref="AA159">IFERROR(INDEX(CF$7:CF$348,SMALL(IF(CF$7:CF$348&lt;&gt;"",ROW(CF$7:CF$348)-ROW(CF$7)+1),ROWS(CF$7:CF158))),"")</f>
        <v/>
      </c>
      <c r="AB159" s="3" t="str">
        <f t="array" ref="AB159">IFERROR(INDEX(CG$7:CG$348,SMALL(IF(CG$7:CG$348&lt;&gt;"",ROW(CG$7:CG$348)-ROW(CG$7)+1),ROWS(CG$7:CG158))),"")</f>
        <v/>
      </c>
      <c r="AC159" s="3" t="str">
        <f t="array" ref="AC159">IFERROR(INDEX(CH$7:CH$348,SMALL(IF(CH$7:CH$348&lt;&gt;"",ROW(CH$7:CH$348)-ROW(CH$7)+1),ROWS(CH$7:CH158))),"")</f>
        <v/>
      </c>
      <c r="AD159" s="3" t="str">
        <f t="array" ref="AD159">IFERROR(INDEX(CI$7:CI$377,SMALL(IF(CI$7:CI$377&lt;&gt;"",ROW(CI$7:CI$377)-ROW(CI$7)+1),ROWS(CI$7:CI158))),"")</f>
        <v/>
      </c>
      <c r="AE159" s="3" t="str">
        <f t="array" ref="AE159">IFERROR(INDEX(CJ$7:CJ$378,SMALL(IF(CJ$7:CJ$378&lt;&gt;"",ROW(CJ$7:CJ$378)-ROW(CJ$7)+1),ROWS(CJ$7:CJ158))),"")</f>
        <v/>
      </c>
      <c r="AF159" s="3" t="str">
        <f t="array" ref="AF159">IFERROR(INDEX(CK$7:CK$378,SMALL(IF(CK$7:CK$378&lt;&gt;"",ROW(CK$7:CK$378)-ROW(CK$7)+1),ROWS(CK$7:CK158))),"")</f>
        <v/>
      </c>
      <c r="AG159" s="3" t="str">
        <f t="array" ref="AG159">IFERROR(INDEX(CL$7:CL$378,SMALL(IF(CL$7:CL$378&lt;&gt;"",ROW(CL$7:CL$378)-ROW(CL$7)+1),ROWS(CL$7:CL158))),"")</f>
        <v/>
      </c>
      <c r="AH159" s="3"/>
      <c r="AI159" s="3"/>
      <c r="AJ159" s="3"/>
      <c r="AK159" s="3"/>
      <c r="AL159" s="3"/>
      <c r="AM159" s="3"/>
      <c r="AN159" s="52" t="str">
        <f>IF(Atletas!D150="","",IF(Atletas!B150="Feminino",100,IF(Atletas!B150="Masculino",200,""))+(IF(Atletas!D150="Kids 30kg",1,IF(Atletas!D150="Kids 32kg",2, IF(Atletas!D150="Kids 34kg",3,IF(Atletas!D150="Kids 36kg",4,IF(Atletas!D150="Kids 39kg",5,IF(Atletas!D150="Kids 42kg",6,IF(Atletas!D150="Kids 45kg",7, IF(Atletas!D150="Infantil 39kg",8,IF(Atletas!D150="Infantil 42kg",9,IF(Atletas!D150="Infantil 45kg",10,IF(Atletas!D150="Infantil 48kg",11,IF(Atletas!D150="Infantil 52kg",12,IF(Atletas!D150="Infantil 56kg",13,IF(Atletas!D150="Infantil 60kg",14,IF(Atletas!D150="Juvenil 48kg",15,IF(Atletas!D150="Juvenil 52kg",16,IF(Atletas!D150="Juvenil 56kg",17,IF(Atletas!D150="Juvenil 60kg",18,IF(Atletas!D150="Juvenil 65kg",19,IF(Atletas!D150="Juvenil 70kg",20,IF(Atletas!D150="Juvenil 75kg",21,IF(Atletas!D150="Juvenil 80kg",22, IF(Atletas!D150="Juvenil 85kg",23,IF(Atletas!D150="Adulto 48kg",24,IF(Atletas!D150="Adulto 52kg",25,IF(Atletas!D150="Adulto 56kg",26,IF(Atletas!D150="Adulto 60kg",27,IF(Atletas!D150="Adulto 65kg",28,IF(Atletas!D150="Adulto 70kg",29,IF(Atletas!D150="Adulto 75kg",30,IF(Atletas!D150="Adulto 80kg",31,IF(Atletas!D150="Adulto 85kg",32,IF(Atletas!D150="Adulto 90kg",33,IF(Atletas!D150="Adulto 100kg",34, IF(Atletas!D150="Adulto +100kg",35,"")))))))))))))))))))))))))))))))))))))</f>
        <v/>
      </c>
      <c r="AS159" s="6" t="str">
        <f>IF(Atletas!E150="","",IF(Atletas!B150="Feminino",100,IF(Atletas!B150="Masculino",200,""))+(IF(Atletas!E150="Juvenil 44kg",1,IF(Atletas!E150="Juvenil 48kg",2,IF(Atletas!E150="Juvenil 52kg",3,IF(Atletas!E150="Juvenil 56kg",4,IF(Atletas!E150="Juvenil 60kg",5,IF(Atletas!E150="Juvenil 65kg",6,IF(Atletas!E150="Juvenil 70kg",7,IF(Atletas!E150="Juvenil 75kg",8,IF(Atletas!E150="Juvenil 82kg",9,IF(Atletas!E150="Juvenil 90kg",10,IF(Atletas!E150="Juvenil 100kg",11,IF(Atletas!E150="Adulto 48kg",12,IF(Atletas!E150="Adulto 52kg",13,IF(Atletas!E150="Adulto 56kg",14,IF(Atletas!E150="Adulto 60kg",15,IF(Atletas!E150="Adulto 65kg",16,IF(Atletas!E150="Adulto 70kg",17,IF(Atletas!E150="Adulto 75kg",18,IF(Atletas!E150="Adulto 82kg",19,IF(Atletas!E150="Adulto 90kg",20,IF(Atletas!E150="Adulto 100kg",21,IF(Atletas!E150="Adulto +100kg",22,""))))))))))))))))))))))))</f>
        <v/>
      </c>
      <c r="AX159" s="6" t="str">
        <f>IF(Atletas!F150="","",IF(Atletas!B150="Feminino",100,IF(Atletas!B150="Masculino",200,""))+(IF(Atletas!F150="Adulto 48kg",1,IF(Atletas!F150="Adulto 56kg",2,IF(Atletas!F150="Adulto 65kg",3,IF(Atletas!F150="Adulto 75kg",4,IF(Atletas!F150="Adulto +75kg",5,IF(Atletas!F150="Adulto 52kg",6,IF(Atletas!F150="Adulto 60kg",7,IF(Atletas!F150="Adulto 70kg",8,IF(Atletas!F150="Adulto 80kg",9,IF(Atletas!F150="Adulto 90kg",10,IF(Atletas!F150="Adulto +90kg",11,"")))))))))))))</f>
        <v/>
      </c>
      <c r="BC159" s="6" t="str">
        <f>IF(Atletas!G150="","",IF(Atletas!B150="Feminino",10,IF(Atletas!B150="Masculino",20,""))+(IF(Atletas!G150="Baduanjin A",1,IF(Atletas!G150="Baduanjin B",2))))</f>
        <v/>
      </c>
      <c r="BF159" s="52" t="str">
        <f>IF(Atletas!H150="","",IF(Atletas!B150="Feminino",100,IF(Atletas!B150="Masculino",200,""))+(IF(Atletas!H150="Changquan Mirim",1,IF(Atletas!H150="Nanquan Mirim",2,IF(Atletas!H150="Taijiquan Mirim",3,IF(Atletas!H150="Changquan Grupo C",4,IF(Atletas!H150="Nanquan Grupo C",5,IF(Atletas!H150="Taijiquan Grupo C",6,IF(Atletas!H150="Changquan Grupo B",7,IF(Atletas!H150="Nanquan Grupo B",8,IF(Atletas!H150="Taijiquan Grupo B",9,IF(Atletas!H150="Changquan Grupo A",10,IF(Atletas!H150="Nanquan Grupo A",11,IF(Atletas!H150="Taijiquan Grupo A",12,IF(Atletas!H150="Changquan Opcional",13,IF(Atletas!H150="Nanquan Opcional",14,IF(Atletas!H150="Taijiquan Opcional",15,IF(Atletas!H150="Changquan Adulto",16,IF(Atletas!H150="Nanquan Adulto",17,IF(Atletas!H150="Taijiquan Adulto",18,""))))))))))))))))))))</f>
        <v/>
      </c>
      <c r="BG159" s="52" t="str">
        <f>IF(Atletas!I150="","",IF(Atletas!B150="Feminino",100,IF(Atletas!B150="Masculino",200,""))+(IF(Atletas!I150="Daoshu Mirim",19,IF(Atletas!I150="Jianshu Mirim",20,IF(Atletas!I150="Nandao Mirim",21,IF(Atletas!I150="Taijijian Mirim",22,IF(Atletas!I150="Daoshu Grupo C",23,IF(Atletas!I150="Jianshu Grupo C",24,IF(Atletas!I150="Nandao Grupo C",25,IF(Atletas!I150="Taijijian Grupo C",26,IF(Atletas!I150="Daoshu Grupo B",27,IF(Atletas!I150="Jianshu Grupo B",28,IF(Atletas!I150="Nandao Grupo B",29,IF(Atletas!I150="Taijijian Grupo B",30,IF(Atletas!I150="Daoshu Grupo A",31,IF(Atletas!I150="Jianshu Grupo A",32,IF(Atletas!I150="Nandao Grupo A",33,IF(Atletas!I150="Taijijian Grupo A",34,IF(Atletas!I150="Daoshu Opcional",35,IF(Atletas!I150="Jianshu Opcional",36,IF(Atletas!I150="Nandao Opcional",37,IF(Atletas!I150="Taijijian Opcional",38,IF(Atletas!I150="Daoshu Adulto",39,IF(Atletas!I150="Jianshu Adulto",40,IF(Atletas!I150="Nandao Adulto",41,IF(Atletas!I150="Taijijian Adulto",42,""))))))))))))))))))))))))))</f>
        <v/>
      </c>
      <c r="BH159" s="52" t="str">
        <f>IF(Atletas!J150="","",IF(Atletas!B150="Feminino",100,IF(Atletas!B150="Masculino",200,""))+(IF(Atletas!J150="Gunshu Mirim",43,IF(Atletas!J150="Qiangshu Mirim",44,IF(Atletas!J150="Nangun Mirim",45,IF(Atletas!J150="Gunshu Grupo C",46,IF(Atletas!J150="Qiangshu Grupo C",47,IF(Atletas!J150="Nangun Grupo C",48,IF(Atletas!J150="Gunshu Grupo B",49,IF(Atletas!J150="Qiangshu Grupo B",50,IF(Atletas!J150="Nangun Grupo B",51,IF(Atletas!J150="Gunshu Grupo A",52,IF(Atletas!J150="Qiangshu Grupo A",53,IF(Atletas!J150="Nangun Grupo A",54,IF(Atletas!J150="Gunshu Opcional",55,IF(Atletas!J150="Qiangshu Opcional",56,IF(Atletas!J150="Nangun Opcional",57,IF(Atletas!J150="Gunshu Adulto",58,IF(Atletas!J150="Qiangshu Adulto",59,IF(Atletas!J150="Nangun Adulto",60,IF(Atletas!J150="Taijishan Grupo B",61,IF(Atletas!J150="Taijishan Grupo A",62,""))))))))))))))))))))))</f>
        <v/>
      </c>
      <c r="BM159" s="50" t="str">
        <f>IF(Atletas!K150="","",IF(Atletas!B150="Feminino",100,IF(Atletas!B150="Masculino",200,""))+(IF(Atletas!K150="Equipe 1 Grupo B",1,IF(Atletas!K150="Equipe 2 Grupo B",2,IF(Atletas!K150="Equipe 1 Grupo A",3,IF(Atletas!K150="Equipe 2 Grupo A",4,IF(Atletas!K150="Equipe 1 Adulto",5,IF(Atletas!K150="Equipe 2 Adulto",6,""))))))))</f>
        <v/>
      </c>
      <c r="BR159" s="50" t="str">
        <f>IF(Atletas!L150="","",IF(Atletas!X150&lt;&gt;"",10000,0)+(IF(Atletas!B150="Feminino",1000,IF(Atletas!B150="Masculino",2000,""))+IF(Atletas!L150="Choylayfut A",1,IF(Atletas!L150="Hunggar A",2,IF(Atletas!L150="Wuzuquan A",3,IF(Atletas!L150="Wingchun A",4,IF(Atletas!L150="Outra Mão de Sul A",5,IF(Atletas!L150="Choylayfut B",6,IF(Atletas!L150="Hunggar B",7,IF(Atletas!L150="Wuzuquan B",8,IF(Atletas!L150="Wingchun B",9,IF(Atletas!L150="Outra Mão de Sul B",10,IF(Atletas!L150="Choylayfut C",11,IF(Atletas!L150="Hunggar C",12,IF(Atletas!L150="Wuzuquan C",13,IF(Atletas!L150="Wingchun C",14,IF(Atletas!L150="Outra Mão de Sul C",15,IF(Atletas!L150="Choylayfut D",16,IF(Atletas!L150="Hunggar D",17,IF(Atletas!L150="Wuzuquan D",18,IF(Atletas!L150="Wingchun D",19,IF(Atletas!L150="Outra Mão de Sul D",20,IF(Atletas!L150="Choylayfut E",21,IF(Atletas!L150="Hunggar E",22,IF(Atletas!L150="Wuzuquan E",23,IF(Atletas!L150="Wingchun E",24,IF(Atletas!L150="Outra Mão de Sul E",25,IF(Atletas!L150="Choylayfut F",26,IF(Atletas!L150="Hunggar F",27,IF(Atletas!L150="Wuzuquan F",28,IF(Atletas!L150="Wingchun F",29,IF(Atletas!L150="Outra Mão de Sul F",30,IF(Atletas!L150="Dishuquan A",31,IF(Atletas!L150="Dishuquan B",32,IF(Atletas!L150="Dishuquan C",33,IF(Atletas!L150="Dishuquan D",34,IF(Atletas!L150="Dishuquan E",35,IF(Atletas!L150="Dishuquan F",36,""))))))))))))))))))))))))))))))))))))))</f>
        <v/>
      </c>
      <c r="BS159" s="50" t="str">
        <f>IF(Atletas!M150="","",IF(Atletas!X150&lt;&gt;"",10000,0)+(IF(Atletas!B150="Feminino",1000,IF(Atletas!B150="Masculino",2000,""))+(IF(Atletas!M150="Chaquan A",101,IF(Atletas!M150="Emeiquan A",102,IF(Atletas!M150="Fanziquan A",103,IF(Atletas!M150="Huaquan A",104,IF(Atletas!M150="Hongquan A",105,IF(Atletas!M150="Paoquan A",106,IF(Atletas!M150="Piguaquan A",107,IF(Atletas!M150="Shaolinquan A",108,IF(Atletas!M150="Tanglangquan A",109,IF(Atletas!M150="Yingzhaoquan A",110,IF(Atletas!M150="Tongbeiquan A",111,IF(Atletas!M150="Wudangquan A",112,IF(Atletas!M150="Outros Estilos A",113,IF(Atletas!M150="Chaquan B",114,IF(Atletas!M150="Emeiquan B",115,IF(Atletas!M150="Fanziquan B",116,IF(Atletas!M150="Huaquan B",117,IF(Atletas!M150="Hongquan B",118,IF(Atletas!M150="Paoquan B",119,IF(Atletas!M150="Piguaquan B",120,IF(Atletas!M150="Shaolinquan B",121,IF(Atletas!M150="Tanglangquan B",122,IF(Atletas!M150="Yingzhaoquan B",123,IF(Atletas!M150="Tongbeiquan B",124,IF(Atletas!M150="Wudangquan B",125,IF(Atletas!M150="Outros Estilos B",126,IF(Atletas!M150="Chaquan C",127,IF(Atletas!M150="Emeiquan C",128,IF(Atletas!M150="Fanziquan C",129,IF(Atletas!M150="Huaquan C",130,IF(Atletas!M150="Hongquan C",131,IF(Atletas!M150="Paoquan C",132,IF(Atletas!M150="Piguaquan C",133,IF(Atletas!M150="Shaolinquan C",134,IF(Atletas!M150="Tanglangquan C",135,IF(Atletas!M150="Yingzhaoquan C",136,IF(Atletas!M150="Tongbeiquan C",137,IF(Atletas!M150="Wudangquan C",138,IF(Atletas!M150="Outros Estilos C",139,0))))))))))))))))))))))))))))))))))))))))))</f>
        <v/>
      </c>
      <c r="BT159" s="50" t="str">
        <f>IF(Atletas!M150="","",IF(Atletas!X150&lt;&gt;"",10000,0)+(IF(Atletas!B150="Feminino",1000,IF(Atletas!B150="Masculino",2000,""))+(IF(Atletas!M150="Chaquan D",140,IF(Atletas!M150="Emeiquan D",141,IF(Atletas!M150="Fanziquan D",142,IF(Atletas!M150="Huaquan D",143,IF(Atletas!M150="Hongquan D",144,IF(Atletas!M150="Paoquan D",145,IF(Atletas!M150="Piguaquan D",146,IF(Atletas!M150="Shaolinquan D",147,IF(Atletas!M150="Tanglangquan D",148,IF(Atletas!M150="Yingzhaoquan D",149,IF(Atletas!M150="Tongbeiquan D",150,IF(Atletas!M150="Wudangquan D",151,IF(Atletas!M150="Outros Estilos D",152,IF(Atletas!M150="Chaquan E",153,IF(Atletas!M150="Emeiquan E",154,IF(Atletas!M150="Fanziquan E",155,IF(Atletas!M150="Huaquan E",156,IF(Atletas!M150="Hongquan E",157,IF(Atletas!M150="Paoquan E",158,IF(Atletas!M150="Piguaquan E",159,IF(Atletas!M150="Shaolinquan E",160,IF(Atletas!M150="Tanglangquan E",161,IF(Atletas!M150="Yingzhaoquan E",162,IF(Atletas!M150="Tongbeiquan E",163,IF(Atletas!M150="Wudangquan E",164,IF(Atletas!M150="Outros Estilos E",165,IF(Atletas!M150="Chaquan F",166,IF(Atletas!M150="Emeiquan F",167,IF(Atletas!M150="Fanziquan F",168,IF(Atletas!M150="Huaquan F",169,IF(Atletas!M150="Hongquan F",170,IF(Atletas!M150="Paoquan F",171,IF(Atletas!M150="Piguaquan F",172,IF(Atletas!M150="Shaolinquan F",173,IF(Atletas!M150="Tanglangquan F",174,IF(Atletas!M150="Yingzhaoquan F",175,IF(Atletas!M150="Tongbeiquan F",176,IF(Atletas!M150="Wudangquan F",177,IF(Atletas!M150="Outros Estilos F",178,0))))))))))))))))))))))))))))))))))))))))))</f>
        <v/>
      </c>
      <c r="BU159" s="50" t="str">
        <f>IF(Atletas!N150="","",IF(Atletas!X150&lt;&gt;"",10000,0)+(IF(Atletas!B150="Feminino",1000,IF(Atletas!B150="Masculino",2000,""))+(IF(Atletas!N150="Ditangquan A",201,IF(Atletas!N150="Houquan A",202,IF(Atletas!N150="Zuiquan A",203,IF(Atletas!N150="Ditangquan B",204,IF(Atletas!N150="Houquan B",205,IF(Atletas!N150="Zuiquan B",206,IF(Atletas!N150="Ditangquan C",207,IF(Atletas!N150="Houquan C",208,IF(Atletas!N150="Zuiquan C",209,IF(Atletas!N150="Ditangquan D",210,IF(Atletas!N150="Houquan D",211,IF(Atletas!N150="Zuiquan D",212,IF(Atletas!N150="Ditangquan E",213,IF(Atletas!N150="Houquan E",214,IF(Atletas!N150="Zuiquan E",215,IF(Atletas!N150="Ditangquan F",216,IF(Atletas!N150="Houquan F",217,IF(Atletas!N150="Zuiquan F",218,"")))))))))))))))))))))</f>
        <v/>
      </c>
      <c r="BV159" s="50" t="str">
        <f>IF(Atletas!O150="","",IF(Atletas!X150&lt;&gt;"",10000,0)+IF(Atletas!B150="Feminino",1000,IF(Atletas!B150="Masculino",2000,""))+IF(Atletas!O150="Yang A",301,IF(Atletas!O150="Chen A",302,IF(Atletas!O150="Sun A",303,IF(Atletas!O150="Wu A",304,IF(Atletas!O150="Wu-Hao A",305,IF(Atletas!O150="Outro Taijiquan A",306,IF(Atletas!O150="Yang B",307,IF(Atletas!O150="Chen B",308,IF(Atletas!O150="Sun B",309,IF(Atletas!O150="Wu B",310,IF(Atletas!O150="Wu-Hao B",311,IF(Atletas!O150="Outro Taijiquan B",312,IF(Atletas!O150="Yang C",313,IF(Atletas!O150="Chen C",314,IF(Atletas!O150="Sun C",315,IF(Atletas!O150="Wu C",316,IF(Atletas!O150="Wu-Hao C",317,IF(Atletas!O150="Outro Taijiquan C",318,IF(Atletas!O150="Yang D",319,IF(Atletas!O150="Chen D",320,IF(Atletas!O150="Sun D",321,IF(Atletas!O150="Wu D",322,IF(Atletas!O150="Wu-Hao D",323,IF(Atletas!O150="Outro Taijiquan D",324,IF(Atletas!O150="Yang E",325,IF(Atletas!O150="Chen E",326,IF(Atletas!O150="Sun E",327,IF(Atletas!O150="Wu E",328,IF(Atletas!O150="Wu-Hao E",329,IF(Atletas!O150="Outro Taijiquan E",330,IF(Atletas!O150="Yang F",331,IF(Atletas!O150="Chen F",332,IF(Atletas!O150="Sun F",333,IF(Atletas!O150="Wu F",334,IF(Atletas!O150="Wu-Hao F",335,IF(Atletas!O150="Outro Taijiquan F",336,"")))))))))))))))))))))))))))))))))))))</f>
        <v/>
      </c>
      <c r="BW159" s="50" t="str">
        <f>IF(Atletas!P150="","",IF(Atletas!X150&lt;&gt;"",10000,0)+IF(Atletas!B150="Feminino",1000,IF(Atletas!B150="Masculino",2000,""))+IF(OR(Atletas!P150="Yang 26 A",Atletas!P150="Yang 40 A"),401,IF(OR(Atletas!P150="Chen 25 A",Atletas!P150="Chen 36 A",Atletas!P150="Chen 56 A"),402,IF(Atletas!P150="Sun 73 A",403,IF(Atletas!P150="Wu 45 A",404,IF(Atletas!P150="Wu-Hao 46 A",405,IF(OR(Atletas!P150="Taijiquan 16 A",Atletas!P150="Taijiquan 24 A",Atletas!P150="Taijiquan 32 A",Atletas!P150="Taijiquan 42 A"),406,IF(OR(Atletas!P150="Yang 26 B",Atletas!P150="Yang 40 B"),407,IF(OR(Atletas!P150="Chen 25 B",Atletas!P150="Chen 36 B",Atletas!P150="Chen 56 B"),408,IF(Atletas!P150="Sun 73 B",409,IF(Atletas!P150="Wu 45 B",410,IF(Atletas!P150="Wu-Hao 46 B",411,IF(OR(Atletas!P150="Taijiquan 16 B",Atletas!P150="Taijiquan 24 B",Atletas!P150="Taijiquan 32 B",Atletas!P150="Taijiquan 42 B"),412,IF(OR(Atletas!P150="Yang 26 C",Atletas!P150="Yang 40 C"),413,IF(OR(Atletas!P150="Chen 25 C",Atletas!P150="Chen 36 C",Atletas!P150="Chen 56 C"),414,IF(Atletas!P150="Sun 73 C",415,IF(Atletas!P150="Wu 45 C",416,IF(Atletas!P150="Wu-Hao 46 C",417,IF(OR(Atletas!P150="Taijiquan 16 C",Atletas!P150="Taijiquan 24 C",Atletas!P150="Taijiquan 32 C",Atletas!P150="Taijiquan 42 C"),418,0)))))))))))))))))))</f>
        <v/>
      </c>
      <c r="BX159" s="50" t="str">
        <f>IF(Atletas!P150="","",IF(Atletas!X150&lt;&gt;"",10000,0)+IF(Atletas!B150="Feminino",1000,IF(Atletas!B150="Masculino",2000,""))+IF(OR(Atletas!P150="Yang 26 D",Atletas!P150="Yang 40 D"),419,IF(OR(Atletas!P150="Chen 25 D",Atletas!P150="Chen 36 D",Atletas!P150="Chen 56 D"),420,IF(Atletas!P150="Sun 73 D",421,IF(Atletas!P150="Wu 45 D",422,IF(Atletas!P150="Wu-Hao 46 D",423,IF(OR(Atletas!P150="Taijiquan 16 D",Atletas!P150="Taijiquan 24 D",Atletas!P150="Taijiquan 32 D",Atletas!P150="Taijiquan 42 D"),424,IF(OR(Atletas!P150="Yang 26 E",Atletas!P150="Yang 40 E"),425,IF(OR(Atletas!P150="Chen 25 E",Atletas!P150="Chen 36 E",Atletas!P150="Chen 56 E"),426,IF(Atletas!P150="Sun 73 E",427,IF(Atletas!P150="Wu 45 E",428,IF(Atletas!P150="Wu-Hao 46 E",429,IF(OR(Atletas!P150="Taijiquan 16 E",Atletas!P150="Taijiquan 24 E",Atletas!P150="Taijiquan 32 E",Atletas!P150="Taijiquan 42 E"),430,IF(OR(Atletas!P150="Yang 26 F",Atletas!P150="Yang 40 F"),431,IF(OR(Atletas!P150="Chen 25 F",Atletas!P150="Chen 36 F",Atletas!P150="Chen 56 F"),432,IF(Atletas!P150="Sun 73 F",433,IF(Atletas!P150="Wu 45 F",434,IF(Atletas!P150="Wu-Hao 46 F",435,IF(OR(Atletas!P150="Taijiquan 16 F",Atletas!P150="Taijiquan 24 F",Atletas!P150="Taijiquan 32 F",Atletas!P150="Taijiquan 42 F"),436,0)))))))))))))))))))</f>
        <v/>
      </c>
      <c r="BY159" s="50" t="str">
        <f>IF(Atletas!Q150="","",IF(Atletas!X150&lt;&gt;"",10000,0)+IF(Atletas!B150="Feminino",1000,IF(Atletas!B150="Masculino",2000,""))+IF(Atletas!Q150="Xingyiquan A",501,IF(Atletas!Q150="Baguazhang A",502,IF(Atletas!Q150="Outro Estilo Interno A",503,IF(Atletas!Q150="Xingyiquan B",504,IF(Atletas!Q150="Baguazhang B",505,IF(Atletas!Q150="Outro Estilo Interno B",506,IF(Atletas!Q150="Xingyiquan C",507,IF(Atletas!Q150="Baguazhang C",508,IF(Atletas!Q150="Outro Estilo Interno C",509,IF(Atletas!Q150="Xingyiquan D",510,IF(Atletas!Q150="Baguazhang D",511,IF(Atletas!Q150="Outro Estilo Interno D",512,IF(Atletas!Q150="Xingyiquan E",513,IF(Atletas!Q150="Baguazhang E",514,IF(Atletas!Q150="Outro Estilo Interno E",515,IF(Atletas!Q150="Xingyiquan F",516,IF(Atletas!Q150="Baguazhang F",517,IF(Atletas!Q150="Outro Estilo Interno F",518, "")))))))))))))))))))</f>
        <v/>
      </c>
      <c r="BZ159" s="50" t="str">
        <f>IF(Atletas!R150="","",IF(Atletas!X150&lt;&gt;"",10000,0)+IF(Atletas!B150="Feminino",1000,IF(Atletas!B150="Masculino",2000,""))+IF(Atletas!R150="Dao A",601,IF(Atletas!R150="Jian A",602,IF(Atletas!R150="Bishou A",603,IF(Atletas!R150="Shanzi A",604,IF(Atletas!R150="Outra Arma Curta A",605,IF(Atletas!R150="Dao B",606,IF(Atletas!R150="Jian B",607,IF(Atletas!R150="Bishou B",608,IF(Atletas!R150="Shanzi B",609,IF(Atletas!R150="Outra Arma Curta B",610,IF(Atletas!R150="Dao C",611,IF(Atletas!R150="Jian C",612,IF(Atletas!R150="Bishou C",613,IF(Atletas!R150="Shanzi C",614,IF(Atletas!R150="Outra Arma Curta C",615,IF(Atletas!R150="Dao D",616,IF(Atletas!R150="Jian D",617,IF(Atletas!R150="Bishou D",618,IF(Atletas!R150="Shanzi D",619,IF(Atletas!R150="Outra Arma Curta D",620,IF(Atletas!R150="Dao E",621,IF(Atletas!R150="Jian E",622,IF(Atletas!R150="Bishou E",623,IF(Atletas!R150="Shanzi E",624,IF(Atletas!R150="Outra Arma Curta E",625,IF(Atletas!R150="Dao F",626,IF(Atletas!R150="Jian F",627,IF(Atletas!R150="Bishou F",628,IF(Atletas!R150="Shanzi F",629,IF(Atletas!R150="Outra Arma Curta F",630, "")))))))))))))))))))))))))))))))</f>
        <v/>
      </c>
      <c r="CA159" s="50" t="str">
        <f>IF(Atletas!S150="","",IF(Atletas!X150&lt;&gt;"",10000,0)+IF(Atletas!B150="Feminino",1000,IF(Atletas!B150="Masculino",2000,""))+IF(Atletas!S150="Gun A",701,IF(Atletas!S150="Qiang A",702,IF(Atletas!S150="Pudao / Guandao A",703,IF(Atletas!S150="Outra Arma Longa A",704,IF(Atletas!S150="Gun B",705,IF(Atletas!S150="Qiang B",706,IF(Atletas!S150="Pudao / Guandao B",707,IF(Atletas!S150="Outra Arma Longa B",708,IF(Atletas!S150="Gun C",709,IF(Atletas!S150="Qiang C",710,IF(Atletas!S150="Pudao / Guandao C",711,IF(Atletas!S150="Outra Arma Longa C",712,IF(Atletas!S150="Gun D",713,IF(Atletas!S150="Qiang D",714,IF(Atletas!S150="Pudao / Guandao D",715,IF(Atletas!S150="Outra Arma Longa D",716,IF(Atletas!S150="Gun E",717,IF(Atletas!S150="Qiang E",718,IF(Atletas!S150="Pudao / Guandao E",719,IF(Atletas!S150="Outra Arma Longa E",720,IF(Atletas!S150="Gun F",721,IF(Atletas!S150="Qiang F",722,IF(Atletas!S150="Pudao / Guandao F",723,IF(Atletas!S150="Outra Arma Longa F",724,"")))))))))))))))))))))))))</f>
        <v/>
      </c>
      <c r="CB159" s="50" t="str">
        <f>IF(Atletas!T150="","",IF(Atletas!X150&lt;&gt;"",10000,0)+IF(Atletas!B150="Feminino",1000,IF(Atletas!B150="Masculino",2000,""))+IF(Atletas!T150="Outra Arma Dupla A",801,IF(Atletas!T150="Arma Maleável A",802,IF(Atletas!T150="Outra Arma Dupla B",803,IF(Atletas!T150="Arma Maleável B",804,IF(Atletas!T150="Outra Arma Dupla C",805,IF(Atletas!T150="Arma Maleável C",806,IF(Atletas!T150="Outra Arma Dupla D",807,IF(Atletas!T150="Arma Maleável D",808,IF(Atletas!T150="Outra Arma Dupla E",809,IF(Atletas!T150="Arma Maleável E",810,IF(Atletas!T150="Outra Arma Dupla F",811,IF(Atletas!T150="Arma Maleável F",812,IF(Atletas!T150="Shuangdao A",813,IF(Atletas!T150="Shuangdao B",814,IF(Atletas!T150="Shuangdao C",815,IF(Atletas!T150="Shuangdao D",816,IF(Atletas!T150="Shuangdao E",817,IF(Atletas!T150="Shuangdao F",818,"")))))))))))))))))))</f>
        <v/>
      </c>
      <c r="CC159" s="50" t="str">
        <f>IF(Atletas!U150="","",IF(Atletas!X150&lt;&gt;"",10000,0)+IF(Atletas!B150="Feminino",1000,IF(Atletas!B150="Masculino",2000,""))+IF(OR(Atletas!U150="Taijijian Yang A",Atletas!U150="Taijijian Yang Standard A"),901,IF(OR(Atletas!U150="Taijijian Chen A", Atletas!U150="Taijijian Chen Standard A"),902,IF(Atletas!U150="Taijijian Sun A",903,IF(Atletas!U150="Taijijian Wu A",904,IF(Atletas!U150="Taijijian Wu-Hao A",905,IF(OR(Atletas!U150="Taijijian 32 A",Atletas!U150="Taijijian 42 A"),906,IF(OR(Atletas!U150="Taijijian Yang B",Atletas!U150="Taijijian Yang Standard B"),907,IF(OR(Atletas!U150="Taijijian Chen B", Atletas!U150="Taijijian Chen Standard B"),908,IF(Atletas!U150="Taijijian Sun B",909,IF(Atletas!U150="Taijijian Wu B",910,IF(Atletas!U150="Taijijian Wu-Hao B",911,IF(OR(Atletas!U150="Taijijian 32 B",Atletas!U150="Taijijian 42 B"),912,IF(OR(Atletas!U150="Taijijian Yang C",Atletas!U150="Taijijian Yang Standard C"),913,IF(OR(Atletas!U150="Taijijian Chen C", Atletas!U150="Taijijian Chen Standard C"),914,IF(Atletas!U150="Taijijian Sun C",915,IF(Atletas!U150="Taijijian Wu C",916,IF(Atletas!U150="Taijijian Wu-Hao C",917,IF(OR(Atletas!U150="Taijijian 32 C",Atletas!U150="Taijijian 42 C"),918,IF(OR(Atletas!U150="Taijijian Yang D",Atletas!U150="Taijijian Yang Standard D"),919,IF(OR(Atletas!U150="Taijijian Chen D", Atletas!U150="Taijijian Chen Standard D"),920,IF(Atletas!U150="Taijijian Sun D",921,IF(Atletas!U150="Taijijian Wu D",922,IF(Atletas!U150="Taijijian Wu-Hao D",923,IF(OR(Atletas!U150="Taijijian 32 D",Atletas!U150="Taijijian 42 D"),924,IF(OR(Atletas!U150="Taijijian Yang E",Atletas!U150="Taijijian Yang Standard E"),925,IF(OR(Atletas!U150="Taijijian Chen E", Atletas!U150="Taijijian Chen Standard E"),926,IF(Atletas!U150="Taijijian Sun E",927,IF(Atletas!U150="Taijijian Wu E",928,IF(Atletas!U150="Taijijian Wu-Hao E",929,IF(OR(Atletas!U150="Taijijian 32 E",Atletas!U150="Taijijian 42 E"),930,IF(OR(Atletas!U150="Taijijian Yang F",Atletas!U150="Taijijian Yang Standard F"),931,IF(OR(Atletas!U150="Taijijian Chen F", Atletas!U150="Taijijian Chen Standard F"),932,IF(Atletas!U150="Taijijian Sun F",933,IF(Atletas!U150="Taijijian Wu F",934,IF(Atletas!U150="Taijijian Wu-Hao F",935,IF(OR(Atletas!U150="Taijijian 32 F",Atletas!U150="Taijijian 42 F"),936,"")))))))))))))))))))))))))))))))))))))</f>
        <v/>
      </c>
      <c r="CD159" s="50" t="str">
        <f>IF(Atletas!V150="","",IF(Atletas!X150&lt;&gt;"",10000,0)+IF(Atletas!B150="Feminino",1000,IF(Atletas!B150="Masculino",2000,""))+IF(Atletas!V150="Taijidao A",937,IF(Atletas!V150="TaijiShanzi A",938,IF(Atletas!V150="Taijiqiang A",939,IF(Atletas!V150="Bagua de Arma A",940,IF(Atletas!V150="Xingyi de Arma A",941,IF(Atletas!V150="Taijidao B",942,IF(Atletas!V150="TaijiShanzi B",943,IF(Atletas!V150="Taijiqiang B",944,IF(Atletas!V150="Bagua de Arma B",945,IF(Atletas!V150="Xingyi de Arma B",946,IF(Atletas!V150="Taijidao C",947,IF(Atletas!V150="TaijiShanzi C",948,IF(Atletas!V150="Taijiqiang C",949,IF(Atletas!V150="Bagua de Arma C",950,IF(Atletas!V150="Xingyi de Arma C",951,IF(Atletas!V150="Taijidao D",952,IF(Atletas!V150="TaijiShanzi D",953,IF(Atletas!V150="Taijiqiang D",954,IF(Atletas!V150="Bagua de Arma D",955,IF(Atletas!V150="Xingyi de Arma D",956,IF(Atletas!V150="Taijidao E",957,IF(Atletas!V150="TaijiShanzi E",958,IF(Atletas!V150="Taijiqiang E",959,IF(Atletas!V150="Bagua de Arma E",960,IF(Atletas!V150="Xingyi de Arma E",961,IF(Atletas!V150="Taijidao F",962,IF(Atletas!V150="TaijiShanzi F",963,IF(Atletas!V150="Taijiqiang F",964,IF(Atletas!V150="Bagua de Arma F",965,IF(Atletas!V150="Xingyi de Arma F",966,"")))))))))))))))))))))))))))))))</f>
        <v/>
      </c>
      <c r="CE159" s="66" t="str">
        <f>IF(CF159&lt;&gt;"","TJQ Trad. Sun D","")</f>
        <v/>
      </c>
      <c r="CF159" s="66" t="str">
        <f>IF(COUNTIF(BR:CD,1321)&gt;0,COUNTIF(BR:CD,1321),"")</f>
        <v/>
      </c>
      <c r="CG159" s="66" t="str">
        <f>IF(CH159&lt;&gt;"","TJQ Trad. Sun D","")</f>
        <v/>
      </c>
      <c r="CH159" s="66" t="str">
        <f>IF(COUNTIF(BR:CD,2321)&gt;0,COUNTIF(BR:CD,2321),"")</f>
        <v/>
      </c>
      <c r="CI159" s="66" t="str">
        <f>IF(CJ159&lt;&gt;"","TJQ Trad. Sun E","")</f>
        <v/>
      </c>
      <c r="CJ159" s="66" t="str">
        <f>IF(COUNTIF(BR:CD,11327)&gt;0,COUNTIF(BR:CD,11327),"")</f>
        <v/>
      </c>
      <c r="CK159" s="66" t="str">
        <f>IF(CL159&lt;&gt;"","TJQ Trad. Sun E","")</f>
        <v/>
      </c>
      <c r="CL159" s="66" t="str">
        <f>IF(COUNTIF(BR:CD,12327)&gt;0,COUNTIF(BR:CD,12327),"")</f>
        <v/>
      </c>
      <c r="CM159" s="50" t="str">
        <f xml:space="preserve"> IF(Atletas!W150="","",IF(Atletas!W150="Duilian de Mãos BC - Equipe 1",1,IF(Atletas!W150="Duilian de Mãos BC - Equipe 2",2,IF(Atletas!W150="Duilian de Armas BC - Equipe 1",3,IF(Atletas!W150="Duilian de Armas BC - Equipe 2",4,IF(Atletas!W150="Duilian de Mãos DE - Equipe 1",5,IF(Atletas!W150="Duilian de Mãos DE - Equipe 2",6,IF(Atletas!W150="Duilian de Armas DE - Equipe 1",7,IF(Atletas!W150="Duilian de Armas DE - Equipe 2",8,IF(Atletas!W150="Duilian de Tuishou - Equipe 1",9,IF(Atletas!W150="Duilian de Tuishou - Equipe 2",10,IF(Atletas!W150="Grupo Externo ABC - Equipe 1",11,IF(Atletas!W150="Grupo Externo ABC - Equipe 2",12,IF(Atletas!W150="Grupo Interno ABC - Equipe 1",13,IF(Atletas!W150="Grupo Interno ABC - Equipe 2",14,IF(Atletas!W150="Grupo Externo DEF - Equipe 1",15,IF(Atletas!W150="Grupo Externo DEF - Equipe 2",16,IF(Atletas!W150="Grupo Interno DEF - Equipe 1",17,IF(Atletas!W150="Grupo Interno DEF - Equipe 2",18,"")))))))))))))))))))</f>
        <v/>
      </c>
    </row>
    <row r="160" spans="2:91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 t="str">
        <f t="array" ref="Z160">IFERROR(INDEX(CE$7:CE$348,SMALL(IF(CE$7:CE$348&lt;&gt;"",ROW(CE$7:CE$348)-ROW(CE$7)+1),ROWS(CE$7:CE159))),"")</f>
        <v/>
      </c>
      <c r="AA160" s="3" t="str">
        <f t="array" ref="AA160">IFERROR(INDEX(CF$7:CF$348,SMALL(IF(CF$7:CF$348&lt;&gt;"",ROW(CF$7:CF$348)-ROW(CF$7)+1),ROWS(CF$7:CF159))),"")</f>
        <v/>
      </c>
      <c r="AB160" s="3" t="str">
        <f t="array" ref="AB160">IFERROR(INDEX(CG$7:CG$348,SMALL(IF(CG$7:CG$348&lt;&gt;"",ROW(CG$7:CG$348)-ROW(CG$7)+1),ROWS(CG$7:CG159))),"")</f>
        <v/>
      </c>
      <c r="AC160" s="3" t="str">
        <f t="array" ref="AC160">IFERROR(INDEX(CH$7:CH$348,SMALL(IF(CH$7:CH$348&lt;&gt;"",ROW(CH$7:CH$348)-ROW(CH$7)+1),ROWS(CH$7:CH159))),"")</f>
        <v/>
      </c>
      <c r="AD160" s="3" t="str">
        <f t="array" ref="AD160">IFERROR(INDEX(CI$7:CI$377,SMALL(IF(CI$7:CI$377&lt;&gt;"",ROW(CI$7:CI$377)-ROW(CI$7)+1),ROWS(CI$7:CI159))),"")</f>
        <v/>
      </c>
      <c r="AE160" s="3" t="str">
        <f t="array" ref="AE160">IFERROR(INDEX(CJ$7:CJ$378,SMALL(IF(CJ$7:CJ$378&lt;&gt;"",ROW(CJ$7:CJ$378)-ROW(CJ$7)+1),ROWS(CJ$7:CJ159))),"")</f>
        <v/>
      </c>
      <c r="AF160" s="3" t="str">
        <f t="array" ref="AF160">IFERROR(INDEX(CK$7:CK$378,SMALL(IF(CK$7:CK$378&lt;&gt;"",ROW(CK$7:CK$378)-ROW(CK$7)+1),ROWS(CK$7:CK159))),"")</f>
        <v/>
      </c>
      <c r="AG160" s="3" t="str">
        <f t="array" ref="AG160">IFERROR(INDEX(CL$7:CL$378,SMALL(IF(CL$7:CL$378&lt;&gt;"",ROW(CL$7:CL$378)-ROW(CL$7)+1),ROWS(CL$7:CL159))),"")</f>
        <v/>
      </c>
      <c r="AH160" s="3"/>
      <c r="AI160" s="3"/>
      <c r="AJ160" s="3"/>
      <c r="AK160" s="3"/>
      <c r="AL160" s="3"/>
      <c r="AM160" s="3"/>
      <c r="AN160" s="52" t="str">
        <f>IF(Atletas!D151="","",IF(Atletas!B151="Feminino",100,IF(Atletas!B151="Masculino",200,""))+(IF(Atletas!D151="Kids 30kg",1,IF(Atletas!D151="Kids 32kg",2, IF(Atletas!D151="Kids 34kg",3,IF(Atletas!D151="Kids 36kg",4,IF(Atletas!D151="Kids 39kg",5,IF(Atletas!D151="Kids 42kg",6,IF(Atletas!D151="Kids 45kg",7, IF(Atletas!D151="Infantil 39kg",8,IF(Atletas!D151="Infantil 42kg",9,IF(Atletas!D151="Infantil 45kg",10,IF(Atletas!D151="Infantil 48kg",11,IF(Atletas!D151="Infantil 52kg",12,IF(Atletas!D151="Infantil 56kg",13,IF(Atletas!D151="Infantil 60kg",14,IF(Atletas!D151="Juvenil 48kg",15,IF(Atletas!D151="Juvenil 52kg",16,IF(Atletas!D151="Juvenil 56kg",17,IF(Atletas!D151="Juvenil 60kg",18,IF(Atletas!D151="Juvenil 65kg",19,IF(Atletas!D151="Juvenil 70kg",20,IF(Atletas!D151="Juvenil 75kg",21,IF(Atletas!D151="Juvenil 80kg",22, IF(Atletas!D151="Juvenil 85kg",23,IF(Atletas!D151="Adulto 48kg",24,IF(Atletas!D151="Adulto 52kg",25,IF(Atletas!D151="Adulto 56kg",26,IF(Atletas!D151="Adulto 60kg",27,IF(Atletas!D151="Adulto 65kg",28,IF(Atletas!D151="Adulto 70kg",29,IF(Atletas!D151="Adulto 75kg",30,IF(Atletas!D151="Adulto 80kg",31,IF(Atletas!D151="Adulto 85kg",32,IF(Atletas!D151="Adulto 90kg",33,IF(Atletas!D151="Adulto 100kg",34, IF(Atletas!D151="Adulto +100kg",35,"")))))))))))))))))))))))))))))))))))))</f>
        <v/>
      </c>
      <c r="AS160" s="6" t="str">
        <f>IF(Atletas!E151="","",IF(Atletas!B151="Feminino",100,IF(Atletas!B151="Masculino",200,""))+(IF(Atletas!E151="Juvenil 44kg",1,IF(Atletas!E151="Juvenil 48kg",2,IF(Atletas!E151="Juvenil 52kg",3,IF(Atletas!E151="Juvenil 56kg",4,IF(Atletas!E151="Juvenil 60kg",5,IF(Atletas!E151="Juvenil 65kg",6,IF(Atletas!E151="Juvenil 70kg",7,IF(Atletas!E151="Juvenil 75kg",8,IF(Atletas!E151="Juvenil 82kg",9,IF(Atletas!E151="Juvenil 90kg",10,IF(Atletas!E151="Juvenil 100kg",11,IF(Atletas!E151="Adulto 48kg",12,IF(Atletas!E151="Adulto 52kg",13,IF(Atletas!E151="Adulto 56kg",14,IF(Atletas!E151="Adulto 60kg",15,IF(Atletas!E151="Adulto 65kg",16,IF(Atletas!E151="Adulto 70kg",17,IF(Atletas!E151="Adulto 75kg",18,IF(Atletas!E151="Adulto 82kg",19,IF(Atletas!E151="Adulto 90kg",20,IF(Atletas!E151="Adulto 100kg",21,IF(Atletas!E151="Adulto +100kg",22,""))))))))))))))))))))))))</f>
        <v/>
      </c>
      <c r="AX160" s="6" t="str">
        <f>IF(Atletas!F151="","",IF(Atletas!B151="Feminino",100,IF(Atletas!B151="Masculino",200,""))+(IF(Atletas!F151="Adulto 48kg",1,IF(Atletas!F151="Adulto 56kg",2,IF(Atletas!F151="Adulto 65kg",3,IF(Atletas!F151="Adulto 75kg",4,IF(Atletas!F151="Adulto +75kg",5,IF(Atletas!F151="Adulto 52kg",6,IF(Atletas!F151="Adulto 60kg",7,IF(Atletas!F151="Adulto 70kg",8,IF(Atletas!F151="Adulto 80kg",9,IF(Atletas!F151="Adulto 90kg",10,IF(Atletas!F151="Adulto +90kg",11,"")))))))))))))</f>
        <v/>
      </c>
      <c r="BC160" s="6" t="str">
        <f>IF(Atletas!G151="","",IF(Atletas!B151="Feminino",10,IF(Atletas!B151="Masculino",20,""))+(IF(Atletas!G151="Baduanjin A",1,IF(Atletas!G151="Baduanjin B",2))))</f>
        <v/>
      </c>
      <c r="BF160" s="52" t="str">
        <f>IF(Atletas!H151="","",IF(Atletas!B151="Feminino",100,IF(Atletas!B151="Masculino",200,""))+(IF(Atletas!H151="Changquan Mirim",1,IF(Atletas!H151="Nanquan Mirim",2,IF(Atletas!H151="Taijiquan Mirim",3,IF(Atletas!H151="Changquan Grupo C",4,IF(Atletas!H151="Nanquan Grupo C",5,IF(Atletas!H151="Taijiquan Grupo C",6,IF(Atletas!H151="Changquan Grupo B",7,IF(Atletas!H151="Nanquan Grupo B",8,IF(Atletas!H151="Taijiquan Grupo B",9,IF(Atletas!H151="Changquan Grupo A",10,IF(Atletas!H151="Nanquan Grupo A",11,IF(Atletas!H151="Taijiquan Grupo A",12,IF(Atletas!H151="Changquan Opcional",13,IF(Atletas!H151="Nanquan Opcional",14,IF(Atletas!H151="Taijiquan Opcional",15,IF(Atletas!H151="Changquan Adulto",16,IF(Atletas!H151="Nanquan Adulto",17,IF(Atletas!H151="Taijiquan Adulto",18,""))))))))))))))))))))</f>
        <v/>
      </c>
      <c r="BG160" s="52" t="str">
        <f>IF(Atletas!I151="","",IF(Atletas!B151="Feminino",100,IF(Atletas!B151="Masculino",200,""))+(IF(Atletas!I151="Daoshu Mirim",19,IF(Atletas!I151="Jianshu Mirim",20,IF(Atletas!I151="Nandao Mirim",21,IF(Atletas!I151="Taijijian Mirim",22,IF(Atletas!I151="Daoshu Grupo C",23,IF(Atletas!I151="Jianshu Grupo C",24,IF(Atletas!I151="Nandao Grupo C",25,IF(Atletas!I151="Taijijian Grupo C",26,IF(Atletas!I151="Daoshu Grupo B",27,IF(Atletas!I151="Jianshu Grupo B",28,IF(Atletas!I151="Nandao Grupo B",29,IF(Atletas!I151="Taijijian Grupo B",30,IF(Atletas!I151="Daoshu Grupo A",31,IF(Atletas!I151="Jianshu Grupo A",32,IF(Atletas!I151="Nandao Grupo A",33,IF(Atletas!I151="Taijijian Grupo A",34,IF(Atletas!I151="Daoshu Opcional",35,IF(Atletas!I151="Jianshu Opcional",36,IF(Atletas!I151="Nandao Opcional",37,IF(Atletas!I151="Taijijian Opcional",38,IF(Atletas!I151="Daoshu Adulto",39,IF(Atletas!I151="Jianshu Adulto",40,IF(Atletas!I151="Nandao Adulto",41,IF(Atletas!I151="Taijijian Adulto",42,""))))))))))))))))))))))))))</f>
        <v/>
      </c>
      <c r="BH160" s="52" t="str">
        <f>IF(Atletas!J151="","",IF(Atletas!B151="Feminino",100,IF(Atletas!B151="Masculino",200,""))+(IF(Atletas!J151="Gunshu Mirim",43,IF(Atletas!J151="Qiangshu Mirim",44,IF(Atletas!J151="Nangun Mirim",45,IF(Atletas!J151="Gunshu Grupo C",46,IF(Atletas!J151="Qiangshu Grupo C",47,IF(Atletas!J151="Nangun Grupo C",48,IF(Atletas!J151="Gunshu Grupo B",49,IF(Atletas!J151="Qiangshu Grupo B",50,IF(Atletas!J151="Nangun Grupo B",51,IF(Atletas!J151="Gunshu Grupo A",52,IF(Atletas!J151="Qiangshu Grupo A",53,IF(Atletas!J151="Nangun Grupo A",54,IF(Atletas!J151="Gunshu Opcional",55,IF(Atletas!J151="Qiangshu Opcional",56,IF(Atletas!J151="Nangun Opcional",57,IF(Atletas!J151="Gunshu Adulto",58,IF(Atletas!J151="Qiangshu Adulto",59,IF(Atletas!J151="Nangun Adulto",60,IF(Atletas!J151="Taijishan Grupo B",61,IF(Atletas!J151="Taijishan Grupo A",62,""))))))))))))))))))))))</f>
        <v/>
      </c>
      <c r="BM160" s="50" t="str">
        <f>IF(Atletas!K151="","",IF(Atletas!B151="Feminino",100,IF(Atletas!B151="Masculino",200,""))+(IF(Atletas!K151="Equipe 1 Grupo B",1,IF(Atletas!K151="Equipe 2 Grupo B",2,IF(Atletas!K151="Equipe 1 Grupo A",3,IF(Atletas!K151="Equipe 2 Grupo A",4,IF(Atletas!K151="Equipe 1 Adulto",5,IF(Atletas!K151="Equipe 2 Adulto",6,""))))))))</f>
        <v/>
      </c>
      <c r="BR160" s="50" t="str">
        <f>IF(Atletas!L151="","",IF(Atletas!X151&lt;&gt;"",10000,0)+(IF(Atletas!B151="Feminino",1000,IF(Atletas!B151="Masculino",2000,""))+IF(Atletas!L151="Choylayfut A",1,IF(Atletas!L151="Hunggar A",2,IF(Atletas!L151="Wuzuquan A",3,IF(Atletas!L151="Wingchun A",4,IF(Atletas!L151="Outra Mão de Sul A",5,IF(Atletas!L151="Choylayfut B",6,IF(Atletas!L151="Hunggar B",7,IF(Atletas!L151="Wuzuquan B",8,IF(Atletas!L151="Wingchun B",9,IF(Atletas!L151="Outra Mão de Sul B",10,IF(Atletas!L151="Choylayfut C",11,IF(Atletas!L151="Hunggar C",12,IF(Atletas!L151="Wuzuquan C",13,IF(Atletas!L151="Wingchun C",14,IF(Atletas!L151="Outra Mão de Sul C",15,IF(Atletas!L151="Choylayfut D",16,IF(Atletas!L151="Hunggar D",17,IF(Atletas!L151="Wuzuquan D",18,IF(Atletas!L151="Wingchun D",19,IF(Atletas!L151="Outra Mão de Sul D",20,IF(Atletas!L151="Choylayfut E",21,IF(Atletas!L151="Hunggar E",22,IF(Atletas!L151="Wuzuquan E",23,IF(Atletas!L151="Wingchun E",24,IF(Atletas!L151="Outra Mão de Sul E",25,IF(Atletas!L151="Choylayfut F",26,IF(Atletas!L151="Hunggar F",27,IF(Atletas!L151="Wuzuquan F",28,IF(Atletas!L151="Wingchun F",29,IF(Atletas!L151="Outra Mão de Sul F",30,IF(Atletas!L151="Dishuquan A",31,IF(Atletas!L151="Dishuquan B",32,IF(Atletas!L151="Dishuquan C",33,IF(Atletas!L151="Dishuquan D",34,IF(Atletas!L151="Dishuquan E",35,IF(Atletas!L151="Dishuquan F",36,""))))))))))))))))))))))))))))))))))))))</f>
        <v/>
      </c>
      <c r="BS160" s="50" t="str">
        <f>IF(Atletas!M151="","",IF(Atletas!X151&lt;&gt;"",10000,0)+(IF(Atletas!B151="Feminino",1000,IF(Atletas!B151="Masculino",2000,""))+(IF(Atletas!M151="Chaquan A",101,IF(Atletas!M151="Emeiquan A",102,IF(Atletas!M151="Fanziquan A",103,IF(Atletas!M151="Huaquan A",104,IF(Atletas!M151="Hongquan A",105,IF(Atletas!M151="Paoquan A",106,IF(Atletas!M151="Piguaquan A",107,IF(Atletas!M151="Shaolinquan A",108,IF(Atletas!M151="Tanglangquan A",109,IF(Atletas!M151="Yingzhaoquan A",110,IF(Atletas!M151="Tongbeiquan A",111,IF(Atletas!M151="Wudangquan A",112,IF(Atletas!M151="Outros Estilos A",113,IF(Atletas!M151="Chaquan B",114,IF(Atletas!M151="Emeiquan B",115,IF(Atletas!M151="Fanziquan B",116,IF(Atletas!M151="Huaquan B",117,IF(Atletas!M151="Hongquan B",118,IF(Atletas!M151="Paoquan B",119,IF(Atletas!M151="Piguaquan B",120,IF(Atletas!M151="Shaolinquan B",121,IF(Atletas!M151="Tanglangquan B",122,IF(Atletas!M151="Yingzhaoquan B",123,IF(Atletas!M151="Tongbeiquan B",124,IF(Atletas!M151="Wudangquan B",125,IF(Atletas!M151="Outros Estilos B",126,IF(Atletas!M151="Chaquan C",127,IF(Atletas!M151="Emeiquan C",128,IF(Atletas!M151="Fanziquan C",129,IF(Atletas!M151="Huaquan C",130,IF(Atletas!M151="Hongquan C",131,IF(Atletas!M151="Paoquan C",132,IF(Atletas!M151="Piguaquan C",133,IF(Atletas!M151="Shaolinquan C",134,IF(Atletas!M151="Tanglangquan C",135,IF(Atletas!M151="Yingzhaoquan C",136,IF(Atletas!M151="Tongbeiquan C",137,IF(Atletas!M151="Wudangquan C",138,IF(Atletas!M151="Outros Estilos C",139,0))))))))))))))))))))))))))))))))))))))))))</f>
        <v/>
      </c>
      <c r="BT160" s="50" t="str">
        <f>IF(Atletas!M151="","",IF(Atletas!X151&lt;&gt;"",10000,0)+(IF(Atletas!B151="Feminino",1000,IF(Atletas!B151="Masculino",2000,""))+(IF(Atletas!M151="Chaquan D",140,IF(Atletas!M151="Emeiquan D",141,IF(Atletas!M151="Fanziquan D",142,IF(Atletas!M151="Huaquan D",143,IF(Atletas!M151="Hongquan D",144,IF(Atletas!M151="Paoquan D",145,IF(Atletas!M151="Piguaquan D",146,IF(Atletas!M151="Shaolinquan D",147,IF(Atletas!M151="Tanglangquan D",148,IF(Atletas!M151="Yingzhaoquan D",149,IF(Atletas!M151="Tongbeiquan D",150,IF(Atletas!M151="Wudangquan D",151,IF(Atletas!M151="Outros Estilos D",152,IF(Atletas!M151="Chaquan E",153,IF(Atletas!M151="Emeiquan E",154,IF(Atletas!M151="Fanziquan E",155,IF(Atletas!M151="Huaquan E",156,IF(Atletas!M151="Hongquan E",157,IF(Atletas!M151="Paoquan E",158,IF(Atletas!M151="Piguaquan E",159,IF(Atletas!M151="Shaolinquan E",160,IF(Atletas!M151="Tanglangquan E",161,IF(Atletas!M151="Yingzhaoquan E",162,IF(Atletas!M151="Tongbeiquan E",163,IF(Atletas!M151="Wudangquan E",164,IF(Atletas!M151="Outros Estilos E",165,IF(Atletas!M151="Chaquan F",166,IF(Atletas!M151="Emeiquan F",167,IF(Atletas!M151="Fanziquan F",168,IF(Atletas!M151="Huaquan F",169,IF(Atletas!M151="Hongquan F",170,IF(Atletas!M151="Paoquan F",171,IF(Atletas!M151="Piguaquan F",172,IF(Atletas!M151="Shaolinquan F",173,IF(Atletas!M151="Tanglangquan F",174,IF(Atletas!M151="Yingzhaoquan F",175,IF(Atletas!M151="Tongbeiquan F",176,IF(Atletas!M151="Wudangquan F",177,IF(Atletas!M151="Outros Estilos F",178,0))))))))))))))))))))))))))))))))))))))))))</f>
        <v/>
      </c>
      <c r="BU160" s="50" t="str">
        <f>IF(Atletas!N151="","",IF(Atletas!X151&lt;&gt;"",10000,0)+(IF(Atletas!B151="Feminino",1000,IF(Atletas!B151="Masculino",2000,""))+(IF(Atletas!N151="Ditangquan A",201,IF(Atletas!N151="Houquan A",202,IF(Atletas!N151="Zuiquan A",203,IF(Atletas!N151="Ditangquan B",204,IF(Atletas!N151="Houquan B",205,IF(Atletas!N151="Zuiquan B",206,IF(Atletas!N151="Ditangquan C",207,IF(Atletas!N151="Houquan C",208,IF(Atletas!N151="Zuiquan C",209,IF(Atletas!N151="Ditangquan D",210,IF(Atletas!N151="Houquan D",211,IF(Atletas!N151="Zuiquan D",212,IF(Atletas!N151="Ditangquan E",213,IF(Atletas!N151="Houquan E",214,IF(Atletas!N151="Zuiquan E",215,IF(Atletas!N151="Ditangquan F",216,IF(Atletas!N151="Houquan F",217,IF(Atletas!N151="Zuiquan F",218,"")))))))))))))))))))))</f>
        <v/>
      </c>
      <c r="BV160" s="50" t="str">
        <f>IF(Atletas!O151="","",IF(Atletas!X151&lt;&gt;"",10000,0)+IF(Atletas!B151="Feminino",1000,IF(Atletas!B151="Masculino",2000,""))+IF(Atletas!O151="Yang A",301,IF(Atletas!O151="Chen A",302,IF(Atletas!O151="Sun A",303,IF(Atletas!O151="Wu A",304,IF(Atletas!O151="Wu-Hao A",305,IF(Atletas!O151="Outro Taijiquan A",306,IF(Atletas!O151="Yang B",307,IF(Atletas!O151="Chen B",308,IF(Atletas!O151="Sun B",309,IF(Atletas!O151="Wu B",310,IF(Atletas!O151="Wu-Hao B",311,IF(Atletas!O151="Outro Taijiquan B",312,IF(Atletas!O151="Yang C",313,IF(Atletas!O151="Chen C",314,IF(Atletas!O151="Sun C",315,IF(Atletas!O151="Wu C",316,IF(Atletas!O151="Wu-Hao C",317,IF(Atletas!O151="Outro Taijiquan C",318,IF(Atletas!O151="Yang D",319,IF(Atletas!O151="Chen D",320,IF(Atletas!O151="Sun D",321,IF(Atletas!O151="Wu D",322,IF(Atletas!O151="Wu-Hao D",323,IF(Atletas!O151="Outro Taijiquan D",324,IF(Atletas!O151="Yang E",325,IF(Atletas!O151="Chen E",326,IF(Atletas!O151="Sun E",327,IF(Atletas!O151="Wu E",328,IF(Atletas!O151="Wu-Hao E",329,IF(Atletas!O151="Outro Taijiquan E",330,IF(Atletas!O151="Yang F",331,IF(Atletas!O151="Chen F",332,IF(Atletas!O151="Sun F",333,IF(Atletas!O151="Wu F",334,IF(Atletas!O151="Wu-Hao F",335,IF(Atletas!O151="Outro Taijiquan F",336,"")))))))))))))))))))))))))))))))))))))</f>
        <v/>
      </c>
      <c r="BW160" s="50" t="str">
        <f>IF(Atletas!P151="","",IF(Atletas!X151&lt;&gt;"",10000,0)+IF(Atletas!B151="Feminino",1000,IF(Atletas!B151="Masculino",2000,""))+IF(OR(Atletas!P151="Yang 26 A",Atletas!P151="Yang 40 A"),401,IF(OR(Atletas!P151="Chen 25 A",Atletas!P151="Chen 36 A",Atletas!P151="Chen 56 A"),402,IF(Atletas!P151="Sun 73 A",403,IF(Atletas!P151="Wu 45 A",404,IF(Atletas!P151="Wu-Hao 46 A",405,IF(OR(Atletas!P151="Taijiquan 16 A",Atletas!P151="Taijiquan 24 A",Atletas!P151="Taijiquan 32 A",Atletas!P151="Taijiquan 42 A"),406,IF(OR(Atletas!P151="Yang 26 B",Atletas!P151="Yang 40 B"),407,IF(OR(Atletas!P151="Chen 25 B",Atletas!P151="Chen 36 B",Atletas!P151="Chen 56 B"),408,IF(Atletas!P151="Sun 73 B",409,IF(Atletas!P151="Wu 45 B",410,IF(Atletas!P151="Wu-Hao 46 B",411,IF(OR(Atletas!P151="Taijiquan 16 B",Atletas!P151="Taijiquan 24 B",Atletas!P151="Taijiquan 32 B",Atletas!P151="Taijiquan 42 B"),412,IF(OR(Atletas!P151="Yang 26 C",Atletas!P151="Yang 40 C"),413,IF(OR(Atletas!P151="Chen 25 C",Atletas!P151="Chen 36 C",Atletas!P151="Chen 56 C"),414,IF(Atletas!P151="Sun 73 C",415,IF(Atletas!P151="Wu 45 C",416,IF(Atletas!P151="Wu-Hao 46 C",417,IF(OR(Atletas!P151="Taijiquan 16 C",Atletas!P151="Taijiquan 24 C",Atletas!P151="Taijiquan 32 C",Atletas!P151="Taijiquan 42 C"),418,0)))))))))))))))))))</f>
        <v/>
      </c>
      <c r="BX160" s="50" t="str">
        <f>IF(Atletas!P151="","",IF(Atletas!X151&lt;&gt;"",10000,0)+IF(Atletas!B151="Feminino",1000,IF(Atletas!B151="Masculino",2000,""))+IF(OR(Atletas!P151="Yang 26 D",Atletas!P151="Yang 40 D"),419,IF(OR(Atletas!P151="Chen 25 D",Atletas!P151="Chen 36 D",Atletas!P151="Chen 56 D"),420,IF(Atletas!P151="Sun 73 D",421,IF(Atletas!P151="Wu 45 D",422,IF(Atletas!P151="Wu-Hao 46 D",423,IF(OR(Atletas!P151="Taijiquan 16 D",Atletas!P151="Taijiquan 24 D",Atletas!P151="Taijiquan 32 D",Atletas!P151="Taijiquan 42 D"),424,IF(OR(Atletas!P151="Yang 26 E",Atletas!P151="Yang 40 E"),425,IF(OR(Atletas!P151="Chen 25 E",Atletas!P151="Chen 36 E",Atletas!P151="Chen 56 E"),426,IF(Atletas!P151="Sun 73 E",427,IF(Atletas!P151="Wu 45 E",428,IF(Atletas!P151="Wu-Hao 46 E",429,IF(OR(Atletas!P151="Taijiquan 16 E",Atletas!P151="Taijiquan 24 E",Atletas!P151="Taijiquan 32 E",Atletas!P151="Taijiquan 42 E"),430,IF(OR(Atletas!P151="Yang 26 F",Atletas!P151="Yang 40 F"),431,IF(OR(Atletas!P151="Chen 25 F",Atletas!P151="Chen 36 F",Atletas!P151="Chen 56 F"),432,IF(Atletas!P151="Sun 73 F",433,IF(Atletas!P151="Wu 45 F",434,IF(Atletas!P151="Wu-Hao 46 F",435,IF(OR(Atletas!P151="Taijiquan 16 F",Atletas!P151="Taijiquan 24 F",Atletas!P151="Taijiquan 32 F",Atletas!P151="Taijiquan 42 F"),436,0)))))))))))))))))))</f>
        <v/>
      </c>
      <c r="BY160" s="50" t="str">
        <f>IF(Atletas!Q151="","",IF(Atletas!X151&lt;&gt;"",10000,0)+IF(Atletas!B151="Feminino",1000,IF(Atletas!B151="Masculino",2000,""))+IF(Atletas!Q151="Xingyiquan A",501,IF(Atletas!Q151="Baguazhang A",502,IF(Atletas!Q151="Outro Estilo Interno A",503,IF(Atletas!Q151="Xingyiquan B",504,IF(Atletas!Q151="Baguazhang B",505,IF(Atletas!Q151="Outro Estilo Interno B",506,IF(Atletas!Q151="Xingyiquan C",507,IF(Atletas!Q151="Baguazhang C",508,IF(Atletas!Q151="Outro Estilo Interno C",509,IF(Atletas!Q151="Xingyiquan D",510,IF(Atletas!Q151="Baguazhang D",511,IF(Atletas!Q151="Outro Estilo Interno D",512,IF(Atletas!Q151="Xingyiquan E",513,IF(Atletas!Q151="Baguazhang E",514,IF(Atletas!Q151="Outro Estilo Interno E",515,IF(Atletas!Q151="Xingyiquan F",516,IF(Atletas!Q151="Baguazhang F",517,IF(Atletas!Q151="Outro Estilo Interno F",518, "")))))))))))))))))))</f>
        <v/>
      </c>
      <c r="BZ160" s="50" t="str">
        <f>IF(Atletas!R151="","",IF(Atletas!X151&lt;&gt;"",10000,0)+IF(Atletas!B151="Feminino",1000,IF(Atletas!B151="Masculino",2000,""))+IF(Atletas!R151="Dao A",601,IF(Atletas!R151="Jian A",602,IF(Atletas!R151="Bishou A",603,IF(Atletas!R151="Shanzi A",604,IF(Atletas!R151="Outra Arma Curta A",605,IF(Atletas!R151="Dao B",606,IF(Atletas!R151="Jian B",607,IF(Atletas!R151="Bishou B",608,IF(Atletas!R151="Shanzi B",609,IF(Atletas!R151="Outra Arma Curta B",610,IF(Atletas!R151="Dao C",611,IF(Atletas!R151="Jian C",612,IF(Atletas!R151="Bishou C",613,IF(Atletas!R151="Shanzi C",614,IF(Atletas!R151="Outra Arma Curta C",615,IF(Atletas!R151="Dao D",616,IF(Atletas!R151="Jian D",617,IF(Atletas!R151="Bishou D",618,IF(Atletas!R151="Shanzi D",619,IF(Atletas!R151="Outra Arma Curta D",620,IF(Atletas!R151="Dao E",621,IF(Atletas!R151="Jian E",622,IF(Atletas!R151="Bishou E",623,IF(Atletas!R151="Shanzi E",624,IF(Atletas!R151="Outra Arma Curta E",625,IF(Atletas!R151="Dao F",626,IF(Atletas!R151="Jian F",627,IF(Atletas!R151="Bishou F",628,IF(Atletas!R151="Shanzi F",629,IF(Atletas!R151="Outra Arma Curta F",630, "")))))))))))))))))))))))))))))))</f>
        <v/>
      </c>
      <c r="CA160" s="50" t="str">
        <f>IF(Atletas!S151="","",IF(Atletas!X151&lt;&gt;"",10000,0)+IF(Atletas!B151="Feminino",1000,IF(Atletas!B151="Masculino",2000,""))+IF(Atletas!S151="Gun A",701,IF(Atletas!S151="Qiang A",702,IF(Atletas!S151="Pudao / Guandao A",703,IF(Atletas!S151="Outra Arma Longa A",704,IF(Atletas!S151="Gun B",705,IF(Atletas!S151="Qiang B",706,IF(Atletas!S151="Pudao / Guandao B",707,IF(Atletas!S151="Outra Arma Longa B",708,IF(Atletas!S151="Gun C",709,IF(Atletas!S151="Qiang C",710,IF(Atletas!S151="Pudao / Guandao C",711,IF(Atletas!S151="Outra Arma Longa C",712,IF(Atletas!S151="Gun D",713,IF(Atletas!S151="Qiang D",714,IF(Atletas!S151="Pudao / Guandao D",715,IF(Atletas!S151="Outra Arma Longa D",716,IF(Atletas!S151="Gun E",717,IF(Atletas!S151="Qiang E",718,IF(Atletas!S151="Pudao / Guandao E",719,IF(Atletas!S151="Outra Arma Longa E",720,IF(Atletas!S151="Gun F",721,IF(Atletas!S151="Qiang F",722,IF(Atletas!S151="Pudao / Guandao F",723,IF(Atletas!S151="Outra Arma Longa F",724,"")))))))))))))))))))))))))</f>
        <v/>
      </c>
      <c r="CB160" s="50" t="str">
        <f>IF(Atletas!T151="","",IF(Atletas!X151&lt;&gt;"",10000,0)+IF(Atletas!B151="Feminino",1000,IF(Atletas!B151="Masculino",2000,""))+IF(Atletas!T151="Outra Arma Dupla A",801,IF(Atletas!T151="Arma Maleável A",802,IF(Atletas!T151="Outra Arma Dupla B",803,IF(Atletas!T151="Arma Maleável B",804,IF(Atletas!T151="Outra Arma Dupla C",805,IF(Atletas!T151="Arma Maleável C",806,IF(Atletas!T151="Outra Arma Dupla D",807,IF(Atletas!T151="Arma Maleável D",808,IF(Atletas!T151="Outra Arma Dupla E",809,IF(Atletas!T151="Arma Maleável E",810,IF(Atletas!T151="Outra Arma Dupla F",811,IF(Atletas!T151="Arma Maleável F",812,IF(Atletas!T151="Shuangdao A",813,IF(Atletas!T151="Shuangdao B",814,IF(Atletas!T151="Shuangdao C",815,IF(Atletas!T151="Shuangdao D",816,IF(Atletas!T151="Shuangdao E",817,IF(Atletas!T151="Shuangdao F",818,"")))))))))))))))))))</f>
        <v/>
      </c>
      <c r="CC160" s="50" t="str">
        <f>IF(Atletas!U151="","",IF(Atletas!X151&lt;&gt;"",10000,0)+IF(Atletas!B151="Feminino",1000,IF(Atletas!B151="Masculino",2000,""))+IF(OR(Atletas!U151="Taijijian Yang A",Atletas!U151="Taijijian Yang Standard A"),901,IF(OR(Atletas!U151="Taijijian Chen A", Atletas!U151="Taijijian Chen Standard A"),902,IF(Atletas!U151="Taijijian Sun A",903,IF(Atletas!U151="Taijijian Wu A",904,IF(Atletas!U151="Taijijian Wu-Hao A",905,IF(OR(Atletas!U151="Taijijian 32 A",Atletas!U151="Taijijian 42 A"),906,IF(OR(Atletas!U151="Taijijian Yang B",Atletas!U151="Taijijian Yang Standard B"),907,IF(OR(Atletas!U151="Taijijian Chen B", Atletas!U151="Taijijian Chen Standard B"),908,IF(Atletas!U151="Taijijian Sun B",909,IF(Atletas!U151="Taijijian Wu B",910,IF(Atletas!U151="Taijijian Wu-Hao B",911,IF(OR(Atletas!U151="Taijijian 32 B",Atletas!U151="Taijijian 42 B"),912,IF(OR(Atletas!U151="Taijijian Yang C",Atletas!U151="Taijijian Yang Standard C"),913,IF(OR(Atletas!U151="Taijijian Chen C", Atletas!U151="Taijijian Chen Standard C"),914,IF(Atletas!U151="Taijijian Sun C",915,IF(Atletas!U151="Taijijian Wu C",916,IF(Atletas!U151="Taijijian Wu-Hao C",917,IF(OR(Atletas!U151="Taijijian 32 C",Atletas!U151="Taijijian 42 C"),918,IF(OR(Atletas!U151="Taijijian Yang D",Atletas!U151="Taijijian Yang Standard D"),919,IF(OR(Atletas!U151="Taijijian Chen D", Atletas!U151="Taijijian Chen Standard D"),920,IF(Atletas!U151="Taijijian Sun D",921,IF(Atletas!U151="Taijijian Wu D",922,IF(Atletas!U151="Taijijian Wu-Hao D",923,IF(OR(Atletas!U151="Taijijian 32 D",Atletas!U151="Taijijian 42 D"),924,IF(OR(Atletas!U151="Taijijian Yang E",Atletas!U151="Taijijian Yang Standard E"),925,IF(OR(Atletas!U151="Taijijian Chen E", Atletas!U151="Taijijian Chen Standard E"),926,IF(Atletas!U151="Taijijian Sun E",927,IF(Atletas!U151="Taijijian Wu E",928,IF(Atletas!U151="Taijijian Wu-Hao E",929,IF(OR(Atletas!U151="Taijijian 32 E",Atletas!U151="Taijijian 42 E"),930,IF(OR(Atletas!U151="Taijijian Yang F",Atletas!U151="Taijijian Yang Standard F"),931,IF(OR(Atletas!U151="Taijijian Chen F", Atletas!U151="Taijijian Chen Standard F"),932,IF(Atletas!U151="Taijijian Sun F",933,IF(Atletas!U151="Taijijian Wu F",934,IF(Atletas!U151="Taijijian Wu-Hao F",935,IF(OR(Atletas!U151="Taijijian 32 F",Atletas!U151="Taijijian 42 F"),936,"")))))))))))))))))))))))))))))))))))))</f>
        <v/>
      </c>
      <c r="CD160" s="50" t="str">
        <f>IF(Atletas!V151="","",IF(Atletas!X151&lt;&gt;"",10000,0)+IF(Atletas!B151="Feminino",1000,IF(Atletas!B151="Masculino",2000,""))+IF(Atletas!V151="Taijidao A",937,IF(Atletas!V151="TaijiShanzi A",938,IF(Atletas!V151="Taijiqiang A",939,IF(Atletas!V151="Bagua de Arma A",940,IF(Atletas!V151="Xingyi de Arma A",941,IF(Atletas!V151="Taijidao B",942,IF(Atletas!V151="TaijiShanzi B",943,IF(Atletas!V151="Taijiqiang B",944,IF(Atletas!V151="Bagua de Arma B",945,IF(Atletas!V151="Xingyi de Arma B",946,IF(Atletas!V151="Taijidao C",947,IF(Atletas!V151="TaijiShanzi C",948,IF(Atletas!V151="Taijiqiang C",949,IF(Atletas!V151="Bagua de Arma C",950,IF(Atletas!V151="Xingyi de Arma C",951,IF(Atletas!V151="Taijidao D",952,IF(Atletas!V151="TaijiShanzi D",953,IF(Atletas!V151="Taijiqiang D",954,IF(Atletas!V151="Bagua de Arma D",955,IF(Atletas!V151="Xingyi de Arma D",956,IF(Atletas!V151="Taijidao E",957,IF(Atletas!V151="TaijiShanzi E",958,IF(Atletas!V151="Taijiqiang E",959,IF(Atletas!V151="Bagua de Arma E",960,IF(Atletas!V151="Xingyi de Arma E",961,IF(Atletas!V151="Taijidao F",962,IF(Atletas!V151="TaijiShanzi F",963,IF(Atletas!V151="Taijiqiang F",964,IF(Atletas!V151="Bagua de Arma F",965,IF(Atletas!V151="Xingyi de Arma F",966,"")))))))))))))))))))))))))))))))</f>
        <v/>
      </c>
      <c r="CE160" s="66" t="str">
        <f>IF(CF160&lt;&gt;"","TJQ Trad. Wu D","")</f>
        <v/>
      </c>
      <c r="CF160" s="66" t="str">
        <f>IF(COUNTIF(BR:CD,1322)&gt;0,COUNTIF(BR:CD,1322),"")</f>
        <v/>
      </c>
      <c r="CG160" s="66" t="str">
        <f>IF(CH160&lt;&gt;"","TJQ Trad. Wu D","")</f>
        <v/>
      </c>
      <c r="CH160" s="66" t="str">
        <f>IF(COUNTIF(BR:CD,2322)&gt;0,COUNTIF(BR:CD,2322),"")</f>
        <v/>
      </c>
      <c r="CI160" s="66" t="str">
        <f>IF(CJ160&lt;&gt;"","TJQ Trad. Wu E","")</f>
        <v/>
      </c>
      <c r="CJ160" s="66" t="str">
        <f>IF(COUNTIF(BR:CD,11328)&gt;0,COUNTIF(BR:CD,11328),"")</f>
        <v/>
      </c>
      <c r="CK160" s="66" t="str">
        <f>IF(CL160&lt;&gt;"","TJQ Trad. Wu E","")</f>
        <v/>
      </c>
      <c r="CL160" s="66" t="str">
        <f>IF(COUNTIF(BR:CD,12328)&gt;0,COUNTIF(BR:CD,12328),"")</f>
        <v/>
      </c>
      <c r="CM160" s="50" t="str">
        <f xml:space="preserve"> IF(Atletas!W151="","",IF(Atletas!W151="Duilian de Mãos BC - Equipe 1",1,IF(Atletas!W151="Duilian de Mãos BC - Equipe 2",2,IF(Atletas!W151="Duilian de Armas BC - Equipe 1",3,IF(Atletas!W151="Duilian de Armas BC - Equipe 2",4,IF(Atletas!W151="Duilian de Mãos DE - Equipe 1",5,IF(Atletas!W151="Duilian de Mãos DE - Equipe 2",6,IF(Atletas!W151="Duilian de Armas DE - Equipe 1",7,IF(Atletas!W151="Duilian de Armas DE - Equipe 2",8,IF(Atletas!W151="Duilian de Tuishou - Equipe 1",9,IF(Atletas!W151="Duilian de Tuishou - Equipe 2",10,IF(Atletas!W151="Grupo Externo ABC - Equipe 1",11,IF(Atletas!W151="Grupo Externo ABC - Equipe 2",12,IF(Atletas!W151="Grupo Interno ABC - Equipe 1",13,IF(Atletas!W151="Grupo Interno ABC - Equipe 2",14,IF(Atletas!W151="Grupo Externo DEF - Equipe 1",15,IF(Atletas!W151="Grupo Externo DEF - Equipe 2",16,IF(Atletas!W151="Grupo Interno DEF - Equipe 1",17,IF(Atletas!W151="Grupo Interno DEF - Equipe 2",18,"")))))))))))))))))))</f>
        <v/>
      </c>
    </row>
    <row r="161" spans="2:91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 t="str">
        <f t="array" ref="Z161">IFERROR(INDEX(CE$7:CE$348,SMALL(IF(CE$7:CE$348&lt;&gt;"",ROW(CE$7:CE$348)-ROW(CE$7)+1),ROWS(CE$7:CE160))),"")</f>
        <v/>
      </c>
      <c r="AA161" s="3" t="str">
        <f t="array" ref="AA161">IFERROR(INDEX(CF$7:CF$348,SMALL(IF(CF$7:CF$348&lt;&gt;"",ROW(CF$7:CF$348)-ROW(CF$7)+1),ROWS(CF$7:CF160))),"")</f>
        <v/>
      </c>
      <c r="AB161" s="3" t="str">
        <f t="array" ref="AB161">IFERROR(INDEX(CG$7:CG$348,SMALL(IF(CG$7:CG$348&lt;&gt;"",ROW(CG$7:CG$348)-ROW(CG$7)+1),ROWS(CG$7:CG160))),"")</f>
        <v/>
      </c>
      <c r="AC161" s="3" t="str">
        <f t="array" ref="AC161">IFERROR(INDEX(CH$7:CH$348,SMALL(IF(CH$7:CH$348&lt;&gt;"",ROW(CH$7:CH$348)-ROW(CH$7)+1),ROWS(CH$7:CH160))),"")</f>
        <v/>
      </c>
      <c r="AD161" s="3" t="str">
        <f t="array" ref="AD161">IFERROR(INDEX(CI$7:CI$377,SMALL(IF(CI$7:CI$377&lt;&gt;"",ROW(CI$7:CI$377)-ROW(CI$7)+1),ROWS(CI$7:CI160))),"")</f>
        <v/>
      </c>
      <c r="AE161" s="3" t="str">
        <f t="array" ref="AE161">IFERROR(INDEX(CJ$7:CJ$378,SMALL(IF(CJ$7:CJ$378&lt;&gt;"",ROW(CJ$7:CJ$378)-ROW(CJ$7)+1),ROWS(CJ$7:CJ160))),"")</f>
        <v/>
      </c>
      <c r="AF161" s="3" t="str">
        <f t="array" ref="AF161">IFERROR(INDEX(CK$7:CK$378,SMALL(IF(CK$7:CK$378&lt;&gt;"",ROW(CK$7:CK$378)-ROW(CK$7)+1),ROWS(CK$7:CK160))),"")</f>
        <v/>
      </c>
      <c r="AG161" s="3" t="str">
        <f t="array" ref="AG161">IFERROR(INDEX(CL$7:CL$378,SMALL(IF(CL$7:CL$378&lt;&gt;"",ROW(CL$7:CL$378)-ROW(CL$7)+1),ROWS(CL$7:CL160))),"")</f>
        <v/>
      </c>
      <c r="AH161" s="3"/>
      <c r="AI161" s="3"/>
      <c r="AJ161" s="3"/>
      <c r="AK161" s="3"/>
      <c r="AL161" s="3"/>
      <c r="AM161" s="3"/>
      <c r="AN161" s="52" t="str">
        <f>IF(Atletas!D152="","",IF(Atletas!B152="Feminino",100,IF(Atletas!B152="Masculino",200,""))+(IF(Atletas!D152="Kids 30kg",1,IF(Atletas!D152="Kids 32kg",2, IF(Atletas!D152="Kids 34kg",3,IF(Atletas!D152="Kids 36kg",4,IF(Atletas!D152="Kids 39kg",5,IF(Atletas!D152="Kids 42kg",6,IF(Atletas!D152="Kids 45kg",7, IF(Atletas!D152="Infantil 39kg",8,IF(Atletas!D152="Infantil 42kg",9,IF(Atletas!D152="Infantil 45kg",10,IF(Atletas!D152="Infantil 48kg",11,IF(Atletas!D152="Infantil 52kg",12,IF(Atletas!D152="Infantil 56kg",13,IF(Atletas!D152="Infantil 60kg",14,IF(Atletas!D152="Juvenil 48kg",15,IF(Atletas!D152="Juvenil 52kg",16,IF(Atletas!D152="Juvenil 56kg",17,IF(Atletas!D152="Juvenil 60kg",18,IF(Atletas!D152="Juvenil 65kg",19,IF(Atletas!D152="Juvenil 70kg",20,IF(Atletas!D152="Juvenil 75kg",21,IF(Atletas!D152="Juvenil 80kg",22, IF(Atletas!D152="Juvenil 85kg",23,IF(Atletas!D152="Adulto 48kg",24,IF(Atletas!D152="Adulto 52kg",25,IF(Atletas!D152="Adulto 56kg",26,IF(Atletas!D152="Adulto 60kg",27,IF(Atletas!D152="Adulto 65kg",28,IF(Atletas!D152="Adulto 70kg",29,IF(Atletas!D152="Adulto 75kg",30,IF(Atletas!D152="Adulto 80kg",31,IF(Atletas!D152="Adulto 85kg",32,IF(Atletas!D152="Adulto 90kg",33,IF(Atletas!D152="Adulto 100kg",34, IF(Atletas!D152="Adulto +100kg",35,"")))))))))))))))))))))))))))))))))))))</f>
        <v/>
      </c>
      <c r="AS161" s="6" t="str">
        <f>IF(Atletas!E152="","",IF(Atletas!B152="Feminino",100,IF(Atletas!B152="Masculino",200,""))+(IF(Atletas!E152="Juvenil 44kg",1,IF(Atletas!E152="Juvenil 48kg",2,IF(Atletas!E152="Juvenil 52kg",3,IF(Atletas!E152="Juvenil 56kg",4,IF(Atletas!E152="Juvenil 60kg",5,IF(Atletas!E152="Juvenil 65kg",6,IF(Atletas!E152="Juvenil 70kg",7,IF(Atletas!E152="Juvenil 75kg",8,IF(Atletas!E152="Juvenil 82kg",9,IF(Atletas!E152="Juvenil 90kg",10,IF(Atletas!E152="Juvenil 100kg",11,IF(Atletas!E152="Adulto 48kg",12,IF(Atletas!E152="Adulto 52kg",13,IF(Atletas!E152="Adulto 56kg",14,IF(Atletas!E152="Adulto 60kg",15,IF(Atletas!E152="Adulto 65kg",16,IF(Atletas!E152="Adulto 70kg",17,IF(Atletas!E152="Adulto 75kg",18,IF(Atletas!E152="Adulto 82kg",19,IF(Atletas!E152="Adulto 90kg",20,IF(Atletas!E152="Adulto 100kg",21,IF(Atletas!E152="Adulto +100kg",22,""))))))))))))))))))))))))</f>
        <v/>
      </c>
      <c r="AX161" s="6" t="str">
        <f>IF(Atletas!F152="","",IF(Atletas!B152="Feminino",100,IF(Atletas!B152="Masculino",200,""))+(IF(Atletas!F152="Adulto 48kg",1,IF(Atletas!F152="Adulto 56kg",2,IF(Atletas!F152="Adulto 65kg",3,IF(Atletas!F152="Adulto 75kg",4,IF(Atletas!F152="Adulto +75kg",5,IF(Atletas!F152="Adulto 52kg",6,IF(Atletas!F152="Adulto 60kg",7,IF(Atletas!F152="Adulto 70kg",8,IF(Atletas!F152="Adulto 80kg",9,IF(Atletas!F152="Adulto 90kg",10,IF(Atletas!F152="Adulto +90kg",11,"")))))))))))))</f>
        <v/>
      </c>
      <c r="BC161" s="6" t="str">
        <f>IF(Atletas!G152="","",IF(Atletas!B152="Feminino",10,IF(Atletas!B152="Masculino",20,""))+(IF(Atletas!G152="Baduanjin A",1,IF(Atletas!G152="Baduanjin B",2))))</f>
        <v/>
      </c>
      <c r="BF161" s="52" t="str">
        <f>IF(Atletas!H152="","",IF(Atletas!B152="Feminino",100,IF(Atletas!B152="Masculino",200,""))+(IF(Atletas!H152="Changquan Mirim",1,IF(Atletas!H152="Nanquan Mirim",2,IF(Atletas!H152="Taijiquan Mirim",3,IF(Atletas!H152="Changquan Grupo C",4,IF(Atletas!H152="Nanquan Grupo C",5,IF(Atletas!H152="Taijiquan Grupo C",6,IF(Atletas!H152="Changquan Grupo B",7,IF(Atletas!H152="Nanquan Grupo B",8,IF(Atletas!H152="Taijiquan Grupo B",9,IF(Atletas!H152="Changquan Grupo A",10,IF(Atletas!H152="Nanquan Grupo A",11,IF(Atletas!H152="Taijiquan Grupo A",12,IF(Atletas!H152="Changquan Opcional",13,IF(Atletas!H152="Nanquan Opcional",14,IF(Atletas!H152="Taijiquan Opcional",15,IF(Atletas!H152="Changquan Adulto",16,IF(Atletas!H152="Nanquan Adulto",17,IF(Atletas!H152="Taijiquan Adulto",18,""))))))))))))))))))))</f>
        <v/>
      </c>
      <c r="BG161" s="52" t="str">
        <f>IF(Atletas!I152="","",IF(Atletas!B152="Feminino",100,IF(Atletas!B152="Masculino",200,""))+(IF(Atletas!I152="Daoshu Mirim",19,IF(Atletas!I152="Jianshu Mirim",20,IF(Atletas!I152="Nandao Mirim",21,IF(Atletas!I152="Taijijian Mirim",22,IF(Atletas!I152="Daoshu Grupo C",23,IF(Atletas!I152="Jianshu Grupo C",24,IF(Atletas!I152="Nandao Grupo C",25,IF(Atletas!I152="Taijijian Grupo C",26,IF(Atletas!I152="Daoshu Grupo B",27,IF(Atletas!I152="Jianshu Grupo B",28,IF(Atletas!I152="Nandao Grupo B",29,IF(Atletas!I152="Taijijian Grupo B",30,IF(Atletas!I152="Daoshu Grupo A",31,IF(Atletas!I152="Jianshu Grupo A",32,IF(Atletas!I152="Nandao Grupo A",33,IF(Atletas!I152="Taijijian Grupo A",34,IF(Atletas!I152="Daoshu Opcional",35,IF(Atletas!I152="Jianshu Opcional",36,IF(Atletas!I152="Nandao Opcional",37,IF(Atletas!I152="Taijijian Opcional",38,IF(Atletas!I152="Daoshu Adulto",39,IF(Atletas!I152="Jianshu Adulto",40,IF(Atletas!I152="Nandao Adulto",41,IF(Atletas!I152="Taijijian Adulto",42,""))))))))))))))))))))))))))</f>
        <v/>
      </c>
      <c r="BH161" s="52" t="str">
        <f>IF(Atletas!J152="","",IF(Atletas!B152="Feminino",100,IF(Atletas!B152="Masculino",200,""))+(IF(Atletas!J152="Gunshu Mirim",43,IF(Atletas!J152="Qiangshu Mirim",44,IF(Atletas!J152="Nangun Mirim",45,IF(Atletas!J152="Gunshu Grupo C",46,IF(Atletas!J152="Qiangshu Grupo C",47,IF(Atletas!J152="Nangun Grupo C",48,IF(Atletas!J152="Gunshu Grupo B",49,IF(Atletas!J152="Qiangshu Grupo B",50,IF(Atletas!J152="Nangun Grupo B",51,IF(Atletas!J152="Gunshu Grupo A",52,IF(Atletas!J152="Qiangshu Grupo A",53,IF(Atletas!J152="Nangun Grupo A",54,IF(Atletas!J152="Gunshu Opcional",55,IF(Atletas!J152="Qiangshu Opcional",56,IF(Atletas!J152="Nangun Opcional",57,IF(Atletas!J152="Gunshu Adulto",58,IF(Atletas!J152="Qiangshu Adulto",59,IF(Atletas!J152="Nangun Adulto",60,IF(Atletas!J152="Taijishan Grupo B",61,IF(Atletas!J152="Taijishan Grupo A",62,""))))))))))))))))))))))</f>
        <v/>
      </c>
      <c r="BM161" s="50" t="str">
        <f>IF(Atletas!K152="","",IF(Atletas!B152="Feminino",100,IF(Atletas!B152="Masculino",200,""))+(IF(Atletas!K152="Equipe 1 Grupo B",1,IF(Atletas!K152="Equipe 2 Grupo B",2,IF(Atletas!K152="Equipe 1 Grupo A",3,IF(Atletas!K152="Equipe 2 Grupo A",4,IF(Atletas!K152="Equipe 1 Adulto",5,IF(Atletas!K152="Equipe 2 Adulto",6,""))))))))</f>
        <v/>
      </c>
      <c r="BR161" s="50" t="str">
        <f>IF(Atletas!L152="","",IF(Atletas!X152&lt;&gt;"",10000,0)+(IF(Atletas!B152="Feminino",1000,IF(Atletas!B152="Masculino",2000,""))+IF(Atletas!L152="Choylayfut A",1,IF(Atletas!L152="Hunggar A",2,IF(Atletas!L152="Wuzuquan A",3,IF(Atletas!L152="Wingchun A",4,IF(Atletas!L152="Outra Mão de Sul A",5,IF(Atletas!L152="Choylayfut B",6,IF(Atletas!L152="Hunggar B",7,IF(Atletas!L152="Wuzuquan B",8,IF(Atletas!L152="Wingchun B",9,IF(Atletas!L152="Outra Mão de Sul B",10,IF(Atletas!L152="Choylayfut C",11,IF(Atletas!L152="Hunggar C",12,IF(Atletas!L152="Wuzuquan C",13,IF(Atletas!L152="Wingchun C",14,IF(Atletas!L152="Outra Mão de Sul C",15,IF(Atletas!L152="Choylayfut D",16,IF(Atletas!L152="Hunggar D",17,IF(Atletas!L152="Wuzuquan D",18,IF(Atletas!L152="Wingchun D",19,IF(Atletas!L152="Outra Mão de Sul D",20,IF(Atletas!L152="Choylayfut E",21,IF(Atletas!L152="Hunggar E",22,IF(Atletas!L152="Wuzuquan E",23,IF(Atletas!L152="Wingchun E",24,IF(Atletas!L152="Outra Mão de Sul E",25,IF(Atletas!L152="Choylayfut F",26,IF(Atletas!L152="Hunggar F",27,IF(Atletas!L152="Wuzuquan F",28,IF(Atletas!L152="Wingchun F",29,IF(Atletas!L152="Outra Mão de Sul F",30,IF(Atletas!L152="Dishuquan A",31,IF(Atletas!L152="Dishuquan B",32,IF(Atletas!L152="Dishuquan C",33,IF(Atletas!L152="Dishuquan D",34,IF(Atletas!L152="Dishuquan E",35,IF(Atletas!L152="Dishuquan F",36,""))))))))))))))))))))))))))))))))))))))</f>
        <v/>
      </c>
      <c r="BS161" s="50" t="str">
        <f>IF(Atletas!M152="","",IF(Atletas!X152&lt;&gt;"",10000,0)+(IF(Atletas!B152="Feminino",1000,IF(Atletas!B152="Masculino",2000,""))+(IF(Atletas!M152="Chaquan A",101,IF(Atletas!M152="Emeiquan A",102,IF(Atletas!M152="Fanziquan A",103,IF(Atletas!M152="Huaquan A",104,IF(Atletas!M152="Hongquan A",105,IF(Atletas!M152="Paoquan A",106,IF(Atletas!M152="Piguaquan A",107,IF(Atletas!M152="Shaolinquan A",108,IF(Atletas!M152="Tanglangquan A",109,IF(Atletas!M152="Yingzhaoquan A",110,IF(Atletas!M152="Tongbeiquan A",111,IF(Atletas!M152="Wudangquan A",112,IF(Atletas!M152="Outros Estilos A",113,IF(Atletas!M152="Chaquan B",114,IF(Atletas!M152="Emeiquan B",115,IF(Atletas!M152="Fanziquan B",116,IF(Atletas!M152="Huaquan B",117,IF(Atletas!M152="Hongquan B",118,IF(Atletas!M152="Paoquan B",119,IF(Atletas!M152="Piguaquan B",120,IF(Atletas!M152="Shaolinquan B",121,IF(Atletas!M152="Tanglangquan B",122,IF(Atletas!M152="Yingzhaoquan B",123,IF(Atletas!M152="Tongbeiquan B",124,IF(Atletas!M152="Wudangquan B",125,IF(Atletas!M152="Outros Estilos B",126,IF(Atletas!M152="Chaquan C",127,IF(Atletas!M152="Emeiquan C",128,IF(Atletas!M152="Fanziquan C",129,IF(Atletas!M152="Huaquan C",130,IF(Atletas!M152="Hongquan C",131,IF(Atletas!M152="Paoquan C",132,IF(Atletas!M152="Piguaquan C",133,IF(Atletas!M152="Shaolinquan C",134,IF(Atletas!M152="Tanglangquan C",135,IF(Atletas!M152="Yingzhaoquan C",136,IF(Atletas!M152="Tongbeiquan C",137,IF(Atletas!M152="Wudangquan C",138,IF(Atletas!M152="Outros Estilos C",139,0))))))))))))))))))))))))))))))))))))))))))</f>
        <v/>
      </c>
      <c r="BT161" s="50" t="str">
        <f>IF(Atletas!M152="","",IF(Atletas!X152&lt;&gt;"",10000,0)+(IF(Atletas!B152="Feminino",1000,IF(Atletas!B152="Masculino",2000,""))+(IF(Atletas!M152="Chaquan D",140,IF(Atletas!M152="Emeiquan D",141,IF(Atletas!M152="Fanziquan D",142,IF(Atletas!M152="Huaquan D",143,IF(Atletas!M152="Hongquan D",144,IF(Atletas!M152="Paoquan D",145,IF(Atletas!M152="Piguaquan D",146,IF(Atletas!M152="Shaolinquan D",147,IF(Atletas!M152="Tanglangquan D",148,IF(Atletas!M152="Yingzhaoquan D",149,IF(Atletas!M152="Tongbeiquan D",150,IF(Atletas!M152="Wudangquan D",151,IF(Atletas!M152="Outros Estilos D",152,IF(Atletas!M152="Chaquan E",153,IF(Atletas!M152="Emeiquan E",154,IF(Atletas!M152="Fanziquan E",155,IF(Atletas!M152="Huaquan E",156,IF(Atletas!M152="Hongquan E",157,IF(Atletas!M152="Paoquan E",158,IF(Atletas!M152="Piguaquan E",159,IF(Atletas!M152="Shaolinquan E",160,IF(Atletas!M152="Tanglangquan E",161,IF(Atletas!M152="Yingzhaoquan E",162,IF(Atletas!M152="Tongbeiquan E",163,IF(Atletas!M152="Wudangquan E",164,IF(Atletas!M152="Outros Estilos E",165,IF(Atletas!M152="Chaquan F",166,IF(Atletas!M152="Emeiquan F",167,IF(Atletas!M152="Fanziquan F",168,IF(Atletas!M152="Huaquan F",169,IF(Atletas!M152="Hongquan F",170,IF(Atletas!M152="Paoquan F",171,IF(Atletas!M152="Piguaquan F",172,IF(Atletas!M152="Shaolinquan F",173,IF(Atletas!M152="Tanglangquan F",174,IF(Atletas!M152="Yingzhaoquan F",175,IF(Atletas!M152="Tongbeiquan F",176,IF(Atletas!M152="Wudangquan F",177,IF(Atletas!M152="Outros Estilos F",178,0))))))))))))))))))))))))))))))))))))))))))</f>
        <v/>
      </c>
      <c r="BU161" s="50" t="str">
        <f>IF(Atletas!N152="","",IF(Atletas!X152&lt;&gt;"",10000,0)+(IF(Atletas!B152="Feminino",1000,IF(Atletas!B152="Masculino",2000,""))+(IF(Atletas!N152="Ditangquan A",201,IF(Atletas!N152="Houquan A",202,IF(Atletas!N152="Zuiquan A",203,IF(Atletas!N152="Ditangquan B",204,IF(Atletas!N152="Houquan B",205,IF(Atletas!N152="Zuiquan B",206,IF(Atletas!N152="Ditangquan C",207,IF(Atletas!N152="Houquan C",208,IF(Atletas!N152="Zuiquan C",209,IF(Atletas!N152="Ditangquan D",210,IF(Atletas!N152="Houquan D",211,IF(Atletas!N152="Zuiquan D",212,IF(Atletas!N152="Ditangquan E",213,IF(Atletas!N152="Houquan E",214,IF(Atletas!N152="Zuiquan E",215,IF(Atletas!N152="Ditangquan F",216,IF(Atletas!N152="Houquan F",217,IF(Atletas!N152="Zuiquan F",218,"")))))))))))))))))))))</f>
        <v/>
      </c>
      <c r="BV161" s="50" t="str">
        <f>IF(Atletas!O152="","",IF(Atletas!X152&lt;&gt;"",10000,0)+IF(Atletas!B152="Feminino",1000,IF(Atletas!B152="Masculino",2000,""))+IF(Atletas!O152="Yang A",301,IF(Atletas!O152="Chen A",302,IF(Atletas!O152="Sun A",303,IF(Atletas!O152="Wu A",304,IF(Atletas!O152="Wu-Hao A",305,IF(Atletas!O152="Outro Taijiquan A",306,IF(Atletas!O152="Yang B",307,IF(Atletas!O152="Chen B",308,IF(Atletas!O152="Sun B",309,IF(Atletas!O152="Wu B",310,IF(Atletas!O152="Wu-Hao B",311,IF(Atletas!O152="Outro Taijiquan B",312,IF(Atletas!O152="Yang C",313,IF(Atletas!O152="Chen C",314,IF(Atletas!O152="Sun C",315,IF(Atletas!O152="Wu C",316,IF(Atletas!O152="Wu-Hao C",317,IF(Atletas!O152="Outro Taijiquan C",318,IF(Atletas!O152="Yang D",319,IF(Atletas!O152="Chen D",320,IF(Atletas!O152="Sun D",321,IF(Atletas!O152="Wu D",322,IF(Atletas!O152="Wu-Hao D",323,IF(Atletas!O152="Outro Taijiquan D",324,IF(Atletas!O152="Yang E",325,IF(Atletas!O152="Chen E",326,IF(Atletas!O152="Sun E",327,IF(Atletas!O152="Wu E",328,IF(Atletas!O152="Wu-Hao E",329,IF(Atletas!O152="Outro Taijiquan E",330,IF(Atletas!O152="Yang F",331,IF(Atletas!O152="Chen F",332,IF(Atletas!O152="Sun F",333,IF(Atletas!O152="Wu F",334,IF(Atletas!O152="Wu-Hao F",335,IF(Atletas!O152="Outro Taijiquan F",336,"")))))))))))))))))))))))))))))))))))))</f>
        <v/>
      </c>
      <c r="BW161" s="50" t="str">
        <f>IF(Atletas!P152="","",IF(Atletas!X152&lt;&gt;"",10000,0)+IF(Atletas!B152="Feminino",1000,IF(Atletas!B152="Masculino",2000,""))+IF(OR(Atletas!P152="Yang 26 A",Atletas!P152="Yang 40 A"),401,IF(OR(Atletas!P152="Chen 25 A",Atletas!P152="Chen 36 A",Atletas!P152="Chen 56 A"),402,IF(Atletas!P152="Sun 73 A",403,IF(Atletas!P152="Wu 45 A",404,IF(Atletas!P152="Wu-Hao 46 A",405,IF(OR(Atletas!P152="Taijiquan 16 A",Atletas!P152="Taijiquan 24 A",Atletas!P152="Taijiquan 32 A",Atletas!P152="Taijiquan 42 A"),406,IF(OR(Atletas!P152="Yang 26 B",Atletas!P152="Yang 40 B"),407,IF(OR(Atletas!P152="Chen 25 B",Atletas!P152="Chen 36 B",Atletas!P152="Chen 56 B"),408,IF(Atletas!P152="Sun 73 B",409,IF(Atletas!P152="Wu 45 B",410,IF(Atletas!P152="Wu-Hao 46 B",411,IF(OR(Atletas!P152="Taijiquan 16 B",Atletas!P152="Taijiquan 24 B",Atletas!P152="Taijiquan 32 B",Atletas!P152="Taijiquan 42 B"),412,IF(OR(Atletas!P152="Yang 26 C",Atletas!P152="Yang 40 C"),413,IF(OR(Atletas!P152="Chen 25 C",Atletas!P152="Chen 36 C",Atletas!P152="Chen 56 C"),414,IF(Atletas!P152="Sun 73 C",415,IF(Atletas!P152="Wu 45 C",416,IF(Atletas!P152="Wu-Hao 46 C",417,IF(OR(Atletas!P152="Taijiquan 16 C",Atletas!P152="Taijiquan 24 C",Atletas!P152="Taijiquan 32 C",Atletas!P152="Taijiquan 42 C"),418,0)))))))))))))))))))</f>
        <v/>
      </c>
      <c r="BX161" s="50" t="str">
        <f>IF(Atletas!P152="","",IF(Atletas!X152&lt;&gt;"",10000,0)+IF(Atletas!B152="Feminino",1000,IF(Atletas!B152="Masculino",2000,""))+IF(OR(Atletas!P152="Yang 26 D",Atletas!P152="Yang 40 D"),419,IF(OR(Atletas!P152="Chen 25 D",Atletas!P152="Chen 36 D",Atletas!P152="Chen 56 D"),420,IF(Atletas!P152="Sun 73 D",421,IF(Atletas!P152="Wu 45 D",422,IF(Atletas!P152="Wu-Hao 46 D",423,IF(OR(Atletas!P152="Taijiquan 16 D",Atletas!P152="Taijiquan 24 D",Atletas!P152="Taijiquan 32 D",Atletas!P152="Taijiquan 42 D"),424,IF(OR(Atletas!P152="Yang 26 E",Atletas!P152="Yang 40 E"),425,IF(OR(Atletas!P152="Chen 25 E",Atletas!P152="Chen 36 E",Atletas!P152="Chen 56 E"),426,IF(Atletas!P152="Sun 73 E",427,IF(Atletas!P152="Wu 45 E",428,IF(Atletas!P152="Wu-Hao 46 E",429,IF(OR(Atletas!P152="Taijiquan 16 E",Atletas!P152="Taijiquan 24 E",Atletas!P152="Taijiquan 32 E",Atletas!P152="Taijiquan 42 E"),430,IF(OR(Atletas!P152="Yang 26 F",Atletas!P152="Yang 40 F"),431,IF(OR(Atletas!P152="Chen 25 F",Atletas!P152="Chen 36 F",Atletas!P152="Chen 56 F"),432,IF(Atletas!P152="Sun 73 F",433,IF(Atletas!P152="Wu 45 F",434,IF(Atletas!P152="Wu-Hao 46 F",435,IF(OR(Atletas!P152="Taijiquan 16 F",Atletas!P152="Taijiquan 24 F",Atletas!P152="Taijiquan 32 F",Atletas!P152="Taijiquan 42 F"),436,0)))))))))))))))))))</f>
        <v/>
      </c>
      <c r="BY161" s="50" t="str">
        <f>IF(Atletas!Q152="","",IF(Atletas!X152&lt;&gt;"",10000,0)+IF(Atletas!B152="Feminino",1000,IF(Atletas!B152="Masculino",2000,""))+IF(Atletas!Q152="Xingyiquan A",501,IF(Atletas!Q152="Baguazhang A",502,IF(Atletas!Q152="Outro Estilo Interno A",503,IF(Atletas!Q152="Xingyiquan B",504,IF(Atletas!Q152="Baguazhang B",505,IF(Atletas!Q152="Outro Estilo Interno B",506,IF(Atletas!Q152="Xingyiquan C",507,IF(Atletas!Q152="Baguazhang C",508,IF(Atletas!Q152="Outro Estilo Interno C",509,IF(Atletas!Q152="Xingyiquan D",510,IF(Atletas!Q152="Baguazhang D",511,IF(Atletas!Q152="Outro Estilo Interno D",512,IF(Atletas!Q152="Xingyiquan E",513,IF(Atletas!Q152="Baguazhang E",514,IF(Atletas!Q152="Outro Estilo Interno E",515,IF(Atletas!Q152="Xingyiquan F",516,IF(Atletas!Q152="Baguazhang F",517,IF(Atletas!Q152="Outro Estilo Interno F",518, "")))))))))))))))))))</f>
        <v/>
      </c>
      <c r="BZ161" s="50" t="str">
        <f>IF(Atletas!R152="","",IF(Atletas!X152&lt;&gt;"",10000,0)+IF(Atletas!B152="Feminino",1000,IF(Atletas!B152="Masculino",2000,""))+IF(Atletas!R152="Dao A",601,IF(Atletas!R152="Jian A",602,IF(Atletas!R152="Bishou A",603,IF(Atletas!R152="Shanzi A",604,IF(Atletas!R152="Outra Arma Curta A",605,IF(Atletas!R152="Dao B",606,IF(Atletas!R152="Jian B",607,IF(Atletas!R152="Bishou B",608,IF(Atletas!R152="Shanzi B",609,IF(Atletas!R152="Outra Arma Curta B",610,IF(Atletas!R152="Dao C",611,IF(Atletas!R152="Jian C",612,IF(Atletas!R152="Bishou C",613,IF(Atletas!R152="Shanzi C",614,IF(Atletas!R152="Outra Arma Curta C",615,IF(Atletas!R152="Dao D",616,IF(Atletas!R152="Jian D",617,IF(Atletas!R152="Bishou D",618,IF(Atletas!R152="Shanzi D",619,IF(Atletas!R152="Outra Arma Curta D",620,IF(Atletas!R152="Dao E",621,IF(Atletas!R152="Jian E",622,IF(Atletas!R152="Bishou E",623,IF(Atletas!R152="Shanzi E",624,IF(Atletas!R152="Outra Arma Curta E",625,IF(Atletas!R152="Dao F",626,IF(Atletas!R152="Jian F",627,IF(Atletas!R152="Bishou F",628,IF(Atletas!R152="Shanzi F",629,IF(Atletas!R152="Outra Arma Curta F",630, "")))))))))))))))))))))))))))))))</f>
        <v/>
      </c>
      <c r="CA161" s="50" t="str">
        <f>IF(Atletas!S152="","",IF(Atletas!X152&lt;&gt;"",10000,0)+IF(Atletas!B152="Feminino",1000,IF(Atletas!B152="Masculino",2000,""))+IF(Atletas!S152="Gun A",701,IF(Atletas!S152="Qiang A",702,IF(Atletas!S152="Pudao / Guandao A",703,IF(Atletas!S152="Outra Arma Longa A",704,IF(Atletas!S152="Gun B",705,IF(Atletas!S152="Qiang B",706,IF(Atletas!S152="Pudao / Guandao B",707,IF(Atletas!S152="Outra Arma Longa B",708,IF(Atletas!S152="Gun C",709,IF(Atletas!S152="Qiang C",710,IF(Atletas!S152="Pudao / Guandao C",711,IF(Atletas!S152="Outra Arma Longa C",712,IF(Atletas!S152="Gun D",713,IF(Atletas!S152="Qiang D",714,IF(Atletas!S152="Pudao / Guandao D",715,IF(Atletas!S152="Outra Arma Longa D",716,IF(Atletas!S152="Gun E",717,IF(Atletas!S152="Qiang E",718,IF(Atletas!S152="Pudao / Guandao E",719,IF(Atletas!S152="Outra Arma Longa E",720,IF(Atletas!S152="Gun F",721,IF(Atletas!S152="Qiang F",722,IF(Atletas!S152="Pudao / Guandao F",723,IF(Atletas!S152="Outra Arma Longa F",724,"")))))))))))))))))))))))))</f>
        <v/>
      </c>
      <c r="CB161" s="50" t="str">
        <f>IF(Atletas!T152="","",IF(Atletas!X152&lt;&gt;"",10000,0)+IF(Atletas!B152="Feminino",1000,IF(Atletas!B152="Masculino",2000,""))+IF(Atletas!T152="Outra Arma Dupla A",801,IF(Atletas!T152="Arma Maleável A",802,IF(Atletas!T152="Outra Arma Dupla B",803,IF(Atletas!T152="Arma Maleável B",804,IF(Atletas!T152="Outra Arma Dupla C",805,IF(Atletas!T152="Arma Maleável C",806,IF(Atletas!T152="Outra Arma Dupla D",807,IF(Atletas!T152="Arma Maleável D",808,IF(Atletas!T152="Outra Arma Dupla E",809,IF(Atletas!T152="Arma Maleável E",810,IF(Atletas!T152="Outra Arma Dupla F",811,IF(Atletas!T152="Arma Maleável F",812,IF(Atletas!T152="Shuangdao A",813,IF(Atletas!T152="Shuangdao B",814,IF(Atletas!T152="Shuangdao C",815,IF(Atletas!T152="Shuangdao D",816,IF(Atletas!T152="Shuangdao E",817,IF(Atletas!T152="Shuangdao F",818,"")))))))))))))))))))</f>
        <v/>
      </c>
      <c r="CC161" s="50" t="str">
        <f>IF(Atletas!U152="","",IF(Atletas!X152&lt;&gt;"",10000,0)+IF(Atletas!B152="Feminino",1000,IF(Atletas!B152="Masculino",2000,""))+IF(OR(Atletas!U152="Taijijian Yang A",Atletas!U152="Taijijian Yang Standard A"),901,IF(OR(Atletas!U152="Taijijian Chen A", Atletas!U152="Taijijian Chen Standard A"),902,IF(Atletas!U152="Taijijian Sun A",903,IF(Atletas!U152="Taijijian Wu A",904,IF(Atletas!U152="Taijijian Wu-Hao A",905,IF(OR(Atletas!U152="Taijijian 32 A",Atletas!U152="Taijijian 42 A"),906,IF(OR(Atletas!U152="Taijijian Yang B",Atletas!U152="Taijijian Yang Standard B"),907,IF(OR(Atletas!U152="Taijijian Chen B", Atletas!U152="Taijijian Chen Standard B"),908,IF(Atletas!U152="Taijijian Sun B",909,IF(Atletas!U152="Taijijian Wu B",910,IF(Atletas!U152="Taijijian Wu-Hao B",911,IF(OR(Atletas!U152="Taijijian 32 B",Atletas!U152="Taijijian 42 B"),912,IF(OR(Atletas!U152="Taijijian Yang C",Atletas!U152="Taijijian Yang Standard C"),913,IF(OR(Atletas!U152="Taijijian Chen C", Atletas!U152="Taijijian Chen Standard C"),914,IF(Atletas!U152="Taijijian Sun C",915,IF(Atletas!U152="Taijijian Wu C",916,IF(Atletas!U152="Taijijian Wu-Hao C",917,IF(OR(Atletas!U152="Taijijian 32 C",Atletas!U152="Taijijian 42 C"),918,IF(OR(Atletas!U152="Taijijian Yang D",Atletas!U152="Taijijian Yang Standard D"),919,IF(OR(Atletas!U152="Taijijian Chen D", Atletas!U152="Taijijian Chen Standard D"),920,IF(Atletas!U152="Taijijian Sun D",921,IF(Atletas!U152="Taijijian Wu D",922,IF(Atletas!U152="Taijijian Wu-Hao D",923,IF(OR(Atletas!U152="Taijijian 32 D",Atletas!U152="Taijijian 42 D"),924,IF(OR(Atletas!U152="Taijijian Yang E",Atletas!U152="Taijijian Yang Standard E"),925,IF(OR(Atletas!U152="Taijijian Chen E", Atletas!U152="Taijijian Chen Standard E"),926,IF(Atletas!U152="Taijijian Sun E",927,IF(Atletas!U152="Taijijian Wu E",928,IF(Atletas!U152="Taijijian Wu-Hao E",929,IF(OR(Atletas!U152="Taijijian 32 E",Atletas!U152="Taijijian 42 E"),930,IF(OR(Atletas!U152="Taijijian Yang F",Atletas!U152="Taijijian Yang Standard F"),931,IF(OR(Atletas!U152="Taijijian Chen F", Atletas!U152="Taijijian Chen Standard F"),932,IF(Atletas!U152="Taijijian Sun F",933,IF(Atletas!U152="Taijijian Wu F",934,IF(Atletas!U152="Taijijian Wu-Hao F",935,IF(OR(Atletas!U152="Taijijian 32 F",Atletas!U152="Taijijian 42 F"),936,"")))))))))))))))))))))))))))))))))))))</f>
        <v/>
      </c>
      <c r="CD161" s="50" t="str">
        <f>IF(Atletas!V152="","",IF(Atletas!X152&lt;&gt;"",10000,0)+IF(Atletas!B152="Feminino",1000,IF(Atletas!B152="Masculino",2000,""))+IF(Atletas!V152="Taijidao A",937,IF(Atletas!V152="TaijiShanzi A",938,IF(Atletas!V152="Taijiqiang A",939,IF(Atletas!V152="Bagua de Arma A",940,IF(Atletas!V152="Xingyi de Arma A",941,IF(Atletas!V152="Taijidao B",942,IF(Atletas!V152="TaijiShanzi B",943,IF(Atletas!V152="Taijiqiang B",944,IF(Atletas!V152="Bagua de Arma B",945,IF(Atletas!V152="Xingyi de Arma B",946,IF(Atletas!V152="Taijidao C",947,IF(Atletas!V152="TaijiShanzi C",948,IF(Atletas!V152="Taijiqiang C",949,IF(Atletas!V152="Bagua de Arma C",950,IF(Atletas!V152="Xingyi de Arma C",951,IF(Atletas!V152="Taijidao D",952,IF(Atletas!V152="TaijiShanzi D",953,IF(Atletas!V152="Taijiqiang D",954,IF(Atletas!V152="Bagua de Arma D",955,IF(Atletas!V152="Xingyi de Arma D",956,IF(Atletas!V152="Taijidao E",957,IF(Atletas!V152="TaijiShanzi E",958,IF(Atletas!V152="Taijiqiang E",959,IF(Atletas!V152="Bagua de Arma E",960,IF(Atletas!V152="Xingyi de Arma E",961,IF(Atletas!V152="Taijidao F",962,IF(Atletas!V152="TaijiShanzi F",963,IF(Atletas!V152="Taijiqiang F",964,IF(Atletas!V152="Bagua de Arma F",965,IF(Atletas!V152="Xingyi de Arma F",966,"")))))))))))))))))))))))))))))))</f>
        <v/>
      </c>
      <c r="CE161" s="66" t="str">
        <f>IF(CF161&lt;&gt;"","TJQ Trad. Wu-Hao D","")</f>
        <v/>
      </c>
      <c r="CF161" s="66" t="str">
        <f>IF(COUNTIF(BR:CD,1323)&gt;0,COUNTIF(BR:CD,1323),"")</f>
        <v/>
      </c>
      <c r="CG161" s="66" t="str">
        <f>IF(CH161&lt;&gt;"","TJQ Trad. Wu-Hao D","")</f>
        <v/>
      </c>
      <c r="CH161" s="66" t="str">
        <f>IF(COUNTIF(BR:CD,2323)&gt;0,COUNTIF(BR:CD,2323),"")</f>
        <v/>
      </c>
      <c r="CI161" s="66" t="str">
        <f>IF(CJ161&lt;&gt;"","TJQ Trad. Wu-Hao E","")</f>
        <v/>
      </c>
      <c r="CJ161" s="66" t="str">
        <f>IF(COUNTIF(BR:CD,11329)&gt;0,COUNTIF(BR:CD,11329),"")</f>
        <v/>
      </c>
      <c r="CK161" s="66" t="str">
        <f>IF(CL161&lt;&gt;"","TJQ Trad. Wu-Hao E","")</f>
        <v/>
      </c>
      <c r="CL161" s="66" t="str">
        <f>IF(COUNTIF(BR:CD,12329)&gt;0,COUNTIF(BR:CD,12329),"")</f>
        <v/>
      </c>
      <c r="CM161" s="50" t="str">
        <f xml:space="preserve"> IF(Atletas!W152="","",IF(Atletas!W152="Duilian de Mãos BC - Equipe 1",1,IF(Atletas!W152="Duilian de Mãos BC - Equipe 2",2,IF(Atletas!W152="Duilian de Armas BC - Equipe 1",3,IF(Atletas!W152="Duilian de Armas BC - Equipe 2",4,IF(Atletas!W152="Duilian de Mãos DE - Equipe 1",5,IF(Atletas!W152="Duilian de Mãos DE - Equipe 2",6,IF(Atletas!W152="Duilian de Armas DE - Equipe 1",7,IF(Atletas!W152="Duilian de Armas DE - Equipe 2",8,IF(Atletas!W152="Duilian de Tuishou - Equipe 1",9,IF(Atletas!W152="Duilian de Tuishou - Equipe 2",10,IF(Atletas!W152="Grupo Externo ABC - Equipe 1",11,IF(Atletas!W152="Grupo Externo ABC - Equipe 2",12,IF(Atletas!W152="Grupo Interno ABC - Equipe 1",13,IF(Atletas!W152="Grupo Interno ABC - Equipe 2",14,IF(Atletas!W152="Grupo Externo DEF - Equipe 1",15,IF(Atletas!W152="Grupo Externo DEF - Equipe 2",16,IF(Atletas!W152="Grupo Interno DEF - Equipe 1",17,IF(Atletas!W152="Grupo Interno DEF - Equipe 2",18,"")))))))))))))))))))</f>
        <v/>
      </c>
    </row>
    <row r="162" spans="2:91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 t="str">
        <f t="array" ref="Z162">IFERROR(INDEX(CE$7:CE$348,SMALL(IF(CE$7:CE$348&lt;&gt;"",ROW(CE$7:CE$348)-ROW(CE$7)+1),ROWS(CE$7:CE161))),"")</f>
        <v/>
      </c>
      <c r="AA162" s="3" t="str">
        <f t="array" ref="AA162">IFERROR(INDEX(CF$7:CF$348,SMALL(IF(CF$7:CF$348&lt;&gt;"",ROW(CF$7:CF$348)-ROW(CF$7)+1),ROWS(CF$7:CF161))),"")</f>
        <v/>
      </c>
      <c r="AB162" s="3" t="str">
        <f t="array" ref="AB162">IFERROR(INDEX(CG$7:CG$348,SMALL(IF(CG$7:CG$348&lt;&gt;"",ROW(CG$7:CG$348)-ROW(CG$7)+1),ROWS(CG$7:CG161))),"")</f>
        <v/>
      </c>
      <c r="AC162" s="3" t="str">
        <f t="array" ref="AC162">IFERROR(INDEX(CH$7:CH$348,SMALL(IF(CH$7:CH$348&lt;&gt;"",ROW(CH$7:CH$348)-ROW(CH$7)+1),ROWS(CH$7:CH161))),"")</f>
        <v/>
      </c>
      <c r="AD162" s="3" t="str">
        <f t="array" ref="AD162">IFERROR(INDEX(CI$7:CI$377,SMALL(IF(CI$7:CI$377&lt;&gt;"",ROW(CI$7:CI$377)-ROW(CI$7)+1),ROWS(CI$7:CI161))),"")</f>
        <v/>
      </c>
      <c r="AE162" s="3" t="str">
        <f t="array" ref="AE162">IFERROR(INDEX(CJ$7:CJ$378,SMALL(IF(CJ$7:CJ$378&lt;&gt;"",ROW(CJ$7:CJ$378)-ROW(CJ$7)+1),ROWS(CJ$7:CJ161))),"")</f>
        <v/>
      </c>
      <c r="AF162" s="3" t="str">
        <f t="array" ref="AF162">IFERROR(INDEX(CK$7:CK$378,SMALL(IF(CK$7:CK$378&lt;&gt;"",ROW(CK$7:CK$378)-ROW(CK$7)+1),ROWS(CK$7:CK161))),"")</f>
        <v/>
      </c>
      <c r="AG162" s="3" t="str">
        <f t="array" ref="AG162">IFERROR(INDEX(CL$7:CL$378,SMALL(IF(CL$7:CL$378&lt;&gt;"",ROW(CL$7:CL$378)-ROW(CL$7)+1),ROWS(CL$7:CL161))),"")</f>
        <v/>
      </c>
      <c r="AH162" s="3"/>
      <c r="AI162" s="3"/>
      <c r="AJ162" s="3"/>
      <c r="AK162" s="3"/>
      <c r="AL162" s="3"/>
      <c r="AM162" s="3"/>
      <c r="AN162" s="52" t="str">
        <f>IF(Atletas!D153="","",IF(Atletas!B153="Feminino",100,IF(Atletas!B153="Masculino",200,""))+(IF(Atletas!D153="Kids 30kg",1,IF(Atletas!D153="Kids 32kg",2, IF(Atletas!D153="Kids 34kg",3,IF(Atletas!D153="Kids 36kg",4,IF(Atletas!D153="Kids 39kg",5,IF(Atletas!D153="Kids 42kg",6,IF(Atletas!D153="Kids 45kg",7, IF(Atletas!D153="Infantil 39kg",8,IF(Atletas!D153="Infantil 42kg",9,IF(Atletas!D153="Infantil 45kg",10,IF(Atletas!D153="Infantil 48kg",11,IF(Atletas!D153="Infantil 52kg",12,IF(Atletas!D153="Infantil 56kg",13,IF(Atletas!D153="Infantil 60kg",14,IF(Atletas!D153="Juvenil 48kg",15,IF(Atletas!D153="Juvenil 52kg",16,IF(Atletas!D153="Juvenil 56kg",17,IF(Atletas!D153="Juvenil 60kg",18,IF(Atletas!D153="Juvenil 65kg",19,IF(Atletas!D153="Juvenil 70kg",20,IF(Atletas!D153="Juvenil 75kg",21,IF(Atletas!D153="Juvenil 80kg",22, IF(Atletas!D153="Juvenil 85kg",23,IF(Atletas!D153="Adulto 48kg",24,IF(Atletas!D153="Adulto 52kg",25,IF(Atletas!D153="Adulto 56kg",26,IF(Atletas!D153="Adulto 60kg",27,IF(Atletas!D153="Adulto 65kg",28,IF(Atletas!D153="Adulto 70kg",29,IF(Atletas!D153="Adulto 75kg",30,IF(Atletas!D153="Adulto 80kg",31,IF(Atletas!D153="Adulto 85kg",32,IF(Atletas!D153="Adulto 90kg",33,IF(Atletas!D153="Adulto 100kg",34, IF(Atletas!D153="Adulto +100kg",35,"")))))))))))))))))))))))))))))))))))))</f>
        <v/>
      </c>
      <c r="AS162" s="6" t="str">
        <f>IF(Atletas!E153="","",IF(Atletas!B153="Feminino",100,IF(Atletas!B153="Masculino",200,""))+(IF(Atletas!E153="Juvenil 44kg",1,IF(Atletas!E153="Juvenil 48kg",2,IF(Atletas!E153="Juvenil 52kg",3,IF(Atletas!E153="Juvenil 56kg",4,IF(Atletas!E153="Juvenil 60kg",5,IF(Atletas!E153="Juvenil 65kg",6,IF(Atletas!E153="Juvenil 70kg",7,IF(Atletas!E153="Juvenil 75kg",8,IF(Atletas!E153="Juvenil 82kg",9,IF(Atletas!E153="Juvenil 90kg",10,IF(Atletas!E153="Juvenil 100kg",11,IF(Atletas!E153="Adulto 48kg",12,IF(Atletas!E153="Adulto 52kg",13,IF(Atletas!E153="Adulto 56kg",14,IF(Atletas!E153="Adulto 60kg",15,IF(Atletas!E153="Adulto 65kg",16,IF(Atletas!E153="Adulto 70kg",17,IF(Atletas!E153="Adulto 75kg",18,IF(Atletas!E153="Adulto 82kg",19,IF(Atletas!E153="Adulto 90kg",20,IF(Atletas!E153="Adulto 100kg",21,IF(Atletas!E153="Adulto +100kg",22,""))))))))))))))))))))))))</f>
        <v/>
      </c>
      <c r="AX162" s="6" t="str">
        <f>IF(Atletas!F153="","",IF(Atletas!B153="Feminino",100,IF(Atletas!B153="Masculino",200,""))+(IF(Atletas!F153="Adulto 48kg",1,IF(Atletas!F153="Adulto 56kg",2,IF(Atletas!F153="Adulto 65kg",3,IF(Atletas!F153="Adulto 75kg",4,IF(Atletas!F153="Adulto +75kg",5,IF(Atletas!F153="Adulto 52kg",6,IF(Atletas!F153="Adulto 60kg",7,IF(Atletas!F153="Adulto 70kg",8,IF(Atletas!F153="Adulto 80kg",9,IF(Atletas!F153="Adulto 90kg",10,IF(Atletas!F153="Adulto +90kg",11,"")))))))))))))</f>
        <v/>
      </c>
      <c r="BC162" s="6" t="str">
        <f>IF(Atletas!G153="","",IF(Atletas!B153="Feminino",10,IF(Atletas!B153="Masculino",20,""))+(IF(Atletas!G153="Baduanjin A",1,IF(Atletas!G153="Baduanjin B",2))))</f>
        <v/>
      </c>
      <c r="BF162" s="52" t="str">
        <f>IF(Atletas!H153="","",IF(Atletas!B153="Feminino",100,IF(Atletas!B153="Masculino",200,""))+(IF(Atletas!H153="Changquan Mirim",1,IF(Atletas!H153="Nanquan Mirim",2,IF(Atletas!H153="Taijiquan Mirim",3,IF(Atletas!H153="Changquan Grupo C",4,IF(Atletas!H153="Nanquan Grupo C",5,IF(Atletas!H153="Taijiquan Grupo C",6,IF(Atletas!H153="Changquan Grupo B",7,IF(Atletas!H153="Nanquan Grupo B",8,IF(Atletas!H153="Taijiquan Grupo B",9,IF(Atletas!H153="Changquan Grupo A",10,IF(Atletas!H153="Nanquan Grupo A",11,IF(Atletas!H153="Taijiquan Grupo A",12,IF(Atletas!H153="Changquan Opcional",13,IF(Atletas!H153="Nanquan Opcional",14,IF(Atletas!H153="Taijiquan Opcional",15,IF(Atletas!H153="Changquan Adulto",16,IF(Atletas!H153="Nanquan Adulto",17,IF(Atletas!H153="Taijiquan Adulto",18,""))))))))))))))))))))</f>
        <v/>
      </c>
      <c r="BG162" s="52" t="str">
        <f>IF(Atletas!I153="","",IF(Atletas!B153="Feminino",100,IF(Atletas!B153="Masculino",200,""))+(IF(Atletas!I153="Daoshu Mirim",19,IF(Atletas!I153="Jianshu Mirim",20,IF(Atletas!I153="Nandao Mirim",21,IF(Atletas!I153="Taijijian Mirim",22,IF(Atletas!I153="Daoshu Grupo C",23,IF(Atletas!I153="Jianshu Grupo C",24,IF(Atletas!I153="Nandao Grupo C",25,IF(Atletas!I153="Taijijian Grupo C",26,IF(Atletas!I153="Daoshu Grupo B",27,IF(Atletas!I153="Jianshu Grupo B",28,IF(Atletas!I153="Nandao Grupo B",29,IF(Atletas!I153="Taijijian Grupo B",30,IF(Atletas!I153="Daoshu Grupo A",31,IF(Atletas!I153="Jianshu Grupo A",32,IF(Atletas!I153="Nandao Grupo A",33,IF(Atletas!I153="Taijijian Grupo A",34,IF(Atletas!I153="Daoshu Opcional",35,IF(Atletas!I153="Jianshu Opcional",36,IF(Atletas!I153="Nandao Opcional",37,IF(Atletas!I153="Taijijian Opcional",38,IF(Atletas!I153="Daoshu Adulto",39,IF(Atletas!I153="Jianshu Adulto",40,IF(Atletas!I153="Nandao Adulto",41,IF(Atletas!I153="Taijijian Adulto",42,""))))))))))))))))))))))))))</f>
        <v/>
      </c>
      <c r="BH162" s="52" t="str">
        <f>IF(Atletas!J153="","",IF(Atletas!B153="Feminino",100,IF(Atletas!B153="Masculino",200,""))+(IF(Atletas!J153="Gunshu Mirim",43,IF(Atletas!J153="Qiangshu Mirim",44,IF(Atletas!J153="Nangun Mirim",45,IF(Atletas!J153="Gunshu Grupo C",46,IF(Atletas!J153="Qiangshu Grupo C",47,IF(Atletas!J153="Nangun Grupo C",48,IF(Atletas!J153="Gunshu Grupo B",49,IF(Atletas!J153="Qiangshu Grupo B",50,IF(Atletas!J153="Nangun Grupo B",51,IF(Atletas!J153="Gunshu Grupo A",52,IF(Atletas!J153="Qiangshu Grupo A",53,IF(Atletas!J153="Nangun Grupo A",54,IF(Atletas!J153="Gunshu Opcional",55,IF(Atletas!J153="Qiangshu Opcional",56,IF(Atletas!J153="Nangun Opcional",57,IF(Atletas!J153="Gunshu Adulto",58,IF(Atletas!J153="Qiangshu Adulto",59,IF(Atletas!J153="Nangun Adulto",60,IF(Atletas!J153="Taijishan Grupo B",61,IF(Atletas!J153="Taijishan Grupo A",62,""))))))))))))))))))))))</f>
        <v/>
      </c>
      <c r="BM162" s="50" t="str">
        <f>IF(Atletas!K153="","",IF(Atletas!B153="Feminino",100,IF(Atletas!B153="Masculino",200,""))+(IF(Atletas!K153="Equipe 1 Grupo B",1,IF(Atletas!K153="Equipe 2 Grupo B",2,IF(Atletas!K153="Equipe 1 Grupo A",3,IF(Atletas!K153="Equipe 2 Grupo A",4,IF(Atletas!K153="Equipe 1 Adulto",5,IF(Atletas!K153="Equipe 2 Adulto",6,""))))))))</f>
        <v/>
      </c>
      <c r="BR162" s="50" t="str">
        <f>IF(Atletas!L153="","",IF(Atletas!X153&lt;&gt;"",10000,0)+(IF(Atletas!B153="Feminino",1000,IF(Atletas!B153="Masculino",2000,""))+IF(Atletas!L153="Choylayfut A",1,IF(Atletas!L153="Hunggar A",2,IF(Atletas!L153="Wuzuquan A",3,IF(Atletas!L153="Wingchun A",4,IF(Atletas!L153="Outra Mão de Sul A",5,IF(Atletas!L153="Choylayfut B",6,IF(Atletas!L153="Hunggar B",7,IF(Atletas!L153="Wuzuquan B",8,IF(Atletas!L153="Wingchun B",9,IF(Atletas!L153="Outra Mão de Sul B",10,IF(Atletas!L153="Choylayfut C",11,IF(Atletas!L153="Hunggar C",12,IF(Atletas!L153="Wuzuquan C",13,IF(Atletas!L153="Wingchun C",14,IF(Atletas!L153="Outra Mão de Sul C",15,IF(Atletas!L153="Choylayfut D",16,IF(Atletas!L153="Hunggar D",17,IF(Atletas!L153="Wuzuquan D",18,IF(Atletas!L153="Wingchun D",19,IF(Atletas!L153="Outra Mão de Sul D",20,IF(Atletas!L153="Choylayfut E",21,IF(Atletas!L153="Hunggar E",22,IF(Atletas!L153="Wuzuquan E",23,IF(Atletas!L153="Wingchun E",24,IF(Atletas!L153="Outra Mão de Sul E",25,IF(Atletas!L153="Choylayfut F",26,IF(Atletas!L153="Hunggar F",27,IF(Atletas!L153="Wuzuquan F",28,IF(Atletas!L153="Wingchun F",29,IF(Atletas!L153="Outra Mão de Sul F",30,IF(Atletas!L153="Dishuquan A",31,IF(Atletas!L153="Dishuquan B",32,IF(Atletas!L153="Dishuquan C",33,IF(Atletas!L153="Dishuquan D",34,IF(Atletas!L153="Dishuquan E",35,IF(Atletas!L153="Dishuquan F",36,""))))))))))))))))))))))))))))))))))))))</f>
        <v/>
      </c>
      <c r="BS162" s="50" t="str">
        <f>IF(Atletas!M153="","",IF(Atletas!X153&lt;&gt;"",10000,0)+(IF(Atletas!B153="Feminino",1000,IF(Atletas!B153="Masculino",2000,""))+(IF(Atletas!M153="Chaquan A",101,IF(Atletas!M153="Emeiquan A",102,IF(Atletas!M153="Fanziquan A",103,IF(Atletas!M153="Huaquan A",104,IF(Atletas!M153="Hongquan A",105,IF(Atletas!M153="Paoquan A",106,IF(Atletas!M153="Piguaquan A",107,IF(Atletas!M153="Shaolinquan A",108,IF(Atletas!M153="Tanglangquan A",109,IF(Atletas!M153="Yingzhaoquan A",110,IF(Atletas!M153="Tongbeiquan A",111,IF(Atletas!M153="Wudangquan A",112,IF(Atletas!M153="Outros Estilos A",113,IF(Atletas!M153="Chaquan B",114,IF(Atletas!M153="Emeiquan B",115,IF(Atletas!M153="Fanziquan B",116,IF(Atletas!M153="Huaquan B",117,IF(Atletas!M153="Hongquan B",118,IF(Atletas!M153="Paoquan B",119,IF(Atletas!M153="Piguaquan B",120,IF(Atletas!M153="Shaolinquan B",121,IF(Atletas!M153="Tanglangquan B",122,IF(Atletas!M153="Yingzhaoquan B",123,IF(Atletas!M153="Tongbeiquan B",124,IF(Atletas!M153="Wudangquan B",125,IF(Atletas!M153="Outros Estilos B",126,IF(Atletas!M153="Chaquan C",127,IF(Atletas!M153="Emeiquan C",128,IF(Atletas!M153="Fanziquan C",129,IF(Atletas!M153="Huaquan C",130,IF(Atletas!M153="Hongquan C",131,IF(Atletas!M153="Paoquan C",132,IF(Atletas!M153="Piguaquan C",133,IF(Atletas!M153="Shaolinquan C",134,IF(Atletas!M153="Tanglangquan C",135,IF(Atletas!M153="Yingzhaoquan C",136,IF(Atletas!M153="Tongbeiquan C",137,IF(Atletas!M153="Wudangquan C",138,IF(Atletas!M153="Outros Estilos C",139,0))))))))))))))))))))))))))))))))))))))))))</f>
        <v/>
      </c>
      <c r="BT162" s="50" t="str">
        <f>IF(Atletas!M153="","",IF(Atletas!X153&lt;&gt;"",10000,0)+(IF(Atletas!B153="Feminino",1000,IF(Atletas!B153="Masculino",2000,""))+(IF(Atletas!M153="Chaquan D",140,IF(Atletas!M153="Emeiquan D",141,IF(Atletas!M153="Fanziquan D",142,IF(Atletas!M153="Huaquan D",143,IF(Atletas!M153="Hongquan D",144,IF(Atletas!M153="Paoquan D",145,IF(Atletas!M153="Piguaquan D",146,IF(Atletas!M153="Shaolinquan D",147,IF(Atletas!M153="Tanglangquan D",148,IF(Atletas!M153="Yingzhaoquan D",149,IF(Atletas!M153="Tongbeiquan D",150,IF(Atletas!M153="Wudangquan D",151,IF(Atletas!M153="Outros Estilos D",152,IF(Atletas!M153="Chaquan E",153,IF(Atletas!M153="Emeiquan E",154,IF(Atletas!M153="Fanziquan E",155,IF(Atletas!M153="Huaquan E",156,IF(Atletas!M153="Hongquan E",157,IF(Atletas!M153="Paoquan E",158,IF(Atletas!M153="Piguaquan E",159,IF(Atletas!M153="Shaolinquan E",160,IF(Atletas!M153="Tanglangquan E",161,IF(Atletas!M153="Yingzhaoquan E",162,IF(Atletas!M153="Tongbeiquan E",163,IF(Atletas!M153="Wudangquan E",164,IF(Atletas!M153="Outros Estilos E",165,IF(Atletas!M153="Chaquan F",166,IF(Atletas!M153="Emeiquan F",167,IF(Atletas!M153="Fanziquan F",168,IF(Atletas!M153="Huaquan F",169,IF(Atletas!M153="Hongquan F",170,IF(Atletas!M153="Paoquan F",171,IF(Atletas!M153="Piguaquan F",172,IF(Atletas!M153="Shaolinquan F",173,IF(Atletas!M153="Tanglangquan F",174,IF(Atletas!M153="Yingzhaoquan F",175,IF(Atletas!M153="Tongbeiquan F",176,IF(Atletas!M153="Wudangquan F",177,IF(Atletas!M153="Outros Estilos F",178,0))))))))))))))))))))))))))))))))))))))))))</f>
        <v/>
      </c>
      <c r="BU162" s="50" t="str">
        <f>IF(Atletas!N153="","",IF(Atletas!X153&lt;&gt;"",10000,0)+(IF(Atletas!B153="Feminino",1000,IF(Atletas!B153="Masculino",2000,""))+(IF(Atletas!N153="Ditangquan A",201,IF(Atletas!N153="Houquan A",202,IF(Atletas!N153="Zuiquan A",203,IF(Atletas!N153="Ditangquan B",204,IF(Atletas!N153="Houquan B",205,IF(Atletas!N153="Zuiquan B",206,IF(Atletas!N153="Ditangquan C",207,IF(Atletas!N153="Houquan C",208,IF(Atletas!N153="Zuiquan C",209,IF(Atletas!N153="Ditangquan D",210,IF(Atletas!N153="Houquan D",211,IF(Atletas!N153="Zuiquan D",212,IF(Atletas!N153="Ditangquan E",213,IF(Atletas!N153="Houquan E",214,IF(Atletas!N153="Zuiquan E",215,IF(Atletas!N153="Ditangquan F",216,IF(Atletas!N153="Houquan F",217,IF(Atletas!N153="Zuiquan F",218,"")))))))))))))))))))))</f>
        <v/>
      </c>
      <c r="BV162" s="50" t="str">
        <f>IF(Atletas!O153="","",IF(Atletas!X153&lt;&gt;"",10000,0)+IF(Atletas!B153="Feminino",1000,IF(Atletas!B153="Masculino",2000,""))+IF(Atletas!O153="Yang A",301,IF(Atletas!O153="Chen A",302,IF(Atletas!O153="Sun A",303,IF(Atletas!O153="Wu A",304,IF(Atletas!O153="Wu-Hao A",305,IF(Atletas!O153="Outro Taijiquan A",306,IF(Atletas!O153="Yang B",307,IF(Atletas!O153="Chen B",308,IF(Atletas!O153="Sun B",309,IF(Atletas!O153="Wu B",310,IF(Atletas!O153="Wu-Hao B",311,IF(Atletas!O153="Outro Taijiquan B",312,IF(Atletas!O153="Yang C",313,IF(Atletas!O153="Chen C",314,IF(Atletas!O153="Sun C",315,IF(Atletas!O153="Wu C",316,IF(Atletas!O153="Wu-Hao C",317,IF(Atletas!O153="Outro Taijiquan C",318,IF(Atletas!O153="Yang D",319,IF(Atletas!O153="Chen D",320,IF(Atletas!O153="Sun D",321,IF(Atletas!O153="Wu D",322,IF(Atletas!O153="Wu-Hao D",323,IF(Atletas!O153="Outro Taijiquan D",324,IF(Atletas!O153="Yang E",325,IF(Atletas!O153="Chen E",326,IF(Atletas!O153="Sun E",327,IF(Atletas!O153="Wu E",328,IF(Atletas!O153="Wu-Hao E",329,IF(Atletas!O153="Outro Taijiquan E",330,IF(Atletas!O153="Yang F",331,IF(Atletas!O153="Chen F",332,IF(Atletas!O153="Sun F",333,IF(Atletas!O153="Wu F",334,IF(Atletas!O153="Wu-Hao F",335,IF(Atletas!O153="Outro Taijiquan F",336,"")))))))))))))))))))))))))))))))))))))</f>
        <v/>
      </c>
      <c r="BW162" s="50" t="str">
        <f>IF(Atletas!P153="","",IF(Atletas!X153&lt;&gt;"",10000,0)+IF(Atletas!B153="Feminino",1000,IF(Atletas!B153="Masculino",2000,""))+IF(OR(Atletas!P153="Yang 26 A",Atletas!P153="Yang 40 A"),401,IF(OR(Atletas!P153="Chen 25 A",Atletas!P153="Chen 36 A",Atletas!P153="Chen 56 A"),402,IF(Atletas!P153="Sun 73 A",403,IF(Atletas!P153="Wu 45 A",404,IF(Atletas!P153="Wu-Hao 46 A",405,IF(OR(Atletas!P153="Taijiquan 16 A",Atletas!P153="Taijiquan 24 A",Atletas!P153="Taijiquan 32 A",Atletas!P153="Taijiquan 42 A"),406,IF(OR(Atletas!P153="Yang 26 B",Atletas!P153="Yang 40 B"),407,IF(OR(Atletas!P153="Chen 25 B",Atletas!P153="Chen 36 B",Atletas!P153="Chen 56 B"),408,IF(Atletas!P153="Sun 73 B",409,IF(Atletas!P153="Wu 45 B",410,IF(Atletas!P153="Wu-Hao 46 B",411,IF(OR(Atletas!P153="Taijiquan 16 B",Atletas!P153="Taijiquan 24 B",Atletas!P153="Taijiquan 32 B",Atletas!P153="Taijiquan 42 B"),412,IF(OR(Atletas!P153="Yang 26 C",Atletas!P153="Yang 40 C"),413,IF(OR(Atletas!P153="Chen 25 C",Atletas!P153="Chen 36 C",Atletas!P153="Chen 56 C"),414,IF(Atletas!P153="Sun 73 C",415,IF(Atletas!P153="Wu 45 C",416,IF(Atletas!P153="Wu-Hao 46 C",417,IF(OR(Atletas!P153="Taijiquan 16 C",Atletas!P153="Taijiquan 24 C",Atletas!P153="Taijiquan 32 C",Atletas!P153="Taijiquan 42 C"),418,0)))))))))))))))))))</f>
        <v/>
      </c>
      <c r="BX162" s="50" t="str">
        <f>IF(Atletas!P153="","",IF(Atletas!X153&lt;&gt;"",10000,0)+IF(Atletas!B153="Feminino",1000,IF(Atletas!B153="Masculino",2000,""))+IF(OR(Atletas!P153="Yang 26 D",Atletas!P153="Yang 40 D"),419,IF(OR(Atletas!P153="Chen 25 D",Atletas!P153="Chen 36 D",Atletas!P153="Chen 56 D"),420,IF(Atletas!P153="Sun 73 D",421,IF(Atletas!P153="Wu 45 D",422,IF(Atletas!P153="Wu-Hao 46 D",423,IF(OR(Atletas!P153="Taijiquan 16 D",Atletas!P153="Taijiquan 24 D",Atletas!P153="Taijiquan 32 D",Atletas!P153="Taijiquan 42 D"),424,IF(OR(Atletas!P153="Yang 26 E",Atletas!P153="Yang 40 E"),425,IF(OR(Atletas!P153="Chen 25 E",Atletas!P153="Chen 36 E",Atletas!P153="Chen 56 E"),426,IF(Atletas!P153="Sun 73 E",427,IF(Atletas!P153="Wu 45 E",428,IF(Atletas!P153="Wu-Hao 46 E",429,IF(OR(Atletas!P153="Taijiquan 16 E",Atletas!P153="Taijiquan 24 E",Atletas!P153="Taijiquan 32 E",Atletas!P153="Taijiquan 42 E"),430,IF(OR(Atletas!P153="Yang 26 F",Atletas!P153="Yang 40 F"),431,IF(OR(Atletas!P153="Chen 25 F",Atletas!P153="Chen 36 F",Atletas!P153="Chen 56 F"),432,IF(Atletas!P153="Sun 73 F",433,IF(Atletas!P153="Wu 45 F",434,IF(Atletas!P153="Wu-Hao 46 F",435,IF(OR(Atletas!P153="Taijiquan 16 F",Atletas!P153="Taijiquan 24 F",Atletas!P153="Taijiquan 32 F",Atletas!P153="Taijiquan 42 F"),436,0)))))))))))))))))))</f>
        <v/>
      </c>
      <c r="BY162" s="50" t="str">
        <f>IF(Atletas!Q153="","",IF(Atletas!X153&lt;&gt;"",10000,0)+IF(Atletas!B153="Feminino",1000,IF(Atletas!B153="Masculino",2000,""))+IF(Atletas!Q153="Xingyiquan A",501,IF(Atletas!Q153="Baguazhang A",502,IF(Atletas!Q153="Outro Estilo Interno A",503,IF(Atletas!Q153="Xingyiquan B",504,IF(Atletas!Q153="Baguazhang B",505,IF(Atletas!Q153="Outro Estilo Interno B",506,IF(Atletas!Q153="Xingyiquan C",507,IF(Atletas!Q153="Baguazhang C",508,IF(Atletas!Q153="Outro Estilo Interno C",509,IF(Atletas!Q153="Xingyiquan D",510,IF(Atletas!Q153="Baguazhang D",511,IF(Atletas!Q153="Outro Estilo Interno D",512,IF(Atletas!Q153="Xingyiquan E",513,IF(Atletas!Q153="Baguazhang E",514,IF(Atletas!Q153="Outro Estilo Interno E",515,IF(Atletas!Q153="Xingyiquan F",516,IF(Atletas!Q153="Baguazhang F",517,IF(Atletas!Q153="Outro Estilo Interno F",518, "")))))))))))))))))))</f>
        <v/>
      </c>
      <c r="BZ162" s="50" t="str">
        <f>IF(Atletas!R153="","",IF(Atletas!X153&lt;&gt;"",10000,0)+IF(Atletas!B153="Feminino",1000,IF(Atletas!B153="Masculino",2000,""))+IF(Atletas!R153="Dao A",601,IF(Atletas!R153="Jian A",602,IF(Atletas!R153="Bishou A",603,IF(Atletas!R153="Shanzi A",604,IF(Atletas!R153="Outra Arma Curta A",605,IF(Atletas!R153="Dao B",606,IF(Atletas!R153="Jian B",607,IF(Atletas!R153="Bishou B",608,IF(Atletas!R153="Shanzi B",609,IF(Atletas!R153="Outra Arma Curta B",610,IF(Atletas!R153="Dao C",611,IF(Atletas!R153="Jian C",612,IF(Atletas!R153="Bishou C",613,IF(Atletas!R153="Shanzi C",614,IF(Atletas!R153="Outra Arma Curta C",615,IF(Atletas!R153="Dao D",616,IF(Atletas!R153="Jian D",617,IF(Atletas!R153="Bishou D",618,IF(Atletas!R153="Shanzi D",619,IF(Atletas!R153="Outra Arma Curta D",620,IF(Atletas!R153="Dao E",621,IF(Atletas!R153="Jian E",622,IF(Atletas!R153="Bishou E",623,IF(Atletas!R153="Shanzi E",624,IF(Atletas!R153="Outra Arma Curta E",625,IF(Atletas!R153="Dao F",626,IF(Atletas!R153="Jian F",627,IF(Atletas!R153="Bishou F",628,IF(Atletas!R153="Shanzi F",629,IF(Atletas!R153="Outra Arma Curta F",630, "")))))))))))))))))))))))))))))))</f>
        <v/>
      </c>
      <c r="CA162" s="50" t="str">
        <f>IF(Atletas!S153="","",IF(Atletas!X153&lt;&gt;"",10000,0)+IF(Atletas!B153="Feminino",1000,IF(Atletas!B153="Masculino",2000,""))+IF(Atletas!S153="Gun A",701,IF(Atletas!S153="Qiang A",702,IF(Atletas!S153="Pudao / Guandao A",703,IF(Atletas!S153="Outra Arma Longa A",704,IF(Atletas!S153="Gun B",705,IF(Atletas!S153="Qiang B",706,IF(Atletas!S153="Pudao / Guandao B",707,IF(Atletas!S153="Outra Arma Longa B",708,IF(Atletas!S153="Gun C",709,IF(Atletas!S153="Qiang C",710,IF(Atletas!S153="Pudao / Guandao C",711,IF(Atletas!S153="Outra Arma Longa C",712,IF(Atletas!S153="Gun D",713,IF(Atletas!S153="Qiang D",714,IF(Atletas!S153="Pudao / Guandao D",715,IF(Atletas!S153="Outra Arma Longa D",716,IF(Atletas!S153="Gun E",717,IF(Atletas!S153="Qiang E",718,IF(Atletas!S153="Pudao / Guandao E",719,IF(Atletas!S153="Outra Arma Longa E",720,IF(Atletas!S153="Gun F",721,IF(Atletas!S153="Qiang F",722,IF(Atletas!S153="Pudao / Guandao F",723,IF(Atletas!S153="Outra Arma Longa F",724,"")))))))))))))))))))))))))</f>
        <v/>
      </c>
      <c r="CB162" s="50" t="str">
        <f>IF(Atletas!T153="","",IF(Atletas!X153&lt;&gt;"",10000,0)+IF(Atletas!B153="Feminino",1000,IF(Atletas!B153="Masculino",2000,""))+IF(Atletas!T153="Outra Arma Dupla A",801,IF(Atletas!T153="Arma Maleável A",802,IF(Atletas!T153="Outra Arma Dupla B",803,IF(Atletas!T153="Arma Maleável B",804,IF(Atletas!T153="Outra Arma Dupla C",805,IF(Atletas!T153="Arma Maleável C",806,IF(Atletas!T153="Outra Arma Dupla D",807,IF(Atletas!T153="Arma Maleável D",808,IF(Atletas!T153="Outra Arma Dupla E",809,IF(Atletas!T153="Arma Maleável E",810,IF(Atletas!T153="Outra Arma Dupla F",811,IF(Atletas!T153="Arma Maleável F",812,IF(Atletas!T153="Shuangdao A",813,IF(Atletas!T153="Shuangdao B",814,IF(Atletas!T153="Shuangdao C",815,IF(Atletas!T153="Shuangdao D",816,IF(Atletas!T153="Shuangdao E",817,IF(Atletas!T153="Shuangdao F",818,"")))))))))))))))))))</f>
        <v/>
      </c>
      <c r="CC162" s="50" t="str">
        <f>IF(Atletas!U153="","",IF(Atletas!X153&lt;&gt;"",10000,0)+IF(Atletas!B153="Feminino",1000,IF(Atletas!B153="Masculino",2000,""))+IF(OR(Atletas!U153="Taijijian Yang A",Atletas!U153="Taijijian Yang Standard A"),901,IF(OR(Atletas!U153="Taijijian Chen A", Atletas!U153="Taijijian Chen Standard A"),902,IF(Atletas!U153="Taijijian Sun A",903,IF(Atletas!U153="Taijijian Wu A",904,IF(Atletas!U153="Taijijian Wu-Hao A",905,IF(OR(Atletas!U153="Taijijian 32 A",Atletas!U153="Taijijian 42 A"),906,IF(OR(Atletas!U153="Taijijian Yang B",Atletas!U153="Taijijian Yang Standard B"),907,IF(OR(Atletas!U153="Taijijian Chen B", Atletas!U153="Taijijian Chen Standard B"),908,IF(Atletas!U153="Taijijian Sun B",909,IF(Atletas!U153="Taijijian Wu B",910,IF(Atletas!U153="Taijijian Wu-Hao B",911,IF(OR(Atletas!U153="Taijijian 32 B",Atletas!U153="Taijijian 42 B"),912,IF(OR(Atletas!U153="Taijijian Yang C",Atletas!U153="Taijijian Yang Standard C"),913,IF(OR(Atletas!U153="Taijijian Chen C", Atletas!U153="Taijijian Chen Standard C"),914,IF(Atletas!U153="Taijijian Sun C",915,IF(Atletas!U153="Taijijian Wu C",916,IF(Atletas!U153="Taijijian Wu-Hao C",917,IF(OR(Atletas!U153="Taijijian 32 C",Atletas!U153="Taijijian 42 C"),918,IF(OR(Atletas!U153="Taijijian Yang D",Atletas!U153="Taijijian Yang Standard D"),919,IF(OR(Atletas!U153="Taijijian Chen D", Atletas!U153="Taijijian Chen Standard D"),920,IF(Atletas!U153="Taijijian Sun D",921,IF(Atletas!U153="Taijijian Wu D",922,IF(Atletas!U153="Taijijian Wu-Hao D",923,IF(OR(Atletas!U153="Taijijian 32 D",Atletas!U153="Taijijian 42 D"),924,IF(OR(Atletas!U153="Taijijian Yang E",Atletas!U153="Taijijian Yang Standard E"),925,IF(OR(Atletas!U153="Taijijian Chen E", Atletas!U153="Taijijian Chen Standard E"),926,IF(Atletas!U153="Taijijian Sun E",927,IF(Atletas!U153="Taijijian Wu E",928,IF(Atletas!U153="Taijijian Wu-Hao E",929,IF(OR(Atletas!U153="Taijijian 32 E",Atletas!U153="Taijijian 42 E"),930,IF(OR(Atletas!U153="Taijijian Yang F",Atletas!U153="Taijijian Yang Standard F"),931,IF(OR(Atletas!U153="Taijijian Chen F", Atletas!U153="Taijijian Chen Standard F"),932,IF(Atletas!U153="Taijijian Sun F",933,IF(Atletas!U153="Taijijian Wu F",934,IF(Atletas!U153="Taijijian Wu-Hao F",935,IF(OR(Atletas!U153="Taijijian 32 F",Atletas!U153="Taijijian 42 F"),936,"")))))))))))))))))))))))))))))))))))))</f>
        <v/>
      </c>
      <c r="CD162" s="50" t="str">
        <f>IF(Atletas!V153="","",IF(Atletas!X153&lt;&gt;"",10000,0)+IF(Atletas!B153="Feminino",1000,IF(Atletas!B153="Masculino",2000,""))+IF(Atletas!V153="Taijidao A",937,IF(Atletas!V153="TaijiShanzi A",938,IF(Atletas!V153="Taijiqiang A",939,IF(Atletas!V153="Bagua de Arma A",940,IF(Atletas!V153="Xingyi de Arma A",941,IF(Atletas!V153="Taijidao B",942,IF(Atletas!V153="TaijiShanzi B",943,IF(Atletas!V153="Taijiqiang B",944,IF(Atletas!V153="Bagua de Arma B",945,IF(Atletas!V153="Xingyi de Arma B",946,IF(Atletas!V153="Taijidao C",947,IF(Atletas!V153="TaijiShanzi C",948,IF(Atletas!V153="Taijiqiang C",949,IF(Atletas!V153="Bagua de Arma C",950,IF(Atletas!V153="Xingyi de Arma C",951,IF(Atletas!V153="Taijidao D",952,IF(Atletas!V153="TaijiShanzi D",953,IF(Atletas!V153="Taijiqiang D",954,IF(Atletas!V153="Bagua de Arma D",955,IF(Atletas!V153="Xingyi de Arma D",956,IF(Atletas!V153="Taijidao E",957,IF(Atletas!V153="TaijiShanzi E",958,IF(Atletas!V153="Taijiqiang E",959,IF(Atletas!V153="Bagua de Arma E",960,IF(Atletas!V153="Xingyi de Arma E",961,IF(Atletas!V153="Taijidao F",962,IF(Atletas!V153="TaijiShanzi F",963,IF(Atletas!V153="Taijiqiang F",964,IF(Atletas!V153="Bagua de Arma F",965,IF(Atletas!V153="Xingyi de Arma F",966,"")))))))))))))))))))))))))))))))</f>
        <v/>
      </c>
      <c r="CE162" s="66" t="str">
        <f>IF(CF162&lt;&gt;"","Outro Taijiquan D","")</f>
        <v/>
      </c>
      <c r="CF162" s="66" t="str">
        <f>IF(COUNTIF(BR:CD,1324)&gt;0,COUNTIF(BR:CD,1324),"")</f>
        <v/>
      </c>
      <c r="CG162" s="66" t="str">
        <f>IF(CH162&lt;&gt;"","Outro Taijiquan D","")</f>
        <v/>
      </c>
      <c r="CH162" s="66" t="str">
        <f>IF(COUNTIF(BR:CD,2324)&gt;0,COUNTIF(BR:CD,2324),"")</f>
        <v/>
      </c>
      <c r="CI162" s="66" t="str">
        <f>IF(CJ162&lt;&gt;"","Outro Taijiquan E","")</f>
        <v/>
      </c>
      <c r="CJ162" s="66" t="str">
        <f>IF(COUNTIF(BR:CD,11330)&gt;0,COUNTIF(BR:CD,11330),"")</f>
        <v/>
      </c>
      <c r="CK162" s="66" t="str">
        <f>IF(CL162&lt;&gt;"","Outro Taijiquan E","")</f>
        <v/>
      </c>
      <c r="CL162" s="66" t="str">
        <f>IF(COUNTIF(BR:CD,12330)&gt;0,COUNTIF(BR:CD,12330),"")</f>
        <v/>
      </c>
      <c r="CM162" s="50" t="str">
        <f xml:space="preserve"> IF(Atletas!W153="","",IF(Atletas!W153="Duilian de Mãos BC - Equipe 1",1,IF(Atletas!W153="Duilian de Mãos BC - Equipe 2",2,IF(Atletas!W153="Duilian de Armas BC - Equipe 1",3,IF(Atletas!W153="Duilian de Armas BC - Equipe 2",4,IF(Atletas!W153="Duilian de Mãos DE - Equipe 1",5,IF(Atletas!W153="Duilian de Mãos DE - Equipe 2",6,IF(Atletas!W153="Duilian de Armas DE - Equipe 1",7,IF(Atletas!W153="Duilian de Armas DE - Equipe 2",8,IF(Atletas!W153="Duilian de Tuishou - Equipe 1",9,IF(Atletas!W153="Duilian de Tuishou - Equipe 2",10,IF(Atletas!W153="Grupo Externo ABC - Equipe 1",11,IF(Atletas!W153="Grupo Externo ABC - Equipe 2",12,IF(Atletas!W153="Grupo Interno ABC - Equipe 1",13,IF(Atletas!W153="Grupo Interno ABC - Equipe 2",14,IF(Atletas!W153="Grupo Externo DEF - Equipe 1",15,IF(Atletas!W153="Grupo Externo DEF - Equipe 2",16,IF(Atletas!W153="Grupo Interno DEF - Equipe 1",17,IF(Atletas!W153="Grupo Interno DEF - Equipe 2",18,"")))))))))))))))))))</f>
        <v/>
      </c>
    </row>
    <row r="163" spans="2:91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 t="str">
        <f t="array" ref="Z163">IFERROR(INDEX(CE$7:CE$348,SMALL(IF(CE$7:CE$348&lt;&gt;"",ROW(CE$7:CE$348)-ROW(CE$7)+1),ROWS(CE$7:CE162))),"")</f>
        <v/>
      </c>
      <c r="AA163" s="3" t="str">
        <f t="array" ref="AA163">IFERROR(INDEX(CF$7:CF$348,SMALL(IF(CF$7:CF$348&lt;&gt;"",ROW(CF$7:CF$348)-ROW(CF$7)+1),ROWS(CF$7:CF162))),"")</f>
        <v/>
      </c>
      <c r="AB163" s="3" t="str">
        <f t="array" ref="AB163">IFERROR(INDEX(CG$7:CG$348,SMALL(IF(CG$7:CG$348&lt;&gt;"",ROW(CG$7:CG$348)-ROW(CG$7)+1),ROWS(CG$7:CG162))),"")</f>
        <v/>
      </c>
      <c r="AC163" s="3" t="str">
        <f t="array" ref="AC163">IFERROR(INDEX(CH$7:CH$348,SMALL(IF(CH$7:CH$348&lt;&gt;"",ROW(CH$7:CH$348)-ROW(CH$7)+1),ROWS(CH$7:CH162))),"")</f>
        <v/>
      </c>
      <c r="AD163" s="3" t="str">
        <f t="array" ref="AD163">IFERROR(INDEX(CI$7:CI$377,SMALL(IF(CI$7:CI$377&lt;&gt;"",ROW(CI$7:CI$377)-ROW(CI$7)+1),ROWS(CI$7:CI162))),"")</f>
        <v/>
      </c>
      <c r="AE163" s="3" t="str">
        <f t="array" ref="AE163">IFERROR(INDEX(CJ$7:CJ$378,SMALL(IF(CJ$7:CJ$378&lt;&gt;"",ROW(CJ$7:CJ$378)-ROW(CJ$7)+1),ROWS(CJ$7:CJ162))),"")</f>
        <v/>
      </c>
      <c r="AF163" s="3" t="str">
        <f t="array" ref="AF163">IFERROR(INDEX(CK$7:CK$378,SMALL(IF(CK$7:CK$378&lt;&gt;"",ROW(CK$7:CK$378)-ROW(CK$7)+1),ROWS(CK$7:CK162))),"")</f>
        <v/>
      </c>
      <c r="AG163" s="3" t="str">
        <f t="array" ref="AG163">IFERROR(INDEX(CL$7:CL$378,SMALL(IF(CL$7:CL$378&lt;&gt;"",ROW(CL$7:CL$378)-ROW(CL$7)+1),ROWS(CL$7:CL162))),"")</f>
        <v/>
      </c>
      <c r="AH163" s="3"/>
      <c r="AI163" s="3"/>
      <c r="AJ163" s="3"/>
      <c r="AK163" s="3"/>
      <c r="AL163" s="3"/>
      <c r="AM163" s="3"/>
      <c r="AN163" s="52" t="str">
        <f>IF(Atletas!D154="","",IF(Atletas!B154="Feminino",100,IF(Atletas!B154="Masculino",200,""))+(IF(Atletas!D154="Kids 30kg",1,IF(Atletas!D154="Kids 32kg",2, IF(Atletas!D154="Kids 34kg",3,IF(Atletas!D154="Kids 36kg",4,IF(Atletas!D154="Kids 39kg",5,IF(Atletas!D154="Kids 42kg",6,IF(Atletas!D154="Kids 45kg",7, IF(Atletas!D154="Infantil 39kg",8,IF(Atletas!D154="Infantil 42kg",9,IF(Atletas!D154="Infantil 45kg",10,IF(Atletas!D154="Infantil 48kg",11,IF(Atletas!D154="Infantil 52kg",12,IF(Atletas!D154="Infantil 56kg",13,IF(Atletas!D154="Infantil 60kg",14,IF(Atletas!D154="Juvenil 48kg",15,IF(Atletas!D154="Juvenil 52kg",16,IF(Atletas!D154="Juvenil 56kg",17,IF(Atletas!D154="Juvenil 60kg",18,IF(Atletas!D154="Juvenil 65kg",19,IF(Atletas!D154="Juvenil 70kg",20,IF(Atletas!D154="Juvenil 75kg",21,IF(Atletas!D154="Juvenil 80kg",22, IF(Atletas!D154="Juvenil 85kg",23,IF(Atletas!D154="Adulto 48kg",24,IF(Atletas!D154="Adulto 52kg",25,IF(Atletas!D154="Adulto 56kg",26,IF(Atletas!D154="Adulto 60kg",27,IF(Atletas!D154="Adulto 65kg",28,IF(Atletas!D154="Adulto 70kg",29,IF(Atletas!D154="Adulto 75kg",30,IF(Atletas!D154="Adulto 80kg",31,IF(Atletas!D154="Adulto 85kg",32,IF(Atletas!D154="Adulto 90kg",33,IF(Atletas!D154="Adulto 100kg",34, IF(Atletas!D154="Adulto +100kg",35,"")))))))))))))))))))))))))))))))))))))</f>
        <v/>
      </c>
      <c r="AS163" s="6" t="str">
        <f>IF(Atletas!E154="","",IF(Atletas!B154="Feminino",100,IF(Atletas!B154="Masculino",200,""))+(IF(Atletas!E154="Juvenil 44kg",1,IF(Atletas!E154="Juvenil 48kg",2,IF(Atletas!E154="Juvenil 52kg",3,IF(Atletas!E154="Juvenil 56kg",4,IF(Atletas!E154="Juvenil 60kg",5,IF(Atletas!E154="Juvenil 65kg",6,IF(Atletas!E154="Juvenil 70kg",7,IF(Atletas!E154="Juvenil 75kg",8,IF(Atletas!E154="Juvenil 82kg",9,IF(Atletas!E154="Juvenil 90kg",10,IF(Atletas!E154="Juvenil 100kg",11,IF(Atletas!E154="Adulto 48kg",12,IF(Atletas!E154="Adulto 52kg",13,IF(Atletas!E154="Adulto 56kg",14,IF(Atletas!E154="Adulto 60kg",15,IF(Atletas!E154="Adulto 65kg",16,IF(Atletas!E154="Adulto 70kg",17,IF(Atletas!E154="Adulto 75kg",18,IF(Atletas!E154="Adulto 82kg",19,IF(Atletas!E154="Adulto 90kg",20,IF(Atletas!E154="Adulto 100kg",21,IF(Atletas!E154="Adulto +100kg",22,""))))))))))))))))))))))))</f>
        <v/>
      </c>
      <c r="AX163" s="6" t="str">
        <f>IF(Atletas!F154="","",IF(Atletas!B154="Feminino",100,IF(Atletas!B154="Masculino",200,""))+(IF(Atletas!F154="Adulto 48kg",1,IF(Atletas!F154="Adulto 56kg",2,IF(Atletas!F154="Adulto 65kg",3,IF(Atletas!F154="Adulto 75kg",4,IF(Atletas!F154="Adulto +75kg",5,IF(Atletas!F154="Adulto 52kg",6,IF(Atletas!F154="Adulto 60kg",7,IF(Atletas!F154="Adulto 70kg",8,IF(Atletas!F154="Adulto 80kg",9,IF(Atletas!F154="Adulto 90kg",10,IF(Atletas!F154="Adulto +90kg",11,"")))))))))))))</f>
        <v/>
      </c>
      <c r="BC163" s="6" t="str">
        <f>IF(Atletas!G154="","",IF(Atletas!B154="Feminino",10,IF(Atletas!B154="Masculino",20,""))+(IF(Atletas!G154="Baduanjin A",1,IF(Atletas!G154="Baduanjin B",2))))</f>
        <v/>
      </c>
      <c r="BF163" s="52" t="str">
        <f>IF(Atletas!H154="","",IF(Atletas!B154="Feminino",100,IF(Atletas!B154="Masculino",200,""))+(IF(Atletas!H154="Changquan Mirim",1,IF(Atletas!H154="Nanquan Mirim",2,IF(Atletas!H154="Taijiquan Mirim",3,IF(Atletas!H154="Changquan Grupo C",4,IF(Atletas!H154="Nanquan Grupo C",5,IF(Atletas!H154="Taijiquan Grupo C",6,IF(Atletas!H154="Changquan Grupo B",7,IF(Atletas!H154="Nanquan Grupo B",8,IF(Atletas!H154="Taijiquan Grupo B",9,IF(Atletas!H154="Changquan Grupo A",10,IF(Atletas!H154="Nanquan Grupo A",11,IF(Atletas!H154="Taijiquan Grupo A",12,IF(Atletas!H154="Changquan Opcional",13,IF(Atletas!H154="Nanquan Opcional",14,IF(Atletas!H154="Taijiquan Opcional",15,IF(Atletas!H154="Changquan Adulto",16,IF(Atletas!H154="Nanquan Adulto",17,IF(Atletas!H154="Taijiquan Adulto",18,""))))))))))))))))))))</f>
        <v/>
      </c>
      <c r="BG163" s="52" t="str">
        <f>IF(Atletas!I154="","",IF(Atletas!B154="Feminino",100,IF(Atletas!B154="Masculino",200,""))+(IF(Atletas!I154="Daoshu Mirim",19,IF(Atletas!I154="Jianshu Mirim",20,IF(Atletas!I154="Nandao Mirim",21,IF(Atletas!I154="Taijijian Mirim",22,IF(Atletas!I154="Daoshu Grupo C",23,IF(Atletas!I154="Jianshu Grupo C",24,IF(Atletas!I154="Nandao Grupo C",25,IF(Atletas!I154="Taijijian Grupo C",26,IF(Atletas!I154="Daoshu Grupo B",27,IF(Atletas!I154="Jianshu Grupo B",28,IF(Atletas!I154="Nandao Grupo B",29,IF(Atletas!I154="Taijijian Grupo B",30,IF(Atletas!I154="Daoshu Grupo A",31,IF(Atletas!I154="Jianshu Grupo A",32,IF(Atletas!I154="Nandao Grupo A",33,IF(Atletas!I154="Taijijian Grupo A",34,IF(Atletas!I154="Daoshu Opcional",35,IF(Atletas!I154="Jianshu Opcional",36,IF(Atletas!I154="Nandao Opcional",37,IF(Atletas!I154="Taijijian Opcional",38,IF(Atletas!I154="Daoshu Adulto",39,IF(Atletas!I154="Jianshu Adulto",40,IF(Atletas!I154="Nandao Adulto",41,IF(Atletas!I154="Taijijian Adulto",42,""))))))))))))))))))))))))))</f>
        <v/>
      </c>
      <c r="BH163" s="52" t="str">
        <f>IF(Atletas!J154="","",IF(Atletas!B154="Feminino",100,IF(Atletas!B154="Masculino",200,""))+(IF(Atletas!J154="Gunshu Mirim",43,IF(Atletas!J154="Qiangshu Mirim",44,IF(Atletas!J154="Nangun Mirim",45,IF(Atletas!J154="Gunshu Grupo C",46,IF(Atletas!J154="Qiangshu Grupo C",47,IF(Atletas!J154="Nangun Grupo C",48,IF(Atletas!J154="Gunshu Grupo B",49,IF(Atletas!J154="Qiangshu Grupo B",50,IF(Atletas!J154="Nangun Grupo B",51,IF(Atletas!J154="Gunshu Grupo A",52,IF(Atletas!J154="Qiangshu Grupo A",53,IF(Atletas!J154="Nangun Grupo A",54,IF(Atletas!J154="Gunshu Opcional",55,IF(Atletas!J154="Qiangshu Opcional",56,IF(Atletas!J154="Nangun Opcional",57,IF(Atletas!J154="Gunshu Adulto",58,IF(Atletas!J154="Qiangshu Adulto",59,IF(Atletas!J154="Nangun Adulto",60,IF(Atletas!J154="Taijishan Grupo B",61,IF(Atletas!J154="Taijishan Grupo A",62,""))))))))))))))))))))))</f>
        <v/>
      </c>
      <c r="BM163" s="50" t="str">
        <f>IF(Atletas!K154="","",IF(Atletas!B154="Feminino",100,IF(Atletas!B154="Masculino",200,""))+(IF(Atletas!K154="Equipe 1 Grupo B",1,IF(Atletas!K154="Equipe 2 Grupo B",2,IF(Atletas!K154="Equipe 1 Grupo A",3,IF(Atletas!K154="Equipe 2 Grupo A",4,IF(Atletas!K154="Equipe 1 Adulto",5,IF(Atletas!K154="Equipe 2 Adulto",6,""))))))))</f>
        <v/>
      </c>
      <c r="BR163" s="50" t="str">
        <f>IF(Atletas!L154="","",IF(Atletas!X154&lt;&gt;"",10000,0)+(IF(Atletas!B154="Feminino",1000,IF(Atletas!B154="Masculino",2000,""))+IF(Atletas!L154="Choylayfut A",1,IF(Atletas!L154="Hunggar A",2,IF(Atletas!L154="Wuzuquan A",3,IF(Atletas!L154="Wingchun A",4,IF(Atletas!L154="Outra Mão de Sul A",5,IF(Atletas!L154="Choylayfut B",6,IF(Atletas!L154="Hunggar B",7,IF(Atletas!L154="Wuzuquan B",8,IF(Atletas!L154="Wingchun B",9,IF(Atletas!L154="Outra Mão de Sul B",10,IF(Atletas!L154="Choylayfut C",11,IF(Atletas!L154="Hunggar C",12,IF(Atletas!L154="Wuzuquan C",13,IF(Atletas!L154="Wingchun C",14,IF(Atletas!L154="Outra Mão de Sul C",15,IF(Atletas!L154="Choylayfut D",16,IF(Atletas!L154="Hunggar D",17,IF(Atletas!L154="Wuzuquan D",18,IF(Atletas!L154="Wingchun D",19,IF(Atletas!L154="Outra Mão de Sul D",20,IF(Atletas!L154="Choylayfut E",21,IF(Atletas!L154="Hunggar E",22,IF(Atletas!L154="Wuzuquan E",23,IF(Atletas!L154="Wingchun E",24,IF(Atletas!L154="Outra Mão de Sul E",25,IF(Atletas!L154="Choylayfut F",26,IF(Atletas!L154="Hunggar F",27,IF(Atletas!L154="Wuzuquan F",28,IF(Atletas!L154="Wingchun F",29,IF(Atletas!L154="Outra Mão de Sul F",30,IF(Atletas!L154="Dishuquan A",31,IF(Atletas!L154="Dishuquan B",32,IF(Atletas!L154="Dishuquan C",33,IF(Atletas!L154="Dishuquan D",34,IF(Atletas!L154="Dishuquan E",35,IF(Atletas!L154="Dishuquan F",36,""))))))))))))))))))))))))))))))))))))))</f>
        <v/>
      </c>
      <c r="BS163" s="50" t="str">
        <f>IF(Atletas!M154="","",IF(Atletas!X154&lt;&gt;"",10000,0)+(IF(Atletas!B154="Feminino",1000,IF(Atletas!B154="Masculino",2000,""))+(IF(Atletas!M154="Chaquan A",101,IF(Atletas!M154="Emeiquan A",102,IF(Atletas!M154="Fanziquan A",103,IF(Atletas!M154="Huaquan A",104,IF(Atletas!M154="Hongquan A",105,IF(Atletas!M154="Paoquan A",106,IF(Atletas!M154="Piguaquan A",107,IF(Atletas!M154="Shaolinquan A",108,IF(Atletas!M154="Tanglangquan A",109,IF(Atletas!M154="Yingzhaoquan A",110,IF(Atletas!M154="Tongbeiquan A",111,IF(Atletas!M154="Wudangquan A",112,IF(Atletas!M154="Outros Estilos A",113,IF(Atletas!M154="Chaquan B",114,IF(Atletas!M154="Emeiquan B",115,IF(Atletas!M154="Fanziquan B",116,IF(Atletas!M154="Huaquan B",117,IF(Atletas!M154="Hongquan B",118,IF(Atletas!M154="Paoquan B",119,IF(Atletas!M154="Piguaquan B",120,IF(Atletas!M154="Shaolinquan B",121,IF(Atletas!M154="Tanglangquan B",122,IF(Atletas!M154="Yingzhaoquan B",123,IF(Atletas!M154="Tongbeiquan B",124,IF(Atletas!M154="Wudangquan B",125,IF(Atletas!M154="Outros Estilos B",126,IF(Atletas!M154="Chaquan C",127,IF(Atletas!M154="Emeiquan C",128,IF(Atletas!M154="Fanziquan C",129,IF(Atletas!M154="Huaquan C",130,IF(Atletas!M154="Hongquan C",131,IF(Atletas!M154="Paoquan C",132,IF(Atletas!M154="Piguaquan C",133,IF(Atletas!M154="Shaolinquan C",134,IF(Atletas!M154="Tanglangquan C",135,IF(Atletas!M154="Yingzhaoquan C",136,IF(Atletas!M154="Tongbeiquan C",137,IF(Atletas!M154="Wudangquan C",138,IF(Atletas!M154="Outros Estilos C",139,0))))))))))))))))))))))))))))))))))))))))))</f>
        <v/>
      </c>
      <c r="BT163" s="50" t="str">
        <f>IF(Atletas!M154="","",IF(Atletas!X154&lt;&gt;"",10000,0)+(IF(Atletas!B154="Feminino",1000,IF(Atletas!B154="Masculino",2000,""))+(IF(Atletas!M154="Chaquan D",140,IF(Atletas!M154="Emeiquan D",141,IF(Atletas!M154="Fanziquan D",142,IF(Atletas!M154="Huaquan D",143,IF(Atletas!M154="Hongquan D",144,IF(Atletas!M154="Paoquan D",145,IF(Atletas!M154="Piguaquan D",146,IF(Atletas!M154="Shaolinquan D",147,IF(Atletas!M154="Tanglangquan D",148,IF(Atletas!M154="Yingzhaoquan D",149,IF(Atletas!M154="Tongbeiquan D",150,IF(Atletas!M154="Wudangquan D",151,IF(Atletas!M154="Outros Estilos D",152,IF(Atletas!M154="Chaquan E",153,IF(Atletas!M154="Emeiquan E",154,IF(Atletas!M154="Fanziquan E",155,IF(Atletas!M154="Huaquan E",156,IF(Atletas!M154="Hongquan E",157,IF(Atletas!M154="Paoquan E",158,IF(Atletas!M154="Piguaquan E",159,IF(Atletas!M154="Shaolinquan E",160,IF(Atletas!M154="Tanglangquan E",161,IF(Atletas!M154="Yingzhaoquan E",162,IF(Atletas!M154="Tongbeiquan E",163,IF(Atletas!M154="Wudangquan E",164,IF(Atletas!M154="Outros Estilos E",165,IF(Atletas!M154="Chaquan F",166,IF(Atletas!M154="Emeiquan F",167,IF(Atletas!M154="Fanziquan F",168,IF(Atletas!M154="Huaquan F",169,IF(Atletas!M154="Hongquan F",170,IF(Atletas!M154="Paoquan F",171,IF(Atletas!M154="Piguaquan F",172,IF(Atletas!M154="Shaolinquan F",173,IF(Atletas!M154="Tanglangquan F",174,IF(Atletas!M154="Yingzhaoquan F",175,IF(Atletas!M154="Tongbeiquan F",176,IF(Atletas!M154="Wudangquan F",177,IF(Atletas!M154="Outros Estilos F",178,0))))))))))))))))))))))))))))))))))))))))))</f>
        <v/>
      </c>
      <c r="BU163" s="50" t="str">
        <f>IF(Atletas!N154="","",IF(Atletas!X154&lt;&gt;"",10000,0)+(IF(Atletas!B154="Feminino",1000,IF(Atletas!B154="Masculino",2000,""))+(IF(Atletas!N154="Ditangquan A",201,IF(Atletas!N154="Houquan A",202,IF(Atletas!N154="Zuiquan A",203,IF(Atletas!N154="Ditangquan B",204,IF(Atletas!N154="Houquan B",205,IF(Atletas!N154="Zuiquan B",206,IF(Atletas!N154="Ditangquan C",207,IF(Atletas!N154="Houquan C",208,IF(Atletas!N154="Zuiquan C",209,IF(Atletas!N154="Ditangquan D",210,IF(Atletas!N154="Houquan D",211,IF(Atletas!N154="Zuiquan D",212,IF(Atletas!N154="Ditangquan E",213,IF(Atletas!N154="Houquan E",214,IF(Atletas!N154="Zuiquan E",215,IF(Atletas!N154="Ditangquan F",216,IF(Atletas!N154="Houquan F",217,IF(Atletas!N154="Zuiquan F",218,"")))))))))))))))))))))</f>
        <v/>
      </c>
      <c r="BV163" s="50" t="str">
        <f>IF(Atletas!O154="","",IF(Atletas!X154&lt;&gt;"",10000,0)+IF(Atletas!B154="Feminino",1000,IF(Atletas!B154="Masculino",2000,""))+IF(Atletas!O154="Yang A",301,IF(Atletas!O154="Chen A",302,IF(Atletas!O154="Sun A",303,IF(Atletas!O154="Wu A",304,IF(Atletas!O154="Wu-Hao A",305,IF(Atletas!O154="Outro Taijiquan A",306,IF(Atletas!O154="Yang B",307,IF(Atletas!O154="Chen B",308,IF(Atletas!O154="Sun B",309,IF(Atletas!O154="Wu B",310,IF(Atletas!O154="Wu-Hao B",311,IF(Atletas!O154="Outro Taijiquan B",312,IF(Atletas!O154="Yang C",313,IF(Atletas!O154="Chen C",314,IF(Atletas!O154="Sun C",315,IF(Atletas!O154="Wu C",316,IF(Atletas!O154="Wu-Hao C",317,IF(Atletas!O154="Outro Taijiquan C",318,IF(Atletas!O154="Yang D",319,IF(Atletas!O154="Chen D",320,IF(Atletas!O154="Sun D",321,IF(Atletas!O154="Wu D",322,IF(Atletas!O154="Wu-Hao D",323,IF(Atletas!O154="Outro Taijiquan D",324,IF(Atletas!O154="Yang E",325,IF(Atletas!O154="Chen E",326,IF(Atletas!O154="Sun E",327,IF(Atletas!O154="Wu E",328,IF(Atletas!O154="Wu-Hao E",329,IF(Atletas!O154="Outro Taijiquan E",330,IF(Atletas!O154="Yang F",331,IF(Atletas!O154="Chen F",332,IF(Atletas!O154="Sun F",333,IF(Atletas!O154="Wu F",334,IF(Atletas!O154="Wu-Hao F",335,IF(Atletas!O154="Outro Taijiquan F",336,"")))))))))))))))))))))))))))))))))))))</f>
        <v/>
      </c>
      <c r="BW163" s="50" t="str">
        <f>IF(Atletas!P154="","",IF(Atletas!X154&lt;&gt;"",10000,0)+IF(Atletas!B154="Feminino",1000,IF(Atletas!B154="Masculino",2000,""))+IF(OR(Atletas!P154="Yang 26 A",Atletas!P154="Yang 40 A"),401,IF(OR(Atletas!P154="Chen 25 A",Atletas!P154="Chen 36 A",Atletas!P154="Chen 56 A"),402,IF(Atletas!P154="Sun 73 A",403,IF(Atletas!P154="Wu 45 A",404,IF(Atletas!P154="Wu-Hao 46 A",405,IF(OR(Atletas!P154="Taijiquan 16 A",Atletas!P154="Taijiquan 24 A",Atletas!P154="Taijiquan 32 A",Atletas!P154="Taijiquan 42 A"),406,IF(OR(Atletas!P154="Yang 26 B",Atletas!P154="Yang 40 B"),407,IF(OR(Atletas!P154="Chen 25 B",Atletas!P154="Chen 36 B",Atletas!P154="Chen 56 B"),408,IF(Atletas!P154="Sun 73 B",409,IF(Atletas!P154="Wu 45 B",410,IF(Atletas!P154="Wu-Hao 46 B",411,IF(OR(Atletas!P154="Taijiquan 16 B",Atletas!P154="Taijiquan 24 B",Atletas!P154="Taijiquan 32 B",Atletas!P154="Taijiquan 42 B"),412,IF(OR(Atletas!P154="Yang 26 C",Atletas!P154="Yang 40 C"),413,IF(OR(Atletas!P154="Chen 25 C",Atletas!P154="Chen 36 C",Atletas!P154="Chen 56 C"),414,IF(Atletas!P154="Sun 73 C",415,IF(Atletas!P154="Wu 45 C",416,IF(Atletas!P154="Wu-Hao 46 C",417,IF(OR(Atletas!P154="Taijiquan 16 C",Atletas!P154="Taijiquan 24 C",Atletas!P154="Taijiquan 32 C",Atletas!P154="Taijiquan 42 C"),418,0)))))))))))))))))))</f>
        <v/>
      </c>
      <c r="BX163" s="50" t="str">
        <f>IF(Atletas!P154="","",IF(Atletas!X154&lt;&gt;"",10000,0)+IF(Atletas!B154="Feminino",1000,IF(Atletas!B154="Masculino",2000,""))+IF(OR(Atletas!P154="Yang 26 D",Atletas!P154="Yang 40 D"),419,IF(OR(Atletas!P154="Chen 25 D",Atletas!P154="Chen 36 D",Atletas!P154="Chen 56 D"),420,IF(Atletas!P154="Sun 73 D",421,IF(Atletas!P154="Wu 45 D",422,IF(Atletas!P154="Wu-Hao 46 D",423,IF(OR(Atletas!P154="Taijiquan 16 D",Atletas!P154="Taijiquan 24 D",Atletas!P154="Taijiquan 32 D",Atletas!P154="Taijiquan 42 D"),424,IF(OR(Atletas!P154="Yang 26 E",Atletas!P154="Yang 40 E"),425,IF(OR(Atletas!P154="Chen 25 E",Atletas!P154="Chen 36 E",Atletas!P154="Chen 56 E"),426,IF(Atletas!P154="Sun 73 E",427,IF(Atletas!P154="Wu 45 E",428,IF(Atletas!P154="Wu-Hao 46 E",429,IF(OR(Atletas!P154="Taijiquan 16 E",Atletas!P154="Taijiquan 24 E",Atletas!P154="Taijiquan 32 E",Atletas!P154="Taijiquan 42 E"),430,IF(OR(Atletas!P154="Yang 26 F",Atletas!P154="Yang 40 F"),431,IF(OR(Atletas!P154="Chen 25 F",Atletas!P154="Chen 36 F",Atletas!P154="Chen 56 F"),432,IF(Atletas!P154="Sun 73 F",433,IF(Atletas!P154="Wu 45 F",434,IF(Atletas!P154="Wu-Hao 46 F",435,IF(OR(Atletas!P154="Taijiquan 16 F",Atletas!P154="Taijiquan 24 F",Atletas!P154="Taijiquan 32 F",Atletas!P154="Taijiquan 42 F"),436,0)))))))))))))))))))</f>
        <v/>
      </c>
      <c r="BY163" s="50" t="str">
        <f>IF(Atletas!Q154="","",IF(Atletas!X154&lt;&gt;"",10000,0)+IF(Atletas!B154="Feminino",1000,IF(Atletas!B154="Masculino",2000,""))+IF(Atletas!Q154="Xingyiquan A",501,IF(Atletas!Q154="Baguazhang A",502,IF(Atletas!Q154="Outro Estilo Interno A",503,IF(Atletas!Q154="Xingyiquan B",504,IF(Atletas!Q154="Baguazhang B",505,IF(Atletas!Q154="Outro Estilo Interno B",506,IF(Atletas!Q154="Xingyiquan C",507,IF(Atletas!Q154="Baguazhang C",508,IF(Atletas!Q154="Outro Estilo Interno C",509,IF(Atletas!Q154="Xingyiquan D",510,IF(Atletas!Q154="Baguazhang D",511,IF(Atletas!Q154="Outro Estilo Interno D",512,IF(Atletas!Q154="Xingyiquan E",513,IF(Atletas!Q154="Baguazhang E",514,IF(Atletas!Q154="Outro Estilo Interno E",515,IF(Atletas!Q154="Xingyiquan F",516,IF(Atletas!Q154="Baguazhang F",517,IF(Atletas!Q154="Outro Estilo Interno F",518, "")))))))))))))))))))</f>
        <v/>
      </c>
      <c r="BZ163" s="50" t="str">
        <f>IF(Atletas!R154="","",IF(Atletas!X154&lt;&gt;"",10000,0)+IF(Atletas!B154="Feminino",1000,IF(Atletas!B154="Masculino",2000,""))+IF(Atletas!R154="Dao A",601,IF(Atletas!R154="Jian A",602,IF(Atletas!R154="Bishou A",603,IF(Atletas!R154="Shanzi A",604,IF(Atletas!R154="Outra Arma Curta A",605,IF(Atletas!R154="Dao B",606,IF(Atletas!R154="Jian B",607,IF(Atletas!R154="Bishou B",608,IF(Atletas!R154="Shanzi B",609,IF(Atletas!R154="Outra Arma Curta B",610,IF(Atletas!R154="Dao C",611,IF(Atletas!R154="Jian C",612,IF(Atletas!R154="Bishou C",613,IF(Atletas!R154="Shanzi C",614,IF(Atletas!R154="Outra Arma Curta C",615,IF(Atletas!R154="Dao D",616,IF(Atletas!R154="Jian D",617,IF(Atletas!R154="Bishou D",618,IF(Atletas!R154="Shanzi D",619,IF(Atletas!R154="Outra Arma Curta D",620,IF(Atletas!R154="Dao E",621,IF(Atletas!R154="Jian E",622,IF(Atletas!R154="Bishou E",623,IF(Atletas!R154="Shanzi E",624,IF(Atletas!R154="Outra Arma Curta E",625,IF(Atletas!R154="Dao F",626,IF(Atletas!R154="Jian F",627,IF(Atletas!R154="Bishou F",628,IF(Atletas!R154="Shanzi F",629,IF(Atletas!R154="Outra Arma Curta F",630, "")))))))))))))))))))))))))))))))</f>
        <v/>
      </c>
      <c r="CA163" s="50" t="str">
        <f>IF(Atletas!S154="","",IF(Atletas!X154&lt;&gt;"",10000,0)+IF(Atletas!B154="Feminino",1000,IF(Atletas!B154="Masculino",2000,""))+IF(Atletas!S154="Gun A",701,IF(Atletas!S154="Qiang A",702,IF(Atletas!S154="Pudao / Guandao A",703,IF(Atletas!S154="Outra Arma Longa A",704,IF(Atletas!S154="Gun B",705,IF(Atletas!S154="Qiang B",706,IF(Atletas!S154="Pudao / Guandao B",707,IF(Atletas!S154="Outra Arma Longa B",708,IF(Atletas!S154="Gun C",709,IF(Atletas!S154="Qiang C",710,IF(Atletas!S154="Pudao / Guandao C",711,IF(Atletas!S154="Outra Arma Longa C",712,IF(Atletas!S154="Gun D",713,IF(Atletas!S154="Qiang D",714,IF(Atletas!S154="Pudao / Guandao D",715,IF(Atletas!S154="Outra Arma Longa D",716,IF(Atletas!S154="Gun E",717,IF(Atletas!S154="Qiang E",718,IF(Atletas!S154="Pudao / Guandao E",719,IF(Atletas!S154="Outra Arma Longa E",720,IF(Atletas!S154="Gun F",721,IF(Atletas!S154="Qiang F",722,IF(Atletas!S154="Pudao / Guandao F",723,IF(Atletas!S154="Outra Arma Longa F",724,"")))))))))))))))))))))))))</f>
        <v/>
      </c>
      <c r="CB163" s="50" t="str">
        <f>IF(Atletas!T154="","",IF(Atletas!X154&lt;&gt;"",10000,0)+IF(Atletas!B154="Feminino",1000,IF(Atletas!B154="Masculino",2000,""))+IF(Atletas!T154="Outra Arma Dupla A",801,IF(Atletas!T154="Arma Maleável A",802,IF(Atletas!T154="Outra Arma Dupla B",803,IF(Atletas!T154="Arma Maleável B",804,IF(Atletas!T154="Outra Arma Dupla C",805,IF(Atletas!T154="Arma Maleável C",806,IF(Atletas!T154="Outra Arma Dupla D",807,IF(Atletas!T154="Arma Maleável D",808,IF(Atletas!T154="Outra Arma Dupla E",809,IF(Atletas!T154="Arma Maleável E",810,IF(Atletas!T154="Outra Arma Dupla F",811,IF(Atletas!T154="Arma Maleável F",812,IF(Atletas!T154="Shuangdao A",813,IF(Atletas!T154="Shuangdao B",814,IF(Atletas!T154="Shuangdao C",815,IF(Atletas!T154="Shuangdao D",816,IF(Atletas!T154="Shuangdao E",817,IF(Atletas!T154="Shuangdao F",818,"")))))))))))))))))))</f>
        <v/>
      </c>
      <c r="CC163" s="50" t="str">
        <f>IF(Atletas!U154="","",IF(Atletas!X154&lt;&gt;"",10000,0)+IF(Atletas!B154="Feminino",1000,IF(Atletas!B154="Masculino",2000,""))+IF(OR(Atletas!U154="Taijijian Yang A",Atletas!U154="Taijijian Yang Standard A"),901,IF(OR(Atletas!U154="Taijijian Chen A", Atletas!U154="Taijijian Chen Standard A"),902,IF(Atletas!U154="Taijijian Sun A",903,IF(Atletas!U154="Taijijian Wu A",904,IF(Atletas!U154="Taijijian Wu-Hao A",905,IF(OR(Atletas!U154="Taijijian 32 A",Atletas!U154="Taijijian 42 A"),906,IF(OR(Atletas!U154="Taijijian Yang B",Atletas!U154="Taijijian Yang Standard B"),907,IF(OR(Atletas!U154="Taijijian Chen B", Atletas!U154="Taijijian Chen Standard B"),908,IF(Atletas!U154="Taijijian Sun B",909,IF(Atletas!U154="Taijijian Wu B",910,IF(Atletas!U154="Taijijian Wu-Hao B",911,IF(OR(Atletas!U154="Taijijian 32 B",Atletas!U154="Taijijian 42 B"),912,IF(OR(Atletas!U154="Taijijian Yang C",Atletas!U154="Taijijian Yang Standard C"),913,IF(OR(Atletas!U154="Taijijian Chen C", Atletas!U154="Taijijian Chen Standard C"),914,IF(Atletas!U154="Taijijian Sun C",915,IF(Atletas!U154="Taijijian Wu C",916,IF(Atletas!U154="Taijijian Wu-Hao C",917,IF(OR(Atletas!U154="Taijijian 32 C",Atletas!U154="Taijijian 42 C"),918,IF(OR(Atletas!U154="Taijijian Yang D",Atletas!U154="Taijijian Yang Standard D"),919,IF(OR(Atletas!U154="Taijijian Chen D", Atletas!U154="Taijijian Chen Standard D"),920,IF(Atletas!U154="Taijijian Sun D",921,IF(Atletas!U154="Taijijian Wu D",922,IF(Atletas!U154="Taijijian Wu-Hao D",923,IF(OR(Atletas!U154="Taijijian 32 D",Atletas!U154="Taijijian 42 D"),924,IF(OR(Atletas!U154="Taijijian Yang E",Atletas!U154="Taijijian Yang Standard E"),925,IF(OR(Atletas!U154="Taijijian Chen E", Atletas!U154="Taijijian Chen Standard E"),926,IF(Atletas!U154="Taijijian Sun E",927,IF(Atletas!U154="Taijijian Wu E",928,IF(Atletas!U154="Taijijian Wu-Hao E",929,IF(OR(Atletas!U154="Taijijian 32 E",Atletas!U154="Taijijian 42 E"),930,IF(OR(Atletas!U154="Taijijian Yang F",Atletas!U154="Taijijian Yang Standard F"),931,IF(OR(Atletas!U154="Taijijian Chen F", Atletas!U154="Taijijian Chen Standard F"),932,IF(Atletas!U154="Taijijian Sun F",933,IF(Atletas!U154="Taijijian Wu F",934,IF(Atletas!U154="Taijijian Wu-Hao F",935,IF(OR(Atletas!U154="Taijijian 32 F",Atletas!U154="Taijijian 42 F"),936,"")))))))))))))))))))))))))))))))))))))</f>
        <v/>
      </c>
      <c r="CD163" s="50" t="str">
        <f>IF(Atletas!V154="","",IF(Atletas!X154&lt;&gt;"",10000,0)+IF(Atletas!B154="Feminino",1000,IF(Atletas!B154="Masculino",2000,""))+IF(Atletas!V154="Taijidao A",937,IF(Atletas!V154="TaijiShanzi A",938,IF(Atletas!V154="Taijiqiang A",939,IF(Atletas!V154="Bagua de Arma A",940,IF(Atletas!V154="Xingyi de Arma A",941,IF(Atletas!V154="Taijidao B",942,IF(Atletas!V154="TaijiShanzi B",943,IF(Atletas!V154="Taijiqiang B",944,IF(Atletas!V154="Bagua de Arma B",945,IF(Atletas!V154="Xingyi de Arma B",946,IF(Atletas!V154="Taijidao C",947,IF(Atletas!V154="TaijiShanzi C",948,IF(Atletas!V154="Taijiqiang C",949,IF(Atletas!V154="Bagua de Arma C",950,IF(Atletas!V154="Xingyi de Arma C",951,IF(Atletas!V154="Taijidao D",952,IF(Atletas!V154="TaijiShanzi D",953,IF(Atletas!V154="Taijiqiang D",954,IF(Atletas!V154="Bagua de Arma D",955,IF(Atletas!V154="Xingyi de Arma D",956,IF(Atletas!V154="Taijidao E",957,IF(Atletas!V154="TaijiShanzi E",958,IF(Atletas!V154="Taijiqiang E",959,IF(Atletas!V154="Bagua de Arma E",960,IF(Atletas!V154="Xingyi de Arma E",961,IF(Atletas!V154="Taijidao F",962,IF(Atletas!V154="TaijiShanzi F",963,IF(Atletas!V154="Taijiqiang F",964,IF(Atletas!V154="Bagua de Arma F",965,IF(Atletas!V154="Xingyi de Arma F",966,"")))))))))))))))))))))))))))))))</f>
        <v/>
      </c>
      <c r="CE163" s="66" t="str">
        <f>IF(CF163&lt;&gt;"","TJQ Trad. Yang E","")</f>
        <v/>
      </c>
      <c r="CF163" s="66" t="str">
        <f>IF(COUNTIF(BR:CD,1325)&gt;0,COUNTIF(BR:CD,1325),"")</f>
        <v/>
      </c>
      <c r="CG163" s="66" t="str">
        <f>IF(CH163&lt;&gt;"","TJQ Trad. Yang E","")</f>
        <v/>
      </c>
      <c r="CH163" s="66" t="str">
        <f>IF(COUNTIF(BR:CD,2325)&gt;0,COUNTIF(BR:CD,2325),"")</f>
        <v/>
      </c>
      <c r="CI163" s="66" t="str">
        <f>IF(CJ163&lt;&gt;"","TJQ Trad. Yang F","")</f>
        <v/>
      </c>
      <c r="CJ163" s="66" t="str">
        <f>IF(COUNTIF(BR:CD,11331)&gt;0,COUNTIF(BR:CD,11331),"")</f>
        <v/>
      </c>
      <c r="CK163" s="66" t="str">
        <f>IF(CL163&lt;&gt;"","TJQ Trad. Yang F","")</f>
        <v/>
      </c>
      <c r="CL163" s="66" t="str">
        <f>IF(COUNTIF(BR:CD,12331)&gt;0,COUNTIF(BR:CD,12331),"")</f>
        <v/>
      </c>
      <c r="CM163" s="50" t="str">
        <f xml:space="preserve"> IF(Atletas!W154="","",IF(Atletas!W154="Duilian de Mãos BC - Equipe 1",1,IF(Atletas!W154="Duilian de Mãos BC - Equipe 2",2,IF(Atletas!W154="Duilian de Armas BC - Equipe 1",3,IF(Atletas!W154="Duilian de Armas BC - Equipe 2",4,IF(Atletas!W154="Duilian de Mãos DE - Equipe 1",5,IF(Atletas!W154="Duilian de Mãos DE - Equipe 2",6,IF(Atletas!W154="Duilian de Armas DE - Equipe 1",7,IF(Atletas!W154="Duilian de Armas DE - Equipe 2",8,IF(Atletas!W154="Duilian de Tuishou - Equipe 1",9,IF(Atletas!W154="Duilian de Tuishou - Equipe 2",10,IF(Atletas!W154="Grupo Externo ABC - Equipe 1",11,IF(Atletas!W154="Grupo Externo ABC - Equipe 2",12,IF(Atletas!W154="Grupo Interno ABC - Equipe 1",13,IF(Atletas!W154="Grupo Interno ABC - Equipe 2",14,IF(Atletas!W154="Grupo Externo DEF - Equipe 1",15,IF(Atletas!W154="Grupo Externo DEF - Equipe 2",16,IF(Atletas!W154="Grupo Interno DEF - Equipe 1",17,IF(Atletas!W154="Grupo Interno DEF - Equipe 2",18,"")))))))))))))))))))</f>
        <v/>
      </c>
    </row>
    <row r="164" spans="2:91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 t="str">
        <f t="array" ref="Z164">IFERROR(INDEX(CE$7:CE$348,SMALL(IF(CE$7:CE$348&lt;&gt;"",ROW(CE$7:CE$348)-ROW(CE$7)+1),ROWS(CE$7:CE163))),"")</f>
        <v/>
      </c>
      <c r="AA164" s="3" t="str">
        <f t="array" ref="AA164">IFERROR(INDEX(CF$7:CF$348,SMALL(IF(CF$7:CF$348&lt;&gt;"",ROW(CF$7:CF$348)-ROW(CF$7)+1),ROWS(CF$7:CF163))),"")</f>
        <v/>
      </c>
      <c r="AB164" s="3" t="str">
        <f t="array" ref="AB164">IFERROR(INDEX(CG$7:CG$348,SMALL(IF(CG$7:CG$348&lt;&gt;"",ROW(CG$7:CG$348)-ROW(CG$7)+1),ROWS(CG$7:CG163))),"")</f>
        <v/>
      </c>
      <c r="AC164" s="3" t="str">
        <f t="array" ref="AC164">IFERROR(INDEX(CH$7:CH$348,SMALL(IF(CH$7:CH$348&lt;&gt;"",ROW(CH$7:CH$348)-ROW(CH$7)+1),ROWS(CH$7:CH163))),"")</f>
        <v/>
      </c>
      <c r="AD164" s="3" t="str">
        <f t="array" ref="AD164">IFERROR(INDEX(CI$7:CI$377,SMALL(IF(CI$7:CI$377&lt;&gt;"",ROW(CI$7:CI$377)-ROW(CI$7)+1),ROWS(CI$7:CI163))),"")</f>
        <v/>
      </c>
      <c r="AE164" s="3" t="str">
        <f t="array" ref="AE164">IFERROR(INDEX(CJ$7:CJ$378,SMALL(IF(CJ$7:CJ$378&lt;&gt;"",ROW(CJ$7:CJ$378)-ROW(CJ$7)+1),ROWS(CJ$7:CJ163))),"")</f>
        <v/>
      </c>
      <c r="AF164" s="3" t="str">
        <f t="array" ref="AF164">IFERROR(INDEX(CK$7:CK$378,SMALL(IF(CK$7:CK$378&lt;&gt;"",ROW(CK$7:CK$378)-ROW(CK$7)+1),ROWS(CK$7:CK163))),"")</f>
        <v/>
      </c>
      <c r="AG164" s="3" t="str">
        <f t="array" ref="AG164">IFERROR(INDEX(CL$7:CL$378,SMALL(IF(CL$7:CL$378&lt;&gt;"",ROW(CL$7:CL$378)-ROW(CL$7)+1),ROWS(CL$7:CL163))),"")</f>
        <v/>
      </c>
      <c r="AH164" s="3"/>
      <c r="AI164" s="3"/>
      <c r="AJ164" s="3"/>
      <c r="AK164" s="3"/>
      <c r="AL164" s="3"/>
      <c r="AM164" s="3"/>
      <c r="AN164" s="52" t="str">
        <f>IF(Atletas!D155="","",IF(Atletas!B155="Feminino",100,IF(Atletas!B155="Masculino",200,""))+(IF(Atletas!D155="Kids 30kg",1,IF(Atletas!D155="Kids 32kg",2, IF(Atletas!D155="Kids 34kg",3,IF(Atletas!D155="Kids 36kg",4,IF(Atletas!D155="Kids 39kg",5,IF(Atletas!D155="Kids 42kg",6,IF(Atletas!D155="Kids 45kg",7, IF(Atletas!D155="Infantil 39kg",8,IF(Atletas!D155="Infantil 42kg",9,IF(Atletas!D155="Infantil 45kg",10,IF(Atletas!D155="Infantil 48kg",11,IF(Atletas!D155="Infantil 52kg",12,IF(Atletas!D155="Infantil 56kg",13,IF(Atletas!D155="Infantil 60kg",14,IF(Atletas!D155="Juvenil 48kg",15,IF(Atletas!D155="Juvenil 52kg",16,IF(Atletas!D155="Juvenil 56kg",17,IF(Atletas!D155="Juvenil 60kg",18,IF(Atletas!D155="Juvenil 65kg",19,IF(Atletas!D155="Juvenil 70kg",20,IF(Atletas!D155="Juvenil 75kg",21,IF(Atletas!D155="Juvenil 80kg",22, IF(Atletas!D155="Juvenil 85kg",23,IF(Atletas!D155="Adulto 48kg",24,IF(Atletas!D155="Adulto 52kg",25,IF(Atletas!D155="Adulto 56kg",26,IF(Atletas!D155="Adulto 60kg",27,IF(Atletas!D155="Adulto 65kg",28,IF(Atletas!D155="Adulto 70kg",29,IF(Atletas!D155="Adulto 75kg",30,IF(Atletas!D155="Adulto 80kg",31,IF(Atletas!D155="Adulto 85kg",32,IF(Atletas!D155="Adulto 90kg",33,IF(Atletas!D155="Adulto 100kg",34, IF(Atletas!D155="Adulto +100kg",35,"")))))))))))))))))))))))))))))))))))))</f>
        <v/>
      </c>
      <c r="AS164" s="6" t="str">
        <f>IF(Atletas!E155="","",IF(Atletas!B155="Feminino",100,IF(Atletas!B155="Masculino",200,""))+(IF(Atletas!E155="Juvenil 44kg",1,IF(Atletas!E155="Juvenil 48kg",2,IF(Atletas!E155="Juvenil 52kg",3,IF(Atletas!E155="Juvenil 56kg",4,IF(Atletas!E155="Juvenil 60kg",5,IF(Atletas!E155="Juvenil 65kg",6,IF(Atletas!E155="Juvenil 70kg",7,IF(Atletas!E155="Juvenil 75kg",8,IF(Atletas!E155="Juvenil 82kg",9,IF(Atletas!E155="Juvenil 90kg",10,IF(Atletas!E155="Juvenil 100kg",11,IF(Atletas!E155="Adulto 48kg",12,IF(Atletas!E155="Adulto 52kg",13,IF(Atletas!E155="Adulto 56kg",14,IF(Atletas!E155="Adulto 60kg",15,IF(Atletas!E155="Adulto 65kg",16,IF(Atletas!E155="Adulto 70kg",17,IF(Atletas!E155="Adulto 75kg",18,IF(Atletas!E155="Adulto 82kg",19,IF(Atletas!E155="Adulto 90kg",20,IF(Atletas!E155="Adulto 100kg",21,IF(Atletas!E155="Adulto +100kg",22,""))))))))))))))))))))))))</f>
        <v/>
      </c>
      <c r="AX164" s="6" t="str">
        <f>IF(Atletas!F155="","",IF(Atletas!B155="Feminino",100,IF(Atletas!B155="Masculino",200,""))+(IF(Atletas!F155="Adulto 48kg",1,IF(Atletas!F155="Adulto 56kg",2,IF(Atletas!F155="Adulto 65kg",3,IF(Atletas!F155="Adulto 75kg",4,IF(Atletas!F155="Adulto +75kg",5,IF(Atletas!F155="Adulto 52kg",6,IF(Atletas!F155="Adulto 60kg",7,IF(Atletas!F155="Adulto 70kg",8,IF(Atletas!F155="Adulto 80kg",9,IF(Atletas!F155="Adulto 90kg",10,IF(Atletas!F155="Adulto +90kg",11,"")))))))))))))</f>
        <v/>
      </c>
      <c r="BC164" s="6" t="str">
        <f>IF(Atletas!G155="","",IF(Atletas!B155="Feminino",10,IF(Atletas!B155="Masculino",20,""))+(IF(Atletas!G155="Baduanjin A",1,IF(Atletas!G155="Baduanjin B",2))))</f>
        <v/>
      </c>
      <c r="BF164" s="52" t="str">
        <f>IF(Atletas!H155="","",IF(Atletas!B155="Feminino",100,IF(Atletas!B155="Masculino",200,""))+(IF(Atletas!H155="Changquan Mirim",1,IF(Atletas!H155="Nanquan Mirim",2,IF(Atletas!H155="Taijiquan Mirim",3,IF(Atletas!H155="Changquan Grupo C",4,IF(Atletas!H155="Nanquan Grupo C",5,IF(Atletas!H155="Taijiquan Grupo C",6,IF(Atletas!H155="Changquan Grupo B",7,IF(Atletas!H155="Nanquan Grupo B",8,IF(Atletas!H155="Taijiquan Grupo B",9,IF(Atletas!H155="Changquan Grupo A",10,IF(Atletas!H155="Nanquan Grupo A",11,IF(Atletas!H155="Taijiquan Grupo A",12,IF(Atletas!H155="Changquan Opcional",13,IF(Atletas!H155="Nanquan Opcional",14,IF(Atletas!H155="Taijiquan Opcional",15,IF(Atletas!H155="Changquan Adulto",16,IF(Atletas!H155="Nanquan Adulto",17,IF(Atletas!H155="Taijiquan Adulto",18,""))))))))))))))))))))</f>
        <v/>
      </c>
      <c r="BG164" s="52" t="str">
        <f>IF(Atletas!I155="","",IF(Atletas!B155="Feminino",100,IF(Atletas!B155="Masculino",200,""))+(IF(Atletas!I155="Daoshu Mirim",19,IF(Atletas!I155="Jianshu Mirim",20,IF(Atletas!I155="Nandao Mirim",21,IF(Atletas!I155="Taijijian Mirim",22,IF(Atletas!I155="Daoshu Grupo C",23,IF(Atletas!I155="Jianshu Grupo C",24,IF(Atletas!I155="Nandao Grupo C",25,IF(Atletas!I155="Taijijian Grupo C",26,IF(Atletas!I155="Daoshu Grupo B",27,IF(Atletas!I155="Jianshu Grupo B",28,IF(Atletas!I155="Nandao Grupo B",29,IF(Atletas!I155="Taijijian Grupo B",30,IF(Atletas!I155="Daoshu Grupo A",31,IF(Atletas!I155="Jianshu Grupo A",32,IF(Atletas!I155="Nandao Grupo A",33,IF(Atletas!I155="Taijijian Grupo A",34,IF(Atletas!I155="Daoshu Opcional",35,IF(Atletas!I155="Jianshu Opcional",36,IF(Atletas!I155="Nandao Opcional",37,IF(Atletas!I155="Taijijian Opcional",38,IF(Atletas!I155="Daoshu Adulto",39,IF(Atletas!I155="Jianshu Adulto",40,IF(Atletas!I155="Nandao Adulto",41,IF(Atletas!I155="Taijijian Adulto",42,""))))))))))))))))))))))))))</f>
        <v/>
      </c>
      <c r="BH164" s="52" t="str">
        <f>IF(Atletas!J155="","",IF(Atletas!B155="Feminino",100,IF(Atletas!B155="Masculino",200,""))+(IF(Atletas!J155="Gunshu Mirim",43,IF(Atletas!J155="Qiangshu Mirim",44,IF(Atletas!J155="Nangun Mirim",45,IF(Atletas!J155="Gunshu Grupo C",46,IF(Atletas!J155="Qiangshu Grupo C",47,IF(Atletas!J155="Nangun Grupo C",48,IF(Atletas!J155="Gunshu Grupo B",49,IF(Atletas!J155="Qiangshu Grupo B",50,IF(Atletas!J155="Nangun Grupo B",51,IF(Atletas!J155="Gunshu Grupo A",52,IF(Atletas!J155="Qiangshu Grupo A",53,IF(Atletas!J155="Nangun Grupo A",54,IF(Atletas!J155="Gunshu Opcional",55,IF(Atletas!J155="Qiangshu Opcional",56,IF(Atletas!J155="Nangun Opcional",57,IF(Atletas!J155="Gunshu Adulto",58,IF(Atletas!J155="Qiangshu Adulto",59,IF(Atletas!J155="Nangun Adulto",60,IF(Atletas!J155="Taijishan Grupo B",61,IF(Atletas!J155="Taijishan Grupo A",62,""))))))))))))))))))))))</f>
        <v/>
      </c>
      <c r="BM164" s="50" t="str">
        <f>IF(Atletas!K155="","",IF(Atletas!B155="Feminino",100,IF(Atletas!B155="Masculino",200,""))+(IF(Atletas!K155="Equipe 1 Grupo B",1,IF(Atletas!K155="Equipe 2 Grupo B",2,IF(Atletas!K155="Equipe 1 Grupo A",3,IF(Atletas!K155="Equipe 2 Grupo A",4,IF(Atletas!K155="Equipe 1 Adulto",5,IF(Atletas!K155="Equipe 2 Adulto",6,""))))))))</f>
        <v/>
      </c>
      <c r="BR164" s="50" t="str">
        <f>IF(Atletas!L155="","",IF(Atletas!X155&lt;&gt;"",10000,0)+(IF(Atletas!B155="Feminino",1000,IF(Atletas!B155="Masculino",2000,""))+IF(Atletas!L155="Choylayfut A",1,IF(Atletas!L155="Hunggar A",2,IF(Atletas!L155="Wuzuquan A",3,IF(Atletas!L155="Wingchun A",4,IF(Atletas!L155="Outra Mão de Sul A",5,IF(Atletas!L155="Choylayfut B",6,IF(Atletas!L155="Hunggar B",7,IF(Atletas!L155="Wuzuquan B",8,IF(Atletas!L155="Wingchun B",9,IF(Atletas!L155="Outra Mão de Sul B",10,IF(Atletas!L155="Choylayfut C",11,IF(Atletas!L155="Hunggar C",12,IF(Atletas!L155="Wuzuquan C",13,IF(Atletas!L155="Wingchun C",14,IF(Atletas!L155="Outra Mão de Sul C",15,IF(Atletas!L155="Choylayfut D",16,IF(Atletas!L155="Hunggar D",17,IF(Atletas!L155="Wuzuquan D",18,IF(Atletas!L155="Wingchun D",19,IF(Atletas!L155="Outra Mão de Sul D",20,IF(Atletas!L155="Choylayfut E",21,IF(Atletas!L155="Hunggar E",22,IF(Atletas!L155="Wuzuquan E",23,IF(Atletas!L155="Wingchun E",24,IF(Atletas!L155="Outra Mão de Sul E",25,IF(Atletas!L155="Choylayfut F",26,IF(Atletas!L155="Hunggar F",27,IF(Atletas!L155="Wuzuquan F",28,IF(Atletas!L155="Wingchun F",29,IF(Atletas!L155="Outra Mão de Sul F",30,IF(Atletas!L155="Dishuquan A",31,IF(Atletas!L155="Dishuquan B",32,IF(Atletas!L155="Dishuquan C",33,IF(Atletas!L155="Dishuquan D",34,IF(Atletas!L155="Dishuquan E",35,IF(Atletas!L155="Dishuquan F",36,""))))))))))))))))))))))))))))))))))))))</f>
        <v/>
      </c>
      <c r="BS164" s="50" t="str">
        <f>IF(Atletas!M155="","",IF(Atletas!X155&lt;&gt;"",10000,0)+(IF(Atletas!B155="Feminino",1000,IF(Atletas!B155="Masculino",2000,""))+(IF(Atletas!M155="Chaquan A",101,IF(Atletas!M155="Emeiquan A",102,IF(Atletas!M155="Fanziquan A",103,IF(Atletas!M155="Huaquan A",104,IF(Atletas!M155="Hongquan A",105,IF(Atletas!M155="Paoquan A",106,IF(Atletas!M155="Piguaquan A",107,IF(Atletas!M155="Shaolinquan A",108,IF(Atletas!M155="Tanglangquan A",109,IF(Atletas!M155="Yingzhaoquan A",110,IF(Atletas!M155="Tongbeiquan A",111,IF(Atletas!M155="Wudangquan A",112,IF(Atletas!M155="Outros Estilos A",113,IF(Atletas!M155="Chaquan B",114,IF(Atletas!M155="Emeiquan B",115,IF(Atletas!M155="Fanziquan B",116,IF(Atletas!M155="Huaquan B",117,IF(Atletas!M155="Hongquan B",118,IF(Atletas!M155="Paoquan B",119,IF(Atletas!M155="Piguaquan B",120,IF(Atletas!M155="Shaolinquan B",121,IF(Atletas!M155="Tanglangquan B",122,IF(Atletas!M155="Yingzhaoquan B",123,IF(Atletas!M155="Tongbeiquan B",124,IF(Atletas!M155="Wudangquan B",125,IF(Atletas!M155="Outros Estilos B",126,IF(Atletas!M155="Chaquan C",127,IF(Atletas!M155="Emeiquan C",128,IF(Atletas!M155="Fanziquan C",129,IF(Atletas!M155="Huaquan C",130,IF(Atletas!M155="Hongquan C",131,IF(Atletas!M155="Paoquan C",132,IF(Atletas!M155="Piguaquan C",133,IF(Atletas!M155="Shaolinquan C",134,IF(Atletas!M155="Tanglangquan C",135,IF(Atletas!M155="Yingzhaoquan C",136,IF(Atletas!M155="Tongbeiquan C",137,IF(Atletas!M155="Wudangquan C",138,IF(Atletas!M155="Outros Estilos C",139,0))))))))))))))))))))))))))))))))))))))))))</f>
        <v/>
      </c>
      <c r="BT164" s="50" t="str">
        <f>IF(Atletas!M155="","",IF(Atletas!X155&lt;&gt;"",10000,0)+(IF(Atletas!B155="Feminino",1000,IF(Atletas!B155="Masculino",2000,""))+(IF(Atletas!M155="Chaquan D",140,IF(Atletas!M155="Emeiquan D",141,IF(Atletas!M155="Fanziquan D",142,IF(Atletas!M155="Huaquan D",143,IF(Atletas!M155="Hongquan D",144,IF(Atletas!M155="Paoquan D",145,IF(Atletas!M155="Piguaquan D",146,IF(Atletas!M155="Shaolinquan D",147,IF(Atletas!M155="Tanglangquan D",148,IF(Atletas!M155="Yingzhaoquan D",149,IF(Atletas!M155="Tongbeiquan D",150,IF(Atletas!M155="Wudangquan D",151,IF(Atletas!M155="Outros Estilos D",152,IF(Atletas!M155="Chaquan E",153,IF(Atletas!M155="Emeiquan E",154,IF(Atletas!M155="Fanziquan E",155,IF(Atletas!M155="Huaquan E",156,IF(Atletas!M155="Hongquan E",157,IF(Atletas!M155="Paoquan E",158,IF(Atletas!M155="Piguaquan E",159,IF(Atletas!M155="Shaolinquan E",160,IF(Atletas!M155="Tanglangquan E",161,IF(Atletas!M155="Yingzhaoquan E",162,IF(Atletas!M155="Tongbeiquan E",163,IF(Atletas!M155="Wudangquan E",164,IF(Atletas!M155="Outros Estilos E",165,IF(Atletas!M155="Chaquan F",166,IF(Atletas!M155="Emeiquan F",167,IF(Atletas!M155="Fanziquan F",168,IF(Atletas!M155="Huaquan F",169,IF(Atletas!M155="Hongquan F",170,IF(Atletas!M155="Paoquan F",171,IF(Atletas!M155="Piguaquan F",172,IF(Atletas!M155="Shaolinquan F",173,IF(Atletas!M155="Tanglangquan F",174,IF(Atletas!M155="Yingzhaoquan F",175,IF(Atletas!M155="Tongbeiquan F",176,IF(Atletas!M155="Wudangquan F",177,IF(Atletas!M155="Outros Estilos F",178,0))))))))))))))))))))))))))))))))))))))))))</f>
        <v/>
      </c>
      <c r="BU164" s="50" t="str">
        <f>IF(Atletas!N155="","",IF(Atletas!X155&lt;&gt;"",10000,0)+(IF(Atletas!B155="Feminino",1000,IF(Atletas!B155="Masculino",2000,""))+(IF(Atletas!N155="Ditangquan A",201,IF(Atletas!N155="Houquan A",202,IF(Atletas!N155="Zuiquan A",203,IF(Atletas!N155="Ditangquan B",204,IF(Atletas!N155="Houquan B",205,IF(Atletas!N155="Zuiquan B",206,IF(Atletas!N155="Ditangquan C",207,IF(Atletas!N155="Houquan C",208,IF(Atletas!N155="Zuiquan C",209,IF(Atletas!N155="Ditangquan D",210,IF(Atletas!N155="Houquan D",211,IF(Atletas!N155="Zuiquan D",212,IF(Atletas!N155="Ditangquan E",213,IF(Atletas!N155="Houquan E",214,IF(Atletas!N155="Zuiquan E",215,IF(Atletas!N155="Ditangquan F",216,IF(Atletas!N155="Houquan F",217,IF(Atletas!N155="Zuiquan F",218,"")))))))))))))))))))))</f>
        <v/>
      </c>
      <c r="BV164" s="50" t="str">
        <f>IF(Atletas!O155="","",IF(Atletas!X155&lt;&gt;"",10000,0)+IF(Atletas!B155="Feminino",1000,IF(Atletas!B155="Masculino",2000,""))+IF(Atletas!O155="Yang A",301,IF(Atletas!O155="Chen A",302,IF(Atletas!O155="Sun A",303,IF(Atletas!O155="Wu A",304,IF(Atletas!O155="Wu-Hao A",305,IF(Atletas!O155="Outro Taijiquan A",306,IF(Atletas!O155="Yang B",307,IF(Atletas!O155="Chen B",308,IF(Atletas!O155="Sun B",309,IF(Atletas!O155="Wu B",310,IF(Atletas!O155="Wu-Hao B",311,IF(Atletas!O155="Outro Taijiquan B",312,IF(Atletas!O155="Yang C",313,IF(Atletas!O155="Chen C",314,IF(Atletas!O155="Sun C",315,IF(Atletas!O155="Wu C",316,IF(Atletas!O155="Wu-Hao C",317,IF(Atletas!O155="Outro Taijiquan C",318,IF(Atletas!O155="Yang D",319,IF(Atletas!O155="Chen D",320,IF(Atletas!O155="Sun D",321,IF(Atletas!O155="Wu D",322,IF(Atletas!O155="Wu-Hao D",323,IF(Atletas!O155="Outro Taijiquan D",324,IF(Atletas!O155="Yang E",325,IF(Atletas!O155="Chen E",326,IF(Atletas!O155="Sun E",327,IF(Atletas!O155="Wu E",328,IF(Atletas!O155="Wu-Hao E",329,IF(Atletas!O155="Outro Taijiquan E",330,IF(Atletas!O155="Yang F",331,IF(Atletas!O155="Chen F",332,IF(Atletas!O155="Sun F",333,IF(Atletas!O155="Wu F",334,IF(Atletas!O155="Wu-Hao F",335,IF(Atletas!O155="Outro Taijiquan F",336,"")))))))))))))))))))))))))))))))))))))</f>
        <v/>
      </c>
      <c r="BW164" s="50" t="str">
        <f>IF(Atletas!P155="","",IF(Atletas!X155&lt;&gt;"",10000,0)+IF(Atletas!B155="Feminino",1000,IF(Atletas!B155="Masculino",2000,""))+IF(OR(Atletas!P155="Yang 26 A",Atletas!P155="Yang 40 A"),401,IF(OR(Atletas!P155="Chen 25 A",Atletas!P155="Chen 36 A",Atletas!P155="Chen 56 A"),402,IF(Atletas!P155="Sun 73 A",403,IF(Atletas!P155="Wu 45 A",404,IF(Atletas!P155="Wu-Hao 46 A",405,IF(OR(Atletas!P155="Taijiquan 16 A",Atletas!P155="Taijiquan 24 A",Atletas!P155="Taijiquan 32 A",Atletas!P155="Taijiquan 42 A"),406,IF(OR(Atletas!P155="Yang 26 B",Atletas!P155="Yang 40 B"),407,IF(OR(Atletas!P155="Chen 25 B",Atletas!P155="Chen 36 B",Atletas!P155="Chen 56 B"),408,IF(Atletas!P155="Sun 73 B",409,IF(Atletas!P155="Wu 45 B",410,IF(Atletas!P155="Wu-Hao 46 B",411,IF(OR(Atletas!P155="Taijiquan 16 B",Atletas!P155="Taijiquan 24 B",Atletas!P155="Taijiquan 32 B",Atletas!P155="Taijiquan 42 B"),412,IF(OR(Atletas!P155="Yang 26 C",Atletas!P155="Yang 40 C"),413,IF(OR(Atletas!P155="Chen 25 C",Atletas!P155="Chen 36 C",Atletas!P155="Chen 56 C"),414,IF(Atletas!P155="Sun 73 C",415,IF(Atletas!P155="Wu 45 C",416,IF(Atletas!P155="Wu-Hao 46 C",417,IF(OR(Atletas!P155="Taijiquan 16 C",Atletas!P155="Taijiquan 24 C",Atletas!P155="Taijiquan 32 C",Atletas!P155="Taijiquan 42 C"),418,0)))))))))))))))))))</f>
        <v/>
      </c>
      <c r="BX164" s="50" t="str">
        <f>IF(Atletas!P155="","",IF(Atletas!X155&lt;&gt;"",10000,0)+IF(Atletas!B155="Feminino",1000,IF(Atletas!B155="Masculino",2000,""))+IF(OR(Atletas!P155="Yang 26 D",Atletas!P155="Yang 40 D"),419,IF(OR(Atletas!P155="Chen 25 D",Atletas!P155="Chen 36 D",Atletas!P155="Chen 56 D"),420,IF(Atletas!P155="Sun 73 D",421,IF(Atletas!P155="Wu 45 D",422,IF(Atletas!P155="Wu-Hao 46 D",423,IF(OR(Atletas!P155="Taijiquan 16 D",Atletas!P155="Taijiquan 24 D",Atletas!P155="Taijiquan 32 D",Atletas!P155="Taijiquan 42 D"),424,IF(OR(Atletas!P155="Yang 26 E",Atletas!P155="Yang 40 E"),425,IF(OR(Atletas!P155="Chen 25 E",Atletas!P155="Chen 36 E",Atletas!P155="Chen 56 E"),426,IF(Atletas!P155="Sun 73 E",427,IF(Atletas!P155="Wu 45 E",428,IF(Atletas!P155="Wu-Hao 46 E",429,IF(OR(Atletas!P155="Taijiquan 16 E",Atletas!P155="Taijiquan 24 E",Atletas!P155="Taijiquan 32 E",Atletas!P155="Taijiquan 42 E"),430,IF(OR(Atletas!P155="Yang 26 F",Atletas!P155="Yang 40 F"),431,IF(OR(Atletas!P155="Chen 25 F",Atletas!P155="Chen 36 F",Atletas!P155="Chen 56 F"),432,IF(Atletas!P155="Sun 73 F",433,IF(Atletas!P155="Wu 45 F",434,IF(Atletas!P155="Wu-Hao 46 F",435,IF(OR(Atletas!P155="Taijiquan 16 F",Atletas!P155="Taijiquan 24 F",Atletas!P155="Taijiquan 32 F",Atletas!P155="Taijiquan 42 F"),436,0)))))))))))))))))))</f>
        <v/>
      </c>
      <c r="BY164" s="50" t="str">
        <f>IF(Atletas!Q155="","",IF(Atletas!X155&lt;&gt;"",10000,0)+IF(Atletas!B155="Feminino",1000,IF(Atletas!B155="Masculino",2000,""))+IF(Atletas!Q155="Xingyiquan A",501,IF(Atletas!Q155="Baguazhang A",502,IF(Atletas!Q155="Outro Estilo Interno A",503,IF(Atletas!Q155="Xingyiquan B",504,IF(Atletas!Q155="Baguazhang B",505,IF(Atletas!Q155="Outro Estilo Interno B",506,IF(Atletas!Q155="Xingyiquan C",507,IF(Atletas!Q155="Baguazhang C",508,IF(Atletas!Q155="Outro Estilo Interno C",509,IF(Atletas!Q155="Xingyiquan D",510,IF(Atletas!Q155="Baguazhang D",511,IF(Atletas!Q155="Outro Estilo Interno D",512,IF(Atletas!Q155="Xingyiquan E",513,IF(Atletas!Q155="Baguazhang E",514,IF(Atletas!Q155="Outro Estilo Interno E",515,IF(Atletas!Q155="Xingyiquan F",516,IF(Atletas!Q155="Baguazhang F",517,IF(Atletas!Q155="Outro Estilo Interno F",518, "")))))))))))))))))))</f>
        <v/>
      </c>
      <c r="BZ164" s="50" t="str">
        <f>IF(Atletas!R155="","",IF(Atletas!X155&lt;&gt;"",10000,0)+IF(Atletas!B155="Feminino",1000,IF(Atletas!B155="Masculino",2000,""))+IF(Atletas!R155="Dao A",601,IF(Atletas!R155="Jian A",602,IF(Atletas!R155="Bishou A",603,IF(Atletas!R155="Shanzi A",604,IF(Atletas!R155="Outra Arma Curta A",605,IF(Atletas!R155="Dao B",606,IF(Atletas!R155="Jian B",607,IF(Atletas!R155="Bishou B",608,IF(Atletas!R155="Shanzi B",609,IF(Atletas!R155="Outra Arma Curta B",610,IF(Atletas!R155="Dao C",611,IF(Atletas!R155="Jian C",612,IF(Atletas!R155="Bishou C",613,IF(Atletas!R155="Shanzi C",614,IF(Atletas!R155="Outra Arma Curta C",615,IF(Atletas!R155="Dao D",616,IF(Atletas!R155="Jian D",617,IF(Atletas!R155="Bishou D",618,IF(Atletas!R155="Shanzi D",619,IF(Atletas!R155="Outra Arma Curta D",620,IF(Atletas!R155="Dao E",621,IF(Atletas!R155="Jian E",622,IF(Atletas!R155="Bishou E",623,IF(Atletas!R155="Shanzi E",624,IF(Atletas!R155="Outra Arma Curta E",625,IF(Atletas!R155="Dao F",626,IF(Atletas!R155="Jian F",627,IF(Atletas!R155="Bishou F",628,IF(Atletas!R155="Shanzi F",629,IF(Atletas!R155="Outra Arma Curta F",630, "")))))))))))))))))))))))))))))))</f>
        <v/>
      </c>
      <c r="CA164" s="50" t="str">
        <f>IF(Atletas!S155="","",IF(Atletas!X155&lt;&gt;"",10000,0)+IF(Atletas!B155="Feminino",1000,IF(Atletas!B155="Masculino",2000,""))+IF(Atletas!S155="Gun A",701,IF(Atletas!S155="Qiang A",702,IF(Atletas!S155="Pudao / Guandao A",703,IF(Atletas!S155="Outra Arma Longa A",704,IF(Atletas!S155="Gun B",705,IF(Atletas!S155="Qiang B",706,IF(Atletas!S155="Pudao / Guandao B",707,IF(Atletas!S155="Outra Arma Longa B",708,IF(Atletas!S155="Gun C",709,IF(Atletas!S155="Qiang C",710,IF(Atletas!S155="Pudao / Guandao C",711,IF(Atletas!S155="Outra Arma Longa C",712,IF(Atletas!S155="Gun D",713,IF(Atletas!S155="Qiang D",714,IF(Atletas!S155="Pudao / Guandao D",715,IF(Atletas!S155="Outra Arma Longa D",716,IF(Atletas!S155="Gun E",717,IF(Atletas!S155="Qiang E",718,IF(Atletas!S155="Pudao / Guandao E",719,IF(Atletas!S155="Outra Arma Longa E",720,IF(Atletas!S155="Gun F",721,IF(Atletas!S155="Qiang F",722,IF(Atletas!S155="Pudao / Guandao F",723,IF(Atletas!S155="Outra Arma Longa F",724,"")))))))))))))))))))))))))</f>
        <v/>
      </c>
      <c r="CB164" s="50" t="str">
        <f>IF(Atletas!T155="","",IF(Atletas!X155&lt;&gt;"",10000,0)+IF(Atletas!B155="Feminino",1000,IF(Atletas!B155="Masculino",2000,""))+IF(Atletas!T155="Outra Arma Dupla A",801,IF(Atletas!T155="Arma Maleável A",802,IF(Atletas!T155="Outra Arma Dupla B",803,IF(Atletas!T155="Arma Maleável B",804,IF(Atletas!T155="Outra Arma Dupla C",805,IF(Atletas!T155="Arma Maleável C",806,IF(Atletas!T155="Outra Arma Dupla D",807,IF(Atletas!T155="Arma Maleável D",808,IF(Atletas!T155="Outra Arma Dupla E",809,IF(Atletas!T155="Arma Maleável E",810,IF(Atletas!T155="Outra Arma Dupla F",811,IF(Atletas!T155="Arma Maleável F",812,IF(Atletas!T155="Shuangdao A",813,IF(Atletas!T155="Shuangdao B",814,IF(Atletas!T155="Shuangdao C",815,IF(Atletas!T155="Shuangdao D",816,IF(Atletas!T155="Shuangdao E",817,IF(Atletas!T155="Shuangdao F",818,"")))))))))))))))))))</f>
        <v/>
      </c>
      <c r="CC164" s="50" t="str">
        <f>IF(Atletas!U155="","",IF(Atletas!X155&lt;&gt;"",10000,0)+IF(Atletas!B155="Feminino",1000,IF(Atletas!B155="Masculino",2000,""))+IF(OR(Atletas!U155="Taijijian Yang A",Atletas!U155="Taijijian Yang Standard A"),901,IF(OR(Atletas!U155="Taijijian Chen A", Atletas!U155="Taijijian Chen Standard A"),902,IF(Atletas!U155="Taijijian Sun A",903,IF(Atletas!U155="Taijijian Wu A",904,IF(Atletas!U155="Taijijian Wu-Hao A",905,IF(OR(Atletas!U155="Taijijian 32 A",Atletas!U155="Taijijian 42 A"),906,IF(OR(Atletas!U155="Taijijian Yang B",Atletas!U155="Taijijian Yang Standard B"),907,IF(OR(Atletas!U155="Taijijian Chen B", Atletas!U155="Taijijian Chen Standard B"),908,IF(Atletas!U155="Taijijian Sun B",909,IF(Atletas!U155="Taijijian Wu B",910,IF(Atletas!U155="Taijijian Wu-Hao B",911,IF(OR(Atletas!U155="Taijijian 32 B",Atletas!U155="Taijijian 42 B"),912,IF(OR(Atletas!U155="Taijijian Yang C",Atletas!U155="Taijijian Yang Standard C"),913,IF(OR(Atletas!U155="Taijijian Chen C", Atletas!U155="Taijijian Chen Standard C"),914,IF(Atletas!U155="Taijijian Sun C",915,IF(Atletas!U155="Taijijian Wu C",916,IF(Atletas!U155="Taijijian Wu-Hao C",917,IF(OR(Atletas!U155="Taijijian 32 C",Atletas!U155="Taijijian 42 C"),918,IF(OR(Atletas!U155="Taijijian Yang D",Atletas!U155="Taijijian Yang Standard D"),919,IF(OR(Atletas!U155="Taijijian Chen D", Atletas!U155="Taijijian Chen Standard D"),920,IF(Atletas!U155="Taijijian Sun D",921,IF(Atletas!U155="Taijijian Wu D",922,IF(Atletas!U155="Taijijian Wu-Hao D",923,IF(OR(Atletas!U155="Taijijian 32 D",Atletas!U155="Taijijian 42 D"),924,IF(OR(Atletas!U155="Taijijian Yang E",Atletas!U155="Taijijian Yang Standard E"),925,IF(OR(Atletas!U155="Taijijian Chen E", Atletas!U155="Taijijian Chen Standard E"),926,IF(Atletas!U155="Taijijian Sun E",927,IF(Atletas!U155="Taijijian Wu E",928,IF(Atletas!U155="Taijijian Wu-Hao E",929,IF(OR(Atletas!U155="Taijijian 32 E",Atletas!U155="Taijijian 42 E"),930,IF(OR(Atletas!U155="Taijijian Yang F",Atletas!U155="Taijijian Yang Standard F"),931,IF(OR(Atletas!U155="Taijijian Chen F", Atletas!U155="Taijijian Chen Standard F"),932,IF(Atletas!U155="Taijijian Sun F",933,IF(Atletas!U155="Taijijian Wu F",934,IF(Atletas!U155="Taijijian Wu-Hao F",935,IF(OR(Atletas!U155="Taijijian 32 F",Atletas!U155="Taijijian 42 F"),936,"")))))))))))))))))))))))))))))))))))))</f>
        <v/>
      </c>
      <c r="CD164" s="50" t="str">
        <f>IF(Atletas!V155="","",IF(Atletas!X155&lt;&gt;"",10000,0)+IF(Atletas!B155="Feminino",1000,IF(Atletas!B155="Masculino",2000,""))+IF(Atletas!V155="Taijidao A",937,IF(Atletas!V155="TaijiShanzi A",938,IF(Atletas!V155="Taijiqiang A",939,IF(Atletas!V155="Bagua de Arma A",940,IF(Atletas!V155="Xingyi de Arma A",941,IF(Atletas!V155="Taijidao B",942,IF(Atletas!V155="TaijiShanzi B",943,IF(Atletas!V155="Taijiqiang B",944,IF(Atletas!V155="Bagua de Arma B",945,IF(Atletas!V155="Xingyi de Arma B",946,IF(Atletas!V155="Taijidao C",947,IF(Atletas!V155="TaijiShanzi C",948,IF(Atletas!V155="Taijiqiang C",949,IF(Atletas!V155="Bagua de Arma C",950,IF(Atletas!V155="Xingyi de Arma C",951,IF(Atletas!V155="Taijidao D",952,IF(Atletas!V155="TaijiShanzi D",953,IF(Atletas!V155="Taijiqiang D",954,IF(Atletas!V155="Bagua de Arma D",955,IF(Atletas!V155="Xingyi de Arma D",956,IF(Atletas!V155="Taijidao E",957,IF(Atletas!V155="TaijiShanzi E",958,IF(Atletas!V155="Taijiqiang E",959,IF(Atletas!V155="Bagua de Arma E",960,IF(Atletas!V155="Xingyi de Arma E",961,IF(Atletas!V155="Taijidao F",962,IF(Atletas!V155="TaijiShanzi F",963,IF(Atletas!V155="Taijiqiang F",964,IF(Atletas!V155="Bagua de Arma F",965,IF(Atletas!V155="Xingyi de Arma F",966,"")))))))))))))))))))))))))))))))</f>
        <v/>
      </c>
      <c r="CE164" s="66" t="str">
        <f>IF(CF164&lt;&gt;"","TJQ Trad. Chen E","")</f>
        <v/>
      </c>
      <c r="CF164" s="66" t="str">
        <f>IF(COUNTIF(BR:CD,1326)&gt;0,COUNTIF(BR:CD,1326),"")</f>
        <v/>
      </c>
      <c r="CG164" s="66" t="str">
        <f>IF(CH164&lt;&gt;"","TJQ Trad. Chen E","")</f>
        <v/>
      </c>
      <c r="CH164" s="66" t="str">
        <f>IF(COUNTIF(BR:CD,2326)&gt;0,COUNTIF(BR:CD,2326),"")</f>
        <v/>
      </c>
      <c r="CI164" s="66" t="str">
        <f>IF(CJ164&lt;&gt;"","TJQ Trad. Chen F","")</f>
        <v/>
      </c>
      <c r="CJ164" s="66" t="str">
        <f>IF(COUNTIF(BR:CD,11332)&gt;0,COUNTIF(BR:CD,11332),"")</f>
        <v/>
      </c>
      <c r="CK164" s="66" t="str">
        <f>IF(CL164&lt;&gt;"","TJQ Trad. Chen F","")</f>
        <v/>
      </c>
      <c r="CL164" s="66" t="str">
        <f>IF(COUNTIF(BR:CD,12332)&gt;0,COUNTIF(BR:CD,12332),"")</f>
        <v/>
      </c>
      <c r="CM164" s="50" t="str">
        <f xml:space="preserve"> IF(Atletas!W155="","",IF(Atletas!W155="Duilian de Mãos BC - Equipe 1",1,IF(Atletas!W155="Duilian de Mãos BC - Equipe 2",2,IF(Atletas!W155="Duilian de Armas BC - Equipe 1",3,IF(Atletas!W155="Duilian de Armas BC - Equipe 2",4,IF(Atletas!W155="Duilian de Mãos DE - Equipe 1",5,IF(Atletas!W155="Duilian de Mãos DE - Equipe 2",6,IF(Atletas!W155="Duilian de Armas DE - Equipe 1",7,IF(Atletas!W155="Duilian de Armas DE - Equipe 2",8,IF(Atletas!W155="Duilian de Tuishou - Equipe 1",9,IF(Atletas!W155="Duilian de Tuishou - Equipe 2",10,IF(Atletas!W155="Grupo Externo ABC - Equipe 1",11,IF(Atletas!W155="Grupo Externo ABC - Equipe 2",12,IF(Atletas!W155="Grupo Interno ABC - Equipe 1",13,IF(Atletas!W155="Grupo Interno ABC - Equipe 2",14,IF(Atletas!W155="Grupo Externo DEF - Equipe 1",15,IF(Atletas!W155="Grupo Externo DEF - Equipe 2",16,IF(Atletas!W155="Grupo Interno DEF - Equipe 1",17,IF(Atletas!W155="Grupo Interno DEF - Equipe 2",18,"")))))))))))))))))))</f>
        <v/>
      </c>
    </row>
    <row r="165" spans="2:91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 t="str">
        <f t="array" ref="Z165">IFERROR(INDEX(CE$7:CE$348,SMALL(IF(CE$7:CE$348&lt;&gt;"",ROW(CE$7:CE$348)-ROW(CE$7)+1),ROWS(CE$7:CE164))),"")</f>
        <v/>
      </c>
      <c r="AA165" s="3" t="str">
        <f t="array" ref="AA165">IFERROR(INDEX(CF$7:CF$348,SMALL(IF(CF$7:CF$348&lt;&gt;"",ROW(CF$7:CF$348)-ROW(CF$7)+1),ROWS(CF$7:CF164))),"")</f>
        <v/>
      </c>
      <c r="AB165" s="3" t="str">
        <f t="array" ref="AB165">IFERROR(INDEX(CG$7:CG$348,SMALL(IF(CG$7:CG$348&lt;&gt;"",ROW(CG$7:CG$348)-ROW(CG$7)+1),ROWS(CG$7:CG164))),"")</f>
        <v/>
      </c>
      <c r="AC165" s="3" t="str">
        <f t="array" ref="AC165">IFERROR(INDEX(CH$7:CH$348,SMALL(IF(CH$7:CH$348&lt;&gt;"",ROW(CH$7:CH$348)-ROW(CH$7)+1),ROWS(CH$7:CH164))),"")</f>
        <v/>
      </c>
      <c r="AD165" s="3" t="str">
        <f t="array" ref="AD165">IFERROR(INDEX(CI$7:CI$377,SMALL(IF(CI$7:CI$377&lt;&gt;"",ROW(CI$7:CI$377)-ROW(CI$7)+1),ROWS(CI$7:CI164))),"")</f>
        <v/>
      </c>
      <c r="AE165" s="3" t="str">
        <f t="array" ref="AE165">IFERROR(INDEX(CJ$7:CJ$378,SMALL(IF(CJ$7:CJ$378&lt;&gt;"",ROW(CJ$7:CJ$378)-ROW(CJ$7)+1),ROWS(CJ$7:CJ164))),"")</f>
        <v/>
      </c>
      <c r="AF165" s="3" t="str">
        <f t="array" ref="AF165">IFERROR(INDEX(CK$7:CK$378,SMALL(IF(CK$7:CK$378&lt;&gt;"",ROW(CK$7:CK$378)-ROW(CK$7)+1),ROWS(CK$7:CK164))),"")</f>
        <v/>
      </c>
      <c r="AG165" s="3" t="str">
        <f t="array" ref="AG165">IFERROR(INDEX(CL$7:CL$378,SMALL(IF(CL$7:CL$378&lt;&gt;"",ROW(CL$7:CL$378)-ROW(CL$7)+1),ROWS(CL$7:CL164))),"")</f>
        <v/>
      </c>
      <c r="AH165" s="3"/>
      <c r="AI165" s="3"/>
      <c r="AJ165" s="3"/>
      <c r="AK165" s="3"/>
      <c r="AL165" s="3"/>
      <c r="AM165" s="3"/>
      <c r="AN165" s="52" t="str">
        <f>IF(Atletas!D156="","",IF(Atletas!B156="Feminino",100,IF(Atletas!B156="Masculino",200,""))+(IF(Atletas!D156="Kids 30kg",1,IF(Atletas!D156="Kids 32kg",2, IF(Atletas!D156="Kids 34kg",3,IF(Atletas!D156="Kids 36kg",4,IF(Atletas!D156="Kids 39kg",5,IF(Atletas!D156="Kids 42kg",6,IF(Atletas!D156="Kids 45kg",7, IF(Atletas!D156="Infantil 39kg",8,IF(Atletas!D156="Infantil 42kg",9,IF(Atletas!D156="Infantil 45kg",10,IF(Atletas!D156="Infantil 48kg",11,IF(Atletas!D156="Infantil 52kg",12,IF(Atletas!D156="Infantil 56kg",13,IF(Atletas!D156="Infantil 60kg",14,IF(Atletas!D156="Juvenil 48kg",15,IF(Atletas!D156="Juvenil 52kg",16,IF(Atletas!D156="Juvenil 56kg",17,IF(Atletas!D156="Juvenil 60kg",18,IF(Atletas!D156="Juvenil 65kg",19,IF(Atletas!D156="Juvenil 70kg",20,IF(Atletas!D156="Juvenil 75kg",21,IF(Atletas!D156="Juvenil 80kg",22, IF(Atletas!D156="Juvenil 85kg",23,IF(Atletas!D156="Adulto 48kg",24,IF(Atletas!D156="Adulto 52kg",25,IF(Atletas!D156="Adulto 56kg",26,IF(Atletas!D156="Adulto 60kg",27,IF(Atletas!D156="Adulto 65kg",28,IF(Atletas!D156="Adulto 70kg",29,IF(Atletas!D156="Adulto 75kg",30,IF(Atletas!D156="Adulto 80kg",31,IF(Atletas!D156="Adulto 85kg",32,IF(Atletas!D156="Adulto 90kg",33,IF(Atletas!D156="Adulto 100kg",34, IF(Atletas!D156="Adulto +100kg",35,"")))))))))))))))))))))))))))))))))))))</f>
        <v/>
      </c>
      <c r="AS165" s="6" t="str">
        <f>IF(Atletas!E156="","",IF(Atletas!B156="Feminino",100,IF(Atletas!B156="Masculino",200,""))+(IF(Atletas!E156="Juvenil 44kg",1,IF(Atletas!E156="Juvenil 48kg",2,IF(Atletas!E156="Juvenil 52kg",3,IF(Atletas!E156="Juvenil 56kg",4,IF(Atletas!E156="Juvenil 60kg",5,IF(Atletas!E156="Juvenil 65kg",6,IF(Atletas!E156="Juvenil 70kg",7,IF(Atletas!E156="Juvenil 75kg",8,IF(Atletas!E156="Juvenil 82kg",9,IF(Atletas!E156="Juvenil 90kg",10,IF(Atletas!E156="Juvenil 100kg",11,IF(Atletas!E156="Adulto 48kg",12,IF(Atletas!E156="Adulto 52kg",13,IF(Atletas!E156="Adulto 56kg",14,IF(Atletas!E156="Adulto 60kg",15,IF(Atletas!E156="Adulto 65kg",16,IF(Atletas!E156="Adulto 70kg",17,IF(Atletas!E156="Adulto 75kg",18,IF(Atletas!E156="Adulto 82kg",19,IF(Atletas!E156="Adulto 90kg",20,IF(Atletas!E156="Adulto 100kg",21,IF(Atletas!E156="Adulto +100kg",22,""))))))))))))))))))))))))</f>
        <v/>
      </c>
      <c r="AX165" s="6" t="str">
        <f>IF(Atletas!F156="","",IF(Atletas!B156="Feminino",100,IF(Atletas!B156="Masculino",200,""))+(IF(Atletas!F156="Adulto 48kg",1,IF(Atletas!F156="Adulto 56kg",2,IF(Atletas!F156="Adulto 65kg",3,IF(Atletas!F156="Adulto 75kg",4,IF(Atletas!F156="Adulto +75kg",5,IF(Atletas!F156="Adulto 52kg",6,IF(Atletas!F156="Adulto 60kg",7,IF(Atletas!F156="Adulto 70kg",8,IF(Atletas!F156="Adulto 80kg",9,IF(Atletas!F156="Adulto 90kg",10,IF(Atletas!F156="Adulto +90kg",11,"")))))))))))))</f>
        <v/>
      </c>
      <c r="BC165" s="6" t="str">
        <f>IF(Atletas!G156="","",IF(Atletas!B156="Feminino",10,IF(Atletas!B156="Masculino",20,""))+(IF(Atletas!G156="Baduanjin A",1,IF(Atletas!G156="Baduanjin B",2))))</f>
        <v/>
      </c>
      <c r="BF165" s="52" t="str">
        <f>IF(Atletas!H156="","",IF(Atletas!B156="Feminino",100,IF(Atletas!B156="Masculino",200,""))+(IF(Atletas!H156="Changquan Mirim",1,IF(Atletas!H156="Nanquan Mirim",2,IF(Atletas!H156="Taijiquan Mirim",3,IF(Atletas!H156="Changquan Grupo C",4,IF(Atletas!H156="Nanquan Grupo C",5,IF(Atletas!H156="Taijiquan Grupo C",6,IF(Atletas!H156="Changquan Grupo B",7,IF(Atletas!H156="Nanquan Grupo B",8,IF(Atletas!H156="Taijiquan Grupo B",9,IF(Atletas!H156="Changquan Grupo A",10,IF(Atletas!H156="Nanquan Grupo A",11,IF(Atletas!H156="Taijiquan Grupo A",12,IF(Atletas!H156="Changquan Opcional",13,IF(Atletas!H156="Nanquan Opcional",14,IF(Atletas!H156="Taijiquan Opcional",15,IF(Atletas!H156="Changquan Adulto",16,IF(Atletas!H156="Nanquan Adulto",17,IF(Atletas!H156="Taijiquan Adulto",18,""))))))))))))))))))))</f>
        <v/>
      </c>
      <c r="BG165" s="52" t="str">
        <f>IF(Atletas!I156="","",IF(Atletas!B156="Feminino",100,IF(Atletas!B156="Masculino",200,""))+(IF(Atletas!I156="Daoshu Mirim",19,IF(Atletas!I156="Jianshu Mirim",20,IF(Atletas!I156="Nandao Mirim",21,IF(Atletas!I156="Taijijian Mirim",22,IF(Atletas!I156="Daoshu Grupo C",23,IF(Atletas!I156="Jianshu Grupo C",24,IF(Atletas!I156="Nandao Grupo C",25,IF(Atletas!I156="Taijijian Grupo C",26,IF(Atletas!I156="Daoshu Grupo B",27,IF(Atletas!I156="Jianshu Grupo B",28,IF(Atletas!I156="Nandao Grupo B",29,IF(Atletas!I156="Taijijian Grupo B",30,IF(Atletas!I156="Daoshu Grupo A",31,IF(Atletas!I156="Jianshu Grupo A",32,IF(Atletas!I156="Nandao Grupo A",33,IF(Atletas!I156="Taijijian Grupo A",34,IF(Atletas!I156="Daoshu Opcional",35,IF(Atletas!I156="Jianshu Opcional",36,IF(Atletas!I156="Nandao Opcional",37,IF(Atletas!I156="Taijijian Opcional",38,IF(Atletas!I156="Daoshu Adulto",39,IF(Atletas!I156="Jianshu Adulto",40,IF(Atletas!I156="Nandao Adulto",41,IF(Atletas!I156="Taijijian Adulto",42,""))))))))))))))))))))))))))</f>
        <v/>
      </c>
      <c r="BH165" s="52" t="str">
        <f>IF(Atletas!J156="","",IF(Atletas!B156="Feminino",100,IF(Atletas!B156="Masculino",200,""))+(IF(Atletas!J156="Gunshu Mirim",43,IF(Atletas!J156="Qiangshu Mirim",44,IF(Atletas!J156="Nangun Mirim",45,IF(Atletas!J156="Gunshu Grupo C",46,IF(Atletas!J156="Qiangshu Grupo C",47,IF(Atletas!J156="Nangun Grupo C",48,IF(Atletas!J156="Gunshu Grupo B",49,IF(Atletas!J156="Qiangshu Grupo B",50,IF(Atletas!J156="Nangun Grupo B",51,IF(Atletas!J156="Gunshu Grupo A",52,IF(Atletas!J156="Qiangshu Grupo A",53,IF(Atletas!J156="Nangun Grupo A",54,IF(Atletas!J156="Gunshu Opcional",55,IF(Atletas!J156="Qiangshu Opcional",56,IF(Atletas!J156="Nangun Opcional",57,IF(Atletas!J156="Gunshu Adulto",58,IF(Atletas!J156="Qiangshu Adulto",59,IF(Atletas!J156="Nangun Adulto",60,IF(Atletas!J156="Taijishan Grupo B",61,IF(Atletas!J156="Taijishan Grupo A",62,""))))))))))))))))))))))</f>
        <v/>
      </c>
      <c r="BM165" s="50" t="str">
        <f>IF(Atletas!K156="","",IF(Atletas!B156="Feminino",100,IF(Atletas!B156="Masculino",200,""))+(IF(Atletas!K156="Equipe 1 Grupo B",1,IF(Atletas!K156="Equipe 2 Grupo B",2,IF(Atletas!K156="Equipe 1 Grupo A",3,IF(Atletas!K156="Equipe 2 Grupo A",4,IF(Atletas!K156="Equipe 1 Adulto",5,IF(Atletas!K156="Equipe 2 Adulto",6,""))))))))</f>
        <v/>
      </c>
      <c r="BR165" s="50" t="str">
        <f>IF(Atletas!L156="","",IF(Atletas!X156&lt;&gt;"",10000,0)+(IF(Atletas!B156="Feminino",1000,IF(Atletas!B156="Masculino",2000,""))+IF(Atletas!L156="Choylayfut A",1,IF(Atletas!L156="Hunggar A",2,IF(Atletas!L156="Wuzuquan A",3,IF(Atletas!L156="Wingchun A",4,IF(Atletas!L156="Outra Mão de Sul A",5,IF(Atletas!L156="Choylayfut B",6,IF(Atletas!L156="Hunggar B",7,IF(Atletas!L156="Wuzuquan B",8,IF(Atletas!L156="Wingchun B",9,IF(Atletas!L156="Outra Mão de Sul B",10,IF(Atletas!L156="Choylayfut C",11,IF(Atletas!L156="Hunggar C",12,IF(Atletas!L156="Wuzuquan C",13,IF(Atletas!L156="Wingchun C",14,IF(Atletas!L156="Outra Mão de Sul C",15,IF(Atletas!L156="Choylayfut D",16,IF(Atletas!L156="Hunggar D",17,IF(Atletas!L156="Wuzuquan D",18,IF(Atletas!L156="Wingchun D",19,IF(Atletas!L156="Outra Mão de Sul D",20,IF(Atletas!L156="Choylayfut E",21,IF(Atletas!L156="Hunggar E",22,IF(Atletas!L156="Wuzuquan E",23,IF(Atletas!L156="Wingchun E",24,IF(Atletas!L156="Outra Mão de Sul E",25,IF(Atletas!L156="Choylayfut F",26,IF(Atletas!L156="Hunggar F",27,IF(Atletas!L156="Wuzuquan F",28,IF(Atletas!L156="Wingchun F",29,IF(Atletas!L156="Outra Mão de Sul F",30,IF(Atletas!L156="Dishuquan A",31,IF(Atletas!L156="Dishuquan B",32,IF(Atletas!L156="Dishuquan C",33,IF(Atletas!L156="Dishuquan D",34,IF(Atletas!L156="Dishuquan E",35,IF(Atletas!L156="Dishuquan F",36,""))))))))))))))))))))))))))))))))))))))</f>
        <v/>
      </c>
      <c r="BS165" s="50" t="str">
        <f>IF(Atletas!M156="","",IF(Atletas!X156&lt;&gt;"",10000,0)+(IF(Atletas!B156="Feminino",1000,IF(Atletas!B156="Masculino",2000,""))+(IF(Atletas!M156="Chaquan A",101,IF(Atletas!M156="Emeiquan A",102,IF(Atletas!M156="Fanziquan A",103,IF(Atletas!M156="Huaquan A",104,IF(Atletas!M156="Hongquan A",105,IF(Atletas!M156="Paoquan A",106,IF(Atletas!M156="Piguaquan A",107,IF(Atletas!M156="Shaolinquan A",108,IF(Atletas!M156="Tanglangquan A",109,IF(Atletas!M156="Yingzhaoquan A",110,IF(Atletas!M156="Tongbeiquan A",111,IF(Atletas!M156="Wudangquan A",112,IF(Atletas!M156="Outros Estilos A",113,IF(Atletas!M156="Chaquan B",114,IF(Atletas!M156="Emeiquan B",115,IF(Atletas!M156="Fanziquan B",116,IF(Atletas!M156="Huaquan B",117,IF(Atletas!M156="Hongquan B",118,IF(Atletas!M156="Paoquan B",119,IF(Atletas!M156="Piguaquan B",120,IF(Atletas!M156="Shaolinquan B",121,IF(Atletas!M156="Tanglangquan B",122,IF(Atletas!M156="Yingzhaoquan B",123,IF(Atletas!M156="Tongbeiquan B",124,IF(Atletas!M156="Wudangquan B",125,IF(Atletas!M156="Outros Estilos B",126,IF(Atletas!M156="Chaquan C",127,IF(Atletas!M156="Emeiquan C",128,IF(Atletas!M156="Fanziquan C",129,IF(Atletas!M156="Huaquan C",130,IF(Atletas!M156="Hongquan C",131,IF(Atletas!M156="Paoquan C",132,IF(Atletas!M156="Piguaquan C",133,IF(Atletas!M156="Shaolinquan C",134,IF(Atletas!M156="Tanglangquan C",135,IF(Atletas!M156="Yingzhaoquan C",136,IF(Atletas!M156="Tongbeiquan C",137,IF(Atletas!M156="Wudangquan C",138,IF(Atletas!M156="Outros Estilos C",139,0))))))))))))))))))))))))))))))))))))))))))</f>
        <v/>
      </c>
      <c r="BT165" s="50" t="str">
        <f>IF(Atletas!M156="","",IF(Atletas!X156&lt;&gt;"",10000,0)+(IF(Atletas!B156="Feminino",1000,IF(Atletas!B156="Masculino",2000,""))+(IF(Atletas!M156="Chaquan D",140,IF(Atletas!M156="Emeiquan D",141,IF(Atletas!M156="Fanziquan D",142,IF(Atletas!M156="Huaquan D",143,IF(Atletas!M156="Hongquan D",144,IF(Atletas!M156="Paoquan D",145,IF(Atletas!M156="Piguaquan D",146,IF(Atletas!M156="Shaolinquan D",147,IF(Atletas!M156="Tanglangquan D",148,IF(Atletas!M156="Yingzhaoquan D",149,IF(Atletas!M156="Tongbeiquan D",150,IF(Atletas!M156="Wudangquan D",151,IF(Atletas!M156="Outros Estilos D",152,IF(Atletas!M156="Chaquan E",153,IF(Atletas!M156="Emeiquan E",154,IF(Atletas!M156="Fanziquan E",155,IF(Atletas!M156="Huaquan E",156,IF(Atletas!M156="Hongquan E",157,IF(Atletas!M156="Paoquan E",158,IF(Atletas!M156="Piguaquan E",159,IF(Atletas!M156="Shaolinquan E",160,IF(Atletas!M156="Tanglangquan E",161,IF(Atletas!M156="Yingzhaoquan E",162,IF(Atletas!M156="Tongbeiquan E",163,IF(Atletas!M156="Wudangquan E",164,IF(Atletas!M156="Outros Estilos E",165,IF(Atletas!M156="Chaquan F",166,IF(Atletas!M156="Emeiquan F",167,IF(Atletas!M156="Fanziquan F",168,IF(Atletas!M156="Huaquan F",169,IF(Atletas!M156="Hongquan F",170,IF(Atletas!M156="Paoquan F",171,IF(Atletas!M156="Piguaquan F",172,IF(Atletas!M156="Shaolinquan F",173,IF(Atletas!M156="Tanglangquan F",174,IF(Atletas!M156="Yingzhaoquan F",175,IF(Atletas!M156="Tongbeiquan F",176,IF(Atletas!M156="Wudangquan F",177,IF(Atletas!M156="Outros Estilos F",178,0))))))))))))))))))))))))))))))))))))))))))</f>
        <v/>
      </c>
      <c r="BU165" s="50" t="str">
        <f>IF(Atletas!N156="","",IF(Atletas!X156&lt;&gt;"",10000,0)+(IF(Atletas!B156="Feminino",1000,IF(Atletas!B156="Masculino",2000,""))+(IF(Atletas!N156="Ditangquan A",201,IF(Atletas!N156="Houquan A",202,IF(Atletas!N156="Zuiquan A",203,IF(Atletas!N156="Ditangquan B",204,IF(Atletas!N156="Houquan B",205,IF(Atletas!N156="Zuiquan B",206,IF(Atletas!N156="Ditangquan C",207,IF(Atletas!N156="Houquan C",208,IF(Atletas!N156="Zuiquan C",209,IF(Atletas!N156="Ditangquan D",210,IF(Atletas!N156="Houquan D",211,IF(Atletas!N156="Zuiquan D",212,IF(Atletas!N156="Ditangquan E",213,IF(Atletas!N156="Houquan E",214,IF(Atletas!N156="Zuiquan E",215,IF(Atletas!N156="Ditangquan F",216,IF(Atletas!N156="Houquan F",217,IF(Atletas!N156="Zuiquan F",218,"")))))))))))))))))))))</f>
        <v/>
      </c>
      <c r="BV165" s="50" t="str">
        <f>IF(Atletas!O156="","",IF(Atletas!X156&lt;&gt;"",10000,0)+IF(Atletas!B156="Feminino",1000,IF(Atletas!B156="Masculino",2000,""))+IF(Atletas!O156="Yang A",301,IF(Atletas!O156="Chen A",302,IF(Atletas!O156="Sun A",303,IF(Atletas!O156="Wu A",304,IF(Atletas!O156="Wu-Hao A",305,IF(Atletas!O156="Outro Taijiquan A",306,IF(Atletas!O156="Yang B",307,IF(Atletas!O156="Chen B",308,IF(Atletas!O156="Sun B",309,IF(Atletas!O156="Wu B",310,IF(Atletas!O156="Wu-Hao B",311,IF(Atletas!O156="Outro Taijiquan B",312,IF(Atletas!O156="Yang C",313,IF(Atletas!O156="Chen C",314,IF(Atletas!O156="Sun C",315,IF(Atletas!O156="Wu C",316,IF(Atletas!O156="Wu-Hao C",317,IF(Atletas!O156="Outro Taijiquan C",318,IF(Atletas!O156="Yang D",319,IF(Atletas!O156="Chen D",320,IF(Atletas!O156="Sun D",321,IF(Atletas!O156="Wu D",322,IF(Atletas!O156="Wu-Hao D",323,IF(Atletas!O156="Outro Taijiquan D",324,IF(Atletas!O156="Yang E",325,IF(Atletas!O156="Chen E",326,IF(Atletas!O156="Sun E",327,IF(Atletas!O156="Wu E",328,IF(Atletas!O156="Wu-Hao E",329,IF(Atletas!O156="Outro Taijiquan E",330,IF(Atletas!O156="Yang F",331,IF(Atletas!O156="Chen F",332,IF(Atletas!O156="Sun F",333,IF(Atletas!O156="Wu F",334,IF(Atletas!O156="Wu-Hao F",335,IF(Atletas!O156="Outro Taijiquan F",336,"")))))))))))))))))))))))))))))))))))))</f>
        <v/>
      </c>
      <c r="BW165" s="50" t="str">
        <f>IF(Atletas!P156="","",IF(Atletas!X156&lt;&gt;"",10000,0)+IF(Atletas!B156="Feminino",1000,IF(Atletas!B156="Masculino",2000,""))+IF(OR(Atletas!P156="Yang 26 A",Atletas!P156="Yang 40 A"),401,IF(OR(Atletas!P156="Chen 25 A",Atletas!P156="Chen 36 A",Atletas!P156="Chen 56 A"),402,IF(Atletas!P156="Sun 73 A",403,IF(Atletas!P156="Wu 45 A",404,IF(Atletas!P156="Wu-Hao 46 A",405,IF(OR(Atletas!P156="Taijiquan 16 A",Atletas!P156="Taijiquan 24 A",Atletas!P156="Taijiquan 32 A",Atletas!P156="Taijiquan 42 A"),406,IF(OR(Atletas!P156="Yang 26 B",Atletas!P156="Yang 40 B"),407,IF(OR(Atletas!P156="Chen 25 B",Atletas!P156="Chen 36 B",Atletas!P156="Chen 56 B"),408,IF(Atletas!P156="Sun 73 B",409,IF(Atletas!P156="Wu 45 B",410,IF(Atletas!P156="Wu-Hao 46 B",411,IF(OR(Atletas!P156="Taijiquan 16 B",Atletas!P156="Taijiquan 24 B",Atletas!P156="Taijiquan 32 B",Atletas!P156="Taijiquan 42 B"),412,IF(OR(Atletas!P156="Yang 26 C",Atletas!P156="Yang 40 C"),413,IF(OR(Atletas!P156="Chen 25 C",Atletas!P156="Chen 36 C",Atletas!P156="Chen 56 C"),414,IF(Atletas!P156="Sun 73 C",415,IF(Atletas!P156="Wu 45 C",416,IF(Atletas!P156="Wu-Hao 46 C",417,IF(OR(Atletas!P156="Taijiquan 16 C",Atletas!P156="Taijiquan 24 C",Atletas!P156="Taijiquan 32 C",Atletas!P156="Taijiquan 42 C"),418,0)))))))))))))))))))</f>
        <v/>
      </c>
      <c r="BX165" s="50" t="str">
        <f>IF(Atletas!P156="","",IF(Atletas!X156&lt;&gt;"",10000,0)+IF(Atletas!B156="Feminino",1000,IF(Atletas!B156="Masculino",2000,""))+IF(OR(Atletas!P156="Yang 26 D",Atletas!P156="Yang 40 D"),419,IF(OR(Atletas!P156="Chen 25 D",Atletas!P156="Chen 36 D",Atletas!P156="Chen 56 D"),420,IF(Atletas!P156="Sun 73 D",421,IF(Atletas!P156="Wu 45 D",422,IF(Atletas!P156="Wu-Hao 46 D",423,IF(OR(Atletas!P156="Taijiquan 16 D",Atletas!P156="Taijiquan 24 D",Atletas!P156="Taijiquan 32 D",Atletas!P156="Taijiquan 42 D"),424,IF(OR(Atletas!P156="Yang 26 E",Atletas!P156="Yang 40 E"),425,IF(OR(Atletas!P156="Chen 25 E",Atletas!P156="Chen 36 E",Atletas!P156="Chen 56 E"),426,IF(Atletas!P156="Sun 73 E",427,IF(Atletas!P156="Wu 45 E",428,IF(Atletas!P156="Wu-Hao 46 E",429,IF(OR(Atletas!P156="Taijiquan 16 E",Atletas!P156="Taijiquan 24 E",Atletas!P156="Taijiquan 32 E",Atletas!P156="Taijiquan 42 E"),430,IF(OR(Atletas!P156="Yang 26 F",Atletas!P156="Yang 40 F"),431,IF(OR(Atletas!P156="Chen 25 F",Atletas!P156="Chen 36 F",Atletas!P156="Chen 56 F"),432,IF(Atletas!P156="Sun 73 F",433,IF(Atletas!P156="Wu 45 F",434,IF(Atletas!P156="Wu-Hao 46 F",435,IF(OR(Atletas!P156="Taijiquan 16 F",Atletas!P156="Taijiquan 24 F",Atletas!P156="Taijiquan 32 F",Atletas!P156="Taijiquan 42 F"),436,0)))))))))))))))))))</f>
        <v/>
      </c>
      <c r="BY165" s="50" t="str">
        <f>IF(Atletas!Q156="","",IF(Atletas!X156&lt;&gt;"",10000,0)+IF(Atletas!B156="Feminino",1000,IF(Atletas!B156="Masculino",2000,""))+IF(Atletas!Q156="Xingyiquan A",501,IF(Atletas!Q156="Baguazhang A",502,IF(Atletas!Q156="Outro Estilo Interno A",503,IF(Atletas!Q156="Xingyiquan B",504,IF(Atletas!Q156="Baguazhang B",505,IF(Atletas!Q156="Outro Estilo Interno B",506,IF(Atletas!Q156="Xingyiquan C",507,IF(Atletas!Q156="Baguazhang C",508,IF(Atletas!Q156="Outro Estilo Interno C",509,IF(Atletas!Q156="Xingyiquan D",510,IF(Atletas!Q156="Baguazhang D",511,IF(Atletas!Q156="Outro Estilo Interno D",512,IF(Atletas!Q156="Xingyiquan E",513,IF(Atletas!Q156="Baguazhang E",514,IF(Atletas!Q156="Outro Estilo Interno E",515,IF(Atletas!Q156="Xingyiquan F",516,IF(Atletas!Q156="Baguazhang F",517,IF(Atletas!Q156="Outro Estilo Interno F",518, "")))))))))))))))))))</f>
        <v/>
      </c>
      <c r="BZ165" s="50" t="str">
        <f>IF(Atletas!R156="","",IF(Atletas!X156&lt;&gt;"",10000,0)+IF(Atletas!B156="Feminino",1000,IF(Atletas!B156="Masculino",2000,""))+IF(Atletas!R156="Dao A",601,IF(Atletas!R156="Jian A",602,IF(Atletas!R156="Bishou A",603,IF(Atletas!R156="Shanzi A",604,IF(Atletas!R156="Outra Arma Curta A",605,IF(Atletas!R156="Dao B",606,IF(Atletas!R156="Jian B",607,IF(Atletas!R156="Bishou B",608,IF(Atletas!R156="Shanzi B",609,IF(Atletas!R156="Outra Arma Curta B",610,IF(Atletas!R156="Dao C",611,IF(Atletas!R156="Jian C",612,IF(Atletas!R156="Bishou C",613,IF(Atletas!R156="Shanzi C",614,IF(Atletas!R156="Outra Arma Curta C",615,IF(Atletas!R156="Dao D",616,IF(Atletas!R156="Jian D",617,IF(Atletas!R156="Bishou D",618,IF(Atletas!R156="Shanzi D",619,IF(Atletas!R156="Outra Arma Curta D",620,IF(Atletas!R156="Dao E",621,IF(Atletas!R156="Jian E",622,IF(Atletas!R156="Bishou E",623,IF(Atletas!R156="Shanzi E",624,IF(Atletas!R156="Outra Arma Curta E",625,IF(Atletas!R156="Dao F",626,IF(Atletas!R156="Jian F",627,IF(Atletas!R156="Bishou F",628,IF(Atletas!R156="Shanzi F",629,IF(Atletas!R156="Outra Arma Curta F",630, "")))))))))))))))))))))))))))))))</f>
        <v/>
      </c>
      <c r="CA165" s="50" t="str">
        <f>IF(Atletas!S156="","",IF(Atletas!X156&lt;&gt;"",10000,0)+IF(Atletas!B156="Feminino",1000,IF(Atletas!B156="Masculino",2000,""))+IF(Atletas!S156="Gun A",701,IF(Atletas!S156="Qiang A",702,IF(Atletas!S156="Pudao / Guandao A",703,IF(Atletas!S156="Outra Arma Longa A",704,IF(Atletas!S156="Gun B",705,IF(Atletas!S156="Qiang B",706,IF(Atletas!S156="Pudao / Guandao B",707,IF(Atletas!S156="Outra Arma Longa B",708,IF(Atletas!S156="Gun C",709,IF(Atletas!S156="Qiang C",710,IF(Atletas!S156="Pudao / Guandao C",711,IF(Atletas!S156="Outra Arma Longa C",712,IF(Atletas!S156="Gun D",713,IF(Atletas!S156="Qiang D",714,IF(Atletas!S156="Pudao / Guandao D",715,IF(Atletas!S156="Outra Arma Longa D",716,IF(Atletas!S156="Gun E",717,IF(Atletas!S156="Qiang E",718,IF(Atletas!S156="Pudao / Guandao E",719,IF(Atletas!S156="Outra Arma Longa E",720,IF(Atletas!S156="Gun F",721,IF(Atletas!S156="Qiang F",722,IF(Atletas!S156="Pudao / Guandao F",723,IF(Atletas!S156="Outra Arma Longa F",724,"")))))))))))))))))))))))))</f>
        <v/>
      </c>
      <c r="CB165" s="50" t="str">
        <f>IF(Atletas!T156="","",IF(Atletas!X156&lt;&gt;"",10000,0)+IF(Atletas!B156="Feminino",1000,IF(Atletas!B156="Masculino",2000,""))+IF(Atletas!T156="Outra Arma Dupla A",801,IF(Atletas!T156="Arma Maleável A",802,IF(Atletas!T156="Outra Arma Dupla B",803,IF(Atletas!T156="Arma Maleável B",804,IF(Atletas!T156="Outra Arma Dupla C",805,IF(Atletas!T156="Arma Maleável C",806,IF(Atletas!T156="Outra Arma Dupla D",807,IF(Atletas!T156="Arma Maleável D",808,IF(Atletas!T156="Outra Arma Dupla E",809,IF(Atletas!T156="Arma Maleável E",810,IF(Atletas!T156="Outra Arma Dupla F",811,IF(Atletas!T156="Arma Maleável F",812,IF(Atletas!T156="Shuangdao A",813,IF(Atletas!T156="Shuangdao B",814,IF(Atletas!T156="Shuangdao C",815,IF(Atletas!T156="Shuangdao D",816,IF(Atletas!T156="Shuangdao E",817,IF(Atletas!T156="Shuangdao F",818,"")))))))))))))))))))</f>
        <v/>
      </c>
      <c r="CC165" s="50" t="str">
        <f>IF(Atletas!U156="","",IF(Atletas!X156&lt;&gt;"",10000,0)+IF(Atletas!B156="Feminino",1000,IF(Atletas!B156="Masculino",2000,""))+IF(OR(Atletas!U156="Taijijian Yang A",Atletas!U156="Taijijian Yang Standard A"),901,IF(OR(Atletas!U156="Taijijian Chen A", Atletas!U156="Taijijian Chen Standard A"),902,IF(Atletas!U156="Taijijian Sun A",903,IF(Atletas!U156="Taijijian Wu A",904,IF(Atletas!U156="Taijijian Wu-Hao A",905,IF(OR(Atletas!U156="Taijijian 32 A",Atletas!U156="Taijijian 42 A"),906,IF(OR(Atletas!U156="Taijijian Yang B",Atletas!U156="Taijijian Yang Standard B"),907,IF(OR(Atletas!U156="Taijijian Chen B", Atletas!U156="Taijijian Chen Standard B"),908,IF(Atletas!U156="Taijijian Sun B",909,IF(Atletas!U156="Taijijian Wu B",910,IF(Atletas!U156="Taijijian Wu-Hao B",911,IF(OR(Atletas!U156="Taijijian 32 B",Atletas!U156="Taijijian 42 B"),912,IF(OR(Atletas!U156="Taijijian Yang C",Atletas!U156="Taijijian Yang Standard C"),913,IF(OR(Atletas!U156="Taijijian Chen C", Atletas!U156="Taijijian Chen Standard C"),914,IF(Atletas!U156="Taijijian Sun C",915,IF(Atletas!U156="Taijijian Wu C",916,IF(Atletas!U156="Taijijian Wu-Hao C",917,IF(OR(Atletas!U156="Taijijian 32 C",Atletas!U156="Taijijian 42 C"),918,IF(OR(Atletas!U156="Taijijian Yang D",Atletas!U156="Taijijian Yang Standard D"),919,IF(OR(Atletas!U156="Taijijian Chen D", Atletas!U156="Taijijian Chen Standard D"),920,IF(Atletas!U156="Taijijian Sun D",921,IF(Atletas!U156="Taijijian Wu D",922,IF(Atletas!U156="Taijijian Wu-Hao D",923,IF(OR(Atletas!U156="Taijijian 32 D",Atletas!U156="Taijijian 42 D"),924,IF(OR(Atletas!U156="Taijijian Yang E",Atletas!U156="Taijijian Yang Standard E"),925,IF(OR(Atletas!U156="Taijijian Chen E", Atletas!U156="Taijijian Chen Standard E"),926,IF(Atletas!U156="Taijijian Sun E",927,IF(Atletas!U156="Taijijian Wu E",928,IF(Atletas!U156="Taijijian Wu-Hao E",929,IF(OR(Atletas!U156="Taijijian 32 E",Atletas!U156="Taijijian 42 E"),930,IF(OR(Atletas!U156="Taijijian Yang F",Atletas!U156="Taijijian Yang Standard F"),931,IF(OR(Atletas!U156="Taijijian Chen F", Atletas!U156="Taijijian Chen Standard F"),932,IF(Atletas!U156="Taijijian Sun F",933,IF(Atletas!U156="Taijijian Wu F",934,IF(Atletas!U156="Taijijian Wu-Hao F",935,IF(OR(Atletas!U156="Taijijian 32 F",Atletas!U156="Taijijian 42 F"),936,"")))))))))))))))))))))))))))))))))))))</f>
        <v/>
      </c>
      <c r="CD165" s="50" t="str">
        <f>IF(Atletas!V156="","",IF(Atletas!X156&lt;&gt;"",10000,0)+IF(Atletas!B156="Feminino",1000,IF(Atletas!B156="Masculino",2000,""))+IF(Atletas!V156="Taijidao A",937,IF(Atletas!V156="TaijiShanzi A",938,IF(Atletas!V156="Taijiqiang A",939,IF(Atletas!V156="Bagua de Arma A",940,IF(Atletas!V156="Xingyi de Arma A",941,IF(Atletas!V156="Taijidao B",942,IF(Atletas!V156="TaijiShanzi B",943,IF(Atletas!V156="Taijiqiang B",944,IF(Atletas!V156="Bagua de Arma B",945,IF(Atletas!V156="Xingyi de Arma B",946,IF(Atletas!V156="Taijidao C",947,IF(Atletas!V156="TaijiShanzi C",948,IF(Atletas!V156="Taijiqiang C",949,IF(Atletas!V156="Bagua de Arma C",950,IF(Atletas!V156="Xingyi de Arma C",951,IF(Atletas!V156="Taijidao D",952,IF(Atletas!V156="TaijiShanzi D",953,IF(Atletas!V156="Taijiqiang D",954,IF(Atletas!V156="Bagua de Arma D",955,IF(Atletas!V156="Xingyi de Arma D",956,IF(Atletas!V156="Taijidao E",957,IF(Atletas!V156="TaijiShanzi E",958,IF(Atletas!V156="Taijiqiang E",959,IF(Atletas!V156="Bagua de Arma E",960,IF(Atletas!V156="Xingyi de Arma E",961,IF(Atletas!V156="Taijidao F",962,IF(Atletas!V156="TaijiShanzi F",963,IF(Atletas!V156="Taijiqiang F",964,IF(Atletas!V156="Bagua de Arma F",965,IF(Atletas!V156="Xingyi de Arma F",966,"")))))))))))))))))))))))))))))))</f>
        <v/>
      </c>
      <c r="CE165" s="66" t="str">
        <f>IF(CF165&lt;&gt;"","TJQ Trad. Sun E","")</f>
        <v/>
      </c>
      <c r="CF165" s="66" t="str">
        <f>IF(COUNTIF(BR:CD,1327)&gt;0,COUNTIF(BR:CD,1327),"")</f>
        <v/>
      </c>
      <c r="CG165" s="66" t="str">
        <f>IF(CH165&lt;&gt;"","TJQ Trad. Sun E","")</f>
        <v/>
      </c>
      <c r="CH165" s="66" t="str">
        <f>IF(COUNTIF(BR:CD,2327)&gt;0,COUNTIF(BR:CD,2327),"")</f>
        <v/>
      </c>
      <c r="CI165" s="66" t="str">
        <f>IF(CJ165&lt;&gt;"","TJQ Trad. Sun F","")</f>
        <v/>
      </c>
      <c r="CJ165" s="66" t="str">
        <f>IF(COUNTIF(BR:CD,11333)&gt;0,COUNTIF(BR:CD,11333),"")</f>
        <v/>
      </c>
      <c r="CK165" s="66" t="str">
        <f>IF(CL165&lt;&gt;"","TJQ Trad. Sun F","")</f>
        <v/>
      </c>
      <c r="CL165" s="66" t="str">
        <f>IF(COUNTIF(BR:CD,12333)&gt;0,COUNTIF(BR:CD,12333),"")</f>
        <v/>
      </c>
      <c r="CM165" s="50" t="str">
        <f xml:space="preserve"> IF(Atletas!W156="","",IF(Atletas!W156="Duilian de Mãos BC - Equipe 1",1,IF(Atletas!W156="Duilian de Mãos BC - Equipe 2",2,IF(Atletas!W156="Duilian de Armas BC - Equipe 1",3,IF(Atletas!W156="Duilian de Armas BC - Equipe 2",4,IF(Atletas!W156="Duilian de Mãos DE - Equipe 1",5,IF(Atletas!W156="Duilian de Mãos DE - Equipe 2",6,IF(Atletas!W156="Duilian de Armas DE - Equipe 1",7,IF(Atletas!W156="Duilian de Armas DE - Equipe 2",8,IF(Atletas!W156="Duilian de Tuishou - Equipe 1",9,IF(Atletas!W156="Duilian de Tuishou - Equipe 2",10,IF(Atletas!W156="Grupo Externo ABC - Equipe 1",11,IF(Atletas!W156="Grupo Externo ABC - Equipe 2",12,IF(Atletas!W156="Grupo Interno ABC - Equipe 1",13,IF(Atletas!W156="Grupo Interno ABC - Equipe 2",14,IF(Atletas!W156="Grupo Externo DEF - Equipe 1",15,IF(Atletas!W156="Grupo Externo DEF - Equipe 2",16,IF(Atletas!W156="Grupo Interno DEF - Equipe 1",17,IF(Atletas!W156="Grupo Interno DEF - Equipe 2",18,"")))))))))))))))))))</f>
        <v/>
      </c>
    </row>
    <row r="166" spans="2:91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 t="str">
        <f t="array" ref="Z166">IFERROR(INDEX(CE$7:CE$348,SMALL(IF(CE$7:CE$348&lt;&gt;"",ROW(CE$7:CE$348)-ROW(CE$7)+1),ROWS(CE$7:CE165))),"")</f>
        <v/>
      </c>
      <c r="AA166" s="3" t="str">
        <f t="array" ref="AA166">IFERROR(INDEX(CF$7:CF$348,SMALL(IF(CF$7:CF$348&lt;&gt;"",ROW(CF$7:CF$348)-ROW(CF$7)+1),ROWS(CF$7:CF165))),"")</f>
        <v/>
      </c>
      <c r="AB166" s="3" t="str">
        <f t="array" ref="AB166">IFERROR(INDEX(CG$7:CG$348,SMALL(IF(CG$7:CG$348&lt;&gt;"",ROW(CG$7:CG$348)-ROW(CG$7)+1),ROWS(CG$7:CG165))),"")</f>
        <v/>
      </c>
      <c r="AC166" s="3" t="str">
        <f t="array" ref="AC166">IFERROR(INDEX(CH$7:CH$348,SMALL(IF(CH$7:CH$348&lt;&gt;"",ROW(CH$7:CH$348)-ROW(CH$7)+1),ROWS(CH$7:CH165))),"")</f>
        <v/>
      </c>
      <c r="AD166" s="3" t="str">
        <f t="array" ref="AD166">IFERROR(INDEX(CI$7:CI$377,SMALL(IF(CI$7:CI$377&lt;&gt;"",ROW(CI$7:CI$377)-ROW(CI$7)+1),ROWS(CI$7:CI165))),"")</f>
        <v/>
      </c>
      <c r="AE166" s="3" t="str">
        <f t="array" ref="AE166">IFERROR(INDEX(CJ$7:CJ$378,SMALL(IF(CJ$7:CJ$378&lt;&gt;"",ROW(CJ$7:CJ$378)-ROW(CJ$7)+1),ROWS(CJ$7:CJ165))),"")</f>
        <v/>
      </c>
      <c r="AF166" s="3" t="str">
        <f t="array" ref="AF166">IFERROR(INDEX(CK$7:CK$378,SMALL(IF(CK$7:CK$378&lt;&gt;"",ROW(CK$7:CK$378)-ROW(CK$7)+1),ROWS(CK$7:CK165))),"")</f>
        <v/>
      </c>
      <c r="AG166" s="3" t="str">
        <f t="array" ref="AG166">IFERROR(INDEX(CL$7:CL$378,SMALL(IF(CL$7:CL$378&lt;&gt;"",ROW(CL$7:CL$378)-ROW(CL$7)+1),ROWS(CL$7:CL165))),"")</f>
        <v/>
      </c>
      <c r="AH166" s="3"/>
      <c r="AI166" s="3"/>
      <c r="AJ166" s="3"/>
      <c r="AK166" s="3"/>
      <c r="AL166" s="3"/>
      <c r="AM166" s="3"/>
      <c r="AN166" s="52" t="str">
        <f>IF(Atletas!D157="","",IF(Atletas!B157="Feminino",100,IF(Atletas!B157="Masculino",200,""))+(IF(Atletas!D157="Kids 30kg",1,IF(Atletas!D157="Kids 32kg",2, IF(Atletas!D157="Kids 34kg",3,IF(Atletas!D157="Kids 36kg",4,IF(Atletas!D157="Kids 39kg",5,IF(Atletas!D157="Kids 42kg",6,IF(Atletas!D157="Kids 45kg",7, IF(Atletas!D157="Infantil 39kg",8,IF(Atletas!D157="Infantil 42kg",9,IF(Atletas!D157="Infantil 45kg",10,IF(Atletas!D157="Infantil 48kg",11,IF(Atletas!D157="Infantil 52kg",12,IF(Atletas!D157="Infantil 56kg",13,IF(Atletas!D157="Infantil 60kg",14,IF(Atletas!D157="Juvenil 48kg",15,IF(Atletas!D157="Juvenil 52kg",16,IF(Atletas!D157="Juvenil 56kg",17,IF(Atletas!D157="Juvenil 60kg",18,IF(Atletas!D157="Juvenil 65kg",19,IF(Atletas!D157="Juvenil 70kg",20,IF(Atletas!D157="Juvenil 75kg",21,IF(Atletas!D157="Juvenil 80kg",22, IF(Atletas!D157="Juvenil 85kg",23,IF(Atletas!D157="Adulto 48kg",24,IF(Atletas!D157="Adulto 52kg",25,IF(Atletas!D157="Adulto 56kg",26,IF(Atletas!D157="Adulto 60kg",27,IF(Atletas!D157="Adulto 65kg",28,IF(Atletas!D157="Adulto 70kg",29,IF(Atletas!D157="Adulto 75kg",30,IF(Atletas!D157="Adulto 80kg",31,IF(Atletas!D157="Adulto 85kg",32,IF(Atletas!D157="Adulto 90kg",33,IF(Atletas!D157="Adulto 100kg",34, IF(Atletas!D157="Adulto +100kg",35,"")))))))))))))))))))))))))))))))))))))</f>
        <v/>
      </c>
      <c r="AS166" s="6" t="str">
        <f>IF(Atletas!E157="","",IF(Atletas!B157="Feminino",100,IF(Atletas!B157="Masculino",200,""))+(IF(Atletas!E157="Juvenil 44kg",1,IF(Atletas!E157="Juvenil 48kg",2,IF(Atletas!E157="Juvenil 52kg",3,IF(Atletas!E157="Juvenil 56kg",4,IF(Atletas!E157="Juvenil 60kg",5,IF(Atletas!E157="Juvenil 65kg",6,IF(Atletas!E157="Juvenil 70kg",7,IF(Atletas!E157="Juvenil 75kg",8,IF(Atletas!E157="Juvenil 82kg",9,IF(Atletas!E157="Juvenil 90kg",10,IF(Atletas!E157="Juvenil 100kg",11,IF(Atletas!E157="Adulto 48kg",12,IF(Atletas!E157="Adulto 52kg",13,IF(Atletas!E157="Adulto 56kg",14,IF(Atletas!E157="Adulto 60kg",15,IF(Atletas!E157="Adulto 65kg",16,IF(Atletas!E157="Adulto 70kg",17,IF(Atletas!E157="Adulto 75kg",18,IF(Atletas!E157="Adulto 82kg",19,IF(Atletas!E157="Adulto 90kg",20,IF(Atletas!E157="Adulto 100kg",21,IF(Atletas!E157="Adulto +100kg",22,""))))))))))))))))))))))))</f>
        <v/>
      </c>
      <c r="AX166" s="6" t="str">
        <f>IF(Atletas!F157="","",IF(Atletas!B157="Feminino",100,IF(Atletas!B157="Masculino",200,""))+(IF(Atletas!F157="Adulto 48kg",1,IF(Atletas!F157="Adulto 56kg",2,IF(Atletas!F157="Adulto 65kg",3,IF(Atletas!F157="Adulto 75kg",4,IF(Atletas!F157="Adulto +75kg",5,IF(Atletas!F157="Adulto 52kg",6,IF(Atletas!F157="Adulto 60kg",7,IF(Atletas!F157="Adulto 70kg",8,IF(Atletas!F157="Adulto 80kg",9,IF(Atletas!F157="Adulto 90kg",10,IF(Atletas!F157="Adulto +90kg",11,"")))))))))))))</f>
        <v/>
      </c>
      <c r="BC166" s="6" t="str">
        <f>IF(Atletas!G157="","",IF(Atletas!B157="Feminino",10,IF(Atletas!B157="Masculino",20,""))+(IF(Atletas!G157="Baduanjin A",1,IF(Atletas!G157="Baduanjin B",2))))</f>
        <v/>
      </c>
      <c r="BF166" s="52" t="str">
        <f>IF(Atletas!H157="","",IF(Atletas!B157="Feminino",100,IF(Atletas!B157="Masculino",200,""))+(IF(Atletas!H157="Changquan Mirim",1,IF(Atletas!H157="Nanquan Mirim",2,IF(Atletas!H157="Taijiquan Mirim",3,IF(Atletas!H157="Changquan Grupo C",4,IF(Atletas!H157="Nanquan Grupo C",5,IF(Atletas!H157="Taijiquan Grupo C",6,IF(Atletas!H157="Changquan Grupo B",7,IF(Atletas!H157="Nanquan Grupo B",8,IF(Atletas!H157="Taijiquan Grupo B",9,IF(Atletas!H157="Changquan Grupo A",10,IF(Atletas!H157="Nanquan Grupo A",11,IF(Atletas!H157="Taijiquan Grupo A",12,IF(Atletas!H157="Changquan Opcional",13,IF(Atletas!H157="Nanquan Opcional",14,IF(Atletas!H157="Taijiquan Opcional",15,IF(Atletas!H157="Changquan Adulto",16,IF(Atletas!H157="Nanquan Adulto",17,IF(Atletas!H157="Taijiquan Adulto",18,""))))))))))))))))))))</f>
        <v/>
      </c>
      <c r="BG166" s="52" t="str">
        <f>IF(Atletas!I157="","",IF(Atletas!B157="Feminino",100,IF(Atletas!B157="Masculino",200,""))+(IF(Atletas!I157="Daoshu Mirim",19,IF(Atletas!I157="Jianshu Mirim",20,IF(Atletas!I157="Nandao Mirim",21,IF(Atletas!I157="Taijijian Mirim",22,IF(Atletas!I157="Daoshu Grupo C",23,IF(Atletas!I157="Jianshu Grupo C",24,IF(Atletas!I157="Nandao Grupo C",25,IF(Atletas!I157="Taijijian Grupo C",26,IF(Atletas!I157="Daoshu Grupo B",27,IF(Atletas!I157="Jianshu Grupo B",28,IF(Atletas!I157="Nandao Grupo B",29,IF(Atletas!I157="Taijijian Grupo B",30,IF(Atletas!I157="Daoshu Grupo A",31,IF(Atletas!I157="Jianshu Grupo A",32,IF(Atletas!I157="Nandao Grupo A",33,IF(Atletas!I157="Taijijian Grupo A",34,IF(Atletas!I157="Daoshu Opcional",35,IF(Atletas!I157="Jianshu Opcional",36,IF(Atletas!I157="Nandao Opcional",37,IF(Atletas!I157="Taijijian Opcional",38,IF(Atletas!I157="Daoshu Adulto",39,IF(Atletas!I157="Jianshu Adulto",40,IF(Atletas!I157="Nandao Adulto",41,IF(Atletas!I157="Taijijian Adulto",42,""))))))))))))))))))))))))))</f>
        <v/>
      </c>
      <c r="BH166" s="52" t="str">
        <f>IF(Atletas!J157="","",IF(Atletas!B157="Feminino",100,IF(Atletas!B157="Masculino",200,""))+(IF(Atletas!J157="Gunshu Mirim",43,IF(Atletas!J157="Qiangshu Mirim",44,IF(Atletas!J157="Nangun Mirim",45,IF(Atletas!J157="Gunshu Grupo C",46,IF(Atletas!J157="Qiangshu Grupo C",47,IF(Atletas!J157="Nangun Grupo C",48,IF(Atletas!J157="Gunshu Grupo B",49,IF(Atletas!J157="Qiangshu Grupo B",50,IF(Atletas!J157="Nangun Grupo B",51,IF(Atletas!J157="Gunshu Grupo A",52,IF(Atletas!J157="Qiangshu Grupo A",53,IF(Atletas!J157="Nangun Grupo A",54,IF(Atletas!J157="Gunshu Opcional",55,IF(Atletas!J157="Qiangshu Opcional",56,IF(Atletas!J157="Nangun Opcional",57,IF(Atletas!J157="Gunshu Adulto",58,IF(Atletas!J157="Qiangshu Adulto",59,IF(Atletas!J157="Nangun Adulto",60,IF(Atletas!J157="Taijishan Grupo B",61,IF(Atletas!J157="Taijishan Grupo A",62,""))))))))))))))))))))))</f>
        <v/>
      </c>
      <c r="BM166" s="50" t="str">
        <f>IF(Atletas!K157="","",IF(Atletas!B157="Feminino",100,IF(Atletas!B157="Masculino",200,""))+(IF(Atletas!K157="Equipe 1 Grupo B",1,IF(Atletas!K157="Equipe 2 Grupo B",2,IF(Atletas!K157="Equipe 1 Grupo A",3,IF(Atletas!K157="Equipe 2 Grupo A",4,IF(Atletas!K157="Equipe 1 Adulto",5,IF(Atletas!K157="Equipe 2 Adulto",6,""))))))))</f>
        <v/>
      </c>
      <c r="BR166" s="50" t="str">
        <f>IF(Atletas!L157="","",IF(Atletas!X157&lt;&gt;"",10000,0)+(IF(Atletas!B157="Feminino",1000,IF(Atletas!B157="Masculino",2000,""))+IF(Atletas!L157="Choylayfut A",1,IF(Atletas!L157="Hunggar A",2,IF(Atletas!L157="Wuzuquan A",3,IF(Atletas!L157="Wingchun A",4,IF(Atletas!L157="Outra Mão de Sul A",5,IF(Atletas!L157="Choylayfut B",6,IF(Atletas!L157="Hunggar B",7,IF(Atletas!L157="Wuzuquan B",8,IF(Atletas!L157="Wingchun B",9,IF(Atletas!L157="Outra Mão de Sul B",10,IF(Atletas!L157="Choylayfut C",11,IF(Atletas!L157="Hunggar C",12,IF(Atletas!L157="Wuzuquan C",13,IF(Atletas!L157="Wingchun C",14,IF(Atletas!L157="Outra Mão de Sul C",15,IF(Atletas!L157="Choylayfut D",16,IF(Atletas!L157="Hunggar D",17,IF(Atletas!L157="Wuzuquan D",18,IF(Atletas!L157="Wingchun D",19,IF(Atletas!L157="Outra Mão de Sul D",20,IF(Atletas!L157="Choylayfut E",21,IF(Atletas!L157="Hunggar E",22,IF(Atletas!L157="Wuzuquan E",23,IF(Atletas!L157="Wingchun E",24,IF(Atletas!L157="Outra Mão de Sul E",25,IF(Atletas!L157="Choylayfut F",26,IF(Atletas!L157="Hunggar F",27,IF(Atletas!L157="Wuzuquan F",28,IF(Atletas!L157="Wingchun F",29,IF(Atletas!L157="Outra Mão de Sul F",30,IF(Atletas!L157="Dishuquan A",31,IF(Atletas!L157="Dishuquan B",32,IF(Atletas!L157="Dishuquan C",33,IF(Atletas!L157="Dishuquan D",34,IF(Atletas!L157="Dishuquan E",35,IF(Atletas!L157="Dishuquan F",36,""))))))))))))))))))))))))))))))))))))))</f>
        <v/>
      </c>
      <c r="BS166" s="50" t="str">
        <f>IF(Atletas!M157="","",IF(Atletas!X157&lt;&gt;"",10000,0)+(IF(Atletas!B157="Feminino",1000,IF(Atletas!B157="Masculino",2000,""))+(IF(Atletas!M157="Chaquan A",101,IF(Atletas!M157="Emeiquan A",102,IF(Atletas!M157="Fanziquan A",103,IF(Atletas!M157="Huaquan A",104,IF(Atletas!M157="Hongquan A",105,IF(Atletas!M157="Paoquan A",106,IF(Atletas!M157="Piguaquan A",107,IF(Atletas!M157="Shaolinquan A",108,IF(Atletas!M157="Tanglangquan A",109,IF(Atletas!M157="Yingzhaoquan A",110,IF(Atletas!M157="Tongbeiquan A",111,IF(Atletas!M157="Wudangquan A",112,IF(Atletas!M157="Outros Estilos A",113,IF(Atletas!M157="Chaquan B",114,IF(Atletas!M157="Emeiquan B",115,IF(Atletas!M157="Fanziquan B",116,IF(Atletas!M157="Huaquan B",117,IF(Atletas!M157="Hongquan B",118,IF(Atletas!M157="Paoquan B",119,IF(Atletas!M157="Piguaquan B",120,IF(Atletas!M157="Shaolinquan B",121,IF(Atletas!M157="Tanglangquan B",122,IF(Atletas!M157="Yingzhaoquan B",123,IF(Atletas!M157="Tongbeiquan B",124,IF(Atletas!M157="Wudangquan B",125,IF(Atletas!M157="Outros Estilos B",126,IF(Atletas!M157="Chaquan C",127,IF(Atletas!M157="Emeiquan C",128,IF(Atletas!M157="Fanziquan C",129,IF(Atletas!M157="Huaquan C",130,IF(Atletas!M157="Hongquan C",131,IF(Atletas!M157="Paoquan C",132,IF(Atletas!M157="Piguaquan C",133,IF(Atletas!M157="Shaolinquan C",134,IF(Atletas!M157="Tanglangquan C",135,IF(Atletas!M157="Yingzhaoquan C",136,IF(Atletas!M157="Tongbeiquan C",137,IF(Atletas!M157="Wudangquan C",138,IF(Atletas!M157="Outros Estilos C",139,0))))))))))))))))))))))))))))))))))))))))))</f>
        <v/>
      </c>
      <c r="BT166" s="50" t="str">
        <f>IF(Atletas!M157="","",IF(Atletas!X157&lt;&gt;"",10000,0)+(IF(Atletas!B157="Feminino",1000,IF(Atletas!B157="Masculino",2000,""))+(IF(Atletas!M157="Chaquan D",140,IF(Atletas!M157="Emeiquan D",141,IF(Atletas!M157="Fanziquan D",142,IF(Atletas!M157="Huaquan D",143,IF(Atletas!M157="Hongquan D",144,IF(Atletas!M157="Paoquan D",145,IF(Atletas!M157="Piguaquan D",146,IF(Atletas!M157="Shaolinquan D",147,IF(Atletas!M157="Tanglangquan D",148,IF(Atletas!M157="Yingzhaoquan D",149,IF(Atletas!M157="Tongbeiquan D",150,IF(Atletas!M157="Wudangquan D",151,IF(Atletas!M157="Outros Estilos D",152,IF(Atletas!M157="Chaquan E",153,IF(Atletas!M157="Emeiquan E",154,IF(Atletas!M157="Fanziquan E",155,IF(Atletas!M157="Huaquan E",156,IF(Atletas!M157="Hongquan E",157,IF(Atletas!M157="Paoquan E",158,IF(Atletas!M157="Piguaquan E",159,IF(Atletas!M157="Shaolinquan E",160,IF(Atletas!M157="Tanglangquan E",161,IF(Atletas!M157="Yingzhaoquan E",162,IF(Atletas!M157="Tongbeiquan E",163,IF(Atletas!M157="Wudangquan E",164,IF(Atletas!M157="Outros Estilos E",165,IF(Atletas!M157="Chaquan F",166,IF(Atletas!M157="Emeiquan F",167,IF(Atletas!M157="Fanziquan F",168,IF(Atletas!M157="Huaquan F",169,IF(Atletas!M157="Hongquan F",170,IF(Atletas!M157="Paoquan F",171,IF(Atletas!M157="Piguaquan F",172,IF(Atletas!M157="Shaolinquan F",173,IF(Atletas!M157="Tanglangquan F",174,IF(Atletas!M157="Yingzhaoquan F",175,IF(Atletas!M157="Tongbeiquan F",176,IF(Atletas!M157="Wudangquan F",177,IF(Atletas!M157="Outros Estilos F",178,0))))))))))))))))))))))))))))))))))))))))))</f>
        <v/>
      </c>
      <c r="BU166" s="50" t="str">
        <f>IF(Atletas!N157="","",IF(Atletas!X157&lt;&gt;"",10000,0)+(IF(Atletas!B157="Feminino",1000,IF(Atletas!B157="Masculino",2000,""))+(IF(Atletas!N157="Ditangquan A",201,IF(Atletas!N157="Houquan A",202,IF(Atletas!N157="Zuiquan A",203,IF(Atletas!N157="Ditangquan B",204,IF(Atletas!N157="Houquan B",205,IF(Atletas!N157="Zuiquan B",206,IF(Atletas!N157="Ditangquan C",207,IF(Atletas!N157="Houquan C",208,IF(Atletas!N157="Zuiquan C",209,IF(Atletas!N157="Ditangquan D",210,IF(Atletas!N157="Houquan D",211,IF(Atletas!N157="Zuiquan D",212,IF(Atletas!N157="Ditangquan E",213,IF(Atletas!N157="Houquan E",214,IF(Atletas!N157="Zuiquan E",215,IF(Atletas!N157="Ditangquan F",216,IF(Atletas!N157="Houquan F",217,IF(Atletas!N157="Zuiquan F",218,"")))))))))))))))))))))</f>
        <v/>
      </c>
      <c r="BV166" s="50" t="str">
        <f>IF(Atletas!O157="","",IF(Atletas!X157&lt;&gt;"",10000,0)+IF(Atletas!B157="Feminino",1000,IF(Atletas!B157="Masculino",2000,""))+IF(Atletas!O157="Yang A",301,IF(Atletas!O157="Chen A",302,IF(Atletas!O157="Sun A",303,IF(Atletas!O157="Wu A",304,IF(Atletas!O157="Wu-Hao A",305,IF(Atletas!O157="Outro Taijiquan A",306,IF(Atletas!O157="Yang B",307,IF(Atletas!O157="Chen B",308,IF(Atletas!O157="Sun B",309,IF(Atletas!O157="Wu B",310,IF(Atletas!O157="Wu-Hao B",311,IF(Atletas!O157="Outro Taijiquan B",312,IF(Atletas!O157="Yang C",313,IF(Atletas!O157="Chen C",314,IF(Atletas!O157="Sun C",315,IF(Atletas!O157="Wu C",316,IF(Atletas!O157="Wu-Hao C",317,IF(Atletas!O157="Outro Taijiquan C",318,IF(Atletas!O157="Yang D",319,IF(Atletas!O157="Chen D",320,IF(Atletas!O157="Sun D",321,IF(Atletas!O157="Wu D",322,IF(Atletas!O157="Wu-Hao D",323,IF(Atletas!O157="Outro Taijiquan D",324,IF(Atletas!O157="Yang E",325,IF(Atletas!O157="Chen E",326,IF(Atletas!O157="Sun E",327,IF(Atletas!O157="Wu E",328,IF(Atletas!O157="Wu-Hao E",329,IF(Atletas!O157="Outro Taijiquan E",330,IF(Atletas!O157="Yang F",331,IF(Atletas!O157="Chen F",332,IF(Atletas!O157="Sun F",333,IF(Atletas!O157="Wu F",334,IF(Atletas!O157="Wu-Hao F",335,IF(Atletas!O157="Outro Taijiquan F",336,"")))))))))))))))))))))))))))))))))))))</f>
        <v/>
      </c>
      <c r="BW166" s="50" t="str">
        <f>IF(Atletas!P157="","",IF(Atletas!X157&lt;&gt;"",10000,0)+IF(Atletas!B157="Feminino",1000,IF(Atletas!B157="Masculino",2000,""))+IF(OR(Atletas!P157="Yang 26 A",Atletas!P157="Yang 40 A"),401,IF(OR(Atletas!P157="Chen 25 A",Atletas!P157="Chen 36 A",Atletas!P157="Chen 56 A"),402,IF(Atletas!P157="Sun 73 A",403,IF(Atletas!P157="Wu 45 A",404,IF(Atletas!P157="Wu-Hao 46 A",405,IF(OR(Atletas!P157="Taijiquan 16 A",Atletas!P157="Taijiquan 24 A",Atletas!P157="Taijiquan 32 A",Atletas!P157="Taijiquan 42 A"),406,IF(OR(Atletas!P157="Yang 26 B",Atletas!P157="Yang 40 B"),407,IF(OR(Atletas!P157="Chen 25 B",Atletas!P157="Chen 36 B",Atletas!P157="Chen 56 B"),408,IF(Atletas!P157="Sun 73 B",409,IF(Atletas!P157="Wu 45 B",410,IF(Atletas!P157="Wu-Hao 46 B",411,IF(OR(Atletas!P157="Taijiquan 16 B",Atletas!P157="Taijiquan 24 B",Atletas!P157="Taijiquan 32 B",Atletas!P157="Taijiquan 42 B"),412,IF(OR(Atletas!P157="Yang 26 C",Atletas!P157="Yang 40 C"),413,IF(OR(Atletas!P157="Chen 25 C",Atletas!P157="Chen 36 C",Atletas!P157="Chen 56 C"),414,IF(Atletas!P157="Sun 73 C",415,IF(Atletas!P157="Wu 45 C",416,IF(Atletas!P157="Wu-Hao 46 C",417,IF(OR(Atletas!P157="Taijiquan 16 C",Atletas!P157="Taijiquan 24 C",Atletas!P157="Taijiquan 32 C",Atletas!P157="Taijiquan 42 C"),418,0)))))))))))))))))))</f>
        <v/>
      </c>
      <c r="BX166" s="50" t="str">
        <f>IF(Atletas!P157="","",IF(Atletas!X157&lt;&gt;"",10000,0)+IF(Atletas!B157="Feminino",1000,IF(Atletas!B157="Masculino",2000,""))+IF(OR(Atletas!P157="Yang 26 D",Atletas!P157="Yang 40 D"),419,IF(OR(Atletas!P157="Chen 25 D",Atletas!P157="Chen 36 D",Atletas!P157="Chen 56 D"),420,IF(Atletas!P157="Sun 73 D",421,IF(Atletas!P157="Wu 45 D",422,IF(Atletas!P157="Wu-Hao 46 D",423,IF(OR(Atletas!P157="Taijiquan 16 D",Atletas!P157="Taijiquan 24 D",Atletas!P157="Taijiquan 32 D",Atletas!P157="Taijiquan 42 D"),424,IF(OR(Atletas!P157="Yang 26 E",Atletas!P157="Yang 40 E"),425,IF(OR(Atletas!P157="Chen 25 E",Atletas!P157="Chen 36 E",Atletas!P157="Chen 56 E"),426,IF(Atletas!P157="Sun 73 E",427,IF(Atletas!P157="Wu 45 E",428,IF(Atletas!P157="Wu-Hao 46 E",429,IF(OR(Atletas!P157="Taijiquan 16 E",Atletas!P157="Taijiquan 24 E",Atletas!P157="Taijiquan 32 E",Atletas!P157="Taijiquan 42 E"),430,IF(OR(Atletas!P157="Yang 26 F",Atletas!P157="Yang 40 F"),431,IF(OR(Atletas!P157="Chen 25 F",Atletas!P157="Chen 36 F",Atletas!P157="Chen 56 F"),432,IF(Atletas!P157="Sun 73 F",433,IF(Atletas!P157="Wu 45 F",434,IF(Atletas!P157="Wu-Hao 46 F",435,IF(OR(Atletas!P157="Taijiquan 16 F",Atletas!P157="Taijiquan 24 F",Atletas!P157="Taijiquan 32 F",Atletas!P157="Taijiquan 42 F"),436,0)))))))))))))))))))</f>
        <v/>
      </c>
      <c r="BY166" s="50" t="str">
        <f>IF(Atletas!Q157="","",IF(Atletas!X157&lt;&gt;"",10000,0)+IF(Atletas!B157="Feminino",1000,IF(Atletas!B157="Masculino",2000,""))+IF(Atletas!Q157="Xingyiquan A",501,IF(Atletas!Q157="Baguazhang A",502,IF(Atletas!Q157="Outro Estilo Interno A",503,IF(Atletas!Q157="Xingyiquan B",504,IF(Atletas!Q157="Baguazhang B",505,IF(Atletas!Q157="Outro Estilo Interno B",506,IF(Atletas!Q157="Xingyiquan C",507,IF(Atletas!Q157="Baguazhang C",508,IF(Atletas!Q157="Outro Estilo Interno C",509,IF(Atletas!Q157="Xingyiquan D",510,IF(Atletas!Q157="Baguazhang D",511,IF(Atletas!Q157="Outro Estilo Interno D",512,IF(Atletas!Q157="Xingyiquan E",513,IF(Atletas!Q157="Baguazhang E",514,IF(Atletas!Q157="Outro Estilo Interno E",515,IF(Atletas!Q157="Xingyiquan F",516,IF(Atletas!Q157="Baguazhang F",517,IF(Atletas!Q157="Outro Estilo Interno F",518, "")))))))))))))))))))</f>
        <v/>
      </c>
      <c r="BZ166" s="50" t="str">
        <f>IF(Atletas!R157="","",IF(Atletas!X157&lt;&gt;"",10000,0)+IF(Atletas!B157="Feminino",1000,IF(Atletas!B157="Masculino",2000,""))+IF(Atletas!R157="Dao A",601,IF(Atletas!R157="Jian A",602,IF(Atletas!R157="Bishou A",603,IF(Atletas!R157="Shanzi A",604,IF(Atletas!R157="Outra Arma Curta A",605,IF(Atletas!R157="Dao B",606,IF(Atletas!R157="Jian B",607,IF(Atletas!R157="Bishou B",608,IF(Atletas!R157="Shanzi B",609,IF(Atletas!R157="Outra Arma Curta B",610,IF(Atletas!R157="Dao C",611,IF(Atletas!R157="Jian C",612,IF(Atletas!R157="Bishou C",613,IF(Atletas!R157="Shanzi C",614,IF(Atletas!R157="Outra Arma Curta C",615,IF(Atletas!R157="Dao D",616,IF(Atletas!R157="Jian D",617,IF(Atletas!R157="Bishou D",618,IF(Atletas!R157="Shanzi D",619,IF(Atletas!R157="Outra Arma Curta D",620,IF(Atletas!R157="Dao E",621,IF(Atletas!R157="Jian E",622,IF(Atletas!R157="Bishou E",623,IF(Atletas!R157="Shanzi E",624,IF(Atletas!R157="Outra Arma Curta E",625,IF(Atletas!R157="Dao F",626,IF(Atletas!R157="Jian F",627,IF(Atletas!R157="Bishou F",628,IF(Atletas!R157="Shanzi F",629,IF(Atletas!R157="Outra Arma Curta F",630, "")))))))))))))))))))))))))))))))</f>
        <v/>
      </c>
      <c r="CA166" s="50" t="str">
        <f>IF(Atletas!S157="","",IF(Atletas!X157&lt;&gt;"",10000,0)+IF(Atletas!B157="Feminino",1000,IF(Atletas!B157="Masculino",2000,""))+IF(Atletas!S157="Gun A",701,IF(Atletas!S157="Qiang A",702,IF(Atletas!S157="Pudao / Guandao A",703,IF(Atletas!S157="Outra Arma Longa A",704,IF(Atletas!S157="Gun B",705,IF(Atletas!S157="Qiang B",706,IF(Atletas!S157="Pudao / Guandao B",707,IF(Atletas!S157="Outra Arma Longa B",708,IF(Atletas!S157="Gun C",709,IF(Atletas!S157="Qiang C",710,IF(Atletas!S157="Pudao / Guandao C",711,IF(Atletas!S157="Outra Arma Longa C",712,IF(Atletas!S157="Gun D",713,IF(Atletas!S157="Qiang D",714,IF(Atletas!S157="Pudao / Guandao D",715,IF(Atletas!S157="Outra Arma Longa D",716,IF(Atletas!S157="Gun E",717,IF(Atletas!S157="Qiang E",718,IF(Atletas!S157="Pudao / Guandao E",719,IF(Atletas!S157="Outra Arma Longa E",720,IF(Atletas!S157="Gun F",721,IF(Atletas!S157="Qiang F",722,IF(Atletas!S157="Pudao / Guandao F",723,IF(Atletas!S157="Outra Arma Longa F",724,"")))))))))))))))))))))))))</f>
        <v/>
      </c>
      <c r="CB166" s="50" t="str">
        <f>IF(Atletas!T157="","",IF(Atletas!X157&lt;&gt;"",10000,0)+IF(Atletas!B157="Feminino",1000,IF(Atletas!B157="Masculino",2000,""))+IF(Atletas!T157="Outra Arma Dupla A",801,IF(Atletas!T157="Arma Maleável A",802,IF(Atletas!T157="Outra Arma Dupla B",803,IF(Atletas!T157="Arma Maleável B",804,IF(Atletas!T157="Outra Arma Dupla C",805,IF(Atletas!T157="Arma Maleável C",806,IF(Atletas!T157="Outra Arma Dupla D",807,IF(Atletas!T157="Arma Maleável D",808,IF(Atletas!T157="Outra Arma Dupla E",809,IF(Atletas!T157="Arma Maleável E",810,IF(Atletas!T157="Outra Arma Dupla F",811,IF(Atletas!T157="Arma Maleável F",812,IF(Atletas!T157="Shuangdao A",813,IF(Atletas!T157="Shuangdao B",814,IF(Atletas!T157="Shuangdao C",815,IF(Atletas!T157="Shuangdao D",816,IF(Atletas!T157="Shuangdao E",817,IF(Atletas!T157="Shuangdao F",818,"")))))))))))))))))))</f>
        <v/>
      </c>
      <c r="CC166" s="50" t="str">
        <f>IF(Atletas!U157="","",IF(Atletas!X157&lt;&gt;"",10000,0)+IF(Atletas!B157="Feminino",1000,IF(Atletas!B157="Masculino",2000,""))+IF(OR(Atletas!U157="Taijijian Yang A",Atletas!U157="Taijijian Yang Standard A"),901,IF(OR(Atletas!U157="Taijijian Chen A", Atletas!U157="Taijijian Chen Standard A"),902,IF(Atletas!U157="Taijijian Sun A",903,IF(Atletas!U157="Taijijian Wu A",904,IF(Atletas!U157="Taijijian Wu-Hao A",905,IF(OR(Atletas!U157="Taijijian 32 A",Atletas!U157="Taijijian 42 A"),906,IF(OR(Atletas!U157="Taijijian Yang B",Atletas!U157="Taijijian Yang Standard B"),907,IF(OR(Atletas!U157="Taijijian Chen B", Atletas!U157="Taijijian Chen Standard B"),908,IF(Atletas!U157="Taijijian Sun B",909,IF(Atletas!U157="Taijijian Wu B",910,IF(Atletas!U157="Taijijian Wu-Hao B",911,IF(OR(Atletas!U157="Taijijian 32 B",Atletas!U157="Taijijian 42 B"),912,IF(OR(Atletas!U157="Taijijian Yang C",Atletas!U157="Taijijian Yang Standard C"),913,IF(OR(Atletas!U157="Taijijian Chen C", Atletas!U157="Taijijian Chen Standard C"),914,IF(Atletas!U157="Taijijian Sun C",915,IF(Atletas!U157="Taijijian Wu C",916,IF(Atletas!U157="Taijijian Wu-Hao C",917,IF(OR(Atletas!U157="Taijijian 32 C",Atletas!U157="Taijijian 42 C"),918,IF(OR(Atletas!U157="Taijijian Yang D",Atletas!U157="Taijijian Yang Standard D"),919,IF(OR(Atletas!U157="Taijijian Chen D", Atletas!U157="Taijijian Chen Standard D"),920,IF(Atletas!U157="Taijijian Sun D",921,IF(Atletas!U157="Taijijian Wu D",922,IF(Atletas!U157="Taijijian Wu-Hao D",923,IF(OR(Atletas!U157="Taijijian 32 D",Atletas!U157="Taijijian 42 D"),924,IF(OR(Atletas!U157="Taijijian Yang E",Atletas!U157="Taijijian Yang Standard E"),925,IF(OR(Atletas!U157="Taijijian Chen E", Atletas!U157="Taijijian Chen Standard E"),926,IF(Atletas!U157="Taijijian Sun E",927,IF(Atletas!U157="Taijijian Wu E",928,IF(Atletas!U157="Taijijian Wu-Hao E",929,IF(OR(Atletas!U157="Taijijian 32 E",Atletas!U157="Taijijian 42 E"),930,IF(OR(Atletas!U157="Taijijian Yang F",Atletas!U157="Taijijian Yang Standard F"),931,IF(OR(Atletas!U157="Taijijian Chen F", Atletas!U157="Taijijian Chen Standard F"),932,IF(Atletas!U157="Taijijian Sun F",933,IF(Atletas!U157="Taijijian Wu F",934,IF(Atletas!U157="Taijijian Wu-Hao F",935,IF(OR(Atletas!U157="Taijijian 32 F",Atletas!U157="Taijijian 42 F"),936,"")))))))))))))))))))))))))))))))))))))</f>
        <v/>
      </c>
      <c r="CD166" s="50" t="str">
        <f>IF(Atletas!V157="","",IF(Atletas!X157&lt;&gt;"",10000,0)+IF(Atletas!B157="Feminino",1000,IF(Atletas!B157="Masculino",2000,""))+IF(Atletas!V157="Taijidao A",937,IF(Atletas!V157="TaijiShanzi A",938,IF(Atletas!V157="Taijiqiang A",939,IF(Atletas!V157="Bagua de Arma A",940,IF(Atletas!V157="Xingyi de Arma A",941,IF(Atletas!V157="Taijidao B",942,IF(Atletas!V157="TaijiShanzi B",943,IF(Atletas!V157="Taijiqiang B",944,IF(Atletas!V157="Bagua de Arma B",945,IF(Atletas!V157="Xingyi de Arma B",946,IF(Atletas!V157="Taijidao C",947,IF(Atletas!V157="TaijiShanzi C",948,IF(Atletas!V157="Taijiqiang C",949,IF(Atletas!V157="Bagua de Arma C",950,IF(Atletas!V157="Xingyi de Arma C",951,IF(Atletas!V157="Taijidao D",952,IF(Atletas!V157="TaijiShanzi D",953,IF(Atletas!V157="Taijiqiang D",954,IF(Atletas!V157="Bagua de Arma D",955,IF(Atletas!V157="Xingyi de Arma D",956,IF(Atletas!V157="Taijidao E",957,IF(Atletas!V157="TaijiShanzi E",958,IF(Atletas!V157="Taijiqiang E",959,IF(Atletas!V157="Bagua de Arma E",960,IF(Atletas!V157="Xingyi de Arma E",961,IF(Atletas!V157="Taijidao F",962,IF(Atletas!V157="TaijiShanzi F",963,IF(Atletas!V157="Taijiqiang F",964,IF(Atletas!V157="Bagua de Arma F",965,IF(Atletas!V157="Xingyi de Arma F",966,"")))))))))))))))))))))))))))))))</f>
        <v/>
      </c>
      <c r="CE166" s="66" t="str">
        <f>IF(CF166&lt;&gt;"","TJQ Trad. Wu E","")</f>
        <v/>
      </c>
      <c r="CF166" s="66" t="str">
        <f>IF(COUNTIF(BR:CD,1328)&gt;0,COUNTIF(BR:CD,1328),"")</f>
        <v/>
      </c>
      <c r="CG166" s="66" t="str">
        <f>IF(CH166&lt;&gt;"","TJQ Trad. Wu E","")</f>
        <v/>
      </c>
      <c r="CH166" s="66" t="str">
        <f>IF(COUNTIF(BR:CD,2328)&gt;0,COUNTIF(BR:CD,2328),"")</f>
        <v/>
      </c>
      <c r="CI166" s="66" t="str">
        <f>IF(CJ166&lt;&gt;"","TJQ Trad. Wu F","")</f>
        <v/>
      </c>
      <c r="CJ166" s="66" t="str">
        <f>IF(COUNTIF(BR:CD,11334)&gt;0,COUNTIF(BR:CD,11334),"")</f>
        <v/>
      </c>
      <c r="CK166" s="66" t="str">
        <f>IF(CL166&lt;&gt;"","TJQ Trad. Wu F","")</f>
        <v/>
      </c>
      <c r="CL166" s="66" t="str">
        <f>IF(COUNTIF(BR:CD,12334)&gt;0,COUNTIF(BR:CD,12334),"")</f>
        <v/>
      </c>
      <c r="CM166" s="50" t="str">
        <f xml:space="preserve"> IF(Atletas!W157="","",IF(Atletas!W157="Duilian de Mãos BC - Equipe 1",1,IF(Atletas!W157="Duilian de Mãos BC - Equipe 2",2,IF(Atletas!W157="Duilian de Armas BC - Equipe 1",3,IF(Atletas!W157="Duilian de Armas BC - Equipe 2",4,IF(Atletas!W157="Duilian de Mãos DE - Equipe 1",5,IF(Atletas!W157="Duilian de Mãos DE - Equipe 2",6,IF(Atletas!W157="Duilian de Armas DE - Equipe 1",7,IF(Atletas!W157="Duilian de Armas DE - Equipe 2",8,IF(Atletas!W157="Duilian de Tuishou - Equipe 1",9,IF(Atletas!W157="Duilian de Tuishou - Equipe 2",10,IF(Atletas!W157="Grupo Externo ABC - Equipe 1",11,IF(Atletas!W157="Grupo Externo ABC - Equipe 2",12,IF(Atletas!W157="Grupo Interno ABC - Equipe 1",13,IF(Atletas!W157="Grupo Interno ABC - Equipe 2",14,IF(Atletas!W157="Grupo Externo DEF - Equipe 1",15,IF(Atletas!W157="Grupo Externo DEF - Equipe 2",16,IF(Atletas!W157="Grupo Interno DEF - Equipe 1",17,IF(Atletas!W157="Grupo Interno DEF - Equipe 2",18,"")))))))))))))))))))</f>
        <v/>
      </c>
    </row>
    <row r="167" spans="2:9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 t="str">
        <f t="array" ref="Z167">IFERROR(INDEX(CE$7:CE$348,SMALL(IF(CE$7:CE$348&lt;&gt;"",ROW(CE$7:CE$348)-ROW(CE$7)+1),ROWS(CE$7:CE166))),"")</f>
        <v/>
      </c>
      <c r="AA167" s="3" t="str">
        <f t="array" ref="AA167">IFERROR(INDEX(CF$7:CF$348,SMALL(IF(CF$7:CF$348&lt;&gt;"",ROW(CF$7:CF$348)-ROW(CF$7)+1),ROWS(CF$7:CF166))),"")</f>
        <v/>
      </c>
      <c r="AB167" s="3" t="str">
        <f t="array" ref="AB167">IFERROR(INDEX(CG$7:CG$348,SMALL(IF(CG$7:CG$348&lt;&gt;"",ROW(CG$7:CG$348)-ROW(CG$7)+1),ROWS(CG$7:CG166))),"")</f>
        <v/>
      </c>
      <c r="AC167" s="3" t="str">
        <f t="array" ref="AC167">IFERROR(INDEX(CH$7:CH$348,SMALL(IF(CH$7:CH$348&lt;&gt;"",ROW(CH$7:CH$348)-ROW(CH$7)+1),ROWS(CH$7:CH166))),"")</f>
        <v/>
      </c>
      <c r="AD167" s="3" t="str">
        <f t="array" ref="AD167">IFERROR(INDEX(CI$7:CI$377,SMALL(IF(CI$7:CI$377&lt;&gt;"",ROW(CI$7:CI$377)-ROW(CI$7)+1),ROWS(CI$7:CI166))),"")</f>
        <v/>
      </c>
      <c r="AE167" s="3" t="str">
        <f t="array" ref="AE167">IFERROR(INDEX(CJ$7:CJ$378,SMALL(IF(CJ$7:CJ$378&lt;&gt;"",ROW(CJ$7:CJ$378)-ROW(CJ$7)+1),ROWS(CJ$7:CJ166))),"")</f>
        <v/>
      </c>
      <c r="AF167" s="3" t="str">
        <f t="array" ref="AF167">IFERROR(INDEX(CK$7:CK$378,SMALL(IF(CK$7:CK$378&lt;&gt;"",ROW(CK$7:CK$378)-ROW(CK$7)+1),ROWS(CK$7:CK166))),"")</f>
        <v/>
      </c>
      <c r="AG167" s="3" t="str">
        <f t="array" ref="AG167">IFERROR(INDEX(CL$7:CL$378,SMALL(IF(CL$7:CL$378&lt;&gt;"",ROW(CL$7:CL$378)-ROW(CL$7)+1),ROWS(CL$7:CL166))),"")</f>
        <v/>
      </c>
      <c r="AH167" s="3"/>
      <c r="AI167" s="3"/>
      <c r="AJ167" s="3"/>
      <c r="AK167" s="3"/>
      <c r="AL167" s="3"/>
      <c r="AM167" s="3"/>
      <c r="AN167" s="52" t="str">
        <f>IF(Atletas!D158="","",IF(Atletas!B158="Feminino",100,IF(Atletas!B158="Masculino",200,""))+(IF(Atletas!D158="Kids 30kg",1,IF(Atletas!D158="Kids 32kg",2, IF(Atletas!D158="Kids 34kg",3,IF(Atletas!D158="Kids 36kg",4,IF(Atletas!D158="Kids 39kg",5,IF(Atletas!D158="Kids 42kg",6,IF(Atletas!D158="Kids 45kg",7, IF(Atletas!D158="Infantil 39kg",8,IF(Atletas!D158="Infantil 42kg",9,IF(Atletas!D158="Infantil 45kg",10,IF(Atletas!D158="Infantil 48kg",11,IF(Atletas!D158="Infantil 52kg",12,IF(Atletas!D158="Infantil 56kg",13,IF(Atletas!D158="Infantil 60kg",14,IF(Atletas!D158="Juvenil 48kg",15,IF(Atletas!D158="Juvenil 52kg",16,IF(Atletas!D158="Juvenil 56kg",17,IF(Atletas!D158="Juvenil 60kg",18,IF(Atletas!D158="Juvenil 65kg",19,IF(Atletas!D158="Juvenil 70kg",20,IF(Atletas!D158="Juvenil 75kg",21,IF(Atletas!D158="Juvenil 80kg",22, IF(Atletas!D158="Juvenil 85kg",23,IF(Atletas!D158="Adulto 48kg",24,IF(Atletas!D158="Adulto 52kg",25,IF(Atletas!D158="Adulto 56kg",26,IF(Atletas!D158="Adulto 60kg",27,IF(Atletas!D158="Adulto 65kg",28,IF(Atletas!D158="Adulto 70kg",29,IF(Atletas!D158="Adulto 75kg",30,IF(Atletas!D158="Adulto 80kg",31,IF(Atletas!D158="Adulto 85kg",32,IF(Atletas!D158="Adulto 90kg",33,IF(Atletas!D158="Adulto 100kg",34, IF(Atletas!D158="Adulto +100kg",35,"")))))))))))))))))))))))))))))))))))))</f>
        <v/>
      </c>
      <c r="AS167" s="6" t="str">
        <f>IF(Atletas!E158="","",IF(Atletas!B158="Feminino",100,IF(Atletas!B158="Masculino",200,""))+(IF(Atletas!E158="Juvenil 44kg",1,IF(Atletas!E158="Juvenil 48kg",2,IF(Atletas!E158="Juvenil 52kg",3,IF(Atletas!E158="Juvenil 56kg",4,IF(Atletas!E158="Juvenil 60kg",5,IF(Atletas!E158="Juvenil 65kg",6,IF(Atletas!E158="Juvenil 70kg",7,IF(Atletas!E158="Juvenil 75kg",8,IF(Atletas!E158="Juvenil 82kg",9,IF(Atletas!E158="Juvenil 90kg",10,IF(Atletas!E158="Juvenil 100kg",11,IF(Atletas!E158="Adulto 48kg",12,IF(Atletas!E158="Adulto 52kg",13,IF(Atletas!E158="Adulto 56kg",14,IF(Atletas!E158="Adulto 60kg",15,IF(Atletas!E158="Adulto 65kg",16,IF(Atletas!E158="Adulto 70kg",17,IF(Atletas!E158="Adulto 75kg",18,IF(Atletas!E158="Adulto 82kg",19,IF(Atletas!E158="Adulto 90kg",20,IF(Atletas!E158="Adulto 100kg",21,IF(Atletas!E158="Adulto +100kg",22,""))))))))))))))))))))))))</f>
        <v/>
      </c>
      <c r="AX167" s="6" t="str">
        <f>IF(Atletas!F158="","",IF(Atletas!B158="Feminino",100,IF(Atletas!B158="Masculino",200,""))+(IF(Atletas!F158="Adulto 48kg",1,IF(Atletas!F158="Adulto 56kg",2,IF(Atletas!F158="Adulto 65kg",3,IF(Atletas!F158="Adulto 75kg",4,IF(Atletas!F158="Adulto +75kg",5,IF(Atletas!F158="Adulto 52kg",6,IF(Atletas!F158="Adulto 60kg",7,IF(Atletas!F158="Adulto 70kg",8,IF(Atletas!F158="Adulto 80kg",9,IF(Atletas!F158="Adulto 90kg",10,IF(Atletas!F158="Adulto +90kg",11,"")))))))))))))</f>
        <v/>
      </c>
      <c r="BC167" s="6" t="str">
        <f>IF(Atletas!G158="","",IF(Atletas!B158="Feminino",10,IF(Atletas!B158="Masculino",20,""))+(IF(Atletas!G158="Baduanjin A",1,IF(Atletas!G158="Baduanjin B",2))))</f>
        <v/>
      </c>
      <c r="BF167" s="52" t="str">
        <f>IF(Atletas!H158="","",IF(Atletas!B158="Feminino",100,IF(Atletas!B158="Masculino",200,""))+(IF(Atletas!H158="Changquan Mirim",1,IF(Atletas!H158="Nanquan Mirim",2,IF(Atletas!H158="Taijiquan Mirim",3,IF(Atletas!H158="Changquan Grupo C",4,IF(Atletas!H158="Nanquan Grupo C",5,IF(Atletas!H158="Taijiquan Grupo C",6,IF(Atletas!H158="Changquan Grupo B",7,IF(Atletas!H158="Nanquan Grupo B",8,IF(Atletas!H158="Taijiquan Grupo B",9,IF(Atletas!H158="Changquan Grupo A",10,IF(Atletas!H158="Nanquan Grupo A",11,IF(Atletas!H158="Taijiquan Grupo A",12,IF(Atletas!H158="Changquan Opcional",13,IF(Atletas!H158="Nanquan Opcional",14,IF(Atletas!H158="Taijiquan Opcional",15,IF(Atletas!H158="Changquan Adulto",16,IF(Atletas!H158="Nanquan Adulto",17,IF(Atletas!H158="Taijiquan Adulto",18,""))))))))))))))))))))</f>
        <v/>
      </c>
      <c r="BG167" s="52" t="str">
        <f>IF(Atletas!I158="","",IF(Atletas!B158="Feminino",100,IF(Atletas!B158="Masculino",200,""))+(IF(Atletas!I158="Daoshu Mirim",19,IF(Atletas!I158="Jianshu Mirim",20,IF(Atletas!I158="Nandao Mirim",21,IF(Atletas!I158="Taijijian Mirim",22,IF(Atletas!I158="Daoshu Grupo C",23,IF(Atletas!I158="Jianshu Grupo C",24,IF(Atletas!I158="Nandao Grupo C",25,IF(Atletas!I158="Taijijian Grupo C",26,IF(Atletas!I158="Daoshu Grupo B",27,IF(Atletas!I158="Jianshu Grupo B",28,IF(Atletas!I158="Nandao Grupo B",29,IF(Atletas!I158="Taijijian Grupo B",30,IF(Atletas!I158="Daoshu Grupo A",31,IF(Atletas!I158="Jianshu Grupo A",32,IF(Atletas!I158="Nandao Grupo A",33,IF(Atletas!I158="Taijijian Grupo A",34,IF(Atletas!I158="Daoshu Opcional",35,IF(Atletas!I158="Jianshu Opcional",36,IF(Atletas!I158="Nandao Opcional",37,IF(Atletas!I158="Taijijian Opcional",38,IF(Atletas!I158="Daoshu Adulto",39,IF(Atletas!I158="Jianshu Adulto",40,IF(Atletas!I158="Nandao Adulto",41,IF(Atletas!I158="Taijijian Adulto",42,""))))))))))))))))))))))))))</f>
        <v/>
      </c>
      <c r="BH167" s="52" t="str">
        <f>IF(Atletas!J158="","",IF(Atletas!B158="Feminino",100,IF(Atletas!B158="Masculino",200,""))+(IF(Atletas!J158="Gunshu Mirim",43,IF(Atletas!J158="Qiangshu Mirim",44,IF(Atletas!J158="Nangun Mirim",45,IF(Atletas!J158="Gunshu Grupo C",46,IF(Atletas!J158="Qiangshu Grupo C",47,IF(Atletas!J158="Nangun Grupo C",48,IF(Atletas!J158="Gunshu Grupo B",49,IF(Atletas!J158="Qiangshu Grupo B",50,IF(Atletas!J158="Nangun Grupo B",51,IF(Atletas!J158="Gunshu Grupo A",52,IF(Atletas!J158="Qiangshu Grupo A",53,IF(Atletas!J158="Nangun Grupo A",54,IF(Atletas!J158="Gunshu Opcional",55,IF(Atletas!J158="Qiangshu Opcional",56,IF(Atletas!J158="Nangun Opcional",57,IF(Atletas!J158="Gunshu Adulto",58,IF(Atletas!J158="Qiangshu Adulto",59,IF(Atletas!J158="Nangun Adulto",60,IF(Atletas!J158="Taijishan Grupo B",61,IF(Atletas!J158="Taijishan Grupo A",62,""))))))))))))))))))))))</f>
        <v/>
      </c>
      <c r="BM167" s="50" t="str">
        <f>IF(Atletas!K158="","",IF(Atletas!B158="Feminino",100,IF(Atletas!B158="Masculino",200,""))+(IF(Atletas!K158="Equipe 1 Grupo B",1,IF(Atletas!K158="Equipe 2 Grupo B",2,IF(Atletas!K158="Equipe 1 Grupo A",3,IF(Atletas!K158="Equipe 2 Grupo A",4,IF(Atletas!K158="Equipe 1 Adulto",5,IF(Atletas!K158="Equipe 2 Adulto",6,""))))))))</f>
        <v/>
      </c>
      <c r="BR167" s="50" t="str">
        <f>IF(Atletas!L158="","",IF(Atletas!X158&lt;&gt;"",10000,0)+(IF(Atletas!B158="Feminino",1000,IF(Atletas!B158="Masculino",2000,""))+IF(Atletas!L158="Choylayfut A",1,IF(Atletas!L158="Hunggar A",2,IF(Atletas!L158="Wuzuquan A",3,IF(Atletas!L158="Wingchun A",4,IF(Atletas!L158="Outra Mão de Sul A",5,IF(Atletas!L158="Choylayfut B",6,IF(Atletas!L158="Hunggar B",7,IF(Atletas!L158="Wuzuquan B",8,IF(Atletas!L158="Wingchun B",9,IF(Atletas!L158="Outra Mão de Sul B",10,IF(Atletas!L158="Choylayfut C",11,IF(Atletas!L158="Hunggar C",12,IF(Atletas!L158="Wuzuquan C",13,IF(Atletas!L158="Wingchun C",14,IF(Atletas!L158="Outra Mão de Sul C",15,IF(Atletas!L158="Choylayfut D",16,IF(Atletas!L158="Hunggar D",17,IF(Atletas!L158="Wuzuquan D",18,IF(Atletas!L158="Wingchun D",19,IF(Atletas!L158="Outra Mão de Sul D",20,IF(Atletas!L158="Choylayfut E",21,IF(Atletas!L158="Hunggar E",22,IF(Atletas!L158="Wuzuquan E",23,IF(Atletas!L158="Wingchun E",24,IF(Atletas!L158="Outra Mão de Sul E",25,IF(Atletas!L158="Choylayfut F",26,IF(Atletas!L158="Hunggar F",27,IF(Atletas!L158="Wuzuquan F",28,IF(Atletas!L158="Wingchun F",29,IF(Atletas!L158="Outra Mão de Sul F",30,IF(Atletas!L158="Dishuquan A",31,IF(Atletas!L158="Dishuquan B",32,IF(Atletas!L158="Dishuquan C",33,IF(Atletas!L158="Dishuquan D",34,IF(Atletas!L158="Dishuquan E",35,IF(Atletas!L158="Dishuquan F",36,""))))))))))))))))))))))))))))))))))))))</f>
        <v/>
      </c>
      <c r="BS167" s="50" t="str">
        <f>IF(Atletas!M158="","",IF(Atletas!X158&lt;&gt;"",10000,0)+(IF(Atletas!B158="Feminino",1000,IF(Atletas!B158="Masculino",2000,""))+(IF(Atletas!M158="Chaquan A",101,IF(Atletas!M158="Emeiquan A",102,IF(Atletas!M158="Fanziquan A",103,IF(Atletas!M158="Huaquan A",104,IF(Atletas!M158="Hongquan A",105,IF(Atletas!M158="Paoquan A",106,IF(Atletas!M158="Piguaquan A",107,IF(Atletas!M158="Shaolinquan A",108,IF(Atletas!M158="Tanglangquan A",109,IF(Atletas!M158="Yingzhaoquan A",110,IF(Atletas!M158="Tongbeiquan A",111,IF(Atletas!M158="Wudangquan A",112,IF(Atletas!M158="Outros Estilos A",113,IF(Atletas!M158="Chaquan B",114,IF(Atletas!M158="Emeiquan B",115,IF(Atletas!M158="Fanziquan B",116,IF(Atletas!M158="Huaquan B",117,IF(Atletas!M158="Hongquan B",118,IF(Atletas!M158="Paoquan B",119,IF(Atletas!M158="Piguaquan B",120,IF(Atletas!M158="Shaolinquan B",121,IF(Atletas!M158="Tanglangquan B",122,IF(Atletas!M158="Yingzhaoquan B",123,IF(Atletas!M158="Tongbeiquan B",124,IF(Atletas!M158="Wudangquan B",125,IF(Atletas!M158="Outros Estilos B",126,IF(Atletas!M158="Chaquan C",127,IF(Atletas!M158="Emeiquan C",128,IF(Atletas!M158="Fanziquan C",129,IF(Atletas!M158="Huaquan C",130,IF(Atletas!M158="Hongquan C",131,IF(Atletas!M158="Paoquan C",132,IF(Atletas!M158="Piguaquan C",133,IF(Atletas!M158="Shaolinquan C",134,IF(Atletas!M158="Tanglangquan C",135,IF(Atletas!M158="Yingzhaoquan C",136,IF(Atletas!M158="Tongbeiquan C",137,IF(Atletas!M158="Wudangquan C",138,IF(Atletas!M158="Outros Estilos C",139,0))))))))))))))))))))))))))))))))))))))))))</f>
        <v/>
      </c>
      <c r="BT167" s="50" t="str">
        <f>IF(Atletas!M158="","",IF(Atletas!X158&lt;&gt;"",10000,0)+(IF(Atletas!B158="Feminino",1000,IF(Atletas!B158="Masculino",2000,""))+(IF(Atletas!M158="Chaquan D",140,IF(Atletas!M158="Emeiquan D",141,IF(Atletas!M158="Fanziquan D",142,IF(Atletas!M158="Huaquan D",143,IF(Atletas!M158="Hongquan D",144,IF(Atletas!M158="Paoquan D",145,IF(Atletas!M158="Piguaquan D",146,IF(Atletas!M158="Shaolinquan D",147,IF(Atletas!M158="Tanglangquan D",148,IF(Atletas!M158="Yingzhaoquan D",149,IF(Atletas!M158="Tongbeiquan D",150,IF(Atletas!M158="Wudangquan D",151,IF(Atletas!M158="Outros Estilos D",152,IF(Atletas!M158="Chaquan E",153,IF(Atletas!M158="Emeiquan E",154,IF(Atletas!M158="Fanziquan E",155,IF(Atletas!M158="Huaquan E",156,IF(Atletas!M158="Hongquan E",157,IF(Atletas!M158="Paoquan E",158,IF(Atletas!M158="Piguaquan E",159,IF(Atletas!M158="Shaolinquan E",160,IF(Atletas!M158="Tanglangquan E",161,IF(Atletas!M158="Yingzhaoquan E",162,IF(Atletas!M158="Tongbeiquan E",163,IF(Atletas!M158="Wudangquan E",164,IF(Atletas!M158="Outros Estilos E",165,IF(Atletas!M158="Chaquan F",166,IF(Atletas!M158="Emeiquan F",167,IF(Atletas!M158="Fanziquan F",168,IF(Atletas!M158="Huaquan F",169,IF(Atletas!M158="Hongquan F",170,IF(Atletas!M158="Paoquan F",171,IF(Atletas!M158="Piguaquan F",172,IF(Atletas!M158="Shaolinquan F",173,IF(Atletas!M158="Tanglangquan F",174,IF(Atletas!M158="Yingzhaoquan F",175,IF(Atletas!M158="Tongbeiquan F",176,IF(Atletas!M158="Wudangquan F",177,IF(Atletas!M158="Outros Estilos F",178,0))))))))))))))))))))))))))))))))))))))))))</f>
        <v/>
      </c>
      <c r="BU167" s="50" t="str">
        <f>IF(Atletas!N158="","",IF(Atletas!X158&lt;&gt;"",10000,0)+(IF(Atletas!B158="Feminino",1000,IF(Atletas!B158="Masculino",2000,""))+(IF(Atletas!N158="Ditangquan A",201,IF(Atletas!N158="Houquan A",202,IF(Atletas!N158="Zuiquan A",203,IF(Atletas!N158="Ditangquan B",204,IF(Atletas!N158="Houquan B",205,IF(Atletas!N158="Zuiquan B",206,IF(Atletas!N158="Ditangquan C",207,IF(Atletas!N158="Houquan C",208,IF(Atletas!N158="Zuiquan C",209,IF(Atletas!N158="Ditangquan D",210,IF(Atletas!N158="Houquan D",211,IF(Atletas!N158="Zuiquan D",212,IF(Atletas!N158="Ditangquan E",213,IF(Atletas!N158="Houquan E",214,IF(Atletas!N158="Zuiquan E",215,IF(Atletas!N158="Ditangquan F",216,IF(Atletas!N158="Houquan F",217,IF(Atletas!N158="Zuiquan F",218,"")))))))))))))))))))))</f>
        <v/>
      </c>
      <c r="BV167" s="50" t="str">
        <f>IF(Atletas!O158="","",IF(Atletas!X158&lt;&gt;"",10000,0)+IF(Atletas!B158="Feminino",1000,IF(Atletas!B158="Masculino",2000,""))+IF(Atletas!O158="Yang A",301,IF(Atletas!O158="Chen A",302,IF(Atletas!O158="Sun A",303,IF(Atletas!O158="Wu A",304,IF(Atletas!O158="Wu-Hao A",305,IF(Atletas!O158="Outro Taijiquan A",306,IF(Atletas!O158="Yang B",307,IF(Atletas!O158="Chen B",308,IF(Atletas!O158="Sun B",309,IF(Atletas!O158="Wu B",310,IF(Atletas!O158="Wu-Hao B",311,IF(Atletas!O158="Outro Taijiquan B",312,IF(Atletas!O158="Yang C",313,IF(Atletas!O158="Chen C",314,IF(Atletas!O158="Sun C",315,IF(Atletas!O158="Wu C",316,IF(Atletas!O158="Wu-Hao C",317,IF(Atletas!O158="Outro Taijiquan C",318,IF(Atletas!O158="Yang D",319,IF(Atletas!O158="Chen D",320,IF(Atletas!O158="Sun D",321,IF(Atletas!O158="Wu D",322,IF(Atletas!O158="Wu-Hao D",323,IF(Atletas!O158="Outro Taijiquan D",324,IF(Atletas!O158="Yang E",325,IF(Atletas!O158="Chen E",326,IF(Atletas!O158="Sun E",327,IF(Atletas!O158="Wu E",328,IF(Atletas!O158="Wu-Hao E",329,IF(Atletas!O158="Outro Taijiquan E",330,IF(Atletas!O158="Yang F",331,IF(Atletas!O158="Chen F",332,IF(Atletas!O158="Sun F",333,IF(Atletas!O158="Wu F",334,IF(Atletas!O158="Wu-Hao F",335,IF(Atletas!O158="Outro Taijiquan F",336,"")))))))))))))))))))))))))))))))))))))</f>
        <v/>
      </c>
      <c r="BW167" s="50" t="str">
        <f>IF(Atletas!P158="","",IF(Atletas!X158&lt;&gt;"",10000,0)+IF(Atletas!B158="Feminino",1000,IF(Atletas!B158="Masculino",2000,""))+IF(OR(Atletas!P158="Yang 26 A",Atletas!P158="Yang 40 A"),401,IF(OR(Atletas!P158="Chen 25 A",Atletas!P158="Chen 36 A",Atletas!P158="Chen 56 A"),402,IF(Atletas!P158="Sun 73 A",403,IF(Atletas!P158="Wu 45 A",404,IF(Atletas!P158="Wu-Hao 46 A",405,IF(OR(Atletas!P158="Taijiquan 16 A",Atletas!P158="Taijiquan 24 A",Atletas!P158="Taijiquan 32 A",Atletas!P158="Taijiquan 42 A"),406,IF(OR(Atletas!P158="Yang 26 B",Atletas!P158="Yang 40 B"),407,IF(OR(Atletas!P158="Chen 25 B",Atletas!P158="Chen 36 B",Atletas!P158="Chen 56 B"),408,IF(Atletas!P158="Sun 73 B",409,IF(Atletas!P158="Wu 45 B",410,IF(Atletas!P158="Wu-Hao 46 B",411,IF(OR(Atletas!P158="Taijiquan 16 B",Atletas!P158="Taijiquan 24 B",Atletas!P158="Taijiquan 32 B",Atletas!P158="Taijiquan 42 B"),412,IF(OR(Atletas!P158="Yang 26 C",Atletas!P158="Yang 40 C"),413,IF(OR(Atletas!P158="Chen 25 C",Atletas!P158="Chen 36 C",Atletas!P158="Chen 56 C"),414,IF(Atletas!P158="Sun 73 C",415,IF(Atletas!P158="Wu 45 C",416,IF(Atletas!P158="Wu-Hao 46 C",417,IF(OR(Atletas!P158="Taijiquan 16 C",Atletas!P158="Taijiquan 24 C",Atletas!P158="Taijiquan 32 C",Atletas!P158="Taijiquan 42 C"),418,0)))))))))))))))))))</f>
        <v/>
      </c>
      <c r="BX167" s="50" t="str">
        <f>IF(Atletas!P158="","",IF(Atletas!X158&lt;&gt;"",10000,0)+IF(Atletas!B158="Feminino",1000,IF(Atletas!B158="Masculino",2000,""))+IF(OR(Atletas!P158="Yang 26 D",Atletas!P158="Yang 40 D"),419,IF(OR(Atletas!P158="Chen 25 D",Atletas!P158="Chen 36 D",Atletas!P158="Chen 56 D"),420,IF(Atletas!P158="Sun 73 D",421,IF(Atletas!P158="Wu 45 D",422,IF(Atletas!P158="Wu-Hao 46 D",423,IF(OR(Atletas!P158="Taijiquan 16 D",Atletas!P158="Taijiquan 24 D",Atletas!P158="Taijiquan 32 D",Atletas!P158="Taijiquan 42 D"),424,IF(OR(Atletas!P158="Yang 26 E",Atletas!P158="Yang 40 E"),425,IF(OR(Atletas!P158="Chen 25 E",Atletas!P158="Chen 36 E",Atletas!P158="Chen 56 E"),426,IF(Atletas!P158="Sun 73 E",427,IF(Atletas!P158="Wu 45 E",428,IF(Atletas!P158="Wu-Hao 46 E",429,IF(OR(Atletas!P158="Taijiquan 16 E",Atletas!P158="Taijiquan 24 E",Atletas!P158="Taijiquan 32 E",Atletas!P158="Taijiquan 42 E"),430,IF(OR(Atletas!P158="Yang 26 F",Atletas!P158="Yang 40 F"),431,IF(OR(Atletas!P158="Chen 25 F",Atletas!P158="Chen 36 F",Atletas!P158="Chen 56 F"),432,IF(Atletas!P158="Sun 73 F",433,IF(Atletas!P158="Wu 45 F",434,IF(Atletas!P158="Wu-Hao 46 F",435,IF(OR(Atletas!P158="Taijiquan 16 F",Atletas!P158="Taijiquan 24 F",Atletas!P158="Taijiquan 32 F",Atletas!P158="Taijiquan 42 F"),436,0)))))))))))))))))))</f>
        <v/>
      </c>
      <c r="BY167" s="50" t="str">
        <f>IF(Atletas!Q158="","",IF(Atletas!X158&lt;&gt;"",10000,0)+IF(Atletas!B158="Feminino",1000,IF(Atletas!B158="Masculino",2000,""))+IF(Atletas!Q158="Xingyiquan A",501,IF(Atletas!Q158="Baguazhang A",502,IF(Atletas!Q158="Outro Estilo Interno A",503,IF(Atletas!Q158="Xingyiquan B",504,IF(Atletas!Q158="Baguazhang B",505,IF(Atletas!Q158="Outro Estilo Interno B",506,IF(Atletas!Q158="Xingyiquan C",507,IF(Atletas!Q158="Baguazhang C",508,IF(Atletas!Q158="Outro Estilo Interno C",509,IF(Atletas!Q158="Xingyiquan D",510,IF(Atletas!Q158="Baguazhang D",511,IF(Atletas!Q158="Outro Estilo Interno D",512,IF(Atletas!Q158="Xingyiquan E",513,IF(Atletas!Q158="Baguazhang E",514,IF(Atletas!Q158="Outro Estilo Interno E",515,IF(Atletas!Q158="Xingyiquan F",516,IF(Atletas!Q158="Baguazhang F",517,IF(Atletas!Q158="Outro Estilo Interno F",518, "")))))))))))))))))))</f>
        <v/>
      </c>
      <c r="BZ167" s="50" t="str">
        <f>IF(Atletas!R158="","",IF(Atletas!X158&lt;&gt;"",10000,0)+IF(Atletas!B158="Feminino",1000,IF(Atletas!B158="Masculino",2000,""))+IF(Atletas!R158="Dao A",601,IF(Atletas!R158="Jian A",602,IF(Atletas!R158="Bishou A",603,IF(Atletas!R158="Shanzi A",604,IF(Atletas!R158="Outra Arma Curta A",605,IF(Atletas!R158="Dao B",606,IF(Atletas!R158="Jian B",607,IF(Atletas!R158="Bishou B",608,IF(Atletas!R158="Shanzi B",609,IF(Atletas!R158="Outra Arma Curta B",610,IF(Atletas!R158="Dao C",611,IF(Atletas!R158="Jian C",612,IF(Atletas!R158="Bishou C",613,IF(Atletas!R158="Shanzi C",614,IF(Atletas!R158="Outra Arma Curta C",615,IF(Atletas!R158="Dao D",616,IF(Atletas!R158="Jian D",617,IF(Atletas!R158="Bishou D",618,IF(Atletas!R158="Shanzi D",619,IF(Atletas!R158="Outra Arma Curta D",620,IF(Atletas!R158="Dao E",621,IF(Atletas!R158="Jian E",622,IF(Atletas!R158="Bishou E",623,IF(Atletas!R158="Shanzi E",624,IF(Atletas!R158="Outra Arma Curta E",625,IF(Atletas!R158="Dao F",626,IF(Atletas!R158="Jian F",627,IF(Atletas!R158="Bishou F",628,IF(Atletas!R158="Shanzi F",629,IF(Atletas!R158="Outra Arma Curta F",630, "")))))))))))))))))))))))))))))))</f>
        <v/>
      </c>
      <c r="CA167" s="50" t="str">
        <f>IF(Atletas!S158="","",IF(Atletas!X158&lt;&gt;"",10000,0)+IF(Atletas!B158="Feminino",1000,IF(Atletas!B158="Masculino",2000,""))+IF(Atletas!S158="Gun A",701,IF(Atletas!S158="Qiang A",702,IF(Atletas!S158="Pudao / Guandao A",703,IF(Atletas!S158="Outra Arma Longa A",704,IF(Atletas!S158="Gun B",705,IF(Atletas!S158="Qiang B",706,IF(Atletas!S158="Pudao / Guandao B",707,IF(Atletas!S158="Outra Arma Longa B",708,IF(Atletas!S158="Gun C",709,IF(Atletas!S158="Qiang C",710,IF(Atletas!S158="Pudao / Guandao C",711,IF(Atletas!S158="Outra Arma Longa C",712,IF(Atletas!S158="Gun D",713,IF(Atletas!S158="Qiang D",714,IF(Atletas!S158="Pudao / Guandao D",715,IF(Atletas!S158="Outra Arma Longa D",716,IF(Atletas!S158="Gun E",717,IF(Atletas!S158="Qiang E",718,IF(Atletas!S158="Pudao / Guandao E",719,IF(Atletas!S158="Outra Arma Longa E",720,IF(Atletas!S158="Gun F",721,IF(Atletas!S158="Qiang F",722,IF(Atletas!S158="Pudao / Guandao F",723,IF(Atletas!S158="Outra Arma Longa F",724,"")))))))))))))))))))))))))</f>
        <v/>
      </c>
      <c r="CB167" s="50" t="str">
        <f>IF(Atletas!T158="","",IF(Atletas!X158&lt;&gt;"",10000,0)+IF(Atletas!B158="Feminino",1000,IF(Atletas!B158="Masculino",2000,""))+IF(Atletas!T158="Outra Arma Dupla A",801,IF(Atletas!T158="Arma Maleável A",802,IF(Atletas!T158="Outra Arma Dupla B",803,IF(Atletas!T158="Arma Maleável B",804,IF(Atletas!T158="Outra Arma Dupla C",805,IF(Atletas!T158="Arma Maleável C",806,IF(Atletas!T158="Outra Arma Dupla D",807,IF(Atletas!T158="Arma Maleável D",808,IF(Atletas!T158="Outra Arma Dupla E",809,IF(Atletas!T158="Arma Maleável E",810,IF(Atletas!T158="Outra Arma Dupla F",811,IF(Atletas!T158="Arma Maleável F",812,IF(Atletas!T158="Shuangdao A",813,IF(Atletas!T158="Shuangdao B",814,IF(Atletas!T158="Shuangdao C",815,IF(Atletas!T158="Shuangdao D",816,IF(Atletas!T158="Shuangdao E",817,IF(Atletas!T158="Shuangdao F",818,"")))))))))))))))))))</f>
        <v/>
      </c>
      <c r="CC167" s="50" t="str">
        <f>IF(Atletas!U158="","",IF(Atletas!X158&lt;&gt;"",10000,0)+IF(Atletas!B158="Feminino",1000,IF(Atletas!B158="Masculino",2000,""))+IF(OR(Atletas!U158="Taijijian Yang A",Atletas!U158="Taijijian Yang Standard A"),901,IF(OR(Atletas!U158="Taijijian Chen A", Atletas!U158="Taijijian Chen Standard A"),902,IF(Atletas!U158="Taijijian Sun A",903,IF(Atletas!U158="Taijijian Wu A",904,IF(Atletas!U158="Taijijian Wu-Hao A",905,IF(OR(Atletas!U158="Taijijian 32 A",Atletas!U158="Taijijian 42 A"),906,IF(OR(Atletas!U158="Taijijian Yang B",Atletas!U158="Taijijian Yang Standard B"),907,IF(OR(Atletas!U158="Taijijian Chen B", Atletas!U158="Taijijian Chen Standard B"),908,IF(Atletas!U158="Taijijian Sun B",909,IF(Atletas!U158="Taijijian Wu B",910,IF(Atletas!U158="Taijijian Wu-Hao B",911,IF(OR(Atletas!U158="Taijijian 32 B",Atletas!U158="Taijijian 42 B"),912,IF(OR(Atletas!U158="Taijijian Yang C",Atletas!U158="Taijijian Yang Standard C"),913,IF(OR(Atletas!U158="Taijijian Chen C", Atletas!U158="Taijijian Chen Standard C"),914,IF(Atletas!U158="Taijijian Sun C",915,IF(Atletas!U158="Taijijian Wu C",916,IF(Atletas!U158="Taijijian Wu-Hao C",917,IF(OR(Atletas!U158="Taijijian 32 C",Atletas!U158="Taijijian 42 C"),918,IF(OR(Atletas!U158="Taijijian Yang D",Atletas!U158="Taijijian Yang Standard D"),919,IF(OR(Atletas!U158="Taijijian Chen D", Atletas!U158="Taijijian Chen Standard D"),920,IF(Atletas!U158="Taijijian Sun D",921,IF(Atletas!U158="Taijijian Wu D",922,IF(Atletas!U158="Taijijian Wu-Hao D",923,IF(OR(Atletas!U158="Taijijian 32 D",Atletas!U158="Taijijian 42 D"),924,IF(OR(Atletas!U158="Taijijian Yang E",Atletas!U158="Taijijian Yang Standard E"),925,IF(OR(Atletas!U158="Taijijian Chen E", Atletas!U158="Taijijian Chen Standard E"),926,IF(Atletas!U158="Taijijian Sun E",927,IF(Atletas!U158="Taijijian Wu E",928,IF(Atletas!U158="Taijijian Wu-Hao E",929,IF(OR(Atletas!U158="Taijijian 32 E",Atletas!U158="Taijijian 42 E"),930,IF(OR(Atletas!U158="Taijijian Yang F",Atletas!U158="Taijijian Yang Standard F"),931,IF(OR(Atletas!U158="Taijijian Chen F", Atletas!U158="Taijijian Chen Standard F"),932,IF(Atletas!U158="Taijijian Sun F",933,IF(Atletas!U158="Taijijian Wu F",934,IF(Atletas!U158="Taijijian Wu-Hao F",935,IF(OR(Atletas!U158="Taijijian 32 F",Atletas!U158="Taijijian 42 F"),936,"")))))))))))))))))))))))))))))))))))))</f>
        <v/>
      </c>
      <c r="CD167" s="50" t="str">
        <f>IF(Atletas!V158="","",IF(Atletas!X158&lt;&gt;"",10000,0)+IF(Atletas!B158="Feminino",1000,IF(Atletas!B158="Masculino",2000,""))+IF(Atletas!V158="Taijidao A",937,IF(Atletas!V158="TaijiShanzi A",938,IF(Atletas!V158="Taijiqiang A",939,IF(Atletas!V158="Bagua de Arma A",940,IF(Atletas!V158="Xingyi de Arma A",941,IF(Atletas!V158="Taijidao B",942,IF(Atletas!V158="TaijiShanzi B",943,IF(Atletas!V158="Taijiqiang B",944,IF(Atletas!V158="Bagua de Arma B",945,IF(Atletas!V158="Xingyi de Arma B",946,IF(Atletas!V158="Taijidao C",947,IF(Atletas!V158="TaijiShanzi C",948,IF(Atletas!V158="Taijiqiang C",949,IF(Atletas!V158="Bagua de Arma C",950,IF(Atletas!V158="Xingyi de Arma C",951,IF(Atletas!V158="Taijidao D",952,IF(Atletas!V158="TaijiShanzi D",953,IF(Atletas!V158="Taijiqiang D",954,IF(Atletas!V158="Bagua de Arma D",955,IF(Atletas!V158="Xingyi de Arma D",956,IF(Atletas!V158="Taijidao E",957,IF(Atletas!V158="TaijiShanzi E",958,IF(Atletas!V158="Taijiqiang E",959,IF(Atletas!V158="Bagua de Arma E",960,IF(Atletas!V158="Xingyi de Arma E",961,IF(Atletas!V158="Taijidao F",962,IF(Atletas!V158="TaijiShanzi F",963,IF(Atletas!V158="Taijiqiang F",964,IF(Atletas!V158="Bagua de Arma F",965,IF(Atletas!V158="Xingyi de Arma F",966,"")))))))))))))))))))))))))))))))</f>
        <v/>
      </c>
      <c r="CE167" s="66" t="str">
        <f>IF(CF167&lt;&gt;"","TJQ Trad. Wu-Hao E","")</f>
        <v/>
      </c>
      <c r="CF167" s="66" t="str">
        <f>IF(COUNTIF(BR:CD,1329)&gt;0,COUNTIF(BR:CD,1329),"")</f>
        <v/>
      </c>
      <c r="CG167" s="66" t="str">
        <f>IF(CH167&lt;&gt;"","TJQ Trad. Wu-Hao E","")</f>
        <v/>
      </c>
      <c r="CH167" s="66" t="str">
        <f>IF(COUNTIF(BR:CD,2329)&gt;0,COUNTIF(BR:CD,2329),"")</f>
        <v/>
      </c>
      <c r="CI167" s="66" t="str">
        <f>IF(CJ167&lt;&gt;"","TJQ Trad. Wu-Hao F","")</f>
        <v/>
      </c>
      <c r="CJ167" s="66" t="str">
        <f>IF(COUNTIF(BR:CD,11335)&gt;0,COUNTIF(BR:CD,11335),"")</f>
        <v/>
      </c>
      <c r="CK167" s="66" t="str">
        <f>IF(CL167&lt;&gt;"","TJQ Trad. Wu-Hao F","")</f>
        <v/>
      </c>
      <c r="CL167" s="66" t="str">
        <f>IF(COUNTIF(BR:CD,12335)&gt;0,COUNTIF(BR:CD,12335),"")</f>
        <v/>
      </c>
      <c r="CM167" s="50" t="str">
        <f xml:space="preserve"> IF(Atletas!W158="","",IF(Atletas!W158="Duilian de Mãos BC - Equipe 1",1,IF(Atletas!W158="Duilian de Mãos BC - Equipe 2",2,IF(Atletas!W158="Duilian de Armas BC - Equipe 1",3,IF(Atletas!W158="Duilian de Armas BC - Equipe 2",4,IF(Atletas!W158="Duilian de Mãos DE - Equipe 1",5,IF(Atletas!W158="Duilian de Mãos DE - Equipe 2",6,IF(Atletas!W158="Duilian de Armas DE - Equipe 1",7,IF(Atletas!W158="Duilian de Armas DE - Equipe 2",8,IF(Atletas!W158="Duilian de Tuishou - Equipe 1",9,IF(Atletas!W158="Duilian de Tuishou - Equipe 2",10,IF(Atletas!W158="Grupo Externo ABC - Equipe 1",11,IF(Atletas!W158="Grupo Externo ABC - Equipe 2",12,IF(Atletas!W158="Grupo Interno ABC - Equipe 1",13,IF(Atletas!W158="Grupo Interno ABC - Equipe 2",14,IF(Atletas!W158="Grupo Externo DEF - Equipe 1",15,IF(Atletas!W158="Grupo Externo DEF - Equipe 2",16,IF(Atletas!W158="Grupo Interno DEF - Equipe 1",17,IF(Atletas!W158="Grupo Interno DEF - Equipe 2",18,"")))))))))))))))))))</f>
        <v/>
      </c>
    </row>
    <row r="168" spans="2:91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 t="str">
        <f t="array" ref="Z168">IFERROR(INDEX(CE$7:CE$348,SMALL(IF(CE$7:CE$348&lt;&gt;"",ROW(CE$7:CE$348)-ROW(CE$7)+1),ROWS(CE$7:CE167))),"")</f>
        <v/>
      </c>
      <c r="AA168" s="3" t="str">
        <f t="array" ref="AA168">IFERROR(INDEX(CF$7:CF$348,SMALL(IF(CF$7:CF$348&lt;&gt;"",ROW(CF$7:CF$348)-ROW(CF$7)+1),ROWS(CF$7:CF167))),"")</f>
        <v/>
      </c>
      <c r="AB168" s="3" t="str">
        <f t="array" ref="AB168">IFERROR(INDEX(CG$7:CG$348,SMALL(IF(CG$7:CG$348&lt;&gt;"",ROW(CG$7:CG$348)-ROW(CG$7)+1),ROWS(CG$7:CG167))),"")</f>
        <v/>
      </c>
      <c r="AC168" s="3" t="str">
        <f t="array" ref="AC168">IFERROR(INDEX(CH$7:CH$348,SMALL(IF(CH$7:CH$348&lt;&gt;"",ROW(CH$7:CH$348)-ROW(CH$7)+1),ROWS(CH$7:CH167))),"")</f>
        <v/>
      </c>
      <c r="AD168" s="3" t="str">
        <f t="array" ref="AD168">IFERROR(INDEX(CI$7:CI$377,SMALL(IF(CI$7:CI$377&lt;&gt;"",ROW(CI$7:CI$377)-ROW(CI$7)+1),ROWS(CI$7:CI167))),"")</f>
        <v/>
      </c>
      <c r="AE168" s="3" t="str">
        <f t="array" ref="AE168">IFERROR(INDEX(CJ$7:CJ$378,SMALL(IF(CJ$7:CJ$378&lt;&gt;"",ROW(CJ$7:CJ$378)-ROW(CJ$7)+1),ROWS(CJ$7:CJ167))),"")</f>
        <v/>
      </c>
      <c r="AF168" s="3" t="str">
        <f t="array" ref="AF168">IFERROR(INDEX(CK$7:CK$378,SMALL(IF(CK$7:CK$378&lt;&gt;"",ROW(CK$7:CK$378)-ROW(CK$7)+1),ROWS(CK$7:CK167))),"")</f>
        <v/>
      </c>
      <c r="AG168" s="3" t="str">
        <f t="array" ref="AG168">IFERROR(INDEX(CL$7:CL$378,SMALL(IF(CL$7:CL$378&lt;&gt;"",ROW(CL$7:CL$378)-ROW(CL$7)+1),ROWS(CL$7:CL167))),"")</f>
        <v/>
      </c>
      <c r="AH168" s="3"/>
      <c r="AI168" s="3"/>
      <c r="AJ168" s="3"/>
      <c r="AK168" s="3"/>
      <c r="AL168" s="3"/>
      <c r="AM168" s="3"/>
      <c r="AN168" s="52" t="str">
        <f>IF(Atletas!D159="","",IF(Atletas!B159="Feminino",100,IF(Atletas!B159="Masculino",200,""))+(IF(Atletas!D159="Kids 30kg",1,IF(Atletas!D159="Kids 32kg",2, IF(Atletas!D159="Kids 34kg",3,IF(Atletas!D159="Kids 36kg",4,IF(Atletas!D159="Kids 39kg",5,IF(Atletas!D159="Kids 42kg",6,IF(Atletas!D159="Kids 45kg",7, IF(Atletas!D159="Infantil 39kg",8,IF(Atletas!D159="Infantil 42kg",9,IF(Atletas!D159="Infantil 45kg",10,IF(Atletas!D159="Infantil 48kg",11,IF(Atletas!D159="Infantil 52kg",12,IF(Atletas!D159="Infantil 56kg",13,IF(Atletas!D159="Infantil 60kg",14,IF(Atletas!D159="Juvenil 48kg",15,IF(Atletas!D159="Juvenil 52kg",16,IF(Atletas!D159="Juvenil 56kg",17,IF(Atletas!D159="Juvenil 60kg",18,IF(Atletas!D159="Juvenil 65kg",19,IF(Atletas!D159="Juvenil 70kg",20,IF(Atletas!D159="Juvenil 75kg",21,IF(Atletas!D159="Juvenil 80kg",22, IF(Atletas!D159="Juvenil 85kg",23,IF(Atletas!D159="Adulto 48kg",24,IF(Atletas!D159="Adulto 52kg",25,IF(Atletas!D159="Adulto 56kg",26,IF(Atletas!D159="Adulto 60kg",27,IF(Atletas!D159="Adulto 65kg",28,IF(Atletas!D159="Adulto 70kg",29,IF(Atletas!D159="Adulto 75kg",30,IF(Atletas!D159="Adulto 80kg",31,IF(Atletas!D159="Adulto 85kg",32,IF(Atletas!D159="Adulto 90kg",33,IF(Atletas!D159="Adulto 100kg",34, IF(Atletas!D159="Adulto +100kg",35,"")))))))))))))))))))))))))))))))))))))</f>
        <v/>
      </c>
      <c r="AS168" s="6" t="str">
        <f>IF(Atletas!E159="","",IF(Atletas!B159="Feminino",100,IF(Atletas!B159="Masculino",200,""))+(IF(Atletas!E159="Juvenil 44kg",1,IF(Atletas!E159="Juvenil 48kg",2,IF(Atletas!E159="Juvenil 52kg",3,IF(Atletas!E159="Juvenil 56kg",4,IF(Atletas!E159="Juvenil 60kg",5,IF(Atletas!E159="Juvenil 65kg",6,IF(Atletas!E159="Juvenil 70kg",7,IF(Atletas!E159="Juvenil 75kg",8,IF(Atletas!E159="Juvenil 82kg",9,IF(Atletas!E159="Juvenil 90kg",10,IF(Atletas!E159="Juvenil 100kg",11,IF(Atletas!E159="Adulto 48kg",12,IF(Atletas!E159="Adulto 52kg",13,IF(Atletas!E159="Adulto 56kg",14,IF(Atletas!E159="Adulto 60kg",15,IF(Atletas!E159="Adulto 65kg",16,IF(Atletas!E159="Adulto 70kg",17,IF(Atletas!E159="Adulto 75kg",18,IF(Atletas!E159="Adulto 82kg",19,IF(Atletas!E159="Adulto 90kg",20,IF(Atletas!E159="Adulto 100kg",21,IF(Atletas!E159="Adulto +100kg",22,""))))))))))))))))))))))))</f>
        <v/>
      </c>
      <c r="AX168" s="6" t="str">
        <f>IF(Atletas!F159="","",IF(Atletas!B159="Feminino",100,IF(Atletas!B159="Masculino",200,""))+(IF(Atletas!F159="Adulto 48kg",1,IF(Atletas!F159="Adulto 56kg",2,IF(Atletas!F159="Adulto 65kg",3,IF(Atletas!F159="Adulto 75kg",4,IF(Atletas!F159="Adulto +75kg",5,IF(Atletas!F159="Adulto 52kg",6,IF(Atletas!F159="Adulto 60kg",7,IF(Atletas!F159="Adulto 70kg",8,IF(Atletas!F159="Adulto 80kg",9,IF(Atletas!F159="Adulto 90kg",10,IF(Atletas!F159="Adulto +90kg",11,"")))))))))))))</f>
        <v/>
      </c>
      <c r="BC168" s="6" t="str">
        <f>IF(Atletas!G159="","",IF(Atletas!B159="Feminino",10,IF(Atletas!B159="Masculino",20,""))+(IF(Atletas!G159="Baduanjin A",1,IF(Atletas!G159="Baduanjin B",2))))</f>
        <v/>
      </c>
      <c r="BF168" s="52" t="str">
        <f>IF(Atletas!H159="","",IF(Atletas!B159="Feminino",100,IF(Atletas!B159="Masculino",200,""))+(IF(Atletas!H159="Changquan Mirim",1,IF(Atletas!H159="Nanquan Mirim",2,IF(Atletas!H159="Taijiquan Mirim",3,IF(Atletas!H159="Changquan Grupo C",4,IF(Atletas!H159="Nanquan Grupo C",5,IF(Atletas!H159="Taijiquan Grupo C",6,IF(Atletas!H159="Changquan Grupo B",7,IF(Atletas!H159="Nanquan Grupo B",8,IF(Atletas!H159="Taijiquan Grupo B",9,IF(Atletas!H159="Changquan Grupo A",10,IF(Atletas!H159="Nanquan Grupo A",11,IF(Atletas!H159="Taijiquan Grupo A",12,IF(Atletas!H159="Changquan Opcional",13,IF(Atletas!H159="Nanquan Opcional",14,IF(Atletas!H159="Taijiquan Opcional",15,IF(Atletas!H159="Changquan Adulto",16,IF(Atletas!H159="Nanquan Adulto",17,IF(Atletas!H159="Taijiquan Adulto",18,""))))))))))))))))))))</f>
        <v/>
      </c>
      <c r="BG168" s="52" t="str">
        <f>IF(Atletas!I159="","",IF(Atletas!B159="Feminino",100,IF(Atletas!B159="Masculino",200,""))+(IF(Atletas!I159="Daoshu Mirim",19,IF(Atletas!I159="Jianshu Mirim",20,IF(Atletas!I159="Nandao Mirim",21,IF(Atletas!I159="Taijijian Mirim",22,IF(Atletas!I159="Daoshu Grupo C",23,IF(Atletas!I159="Jianshu Grupo C",24,IF(Atletas!I159="Nandao Grupo C",25,IF(Atletas!I159="Taijijian Grupo C",26,IF(Atletas!I159="Daoshu Grupo B",27,IF(Atletas!I159="Jianshu Grupo B",28,IF(Atletas!I159="Nandao Grupo B",29,IF(Atletas!I159="Taijijian Grupo B",30,IF(Atletas!I159="Daoshu Grupo A",31,IF(Atletas!I159="Jianshu Grupo A",32,IF(Atletas!I159="Nandao Grupo A",33,IF(Atletas!I159="Taijijian Grupo A",34,IF(Atletas!I159="Daoshu Opcional",35,IF(Atletas!I159="Jianshu Opcional",36,IF(Atletas!I159="Nandao Opcional",37,IF(Atletas!I159="Taijijian Opcional",38,IF(Atletas!I159="Daoshu Adulto",39,IF(Atletas!I159="Jianshu Adulto",40,IF(Atletas!I159="Nandao Adulto",41,IF(Atletas!I159="Taijijian Adulto",42,""))))))))))))))))))))))))))</f>
        <v/>
      </c>
      <c r="BH168" s="52" t="str">
        <f>IF(Atletas!J159="","",IF(Atletas!B159="Feminino",100,IF(Atletas!B159="Masculino",200,""))+(IF(Atletas!J159="Gunshu Mirim",43,IF(Atletas!J159="Qiangshu Mirim",44,IF(Atletas!J159="Nangun Mirim",45,IF(Atletas!J159="Gunshu Grupo C",46,IF(Atletas!J159="Qiangshu Grupo C",47,IF(Atletas!J159="Nangun Grupo C",48,IF(Atletas!J159="Gunshu Grupo B",49,IF(Atletas!J159="Qiangshu Grupo B",50,IF(Atletas!J159="Nangun Grupo B",51,IF(Atletas!J159="Gunshu Grupo A",52,IF(Atletas!J159="Qiangshu Grupo A",53,IF(Atletas!J159="Nangun Grupo A",54,IF(Atletas!J159="Gunshu Opcional",55,IF(Atletas!J159="Qiangshu Opcional",56,IF(Atletas!J159="Nangun Opcional",57,IF(Atletas!J159="Gunshu Adulto",58,IF(Atletas!J159="Qiangshu Adulto",59,IF(Atletas!J159="Nangun Adulto",60,IF(Atletas!J159="Taijishan Grupo B",61,IF(Atletas!J159="Taijishan Grupo A",62,""))))))))))))))))))))))</f>
        <v/>
      </c>
      <c r="BM168" s="50" t="str">
        <f>IF(Atletas!K159="","",IF(Atletas!B159="Feminino",100,IF(Atletas!B159="Masculino",200,""))+(IF(Atletas!K159="Equipe 1 Grupo B",1,IF(Atletas!K159="Equipe 2 Grupo B",2,IF(Atletas!K159="Equipe 1 Grupo A",3,IF(Atletas!K159="Equipe 2 Grupo A",4,IF(Atletas!K159="Equipe 1 Adulto",5,IF(Atletas!K159="Equipe 2 Adulto",6,""))))))))</f>
        <v/>
      </c>
      <c r="BR168" s="50" t="str">
        <f>IF(Atletas!L159="","",IF(Atletas!X159&lt;&gt;"",10000,0)+(IF(Atletas!B159="Feminino",1000,IF(Atletas!B159="Masculino",2000,""))+IF(Atletas!L159="Choylayfut A",1,IF(Atletas!L159="Hunggar A",2,IF(Atletas!L159="Wuzuquan A",3,IF(Atletas!L159="Wingchun A",4,IF(Atletas!L159="Outra Mão de Sul A",5,IF(Atletas!L159="Choylayfut B",6,IF(Atletas!L159="Hunggar B",7,IF(Atletas!L159="Wuzuquan B",8,IF(Atletas!L159="Wingchun B",9,IF(Atletas!L159="Outra Mão de Sul B",10,IF(Atletas!L159="Choylayfut C",11,IF(Atletas!L159="Hunggar C",12,IF(Atletas!L159="Wuzuquan C",13,IF(Atletas!L159="Wingchun C",14,IF(Atletas!L159="Outra Mão de Sul C",15,IF(Atletas!L159="Choylayfut D",16,IF(Atletas!L159="Hunggar D",17,IF(Atletas!L159="Wuzuquan D",18,IF(Atletas!L159="Wingchun D",19,IF(Atletas!L159="Outra Mão de Sul D",20,IF(Atletas!L159="Choylayfut E",21,IF(Atletas!L159="Hunggar E",22,IF(Atletas!L159="Wuzuquan E",23,IF(Atletas!L159="Wingchun E",24,IF(Atletas!L159="Outra Mão de Sul E",25,IF(Atletas!L159="Choylayfut F",26,IF(Atletas!L159="Hunggar F",27,IF(Atletas!L159="Wuzuquan F",28,IF(Atletas!L159="Wingchun F",29,IF(Atletas!L159="Outra Mão de Sul F",30,IF(Atletas!L159="Dishuquan A",31,IF(Atletas!L159="Dishuquan B",32,IF(Atletas!L159="Dishuquan C",33,IF(Atletas!L159="Dishuquan D",34,IF(Atletas!L159="Dishuquan E",35,IF(Atletas!L159="Dishuquan F",36,""))))))))))))))))))))))))))))))))))))))</f>
        <v/>
      </c>
      <c r="BS168" s="50" t="str">
        <f>IF(Atletas!M159="","",IF(Atletas!X159&lt;&gt;"",10000,0)+(IF(Atletas!B159="Feminino",1000,IF(Atletas!B159="Masculino",2000,""))+(IF(Atletas!M159="Chaquan A",101,IF(Atletas!M159="Emeiquan A",102,IF(Atletas!M159="Fanziquan A",103,IF(Atletas!M159="Huaquan A",104,IF(Atletas!M159="Hongquan A",105,IF(Atletas!M159="Paoquan A",106,IF(Atletas!M159="Piguaquan A",107,IF(Atletas!M159="Shaolinquan A",108,IF(Atletas!M159="Tanglangquan A",109,IF(Atletas!M159="Yingzhaoquan A",110,IF(Atletas!M159="Tongbeiquan A",111,IF(Atletas!M159="Wudangquan A",112,IF(Atletas!M159="Outros Estilos A",113,IF(Atletas!M159="Chaquan B",114,IF(Atletas!M159="Emeiquan B",115,IF(Atletas!M159="Fanziquan B",116,IF(Atletas!M159="Huaquan B",117,IF(Atletas!M159="Hongquan B",118,IF(Atletas!M159="Paoquan B",119,IF(Atletas!M159="Piguaquan B",120,IF(Atletas!M159="Shaolinquan B",121,IF(Atletas!M159="Tanglangquan B",122,IF(Atletas!M159="Yingzhaoquan B",123,IF(Atletas!M159="Tongbeiquan B",124,IF(Atletas!M159="Wudangquan B",125,IF(Atletas!M159="Outros Estilos B",126,IF(Atletas!M159="Chaquan C",127,IF(Atletas!M159="Emeiquan C",128,IF(Atletas!M159="Fanziquan C",129,IF(Atletas!M159="Huaquan C",130,IF(Atletas!M159="Hongquan C",131,IF(Atletas!M159="Paoquan C",132,IF(Atletas!M159="Piguaquan C",133,IF(Atletas!M159="Shaolinquan C",134,IF(Atletas!M159="Tanglangquan C",135,IF(Atletas!M159="Yingzhaoquan C",136,IF(Atletas!M159="Tongbeiquan C",137,IF(Atletas!M159="Wudangquan C",138,IF(Atletas!M159="Outros Estilos C",139,0))))))))))))))))))))))))))))))))))))))))))</f>
        <v/>
      </c>
      <c r="BT168" s="50" t="str">
        <f>IF(Atletas!M159="","",IF(Atletas!X159&lt;&gt;"",10000,0)+(IF(Atletas!B159="Feminino",1000,IF(Atletas!B159="Masculino",2000,""))+(IF(Atletas!M159="Chaquan D",140,IF(Atletas!M159="Emeiquan D",141,IF(Atletas!M159="Fanziquan D",142,IF(Atletas!M159="Huaquan D",143,IF(Atletas!M159="Hongquan D",144,IF(Atletas!M159="Paoquan D",145,IF(Atletas!M159="Piguaquan D",146,IF(Atletas!M159="Shaolinquan D",147,IF(Atletas!M159="Tanglangquan D",148,IF(Atletas!M159="Yingzhaoquan D",149,IF(Atletas!M159="Tongbeiquan D",150,IF(Atletas!M159="Wudangquan D",151,IF(Atletas!M159="Outros Estilos D",152,IF(Atletas!M159="Chaquan E",153,IF(Atletas!M159="Emeiquan E",154,IF(Atletas!M159="Fanziquan E",155,IF(Atletas!M159="Huaquan E",156,IF(Atletas!M159="Hongquan E",157,IF(Atletas!M159="Paoquan E",158,IF(Atletas!M159="Piguaquan E",159,IF(Atletas!M159="Shaolinquan E",160,IF(Atletas!M159="Tanglangquan E",161,IF(Atletas!M159="Yingzhaoquan E",162,IF(Atletas!M159="Tongbeiquan E",163,IF(Atletas!M159="Wudangquan E",164,IF(Atletas!M159="Outros Estilos E",165,IF(Atletas!M159="Chaquan F",166,IF(Atletas!M159="Emeiquan F",167,IF(Atletas!M159="Fanziquan F",168,IF(Atletas!M159="Huaquan F",169,IF(Atletas!M159="Hongquan F",170,IF(Atletas!M159="Paoquan F",171,IF(Atletas!M159="Piguaquan F",172,IF(Atletas!M159="Shaolinquan F",173,IF(Atletas!M159="Tanglangquan F",174,IF(Atletas!M159="Yingzhaoquan F",175,IF(Atletas!M159="Tongbeiquan F",176,IF(Atletas!M159="Wudangquan F",177,IF(Atletas!M159="Outros Estilos F",178,0))))))))))))))))))))))))))))))))))))))))))</f>
        <v/>
      </c>
      <c r="BU168" s="50" t="str">
        <f>IF(Atletas!N159="","",IF(Atletas!X159&lt;&gt;"",10000,0)+(IF(Atletas!B159="Feminino",1000,IF(Atletas!B159="Masculino",2000,""))+(IF(Atletas!N159="Ditangquan A",201,IF(Atletas!N159="Houquan A",202,IF(Atletas!N159="Zuiquan A",203,IF(Atletas!N159="Ditangquan B",204,IF(Atletas!N159="Houquan B",205,IF(Atletas!N159="Zuiquan B",206,IF(Atletas!N159="Ditangquan C",207,IF(Atletas!N159="Houquan C",208,IF(Atletas!N159="Zuiquan C",209,IF(Atletas!N159="Ditangquan D",210,IF(Atletas!N159="Houquan D",211,IF(Atletas!N159="Zuiquan D",212,IF(Atletas!N159="Ditangquan E",213,IF(Atletas!N159="Houquan E",214,IF(Atletas!N159="Zuiquan E",215,IF(Atletas!N159="Ditangquan F",216,IF(Atletas!N159="Houquan F",217,IF(Atletas!N159="Zuiquan F",218,"")))))))))))))))))))))</f>
        <v/>
      </c>
      <c r="BV168" s="50" t="str">
        <f>IF(Atletas!O159="","",IF(Atletas!X159&lt;&gt;"",10000,0)+IF(Atletas!B159="Feminino",1000,IF(Atletas!B159="Masculino",2000,""))+IF(Atletas!O159="Yang A",301,IF(Atletas!O159="Chen A",302,IF(Atletas!O159="Sun A",303,IF(Atletas!O159="Wu A",304,IF(Atletas!O159="Wu-Hao A",305,IF(Atletas!O159="Outro Taijiquan A",306,IF(Atletas!O159="Yang B",307,IF(Atletas!O159="Chen B",308,IF(Atletas!O159="Sun B",309,IF(Atletas!O159="Wu B",310,IF(Atletas!O159="Wu-Hao B",311,IF(Atletas!O159="Outro Taijiquan B",312,IF(Atletas!O159="Yang C",313,IF(Atletas!O159="Chen C",314,IF(Atletas!O159="Sun C",315,IF(Atletas!O159="Wu C",316,IF(Atletas!O159="Wu-Hao C",317,IF(Atletas!O159="Outro Taijiquan C",318,IF(Atletas!O159="Yang D",319,IF(Atletas!O159="Chen D",320,IF(Atletas!O159="Sun D",321,IF(Atletas!O159="Wu D",322,IF(Atletas!O159="Wu-Hao D",323,IF(Atletas!O159="Outro Taijiquan D",324,IF(Atletas!O159="Yang E",325,IF(Atletas!O159="Chen E",326,IF(Atletas!O159="Sun E",327,IF(Atletas!O159="Wu E",328,IF(Atletas!O159="Wu-Hao E",329,IF(Atletas!O159="Outro Taijiquan E",330,IF(Atletas!O159="Yang F",331,IF(Atletas!O159="Chen F",332,IF(Atletas!O159="Sun F",333,IF(Atletas!O159="Wu F",334,IF(Atletas!O159="Wu-Hao F",335,IF(Atletas!O159="Outro Taijiquan F",336,"")))))))))))))))))))))))))))))))))))))</f>
        <v/>
      </c>
      <c r="BW168" s="50" t="str">
        <f>IF(Atletas!P159="","",IF(Atletas!X159&lt;&gt;"",10000,0)+IF(Atletas!B159="Feminino",1000,IF(Atletas!B159="Masculino",2000,""))+IF(OR(Atletas!P159="Yang 26 A",Atletas!P159="Yang 40 A"),401,IF(OR(Atletas!P159="Chen 25 A",Atletas!P159="Chen 36 A",Atletas!P159="Chen 56 A"),402,IF(Atletas!P159="Sun 73 A",403,IF(Atletas!P159="Wu 45 A",404,IF(Atletas!P159="Wu-Hao 46 A",405,IF(OR(Atletas!P159="Taijiquan 16 A",Atletas!P159="Taijiquan 24 A",Atletas!P159="Taijiquan 32 A",Atletas!P159="Taijiquan 42 A"),406,IF(OR(Atletas!P159="Yang 26 B",Atletas!P159="Yang 40 B"),407,IF(OR(Atletas!P159="Chen 25 B",Atletas!P159="Chen 36 B",Atletas!P159="Chen 56 B"),408,IF(Atletas!P159="Sun 73 B",409,IF(Atletas!P159="Wu 45 B",410,IF(Atletas!P159="Wu-Hao 46 B",411,IF(OR(Atletas!P159="Taijiquan 16 B",Atletas!P159="Taijiquan 24 B",Atletas!P159="Taijiquan 32 B",Atletas!P159="Taijiquan 42 B"),412,IF(OR(Atletas!P159="Yang 26 C",Atletas!P159="Yang 40 C"),413,IF(OR(Atletas!P159="Chen 25 C",Atletas!P159="Chen 36 C",Atletas!P159="Chen 56 C"),414,IF(Atletas!P159="Sun 73 C",415,IF(Atletas!P159="Wu 45 C",416,IF(Atletas!P159="Wu-Hao 46 C",417,IF(OR(Atletas!P159="Taijiquan 16 C",Atletas!P159="Taijiquan 24 C",Atletas!P159="Taijiquan 32 C",Atletas!P159="Taijiquan 42 C"),418,0)))))))))))))))))))</f>
        <v/>
      </c>
      <c r="BX168" s="50" t="str">
        <f>IF(Atletas!P159="","",IF(Atletas!X159&lt;&gt;"",10000,0)+IF(Atletas!B159="Feminino",1000,IF(Atletas!B159="Masculino",2000,""))+IF(OR(Atletas!P159="Yang 26 D",Atletas!P159="Yang 40 D"),419,IF(OR(Atletas!P159="Chen 25 D",Atletas!P159="Chen 36 D",Atletas!P159="Chen 56 D"),420,IF(Atletas!P159="Sun 73 D",421,IF(Atletas!P159="Wu 45 D",422,IF(Atletas!P159="Wu-Hao 46 D",423,IF(OR(Atletas!P159="Taijiquan 16 D",Atletas!P159="Taijiquan 24 D",Atletas!P159="Taijiquan 32 D",Atletas!P159="Taijiquan 42 D"),424,IF(OR(Atletas!P159="Yang 26 E",Atletas!P159="Yang 40 E"),425,IF(OR(Atletas!P159="Chen 25 E",Atletas!P159="Chen 36 E",Atletas!P159="Chen 56 E"),426,IF(Atletas!P159="Sun 73 E",427,IF(Atletas!P159="Wu 45 E",428,IF(Atletas!P159="Wu-Hao 46 E",429,IF(OR(Atletas!P159="Taijiquan 16 E",Atletas!P159="Taijiquan 24 E",Atletas!P159="Taijiquan 32 E",Atletas!P159="Taijiquan 42 E"),430,IF(OR(Atletas!P159="Yang 26 F",Atletas!P159="Yang 40 F"),431,IF(OR(Atletas!P159="Chen 25 F",Atletas!P159="Chen 36 F",Atletas!P159="Chen 56 F"),432,IF(Atletas!P159="Sun 73 F",433,IF(Atletas!P159="Wu 45 F",434,IF(Atletas!P159="Wu-Hao 46 F",435,IF(OR(Atletas!P159="Taijiquan 16 F",Atletas!P159="Taijiquan 24 F",Atletas!P159="Taijiquan 32 F",Atletas!P159="Taijiquan 42 F"),436,0)))))))))))))))))))</f>
        <v/>
      </c>
      <c r="BY168" s="50" t="str">
        <f>IF(Atletas!Q159="","",IF(Atletas!X159&lt;&gt;"",10000,0)+IF(Atletas!B159="Feminino",1000,IF(Atletas!B159="Masculino",2000,""))+IF(Atletas!Q159="Xingyiquan A",501,IF(Atletas!Q159="Baguazhang A",502,IF(Atletas!Q159="Outro Estilo Interno A",503,IF(Atletas!Q159="Xingyiquan B",504,IF(Atletas!Q159="Baguazhang B",505,IF(Atletas!Q159="Outro Estilo Interno B",506,IF(Atletas!Q159="Xingyiquan C",507,IF(Atletas!Q159="Baguazhang C",508,IF(Atletas!Q159="Outro Estilo Interno C",509,IF(Atletas!Q159="Xingyiquan D",510,IF(Atletas!Q159="Baguazhang D",511,IF(Atletas!Q159="Outro Estilo Interno D",512,IF(Atletas!Q159="Xingyiquan E",513,IF(Atletas!Q159="Baguazhang E",514,IF(Atletas!Q159="Outro Estilo Interno E",515,IF(Atletas!Q159="Xingyiquan F",516,IF(Atletas!Q159="Baguazhang F",517,IF(Atletas!Q159="Outro Estilo Interno F",518, "")))))))))))))))))))</f>
        <v/>
      </c>
      <c r="BZ168" s="50" t="str">
        <f>IF(Atletas!R159="","",IF(Atletas!X159&lt;&gt;"",10000,0)+IF(Atletas!B159="Feminino",1000,IF(Atletas!B159="Masculino",2000,""))+IF(Atletas!R159="Dao A",601,IF(Atletas!R159="Jian A",602,IF(Atletas!R159="Bishou A",603,IF(Atletas!R159="Shanzi A",604,IF(Atletas!R159="Outra Arma Curta A",605,IF(Atletas!R159="Dao B",606,IF(Atletas!R159="Jian B",607,IF(Atletas!R159="Bishou B",608,IF(Atletas!R159="Shanzi B",609,IF(Atletas!R159="Outra Arma Curta B",610,IF(Atletas!R159="Dao C",611,IF(Atletas!R159="Jian C",612,IF(Atletas!R159="Bishou C",613,IF(Atletas!R159="Shanzi C",614,IF(Atletas!R159="Outra Arma Curta C",615,IF(Atletas!R159="Dao D",616,IF(Atletas!R159="Jian D",617,IF(Atletas!R159="Bishou D",618,IF(Atletas!R159="Shanzi D",619,IF(Atletas!R159="Outra Arma Curta D",620,IF(Atletas!R159="Dao E",621,IF(Atletas!R159="Jian E",622,IF(Atletas!R159="Bishou E",623,IF(Atletas!R159="Shanzi E",624,IF(Atletas!R159="Outra Arma Curta E",625,IF(Atletas!R159="Dao F",626,IF(Atletas!R159="Jian F",627,IF(Atletas!R159="Bishou F",628,IF(Atletas!R159="Shanzi F",629,IF(Atletas!R159="Outra Arma Curta F",630, "")))))))))))))))))))))))))))))))</f>
        <v/>
      </c>
      <c r="CA168" s="50" t="str">
        <f>IF(Atletas!S159="","",IF(Atletas!X159&lt;&gt;"",10000,0)+IF(Atletas!B159="Feminino",1000,IF(Atletas!B159="Masculino",2000,""))+IF(Atletas!S159="Gun A",701,IF(Atletas!S159="Qiang A",702,IF(Atletas!S159="Pudao / Guandao A",703,IF(Atletas!S159="Outra Arma Longa A",704,IF(Atletas!S159="Gun B",705,IF(Atletas!S159="Qiang B",706,IF(Atletas!S159="Pudao / Guandao B",707,IF(Atletas!S159="Outra Arma Longa B",708,IF(Atletas!S159="Gun C",709,IF(Atletas!S159="Qiang C",710,IF(Atletas!S159="Pudao / Guandao C",711,IF(Atletas!S159="Outra Arma Longa C",712,IF(Atletas!S159="Gun D",713,IF(Atletas!S159="Qiang D",714,IF(Atletas!S159="Pudao / Guandao D",715,IF(Atletas!S159="Outra Arma Longa D",716,IF(Atletas!S159="Gun E",717,IF(Atletas!S159="Qiang E",718,IF(Atletas!S159="Pudao / Guandao E",719,IF(Atletas!S159="Outra Arma Longa E",720,IF(Atletas!S159="Gun F",721,IF(Atletas!S159="Qiang F",722,IF(Atletas!S159="Pudao / Guandao F",723,IF(Atletas!S159="Outra Arma Longa F",724,"")))))))))))))))))))))))))</f>
        <v/>
      </c>
      <c r="CB168" s="50" t="str">
        <f>IF(Atletas!T159="","",IF(Atletas!X159&lt;&gt;"",10000,0)+IF(Atletas!B159="Feminino",1000,IF(Atletas!B159="Masculino",2000,""))+IF(Atletas!T159="Outra Arma Dupla A",801,IF(Atletas!T159="Arma Maleável A",802,IF(Atletas!T159="Outra Arma Dupla B",803,IF(Atletas!T159="Arma Maleável B",804,IF(Atletas!T159="Outra Arma Dupla C",805,IF(Atletas!T159="Arma Maleável C",806,IF(Atletas!T159="Outra Arma Dupla D",807,IF(Atletas!T159="Arma Maleável D",808,IF(Atletas!T159="Outra Arma Dupla E",809,IF(Atletas!T159="Arma Maleável E",810,IF(Atletas!T159="Outra Arma Dupla F",811,IF(Atletas!T159="Arma Maleável F",812,IF(Atletas!T159="Shuangdao A",813,IF(Atletas!T159="Shuangdao B",814,IF(Atletas!T159="Shuangdao C",815,IF(Atletas!T159="Shuangdao D",816,IF(Atletas!T159="Shuangdao E",817,IF(Atletas!T159="Shuangdao F",818,"")))))))))))))))))))</f>
        <v/>
      </c>
      <c r="CC168" s="50" t="str">
        <f>IF(Atletas!U159="","",IF(Atletas!X159&lt;&gt;"",10000,0)+IF(Atletas!B159="Feminino",1000,IF(Atletas!B159="Masculino",2000,""))+IF(OR(Atletas!U159="Taijijian Yang A",Atletas!U159="Taijijian Yang Standard A"),901,IF(OR(Atletas!U159="Taijijian Chen A", Atletas!U159="Taijijian Chen Standard A"),902,IF(Atletas!U159="Taijijian Sun A",903,IF(Atletas!U159="Taijijian Wu A",904,IF(Atletas!U159="Taijijian Wu-Hao A",905,IF(OR(Atletas!U159="Taijijian 32 A",Atletas!U159="Taijijian 42 A"),906,IF(OR(Atletas!U159="Taijijian Yang B",Atletas!U159="Taijijian Yang Standard B"),907,IF(OR(Atletas!U159="Taijijian Chen B", Atletas!U159="Taijijian Chen Standard B"),908,IF(Atletas!U159="Taijijian Sun B",909,IF(Atletas!U159="Taijijian Wu B",910,IF(Atletas!U159="Taijijian Wu-Hao B",911,IF(OR(Atletas!U159="Taijijian 32 B",Atletas!U159="Taijijian 42 B"),912,IF(OR(Atletas!U159="Taijijian Yang C",Atletas!U159="Taijijian Yang Standard C"),913,IF(OR(Atletas!U159="Taijijian Chen C", Atletas!U159="Taijijian Chen Standard C"),914,IF(Atletas!U159="Taijijian Sun C",915,IF(Atletas!U159="Taijijian Wu C",916,IF(Atletas!U159="Taijijian Wu-Hao C",917,IF(OR(Atletas!U159="Taijijian 32 C",Atletas!U159="Taijijian 42 C"),918,IF(OR(Atletas!U159="Taijijian Yang D",Atletas!U159="Taijijian Yang Standard D"),919,IF(OR(Atletas!U159="Taijijian Chen D", Atletas!U159="Taijijian Chen Standard D"),920,IF(Atletas!U159="Taijijian Sun D",921,IF(Atletas!U159="Taijijian Wu D",922,IF(Atletas!U159="Taijijian Wu-Hao D",923,IF(OR(Atletas!U159="Taijijian 32 D",Atletas!U159="Taijijian 42 D"),924,IF(OR(Atletas!U159="Taijijian Yang E",Atletas!U159="Taijijian Yang Standard E"),925,IF(OR(Atletas!U159="Taijijian Chen E", Atletas!U159="Taijijian Chen Standard E"),926,IF(Atletas!U159="Taijijian Sun E",927,IF(Atletas!U159="Taijijian Wu E",928,IF(Atletas!U159="Taijijian Wu-Hao E",929,IF(OR(Atletas!U159="Taijijian 32 E",Atletas!U159="Taijijian 42 E"),930,IF(OR(Atletas!U159="Taijijian Yang F",Atletas!U159="Taijijian Yang Standard F"),931,IF(OR(Atletas!U159="Taijijian Chen F", Atletas!U159="Taijijian Chen Standard F"),932,IF(Atletas!U159="Taijijian Sun F",933,IF(Atletas!U159="Taijijian Wu F",934,IF(Atletas!U159="Taijijian Wu-Hao F",935,IF(OR(Atletas!U159="Taijijian 32 F",Atletas!U159="Taijijian 42 F"),936,"")))))))))))))))))))))))))))))))))))))</f>
        <v/>
      </c>
      <c r="CD168" s="50" t="str">
        <f>IF(Atletas!V159="","",IF(Atletas!X159&lt;&gt;"",10000,0)+IF(Atletas!B159="Feminino",1000,IF(Atletas!B159="Masculino",2000,""))+IF(Atletas!V159="Taijidao A",937,IF(Atletas!V159="TaijiShanzi A",938,IF(Atletas!V159="Taijiqiang A",939,IF(Atletas!V159="Bagua de Arma A",940,IF(Atletas!V159="Xingyi de Arma A",941,IF(Atletas!V159="Taijidao B",942,IF(Atletas!V159="TaijiShanzi B",943,IF(Atletas!V159="Taijiqiang B",944,IF(Atletas!V159="Bagua de Arma B",945,IF(Atletas!V159="Xingyi de Arma B",946,IF(Atletas!V159="Taijidao C",947,IF(Atletas!V159="TaijiShanzi C",948,IF(Atletas!V159="Taijiqiang C",949,IF(Atletas!V159="Bagua de Arma C",950,IF(Atletas!V159="Xingyi de Arma C",951,IF(Atletas!V159="Taijidao D",952,IF(Atletas!V159="TaijiShanzi D",953,IF(Atletas!V159="Taijiqiang D",954,IF(Atletas!V159="Bagua de Arma D",955,IF(Atletas!V159="Xingyi de Arma D",956,IF(Atletas!V159="Taijidao E",957,IF(Atletas!V159="TaijiShanzi E",958,IF(Atletas!V159="Taijiqiang E",959,IF(Atletas!V159="Bagua de Arma E",960,IF(Atletas!V159="Xingyi de Arma E",961,IF(Atletas!V159="Taijidao F",962,IF(Atletas!V159="TaijiShanzi F",963,IF(Atletas!V159="Taijiqiang F",964,IF(Atletas!V159="Bagua de Arma F",965,IF(Atletas!V159="Xingyi de Arma F",966,"")))))))))))))))))))))))))))))))</f>
        <v/>
      </c>
      <c r="CE168" s="66" t="str">
        <f>IF(CF168&lt;&gt;"","Outro Taijiquan E","")</f>
        <v/>
      </c>
      <c r="CF168" s="66" t="str">
        <f>IF(COUNTIF(BR:CD,1330)&gt;0,COUNTIF(BR:CD,1330),"")</f>
        <v/>
      </c>
      <c r="CG168" s="66" t="str">
        <f>IF(CH168&lt;&gt;"","Outro Taijiquan E","")</f>
        <v/>
      </c>
      <c r="CH168" s="66" t="str">
        <f>IF(COUNTIF(BR:CD,2330)&gt;0,COUNTIF(BR:CD,2330),"")</f>
        <v/>
      </c>
      <c r="CI168" s="66" t="str">
        <f>IF(CJ168&lt;&gt;"","Outro Taijiquan F","")</f>
        <v/>
      </c>
      <c r="CJ168" s="66" t="str">
        <f>IF(COUNTIF(BR:CD,11336)&gt;0,COUNTIF(BR:CD,11336),"")</f>
        <v/>
      </c>
      <c r="CK168" s="66" t="str">
        <f>IF(CL168&lt;&gt;"","Outro Taijiquan F","")</f>
        <v/>
      </c>
      <c r="CL168" s="66" t="str">
        <f>IF(COUNTIF(BR:CD,12336)&gt;0,COUNTIF(BR:CD,12336),"")</f>
        <v/>
      </c>
      <c r="CM168" s="50" t="str">
        <f xml:space="preserve"> IF(Atletas!W159="","",IF(Atletas!W159="Duilian de Mãos BC - Equipe 1",1,IF(Atletas!W159="Duilian de Mãos BC - Equipe 2",2,IF(Atletas!W159="Duilian de Armas BC - Equipe 1",3,IF(Atletas!W159="Duilian de Armas BC - Equipe 2",4,IF(Atletas!W159="Duilian de Mãos DE - Equipe 1",5,IF(Atletas!W159="Duilian de Mãos DE - Equipe 2",6,IF(Atletas!W159="Duilian de Armas DE - Equipe 1",7,IF(Atletas!W159="Duilian de Armas DE - Equipe 2",8,IF(Atletas!W159="Duilian de Tuishou - Equipe 1",9,IF(Atletas!W159="Duilian de Tuishou - Equipe 2",10,IF(Atletas!W159="Grupo Externo ABC - Equipe 1",11,IF(Atletas!W159="Grupo Externo ABC - Equipe 2",12,IF(Atletas!W159="Grupo Interno ABC - Equipe 1",13,IF(Atletas!W159="Grupo Interno ABC - Equipe 2",14,IF(Atletas!W159="Grupo Externo DEF - Equipe 1",15,IF(Atletas!W159="Grupo Externo DEF - Equipe 2",16,IF(Atletas!W159="Grupo Interno DEF - Equipe 1",17,IF(Atletas!W159="Grupo Interno DEF - Equipe 2",18,"")))))))))))))))))))</f>
        <v/>
      </c>
    </row>
    <row r="169" spans="2:9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 t="str">
        <f t="array" ref="Z169">IFERROR(INDEX(CE$7:CE$348,SMALL(IF(CE$7:CE$348&lt;&gt;"",ROW(CE$7:CE$348)-ROW(CE$7)+1),ROWS(CE$7:CE168))),"")</f>
        <v/>
      </c>
      <c r="AA169" s="3" t="str">
        <f t="array" ref="AA169">IFERROR(INDEX(CF$7:CF$348,SMALL(IF(CF$7:CF$348&lt;&gt;"",ROW(CF$7:CF$348)-ROW(CF$7)+1),ROWS(CF$7:CF168))),"")</f>
        <v/>
      </c>
      <c r="AB169" s="3" t="str">
        <f t="array" ref="AB169">IFERROR(INDEX(CG$7:CG$348,SMALL(IF(CG$7:CG$348&lt;&gt;"",ROW(CG$7:CG$348)-ROW(CG$7)+1),ROWS(CG$7:CG168))),"")</f>
        <v/>
      </c>
      <c r="AC169" s="3" t="str">
        <f t="array" ref="AC169">IFERROR(INDEX(CH$7:CH$348,SMALL(IF(CH$7:CH$348&lt;&gt;"",ROW(CH$7:CH$348)-ROW(CH$7)+1),ROWS(CH$7:CH168))),"")</f>
        <v/>
      </c>
      <c r="AD169" s="3" t="str">
        <f t="array" ref="AD169">IFERROR(INDEX(CI$7:CI$377,SMALL(IF(CI$7:CI$377&lt;&gt;"",ROW(CI$7:CI$377)-ROW(CI$7)+1),ROWS(CI$7:CI168))),"")</f>
        <v/>
      </c>
      <c r="AE169" s="3" t="str">
        <f t="array" ref="AE169">IFERROR(INDEX(CJ$7:CJ$378,SMALL(IF(CJ$7:CJ$378&lt;&gt;"",ROW(CJ$7:CJ$378)-ROW(CJ$7)+1),ROWS(CJ$7:CJ168))),"")</f>
        <v/>
      </c>
      <c r="AF169" s="3" t="str">
        <f t="array" ref="AF169">IFERROR(INDEX(CK$7:CK$378,SMALL(IF(CK$7:CK$378&lt;&gt;"",ROW(CK$7:CK$378)-ROW(CK$7)+1),ROWS(CK$7:CK168))),"")</f>
        <v/>
      </c>
      <c r="AG169" s="3" t="str">
        <f t="array" ref="AG169">IFERROR(INDEX(CL$7:CL$378,SMALL(IF(CL$7:CL$378&lt;&gt;"",ROW(CL$7:CL$378)-ROW(CL$7)+1),ROWS(CL$7:CL168))),"")</f>
        <v/>
      </c>
      <c r="AH169" s="3"/>
      <c r="AI169" s="3"/>
      <c r="AJ169" s="3"/>
      <c r="AK169" s="3"/>
      <c r="AL169" s="3"/>
      <c r="AM169" s="3"/>
      <c r="AN169" s="52" t="str">
        <f>IF(Atletas!D160="","",IF(Atletas!B160="Feminino",100,IF(Atletas!B160="Masculino",200,""))+(IF(Atletas!D160="Kids 30kg",1,IF(Atletas!D160="Kids 32kg",2, IF(Atletas!D160="Kids 34kg",3,IF(Atletas!D160="Kids 36kg",4,IF(Atletas!D160="Kids 39kg",5,IF(Atletas!D160="Kids 42kg",6,IF(Atletas!D160="Kids 45kg",7, IF(Atletas!D160="Infantil 39kg",8,IF(Atletas!D160="Infantil 42kg",9,IF(Atletas!D160="Infantil 45kg",10,IF(Atletas!D160="Infantil 48kg",11,IF(Atletas!D160="Infantil 52kg",12,IF(Atletas!D160="Infantil 56kg",13,IF(Atletas!D160="Infantil 60kg",14,IF(Atletas!D160="Juvenil 48kg",15,IF(Atletas!D160="Juvenil 52kg",16,IF(Atletas!D160="Juvenil 56kg",17,IF(Atletas!D160="Juvenil 60kg",18,IF(Atletas!D160="Juvenil 65kg",19,IF(Atletas!D160="Juvenil 70kg",20,IF(Atletas!D160="Juvenil 75kg",21,IF(Atletas!D160="Juvenil 80kg",22, IF(Atletas!D160="Juvenil 85kg",23,IF(Atletas!D160="Adulto 48kg",24,IF(Atletas!D160="Adulto 52kg",25,IF(Atletas!D160="Adulto 56kg",26,IF(Atletas!D160="Adulto 60kg",27,IF(Atletas!D160="Adulto 65kg",28,IF(Atletas!D160="Adulto 70kg",29,IF(Atletas!D160="Adulto 75kg",30,IF(Atletas!D160="Adulto 80kg",31,IF(Atletas!D160="Adulto 85kg",32,IF(Atletas!D160="Adulto 90kg",33,IF(Atletas!D160="Adulto 100kg",34, IF(Atletas!D160="Adulto +100kg",35,"")))))))))))))))))))))))))))))))))))))</f>
        <v/>
      </c>
      <c r="AS169" s="6" t="str">
        <f>IF(Atletas!E160="","",IF(Atletas!B160="Feminino",100,IF(Atletas!B160="Masculino",200,""))+(IF(Atletas!E160="Juvenil 44kg",1,IF(Atletas!E160="Juvenil 48kg",2,IF(Atletas!E160="Juvenil 52kg",3,IF(Atletas!E160="Juvenil 56kg",4,IF(Atletas!E160="Juvenil 60kg",5,IF(Atletas!E160="Juvenil 65kg",6,IF(Atletas!E160="Juvenil 70kg",7,IF(Atletas!E160="Juvenil 75kg",8,IF(Atletas!E160="Juvenil 82kg",9,IF(Atletas!E160="Juvenil 90kg",10,IF(Atletas!E160="Juvenil 100kg",11,IF(Atletas!E160="Adulto 48kg",12,IF(Atletas!E160="Adulto 52kg",13,IF(Atletas!E160="Adulto 56kg",14,IF(Atletas!E160="Adulto 60kg",15,IF(Atletas!E160="Adulto 65kg",16,IF(Atletas!E160="Adulto 70kg",17,IF(Atletas!E160="Adulto 75kg",18,IF(Atletas!E160="Adulto 82kg",19,IF(Atletas!E160="Adulto 90kg",20,IF(Atletas!E160="Adulto 100kg",21,IF(Atletas!E160="Adulto +100kg",22,""))))))))))))))))))))))))</f>
        <v/>
      </c>
      <c r="AX169" s="6" t="str">
        <f>IF(Atletas!F160="","",IF(Atletas!B160="Feminino",100,IF(Atletas!B160="Masculino",200,""))+(IF(Atletas!F160="Adulto 48kg",1,IF(Atletas!F160="Adulto 56kg",2,IF(Atletas!F160="Adulto 65kg",3,IF(Atletas!F160="Adulto 75kg",4,IF(Atletas!F160="Adulto +75kg",5,IF(Atletas!F160="Adulto 52kg",6,IF(Atletas!F160="Adulto 60kg",7,IF(Atletas!F160="Adulto 70kg",8,IF(Atletas!F160="Adulto 80kg",9,IF(Atletas!F160="Adulto 90kg",10,IF(Atletas!F160="Adulto +90kg",11,"")))))))))))))</f>
        <v/>
      </c>
      <c r="BC169" s="6" t="str">
        <f>IF(Atletas!G160="","",IF(Atletas!B160="Feminino",10,IF(Atletas!B160="Masculino",20,""))+(IF(Atletas!G160="Baduanjin A",1,IF(Atletas!G160="Baduanjin B",2))))</f>
        <v/>
      </c>
      <c r="BF169" s="52" t="str">
        <f>IF(Atletas!H160="","",IF(Atletas!B160="Feminino",100,IF(Atletas!B160="Masculino",200,""))+(IF(Atletas!H160="Changquan Mirim",1,IF(Atletas!H160="Nanquan Mirim",2,IF(Atletas!H160="Taijiquan Mirim",3,IF(Atletas!H160="Changquan Grupo C",4,IF(Atletas!H160="Nanquan Grupo C",5,IF(Atletas!H160="Taijiquan Grupo C",6,IF(Atletas!H160="Changquan Grupo B",7,IF(Atletas!H160="Nanquan Grupo B",8,IF(Atletas!H160="Taijiquan Grupo B",9,IF(Atletas!H160="Changquan Grupo A",10,IF(Atletas!H160="Nanquan Grupo A",11,IF(Atletas!H160="Taijiquan Grupo A",12,IF(Atletas!H160="Changquan Opcional",13,IF(Atletas!H160="Nanquan Opcional",14,IF(Atletas!H160="Taijiquan Opcional",15,IF(Atletas!H160="Changquan Adulto",16,IF(Atletas!H160="Nanquan Adulto",17,IF(Atletas!H160="Taijiquan Adulto",18,""))))))))))))))))))))</f>
        <v/>
      </c>
      <c r="BG169" s="52" t="str">
        <f>IF(Atletas!I160="","",IF(Atletas!B160="Feminino",100,IF(Atletas!B160="Masculino",200,""))+(IF(Atletas!I160="Daoshu Mirim",19,IF(Atletas!I160="Jianshu Mirim",20,IF(Atletas!I160="Nandao Mirim",21,IF(Atletas!I160="Taijijian Mirim",22,IF(Atletas!I160="Daoshu Grupo C",23,IF(Atletas!I160="Jianshu Grupo C",24,IF(Atletas!I160="Nandao Grupo C",25,IF(Atletas!I160="Taijijian Grupo C",26,IF(Atletas!I160="Daoshu Grupo B",27,IF(Atletas!I160="Jianshu Grupo B",28,IF(Atletas!I160="Nandao Grupo B",29,IF(Atletas!I160="Taijijian Grupo B",30,IF(Atletas!I160="Daoshu Grupo A",31,IF(Atletas!I160="Jianshu Grupo A",32,IF(Atletas!I160="Nandao Grupo A",33,IF(Atletas!I160="Taijijian Grupo A",34,IF(Atletas!I160="Daoshu Opcional",35,IF(Atletas!I160="Jianshu Opcional",36,IF(Atletas!I160="Nandao Opcional",37,IF(Atletas!I160="Taijijian Opcional",38,IF(Atletas!I160="Daoshu Adulto",39,IF(Atletas!I160="Jianshu Adulto",40,IF(Atletas!I160="Nandao Adulto",41,IF(Atletas!I160="Taijijian Adulto",42,""))))))))))))))))))))))))))</f>
        <v/>
      </c>
      <c r="BH169" s="52" t="str">
        <f>IF(Atletas!J160="","",IF(Atletas!B160="Feminino",100,IF(Atletas!B160="Masculino",200,""))+(IF(Atletas!J160="Gunshu Mirim",43,IF(Atletas!J160="Qiangshu Mirim",44,IF(Atletas!J160="Nangun Mirim",45,IF(Atletas!J160="Gunshu Grupo C",46,IF(Atletas!J160="Qiangshu Grupo C",47,IF(Atletas!J160="Nangun Grupo C",48,IF(Atletas!J160="Gunshu Grupo B",49,IF(Atletas!J160="Qiangshu Grupo B",50,IF(Atletas!J160="Nangun Grupo B",51,IF(Atletas!J160="Gunshu Grupo A",52,IF(Atletas!J160="Qiangshu Grupo A",53,IF(Atletas!J160="Nangun Grupo A",54,IF(Atletas!J160="Gunshu Opcional",55,IF(Atletas!J160="Qiangshu Opcional",56,IF(Atletas!J160="Nangun Opcional",57,IF(Atletas!J160="Gunshu Adulto",58,IF(Atletas!J160="Qiangshu Adulto",59,IF(Atletas!J160="Nangun Adulto",60,IF(Atletas!J160="Taijishan Grupo B",61,IF(Atletas!J160="Taijishan Grupo A",62,""))))))))))))))))))))))</f>
        <v/>
      </c>
      <c r="BM169" s="50" t="str">
        <f>IF(Atletas!K160="","",IF(Atletas!B160="Feminino",100,IF(Atletas!B160="Masculino",200,""))+(IF(Atletas!K160="Equipe 1 Grupo B",1,IF(Atletas!K160="Equipe 2 Grupo B",2,IF(Atletas!K160="Equipe 1 Grupo A",3,IF(Atletas!K160="Equipe 2 Grupo A",4,IF(Atletas!K160="Equipe 1 Adulto",5,IF(Atletas!K160="Equipe 2 Adulto",6,""))))))))</f>
        <v/>
      </c>
      <c r="BR169" s="50" t="str">
        <f>IF(Atletas!L160="","",IF(Atletas!X160&lt;&gt;"",10000,0)+(IF(Atletas!B160="Feminino",1000,IF(Atletas!B160="Masculino",2000,""))+IF(Atletas!L160="Choylayfut A",1,IF(Atletas!L160="Hunggar A",2,IF(Atletas!L160="Wuzuquan A",3,IF(Atletas!L160="Wingchun A",4,IF(Atletas!L160="Outra Mão de Sul A",5,IF(Atletas!L160="Choylayfut B",6,IF(Atletas!L160="Hunggar B",7,IF(Atletas!L160="Wuzuquan B",8,IF(Atletas!L160="Wingchun B",9,IF(Atletas!L160="Outra Mão de Sul B",10,IF(Atletas!L160="Choylayfut C",11,IF(Atletas!L160="Hunggar C",12,IF(Atletas!L160="Wuzuquan C",13,IF(Atletas!L160="Wingchun C",14,IF(Atletas!L160="Outra Mão de Sul C",15,IF(Atletas!L160="Choylayfut D",16,IF(Atletas!L160="Hunggar D",17,IF(Atletas!L160="Wuzuquan D",18,IF(Atletas!L160="Wingchun D",19,IF(Atletas!L160="Outra Mão de Sul D",20,IF(Atletas!L160="Choylayfut E",21,IF(Atletas!L160="Hunggar E",22,IF(Atletas!L160="Wuzuquan E",23,IF(Atletas!L160="Wingchun E",24,IF(Atletas!L160="Outra Mão de Sul E",25,IF(Atletas!L160="Choylayfut F",26,IF(Atletas!L160="Hunggar F",27,IF(Atletas!L160="Wuzuquan F",28,IF(Atletas!L160="Wingchun F",29,IF(Atletas!L160="Outra Mão de Sul F",30,IF(Atletas!L160="Dishuquan A",31,IF(Atletas!L160="Dishuquan B",32,IF(Atletas!L160="Dishuquan C",33,IF(Atletas!L160="Dishuquan D",34,IF(Atletas!L160="Dishuquan E",35,IF(Atletas!L160="Dishuquan F",36,""))))))))))))))))))))))))))))))))))))))</f>
        <v/>
      </c>
      <c r="BS169" s="50" t="str">
        <f>IF(Atletas!M160="","",IF(Atletas!X160&lt;&gt;"",10000,0)+(IF(Atletas!B160="Feminino",1000,IF(Atletas!B160="Masculino",2000,""))+(IF(Atletas!M160="Chaquan A",101,IF(Atletas!M160="Emeiquan A",102,IF(Atletas!M160="Fanziquan A",103,IF(Atletas!M160="Huaquan A",104,IF(Atletas!M160="Hongquan A",105,IF(Atletas!M160="Paoquan A",106,IF(Atletas!M160="Piguaquan A",107,IF(Atletas!M160="Shaolinquan A",108,IF(Atletas!M160="Tanglangquan A",109,IF(Atletas!M160="Yingzhaoquan A",110,IF(Atletas!M160="Tongbeiquan A",111,IF(Atletas!M160="Wudangquan A",112,IF(Atletas!M160="Outros Estilos A",113,IF(Atletas!M160="Chaquan B",114,IF(Atletas!M160="Emeiquan B",115,IF(Atletas!M160="Fanziquan B",116,IF(Atletas!M160="Huaquan B",117,IF(Atletas!M160="Hongquan B",118,IF(Atletas!M160="Paoquan B",119,IF(Atletas!M160="Piguaquan B",120,IF(Atletas!M160="Shaolinquan B",121,IF(Atletas!M160="Tanglangquan B",122,IF(Atletas!M160="Yingzhaoquan B",123,IF(Atletas!M160="Tongbeiquan B",124,IF(Atletas!M160="Wudangquan B",125,IF(Atletas!M160="Outros Estilos B",126,IF(Atletas!M160="Chaquan C",127,IF(Atletas!M160="Emeiquan C",128,IF(Atletas!M160="Fanziquan C",129,IF(Atletas!M160="Huaquan C",130,IF(Atletas!M160="Hongquan C",131,IF(Atletas!M160="Paoquan C",132,IF(Atletas!M160="Piguaquan C",133,IF(Atletas!M160="Shaolinquan C",134,IF(Atletas!M160="Tanglangquan C",135,IF(Atletas!M160="Yingzhaoquan C",136,IF(Atletas!M160="Tongbeiquan C",137,IF(Atletas!M160="Wudangquan C",138,IF(Atletas!M160="Outros Estilos C",139,0))))))))))))))))))))))))))))))))))))))))))</f>
        <v/>
      </c>
      <c r="BT169" s="50" t="str">
        <f>IF(Atletas!M160="","",IF(Atletas!X160&lt;&gt;"",10000,0)+(IF(Atletas!B160="Feminino",1000,IF(Atletas!B160="Masculino",2000,""))+(IF(Atletas!M160="Chaquan D",140,IF(Atletas!M160="Emeiquan D",141,IF(Atletas!M160="Fanziquan D",142,IF(Atletas!M160="Huaquan D",143,IF(Atletas!M160="Hongquan D",144,IF(Atletas!M160="Paoquan D",145,IF(Atletas!M160="Piguaquan D",146,IF(Atletas!M160="Shaolinquan D",147,IF(Atletas!M160="Tanglangquan D",148,IF(Atletas!M160="Yingzhaoquan D",149,IF(Atletas!M160="Tongbeiquan D",150,IF(Atletas!M160="Wudangquan D",151,IF(Atletas!M160="Outros Estilos D",152,IF(Atletas!M160="Chaquan E",153,IF(Atletas!M160="Emeiquan E",154,IF(Atletas!M160="Fanziquan E",155,IF(Atletas!M160="Huaquan E",156,IF(Atletas!M160="Hongquan E",157,IF(Atletas!M160="Paoquan E",158,IF(Atletas!M160="Piguaquan E",159,IF(Atletas!M160="Shaolinquan E",160,IF(Atletas!M160="Tanglangquan E",161,IF(Atletas!M160="Yingzhaoquan E",162,IF(Atletas!M160="Tongbeiquan E",163,IF(Atletas!M160="Wudangquan E",164,IF(Atletas!M160="Outros Estilos E",165,IF(Atletas!M160="Chaquan F",166,IF(Atletas!M160="Emeiquan F",167,IF(Atletas!M160="Fanziquan F",168,IF(Atletas!M160="Huaquan F",169,IF(Atletas!M160="Hongquan F",170,IF(Atletas!M160="Paoquan F",171,IF(Atletas!M160="Piguaquan F",172,IF(Atletas!M160="Shaolinquan F",173,IF(Atletas!M160="Tanglangquan F",174,IF(Atletas!M160="Yingzhaoquan F",175,IF(Atletas!M160="Tongbeiquan F",176,IF(Atletas!M160="Wudangquan F",177,IF(Atletas!M160="Outros Estilos F",178,0))))))))))))))))))))))))))))))))))))))))))</f>
        <v/>
      </c>
      <c r="BU169" s="50" t="str">
        <f>IF(Atletas!N160="","",IF(Atletas!X160&lt;&gt;"",10000,0)+(IF(Atletas!B160="Feminino",1000,IF(Atletas!B160="Masculino",2000,""))+(IF(Atletas!N160="Ditangquan A",201,IF(Atletas!N160="Houquan A",202,IF(Atletas!N160="Zuiquan A",203,IF(Atletas!N160="Ditangquan B",204,IF(Atletas!N160="Houquan B",205,IF(Atletas!N160="Zuiquan B",206,IF(Atletas!N160="Ditangquan C",207,IF(Atletas!N160="Houquan C",208,IF(Atletas!N160="Zuiquan C",209,IF(Atletas!N160="Ditangquan D",210,IF(Atletas!N160="Houquan D",211,IF(Atletas!N160="Zuiquan D",212,IF(Atletas!N160="Ditangquan E",213,IF(Atletas!N160="Houquan E",214,IF(Atletas!N160="Zuiquan E",215,IF(Atletas!N160="Ditangquan F",216,IF(Atletas!N160="Houquan F",217,IF(Atletas!N160="Zuiquan F",218,"")))))))))))))))))))))</f>
        <v/>
      </c>
      <c r="BV169" s="50" t="str">
        <f>IF(Atletas!O160="","",IF(Atletas!X160&lt;&gt;"",10000,0)+IF(Atletas!B160="Feminino",1000,IF(Atletas!B160="Masculino",2000,""))+IF(Atletas!O160="Yang A",301,IF(Atletas!O160="Chen A",302,IF(Atletas!O160="Sun A",303,IF(Atletas!O160="Wu A",304,IF(Atletas!O160="Wu-Hao A",305,IF(Atletas!O160="Outro Taijiquan A",306,IF(Atletas!O160="Yang B",307,IF(Atletas!O160="Chen B",308,IF(Atletas!O160="Sun B",309,IF(Atletas!O160="Wu B",310,IF(Atletas!O160="Wu-Hao B",311,IF(Atletas!O160="Outro Taijiquan B",312,IF(Atletas!O160="Yang C",313,IF(Atletas!O160="Chen C",314,IF(Atletas!O160="Sun C",315,IF(Atletas!O160="Wu C",316,IF(Atletas!O160="Wu-Hao C",317,IF(Atletas!O160="Outro Taijiquan C",318,IF(Atletas!O160="Yang D",319,IF(Atletas!O160="Chen D",320,IF(Atletas!O160="Sun D",321,IF(Atletas!O160="Wu D",322,IF(Atletas!O160="Wu-Hao D",323,IF(Atletas!O160="Outro Taijiquan D",324,IF(Atletas!O160="Yang E",325,IF(Atletas!O160="Chen E",326,IF(Atletas!O160="Sun E",327,IF(Atletas!O160="Wu E",328,IF(Atletas!O160="Wu-Hao E",329,IF(Atletas!O160="Outro Taijiquan E",330,IF(Atletas!O160="Yang F",331,IF(Atletas!O160="Chen F",332,IF(Atletas!O160="Sun F",333,IF(Atletas!O160="Wu F",334,IF(Atletas!O160="Wu-Hao F",335,IF(Atletas!O160="Outro Taijiquan F",336,"")))))))))))))))))))))))))))))))))))))</f>
        <v/>
      </c>
      <c r="BW169" s="50" t="str">
        <f>IF(Atletas!P160="","",IF(Atletas!X160&lt;&gt;"",10000,0)+IF(Atletas!B160="Feminino",1000,IF(Atletas!B160="Masculino",2000,""))+IF(OR(Atletas!P160="Yang 26 A",Atletas!P160="Yang 40 A"),401,IF(OR(Atletas!P160="Chen 25 A",Atletas!P160="Chen 36 A",Atletas!P160="Chen 56 A"),402,IF(Atletas!P160="Sun 73 A",403,IF(Atletas!P160="Wu 45 A",404,IF(Atletas!P160="Wu-Hao 46 A",405,IF(OR(Atletas!P160="Taijiquan 16 A",Atletas!P160="Taijiquan 24 A",Atletas!P160="Taijiquan 32 A",Atletas!P160="Taijiquan 42 A"),406,IF(OR(Atletas!P160="Yang 26 B",Atletas!P160="Yang 40 B"),407,IF(OR(Atletas!P160="Chen 25 B",Atletas!P160="Chen 36 B",Atletas!P160="Chen 56 B"),408,IF(Atletas!P160="Sun 73 B",409,IF(Atletas!P160="Wu 45 B",410,IF(Atletas!P160="Wu-Hao 46 B",411,IF(OR(Atletas!P160="Taijiquan 16 B",Atletas!P160="Taijiquan 24 B",Atletas!P160="Taijiquan 32 B",Atletas!P160="Taijiquan 42 B"),412,IF(OR(Atletas!P160="Yang 26 C",Atletas!P160="Yang 40 C"),413,IF(OR(Atletas!P160="Chen 25 C",Atletas!P160="Chen 36 C",Atletas!P160="Chen 56 C"),414,IF(Atletas!P160="Sun 73 C",415,IF(Atletas!P160="Wu 45 C",416,IF(Atletas!P160="Wu-Hao 46 C",417,IF(OR(Atletas!P160="Taijiquan 16 C",Atletas!P160="Taijiquan 24 C",Atletas!P160="Taijiquan 32 C",Atletas!P160="Taijiquan 42 C"),418,0)))))))))))))))))))</f>
        <v/>
      </c>
      <c r="BX169" s="50" t="str">
        <f>IF(Atletas!P160="","",IF(Atletas!X160&lt;&gt;"",10000,0)+IF(Atletas!B160="Feminino",1000,IF(Atletas!B160="Masculino",2000,""))+IF(OR(Atletas!P160="Yang 26 D",Atletas!P160="Yang 40 D"),419,IF(OR(Atletas!P160="Chen 25 D",Atletas!P160="Chen 36 D",Atletas!P160="Chen 56 D"),420,IF(Atletas!P160="Sun 73 D",421,IF(Atletas!P160="Wu 45 D",422,IF(Atletas!P160="Wu-Hao 46 D",423,IF(OR(Atletas!P160="Taijiquan 16 D",Atletas!P160="Taijiquan 24 D",Atletas!P160="Taijiquan 32 D",Atletas!P160="Taijiquan 42 D"),424,IF(OR(Atletas!P160="Yang 26 E",Atletas!P160="Yang 40 E"),425,IF(OR(Atletas!P160="Chen 25 E",Atletas!P160="Chen 36 E",Atletas!P160="Chen 56 E"),426,IF(Atletas!P160="Sun 73 E",427,IF(Atletas!P160="Wu 45 E",428,IF(Atletas!P160="Wu-Hao 46 E",429,IF(OR(Atletas!P160="Taijiquan 16 E",Atletas!P160="Taijiquan 24 E",Atletas!P160="Taijiquan 32 E",Atletas!P160="Taijiquan 42 E"),430,IF(OR(Atletas!P160="Yang 26 F",Atletas!P160="Yang 40 F"),431,IF(OR(Atletas!P160="Chen 25 F",Atletas!P160="Chen 36 F",Atletas!P160="Chen 56 F"),432,IF(Atletas!P160="Sun 73 F",433,IF(Atletas!P160="Wu 45 F",434,IF(Atletas!P160="Wu-Hao 46 F",435,IF(OR(Atletas!P160="Taijiquan 16 F",Atletas!P160="Taijiquan 24 F",Atletas!P160="Taijiquan 32 F",Atletas!P160="Taijiquan 42 F"),436,0)))))))))))))))))))</f>
        <v/>
      </c>
      <c r="BY169" s="50" t="str">
        <f>IF(Atletas!Q160="","",IF(Atletas!X160&lt;&gt;"",10000,0)+IF(Atletas!B160="Feminino",1000,IF(Atletas!B160="Masculino",2000,""))+IF(Atletas!Q160="Xingyiquan A",501,IF(Atletas!Q160="Baguazhang A",502,IF(Atletas!Q160="Outro Estilo Interno A",503,IF(Atletas!Q160="Xingyiquan B",504,IF(Atletas!Q160="Baguazhang B",505,IF(Atletas!Q160="Outro Estilo Interno B",506,IF(Atletas!Q160="Xingyiquan C",507,IF(Atletas!Q160="Baguazhang C",508,IF(Atletas!Q160="Outro Estilo Interno C",509,IF(Atletas!Q160="Xingyiquan D",510,IF(Atletas!Q160="Baguazhang D",511,IF(Atletas!Q160="Outro Estilo Interno D",512,IF(Atletas!Q160="Xingyiquan E",513,IF(Atletas!Q160="Baguazhang E",514,IF(Atletas!Q160="Outro Estilo Interno E",515,IF(Atletas!Q160="Xingyiquan F",516,IF(Atletas!Q160="Baguazhang F",517,IF(Atletas!Q160="Outro Estilo Interno F",518, "")))))))))))))))))))</f>
        <v/>
      </c>
      <c r="BZ169" s="50" t="str">
        <f>IF(Atletas!R160="","",IF(Atletas!X160&lt;&gt;"",10000,0)+IF(Atletas!B160="Feminino",1000,IF(Atletas!B160="Masculino",2000,""))+IF(Atletas!R160="Dao A",601,IF(Atletas!R160="Jian A",602,IF(Atletas!R160="Bishou A",603,IF(Atletas!R160="Shanzi A",604,IF(Atletas!R160="Outra Arma Curta A",605,IF(Atletas!R160="Dao B",606,IF(Atletas!R160="Jian B",607,IF(Atletas!R160="Bishou B",608,IF(Atletas!R160="Shanzi B",609,IF(Atletas!R160="Outra Arma Curta B",610,IF(Atletas!R160="Dao C",611,IF(Atletas!R160="Jian C",612,IF(Atletas!R160="Bishou C",613,IF(Atletas!R160="Shanzi C",614,IF(Atletas!R160="Outra Arma Curta C",615,IF(Atletas!R160="Dao D",616,IF(Atletas!R160="Jian D",617,IF(Atletas!R160="Bishou D",618,IF(Atletas!R160="Shanzi D",619,IF(Atletas!R160="Outra Arma Curta D",620,IF(Atletas!R160="Dao E",621,IF(Atletas!R160="Jian E",622,IF(Atletas!R160="Bishou E",623,IF(Atletas!R160="Shanzi E",624,IF(Atletas!R160="Outra Arma Curta E",625,IF(Atletas!R160="Dao F",626,IF(Atletas!R160="Jian F",627,IF(Atletas!R160="Bishou F",628,IF(Atletas!R160="Shanzi F",629,IF(Atletas!R160="Outra Arma Curta F",630, "")))))))))))))))))))))))))))))))</f>
        <v/>
      </c>
      <c r="CA169" s="50" t="str">
        <f>IF(Atletas!S160="","",IF(Atletas!X160&lt;&gt;"",10000,0)+IF(Atletas!B160="Feminino",1000,IF(Atletas!B160="Masculino",2000,""))+IF(Atletas!S160="Gun A",701,IF(Atletas!S160="Qiang A",702,IF(Atletas!S160="Pudao / Guandao A",703,IF(Atletas!S160="Outra Arma Longa A",704,IF(Atletas!S160="Gun B",705,IF(Atletas!S160="Qiang B",706,IF(Atletas!S160="Pudao / Guandao B",707,IF(Atletas!S160="Outra Arma Longa B",708,IF(Atletas!S160="Gun C",709,IF(Atletas!S160="Qiang C",710,IF(Atletas!S160="Pudao / Guandao C",711,IF(Atletas!S160="Outra Arma Longa C",712,IF(Atletas!S160="Gun D",713,IF(Atletas!S160="Qiang D",714,IF(Atletas!S160="Pudao / Guandao D",715,IF(Atletas!S160="Outra Arma Longa D",716,IF(Atletas!S160="Gun E",717,IF(Atletas!S160="Qiang E",718,IF(Atletas!S160="Pudao / Guandao E",719,IF(Atletas!S160="Outra Arma Longa E",720,IF(Atletas!S160="Gun F",721,IF(Atletas!S160="Qiang F",722,IF(Atletas!S160="Pudao / Guandao F",723,IF(Atletas!S160="Outra Arma Longa F",724,"")))))))))))))))))))))))))</f>
        <v/>
      </c>
      <c r="CB169" s="50" t="str">
        <f>IF(Atletas!T160="","",IF(Atletas!X160&lt;&gt;"",10000,0)+IF(Atletas!B160="Feminino",1000,IF(Atletas!B160="Masculino",2000,""))+IF(Atletas!T160="Outra Arma Dupla A",801,IF(Atletas!T160="Arma Maleável A",802,IF(Atletas!T160="Outra Arma Dupla B",803,IF(Atletas!T160="Arma Maleável B",804,IF(Atletas!T160="Outra Arma Dupla C",805,IF(Atletas!T160="Arma Maleável C",806,IF(Atletas!T160="Outra Arma Dupla D",807,IF(Atletas!T160="Arma Maleável D",808,IF(Atletas!T160="Outra Arma Dupla E",809,IF(Atletas!T160="Arma Maleável E",810,IF(Atletas!T160="Outra Arma Dupla F",811,IF(Atletas!T160="Arma Maleável F",812,IF(Atletas!T160="Shuangdao A",813,IF(Atletas!T160="Shuangdao B",814,IF(Atletas!T160="Shuangdao C",815,IF(Atletas!T160="Shuangdao D",816,IF(Atletas!T160="Shuangdao E",817,IF(Atletas!T160="Shuangdao F",818,"")))))))))))))))))))</f>
        <v/>
      </c>
      <c r="CC169" s="50" t="str">
        <f>IF(Atletas!U160="","",IF(Atletas!X160&lt;&gt;"",10000,0)+IF(Atletas!B160="Feminino",1000,IF(Atletas!B160="Masculino",2000,""))+IF(OR(Atletas!U160="Taijijian Yang A",Atletas!U160="Taijijian Yang Standard A"),901,IF(OR(Atletas!U160="Taijijian Chen A", Atletas!U160="Taijijian Chen Standard A"),902,IF(Atletas!U160="Taijijian Sun A",903,IF(Atletas!U160="Taijijian Wu A",904,IF(Atletas!U160="Taijijian Wu-Hao A",905,IF(OR(Atletas!U160="Taijijian 32 A",Atletas!U160="Taijijian 42 A"),906,IF(OR(Atletas!U160="Taijijian Yang B",Atletas!U160="Taijijian Yang Standard B"),907,IF(OR(Atletas!U160="Taijijian Chen B", Atletas!U160="Taijijian Chen Standard B"),908,IF(Atletas!U160="Taijijian Sun B",909,IF(Atletas!U160="Taijijian Wu B",910,IF(Atletas!U160="Taijijian Wu-Hao B",911,IF(OR(Atletas!U160="Taijijian 32 B",Atletas!U160="Taijijian 42 B"),912,IF(OR(Atletas!U160="Taijijian Yang C",Atletas!U160="Taijijian Yang Standard C"),913,IF(OR(Atletas!U160="Taijijian Chen C", Atletas!U160="Taijijian Chen Standard C"),914,IF(Atletas!U160="Taijijian Sun C",915,IF(Atletas!U160="Taijijian Wu C",916,IF(Atletas!U160="Taijijian Wu-Hao C",917,IF(OR(Atletas!U160="Taijijian 32 C",Atletas!U160="Taijijian 42 C"),918,IF(OR(Atletas!U160="Taijijian Yang D",Atletas!U160="Taijijian Yang Standard D"),919,IF(OR(Atletas!U160="Taijijian Chen D", Atletas!U160="Taijijian Chen Standard D"),920,IF(Atletas!U160="Taijijian Sun D",921,IF(Atletas!U160="Taijijian Wu D",922,IF(Atletas!U160="Taijijian Wu-Hao D",923,IF(OR(Atletas!U160="Taijijian 32 D",Atletas!U160="Taijijian 42 D"),924,IF(OR(Atletas!U160="Taijijian Yang E",Atletas!U160="Taijijian Yang Standard E"),925,IF(OR(Atletas!U160="Taijijian Chen E", Atletas!U160="Taijijian Chen Standard E"),926,IF(Atletas!U160="Taijijian Sun E",927,IF(Atletas!U160="Taijijian Wu E",928,IF(Atletas!U160="Taijijian Wu-Hao E",929,IF(OR(Atletas!U160="Taijijian 32 E",Atletas!U160="Taijijian 42 E"),930,IF(OR(Atletas!U160="Taijijian Yang F",Atletas!U160="Taijijian Yang Standard F"),931,IF(OR(Atletas!U160="Taijijian Chen F", Atletas!U160="Taijijian Chen Standard F"),932,IF(Atletas!U160="Taijijian Sun F",933,IF(Atletas!U160="Taijijian Wu F",934,IF(Atletas!U160="Taijijian Wu-Hao F",935,IF(OR(Atletas!U160="Taijijian 32 F",Atletas!U160="Taijijian 42 F"),936,"")))))))))))))))))))))))))))))))))))))</f>
        <v/>
      </c>
      <c r="CD169" s="50" t="str">
        <f>IF(Atletas!V160="","",IF(Atletas!X160&lt;&gt;"",10000,0)+IF(Atletas!B160="Feminino",1000,IF(Atletas!B160="Masculino",2000,""))+IF(Atletas!V160="Taijidao A",937,IF(Atletas!V160="TaijiShanzi A",938,IF(Atletas!V160="Taijiqiang A",939,IF(Atletas!V160="Bagua de Arma A",940,IF(Atletas!V160="Xingyi de Arma A",941,IF(Atletas!V160="Taijidao B",942,IF(Atletas!V160="TaijiShanzi B",943,IF(Atletas!V160="Taijiqiang B",944,IF(Atletas!V160="Bagua de Arma B",945,IF(Atletas!V160="Xingyi de Arma B",946,IF(Atletas!V160="Taijidao C",947,IF(Atletas!V160="TaijiShanzi C",948,IF(Atletas!V160="Taijiqiang C",949,IF(Atletas!V160="Bagua de Arma C",950,IF(Atletas!V160="Xingyi de Arma C",951,IF(Atletas!V160="Taijidao D",952,IF(Atletas!V160="TaijiShanzi D",953,IF(Atletas!V160="Taijiqiang D",954,IF(Atletas!V160="Bagua de Arma D",955,IF(Atletas!V160="Xingyi de Arma D",956,IF(Atletas!V160="Taijidao E",957,IF(Atletas!V160="TaijiShanzi E",958,IF(Atletas!V160="Taijiqiang E",959,IF(Atletas!V160="Bagua de Arma E",960,IF(Atletas!V160="Xingyi de Arma E",961,IF(Atletas!V160="Taijidao F",962,IF(Atletas!V160="TaijiShanzi F",963,IF(Atletas!V160="Taijiqiang F",964,IF(Atletas!V160="Bagua de Arma F",965,IF(Atletas!V160="Xingyi de Arma F",966,"")))))))))))))))))))))))))))))))</f>
        <v/>
      </c>
      <c r="CE169" s="66" t="str">
        <f>IF(CF169&lt;&gt;"","TJQ Trad. Yang F","")</f>
        <v/>
      </c>
      <c r="CF169" s="66" t="str">
        <f>IF(COUNTIF(BR:CD,1331)&gt;0,COUNTIF(BR:CD,1331),"")</f>
        <v/>
      </c>
      <c r="CG169" s="66" t="str">
        <f>IF(CH169&lt;&gt;"","TJQ Trad. Yang F","")</f>
        <v/>
      </c>
      <c r="CH169" s="66" t="str">
        <f>IF(COUNTIF(BR:CD,2331)&gt;0,COUNTIF(BR:CD,2331),"")</f>
        <v/>
      </c>
      <c r="CI169" s="66" t="str">
        <f>IF(CJ169&lt;&gt;"","TJQ Padr. Yang A","")</f>
        <v/>
      </c>
      <c r="CJ169" s="66" t="str">
        <f>IF(COUNTIF(BR:CD,11401)&gt;0,COUNTIF(BR:CD,11401),"")</f>
        <v/>
      </c>
      <c r="CK169" s="66" t="str">
        <f>IF(CL169&lt;&gt;"","TJQ Padr. Yang A","")</f>
        <v/>
      </c>
      <c r="CL169" s="66" t="str">
        <f>IF(COUNTIF(BR:CD,12401)&gt;0,COUNTIF(BR:CD,12401),"")</f>
        <v/>
      </c>
      <c r="CM169" s="50" t="str">
        <f xml:space="preserve"> IF(Atletas!W160="","",IF(Atletas!W160="Duilian de Mãos BC - Equipe 1",1,IF(Atletas!W160="Duilian de Mãos BC - Equipe 2",2,IF(Atletas!W160="Duilian de Armas BC - Equipe 1",3,IF(Atletas!W160="Duilian de Armas BC - Equipe 2",4,IF(Atletas!W160="Duilian de Mãos DE - Equipe 1",5,IF(Atletas!W160="Duilian de Mãos DE - Equipe 2",6,IF(Atletas!W160="Duilian de Armas DE - Equipe 1",7,IF(Atletas!W160="Duilian de Armas DE - Equipe 2",8,IF(Atletas!W160="Duilian de Tuishou - Equipe 1",9,IF(Atletas!W160="Duilian de Tuishou - Equipe 2",10,IF(Atletas!W160="Grupo Externo ABC - Equipe 1",11,IF(Atletas!W160="Grupo Externo ABC - Equipe 2",12,IF(Atletas!W160="Grupo Interno ABC - Equipe 1",13,IF(Atletas!W160="Grupo Interno ABC - Equipe 2",14,IF(Atletas!W160="Grupo Externo DEF - Equipe 1",15,IF(Atletas!W160="Grupo Externo DEF - Equipe 2",16,IF(Atletas!W160="Grupo Interno DEF - Equipe 1",17,IF(Atletas!W160="Grupo Interno DEF - Equipe 2",18,"")))))))))))))))))))</f>
        <v/>
      </c>
    </row>
    <row r="170" spans="2:91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 t="str">
        <f t="array" ref="Z170">IFERROR(INDEX(CE$7:CE$348,SMALL(IF(CE$7:CE$348&lt;&gt;"",ROW(CE$7:CE$348)-ROW(CE$7)+1),ROWS(CE$7:CE169))),"")</f>
        <v/>
      </c>
      <c r="AA170" s="3" t="str">
        <f t="array" ref="AA170">IFERROR(INDEX(CF$7:CF$348,SMALL(IF(CF$7:CF$348&lt;&gt;"",ROW(CF$7:CF$348)-ROW(CF$7)+1),ROWS(CF$7:CF169))),"")</f>
        <v/>
      </c>
      <c r="AB170" s="3" t="str">
        <f t="array" ref="AB170">IFERROR(INDEX(CG$7:CG$348,SMALL(IF(CG$7:CG$348&lt;&gt;"",ROW(CG$7:CG$348)-ROW(CG$7)+1),ROWS(CG$7:CG169))),"")</f>
        <v/>
      </c>
      <c r="AC170" s="3" t="str">
        <f t="array" ref="AC170">IFERROR(INDEX(CH$7:CH$348,SMALL(IF(CH$7:CH$348&lt;&gt;"",ROW(CH$7:CH$348)-ROW(CH$7)+1),ROWS(CH$7:CH169))),"")</f>
        <v/>
      </c>
      <c r="AD170" s="3" t="str">
        <f t="array" ref="AD170">IFERROR(INDEX(CI$7:CI$377,SMALL(IF(CI$7:CI$377&lt;&gt;"",ROW(CI$7:CI$377)-ROW(CI$7)+1),ROWS(CI$7:CI169))),"")</f>
        <v/>
      </c>
      <c r="AE170" s="3" t="str">
        <f t="array" ref="AE170">IFERROR(INDEX(CJ$7:CJ$378,SMALL(IF(CJ$7:CJ$378&lt;&gt;"",ROW(CJ$7:CJ$378)-ROW(CJ$7)+1),ROWS(CJ$7:CJ169))),"")</f>
        <v/>
      </c>
      <c r="AF170" s="3" t="str">
        <f t="array" ref="AF170">IFERROR(INDEX(CK$7:CK$378,SMALL(IF(CK$7:CK$378&lt;&gt;"",ROW(CK$7:CK$378)-ROW(CK$7)+1),ROWS(CK$7:CK169))),"")</f>
        <v/>
      </c>
      <c r="AG170" s="3" t="str">
        <f t="array" ref="AG170">IFERROR(INDEX(CL$7:CL$378,SMALL(IF(CL$7:CL$378&lt;&gt;"",ROW(CL$7:CL$378)-ROW(CL$7)+1),ROWS(CL$7:CL169))),"")</f>
        <v/>
      </c>
      <c r="AH170" s="3"/>
      <c r="AI170" s="3"/>
      <c r="AJ170" s="3"/>
      <c r="AK170" s="3"/>
      <c r="AL170" s="3"/>
      <c r="AM170" s="3"/>
      <c r="AN170" s="52" t="str">
        <f>IF(Atletas!D161="","",IF(Atletas!B161="Feminino",100,IF(Atletas!B161="Masculino",200,""))+(IF(Atletas!D161="Kids 30kg",1,IF(Atletas!D161="Kids 32kg",2, IF(Atletas!D161="Kids 34kg",3,IF(Atletas!D161="Kids 36kg",4,IF(Atletas!D161="Kids 39kg",5,IF(Atletas!D161="Kids 42kg",6,IF(Atletas!D161="Kids 45kg",7, IF(Atletas!D161="Infantil 39kg",8,IF(Atletas!D161="Infantil 42kg",9,IF(Atletas!D161="Infantil 45kg",10,IF(Atletas!D161="Infantil 48kg",11,IF(Atletas!D161="Infantil 52kg",12,IF(Atletas!D161="Infantil 56kg",13,IF(Atletas!D161="Infantil 60kg",14,IF(Atletas!D161="Juvenil 48kg",15,IF(Atletas!D161="Juvenil 52kg",16,IF(Atletas!D161="Juvenil 56kg",17,IF(Atletas!D161="Juvenil 60kg",18,IF(Atletas!D161="Juvenil 65kg",19,IF(Atletas!D161="Juvenil 70kg",20,IF(Atletas!D161="Juvenil 75kg",21,IF(Atletas!D161="Juvenil 80kg",22, IF(Atletas!D161="Juvenil 85kg",23,IF(Atletas!D161="Adulto 48kg",24,IF(Atletas!D161="Adulto 52kg",25,IF(Atletas!D161="Adulto 56kg",26,IF(Atletas!D161="Adulto 60kg",27,IF(Atletas!D161="Adulto 65kg",28,IF(Atletas!D161="Adulto 70kg",29,IF(Atletas!D161="Adulto 75kg",30,IF(Atletas!D161="Adulto 80kg",31,IF(Atletas!D161="Adulto 85kg",32,IF(Atletas!D161="Adulto 90kg",33,IF(Atletas!D161="Adulto 100kg",34, IF(Atletas!D161="Adulto +100kg",35,"")))))))))))))))))))))))))))))))))))))</f>
        <v/>
      </c>
      <c r="AS170" s="6" t="str">
        <f>IF(Atletas!E161="","",IF(Atletas!B161="Feminino",100,IF(Atletas!B161="Masculino",200,""))+(IF(Atletas!E161="Juvenil 44kg",1,IF(Atletas!E161="Juvenil 48kg",2,IF(Atletas!E161="Juvenil 52kg",3,IF(Atletas!E161="Juvenil 56kg",4,IF(Atletas!E161="Juvenil 60kg",5,IF(Atletas!E161="Juvenil 65kg",6,IF(Atletas!E161="Juvenil 70kg",7,IF(Atletas!E161="Juvenil 75kg",8,IF(Atletas!E161="Juvenil 82kg",9,IF(Atletas!E161="Juvenil 90kg",10,IF(Atletas!E161="Juvenil 100kg",11,IF(Atletas!E161="Adulto 48kg",12,IF(Atletas!E161="Adulto 52kg",13,IF(Atletas!E161="Adulto 56kg",14,IF(Atletas!E161="Adulto 60kg",15,IF(Atletas!E161="Adulto 65kg",16,IF(Atletas!E161="Adulto 70kg",17,IF(Atletas!E161="Adulto 75kg",18,IF(Atletas!E161="Adulto 82kg",19,IF(Atletas!E161="Adulto 90kg",20,IF(Atletas!E161="Adulto 100kg",21,IF(Atletas!E161="Adulto +100kg",22,""))))))))))))))))))))))))</f>
        <v/>
      </c>
      <c r="AX170" s="6" t="str">
        <f>IF(Atletas!F161="","",IF(Atletas!B161="Feminino",100,IF(Atletas!B161="Masculino",200,""))+(IF(Atletas!F161="Adulto 48kg",1,IF(Atletas!F161="Adulto 56kg",2,IF(Atletas!F161="Adulto 65kg",3,IF(Atletas!F161="Adulto 75kg",4,IF(Atletas!F161="Adulto +75kg",5,IF(Atletas!F161="Adulto 52kg",6,IF(Atletas!F161="Adulto 60kg",7,IF(Atletas!F161="Adulto 70kg",8,IF(Atletas!F161="Adulto 80kg",9,IF(Atletas!F161="Adulto 90kg",10,IF(Atletas!F161="Adulto +90kg",11,"")))))))))))))</f>
        <v/>
      </c>
      <c r="BC170" s="6" t="str">
        <f>IF(Atletas!G161="","",IF(Atletas!B161="Feminino",10,IF(Atletas!B161="Masculino",20,""))+(IF(Atletas!G161="Baduanjin A",1,IF(Atletas!G161="Baduanjin B",2))))</f>
        <v/>
      </c>
      <c r="BF170" s="52" t="str">
        <f>IF(Atletas!H161="","",IF(Atletas!B161="Feminino",100,IF(Atletas!B161="Masculino",200,""))+(IF(Atletas!H161="Changquan Mirim",1,IF(Atletas!H161="Nanquan Mirim",2,IF(Atletas!H161="Taijiquan Mirim",3,IF(Atletas!H161="Changquan Grupo C",4,IF(Atletas!H161="Nanquan Grupo C",5,IF(Atletas!H161="Taijiquan Grupo C",6,IF(Atletas!H161="Changquan Grupo B",7,IF(Atletas!H161="Nanquan Grupo B",8,IF(Atletas!H161="Taijiquan Grupo B",9,IF(Atletas!H161="Changquan Grupo A",10,IF(Atletas!H161="Nanquan Grupo A",11,IF(Atletas!H161="Taijiquan Grupo A",12,IF(Atletas!H161="Changquan Opcional",13,IF(Atletas!H161="Nanquan Opcional",14,IF(Atletas!H161="Taijiquan Opcional",15,IF(Atletas!H161="Changquan Adulto",16,IF(Atletas!H161="Nanquan Adulto",17,IF(Atletas!H161="Taijiquan Adulto",18,""))))))))))))))))))))</f>
        <v/>
      </c>
      <c r="BG170" s="52" t="str">
        <f>IF(Atletas!I161="","",IF(Atletas!B161="Feminino",100,IF(Atletas!B161="Masculino",200,""))+(IF(Atletas!I161="Daoshu Mirim",19,IF(Atletas!I161="Jianshu Mirim",20,IF(Atletas!I161="Nandao Mirim",21,IF(Atletas!I161="Taijijian Mirim",22,IF(Atletas!I161="Daoshu Grupo C",23,IF(Atletas!I161="Jianshu Grupo C",24,IF(Atletas!I161="Nandao Grupo C",25,IF(Atletas!I161="Taijijian Grupo C",26,IF(Atletas!I161="Daoshu Grupo B",27,IF(Atletas!I161="Jianshu Grupo B",28,IF(Atletas!I161="Nandao Grupo B",29,IF(Atletas!I161="Taijijian Grupo B",30,IF(Atletas!I161="Daoshu Grupo A",31,IF(Atletas!I161="Jianshu Grupo A",32,IF(Atletas!I161="Nandao Grupo A",33,IF(Atletas!I161="Taijijian Grupo A",34,IF(Atletas!I161="Daoshu Opcional",35,IF(Atletas!I161="Jianshu Opcional",36,IF(Atletas!I161="Nandao Opcional",37,IF(Atletas!I161="Taijijian Opcional",38,IF(Atletas!I161="Daoshu Adulto",39,IF(Atletas!I161="Jianshu Adulto",40,IF(Atletas!I161="Nandao Adulto",41,IF(Atletas!I161="Taijijian Adulto",42,""))))))))))))))))))))))))))</f>
        <v/>
      </c>
      <c r="BH170" s="52" t="str">
        <f>IF(Atletas!J161="","",IF(Atletas!B161="Feminino",100,IF(Atletas!B161="Masculino",200,""))+(IF(Atletas!J161="Gunshu Mirim",43,IF(Atletas!J161="Qiangshu Mirim",44,IF(Atletas!J161="Nangun Mirim",45,IF(Atletas!J161="Gunshu Grupo C",46,IF(Atletas!J161="Qiangshu Grupo C",47,IF(Atletas!J161="Nangun Grupo C",48,IF(Atletas!J161="Gunshu Grupo B",49,IF(Atletas!J161="Qiangshu Grupo B",50,IF(Atletas!J161="Nangun Grupo B",51,IF(Atletas!J161="Gunshu Grupo A",52,IF(Atletas!J161="Qiangshu Grupo A",53,IF(Atletas!J161="Nangun Grupo A",54,IF(Atletas!J161="Gunshu Opcional",55,IF(Atletas!J161="Qiangshu Opcional",56,IF(Atletas!J161="Nangun Opcional",57,IF(Atletas!J161="Gunshu Adulto",58,IF(Atletas!J161="Qiangshu Adulto",59,IF(Atletas!J161="Nangun Adulto",60,IF(Atletas!J161="Taijishan Grupo B",61,IF(Atletas!J161="Taijishan Grupo A",62,""))))))))))))))))))))))</f>
        <v/>
      </c>
      <c r="BM170" s="50" t="str">
        <f>IF(Atletas!K161="","",IF(Atletas!B161="Feminino",100,IF(Atletas!B161="Masculino",200,""))+(IF(Atletas!K161="Equipe 1 Grupo B",1,IF(Atletas!K161="Equipe 2 Grupo B",2,IF(Atletas!K161="Equipe 1 Grupo A",3,IF(Atletas!K161="Equipe 2 Grupo A",4,IF(Atletas!K161="Equipe 1 Adulto",5,IF(Atletas!K161="Equipe 2 Adulto",6,""))))))))</f>
        <v/>
      </c>
      <c r="BR170" s="50" t="str">
        <f>IF(Atletas!L161="","",IF(Atletas!X161&lt;&gt;"",10000,0)+(IF(Atletas!B161="Feminino",1000,IF(Atletas!B161="Masculino",2000,""))+IF(Atletas!L161="Choylayfut A",1,IF(Atletas!L161="Hunggar A",2,IF(Atletas!L161="Wuzuquan A",3,IF(Atletas!L161="Wingchun A",4,IF(Atletas!L161="Outra Mão de Sul A",5,IF(Atletas!L161="Choylayfut B",6,IF(Atletas!L161="Hunggar B",7,IF(Atletas!L161="Wuzuquan B",8,IF(Atletas!L161="Wingchun B",9,IF(Atletas!L161="Outra Mão de Sul B",10,IF(Atletas!L161="Choylayfut C",11,IF(Atletas!L161="Hunggar C",12,IF(Atletas!L161="Wuzuquan C",13,IF(Atletas!L161="Wingchun C",14,IF(Atletas!L161="Outra Mão de Sul C",15,IF(Atletas!L161="Choylayfut D",16,IF(Atletas!L161="Hunggar D",17,IF(Atletas!L161="Wuzuquan D",18,IF(Atletas!L161="Wingchun D",19,IF(Atletas!L161="Outra Mão de Sul D",20,IF(Atletas!L161="Choylayfut E",21,IF(Atletas!L161="Hunggar E",22,IF(Atletas!L161="Wuzuquan E",23,IF(Atletas!L161="Wingchun E",24,IF(Atletas!L161="Outra Mão de Sul E",25,IF(Atletas!L161="Choylayfut F",26,IF(Atletas!L161="Hunggar F",27,IF(Atletas!L161="Wuzuquan F",28,IF(Atletas!L161="Wingchun F",29,IF(Atletas!L161="Outra Mão de Sul F",30,IF(Atletas!L161="Dishuquan A",31,IF(Atletas!L161="Dishuquan B",32,IF(Atletas!L161="Dishuquan C",33,IF(Atletas!L161="Dishuquan D",34,IF(Atletas!L161="Dishuquan E",35,IF(Atletas!L161="Dishuquan F",36,""))))))))))))))))))))))))))))))))))))))</f>
        <v/>
      </c>
      <c r="BS170" s="50" t="str">
        <f>IF(Atletas!M161="","",IF(Atletas!X161&lt;&gt;"",10000,0)+(IF(Atletas!B161="Feminino",1000,IF(Atletas!B161="Masculino",2000,""))+(IF(Atletas!M161="Chaquan A",101,IF(Atletas!M161="Emeiquan A",102,IF(Atletas!M161="Fanziquan A",103,IF(Atletas!M161="Huaquan A",104,IF(Atletas!M161="Hongquan A",105,IF(Atletas!M161="Paoquan A",106,IF(Atletas!M161="Piguaquan A",107,IF(Atletas!M161="Shaolinquan A",108,IF(Atletas!M161="Tanglangquan A",109,IF(Atletas!M161="Yingzhaoquan A",110,IF(Atletas!M161="Tongbeiquan A",111,IF(Atletas!M161="Wudangquan A",112,IF(Atletas!M161="Outros Estilos A",113,IF(Atletas!M161="Chaquan B",114,IF(Atletas!M161="Emeiquan B",115,IF(Atletas!M161="Fanziquan B",116,IF(Atletas!M161="Huaquan B",117,IF(Atletas!M161="Hongquan B",118,IF(Atletas!M161="Paoquan B",119,IF(Atletas!M161="Piguaquan B",120,IF(Atletas!M161="Shaolinquan B",121,IF(Atletas!M161="Tanglangquan B",122,IF(Atletas!M161="Yingzhaoquan B",123,IF(Atletas!M161="Tongbeiquan B",124,IF(Atletas!M161="Wudangquan B",125,IF(Atletas!M161="Outros Estilos B",126,IF(Atletas!M161="Chaquan C",127,IF(Atletas!M161="Emeiquan C",128,IF(Atletas!M161="Fanziquan C",129,IF(Atletas!M161="Huaquan C",130,IF(Atletas!M161="Hongquan C",131,IF(Atletas!M161="Paoquan C",132,IF(Atletas!M161="Piguaquan C",133,IF(Atletas!M161="Shaolinquan C",134,IF(Atletas!M161="Tanglangquan C",135,IF(Atletas!M161="Yingzhaoquan C",136,IF(Atletas!M161="Tongbeiquan C",137,IF(Atletas!M161="Wudangquan C",138,IF(Atletas!M161="Outros Estilos C",139,0))))))))))))))))))))))))))))))))))))))))))</f>
        <v/>
      </c>
      <c r="BT170" s="50" t="str">
        <f>IF(Atletas!M161="","",IF(Atletas!X161&lt;&gt;"",10000,0)+(IF(Atletas!B161="Feminino",1000,IF(Atletas!B161="Masculino",2000,""))+(IF(Atletas!M161="Chaquan D",140,IF(Atletas!M161="Emeiquan D",141,IF(Atletas!M161="Fanziquan D",142,IF(Atletas!M161="Huaquan D",143,IF(Atletas!M161="Hongquan D",144,IF(Atletas!M161="Paoquan D",145,IF(Atletas!M161="Piguaquan D",146,IF(Atletas!M161="Shaolinquan D",147,IF(Atletas!M161="Tanglangquan D",148,IF(Atletas!M161="Yingzhaoquan D",149,IF(Atletas!M161="Tongbeiquan D",150,IF(Atletas!M161="Wudangquan D",151,IF(Atletas!M161="Outros Estilos D",152,IF(Atletas!M161="Chaquan E",153,IF(Atletas!M161="Emeiquan E",154,IF(Atletas!M161="Fanziquan E",155,IF(Atletas!M161="Huaquan E",156,IF(Atletas!M161="Hongquan E",157,IF(Atletas!M161="Paoquan E",158,IF(Atletas!M161="Piguaquan E",159,IF(Atletas!M161="Shaolinquan E",160,IF(Atletas!M161="Tanglangquan E",161,IF(Atletas!M161="Yingzhaoquan E",162,IF(Atletas!M161="Tongbeiquan E",163,IF(Atletas!M161="Wudangquan E",164,IF(Atletas!M161="Outros Estilos E",165,IF(Atletas!M161="Chaquan F",166,IF(Atletas!M161="Emeiquan F",167,IF(Atletas!M161="Fanziquan F",168,IF(Atletas!M161="Huaquan F",169,IF(Atletas!M161="Hongquan F",170,IF(Atletas!M161="Paoquan F",171,IF(Atletas!M161="Piguaquan F",172,IF(Atletas!M161="Shaolinquan F",173,IF(Atletas!M161="Tanglangquan F",174,IF(Atletas!M161="Yingzhaoquan F",175,IF(Atletas!M161="Tongbeiquan F",176,IF(Atletas!M161="Wudangquan F",177,IF(Atletas!M161="Outros Estilos F",178,0))))))))))))))))))))))))))))))))))))))))))</f>
        <v/>
      </c>
      <c r="BU170" s="50" t="str">
        <f>IF(Atletas!N161="","",IF(Atletas!X161&lt;&gt;"",10000,0)+(IF(Atletas!B161="Feminino",1000,IF(Atletas!B161="Masculino",2000,""))+(IF(Atletas!N161="Ditangquan A",201,IF(Atletas!N161="Houquan A",202,IF(Atletas!N161="Zuiquan A",203,IF(Atletas!N161="Ditangquan B",204,IF(Atletas!N161="Houquan B",205,IF(Atletas!N161="Zuiquan B",206,IF(Atletas!N161="Ditangquan C",207,IF(Atletas!N161="Houquan C",208,IF(Atletas!N161="Zuiquan C",209,IF(Atletas!N161="Ditangquan D",210,IF(Atletas!N161="Houquan D",211,IF(Atletas!N161="Zuiquan D",212,IF(Atletas!N161="Ditangquan E",213,IF(Atletas!N161="Houquan E",214,IF(Atletas!N161="Zuiquan E",215,IF(Atletas!N161="Ditangquan F",216,IF(Atletas!N161="Houquan F",217,IF(Atletas!N161="Zuiquan F",218,"")))))))))))))))))))))</f>
        <v/>
      </c>
      <c r="BV170" s="50" t="str">
        <f>IF(Atletas!O161="","",IF(Atletas!X161&lt;&gt;"",10000,0)+IF(Atletas!B161="Feminino",1000,IF(Atletas!B161="Masculino",2000,""))+IF(Atletas!O161="Yang A",301,IF(Atletas!O161="Chen A",302,IF(Atletas!O161="Sun A",303,IF(Atletas!O161="Wu A",304,IF(Atletas!O161="Wu-Hao A",305,IF(Atletas!O161="Outro Taijiquan A",306,IF(Atletas!O161="Yang B",307,IF(Atletas!O161="Chen B",308,IF(Atletas!O161="Sun B",309,IF(Atletas!O161="Wu B",310,IF(Atletas!O161="Wu-Hao B",311,IF(Atletas!O161="Outro Taijiquan B",312,IF(Atletas!O161="Yang C",313,IF(Atletas!O161="Chen C",314,IF(Atletas!O161="Sun C",315,IF(Atletas!O161="Wu C",316,IF(Atletas!O161="Wu-Hao C",317,IF(Atletas!O161="Outro Taijiquan C",318,IF(Atletas!O161="Yang D",319,IF(Atletas!O161="Chen D",320,IF(Atletas!O161="Sun D",321,IF(Atletas!O161="Wu D",322,IF(Atletas!O161="Wu-Hao D",323,IF(Atletas!O161="Outro Taijiquan D",324,IF(Atletas!O161="Yang E",325,IF(Atletas!O161="Chen E",326,IF(Atletas!O161="Sun E",327,IF(Atletas!O161="Wu E",328,IF(Atletas!O161="Wu-Hao E",329,IF(Atletas!O161="Outro Taijiquan E",330,IF(Atletas!O161="Yang F",331,IF(Atletas!O161="Chen F",332,IF(Atletas!O161="Sun F",333,IF(Atletas!O161="Wu F",334,IF(Atletas!O161="Wu-Hao F",335,IF(Atletas!O161="Outro Taijiquan F",336,"")))))))))))))))))))))))))))))))))))))</f>
        <v/>
      </c>
      <c r="BW170" s="50" t="str">
        <f>IF(Atletas!P161="","",IF(Atletas!X161&lt;&gt;"",10000,0)+IF(Atletas!B161="Feminino",1000,IF(Atletas!B161="Masculino",2000,""))+IF(OR(Atletas!P161="Yang 26 A",Atletas!P161="Yang 40 A"),401,IF(OR(Atletas!P161="Chen 25 A",Atletas!P161="Chen 36 A",Atletas!P161="Chen 56 A"),402,IF(Atletas!P161="Sun 73 A",403,IF(Atletas!P161="Wu 45 A",404,IF(Atletas!P161="Wu-Hao 46 A",405,IF(OR(Atletas!P161="Taijiquan 16 A",Atletas!P161="Taijiquan 24 A",Atletas!P161="Taijiquan 32 A",Atletas!P161="Taijiquan 42 A"),406,IF(OR(Atletas!P161="Yang 26 B",Atletas!P161="Yang 40 B"),407,IF(OR(Atletas!P161="Chen 25 B",Atletas!P161="Chen 36 B",Atletas!P161="Chen 56 B"),408,IF(Atletas!P161="Sun 73 B",409,IF(Atletas!P161="Wu 45 B",410,IF(Atletas!P161="Wu-Hao 46 B",411,IF(OR(Atletas!P161="Taijiquan 16 B",Atletas!P161="Taijiquan 24 B",Atletas!P161="Taijiquan 32 B",Atletas!P161="Taijiquan 42 B"),412,IF(OR(Atletas!P161="Yang 26 C",Atletas!P161="Yang 40 C"),413,IF(OR(Atletas!P161="Chen 25 C",Atletas!P161="Chen 36 C",Atletas!P161="Chen 56 C"),414,IF(Atletas!P161="Sun 73 C",415,IF(Atletas!P161="Wu 45 C",416,IF(Atletas!P161="Wu-Hao 46 C",417,IF(OR(Atletas!P161="Taijiquan 16 C",Atletas!P161="Taijiquan 24 C",Atletas!P161="Taijiquan 32 C",Atletas!P161="Taijiquan 42 C"),418,0)))))))))))))))))))</f>
        <v/>
      </c>
      <c r="BX170" s="50" t="str">
        <f>IF(Atletas!P161="","",IF(Atletas!X161&lt;&gt;"",10000,0)+IF(Atletas!B161="Feminino",1000,IF(Atletas!B161="Masculino",2000,""))+IF(OR(Atletas!P161="Yang 26 D",Atletas!P161="Yang 40 D"),419,IF(OR(Atletas!P161="Chen 25 D",Atletas!P161="Chen 36 D",Atletas!P161="Chen 56 D"),420,IF(Atletas!P161="Sun 73 D",421,IF(Atletas!P161="Wu 45 D",422,IF(Atletas!P161="Wu-Hao 46 D",423,IF(OR(Atletas!P161="Taijiquan 16 D",Atletas!P161="Taijiquan 24 D",Atletas!P161="Taijiquan 32 D",Atletas!P161="Taijiquan 42 D"),424,IF(OR(Atletas!P161="Yang 26 E",Atletas!P161="Yang 40 E"),425,IF(OR(Atletas!P161="Chen 25 E",Atletas!P161="Chen 36 E",Atletas!P161="Chen 56 E"),426,IF(Atletas!P161="Sun 73 E",427,IF(Atletas!P161="Wu 45 E",428,IF(Atletas!P161="Wu-Hao 46 E",429,IF(OR(Atletas!P161="Taijiquan 16 E",Atletas!P161="Taijiquan 24 E",Atletas!P161="Taijiquan 32 E",Atletas!P161="Taijiquan 42 E"),430,IF(OR(Atletas!P161="Yang 26 F",Atletas!P161="Yang 40 F"),431,IF(OR(Atletas!P161="Chen 25 F",Atletas!P161="Chen 36 F",Atletas!P161="Chen 56 F"),432,IF(Atletas!P161="Sun 73 F",433,IF(Atletas!P161="Wu 45 F",434,IF(Atletas!P161="Wu-Hao 46 F",435,IF(OR(Atletas!P161="Taijiquan 16 F",Atletas!P161="Taijiquan 24 F",Atletas!P161="Taijiquan 32 F",Atletas!P161="Taijiquan 42 F"),436,0)))))))))))))))))))</f>
        <v/>
      </c>
      <c r="BY170" s="50" t="str">
        <f>IF(Atletas!Q161="","",IF(Atletas!X161&lt;&gt;"",10000,0)+IF(Atletas!B161="Feminino",1000,IF(Atletas!B161="Masculino",2000,""))+IF(Atletas!Q161="Xingyiquan A",501,IF(Atletas!Q161="Baguazhang A",502,IF(Atletas!Q161="Outro Estilo Interno A",503,IF(Atletas!Q161="Xingyiquan B",504,IF(Atletas!Q161="Baguazhang B",505,IF(Atletas!Q161="Outro Estilo Interno B",506,IF(Atletas!Q161="Xingyiquan C",507,IF(Atletas!Q161="Baguazhang C",508,IF(Atletas!Q161="Outro Estilo Interno C",509,IF(Atletas!Q161="Xingyiquan D",510,IF(Atletas!Q161="Baguazhang D",511,IF(Atletas!Q161="Outro Estilo Interno D",512,IF(Atletas!Q161="Xingyiquan E",513,IF(Atletas!Q161="Baguazhang E",514,IF(Atletas!Q161="Outro Estilo Interno E",515,IF(Atletas!Q161="Xingyiquan F",516,IF(Atletas!Q161="Baguazhang F",517,IF(Atletas!Q161="Outro Estilo Interno F",518, "")))))))))))))))))))</f>
        <v/>
      </c>
      <c r="BZ170" s="50" t="str">
        <f>IF(Atletas!R161="","",IF(Atletas!X161&lt;&gt;"",10000,0)+IF(Atletas!B161="Feminino",1000,IF(Atletas!B161="Masculino",2000,""))+IF(Atletas!R161="Dao A",601,IF(Atletas!R161="Jian A",602,IF(Atletas!R161="Bishou A",603,IF(Atletas!R161="Shanzi A",604,IF(Atletas!R161="Outra Arma Curta A",605,IF(Atletas!R161="Dao B",606,IF(Atletas!R161="Jian B",607,IF(Atletas!R161="Bishou B",608,IF(Atletas!R161="Shanzi B",609,IF(Atletas!R161="Outra Arma Curta B",610,IF(Atletas!R161="Dao C",611,IF(Atletas!R161="Jian C",612,IF(Atletas!R161="Bishou C",613,IF(Atletas!R161="Shanzi C",614,IF(Atletas!R161="Outra Arma Curta C",615,IF(Atletas!R161="Dao D",616,IF(Atletas!R161="Jian D",617,IF(Atletas!R161="Bishou D",618,IF(Atletas!R161="Shanzi D",619,IF(Atletas!R161="Outra Arma Curta D",620,IF(Atletas!R161="Dao E",621,IF(Atletas!R161="Jian E",622,IF(Atletas!R161="Bishou E",623,IF(Atletas!R161="Shanzi E",624,IF(Atletas!R161="Outra Arma Curta E",625,IF(Atletas!R161="Dao F",626,IF(Atletas!R161="Jian F",627,IF(Atletas!R161="Bishou F",628,IF(Atletas!R161="Shanzi F",629,IF(Atletas!R161="Outra Arma Curta F",630, "")))))))))))))))))))))))))))))))</f>
        <v/>
      </c>
      <c r="CA170" s="50" t="str">
        <f>IF(Atletas!S161="","",IF(Atletas!X161&lt;&gt;"",10000,0)+IF(Atletas!B161="Feminino",1000,IF(Atletas!B161="Masculino",2000,""))+IF(Atletas!S161="Gun A",701,IF(Atletas!S161="Qiang A",702,IF(Atletas!S161="Pudao / Guandao A",703,IF(Atletas!S161="Outra Arma Longa A",704,IF(Atletas!S161="Gun B",705,IF(Atletas!S161="Qiang B",706,IF(Atletas!S161="Pudao / Guandao B",707,IF(Atletas!S161="Outra Arma Longa B",708,IF(Atletas!S161="Gun C",709,IF(Atletas!S161="Qiang C",710,IF(Atletas!S161="Pudao / Guandao C",711,IF(Atletas!S161="Outra Arma Longa C",712,IF(Atletas!S161="Gun D",713,IF(Atletas!S161="Qiang D",714,IF(Atletas!S161="Pudao / Guandao D",715,IF(Atletas!S161="Outra Arma Longa D",716,IF(Atletas!S161="Gun E",717,IF(Atletas!S161="Qiang E",718,IF(Atletas!S161="Pudao / Guandao E",719,IF(Atletas!S161="Outra Arma Longa E",720,IF(Atletas!S161="Gun F",721,IF(Atletas!S161="Qiang F",722,IF(Atletas!S161="Pudao / Guandao F",723,IF(Atletas!S161="Outra Arma Longa F",724,"")))))))))))))))))))))))))</f>
        <v/>
      </c>
      <c r="CB170" s="50" t="str">
        <f>IF(Atletas!T161="","",IF(Atletas!X161&lt;&gt;"",10000,0)+IF(Atletas!B161="Feminino",1000,IF(Atletas!B161="Masculino",2000,""))+IF(Atletas!T161="Outra Arma Dupla A",801,IF(Atletas!T161="Arma Maleável A",802,IF(Atletas!T161="Outra Arma Dupla B",803,IF(Atletas!T161="Arma Maleável B",804,IF(Atletas!T161="Outra Arma Dupla C",805,IF(Atletas!T161="Arma Maleável C",806,IF(Atletas!T161="Outra Arma Dupla D",807,IF(Atletas!T161="Arma Maleável D",808,IF(Atletas!T161="Outra Arma Dupla E",809,IF(Atletas!T161="Arma Maleável E",810,IF(Atletas!T161="Outra Arma Dupla F",811,IF(Atletas!T161="Arma Maleável F",812,IF(Atletas!T161="Shuangdao A",813,IF(Atletas!T161="Shuangdao B",814,IF(Atletas!T161="Shuangdao C",815,IF(Atletas!T161="Shuangdao D",816,IF(Atletas!T161="Shuangdao E",817,IF(Atletas!T161="Shuangdao F",818,"")))))))))))))))))))</f>
        <v/>
      </c>
      <c r="CC170" s="50" t="str">
        <f>IF(Atletas!U161="","",IF(Atletas!X161&lt;&gt;"",10000,0)+IF(Atletas!B161="Feminino",1000,IF(Atletas!B161="Masculino",2000,""))+IF(OR(Atletas!U161="Taijijian Yang A",Atletas!U161="Taijijian Yang Standard A"),901,IF(OR(Atletas!U161="Taijijian Chen A", Atletas!U161="Taijijian Chen Standard A"),902,IF(Atletas!U161="Taijijian Sun A",903,IF(Atletas!U161="Taijijian Wu A",904,IF(Atletas!U161="Taijijian Wu-Hao A",905,IF(OR(Atletas!U161="Taijijian 32 A",Atletas!U161="Taijijian 42 A"),906,IF(OR(Atletas!U161="Taijijian Yang B",Atletas!U161="Taijijian Yang Standard B"),907,IF(OR(Atletas!U161="Taijijian Chen B", Atletas!U161="Taijijian Chen Standard B"),908,IF(Atletas!U161="Taijijian Sun B",909,IF(Atletas!U161="Taijijian Wu B",910,IF(Atletas!U161="Taijijian Wu-Hao B",911,IF(OR(Atletas!U161="Taijijian 32 B",Atletas!U161="Taijijian 42 B"),912,IF(OR(Atletas!U161="Taijijian Yang C",Atletas!U161="Taijijian Yang Standard C"),913,IF(OR(Atletas!U161="Taijijian Chen C", Atletas!U161="Taijijian Chen Standard C"),914,IF(Atletas!U161="Taijijian Sun C",915,IF(Atletas!U161="Taijijian Wu C",916,IF(Atletas!U161="Taijijian Wu-Hao C",917,IF(OR(Atletas!U161="Taijijian 32 C",Atletas!U161="Taijijian 42 C"),918,IF(OR(Atletas!U161="Taijijian Yang D",Atletas!U161="Taijijian Yang Standard D"),919,IF(OR(Atletas!U161="Taijijian Chen D", Atletas!U161="Taijijian Chen Standard D"),920,IF(Atletas!U161="Taijijian Sun D",921,IF(Atletas!U161="Taijijian Wu D",922,IF(Atletas!U161="Taijijian Wu-Hao D",923,IF(OR(Atletas!U161="Taijijian 32 D",Atletas!U161="Taijijian 42 D"),924,IF(OR(Atletas!U161="Taijijian Yang E",Atletas!U161="Taijijian Yang Standard E"),925,IF(OR(Atletas!U161="Taijijian Chen E", Atletas!U161="Taijijian Chen Standard E"),926,IF(Atletas!U161="Taijijian Sun E",927,IF(Atletas!U161="Taijijian Wu E",928,IF(Atletas!U161="Taijijian Wu-Hao E",929,IF(OR(Atletas!U161="Taijijian 32 E",Atletas!U161="Taijijian 42 E"),930,IF(OR(Atletas!U161="Taijijian Yang F",Atletas!U161="Taijijian Yang Standard F"),931,IF(OR(Atletas!U161="Taijijian Chen F", Atletas!U161="Taijijian Chen Standard F"),932,IF(Atletas!U161="Taijijian Sun F",933,IF(Atletas!U161="Taijijian Wu F",934,IF(Atletas!U161="Taijijian Wu-Hao F",935,IF(OR(Atletas!U161="Taijijian 32 F",Atletas!U161="Taijijian 42 F"),936,"")))))))))))))))))))))))))))))))))))))</f>
        <v/>
      </c>
      <c r="CD170" s="50" t="str">
        <f>IF(Atletas!V161="","",IF(Atletas!X161&lt;&gt;"",10000,0)+IF(Atletas!B161="Feminino",1000,IF(Atletas!B161="Masculino",2000,""))+IF(Atletas!V161="Taijidao A",937,IF(Atletas!V161="TaijiShanzi A",938,IF(Atletas!V161="Taijiqiang A",939,IF(Atletas!V161="Bagua de Arma A",940,IF(Atletas!V161="Xingyi de Arma A",941,IF(Atletas!V161="Taijidao B",942,IF(Atletas!V161="TaijiShanzi B",943,IF(Atletas!V161="Taijiqiang B",944,IF(Atletas!V161="Bagua de Arma B",945,IF(Atletas!V161="Xingyi de Arma B",946,IF(Atletas!V161="Taijidao C",947,IF(Atletas!V161="TaijiShanzi C",948,IF(Atletas!V161="Taijiqiang C",949,IF(Atletas!V161="Bagua de Arma C",950,IF(Atletas!V161="Xingyi de Arma C",951,IF(Atletas!V161="Taijidao D",952,IF(Atletas!V161="TaijiShanzi D",953,IF(Atletas!V161="Taijiqiang D",954,IF(Atletas!V161="Bagua de Arma D",955,IF(Atletas!V161="Xingyi de Arma D",956,IF(Atletas!V161="Taijidao E",957,IF(Atletas!V161="TaijiShanzi E",958,IF(Atletas!V161="Taijiqiang E",959,IF(Atletas!V161="Bagua de Arma E",960,IF(Atletas!V161="Xingyi de Arma E",961,IF(Atletas!V161="Taijidao F",962,IF(Atletas!V161="TaijiShanzi F",963,IF(Atletas!V161="Taijiqiang F",964,IF(Atletas!V161="Bagua de Arma F",965,IF(Atletas!V161="Xingyi de Arma F",966,"")))))))))))))))))))))))))))))))</f>
        <v/>
      </c>
      <c r="CE170" s="66" t="str">
        <f>IF(CF170&lt;&gt;"","TJQ Trad. Chen F","")</f>
        <v/>
      </c>
      <c r="CF170" s="66" t="str">
        <f>IF(COUNTIF(BR:CD,1332)&gt;0,COUNTIF(BR:CD,1332),"")</f>
        <v/>
      </c>
      <c r="CG170" s="66" t="str">
        <f>IF(CH170&lt;&gt;"","TJQ Trad. Chen F","")</f>
        <v/>
      </c>
      <c r="CH170" s="66" t="str">
        <f>IF(COUNTIF(BR:CD,2332)&gt;0,COUNTIF(BR:CD,2332),"")</f>
        <v/>
      </c>
      <c r="CI170" s="66" t="str">
        <f>IF(CJ170&lt;&gt;"","TJQ Padr. Chen A","")</f>
        <v/>
      </c>
      <c r="CJ170" s="66" t="str">
        <f>IF(COUNTIF(BR:CD,11402)&gt;0,COUNTIF(BR:CD,11402),"")</f>
        <v/>
      </c>
      <c r="CK170" s="66" t="str">
        <f>IF(CL170&lt;&gt;"","TJQ Padr. Chen A","")</f>
        <v/>
      </c>
      <c r="CL170" s="66" t="str">
        <f>IF(COUNTIF(BR:CD,12402)&gt;0,COUNTIF(BR:CD,12402),"")</f>
        <v/>
      </c>
      <c r="CM170" s="50" t="str">
        <f xml:space="preserve"> IF(Atletas!W161="","",IF(Atletas!W161="Duilian de Mãos BC - Equipe 1",1,IF(Atletas!W161="Duilian de Mãos BC - Equipe 2",2,IF(Atletas!W161="Duilian de Armas BC - Equipe 1",3,IF(Atletas!W161="Duilian de Armas BC - Equipe 2",4,IF(Atletas!W161="Duilian de Mãos DE - Equipe 1",5,IF(Atletas!W161="Duilian de Mãos DE - Equipe 2",6,IF(Atletas!W161="Duilian de Armas DE - Equipe 1",7,IF(Atletas!W161="Duilian de Armas DE - Equipe 2",8,IF(Atletas!W161="Duilian de Tuishou - Equipe 1",9,IF(Atletas!W161="Duilian de Tuishou - Equipe 2",10,IF(Atletas!W161="Grupo Externo ABC - Equipe 1",11,IF(Atletas!W161="Grupo Externo ABC - Equipe 2",12,IF(Atletas!W161="Grupo Interno ABC - Equipe 1",13,IF(Atletas!W161="Grupo Interno ABC - Equipe 2",14,IF(Atletas!W161="Grupo Externo DEF - Equipe 1",15,IF(Atletas!W161="Grupo Externo DEF - Equipe 2",16,IF(Atletas!W161="Grupo Interno DEF - Equipe 1",17,IF(Atletas!W161="Grupo Interno DEF - Equipe 2",18,"")))))))))))))))))))</f>
        <v/>
      </c>
    </row>
    <row r="171" spans="2:91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 t="str">
        <f t="array" ref="Z171">IFERROR(INDEX(CE$7:CE$348,SMALL(IF(CE$7:CE$348&lt;&gt;"",ROW(CE$7:CE$348)-ROW(CE$7)+1),ROWS(CE$7:CE170))),"")</f>
        <v/>
      </c>
      <c r="AA171" s="3" t="str">
        <f t="array" ref="AA171">IFERROR(INDEX(CF$7:CF$348,SMALL(IF(CF$7:CF$348&lt;&gt;"",ROW(CF$7:CF$348)-ROW(CF$7)+1),ROWS(CF$7:CF170))),"")</f>
        <v/>
      </c>
      <c r="AB171" s="3" t="str">
        <f t="array" ref="AB171">IFERROR(INDEX(CG$7:CG$348,SMALL(IF(CG$7:CG$348&lt;&gt;"",ROW(CG$7:CG$348)-ROW(CG$7)+1),ROWS(CG$7:CG170))),"")</f>
        <v/>
      </c>
      <c r="AC171" s="3" t="str">
        <f t="array" ref="AC171">IFERROR(INDEX(CH$7:CH$348,SMALL(IF(CH$7:CH$348&lt;&gt;"",ROW(CH$7:CH$348)-ROW(CH$7)+1),ROWS(CH$7:CH170))),"")</f>
        <v/>
      </c>
      <c r="AD171" s="3" t="str">
        <f t="array" ref="AD171">IFERROR(INDEX(CI$7:CI$377,SMALL(IF(CI$7:CI$377&lt;&gt;"",ROW(CI$7:CI$377)-ROW(CI$7)+1),ROWS(CI$7:CI170))),"")</f>
        <v/>
      </c>
      <c r="AE171" s="3" t="str">
        <f t="array" ref="AE171">IFERROR(INDEX(CJ$7:CJ$378,SMALL(IF(CJ$7:CJ$378&lt;&gt;"",ROW(CJ$7:CJ$378)-ROW(CJ$7)+1),ROWS(CJ$7:CJ170))),"")</f>
        <v/>
      </c>
      <c r="AF171" s="3" t="str">
        <f t="array" ref="AF171">IFERROR(INDEX(CK$7:CK$378,SMALL(IF(CK$7:CK$378&lt;&gt;"",ROW(CK$7:CK$378)-ROW(CK$7)+1),ROWS(CK$7:CK170))),"")</f>
        <v/>
      </c>
      <c r="AG171" s="3" t="str">
        <f t="array" ref="AG171">IFERROR(INDEX(CL$7:CL$378,SMALL(IF(CL$7:CL$378&lt;&gt;"",ROW(CL$7:CL$378)-ROW(CL$7)+1),ROWS(CL$7:CL170))),"")</f>
        <v/>
      </c>
      <c r="AH171" s="3"/>
      <c r="AI171" s="3"/>
      <c r="AJ171" s="3"/>
      <c r="AK171" s="3"/>
      <c r="AL171" s="3"/>
      <c r="AM171" s="3"/>
      <c r="AN171" s="52" t="str">
        <f>IF(Atletas!D162="","",IF(Atletas!B162="Feminino",100,IF(Atletas!B162="Masculino",200,""))+(IF(Atletas!D162="Kids 30kg",1,IF(Atletas!D162="Kids 32kg",2, IF(Atletas!D162="Kids 34kg",3,IF(Atletas!D162="Kids 36kg",4,IF(Atletas!D162="Kids 39kg",5,IF(Atletas!D162="Kids 42kg",6,IF(Atletas!D162="Kids 45kg",7, IF(Atletas!D162="Infantil 39kg",8,IF(Atletas!D162="Infantil 42kg",9,IF(Atletas!D162="Infantil 45kg",10,IF(Atletas!D162="Infantil 48kg",11,IF(Atletas!D162="Infantil 52kg",12,IF(Atletas!D162="Infantil 56kg",13,IF(Atletas!D162="Infantil 60kg",14,IF(Atletas!D162="Juvenil 48kg",15,IF(Atletas!D162="Juvenil 52kg",16,IF(Atletas!D162="Juvenil 56kg",17,IF(Atletas!D162="Juvenil 60kg",18,IF(Atletas!D162="Juvenil 65kg",19,IF(Atletas!D162="Juvenil 70kg",20,IF(Atletas!D162="Juvenil 75kg",21,IF(Atletas!D162="Juvenil 80kg",22, IF(Atletas!D162="Juvenil 85kg",23,IF(Atletas!D162="Adulto 48kg",24,IF(Atletas!D162="Adulto 52kg",25,IF(Atletas!D162="Adulto 56kg",26,IF(Atletas!D162="Adulto 60kg",27,IF(Atletas!D162="Adulto 65kg",28,IF(Atletas!D162="Adulto 70kg",29,IF(Atletas!D162="Adulto 75kg",30,IF(Atletas!D162="Adulto 80kg",31,IF(Atletas!D162="Adulto 85kg",32,IF(Atletas!D162="Adulto 90kg",33,IF(Atletas!D162="Adulto 100kg",34, IF(Atletas!D162="Adulto +100kg",35,"")))))))))))))))))))))))))))))))))))))</f>
        <v/>
      </c>
      <c r="AS171" s="6" t="str">
        <f>IF(Atletas!E162="","",IF(Atletas!B162="Feminino",100,IF(Atletas!B162="Masculino",200,""))+(IF(Atletas!E162="Juvenil 44kg",1,IF(Atletas!E162="Juvenil 48kg",2,IF(Atletas!E162="Juvenil 52kg",3,IF(Atletas!E162="Juvenil 56kg",4,IF(Atletas!E162="Juvenil 60kg",5,IF(Atletas!E162="Juvenil 65kg",6,IF(Atletas!E162="Juvenil 70kg",7,IF(Atletas!E162="Juvenil 75kg",8,IF(Atletas!E162="Juvenil 82kg",9,IF(Atletas!E162="Juvenil 90kg",10,IF(Atletas!E162="Juvenil 100kg",11,IF(Atletas!E162="Adulto 48kg",12,IF(Atletas!E162="Adulto 52kg",13,IF(Atletas!E162="Adulto 56kg",14,IF(Atletas!E162="Adulto 60kg",15,IF(Atletas!E162="Adulto 65kg",16,IF(Atletas!E162="Adulto 70kg",17,IF(Atletas!E162="Adulto 75kg",18,IF(Atletas!E162="Adulto 82kg",19,IF(Atletas!E162="Adulto 90kg",20,IF(Atletas!E162="Adulto 100kg",21,IF(Atletas!E162="Adulto +100kg",22,""))))))))))))))))))))))))</f>
        <v/>
      </c>
      <c r="AX171" s="6" t="str">
        <f>IF(Atletas!F162="","",IF(Atletas!B162="Feminino",100,IF(Atletas!B162="Masculino",200,""))+(IF(Atletas!F162="Adulto 48kg",1,IF(Atletas!F162="Adulto 56kg",2,IF(Atletas!F162="Adulto 65kg",3,IF(Atletas!F162="Adulto 75kg",4,IF(Atletas!F162="Adulto +75kg",5,IF(Atletas!F162="Adulto 52kg",6,IF(Atletas!F162="Adulto 60kg",7,IF(Atletas!F162="Adulto 70kg",8,IF(Atletas!F162="Adulto 80kg",9,IF(Atletas!F162="Adulto 90kg",10,IF(Atletas!F162="Adulto +90kg",11,"")))))))))))))</f>
        <v/>
      </c>
      <c r="BC171" s="6" t="str">
        <f>IF(Atletas!G162="","",IF(Atletas!B162="Feminino",10,IF(Atletas!B162="Masculino",20,""))+(IF(Atletas!G162="Baduanjin A",1,IF(Atletas!G162="Baduanjin B",2))))</f>
        <v/>
      </c>
      <c r="BF171" s="52" t="str">
        <f>IF(Atletas!H162="","",IF(Atletas!B162="Feminino",100,IF(Atletas!B162="Masculino",200,""))+(IF(Atletas!H162="Changquan Mirim",1,IF(Atletas!H162="Nanquan Mirim",2,IF(Atletas!H162="Taijiquan Mirim",3,IF(Atletas!H162="Changquan Grupo C",4,IF(Atletas!H162="Nanquan Grupo C",5,IF(Atletas!H162="Taijiquan Grupo C",6,IF(Atletas!H162="Changquan Grupo B",7,IF(Atletas!H162="Nanquan Grupo B",8,IF(Atletas!H162="Taijiquan Grupo B",9,IF(Atletas!H162="Changquan Grupo A",10,IF(Atletas!H162="Nanquan Grupo A",11,IF(Atletas!H162="Taijiquan Grupo A",12,IF(Atletas!H162="Changquan Opcional",13,IF(Atletas!H162="Nanquan Opcional",14,IF(Atletas!H162="Taijiquan Opcional",15,IF(Atletas!H162="Changquan Adulto",16,IF(Atletas!H162="Nanquan Adulto",17,IF(Atletas!H162="Taijiquan Adulto",18,""))))))))))))))))))))</f>
        <v/>
      </c>
      <c r="BG171" s="52" t="str">
        <f>IF(Atletas!I162="","",IF(Atletas!B162="Feminino",100,IF(Atletas!B162="Masculino",200,""))+(IF(Atletas!I162="Daoshu Mirim",19,IF(Atletas!I162="Jianshu Mirim",20,IF(Atletas!I162="Nandao Mirim",21,IF(Atletas!I162="Taijijian Mirim",22,IF(Atletas!I162="Daoshu Grupo C",23,IF(Atletas!I162="Jianshu Grupo C",24,IF(Atletas!I162="Nandao Grupo C",25,IF(Atletas!I162="Taijijian Grupo C",26,IF(Atletas!I162="Daoshu Grupo B",27,IF(Atletas!I162="Jianshu Grupo B",28,IF(Atletas!I162="Nandao Grupo B",29,IF(Atletas!I162="Taijijian Grupo B",30,IF(Atletas!I162="Daoshu Grupo A",31,IF(Atletas!I162="Jianshu Grupo A",32,IF(Atletas!I162="Nandao Grupo A",33,IF(Atletas!I162="Taijijian Grupo A",34,IF(Atletas!I162="Daoshu Opcional",35,IF(Atletas!I162="Jianshu Opcional",36,IF(Atletas!I162="Nandao Opcional",37,IF(Atletas!I162="Taijijian Opcional",38,IF(Atletas!I162="Daoshu Adulto",39,IF(Atletas!I162="Jianshu Adulto",40,IF(Atletas!I162="Nandao Adulto",41,IF(Atletas!I162="Taijijian Adulto",42,""))))))))))))))))))))))))))</f>
        <v/>
      </c>
      <c r="BH171" s="52" t="str">
        <f>IF(Atletas!J162="","",IF(Atletas!B162="Feminino",100,IF(Atletas!B162="Masculino",200,""))+(IF(Atletas!J162="Gunshu Mirim",43,IF(Atletas!J162="Qiangshu Mirim",44,IF(Atletas!J162="Nangun Mirim",45,IF(Atletas!J162="Gunshu Grupo C",46,IF(Atletas!J162="Qiangshu Grupo C",47,IF(Atletas!J162="Nangun Grupo C",48,IF(Atletas!J162="Gunshu Grupo B",49,IF(Atletas!J162="Qiangshu Grupo B",50,IF(Atletas!J162="Nangun Grupo B",51,IF(Atletas!J162="Gunshu Grupo A",52,IF(Atletas!J162="Qiangshu Grupo A",53,IF(Atletas!J162="Nangun Grupo A",54,IF(Atletas!J162="Gunshu Opcional",55,IF(Atletas!J162="Qiangshu Opcional",56,IF(Atletas!J162="Nangun Opcional",57,IF(Atletas!J162="Gunshu Adulto",58,IF(Atletas!J162="Qiangshu Adulto",59,IF(Atletas!J162="Nangun Adulto",60,IF(Atletas!J162="Taijishan Grupo B",61,IF(Atletas!J162="Taijishan Grupo A",62,""))))))))))))))))))))))</f>
        <v/>
      </c>
      <c r="BM171" s="50" t="str">
        <f>IF(Atletas!K162="","",IF(Atletas!B162="Feminino",100,IF(Atletas!B162="Masculino",200,""))+(IF(Atletas!K162="Equipe 1 Grupo B",1,IF(Atletas!K162="Equipe 2 Grupo B",2,IF(Atletas!K162="Equipe 1 Grupo A",3,IF(Atletas!K162="Equipe 2 Grupo A",4,IF(Atletas!K162="Equipe 1 Adulto",5,IF(Atletas!K162="Equipe 2 Adulto",6,""))))))))</f>
        <v/>
      </c>
      <c r="BR171" s="50" t="str">
        <f>IF(Atletas!L162="","",IF(Atletas!X162&lt;&gt;"",10000,0)+(IF(Atletas!B162="Feminino",1000,IF(Atletas!B162="Masculino",2000,""))+IF(Atletas!L162="Choylayfut A",1,IF(Atletas!L162="Hunggar A",2,IF(Atletas!L162="Wuzuquan A",3,IF(Atletas!L162="Wingchun A",4,IF(Atletas!L162="Outra Mão de Sul A",5,IF(Atletas!L162="Choylayfut B",6,IF(Atletas!L162="Hunggar B",7,IF(Atletas!L162="Wuzuquan B",8,IF(Atletas!L162="Wingchun B",9,IF(Atletas!L162="Outra Mão de Sul B",10,IF(Atletas!L162="Choylayfut C",11,IF(Atletas!L162="Hunggar C",12,IF(Atletas!L162="Wuzuquan C",13,IF(Atletas!L162="Wingchun C",14,IF(Atletas!L162="Outra Mão de Sul C",15,IF(Atletas!L162="Choylayfut D",16,IF(Atletas!L162="Hunggar D",17,IF(Atletas!L162="Wuzuquan D",18,IF(Atletas!L162="Wingchun D",19,IF(Atletas!L162="Outra Mão de Sul D",20,IF(Atletas!L162="Choylayfut E",21,IF(Atletas!L162="Hunggar E",22,IF(Atletas!L162="Wuzuquan E",23,IF(Atletas!L162="Wingchun E",24,IF(Atletas!L162="Outra Mão de Sul E",25,IF(Atletas!L162="Choylayfut F",26,IF(Atletas!L162="Hunggar F",27,IF(Atletas!L162="Wuzuquan F",28,IF(Atletas!L162="Wingchun F",29,IF(Atletas!L162="Outra Mão de Sul F",30,IF(Atletas!L162="Dishuquan A",31,IF(Atletas!L162="Dishuquan B",32,IF(Atletas!L162="Dishuquan C",33,IF(Atletas!L162="Dishuquan D",34,IF(Atletas!L162="Dishuquan E",35,IF(Atletas!L162="Dishuquan F",36,""))))))))))))))))))))))))))))))))))))))</f>
        <v/>
      </c>
      <c r="BS171" s="50" t="str">
        <f>IF(Atletas!M162="","",IF(Atletas!X162&lt;&gt;"",10000,0)+(IF(Atletas!B162="Feminino",1000,IF(Atletas!B162="Masculino",2000,""))+(IF(Atletas!M162="Chaquan A",101,IF(Atletas!M162="Emeiquan A",102,IF(Atletas!M162="Fanziquan A",103,IF(Atletas!M162="Huaquan A",104,IF(Atletas!M162="Hongquan A",105,IF(Atletas!M162="Paoquan A",106,IF(Atletas!M162="Piguaquan A",107,IF(Atletas!M162="Shaolinquan A",108,IF(Atletas!M162="Tanglangquan A",109,IF(Atletas!M162="Yingzhaoquan A",110,IF(Atletas!M162="Tongbeiquan A",111,IF(Atletas!M162="Wudangquan A",112,IF(Atletas!M162="Outros Estilos A",113,IF(Atletas!M162="Chaquan B",114,IF(Atletas!M162="Emeiquan B",115,IF(Atletas!M162="Fanziquan B",116,IF(Atletas!M162="Huaquan B",117,IF(Atletas!M162="Hongquan B",118,IF(Atletas!M162="Paoquan B",119,IF(Atletas!M162="Piguaquan B",120,IF(Atletas!M162="Shaolinquan B",121,IF(Atletas!M162="Tanglangquan B",122,IF(Atletas!M162="Yingzhaoquan B",123,IF(Atletas!M162="Tongbeiquan B",124,IF(Atletas!M162="Wudangquan B",125,IF(Atletas!M162="Outros Estilos B",126,IF(Atletas!M162="Chaquan C",127,IF(Atletas!M162="Emeiquan C",128,IF(Atletas!M162="Fanziquan C",129,IF(Atletas!M162="Huaquan C",130,IF(Atletas!M162="Hongquan C",131,IF(Atletas!M162="Paoquan C",132,IF(Atletas!M162="Piguaquan C",133,IF(Atletas!M162="Shaolinquan C",134,IF(Atletas!M162="Tanglangquan C",135,IF(Atletas!M162="Yingzhaoquan C",136,IF(Atletas!M162="Tongbeiquan C",137,IF(Atletas!M162="Wudangquan C",138,IF(Atletas!M162="Outros Estilos C",139,0))))))))))))))))))))))))))))))))))))))))))</f>
        <v/>
      </c>
      <c r="BT171" s="50" t="str">
        <f>IF(Atletas!M162="","",IF(Atletas!X162&lt;&gt;"",10000,0)+(IF(Atletas!B162="Feminino",1000,IF(Atletas!B162="Masculino",2000,""))+(IF(Atletas!M162="Chaquan D",140,IF(Atletas!M162="Emeiquan D",141,IF(Atletas!M162="Fanziquan D",142,IF(Atletas!M162="Huaquan D",143,IF(Atletas!M162="Hongquan D",144,IF(Atletas!M162="Paoquan D",145,IF(Atletas!M162="Piguaquan D",146,IF(Atletas!M162="Shaolinquan D",147,IF(Atletas!M162="Tanglangquan D",148,IF(Atletas!M162="Yingzhaoquan D",149,IF(Atletas!M162="Tongbeiquan D",150,IF(Atletas!M162="Wudangquan D",151,IF(Atletas!M162="Outros Estilos D",152,IF(Atletas!M162="Chaquan E",153,IF(Atletas!M162="Emeiquan E",154,IF(Atletas!M162="Fanziquan E",155,IF(Atletas!M162="Huaquan E",156,IF(Atletas!M162="Hongquan E",157,IF(Atletas!M162="Paoquan E",158,IF(Atletas!M162="Piguaquan E",159,IF(Atletas!M162="Shaolinquan E",160,IF(Atletas!M162="Tanglangquan E",161,IF(Atletas!M162="Yingzhaoquan E",162,IF(Atletas!M162="Tongbeiquan E",163,IF(Atletas!M162="Wudangquan E",164,IF(Atletas!M162="Outros Estilos E",165,IF(Atletas!M162="Chaquan F",166,IF(Atletas!M162="Emeiquan F",167,IF(Atletas!M162="Fanziquan F",168,IF(Atletas!M162="Huaquan F",169,IF(Atletas!M162="Hongquan F",170,IF(Atletas!M162="Paoquan F",171,IF(Atletas!M162="Piguaquan F",172,IF(Atletas!M162="Shaolinquan F",173,IF(Atletas!M162="Tanglangquan F",174,IF(Atletas!M162="Yingzhaoquan F",175,IF(Atletas!M162="Tongbeiquan F",176,IF(Atletas!M162="Wudangquan F",177,IF(Atletas!M162="Outros Estilos F",178,0))))))))))))))))))))))))))))))))))))))))))</f>
        <v/>
      </c>
      <c r="BU171" s="50" t="str">
        <f>IF(Atletas!N162="","",IF(Atletas!X162&lt;&gt;"",10000,0)+(IF(Atletas!B162="Feminino",1000,IF(Atletas!B162="Masculino",2000,""))+(IF(Atletas!N162="Ditangquan A",201,IF(Atletas!N162="Houquan A",202,IF(Atletas!N162="Zuiquan A",203,IF(Atletas!N162="Ditangquan B",204,IF(Atletas!N162="Houquan B",205,IF(Atletas!N162="Zuiquan B",206,IF(Atletas!N162="Ditangquan C",207,IF(Atletas!N162="Houquan C",208,IF(Atletas!N162="Zuiquan C",209,IF(Atletas!N162="Ditangquan D",210,IF(Atletas!N162="Houquan D",211,IF(Atletas!N162="Zuiquan D",212,IF(Atletas!N162="Ditangquan E",213,IF(Atletas!N162="Houquan E",214,IF(Atletas!N162="Zuiquan E",215,IF(Atletas!N162="Ditangquan F",216,IF(Atletas!N162="Houquan F",217,IF(Atletas!N162="Zuiquan F",218,"")))))))))))))))))))))</f>
        <v/>
      </c>
      <c r="BV171" s="50" t="str">
        <f>IF(Atletas!O162="","",IF(Atletas!X162&lt;&gt;"",10000,0)+IF(Atletas!B162="Feminino",1000,IF(Atletas!B162="Masculino",2000,""))+IF(Atletas!O162="Yang A",301,IF(Atletas!O162="Chen A",302,IF(Atletas!O162="Sun A",303,IF(Atletas!O162="Wu A",304,IF(Atletas!O162="Wu-Hao A",305,IF(Atletas!O162="Outro Taijiquan A",306,IF(Atletas!O162="Yang B",307,IF(Atletas!O162="Chen B",308,IF(Atletas!O162="Sun B",309,IF(Atletas!O162="Wu B",310,IF(Atletas!O162="Wu-Hao B",311,IF(Atletas!O162="Outro Taijiquan B",312,IF(Atletas!O162="Yang C",313,IF(Atletas!O162="Chen C",314,IF(Atletas!O162="Sun C",315,IF(Atletas!O162="Wu C",316,IF(Atletas!O162="Wu-Hao C",317,IF(Atletas!O162="Outro Taijiquan C",318,IF(Atletas!O162="Yang D",319,IF(Atletas!O162="Chen D",320,IF(Atletas!O162="Sun D",321,IF(Atletas!O162="Wu D",322,IF(Atletas!O162="Wu-Hao D",323,IF(Atletas!O162="Outro Taijiquan D",324,IF(Atletas!O162="Yang E",325,IF(Atletas!O162="Chen E",326,IF(Atletas!O162="Sun E",327,IF(Atletas!O162="Wu E",328,IF(Atletas!O162="Wu-Hao E",329,IF(Atletas!O162="Outro Taijiquan E",330,IF(Atletas!O162="Yang F",331,IF(Atletas!O162="Chen F",332,IF(Atletas!O162="Sun F",333,IF(Atletas!O162="Wu F",334,IF(Atletas!O162="Wu-Hao F",335,IF(Atletas!O162="Outro Taijiquan F",336,"")))))))))))))))))))))))))))))))))))))</f>
        <v/>
      </c>
      <c r="BW171" s="50" t="str">
        <f>IF(Atletas!P162="","",IF(Atletas!X162&lt;&gt;"",10000,0)+IF(Atletas!B162="Feminino",1000,IF(Atletas!B162="Masculino",2000,""))+IF(OR(Atletas!P162="Yang 26 A",Atletas!P162="Yang 40 A"),401,IF(OR(Atletas!P162="Chen 25 A",Atletas!P162="Chen 36 A",Atletas!P162="Chen 56 A"),402,IF(Atletas!P162="Sun 73 A",403,IF(Atletas!P162="Wu 45 A",404,IF(Atletas!P162="Wu-Hao 46 A",405,IF(OR(Atletas!P162="Taijiquan 16 A",Atletas!P162="Taijiquan 24 A",Atletas!P162="Taijiquan 32 A",Atletas!P162="Taijiquan 42 A"),406,IF(OR(Atletas!P162="Yang 26 B",Atletas!P162="Yang 40 B"),407,IF(OR(Atletas!P162="Chen 25 B",Atletas!P162="Chen 36 B",Atletas!P162="Chen 56 B"),408,IF(Atletas!P162="Sun 73 B",409,IF(Atletas!P162="Wu 45 B",410,IF(Atletas!P162="Wu-Hao 46 B",411,IF(OR(Atletas!P162="Taijiquan 16 B",Atletas!P162="Taijiquan 24 B",Atletas!P162="Taijiquan 32 B",Atletas!P162="Taijiquan 42 B"),412,IF(OR(Atletas!P162="Yang 26 C",Atletas!P162="Yang 40 C"),413,IF(OR(Atletas!P162="Chen 25 C",Atletas!P162="Chen 36 C",Atletas!P162="Chen 56 C"),414,IF(Atletas!P162="Sun 73 C",415,IF(Atletas!P162="Wu 45 C",416,IF(Atletas!P162="Wu-Hao 46 C",417,IF(OR(Atletas!P162="Taijiquan 16 C",Atletas!P162="Taijiquan 24 C",Atletas!P162="Taijiquan 32 C",Atletas!P162="Taijiquan 42 C"),418,0)))))))))))))))))))</f>
        <v/>
      </c>
      <c r="BX171" s="50" t="str">
        <f>IF(Atletas!P162="","",IF(Atletas!X162&lt;&gt;"",10000,0)+IF(Atletas!B162="Feminino",1000,IF(Atletas!B162="Masculino",2000,""))+IF(OR(Atletas!P162="Yang 26 D",Atletas!P162="Yang 40 D"),419,IF(OR(Atletas!P162="Chen 25 D",Atletas!P162="Chen 36 D",Atletas!P162="Chen 56 D"),420,IF(Atletas!P162="Sun 73 D",421,IF(Atletas!P162="Wu 45 D",422,IF(Atletas!P162="Wu-Hao 46 D",423,IF(OR(Atletas!P162="Taijiquan 16 D",Atletas!P162="Taijiquan 24 D",Atletas!P162="Taijiquan 32 D",Atletas!P162="Taijiquan 42 D"),424,IF(OR(Atletas!P162="Yang 26 E",Atletas!P162="Yang 40 E"),425,IF(OR(Atletas!P162="Chen 25 E",Atletas!P162="Chen 36 E",Atletas!P162="Chen 56 E"),426,IF(Atletas!P162="Sun 73 E",427,IF(Atletas!P162="Wu 45 E",428,IF(Atletas!P162="Wu-Hao 46 E",429,IF(OR(Atletas!P162="Taijiquan 16 E",Atletas!P162="Taijiquan 24 E",Atletas!P162="Taijiquan 32 E",Atletas!P162="Taijiquan 42 E"),430,IF(OR(Atletas!P162="Yang 26 F",Atletas!P162="Yang 40 F"),431,IF(OR(Atletas!P162="Chen 25 F",Atletas!P162="Chen 36 F",Atletas!P162="Chen 56 F"),432,IF(Atletas!P162="Sun 73 F",433,IF(Atletas!P162="Wu 45 F",434,IF(Atletas!P162="Wu-Hao 46 F",435,IF(OR(Atletas!P162="Taijiquan 16 F",Atletas!P162="Taijiquan 24 F",Atletas!P162="Taijiquan 32 F",Atletas!P162="Taijiquan 42 F"),436,0)))))))))))))))))))</f>
        <v/>
      </c>
      <c r="BY171" s="50" t="str">
        <f>IF(Atletas!Q162="","",IF(Atletas!X162&lt;&gt;"",10000,0)+IF(Atletas!B162="Feminino",1000,IF(Atletas!B162="Masculino",2000,""))+IF(Atletas!Q162="Xingyiquan A",501,IF(Atletas!Q162="Baguazhang A",502,IF(Atletas!Q162="Outro Estilo Interno A",503,IF(Atletas!Q162="Xingyiquan B",504,IF(Atletas!Q162="Baguazhang B",505,IF(Atletas!Q162="Outro Estilo Interno B",506,IF(Atletas!Q162="Xingyiquan C",507,IF(Atletas!Q162="Baguazhang C",508,IF(Atletas!Q162="Outro Estilo Interno C",509,IF(Atletas!Q162="Xingyiquan D",510,IF(Atletas!Q162="Baguazhang D",511,IF(Atletas!Q162="Outro Estilo Interno D",512,IF(Atletas!Q162="Xingyiquan E",513,IF(Atletas!Q162="Baguazhang E",514,IF(Atletas!Q162="Outro Estilo Interno E",515,IF(Atletas!Q162="Xingyiquan F",516,IF(Atletas!Q162="Baguazhang F",517,IF(Atletas!Q162="Outro Estilo Interno F",518, "")))))))))))))))))))</f>
        <v/>
      </c>
      <c r="BZ171" s="50" t="str">
        <f>IF(Atletas!R162="","",IF(Atletas!X162&lt;&gt;"",10000,0)+IF(Atletas!B162="Feminino",1000,IF(Atletas!B162="Masculino",2000,""))+IF(Atletas!R162="Dao A",601,IF(Atletas!R162="Jian A",602,IF(Atletas!R162="Bishou A",603,IF(Atletas!R162="Shanzi A",604,IF(Atletas!R162="Outra Arma Curta A",605,IF(Atletas!R162="Dao B",606,IF(Atletas!R162="Jian B",607,IF(Atletas!R162="Bishou B",608,IF(Atletas!R162="Shanzi B",609,IF(Atletas!R162="Outra Arma Curta B",610,IF(Atletas!R162="Dao C",611,IF(Atletas!R162="Jian C",612,IF(Atletas!R162="Bishou C",613,IF(Atletas!R162="Shanzi C",614,IF(Atletas!R162="Outra Arma Curta C",615,IF(Atletas!R162="Dao D",616,IF(Atletas!R162="Jian D",617,IF(Atletas!R162="Bishou D",618,IF(Atletas!R162="Shanzi D",619,IF(Atletas!R162="Outra Arma Curta D",620,IF(Atletas!R162="Dao E",621,IF(Atletas!R162="Jian E",622,IF(Atletas!R162="Bishou E",623,IF(Atletas!R162="Shanzi E",624,IF(Atletas!R162="Outra Arma Curta E",625,IF(Atletas!R162="Dao F",626,IF(Atletas!R162="Jian F",627,IF(Atletas!R162="Bishou F",628,IF(Atletas!R162="Shanzi F",629,IF(Atletas!R162="Outra Arma Curta F",630, "")))))))))))))))))))))))))))))))</f>
        <v/>
      </c>
      <c r="CA171" s="50" t="str">
        <f>IF(Atletas!S162="","",IF(Atletas!X162&lt;&gt;"",10000,0)+IF(Atletas!B162="Feminino",1000,IF(Atletas!B162="Masculino",2000,""))+IF(Atletas!S162="Gun A",701,IF(Atletas!S162="Qiang A",702,IF(Atletas!S162="Pudao / Guandao A",703,IF(Atletas!S162="Outra Arma Longa A",704,IF(Atletas!S162="Gun B",705,IF(Atletas!S162="Qiang B",706,IF(Atletas!S162="Pudao / Guandao B",707,IF(Atletas!S162="Outra Arma Longa B",708,IF(Atletas!S162="Gun C",709,IF(Atletas!S162="Qiang C",710,IF(Atletas!S162="Pudao / Guandao C",711,IF(Atletas!S162="Outra Arma Longa C",712,IF(Atletas!S162="Gun D",713,IF(Atletas!S162="Qiang D",714,IF(Atletas!S162="Pudao / Guandao D",715,IF(Atletas!S162="Outra Arma Longa D",716,IF(Atletas!S162="Gun E",717,IF(Atletas!S162="Qiang E",718,IF(Atletas!S162="Pudao / Guandao E",719,IF(Atletas!S162="Outra Arma Longa E",720,IF(Atletas!S162="Gun F",721,IF(Atletas!S162="Qiang F",722,IF(Atletas!S162="Pudao / Guandao F",723,IF(Atletas!S162="Outra Arma Longa F",724,"")))))))))))))))))))))))))</f>
        <v/>
      </c>
      <c r="CB171" s="50" t="str">
        <f>IF(Atletas!T162="","",IF(Atletas!X162&lt;&gt;"",10000,0)+IF(Atletas!B162="Feminino",1000,IF(Atletas!B162="Masculino",2000,""))+IF(Atletas!T162="Outra Arma Dupla A",801,IF(Atletas!T162="Arma Maleável A",802,IF(Atletas!T162="Outra Arma Dupla B",803,IF(Atletas!T162="Arma Maleável B",804,IF(Atletas!T162="Outra Arma Dupla C",805,IF(Atletas!T162="Arma Maleável C",806,IF(Atletas!T162="Outra Arma Dupla D",807,IF(Atletas!T162="Arma Maleável D",808,IF(Atletas!T162="Outra Arma Dupla E",809,IF(Atletas!T162="Arma Maleável E",810,IF(Atletas!T162="Outra Arma Dupla F",811,IF(Atletas!T162="Arma Maleável F",812,IF(Atletas!T162="Shuangdao A",813,IF(Atletas!T162="Shuangdao B",814,IF(Atletas!T162="Shuangdao C",815,IF(Atletas!T162="Shuangdao D",816,IF(Atletas!T162="Shuangdao E",817,IF(Atletas!T162="Shuangdao F",818,"")))))))))))))))))))</f>
        <v/>
      </c>
      <c r="CC171" s="50" t="str">
        <f>IF(Atletas!U162="","",IF(Atletas!X162&lt;&gt;"",10000,0)+IF(Atletas!B162="Feminino",1000,IF(Atletas!B162="Masculino",2000,""))+IF(OR(Atletas!U162="Taijijian Yang A",Atletas!U162="Taijijian Yang Standard A"),901,IF(OR(Atletas!U162="Taijijian Chen A", Atletas!U162="Taijijian Chen Standard A"),902,IF(Atletas!U162="Taijijian Sun A",903,IF(Atletas!U162="Taijijian Wu A",904,IF(Atletas!U162="Taijijian Wu-Hao A",905,IF(OR(Atletas!U162="Taijijian 32 A",Atletas!U162="Taijijian 42 A"),906,IF(OR(Atletas!U162="Taijijian Yang B",Atletas!U162="Taijijian Yang Standard B"),907,IF(OR(Atletas!U162="Taijijian Chen B", Atletas!U162="Taijijian Chen Standard B"),908,IF(Atletas!U162="Taijijian Sun B",909,IF(Atletas!U162="Taijijian Wu B",910,IF(Atletas!U162="Taijijian Wu-Hao B",911,IF(OR(Atletas!U162="Taijijian 32 B",Atletas!U162="Taijijian 42 B"),912,IF(OR(Atletas!U162="Taijijian Yang C",Atletas!U162="Taijijian Yang Standard C"),913,IF(OR(Atletas!U162="Taijijian Chen C", Atletas!U162="Taijijian Chen Standard C"),914,IF(Atletas!U162="Taijijian Sun C",915,IF(Atletas!U162="Taijijian Wu C",916,IF(Atletas!U162="Taijijian Wu-Hao C",917,IF(OR(Atletas!U162="Taijijian 32 C",Atletas!U162="Taijijian 42 C"),918,IF(OR(Atletas!U162="Taijijian Yang D",Atletas!U162="Taijijian Yang Standard D"),919,IF(OR(Atletas!U162="Taijijian Chen D", Atletas!U162="Taijijian Chen Standard D"),920,IF(Atletas!U162="Taijijian Sun D",921,IF(Atletas!U162="Taijijian Wu D",922,IF(Atletas!U162="Taijijian Wu-Hao D",923,IF(OR(Atletas!U162="Taijijian 32 D",Atletas!U162="Taijijian 42 D"),924,IF(OR(Atletas!U162="Taijijian Yang E",Atletas!U162="Taijijian Yang Standard E"),925,IF(OR(Atletas!U162="Taijijian Chen E", Atletas!U162="Taijijian Chen Standard E"),926,IF(Atletas!U162="Taijijian Sun E",927,IF(Atletas!U162="Taijijian Wu E",928,IF(Atletas!U162="Taijijian Wu-Hao E",929,IF(OR(Atletas!U162="Taijijian 32 E",Atletas!U162="Taijijian 42 E"),930,IF(OR(Atletas!U162="Taijijian Yang F",Atletas!U162="Taijijian Yang Standard F"),931,IF(OR(Atletas!U162="Taijijian Chen F", Atletas!U162="Taijijian Chen Standard F"),932,IF(Atletas!U162="Taijijian Sun F",933,IF(Atletas!U162="Taijijian Wu F",934,IF(Atletas!U162="Taijijian Wu-Hao F",935,IF(OR(Atletas!U162="Taijijian 32 F",Atletas!U162="Taijijian 42 F"),936,"")))))))))))))))))))))))))))))))))))))</f>
        <v/>
      </c>
      <c r="CD171" s="50" t="str">
        <f>IF(Atletas!V162="","",IF(Atletas!X162&lt;&gt;"",10000,0)+IF(Atletas!B162="Feminino",1000,IF(Atletas!B162="Masculino",2000,""))+IF(Atletas!V162="Taijidao A",937,IF(Atletas!V162="TaijiShanzi A",938,IF(Atletas!V162="Taijiqiang A",939,IF(Atletas!V162="Bagua de Arma A",940,IF(Atletas!V162="Xingyi de Arma A",941,IF(Atletas!V162="Taijidao B",942,IF(Atletas!V162="TaijiShanzi B",943,IF(Atletas!V162="Taijiqiang B",944,IF(Atletas!V162="Bagua de Arma B",945,IF(Atletas!V162="Xingyi de Arma B",946,IF(Atletas!V162="Taijidao C",947,IF(Atletas!V162="TaijiShanzi C",948,IF(Atletas!V162="Taijiqiang C",949,IF(Atletas!V162="Bagua de Arma C",950,IF(Atletas!V162="Xingyi de Arma C",951,IF(Atletas!V162="Taijidao D",952,IF(Atletas!V162="TaijiShanzi D",953,IF(Atletas!V162="Taijiqiang D",954,IF(Atletas!V162="Bagua de Arma D",955,IF(Atletas!V162="Xingyi de Arma D",956,IF(Atletas!V162="Taijidao E",957,IF(Atletas!V162="TaijiShanzi E",958,IF(Atletas!V162="Taijiqiang E",959,IF(Atletas!V162="Bagua de Arma E",960,IF(Atletas!V162="Xingyi de Arma E",961,IF(Atletas!V162="Taijidao F",962,IF(Atletas!V162="TaijiShanzi F",963,IF(Atletas!V162="Taijiqiang F",964,IF(Atletas!V162="Bagua de Arma F",965,IF(Atletas!V162="Xingyi de Arma F",966,"")))))))))))))))))))))))))))))))</f>
        <v/>
      </c>
      <c r="CE171" s="66" t="str">
        <f>IF(CF171&lt;&gt;"","TJQ Trad. Sun F","")</f>
        <v/>
      </c>
      <c r="CF171" s="66" t="str">
        <f>IF(COUNTIF(BR:CD,1333)&gt;0,COUNTIF(BR:CD,1333),"")</f>
        <v/>
      </c>
      <c r="CG171" s="66" t="str">
        <f>IF(CH171&lt;&gt;"","TJQ Trad. Sun F","")</f>
        <v/>
      </c>
      <c r="CH171" s="66" t="str">
        <f>IF(COUNTIF(BR:CD,2333)&gt;0,COUNTIF(BR:CD,2333),"")</f>
        <v/>
      </c>
      <c r="CI171" s="66" t="str">
        <f>IF(CJ171&lt;&gt;"","TJQ Padr. Sun A","")</f>
        <v/>
      </c>
      <c r="CJ171" s="66" t="str">
        <f>IF(COUNTIF(BR:CD,11403)&gt;0,COUNTIF(BR:CD,11403),"")</f>
        <v/>
      </c>
      <c r="CK171" s="66" t="str">
        <f>IF(CL171&lt;&gt;"","TJQ Padr. Sun A","")</f>
        <v/>
      </c>
      <c r="CL171" s="66" t="str">
        <f>IF(COUNTIF(BR:CD,12403)&gt;0,COUNTIF(BR:CD,12403),"")</f>
        <v/>
      </c>
      <c r="CM171" s="50" t="str">
        <f xml:space="preserve"> IF(Atletas!W162="","",IF(Atletas!W162="Duilian de Mãos BC - Equipe 1",1,IF(Atletas!W162="Duilian de Mãos BC - Equipe 2",2,IF(Atletas!W162="Duilian de Armas BC - Equipe 1",3,IF(Atletas!W162="Duilian de Armas BC - Equipe 2",4,IF(Atletas!W162="Duilian de Mãos DE - Equipe 1",5,IF(Atletas!W162="Duilian de Mãos DE - Equipe 2",6,IF(Atletas!W162="Duilian de Armas DE - Equipe 1",7,IF(Atletas!W162="Duilian de Armas DE - Equipe 2",8,IF(Atletas!W162="Duilian de Tuishou - Equipe 1",9,IF(Atletas!W162="Duilian de Tuishou - Equipe 2",10,IF(Atletas!W162="Grupo Externo ABC - Equipe 1",11,IF(Atletas!W162="Grupo Externo ABC - Equipe 2",12,IF(Atletas!W162="Grupo Interno ABC - Equipe 1",13,IF(Atletas!W162="Grupo Interno ABC - Equipe 2",14,IF(Atletas!W162="Grupo Externo DEF - Equipe 1",15,IF(Atletas!W162="Grupo Externo DEF - Equipe 2",16,IF(Atletas!W162="Grupo Interno DEF - Equipe 1",17,IF(Atletas!W162="Grupo Interno DEF - Equipe 2",18,"")))))))))))))))))))</f>
        <v/>
      </c>
    </row>
    <row r="172" spans="2:91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 t="str">
        <f t="array" ref="Z172">IFERROR(INDEX(CE$7:CE$348,SMALL(IF(CE$7:CE$348&lt;&gt;"",ROW(CE$7:CE$348)-ROW(CE$7)+1),ROWS(CE$7:CE171))),"")</f>
        <v/>
      </c>
      <c r="AA172" s="3" t="str">
        <f t="array" ref="AA172">IFERROR(INDEX(CF$7:CF$348,SMALL(IF(CF$7:CF$348&lt;&gt;"",ROW(CF$7:CF$348)-ROW(CF$7)+1),ROWS(CF$7:CF171))),"")</f>
        <v/>
      </c>
      <c r="AB172" s="3" t="str">
        <f t="array" ref="AB172">IFERROR(INDEX(CG$7:CG$348,SMALL(IF(CG$7:CG$348&lt;&gt;"",ROW(CG$7:CG$348)-ROW(CG$7)+1),ROWS(CG$7:CG171))),"")</f>
        <v/>
      </c>
      <c r="AC172" s="3" t="str">
        <f t="array" ref="AC172">IFERROR(INDEX(CH$7:CH$348,SMALL(IF(CH$7:CH$348&lt;&gt;"",ROW(CH$7:CH$348)-ROW(CH$7)+1),ROWS(CH$7:CH171))),"")</f>
        <v/>
      </c>
      <c r="AD172" s="3" t="str">
        <f t="array" ref="AD172">IFERROR(INDEX(CI$7:CI$377,SMALL(IF(CI$7:CI$377&lt;&gt;"",ROW(CI$7:CI$377)-ROW(CI$7)+1),ROWS(CI$7:CI171))),"")</f>
        <v/>
      </c>
      <c r="AE172" s="3" t="str">
        <f t="array" ref="AE172">IFERROR(INDEX(CJ$7:CJ$378,SMALL(IF(CJ$7:CJ$378&lt;&gt;"",ROW(CJ$7:CJ$378)-ROW(CJ$7)+1),ROWS(CJ$7:CJ171))),"")</f>
        <v/>
      </c>
      <c r="AF172" s="3" t="str">
        <f t="array" ref="AF172">IFERROR(INDEX(CK$7:CK$378,SMALL(IF(CK$7:CK$378&lt;&gt;"",ROW(CK$7:CK$378)-ROW(CK$7)+1),ROWS(CK$7:CK171))),"")</f>
        <v/>
      </c>
      <c r="AG172" s="3" t="str">
        <f t="array" ref="AG172">IFERROR(INDEX(CL$7:CL$378,SMALL(IF(CL$7:CL$378&lt;&gt;"",ROW(CL$7:CL$378)-ROW(CL$7)+1),ROWS(CL$7:CL171))),"")</f>
        <v/>
      </c>
      <c r="AH172" s="3"/>
      <c r="AI172" s="3"/>
      <c r="AJ172" s="3"/>
      <c r="AK172" s="3"/>
      <c r="AL172" s="3"/>
      <c r="AM172" s="3"/>
      <c r="AN172" s="52" t="str">
        <f>IF(Atletas!D163="","",IF(Atletas!B163="Feminino",100,IF(Atletas!B163="Masculino",200,""))+(IF(Atletas!D163="Kids 30kg",1,IF(Atletas!D163="Kids 32kg",2, IF(Atletas!D163="Kids 34kg",3,IF(Atletas!D163="Kids 36kg",4,IF(Atletas!D163="Kids 39kg",5,IF(Atletas!D163="Kids 42kg",6,IF(Atletas!D163="Kids 45kg",7, IF(Atletas!D163="Infantil 39kg",8,IF(Atletas!D163="Infantil 42kg",9,IF(Atletas!D163="Infantil 45kg",10,IF(Atletas!D163="Infantil 48kg",11,IF(Atletas!D163="Infantil 52kg",12,IF(Atletas!D163="Infantil 56kg",13,IF(Atletas!D163="Infantil 60kg",14,IF(Atletas!D163="Juvenil 48kg",15,IF(Atletas!D163="Juvenil 52kg",16,IF(Atletas!D163="Juvenil 56kg",17,IF(Atletas!D163="Juvenil 60kg",18,IF(Atletas!D163="Juvenil 65kg",19,IF(Atletas!D163="Juvenil 70kg",20,IF(Atletas!D163="Juvenil 75kg",21,IF(Atletas!D163="Juvenil 80kg",22, IF(Atletas!D163="Juvenil 85kg",23,IF(Atletas!D163="Adulto 48kg",24,IF(Atletas!D163="Adulto 52kg",25,IF(Atletas!D163="Adulto 56kg",26,IF(Atletas!D163="Adulto 60kg",27,IF(Atletas!D163="Adulto 65kg",28,IF(Atletas!D163="Adulto 70kg",29,IF(Atletas!D163="Adulto 75kg",30,IF(Atletas!D163="Adulto 80kg",31,IF(Atletas!D163="Adulto 85kg",32,IF(Atletas!D163="Adulto 90kg",33,IF(Atletas!D163="Adulto 100kg",34, IF(Atletas!D163="Adulto +100kg",35,"")))))))))))))))))))))))))))))))))))))</f>
        <v/>
      </c>
      <c r="AS172" s="6" t="str">
        <f>IF(Atletas!E163="","",IF(Atletas!B163="Feminino",100,IF(Atletas!B163="Masculino",200,""))+(IF(Atletas!E163="Juvenil 44kg",1,IF(Atletas!E163="Juvenil 48kg",2,IF(Atletas!E163="Juvenil 52kg",3,IF(Atletas!E163="Juvenil 56kg",4,IF(Atletas!E163="Juvenil 60kg",5,IF(Atletas!E163="Juvenil 65kg",6,IF(Atletas!E163="Juvenil 70kg",7,IF(Atletas!E163="Juvenil 75kg",8,IF(Atletas!E163="Juvenil 82kg",9,IF(Atletas!E163="Juvenil 90kg",10,IF(Atletas!E163="Juvenil 100kg",11,IF(Atletas!E163="Adulto 48kg",12,IF(Atletas!E163="Adulto 52kg",13,IF(Atletas!E163="Adulto 56kg",14,IF(Atletas!E163="Adulto 60kg",15,IF(Atletas!E163="Adulto 65kg",16,IF(Atletas!E163="Adulto 70kg",17,IF(Atletas!E163="Adulto 75kg",18,IF(Atletas!E163="Adulto 82kg",19,IF(Atletas!E163="Adulto 90kg",20,IF(Atletas!E163="Adulto 100kg",21,IF(Atletas!E163="Adulto +100kg",22,""))))))))))))))))))))))))</f>
        <v/>
      </c>
      <c r="AX172" s="6" t="str">
        <f>IF(Atletas!F163="","",IF(Atletas!B163="Feminino",100,IF(Atletas!B163="Masculino",200,""))+(IF(Atletas!F163="Adulto 48kg",1,IF(Atletas!F163="Adulto 56kg",2,IF(Atletas!F163="Adulto 65kg",3,IF(Atletas!F163="Adulto 75kg",4,IF(Atletas!F163="Adulto +75kg",5,IF(Atletas!F163="Adulto 52kg",6,IF(Atletas!F163="Adulto 60kg",7,IF(Atletas!F163="Adulto 70kg",8,IF(Atletas!F163="Adulto 80kg",9,IF(Atletas!F163="Adulto 90kg",10,IF(Atletas!F163="Adulto +90kg",11,"")))))))))))))</f>
        <v/>
      </c>
      <c r="BC172" s="6" t="str">
        <f>IF(Atletas!G163="","",IF(Atletas!B163="Feminino",10,IF(Atletas!B163="Masculino",20,""))+(IF(Atletas!G163="Baduanjin A",1,IF(Atletas!G163="Baduanjin B",2))))</f>
        <v/>
      </c>
      <c r="BF172" s="52" t="str">
        <f>IF(Atletas!H163="","",IF(Atletas!B163="Feminino",100,IF(Atletas!B163="Masculino",200,""))+(IF(Atletas!H163="Changquan Mirim",1,IF(Atletas!H163="Nanquan Mirim",2,IF(Atletas!H163="Taijiquan Mirim",3,IF(Atletas!H163="Changquan Grupo C",4,IF(Atletas!H163="Nanquan Grupo C",5,IF(Atletas!H163="Taijiquan Grupo C",6,IF(Atletas!H163="Changquan Grupo B",7,IF(Atletas!H163="Nanquan Grupo B",8,IF(Atletas!H163="Taijiquan Grupo B",9,IF(Atletas!H163="Changquan Grupo A",10,IF(Atletas!H163="Nanquan Grupo A",11,IF(Atletas!H163="Taijiquan Grupo A",12,IF(Atletas!H163="Changquan Opcional",13,IF(Atletas!H163="Nanquan Opcional",14,IF(Atletas!H163="Taijiquan Opcional",15,IF(Atletas!H163="Changquan Adulto",16,IF(Atletas!H163="Nanquan Adulto",17,IF(Atletas!H163="Taijiquan Adulto",18,""))))))))))))))))))))</f>
        <v/>
      </c>
      <c r="BG172" s="52" t="str">
        <f>IF(Atletas!I163="","",IF(Atletas!B163="Feminino",100,IF(Atletas!B163="Masculino",200,""))+(IF(Atletas!I163="Daoshu Mirim",19,IF(Atletas!I163="Jianshu Mirim",20,IF(Atletas!I163="Nandao Mirim",21,IF(Atletas!I163="Taijijian Mirim",22,IF(Atletas!I163="Daoshu Grupo C",23,IF(Atletas!I163="Jianshu Grupo C",24,IF(Atletas!I163="Nandao Grupo C",25,IF(Atletas!I163="Taijijian Grupo C",26,IF(Atletas!I163="Daoshu Grupo B",27,IF(Atletas!I163="Jianshu Grupo B",28,IF(Atletas!I163="Nandao Grupo B",29,IF(Atletas!I163="Taijijian Grupo B",30,IF(Atletas!I163="Daoshu Grupo A",31,IF(Atletas!I163="Jianshu Grupo A",32,IF(Atletas!I163="Nandao Grupo A",33,IF(Atletas!I163="Taijijian Grupo A",34,IF(Atletas!I163="Daoshu Opcional",35,IF(Atletas!I163="Jianshu Opcional",36,IF(Atletas!I163="Nandao Opcional",37,IF(Atletas!I163="Taijijian Opcional",38,IF(Atletas!I163="Daoshu Adulto",39,IF(Atletas!I163="Jianshu Adulto",40,IF(Atletas!I163="Nandao Adulto",41,IF(Atletas!I163="Taijijian Adulto",42,""))))))))))))))))))))))))))</f>
        <v/>
      </c>
      <c r="BH172" s="52" t="str">
        <f>IF(Atletas!J163="","",IF(Atletas!B163="Feminino",100,IF(Atletas!B163="Masculino",200,""))+(IF(Atletas!J163="Gunshu Mirim",43,IF(Atletas!J163="Qiangshu Mirim",44,IF(Atletas!J163="Nangun Mirim",45,IF(Atletas!J163="Gunshu Grupo C",46,IF(Atletas!J163="Qiangshu Grupo C",47,IF(Atletas!J163="Nangun Grupo C",48,IF(Atletas!J163="Gunshu Grupo B",49,IF(Atletas!J163="Qiangshu Grupo B",50,IF(Atletas!J163="Nangun Grupo B",51,IF(Atletas!J163="Gunshu Grupo A",52,IF(Atletas!J163="Qiangshu Grupo A",53,IF(Atletas!J163="Nangun Grupo A",54,IF(Atletas!J163="Gunshu Opcional",55,IF(Atletas!J163="Qiangshu Opcional",56,IF(Atletas!J163="Nangun Opcional",57,IF(Atletas!J163="Gunshu Adulto",58,IF(Atletas!J163="Qiangshu Adulto",59,IF(Atletas!J163="Nangun Adulto",60,IF(Atletas!J163="Taijishan Grupo B",61,IF(Atletas!J163="Taijishan Grupo A",62,""))))))))))))))))))))))</f>
        <v/>
      </c>
      <c r="BM172" s="50" t="str">
        <f>IF(Atletas!K163="","",IF(Atletas!B163="Feminino",100,IF(Atletas!B163="Masculino",200,""))+(IF(Atletas!K163="Equipe 1 Grupo B",1,IF(Atletas!K163="Equipe 2 Grupo B",2,IF(Atletas!K163="Equipe 1 Grupo A",3,IF(Atletas!K163="Equipe 2 Grupo A",4,IF(Atletas!K163="Equipe 1 Adulto",5,IF(Atletas!K163="Equipe 2 Adulto",6,""))))))))</f>
        <v/>
      </c>
      <c r="BR172" s="50" t="str">
        <f>IF(Atletas!L163="","",IF(Atletas!X163&lt;&gt;"",10000,0)+(IF(Atletas!B163="Feminino",1000,IF(Atletas!B163="Masculino",2000,""))+IF(Atletas!L163="Choylayfut A",1,IF(Atletas!L163="Hunggar A",2,IF(Atletas!L163="Wuzuquan A",3,IF(Atletas!L163="Wingchun A",4,IF(Atletas!L163="Outra Mão de Sul A",5,IF(Atletas!L163="Choylayfut B",6,IF(Atletas!L163="Hunggar B",7,IF(Atletas!L163="Wuzuquan B",8,IF(Atletas!L163="Wingchun B",9,IF(Atletas!L163="Outra Mão de Sul B",10,IF(Atletas!L163="Choylayfut C",11,IF(Atletas!L163="Hunggar C",12,IF(Atletas!L163="Wuzuquan C",13,IF(Atletas!L163="Wingchun C",14,IF(Atletas!L163="Outra Mão de Sul C",15,IF(Atletas!L163="Choylayfut D",16,IF(Atletas!L163="Hunggar D",17,IF(Atletas!L163="Wuzuquan D",18,IF(Atletas!L163="Wingchun D",19,IF(Atletas!L163="Outra Mão de Sul D",20,IF(Atletas!L163="Choylayfut E",21,IF(Atletas!L163="Hunggar E",22,IF(Atletas!L163="Wuzuquan E",23,IF(Atletas!L163="Wingchun E",24,IF(Atletas!L163="Outra Mão de Sul E",25,IF(Atletas!L163="Choylayfut F",26,IF(Atletas!L163="Hunggar F",27,IF(Atletas!L163="Wuzuquan F",28,IF(Atletas!L163="Wingchun F",29,IF(Atletas!L163="Outra Mão de Sul F",30,IF(Atletas!L163="Dishuquan A",31,IF(Atletas!L163="Dishuquan B",32,IF(Atletas!L163="Dishuquan C",33,IF(Atletas!L163="Dishuquan D",34,IF(Atletas!L163="Dishuquan E",35,IF(Atletas!L163="Dishuquan F",36,""))))))))))))))))))))))))))))))))))))))</f>
        <v/>
      </c>
      <c r="BS172" s="50" t="str">
        <f>IF(Atletas!M163="","",IF(Atletas!X163&lt;&gt;"",10000,0)+(IF(Atletas!B163="Feminino",1000,IF(Atletas!B163="Masculino",2000,""))+(IF(Atletas!M163="Chaquan A",101,IF(Atletas!M163="Emeiquan A",102,IF(Atletas!M163="Fanziquan A",103,IF(Atletas!M163="Huaquan A",104,IF(Atletas!M163="Hongquan A",105,IF(Atletas!M163="Paoquan A",106,IF(Atletas!M163="Piguaquan A",107,IF(Atletas!M163="Shaolinquan A",108,IF(Atletas!M163="Tanglangquan A",109,IF(Atletas!M163="Yingzhaoquan A",110,IF(Atletas!M163="Tongbeiquan A",111,IF(Atletas!M163="Wudangquan A",112,IF(Atletas!M163="Outros Estilos A",113,IF(Atletas!M163="Chaquan B",114,IF(Atletas!M163="Emeiquan B",115,IF(Atletas!M163="Fanziquan B",116,IF(Atletas!M163="Huaquan B",117,IF(Atletas!M163="Hongquan B",118,IF(Atletas!M163="Paoquan B",119,IF(Atletas!M163="Piguaquan B",120,IF(Atletas!M163="Shaolinquan B",121,IF(Atletas!M163="Tanglangquan B",122,IF(Atletas!M163="Yingzhaoquan B",123,IF(Atletas!M163="Tongbeiquan B",124,IF(Atletas!M163="Wudangquan B",125,IF(Atletas!M163="Outros Estilos B",126,IF(Atletas!M163="Chaquan C",127,IF(Atletas!M163="Emeiquan C",128,IF(Atletas!M163="Fanziquan C",129,IF(Atletas!M163="Huaquan C",130,IF(Atletas!M163="Hongquan C",131,IF(Atletas!M163="Paoquan C",132,IF(Atletas!M163="Piguaquan C",133,IF(Atletas!M163="Shaolinquan C",134,IF(Atletas!M163="Tanglangquan C",135,IF(Atletas!M163="Yingzhaoquan C",136,IF(Atletas!M163="Tongbeiquan C",137,IF(Atletas!M163="Wudangquan C",138,IF(Atletas!M163="Outros Estilos C",139,0))))))))))))))))))))))))))))))))))))))))))</f>
        <v/>
      </c>
      <c r="BT172" s="50" t="str">
        <f>IF(Atletas!M163="","",IF(Atletas!X163&lt;&gt;"",10000,0)+(IF(Atletas!B163="Feminino",1000,IF(Atletas!B163="Masculino",2000,""))+(IF(Atletas!M163="Chaquan D",140,IF(Atletas!M163="Emeiquan D",141,IF(Atletas!M163="Fanziquan D",142,IF(Atletas!M163="Huaquan D",143,IF(Atletas!M163="Hongquan D",144,IF(Atletas!M163="Paoquan D",145,IF(Atletas!M163="Piguaquan D",146,IF(Atletas!M163="Shaolinquan D",147,IF(Atletas!M163="Tanglangquan D",148,IF(Atletas!M163="Yingzhaoquan D",149,IF(Atletas!M163="Tongbeiquan D",150,IF(Atletas!M163="Wudangquan D",151,IF(Atletas!M163="Outros Estilos D",152,IF(Atletas!M163="Chaquan E",153,IF(Atletas!M163="Emeiquan E",154,IF(Atletas!M163="Fanziquan E",155,IF(Atletas!M163="Huaquan E",156,IF(Atletas!M163="Hongquan E",157,IF(Atletas!M163="Paoquan E",158,IF(Atletas!M163="Piguaquan E",159,IF(Atletas!M163="Shaolinquan E",160,IF(Atletas!M163="Tanglangquan E",161,IF(Atletas!M163="Yingzhaoquan E",162,IF(Atletas!M163="Tongbeiquan E",163,IF(Atletas!M163="Wudangquan E",164,IF(Atletas!M163="Outros Estilos E",165,IF(Atletas!M163="Chaquan F",166,IF(Atletas!M163="Emeiquan F",167,IF(Atletas!M163="Fanziquan F",168,IF(Atletas!M163="Huaquan F",169,IF(Atletas!M163="Hongquan F",170,IF(Atletas!M163="Paoquan F",171,IF(Atletas!M163="Piguaquan F",172,IF(Atletas!M163="Shaolinquan F",173,IF(Atletas!M163="Tanglangquan F",174,IF(Atletas!M163="Yingzhaoquan F",175,IF(Atletas!M163="Tongbeiquan F",176,IF(Atletas!M163="Wudangquan F",177,IF(Atletas!M163="Outros Estilos F",178,0))))))))))))))))))))))))))))))))))))))))))</f>
        <v/>
      </c>
      <c r="BU172" s="50" t="str">
        <f>IF(Atletas!N163="","",IF(Atletas!X163&lt;&gt;"",10000,0)+(IF(Atletas!B163="Feminino",1000,IF(Atletas!B163="Masculino",2000,""))+(IF(Atletas!N163="Ditangquan A",201,IF(Atletas!N163="Houquan A",202,IF(Atletas!N163="Zuiquan A",203,IF(Atletas!N163="Ditangquan B",204,IF(Atletas!N163="Houquan B",205,IF(Atletas!N163="Zuiquan B",206,IF(Atletas!N163="Ditangquan C",207,IF(Atletas!N163="Houquan C",208,IF(Atletas!N163="Zuiquan C",209,IF(Atletas!N163="Ditangquan D",210,IF(Atletas!N163="Houquan D",211,IF(Atletas!N163="Zuiquan D",212,IF(Atletas!N163="Ditangquan E",213,IF(Atletas!N163="Houquan E",214,IF(Atletas!N163="Zuiquan E",215,IF(Atletas!N163="Ditangquan F",216,IF(Atletas!N163="Houquan F",217,IF(Atletas!N163="Zuiquan F",218,"")))))))))))))))))))))</f>
        <v/>
      </c>
      <c r="BV172" s="50" t="str">
        <f>IF(Atletas!O163="","",IF(Atletas!X163&lt;&gt;"",10000,0)+IF(Atletas!B163="Feminino",1000,IF(Atletas!B163="Masculino",2000,""))+IF(Atletas!O163="Yang A",301,IF(Atletas!O163="Chen A",302,IF(Atletas!O163="Sun A",303,IF(Atletas!O163="Wu A",304,IF(Atletas!O163="Wu-Hao A",305,IF(Atletas!O163="Outro Taijiquan A",306,IF(Atletas!O163="Yang B",307,IF(Atletas!O163="Chen B",308,IF(Atletas!O163="Sun B",309,IF(Atletas!O163="Wu B",310,IF(Atletas!O163="Wu-Hao B",311,IF(Atletas!O163="Outro Taijiquan B",312,IF(Atletas!O163="Yang C",313,IF(Atletas!O163="Chen C",314,IF(Atletas!O163="Sun C",315,IF(Atletas!O163="Wu C",316,IF(Atletas!O163="Wu-Hao C",317,IF(Atletas!O163="Outro Taijiquan C",318,IF(Atletas!O163="Yang D",319,IF(Atletas!O163="Chen D",320,IF(Atletas!O163="Sun D",321,IF(Atletas!O163="Wu D",322,IF(Atletas!O163="Wu-Hao D",323,IF(Atletas!O163="Outro Taijiquan D",324,IF(Atletas!O163="Yang E",325,IF(Atletas!O163="Chen E",326,IF(Atletas!O163="Sun E",327,IF(Atletas!O163="Wu E",328,IF(Atletas!O163="Wu-Hao E",329,IF(Atletas!O163="Outro Taijiquan E",330,IF(Atletas!O163="Yang F",331,IF(Atletas!O163="Chen F",332,IF(Atletas!O163="Sun F",333,IF(Atletas!O163="Wu F",334,IF(Atletas!O163="Wu-Hao F",335,IF(Atletas!O163="Outro Taijiquan F",336,"")))))))))))))))))))))))))))))))))))))</f>
        <v/>
      </c>
      <c r="BW172" s="50" t="str">
        <f>IF(Atletas!P163="","",IF(Atletas!X163&lt;&gt;"",10000,0)+IF(Atletas!B163="Feminino",1000,IF(Atletas!B163="Masculino",2000,""))+IF(OR(Atletas!P163="Yang 26 A",Atletas!P163="Yang 40 A"),401,IF(OR(Atletas!P163="Chen 25 A",Atletas!P163="Chen 36 A",Atletas!P163="Chen 56 A"),402,IF(Atletas!P163="Sun 73 A",403,IF(Atletas!P163="Wu 45 A",404,IF(Atletas!P163="Wu-Hao 46 A",405,IF(OR(Atletas!P163="Taijiquan 16 A",Atletas!P163="Taijiquan 24 A",Atletas!P163="Taijiquan 32 A",Atletas!P163="Taijiquan 42 A"),406,IF(OR(Atletas!P163="Yang 26 B",Atletas!P163="Yang 40 B"),407,IF(OR(Atletas!P163="Chen 25 B",Atletas!P163="Chen 36 B",Atletas!P163="Chen 56 B"),408,IF(Atletas!P163="Sun 73 B",409,IF(Atletas!P163="Wu 45 B",410,IF(Atletas!P163="Wu-Hao 46 B",411,IF(OR(Atletas!P163="Taijiquan 16 B",Atletas!P163="Taijiquan 24 B",Atletas!P163="Taijiquan 32 B",Atletas!P163="Taijiquan 42 B"),412,IF(OR(Atletas!P163="Yang 26 C",Atletas!P163="Yang 40 C"),413,IF(OR(Atletas!P163="Chen 25 C",Atletas!P163="Chen 36 C",Atletas!P163="Chen 56 C"),414,IF(Atletas!P163="Sun 73 C",415,IF(Atletas!P163="Wu 45 C",416,IF(Atletas!P163="Wu-Hao 46 C",417,IF(OR(Atletas!P163="Taijiquan 16 C",Atletas!P163="Taijiquan 24 C",Atletas!P163="Taijiquan 32 C",Atletas!P163="Taijiquan 42 C"),418,0)))))))))))))))))))</f>
        <v/>
      </c>
      <c r="BX172" s="50" t="str">
        <f>IF(Atletas!P163="","",IF(Atletas!X163&lt;&gt;"",10000,0)+IF(Atletas!B163="Feminino",1000,IF(Atletas!B163="Masculino",2000,""))+IF(OR(Atletas!P163="Yang 26 D",Atletas!P163="Yang 40 D"),419,IF(OR(Atletas!P163="Chen 25 D",Atletas!P163="Chen 36 D",Atletas!P163="Chen 56 D"),420,IF(Atletas!P163="Sun 73 D",421,IF(Atletas!P163="Wu 45 D",422,IF(Atletas!P163="Wu-Hao 46 D",423,IF(OR(Atletas!P163="Taijiquan 16 D",Atletas!P163="Taijiquan 24 D",Atletas!P163="Taijiquan 32 D",Atletas!P163="Taijiquan 42 D"),424,IF(OR(Atletas!P163="Yang 26 E",Atletas!P163="Yang 40 E"),425,IF(OR(Atletas!P163="Chen 25 E",Atletas!P163="Chen 36 E",Atletas!P163="Chen 56 E"),426,IF(Atletas!P163="Sun 73 E",427,IF(Atletas!P163="Wu 45 E",428,IF(Atletas!P163="Wu-Hao 46 E",429,IF(OR(Atletas!P163="Taijiquan 16 E",Atletas!P163="Taijiquan 24 E",Atletas!P163="Taijiquan 32 E",Atletas!P163="Taijiquan 42 E"),430,IF(OR(Atletas!P163="Yang 26 F",Atletas!P163="Yang 40 F"),431,IF(OR(Atletas!P163="Chen 25 F",Atletas!P163="Chen 36 F",Atletas!P163="Chen 56 F"),432,IF(Atletas!P163="Sun 73 F",433,IF(Atletas!P163="Wu 45 F",434,IF(Atletas!P163="Wu-Hao 46 F",435,IF(OR(Atletas!P163="Taijiquan 16 F",Atletas!P163="Taijiquan 24 F",Atletas!P163="Taijiquan 32 F",Atletas!P163="Taijiquan 42 F"),436,0)))))))))))))))))))</f>
        <v/>
      </c>
      <c r="BY172" s="50" t="str">
        <f>IF(Atletas!Q163="","",IF(Atletas!X163&lt;&gt;"",10000,0)+IF(Atletas!B163="Feminino",1000,IF(Atletas!B163="Masculino",2000,""))+IF(Atletas!Q163="Xingyiquan A",501,IF(Atletas!Q163="Baguazhang A",502,IF(Atletas!Q163="Outro Estilo Interno A",503,IF(Atletas!Q163="Xingyiquan B",504,IF(Atletas!Q163="Baguazhang B",505,IF(Atletas!Q163="Outro Estilo Interno B",506,IF(Atletas!Q163="Xingyiquan C",507,IF(Atletas!Q163="Baguazhang C",508,IF(Atletas!Q163="Outro Estilo Interno C",509,IF(Atletas!Q163="Xingyiquan D",510,IF(Atletas!Q163="Baguazhang D",511,IF(Atletas!Q163="Outro Estilo Interno D",512,IF(Atletas!Q163="Xingyiquan E",513,IF(Atletas!Q163="Baguazhang E",514,IF(Atletas!Q163="Outro Estilo Interno E",515,IF(Atletas!Q163="Xingyiquan F",516,IF(Atletas!Q163="Baguazhang F",517,IF(Atletas!Q163="Outro Estilo Interno F",518, "")))))))))))))))))))</f>
        <v/>
      </c>
      <c r="BZ172" s="50" t="str">
        <f>IF(Atletas!R163="","",IF(Atletas!X163&lt;&gt;"",10000,0)+IF(Atletas!B163="Feminino",1000,IF(Atletas!B163="Masculino",2000,""))+IF(Atletas!R163="Dao A",601,IF(Atletas!R163="Jian A",602,IF(Atletas!R163="Bishou A",603,IF(Atletas!R163="Shanzi A",604,IF(Atletas!R163="Outra Arma Curta A",605,IF(Atletas!R163="Dao B",606,IF(Atletas!R163="Jian B",607,IF(Atletas!R163="Bishou B",608,IF(Atletas!R163="Shanzi B",609,IF(Atletas!R163="Outra Arma Curta B",610,IF(Atletas!R163="Dao C",611,IF(Atletas!R163="Jian C",612,IF(Atletas!R163="Bishou C",613,IF(Atletas!R163="Shanzi C",614,IF(Atletas!R163="Outra Arma Curta C",615,IF(Atletas!R163="Dao D",616,IF(Atletas!R163="Jian D",617,IF(Atletas!R163="Bishou D",618,IF(Atletas!R163="Shanzi D",619,IF(Atletas!R163="Outra Arma Curta D",620,IF(Atletas!R163="Dao E",621,IF(Atletas!R163="Jian E",622,IF(Atletas!R163="Bishou E",623,IF(Atletas!R163="Shanzi E",624,IF(Atletas!R163="Outra Arma Curta E",625,IF(Atletas!R163="Dao F",626,IF(Atletas!R163="Jian F",627,IF(Atletas!R163="Bishou F",628,IF(Atletas!R163="Shanzi F",629,IF(Atletas!R163="Outra Arma Curta F",630, "")))))))))))))))))))))))))))))))</f>
        <v/>
      </c>
      <c r="CA172" s="50" t="str">
        <f>IF(Atletas!S163="","",IF(Atletas!X163&lt;&gt;"",10000,0)+IF(Atletas!B163="Feminino",1000,IF(Atletas!B163="Masculino",2000,""))+IF(Atletas!S163="Gun A",701,IF(Atletas!S163="Qiang A",702,IF(Atletas!S163="Pudao / Guandao A",703,IF(Atletas!S163="Outra Arma Longa A",704,IF(Atletas!S163="Gun B",705,IF(Atletas!S163="Qiang B",706,IF(Atletas!S163="Pudao / Guandao B",707,IF(Atletas!S163="Outra Arma Longa B",708,IF(Atletas!S163="Gun C",709,IF(Atletas!S163="Qiang C",710,IF(Atletas!S163="Pudao / Guandao C",711,IF(Atletas!S163="Outra Arma Longa C",712,IF(Atletas!S163="Gun D",713,IF(Atletas!S163="Qiang D",714,IF(Atletas!S163="Pudao / Guandao D",715,IF(Atletas!S163="Outra Arma Longa D",716,IF(Atletas!S163="Gun E",717,IF(Atletas!S163="Qiang E",718,IF(Atletas!S163="Pudao / Guandao E",719,IF(Atletas!S163="Outra Arma Longa E",720,IF(Atletas!S163="Gun F",721,IF(Atletas!S163="Qiang F",722,IF(Atletas!S163="Pudao / Guandao F",723,IF(Atletas!S163="Outra Arma Longa F",724,"")))))))))))))))))))))))))</f>
        <v/>
      </c>
      <c r="CB172" s="50" t="str">
        <f>IF(Atletas!T163="","",IF(Atletas!X163&lt;&gt;"",10000,0)+IF(Atletas!B163="Feminino",1000,IF(Atletas!B163="Masculino",2000,""))+IF(Atletas!T163="Outra Arma Dupla A",801,IF(Atletas!T163="Arma Maleável A",802,IF(Atletas!T163="Outra Arma Dupla B",803,IF(Atletas!T163="Arma Maleável B",804,IF(Atletas!T163="Outra Arma Dupla C",805,IF(Atletas!T163="Arma Maleável C",806,IF(Atletas!T163="Outra Arma Dupla D",807,IF(Atletas!T163="Arma Maleável D",808,IF(Atletas!T163="Outra Arma Dupla E",809,IF(Atletas!T163="Arma Maleável E",810,IF(Atletas!T163="Outra Arma Dupla F",811,IF(Atletas!T163="Arma Maleável F",812,IF(Atletas!T163="Shuangdao A",813,IF(Atletas!T163="Shuangdao B",814,IF(Atletas!T163="Shuangdao C",815,IF(Atletas!T163="Shuangdao D",816,IF(Atletas!T163="Shuangdao E",817,IF(Atletas!T163="Shuangdao F",818,"")))))))))))))))))))</f>
        <v/>
      </c>
      <c r="CC172" s="50" t="str">
        <f>IF(Atletas!U163="","",IF(Atletas!X163&lt;&gt;"",10000,0)+IF(Atletas!B163="Feminino",1000,IF(Atletas!B163="Masculino",2000,""))+IF(OR(Atletas!U163="Taijijian Yang A",Atletas!U163="Taijijian Yang Standard A"),901,IF(OR(Atletas!U163="Taijijian Chen A", Atletas!U163="Taijijian Chen Standard A"),902,IF(Atletas!U163="Taijijian Sun A",903,IF(Atletas!U163="Taijijian Wu A",904,IF(Atletas!U163="Taijijian Wu-Hao A",905,IF(OR(Atletas!U163="Taijijian 32 A",Atletas!U163="Taijijian 42 A"),906,IF(OR(Atletas!U163="Taijijian Yang B",Atletas!U163="Taijijian Yang Standard B"),907,IF(OR(Atletas!U163="Taijijian Chen B", Atletas!U163="Taijijian Chen Standard B"),908,IF(Atletas!U163="Taijijian Sun B",909,IF(Atletas!U163="Taijijian Wu B",910,IF(Atletas!U163="Taijijian Wu-Hao B",911,IF(OR(Atletas!U163="Taijijian 32 B",Atletas!U163="Taijijian 42 B"),912,IF(OR(Atletas!U163="Taijijian Yang C",Atletas!U163="Taijijian Yang Standard C"),913,IF(OR(Atletas!U163="Taijijian Chen C", Atletas!U163="Taijijian Chen Standard C"),914,IF(Atletas!U163="Taijijian Sun C",915,IF(Atletas!U163="Taijijian Wu C",916,IF(Atletas!U163="Taijijian Wu-Hao C",917,IF(OR(Atletas!U163="Taijijian 32 C",Atletas!U163="Taijijian 42 C"),918,IF(OR(Atletas!U163="Taijijian Yang D",Atletas!U163="Taijijian Yang Standard D"),919,IF(OR(Atletas!U163="Taijijian Chen D", Atletas!U163="Taijijian Chen Standard D"),920,IF(Atletas!U163="Taijijian Sun D",921,IF(Atletas!U163="Taijijian Wu D",922,IF(Atletas!U163="Taijijian Wu-Hao D",923,IF(OR(Atletas!U163="Taijijian 32 D",Atletas!U163="Taijijian 42 D"),924,IF(OR(Atletas!U163="Taijijian Yang E",Atletas!U163="Taijijian Yang Standard E"),925,IF(OR(Atletas!U163="Taijijian Chen E", Atletas!U163="Taijijian Chen Standard E"),926,IF(Atletas!U163="Taijijian Sun E",927,IF(Atletas!U163="Taijijian Wu E",928,IF(Atletas!U163="Taijijian Wu-Hao E",929,IF(OR(Atletas!U163="Taijijian 32 E",Atletas!U163="Taijijian 42 E"),930,IF(OR(Atletas!U163="Taijijian Yang F",Atletas!U163="Taijijian Yang Standard F"),931,IF(OR(Atletas!U163="Taijijian Chen F", Atletas!U163="Taijijian Chen Standard F"),932,IF(Atletas!U163="Taijijian Sun F",933,IF(Atletas!U163="Taijijian Wu F",934,IF(Atletas!U163="Taijijian Wu-Hao F",935,IF(OR(Atletas!U163="Taijijian 32 F",Atletas!U163="Taijijian 42 F"),936,"")))))))))))))))))))))))))))))))))))))</f>
        <v/>
      </c>
      <c r="CD172" s="50" t="str">
        <f>IF(Atletas!V163="","",IF(Atletas!X163&lt;&gt;"",10000,0)+IF(Atletas!B163="Feminino",1000,IF(Atletas!B163="Masculino",2000,""))+IF(Atletas!V163="Taijidao A",937,IF(Atletas!V163="TaijiShanzi A",938,IF(Atletas!V163="Taijiqiang A",939,IF(Atletas!V163="Bagua de Arma A",940,IF(Atletas!V163="Xingyi de Arma A",941,IF(Atletas!V163="Taijidao B",942,IF(Atletas!V163="TaijiShanzi B",943,IF(Atletas!V163="Taijiqiang B",944,IF(Atletas!V163="Bagua de Arma B",945,IF(Atletas!V163="Xingyi de Arma B",946,IF(Atletas!V163="Taijidao C",947,IF(Atletas!V163="TaijiShanzi C",948,IF(Atletas!V163="Taijiqiang C",949,IF(Atletas!V163="Bagua de Arma C",950,IF(Atletas!V163="Xingyi de Arma C",951,IF(Atletas!V163="Taijidao D",952,IF(Atletas!V163="TaijiShanzi D",953,IF(Atletas!V163="Taijiqiang D",954,IF(Atletas!V163="Bagua de Arma D",955,IF(Atletas!V163="Xingyi de Arma D",956,IF(Atletas!V163="Taijidao E",957,IF(Atletas!V163="TaijiShanzi E",958,IF(Atletas!V163="Taijiqiang E",959,IF(Atletas!V163="Bagua de Arma E",960,IF(Atletas!V163="Xingyi de Arma E",961,IF(Atletas!V163="Taijidao F",962,IF(Atletas!V163="TaijiShanzi F",963,IF(Atletas!V163="Taijiqiang F",964,IF(Atletas!V163="Bagua de Arma F",965,IF(Atletas!V163="Xingyi de Arma F",966,"")))))))))))))))))))))))))))))))</f>
        <v/>
      </c>
      <c r="CE172" s="66" t="str">
        <f>IF(CF172&lt;&gt;"","TJQ Trad. Wu F","")</f>
        <v/>
      </c>
      <c r="CF172" s="66" t="str">
        <f>IF(COUNTIF(BR:CD,1334)&gt;0,COUNTIF(BR:CD,1334),"")</f>
        <v/>
      </c>
      <c r="CG172" s="66" t="str">
        <f>IF(CH172&lt;&gt;"","TJQ Trad. Wu F","")</f>
        <v/>
      </c>
      <c r="CH172" s="66" t="str">
        <f>IF(COUNTIF(BR:CD,2334)&gt;0,COUNTIF(BR:CD,2334),"")</f>
        <v/>
      </c>
      <c r="CI172" s="66" t="str">
        <f>IF(CJ172&lt;&gt;"","TJQ Padr. Wu A","")</f>
        <v/>
      </c>
      <c r="CJ172" s="66" t="str">
        <f>IF(COUNTIF(BR:CD,11404)&gt;0,COUNTIF(BR:CD,11404),"")</f>
        <v/>
      </c>
      <c r="CK172" s="66" t="str">
        <f>IF(CL172&lt;&gt;"","TJQ Padr. Wu A","")</f>
        <v/>
      </c>
      <c r="CL172" s="66" t="str">
        <f>IF(COUNTIF(BR:CD,12404)&gt;0,COUNTIF(BR:CD,12404),"")</f>
        <v/>
      </c>
      <c r="CM172" s="50" t="str">
        <f xml:space="preserve"> IF(Atletas!W163="","",IF(Atletas!W163="Duilian de Mãos BC - Equipe 1",1,IF(Atletas!W163="Duilian de Mãos BC - Equipe 2",2,IF(Atletas!W163="Duilian de Armas BC - Equipe 1",3,IF(Atletas!W163="Duilian de Armas BC - Equipe 2",4,IF(Atletas!W163="Duilian de Mãos DE - Equipe 1",5,IF(Atletas!W163="Duilian de Mãos DE - Equipe 2",6,IF(Atletas!W163="Duilian de Armas DE - Equipe 1",7,IF(Atletas!W163="Duilian de Armas DE - Equipe 2",8,IF(Atletas!W163="Duilian de Tuishou - Equipe 1",9,IF(Atletas!W163="Duilian de Tuishou - Equipe 2",10,IF(Atletas!W163="Grupo Externo ABC - Equipe 1",11,IF(Atletas!W163="Grupo Externo ABC - Equipe 2",12,IF(Atletas!W163="Grupo Interno ABC - Equipe 1",13,IF(Atletas!W163="Grupo Interno ABC - Equipe 2",14,IF(Atletas!W163="Grupo Externo DEF - Equipe 1",15,IF(Atletas!W163="Grupo Externo DEF - Equipe 2",16,IF(Atletas!W163="Grupo Interno DEF - Equipe 1",17,IF(Atletas!W163="Grupo Interno DEF - Equipe 2",18,"")))))))))))))))))))</f>
        <v/>
      </c>
    </row>
    <row r="173" spans="2:91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 t="str">
        <f t="array" ref="Z173">IFERROR(INDEX(CE$7:CE$348,SMALL(IF(CE$7:CE$348&lt;&gt;"",ROW(CE$7:CE$348)-ROW(CE$7)+1),ROWS(CE$7:CE172))),"")</f>
        <v/>
      </c>
      <c r="AA173" s="3" t="str">
        <f t="array" ref="AA173">IFERROR(INDEX(CF$7:CF$348,SMALL(IF(CF$7:CF$348&lt;&gt;"",ROW(CF$7:CF$348)-ROW(CF$7)+1),ROWS(CF$7:CF172))),"")</f>
        <v/>
      </c>
      <c r="AB173" s="3" t="str">
        <f t="array" ref="AB173">IFERROR(INDEX(CG$7:CG$348,SMALL(IF(CG$7:CG$348&lt;&gt;"",ROW(CG$7:CG$348)-ROW(CG$7)+1),ROWS(CG$7:CG172))),"")</f>
        <v/>
      </c>
      <c r="AC173" s="3" t="str">
        <f t="array" ref="AC173">IFERROR(INDEX(CH$7:CH$348,SMALL(IF(CH$7:CH$348&lt;&gt;"",ROW(CH$7:CH$348)-ROW(CH$7)+1),ROWS(CH$7:CH172))),"")</f>
        <v/>
      </c>
      <c r="AD173" s="3" t="str">
        <f t="array" ref="AD173">IFERROR(INDEX(CI$7:CI$377,SMALL(IF(CI$7:CI$377&lt;&gt;"",ROW(CI$7:CI$377)-ROW(CI$7)+1),ROWS(CI$7:CI172))),"")</f>
        <v/>
      </c>
      <c r="AE173" s="3" t="str">
        <f t="array" ref="AE173">IFERROR(INDEX(CJ$7:CJ$378,SMALL(IF(CJ$7:CJ$378&lt;&gt;"",ROW(CJ$7:CJ$378)-ROW(CJ$7)+1),ROWS(CJ$7:CJ172))),"")</f>
        <v/>
      </c>
      <c r="AF173" s="3" t="str">
        <f t="array" ref="AF173">IFERROR(INDEX(CK$7:CK$378,SMALL(IF(CK$7:CK$378&lt;&gt;"",ROW(CK$7:CK$378)-ROW(CK$7)+1),ROWS(CK$7:CK172))),"")</f>
        <v/>
      </c>
      <c r="AG173" s="3" t="str">
        <f t="array" ref="AG173">IFERROR(INDEX(CL$7:CL$378,SMALL(IF(CL$7:CL$378&lt;&gt;"",ROW(CL$7:CL$378)-ROW(CL$7)+1),ROWS(CL$7:CL172))),"")</f>
        <v/>
      </c>
      <c r="AH173" s="3"/>
      <c r="AI173" s="3"/>
      <c r="AJ173" s="3"/>
      <c r="AK173" s="3"/>
      <c r="AL173" s="3"/>
      <c r="AM173" s="3"/>
      <c r="AN173" s="52" t="str">
        <f>IF(Atletas!D164="","",IF(Atletas!B164="Feminino",100,IF(Atletas!B164="Masculino",200,""))+(IF(Atletas!D164="Kids 30kg",1,IF(Atletas!D164="Kids 32kg",2, IF(Atletas!D164="Kids 34kg",3,IF(Atletas!D164="Kids 36kg",4,IF(Atletas!D164="Kids 39kg",5,IF(Atletas!D164="Kids 42kg",6,IF(Atletas!D164="Kids 45kg",7, IF(Atletas!D164="Infantil 39kg",8,IF(Atletas!D164="Infantil 42kg",9,IF(Atletas!D164="Infantil 45kg",10,IF(Atletas!D164="Infantil 48kg",11,IF(Atletas!D164="Infantil 52kg",12,IF(Atletas!D164="Infantil 56kg",13,IF(Atletas!D164="Infantil 60kg",14,IF(Atletas!D164="Juvenil 48kg",15,IF(Atletas!D164="Juvenil 52kg",16,IF(Atletas!D164="Juvenil 56kg",17,IF(Atletas!D164="Juvenil 60kg",18,IF(Atletas!D164="Juvenil 65kg",19,IF(Atletas!D164="Juvenil 70kg",20,IF(Atletas!D164="Juvenil 75kg",21,IF(Atletas!D164="Juvenil 80kg",22, IF(Atletas!D164="Juvenil 85kg",23,IF(Atletas!D164="Adulto 48kg",24,IF(Atletas!D164="Adulto 52kg",25,IF(Atletas!D164="Adulto 56kg",26,IF(Atletas!D164="Adulto 60kg",27,IF(Atletas!D164="Adulto 65kg",28,IF(Atletas!D164="Adulto 70kg",29,IF(Atletas!D164="Adulto 75kg",30,IF(Atletas!D164="Adulto 80kg",31,IF(Atletas!D164="Adulto 85kg",32,IF(Atletas!D164="Adulto 90kg",33,IF(Atletas!D164="Adulto 100kg",34, IF(Atletas!D164="Adulto +100kg",35,"")))))))))))))))))))))))))))))))))))))</f>
        <v/>
      </c>
      <c r="AS173" s="6" t="str">
        <f>IF(Atletas!E164="","",IF(Atletas!B164="Feminino",100,IF(Atletas!B164="Masculino",200,""))+(IF(Atletas!E164="Juvenil 44kg",1,IF(Atletas!E164="Juvenil 48kg",2,IF(Atletas!E164="Juvenil 52kg",3,IF(Atletas!E164="Juvenil 56kg",4,IF(Atletas!E164="Juvenil 60kg",5,IF(Atletas!E164="Juvenil 65kg",6,IF(Atletas!E164="Juvenil 70kg",7,IF(Atletas!E164="Juvenil 75kg",8,IF(Atletas!E164="Juvenil 82kg",9,IF(Atletas!E164="Juvenil 90kg",10,IF(Atletas!E164="Juvenil 100kg",11,IF(Atletas!E164="Adulto 48kg",12,IF(Atletas!E164="Adulto 52kg",13,IF(Atletas!E164="Adulto 56kg",14,IF(Atletas!E164="Adulto 60kg",15,IF(Atletas!E164="Adulto 65kg",16,IF(Atletas!E164="Adulto 70kg",17,IF(Atletas!E164="Adulto 75kg",18,IF(Atletas!E164="Adulto 82kg",19,IF(Atletas!E164="Adulto 90kg",20,IF(Atletas!E164="Adulto 100kg",21,IF(Atletas!E164="Adulto +100kg",22,""))))))))))))))))))))))))</f>
        <v/>
      </c>
      <c r="AX173" s="6" t="str">
        <f>IF(Atletas!F164="","",IF(Atletas!B164="Feminino",100,IF(Atletas!B164="Masculino",200,""))+(IF(Atletas!F164="Adulto 48kg",1,IF(Atletas!F164="Adulto 56kg",2,IF(Atletas!F164="Adulto 65kg",3,IF(Atletas!F164="Adulto 75kg",4,IF(Atletas!F164="Adulto +75kg",5,IF(Atletas!F164="Adulto 52kg",6,IF(Atletas!F164="Adulto 60kg",7,IF(Atletas!F164="Adulto 70kg",8,IF(Atletas!F164="Adulto 80kg",9,IF(Atletas!F164="Adulto 90kg",10,IF(Atletas!F164="Adulto +90kg",11,"")))))))))))))</f>
        <v/>
      </c>
      <c r="BC173" s="6" t="str">
        <f>IF(Atletas!G164="","",IF(Atletas!B164="Feminino",10,IF(Atletas!B164="Masculino",20,""))+(IF(Atletas!G164="Baduanjin A",1,IF(Atletas!G164="Baduanjin B",2))))</f>
        <v/>
      </c>
      <c r="BF173" s="52" t="str">
        <f>IF(Atletas!H164="","",IF(Atletas!B164="Feminino",100,IF(Atletas!B164="Masculino",200,""))+(IF(Atletas!H164="Changquan Mirim",1,IF(Atletas!H164="Nanquan Mirim",2,IF(Atletas!H164="Taijiquan Mirim",3,IF(Atletas!H164="Changquan Grupo C",4,IF(Atletas!H164="Nanquan Grupo C",5,IF(Atletas!H164="Taijiquan Grupo C",6,IF(Atletas!H164="Changquan Grupo B",7,IF(Atletas!H164="Nanquan Grupo B",8,IF(Atletas!H164="Taijiquan Grupo B",9,IF(Atletas!H164="Changquan Grupo A",10,IF(Atletas!H164="Nanquan Grupo A",11,IF(Atletas!H164="Taijiquan Grupo A",12,IF(Atletas!H164="Changquan Opcional",13,IF(Atletas!H164="Nanquan Opcional",14,IF(Atletas!H164="Taijiquan Opcional",15,IF(Atletas!H164="Changquan Adulto",16,IF(Atletas!H164="Nanquan Adulto",17,IF(Atletas!H164="Taijiquan Adulto",18,""))))))))))))))))))))</f>
        <v/>
      </c>
      <c r="BG173" s="52" t="str">
        <f>IF(Atletas!I164="","",IF(Atletas!B164="Feminino",100,IF(Atletas!B164="Masculino",200,""))+(IF(Atletas!I164="Daoshu Mirim",19,IF(Atletas!I164="Jianshu Mirim",20,IF(Atletas!I164="Nandao Mirim",21,IF(Atletas!I164="Taijijian Mirim",22,IF(Atletas!I164="Daoshu Grupo C",23,IF(Atletas!I164="Jianshu Grupo C",24,IF(Atletas!I164="Nandao Grupo C",25,IF(Atletas!I164="Taijijian Grupo C",26,IF(Atletas!I164="Daoshu Grupo B",27,IF(Atletas!I164="Jianshu Grupo B",28,IF(Atletas!I164="Nandao Grupo B",29,IF(Atletas!I164="Taijijian Grupo B",30,IF(Atletas!I164="Daoshu Grupo A",31,IF(Atletas!I164="Jianshu Grupo A",32,IF(Atletas!I164="Nandao Grupo A",33,IF(Atletas!I164="Taijijian Grupo A",34,IF(Atletas!I164="Daoshu Opcional",35,IF(Atletas!I164="Jianshu Opcional",36,IF(Atletas!I164="Nandao Opcional",37,IF(Atletas!I164="Taijijian Opcional",38,IF(Atletas!I164="Daoshu Adulto",39,IF(Atletas!I164="Jianshu Adulto",40,IF(Atletas!I164="Nandao Adulto",41,IF(Atletas!I164="Taijijian Adulto",42,""))))))))))))))))))))))))))</f>
        <v/>
      </c>
      <c r="BH173" s="52" t="str">
        <f>IF(Atletas!J164="","",IF(Atletas!B164="Feminino",100,IF(Atletas!B164="Masculino",200,""))+(IF(Atletas!J164="Gunshu Mirim",43,IF(Atletas!J164="Qiangshu Mirim",44,IF(Atletas!J164="Nangun Mirim",45,IF(Atletas!J164="Gunshu Grupo C",46,IF(Atletas!J164="Qiangshu Grupo C",47,IF(Atletas!J164="Nangun Grupo C",48,IF(Atletas!J164="Gunshu Grupo B",49,IF(Atletas!J164="Qiangshu Grupo B",50,IF(Atletas!J164="Nangun Grupo B",51,IF(Atletas!J164="Gunshu Grupo A",52,IF(Atletas!J164="Qiangshu Grupo A",53,IF(Atletas!J164="Nangun Grupo A",54,IF(Atletas!J164="Gunshu Opcional",55,IF(Atletas!J164="Qiangshu Opcional",56,IF(Atletas!J164="Nangun Opcional",57,IF(Atletas!J164="Gunshu Adulto",58,IF(Atletas!J164="Qiangshu Adulto",59,IF(Atletas!J164="Nangun Adulto",60,IF(Atletas!J164="Taijishan Grupo B",61,IF(Atletas!J164="Taijishan Grupo A",62,""))))))))))))))))))))))</f>
        <v/>
      </c>
      <c r="BM173" s="50" t="str">
        <f>IF(Atletas!K164="","",IF(Atletas!B164="Feminino",100,IF(Atletas!B164="Masculino",200,""))+(IF(Atletas!K164="Equipe 1 Grupo B",1,IF(Atletas!K164="Equipe 2 Grupo B",2,IF(Atletas!K164="Equipe 1 Grupo A",3,IF(Atletas!K164="Equipe 2 Grupo A",4,IF(Atletas!K164="Equipe 1 Adulto",5,IF(Atletas!K164="Equipe 2 Adulto",6,""))))))))</f>
        <v/>
      </c>
      <c r="BR173" s="50" t="str">
        <f>IF(Atletas!L164="","",IF(Atletas!X164&lt;&gt;"",10000,0)+(IF(Atletas!B164="Feminino",1000,IF(Atletas!B164="Masculino",2000,""))+IF(Atletas!L164="Choylayfut A",1,IF(Atletas!L164="Hunggar A",2,IF(Atletas!L164="Wuzuquan A",3,IF(Atletas!L164="Wingchun A",4,IF(Atletas!L164="Outra Mão de Sul A",5,IF(Atletas!L164="Choylayfut B",6,IF(Atletas!L164="Hunggar B",7,IF(Atletas!L164="Wuzuquan B",8,IF(Atletas!L164="Wingchun B",9,IF(Atletas!L164="Outra Mão de Sul B",10,IF(Atletas!L164="Choylayfut C",11,IF(Atletas!L164="Hunggar C",12,IF(Atletas!L164="Wuzuquan C",13,IF(Atletas!L164="Wingchun C",14,IF(Atletas!L164="Outra Mão de Sul C",15,IF(Atletas!L164="Choylayfut D",16,IF(Atletas!L164="Hunggar D",17,IF(Atletas!L164="Wuzuquan D",18,IF(Atletas!L164="Wingchun D",19,IF(Atletas!L164="Outra Mão de Sul D",20,IF(Atletas!L164="Choylayfut E",21,IF(Atletas!L164="Hunggar E",22,IF(Atletas!L164="Wuzuquan E",23,IF(Atletas!L164="Wingchun E",24,IF(Atletas!L164="Outra Mão de Sul E",25,IF(Atletas!L164="Choylayfut F",26,IF(Atletas!L164="Hunggar F",27,IF(Atletas!L164="Wuzuquan F",28,IF(Atletas!L164="Wingchun F",29,IF(Atletas!L164="Outra Mão de Sul F",30,IF(Atletas!L164="Dishuquan A",31,IF(Atletas!L164="Dishuquan B",32,IF(Atletas!L164="Dishuquan C",33,IF(Atletas!L164="Dishuquan D",34,IF(Atletas!L164="Dishuquan E",35,IF(Atletas!L164="Dishuquan F",36,""))))))))))))))))))))))))))))))))))))))</f>
        <v/>
      </c>
      <c r="BS173" s="50" t="str">
        <f>IF(Atletas!M164="","",IF(Atletas!X164&lt;&gt;"",10000,0)+(IF(Atletas!B164="Feminino",1000,IF(Atletas!B164="Masculino",2000,""))+(IF(Atletas!M164="Chaquan A",101,IF(Atletas!M164="Emeiquan A",102,IF(Atletas!M164="Fanziquan A",103,IF(Atletas!M164="Huaquan A",104,IF(Atletas!M164="Hongquan A",105,IF(Atletas!M164="Paoquan A",106,IF(Atletas!M164="Piguaquan A",107,IF(Atletas!M164="Shaolinquan A",108,IF(Atletas!M164="Tanglangquan A",109,IF(Atletas!M164="Yingzhaoquan A",110,IF(Atletas!M164="Tongbeiquan A",111,IF(Atletas!M164="Wudangquan A",112,IF(Atletas!M164="Outros Estilos A",113,IF(Atletas!M164="Chaquan B",114,IF(Atletas!M164="Emeiquan B",115,IF(Atletas!M164="Fanziquan B",116,IF(Atletas!M164="Huaquan B",117,IF(Atletas!M164="Hongquan B",118,IF(Atletas!M164="Paoquan B",119,IF(Atletas!M164="Piguaquan B",120,IF(Atletas!M164="Shaolinquan B",121,IF(Atletas!M164="Tanglangquan B",122,IF(Atletas!M164="Yingzhaoquan B",123,IF(Atletas!M164="Tongbeiquan B",124,IF(Atletas!M164="Wudangquan B",125,IF(Atletas!M164="Outros Estilos B",126,IF(Atletas!M164="Chaquan C",127,IF(Atletas!M164="Emeiquan C",128,IF(Atletas!M164="Fanziquan C",129,IF(Atletas!M164="Huaquan C",130,IF(Atletas!M164="Hongquan C",131,IF(Atletas!M164="Paoquan C",132,IF(Atletas!M164="Piguaquan C",133,IF(Atletas!M164="Shaolinquan C",134,IF(Atletas!M164="Tanglangquan C",135,IF(Atletas!M164="Yingzhaoquan C",136,IF(Atletas!M164="Tongbeiquan C",137,IF(Atletas!M164="Wudangquan C",138,IF(Atletas!M164="Outros Estilos C",139,0))))))))))))))))))))))))))))))))))))))))))</f>
        <v/>
      </c>
      <c r="BT173" s="50" t="str">
        <f>IF(Atletas!M164="","",IF(Atletas!X164&lt;&gt;"",10000,0)+(IF(Atletas!B164="Feminino",1000,IF(Atletas!B164="Masculino",2000,""))+(IF(Atletas!M164="Chaquan D",140,IF(Atletas!M164="Emeiquan D",141,IF(Atletas!M164="Fanziquan D",142,IF(Atletas!M164="Huaquan D",143,IF(Atletas!M164="Hongquan D",144,IF(Atletas!M164="Paoquan D",145,IF(Atletas!M164="Piguaquan D",146,IF(Atletas!M164="Shaolinquan D",147,IF(Atletas!M164="Tanglangquan D",148,IF(Atletas!M164="Yingzhaoquan D",149,IF(Atletas!M164="Tongbeiquan D",150,IF(Atletas!M164="Wudangquan D",151,IF(Atletas!M164="Outros Estilos D",152,IF(Atletas!M164="Chaquan E",153,IF(Atletas!M164="Emeiquan E",154,IF(Atletas!M164="Fanziquan E",155,IF(Atletas!M164="Huaquan E",156,IF(Atletas!M164="Hongquan E",157,IF(Atletas!M164="Paoquan E",158,IF(Atletas!M164="Piguaquan E",159,IF(Atletas!M164="Shaolinquan E",160,IF(Atletas!M164="Tanglangquan E",161,IF(Atletas!M164="Yingzhaoquan E",162,IF(Atletas!M164="Tongbeiquan E",163,IF(Atletas!M164="Wudangquan E",164,IF(Atletas!M164="Outros Estilos E",165,IF(Atletas!M164="Chaquan F",166,IF(Atletas!M164="Emeiquan F",167,IF(Atletas!M164="Fanziquan F",168,IF(Atletas!M164="Huaquan F",169,IF(Atletas!M164="Hongquan F",170,IF(Atletas!M164="Paoquan F",171,IF(Atletas!M164="Piguaquan F",172,IF(Atletas!M164="Shaolinquan F",173,IF(Atletas!M164="Tanglangquan F",174,IF(Atletas!M164="Yingzhaoquan F",175,IF(Atletas!M164="Tongbeiquan F",176,IF(Atletas!M164="Wudangquan F",177,IF(Atletas!M164="Outros Estilos F",178,0))))))))))))))))))))))))))))))))))))))))))</f>
        <v/>
      </c>
      <c r="BU173" s="50" t="str">
        <f>IF(Atletas!N164="","",IF(Atletas!X164&lt;&gt;"",10000,0)+(IF(Atletas!B164="Feminino",1000,IF(Atletas!B164="Masculino",2000,""))+(IF(Atletas!N164="Ditangquan A",201,IF(Atletas!N164="Houquan A",202,IF(Atletas!N164="Zuiquan A",203,IF(Atletas!N164="Ditangquan B",204,IF(Atletas!N164="Houquan B",205,IF(Atletas!N164="Zuiquan B",206,IF(Atletas!N164="Ditangquan C",207,IF(Atletas!N164="Houquan C",208,IF(Atletas!N164="Zuiquan C",209,IF(Atletas!N164="Ditangquan D",210,IF(Atletas!N164="Houquan D",211,IF(Atletas!N164="Zuiquan D",212,IF(Atletas!N164="Ditangquan E",213,IF(Atletas!N164="Houquan E",214,IF(Atletas!N164="Zuiquan E",215,IF(Atletas!N164="Ditangquan F",216,IF(Atletas!N164="Houquan F",217,IF(Atletas!N164="Zuiquan F",218,"")))))))))))))))))))))</f>
        <v/>
      </c>
      <c r="BV173" s="50" t="str">
        <f>IF(Atletas!O164="","",IF(Atletas!X164&lt;&gt;"",10000,0)+IF(Atletas!B164="Feminino",1000,IF(Atletas!B164="Masculino",2000,""))+IF(Atletas!O164="Yang A",301,IF(Atletas!O164="Chen A",302,IF(Atletas!O164="Sun A",303,IF(Atletas!O164="Wu A",304,IF(Atletas!O164="Wu-Hao A",305,IF(Atletas!O164="Outro Taijiquan A",306,IF(Atletas!O164="Yang B",307,IF(Atletas!O164="Chen B",308,IF(Atletas!O164="Sun B",309,IF(Atletas!O164="Wu B",310,IF(Atletas!O164="Wu-Hao B",311,IF(Atletas!O164="Outro Taijiquan B",312,IF(Atletas!O164="Yang C",313,IF(Atletas!O164="Chen C",314,IF(Atletas!O164="Sun C",315,IF(Atletas!O164="Wu C",316,IF(Atletas!O164="Wu-Hao C",317,IF(Atletas!O164="Outro Taijiquan C",318,IF(Atletas!O164="Yang D",319,IF(Atletas!O164="Chen D",320,IF(Atletas!O164="Sun D",321,IF(Atletas!O164="Wu D",322,IF(Atletas!O164="Wu-Hao D",323,IF(Atletas!O164="Outro Taijiquan D",324,IF(Atletas!O164="Yang E",325,IF(Atletas!O164="Chen E",326,IF(Atletas!O164="Sun E",327,IF(Atletas!O164="Wu E",328,IF(Atletas!O164="Wu-Hao E",329,IF(Atletas!O164="Outro Taijiquan E",330,IF(Atletas!O164="Yang F",331,IF(Atletas!O164="Chen F",332,IF(Atletas!O164="Sun F",333,IF(Atletas!O164="Wu F",334,IF(Atletas!O164="Wu-Hao F",335,IF(Atletas!O164="Outro Taijiquan F",336,"")))))))))))))))))))))))))))))))))))))</f>
        <v/>
      </c>
      <c r="BW173" s="50" t="str">
        <f>IF(Atletas!P164="","",IF(Atletas!X164&lt;&gt;"",10000,0)+IF(Atletas!B164="Feminino",1000,IF(Atletas!B164="Masculino",2000,""))+IF(OR(Atletas!P164="Yang 26 A",Atletas!P164="Yang 40 A"),401,IF(OR(Atletas!P164="Chen 25 A",Atletas!P164="Chen 36 A",Atletas!P164="Chen 56 A"),402,IF(Atletas!P164="Sun 73 A",403,IF(Atletas!P164="Wu 45 A",404,IF(Atletas!P164="Wu-Hao 46 A",405,IF(OR(Atletas!P164="Taijiquan 16 A",Atletas!P164="Taijiquan 24 A",Atletas!P164="Taijiquan 32 A",Atletas!P164="Taijiquan 42 A"),406,IF(OR(Atletas!P164="Yang 26 B",Atletas!P164="Yang 40 B"),407,IF(OR(Atletas!P164="Chen 25 B",Atletas!P164="Chen 36 B",Atletas!P164="Chen 56 B"),408,IF(Atletas!P164="Sun 73 B",409,IF(Atletas!P164="Wu 45 B",410,IF(Atletas!P164="Wu-Hao 46 B",411,IF(OR(Atletas!P164="Taijiquan 16 B",Atletas!P164="Taijiquan 24 B",Atletas!P164="Taijiquan 32 B",Atletas!P164="Taijiquan 42 B"),412,IF(OR(Atletas!P164="Yang 26 C",Atletas!P164="Yang 40 C"),413,IF(OR(Atletas!P164="Chen 25 C",Atletas!P164="Chen 36 C",Atletas!P164="Chen 56 C"),414,IF(Atletas!P164="Sun 73 C",415,IF(Atletas!P164="Wu 45 C",416,IF(Atletas!P164="Wu-Hao 46 C",417,IF(OR(Atletas!P164="Taijiquan 16 C",Atletas!P164="Taijiquan 24 C",Atletas!P164="Taijiquan 32 C",Atletas!P164="Taijiquan 42 C"),418,0)))))))))))))))))))</f>
        <v/>
      </c>
      <c r="BX173" s="50" t="str">
        <f>IF(Atletas!P164="","",IF(Atletas!X164&lt;&gt;"",10000,0)+IF(Atletas!B164="Feminino",1000,IF(Atletas!B164="Masculino",2000,""))+IF(OR(Atletas!P164="Yang 26 D",Atletas!P164="Yang 40 D"),419,IF(OR(Atletas!P164="Chen 25 D",Atletas!P164="Chen 36 D",Atletas!P164="Chen 56 D"),420,IF(Atletas!P164="Sun 73 D",421,IF(Atletas!P164="Wu 45 D",422,IF(Atletas!P164="Wu-Hao 46 D",423,IF(OR(Atletas!P164="Taijiquan 16 D",Atletas!P164="Taijiquan 24 D",Atletas!P164="Taijiquan 32 D",Atletas!P164="Taijiquan 42 D"),424,IF(OR(Atletas!P164="Yang 26 E",Atletas!P164="Yang 40 E"),425,IF(OR(Atletas!P164="Chen 25 E",Atletas!P164="Chen 36 E",Atletas!P164="Chen 56 E"),426,IF(Atletas!P164="Sun 73 E",427,IF(Atletas!P164="Wu 45 E",428,IF(Atletas!P164="Wu-Hao 46 E",429,IF(OR(Atletas!P164="Taijiquan 16 E",Atletas!P164="Taijiquan 24 E",Atletas!P164="Taijiquan 32 E",Atletas!P164="Taijiquan 42 E"),430,IF(OR(Atletas!P164="Yang 26 F",Atletas!P164="Yang 40 F"),431,IF(OR(Atletas!P164="Chen 25 F",Atletas!P164="Chen 36 F",Atletas!P164="Chen 56 F"),432,IF(Atletas!P164="Sun 73 F",433,IF(Atletas!P164="Wu 45 F",434,IF(Atletas!P164="Wu-Hao 46 F",435,IF(OR(Atletas!P164="Taijiquan 16 F",Atletas!P164="Taijiquan 24 F",Atletas!P164="Taijiquan 32 F",Atletas!P164="Taijiquan 42 F"),436,0)))))))))))))))))))</f>
        <v/>
      </c>
      <c r="BY173" s="50" t="str">
        <f>IF(Atletas!Q164="","",IF(Atletas!X164&lt;&gt;"",10000,0)+IF(Atletas!B164="Feminino",1000,IF(Atletas!B164="Masculino",2000,""))+IF(Atletas!Q164="Xingyiquan A",501,IF(Atletas!Q164="Baguazhang A",502,IF(Atletas!Q164="Outro Estilo Interno A",503,IF(Atletas!Q164="Xingyiquan B",504,IF(Atletas!Q164="Baguazhang B",505,IF(Atletas!Q164="Outro Estilo Interno B",506,IF(Atletas!Q164="Xingyiquan C",507,IF(Atletas!Q164="Baguazhang C",508,IF(Atletas!Q164="Outro Estilo Interno C",509,IF(Atletas!Q164="Xingyiquan D",510,IF(Atletas!Q164="Baguazhang D",511,IF(Atletas!Q164="Outro Estilo Interno D",512,IF(Atletas!Q164="Xingyiquan E",513,IF(Atletas!Q164="Baguazhang E",514,IF(Atletas!Q164="Outro Estilo Interno E",515,IF(Atletas!Q164="Xingyiquan F",516,IF(Atletas!Q164="Baguazhang F",517,IF(Atletas!Q164="Outro Estilo Interno F",518, "")))))))))))))))))))</f>
        <v/>
      </c>
      <c r="BZ173" s="50" t="str">
        <f>IF(Atletas!R164="","",IF(Atletas!X164&lt;&gt;"",10000,0)+IF(Atletas!B164="Feminino",1000,IF(Atletas!B164="Masculino",2000,""))+IF(Atletas!R164="Dao A",601,IF(Atletas!R164="Jian A",602,IF(Atletas!R164="Bishou A",603,IF(Atletas!R164="Shanzi A",604,IF(Atletas!R164="Outra Arma Curta A",605,IF(Atletas!R164="Dao B",606,IF(Atletas!R164="Jian B",607,IF(Atletas!R164="Bishou B",608,IF(Atletas!R164="Shanzi B",609,IF(Atletas!R164="Outra Arma Curta B",610,IF(Atletas!R164="Dao C",611,IF(Atletas!R164="Jian C",612,IF(Atletas!R164="Bishou C",613,IF(Atletas!R164="Shanzi C",614,IF(Atletas!R164="Outra Arma Curta C",615,IF(Atletas!R164="Dao D",616,IF(Atletas!R164="Jian D",617,IF(Atletas!R164="Bishou D",618,IF(Atletas!R164="Shanzi D",619,IF(Atletas!R164="Outra Arma Curta D",620,IF(Atletas!R164="Dao E",621,IF(Atletas!R164="Jian E",622,IF(Atletas!R164="Bishou E",623,IF(Atletas!R164="Shanzi E",624,IF(Atletas!R164="Outra Arma Curta E",625,IF(Atletas!R164="Dao F",626,IF(Atletas!R164="Jian F",627,IF(Atletas!R164="Bishou F",628,IF(Atletas!R164="Shanzi F",629,IF(Atletas!R164="Outra Arma Curta F",630, "")))))))))))))))))))))))))))))))</f>
        <v/>
      </c>
      <c r="CA173" s="50" t="str">
        <f>IF(Atletas!S164="","",IF(Atletas!X164&lt;&gt;"",10000,0)+IF(Atletas!B164="Feminino",1000,IF(Atletas!B164="Masculino",2000,""))+IF(Atletas!S164="Gun A",701,IF(Atletas!S164="Qiang A",702,IF(Atletas!S164="Pudao / Guandao A",703,IF(Atletas!S164="Outra Arma Longa A",704,IF(Atletas!S164="Gun B",705,IF(Atletas!S164="Qiang B",706,IF(Atletas!S164="Pudao / Guandao B",707,IF(Atletas!S164="Outra Arma Longa B",708,IF(Atletas!S164="Gun C",709,IF(Atletas!S164="Qiang C",710,IF(Atletas!S164="Pudao / Guandao C",711,IF(Atletas!S164="Outra Arma Longa C",712,IF(Atletas!S164="Gun D",713,IF(Atletas!S164="Qiang D",714,IF(Atletas!S164="Pudao / Guandao D",715,IF(Atletas!S164="Outra Arma Longa D",716,IF(Atletas!S164="Gun E",717,IF(Atletas!S164="Qiang E",718,IF(Atletas!S164="Pudao / Guandao E",719,IF(Atletas!S164="Outra Arma Longa E",720,IF(Atletas!S164="Gun F",721,IF(Atletas!S164="Qiang F",722,IF(Atletas!S164="Pudao / Guandao F",723,IF(Atletas!S164="Outra Arma Longa F",724,"")))))))))))))))))))))))))</f>
        <v/>
      </c>
      <c r="CB173" s="50" t="str">
        <f>IF(Atletas!T164="","",IF(Atletas!X164&lt;&gt;"",10000,0)+IF(Atletas!B164="Feminino",1000,IF(Atletas!B164="Masculino",2000,""))+IF(Atletas!T164="Outra Arma Dupla A",801,IF(Atletas!T164="Arma Maleável A",802,IF(Atletas!T164="Outra Arma Dupla B",803,IF(Atletas!T164="Arma Maleável B",804,IF(Atletas!T164="Outra Arma Dupla C",805,IF(Atletas!T164="Arma Maleável C",806,IF(Atletas!T164="Outra Arma Dupla D",807,IF(Atletas!T164="Arma Maleável D",808,IF(Atletas!T164="Outra Arma Dupla E",809,IF(Atletas!T164="Arma Maleável E",810,IF(Atletas!T164="Outra Arma Dupla F",811,IF(Atletas!T164="Arma Maleável F",812,IF(Atletas!T164="Shuangdao A",813,IF(Atletas!T164="Shuangdao B",814,IF(Atletas!T164="Shuangdao C",815,IF(Atletas!T164="Shuangdao D",816,IF(Atletas!T164="Shuangdao E",817,IF(Atletas!T164="Shuangdao F",818,"")))))))))))))))))))</f>
        <v/>
      </c>
      <c r="CC173" s="50" t="str">
        <f>IF(Atletas!U164="","",IF(Atletas!X164&lt;&gt;"",10000,0)+IF(Atletas!B164="Feminino",1000,IF(Atletas!B164="Masculino",2000,""))+IF(OR(Atletas!U164="Taijijian Yang A",Atletas!U164="Taijijian Yang Standard A"),901,IF(OR(Atletas!U164="Taijijian Chen A", Atletas!U164="Taijijian Chen Standard A"),902,IF(Atletas!U164="Taijijian Sun A",903,IF(Atletas!U164="Taijijian Wu A",904,IF(Atletas!U164="Taijijian Wu-Hao A",905,IF(OR(Atletas!U164="Taijijian 32 A",Atletas!U164="Taijijian 42 A"),906,IF(OR(Atletas!U164="Taijijian Yang B",Atletas!U164="Taijijian Yang Standard B"),907,IF(OR(Atletas!U164="Taijijian Chen B", Atletas!U164="Taijijian Chen Standard B"),908,IF(Atletas!U164="Taijijian Sun B",909,IF(Atletas!U164="Taijijian Wu B",910,IF(Atletas!U164="Taijijian Wu-Hao B",911,IF(OR(Atletas!U164="Taijijian 32 B",Atletas!U164="Taijijian 42 B"),912,IF(OR(Atletas!U164="Taijijian Yang C",Atletas!U164="Taijijian Yang Standard C"),913,IF(OR(Atletas!U164="Taijijian Chen C", Atletas!U164="Taijijian Chen Standard C"),914,IF(Atletas!U164="Taijijian Sun C",915,IF(Atletas!U164="Taijijian Wu C",916,IF(Atletas!U164="Taijijian Wu-Hao C",917,IF(OR(Atletas!U164="Taijijian 32 C",Atletas!U164="Taijijian 42 C"),918,IF(OR(Atletas!U164="Taijijian Yang D",Atletas!U164="Taijijian Yang Standard D"),919,IF(OR(Atletas!U164="Taijijian Chen D", Atletas!U164="Taijijian Chen Standard D"),920,IF(Atletas!U164="Taijijian Sun D",921,IF(Atletas!U164="Taijijian Wu D",922,IF(Atletas!U164="Taijijian Wu-Hao D",923,IF(OR(Atletas!U164="Taijijian 32 D",Atletas!U164="Taijijian 42 D"),924,IF(OR(Atletas!U164="Taijijian Yang E",Atletas!U164="Taijijian Yang Standard E"),925,IF(OR(Atletas!U164="Taijijian Chen E", Atletas!U164="Taijijian Chen Standard E"),926,IF(Atletas!U164="Taijijian Sun E",927,IF(Atletas!U164="Taijijian Wu E",928,IF(Atletas!U164="Taijijian Wu-Hao E",929,IF(OR(Atletas!U164="Taijijian 32 E",Atletas!U164="Taijijian 42 E"),930,IF(OR(Atletas!U164="Taijijian Yang F",Atletas!U164="Taijijian Yang Standard F"),931,IF(OR(Atletas!U164="Taijijian Chen F", Atletas!U164="Taijijian Chen Standard F"),932,IF(Atletas!U164="Taijijian Sun F",933,IF(Atletas!U164="Taijijian Wu F",934,IF(Atletas!U164="Taijijian Wu-Hao F",935,IF(OR(Atletas!U164="Taijijian 32 F",Atletas!U164="Taijijian 42 F"),936,"")))))))))))))))))))))))))))))))))))))</f>
        <v/>
      </c>
      <c r="CD173" s="50" t="str">
        <f>IF(Atletas!V164="","",IF(Atletas!X164&lt;&gt;"",10000,0)+IF(Atletas!B164="Feminino",1000,IF(Atletas!B164="Masculino",2000,""))+IF(Atletas!V164="Taijidao A",937,IF(Atletas!V164="TaijiShanzi A",938,IF(Atletas!V164="Taijiqiang A",939,IF(Atletas!V164="Bagua de Arma A",940,IF(Atletas!V164="Xingyi de Arma A",941,IF(Atletas!V164="Taijidao B",942,IF(Atletas!V164="TaijiShanzi B",943,IF(Atletas!V164="Taijiqiang B",944,IF(Atletas!V164="Bagua de Arma B",945,IF(Atletas!V164="Xingyi de Arma B",946,IF(Atletas!V164="Taijidao C",947,IF(Atletas!V164="TaijiShanzi C",948,IF(Atletas!V164="Taijiqiang C",949,IF(Atletas!V164="Bagua de Arma C",950,IF(Atletas!V164="Xingyi de Arma C",951,IF(Atletas!V164="Taijidao D",952,IF(Atletas!V164="TaijiShanzi D",953,IF(Atletas!V164="Taijiqiang D",954,IF(Atletas!V164="Bagua de Arma D",955,IF(Atletas!V164="Xingyi de Arma D",956,IF(Atletas!V164="Taijidao E",957,IF(Atletas!V164="TaijiShanzi E",958,IF(Atletas!V164="Taijiqiang E",959,IF(Atletas!V164="Bagua de Arma E",960,IF(Atletas!V164="Xingyi de Arma E",961,IF(Atletas!V164="Taijidao F",962,IF(Atletas!V164="TaijiShanzi F",963,IF(Atletas!V164="Taijiqiang F",964,IF(Atletas!V164="Bagua de Arma F",965,IF(Atletas!V164="Xingyi de Arma F",966,"")))))))))))))))))))))))))))))))</f>
        <v/>
      </c>
      <c r="CE173" s="66" t="str">
        <f>IF(CF173&lt;&gt;"","TJQ Trad. Wu-Hao F","")</f>
        <v/>
      </c>
      <c r="CF173" s="66" t="str">
        <f>IF(COUNTIF(BR:CD,1335)&gt;0,COUNTIF(BR:CD,1335),"")</f>
        <v/>
      </c>
      <c r="CG173" s="66" t="str">
        <f>IF(CH173&lt;&gt;"","TJQ Trad. Wu-Hao F","")</f>
        <v/>
      </c>
      <c r="CH173" s="66" t="str">
        <f>IF(COUNTIF(BR:CD,2335)&gt;0,COUNTIF(BR:CD,2335),"")</f>
        <v/>
      </c>
      <c r="CI173" s="66" t="str">
        <f>IF(CJ173&lt;&gt;"","TJQ Padr. Wu-Hao A","")</f>
        <v/>
      </c>
      <c r="CJ173" s="66" t="str">
        <f>IF(COUNTIF(BR:CD,11405)&gt;0,COUNTIF(BR:CD,11405),"")</f>
        <v/>
      </c>
      <c r="CK173" s="66" t="str">
        <f>IF(CL173&lt;&gt;"","TJQ Padr. Wu-Hao A","")</f>
        <v/>
      </c>
      <c r="CL173" s="66" t="str">
        <f>IF(COUNTIF(BR:CD,12405)&gt;0,COUNTIF(BR:CD,12405),"")</f>
        <v/>
      </c>
      <c r="CM173" s="50" t="str">
        <f xml:space="preserve"> IF(Atletas!W164="","",IF(Atletas!W164="Duilian de Mãos BC - Equipe 1",1,IF(Atletas!W164="Duilian de Mãos BC - Equipe 2",2,IF(Atletas!W164="Duilian de Armas BC - Equipe 1",3,IF(Atletas!W164="Duilian de Armas BC - Equipe 2",4,IF(Atletas!W164="Duilian de Mãos DE - Equipe 1",5,IF(Atletas!W164="Duilian de Mãos DE - Equipe 2",6,IF(Atletas!W164="Duilian de Armas DE - Equipe 1",7,IF(Atletas!W164="Duilian de Armas DE - Equipe 2",8,IF(Atletas!W164="Duilian de Tuishou - Equipe 1",9,IF(Atletas!W164="Duilian de Tuishou - Equipe 2",10,IF(Atletas!W164="Grupo Externo ABC - Equipe 1",11,IF(Atletas!W164="Grupo Externo ABC - Equipe 2",12,IF(Atletas!W164="Grupo Interno ABC - Equipe 1",13,IF(Atletas!W164="Grupo Interno ABC - Equipe 2",14,IF(Atletas!W164="Grupo Externo DEF - Equipe 1",15,IF(Atletas!W164="Grupo Externo DEF - Equipe 2",16,IF(Atletas!W164="Grupo Interno DEF - Equipe 1",17,IF(Atletas!W164="Grupo Interno DEF - Equipe 2",18,"")))))))))))))))))))</f>
        <v/>
      </c>
    </row>
    <row r="174" spans="2:91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 t="str">
        <f t="array" ref="Z174">IFERROR(INDEX(CE$7:CE$348,SMALL(IF(CE$7:CE$348&lt;&gt;"",ROW(CE$7:CE$348)-ROW(CE$7)+1),ROWS(CE$7:CE173))),"")</f>
        <v/>
      </c>
      <c r="AA174" s="3" t="str">
        <f t="array" ref="AA174">IFERROR(INDEX(CF$7:CF$348,SMALL(IF(CF$7:CF$348&lt;&gt;"",ROW(CF$7:CF$348)-ROW(CF$7)+1),ROWS(CF$7:CF173))),"")</f>
        <v/>
      </c>
      <c r="AB174" s="3" t="str">
        <f t="array" ref="AB174">IFERROR(INDEX(CG$7:CG$348,SMALL(IF(CG$7:CG$348&lt;&gt;"",ROW(CG$7:CG$348)-ROW(CG$7)+1),ROWS(CG$7:CG173))),"")</f>
        <v/>
      </c>
      <c r="AC174" s="3" t="str">
        <f t="array" ref="AC174">IFERROR(INDEX(CH$7:CH$348,SMALL(IF(CH$7:CH$348&lt;&gt;"",ROW(CH$7:CH$348)-ROW(CH$7)+1),ROWS(CH$7:CH173))),"")</f>
        <v/>
      </c>
      <c r="AD174" s="3" t="str">
        <f t="array" ref="AD174">IFERROR(INDEX(CI$7:CI$377,SMALL(IF(CI$7:CI$377&lt;&gt;"",ROW(CI$7:CI$377)-ROW(CI$7)+1),ROWS(CI$7:CI173))),"")</f>
        <v/>
      </c>
      <c r="AE174" s="3" t="str">
        <f t="array" ref="AE174">IFERROR(INDEX(CJ$7:CJ$378,SMALL(IF(CJ$7:CJ$378&lt;&gt;"",ROW(CJ$7:CJ$378)-ROW(CJ$7)+1),ROWS(CJ$7:CJ173))),"")</f>
        <v/>
      </c>
      <c r="AF174" s="3" t="str">
        <f t="array" ref="AF174">IFERROR(INDEX(CK$7:CK$378,SMALL(IF(CK$7:CK$378&lt;&gt;"",ROW(CK$7:CK$378)-ROW(CK$7)+1),ROWS(CK$7:CK173))),"")</f>
        <v/>
      </c>
      <c r="AG174" s="3" t="str">
        <f t="array" ref="AG174">IFERROR(INDEX(CL$7:CL$378,SMALL(IF(CL$7:CL$378&lt;&gt;"",ROW(CL$7:CL$378)-ROW(CL$7)+1),ROWS(CL$7:CL173))),"")</f>
        <v/>
      </c>
      <c r="AH174" s="3"/>
      <c r="AI174" s="3"/>
      <c r="AJ174" s="3"/>
      <c r="AK174" s="3"/>
      <c r="AL174" s="3"/>
      <c r="AM174" s="3"/>
      <c r="AN174" s="52" t="str">
        <f>IF(Atletas!D165="","",IF(Atletas!B165="Feminino",100,IF(Atletas!B165="Masculino",200,""))+(IF(Atletas!D165="Kids 30kg",1,IF(Atletas!D165="Kids 32kg",2, IF(Atletas!D165="Kids 34kg",3,IF(Atletas!D165="Kids 36kg",4,IF(Atletas!D165="Kids 39kg",5,IF(Atletas!D165="Kids 42kg",6,IF(Atletas!D165="Kids 45kg",7, IF(Atletas!D165="Infantil 39kg",8,IF(Atletas!D165="Infantil 42kg",9,IF(Atletas!D165="Infantil 45kg",10,IF(Atletas!D165="Infantil 48kg",11,IF(Atletas!D165="Infantil 52kg",12,IF(Atletas!D165="Infantil 56kg",13,IF(Atletas!D165="Infantil 60kg",14,IF(Atletas!D165="Juvenil 48kg",15,IF(Atletas!D165="Juvenil 52kg",16,IF(Atletas!D165="Juvenil 56kg",17,IF(Atletas!D165="Juvenil 60kg",18,IF(Atletas!D165="Juvenil 65kg",19,IF(Atletas!D165="Juvenil 70kg",20,IF(Atletas!D165="Juvenil 75kg",21,IF(Atletas!D165="Juvenil 80kg",22, IF(Atletas!D165="Juvenil 85kg",23,IF(Atletas!D165="Adulto 48kg",24,IF(Atletas!D165="Adulto 52kg",25,IF(Atletas!D165="Adulto 56kg",26,IF(Atletas!D165="Adulto 60kg",27,IF(Atletas!D165="Adulto 65kg",28,IF(Atletas!D165="Adulto 70kg",29,IF(Atletas!D165="Adulto 75kg",30,IF(Atletas!D165="Adulto 80kg",31,IF(Atletas!D165="Adulto 85kg",32,IF(Atletas!D165="Adulto 90kg",33,IF(Atletas!D165="Adulto 100kg",34, IF(Atletas!D165="Adulto +100kg",35,"")))))))))))))))))))))))))))))))))))))</f>
        <v/>
      </c>
      <c r="AS174" s="6" t="str">
        <f>IF(Atletas!E165="","",IF(Atletas!B165="Feminino",100,IF(Atletas!B165="Masculino",200,""))+(IF(Atletas!E165="Juvenil 44kg",1,IF(Atletas!E165="Juvenil 48kg",2,IF(Atletas!E165="Juvenil 52kg",3,IF(Atletas!E165="Juvenil 56kg",4,IF(Atletas!E165="Juvenil 60kg",5,IF(Atletas!E165="Juvenil 65kg",6,IF(Atletas!E165="Juvenil 70kg",7,IF(Atletas!E165="Juvenil 75kg",8,IF(Atletas!E165="Juvenil 82kg",9,IF(Atletas!E165="Juvenil 90kg",10,IF(Atletas!E165="Juvenil 100kg",11,IF(Atletas!E165="Adulto 48kg",12,IF(Atletas!E165="Adulto 52kg",13,IF(Atletas!E165="Adulto 56kg",14,IF(Atletas!E165="Adulto 60kg",15,IF(Atletas!E165="Adulto 65kg",16,IF(Atletas!E165="Adulto 70kg",17,IF(Atletas!E165="Adulto 75kg",18,IF(Atletas!E165="Adulto 82kg",19,IF(Atletas!E165="Adulto 90kg",20,IF(Atletas!E165="Adulto 100kg",21,IF(Atletas!E165="Adulto +100kg",22,""))))))))))))))))))))))))</f>
        <v/>
      </c>
      <c r="AX174" s="6" t="str">
        <f>IF(Atletas!F165="","",IF(Atletas!B165="Feminino",100,IF(Atletas!B165="Masculino",200,""))+(IF(Atletas!F165="Adulto 48kg",1,IF(Atletas!F165="Adulto 56kg",2,IF(Atletas!F165="Adulto 65kg",3,IF(Atletas!F165="Adulto 75kg",4,IF(Atletas!F165="Adulto +75kg",5,IF(Atletas!F165="Adulto 52kg",6,IF(Atletas!F165="Adulto 60kg",7,IF(Atletas!F165="Adulto 70kg",8,IF(Atletas!F165="Adulto 80kg",9,IF(Atletas!F165="Adulto 90kg",10,IF(Atletas!F165="Adulto +90kg",11,"")))))))))))))</f>
        <v/>
      </c>
      <c r="BC174" s="6" t="str">
        <f>IF(Atletas!G165="","",IF(Atletas!B165="Feminino",10,IF(Atletas!B165="Masculino",20,""))+(IF(Atletas!G165="Baduanjin A",1,IF(Atletas!G165="Baduanjin B",2))))</f>
        <v/>
      </c>
      <c r="BF174" s="52" t="str">
        <f>IF(Atletas!H165="","",IF(Atletas!B165="Feminino",100,IF(Atletas!B165="Masculino",200,""))+(IF(Atletas!H165="Changquan Mirim",1,IF(Atletas!H165="Nanquan Mirim",2,IF(Atletas!H165="Taijiquan Mirim",3,IF(Atletas!H165="Changquan Grupo C",4,IF(Atletas!H165="Nanquan Grupo C",5,IF(Atletas!H165="Taijiquan Grupo C",6,IF(Atletas!H165="Changquan Grupo B",7,IF(Atletas!H165="Nanquan Grupo B",8,IF(Atletas!H165="Taijiquan Grupo B",9,IF(Atletas!H165="Changquan Grupo A",10,IF(Atletas!H165="Nanquan Grupo A",11,IF(Atletas!H165="Taijiquan Grupo A",12,IF(Atletas!H165="Changquan Opcional",13,IF(Atletas!H165="Nanquan Opcional",14,IF(Atletas!H165="Taijiquan Opcional",15,IF(Atletas!H165="Changquan Adulto",16,IF(Atletas!H165="Nanquan Adulto",17,IF(Atletas!H165="Taijiquan Adulto",18,""))))))))))))))))))))</f>
        <v/>
      </c>
      <c r="BG174" s="52" t="str">
        <f>IF(Atletas!I165="","",IF(Atletas!B165="Feminino",100,IF(Atletas!B165="Masculino",200,""))+(IF(Atletas!I165="Daoshu Mirim",19,IF(Atletas!I165="Jianshu Mirim",20,IF(Atletas!I165="Nandao Mirim",21,IF(Atletas!I165="Taijijian Mirim",22,IF(Atletas!I165="Daoshu Grupo C",23,IF(Atletas!I165="Jianshu Grupo C",24,IF(Atletas!I165="Nandao Grupo C",25,IF(Atletas!I165="Taijijian Grupo C",26,IF(Atletas!I165="Daoshu Grupo B",27,IF(Atletas!I165="Jianshu Grupo B",28,IF(Atletas!I165="Nandao Grupo B",29,IF(Atletas!I165="Taijijian Grupo B",30,IF(Atletas!I165="Daoshu Grupo A",31,IF(Atletas!I165="Jianshu Grupo A",32,IF(Atletas!I165="Nandao Grupo A",33,IF(Atletas!I165="Taijijian Grupo A",34,IF(Atletas!I165="Daoshu Opcional",35,IF(Atletas!I165="Jianshu Opcional",36,IF(Atletas!I165="Nandao Opcional",37,IF(Atletas!I165="Taijijian Opcional",38,IF(Atletas!I165="Daoshu Adulto",39,IF(Atletas!I165="Jianshu Adulto",40,IF(Atletas!I165="Nandao Adulto",41,IF(Atletas!I165="Taijijian Adulto",42,""))))))))))))))))))))))))))</f>
        <v/>
      </c>
      <c r="BH174" s="52" t="str">
        <f>IF(Atletas!J165="","",IF(Atletas!B165="Feminino",100,IF(Atletas!B165="Masculino",200,""))+(IF(Atletas!J165="Gunshu Mirim",43,IF(Atletas!J165="Qiangshu Mirim",44,IF(Atletas!J165="Nangun Mirim",45,IF(Atletas!J165="Gunshu Grupo C",46,IF(Atletas!J165="Qiangshu Grupo C",47,IF(Atletas!J165="Nangun Grupo C",48,IF(Atletas!J165="Gunshu Grupo B",49,IF(Atletas!J165="Qiangshu Grupo B",50,IF(Atletas!J165="Nangun Grupo B",51,IF(Atletas!J165="Gunshu Grupo A",52,IF(Atletas!J165="Qiangshu Grupo A",53,IF(Atletas!J165="Nangun Grupo A",54,IF(Atletas!J165="Gunshu Opcional",55,IF(Atletas!J165="Qiangshu Opcional",56,IF(Atletas!J165="Nangun Opcional",57,IF(Atletas!J165="Gunshu Adulto",58,IF(Atletas!J165="Qiangshu Adulto",59,IF(Atletas!J165="Nangun Adulto",60,IF(Atletas!J165="Taijishan Grupo B",61,IF(Atletas!J165="Taijishan Grupo A",62,""))))))))))))))))))))))</f>
        <v/>
      </c>
      <c r="BM174" s="50" t="str">
        <f>IF(Atletas!K165="","",IF(Atletas!B165="Feminino",100,IF(Atletas!B165="Masculino",200,""))+(IF(Atletas!K165="Equipe 1 Grupo B",1,IF(Atletas!K165="Equipe 2 Grupo B",2,IF(Atletas!K165="Equipe 1 Grupo A",3,IF(Atletas!K165="Equipe 2 Grupo A",4,IF(Atletas!K165="Equipe 1 Adulto",5,IF(Atletas!K165="Equipe 2 Adulto",6,""))))))))</f>
        <v/>
      </c>
      <c r="BR174" s="50" t="str">
        <f>IF(Atletas!L165="","",IF(Atletas!X165&lt;&gt;"",10000,0)+(IF(Atletas!B165="Feminino",1000,IF(Atletas!B165="Masculino",2000,""))+IF(Atletas!L165="Choylayfut A",1,IF(Atletas!L165="Hunggar A",2,IF(Atletas!L165="Wuzuquan A",3,IF(Atletas!L165="Wingchun A",4,IF(Atletas!L165="Outra Mão de Sul A",5,IF(Atletas!L165="Choylayfut B",6,IF(Atletas!L165="Hunggar B",7,IF(Atletas!L165="Wuzuquan B",8,IF(Atletas!L165="Wingchun B",9,IF(Atletas!L165="Outra Mão de Sul B",10,IF(Atletas!L165="Choylayfut C",11,IF(Atletas!L165="Hunggar C",12,IF(Atletas!L165="Wuzuquan C",13,IF(Atletas!L165="Wingchun C",14,IF(Atletas!L165="Outra Mão de Sul C",15,IF(Atletas!L165="Choylayfut D",16,IF(Atletas!L165="Hunggar D",17,IF(Atletas!L165="Wuzuquan D",18,IF(Atletas!L165="Wingchun D",19,IF(Atletas!L165="Outra Mão de Sul D",20,IF(Atletas!L165="Choylayfut E",21,IF(Atletas!L165="Hunggar E",22,IF(Atletas!L165="Wuzuquan E",23,IF(Atletas!L165="Wingchun E",24,IF(Atletas!L165="Outra Mão de Sul E",25,IF(Atletas!L165="Choylayfut F",26,IF(Atletas!L165="Hunggar F",27,IF(Atletas!L165="Wuzuquan F",28,IF(Atletas!L165="Wingchun F",29,IF(Atletas!L165="Outra Mão de Sul F",30,IF(Atletas!L165="Dishuquan A",31,IF(Atletas!L165="Dishuquan B",32,IF(Atletas!L165="Dishuquan C",33,IF(Atletas!L165="Dishuquan D",34,IF(Atletas!L165="Dishuquan E",35,IF(Atletas!L165="Dishuquan F",36,""))))))))))))))))))))))))))))))))))))))</f>
        <v/>
      </c>
      <c r="BS174" s="50" t="str">
        <f>IF(Atletas!M165="","",IF(Atletas!X165&lt;&gt;"",10000,0)+(IF(Atletas!B165="Feminino",1000,IF(Atletas!B165="Masculino",2000,""))+(IF(Atletas!M165="Chaquan A",101,IF(Atletas!M165="Emeiquan A",102,IF(Atletas!M165="Fanziquan A",103,IF(Atletas!M165="Huaquan A",104,IF(Atletas!M165="Hongquan A",105,IF(Atletas!M165="Paoquan A",106,IF(Atletas!M165="Piguaquan A",107,IF(Atletas!M165="Shaolinquan A",108,IF(Atletas!M165="Tanglangquan A",109,IF(Atletas!M165="Yingzhaoquan A",110,IF(Atletas!M165="Tongbeiquan A",111,IF(Atletas!M165="Wudangquan A",112,IF(Atletas!M165="Outros Estilos A",113,IF(Atletas!M165="Chaquan B",114,IF(Atletas!M165="Emeiquan B",115,IF(Atletas!M165="Fanziquan B",116,IF(Atletas!M165="Huaquan B",117,IF(Atletas!M165="Hongquan B",118,IF(Atletas!M165="Paoquan B",119,IF(Atletas!M165="Piguaquan B",120,IF(Atletas!M165="Shaolinquan B",121,IF(Atletas!M165="Tanglangquan B",122,IF(Atletas!M165="Yingzhaoquan B",123,IF(Atletas!M165="Tongbeiquan B",124,IF(Atletas!M165="Wudangquan B",125,IF(Atletas!M165="Outros Estilos B",126,IF(Atletas!M165="Chaquan C",127,IF(Atletas!M165="Emeiquan C",128,IF(Atletas!M165="Fanziquan C",129,IF(Atletas!M165="Huaquan C",130,IF(Atletas!M165="Hongquan C",131,IF(Atletas!M165="Paoquan C",132,IF(Atletas!M165="Piguaquan C",133,IF(Atletas!M165="Shaolinquan C",134,IF(Atletas!M165="Tanglangquan C",135,IF(Atletas!M165="Yingzhaoquan C",136,IF(Atletas!M165="Tongbeiquan C",137,IF(Atletas!M165="Wudangquan C",138,IF(Atletas!M165="Outros Estilos C",139,0))))))))))))))))))))))))))))))))))))))))))</f>
        <v/>
      </c>
      <c r="BT174" s="50" t="str">
        <f>IF(Atletas!M165="","",IF(Atletas!X165&lt;&gt;"",10000,0)+(IF(Atletas!B165="Feminino",1000,IF(Atletas!B165="Masculino",2000,""))+(IF(Atletas!M165="Chaquan D",140,IF(Atletas!M165="Emeiquan D",141,IF(Atletas!M165="Fanziquan D",142,IF(Atletas!M165="Huaquan D",143,IF(Atletas!M165="Hongquan D",144,IF(Atletas!M165="Paoquan D",145,IF(Atletas!M165="Piguaquan D",146,IF(Atletas!M165="Shaolinquan D",147,IF(Atletas!M165="Tanglangquan D",148,IF(Atletas!M165="Yingzhaoquan D",149,IF(Atletas!M165="Tongbeiquan D",150,IF(Atletas!M165="Wudangquan D",151,IF(Atletas!M165="Outros Estilos D",152,IF(Atletas!M165="Chaquan E",153,IF(Atletas!M165="Emeiquan E",154,IF(Atletas!M165="Fanziquan E",155,IF(Atletas!M165="Huaquan E",156,IF(Atletas!M165="Hongquan E",157,IF(Atletas!M165="Paoquan E",158,IF(Atletas!M165="Piguaquan E",159,IF(Atletas!M165="Shaolinquan E",160,IF(Atletas!M165="Tanglangquan E",161,IF(Atletas!M165="Yingzhaoquan E",162,IF(Atletas!M165="Tongbeiquan E",163,IF(Atletas!M165="Wudangquan E",164,IF(Atletas!M165="Outros Estilos E",165,IF(Atletas!M165="Chaquan F",166,IF(Atletas!M165="Emeiquan F",167,IF(Atletas!M165="Fanziquan F",168,IF(Atletas!M165="Huaquan F",169,IF(Atletas!M165="Hongquan F",170,IF(Atletas!M165="Paoquan F",171,IF(Atletas!M165="Piguaquan F",172,IF(Atletas!M165="Shaolinquan F",173,IF(Atletas!M165="Tanglangquan F",174,IF(Atletas!M165="Yingzhaoquan F",175,IF(Atletas!M165="Tongbeiquan F",176,IF(Atletas!M165="Wudangquan F",177,IF(Atletas!M165="Outros Estilos F",178,0))))))))))))))))))))))))))))))))))))))))))</f>
        <v/>
      </c>
      <c r="BU174" s="50" t="str">
        <f>IF(Atletas!N165="","",IF(Atletas!X165&lt;&gt;"",10000,0)+(IF(Atletas!B165="Feminino",1000,IF(Atletas!B165="Masculino",2000,""))+(IF(Atletas!N165="Ditangquan A",201,IF(Atletas!N165="Houquan A",202,IF(Atletas!N165="Zuiquan A",203,IF(Atletas!N165="Ditangquan B",204,IF(Atletas!N165="Houquan B",205,IF(Atletas!N165="Zuiquan B",206,IF(Atletas!N165="Ditangquan C",207,IF(Atletas!N165="Houquan C",208,IF(Atletas!N165="Zuiquan C",209,IF(Atletas!N165="Ditangquan D",210,IF(Atletas!N165="Houquan D",211,IF(Atletas!N165="Zuiquan D",212,IF(Atletas!N165="Ditangquan E",213,IF(Atletas!N165="Houquan E",214,IF(Atletas!N165="Zuiquan E",215,IF(Atletas!N165="Ditangquan F",216,IF(Atletas!N165="Houquan F",217,IF(Atletas!N165="Zuiquan F",218,"")))))))))))))))))))))</f>
        <v/>
      </c>
      <c r="BV174" s="50" t="str">
        <f>IF(Atletas!O165="","",IF(Atletas!X165&lt;&gt;"",10000,0)+IF(Atletas!B165="Feminino",1000,IF(Atletas!B165="Masculino",2000,""))+IF(Atletas!O165="Yang A",301,IF(Atletas!O165="Chen A",302,IF(Atletas!O165="Sun A",303,IF(Atletas!O165="Wu A",304,IF(Atletas!O165="Wu-Hao A",305,IF(Atletas!O165="Outro Taijiquan A",306,IF(Atletas!O165="Yang B",307,IF(Atletas!O165="Chen B",308,IF(Atletas!O165="Sun B",309,IF(Atletas!O165="Wu B",310,IF(Atletas!O165="Wu-Hao B",311,IF(Atletas!O165="Outro Taijiquan B",312,IF(Atletas!O165="Yang C",313,IF(Atletas!O165="Chen C",314,IF(Atletas!O165="Sun C",315,IF(Atletas!O165="Wu C",316,IF(Atletas!O165="Wu-Hao C",317,IF(Atletas!O165="Outro Taijiquan C",318,IF(Atletas!O165="Yang D",319,IF(Atletas!O165="Chen D",320,IF(Atletas!O165="Sun D",321,IF(Atletas!O165="Wu D",322,IF(Atletas!O165="Wu-Hao D",323,IF(Atletas!O165="Outro Taijiquan D",324,IF(Atletas!O165="Yang E",325,IF(Atletas!O165="Chen E",326,IF(Atletas!O165="Sun E",327,IF(Atletas!O165="Wu E",328,IF(Atletas!O165="Wu-Hao E",329,IF(Atletas!O165="Outro Taijiquan E",330,IF(Atletas!O165="Yang F",331,IF(Atletas!O165="Chen F",332,IF(Atletas!O165="Sun F",333,IF(Atletas!O165="Wu F",334,IF(Atletas!O165="Wu-Hao F",335,IF(Atletas!O165="Outro Taijiquan F",336,"")))))))))))))))))))))))))))))))))))))</f>
        <v/>
      </c>
      <c r="BW174" s="50" t="str">
        <f>IF(Atletas!P165="","",IF(Atletas!X165&lt;&gt;"",10000,0)+IF(Atletas!B165="Feminino",1000,IF(Atletas!B165="Masculino",2000,""))+IF(OR(Atletas!P165="Yang 26 A",Atletas!P165="Yang 40 A"),401,IF(OR(Atletas!P165="Chen 25 A",Atletas!P165="Chen 36 A",Atletas!P165="Chen 56 A"),402,IF(Atletas!P165="Sun 73 A",403,IF(Atletas!P165="Wu 45 A",404,IF(Atletas!P165="Wu-Hao 46 A",405,IF(OR(Atletas!P165="Taijiquan 16 A",Atletas!P165="Taijiquan 24 A",Atletas!P165="Taijiquan 32 A",Atletas!P165="Taijiquan 42 A"),406,IF(OR(Atletas!P165="Yang 26 B",Atletas!P165="Yang 40 B"),407,IF(OR(Atletas!P165="Chen 25 B",Atletas!P165="Chen 36 B",Atletas!P165="Chen 56 B"),408,IF(Atletas!P165="Sun 73 B",409,IF(Atletas!P165="Wu 45 B",410,IF(Atletas!P165="Wu-Hao 46 B",411,IF(OR(Atletas!P165="Taijiquan 16 B",Atletas!P165="Taijiquan 24 B",Atletas!P165="Taijiquan 32 B",Atletas!P165="Taijiquan 42 B"),412,IF(OR(Atletas!P165="Yang 26 C",Atletas!P165="Yang 40 C"),413,IF(OR(Atletas!P165="Chen 25 C",Atletas!P165="Chen 36 C",Atletas!P165="Chen 56 C"),414,IF(Atletas!P165="Sun 73 C",415,IF(Atletas!P165="Wu 45 C",416,IF(Atletas!P165="Wu-Hao 46 C",417,IF(OR(Atletas!P165="Taijiquan 16 C",Atletas!P165="Taijiquan 24 C",Atletas!P165="Taijiquan 32 C",Atletas!P165="Taijiquan 42 C"),418,0)))))))))))))))))))</f>
        <v/>
      </c>
      <c r="BX174" s="50" t="str">
        <f>IF(Atletas!P165="","",IF(Atletas!X165&lt;&gt;"",10000,0)+IF(Atletas!B165="Feminino",1000,IF(Atletas!B165="Masculino",2000,""))+IF(OR(Atletas!P165="Yang 26 D",Atletas!P165="Yang 40 D"),419,IF(OR(Atletas!P165="Chen 25 D",Atletas!P165="Chen 36 D",Atletas!P165="Chen 56 D"),420,IF(Atletas!P165="Sun 73 D",421,IF(Atletas!P165="Wu 45 D",422,IF(Atletas!P165="Wu-Hao 46 D",423,IF(OR(Atletas!P165="Taijiquan 16 D",Atletas!P165="Taijiquan 24 D",Atletas!P165="Taijiquan 32 D",Atletas!P165="Taijiquan 42 D"),424,IF(OR(Atletas!P165="Yang 26 E",Atletas!P165="Yang 40 E"),425,IF(OR(Atletas!P165="Chen 25 E",Atletas!P165="Chen 36 E",Atletas!P165="Chen 56 E"),426,IF(Atletas!P165="Sun 73 E",427,IF(Atletas!P165="Wu 45 E",428,IF(Atletas!P165="Wu-Hao 46 E",429,IF(OR(Atletas!P165="Taijiquan 16 E",Atletas!P165="Taijiquan 24 E",Atletas!P165="Taijiquan 32 E",Atletas!P165="Taijiquan 42 E"),430,IF(OR(Atletas!P165="Yang 26 F",Atletas!P165="Yang 40 F"),431,IF(OR(Atletas!P165="Chen 25 F",Atletas!P165="Chen 36 F",Atletas!P165="Chen 56 F"),432,IF(Atletas!P165="Sun 73 F",433,IF(Atletas!P165="Wu 45 F",434,IF(Atletas!P165="Wu-Hao 46 F",435,IF(OR(Atletas!P165="Taijiquan 16 F",Atletas!P165="Taijiquan 24 F",Atletas!P165="Taijiquan 32 F",Atletas!P165="Taijiquan 42 F"),436,0)))))))))))))))))))</f>
        <v/>
      </c>
      <c r="BY174" s="50" t="str">
        <f>IF(Atletas!Q165="","",IF(Atletas!X165&lt;&gt;"",10000,0)+IF(Atletas!B165="Feminino",1000,IF(Atletas!B165="Masculino",2000,""))+IF(Atletas!Q165="Xingyiquan A",501,IF(Atletas!Q165="Baguazhang A",502,IF(Atletas!Q165="Outro Estilo Interno A",503,IF(Atletas!Q165="Xingyiquan B",504,IF(Atletas!Q165="Baguazhang B",505,IF(Atletas!Q165="Outro Estilo Interno B",506,IF(Atletas!Q165="Xingyiquan C",507,IF(Atletas!Q165="Baguazhang C",508,IF(Atletas!Q165="Outro Estilo Interno C",509,IF(Atletas!Q165="Xingyiquan D",510,IF(Atletas!Q165="Baguazhang D",511,IF(Atletas!Q165="Outro Estilo Interno D",512,IF(Atletas!Q165="Xingyiquan E",513,IF(Atletas!Q165="Baguazhang E",514,IF(Atletas!Q165="Outro Estilo Interno E",515,IF(Atletas!Q165="Xingyiquan F",516,IF(Atletas!Q165="Baguazhang F",517,IF(Atletas!Q165="Outro Estilo Interno F",518, "")))))))))))))))))))</f>
        <v/>
      </c>
      <c r="BZ174" s="50" t="str">
        <f>IF(Atletas!R165="","",IF(Atletas!X165&lt;&gt;"",10000,0)+IF(Atletas!B165="Feminino",1000,IF(Atletas!B165="Masculino",2000,""))+IF(Atletas!R165="Dao A",601,IF(Atletas!R165="Jian A",602,IF(Atletas!R165="Bishou A",603,IF(Atletas!R165="Shanzi A",604,IF(Atletas!R165="Outra Arma Curta A",605,IF(Atletas!R165="Dao B",606,IF(Atletas!R165="Jian B",607,IF(Atletas!R165="Bishou B",608,IF(Atletas!R165="Shanzi B",609,IF(Atletas!R165="Outra Arma Curta B",610,IF(Atletas!R165="Dao C",611,IF(Atletas!R165="Jian C",612,IF(Atletas!R165="Bishou C",613,IF(Atletas!R165="Shanzi C",614,IF(Atletas!R165="Outra Arma Curta C",615,IF(Atletas!R165="Dao D",616,IF(Atletas!R165="Jian D",617,IF(Atletas!R165="Bishou D",618,IF(Atletas!R165="Shanzi D",619,IF(Atletas!R165="Outra Arma Curta D",620,IF(Atletas!R165="Dao E",621,IF(Atletas!R165="Jian E",622,IF(Atletas!R165="Bishou E",623,IF(Atletas!R165="Shanzi E",624,IF(Atletas!R165="Outra Arma Curta E",625,IF(Atletas!R165="Dao F",626,IF(Atletas!R165="Jian F",627,IF(Atletas!R165="Bishou F",628,IF(Atletas!R165="Shanzi F",629,IF(Atletas!R165="Outra Arma Curta F",630, "")))))))))))))))))))))))))))))))</f>
        <v/>
      </c>
      <c r="CA174" s="50" t="str">
        <f>IF(Atletas!S165="","",IF(Atletas!X165&lt;&gt;"",10000,0)+IF(Atletas!B165="Feminino",1000,IF(Atletas!B165="Masculino",2000,""))+IF(Atletas!S165="Gun A",701,IF(Atletas!S165="Qiang A",702,IF(Atletas!S165="Pudao / Guandao A",703,IF(Atletas!S165="Outra Arma Longa A",704,IF(Atletas!S165="Gun B",705,IF(Atletas!S165="Qiang B",706,IF(Atletas!S165="Pudao / Guandao B",707,IF(Atletas!S165="Outra Arma Longa B",708,IF(Atletas!S165="Gun C",709,IF(Atletas!S165="Qiang C",710,IF(Atletas!S165="Pudao / Guandao C",711,IF(Atletas!S165="Outra Arma Longa C",712,IF(Atletas!S165="Gun D",713,IF(Atletas!S165="Qiang D",714,IF(Atletas!S165="Pudao / Guandao D",715,IF(Atletas!S165="Outra Arma Longa D",716,IF(Atletas!S165="Gun E",717,IF(Atletas!S165="Qiang E",718,IF(Atletas!S165="Pudao / Guandao E",719,IF(Atletas!S165="Outra Arma Longa E",720,IF(Atletas!S165="Gun F",721,IF(Atletas!S165="Qiang F",722,IF(Atletas!S165="Pudao / Guandao F",723,IF(Atletas!S165="Outra Arma Longa F",724,"")))))))))))))))))))))))))</f>
        <v/>
      </c>
      <c r="CB174" s="50" t="str">
        <f>IF(Atletas!T165="","",IF(Atletas!X165&lt;&gt;"",10000,0)+IF(Atletas!B165="Feminino",1000,IF(Atletas!B165="Masculino",2000,""))+IF(Atletas!T165="Outra Arma Dupla A",801,IF(Atletas!T165="Arma Maleável A",802,IF(Atletas!T165="Outra Arma Dupla B",803,IF(Atletas!T165="Arma Maleável B",804,IF(Atletas!T165="Outra Arma Dupla C",805,IF(Atletas!T165="Arma Maleável C",806,IF(Atletas!T165="Outra Arma Dupla D",807,IF(Atletas!T165="Arma Maleável D",808,IF(Atletas!T165="Outra Arma Dupla E",809,IF(Atletas!T165="Arma Maleável E",810,IF(Atletas!T165="Outra Arma Dupla F",811,IF(Atletas!T165="Arma Maleável F",812,IF(Atletas!T165="Shuangdao A",813,IF(Atletas!T165="Shuangdao B",814,IF(Atletas!T165="Shuangdao C",815,IF(Atletas!T165="Shuangdao D",816,IF(Atletas!T165="Shuangdao E",817,IF(Atletas!T165="Shuangdao F",818,"")))))))))))))))))))</f>
        <v/>
      </c>
      <c r="CC174" s="50" t="str">
        <f>IF(Atletas!U165="","",IF(Atletas!X165&lt;&gt;"",10000,0)+IF(Atletas!B165="Feminino",1000,IF(Atletas!B165="Masculino",2000,""))+IF(OR(Atletas!U165="Taijijian Yang A",Atletas!U165="Taijijian Yang Standard A"),901,IF(OR(Atletas!U165="Taijijian Chen A", Atletas!U165="Taijijian Chen Standard A"),902,IF(Atletas!U165="Taijijian Sun A",903,IF(Atletas!U165="Taijijian Wu A",904,IF(Atletas!U165="Taijijian Wu-Hao A",905,IF(OR(Atletas!U165="Taijijian 32 A",Atletas!U165="Taijijian 42 A"),906,IF(OR(Atletas!U165="Taijijian Yang B",Atletas!U165="Taijijian Yang Standard B"),907,IF(OR(Atletas!U165="Taijijian Chen B", Atletas!U165="Taijijian Chen Standard B"),908,IF(Atletas!U165="Taijijian Sun B",909,IF(Atletas!U165="Taijijian Wu B",910,IF(Atletas!U165="Taijijian Wu-Hao B",911,IF(OR(Atletas!U165="Taijijian 32 B",Atletas!U165="Taijijian 42 B"),912,IF(OR(Atletas!U165="Taijijian Yang C",Atletas!U165="Taijijian Yang Standard C"),913,IF(OR(Atletas!U165="Taijijian Chen C", Atletas!U165="Taijijian Chen Standard C"),914,IF(Atletas!U165="Taijijian Sun C",915,IF(Atletas!U165="Taijijian Wu C",916,IF(Atletas!U165="Taijijian Wu-Hao C",917,IF(OR(Atletas!U165="Taijijian 32 C",Atletas!U165="Taijijian 42 C"),918,IF(OR(Atletas!U165="Taijijian Yang D",Atletas!U165="Taijijian Yang Standard D"),919,IF(OR(Atletas!U165="Taijijian Chen D", Atletas!U165="Taijijian Chen Standard D"),920,IF(Atletas!U165="Taijijian Sun D",921,IF(Atletas!U165="Taijijian Wu D",922,IF(Atletas!U165="Taijijian Wu-Hao D",923,IF(OR(Atletas!U165="Taijijian 32 D",Atletas!U165="Taijijian 42 D"),924,IF(OR(Atletas!U165="Taijijian Yang E",Atletas!U165="Taijijian Yang Standard E"),925,IF(OR(Atletas!U165="Taijijian Chen E", Atletas!U165="Taijijian Chen Standard E"),926,IF(Atletas!U165="Taijijian Sun E",927,IF(Atletas!U165="Taijijian Wu E",928,IF(Atletas!U165="Taijijian Wu-Hao E",929,IF(OR(Atletas!U165="Taijijian 32 E",Atletas!U165="Taijijian 42 E"),930,IF(OR(Atletas!U165="Taijijian Yang F",Atletas!U165="Taijijian Yang Standard F"),931,IF(OR(Atletas!U165="Taijijian Chen F", Atletas!U165="Taijijian Chen Standard F"),932,IF(Atletas!U165="Taijijian Sun F",933,IF(Atletas!U165="Taijijian Wu F",934,IF(Atletas!U165="Taijijian Wu-Hao F",935,IF(OR(Atletas!U165="Taijijian 32 F",Atletas!U165="Taijijian 42 F"),936,"")))))))))))))))))))))))))))))))))))))</f>
        <v/>
      </c>
      <c r="CD174" s="50" t="str">
        <f>IF(Atletas!V165="","",IF(Atletas!X165&lt;&gt;"",10000,0)+IF(Atletas!B165="Feminino",1000,IF(Atletas!B165="Masculino",2000,""))+IF(Atletas!V165="Taijidao A",937,IF(Atletas!V165="TaijiShanzi A",938,IF(Atletas!V165="Taijiqiang A",939,IF(Atletas!V165="Bagua de Arma A",940,IF(Atletas!V165="Xingyi de Arma A",941,IF(Atletas!V165="Taijidao B",942,IF(Atletas!V165="TaijiShanzi B",943,IF(Atletas!V165="Taijiqiang B",944,IF(Atletas!V165="Bagua de Arma B",945,IF(Atletas!V165="Xingyi de Arma B",946,IF(Atletas!V165="Taijidao C",947,IF(Atletas!V165="TaijiShanzi C",948,IF(Atletas!V165="Taijiqiang C",949,IF(Atletas!V165="Bagua de Arma C",950,IF(Atletas!V165="Xingyi de Arma C",951,IF(Atletas!V165="Taijidao D",952,IF(Atletas!V165="TaijiShanzi D",953,IF(Atletas!V165="Taijiqiang D",954,IF(Atletas!V165="Bagua de Arma D",955,IF(Atletas!V165="Xingyi de Arma D",956,IF(Atletas!V165="Taijidao E",957,IF(Atletas!V165="TaijiShanzi E",958,IF(Atletas!V165="Taijiqiang E",959,IF(Atletas!V165="Bagua de Arma E",960,IF(Atletas!V165="Xingyi de Arma E",961,IF(Atletas!V165="Taijidao F",962,IF(Atletas!V165="TaijiShanzi F",963,IF(Atletas!V165="Taijiqiang F",964,IF(Atletas!V165="Bagua de Arma F",965,IF(Atletas!V165="Xingyi de Arma F",966,"")))))))))))))))))))))))))))))))</f>
        <v/>
      </c>
      <c r="CE174" s="66" t="str">
        <f>IF(CF174&lt;&gt;"","Outro Taijiquan F","")</f>
        <v/>
      </c>
      <c r="CF174" s="66" t="str">
        <f>IF(COUNTIF(BR:CD,1336)&gt;0,COUNTIF(BR:CD,1336),"")</f>
        <v/>
      </c>
      <c r="CG174" s="66" t="str">
        <f>IF(CH174&lt;&gt;"","Outro Taijiquan F","")</f>
        <v/>
      </c>
      <c r="CH174" s="66" t="str">
        <f>IF(COUNTIF(BR:CD,2336)&gt;0,COUNTIF(BR:CD,2336),"")</f>
        <v/>
      </c>
      <c r="CI174" s="66" t="str">
        <f>IF(CJ174&lt;&gt;"","TJQ Padr. Combinado A","")</f>
        <v/>
      </c>
      <c r="CJ174" s="66" t="str">
        <f>IF(COUNTIF(BR:CD,11406)&gt;0,COUNTIF(BR:CD,11406),"")</f>
        <v/>
      </c>
      <c r="CK174" s="66" t="str">
        <f>IF(CL174&lt;&gt;"","TJQ Padr. Combinado A","")</f>
        <v/>
      </c>
      <c r="CL174" s="66" t="str">
        <f>IF(COUNTIF(BR:CD,12406)&gt;0,COUNTIF(BR:CD,12406),"")</f>
        <v/>
      </c>
      <c r="CM174" s="50" t="str">
        <f xml:space="preserve"> IF(Atletas!W165="","",IF(Atletas!W165="Duilian de Mãos BC - Equipe 1",1,IF(Atletas!W165="Duilian de Mãos BC - Equipe 2",2,IF(Atletas!W165="Duilian de Armas BC - Equipe 1",3,IF(Atletas!W165="Duilian de Armas BC - Equipe 2",4,IF(Atletas!W165="Duilian de Mãos DE - Equipe 1",5,IF(Atletas!W165="Duilian de Mãos DE - Equipe 2",6,IF(Atletas!W165="Duilian de Armas DE - Equipe 1",7,IF(Atletas!W165="Duilian de Armas DE - Equipe 2",8,IF(Atletas!W165="Duilian de Tuishou - Equipe 1",9,IF(Atletas!W165="Duilian de Tuishou - Equipe 2",10,IF(Atletas!W165="Grupo Externo ABC - Equipe 1",11,IF(Atletas!W165="Grupo Externo ABC - Equipe 2",12,IF(Atletas!W165="Grupo Interno ABC - Equipe 1",13,IF(Atletas!W165="Grupo Interno ABC - Equipe 2",14,IF(Atletas!W165="Grupo Externo DEF - Equipe 1",15,IF(Atletas!W165="Grupo Externo DEF - Equipe 2",16,IF(Atletas!W165="Grupo Interno DEF - Equipe 1",17,IF(Atletas!W165="Grupo Interno DEF - Equipe 2",18,"")))))))))))))))))))</f>
        <v/>
      </c>
    </row>
    <row r="175" spans="2:91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 t="str">
        <f t="array" ref="Z175">IFERROR(INDEX(CE$7:CE$348,SMALL(IF(CE$7:CE$348&lt;&gt;"",ROW(CE$7:CE$348)-ROW(CE$7)+1),ROWS(CE$7:CE174))),"")</f>
        <v/>
      </c>
      <c r="AA175" s="3" t="str">
        <f t="array" ref="AA175">IFERROR(INDEX(CF$7:CF$348,SMALL(IF(CF$7:CF$348&lt;&gt;"",ROW(CF$7:CF$348)-ROW(CF$7)+1),ROWS(CF$7:CF174))),"")</f>
        <v/>
      </c>
      <c r="AB175" s="3" t="str">
        <f t="array" ref="AB175">IFERROR(INDEX(CG$7:CG$348,SMALL(IF(CG$7:CG$348&lt;&gt;"",ROW(CG$7:CG$348)-ROW(CG$7)+1),ROWS(CG$7:CG174))),"")</f>
        <v/>
      </c>
      <c r="AC175" s="3" t="str">
        <f t="array" ref="AC175">IFERROR(INDEX(CH$7:CH$348,SMALL(IF(CH$7:CH$348&lt;&gt;"",ROW(CH$7:CH$348)-ROW(CH$7)+1),ROWS(CH$7:CH174))),"")</f>
        <v/>
      </c>
      <c r="AD175" s="3" t="str">
        <f t="array" ref="AD175">IFERROR(INDEX(CI$7:CI$377,SMALL(IF(CI$7:CI$377&lt;&gt;"",ROW(CI$7:CI$377)-ROW(CI$7)+1),ROWS(CI$7:CI174))),"")</f>
        <v/>
      </c>
      <c r="AE175" s="3" t="str">
        <f t="array" ref="AE175">IFERROR(INDEX(CJ$7:CJ$378,SMALL(IF(CJ$7:CJ$378&lt;&gt;"",ROW(CJ$7:CJ$378)-ROW(CJ$7)+1),ROWS(CJ$7:CJ174))),"")</f>
        <v/>
      </c>
      <c r="AF175" s="3" t="str">
        <f t="array" ref="AF175">IFERROR(INDEX(CK$7:CK$378,SMALL(IF(CK$7:CK$378&lt;&gt;"",ROW(CK$7:CK$378)-ROW(CK$7)+1),ROWS(CK$7:CK174))),"")</f>
        <v/>
      </c>
      <c r="AG175" s="3" t="str">
        <f t="array" ref="AG175">IFERROR(INDEX(CL$7:CL$378,SMALL(IF(CL$7:CL$378&lt;&gt;"",ROW(CL$7:CL$378)-ROW(CL$7)+1),ROWS(CL$7:CL174))),"")</f>
        <v/>
      </c>
      <c r="AH175" s="3"/>
      <c r="AI175" s="3"/>
      <c r="AJ175" s="3"/>
      <c r="AK175" s="3"/>
      <c r="AL175" s="3"/>
      <c r="AM175" s="3"/>
      <c r="AN175" s="52" t="str">
        <f>IF(Atletas!D166="","",IF(Atletas!B166="Feminino",100,IF(Atletas!B166="Masculino",200,""))+(IF(Atletas!D166="Kids 30kg",1,IF(Atletas!D166="Kids 32kg",2, IF(Atletas!D166="Kids 34kg",3,IF(Atletas!D166="Kids 36kg",4,IF(Atletas!D166="Kids 39kg",5,IF(Atletas!D166="Kids 42kg",6,IF(Atletas!D166="Kids 45kg",7, IF(Atletas!D166="Infantil 39kg",8,IF(Atletas!D166="Infantil 42kg",9,IF(Atletas!D166="Infantil 45kg",10,IF(Atletas!D166="Infantil 48kg",11,IF(Atletas!D166="Infantil 52kg",12,IF(Atletas!D166="Infantil 56kg",13,IF(Atletas!D166="Infantil 60kg",14,IF(Atletas!D166="Juvenil 48kg",15,IF(Atletas!D166="Juvenil 52kg",16,IF(Atletas!D166="Juvenil 56kg",17,IF(Atletas!D166="Juvenil 60kg",18,IF(Atletas!D166="Juvenil 65kg",19,IF(Atletas!D166="Juvenil 70kg",20,IF(Atletas!D166="Juvenil 75kg",21,IF(Atletas!D166="Juvenil 80kg",22, IF(Atletas!D166="Juvenil 85kg",23,IF(Atletas!D166="Adulto 48kg",24,IF(Atletas!D166="Adulto 52kg",25,IF(Atletas!D166="Adulto 56kg",26,IF(Atletas!D166="Adulto 60kg",27,IF(Atletas!D166="Adulto 65kg",28,IF(Atletas!D166="Adulto 70kg",29,IF(Atletas!D166="Adulto 75kg",30,IF(Atletas!D166="Adulto 80kg",31,IF(Atletas!D166="Adulto 85kg",32,IF(Atletas!D166="Adulto 90kg",33,IF(Atletas!D166="Adulto 100kg",34, IF(Atletas!D166="Adulto +100kg",35,"")))))))))))))))))))))))))))))))))))))</f>
        <v/>
      </c>
      <c r="AS175" s="6" t="str">
        <f>IF(Atletas!E166="","",IF(Atletas!B166="Feminino",100,IF(Atletas!B166="Masculino",200,""))+(IF(Atletas!E166="Juvenil 44kg",1,IF(Atletas!E166="Juvenil 48kg",2,IF(Atletas!E166="Juvenil 52kg",3,IF(Atletas!E166="Juvenil 56kg",4,IF(Atletas!E166="Juvenil 60kg",5,IF(Atletas!E166="Juvenil 65kg",6,IF(Atletas!E166="Juvenil 70kg",7,IF(Atletas!E166="Juvenil 75kg",8,IF(Atletas!E166="Juvenil 82kg",9,IF(Atletas!E166="Juvenil 90kg",10,IF(Atletas!E166="Juvenil 100kg",11,IF(Atletas!E166="Adulto 48kg",12,IF(Atletas!E166="Adulto 52kg",13,IF(Atletas!E166="Adulto 56kg",14,IF(Atletas!E166="Adulto 60kg",15,IF(Atletas!E166="Adulto 65kg",16,IF(Atletas!E166="Adulto 70kg",17,IF(Atletas!E166="Adulto 75kg",18,IF(Atletas!E166="Adulto 82kg",19,IF(Atletas!E166="Adulto 90kg",20,IF(Atletas!E166="Adulto 100kg",21,IF(Atletas!E166="Adulto +100kg",22,""))))))))))))))))))))))))</f>
        <v/>
      </c>
      <c r="AX175" s="6" t="str">
        <f>IF(Atletas!F166="","",IF(Atletas!B166="Feminino",100,IF(Atletas!B166="Masculino",200,""))+(IF(Atletas!F166="Adulto 48kg",1,IF(Atletas!F166="Adulto 56kg",2,IF(Atletas!F166="Adulto 65kg",3,IF(Atletas!F166="Adulto 75kg",4,IF(Atletas!F166="Adulto +75kg",5,IF(Atletas!F166="Adulto 52kg",6,IF(Atletas!F166="Adulto 60kg",7,IF(Atletas!F166="Adulto 70kg",8,IF(Atletas!F166="Adulto 80kg",9,IF(Atletas!F166="Adulto 90kg",10,IF(Atletas!F166="Adulto +90kg",11,"")))))))))))))</f>
        <v/>
      </c>
      <c r="BC175" s="6" t="str">
        <f>IF(Atletas!G166="","",IF(Atletas!B166="Feminino",10,IF(Atletas!B166="Masculino",20,""))+(IF(Atletas!G166="Baduanjin A",1,IF(Atletas!G166="Baduanjin B",2))))</f>
        <v/>
      </c>
      <c r="BF175" s="52" t="str">
        <f>IF(Atletas!H166="","",IF(Atletas!B166="Feminino",100,IF(Atletas!B166="Masculino",200,""))+(IF(Atletas!H166="Changquan Mirim",1,IF(Atletas!H166="Nanquan Mirim",2,IF(Atletas!H166="Taijiquan Mirim",3,IF(Atletas!H166="Changquan Grupo C",4,IF(Atletas!H166="Nanquan Grupo C",5,IF(Atletas!H166="Taijiquan Grupo C",6,IF(Atletas!H166="Changquan Grupo B",7,IF(Atletas!H166="Nanquan Grupo B",8,IF(Atletas!H166="Taijiquan Grupo B",9,IF(Atletas!H166="Changquan Grupo A",10,IF(Atletas!H166="Nanquan Grupo A",11,IF(Atletas!H166="Taijiquan Grupo A",12,IF(Atletas!H166="Changquan Opcional",13,IF(Atletas!H166="Nanquan Opcional",14,IF(Atletas!H166="Taijiquan Opcional",15,IF(Atletas!H166="Changquan Adulto",16,IF(Atletas!H166="Nanquan Adulto",17,IF(Atletas!H166="Taijiquan Adulto",18,""))))))))))))))))))))</f>
        <v/>
      </c>
      <c r="BG175" s="52" t="str">
        <f>IF(Atletas!I166="","",IF(Atletas!B166="Feminino",100,IF(Atletas!B166="Masculino",200,""))+(IF(Atletas!I166="Daoshu Mirim",19,IF(Atletas!I166="Jianshu Mirim",20,IF(Atletas!I166="Nandao Mirim",21,IF(Atletas!I166="Taijijian Mirim",22,IF(Atletas!I166="Daoshu Grupo C",23,IF(Atletas!I166="Jianshu Grupo C",24,IF(Atletas!I166="Nandao Grupo C",25,IF(Atletas!I166="Taijijian Grupo C",26,IF(Atletas!I166="Daoshu Grupo B",27,IF(Atletas!I166="Jianshu Grupo B",28,IF(Atletas!I166="Nandao Grupo B",29,IF(Atletas!I166="Taijijian Grupo B",30,IF(Atletas!I166="Daoshu Grupo A",31,IF(Atletas!I166="Jianshu Grupo A",32,IF(Atletas!I166="Nandao Grupo A",33,IF(Atletas!I166="Taijijian Grupo A",34,IF(Atletas!I166="Daoshu Opcional",35,IF(Atletas!I166="Jianshu Opcional",36,IF(Atletas!I166="Nandao Opcional",37,IF(Atletas!I166="Taijijian Opcional",38,IF(Atletas!I166="Daoshu Adulto",39,IF(Atletas!I166="Jianshu Adulto",40,IF(Atletas!I166="Nandao Adulto",41,IF(Atletas!I166="Taijijian Adulto",42,""))))))))))))))))))))))))))</f>
        <v/>
      </c>
      <c r="BH175" s="52" t="str">
        <f>IF(Atletas!J166="","",IF(Atletas!B166="Feminino",100,IF(Atletas!B166="Masculino",200,""))+(IF(Atletas!J166="Gunshu Mirim",43,IF(Atletas!J166="Qiangshu Mirim",44,IF(Atletas!J166="Nangun Mirim",45,IF(Atletas!J166="Gunshu Grupo C",46,IF(Atletas!J166="Qiangshu Grupo C",47,IF(Atletas!J166="Nangun Grupo C",48,IF(Atletas!J166="Gunshu Grupo B",49,IF(Atletas!J166="Qiangshu Grupo B",50,IF(Atletas!J166="Nangun Grupo B",51,IF(Atletas!J166="Gunshu Grupo A",52,IF(Atletas!J166="Qiangshu Grupo A",53,IF(Atletas!J166="Nangun Grupo A",54,IF(Atletas!J166="Gunshu Opcional",55,IF(Atletas!J166="Qiangshu Opcional",56,IF(Atletas!J166="Nangun Opcional",57,IF(Atletas!J166="Gunshu Adulto",58,IF(Atletas!J166="Qiangshu Adulto",59,IF(Atletas!J166="Nangun Adulto",60,IF(Atletas!J166="Taijishan Grupo B",61,IF(Atletas!J166="Taijishan Grupo A",62,""))))))))))))))))))))))</f>
        <v/>
      </c>
      <c r="BM175" s="50" t="str">
        <f>IF(Atletas!K166="","",IF(Atletas!B166="Feminino",100,IF(Atletas!B166="Masculino",200,""))+(IF(Atletas!K166="Equipe 1 Grupo B",1,IF(Atletas!K166="Equipe 2 Grupo B",2,IF(Atletas!K166="Equipe 1 Grupo A",3,IF(Atletas!K166="Equipe 2 Grupo A",4,IF(Atletas!K166="Equipe 1 Adulto",5,IF(Atletas!K166="Equipe 2 Adulto",6,""))))))))</f>
        <v/>
      </c>
      <c r="BR175" s="50" t="str">
        <f>IF(Atletas!L166="","",IF(Atletas!X166&lt;&gt;"",10000,0)+(IF(Atletas!B166="Feminino",1000,IF(Atletas!B166="Masculino",2000,""))+IF(Atletas!L166="Choylayfut A",1,IF(Atletas!L166="Hunggar A",2,IF(Atletas!L166="Wuzuquan A",3,IF(Atletas!L166="Wingchun A",4,IF(Atletas!L166="Outra Mão de Sul A",5,IF(Atletas!L166="Choylayfut B",6,IF(Atletas!L166="Hunggar B",7,IF(Atletas!L166="Wuzuquan B",8,IF(Atletas!L166="Wingchun B",9,IF(Atletas!L166="Outra Mão de Sul B",10,IF(Atletas!L166="Choylayfut C",11,IF(Atletas!L166="Hunggar C",12,IF(Atletas!L166="Wuzuquan C",13,IF(Atletas!L166="Wingchun C",14,IF(Atletas!L166="Outra Mão de Sul C",15,IF(Atletas!L166="Choylayfut D",16,IF(Atletas!L166="Hunggar D",17,IF(Atletas!L166="Wuzuquan D",18,IF(Atletas!L166="Wingchun D",19,IF(Atletas!L166="Outra Mão de Sul D",20,IF(Atletas!L166="Choylayfut E",21,IF(Atletas!L166="Hunggar E",22,IF(Atletas!L166="Wuzuquan E",23,IF(Atletas!L166="Wingchun E",24,IF(Atletas!L166="Outra Mão de Sul E",25,IF(Atletas!L166="Choylayfut F",26,IF(Atletas!L166="Hunggar F",27,IF(Atletas!L166="Wuzuquan F",28,IF(Atletas!L166="Wingchun F",29,IF(Atletas!L166="Outra Mão de Sul F",30,IF(Atletas!L166="Dishuquan A",31,IF(Atletas!L166="Dishuquan B",32,IF(Atletas!L166="Dishuquan C",33,IF(Atletas!L166="Dishuquan D",34,IF(Atletas!L166="Dishuquan E",35,IF(Atletas!L166="Dishuquan F",36,""))))))))))))))))))))))))))))))))))))))</f>
        <v/>
      </c>
      <c r="BS175" s="50" t="str">
        <f>IF(Atletas!M166="","",IF(Atletas!X166&lt;&gt;"",10000,0)+(IF(Atletas!B166="Feminino",1000,IF(Atletas!B166="Masculino",2000,""))+(IF(Atletas!M166="Chaquan A",101,IF(Atletas!M166="Emeiquan A",102,IF(Atletas!M166="Fanziquan A",103,IF(Atletas!M166="Huaquan A",104,IF(Atletas!M166="Hongquan A",105,IF(Atletas!M166="Paoquan A",106,IF(Atletas!M166="Piguaquan A",107,IF(Atletas!M166="Shaolinquan A",108,IF(Atletas!M166="Tanglangquan A",109,IF(Atletas!M166="Yingzhaoquan A",110,IF(Atletas!M166="Tongbeiquan A",111,IF(Atletas!M166="Wudangquan A",112,IF(Atletas!M166="Outros Estilos A",113,IF(Atletas!M166="Chaquan B",114,IF(Atletas!M166="Emeiquan B",115,IF(Atletas!M166="Fanziquan B",116,IF(Atletas!M166="Huaquan B",117,IF(Atletas!M166="Hongquan B",118,IF(Atletas!M166="Paoquan B",119,IF(Atletas!M166="Piguaquan B",120,IF(Atletas!M166="Shaolinquan B",121,IF(Atletas!M166="Tanglangquan B",122,IF(Atletas!M166="Yingzhaoquan B",123,IF(Atletas!M166="Tongbeiquan B",124,IF(Atletas!M166="Wudangquan B",125,IF(Atletas!M166="Outros Estilos B",126,IF(Atletas!M166="Chaquan C",127,IF(Atletas!M166="Emeiquan C",128,IF(Atletas!M166="Fanziquan C",129,IF(Atletas!M166="Huaquan C",130,IF(Atletas!M166="Hongquan C",131,IF(Atletas!M166="Paoquan C",132,IF(Atletas!M166="Piguaquan C",133,IF(Atletas!M166="Shaolinquan C",134,IF(Atletas!M166="Tanglangquan C",135,IF(Atletas!M166="Yingzhaoquan C",136,IF(Atletas!M166="Tongbeiquan C",137,IF(Atletas!M166="Wudangquan C",138,IF(Atletas!M166="Outros Estilos C",139,0))))))))))))))))))))))))))))))))))))))))))</f>
        <v/>
      </c>
      <c r="BT175" s="50" t="str">
        <f>IF(Atletas!M166="","",IF(Atletas!X166&lt;&gt;"",10000,0)+(IF(Atletas!B166="Feminino",1000,IF(Atletas!B166="Masculino",2000,""))+(IF(Atletas!M166="Chaquan D",140,IF(Atletas!M166="Emeiquan D",141,IF(Atletas!M166="Fanziquan D",142,IF(Atletas!M166="Huaquan D",143,IF(Atletas!M166="Hongquan D",144,IF(Atletas!M166="Paoquan D",145,IF(Atletas!M166="Piguaquan D",146,IF(Atletas!M166="Shaolinquan D",147,IF(Atletas!M166="Tanglangquan D",148,IF(Atletas!M166="Yingzhaoquan D",149,IF(Atletas!M166="Tongbeiquan D",150,IF(Atletas!M166="Wudangquan D",151,IF(Atletas!M166="Outros Estilos D",152,IF(Atletas!M166="Chaquan E",153,IF(Atletas!M166="Emeiquan E",154,IF(Atletas!M166="Fanziquan E",155,IF(Atletas!M166="Huaquan E",156,IF(Atletas!M166="Hongquan E",157,IF(Atletas!M166="Paoquan E",158,IF(Atletas!M166="Piguaquan E",159,IF(Atletas!M166="Shaolinquan E",160,IF(Atletas!M166="Tanglangquan E",161,IF(Atletas!M166="Yingzhaoquan E",162,IF(Atletas!M166="Tongbeiquan E",163,IF(Atletas!M166="Wudangquan E",164,IF(Atletas!M166="Outros Estilos E",165,IF(Atletas!M166="Chaquan F",166,IF(Atletas!M166="Emeiquan F",167,IF(Atletas!M166="Fanziquan F",168,IF(Atletas!M166="Huaquan F",169,IF(Atletas!M166="Hongquan F",170,IF(Atletas!M166="Paoquan F",171,IF(Atletas!M166="Piguaquan F",172,IF(Atletas!M166="Shaolinquan F",173,IF(Atletas!M166="Tanglangquan F",174,IF(Atletas!M166="Yingzhaoquan F",175,IF(Atletas!M166="Tongbeiquan F",176,IF(Atletas!M166="Wudangquan F",177,IF(Atletas!M166="Outros Estilos F",178,0))))))))))))))))))))))))))))))))))))))))))</f>
        <v/>
      </c>
      <c r="BU175" s="50" t="str">
        <f>IF(Atletas!N166="","",IF(Atletas!X166&lt;&gt;"",10000,0)+(IF(Atletas!B166="Feminino",1000,IF(Atletas!B166="Masculino",2000,""))+(IF(Atletas!N166="Ditangquan A",201,IF(Atletas!N166="Houquan A",202,IF(Atletas!N166="Zuiquan A",203,IF(Atletas!N166="Ditangquan B",204,IF(Atletas!N166="Houquan B",205,IF(Atletas!N166="Zuiquan B",206,IF(Atletas!N166="Ditangquan C",207,IF(Atletas!N166="Houquan C",208,IF(Atletas!N166="Zuiquan C",209,IF(Atletas!N166="Ditangquan D",210,IF(Atletas!N166="Houquan D",211,IF(Atletas!N166="Zuiquan D",212,IF(Atletas!N166="Ditangquan E",213,IF(Atletas!N166="Houquan E",214,IF(Atletas!N166="Zuiquan E",215,IF(Atletas!N166="Ditangquan F",216,IF(Atletas!N166="Houquan F",217,IF(Atletas!N166="Zuiquan F",218,"")))))))))))))))))))))</f>
        <v/>
      </c>
      <c r="BV175" s="50" t="str">
        <f>IF(Atletas!O166="","",IF(Atletas!X166&lt;&gt;"",10000,0)+IF(Atletas!B166="Feminino",1000,IF(Atletas!B166="Masculino",2000,""))+IF(Atletas!O166="Yang A",301,IF(Atletas!O166="Chen A",302,IF(Atletas!O166="Sun A",303,IF(Atletas!O166="Wu A",304,IF(Atletas!O166="Wu-Hao A",305,IF(Atletas!O166="Outro Taijiquan A",306,IF(Atletas!O166="Yang B",307,IF(Atletas!O166="Chen B",308,IF(Atletas!O166="Sun B",309,IF(Atletas!O166="Wu B",310,IF(Atletas!O166="Wu-Hao B",311,IF(Atletas!O166="Outro Taijiquan B",312,IF(Atletas!O166="Yang C",313,IF(Atletas!O166="Chen C",314,IF(Atletas!O166="Sun C",315,IF(Atletas!O166="Wu C",316,IF(Atletas!O166="Wu-Hao C",317,IF(Atletas!O166="Outro Taijiquan C",318,IF(Atletas!O166="Yang D",319,IF(Atletas!O166="Chen D",320,IF(Atletas!O166="Sun D",321,IF(Atletas!O166="Wu D",322,IF(Atletas!O166="Wu-Hao D",323,IF(Atletas!O166="Outro Taijiquan D",324,IF(Atletas!O166="Yang E",325,IF(Atletas!O166="Chen E",326,IF(Atletas!O166="Sun E",327,IF(Atletas!O166="Wu E",328,IF(Atletas!O166="Wu-Hao E",329,IF(Atletas!O166="Outro Taijiquan E",330,IF(Atletas!O166="Yang F",331,IF(Atletas!O166="Chen F",332,IF(Atletas!O166="Sun F",333,IF(Atletas!O166="Wu F",334,IF(Atletas!O166="Wu-Hao F",335,IF(Atletas!O166="Outro Taijiquan F",336,"")))))))))))))))))))))))))))))))))))))</f>
        <v/>
      </c>
      <c r="BW175" s="50" t="str">
        <f>IF(Atletas!P166="","",IF(Atletas!X166&lt;&gt;"",10000,0)+IF(Atletas!B166="Feminino",1000,IF(Atletas!B166="Masculino",2000,""))+IF(OR(Atletas!P166="Yang 26 A",Atletas!P166="Yang 40 A"),401,IF(OR(Atletas!P166="Chen 25 A",Atletas!P166="Chen 36 A",Atletas!P166="Chen 56 A"),402,IF(Atletas!P166="Sun 73 A",403,IF(Atletas!P166="Wu 45 A",404,IF(Atletas!P166="Wu-Hao 46 A",405,IF(OR(Atletas!P166="Taijiquan 16 A",Atletas!P166="Taijiquan 24 A",Atletas!P166="Taijiquan 32 A",Atletas!P166="Taijiquan 42 A"),406,IF(OR(Atletas!P166="Yang 26 B",Atletas!P166="Yang 40 B"),407,IF(OR(Atletas!P166="Chen 25 B",Atletas!P166="Chen 36 B",Atletas!P166="Chen 56 B"),408,IF(Atletas!P166="Sun 73 B",409,IF(Atletas!P166="Wu 45 B",410,IF(Atletas!P166="Wu-Hao 46 B",411,IF(OR(Atletas!P166="Taijiquan 16 B",Atletas!P166="Taijiquan 24 B",Atletas!P166="Taijiquan 32 B",Atletas!P166="Taijiquan 42 B"),412,IF(OR(Atletas!P166="Yang 26 C",Atletas!P166="Yang 40 C"),413,IF(OR(Atletas!P166="Chen 25 C",Atletas!P166="Chen 36 C",Atletas!P166="Chen 56 C"),414,IF(Atletas!P166="Sun 73 C",415,IF(Atletas!P166="Wu 45 C",416,IF(Atletas!P166="Wu-Hao 46 C",417,IF(OR(Atletas!P166="Taijiquan 16 C",Atletas!P166="Taijiquan 24 C",Atletas!P166="Taijiquan 32 C",Atletas!P166="Taijiquan 42 C"),418,0)))))))))))))))))))</f>
        <v/>
      </c>
      <c r="BX175" s="50" t="str">
        <f>IF(Atletas!P166="","",IF(Atletas!X166&lt;&gt;"",10000,0)+IF(Atletas!B166="Feminino",1000,IF(Atletas!B166="Masculino",2000,""))+IF(OR(Atletas!P166="Yang 26 D",Atletas!P166="Yang 40 D"),419,IF(OR(Atletas!P166="Chen 25 D",Atletas!P166="Chen 36 D",Atletas!P166="Chen 56 D"),420,IF(Atletas!P166="Sun 73 D",421,IF(Atletas!P166="Wu 45 D",422,IF(Atletas!P166="Wu-Hao 46 D",423,IF(OR(Atletas!P166="Taijiquan 16 D",Atletas!P166="Taijiquan 24 D",Atletas!P166="Taijiquan 32 D",Atletas!P166="Taijiquan 42 D"),424,IF(OR(Atletas!P166="Yang 26 E",Atletas!P166="Yang 40 E"),425,IF(OR(Atletas!P166="Chen 25 E",Atletas!P166="Chen 36 E",Atletas!P166="Chen 56 E"),426,IF(Atletas!P166="Sun 73 E",427,IF(Atletas!P166="Wu 45 E",428,IF(Atletas!P166="Wu-Hao 46 E",429,IF(OR(Atletas!P166="Taijiquan 16 E",Atletas!P166="Taijiquan 24 E",Atletas!P166="Taijiquan 32 E",Atletas!P166="Taijiquan 42 E"),430,IF(OR(Atletas!P166="Yang 26 F",Atletas!P166="Yang 40 F"),431,IF(OR(Atletas!P166="Chen 25 F",Atletas!P166="Chen 36 F",Atletas!P166="Chen 56 F"),432,IF(Atletas!P166="Sun 73 F",433,IF(Atletas!P166="Wu 45 F",434,IF(Atletas!P166="Wu-Hao 46 F",435,IF(OR(Atletas!P166="Taijiquan 16 F",Atletas!P166="Taijiquan 24 F",Atletas!P166="Taijiquan 32 F",Atletas!P166="Taijiquan 42 F"),436,0)))))))))))))))))))</f>
        <v/>
      </c>
      <c r="BY175" s="50" t="str">
        <f>IF(Atletas!Q166="","",IF(Atletas!X166&lt;&gt;"",10000,0)+IF(Atletas!B166="Feminino",1000,IF(Atletas!B166="Masculino",2000,""))+IF(Atletas!Q166="Xingyiquan A",501,IF(Atletas!Q166="Baguazhang A",502,IF(Atletas!Q166="Outro Estilo Interno A",503,IF(Atletas!Q166="Xingyiquan B",504,IF(Atletas!Q166="Baguazhang B",505,IF(Atletas!Q166="Outro Estilo Interno B",506,IF(Atletas!Q166="Xingyiquan C",507,IF(Atletas!Q166="Baguazhang C",508,IF(Atletas!Q166="Outro Estilo Interno C",509,IF(Atletas!Q166="Xingyiquan D",510,IF(Atletas!Q166="Baguazhang D",511,IF(Atletas!Q166="Outro Estilo Interno D",512,IF(Atletas!Q166="Xingyiquan E",513,IF(Atletas!Q166="Baguazhang E",514,IF(Atletas!Q166="Outro Estilo Interno E",515,IF(Atletas!Q166="Xingyiquan F",516,IF(Atletas!Q166="Baguazhang F",517,IF(Atletas!Q166="Outro Estilo Interno F",518, "")))))))))))))))))))</f>
        <v/>
      </c>
      <c r="BZ175" s="50" t="str">
        <f>IF(Atletas!R166="","",IF(Atletas!X166&lt;&gt;"",10000,0)+IF(Atletas!B166="Feminino",1000,IF(Atletas!B166="Masculino",2000,""))+IF(Atletas!R166="Dao A",601,IF(Atletas!R166="Jian A",602,IF(Atletas!R166="Bishou A",603,IF(Atletas!R166="Shanzi A",604,IF(Atletas!R166="Outra Arma Curta A",605,IF(Atletas!R166="Dao B",606,IF(Atletas!R166="Jian B",607,IF(Atletas!R166="Bishou B",608,IF(Atletas!R166="Shanzi B",609,IF(Atletas!R166="Outra Arma Curta B",610,IF(Atletas!R166="Dao C",611,IF(Atletas!R166="Jian C",612,IF(Atletas!R166="Bishou C",613,IF(Atletas!R166="Shanzi C",614,IF(Atletas!R166="Outra Arma Curta C",615,IF(Atletas!R166="Dao D",616,IF(Atletas!R166="Jian D",617,IF(Atletas!R166="Bishou D",618,IF(Atletas!R166="Shanzi D",619,IF(Atletas!R166="Outra Arma Curta D",620,IF(Atletas!R166="Dao E",621,IF(Atletas!R166="Jian E",622,IF(Atletas!R166="Bishou E",623,IF(Atletas!R166="Shanzi E",624,IF(Atletas!R166="Outra Arma Curta E",625,IF(Atletas!R166="Dao F",626,IF(Atletas!R166="Jian F",627,IF(Atletas!R166="Bishou F",628,IF(Atletas!R166="Shanzi F",629,IF(Atletas!R166="Outra Arma Curta F",630, "")))))))))))))))))))))))))))))))</f>
        <v/>
      </c>
      <c r="CA175" s="50" t="str">
        <f>IF(Atletas!S166="","",IF(Atletas!X166&lt;&gt;"",10000,0)+IF(Atletas!B166="Feminino",1000,IF(Atletas!B166="Masculino",2000,""))+IF(Atletas!S166="Gun A",701,IF(Atletas!S166="Qiang A",702,IF(Atletas!S166="Pudao / Guandao A",703,IF(Atletas!S166="Outra Arma Longa A",704,IF(Atletas!S166="Gun B",705,IF(Atletas!S166="Qiang B",706,IF(Atletas!S166="Pudao / Guandao B",707,IF(Atletas!S166="Outra Arma Longa B",708,IF(Atletas!S166="Gun C",709,IF(Atletas!S166="Qiang C",710,IF(Atletas!S166="Pudao / Guandao C",711,IF(Atletas!S166="Outra Arma Longa C",712,IF(Atletas!S166="Gun D",713,IF(Atletas!S166="Qiang D",714,IF(Atletas!S166="Pudao / Guandao D",715,IF(Atletas!S166="Outra Arma Longa D",716,IF(Atletas!S166="Gun E",717,IF(Atletas!S166="Qiang E",718,IF(Atletas!S166="Pudao / Guandao E",719,IF(Atletas!S166="Outra Arma Longa E",720,IF(Atletas!S166="Gun F",721,IF(Atletas!S166="Qiang F",722,IF(Atletas!S166="Pudao / Guandao F",723,IF(Atletas!S166="Outra Arma Longa F",724,"")))))))))))))))))))))))))</f>
        <v/>
      </c>
      <c r="CB175" s="50" t="str">
        <f>IF(Atletas!T166="","",IF(Atletas!X166&lt;&gt;"",10000,0)+IF(Atletas!B166="Feminino",1000,IF(Atletas!B166="Masculino",2000,""))+IF(Atletas!T166="Outra Arma Dupla A",801,IF(Atletas!T166="Arma Maleável A",802,IF(Atletas!T166="Outra Arma Dupla B",803,IF(Atletas!T166="Arma Maleável B",804,IF(Atletas!T166="Outra Arma Dupla C",805,IF(Atletas!T166="Arma Maleável C",806,IF(Atletas!T166="Outra Arma Dupla D",807,IF(Atletas!T166="Arma Maleável D",808,IF(Atletas!T166="Outra Arma Dupla E",809,IF(Atletas!T166="Arma Maleável E",810,IF(Atletas!T166="Outra Arma Dupla F",811,IF(Atletas!T166="Arma Maleável F",812,IF(Atletas!T166="Shuangdao A",813,IF(Atletas!T166="Shuangdao B",814,IF(Atletas!T166="Shuangdao C",815,IF(Atletas!T166="Shuangdao D",816,IF(Atletas!T166="Shuangdao E",817,IF(Atletas!T166="Shuangdao F",818,"")))))))))))))))))))</f>
        <v/>
      </c>
      <c r="CC175" s="50" t="str">
        <f>IF(Atletas!U166="","",IF(Atletas!X166&lt;&gt;"",10000,0)+IF(Atletas!B166="Feminino",1000,IF(Atletas!B166="Masculino",2000,""))+IF(OR(Atletas!U166="Taijijian Yang A",Atletas!U166="Taijijian Yang Standard A"),901,IF(OR(Atletas!U166="Taijijian Chen A", Atletas!U166="Taijijian Chen Standard A"),902,IF(Atletas!U166="Taijijian Sun A",903,IF(Atletas!U166="Taijijian Wu A",904,IF(Atletas!U166="Taijijian Wu-Hao A",905,IF(OR(Atletas!U166="Taijijian 32 A",Atletas!U166="Taijijian 42 A"),906,IF(OR(Atletas!U166="Taijijian Yang B",Atletas!U166="Taijijian Yang Standard B"),907,IF(OR(Atletas!U166="Taijijian Chen B", Atletas!U166="Taijijian Chen Standard B"),908,IF(Atletas!U166="Taijijian Sun B",909,IF(Atletas!U166="Taijijian Wu B",910,IF(Atletas!U166="Taijijian Wu-Hao B",911,IF(OR(Atletas!U166="Taijijian 32 B",Atletas!U166="Taijijian 42 B"),912,IF(OR(Atletas!U166="Taijijian Yang C",Atletas!U166="Taijijian Yang Standard C"),913,IF(OR(Atletas!U166="Taijijian Chen C", Atletas!U166="Taijijian Chen Standard C"),914,IF(Atletas!U166="Taijijian Sun C",915,IF(Atletas!U166="Taijijian Wu C",916,IF(Atletas!U166="Taijijian Wu-Hao C",917,IF(OR(Atletas!U166="Taijijian 32 C",Atletas!U166="Taijijian 42 C"),918,IF(OR(Atletas!U166="Taijijian Yang D",Atletas!U166="Taijijian Yang Standard D"),919,IF(OR(Atletas!U166="Taijijian Chen D", Atletas!U166="Taijijian Chen Standard D"),920,IF(Atletas!U166="Taijijian Sun D",921,IF(Atletas!U166="Taijijian Wu D",922,IF(Atletas!U166="Taijijian Wu-Hao D",923,IF(OR(Atletas!U166="Taijijian 32 D",Atletas!U166="Taijijian 42 D"),924,IF(OR(Atletas!U166="Taijijian Yang E",Atletas!U166="Taijijian Yang Standard E"),925,IF(OR(Atletas!U166="Taijijian Chen E", Atletas!U166="Taijijian Chen Standard E"),926,IF(Atletas!U166="Taijijian Sun E",927,IF(Atletas!U166="Taijijian Wu E",928,IF(Atletas!U166="Taijijian Wu-Hao E",929,IF(OR(Atletas!U166="Taijijian 32 E",Atletas!U166="Taijijian 42 E"),930,IF(OR(Atletas!U166="Taijijian Yang F",Atletas!U166="Taijijian Yang Standard F"),931,IF(OR(Atletas!U166="Taijijian Chen F", Atletas!U166="Taijijian Chen Standard F"),932,IF(Atletas!U166="Taijijian Sun F",933,IF(Atletas!U166="Taijijian Wu F",934,IF(Atletas!U166="Taijijian Wu-Hao F",935,IF(OR(Atletas!U166="Taijijian 32 F",Atletas!U166="Taijijian 42 F"),936,"")))))))))))))))))))))))))))))))))))))</f>
        <v/>
      </c>
      <c r="CD175" s="50" t="str">
        <f>IF(Atletas!V166="","",IF(Atletas!X166&lt;&gt;"",10000,0)+IF(Atletas!B166="Feminino",1000,IF(Atletas!B166="Masculino",2000,""))+IF(Atletas!V166="Taijidao A",937,IF(Atletas!V166="TaijiShanzi A",938,IF(Atletas!V166="Taijiqiang A",939,IF(Atletas!V166="Bagua de Arma A",940,IF(Atletas!V166="Xingyi de Arma A",941,IF(Atletas!V166="Taijidao B",942,IF(Atletas!V166="TaijiShanzi B",943,IF(Atletas!V166="Taijiqiang B",944,IF(Atletas!V166="Bagua de Arma B",945,IF(Atletas!V166="Xingyi de Arma B",946,IF(Atletas!V166="Taijidao C",947,IF(Atletas!V166="TaijiShanzi C",948,IF(Atletas!V166="Taijiqiang C",949,IF(Atletas!V166="Bagua de Arma C",950,IF(Atletas!V166="Xingyi de Arma C",951,IF(Atletas!V166="Taijidao D",952,IF(Atletas!V166="TaijiShanzi D",953,IF(Atletas!V166="Taijiqiang D",954,IF(Atletas!V166="Bagua de Arma D",955,IF(Atletas!V166="Xingyi de Arma D",956,IF(Atletas!V166="Taijidao E",957,IF(Atletas!V166="TaijiShanzi E",958,IF(Atletas!V166="Taijiqiang E",959,IF(Atletas!V166="Bagua de Arma E",960,IF(Atletas!V166="Xingyi de Arma E",961,IF(Atletas!V166="Taijidao F",962,IF(Atletas!V166="TaijiShanzi F",963,IF(Atletas!V166="Taijiqiang F",964,IF(Atletas!V166="Bagua de Arma F",965,IF(Atletas!V166="Xingyi de Arma F",966,"")))))))))))))))))))))))))))))))</f>
        <v/>
      </c>
      <c r="CE175" s="66" t="str">
        <f>IF(CF175&lt;&gt;"","TJQ Padr. Yang A","")</f>
        <v/>
      </c>
      <c r="CF175" s="66" t="str">
        <f>IF(COUNTIF(BR:CD,1401)&gt;0,COUNTIF(BR:CD,1401),"")</f>
        <v/>
      </c>
      <c r="CG175" s="66" t="str">
        <f>IF(CH175&lt;&gt;"","TJQ Padr. Yang A","")</f>
        <v/>
      </c>
      <c r="CH175" s="66" t="str">
        <f>IF(COUNTIF(BR:CD,2401)&gt;0,COUNTIF(BR:CD,2401),"")</f>
        <v/>
      </c>
      <c r="CI175" s="66" t="str">
        <f>IF(CJ175&lt;&gt;"","TJQ Padr. Yang B","")</f>
        <v/>
      </c>
      <c r="CJ175" s="66" t="str">
        <f>IF(COUNTIF(BR:CD,11407)&gt;0,COUNTIF(BR:CD,11407),"")</f>
        <v/>
      </c>
      <c r="CK175" s="66" t="str">
        <f>IF(CL175&lt;&gt;"","TJQ Padr. Yang B","")</f>
        <v/>
      </c>
      <c r="CL175" s="66" t="str">
        <f>IF(COUNTIF(BR:CD,12407)&gt;0,COUNTIF(BR:CD,12407),"")</f>
        <v/>
      </c>
      <c r="CM175" s="50" t="str">
        <f xml:space="preserve"> IF(Atletas!W166="","",IF(Atletas!W166="Duilian de Mãos BC - Equipe 1",1,IF(Atletas!W166="Duilian de Mãos BC - Equipe 2",2,IF(Atletas!W166="Duilian de Armas BC - Equipe 1",3,IF(Atletas!W166="Duilian de Armas BC - Equipe 2",4,IF(Atletas!W166="Duilian de Mãos DE - Equipe 1",5,IF(Atletas!W166="Duilian de Mãos DE - Equipe 2",6,IF(Atletas!W166="Duilian de Armas DE - Equipe 1",7,IF(Atletas!W166="Duilian de Armas DE - Equipe 2",8,IF(Atletas!W166="Duilian de Tuishou - Equipe 1",9,IF(Atletas!W166="Duilian de Tuishou - Equipe 2",10,IF(Atletas!W166="Grupo Externo ABC - Equipe 1",11,IF(Atletas!W166="Grupo Externo ABC - Equipe 2",12,IF(Atletas!W166="Grupo Interno ABC - Equipe 1",13,IF(Atletas!W166="Grupo Interno ABC - Equipe 2",14,IF(Atletas!W166="Grupo Externo DEF - Equipe 1",15,IF(Atletas!W166="Grupo Externo DEF - Equipe 2",16,IF(Atletas!W166="Grupo Interno DEF - Equipe 1",17,IF(Atletas!W166="Grupo Interno DEF - Equipe 2",18,"")))))))))))))))))))</f>
        <v/>
      </c>
    </row>
    <row r="176" spans="2:91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 t="str">
        <f t="array" ref="Z176">IFERROR(INDEX(CE$7:CE$348,SMALL(IF(CE$7:CE$348&lt;&gt;"",ROW(CE$7:CE$348)-ROW(CE$7)+1),ROWS(CE$7:CE175))),"")</f>
        <v/>
      </c>
      <c r="AA176" s="3" t="str">
        <f t="array" ref="AA176">IFERROR(INDEX(CF$7:CF$348,SMALL(IF(CF$7:CF$348&lt;&gt;"",ROW(CF$7:CF$348)-ROW(CF$7)+1),ROWS(CF$7:CF175))),"")</f>
        <v/>
      </c>
      <c r="AB176" s="3" t="str">
        <f t="array" ref="AB176">IFERROR(INDEX(CG$7:CG$348,SMALL(IF(CG$7:CG$348&lt;&gt;"",ROW(CG$7:CG$348)-ROW(CG$7)+1),ROWS(CG$7:CG175))),"")</f>
        <v/>
      </c>
      <c r="AC176" s="3" t="str">
        <f t="array" ref="AC176">IFERROR(INDEX(CH$7:CH$348,SMALL(IF(CH$7:CH$348&lt;&gt;"",ROW(CH$7:CH$348)-ROW(CH$7)+1),ROWS(CH$7:CH175))),"")</f>
        <v/>
      </c>
      <c r="AD176" s="3" t="str">
        <f t="array" ref="AD176">IFERROR(INDEX(CI$7:CI$377,SMALL(IF(CI$7:CI$377&lt;&gt;"",ROW(CI$7:CI$377)-ROW(CI$7)+1),ROWS(CI$7:CI175))),"")</f>
        <v/>
      </c>
      <c r="AE176" s="3" t="str">
        <f t="array" ref="AE176">IFERROR(INDEX(CJ$7:CJ$378,SMALL(IF(CJ$7:CJ$378&lt;&gt;"",ROW(CJ$7:CJ$378)-ROW(CJ$7)+1),ROWS(CJ$7:CJ175))),"")</f>
        <v/>
      </c>
      <c r="AF176" s="3" t="str">
        <f t="array" ref="AF176">IFERROR(INDEX(CK$7:CK$378,SMALL(IF(CK$7:CK$378&lt;&gt;"",ROW(CK$7:CK$378)-ROW(CK$7)+1),ROWS(CK$7:CK175))),"")</f>
        <v/>
      </c>
      <c r="AG176" s="3" t="str">
        <f t="array" ref="AG176">IFERROR(INDEX(CL$7:CL$378,SMALL(IF(CL$7:CL$378&lt;&gt;"",ROW(CL$7:CL$378)-ROW(CL$7)+1),ROWS(CL$7:CL175))),"")</f>
        <v/>
      </c>
      <c r="AH176" s="3"/>
      <c r="AI176" s="3"/>
      <c r="AJ176" s="3"/>
      <c r="AK176" s="3"/>
      <c r="AL176" s="3"/>
      <c r="AM176" s="3"/>
      <c r="AN176" s="52" t="str">
        <f>IF(Atletas!D167="","",IF(Atletas!B167="Feminino",100,IF(Atletas!B167="Masculino",200,""))+(IF(Atletas!D167="Kids 30kg",1,IF(Atletas!D167="Kids 32kg",2, IF(Atletas!D167="Kids 34kg",3,IF(Atletas!D167="Kids 36kg",4,IF(Atletas!D167="Kids 39kg",5,IF(Atletas!D167="Kids 42kg",6,IF(Atletas!D167="Kids 45kg",7, IF(Atletas!D167="Infantil 39kg",8,IF(Atletas!D167="Infantil 42kg",9,IF(Atletas!D167="Infantil 45kg",10,IF(Atletas!D167="Infantil 48kg",11,IF(Atletas!D167="Infantil 52kg",12,IF(Atletas!D167="Infantil 56kg",13,IF(Atletas!D167="Infantil 60kg",14,IF(Atletas!D167="Juvenil 48kg",15,IF(Atletas!D167="Juvenil 52kg",16,IF(Atletas!D167="Juvenil 56kg",17,IF(Atletas!D167="Juvenil 60kg",18,IF(Atletas!D167="Juvenil 65kg",19,IF(Atletas!D167="Juvenil 70kg",20,IF(Atletas!D167="Juvenil 75kg",21,IF(Atletas!D167="Juvenil 80kg",22, IF(Atletas!D167="Juvenil 85kg",23,IF(Atletas!D167="Adulto 48kg",24,IF(Atletas!D167="Adulto 52kg",25,IF(Atletas!D167="Adulto 56kg",26,IF(Atletas!D167="Adulto 60kg",27,IF(Atletas!D167="Adulto 65kg",28,IF(Atletas!D167="Adulto 70kg",29,IF(Atletas!D167="Adulto 75kg",30,IF(Atletas!D167="Adulto 80kg",31,IF(Atletas!D167="Adulto 85kg",32,IF(Atletas!D167="Adulto 90kg",33,IF(Atletas!D167="Adulto 100kg",34, IF(Atletas!D167="Adulto +100kg",35,"")))))))))))))))))))))))))))))))))))))</f>
        <v/>
      </c>
      <c r="AS176" s="6" t="str">
        <f>IF(Atletas!E167="","",IF(Atletas!B167="Feminino",100,IF(Atletas!B167="Masculino",200,""))+(IF(Atletas!E167="Juvenil 44kg",1,IF(Atletas!E167="Juvenil 48kg",2,IF(Atletas!E167="Juvenil 52kg",3,IF(Atletas!E167="Juvenil 56kg",4,IF(Atletas!E167="Juvenil 60kg",5,IF(Atletas!E167="Juvenil 65kg",6,IF(Atletas!E167="Juvenil 70kg",7,IF(Atletas!E167="Juvenil 75kg",8,IF(Atletas!E167="Juvenil 82kg",9,IF(Atletas!E167="Juvenil 90kg",10,IF(Atletas!E167="Juvenil 100kg",11,IF(Atletas!E167="Adulto 48kg",12,IF(Atletas!E167="Adulto 52kg",13,IF(Atletas!E167="Adulto 56kg",14,IF(Atletas!E167="Adulto 60kg",15,IF(Atletas!E167="Adulto 65kg",16,IF(Atletas!E167="Adulto 70kg",17,IF(Atletas!E167="Adulto 75kg",18,IF(Atletas!E167="Adulto 82kg",19,IF(Atletas!E167="Adulto 90kg",20,IF(Atletas!E167="Adulto 100kg",21,IF(Atletas!E167="Adulto +100kg",22,""))))))))))))))))))))))))</f>
        <v/>
      </c>
      <c r="AX176" s="6" t="str">
        <f>IF(Atletas!F167="","",IF(Atletas!B167="Feminino",100,IF(Atletas!B167="Masculino",200,""))+(IF(Atletas!F167="Adulto 48kg",1,IF(Atletas!F167="Adulto 56kg",2,IF(Atletas!F167="Adulto 65kg",3,IF(Atletas!F167="Adulto 75kg",4,IF(Atletas!F167="Adulto +75kg",5,IF(Atletas!F167="Adulto 52kg",6,IF(Atletas!F167="Adulto 60kg",7,IF(Atletas!F167="Adulto 70kg",8,IF(Atletas!F167="Adulto 80kg",9,IF(Atletas!F167="Adulto 90kg",10,IF(Atletas!F167="Adulto +90kg",11,"")))))))))))))</f>
        <v/>
      </c>
      <c r="BC176" s="6" t="str">
        <f>IF(Atletas!G167="","",IF(Atletas!B167="Feminino",10,IF(Atletas!B167="Masculino",20,""))+(IF(Atletas!G167="Baduanjin A",1,IF(Atletas!G167="Baduanjin B",2))))</f>
        <v/>
      </c>
      <c r="BF176" s="52" t="str">
        <f>IF(Atletas!H167="","",IF(Atletas!B167="Feminino",100,IF(Atletas!B167="Masculino",200,""))+(IF(Atletas!H167="Changquan Mirim",1,IF(Atletas!H167="Nanquan Mirim",2,IF(Atletas!H167="Taijiquan Mirim",3,IF(Atletas!H167="Changquan Grupo C",4,IF(Atletas!H167="Nanquan Grupo C",5,IF(Atletas!H167="Taijiquan Grupo C",6,IF(Atletas!H167="Changquan Grupo B",7,IF(Atletas!H167="Nanquan Grupo B",8,IF(Atletas!H167="Taijiquan Grupo B",9,IF(Atletas!H167="Changquan Grupo A",10,IF(Atletas!H167="Nanquan Grupo A",11,IF(Atletas!H167="Taijiquan Grupo A",12,IF(Atletas!H167="Changquan Opcional",13,IF(Atletas!H167="Nanquan Opcional",14,IF(Atletas!H167="Taijiquan Opcional",15,IF(Atletas!H167="Changquan Adulto",16,IF(Atletas!H167="Nanquan Adulto",17,IF(Atletas!H167="Taijiquan Adulto",18,""))))))))))))))))))))</f>
        <v/>
      </c>
      <c r="BG176" s="52" t="str">
        <f>IF(Atletas!I167="","",IF(Atletas!B167="Feminino",100,IF(Atletas!B167="Masculino",200,""))+(IF(Atletas!I167="Daoshu Mirim",19,IF(Atletas!I167="Jianshu Mirim",20,IF(Atletas!I167="Nandao Mirim",21,IF(Atletas!I167="Taijijian Mirim",22,IF(Atletas!I167="Daoshu Grupo C",23,IF(Atletas!I167="Jianshu Grupo C",24,IF(Atletas!I167="Nandao Grupo C",25,IF(Atletas!I167="Taijijian Grupo C",26,IF(Atletas!I167="Daoshu Grupo B",27,IF(Atletas!I167="Jianshu Grupo B",28,IF(Atletas!I167="Nandao Grupo B",29,IF(Atletas!I167="Taijijian Grupo B",30,IF(Atletas!I167="Daoshu Grupo A",31,IF(Atletas!I167="Jianshu Grupo A",32,IF(Atletas!I167="Nandao Grupo A",33,IF(Atletas!I167="Taijijian Grupo A",34,IF(Atletas!I167="Daoshu Opcional",35,IF(Atletas!I167="Jianshu Opcional",36,IF(Atletas!I167="Nandao Opcional",37,IF(Atletas!I167="Taijijian Opcional",38,IF(Atletas!I167="Daoshu Adulto",39,IF(Atletas!I167="Jianshu Adulto",40,IF(Atletas!I167="Nandao Adulto",41,IF(Atletas!I167="Taijijian Adulto",42,""))))))))))))))))))))))))))</f>
        <v/>
      </c>
      <c r="BH176" s="52" t="str">
        <f>IF(Atletas!J167="","",IF(Atletas!B167="Feminino",100,IF(Atletas!B167="Masculino",200,""))+(IF(Atletas!J167="Gunshu Mirim",43,IF(Atletas!J167="Qiangshu Mirim",44,IF(Atletas!J167="Nangun Mirim",45,IF(Atletas!J167="Gunshu Grupo C",46,IF(Atletas!J167="Qiangshu Grupo C",47,IF(Atletas!J167="Nangun Grupo C",48,IF(Atletas!J167="Gunshu Grupo B",49,IF(Atletas!J167="Qiangshu Grupo B",50,IF(Atletas!J167="Nangun Grupo B",51,IF(Atletas!J167="Gunshu Grupo A",52,IF(Atletas!J167="Qiangshu Grupo A",53,IF(Atletas!J167="Nangun Grupo A",54,IF(Atletas!J167="Gunshu Opcional",55,IF(Atletas!J167="Qiangshu Opcional",56,IF(Atletas!J167="Nangun Opcional",57,IF(Atletas!J167="Gunshu Adulto",58,IF(Atletas!J167="Qiangshu Adulto",59,IF(Atletas!J167="Nangun Adulto",60,IF(Atletas!J167="Taijishan Grupo B",61,IF(Atletas!J167="Taijishan Grupo A",62,""))))))))))))))))))))))</f>
        <v/>
      </c>
      <c r="BM176" s="50" t="str">
        <f>IF(Atletas!K167="","",IF(Atletas!B167="Feminino",100,IF(Atletas!B167="Masculino",200,""))+(IF(Atletas!K167="Equipe 1 Grupo B",1,IF(Atletas!K167="Equipe 2 Grupo B",2,IF(Atletas!K167="Equipe 1 Grupo A",3,IF(Atletas!K167="Equipe 2 Grupo A",4,IF(Atletas!K167="Equipe 1 Adulto",5,IF(Atletas!K167="Equipe 2 Adulto",6,""))))))))</f>
        <v/>
      </c>
      <c r="BR176" s="50" t="str">
        <f>IF(Atletas!L167="","",IF(Atletas!X167&lt;&gt;"",10000,0)+(IF(Atletas!B167="Feminino",1000,IF(Atletas!B167="Masculino",2000,""))+IF(Atletas!L167="Choylayfut A",1,IF(Atletas!L167="Hunggar A",2,IF(Atletas!L167="Wuzuquan A",3,IF(Atletas!L167="Wingchun A",4,IF(Atletas!L167="Outra Mão de Sul A",5,IF(Atletas!L167="Choylayfut B",6,IF(Atletas!L167="Hunggar B",7,IF(Atletas!L167="Wuzuquan B",8,IF(Atletas!L167="Wingchun B",9,IF(Atletas!L167="Outra Mão de Sul B",10,IF(Atletas!L167="Choylayfut C",11,IF(Atletas!L167="Hunggar C",12,IF(Atletas!L167="Wuzuquan C",13,IF(Atletas!L167="Wingchun C",14,IF(Atletas!L167="Outra Mão de Sul C",15,IF(Atletas!L167="Choylayfut D",16,IF(Atletas!L167="Hunggar D",17,IF(Atletas!L167="Wuzuquan D",18,IF(Atletas!L167="Wingchun D",19,IF(Atletas!L167="Outra Mão de Sul D",20,IF(Atletas!L167="Choylayfut E",21,IF(Atletas!L167="Hunggar E",22,IF(Atletas!L167="Wuzuquan E",23,IF(Atletas!L167="Wingchun E",24,IF(Atletas!L167="Outra Mão de Sul E",25,IF(Atletas!L167="Choylayfut F",26,IF(Atletas!L167="Hunggar F",27,IF(Atletas!L167="Wuzuquan F",28,IF(Atletas!L167="Wingchun F",29,IF(Atletas!L167="Outra Mão de Sul F",30,IF(Atletas!L167="Dishuquan A",31,IF(Atletas!L167="Dishuquan B",32,IF(Atletas!L167="Dishuquan C",33,IF(Atletas!L167="Dishuquan D",34,IF(Atletas!L167="Dishuquan E",35,IF(Atletas!L167="Dishuquan F",36,""))))))))))))))))))))))))))))))))))))))</f>
        <v/>
      </c>
      <c r="BS176" s="50" t="str">
        <f>IF(Atletas!M167="","",IF(Atletas!X167&lt;&gt;"",10000,0)+(IF(Atletas!B167="Feminino",1000,IF(Atletas!B167="Masculino",2000,""))+(IF(Atletas!M167="Chaquan A",101,IF(Atletas!M167="Emeiquan A",102,IF(Atletas!M167="Fanziquan A",103,IF(Atletas!M167="Huaquan A",104,IF(Atletas!M167="Hongquan A",105,IF(Atletas!M167="Paoquan A",106,IF(Atletas!M167="Piguaquan A",107,IF(Atletas!M167="Shaolinquan A",108,IF(Atletas!M167="Tanglangquan A",109,IF(Atletas!M167="Yingzhaoquan A",110,IF(Atletas!M167="Tongbeiquan A",111,IF(Atletas!M167="Wudangquan A",112,IF(Atletas!M167="Outros Estilos A",113,IF(Atletas!M167="Chaquan B",114,IF(Atletas!M167="Emeiquan B",115,IF(Atletas!M167="Fanziquan B",116,IF(Atletas!M167="Huaquan B",117,IF(Atletas!M167="Hongquan B",118,IF(Atletas!M167="Paoquan B",119,IF(Atletas!M167="Piguaquan B",120,IF(Atletas!M167="Shaolinquan B",121,IF(Atletas!M167="Tanglangquan B",122,IF(Atletas!M167="Yingzhaoquan B",123,IF(Atletas!M167="Tongbeiquan B",124,IF(Atletas!M167="Wudangquan B",125,IF(Atletas!M167="Outros Estilos B",126,IF(Atletas!M167="Chaquan C",127,IF(Atletas!M167="Emeiquan C",128,IF(Atletas!M167="Fanziquan C",129,IF(Atletas!M167="Huaquan C",130,IF(Atletas!M167="Hongquan C",131,IF(Atletas!M167="Paoquan C",132,IF(Atletas!M167="Piguaquan C",133,IF(Atletas!M167="Shaolinquan C",134,IF(Atletas!M167="Tanglangquan C",135,IF(Atletas!M167="Yingzhaoquan C",136,IF(Atletas!M167="Tongbeiquan C",137,IF(Atletas!M167="Wudangquan C",138,IF(Atletas!M167="Outros Estilos C",139,0))))))))))))))))))))))))))))))))))))))))))</f>
        <v/>
      </c>
      <c r="BT176" s="50" t="str">
        <f>IF(Atletas!M167="","",IF(Atletas!X167&lt;&gt;"",10000,0)+(IF(Atletas!B167="Feminino",1000,IF(Atletas!B167="Masculino",2000,""))+(IF(Atletas!M167="Chaquan D",140,IF(Atletas!M167="Emeiquan D",141,IF(Atletas!M167="Fanziquan D",142,IF(Atletas!M167="Huaquan D",143,IF(Atletas!M167="Hongquan D",144,IF(Atletas!M167="Paoquan D",145,IF(Atletas!M167="Piguaquan D",146,IF(Atletas!M167="Shaolinquan D",147,IF(Atletas!M167="Tanglangquan D",148,IF(Atletas!M167="Yingzhaoquan D",149,IF(Atletas!M167="Tongbeiquan D",150,IF(Atletas!M167="Wudangquan D",151,IF(Atletas!M167="Outros Estilos D",152,IF(Atletas!M167="Chaquan E",153,IF(Atletas!M167="Emeiquan E",154,IF(Atletas!M167="Fanziquan E",155,IF(Atletas!M167="Huaquan E",156,IF(Atletas!M167="Hongquan E",157,IF(Atletas!M167="Paoquan E",158,IF(Atletas!M167="Piguaquan E",159,IF(Atletas!M167="Shaolinquan E",160,IF(Atletas!M167="Tanglangquan E",161,IF(Atletas!M167="Yingzhaoquan E",162,IF(Atletas!M167="Tongbeiquan E",163,IF(Atletas!M167="Wudangquan E",164,IF(Atletas!M167="Outros Estilos E",165,IF(Atletas!M167="Chaquan F",166,IF(Atletas!M167="Emeiquan F",167,IF(Atletas!M167="Fanziquan F",168,IF(Atletas!M167="Huaquan F",169,IF(Atletas!M167="Hongquan F",170,IF(Atletas!M167="Paoquan F",171,IF(Atletas!M167="Piguaquan F",172,IF(Atletas!M167="Shaolinquan F",173,IF(Atletas!M167="Tanglangquan F",174,IF(Atletas!M167="Yingzhaoquan F",175,IF(Atletas!M167="Tongbeiquan F",176,IF(Atletas!M167="Wudangquan F",177,IF(Atletas!M167="Outros Estilos F",178,0))))))))))))))))))))))))))))))))))))))))))</f>
        <v/>
      </c>
      <c r="BU176" s="50" t="str">
        <f>IF(Atletas!N167="","",IF(Atletas!X167&lt;&gt;"",10000,0)+(IF(Atletas!B167="Feminino",1000,IF(Atletas!B167="Masculino",2000,""))+(IF(Atletas!N167="Ditangquan A",201,IF(Atletas!N167="Houquan A",202,IF(Atletas!N167="Zuiquan A",203,IF(Atletas!N167="Ditangquan B",204,IF(Atletas!N167="Houquan B",205,IF(Atletas!N167="Zuiquan B",206,IF(Atletas!N167="Ditangquan C",207,IF(Atletas!N167="Houquan C",208,IF(Atletas!N167="Zuiquan C",209,IF(Atletas!N167="Ditangquan D",210,IF(Atletas!N167="Houquan D",211,IF(Atletas!N167="Zuiquan D",212,IF(Atletas!N167="Ditangquan E",213,IF(Atletas!N167="Houquan E",214,IF(Atletas!N167="Zuiquan E",215,IF(Atletas!N167="Ditangquan F",216,IF(Atletas!N167="Houquan F",217,IF(Atletas!N167="Zuiquan F",218,"")))))))))))))))))))))</f>
        <v/>
      </c>
      <c r="BV176" s="50" t="str">
        <f>IF(Atletas!O167="","",IF(Atletas!X167&lt;&gt;"",10000,0)+IF(Atletas!B167="Feminino",1000,IF(Atletas!B167="Masculino",2000,""))+IF(Atletas!O167="Yang A",301,IF(Atletas!O167="Chen A",302,IF(Atletas!O167="Sun A",303,IF(Atletas!O167="Wu A",304,IF(Atletas!O167="Wu-Hao A",305,IF(Atletas!O167="Outro Taijiquan A",306,IF(Atletas!O167="Yang B",307,IF(Atletas!O167="Chen B",308,IF(Atletas!O167="Sun B",309,IF(Atletas!O167="Wu B",310,IF(Atletas!O167="Wu-Hao B",311,IF(Atletas!O167="Outro Taijiquan B",312,IF(Atletas!O167="Yang C",313,IF(Atletas!O167="Chen C",314,IF(Atletas!O167="Sun C",315,IF(Atletas!O167="Wu C",316,IF(Atletas!O167="Wu-Hao C",317,IF(Atletas!O167="Outro Taijiquan C",318,IF(Atletas!O167="Yang D",319,IF(Atletas!O167="Chen D",320,IF(Atletas!O167="Sun D",321,IF(Atletas!O167="Wu D",322,IF(Atletas!O167="Wu-Hao D",323,IF(Atletas!O167="Outro Taijiquan D",324,IF(Atletas!O167="Yang E",325,IF(Atletas!O167="Chen E",326,IF(Atletas!O167="Sun E",327,IF(Atletas!O167="Wu E",328,IF(Atletas!O167="Wu-Hao E",329,IF(Atletas!O167="Outro Taijiquan E",330,IF(Atletas!O167="Yang F",331,IF(Atletas!O167="Chen F",332,IF(Atletas!O167="Sun F",333,IF(Atletas!O167="Wu F",334,IF(Atletas!O167="Wu-Hao F",335,IF(Atletas!O167="Outro Taijiquan F",336,"")))))))))))))))))))))))))))))))))))))</f>
        <v/>
      </c>
      <c r="BW176" s="50" t="str">
        <f>IF(Atletas!P167="","",IF(Atletas!X167&lt;&gt;"",10000,0)+IF(Atletas!B167="Feminino",1000,IF(Atletas!B167="Masculino",2000,""))+IF(OR(Atletas!P167="Yang 26 A",Atletas!P167="Yang 40 A"),401,IF(OR(Atletas!P167="Chen 25 A",Atletas!P167="Chen 36 A",Atletas!P167="Chen 56 A"),402,IF(Atletas!P167="Sun 73 A",403,IF(Atletas!P167="Wu 45 A",404,IF(Atletas!P167="Wu-Hao 46 A",405,IF(OR(Atletas!P167="Taijiquan 16 A",Atletas!P167="Taijiquan 24 A",Atletas!P167="Taijiquan 32 A",Atletas!P167="Taijiquan 42 A"),406,IF(OR(Atletas!P167="Yang 26 B",Atletas!P167="Yang 40 B"),407,IF(OR(Atletas!P167="Chen 25 B",Atletas!P167="Chen 36 B",Atletas!P167="Chen 56 B"),408,IF(Atletas!P167="Sun 73 B",409,IF(Atletas!P167="Wu 45 B",410,IF(Atletas!P167="Wu-Hao 46 B",411,IF(OR(Atletas!P167="Taijiquan 16 B",Atletas!P167="Taijiquan 24 B",Atletas!P167="Taijiquan 32 B",Atletas!P167="Taijiquan 42 B"),412,IF(OR(Atletas!P167="Yang 26 C",Atletas!P167="Yang 40 C"),413,IF(OR(Atletas!P167="Chen 25 C",Atletas!P167="Chen 36 C",Atletas!P167="Chen 56 C"),414,IF(Atletas!P167="Sun 73 C",415,IF(Atletas!P167="Wu 45 C",416,IF(Atletas!P167="Wu-Hao 46 C",417,IF(OR(Atletas!P167="Taijiquan 16 C",Atletas!P167="Taijiquan 24 C",Atletas!P167="Taijiquan 32 C",Atletas!P167="Taijiquan 42 C"),418,0)))))))))))))))))))</f>
        <v/>
      </c>
      <c r="BX176" s="50" t="str">
        <f>IF(Atletas!P167="","",IF(Atletas!X167&lt;&gt;"",10000,0)+IF(Atletas!B167="Feminino",1000,IF(Atletas!B167="Masculino",2000,""))+IF(OR(Atletas!P167="Yang 26 D",Atletas!P167="Yang 40 D"),419,IF(OR(Atletas!P167="Chen 25 D",Atletas!P167="Chen 36 D",Atletas!P167="Chen 56 D"),420,IF(Atletas!P167="Sun 73 D",421,IF(Atletas!P167="Wu 45 D",422,IF(Atletas!P167="Wu-Hao 46 D",423,IF(OR(Atletas!P167="Taijiquan 16 D",Atletas!P167="Taijiquan 24 D",Atletas!P167="Taijiquan 32 D",Atletas!P167="Taijiquan 42 D"),424,IF(OR(Atletas!P167="Yang 26 E",Atletas!P167="Yang 40 E"),425,IF(OR(Atletas!P167="Chen 25 E",Atletas!P167="Chen 36 E",Atletas!P167="Chen 56 E"),426,IF(Atletas!P167="Sun 73 E",427,IF(Atletas!P167="Wu 45 E",428,IF(Atletas!P167="Wu-Hao 46 E",429,IF(OR(Atletas!P167="Taijiquan 16 E",Atletas!P167="Taijiquan 24 E",Atletas!P167="Taijiquan 32 E",Atletas!P167="Taijiquan 42 E"),430,IF(OR(Atletas!P167="Yang 26 F",Atletas!P167="Yang 40 F"),431,IF(OR(Atletas!P167="Chen 25 F",Atletas!P167="Chen 36 F",Atletas!P167="Chen 56 F"),432,IF(Atletas!P167="Sun 73 F",433,IF(Atletas!P167="Wu 45 F",434,IF(Atletas!P167="Wu-Hao 46 F",435,IF(OR(Atletas!P167="Taijiquan 16 F",Atletas!P167="Taijiquan 24 F",Atletas!P167="Taijiquan 32 F",Atletas!P167="Taijiquan 42 F"),436,0)))))))))))))))))))</f>
        <v/>
      </c>
      <c r="BY176" s="50" t="str">
        <f>IF(Atletas!Q167="","",IF(Atletas!X167&lt;&gt;"",10000,0)+IF(Atletas!B167="Feminino",1000,IF(Atletas!B167="Masculino",2000,""))+IF(Atletas!Q167="Xingyiquan A",501,IF(Atletas!Q167="Baguazhang A",502,IF(Atletas!Q167="Outro Estilo Interno A",503,IF(Atletas!Q167="Xingyiquan B",504,IF(Atletas!Q167="Baguazhang B",505,IF(Atletas!Q167="Outro Estilo Interno B",506,IF(Atletas!Q167="Xingyiquan C",507,IF(Atletas!Q167="Baguazhang C",508,IF(Atletas!Q167="Outro Estilo Interno C",509,IF(Atletas!Q167="Xingyiquan D",510,IF(Atletas!Q167="Baguazhang D",511,IF(Atletas!Q167="Outro Estilo Interno D",512,IF(Atletas!Q167="Xingyiquan E",513,IF(Atletas!Q167="Baguazhang E",514,IF(Atletas!Q167="Outro Estilo Interno E",515,IF(Atletas!Q167="Xingyiquan F",516,IF(Atletas!Q167="Baguazhang F",517,IF(Atletas!Q167="Outro Estilo Interno F",518, "")))))))))))))))))))</f>
        <v/>
      </c>
      <c r="BZ176" s="50" t="str">
        <f>IF(Atletas!R167="","",IF(Atletas!X167&lt;&gt;"",10000,0)+IF(Atletas!B167="Feminino",1000,IF(Atletas!B167="Masculino",2000,""))+IF(Atletas!R167="Dao A",601,IF(Atletas!R167="Jian A",602,IF(Atletas!R167="Bishou A",603,IF(Atletas!R167="Shanzi A",604,IF(Atletas!R167="Outra Arma Curta A",605,IF(Atletas!R167="Dao B",606,IF(Atletas!R167="Jian B",607,IF(Atletas!R167="Bishou B",608,IF(Atletas!R167="Shanzi B",609,IF(Atletas!R167="Outra Arma Curta B",610,IF(Atletas!R167="Dao C",611,IF(Atletas!R167="Jian C",612,IF(Atletas!R167="Bishou C",613,IF(Atletas!R167="Shanzi C",614,IF(Atletas!R167="Outra Arma Curta C",615,IF(Atletas!R167="Dao D",616,IF(Atletas!R167="Jian D",617,IF(Atletas!R167="Bishou D",618,IF(Atletas!R167="Shanzi D",619,IF(Atletas!R167="Outra Arma Curta D",620,IF(Atletas!R167="Dao E",621,IF(Atletas!R167="Jian E",622,IF(Atletas!R167="Bishou E",623,IF(Atletas!R167="Shanzi E",624,IF(Atletas!R167="Outra Arma Curta E",625,IF(Atletas!R167="Dao F",626,IF(Atletas!R167="Jian F",627,IF(Atletas!R167="Bishou F",628,IF(Atletas!R167="Shanzi F",629,IF(Atletas!R167="Outra Arma Curta F",630, "")))))))))))))))))))))))))))))))</f>
        <v/>
      </c>
      <c r="CA176" s="50" t="str">
        <f>IF(Atletas!S167="","",IF(Atletas!X167&lt;&gt;"",10000,0)+IF(Atletas!B167="Feminino",1000,IF(Atletas!B167="Masculino",2000,""))+IF(Atletas!S167="Gun A",701,IF(Atletas!S167="Qiang A",702,IF(Atletas!S167="Pudao / Guandao A",703,IF(Atletas!S167="Outra Arma Longa A",704,IF(Atletas!S167="Gun B",705,IF(Atletas!S167="Qiang B",706,IF(Atletas!S167="Pudao / Guandao B",707,IF(Atletas!S167="Outra Arma Longa B",708,IF(Atletas!S167="Gun C",709,IF(Atletas!S167="Qiang C",710,IF(Atletas!S167="Pudao / Guandao C",711,IF(Atletas!S167="Outra Arma Longa C",712,IF(Atletas!S167="Gun D",713,IF(Atletas!S167="Qiang D",714,IF(Atletas!S167="Pudao / Guandao D",715,IF(Atletas!S167="Outra Arma Longa D",716,IF(Atletas!S167="Gun E",717,IF(Atletas!S167="Qiang E",718,IF(Atletas!S167="Pudao / Guandao E",719,IF(Atletas!S167="Outra Arma Longa E",720,IF(Atletas!S167="Gun F",721,IF(Atletas!S167="Qiang F",722,IF(Atletas!S167="Pudao / Guandao F",723,IF(Atletas!S167="Outra Arma Longa F",724,"")))))))))))))))))))))))))</f>
        <v/>
      </c>
      <c r="CB176" s="50" t="str">
        <f>IF(Atletas!T167="","",IF(Atletas!X167&lt;&gt;"",10000,0)+IF(Atletas!B167="Feminino",1000,IF(Atletas!B167="Masculino",2000,""))+IF(Atletas!T167="Outra Arma Dupla A",801,IF(Atletas!T167="Arma Maleável A",802,IF(Atletas!T167="Outra Arma Dupla B",803,IF(Atletas!T167="Arma Maleável B",804,IF(Atletas!T167="Outra Arma Dupla C",805,IF(Atletas!T167="Arma Maleável C",806,IF(Atletas!T167="Outra Arma Dupla D",807,IF(Atletas!T167="Arma Maleável D",808,IF(Atletas!T167="Outra Arma Dupla E",809,IF(Atletas!T167="Arma Maleável E",810,IF(Atletas!T167="Outra Arma Dupla F",811,IF(Atletas!T167="Arma Maleável F",812,IF(Atletas!T167="Shuangdao A",813,IF(Atletas!T167="Shuangdao B",814,IF(Atletas!T167="Shuangdao C",815,IF(Atletas!T167="Shuangdao D",816,IF(Atletas!T167="Shuangdao E",817,IF(Atletas!T167="Shuangdao F",818,"")))))))))))))))))))</f>
        <v/>
      </c>
      <c r="CC176" s="50" t="str">
        <f>IF(Atletas!U167="","",IF(Atletas!X167&lt;&gt;"",10000,0)+IF(Atletas!B167="Feminino",1000,IF(Atletas!B167="Masculino",2000,""))+IF(OR(Atletas!U167="Taijijian Yang A",Atletas!U167="Taijijian Yang Standard A"),901,IF(OR(Atletas!U167="Taijijian Chen A", Atletas!U167="Taijijian Chen Standard A"),902,IF(Atletas!U167="Taijijian Sun A",903,IF(Atletas!U167="Taijijian Wu A",904,IF(Atletas!U167="Taijijian Wu-Hao A",905,IF(OR(Atletas!U167="Taijijian 32 A",Atletas!U167="Taijijian 42 A"),906,IF(OR(Atletas!U167="Taijijian Yang B",Atletas!U167="Taijijian Yang Standard B"),907,IF(OR(Atletas!U167="Taijijian Chen B", Atletas!U167="Taijijian Chen Standard B"),908,IF(Atletas!U167="Taijijian Sun B",909,IF(Atletas!U167="Taijijian Wu B",910,IF(Atletas!U167="Taijijian Wu-Hao B",911,IF(OR(Atletas!U167="Taijijian 32 B",Atletas!U167="Taijijian 42 B"),912,IF(OR(Atletas!U167="Taijijian Yang C",Atletas!U167="Taijijian Yang Standard C"),913,IF(OR(Atletas!U167="Taijijian Chen C", Atletas!U167="Taijijian Chen Standard C"),914,IF(Atletas!U167="Taijijian Sun C",915,IF(Atletas!U167="Taijijian Wu C",916,IF(Atletas!U167="Taijijian Wu-Hao C",917,IF(OR(Atletas!U167="Taijijian 32 C",Atletas!U167="Taijijian 42 C"),918,IF(OR(Atletas!U167="Taijijian Yang D",Atletas!U167="Taijijian Yang Standard D"),919,IF(OR(Atletas!U167="Taijijian Chen D", Atletas!U167="Taijijian Chen Standard D"),920,IF(Atletas!U167="Taijijian Sun D",921,IF(Atletas!U167="Taijijian Wu D",922,IF(Atletas!U167="Taijijian Wu-Hao D",923,IF(OR(Atletas!U167="Taijijian 32 D",Atletas!U167="Taijijian 42 D"),924,IF(OR(Atletas!U167="Taijijian Yang E",Atletas!U167="Taijijian Yang Standard E"),925,IF(OR(Atletas!U167="Taijijian Chen E", Atletas!U167="Taijijian Chen Standard E"),926,IF(Atletas!U167="Taijijian Sun E",927,IF(Atletas!U167="Taijijian Wu E",928,IF(Atletas!U167="Taijijian Wu-Hao E",929,IF(OR(Atletas!U167="Taijijian 32 E",Atletas!U167="Taijijian 42 E"),930,IF(OR(Atletas!U167="Taijijian Yang F",Atletas!U167="Taijijian Yang Standard F"),931,IF(OR(Atletas!U167="Taijijian Chen F", Atletas!U167="Taijijian Chen Standard F"),932,IF(Atletas!U167="Taijijian Sun F",933,IF(Atletas!U167="Taijijian Wu F",934,IF(Atletas!U167="Taijijian Wu-Hao F",935,IF(OR(Atletas!U167="Taijijian 32 F",Atletas!U167="Taijijian 42 F"),936,"")))))))))))))))))))))))))))))))))))))</f>
        <v/>
      </c>
      <c r="CD176" s="50" t="str">
        <f>IF(Atletas!V167="","",IF(Atletas!X167&lt;&gt;"",10000,0)+IF(Atletas!B167="Feminino",1000,IF(Atletas!B167="Masculino",2000,""))+IF(Atletas!V167="Taijidao A",937,IF(Atletas!V167="TaijiShanzi A",938,IF(Atletas!V167="Taijiqiang A",939,IF(Atletas!V167="Bagua de Arma A",940,IF(Atletas!V167="Xingyi de Arma A",941,IF(Atletas!V167="Taijidao B",942,IF(Atletas!V167="TaijiShanzi B",943,IF(Atletas!V167="Taijiqiang B",944,IF(Atletas!V167="Bagua de Arma B",945,IF(Atletas!V167="Xingyi de Arma B",946,IF(Atletas!V167="Taijidao C",947,IF(Atletas!V167="TaijiShanzi C",948,IF(Atletas!V167="Taijiqiang C",949,IF(Atletas!V167="Bagua de Arma C",950,IF(Atletas!V167="Xingyi de Arma C",951,IF(Atletas!V167="Taijidao D",952,IF(Atletas!V167="TaijiShanzi D",953,IF(Atletas!V167="Taijiqiang D",954,IF(Atletas!V167="Bagua de Arma D",955,IF(Atletas!V167="Xingyi de Arma D",956,IF(Atletas!V167="Taijidao E",957,IF(Atletas!V167="TaijiShanzi E",958,IF(Atletas!V167="Taijiqiang E",959,IF(Atletas!V167="Bagua de Arma E",960,IF(Atletas!V167="Xingyi de Arma E",961,IF(Atletas!V167="Taijidao F",962,IF(Atletas!V167="TaijiShanzi F",963,IF(Atletas!V167="Taijiqiang F",964,IF(Atletas!V167="Bagua de Arma F",965,IF(Atletas!V167="Xingyi de Arma F",966,"")))))))))))))))))))))))))))))))</f>
        <v/>
      </c>
      <c r="CE176" s="66" t="str">
        <f>IF(CF176&lt;&gt;"","TJQ Padr. Chen A","")</f>
        <v/>
      </c>
      <c r="CF176" s="66" t="str">
        <f>IF(COUNTIF(BR:CD,1402)&gt;0,COUNTIF(BR:CD,1402),"")</f>
        <v/>
      </c>
      <c r="CG176" s="66" t="str">
        <f>IF(CH176&lt;&gt;"","TJQ Padr. Chen A","")</f>
        <v/>
      </c>
      <c r="CH176" s="66" t="str">
        <f>IF(COUNTIF(BR:CD,2402)&gt;0,COUNTIF(BR:CD,2402),"")</f>
        <v/>
      </c>
      <c r="CI176" s="66" t="str">
        <f>IF(CJ176&lt;&gt;"","TJQ Padr. Chen B","")</f>
        <v/>
      </c>
      <c r="CJ176" s="66" t="str">
        <f>IF(COUNTIF(BR:CD,11408)&gt;0,COUNTIF(BR:CD,11408),"")</f>
        <v/>
      </c>
      <c r="CK176" s="66" t="str">
        <f>IF(CL176&lt;&gt;"","TJQ Padr. Chen B","")</f>
        <v/>
      </c>
      <c r="CL176" s="66" t="str">
        <f>IF(COUNTIF(BR:CD,12408)&gt;0,COUNTIF(BR:CD,12408),"")</f>
        <v/>
      </c>
      <c r="CM176" s="50" t="str">
        <f xml:space="preserve"> IF(Atletas!W167="","",IF(Atletas!W167="Duilian de Mãos BC - Equipe 1",1,IF(Atletas!W167="Duilian de Mãos BC - Equipe 2",2,IF(Atletas!W167="Duilian de Armas BC - Equipe 1",3,IF(Atletas!W167="Duilian de Armas BC - Equipe 2",4,IF(Atletas!W167="Duilian de Mãos DE - Equipe 1",5,IF(Atletas!W167="Duilian de Mãos DE - Equipe 2",6,IF(Atletas!W167="Duilian de Armas DE - Equipe 1",7,IF(Atletas!W167="Duilian de Armas DE - Equipe 2",8,IF(Atletas!W167="Duilian de Tuishou - Equipe 1",9,IF(Atletas!W167="Duilian de Tuishou - Equipe 2",10,IF(Atletas!W167="Grupo Externo ABC - Equipe 1",11,IF(Atletas!W167="Grupo Externo ABC - Equipe 2",12,IF(Atletas!W167="Grupo Interno ABC - Equipe 1",13,IF(Atletas!W167="Grupo Interno ABC - Equipe 2",14,IF(Atletas!W167="Grupo Externo DEF - Equipe 1",15,IF(Atletas!W167="Grupo Externo DEF - Equipe 2",16,IF(Atletas!W167="Grupo Interno DEF - Equipe 1",17,IF(Atletas!W167="Grupo Interno DEF - Equipe 2",18,"")))))))))))))))))))</f>
        <v/>
      </c>
    </row>
    <row r="177" spans="2:91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 t="str">
        <f t="array" ref="Z177">IFERROR(INDEX(CE$7:CE$348,SMALL(IF(CE$7:CE$348&lt;&gt;"",ROW(CE$7:CE$348)-ROW(CE$7)+1),ROWS(CE$7:CE176))),"")</f>
        <v/>
      </c>
      <c r="AA177" s="3" t="str">
        <f t="array" ref="AA177">IFERROR(INDEX(CF$7:CF$348,SMALL(IF(CF$7:CF$348&lt;&gt;"",ROW(CF$7:CF$348)-ROW(CF$7)+1),ROWS(CF$7:CF176))),"")</f>
        <v/>
      </c>
      <c r="AB177" s="3" t="str">
        <f t="array" ref="AB177">IFERROR(INDEX(CG$7:CG$348,SMALL(IF(CG$7:CG$348&lt;&gt;"",ROW(CG$7:CG$348)-ROW(CG$7)+1),ROWS(CG$7:CG176))),"")</f>
        <v/>
      </c>
      <c r="AC177" s="3" t="str">
        <f t="array" ref="AC177">IFERROR(INDEX(CH$7:CH$348,SMALL(IF(CH$7:CH$348&lt;&gt;"",ROW(CH$7:CH$348)-ROW(CH$7)+1),ROWS(CH$7:CH176))),"")</f>
        <v/>
      </c>
      <c r="AD177" s="3" t="str">
        <f t="array" ref="AD177">IFERROR(INDEX(CI$7:CI$377,SMALL(IF(CI$7:CI$377&lt;&gt;"",ROW(CI$7:CI$377)-ROW(CI$7)+1),ROWS(CI$7:CI176))),"")</f>
        <v/>
      </c>
      <c r="AE177" s="3" t="str">
        <f t="array" ref="AE177">IFERROR(INDEX(CJ$7:CJ$378,SMALL(IF(CJ$7:CJ$378&lt;&gt;"",ROW(CJ$7:CJ$378)-ROW(CJ$7)+1),ROWS(CJ$7:CJ176))),"")</f>
        <v/>
      </c>
      <c r="AF177" s="3" t="str">
        <f t="array" ref="AF177">IFERROR(INDEX(CK$7:CK$378,SMALL(IF(CK$7:CK$378&lt;&gt;"",ROW(CK$7:CK$378)-ROW(CK$7)+1),ROWS(CK$7:CK176))),"")</f>
        <v/>
      </c>
      <c r="AG177" s="3" t="str">
        <f t="array" ref="AG177">IFERROR(INDEX(CL$7:CL$378,SMALL(IF(CL$7:CL$378&lt;&gt;"",ROW(CL$7:CL$378)-ROW(CL$7)+1),ROWS(CL$7:CL176))),"")</f>
        <v/>
      </c>
      <c r="AH177" s="3"/>
      <c r="AI177" s="3"/>
      <c r="AJ177" s="3"/>
      <c r="AK177" s="3"/>
      <c r="AL177" s="3"/>
      <c r="AM177" s="3"/>
      <c r="AN177" s="52" t="str">
        <f>IF(Atletas!D168="","",IF(Atletas!B168="Feminino",100,IF(Atletas!B168="Masculino",200,""))+(IF(Atletas!D168="Kids 30kg",1,IF(Atletas!D168="Kids 32kg",2, IF(Atletas!D168="Kids 34kg",3,IF(Atletas!D168="Kids 36kg",4,IF(Atletas!D168="Kids 39kg",5,IF(Atletas!D168="Kids 42kg",6,IF(Atletas!D168="Kids 45kg",7, IF(Atletas!D168="Infantil 39kg",8,IF(Atletas!D168="Infantil 42kg",9,IF(Atletas!D168="Infantil 45kg",10,IF(Atletas!D168="Infantil 48kg",11,IF(Atletas!D168="Infantil 52kg",12,IF(Atletas!D168="Infantil 56kg",13,IF(Atletas!D168="Infantil 60kg",14,IF(Atletas!D168="Juvenil 48kg",15,IF(Atletas!D168="Juvenil 52kg",16,IF(Atletas!D168="Juvenil 56kg",17,IF(Atletas!D168="Juvenil 60kg",18,IF(Atletas!D168="Juvenil 65kg",19,IF(Atletas!D168="Juvenil 70kg",20,IF(Atletas!D168="Juvenil 75kg",21,IF(Atletas!D168="Juvenil 80kg",22, IF(Atletas!D168="Juvenil 85kg",23,IF(Atletas!D168="Adulto 48kg",24,IF(Atletas!D168="Adulto 52kg",25,IF(Atletas!D168="Adulto 56kg",26,IF(Atletas!D168="Adulto 60kg",27,IF(Atletas!D168="Adulto 65kg",28,IF(Atletas!D168="Adulto 70kg",29,IF(Atletas!D168="Adulto 75kg",30,IF(Atletas!D168="Adulto 80kg",31,IF(Atletas!D168="Adulto 85kg",32,IF(Atletas!D168="Adulto 90kg",33,IF(Atletas!D168="Adulto 100kg",34, IF(Atletas!D168="Adulto +100kg",35,"")))))))))))))))))))))))))))))))))))))</f>
        <v/>
      </c>
      <c r="AS177" s="6" t="str">
        <f>IF(Atletas!E168="","",IF(Atletas!B168="Feminino",100,IF(Atletas!B168="Masculino",200,""))+(IF(Atletas!E168="Juvenil 44kg",1,IF(Atletas!E168="Juvenil 48kg",2,IF(Atletas!E168="Juvenil 52kg",3,IF(Atletas!E168="Juvenil 56kg",4,IF(Atletas!E168="Juvenil 60kg",5,IF(Atletas!E168="Juvenil 65kg",6,IF(Atletas!E168="Juvenil 70kg",7,IF(Atletas!E168="Juvenil 75kg",8,IF(Atletas!E168="Juvenil 82kg",9,IF(Atletas!E168="Juvenil 90kg",10,IF(Atletas!E168="Juvenil 100kg",11,IF(Atletas!E168="Adulto 48kg",12,IF(Atletas!E168="Adulto 52kg",13,IF(Atletas!E168="Adulto 56kg",14,IF(Atletas!E168="Adulto 60kg",15,IF(Atletas!E168="Adulto 65kg",16,IF(Atletas!E168="Adulto 70kg",17,IF(Atletas!E168="Adulto 75kg",18,IF(Atletas!E168="Adulto 82kg",19,IF(Atletas!E168="Adulto 90kg",20,IF(Atletas!E168="Adulto 100kg",21,IF(Atletas!E168="Adulto +100kg",22,""))))))))))))))))))))))))</f>
        <v/>
      </c>
      <c r="AX177" s="6" t="str">
        <f>IF(Atletas!F168="","",IF(Atletas!B168="Feminino",100,IF(Atletas!B168="Masculino",200,""))+(IF(Atletas!F168="Adulto 48kg",1,IF(Atletas!F168="Adulto 56kg",2,IF(Atletas!F168="Adulto 65kg",3,IF(Atletas!F168="Adulto 75kg",4,IF(Atletas!F168="Adulto +75kg",5,IF(Atletas!F168="Adulto 52kg",6,IF(Atletas!F168="Adulto 60kg",7,IF(Atletas!F168="Adulto 70kg",8,IF(Atletas!F168="Adulto 80kg",9,IF(Atletas!F168="Adulto 90kg",10,IF(Atletas!F168="Adulto +90kg",11,"")))))))))))))</f>
        <v/>
      </c>
      <c r="BC177" s="6" t="str">
        <f>IF(Atletas!G168="","",IF(Atletas!B168="Feminino",10,IF(Atletas!B168="Masculino",20,""))+(IF(Atletas!G168="Baduanjin A",1,IF(Atletas!G168="Baduanjin B",2))))</f>
        <v/>
      </c>
      <c r="BF177" s="52" t="str">
        <f>IF(Atletas!H168="","",IF(Atletas!B168="Feminino",100,IF(Atletas!B168="Masculino",200,""))+(IF(Atletas!H168="Changquan Mirim",1,IF(Atletas!H168="Nanquan Mirim",2,IF(Atletas!H168="Taijiquan Mirim",3,IF(Atletas!H168="Changquan Grupo C",4,IF(Atletas!H168="Nanquan Grupo C",5,IF(Atletas!H168="Taijiquan Grupo C",6,IF(Atletas!H168="Changquan Grupo B",7,IF(Atletas!H168="Nanquan Grupo B",8,IF(Atletas!H168="Taijiquan Grupo B",9,IF(Atletas!H168="Changquan Grupo A",10,IF(Atletas!H168="Nanquan Grupo A",11,IF(Atletas!H168="Taijiquan Grupo A",12,IF(Atletas!H168="Changquan Opcional",13,IF(Atletas!H168="Nanquan Opcional",14,IF(Atletas!H168="Taijiquan Opcional",15,IF(Atletas!H168="Changquan Adulto",16,IF(Atletas!H168="Nanquan Adulto",17,IF(Atletas!H168="Taijiquan Adulto",18,""))))))))))))))))))))</f>
        <v/>
      </c>
      <c r="BG177" s="52" t="str">
        <f>IF(Atletas!I168="","",IF(Atletas!B168="Feminino",100,IF(Atletas!B168="Masculino",200,""))+(IF(Atletas!I168="Daoshu Mirim",19,IF(Atletas!I168="Jianshu Mirim",20,IF(Atletas!I168="Nandao Mirim",21,IF(Atletas!I168="Taijijian Mirim",22,IF(Atletas!I168="Daoshu Grupo C",23,IF(Atletas!I168="Jianshu Grupo C",24,IF(Atletas!I168="Nandao Grupo C",25,IF(Atletas!I168="Taijijian Grupo C",26,IF(Atletas!I168="Daoshu Grupo B",27,IF(Atletas!I168="Jianshu Grupo B",28,IF(Atletas!I168="Nandao Grupo B",29,IF(Atletas!I168="Taijijian Grupo B",30,IF(Atletas!I168="Daoshu Grupo A",31,IF(Atletas!I168="Jianshu Grupo A",32,IF(Atletas!I168="Nandao Grupo A",33,IF(Atletas!I168="Taijijian Grupo A",34,IF(Atletas!I168="Daoshu Opcional",35,IF(Atletas!I168="Jianshu Opcional",36,IF(Atletas!I168="Nandao Opcional",37,IF(Atletas!I168="Taijijian Opcional",38,IF(Atletas!I168="Daoshu Adulto",39,IF(Atletas!I168="Jianshu Adulto",40,IF(Atletas!I168="Nandao Adulto",41,IF(Atletas!I168="Taijijian Adulto",42,""))))))))))))))))))))))))))</f>
        <v/>
      </c>
      <c r="BH177" s="52" t="str">
        <f>IF(Atletas!J168="","",IF(Atletas!B168="Feminino",100,IF(Atletas!B168="Masculino",200,""))+(IF(Atletas!J168="Gunshu Mirim",43,IF(Atletas!J168="Qiangshu Mirim",44,IF(Atletas!J168="Nangun Mirim",45,IF(Atletas!J168="Gunshu Grupo C",46,IF(Atletas!J168="Qiangshu Grupo C",47,IF(Atletas!J168="Nangun Grupo C",48,IF(Atletas!J168="Gunshu Grupo B",49,IF(Atletas!J168="Qiangshu Grupo B",50,IF(Atletas!J168="Nangun Grupo B",51,IF(Atletas!J168="Gunshu Grupo A",52,IF(Atletas!J168="Qiangshu Grupo A",53,IF(Atletas!J168="Nangun Grupo A",54,IF(Atletas!J168="Gunshu Opcional",55,IF(Atletas!J168="Qiangshu Opcional",56,IF(Atletas!J168="Nangun Opcional",57,IF(Atletas!J168="Gunshu Adulto",58,IF(Atletas!J168="Qiangshu Adulto",59,IF(Atletas!J168="Nangun Adulto",60,IF(Atletas!J168="Taijishan Grupo B",61,IF(Atletas!J168="Taijishan Grupo A",62,""))))))))))))))))))))))</f>
        <v/>
      </c>
      <c r="BM177" s="50" t="str">
        <f>IF(Atletas!K168="","",IF(Atletas!B168="Feminino",100,IF(Atletas!B168="Masculino",200,""))+(IF(Atletas!K168="Equipe 1 Grupo B",1,IF(Atletas!K168="Equipe 2 Grupo B",2,IF(Atletas!K168="Equipe 1 Grupo A",3,IF(Atletas!K168="Equipe 2 Grupo A",4,IF(Atletas!K168="Equipe 1 Adulto",5,IF(Atletas!K168="Equipe 2 Adulto",6,""))))))))</f>
        <v/>
      </c>
      <c r="BR177" s="50" t="str">
        <f>IF(Atletas!L168="","",IF(Atletas!X168&lt;&gt;"",10000,0)+(IF(Atletas!B168="Feminino",1000,IF(Atletas!B168="Masculino",2000,""))+IF(Atletas!L168="Choylayfut A",1,IF(Atletas!L168="Hunggar A",2,IF(Atletas!L168="Wuzuquan A",3,IF(Atletas!L168="Wingchun A",4,IF(Atletas!L168="Outra Mão de Sul A",5,IF(Atletas!L168="Choylayfut B",6,IF(Atletas!L168="Hunggar B",7,IF(Atletas!L168="Wuzuquan B",8,IF(Atletas!L168="Wingchun B",9,IF(Atletas!L168="Outra Mão de Sul B",10,IF(Atletas!L168="Choylayfut C",11,IF(Atletas!L168="Hunggar C",12,IF(Atletas!L168="Wuzuquan C",13,IF(Atletas!L168="Wingchun C",14,IF(Atletas!L168="Outra Mão de Sul C",15,IF(Atletas!L168="Choylayfut D",16,IF(Atletas!L168="Hunggar D",17,IF(Atletas!L168="Wuzuquan D",18,IF(Atletas!L168="Wingchun D",19,IF(Atletas!L168="Outra Mão de Sul D",20,IF(Atletas!L168="Choylayfut E",21,IF(Atletas!L168="Hunggar E",22,IF(Atletas!L168="Wuzuquan E",23,IF(Atletas!L168="Wingchun E",24,IF(Atletas!L168="Outra Mão de Sul E",25,IF(Atletas!L168="Choylayfut F",26,IF(Atletas!L168="Hunggar F",27,IF(Atletas!L168="Wuzuquan F",28,IF(Atletas!L168="Wingchun F",29,IF(Atletas!L168="Outra Mão de Sul F",30,IF(Atletas!L168="Dishuquan A",31,IF(Atletas!L168="Dishuquan B",32,IF(Atletas!L168="Dishuquan C",33,IF(Atletas!L168="Dishuquan D",34,IF(Atletas!L168="Dishuquan E",35,IF(Atletas!L168="Dishuquan F",36,""))))))))))))))))))))))))))))))))))))))</f>
        <v/>
      </c>
      <c r="BS177" s="50" t="str">
        <f>IF(Atletas!M168="","",IF(Atletas!X168&lt;&gt;"",10000,0)+(IF(Atletas!B168="Feminino",1000,IF(Atletas!B168="Masculino",2000,""))+(IF(Atletas!M168="Chaquan A",101,IF(Atletas!M168="Emeiquan A",102,IF(Atletas!M168="Fanziquan A",103,IF(Atletas!M168="Huaquan A",104,IF(Atletas!M168="Hongquan A",105,IF(Atletas!M168="Paoquan A",106,IF(Atletas!M168="Piguaquan A",107,IF(Atletas!M168="Shaolinquan A",108,IF(Atletas!M168="Tanglangquan A",109,IF(Atletas!M168="Yingzhaoquan A",110,IF(Atletas!M168="Tongbeiquan A",111,IF(Atletas!M168="Wudangquan A",112,IF(Atletas!M168="Outros Estilos A",113,IF(Atletas!M168="Chaquan B",114,IF(Atletas!M168="Emeiquan B",115,IF(Atletas!M168="Fanziquan B",116,IF(Atletas!M168="Huaquan B",117,IF(Atletas!M168="Hongquan B",118,IF(Atletas!M168="Paoquan B",119,IF(Atletas!M168="Piguaquan B",120,IF(Atletas!M168="Shaolinquan B",121,IF(Atletas!M168="Tanglangquan B",122,IF(Atletas!M168="Yingzhaoquan B",123,IF(Atletas!M168="Tongbeiquan B",124,IF(Atletas!M168="Wudangquan B",125,IF(Atletas!M168="Outros Estilos B",126,IF(Atletas!M168="Chaquan C",127,IF(Atletas!M168="Emeiquan C",128,IF(Atletas!M168="Fanziquan C",129,IF(Atletas!M168="Huaquan C",130,IF(Atletas!M168="Hongquan C",131,IF(Atletas!M168="Paoquan C",132,IF(Atletas!M168="Piguaquan C",133,IF(Atletas!M168="Shaolinquan C",134,IF(Atletas!M168="Tanglangquan C",135,IF(Atletas!M168="Yingzhaoquan C",136,IF(Atletas!M168="Tongbeiquan C",137,IF(Atletas!M168="Wudangquan C",138,IF(Atletas!M168="Outros Estilos C",139,0))))))))))))))))))))))))))))))))))))))))))</f>
        <v/>
      </c>
      <c r="BT177" s="50" t="str">
        <f>IF(Atletas!M168="","",IF(Atletas!X168&lt;&gt;"",10000,0)+(IF(Atletas!B168="Feminino",1000,IF(Atletas!B168="Masculino",2000,""))+(IF(Atletas!M168="Chaquan D",140,IF(Atletas!M168="Emeiquan D",141,IF(Atletas!M168="Fanziquan D",142,IF(Atletas!M168="Huaquan D",143,IF(Atletas!M168="Hongquan D",144,IF(Atletas!M168="Paoquan D",145,IF(Atletas!M168="Piguaquan D",146,IF(Atletas!M168="Shaolinquan D",147,IF(Atletas!M168="Tanglangquan D",148,IF(Atletas!M168="Yingzhaoquan D",149,IF(Atletas!M168="Tongbeiquan D",150,IF(Atletas!M168="Wudangquan D",151,IF(Atletas!M168="Outros Estilos D",152,IF(Atletas!M168="Chaquan E",153,IF(Atletas!M168="Emeiquan E",154,IF(Atletas!M168="Fanziquan E",155,IF(Atletas!M168="Huaquan E",156,IF(Atletas!M168="Hongquan E",157,IF(Atletas!M168="Paoquan E",158,IF(Atletas!M168="Piguaquan E",159,IF(Atletas!M168="Shaolinquan E",160,IF(Atletas!M168="Tanglangquan E",161,IF(Atletas!M168="Yingzhaoquan E",162,IF(Atletas!M168="Tongbeiquan E",163,IF(Atletas!M168="Wudangquan E",164,IF(Atletas!M168="Outros Estilos E",165,IF(Atletas!M168="Chaquan F",166,IF(Atletas!M168="Emeiquan F",167,IF(Atletas!M168="Fanziquan F",168,IF(Atletas!M168="Huaquan F",169,IF(Atletas!M168="Hongquan F",170,IF(Atletas!M168="Paoquan F",171,IF(Atletas!M168="Piguaquan F",172,IF(Atletas!M168="Shaolinquan F",173,IF(Atletas!M168="Tanglangquan F",174,IF(Atletas!M168="Yingzhaoquan F",175,IF(Atletas!M168="Tongbeiquan F",176,IF(Atletas!M168="Wudangquan F",177,IF(Atletas!M168="Outros Estilos F",178,0))))))))))))))))))))))))))))))))))))))))))</f>
        <v/>
      </c>
      <c r="BU177" s="50" t="str">
        <f>IF(Atletas!N168="","",IF(Atletas!X168&lt;&gt;"",10000,0)+(IF(Atletas!B168="Feminino",1000,IF(Atletas!B168="Masculino",2000,""))+(IF(Atletas!N168="Ditangquan A",201,IF(Atletas!N168="Houquan A",202,IF(Atletas!N168="Zuiquan A",203,IF(Atletas!N168="Ditangquan B",204,IF(Atletas!N168="Houquan B",205,IF(Atletas!N168="Zuiquan B",206,IF(Atletas!N168="Ditangquan C",207,IF(Atletas!N168="Houquan C",208,IF(Atletas!N168="Zuiquan C",209,IF(Atletas!N168="Ditangquan D",210,IF(Atletas!N168="Houquan D",211,IF(Atletas!N168="Zuiquan D",212,IF(Atletas!N168="Ditangquan E",213,IF(Atletas!N168="Houquan E",214,IF(Atletas!N168="Zuiquan E",215,IF(Atletas!N168="Ditangquan F",216,IF(Atletas!N168="Houquan F",217,IF(Atletas!N168="Zuiquan F",218,"")))))))))))))))))))))</f>
        <v/>
      </c>
      <c r="BV177" s="50" t="str">
        <f>IF(Atletas!O168="","",IF(Atletas!X168&lt;&gt;"",10000,0)+IF(Atletas!B168="Feminino",1000,IF(Atletas!B168="Masculino",2000,""))+IF(Atletas!O168="Yang A",301,IF(Atletas!O168="Chen A",302,IF(Atletas!O168="Sun A",303,IF(Atletas!O168="Wu A",304,IF(Atletas!O168="Wu-Hao A",305,IF(Atletas!O168="Outro Taijiquan A",306,IF(Atletas!O168="Yang B",307,IF(Atletas!O168="Chen B",308,IF(Atletas!O168="Sun B",309,IF(Atletas!O168="Wu B",310,IF(Atletas!O168="Wu-Hao B",311,IF(Atletas!O168="Outro Taijiquan B",312,IF(Atletas!O168="Yang C",313,IF(Atletas!O168="Chen C",314,IF(Atletas!O168="Sun C",315,IF(Atletas!O168="Wu C",316,IF(Atletas!O168="Wu-Hao C",317,IF(Atletas!O168="Outro Taijiquan C",318,IF(Atletas!O168="Yang D",319,IF(Atletas!O168="Chen D",320,IF(Atletas!O168="Sun D",321,IF(Atletas!O168="Wu D",322,IF(Atletas!O168="Wu-Hao D",323,IF(Atletas!O168="Outro Taijiquan D",324,IF(Atletas!O168="Yang E",325,IF(Atletas!O168="Chen E",326,IF(Atletas!O168="Sun E",327,IF(Atletas!O168="Wu E",328,IF(Atletas!O168="Wu-Hao E",329,IF(Atletas!O168="Outro Taijiquan E",330,IF(Atletas!O168="Yang F",331,IF(Atletas!O168="Chen F",332,IF(Atletas!O168="Sun F",333,IF(Atletas!O168="Wu F",334,IF(Atletas!O168="Wu-Hao F",335,IF(Atletas!O168="Outro Taijiquan F",336,"")))))))))))))))))))))))))))))))))))))</f>
        <v/>
      </c>
      <c r="BW177" s="50" t="str">
        <f>IF(Atletas!P168="","",IF(Atletas!X168&lt;&gt;"",10000,0)+IF(Atletas!B168="Feminino",1000,IF(Atletas!B168="Masculino",2000,""))+IF(OR(Atletas!P168="Yang 26 A",Atletas!P168="Yang 40 A"),401,IF(OR(Atletas!P168="Chen 25 A",Atletas!P168="Chen 36 A",Atletas!P168="Chen 56 A"),402,IF(Atletas!P168="Sun 73 A",403,IF(Atletas!P168="Wu 45 A",404,IF(Atletas!P168="Wu-Hao 46 A",405,IF(OR(Atletas!P168="Taijiquan 16 A",Atletas!P168="Taijiquan 24 A",Atletas!P168="Taijiquan 32 A",Atletas!P168="Taijiquan 42 A"),406,IF(OR(Atletas!P168="Yang 26 B",Atletas!P168="Yang 40 B"),407,IF(OR(Atletas!P168="Chen 25 B",Atletas!P168="Chen 36 B",Atletas!P168="Chen 56 B"),408,IF(Atletas!P168="Sun 73 B",409,IF(Atletas!P168="Wu 45 B",410,IF(Atletas!P168="Wu-Hao 46 B",411,IF(OR(Atletas!P168="Taijiquan 16 B",Atletas!P168="Taijiquan 24 B",Atletas!P168="Taijiquan 32 B",Atletas!P168="Taijiquan 42 B"),412,IF(OR(Atletas!P168="Yang 26 C",Atletas!P168="Yang 40 C"),413,IF(OR(Atletas!P168="Chen 25 C",Atletas!P168="Chen 36 C",Atletas!P168="Chen 56 C"),414,IF(Atletas!P168="Sun 73 C",415,IF(Atletas!P168="Wu 45 C",416,IF(Atletas!P168="Wu-Hao 46 C",417,IF(OR(Atletas!P168="Taijiquan 16 C",Atletas!P168="Taijiquan 24 C",Atletas!P168="Taijiquan 32 C",Atletas!P168="Taijiquan 42 C"),418,0)))))))))))))))))))</f>
        <v/>
      </c>
      <c r="BX177" s="50" t="str">
        <f>IF(Atletas!P168="","",IF(Atletas!X168&lt;&gt;"",10000,0)+IF(Atletas!B168="Feminino",1000,IF(Atletas!B168="Masculino",2000,""))+IF(OR(Atletas!P168="Yang 26 D",Atletas!P168="Yang 40 D"),419,IF(OR(Atletas!P168="Chen 25 D",Atletas!P168="Chen 36 D",Atletas!P168="Chen 56 D"),420,IF(Atletas!P168="Sun 73 D",421,IF(Atletas!P168="Wu 45 D",422,IF(Atletas!P168="Wu-Hao 46 D",423,IF(OR(Atletas!P168="Taijiquan 16 D",Atletas!P168="Taijiquan 24 D",Atletas!P168="Taijiquan 32 D",Atletas!P168="Taijiquan 42 D"),424,IF(OR(Atletas!P168="Yang 26 E",Atletas!P168="Yang 40 E"),425,IF(OR(Atletas!P168="Chen 25 E",Atletas!P168="Chen 36 E",Atletas!P168="Chen 56 E"),426,IF(Atletas!P168="Sun 73 E",427,IF(Atletas!P168="Wu 45 E",428,IF(Atletas!P168="Wu-Hao 46 E",429,IF(OR(Atletas!P168="Taijiquan 16 E",Atletas!P168="Taijiquan 24 E",Atletas!P168="Taijiquan 32 E",Atletas!P168="Taijiquan 42 E"),430,IF(OR(Atletas!P168="Yang 26 F",Atletas!P168="Yang 40 F"),431,IF(OR(Atletas!P168="Chen 25 F",Atletas!P168="Chen 36 F",Atletas!P168="Chen 56 F"),432,IF(Atletas!P168="Sun 73 F",433,IF(Atletas!P168="Wu 45 F",434,IF(Atletas!P168="Wu-Hao 46 F",435,IF(OR(Atletas!P168="Taijiquan 16 F",Atletas!P168="Taijiquan 24 F",Atletas!P168="Taijiquan 32 F",Atletas!P168="Taijiquan 42 F"),436,0)))))))))))))))))))</f>
        <v/>
      </c>
      <c r="BY177" s="50" t="str">
        <f>IF(Atletas!Q168="","",IF(Atletas!X168&lt;&gt;"",10000,0)+IF(Atletas!B168="Feminino",1000,IF(Atletas!B168="Masculino",2000,""))+IF(Atletas!Q168="Xingyiquan A",501,IF(Atletas!Q168="Baguazhang A",502,IF(Atletas!Q168="Outro Estilo Interno A",503,IF(Atletas!Q168="Xingyiquan B",504,IF(Atletas!Q168="Baguazhang B",505,IF(Atletas!Q168="Outro Estilo Interno B",506,IF(Atletas!Q168="Xingyiquan C",507,IF(Atletas!Q168="Baguazhang C",508,IF(Atletas!Q168="Outro Estilo Interno C",509,IF(Atletas!Q168="Xingyiquan D",510,IF(Atletas!Q168="Baguazhang D",511,IF(Atletas!Q168="Outro Estilo Interno D",512,IF(Atletas!Q168="Xingyiquan E",513,IF(Atletas!Q168="Baguazhang E",514,IF(Atletas!Q168="Outro Estilo Interno E",515,IF(Atletas!Q168="Xingyiquan F",516,IF(Atletas!Q168="Baguazhang F",517,IF(Atletas!Q168="Outro Estilo Interno F",518, "")))))))))))))))))))</f>
        <v/>
      </c>
      <c r="BZ177" s="50" t="str">
        <f>IF(Atletas!R168="","",IF(Atletas!X168&lt;&gt;"",10000,0)+IF(Atletas!B168="Feminino",1000,IF(Atletas!B168="Masculino",2000,""))+IF(Atletas!R168="Dao A",601,IF(Atletas!R168="Jian A",602,IF(Atletas!R168="Bishou A",603,IF(Atletas!R168="Shanzi A",604,IF(Atletas!R168="Outra Arma Curta A",605,IF(Atletas!R168="Dao B",606,IF(Atletas!R168="Jian B",607,IF(Atletas!R168="Bishou B",608,IF(Atletas!R168="Shanzi B",609,IF(Atletas!R168="Outra Arma Curta B",610,IF(Atletas!R168="Dao C",611,IF(Atletas!R168="Jian C",612,IF(Atletas!R168="Bishou C",613,IF(Atletas!R168="Shanzi C",614,IF(Atletas!R168="Outra Arma Curta C",615,IF(Atletas!R168="Dao D",616,IF(Atletas!R168="Jian D",617,IF(Atletas!R168="Bishou D",618,IF(Atletas!R168="Shanzi D",619,IF(Atletas!R168="Outra Arma Curta D",620,IF(Atletas!R168="Dao E",621,IF(Atletas!R168="Jian E",622,IF(Atletas!R168="Bishou E",623,IF(Atletas!R168="Shanzi E",624,IF(Atletas!R168="Outra Arma Curta E",625,IF(Atletas!R168="Dao F",626,IF(Atletas!R168="Jian F",627,IF(Atletas!R168="Bishou F",628,IF(Atletas!R168="Shanzi F",629,IF(Atletas!R168="Outra Arma Curta F",630, "")))))))))))))))))))))))))))))))</f>
        <v/>
      </c>
      <c r="CA177" s="50" t="str">
        <f>IF(Atletas!S168="","",IF(Atletas!X168&lt;&gt;"",10000,0)+IF(Atletas!B168="Feminino",1000,IF(Atletas!B168="Masculino",2000,""))+IF(Atletas!S168="Gun A",701,IF(Atletas!S168="Qiang A",702,IF(Atletas!S168="Pudao / Guandao A",703,IF(Atletas!S168="Outra Arma Longa A",704,IF(Atletas!S168="Gun B",705,IF(Atletas!S168="Qiang B",706,IF(Atletas!S168="Pudao / Guandao B",707,IF(Atletas!S168="Outra Arma Longa B",708,IF(Atletas!S168="Gun C",709,IF(Atletas!S168="Qiang C",710,IF(Atletas!S168="Pudao / Guandao C",711,IF(Atletas!S168="Outra Arma Longa C",712,IF(Atletas!S168="Gun D",713,IF(Atletas!S168="Qiang D",714,IF(Atletas!S168="Pudao / Guandao D",715,IF(Atletas!S168="Outra Arma Longa D",716,IF(Atletas!S168="Gun E",717,IF(Atletas!S168="Qiang E",718,IF(Atletas!S168="Pudao / Guandao E",719,IF(Atletas!S168="Outra Arma Longa E",720,IF(Atletas!S168="Gun F",721,IF(Atletas!S168="Qiang F",722,IF(Atletas!S168="Pudao / Guandao F",723,IF(Atletas!S168="Outra Arma Longa F",724,"")))))))))))))))))))))))))</f>
        <v/>
      </c>
      <c r="CB177" s="50" t="str">
        <f>IF(Atletas!T168="","",IF(Atletas!X168&lt;&gt;"",10000,0)+IF(Atletas!B168="Feminino",1000,IF(Atletas!B168="Masculino",2000,""))+IF(Atletas!T168="Outra Arma Dupla A",801,IF(Atletas!T168="Arma Maleável A",802,IF(Atletas!T168="Outra Arma Dupla B",803,IF(Atletas!T168="Arma Maleável B",804,IF(Atletas!T168="Outra Arma Dupla C",805,IF(Atletas!T168="Arma Maleável C",806,IF(Atletas!T168="Outra Arma Dupla D",807,IF(Atletas!T168="Arma Maleável D",808,IF(Atletas!T168="Outra Arma Dupla E",809,IF(Atletas!T168="Arma Maleável E",810,IF(Atletas!T168="Outra Arma Dupla F",811,IF(Atletas!T168="Arma Maleável F",812,IF(Atletas!T168="Shuangdao A",813,IF(Atletas!T168="Shuangdao B",814,IF(Atletas!T168="Shuangdao C",815,IF(Atletas!T168="Shuangdao D",816,IF(Atletas!T168="Shuangdao E",817,IF(Atletas!T168="Shuangdao F",818,"")))))))))))))))))))</f>
        <v/>
      </c>
      <c r="CC177" s="50" t="str">
        <f>IF(Atletas!U168="","",IF(Atletas!X168&lt;&gt;"",10000,0)+IF(Atletas!B168="Feminino",1000,IF(Atletas!B168="Masculino",2000,""))+IF(OR(Atletas!U168="Taijijian Yang A",Atletas!U168="Taijijian Yang Standard A"),901,IF(OR(Atletas!U168="Taijijian Chen A", Atletas!U168="Taijijian Chen Standard A"),902,IF(Atletas!U168="Taijijian Sun A",903,IF(Atletas!U168="Taijijian Wu A",904,IF(Atletas!U168="Taijijian Wu-Hao A",905,IF(OR(Atletas!U168="Taijijian 32 A",Atletas!U168="Taijijian 42 A"),906,IF(OR(Atletas!U168="Taijijian Yang B",Atletas!U168="Taijijian Yang Standard B"),907,IF(OR(Atletas!U168="Taijijian Chen B", Atletas!U168="Taijijian Chen Standard B"),908,IF(Atletas!U168="Taijijian Sun B",909,IF(Atletas!U168="Taijijian Wu B",910,IF(Atletas!U168="Taijijian Wu-Hao B",911,IF(OR(Atletas!U168="Taijijian 32 B",Atletas!U168="Taijijian 42 B"),912,IF(OR(Atletas!U168="Taijijian Yang C",Atletas!U168="Taijijian Yang Standard C"),913,IF(OR(Atletas!U168="Taijijian Chen C", Atletas!U168="Taijijian Chen Standard C"),914,IF(Atletas!U168="Taijijian Sun C",915,IF(Atletas!U168="Taijijian Wu C",916,IF(Atletas!U168="Taijijian Wu-Hao C",917,IF(OR(Atletas!U168="Taijijian 32 C",Atletas!U168="Taijijian 42 C"),918,IF(OR(Atletas!U168="Taijijian Yang D",Atletas!U168="Taijijian Yang Standard D"),919,IF(OR(Atletas!U168="Taijijian Chen D", Atletas!U168="Taijijian Chen Standard D"),920,IF(Atletas!U168="Taijijian Sun D",921,IF(Atletas!U168="Taijijian Wu D",922,IF(Atletas!U168="Taijijian Wu-Hao D",923,IF(OR(Atletas!U168="Taijijian 32 D",Atletas!U168="Taijijian 42 D"),924,IF(OR(Atletas!U168="Taijijian Yang E",Atletas!U168="Taijijian Yang Standard E"),925,IF(OR(Atletas!U168="Taijijian Chen E", Atletas!U168="Taijijian Chen Standard E"),926,IF(Atletas!U168="Taijijian Sun E",927,IF(Atletas!U168="Taijijian Wu E",928,IF(Atletas!U168="Taijijian Wu-Hao E",929,IF(OR(Atletas!U168="Taijijian 32 E",Atletas!U168="Taijijian 42 E"),930,IF(OR(Atletas!U168="Taijijian Yang F",Atletas!U168="Taijijian Yang Standard F"),931,IF(OR(Atletas!U168="Taijijian Chen F", Atletas!U168="Taijijian Chen Standard F"),932,IF(Atletas!U168="Taijijian Sun F",933,IF(Atletas!U168="Taijijian Wu F",934,IF(Atletas!U168="Taijijian Wu-Hao F",935,IF(OR(Atletas!U168="Taijijian 32 F",Atletas!U168="Taijijian 42 F"),936,"")))))))))))))))))))))))))))))))))))))</f>
        <v/>
      </c>
      <c r="CD177" s="50" t="str">
        <f>IF(Atletas!V168="","",IF(Atletas!X168&lt;&gt;"",10000,0)+IF(Atletas!B168="Feminino",1000,IF(Atletas!B168="Masculino",2000,""))+IF(Atletas!V168="Taijidao A",937,IF(Atletas!V168="TaijiShanzi A",938,IF(Atletas!V168="Taijiqiang A",939,IF(Atletas!V168="Bagua de Arma A",940,IF(Atletas!V168="Xingyi de Arma A",941,IF(Atletas!V168="Taijidao B",942,IF(Atletas!V168="TaijiShanzi B",943,IF(Atletas!V168="Taijiqiang B",944,IF(Atletas!V168="Bagua de Arma B",945,IF(Atletas!V168="Xingyi de Arma B",946,IF(Atletas!V168="Taijidao C",947,IF(Atletas!V168="TaijiShanzi C",948,IF(Atletas!V168="Taijiqiang C",949,IF(Atletas!V168="Bagua de Arma C",950,IF(Atletas!V168="Xingyi de Arma C",951,IF(Atletas!V168="Taijidao D",952,IF(Atletas!V168="TaijiShanzi D",953,IF(Atletas!V168="Taijiqiang D",954,IF(Atletas!V168="Bagua de Arma D",955,IF(Atletas!V168="Xingyi de Arma D",956,IF(Atletas!V168="Taijidao E",957,IF(Atletas!V168="TaijiShanzi E",958,IF(Atletas!V168="Taijiqiang E",959,IF(Atletas!V168="Bagua de Arma E",960,IF(Atletas!V168="Xingyi de Arma E",961,IF(Atletas!V168="Taijidao F",962,IF(Atletas!V168="TaijiShanzi F",963,IF(Atletas!V168="Taijiqiang F",964,IF(Atletas!V168="Bagua de Arma F",965,IF(Atletas!V168="Xingyi de Arma F",966,"")))))))))))))))))))))))))))))))</f>
        <v/>
      </c>
      <c r="CE177" s="66" t="str">
        <f>IF(CF177&lt;&gt;"","TJQ Padr. Sun A","")</f>
        <v/>
      </c>
      <c r="CF177" s="66" t="str">
        <f>IF(COUNTIF(BR:CD,1403)&gt;0,COUNTIF(BR:CD,1403),"")</f>
        <v/>
      </c>
      <c r="CG177" s="66" t="str">
        <f>IF(CH177&lt;&gt;"","TJQ Padr. Sun A","")</f>
        <v/>
      </c>
      <c r="CH177" s="66" t="str">
        <f>IF(COUNTIF(BR:CD,2403)&gt;0,COUNTIF(BR:CD,2403),"")</f>
        <v/>
      </c>
      <c r="CI177" s="66" t="str">
        <f>IF(CJ177&lt;&gt;"","TJQ Padr. Sun B","")</f>
        <v/>
      </c>
      <c r="CJ177" s="66" t="str">
        <f>IF(COUNTIF(BR:CD,11409)&gt;0,COUNTIF(BR:CD,11409),"")</f>
        <v/>
      </c>
      <c r="CK177" s="66" t="str">
        <f>IF(CL177&lt;&gt;"","TJQ Padr. Sun B","")</f>
        <v/>
      </c>
      <c r="CL177" s="66" t="str">
        <f>IF(COUNTIF(BR:CD,12409)&gt;0,COUNTIF(BR:CD,12409),"")</f>
        <v/>
      </c>
      <c r="CM177" s="50" t="str">
        <f xml:space="preserve"> IF(Atletas!W168="","",IF(Atletas!W168="Duilian de Mãos BC - Equipe 1",1,IF(Atletas!W168="Duilian de Mãos BC - Equipe 2",2,IF(Atletas!W168="Duilian de Armas BC - Equipe 1",3,IF(Atletas!W168="Duilian de Armas BC - Equipe 2",4,IF(Atletas!W168="Duilian de Mãos DE - Equipe 1",5,IF(Atletas!W168="Duilian de Mãos DE - Equipe 2",6,IF(Atletas!W168="Duilian de Armas DE - Equipe 1",7,IF(Atletas!W168="Duilian de Armas DE - Equipe 2",8,IF(Atletas!W168="Duilian de Tuishou - Equipe 1",9,IF(Atletas!W168="Duilian de Tuishou - Equipe 2",10,IF(Atletas!W168="Grupo Externo ABC - Equipe 1",11,IF(Atletas!W168="Grupo Externo ABC - Equipe 2",12,IF(Atletas!W168="Grupo Interno ABC - Equipe 1",13,IF(Atletas!W168="Grupo Interno ABC - Equipe 2",14,IF(Atletas!W168="Grupo Externo DEF - Equipe 1",15,IF(Atletas!W168="Grupo Externo DEF - Equipe 2",16,IF(Atletas!W168="Grupo Interno DEF - Equipe 1",17,IF(Atletas!W168="Grupo Interno DEF - Equipe 2",18,"")))))))))))))))))))</f>
        <v/>
      </c>
    </row>
    <row r="178" spans="2:91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 t="str">
        <f t="array" ref="Z178">IFERROR(INDEX(CE$7:CE$348,SMALL(IF(CE$7:CE$348&lt;&gt;"",ROW(CE$7:CE$348)-ROW(CE$7)+1),ROWS(CE$7:CE177))),"")</f>
        <v/>
      </c>
      <c r="AA178" s="3" t="str">
        <f t="array" ref="AA178">IFERROR(INDEX(CF$7:CF$348,SMALL(IF(CF$7:CF$348&lt;&gt;"",ROW(CF$7:CF$348)-ROW(CF$7)+1),ROWS(CF$7:CF177))),"")</f>
        <v/>
      </c>
      <c r="AB178" s="3" t="str">
        <f t="array" ref="AB178">IFERROR(INDEX(CG$7:CG$348,SMALL(IF(CG$7:CG$348&lt;&gt;"",ROW(CG$7:CG$348)-ROW(CG$7)+1),ROWS(CG$7:CG177))),"")</f>
        <v/>
      </c>
      <c r="AC178" s="3" t="str">
        <f t="array" ref="AC178">IFERROR(INDEX(CH$7:CH$348,SMALL(IF(CH$7:CH$348&lt;&gt;"",ROW(CH$7:CH$348)-ROW(CH$7)+1),ROWS(CH$7:CH177))),"")</f>
        <v/>
      </c>
      <c r="AD178" s="3" t="str">
        <f t="array" ref="AD178">IFERROR(INDEX(CI$7:CI$377,SMALL(IF(CI$7:CI$377&lt;&gt;"",ROW(CI$7:CI$377)-ROW(CI$7)+1),ROWS(CI$7:CI177))),"")</f>
        <v/>
      </c>
      <c r="AE178" s="3" t="str">
        <f t="array" ref="AE178">IFERROR(INDEX(CJ$7:CJ$378,SMALL(IF(CJ$7:CJ$378&lt;&gt;"",ROW(CJ$7:CJ$378)-ROW(CJ$7)+1),ROWS(CJ$7:CJ177))),"")</f>
        <v/>
      </c>
      <c r="AF178" s="3" t="str">
        <f t="array" ref="AF178">IFERROR(INDEX(CK$7:CK$378,SMALL(IF(CK$7:CK$378&lt;&gt;"",ROW(CK$7:CK$378)-ROW(CK$7)+1),ROWS(CK$7:CK177))),"")</f>
        <v/>
      </c>
      <c r="AG178" s="3" t="str">
        <f t="array" ref="AG178">IFERROR(INDEX(CL$7:CL$378,SMALL(IF(CL$7:CL$378&lt;&gt;"",ROW(CL$7:CL$378)-ROW(CL$7)+1),ROWS(CL$7:CL177))),"")</f>
        <v/>
      </c>
      <c r="AH178" s="3"/>
      <c r="AI178" s="3"/>
      <c r="AJ178" s="3"/>
      <c r="AK178" s="3"/>
      <c r="AL178" s="3"/>
      <c r="AM178" s="3"/>
      <c r="AN178" s="52" t="str">
        <f>IF(Atletas!D169="","",IF(Atletas!B169="Feminino",100,IF(Atletas!B169="Masculino",200,""))+(IF(Atletas!D169="Kids 30kg",1,IF(Atletas!D169="Kids 32kg",2, IF(Atletas!D169="Kids 34kg",3,IF(Atletas!D169="Kids 36kg",4,IF(Atletas!D169="Kids 39kg",5,IF(Atletas!D169="Kids 42kg",6,IF(Atletas!D169="Kids 45kg",7, IF(Atletas!D169="Infantil 39kg",8,IF(Atletas!D169="Infantil 42kg",9,IF(Atletas!D169="Infantil 45kg",10,IF(Atletas!D169="Infantil 48kg",11,IF(Atletas!D169="Infantil 52kg",12,IF(Atletas!D169="Infantil 56kg",13,IF(Atletas!D169="Infantil 60kg",14,IF(Atletas!D169="Juvenil 48kg",15,IF(Atletas!D169="Juvenil 52kg",16,IF(Atletas!D169="Juvenil 56kg",17,IF(Atletas!D169="Juvenil 60kg",18,IF(Atletas!D169="Juvenil 65kg",19,IF(Atletas!D169="Juvenil 70kg",20,IF(Atletas!D169="Juvenil 75kg",21,IF(Atletas!D169="Juvenil 80kg",22, IF(Atletas!D169="Juvenil 85kg",23,IF(Atletas!D169="Adulto 48kg",24,IF(Atletas!D169="Adulto 52kg",25,IF(Atletas!D169="Adulto 56kg",26,IF(Atletas!D169="Adulto 60kg",27,IF(Atletas!D169="Adulto 65kg",28,IF(Atletas!D169="Adulto 70kg",29,IF(Atletas!D169="Adulto 75kg",30,IF(Atletas!D169="Adulto 80kg",31,IF(Atletas!D169="Adulto 85kg",32,IF(Atletas!D169="Adulto 90kg",33,IF(Atletas!D169="Adulto 100kg",34, IF(Atletas!D169="Adulto +100kg",35,"")))))))))))))))))))))))))))))))))))))</f>
        <v/>
      </c>
      <c r="AS178" s="6" t="str">
        <f>IF(Atletas!E169="","",IF(Atletas!B169="Feminino",100,IF(Atletas!B169="Masculino",200,""))+(IF(Atletas!E169="Juvenil 44kg",1,IF(Atletas!E169="Juvenil 48kg",2,IF(Atletas!E169="Juvenil 52kg",3,IF(Atletas!E169="Juvenil 56kg",4,IF(Atletas!E169="Juvenil 60kg",5,IF(Atletas!E169="Juvenil 65kg",6,IF(Atletas!E169="Juvenil 70kg",7,IF(Atletas!E169="Juvenil 75kg",8,IF(Atletas!E169="Juvenil 82kg",9,IF(Atletas!E169="Juvenil 90kg",10,IF(Atletas!E169="Juvenil 100kg",11,IF(Atletas!E169="Adulto 48kg",12,IF(Atletas!E169="Adulto 52kg",13,IF(Atletas!E169="Adulto 56kg",14,IF(Atletas!E169="Adulto 60kg",15,IF(Atletas!E169="Adulto 65kg",16,IF(Atletas!E169="Adulto 70kg",17,IF(Atletas!E169="Adulto 75kg",18,IF(Atletas!E169="Adulto 82kg",19,IF(Atletas!E169="Adulto 90kg",20,IF(Atletas!E169="Adulto 100kg",21,IF(Atletas!E169="Adulto +100kg",22,""))))))))))))))))))))))))</f>
        <v/>
      </c>
      <c r="AX178" s="6" t="str">
        <f>IF(Atletas!F169="","",IF(Atletas!B169="Feminino",100,IF(Atletas!B169="Masculino",200,""))+(IF(Atletas!F169="Adulto 48kg",1,IF(Atletas!F169="Adulto 56kg",2,IF(Atletas!F169="Adulto 65kg",3,IF(Atletas!F169="Adulto 75kg",4,IF(Atletas!F169="Adulto +75kg",5,IF(Atletas!F169="Adulto 52kg",6,IF(Atletas!F169="Adulto 60kg",7,IF(Atletas!F169="Adulto 70kg",8,IF(Atletas!F169="Adulto 80kg",9,IF(Atletas!F169="Adulto 90kg",10,IF(Atletas!F169="Adulto +90kg",11,"")))))))))))))</f>
        <v/>
      </c>
      <c r="BC178" s="6" t="str">
        <f>IF(Atletas!G169="","",IF(Atletas!B169="Feminino",10,IF(Atletas!B169="Masculino",20,""))+(IF(Atletas!G169="Baduanjin A",1,IF(Atletas!G169="Baduanjin B",2))))</f>
        <v/>
      </c>
      <c r="BF178" s="52" t="str">
        <f>IF(Atletas!H169="","",IF(Atletas!B169="Feminino",100,IF(Atletas!B169="Masculino",200,""))+(IF(Atletas!H169="Changquan Mirim",1,IF(Atletas!H169="Nanquan Mirim",2,IF(Atletas!H169="Taijiquan Mirim",3,IF(Atletas!H169="Changquan Grupo C",4,IF(Atletas!H169="Nanquan Grupo C",5,IF(Atletas!H169="Taijiquan Grupo C",6,IF(Atletas!H169="Changquan Grupo B",7,IF(Atletas!H169="Nanquan Grupo B",8,IF(Atletas!H169="Taijiquan Grupo B",9,IF(Atletas!H169="Changquan Grupo A",10,IF(Atletas!H169="Nanquan Grupo A",11,IF(Atletas!H169="Taijiquan Grupo A",12,IF(Atletas!H169="Changquan Opcional",13,IF(Atletas!H169="Nanquan Opcional",14,IF(Atletas!H169="Taijiquan Opcional",15,IF(Atletas!H169="Changquan Adulto",16,IF(Atletas!H169="Nanquan Adulto",17,IF(Atletas!H169="Taijiquan Adulto",18,""))))))))))))))))))))</f>
        <v/>
      </c>
      <c r="BG178" s="52" t="str">
        <f>IF(Atletas!I169="","",IF(Atletas!B169="Feminino",100,IF(Atletas!B169="Masculino",200,""))+(IF(Atletas!I169="Daoshu Mirim",19,IF(Atletas!I169="Jianshu Mirim",20,IF(Atletas!I169="Nandao Mirim",21,IF(Atletas!I169="Taijijian Mirim",22,IF(Atletas!I169="Daoshu Grupo C",23,IF(Atletas!I169="Jianshu Grupo C",24,IF(Atletas!I169="Nandao Grupo C",25,IF(Atletas!I169="Taijijian Grupo C",26,IF(Atletas!I169="Daoshu Grupo B",27,IF(Atletas!I169="Jianshu Grupo B",28,IF(Atletas!I169="Nandao Grupo B",29,IF(Atletas!I169="Taijijian Grupo B",30,IF(Atletas!I169="Daoshu Grupo A",31,IF(Atletas!I169="Jianshu Grupo A",32,IF(Atletas!I169="Nandao Grupo A",33,IF(Atletas!I169="Taijijian Grupo A",34,IF(Atletas!I169="Daoshu Opcional",35,IF(Atletas!I169="Jianshu Opcional",36,IF(Atletas!I169="Nandao Opcional",37,IF(Atletas!I169="Taijijian Opcional",38,IF(Atletas!I169="Daoshu Adulto",39,IF(Atletas!I169="Jianshu Adulto",40,IF(Atletas!I169="Nandao Adulto",41,IF(Atletas!I169="Taijijian Adulto",42,""))))))))))))))))))))))))))</f>
        <v/>
      </c>
      <c r="BH178" s="52" t="str">
        <f>IF(Atletas!J169="","",IF(Atletas!B169="Feminino",100,IF(Atletas!B169="Masculino",200,""))+(IF(Atletas!J169="Gunshu Mirim",43,IF(Atletas!J169="Qiangshu Mirim",44,IF(Atletas!J169="Nangun Mirim",45,IF(Atletas!J169="Gunshu Grupo C",46,IF(Atletas!J169="Qiangshu Grupo C",47,IF(Atletas!J169="Nangun Grupo C",48,IF(Atletas!J169="Gunshu Grupo B",49,IF(Atletas!J169="Qiangshu Grupo B",50,IF(Atletas!J169="Nangun Grupo B",51,IF(Atletas!J169="Gunshu Grupo A",52,IF(Atletas!J169="Qiangshu Grupo A",53,IF(Atletas!J169="Nangun Grupo A",54,IF(Atletas!J169="Gunshu Opcional",55,IF(Atletas!J169="Qiangshu Opcional",56,IF(Atletas!J169="Nangun Opcional",57,IF(Atletas!J169="Gunshu Adulto",58,IF(Atletas!J169="Qiangshu Adulto",59,IF(Atletas!J169="Nangun Adulto",60,IF(Atletas!J169="Taijishan Grupo B",61,IF(Atletas!J169="Taijishan Grupo A",62,""))))))))))))))))))))))</f>
        <v/>
      </c>
      <c r="BM178" s="50" t="str">
        <f>IF(Atletas!K169="","",IF(Atletas!B169="Feminino",100,IF(Atletas!B169="Masculino",200,""))+(IF(Atletas!K169="Equipe 1 Grupo B",1,IF(Atletas!K169="Equipe 2 Grupo B",2,IF(Atletas!K169="Equipe 1 Grupo A",3,IF(Atletas!K169="Equipe 2 Grupo A",4,IF(Atletas!K169="Equipe 1 Adulto",5,IF(Atletas!K169="Equipe 2 Adulto",6,""))))))))</f>
        <v/>
      </c>
      <c r="BR178" s="50" t="str">
        <f>IF(Atletas!L169="","",IF(Atletas!X169&lt;&gt;"",10000,0)+(IF(Atletas!B169="Feminino",1000,IF(Atletas!B169="Masculino",2000,""))+IF(Atletas!L169="Choylayfut A",1,IF(Atletas!L169="Hunggar A",2,IF(Atletas!L169="Wuzuquan A",3,IF(Atletas!L169="Wingchun A",4,IF(Atletas!L169="Outra Mão de Sul A",5,IF(Atletas!L169="Choylayfut B",6,IF(Atletas!L169="Hunggar B",7,IF(Atletas!L169="Wuzuquan B",8,IF(Atletas!L169="Wingchun B",9,IF(Atletas!L169="Outra Mão de Sul B",10,IF(Atletas!L169="Choylayfut C",11,IF(Atletas!L169="Hunggar C",12,IF(Atletas!L169="Wuzuquan C",13,IF(Atletas!L169="Wingchun C",14,IF(Atletas!L169="Outra Mão de Sul C",15,IF(Atletas!L169="Choylayfut D",16,IF(Atletas!L169="Hunggar D",17,IF(Atletas!L169="Wuzuquan D",18,IF(Atletas!L169="Wingchun D",19,IF(Atletas!L169="Outra Mão de Sul D",20,IF(Atletas!L169="Choylayfut E",21,IF(Atletas!L169="Hunggar E",22,IF(Atletas!L169="Wuzuquan E",23,IF(Atletas!L169="Wingchun E",24,IF(Atletas!L169="Outra Mão de Sul E",25,IF(Atletas!L169="Choylayfut F",26,IF(Atletas!L169="Hunggar F",27,IF(Atletas!L169="Wuzuquan F",28,IF(Atletas!L169="Wingchun F",29,IF(Atletas!L169="Outra Mão de Sul F",30,IF(Atletas!L169="Dishuquan A",31,IF(Atletas!L169="Dishuquan B",32,IF(Atletas!L169="Dishuquan C",33,IF(Atletas!L169="Dishuquan D",34,IF(Atletas!L169="Dishuquan E",35,IF(Atletas!L169="Dishuquan F",36,""))))))))))))))))))))))))))))))))))))))</f>
        <v/>
      </c>
      <c r="BS178" s="50" t="str">
        <f>IF(Atletas!M169="","",IF(Atletas!X169&lt;&gt;"",10000,0)+(IF(Atletas!B169="Feminino",1000,IF(Atletas!B169="Masculino",2000,""))+(IF(Atletas!M169="Chaquan A",101,IF(Atletas!M169="Emeiquan A",102,IF(Atletas!M169="Fanziquan A",103,IF(Atletas!M169="Huaquan A",104,IF(Atletas!M169="Hongquan A",105,IF(Atletas!M169="Paoquan A",106,IF(Atletas!M169="Piguaquan A",107,IF(Atletas!M169="Shaolinquan A",108,IF(Atletas!M169="Tanglangquan A",109,IF(Atletas!M169="Yingzhaoquan A",110,IF(Atletas!M169="Tongbeiquan A",111,IF(Atletas!M169="Wudangquan A",112,IF(Atletas!M169="Outros Estilos A",113,IF(Atletas!M169="Chaquan B",114,IF(Atletas!M169="Emeiquan B",115,IF(Atletas!M169="Fanziquan B",116,IF(Atletas!M169="Huaquan B",117,IF(Atletas!M169="Hongquan B",118,IF(Atletas!M169="Paoquan B",119,IF(Atletas!M169="Piguaquan B",120,IF(Atletas!M169="Shaolinquan B",121,IF(Atletas!M169="Tanglangquan B",122,IF(Atletas!M169="Yingzhaoquan B",123,IF(Atletas!M169="Tongbeiquan B",124,IF(Atletas!M169="Wudangquan B",125,IF(Atletas!M169="Outros Estilos B",126,IF(Atletas!M169="Chaquan C",127,IF(Atletas!M169="Emeiquan C",128,IF(Atletas!M169="Fanziquan C",129,IF(Atletas!M169="Huaquan C",130,IF(Atletas!M169="Hongquan C",131,IF(Atletas!M169="Paoquan C",132,IF(Atletas!M169="Piguaquan C",133,IF(Atletas!M169="Shaolinquan C",134,IF(Atletas!M169="Tanglangquan C",135,IF(Atletas!M169="Yingzhaoquan C",136,IF(Atletas!M169="Tongbeiquan C",137,IF(Atletas!M169="Wudangquan C",138,IF(Atletas!M169="Outros Estilos C",139,0))))))))))))))))))))))))))))))))))))))))))</f>
        <v/>
      </c>
      <c r="BT178" s="50" t="str">
        <f>IF(Atletas!M169="","",IF(Atletas!X169&lt;&gt;"",10000,0)+(IF(Atletas!B169="Feminino",1000,IF(Atletas!B169="Masculino",2000,""))+(IF(Atletas!M169="Chaquan D",140,IF(Atletas!M169="Emeiquan D",141,IF(Atletas!M169="Fanziquan D",142,IF(Atletas!M169="Huaquan D",143,IF(Atletas!M169="Hongquan D",144,IF(Atletas!M169="Paoquan D",145,IF(Atletas!M169="Piguaquan D",146,IF(Atletas!M169="Shaolinquan D",147,IF(Atletas!M169="Tanglangquan D",148,IF(Atletas!M169="Yingzhaoquan D",149,IF(Atletas!M169="Tongbeiquan D",150,IF(Atletas!M169="Wudangquan D",151,IF(Atletas!M169="Outros Estilos D",152,IF(Atletas!M169="Chaquan E",153,IF(Atletas!M169="Emeiquan E",154,IF(Atletas!M169="Fanziquan E",155,IF(Atletas!M169="Huaquan E",156,IF(Atletas!M169="Hongquan E",157,IF(Atletas!M169="Paoquan E",158,IF(Atletas!M169="Piguaquan E",159,IF(Atletas!M169="Shaolinquan E",160,IF(Atletas!M169="Tanglangquan E",161,IF(Atletas!M169="Yingzhaoquan E",162,IF(Atletas!M169="Tongbeiquan E",163,IF(Atletas!M169="Wudangquan E",164,IF(Atletas!M169="Outros Estilos E",165,IF(Atletas!M169="Chaquan F",166,IF(Atletas!M169="Emeiquan F",167,IF(Atletas!M169="Fanziquan F",168,IF(Atletas!M169="Huaquan F",169,IF(Atletas!M169="Hongquan F",170,IF(Atletas!M169="Paoquan F",171,IF(Atletas!M169="Piguaquan F",172,IF(Atletas!M169="Shaolinquan F",173,IF(Atletas!M169="Tanglangquan F",174,IF(Atletas!M169="Yingzhaoquan F",175,IF(Atletas!M169="Tongbeiquan F",176,IF(Atletas!M169="Wudangquan F",177,IF(Atletas!M169="Outros Estilos F",178,0))))))))))))))))))))))))))))))))))))))))))</f>
        <v/>
      </c>
      <c r="BU178" s="50" t="str">
        <f>IF(Atletas!N169="","",IF(Atletas!X169&lt;&gt;"",10000,0)+(IF(Atletas!B169="Feminino",1000,IF(Atletas!B169="Masculino",2000,""))+(IF(Atletas!N169="Ditangquan A",201,IF(Atletas!N169="Houquan A",202,IF(Atletas!N169="Zuiquan A",203,IF(Atletas!N169="Ditangquan B",204,IF(Atletas!N169="Houquan B",205,IF(Atletas!N169="Zuiquan B",206,IF(Atletas!N169="Ditangquan C",207,IF(Atletas!N169="Houquan C",208,IF(Atletas!N169="Zuiquan C",209,IF(Atletas!N169="Ditangquan D",210,IF(Atletas!N169="Houquan D",211,IF(Atletas!N169="Zuiquan D",212,IF(Atletas!N169="Ditangquan E",213,IF(Atletas!N169="Houquan E",214,IF(Atletas!N169="Zuiquan E",215,IF(Atletas!N169="Ditangquan F",216,IF(Atletas!N169="Houquan F",217,IF(Atletas!N169="Zuiquan F",218,"")))))))))))))))))))))</f>
        <v/>
      </c>
      <c r="BV178" s="50" t="str">
        <f>IF(Atletas!O169="","",IF(Atletas!X169&lt;&gt;"",10000,0)+IF(Atletas!B169="Feminino",1000,IF(Atletas!B169="Masculino",2000,""))+IF(Atletas!O169="Yang A",301,IF(Atletas!O169="Chen A",302,IF(Atletas!O169="Sun A",303,IF(Atletas!O169="Wu A",304,IF(Atletas!O169="Wu-Hao A",305,IF(Atletas!O169="Outro Taijiquan A",306,IF(Atletas!O169="Yang B",307,IF(Atletas!O169="Chen B",308,IF(Atletas!O169="Sun B",309,IF(Atletas!O169="Wu B",310,IF(Atletas!O169="Wu-Hao B",311,IF(Atletas!O169="Outro Taijiquan B",312,IF(Atletas!O169="Yang C",313,IF(Atletas!O169="Chen C",314,IF(Atletas!O169="Sun C",315,IF(Atletas!O169="Wu C",316,IF(Atletas!O169="Wu-Hao C",317,IF(Atletas!O169="Outro Taijiquan C",318,IF(Atletas!O169="Yang D",319,IF(Atletas!O169="Chen D",320,IF(Atletas!O169="Sun D",321,IF(Atletas!O169="Wu D",322,IF(Atletas!O169="Wu-Hao D",323,IF(Atletas!O169="Outro Taijiquan D",324,IF(Atletas!O169="Yang E",325,IF(Atletas!O169="Chen E",326,IF(Atletas!O169="Sun E",327,IF(Atletas!O169="Wu E",328,IF(Atletas!O169="Wu-Hao E",329,IF(Atletas!O169="Outro Taijiquan E",330,IF(Atletas!O169="Yang F",331,IF(Atletas!O169="Chen F",332,IF(Atletas!O169="Sun F",333,IF(Atletas!O169="Wu F",334,IF(Atletas!O169="Wu-Hao F",335,IF(Atletas!O169="Outro Taijiquan F",336,"")))))))))))))))))))))))))))))))))))))</f>
        <v/>
      </c>
      <c r="BW178" s="50" t="str">
        <f>IF(Atletas!P169="","",IF(Atletas!X169&lt;&gt;"",10000,0)+IF(Atletas!B169="Feminino",1000,IF(Atletas!B169="Masculino",2000,""))+IF(OR(Atletas!P169="Yang 26 A",Atletas!P169="Yang 40 A"),401,IF(OR(Atletas!P169="Chen 25 A",Atletas!P169="Chen 36 A",Atletas!P169="Chen 56 A"),402,IF(Atletas!P169="Sun 73 A",403,IF(Atletas!P169="Wu 45 A",404,IF(Atletas!P169="Wu-Hao 46 A",405,IF(OR(Atletas!P169="Taijiquan 16 A",Atletas!P169="Taijiquan 24 A",Atletas!P169="Taijiquan 32 A",Atletas!P169="Taijiquan 42 A"),406,IF(OR(Atletas!P169="Yang 26 B",Atletas!P169="Yang 40 B"),407,IF(OR(Atletas!P169="Chen 25 B",Atletas!P169="Chen 36 B",Atletas!P169="Chen 56 B"),408,IF(Atletas!P169="Sun 73 B",409,IF(Atletas!P169="Wu 45 B",410,IF(Atletas!P169="Wu-Hao 46 B",411,IF(OR(Atletas!P169="Taijiquan 16 B",Atletas!P169="Taijiquan 24 B",Atletas!P169="Taijiquan 32 B",Atletas!P169="Taijiquan 42 B"),412,IF(OR(Atletas!P169="Yang 26 C",Atletas!P169="Yang 40 C"),413,IF(OR(Atletas!P169="Chen 25 C",Atletas!P169="Chen 36 C",Atletas!P169="Chen 56 C"),414,IF(Atletas!P169="Sun 73 C",415,IF(Atletas!P169="Wu 45 C",416,IF(Atletas!P169="Wu-Hao 46 C",417,IF(OR(Atletas!P169="Taijiquan 16 C",Atletas!P169="Taijiquan 24 C",Atletas!P169="Taijiquan 32 C",Atletas!P169="Taijiquan 42 C"),418,0)))))))))))))))))))</f>
        <v/>
      </c>
      <c r="BX178" s="50" t="str">
        <f>IF(Atletas!P169="","",IF(Atletas!X169&lt;&gt;"",10000,0)+IF(Atletas!B169="Feminino",1000,IF(Atletas!B169="Masculino",2000,""))+IF(OR(Atletas!P169="Yang 26 D",Atletas!P169="Yang 40 D"),419,IF(OR(Atletas!P169="Chen 25 D",Atletas!P169="Chen 36 D",Atletas!P169="Chen 56 D"),420,IF(Atletas!P169="Sun 73 D",421,IF(Atletas!P169="Wu 45 D",422,IF(Atletas!P169="Wu-Hao 46 D",423,IF(OR(Atletas!P169="Taijiquan 16 D",Atletas!P169="Taijiquan 24 D",Atletas!P169="Taijiquan 32 D",Atletas!P169="Taijiquan 42 D"),424,IF(OR(Atletas!P169="Yang 26 E",Atletas!P169="Yang 40 E"),425,IF(OR(Atletas!P169="Chen 25 E",Atletas!P169="Chen 36 E",Atletas!P169="Chen 56 E"),426,IF(Atletas!P169="Sun 73 E",427,IF(Atletas!P169="Wu 45 E",428,IF(Atletas!P169="Wu-Hao 46 E",429,IF(OR(Atletas!P169="Taijiquan 16 E",Atletas!P169="Taijiquan 24 E",Atletas!P169="Taijiquan 32 E",Atletas!P169="Taijiquan 42 E"),430,IF(OR(Atletas!P169="Yang 26 F",Atletas!P169="Yang 40 F"),431,IF(OR(Atletas!P169="Chen 25 F",Atletas!P169="Chen 36 F",Atletas!P169="Chen 56 F"),432,IF(Atletas!P169="Sun 73 F",433,IF(Atletas!P169="Wu 45 F",434,IF(Atletas!P169="Wu-Hao 46 F",435,IF(OR(Atletas!P169="Taijiquan 16 F",Atletas!P169="Taijiquan 24 F",Atletas!P169="Taijiquan 32 F",Atletas!P169="Taijiquan 42 F"),436,0)))))))))))))))))))</f>
        <v/>
      </c>
      <c r="BY178" s="50" t="str">
        <f>IF(Atletas!Q169="","",IF(Atletas!X169&lt;&gt;"",10000,0)+IF(Atletas!B169="Feminino",1000,IF(Atletas!B169="Masculino",2000,""))+IF(Atletas!Q169="Xingyiquan A",501,IF(Atletas!Q169="Baguazhang A",502,IF(Atletas!Q169="Outro Estilo Interno A",503,IF(Atletas!Q169="Xingyiquan B",504,IF(Atletas!Q169="Baguazhang B",505,IF(Atletas!Q169="Outro Estilo Interno B",506,IF(Atletas!Q169="Xingyiquan C",507,IF(Atletas!Q169="Baguazhang C",508,IF(Atletas!Q169="Outro Estilo Interno C",509,IF(Atletas!Q169="Xingyiquan D",510,IF(Atletas!Q169="Baguazhang D",511,IF(Atletas!Q169="Outro Estilo Interno D",512,IF(Atletas!Q169="Xingyiquan E",513,IF(Atletas!Q169="Baguazhang E",514,IF(Atletas!Q169="Outro Estilo Interno E",515,IF(Atletas!Q169="Xingyiquan F",516,IF(Atletas!Q169="Baguazhang F",517,IF(Atletas!Q169="Outro Estilo Interno F",518, "")))))))))))))))))))</f>
        <v/>
      </c>
      <c r="BZ178" s="50" t="str">
        <f>IF(Atletas!R169="","",IF(Atletas!X169&lt;&gt;"",10000,0)+IF(Atletas!B169="Feminino",1000,IF(Atletas!B169="Masculino",2000,""))+IF(Atletas!R169="Dao A",601,IF(Atletas!R169="Jian A",602,IF(Atletas!R169="Bishou A",603,IF(Atletas!R169="Shanzi A",604,IF(Atletas!R169="Outra Arma Curta A",605,IF(Atletas!R169="Dao B",606,IF(Atletas!R169="Jian B",607,IF(Atletas!R169="Bishou B",608,IF(Atletas!R169="Shanzi B",609,IF(Atletas!R169="Outra Arma Curta B",610,IF(Atletas!R169="Dao C",611,IF(Atletas!R169="Jian C",612,IF(Atletas!R169="Bishou C",613,IF(Atletas!R169="Shanzi C",614,IF(Atletas!R169="Outra Arma Curta C",615,IF(Atletas!R169="Dao D",616,IF(Atletas!R169="Jian D",617,IF(Atletas!R169="Bishou D",618,IF(Atletas!R169="Shanzi D",619,IF(Atletas!R169="Outra Arma Curta D",620,IF(Atletas!R169="Dao E",621,IF(Atletas!R169="Jian E",622,IF(Atletas!R169="Bishou E",623,IF(Atletas!R169="Shanzi E",624,IF(Atletas!R169="Outra Arma Curta E",625,IF(Atletas!R169="Dao F",626,IF(Atletas!R169="Jian F",627,IF(Atletas!R169="Bishou F",628,IF(Atletas!R169="Shanzi F",629,IF(Atletas!R169="Outra Arma Curta F",630, "")))))))))))))))))))))))))))))))</f>
        <v/>
      </c>
      <c r="CA178" s="50" t="str">
        <f>IF(Atletas!S169="","",IF(Atletas!X169&lt;&gt;"",10000,0)+IF(Atletas!B169="Feminino",1000,IF(Atletas!B169="Masculino",2000,""))+IF(Atletas!S169="Gun A",701,IF(Atletas!S169="Qiang A",702,IF(Atletas!S169="Pudao / Guandao A",703,IF(Atletas!S169="Outra Arma Longa A",704,IF(Atletas!S169="Gun B",705,IF(Atletas!S169="Qiang B",706,IF(Atletas!S169="Pudao / Guandao B",707,IF(Atletas!S169="Outra Arma Longa B",708,IF(Atletas!S169="Gun C",709,IF(Atletas!S169="Qiang C",710,IF(Atletas!S169="Pudao / Guandao C",711,IF(Atletas!S169="Outra Arma Longa C",712,IF(Atletas!S169="Gun D",713,IF(Atletas!S169="Qiang D",714,IF(Atletas!S169="Pudao / Guandao D",715,IF(Atletas!S169="Outra Arma Longa D",716,IF(Atletas!S169="Gun E",717,IF(Atletas!S169="Qiang E",718,IF(Atletas!S169="Pudao / Guandao E",719,IF(Atletas!S169="Outra Arma Longa E",720,IF(Atletas!S169="Gun F",721,IF(Atletas!S169="Qiang F",722,IF(Atletas!S169="Pudao / Guandao F",723,IF(Atletas!S169="Outra Arma Longa F",724,"")))))))))))))))))))))))))</f>
        <v/>
      </c>
      <c r="CB178" s="50" t="str">
        <f>IF(Atletas!T169="","",IF(Atletas!X169&lt;&gt;"",10000,0)+IF(Atletas!B169="Feminino",1000,IF(Atletas!B169="Masculino",2000,""))+IF(Atletas!T169="Outra Arma Dupla A",801,IF(Atletas!T169="Arma Maleável A",802,IF(Atletas!T169="Outra Arma Dupla B",803,IF(Atletas!T169="Arma Maleável B",804,IF(Atletas!T169="Outra Arma Dupla C",805,IF(Atletas!T169="Arma Maleável C",806,IF(Atletas!T169="Outra Arma Dupla D",807,IF(Atletas!T169="Arma Maleável D",808,IF(Atletas!T169="Outra Arma Dupla E",809,IF(Atletas!T169="Arma Maleável E",810,IF(Atletas!T169="Outra Arma Dupla F",811,IF(Atletas!T169="Arma Maleável F",812,IF(Atletas!T169="Shuangdao A",813,IF(Atletas!T169="Shuangdao B",814,IF(Atletas!T169="Shuangdao C",815,IF(Atletas!T169="Shuangdao D",816,IF(Atletas!T169="Shuangdao E",817,IF(Atletas!T169="Shuangdao F",818,"")))))))))))))))))))</f>
        <v/>
      </c>
      <c r="CC178" s="50" t="str">
        <f>IF(Atletas!U169="","",IF(Atletas!X169&lt;&gt;"",10000,0)+IF(Atletas!B169="Feminino",1000,IF(Atletas!B169="Masculino",2000,""))+IF(OR(Atletas!U169="Taijijian Yang A",Atletas!U169="Taijijian Yang Standard A"),901,IF(OR(Atletas!U169="Taijijian Chen A", Atletas!U169="Taijijian Chen Standard A"),902,IF(Atletas!U169="Taijijian Sun A",903,IF(Atletas!U169="Taijijian Wu A",904,IF(Atletas!U169="Taijijian Wu-Hao A",905,IF(OR(Atletas!U169="Taijijian 32 A",Atletas!U169="Taijijian 42 A"),906,IF(OR(Atletas!U169="Taijijian Yang B",Atletas!U169="Taijijian Yang Standard B"),907,IF(OR(Atletas!U169="Taijijian Chen B", Atletas!U169="Taijijian Chen Standard B"),908,IF(Atletas!U169="Taijijian Sun B",909,IF(Atletas!U169="Taijijian Wu B",910,IF(Atletas!U169="Taijijian Wu-Hao B",911,IF(OR(Atletas!U169="Taijijian 32 B",Atletas!U169="Taijijian 42 B"),912,IF(OR(Atletas!U169="Taijijian Yang C",Atletas!U169="Taijijian Yang Standard C"),913,IF(OR(Atletas!U169="Taijijian Chen C", Atletas!U169="Taijijian Chen Standard C"),914,IF(Atletas!U169="Taijijian Sun C",915,IF(Atletas!U169="Taijijian Wu C",916,IF(Atletas!U169="Taijijian Wu-Hao C",917,IF(OR(Atletas!U169="Taijijian 32 C",Atletas!U169="Taijijian 42 C"),918,IF(OR(Atletas!U169="Taijijian Yang D",Atletas!U169="Taijijian Yang Standard D"),919,IF(OR(Atletas!U169="Taijijian Chen D", Atletas!U169="Taijijian Chen Standard D"),920,IF(Atletas!U169="Taijijian Sun D",921,IF(Atletas!U169="Taijijian Wu D",922,IF(Atletas!U169="Taijijian Wu-Hao D",923,IF(OR(Atletas!U169="Taijijian 32 D",Atletas!U169="Taijijian 42 D"),924,IF(OR(Atletas!U169="Taijijian Yang E",Atletas!U169="Taijijian Yang Standard E"),925,IF(OR(Atletas!U169="Taijijian Chen E", Atletas!U169="Taijijian Chen Standard E"),926,IF(Atletas!U169="Taijijian Sun E",927,IF(Atletas!U169="Taijijian Wu E",928,IF(Atletas!U169="Taijijian Wu-Hao E",929,IF(OR(Atletas!U169="Taijijian 32 E",Atletas!U169="Taijijian 42 E"),930,IF(OR(Atletas!U169="Taijijian Yang F",Atletas!U169="Taijijian Yang Standard F"),931,IF(OR(Atletas!U169="Taijijian Chen F", Atletas!U169="Taijijian Chen Standard F"),932,IF(Atletas!U169="Taijijian Sun F",933,IF(Atletas!U169="Taijijian Wu F",934,IF(Atletas!U169="Taijijian Wu-Hao F",935,IF(OR(Atletas!U169="Taijijian 32 F",Atletas!U169="Taijijian 42 F"),936,"")))))))))))))))))))))))))))))))))))))</f>
        <v/>
      </c>
      <c r="CD178" s="50" t="str">
        <f>IF(Atletas!V169="","",IF(Atletas!X169&lt;&gt;"",10000,0)+IF(Atletas!B169="Feminino",1000,IF(Atletas!B169="Masculino",2000,""))+IF(Atletas!V169="Taijidao A",937,IF(Atletas!V169="TaijiShanzi A",938,IF(Atletas!V169="Taijiqiang A",939,IF(Atletas!V169="Bagua de Arma A",940,IF(Atletas!V169="Xingyi de Arma A",941,IF(Atletas!V169="Taijidao B",942,IF(Atletas!V169="TaijiShanzi B",943,IF(Atletas!V169="Taijiqiang B",944,IF(Atletas!V169="Bagua de Arma B",945,IF(Atletas!V169="Xingyi de Arma B",946,IF(Atletas!V169="Taijidao C",947,IF(Atletas!V169="TaijiShanzi C",948,IF(Atletas!V169="Taijiqiang C",949,IF(Atletas!V169="Bagua de Arma C",950,IF(Atletas!V169="Xingyi de Arma C",951,IF(Atletas!V169="Taijidao D",952,IF(Atletas!V169="TaijiShanzi D",953,IF(Atletas!V169="Taijiqiang D",954,IF(Atletas!V169="Bagua de Arma D",955,IF(Atletas!V169="Xingyi de Arma D",956,IF(Atletas!V169="Taijidao E",957,IF(Atletas!V169="TaijiShanzi E",958,IF(Atletas!V169="Taijiqiang E",959,IF(Atletas!V169="Bagua de Arma E",960,IF(Atletas!V169="Xingyi de Arma E",961,IF(Atletas!V169="Taijidao F",962,IF(Atletas!V169="TaijiShanzi F",963,IF(Atletas!V169="Taijiqiang F",964,IF(Atletas!V169="Bagua de Arma F",965,IF(Atletas!V169="Xingyi de Arma F",966,"")))))))))))))))))))))))))))))))</f>
        <v/>
      </c>
      <c r="CE178" s="66" t="str">
        <f>IF(CF178&lt;&gt;"","TJQ Padr. Wu A","")</f>
        <v/>
      </c>
      <c r="CF178" s="66" t="str">
        <f>IF(COUNTIF(BR:CD,1404)&gt;0,COUNTIF(BR:CD,1404),"")</f>
        <v/>
      </c>
      <c r="CG178" s="66" t="str">
        <f>IF(CH178&lt;&gt;"","TJQ Padr. Wu A","")</f>
        <v/>
      </c>
      <c r="CH178" s="66" t="str">
        <f>IF(COUNTIF(BR:CD,2404)&gt;0,COUNTIF(BR:CD,2404),"")</f>
        <v/>
      </c>
      <c r="CI178" s="66" t="str">
        <f>IF(CJ178&lt;&gt;"","TJQ Padr. Wu B","")</f>
        <v/>
      </c>
      <c r="CJ178" s="66" t="str">
        <f>IF(COUNTIF(BR:CD,11410)&gt;0,COUNTIF(BR:CD,11410),"")</f>
        <v/>
      </c>
      <c r="CK178" s="66" t="str">
        <f>IF(CL178&lt;&gt;"","TJQ Padr. Wu B","")</f>
        <v/>
      </c>
      <c r="CL178" s="66" t="str">
        <f>IF(COUNTIF(BR:CD,12410)&gt;0,COUNTIF(BR:CD,12410),"")</f>
        <v/>
      </c>
      <c r="CM178" s="50" t="str">
        <f xml:space="preserve"> IF(Atletas!W169="","",IF(Atletas!W169="Duilian de Mãos BC - Equipe 1",1,IF(Atletas!W169="Duilian de Mãos BC - Equipe 2",2,IF(Atletas!W169="Duilian de Armas BC - Equipe 1",3,IF(Atletas!W169="Duilian de Armas BC - Equipe 2",4,IF(Atletas!W169="Duilian de Mãos DE - Equipe 1",5,IF(Atletas!W169="Duilian de Mãos DE - Equipe 2",6,IF(Atletas!W169="Duilian de Armas DE - Equipe 1",7,IF(Atletas!W169="Duilian de Armas DE - Equipe 2",8,IF(Atletas!W169="Duilian de Tuishou - Equipe 1",9,IF(Atletas!W169="Duilian de Tuishou - Equipe 2",10,IF(Atletas!W169="Grupo Externo ABC - Equipe 1",11,IF(Atletas!W169="Grupo Externo ABC - Equipe 2",12,IF(Atletas!W169="Grupo Interno ABC - Equipe 1",13,IF(Atletas!W169="Grupo Interno ABC - Equipe 2",14,IF(Atletas!W169="Grupo Externo DEF - Equipe 1",15,IF(Atletas!W169="Grupo Externo DEF - Equipe 2",16,IF(Atletas!W169="Grupo Interno DEF - Equipe 1",17,IF(Atletas!W169="Grupo Interno DEF - Equipe 2",18,"")))))))))))))))))))</f>
        <v/>
      </c>
    </row>
    <row r="179" spans="2:91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 t="str">
        <f t="array" ref="Z179">IFERROR(INDEX(CE$7:CE$348,SMALL(IF(CE$7:CE$348&lt;&gt;"",ROW(CE$7:CE$348)-ROW(CE$7)+1),ROWS(CE$7:CE178))),"")</f>
        <v/>
      </c>
      <c r="AA179" s="3" t="str">
        <f t="array" ref="AA179">IFERROR(INDEX(CF$7:CF$348,SMALL(IF(CF$7:CF$348&lt;&gt;"",ROW(CF$7:CF$348)-ROW(CF$7)+1),ROWS(CF$7:CF178))),"")</f>
        <v/>
      </c>
      <c r="AB179" s="3" t="str">
        <f t="array" ref="AB179">IFERROR(INDEX(CG$7:CG$348,SMALL(IF(CG$7:CG$348&lt;&gt;"",ROW(CG$7:CG$348)-ROW(CG$7)+1),ROWS(CG$7:CG178))),"")</f>
        <v/>
      </c>
      <c r="AC179" s="3" t="str">
        <f t="array" ref="AC179">IFERROR(INDEX(CH$7:CH$348,SMALL(IF(CH$7:CH$348&lt;&gt;"",ROW(CH$7:CH$348)-ROW(CH$7)+1),ROWS(CH$7:CH178))),"")</f>
        <v/>
      </c>
      <c r="AD179" s="3" t="str">
        <f t="array" ref="AD179">IFERROR(INDEX(CI$7:CI$377,SMALL(IF(CI$7:CI$377&lt;&gt;"",ROW(CI$7:CI$377)-ROW(CI$7)+1),ROWS(CI$7:CI178))),"")</f>
        <v/>
      </c>
      <c r="AE179" s="3" t="str">
        <f t="array" ref="AE179">IFERROR(INDEX(CJ$7:CJ$378,SMALL(IF(CJ$7:CJ$378&lt;&gt;"",ROW(CJ$7:CJ$378)-ROW(CJ$7)+1),ROWS(CJ$7:CJ178))),"")</f>
        <v/>
      </c>
      <c r="AF179" s="3" t="str">
        <f t="array" ref="AF179">IFERROR(INDEX(CK$7:CK$378,SMALL(IF(CK$7:CK$378&lt;&gt;"",ROW(CK$7:CK$378)-ROW(CK$7)+1),ROWS(CK$7:CK178))),"")</f>
        <v/>
      </c>
      <c r="AG179" s="3" t="str">
        <f t="array" ref="AG179">IFERROR(INDEX(CL$7:CL$378,SMALL(IF(CL$7:CL$378&lt;&gt;"",ROW(CL$7:CL$378)-ROW(CL$7)+1),ROWS(CL$7:CL178))),"")</f>
        <v/>
      </c>
      <c r="AH179" s="3"/>
      <c r="AI179" s="3"/>
      <c r="AJ179" s="3"/>
      <c r="AK179" s="3"/>
      <c r="AL179" s="3"/>
      <c r="AM179" s="3"/>
      <c r="AN179" s="52" t="str">
        <f>IF(Atletas!D170="","",IF(Atletas!B170="Feminino",100,IF(Atletas!B170="Masculino",200,""))+(IF(Atletas!D170="Kids 30kg",1,IF(Atletas!D170="Kids 32kg",2, IF(Atletas!D170="Kids 34kg",3,IF(Atletas!D170="Kids 36kg",4,IF(Atletas!D170="Kids 39kg",5,IF(Atletas!D170="Kids 42kg",6,IF(Atletas!D170="Kids 45kg",7, IF(Atletas!D170="Infantil 39kg",8,IF(Atletas!D170="Infantil 42kg",9,IF(Atletas!D170="Infantil 45kg",10,IF(Atletas!D170="Infantil 48kg",11,IF(Atletas!D170="Infantil 52kg",12,IF(Atletas!D170="Infantil 56kg",13,IF(Atletas!D170="Infantil 60kg",14,IF(Atletas!D170="Juvenil 48kg",15,IF(Atletas!D170="Juvenil 52kg",16,IF(Atletas!D170="Juvenil 56kg",17,IF(Atletas!D170="Juvenil 60kg",18,IF(Atletas!D170="Juvenil 65kg",19,IF(Atletas!D170="Juvenil 70kg",20,IF(Atletas!D170="Juvenil 75kg",21,IF(Atletas!D170="Juvenil 80kg",22, IF(Atletas!D170="Juvenil 85kg",23,IF(Atletas!D170="Adulto 48kg",24,IF(Atletas!D170="Adulto 52kg",25,IF(Atletas!D170="Adulto 56kg",26,IF(Atletas!D170="Adulto 60kg",27,IF(Atletas!D170="Adulto 65kg",28,IF(Atletas!D170="Adulto 70kg",29,IF(Atletas!D170="Adulto 75kg",30,IF(Atletas!D170="Adulto 80kg",31,IF(Atletas!D170="Adulto 85kg",32,IF(Atletas!D170="Adulto 90kg",33,IF(Atletas!D170="Adulto 100kg",34, IF(Atletas!D170="Adulto +100kg",35,"")))))))))))))))))))))))))))))))))))))</f>
        <v/>
      </c>
      <c r="AS179" s="6" t="str">
        <f>IF(Atletas!E170="","",IF(Atletas!B170="Feminino",100,IF(Atletas!B170="Masculino",200,""))+(IF(Atletas!E170="Juvenil 44kg",1,IF(Atletas!E170="Juvenil 48kg",2,IF(Atletas!E170="Juvenil 52kg",3,IF(Atletas!E170="Juvenil 56kg",4,IF(Atletas!E170="Juvenil 60kg",5,IF(Atletas!E170="Juvenil 65kg",6,IF(Atletas!E170="Juvenil 70kg",7,IF(Atletas!E170="Juvenil 75kg",8,IF(Atletas!E170="Juvenil 82kg",9,IF(Atletas!E170="Juvenil 90kg",10,IF(Atletas!E170="Juvenil 100kg",11,IF(Atletas!E170="Adulto 48kg",12,IF(Atletas!E170="Adulto 52kg",13,IF(Atletas!E170="Adulto 56kg",14,IF(Atletas!E170="Adulto 60kg",15,IF(Atletas!E170="Adulto 65kg",16,IF(Atletas!E170="Adulto 70kg",17,IF(Atletas!E170="Adulto 75kg",18,IF(Atletas!E170="Adulto 82kg",19,IF(Atletas!E170="Adulto 90kg",20,IF(Atletas!E170="Adulto 100kg",21,IF(Atletas!E170="Adulto +100kg",22,""))))))))))))))))))))))))</f>
        <v/>
      </c>
      <c r="AX179" s="6" t="str">
        <f>IF(Atletas!F170="","",IF(Atletas!B170="Feminino",100,IF(Atletas!B170="Masculino",200,""))+(IF(Atletas!F170="Adulto 48kg",1,IF(Atletas!F170="Adulto 56kg",2,IF(Atletas!F170="Adulto 65kg",3,IF(Atletas!F170="Adulto 75kg",4,IF(Atletas!F170="Adulto +75kg",5,IF(Atletas!F170="Adulto 52kg",6,IF(Atletas!F170="Adulto 60kg",7,IF(Atletas!F170="Adulto 70kg",8,IF(Atletas!F170="Adulto 80kg",9,IF(Atletas!F170="Adulto 90kg",10,IF(Atletas!F170="Adulto +90kg",11,"")))))))))))))</f>
        <v/>
      </c>
      <c r="BC179" s="6" t="str">
        <f>IF(Atletas!G170="","",IF(Atletas!B170="Feminino",10,IF(Atletas!B170="Masculino",20,""))+(IF(Atletas!G170="Baduanjin A",1,IF(Atletas!G170="Baduanjin B",2))))</f>
        <v/>
      </c>
      <c r="BF179" s="52" t="str">
        <f>IF(Atletas!H170="","",IF(Atletas!B170="Feminino",100,IF(Atletas!B170="Masculino",200,""))+(IF(Atletas!H170="Changquan Mirim",1,IF(Atletas!H170="Nanquan Mirim",2,IF(Atletas!H170="Taijiquan Mirim",3,IF(Atletas!H170="Changquan Grupo C",4,IF(Atletas!H170="Nanquan Grupo C",5,IF(Atletas!H170="Taijiquan Grupo C",6,IF(Atletas!H170="Changquan Grupo B",7,IF(Atletas!H170="Nanquan Grupo B",8,IF(Atletas!H170="Taijiquan Grupo B",9,IF(Atletas!H170="Changquan Grupo A",10,IF(Atletas!H170="Nanquan Grupo A",11,IF(Atletas!H170="Taijiquan Grupo A",12,IF(Atletas!H170="Changquan Opcional",13,IF(Atletas!H170="Nanquan Opcional",14,IF(Atletas!H170="Taijiquan Opcional",15,IF(Atletas!H170="Changquan Adulto",16,IF(Atletas!H170="Nanquan Adulto",17,IF(Atletas!H170="Taijiquan Adulto",18,""))))))))))))))))))))</f>
        <v/>
      </c>
      <c r="BG179" s="52" t="str">
        <f>IF(Atletas!I170="","",IF(Atletas!B170="Feminino",100,IF(Atletas!B170="Masculino",200,""))+(IF(Atletas!I170="Daoshu Mirim",19,IF(Atletas!I170="Jianshu Mirim",20,IF(Atletas!I170="Nandao Mirim",21,IF(Atletas!I170="Taijijian Mirim",22,IF(Atletas!I170="Daoshu Grupo C",23,IF(Atletas!I170="Jianshu Grupo C",24,IF(Atletas!I170="Nandao Grupo C",25,IF(Atletas!I170="Taijijian Grupo C",26,IF(Atletas!I170="Daoshu Grupo B",27,IF(Atletas!I170="Jianshu Grupo B",28,IF(Atletas!I170="Nandao Grupo B",29,IF(Atletas!I170="Taijijian Grupo B",30,IF(Atletas!I170="Daoshu Grupo A",31,IF(Atletas!I170="Jianshu Grupo A",32,IF(Atletas!I170="Nandao Grupo A",33,IF(Atletas!I170="Taijijian Grupo A",34,IF(Atletas!I170="Daoshu Opcional",35,IF(Atletas!I170="Jianshu Opcional",36,IF(Atletas!I170="Nandao Opcional",37,IF(Atletas!I170="Taijijian Opcional",38,IF(Atletas!I170="Daoshu Adulto",39,IF(Atletas!I170="Jianshu Adulto",40,IF(Atletas!I170="Nandao Adulto",41,IF(Atletas!I170="Taijijian Adulto",42,""))))))))))))))))))))))))))</f>
        <v/>
      </c>
      <c r="BH179" s="52" t="str">
        <f>IF(Atletas!J170="","",IF(Atletas!B170="Feminino",100,IF(Atletas!B170="Masculino",200,""))+(IF(Atletas!J170="Gunshu Mirim",43,IF(Atletas!J170="Qiangshu Mirim",44,IF(Atletas!J170="Nangun Mirim",45,IF(Atletas!J170="Gunshu Grupo C",46,IF(Atletas!J170="Qiangshu Grupo C",47,IF(Atletas!J170="Nangun Grupo C",48,IF(Atletas!J170="Gunshu Grupo B",49,IF(Atletas!J170="Qiangshu Grupo B",50,IF(Atletas!J170="Nangun Grupo B",51,IF(Atletas!J170="Gunshu Grupo A",52,IF(Atletas!J170="Qiangshu Grupo A",53,IF(Atletas!J170="Nangun Grupo A",54,IF(Atletas!J170="Gunshu Opcional",55,IF(Atletas!J170="Qiangshu Opcional",56,IF(Atletas!J170="Nangun Opcional",57,IF(Atletas!J170="Gunshu Adulto",58,IF(Atletas!J170="Qiangshu Adulto",59,IF(Atletas!J170="Nangun Adulto",60,IF(Atletas!J170="Taijishan Grupo B",61,IF(Atletas!J170="Taijishan Grupo A",62,""))))))))))))))))))))))</f>
        <v/>
      </c>
      <c r="BM179" s="50" t="str">
        <f>IF(Atletas!K170="","",IF(Atletas!B170="Feminino",100,IF(Atletas!B170="Masculino",200,""))+(IF(Atletas!K170="Equipe 1 Grupo B",1,IF(Atletas!K170="Equipe 2 Grupo B",2,IF(Atletas!K170="Equipe 1 Grupo A",3,IF(Atletas!K170="Equipe 2 Grupo A",4,IF(Atletas!K170="Equipe 1 Adulto",5,IF(Atletas!K170="Equipe 2 Adulto",6,""))))))))</f>
        <v/>
      </c>
      <c r="BR179" s="50" t="str">
        <f>IF(Atletas!L170="","",IF(Atletas!X170&lt;&gt;"",10000,0)+(IF(Atletas!B170="Feminino",1000,IF(Atletas!B170="Masculino",2000,""))+IF(Atletas!L170="Choylayfut A",1,IF(Atletas!L170="Hunggar A",2,IF(Atletas!L170="Wuzuquan A",3,IF(Atletas!L170="Wingchun A",4,IF(Atletas!L170="Outra Mão de Sul A",5,IF(Atletas!L170="Choylayfut B",6,IF(Atletas!L170="Hunggar B",7,IF(Atletas!L170="Wuzuquan B",8,IF(Atletas!L170="Wingchun B",9,IF(Atletas!L170="Outra Mão de Sul B",10,IF(Atletas!L170="Choylayfut C",11,IF(Atletas!L170="Hunggar C",12,IF(Atletas!L170="Wuzuquan C",13,IF(Atletas!L170="Wingchun C",14,IF(Atletas!L170="Outra Mão de Sul C",15,IF(Atletas!L170="Choylayfut D",16,IF(Atletas!L170="Hunggar D",17,IF(Atletas!L170="Wuzuquan D",18,IF(Atletas!L170="Wingchun D",19,IF(Atletas!L170="Outra Mão de Sul D",20,IF(Atletas!L170="Choylayfut E",21,IF(Atletas!L170="Hunggar E",22,IF(Atletas!L170="Wuzuquan E",23,IF(Atletas!L170="Wingchun E",24,IF(Atletas!L170="Outra Mão de Sul E",25,IF(Atletas!L170="Choylayfut F",26,IF(Atletas!L170="Hunggar F",27,IF(Atletas!L170="Wuzuquan F",28,IF(Atletas!L170="Wingchun F",29,IF(Atletas!L170="Outra Mão de Sul F",30,IF(Atletas!L170="Dishuquan A",31,IF(Atletas!L170="Dishuquan B",32,IF(Atletas!L170="Dishuquan C",33,IF(Atletas!L170="Dishuquan D",34,IF(Atletas!L170="Dishuquan E",35,IF(Atletas!L170="Dishuquan F",36,""))))))))))))))))))))))))))))))))))))))</f>
        <v/>
      </c>
      <c r="BS179" s="50" t="str">
        <f>IF(Atletas!M170="","",IF(Atletas!X170&lt;&gt;"",10000,0)+(IF(Atletas!B170="Feminino",1000,IF(Atletas!B170="Masculino",2000,""))+(IF(Atletas!M170="Chaquan A",101,IF(Atletas!M170="Emeiquan A",102,IF(Atletas!M170="Fanziquan A",103,IF(Atletas!M170="Huaquan A",104,IF(Atletas!M170="Hongquan A",105,IF(Atletas!M170="Paoquan A",106,IF(Atletas!M170="Piguaquan A",107,IF(Atletas!M170="Shaolinquan A",108,IF(Atletas!M170="Tanglangquan A",109,IF(Atletas!M170="Yingzhaoquan A",110,IF(Atletas!M170="Tongbeiquan A",111,IF(Atletas!M170="Wudangquan A",112,IF(Atletas!M170="Outros Estilos A",113,IF(Atletas!M170="Chaquan B",114,IF(Atletas!M170="Emeiquan B",115,IF(Atletas!M170="Fanziquan B",116,IF(Atletas!M170="Huaquan B",117,IF(Atletas!M170="Hongquan B",118,IF(Atletas!M170="Paoquan B",119,IF(Atletas!M170="Piguaquan B",120,IF(Atletas!M170="Shaolinquan B",121,IF(Atletas!M170="Tanglangquan B",122,IF(Atletas!M170="Yingzhaoquan B",123,IF(Atletas!M170="Tongbeiquan B",124,IF(Atletas!M170="Wudangquan B",125,IF(Atletas!M170="Outros Estilos B",126,IF(Atletas!M170="Chaquan C",127,IF(Atletas!M170="Emeiquan C",128,IF(Atletas!M170="Fanziquan C",129,IF(Atletas!M170="Huaquan C",130,IF(Atletas!M170="Hongquan C",131,IF(Atletas!M170="Paoquan C",132,IF(Atletas!M170="Piguaquan C",133,IF(Atletas!M170="Shaolinquan C",134,IF(Atletas!M170="Tanglangquan C",135,IF(Atletas!M170="Yingzhaoquan C",136,IF(Atletas!M170="Tongbeiquan C",137,IF(Atletas!M170="Wudangquan C",138,IF(Atletas!M170="Outros Estilos C",139,0))))))))))))))))))))))))))))))))))))))))))</f>
        <v/>
      </c>
      <c r="BT179" s="50" t="str">
        <f>IF(Atletas!M170="","",IF(Atletas!X170&lt;&gt;"",10000,0)+(IF(Atletas!B170="Feminino",1000,IF(Atletas!B170="Masculino",2000,""))+(IF(Atletas!M170="Chaquan D",140,IF(Atletas!M170="Emeiquan D",141,IF(Atletas!M170="Fanziquan D",142,IF(Atletas!M170="Huaquan D",143,IF(Atletas!M170="Hongquan D",144,IF(Atletas!M170="Paoquan D",145,IF(Atletas!M170="Piguaquan D",146,IF(Atletas!M170="Shaolinquan D",147,IF(Atletas!M170="Tanglangquan D",148,IF(Atletas!M170="Yingzhaoquan D",149,IF(Atletas!M170="Tongbeiquan D",150,IF(Atletas!M170="Wudangquan D",151,IF(Atletas!M170="Outros Estilos D",152,IF(Atletas!M170="Chaquan E",153,IF(Atletas!M170="Emeiquan E",154,IF(Atletas!M170="Fanziquan E",155,IF(Atletas!M170="Huaquan E",156,IF(Atletas!M170="Hongquan E",157,IF(Atletas!M170="Paoquan E",158,IF(Atletas!M170="Piguaquan E",159,IF(Atletas!M170="Shaolinquan E",160,IF(Atletas!M170="Tanglangquan E",161,IF(Atletas!M170="Yingzhaoquan E",162,IF(Atletas!M170="Tongbeiquan E",163,IF(Atletas!M170="Wudangquan E",164,IF(Atletas!M170="Outros Estilos E",165,IF(Atletas!M170="Chaquan F",166,IF(Atletas!M170="Emeiquan F",167,IF(Atletas!M170="Fanziquan F",168,IF(Atletas!M170="Huaquan F",169,IF(Atletas!M170="Hongquan F",170,IF(Atletas!M170="Paoquan F",171,IF(Atletas!M170="Piguaquan F",172,IF(Atletas!M170="Shaolinquan F",173,IF(Atletas!M170="Tanglangquan F",174,IF(Atletas!M170="Yingzhaoquan F",175,IF(Atletas!M170="Tongbeiquan F",176,IF(Atletas!M170="Wudangquan F",177,IF(Atletas!M170="Outros Estilos F",178,0))))))))))))))))))))))))))))))))))))))))))</f>
        <v/>
      </c>
      <c r="BU179" s="50" t="str">
        <f>IF(Atletas!N170="","",IF(Atletas!X170&lt;&gt;"",10000,0)+(IF(Atletas!B170="Feminino",1000,IF(Atletas!B170="Masculino",2000,""))+(IF(Atletas!N170="Ditangquan A",201,IF(Atletas!N170="Houquan A",202,IF(Atletas!N170="Zuiquan A",203,IF(Atletas!N170="Ditangquan B",204,IF(Atletas!N170="Houquan B",205,IF(Atletas!N170="Zuiquan B",206,IF(Atletas!N170="Ditangquan C",207,IF(Atletas!N170="Houquan C",208,IF(Atletas!N170="Zuiquan C",209,IF(Atletas!N170="Ditangquan D",210,IF(Atletas!N170="Houquan D",211,IF(Atletas!N170="Zuiquan D",212,IF(Atletas!N170="Ditangquan E",213,IF(Atletas!N170="Houquan E",214,IF(Atletas!N170="Zuiquan E",215,IF(Atletas!N170="Ditangquan F",216,IF(Atletas!N170="Houquan F",217,IF(Atletas!N170="Zuiquan F",218,"")))))))))))))))))))))</f>
        <v/>
      </c>
      <c r="BV179" s="50" t="str">
        <f>IF(Atletas!O170="","",IF(Atletas!X170&lt;&gt;"",10000,0)+IF(Atletas!B170="Feminino",1000,IF(Atletas!B170="Masculino",2000,""))+IF(Atletas!O170="Yang A",301,IF(Atletas!O170="Chen A",302,IF(Atletas!O170="Sun A",303,IF(Atletas!O170="Wu A",304,IF(Atletas!O170="Wu-Hao A",305,IF(Atletas!O170="Outro Taijiquan A",306,IF(Atletas!O170="Yang B",307,IF(Atletas!O170="Chen B",308,IF(Atletas!O170="Sun B",309,IF(Atletas!O170="Wu B",310,IF(Atletas!O170="Wu-Hao B",311,IF(Atletas!O170="Outro Taijiquan B",312,IF(Atletas!O170="Yang C",313,IF(Atletas!O170="Chen C",314,IF(Atletas!O170="Sun C",315,IF(Atletas!O170="Wu C",316,IF(Atletas!O170="Wu-Hao C",317,IF(Atletas!O170="Outro Taijiquan C",318,IF(Atletas!O170="Yang D",319,IF(Atletas!O170="Chen D",320,IF(Atletas!O170="Sun D",321,IF(Atletas!O170="Wu D",322,IF(Atletas!O170="Wu-Hao D",323,IF(Atletas!O170="Outro Taijiquan D",324,IF(Atletas!O170="Yang E",325,IF(Atletas!O170="Chen E",326,IF(Atletas!O170="Sun E",327,IF(Atletas!O170="Wu E",328,IF(Atletas!O170="Wu-Hao E",329,IF(Atletas!O170="Outro Taijiquan E",330,IF(Atletas!O170="Yang F",331,IF(Atletas!O170="Chen F",332,IF(Atletas!O170="Sun F",333,IF(Atletas!O170="Wu F",334,IF(Atletas!O170="Wu-Hao F",335,IF(Atletas!O170="Outro Taijiquan F",336,"")))))))))))))))))))))))))))))))))))))</f>
        <v/>
      </c>
      <c r="BW179" s="50" t="str">
        <f>IF(Atletas!P170="","",IF(Atletas!X170&lt;&gt;"",10000,0)+IF(Atletas!B170="Feminino",1000,IF(Atletas!B170="Masculino",2000,""))+IF(OR(Atletas!P170="Yang 26 A",Atletas!P170="Yang 40 A"),401,IF(OR(Atletas!P170="Chen 25 A",Atletas!P170="Chen 36 A",Atletas!P170="Chen 56 A"),402,IF(Atletas!P170="Sun 73 A",403,IF(Atletas!P170="Wu 45 A",404,IF(Atletas!P170="Wu-Hao 46 A",405,IF(OR(Atletas!P170="Taijiquan 16 A",Atletas!P170="Taijiquan 24 A",Atletas!P170="Taijiquan 32 A",Atletas!P170="Taijiquan 42 A"),406,IF(OR(Atletas!P170="Yang 26 B",Atletas!P170="Yang 40 B"),407,IF(OR(Atletas!P170="Chen 25 B",Atletas!P170="Chen 36 B",Atletas!P170="Chen 56 B"),408,IF(Atletas!P170="Sun 73 B",409,IF(Atletas!P170="Wu 45 B",410,IF(Atletas!P170="Wu-Hao 46 B",411,IF(OR(Atletas!P170="Taijiquan 16 B",Atletas!P170="Taijiquan 24 B",Atletas!P170="Taijiquan 32 B",Atletas!P170="Taijiquan 42 B"),412,IF(OR(Atletas!P170="Yang 26 C",Atletas!P170="Yang 40 C"),413,IF(OR(Atletas!P170="Chen 25 C",Atletas!P170="Chen 36 C",Atletas!P170="Chen 56 C"),414,IF(Atletas!P170="Sun 73 C",415,IF(Atletas!P170="Wu 45 C",416,IF(Atletas!P170="Wu-Hao 46 C",417,IF(OR(Atletas!P170="Taijiquan 16 C",Atletas!P170="Taijiquan 24 C",Atletas!P170="Taijiquan 32 C",Atletas!P170="Taijiquan 42 C"),418,0)))))))))))))))))))</f>
        <v/>
      </c>
      <c r="BX179" s="50" t="str">
        <f>IF(Atletas!P170="","",IF(Atletas!X170&lt;&gt;"",10000,0)+IF(Atletas!B170="Feminino",1000,IF(Atletas!B170="Masculino",2000,""))+IF(OR(Atletas!P170="Yang 26 D",Atletas!P170="Yang 40 D"),419,IF(OR(Atletas!P170="Chen 25 D",Atletas!P170="Chen 36 D",Atletas!P170="Chen 56 D"),420,IF(Atletas!P170="Sun 73 D",421,IF(Atletas!P170="Wu 45 D",422,IF(Atletas!P170="Wu-Hao 46 D",423,IF(OR(Atletas!P170="Taijiquan 16 D",Atletas!P170="Taijiquan 24 D",Atletas!P170="Taijiquan 32 D",Atletas!P170="Taijiquan 42 D"),424,IF(OR(Atletas!P170="Yang 26 E",Atletas!P170="Yang 40 E"),425,IF(OR(Atletas!P170="Chen 25 E",Atletas!P170="Chen 36 E",Atletas!P170="Chen 56 E"),426,IF(Atletas!P170="Sun 73 E",427,IF(Atletas!P170="Wu 45 E",428,IF(Atletas!P170="Wu-Hao 46 E",429,IF(OR(Atletas!P170="Taijiquan 16 E",Atletas!P170="Taijiquan 24 E",Atletas!P170="Taijiquan 32 E",Atletas!P170="Taijiquan 42 E"),430,IF(OR(Atletas!P170="Yang 26 F",Atletas!P170="Yang 40 F"),431,IF(OR(Atletas!P170="Chen 25 F",Atletas!P170="Chen 36 F",Atletas!P170="Chen 56 F"),432,IF(Atletas!P170="Sun 73 F",433,IF(Atletas!P170="Wu 45 F",434,IF(Atletas!P170="Wu-Hao 46 F",435,IF(OR(Atletas!P170="Taijiquan 16 F",Atletas!P170="Taijiquan 24 F",Atletas!P170="Taijiquan 32 F",Atletas!P170="Taijiquan 42 F"),436,0)))))))))))))))))))</f>
        <v/>
      </c>
      <c r="BY179" s="50" t="str">
        <f>IF(Atletas!Q170="","",IF(Atletas!X170&lt;&gt;"",10000,0)+IF(Atletas!B170="Feminino",1000,IF(Atletas!B170="Masculino",2000,""))+IF(Atletas!Q170="Xingyiquan A",501,IF(Atletas!Q170="Baguazhang A",502,IF(Atletas!Q170="Outro Estilo Interno A",503,IF(Atletas!Q170="Xingyiquan B",504,IF(Atletas!Q170="Baguazhang B",505,IF(Atletas!Q170="Outro Estilo Interno B",506,IF(Atletas!Q170="Xingyiquan C",507,IF(Atletas!Q170="Baguazhang C",508,IF(Atletas!Q170="Outro Estilo Interno C",509,IF(Atletas!Q170="Xingyiquan D",510,IF(Atletas!Q170="Baguazhang D",511,IF(Atletas!Q170="Outro Estilo Interno D",512,IF(Atletas!Q170="Xingyiquan E",513,IF(Atletas!Q170="Baguazhang E",514,IF(Atletas!Q170="Outro Estilo Interno E",515,IF(Atletas!Q170="Xingyiquan F",516,IF(Atletas!Q170="Baguazhang F",517,IF(Atletas!Q170="Outro Estilo Interno F",518, "")))))))))))))))))))</f>
        <v/>
      </c>
      <c r="BZ179" s="50" t="str">
        <f>IF(Atletas!R170="","",IF(Atletas!X170&lt;&gt;"",10000,0)+IF(Atletas!B170="Feminino",1000,IF(Atletas!B170="Masculino",2000,""))+IF(Atletas!R170="Dao A",601,IF(Atletas!R170="Jian A",602,IF(Atletas!R170="Bishou A",603,IF(Atletas!R170="Shanzi A",604,IF(Atletas!R170="Outra Arma Curta A",605,IF(Atletas!R170="Dao B",606,IF(Atletas!R170="Jian B",607,IF(Atletas!R170="Bishou B",608,IF(Atletas!R170="Shanzi B",609,IF(Atletas!R170="Outra Arma Curta B",610,IF(Atletas!R170="Dao C",611,IF(Atletas!R170="Jian C",612,IF(Atletas!R170="Bishou C",613,IF(Atletas!R170="Shanzi C",614,IF(Atletas!R170="Outra Arma Curta C",615,IF(Atletas!R170="Dao D",616,IF(Atletas!R170="Jian D",617,IF(Atletas!R170="Bishou D",618,IF(Atletas!R170="Shanzi D",619,IF(Atletas!R170="Outra Arma Curta D",620,IF(Atletas!R170="Dao E",621,IF(Atletas!R170="Jian E",622,IF(Atletas!R170="Bishou E",623,IF(Atletas!R170="Shanzi E",624,IF(Atletas!R170="Outra Arma Curta E",625,IF(Atletas!R170="Dao F",626,IF(Atletas!R170="Jian F",627,IF(Atletas!R170="Bishou F",628,IF(Atletas!R170="Shanzi F",629,IF(Atletas!R170="Outra Arma Curta F",630, "")))))))))))))))))))))))))))))))</f>
        <v/>
      </c>
      <c r="CA179" s="50" t="str">
        <f>IF(Atletas!S170="","",IF(Atletas!X170&lt;&gt;"",10000,0)+IF(Atletas!B170="Feminino",1000,IF(Atletas!B170="Masculino",2000,""))+IF(Atletas!S170="Gun A",701,IF(Atletas!S170="Qiang A",702,IF(Atletas!S170="Pudao / Guandao A",703,IF(Atletas!S170="Outra Arma Longa A",704,IF(Atletas!S170="Gun B",705,IF(Atletas!S170="Qiang B",706,IF(Atletas!S170="Pudao / Guandao B",707,IF(Atletas!S170="Outra Arma Longa B",708,IF(Atletas!S170="Gun C",709,IF(Atletas!S170="Qiang C",710,IF(Atletas!S170="Pudao / Guandao C",711,IF(Atletas!S170="Outra Arma Longa C",712,IF(Atletas!S170="Gun D",713,IF(Atletas!S170="Qiang D",714,IF(Atletas!S170="Pudao / Guandao D",715,IF(Atletas!S170="Outra Arma Longa D",716,IF(Atletas!S170="Gun E",717,IF(Atletas!S170="Qiang E",718,IF(Atletas!S170="Pudao / Guandao E",719,IF(Atletas!S170="Outra Arma Longa E",720,IF(Atletas!S170="Gun F",721,IF(Atletas!S170="Qiang F",722,IF(Atletas!S170="Pudao / Guandao F",723,IF(Atletas!S170="Outra Arma Longa F",724,"")))))))))))))))))))))))))</f>
        <v/>
      </c>
      <c r="CB179" s="50" t="str">
        <f>IF(Atletas!T170="","",IF(Atletas!X170&lt;&gt;"",10000,0)+IF(Atletas!B170="Feminino",1000,IF(Atletas!B170="Masculino",2000,""))+IF(Atletas!T170="Outra Arma Dupla A",801,IF(Atletas!T170="Arma Maleável A",802,IF(Atletas!T170="Outra Arma Dupla B",803,IF(Atletas!T170="Arma Maleável B",804,IF(Atletas!T170="Outra Arma Dupla C",805,IF(Atletas!T170="Arma Maleável C",806,IF(Atletas!T170="Outra Arma Dupla D",807,IF(Atletas!T170="Arma Maleável D",808,IF(Atletas!T170="Outra Arma Dupla E",809,IF(Atletas!T170="Arma Maleável E",810,IF(Atletas!T170="Outra Arma Dupla F",811,IF(Atletas!T170="Arma Maleável F",812,IF(Atletas!T170="Shuangdao A",813,IF(Atletas!T170="Shuangdao B",814,IF(Atletas!T170="Shuangdao C",815,IF(Atletas!T170="Shuangdao D",816,IF(Atletas!T170="Shuangdao E",817,IF(Atletas!T170="Shuangdao F",818,"")))))))))))))))))))</f>
        <v/>
      </c>
      <c r="CC179" s="50" t="str">
        <f>IF(Atletas!U170="","",IF(Atletas!X170&lt;&gt;"",10000,0)+IF(Atletas!B170="Feminino",1000,IF(Atletas!B170="Masculino",2000,""))+IF(OR(Atletas!U170="Taijijian Yang A",Atletas!U170="Taijijian Yang Standard A"),901,IF(OR(Atletas!U170="Taijijian Chen A", Atletas!U170="Taijijian Chen Standard A"),902,IF(Atletas!U170="Taijijian Sun A",903,IF(Atletas!U170="Taijijian Wu A",904,IF(Atletas!U170="Taijijian Wu-Hao A",905,IF(OR(Atletas!U170="Taijijian 32 A",Atletas!U170="Taijijian 42 A"),906,IF(OR(Atletas!U170="Taijijian Yang B",Atletas!U170="Taijijian Yang Standard B"),907,IF(OR(Atletas!U170="Taijijian Chen B", Atletas!U170="Taijijian Chen Standard B"),908,IF(Atletas!U170="Taijijian Sun B",909,IF(Atletas!U170="Taijijian Wu B",910,IF(Atletas!U170="Taijijian Wu-Hao B",911,IF(OR(Atletas!U170="Taijijian 32 B",Atletas!U170="Taijijian 42 B"),912,IF(OR(Atletas!U170="Taijijian Yang C",Atletas!U170="Taijijian Yang Standard C"),913,IF(OR(Atletas!U170="Taijijian Chen C", Atletas!U170="Taijijian Chen Standard C"),914,IF(Atletas!U170="Taijijian Sun C",915,IF(Atletas!U170="Taijijian Wu C",916,IF(Atletas!U170="Taijijian Wu-Hao C",917,IF(OR(Atletas!U170="Taijijian 32 C",Atletas!U170="Taijijian 42 C"),918,IF(OR(Atletas!U170="Taijijian Yang D",Atletas!U170="Taijijian Yang Standard D"),919,IF(OR(Atletas!U170="Taijijian Chen D", Atletas!U170="Taijijian Chen Standard D"),920,IF(Atletas!U170="Taijijian Sun D",921,IF(Atletas!U170="Taijijian Wu D",922,IF(Atletas!U170="Taijijian Wu-Hao D",923,IF(OR(Atletas!U170="Taijijian 32 D",Atletas!U170="Taijijian 42 D"),924,IF(OR(Atletas!U170="Taijijian Yang E",Atletas!U170="Taijijian Yang Standard E"),925,IF(OR(Atletas!U170="Taijijian Chen E", Atletas!U170="Taijijian Chen Standard E"),926,IF(Atletas!U170="Taijijian Sun E",927,IF(Atletas!U170="Taijijian Wu E",928,IF(Atletas!U170="Taijijian Wu-Hao E",929,IF(OR(Atletas!U170="Taijijian 32 E",Atletas!U170="Taijijian 42 E"),930,IF(OR(Atletas!U170="Taijijian Yang F",Atletas!U170="Taijijian Yang Standard F"),931,IF(OR(Atletas!U170="Taijijian Chen F", Atletas!U170="Taijijian Chen Standard F"),932,IF(Atletas!U170="Taijijian Sun F",933,IF(Atletas!U170="Taijijian Wu F",934,IF(Atletas!U170="Taijijian Wu-Hao F",935,IF(OR(Atletas!U170="Taijijian 32 F",Atletas!U170="Taijijian 42 F"),936,"")))))))))))))))))))))))))))))))))))))</f>
        <v/>
      </c>
      <c r="CD179" s="50" t="str">
        <f>IF(Atletas!V170="","",IF(Atletas!X170&lt;&gt;"",10000,0)+IF(Atletas!B170="Feminino",1000,IF(Atletas!B170="Masculino",2000,""))+IF(Atletas!V170="Taijidao A",937,IF(Atletas!V170="TaijiShanzi A",938,IF(Atletas!V170="Taijiqiang A",939,IF(Atletas!V170="Bagua de Arma A",940,IF(Atletas!V170="Xingyi de Arma A",941,IF(Atletas!V170="Taijidao B",942,IF(Atletas!V170="TaijiShanzi B",943,IF(Atletas!V170="Taijiqiang B",944,IF(Atletas!V170="Bagua de Arma B",945,IF(Atletas!V170="Xingyi de Arma B",946,IF(Atletas!V170="Taijidao C",947,IF(Atletas!V170="TaijiShanzi C",948,IF(Atletas!V170="Taijiqiang C",949,IF(Atletas!V170="Bagua de Arma C",950,IF(Atletas!V170="Xingyi de Arma C",951,IF(Atletas!V170="Taijidao D",952,IF(Atletas!V170="TaijiShanzi D",953,IF(Atletas!V170="Taijiqiang D",954,IF(Atletas!V170="Bagua de Arma D",955,IF(Atletas!V170="Xingyi de Arma D",956,IF(Atletas!V170="Taijidao E",957,IF(Atletas!V170="TaijiShanzi E",958,IF(Atletas!V170="Taijiqiang E",959,IF(Atletas!V170="Bagua de Arma E",960,IF(Atletas!V170="Xingyi de Arma E",961,IF(Atletas!V170="Taijidao F",962,IF(Atletas!V170="TaijiShanzi F",963,IF(Atletas!V170="Taijiqiang F",964,IF(Atletas!V170="Bagua de Arma F",965,IF(Atletas!V170="Xingyi de Arma F",966,"")))))))))))))))))))))))))))))))</f>
        <v/>
      </c>
      <c r="CE179" s="66" t="str">
        <f>IF(CF179&lt;&gt;"","TJQ Padr. Wu-Hao A","")</f>
        <v/>
      </c>
      <c r="CF179" s="66" t="str">
        <f>IF(COUNTIF(BR:CD,1405)&gt;0,COUNTIF(BR:CD,1405),"")</f>
        <v/>
      </c>
      <c r="CG179" s="66" t="str">
        <f>IF(CH179&lt;&gt;"","TJQ Padr. Wu-Hao A","")</f>
        <v/>
      </c>
      <c r="CH179" s="66" t="str">
        <f>IF(COUNTIF(BR:CD,2405)&gt;0,COUNTIF(BR:CD,2405),"")</f>
        <v/>
      </c>
      <c r="CI179" s="66" t="str">
        <f>IF(CJ179&lt;&gt;"","TJQ Padr. Wu-Hao B","")</f>
        <v/>
      </c>
      <c r="CJ179" s="66" t="str">
        <f>IF(COUNTIF(BR:CD,11411)&gt;0,COUNTIF(BR:CD,11411),"")</f>
        <v/>
      </c>
      <c r="CK179" s="66" t="str">
        <f>IF(CL179&lt;&gt;"","TJQ Padr. Wu-Hao B","")</f>
        <v/>
      </c>
      <c r="CL179" s="66" t="str">
        <f>IF(COUNTIF(BR:CD,12411)&gt;0,COUNTIF(BR:CD,12411),"")</f>
        <v/>
      </c>
      <c r="CM179" s="50" t="str">
        <f xml:space="preserve"> IF(Atletas!W170="","",IF(Atletas!W170="Duilian de Mãos BC - Equipe 1",1,IF(Atletas!W170="Duilian de Mãos BC - Equipe 2",2,IF(Atletas!W170="Duilian de Armas BC - Equipe 1",3,IF(Atletas!W170="Duilian de Armas BC - Equipe 2",4,IF(Atletas!W170="Duilian de Mãos DE - Equipe 1",5,IF(Atletas!W170="Duilian de Mãos DE - Equipe 2",6,IF(Atletas!W170="Duilian de Armas DE - Equipe 1",7,IF(Atletas!W170="Duilian de Armas DE - Equipe 2",8,IF(Atletas!W170="Duilian de Tuishou - Equipe 1",9,IF(Atletas!W170="Duilian de Tuishou - Equipe 2",10,IF(Atletas!W170="Grupo Externo ABC - Equipe 1",11,IF(Atletas!W170="Grupo Externo ABC - Equipe 2",12,IF(Atletas!W170="Grupo Interno ABC - Equipe 1",13,IF(Atletas!W170="Grupo Interno ABC - Equipe 2",14,IF(Atletas!W170="Grupo Externo DEF - Equipe 1",15,IF(Atletas!W170="Grupo Externo DEF - Equipe 2",16,IF(Atletas!W170="Grupo Interno DEF - Equipe 1",17,IF(Atletas!W170="Grupo Interno DEF - Equipe 2",18,"")))))))))))))))))))</f>
        <v/>
      </c>
    </row>
    <row r="180" spans="2:9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 t="str">
        <f t="array" ref="Z180">IFERROR(INDEX(CE$7:CE$348,SMALL(IF(CE$7:CE$348&lt;&gt;"",ROW(CE$7:CE$348)-ROW(CE$7)+1),ROWS(CE$7:CE179))),"")</f>
        <v/>
      </c>
      <c r="AA180" s="3" t="str">
        <f t="array" ref="AA180">IFERROR(INDEX(CF$7:CF$348,SMALL(IF(CF$7:CF$348&lt;&gt;"",ROW(CF$7:CF$348)-ROW(CF$7)+1),ROWS(CF$7:CF179))),"")</f>
        <v/>
      </c>
      <c r="AB180" s="3" t="str">
        <f t="array" ref="AB180">IFERROR(INDEX(CG$7:CG$348,SMALL(IF(CG$7:CG$348&lt;&gt;"",ROW(CG$7:CG$348)-ROW(CG$7)+1),ROWS(CG$7:CG179))),"")</f>
        <v/>
      </c>
      <c r="AC180" s="3" t="str">
        <f t="array" ref="AC180">IFERROR(INDEX(CH$7:CH$348,SMALL(IF(CH$7:CH$348&lt;&gt;"",ROW(CH$7:CH$348)-ROW(CH$7)+1),ROWS(CH$7:CH179))),"")</f>
        <v/>
      </c>
      <c r="AD180" s="3" t="str">
        <f t="array" ref="AD180">IFERROR(INDEX(CI$7:CI$377,SMALL(IF(CI$7:CI$377&lt;&gt;"",ROW(CI$7:CI$377)-ROW(CI$7)+1),ROWS(CI$7:CI179))),"")</f>
        <v/>
      </c>
      <c r="AE180" s="3" t="str">
        <f t="array" ref="AE180">IFERROR(INDEX(CJ$7:CJ$378,SMALL(IF(CJ$7:CJ$378&lt;&gt;"",ROW(CJ$7:CJ$378)-ROW(CJ$7)+1),ROWS(CJ$7:CJ179))),"")</f>
        <v/>
      </c>
      <c r="AF180" s="3" t="str">
        <f t="array" ref="AF180">IFERROR(INDEX(CK$7:CK$378,SMALL(IF(CK$7:CK$378&lt;&gt;"",ROW(CK$7:CK$378)-ROW(CK$7)+1),ROWS(CK$7:CK179))),"")</f>
        <v/>
      </c>
      <c r="AG180" s="3" t="str">
        <f t="array" ref="AG180">IFERROR(INDEX(CL$7:CL$378,SMALL(IF(CL$7:CL$378&lt;&gt;"",ROW(CL$7:CL$378)-ROW(CL$7)+1),ROWS(CL$7:CL179))),"")</f>
        <v/>
      </c>
      <c r="AH180" s="3"/>
      <c r="AI180" s="3"/>
      <c r="AJ180" s="3"/>
      <c r="AK180" s="3"/>
      <c r="AL180" s="3"/>
      <c r="AM180" s="3"/>
      <c r="AN180" s="52" t="str">
        <f>IF(Atletas!D171="","",IF(Atletas!B171="Feminino",100,IF(Atletas!B171="Masculino",200,""))+(IF(Atletas!D171="Kids 30kg",1,IF(Atletas!D171="Kids 32kg",2, IF(Atletas!D171="Kids 34kg",3,IF(Atletas!D171="Kids 36kg",4,IF(Atletas!D171="Kids 39kg",5,IF(Atletas!D171="Kids 42kg",6,IF(Atletas!D171="Kids 45kg",7, IF(Atletas!D171="Infantil 39kg",8,IF(Atletas!D171="Infantil 42kg",9,IF(Atletas!D171="Infantil 45kg",10,IF(Atletas!D171="Infantil 48kg",11,IF(Atletas!D171="Infantil 52kg",12,IF(Atletas!D171="Infantil 56kg",13,IF(Atletas!D171="Infantil 60kg",14,IF(Atletas!D171="Juvenil 48kg",15,IF(Atletas!D171="Juvenil 52kg",16,IF(Atletas!D171="Juvenil 56kg",17,IF(Atletas!D171="Juvenil 60kg",18,IF(Atletas!D171="Juvenil 65kg",19,IF(Atletas!D171="Juvenil 70kg",20,IF(Atletas!D171="Juvenil 75kg",21,IF(Atletas!D171="Juvenil 80kg",22, IF(Atletas!D171="Juvenil 85kg",23,IF(Atletas!D171="Adulto 48kg",24,IF(Atletas!D171="Adulto 52kg",25,IF(Atletas!D171="Adulto 56kg",26,IF(Atletas!D171="Adulto 60kg",27,IF(Atletas!D171="Adulto 65kg",28,IF(Atletas!D171="Adulto 70kg",29,IF(Atletas!D171="Adulto 75kg",30,IF(Atletas!D171="Adulto 80kg",31,IF(Atletas!D171="Adulto 85kg",32,IF(Atletas!D171="Adulto 90kg",33,IF(Atletas!D171="Adulto 100kg",34, IF(Atletas!D171="Adulto +100kg",35,"")))))))))))))))))))))))))))))))))))))</f>
        <v/>
      </c>
      <c r="AS180" s="6" t="str">
        <f>IF(Atletas!E171="","",IF(Atletas!B171="Feminino",100,IF(Atletas!B171="Masculino",200,""))+(IF(Atletas!E171="Juvenil 44kg",1,IF(Atletas!E171="Juvenil 48kg",2,IF(Atletas!E171="Juvenil 52kg",3,IF(Atletas!E171="Juvenil 56kg",4,IF(Atletas!E171="Juvenil 60kg",5,IF(Atletas!E171="Juvenil 65kg",6,IF(Atletas!E171="Juvenil 70kg",7,IF(Atletas!E171="Juvenil 75kg",8,IF(Atletas!E171="Juvenil 82kg",9,IF(Atletas!E171="Juvenil 90kg",10,IF(Atletas!E171="Juvenil 100kg",11,IF(Atletas!E171="Adulto 48kg",12,IF(Atletas!E171="Adulto 52kg",13,IF(Atletas!E171="Adulto 56kg",14,IF(Atletas!E171="Adulto 60kg",15,IF(Atletas!E171="Adulto 65kg",16,IF(Atletas!E171="Adulto 70kg",17,IF(Atletas!E171="Adulto 75kg",18,IF(Atletas!E171="Adulto 82kg",19,IF(Atletas!E171="Adulto 90kg",20,IF(Atletas!E171="Adulto 100kg",21,IF(Atletas!E171="Adulto +100kg",22,""))))))))))))))))))))))))</f>
        <v/>
      </c>
      <c r="AX180" s="6" t="str">
        <f>IF(Atletas!F171="","",IF(Atletas!B171="Feminino",100,IF(Atletas!B171="Masculino",200,""))+(IF(Atletas!F171="Adulto 48kg",1,IF(Atletas!F171="Adulto 56kg",2,IF(Atletas!F171="Adulto 65kg",3,IF(Atletas!F171="Adulto 75kg",4,IF(Atletas!F171="Adulto +75kg",5,IF(Atletas!F171="Adulto 52kg",6,IF(Atletas!F171="Adulto 60kg",7,IF(Atletas!F171="Adulto 70kg",8,IF(Atletas!F171="Adulto 80kg",9,IF(Atletas!F171="Adulto 90kg",10,IF(Atletas!F171="Adulto +90kg",11,"")))))))))))))</f>
        <v/>
      </c>
      <c r="BC180" s="6" t="str">
        <f>IF(Atletas!G171="","",IF(Atletas!B171="Feminino",10,IF(Atletas!B171="Masculino",20,""))+(IF(Atletas!G171="Baduanjin A",1,IF(Atletas!G171="Baduanjin B",2))))</f>
        <v/>
      </c>
      <c r="BF180" s="52" t="str">
        <f>IF(Atletas!H171="","",IF(Atletas!B171="Feminino",100,IF(Atletas!B171="Masculino",200,""))+(IF(Atletas!H171="Changquan Mirim",1,IF(Atletas!H171="Nanquan Mirim",2,IF(Atletas!H171="Taijiquan Mirim",3,IF(Atletas!H171="Changquan Grupo C",4,IF(Atletas!H171="Nanquan Grupo C",5,IF(Atletas!H171="Taijiquan Grupo C",6,IF(Atletas!H171="Changquan Grupo B",7,IF(Atletas!H171="Nanquan Grupo B",8,IF(Atletas!H171="Taijiquan Grupo B",9,IF(Atletas!H171="Changquan Grupo A",10,IF(Atletas!H171="Nanquan Grupo A",11,IF(Atletas!H171="Taijiquan Grupo A",12,IF(Atletas!H171="Changquan Opcional",13,IF(Atletas!H171="Nanquan Opcional",14,IF(Atletas!H171="Taijiquan Opcional",15,IF(Atletas!H171="Changquan Adulto",16,IF(Atletas!H171="Nanquan Adulto",17,IF(Atletas!H171="Taijiquan Adulto",18,""))))))))))))))))))))</f>
        <v/>
      </c>
      <c r="BG180" s="52" t="str">
        <f>IF(Atletas!I171="","",IF(Atletas!B171="Feminino",100,IF(Atletas!B171="Masculino",200,""))+(IF(Atletas!I171="Daoshu Mirim",19,IF(Atletas!I171="Jianshu Mirim",20,IF(Atletas!I171="Nandao Mirim",21,IF(Atletas!I171="Taijijian Mirim",22,IF(Atletas!I171="Daoshu Grupo C",23,IF(Atletas!I171="Jianshu Grupo C",24,IF(Atletas!I171="Nandao Grupo C",25,IF(Atletas!I171="Taijijian Grupo C",26,IF(Atletas!I171="Daoshu Grupo B",27,IF(Atletas!I171="Jianshu Grupo B",28,IF(Atletas!I171="Nandao Grupo B",29,IF(Atletas!I171="Taijijian Grupo B",30,IF(Atletas!I171="Daoshu Grupo A",31,IF(Atletas!I171="Jianshu Grupo A",32,IF(Atletas!I171="Nandao Grupo A",33,IF(Atletas!I171="Taijijian Grupo A",34,IF(Atletas!I171="Daoshu Opcional",35,IF(Atletas!I171="Jianshu Opcional",36,IF(Atletas!I171="Nandao Opcional",37,IF(Atletas!I171="Taijijian Opcional",38,IF(Atletas!I171="Daoshu Adulto",39,IF(Atletas!I171="Jianshu Adulto",40,IF(Atletas!I171="Nandao Adulto",41,IF(Atletas!I171="Taijijian Adulto",42,""))))))))))))))))))))))))))</f>
        <v/>
      </c>
      <c r="BH180" s="52" t="str">
        <f>IF(Atletas!J171="","",IF(Atletas!B171="Feminino",100,IF(Atletas!B171="Masculino",200,""))+(IF(Atletas!J171="Gunshu Mirim",43,IF(Atletas!J171="Qiangshu Mirim",44,IF(Atletas!J171="Nangun Mirim",45,IF(Atletas!J171="Gunshu Grupo C",46,IF(Atletas!J171="Qiangshu Grupo C",47,IF(Atletas!J171="Nangun Grupo C",48,IF(Atletas!J171="Gunshu Grupo B",49,IF(Atletas!J171="Qiangshu Grupo B",50,IF(Atletas!J171="Nangun Grupo B",51,IF(Atletas!J171="Gunshu Grupo A",52,IF(Atletas!J171="Qiangshu Grupo A",53,IF(Atletas!J171="Nangun Grupo A",54,IF(Atletas!J171="Gunshu Opcional",55,IF(Atletas!J171="Qiangshu Opcional",56,IF(Atletas!J171="Nangun Opcional",57,IF(Atletas!J171="Gunshu Adulto",58,IF(Atletas!J171="Qiangshu Adulto",59,IF(Atletas!J171="Nangun Adulto",60,IF(Atletas!J171="Taijishan Grupo B",61,IF(Atletas!J171="Taijishan Grupo A",62,""))))))))))))))))))))))</f>
        <v/>
      </c>
      <c r="BM180" s="50" t="str">
        <f>IF(Atletas!K171="","",IF(Atletas!B171="Feminino",100,IF(Atletas!B171="Masculino",200,""))+(IF(Atletas!K171="Equipe 1 Grupo B",1,IF(Atletas!K171="Equipe 2 Grupo B",2,IF(Atletas!K171="Equipe 1 Grupo A",3,IF(Atletas!K171="Equipe 2 Grupo A",4,IF(Atletas!K171="Equipe 1 Adulto",5,IF(Atletas!K171="Equipe 2 Adulto",6,""))))))))</f>
        <v/>
      </c>
      <c r="BR180" s="50" t="str">
        <f>IF(Atletas!L171="","",IF(Atletas!X171&lt;&gt;"",10000,0)+(IF(Atletas!B171="Feminino",1000,IF(Atletas!B171="Masculino",2000,""))+IF(Atletas!L171="Choylayfut A",1,IF(Atletas!L171="Hunggar A",2,IF(Atletas!L171="Wuzuquan A",3,IF(Atletas!L171="Wingchun A",4,IF(Atletas!L171="Outra Mão de Sul A",5,IF(Atletas!L171="Choylayfut B",6,IF(Atletas!L171="Hunggar B",7,IF(Atletas!L171="Wuzuquan B",8,IF(Atletas!L171="Wingchun B",9,IF(Atletas!L171="Outra Mão de Sul B",10,IF(Atletas!L171="Choylayfut C",11,IF(Atletas!L171="Hunggar C",12,IF(Atletas!L171="Wuzuquan C",13,IF(Atletas!L171="Wingchun C",14,IF(Atletas!L171="Outra Mão de Sul C",15,IF(Atletas!L171="Choylayfut D",16,IF(Atletas!L171="Hunggar D",17,IF(Atletas!L171="Wuzuquan D",18,IF(Atletas!L171="Wingchun D",19,IF(Atletas!L171="Outra Mão de Sul D",20,IF(Atletas!L171="Choylayfut E",21,IF(Atletas!L171="Hunggar E",22,IF(Atletas!L171="Wuzuquan E",23,IF(Atletas!L171="Wingchun E",24,IF(Atletas!L171="Outra Mão de Sul E",25,IF(Atletas!L171="Choylayfut F",26,IF(Atletas!L171="Hunggar F",27,IF(Atletas!L171="Wuzuquan F",28,IF(Atletas!L171="Wingchun F",29,IF(Atletas!L171="Outra Mão de Sul F",30,IF(Atletas!L171="Dishuquan A",31,IF(Atletas!L171="Dishuquan B",32,IF(Atletas!L171="Dishuquan C",33,IF(Atletas!L171="Dishuquan D",34,IF(Atletas!L171="Dishuquan E",35,IF(Atletas!L171="Dishuquan F",36,""))))))))))))))))))))))))))))))))))))))</f>
        <v/>
      </c>
      <c r="BS180" s="50" t="str">
        <f>IF(Atletas!M171="","",IF(Atletas!X171&lt;&gt;"",10000,0)+(IF(Atletas!B171="Feminino",1000,IF(Atletas!B171="Masculino",2000,""))+(IF(Atletas!M171="Chaquan A",101,IF(Atletas!M171="Emeiquan A",102,IF(Atletas!M171="Fanziquan A",103,IF(Atletas!M171="Huaquan A",104,IF(Atletas!M171="Hongquan A",105,IF(Atletas!M171="Paoquan A",106,IF(Atletas!M171="Piguaquan A",107,IF(Atletas!M171="Shaolinquan A",108,IF(Atletas!M171="Tanglangquan A",109,IF(Atletas!M171="Yingzhaoquan A",110,IF(Atletas!M171="Tongbeiquan A",111,IF(Atletas!M171="Wudangquan A",112,IF(Atletas!M171="Outros Estilos A",113,IF(Atletas!M171="Chaquan B",114,IF(Atletas!M171="Emeiquan B",115,IF(Atletas!M171="Fanziquan B",116,IF(Atletas!M171="Huaquan B",117,IF(Atletas!M171="Hongquan B",118,IF(Atletas!M171="Paoquan B",119,IF(Atletas!M171="Piguaquan B",120,IF(Atletas!M171="Shaolinquan B",121,IF(Atletas!M171="Tanglangquan B",122,IF(Atletas!M171="Yingzhaoquan B",123,IF(Atletas!M171="Tongbeiquan B",124,IF(Atletas!M171="Wudangquan B",125,IF(Atletas!M171="Outros Estilos B",126,IF(Atletas!M171="Chaquan C",127,IF(Atletas!M171="Emeiquan C",128,IF(Atletas!M171="Fanziquan C",129,IF(Atletas!M171="Huaquan C",130,IF(Atletas!M171="Hongquan C",131,IF(Atletas!M171="Paoquan C",132,IF(Atletas!M171="Piguaquan C",133,IF(Atletas!M171="Shaolinquan C",134,IF(Atletas!M171="Tanglangquan C",135,IF(Atletas!M171="Yingzhaoquan C",136,IF(Atletas!M171="Tongbeiquan C",137,IF(Atletas!M171="Wudangquan C",138,IF(Atletas!M171="Outros Estilos C",139,0))))))))))))))))))))))))))))))))))))))))))</f>
        <v/>
      </c>
      <c r="BT180" s="50" t="str">
        <f>IF(Atletas!M171="","",IF(Atletas!X171&lt;&gt;"",10000,0)+(IF(Atletas!B171="Feminino",1000,IF(Atletas!B171="Masculino",2000,""))+(IF(Atletas!M171="Chaquan D",140,IF(Atletas!M171="Emeiquan D",141,IF(Atletas!M171="Fanziquan D",142,IF(Atletas!M171="Huaquan D",143,IF(Atletas!M171="Hongquan D",144,IF(Atletas!M171="Paoquan D",145,IF(Atletas!M171="Piguaquan D",146,IF(Atletas!M171="Shaolinquan D",147,IF(Atletas!M171="Tanglangquan D",148,IF(Atletas!M171="Yingzhaoquan D",149,IF(Atletas!M171="Tongbeiquan D",150,IF(Atletas!M171="Wudangquan D",151,IF(Atletas!M171="Outros Estilos D",152,IF(Atletas!M171="Chaquan E",153,IF(Atletas!M171="Emeiquan E",154,IF(Atletas!M171="Fanziquan E",155,IF(Atletas!M171="Huaquan E",156,IF(Atletas!M171="Hongquan E",157,IF(Atletas!M171="Paoquan E",158,IF(Atletas!M171="Piguaquan E",159,IF(Atletas!M171="Shaolinquan E",160,IF(Atletas!M171="Tanglangquan E",161,IF(Atletas!M171="Yingzhaoquan E",162,IF(Atletas!M171="Tongbeiquan E",163,IF(Atletas!M171="Wudangquan E",164,IF(Atletas!M171="Outros Estilos E",165,IF(Atletas!M171="Chaquan F",166,IF(Atletas!M171="Emeiquan F",167,IF(Atletas!M171="Fanziquan F",168,IF(Atletas!M171="Huaquan F",169,IF(Atletas!M171="Hongquan F",170,IF(Atletas!M171="Paoquan F",171,IF(Atletas!M171="Piguaquan F",172,IF(Atletas!M171="Shaolinquan F",173,IF(Atletas!M171="Tanglangquan F",174,IF(Atletas!M171="Yingzhaoquan F",175,IF(Atletas!M171="Tongbeiquan F",176,IF(Atletas!M171="Wudangquan F",177,IF(Atletas!M171="Outros Estilos F",178,0))))))))))))))))))))))))))))))))))))))))))</f>
        <v/>
      </c>
      <c r="BU180" s="50" t="str">
        <f>IF(Atletas!N171="","",IF(Atletas!X171&lt;&gt;"",10000,0)+(IF(Atletas!B171="Feminino",1000,IF(Atletas!B171="Masculino",2000,""))+(IF(Atletas!N171="Ditangquan A",201,IF(Atletas!N171="Houquan A",202,IF(Atletas!N171="Zuiquan A",203,IF(Atletas!N171="Ditangquan B",204,IF(Atletas!N171="Houquan B",205,IF(Atletas!N171="Zuiquan B",206,IF(Atletas!N171="Ditangquan C",207,IF(Atletas!N171="Houquan C",208,IF(Atletas!N171="Zuiquan C",209,IF(Atletas!N171="Ditangquan D",210,IF(Atletas!N171="Houquan D",211,IF(Atletas!N171="Zuiquan D",212,IF(Atletas!N171="Ditangquan E",213,IF(Atletas!N171="Houquan E",214,IF(Atletas!N171="Zuiquan E",215,IF(Atletas!N171="Ditangquan F",216,IF(Atletas!N171="Houquan F",217,IF(Atletas!N171="Zuiquan F",218,"")))))))))))))))))))))</f>
        <v/>
      </c>
      <c r="BV180" s="50" t="str">
        <f>IF(Atletas!O171="","",IF(Atletas!X171&lt;&gt;"",10000,0)+IF(Atletas!B171="Feminino",1000,IF(Atletas!B171="Masculino",2000,""))+IF(Atletas!O171="Yang A",301,IF(Atletas!O171="Chen A",302,IF(Atletas!O171="Sun A",303,IF(Atletas!O171="Wu A",304,IF(Atletas!O171="Wu-Hao A",305,IF(Atletas!O171="Outro Taijiquan A",306,IF(Atletas!O171="Yang B",307,IF(Atletas!O171="Chen B",308,IF(Atletas!O171="Sun B",309,IF(Atletas!O171="Wu B",310,IF(Atletas!O171="Wu-Hao B",311,IF(Atletas!O171="Outro Taijiquan B",312,IF(Atletas!O171="Yang C",313,IF(Atletas!O171="Chen C",314,IF(Atletas!O171="Sun C",315,IF(Atletas!O171="Wu C",316,IF(Atletas!O171="Wu-Hao C",317,IF(Atletas!O171="Outro Taijiquan C",318,IF(Atletas!O171="Yang D",319,IF(Atletas!O171="Chen D",320,IF(Atletas!O171="Sun D",321,IF(Atletas!O171="Wu D",322,IF(Atletas!O171="Wu-Hao D",323,IF(Atletas!O171="Outro Taijiquan D",324,IF(Atletas!O171="Yang E",325,IF(Atletas!O171="Chen E",326,IF(Atletas!O171="Sun E",327,IF(Atletas!O171="Wu E",328,IF(Atletas!O171="Wu-Hao E",329,IF(Atletas!O171="Outro Taijiquan E",330,IF(Atletas!O171="Yang F",331,IF(Atletas!O171="Chen F",332,IF(Atletas!O171="Sun F",333,IF(Atletas!O171="Wu F",334,IF(Atletas!O171="Wu-Hao F",335,IF(Atletas!O171="Outro Taijiquan F",336,"")))))))))))))))))))))))))))))))))))))</f>
        <v/>
      </c>
      <c r="BW180" s="50" t="str">
        <f>IF(Atletas!P171="","",IF(Atletas!X171&lt;&gt;"",10000,0)+IF(Atletas!B171="Feminino",1000,IF(Atletas!B171="Masculino",2000,""))+IF(OR(Atletas!P171="Yang 26 A",Atletas!P171="Yang 40 A"),401,IF(OR(Atletas!P171="Chen 25 A",Atletas!P171="Chen 36 A",Atletas!P171="Chen 56 A"),402,IF(Atletas!P171="Sun 73 A",403,IF(Atletas!P171="Wu 45 A",404,IF(Atletas!P171="Wu-Hao 46 A",405,IF(OR(Atletas!P171="Taijiquan 16 A",Atletas!P171="Taijiquan 24 A",Atletas!P171="Taijiquan 32 A",Atletas!P171="Taijiquan 42 A"),406,IF(OR(Atletas!P171="Yang 26 B",Atletas!P171="Yang 40 B"),407,IF(OR(Atletas!P171="Chen 25 B",Atletas!P171="Chen 36 B",Atletas!P171="Chen 56 B"),408,IF(Atletas!P171="Sun 73 B",409,IF(Atletas!P171="Wu 45 B",410,IF(Atletas!P171="Wu-Hao 46 B",411,IF(OR(Atletas!P171="Taijiquan 16 B",Atletas!P171="Taijiquan 24 B",Atletas!P171="Taijiquan 32 B",Atletas!P171="Taijiquan 42 B"),412,IF(OR(Atletas!P171="Yang 26 C",Atletas!P171="Yang 40 C"),413,IF(OR(Atletas!P171="Chen 25 C",Atletas!P171="Chen 36 C",Atletas!P171="Chen 56 C"),414,IF(Atletas!P171="Sun 73 C",415,IF(Atletas!P171="Wu 45 C",416,IF(Atletas!P171="Wu-Hao 46 C",417,IF(OR(Atletas!P171="Taijiquan 16 C",Atletas!P171="Taijiquan 24 C",Atletas!P171="Taijiquan 32 C",Atletas!P171="Taijiquan 42 C"),418,0)))))))))))))))))))</f>
        <v/>
      </c>
      <c r="BX180" s="50" t="str">
        <f>IF(Atletas!P171="","",IF(Atletas!X171&lt;&gt;"",10000,0)+IF(Atletas!B171="Feminino",1000,IF(Atletas!B171="Masculino",2000,""))+IF(OR(Atletas!P171="Yang 26 D",Atletas!P171="Yang 40 D"),419,IF(OR(Atletas!P171="Chen 25 D",Atletas!P171="Chen 36 D",Atletas!P171="Chen 56 D"),420,IF(Atletas!P171="Sun 73 D",421,IF(Atletas!P171="Wu 45 D",422,IF(Atletas!P171="Wu-Hao 46 D",423,IF(OR(Atletas!P171="Taijiquan 16 D",Atletas!P171="Taijiquan 24 D",Atletas!P171="Taijiquan 32 D",Atletas!P171="Taijiquan 42 D"),424,IF(OR(Atletas!P171="Yang 26 E",Atletas!P171="Yang 40 E"),425,IF(OR(Atletas!P171="Chen 25 E",Atletas!P171="Chen 36 E",Atletas!P171="Chen 56 E"),426,IF(Atletas!P171="Sun 73 E",427,IF(Atletas!P171="Wu 45 E",428,IF(Atletas!P171="Wu-Hao 46 E",429,IF(OR(Atletas!P171="Taijiquan 16 E",Atletas!P171="Taijiquan 24 E",Atletas!P171="Taijiquan 32 E",Atletas!P171="Taijiquan 42 E"),430,IF(OR(Atletas!P171="Yang 26 F",Atletas!P171="Yang 40 F"),431,IF(OR(Atletas!P171="Chen 25 F",Atletas!P171="Chen 36 F",Atletas!P171="Chen 56 F"),432,IF(Atletas!P171="Sun 73 F",433,IF(Atletas!P171="Wu 45 F",434,IF(Atletas!P171="Wu-Hao 46 F",435,IF(OR(Atletas!P171="Taijiquan 16 F",Atletas!P171="Taijiquan 24 F",Atletas!P171="Taijiquan 32 F",Atletas!P171="Taijiquan 42 F"),436,0)))))))))))))))))))</f>
        <v/>
      </c>
      <c r="BY180" s="50" t="str">
        <f>IF(Atletas!Q171="","",IF(Atletas!X171&lt;&gt;"",10000,0)+IF(Atletas!B171="Feminino",1000,IF(Atletas!B171="Masculino",2000,""))+IF(Atletas!Q171="Xingyiquan A",501,IF(Atletas!Q171="Baguazhang A",502,IF(Atletas!Q171="Outro Estilo Interno A",503,IF(Atletas!Q171="Xingyiquan B",504,IF(Atletas!Q171="Baguazhang B",505,IF(Atletas!Q171="Outro Estilo Interno B",506,IF(Atletas!Q171="Xingyiquan C",507,IF(Atletas!Q171="Baguazhang C",508,IF(Atletas!Q171="Outro Estilo Interno C",509,IF(Atletas!Q171="Xingyiquan D",510,IF(Atletas!Q171="Baguazhang D",511,IF(Atletas!Q171="Outro Estilo Interno D",512,IF(Atletas!Q171="Xingyiquan E",513,IF(Atletas!Q171="Baguazhang E",514,IF(Atletas!Q171="Outro Estilo Interno E",515,IF(Atletas!Q171="Xingyiquan F",516,IF(Atletas!Q171="Baguazhang F",517,IF(Atletas!Q171="Outro Estilo Interno F",518, "")))))))))))))))))))</f>
        <v/>
      </c>
      <c r="BZ180" s="50" t="str">
        <f>IF(Atletas!R171="","",IF(Atletas!X171&lt;&gt;"",10000,0)+IF(Atletas!B171="Feminino",1000,IF(Atletas!B171="Masculino",2000,""))+IF(Atletas!R171="Dao A",601,IF(Atletas!R171="Jian A",602,IF(Atletas!R171="Bishou A",603,IF(Atletas!R171="Shanzi A",604,IF(Atletas!R171="Outra Arma Curta A",605,IF(Atletas!R171="Dao B",606,IF(Atletas!R171="Jian B",607,IF(Atletas!R171="Bishou B",608,IF(Atletas!R171="Shanzi B",609,IF(Atletas!R171="Outra Arma Curta B",610,IF(Atletas!R171="Dao C",611,IF(Atletas!R171="Jian C",612,IF(Atletas!R171="Bishou C",613,IF(Atletas!R171="Shanzi C",614,IF(Atletas!R171="Outra Arma Curta C",615,IF(Atletas!R171="Dao D",616,IF(Atletas!R171="Jian D",617,IF(Atletas!R171="Bishou D",618,IF(Atletas!R171="Shanzi D",619,IF(Atletas!R171="Outra Arma Curta D",620,IF(Atletas!R171="Dao E",621,IF(Atletas!R171="Jian E",622,IF(Atletas!R171="Bishou E",623,IF(Atletas!R171="Shanzi E",624,IF(Atletas!R171="Outra Arma Curta E",625,IF(Atletas!R171="Dao F",626,IF(Atletas!R171="Jian F",627,IF(Atletas!R171="Bishou F",628,IF(Atletas!R171="Shanzi F",629,IF(Atletas!R171="Outra Arma Curta F",630, "")))))))))))))))))))))))))))))))</f>
        <v/>
      </c>
      <c r="CA180" s="50" t="str">
        <f>IF(Atletas!S171="","",IF(Atletas!X171&lt;&gt;"",10000,0)+IF(Atletas!B171="Feminino",1000,IF(Atletas!B171="Masculino",2000,""))+IF(Atletas!S171="Gun A",701,IF(Atletas!S171="Qiang A",702,IF(Atletas!S171="Pudao / Guandao A",703,IF(Atletas!S171="Outra Arma Longa A",704,IF(Atletas!S171="Gun B",705,IF(Atletas!S171="Qiang B",706,IF(Atletas!S171="Pudao / Guandao B",707,IF(Atletas!S171="Outra Arma Longa B",708,IF(Atletas!S171="Gun C",709,IF(Atletas!S171="Qiang C",710,IF(Atletas!S171="Pudao / Guandao C",711,IF(Atletas!S171="Outra Arma Longa C",712,IF(Atletas!S171="Gun D",713,IF(Atletas!S171="Qiang D",714,IF(Atletas!S171="Pudao / Guandao D",715,IF(Atletas!S171="Outra Arma Longa D",716,IF(Atletas!S171="Gun E",717,IF(Atletas!S171="Qiang E",718,IF(Atletas!S171="Pudao / Guandao E",719,IF(Atletas!S171="Outra Arma Longa E",720,IF(Atletas!S171="Gun F",721,IF(Atletas!S171="Qiang F",722,IF(Atletas!S171="Pudao / Guandao F",723,IF(Atletas!S171="Outra Arma Longa F",724,"")))))))))))))))))))))))))</f>
        <v/>
      </c>
      <c r="CB180" s="50" t="str">
        <f>IF(Atletas!T171="","",IF(Atletas!X171&lt;&gt;"",10000,0)+IF(Atletas!B171="Feminino",1000,IF(Atletas!B171="Masculino",2000,""))+IF(Atletas!T171="Outra Arma Dupla A",801,IF(Atletas!T171="Arma Maleável A",802,IF(Atletas!T171="Outra Arma Dupla B",803,IF(Atletas!T171="Arma Maleável B",804,IF(Atletas!T171="Outra Arma Dupla C",805,IF(Atletas!T171="Arma Maleável C",806,IF(Atletas!T171="Outra Arma Dupla D",807,IF(Atletas!T171="Arma Maleável D",808,IF(Atletas!T171="Outra Arma Dupla E",809,IF(Atletas!T171="Arma Maleável E",810,IF(Atletas!T171="Outra Arma Dupla F",811,IF(Atletas!T171="Arma Maleável F",812,IF(Atletas!T171="Shuangdao A",813,IF(Atletas!T171="Shuangdao B",814,IF(Atletas!T171="Shuangdao C",815,IF(Atletas!T171="Shuangdao D",816,IF(Atletas!T171="Shuangdao E",817,IF(Atletas!T171="Shuangdao F",818,"")))))))))))))))))))</f>
        <v/>
      </c>
      <c r="CC180" s="50" t="str">
        <f>IF(Atletas!U171="","",IF(Atletas!X171&lt;&gt;"",10000,0)+IF(Atletas!B171="Feminino",1000,IF(Atletas!B171="Masculino",2000,""))+IF(OR(Atletas!U171="Taijijian Yang A",Atletas!U171="Taijijian Yang Standard A"),901,IF(OR(Atletas!U171="Taijijian Chen A", Atletas!U171="Taijijian Chen Standard A"),902,IF(Atletas!U171="Taijijian Sun A",903,IF(Atletas!U171="Taijijian Wu A",904,IF(Atletas!U171="Taijijian Wu-Hao A",905,IF(OR(Atletas!U171="Taijijian 32 A",Atletas!U171="Taijijian 42 A"),906,IF(OR(Atletas!U171="Taijijian Yang B",Atletas!U171="Taijijian Yang Standard B"),907,IF(OR(Atletas!U171="Taijijian Chen B", Atletas!U171="Taijijian Chen Standard B"),908,IF(Atletas!U171="Taijijian Sun B",909,IF(Atletas!U171="Taijijian Wu B",910,IF(Atletas!U171="Taijijian Wu-Hao B",911,IF(OR(Atletas!U171="Taijijian 32 B",Atletas!U171="Taijijian 42 B"),912,IF(OR(Atletas!U171="Taijijian Yang C",Atletas!U171="Taijijian Yang Standard C"),913,IF(OR(Atletas!U171="Taijijian Chen C", Atletas!U171="Taijijian Chen Standard C"),914,IF(Atletas!U171="Taijijian Sun C",915,IF(Atletas!U171="Taijijian Wu C",916,IF(Atletas!U171="Taijijian Wu-Hao C",917,IF(OR(Atletas!U171="Taijijian 32 C",Atletas!U171="Taijijian 42 C"),918,IF(OR(Atletas!U171="Taijijian Yang D",Atletas!U171="Taijijian Yang Standard D"),919,IF(OR(Atletas!U171="Taijijian Chen D", Atletas!U171="Taijijian Chen Standard D"),920,IF(Atletas!U171="Taijijian Sun D",921,IF(Atletas!U171="Taijijian Wu D",922,IF(Atletas!U171="Taijijian Wu-Hao D",923,IF(OR(Atletas!U171="Taijijian 32 D",Atletas!U171="Taijijian 42 D"),924,IF(OR(Atletas!U171="Taijijian Yang E",Atletas!U171="Taijijian Yang Standard E"),925,IF(OR(Atletas!U171="Taijijian Chen E", Atletas!U171="Taijijian Chen Standard E"),926,IF(Atletas!U171="Taijijian Sun E",927,IF(Atletas!U171="Taijijian Wu E",928,IF(Atletas!U171="Taijijian Wu-Hao E",929,IF(OR(Atletas!U171="Taijijian 32 E",Atletas!U171="Taijijian 42 E"),930,IF(OR(Atletas!U171="Taijijian Yang F",Atletas!U171="Taijijian Yang Standard F"),931,IF(OR(Atletas!U171="Taijijian Chen F", Atletas!U171="Taijijian Chen Standard F"),932,IF(Atletas!U171="Taijijian Sun F",933,IF(Atletas!U171="Taijijian Wu F",934,IF(Atletas!U171="Taijijian Wu-Hao F",935,IF(OR(Atletas!U171="Taijijian 32 F",Atletas!U171="Taijijian 42 F"),936,"")))))))))))))))))))))))))))))))))))))</f>
        <v/>
      </c>
      <c r="CD180" s="50" t="str">
        <f>IF(Atletas!V171="","",IF(Atletas!X171&lt;&gt;"",10000,0)+IF(Atletas!B171="Feminino",1000,IF(Atletas!B171="Masculino",2000,""))+IF(Atletas!V171="Taijidao A",937,IF(Atletas!V171="TaijiShanzi A",938,IF(Atletas!V171="Taijiqiang A",939,IF(Atletas!V171="Bagua de Arma A",940,IF(Atletas!V171="Xingyi de Arma A",941,IF(Atletas!V171="Taijidao B",942,IF(Atletas!V171="TaijiShanzi B",943,IF(Atletas!V171="Taijiqiang B",944,IF(Atletas!V171="Bagua de Arma B",945,IF(Atletas!V171="Xingyi de Arma B",946,IF(Atletas!V171="Taijidao C",947,IF(Atletas!V171="TaijiShanzi C",948,IF(Atletas!V171="Taijiqiang C",949,IF(Atletas!V171="Bagua de Arma C",950,IF(Atletas!V171="Xingyi de Arma C",951,IF(Atletas!V171="Taijidao D",952,IF(Atletas!V171="TaijiShanzi D",953,IF(Atletas!V171="Taijiqiang D",954,IF(Atletas!V171="Bagua de Arma D",955,IF(Atletas!V171="Xingyi de Arma D",956,IF(Atletas!V171="Taijidao E",957,IF(Atletas!V171="TaijiShanzi E",958,IF(Atletas!V171="Taijiqiang E",959,IF(Atletas!V171="Bagua de Arma E",960,IF(Atletas!V171="Xingyi de Arma E",961,IF(Atletas!V171="Taijidao F",962,IF(Atletas!V171="TaijiShanzi F",963,IF(Atletas!V171="Taijiqiang F",964,IF(Atletas!V171="Bagua de Arma F",965,IF(Atletas!V171="Xingyi de Arma F",966,"")))))))))))))))))))))))))))))))</f>
        <v/>
      </c>
      <c r="CE180" s="66" t="str">
        <f>IF(CF180&lt;&gt;"","TJQ Padr. Combinado A","")</f>
        <v/>
      </c>
      <c r="CF180" s="66" t="str">
        <f>IF(COUNTIF(BR:CD,1406)&gt;0,COUNTIF(BR:CD,1406),"")</f>
        <v/>
      </c>
      <c r="CG180" s="66" t="str">
        <f>IF(CH180&lt;&gt;"","TJQ Padr. Combinado A","")</f>
        <v/>
      </c>
      <c r="CH180" s="66" t="str">
        <f>IF(COUNTIF(BR:CD,2406)&gt;0,COUNTIF(BR:CD,2406),"")</f>
        <v/>
      </c>
      <c r="CI180" s="66" t="str">
        <f>IF(CJ180&lt;&gt;"","TJQ Padr. Combinado B","")</f>
        <v/>
      </c>
      <c r="CJ180" s="66" t="str">
        <f>IF(COUNTIF(BR:CD,11412)&gt;0,COUNTIF(BR:CD,11412),"")</f>
        <v/>
      </c>
      <c r="CK180" s="66" t="str">
        <f>IF(CL180&lt;&gt;"","TJQ Padr. Combinado B","")</f>
        <v/>
      </c>
      <c r="CL180" s="66" t="str">
        <f>IF(COUNTIF(BR:CD,12412)&gt;0,COUNTIF(BR:CD,12412),"")</f>
        <v/>
      </c>
      <c r="CM180" s="50" t="str">
        <f xml:space="preserve"> IF(Atletas!W171="","",IF(Atletas!W171="Duilian de Mãos BC - Equipe 1",1,IF(Atletas!W171="Duilian de Mãos BC - Equipe 2",2,IF(Atletas!W171="Duilian de Armas BC - Equipe 1",3,IF(Atletas!W171="Duilian de Armas BC - Equipe 2",4,IF(Atletas!W171="Duilian de Mãos DE - Equipe 1",5,IF(Atletas!W171="Duilian de Mãos DE - Equipe 2",6,IF(Atletas!W171="Duilian de Armas DE - Equipe 1",7,IF(Atletas!W171="Duilian de Armas DE - Equipe 2",8,IF(Atletas!W171="Duilian de Tuishou - Equipe 1",9,IF(Atletas!W171="Duilian de Tuishou - Equipe 2",10,IF(Atletas!W171="Grupo Externo ABC - Equipe 1",11,IF(Atletas!W171="Grupo Externo ABC - Equipe 2",12,IF(Atletas!W171="Grupo Interno ABC - Equipe 1",13,IF(Atletas!W171="Grupo Interno ABC - Equipe 2",14,IF(Atletas!W171="Grupo Externo DEF - Equipe 1",15,IF(Atletas!W171="Grupo Externo DEF - Equipe 2",16,IF(Atletas!W171="Grupo Interno DEF - Equipe 1",17,IF(Atletas!W171="Grupo Interno DEF - Equipe 2",18,"")))))))))))))))))))</f>
        <v/>
      </c>
    </row>
    <row r="181" spans="2:91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 t="str">
        <f t="array" ref="Z181">IFERROR(INDEX(CE$7:CE$348,SMALL(IF(CE$7:CE$348&lt;&gt;"",ROW(CE$7:CE$348)-ROW(CE$7)+1),ROWS(CE$7:CE180))),"")</f>
        <v/>
      </c>
      <c r="AA181" s="3" t="str">
        <f t="array" ref="AA181">IFERROR(INDEX(CF$7:CF$348,SMALL(IF(CF$7:CF$348&lt;&gt;"",ROW(CF$7:CF$348)-ROW(CF$7)+1),ROWS(CF$7:CF180))),"")</f>
        <v/>
      </c>
      <c r="AB181" s="3" t="str">
        <f t="array" ref="AB181">IFERROR(INDEX(CG$7:CG$348,SMALL(IF(CG$7:CG$348&lt;&gt;"",ROW(CG$7:CG$348)-ROW(CG$7)+1),ROWS(CG$7:CG180))),"")</f>
        <v/>
      </c>
      <c r="AC181" s="3" t="str">
        <f t="array" ref="AC181">IFERROR(INDEX(CH$7:CH$348,SMALL(IF(CH$7:CH$348&lt;&gt;"",ROW(CH$7:CH$348)-ROW(CH$7)+1),ROWS(CH$7:CH180))),"")</f>
        <v/>
      </c>
      <c r="AD181" s="3" t="str">
        <f t="array" ref="AD181">IFERROR(INDEX(CI$7:CI$377,SMALL(IF(CI$7:CI$377&lt;&gt;"",ROW(CI$7:CI$377)-ROW(CI$7)+1),ROWS(CI$7:CI180))),"")</f>
        <v/>
      </c>
      <c r="AE181" s="3" t="str">
        <f t="array" ref="AE181">IFERROR(INDEX(CJ$7:CJ$378,SMALL(IF(CJ$7:CJ$378&lt;&gt;"",ROW(CJ$7:CJ$378)-ROW(CJ$7)+1),ROWS(CJ$7:CJ180))),"")</f>
        <v/>
      </c>
      <c r="AF181" s="3" t="str">
        <f t="array" ref="AF181">IFERROR(INDEX(CK$7:CK$378,SMALL(IF(CK$7:CK$378&lt;&gt;"",ROW(CK$7:CK$378)-ROW(CK$7)+1),ROWS(CK$7:CK180))),"")</f>
        <v/>
      </c>
      <c r="AG181" s="3" t="str">
        <f t="array" ref="AG181">IFERROR(INDEX(CL$7:CL$378,SMALL(IF(CL$7:CL$378&lt;&gt;"",ROW(CL$7:CL$378)-ROW(CL$7)+1),ROWS(CL$7:CL180))),"")</f>
        <v/>
      </c>
      <c r="AH181" s="3"/>
      <c r="AI181" s="3"/>
      <c r="AJ181" s="3"/>
      <c r="AK181" s="3"/>
      <c r="AL181" s="3"/>
      <c r="AM181" s="3"/>
      <c r="AN181" s="52" t="str">
        <f>IF(Atletas!D172="","",IF(Atletas!B172="Feminino",100,IF(Atletas!B172="Masculino",200,""))+(IF(Atletas!D172="Kids 30kg",1,IF(Atletas!D172="Kids 32kg",2, IF(Atletas!D172="Kids 34kg",3,IF(Atletas!D172="Kids 36kg",4,IF(Atletas!D172="Kids 39kg",5,IF(Atletas!D172="Kids 42kg",6,IF(Atletas!D172="Kids 45kg",7, IF(Atletas!D172="Infantil 39kg",8,IF(Atletas!D172="Infantil 42kg",9,IF(Atletas!D172="Infantil 45kg",10,IF(Atletas!D172="Infantil 48kg",11,IF(Atletas!D172="Infantil 52kg",12,IF(Atletas!D172="Infantil 56kg",13,IF(Atletas!D172="Infantil 60kg",14,IF(Atletas!D172="Juvenil 48kg",15,IF(Atletas!D172="Juvenil 52kg",16,IF(Atletas!D172="Juvenil 56kg",17,IF(Atletas!D172="Juvenil 60kg",18,IF(Atletas!D172="Juvenil 65kg",19,IF(Atletas!D172="Juvenil 70kg",20,IF(Atletas!D172="Juvenil 75kg",21,IF(Atletas!D172="Juvenil 80kg",22, IF(Atletas!D172="Juvenil 85kg",23,IF(Atletas!D172="Adulto 48kg",24,IF(Atletas!D172="Adulto 52kg",25,IF(Atletas!D172="Adulto 56kg",26,IF(Atletas!D172="Adulto 60kg",27,IF(Atletas!D172="Adulto 65kg",28,IF(Atletas!D172="Adulto 70kg",29,IF(Atletas!D172="Adulto 75kg",30,IF(Atletas!D172="Adulto 80kg",31,IF(Atletas!D172="Adulto 85kg",32,IF(Atletas!D172="Adulto 90kg",33,IF(Atletas!D172="Adulto 100kg",34, IF(Atletas!D172="Adulto +100kg",35,"")))))))))))))))))))))))))))))))))))))</f>
        <v/>
      </c>
      <c r="AS181" s="6" t="str">
        <f>IF(Atletas!E172="","",IF(Atletas!B172="Feminino",100,IF(Atletas!B172="Masculino",200,""))+(IF(Atletas!E172="Juvenil 44kg",1,IF(Atletas!E172="Juvenil 48kg",2,IF(Atletas!E172="Juvenil 52kg",3,IF(Atletas!E172="Juvenil 56kg",4,IF(Atletas!E172="Juvenil 60kg",5,IF(Atletas!E172="Juvenil 65kg",6,IF(Atletas!E172="Juvenil 70kg",7,IF(Atletas!E172="Juvenil 75kg",8,IF(Atletas!E172="Juvenil 82kg",9,IF(Atletas!E172="Juvenil 90kg",10,IF(Atletas!E172="Juvenil 100kg",11,IF(Atletas!E172="Adulto 48kg",12,IF(Atletas!E172="Adulto 52kg",13,IF(Atletas!E172="Adulto 56kg",14,IF(Atletas!E172="Adulto 60kg",15,IF(Atletas!E172="Adulto 65kg",16,IF(Atletas!E172="Adulto 70kg",17,IF(Atletas!E172="Adulto 75kg",18,IF(Atletas!E172="Adulto 82kg",19,IF(Atletas!E172="Adulto 90kg",20,IF(Atletas!E172="Adulto 100kg",21,IF(Atletas!E172="Adulto +100kg",22,""))))))))))))))))))))))))</f>
        <v/>
      </c>
      <c r="AX181" s="6" t="str">
        <f>IF(Atletas!F172="","",IF(Atletas!B172="Feminino",100,IF(Atletas!B172="Masculino",200,""))+(IF(Atletas!F172="Adulto 48kg",1,IF(Atletas!F172="Adulto 56kg",2,IF(Atletas!F172="Adulto 65kg",3,IF(Atletas!F172="Adulto 75kg",4,IF(Atletas!F172="Adulto +75kg",5,IF(Atletas!F172="Adulto 52kg",6,IF(Atletas!F172="Adulto 60kg",7,IF(Atletas!F172="Adulto 70kg",8,IF(Atletas!F172="Adulto 80kg",9,IF(Atletas!F172="Adulto 90kg",10,IF(Atletas!F172="Adulto +90kg",11,"")))))))))))))</f>
        <v/>
      </c>
      <c r="BC181" s="6" t="str">
        <f>IF(Atletas!G172="","",IF(Atletas!B172="Feminino",10,IF(Atletas!B172="Masculino",20,""))+(IF(Atletas!G172="Baduanjin A",1,IF(Atletas!G172="Baduanjin B",2))))</f>
        <v/>
      </c>
      <c r="BF181" s="52" t="str">
        <f>IF(Atletas!H172="","",IF(Atletas!B172="Feminino",100,IF(Atletas!B172="Masculino",200,""))+(IF(Atletas!H172="Changquan Mirim",1,IF(Atletas!H172="Nanquan Mirim",2,IF(Atletas!H172="Taijiquan Mirim",3,IF(Atletas!H172="Changquan Grupo C",4,IF(Atletas!H172="Nanquan Grupo C",5,IF(Atletas!H172="Taijiquan Grupo C",6,IF(Atletas!H172="Changquan Grupo B",7,IF(Atletas!H172="Nanquan Grupo B",8,IF(Atletas!H172="Taijiquan Grupo B",9,IF(Atletas!H172="Changquan Grupo A",10,IF(Atletas!H172="Nanquan Grupo A",11,IF(Atletas!H172="Taijiquan Grupo A",12,IF(Atletas!H172="Changquan Opcional",13,IF(Atletas!H172="Nanquan Opcional",14,IF(Atletas!H172="Taijiquan Opcional",15,IF(Atletas!H172="Changquan Adulto",16,IF(Atletas!H172="Nanquan Adulto",17,IF(Atletas!H172="Taijiquan Adulto",18,""))))))))))))))))))))</f>
        <v/>
      </c>
      <c r="BG181" s="52" t="str">
        <f>IF(Atletas!I172="","",IF(Atletas!B172="Feminino",100,IF(Atletas!B172="Masculino",200,""))+(IF(Atletas!I172="Daoshu Mirim",19,IF(Atletas!I172="Jianshu Mirim",20,IF(Atletas!I172="Nandao Mirim",21,IF(Atletas!I172="Taijijian Mirim",22,IF(Atletas!I172="Daoshu Grupo C",23,IF(Atletas!I172="Jianshu Grupo C",24,IF(Atletas!I172="Nandao Grupo C",25,IF(Atletas!I172="Taijijian Grupo C",26,IF(Atletas!I172="Daoshu Grupo B",27,IF(Atletas!I172="Jianshu Grupo B",28,IF(Atletas!I172="Nandao Grupo B",29,IF(Atletas!I172="Taijijian Grupo B",30,IF(Atletas!I172="Daoshu Grupo A",31,IF(Atletas!I172="Jianshu Grupo A",32,IF(Atletas!I172="Nandao Grupo A",33,IF(Atletas!I172="Taijijian Grupo A",34,IF(Atletas!I172="Daoshu Opcional",35,IF(Atletas!I172="Jianshu Opcional",36,IF(Atletas!I172="Nandao Opcional",37,IF(Atletas!I172="Taijijian Opcional",38,IF(Atletas!I172="Daoshu Adulto",39,IF(Atletas!I172="Jianshu Adulto",40,IF(Atletas!I172="Nandao Adulto",41,IF(Atletas!I172="Taijijian Adulto",42,""))))))))))))))))))))))))))</f>
        <v/>
      </c>
      <c r="BH181" s="52" t="str">
        <f>IF(Atletas!J172="","",IF(Atletas!B172="Feminino",100,IF(Atletas!B172="Masculino",200,""))+(IF(Atletas!J172="Gunshu Mirim",43,IF(Atletas!J172="Qiangshu Mirim",44,IF(Atletas!J172="Nangun Mirim",45,IF(Atletas!J172="Gunshu Grupo C",46,IF(Atletas!J172="Qiangshu Grupo C",47,IF(Atletas!J172="Nangun Grupo C",48,IF(Atletas!J172="Gunshu Grupo B",49,IF(Atletas!J172="Qiangshu Grupo B",50,IF(Atletas!J172="Nangun Grupo B",51,IF(Atletas!J172="Gunshu Grupo A",52,IF(Atletas!J172="Qiangshu Grupo A",53,IF(Atletas!J172="Nangun Grupo A",54,IF(Atletas!J172="Gunshu Opcional",55,IF(Atletas!J172="Qiangshu Opcional",56,IF(Atletas!J172="Nangun Opcional",57,IF(Atletas!J172="Gunshu Adulto",58,IF(Atletas!J172="Qiangshu Adulto",59,IF(Atletas!J172="Nangun Adulto",60,IF(Atletas!J172="Taijishan Grupo B",61,IF(Atletas!J172="Taijishan Grupo A",62,""))))))))))))))))))))))</f>
        <v/>
      </c>
      <c r="BM181" s="50" t="str">
        <f>IF(Atletas!K172="","",IF(Atletas!B172="Feminino",100,IF(Atletas!B172="Masculino",200,""))+(IF(Atletas!K172="Equipe 1 Grupo B",1,IF(Atletas!K172="Equipe 2 Grupo B",2,IF(Atletas!K172="Equipe 1 Grupo A",3,IF(Atletas!K172="Equipe 2 Grupo A",4,IF(Atletas!K172="Equipe 1 Adulto",5,IF(Atletas!K172="Equipe 2 Adulto",6,""))))))))</f>
        <v/>
      </c>
      <c r="BR181" s="50" t="str">
        <f>IF(Atletas!L172="","",IF(Atletas!X172&lt;&gt;"",10000,0)+(IF(Atletas!B172="Feminino",1000,IF(Atletas!B172="Masculino",2000,""))+IF(Atletas!L172="Choylayfut A",1,IF(Atletas!L172="Hunggar A",2,IF(Atletas!L172="Wuzuquan A",3,IF(Atletas!L172="Wingchun A",4,IF(Atletas!L172="Outra Mão de Sul A",5,IF(Atletas!L172="Choylayfut B",6,IF(Atletas!L172="Hunggar B",7,IF(Atletas!L172="Wuzuquan B",8,IF(Atletas!L172="Wingchun B",9,IF(Atletas!L172="Outra Mão de Sul B",10,IF(Atletas!L172="Choylayfut C",11,IF(Atletas!L172="Hunggar C",12,IF(Atletas!L172="Wuzuquan C",13,IF(Atletas!L172="Wingchun C",14,IF(Atletas!L172="Outra Mão de Sul C",15,IF(Atletas!L172="Choylayfut D",16,IF(Atletas!L172="Hunggar D",17,IF(Atletas!L172="Wuzuquan D",18,IF(Atletas!L172="Wingchun D",19,IF(Atletas!L172="Outra Mão de Sul D",20,IF(Atletas!L172="Choylayfut E",21,IF(Atletas!L172="Hunggar E",22,IF(Atletas!L172="Wuzuquan E",23,IF(Atletas!L172="Wingchun E",24,IF(Atletas!L172="Outra Mão de Sul E",25,IF(Atletas!L172="Choylayfut F",26,IF(Atletas!L172="Hunggar F",27,IF(Atletas!L172="Wuzuquan F",28,IF(Atletas!L172="Wingchun F",29,IF(Atletas!L172="Outra Mão de Sul F",30,IF(Atletas!L172="Dishuquan A",31,IF(Atletas!L172="Dishuquan B",32,IF(Atletas!L172="Dishuquan C",33,IF(Atletas!L172="Dishuquan D",34,IF(Atletas!L172="Dishuquan E",35,IF(Atletas!L172="Dishuquan F",36,""))))))))))))))))))))))))))))))))))))))</f>
        <v/>
      </c>
      <c r="BS181" s="50" t="str">
        <f>IF(Atletas!M172="","",IF(Atletas!X172&lt;&gt;"",10000,0)+(IF(Atletas!B172="Feminino",1000,IF(Atletas!B172="Masculino",2000,""))+(IF(Atletas!M172="Chaquan A",101,IF(Atletas!M172="Emeiquan A",102,IF(Atletas!M172="Fanziquan A",103,IF(Atletas!M172="Huaquan A",104,IF(Atletas!M172="Hongquan A",105,IF(Atletas!M172="Paoquan A",106,IF(Atletas!M172="Piguaquan A",107,IF(Atletas!M172="Shaolinquan A",108,IF(Atletas!M172="Tanglangquan A",109,IF(Atletas!M172="Yingzhaoquan A",110,IF(Atletas!M172="Tongbeiquan A",111,IF(Atletas!M172="Wudangquan A",112,IF(Atletas!M172="Outros Estilos A",113,IF(Atletas!M172="Chaquan B",114,IF(Atletas!M172="Emeiquan B",115,IF(Atletas!M172="Fanziquan B",116,IF(Atletas!M172="Huaquan B",117,IF(Atletas!M172="Hongquan B",118,IF(Atletas!M172="Paoquan B",119,IF(Atletas!M172="Piguaquan B",120,IF(Atletas!M172="Shaolinquan B",121,IF(Atletas!M172="Tanglangquan B",122,IF(Atletas!M172="Yingzhaoquan B",123,IF(Atletas!M172="Tongbeiquan B",124,IF(Atletas!M172="Wudangquan B",125,IF(Atletas!M172="Outros Estilos B",126,IF(Atletas!M172="Chaquan C",127,IF(Atletas!M172="Emeiquan C",128,IF(Atletas!M172="Fanziquan C",129,IF(Atletas!M172="Huaquan C",130,IF(Atletas!M172="Hongquan C",131,IF(Atletas!M172="Paoquan C",132,IF(Atletas!M172="Piguaquan C",133,IF(Atletas!M172="Shaolinquan C",134,IF(Atletas!M172="Tanglangquan C",135,IF(Atletas!M172="Yingzhaoquan C",136,IF(Atletas!M172="Tongbeiquan C",137,IF(Atletas!M172="Wudangquan C",138,IF(Atletas!M172="Outros Estilos C",139,0))))))))))))))))))))))))))))))))))))))))))</f>
        <v/>
      </c>
      <c r="BT181" s="50" t="str">
        <f>IF(Atletas!M172="","",IF(Atletas!X172&lt;&gt;"",10000,0)+(IF(Atletas!B172="Feminino",1000,IF(Atletas!B172="Masculino",2000,""))+(IF(Atletas!M172="Chaquan D",140,IF(Atletas!M172="Emeiquan D",141,IF(Atletas!M172="Fanziquan D",142,IF(Atletas!M172="Huaquan D",143,IF(Atletas!M172="Hongquan D",144,IF(Atletas!M172="Paoquan D",145,IF(Atletas!M172="Piguaquan D",146,IF(Atletas!M172="Shaolinquan D",147,IF(Atletas!M172="Tanglangquan D",148,IF(Atletas!M172="Yingzhaoquan D",149,IF(Atletas!M172="Tongbeiquan D",150,IF(Atletas!M172="Wudangquan D",151,IF(Atletas!M172="Outros Estilos D",152,IF(Atletas!M172="Chaquan E",153,IF(Atletas!M172="Emeiquan E",154,IF(Atletas!M172="Fanziquan E",155,IF(Atletas!M172="Huaquan E",156,IF(Atletas!M172="Hongquan E",157,IF(Atletas!M172="Paoquan E",158,IF(Atletas!M172="Piguaquan E",159,IF(Atletas!M172="Shaolinquan E",160,IF(Atletas!M172="Tanglangquan E",161,IF(Atletas!M172="Yingzhaoquan E",162,IF(Atletas!M172="Tongbeiquan E",163,IF(Atletas!M172="Wudangquan E",164,IF(Atletas!M172="Outros Estilos E",165,IF(Atletas!M172="Chaquan F",166,IF(Atletas!M172="Emeiquan F",167,IF(Atletas!M172="Fanziquan F",168,IF(Atletas!M172="Huaquan F",169,IF(Atletas!M172="Hongquan F",170,IF(Atletas!M172="Paoquan F",171,IF(Atletas!M172="Piguaquan F",172,IF(Atletas!M172="Shaolinquan F",173,IF(Atletas!M172="Tanglangquan F",174,IF(Atletas!M172="Yingzhaoquan F",175,IF(Atletas!M172="Tongbeiquan F",176,IF(Atletas!M172="Wudangquan F",177,IF(Atletas!M172="Outros Estilos F",178,0))))))))))))))))))))))))))))))))))))))))))</f>
        <v/>
      </c>
      <c r="BU181" s="50" t="str">
        <f>IF(Atletas!N172="","",IF(Atletas!X172&lt;&gt;"",10000,0)+(IF(Atletas!B172="Feminino",1000,IF(Atletas!B172="Masculino",2000,""))+(IF(Atletas!N172="Ditangquan A",201,IF(Atletas!N172="Houquan A",202,IF(Atletas!N172="Zuiquan A",203,IF(Atletas!N172="Ditangquan B",204,IF(Atletas!N172="Houquan B",205,IF(Atletas!N172="Zuiquan B",206,IF(Atletas!N172="Ditangquan C",207,IF(Atletas!N172="Houquan C",208,IF(Atletas!N172="Zuiquan C",209,IF(Atletas!N172="Ditangquan D",210,IF(Atletas!N172="Houquan D",211,IF(Atletas!N172="Zuiquan D",212,IF(Atletas!N172="Ditangquan E",213,IF(Atletas!N172="Houquan E",214,IF(Atletas!N172="Zuiquan E",215,IF(Atletas!N172="Ditangquan F",216,IF(Atletas!N172="Houquan F",217,IF(Atletas!N172="Zuiquan F",218,"")))))))))))))))))))))</f>
        <v/>
      </c>
      <c r="BV181" s="50" t="str">
        <f>IF(Atletas!O172="","",IF(Atletas!X172&lt;&gt;"",10000,0)+IF(Atletas!B172="Feminino",1000,IF(Atletas!B172="Masculino",2000,""))+IF(Atletas!O172="Yang A",301,IF(Atletas!O172="Chen A",302,IF(Atletas!O172="Sun A",303,IF(Atletas!O172="Wu A",304,IF(Atletas!O172="Wu-Hao A",305,IF(Atletas!O172="Outro Taijiquan A",306,IF(Atletas!O172="Yang B",307,IF(Atletas!O172="Chen B",308,IF(Atletas!O172="Sun B",309,IF(Atletas!O172="Wu B",310,IF(Atletas!O172="Wu-Hao B",311,IF(Atletas!O172="Outro Taijiquan B",312,IF(Atletas!O172="Yang C",313,IF(Atletas!O172="Chen C",314,IF(Atletas!O172="Sun C",315,IF(Atletas!O172="Wu C",316,IF(Atletas!O172="Wu-Hao C",317,IF(Atletas!O172="Outro Taijiquan C",318,IF(Atletas!O172="Yang D",319,IF(Atletas!O172="Chen D",320,IF(Atletas!O172="Sun D",321,IF(Atletas!O172="Wu D",322,IF(Atletas!O172="Wu-Hao D",323,IF(Atletas!O172="Outro Taijiquan D",324,IF(Atletas!O172="Yang E",325,IF(Atletas!O172="Chen E",326,IF(Atletas!O172="Sun E",327,IF(Atletas!O172="Wu E",328,IF(Atletas!O172="Wu-Hao E",329,IF(Atletas!O172="Outro Taijiquan E",330,IF(Atletas!O172="Yang F",331,IF(Atletas!O172="Chen F",332,IF(Atletas!O172="Sun F",333,IF(Atletas!O172="Wu F",334,IF(Atletas!O172="Wu-Hao F",335,IF(Atletas!O172="Outro Taijiquan F",336,"")))))))))))))))))))))))))))))))))))))</f>
        <v/>
      </c>
      <c r="BW181" s="50" t="str">
        <f>IF(Atletas!P172="","",IF(Atletas!X172&lt;&gt;"",10000,0)+IF(Atletas!B172="Feminino",1000,IF(Atletas!B172="Masculino",2000,""))+IF(OR(Atletas!P172="Yang 26 A",Atletas!P172="Yang 40 A"),401,IF(OR(Atletas!P172="Chen 25 A",Atletas!P172="Chen 36 A",Atletas!P172="Chen 56 A"),402,IF(Atletas!P172="Sun 73 A",403,IF(Atletas!P172="Wu 45 A",404,IF(Atletas!P172="Wu-Hao 46 A",405,IF(OR(Atletas!P172="Taijiquan 16 A",Atletas!P172="Taijiquan 24 A",Atletas!P172="Taijiquan 32 A",Atletas!P172="Taijiquan 42 A"),406,IF(OR(Atletas!P172="Yang 26 B",Atletas!P172="Yang 40 B"),407,IF(OR(Atletas!P172="Chen 25 B",Atletas!P172="Chen 36 B",Atletas!P172="Chen 56 B"),408,IF(Atletas!P172="Sun 73 B",409,IF(Atletas!P172="Wu 45 B",410,IF(Atletas!P172="Wu-Hao 46 B",411,IF(OR(Atletas!P172="Taijiquan 16 B",Atletas!P172="Taijiquan 24 B",Atletas!P172="Taijiquan 32 B",Atletas!P172="Taijiquan 42 B"),412,IF(OR(Atletas!P172="Yang 26 C",Atletas!P172="Yang 40 C"),413,IF(OR(Atletas!P172="Chen 25 C",Atletas!P172="Chen 36 C",Atletas!P172="Chen 56 C"),414,IF(Atletas!P172="Sun 73 C",415,IF(Atletas!P172="Wu 45 C",416,IF(Atletas!P172="Wu-Hao 46 C",417,IF(OR(Atletas!P172="Taijiquan 16 C",Atletas!P172="Taijiquan 24 C",Atletas!P172="Taijiquan 32 C",Atletas!P172="Taijiquan 42 C"),418,0)))))))))))))))))))</f>
        <v/>
      </c>
      <c r="BX181" s="50" t="str">
        <f>IF(Atletas!P172="","",IF(Atletas!X172&lt;&gt;"",10000,0)+IF(Atletas!B172="Feminino",1000,IF(Atletas!B172="Masculino",2000,""))+IF(OR(Atletas!P172="Yang 26 D",Atletas!P172="Yang 40 D"),419,IF(OR(Atletas!P172="Chen 25 D",Atletas!P172="Chen 36 D",Atletas!P172="Chen 56 D"),420,IF(Atletas!P172="Sun 73 D",421,IF(Atletas!P172="Wu 45 D",422,IF(Atletas!P172="Wu-Hao 46 D",423,IF(OR(Atletas!P172="Taijiquan 16 D",Atletas!P172="Taijiquan 24 D",Atletas!P172="Taijiquan 32 D",Atletas!P172="Taijiquan 42 D"),424,IF(OR(Atletas!P172="Yang 26 E",Atletas!P172="Yang 40 E"),425,IF(OR(Atletas!P172="Chen 25 E",Atletas!P172="Chen 36 E",Atletas!P172="Chen 56 E"),426,IF(Atletas!P172="Sun 73 E",427,IF(Atletas!P172="Wu 45 E",428,IF(Atletas!P172="Wu-Hao 46 E",429,IF(OR(Atletas!P172="Taijiquan 16 E",Atletas!P172="Taijiquan 24 E",Atletas!P172="Taijiquan 32 E",Atletas!P172="Taijiquan 42 E"),430,IF(OR(Atletas!P172="Yang 26 F",Atletas!P172="Yang 40 F"),431,IF(OR(Atletas!P172="Chen 25 F",Atletas!P172="Chen 36 F",Atletas!P172="Chen 56 F"),432,IF(Atletas!P172="Sun 73 F",433,IF(Atletas!P172="Wu 45 F",434,IF(Atletas!P172="Wu-Hao 46 F",435,IF(OR(Atletas!P172="Taijiquan 16 F",Atletas!P172="Taijiquan 24 F",Atletas!P172="Taijiquan 32 F",Atletas!P172="Taijiquan 42 F"),436,0)))))))))))))))))))</f>
        <v/>
      </c>
      <c r="BY181" s="50" t="str">
        <f>IF(Atletas!Q172="","",IF(Atletas!X172&lt;&gt;"",10000,0)+IF(Atletas!B172="Feminino",1000,IF(Atletas!B172="Masculino",2000,""))+IF(Atletas!Q172="Xingyiquan A",501,IF(Atletas!Q172="Baguazhang A",502,IF(Atletas!Q172="Outro Estilo Interno A",503,IF(Atletas!Q172="Xingyiquan B",504,IF(Atletas!Q172="Baguazhang B",505,IF(Atletas!Q172="Outro Estilo Interno B",506,IF(Atletas!Q172="Xingyiquan C",507,IF(Atletas!Q172="Baguazhang C",508,IF(Atletas!Q172="Outro Estilo Interno C",509,IF(Atletas!Q172="Xingyiquan D",510,IF(Atletas!Q172="Baguazhang D",511,IF(Atletas!Q172="Outro Estilo Interno D",512,IF(Atletas!Q172="Xingyiquan E",513,IF(Atletas!Q172="Baguazhang E",514,IF(Atletas!Q172="Outro Estilo Interno E",515,IF(Atletas!Q172="Xingyiquan F",516,IF(Atletas!Q172="Baguazhang F",517,IF(Atletas!Q172="Outro Estilo Interno F",518, "")))))))))))))))))))</f>
        <v/>
      </c>
      <c r="BZ181" s="50" t="str">
        <f>IF(Atletas!R172="","",IF(Atletas!X172&lt;&gt;"",10000,0)+IF(Atletas!B172="Feminino",1000,IF(Atletas!B172="Masculino",2000,""))+IF(Atletas!R172="Dao A",601,IF(Atletas!R172="Jian A",602,IF(Atletas!R172="Bishou A",603,IF(Atletas!R172="Shanzi A",604,IF(Atletas!R172="Outra Arma Curta A",605,IF(Atletas!R172="Dao B",606,IF(Atletas!R172="Jian B",607,IF(Atletas!R172="Bishou B",608,IF(Atletas!R172="Shanzi B",609,IF(Atletas!R172="Outra Arma Curta B",610,IF(Atletas!R172="Dao C",611,IF(Atletas!R172="Jian C",612,IF(Atletas!R172="Bishou C",613,IF(Atletas!R172="Shanzi C",614,IF(Atletas!R172="Outra Arma Curta C",615,IF(Atletas!R172="Dao D",616,IF(Atletas!R172="Jian D",617,IF(Atletas!R172="Bishou D",618,IF(Atletas!R172="Shanzi D",619,IF(Atletas!R172="Outra Arma Curta D",620,IF(Atletas!R172="Dao E",621,IF(Atletas!R172="Jian E",622,IF(Atletas!R172="Bishou E",623,IF(Atletas!R172="Shanzi E",624,IF(Atletas!R172="Outra Arma Curta E",625,IF(Atletas!R172="Dao F",626,IF(Atletas!R172="Jian F",627,IF(Atletas!R172="Bishou F",628,IF(Atletas!R172="Shanzi F",629,IF(Atletas!R172="Outra Arma Curta F",630, "")))))))))))))))))))))))))))))))</f>
        <v/>
      </c>
      <c r="CA181" s="50" t="str">
        <f>IF(Atletas!S172="","",IF(Atletas!X172&lt;&gt;"",10000,0)+IF(Atletas!B172="Feminino",1000,IF(Atletas!B172="Masculino",2000,""))+IF(Atletas!S172="Gun A",701,IF(Atletas!S172="Qiang A",702,IF(Atletas!S172="Pudao / Guandao A",703,IF(Atletas!S172="Outra Arma Longa A",704,IF(Atletas!S172="Gun B",705,IF(Atletas!S172="Qiang B",706,IF(Atletas!S172="Pudao / Guandao B",707,IF(Atletas!S172="Outra Arma Longa B",708,IF(Atletas!S172="Gun C",709,IF(Atletas!S172="Qiang C",710,IF(Atletas!S172="Pudao / Guandao C",711,IF(Atletas!S172="Outra Arma Longa C",712,IF(Atletas!S172="Gun D",713,IF(Atletas!S172="Qiang D",714,IF(Atletas!S172="Pudao / Guandao D",715,IF(Atletas!S172="Outra Arma Longa D",716,IF(Atletas!S172="Gun E",717,IF(Atletas!S172="Qiang E",718,IF(Atletas!S172="Pudao / Guandao E",719,IF(Atletas!S172="Outra Arma Longa E",720,IF(Atletas!S172="Gun F",721,IF(Atletas!S172="Qiang F",722,IF(Atletas!S172="Pudao / Guandao F",723,IF(Atletas!S172="Outra Arma Longa F",724,"")))))))))))))))))))))))))</f>
        <v/>
      </c>
      <c r="CB181" s="50" t="str">
        <f>IF(Atletas!T172="","",IF(Atletas!X172&lt;&gt;"",10000,0)+IF(Atletas!B172="Feminino",1000,IF(Atletas!B172="Masculino",2000,""))+IF(Atletas!T172="Outra Arma Dupla A",801,IF(Atletas!T172="Arma Maleável A",802,IF(Atletas!T172="Outra Arma Dupla B",803,IF(Atletas!T172="Arma Maleável B",804,IF(Atletas!T172="Outra Arma Dupla C",805,IF(Atletas!T172="Arma Maleável C",806,IF(Atletas!T172="Outra Arma Dupla D",807,IF(Atletas!T172="Arma Maleável D",808,IF(Atletas!T172="Outra Arma Dupla E",809,IF(Atletas!T172="Arma Maleável E",810,IF(Atletas!T172="Outra Arma Dupla F",811,IF(Atletas!T172="Arma Maleável F",812,IF(Atletas!T172="Shuangdao A",813,IF(Atletas!T172="Shuangdao B",814,IF(Atletas!T172="Shuangdao C",815,IF(Atletas!T172="Shuangdao D",816,IF(Atletas!T172="Shuangdao E",817,IF(Atletas!T172="Shuangdao F",818,"")))))))))))))))))))</f>
        <v/>
      </c>
      <c r="CC181" s="50" t="str">
        <f>IF(Atletas!U172="","",IF(Atletas!X172&lt;&gt;"",10000,0)+IF(Atletas!B172="Feminino",1000,IF(Atletas!B172="Masculino",2000,""))+IF(OR(Atletas!U172="Taijijian Yang A",Atletas!U172="Taijijian Yang Standard A"),901,IF(OR(Atletas!U172="Taijijian Chen A", Atletas!U172="Taijijian Chen Standard A"),902,IF(Atletas!U172="Taijijian Sun A",903,IF(Atletas!U172="Taijijian Wu A",904,IF(Atletas!U172="Taijijian Wu-Hao A",905,IF(OR(Atletas!U172="Taijijian 32 A",Atletas!U172="Taijijian 42 A"),906,IF(OR(Atletas!U172="Taijijian Yang B",Atletas!U172="Taijijian Yang Standard B"),907,IF(OR(Atletas!U172="Taijijian Chen B", Atletas!U172="Taijijian Chen Standard B"),908,IF(Atletas!U172="Taijijian Sun B",909,IF(Atletas!U172="Taijijian Wu B",910,IF(Atletas!U172="Taijijian Wu-Hao B",911,IF(OR(Atletas!U172="Taijijian 32 B",Atletas!U172="Taijijian 42 B"),912,IF(OR(Atletas!U172="Taijijian Yang C",Atletas!U172="Taijijian Yang Standard C"),913,IF(OR(Atletas!U172="Taijijian Chen C", Atletas!U172="Taijijian Chen Standard C"),914,IF(Atletas!U172="Taijijian Sun C",915,IF(Atletas!U172="Taijijian Wu C",916,IF(Atletas!U172="Taijijian Wu-Hao C",917,IF(OR(Atletas!U172="Taijijian 32 C",Atletas!U172="Taijijian 42 C"),918,IF(OR(Atletas!U172="Taijijian Yang D",Atletas!U172="Taijijian Yang Standard D"),919,IF(OR(Atletas!U172="Taijijian Chen D", Atletas!U172="Taijijian Chen Standard D"),920,IF(Atletas!U172="Taijijian Sun D",921,IF(Atletas!U172="Taijijian Wu D",922,IF(Atletas!U172="Taijijian Wu-Hao D",923,IF(OR(Atletas!U172="Taijijian 32 D",Atletas!U172="Taijijian 42 D"),924,IF(OR(Atletas!U172="Taijijian Yang E",Atletas!U172="Taijijian Yang Standard E"),925,IF(OR(Atletas!U172="Taijijian Chen E", Atletas!U172="Taijijian Chen Standard E"),926,IF(Atletas!U172="Taijijian Sun E",927,IF(Atletas!U172="Taijijian Wu E",928,IF(Atletas!U172="Taijijian Wu-Hao E",929,IF(OR(Atletas!U172="Taijijian 32 E",Atletas!U172="Taijijian 42 E"),930,IF(OR(Atletas!U172="Taijijian Yang F",Atletas!U172="Taijijian Yang Standard F"),931,IF(OR(Atletas!U172="Taijijian Chen F", Atletas!U172="Taijijian Chen Standard F"),932,IF(Atletas!U172="Taijijian Sun F",933,IF(Atletas!U172="Taijijian Wu F",934,IF(Atletas!U172="Taijijian Wu-Hao F",935,IF(OR(Atletas!U172="Taijijian 32 F",Atletas!U172="Taijijian 42 F"),936,"")))))))))))))))))))))))))))))))))))))</f>
        <v/>
      </c>
      <c r="CD181" s="50" t="str">
        <f>IF(Atletas!V172="","",IF(Atletas!X172&lt;&gt;"",10000,0)+IF(Atletas!B172="Feminino",1000,IF(Atletas!B172="Masculino",2000,""))+IF(Atletas!V172="Taijidao A",937,IF(Atletas!V172="TaijiShanzi A",938,IF(Atletas!V172="Taijiqiang A",939,IF(Atletas!V172="Bagua de Arma A",940,IF(Atletas!V172="Xingyi de Arma A",941,IF(Atletas!V172="Taijidao B",942,IF(Atletas!V172="TaijiShanzi B",943,IF(Atletas!V172="Taijiqiang B",944,IF(Atletas!V172="Bagua de Arma B",945,IF(Atletas!V172="Xingyi de Arma B",946,IF(Atletas!V172="Taijidao C",947,IF(Atletas!V172="TaijiShanzi C",948,IF(Atletas!V172="Taijiqiang C",949,IF(Atletas!V172="Bagua de Arma C",950,IF(Atletas!V172="Xingyi de Arma C",951,IF(Atletas!V172="Taijidao D",952,IF(Atletas!V172="TaijiShanzi D",953,IF(Atletas!V172="Taijiqiang D",954,IF(Atletas!V172="Bagua de Arma D",955,IF(Atletas!V172="Xingyi de Arma D",956,IF(Atletas!V172="Taijidao E",957,IF(Atletas!V172="TaijiShanzi E",958,IF(Atletas!V172="Taijiqiang E",959,IF(Atletas!V172="Bagua de Arma E",960,IF(Atletas!V172="Xingyi de Arma E",961,IF(Atletas!V172="Taijidao F",962,IF(Atletas!V172="TaijiShanzi F",963,IF(Atletas!V172="Taijiqiang F",964,IF(Atletas!V172="Bagua de Arma F",965,IF(Atletas!V172="Xingyi de Arma F",966,"")))))))))))))))))))))))))))))))</f>
        <v/>
      </c>
      <c r="CE181" s="66" t="str">
        <f>IF(CF181&lt;&gt;"","TJQ Padr. Yang B","")</f>
        <v/>
      </c>
      <c r="CF181" s="66" t="str">
        <f>IF(COUNTIF(BR:CD,1407)&gt;0,COUNTIF(BR:CD,1407),"")</f>
        <v/>
      </c>
      <c r="CG181" s="66" t="str">
        <f>IF(CH181&lt;&gt;"","TJQ Padr. Yang B","")</f>
        <v/>
      </c>
      <c r="CH181" s="66" t="str">
        <f>IF(COUNTIF(BR:CD,2407)&gt;0,COUNTIF(BR:CD,2407),"")</f>
        <v/>
      </c>
      <c r="CI181" s="66" t="str">
        <f>IF(CJ181&lt;&gt;"","TJQ Padr. Yang C","")</f>
        <v/>
      </c>
      <c r="CJ181" s="66" t="str">
        <f>IF(COUNTIF(BR:CD,11413)&gt;0,COUNTIF(BR:CD,11413),"")</f>
        <v/>
      </c>
      <c r="CK181" s="66" t="str">
        <f>IF(CL181&lt;&gt;"","TJQ Padr. Yang C","")</f>
        <v/>
      </c>
      <c r="CL181" s="66" t="str">
        <f>IF(COUNTIF(BR:CD,12413)&gt;0,COUNTIF(BR:CD,12413),"")</f>
        <v/>
      </c>
      <c r="CM181" s="50" t="str">
        <f xml:space="preserve"> IF(Atletas!W172="","",IF(Atletas!W172="Duilian de Mãos BC - Equipe 1",1,IF(Atletas!W172="Duilian de Mãos BC - Equipe 2",2,IF(Atletas!W172="Duilian de Armas BC - Equipe 1",3,IF(Atletas!W172="Duilian de Armas BC - Equipe 2",4,IF(Atletas!W172="Duilian de Mãos DE - Equipe 1",5,IF(Atletas!W172="Duilian de Mãos DE - Equipe 2",6,IF(Atletas!W172="Duilian de Armas DE - Equipe 1",7,IF(Atletas!W172="Duilian de Armas DE - Equipe 2",8,IF(Atletas!W172="Duilian de Tuishou - Equipe 1",9,IF(Atletas!W172="Duilian de Tuishou - Equipe 2",10,IF(Atletas!W172="Grupo Externo ABC - Equipe 1",11,IF(Atletas!W172="Grupo Externo ABC - Equipe 2",12,IF(Atletas!W172="Grupo Interno ABC - Equipe 1",13,IF(Atletas!W172="Grupo Interno ABC - Equipe 2",14,IF(Atletas!W172="Grupo Externo DEF - Equipe 1",15,IF(Atletas!W172="Grupo Externo DEF - Equipe 2",16,IF(Atletas!W172="Grupo Interno DEF - Equipe 1",17,IF(Atletas!W172="Grupo Interno DEF - Equipe 2",18,"")))))))))))))))))))</f>
        <v/>
      </c>
    </row>
    <row r="182" spans="2:91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 t="str">
        <f t="array" ref="Z182">IFERROR(INDEX(CE$7:CE$348,SMALL(IF(CE$7:CE$348&lt;&gt;"",ROW(CE$7:CE$348)-ROW(CE$7)+1),ROWS(CE$7:CE181))),"")</f>
        <v/>
      </c>
      <c r="AA182" s="3" t="str">
        <f t="array" ref="AA182">IFERROR(INDEX(CF$7:CF$348,SMALL(IF(CF$7:CF$348&lt;&gt;"",ROW(CF$7:CF$348)-ROW(CF$7)+1),ROWS(CF$7:CF181))),"")</f>
        <v/>
      </c>
      <c r="AB182" s="3" t="str">
        <f t="array" ref="AB182">IFERROR(INDEX(CG$7:CG$348,SMALL(IF(CG$7:CG$348&lt;&gt;"",ROW(CG$7:CG$348)-ROW(CG$7)+1),ROWS(CG$7:CG181))),"")</f>
        <v/>
      </c>
      <c r="AC182" s="3" t="str">
        <f t="array" ref="AC182">IFERROR(INDEX(CH$7:CH$348,SMALL(IF(CH$7:CH$348&lt;&gt;"",ROW(CH$7:CH$348)-ROW(CH$7)+1),ROWS(CH$7:CH181))),"")</f>
        <v/>
      </c>
      <c r="AD182" s="3" t="str">
        <f t="array" ref="AD182">IFERROR(INDEX(CI$7:CI$377,SMALL(IF(CI$7:CI$377&lt;&gt;"",ROW(CI$7:CI$377)-ROW(CI$7)+1),ROWS(CI$7:CI181))),"")</f>
        <v/>
      </c>
      <c r="AE182" s="3" t="str">
        <f t="array" ref="AE182">IFERROR(INDEX(CJ$7:CJ$378,SMALL(IF(CJ$7:CJ$378&lt;&gt;"",ROW(CJ$7:CJ$378)-ROW(CJ$7)+1),ROWS(CJ$7:CJ181))),"")</f>
        <v/>
      </c>
      <c r="AF182" s="3" t="str">
        <f t="array" ref="AF182">IFERROR(INDEX(CK$7:CK$378,SMALL(IF(CK$7:CK$378&lt;&gt;"",ROW(CK$7:CK$378)-ROW(CK$7)+1),ROWS(CK$7:CK181))),"")</f>
        <v/>
      </c>
      <c r="AG182" s="3" t="str">
        <f t="array" ref="AG182">IFERROR(INDEX(CL$7:CL$378,SMALL(IF(CL$7:CL$378&lt;&gt;"",ROW(CL$7:CL$378)-ROW(CL$7)+1),ROWS(CL$7:CL181))),"")</f>
        <v/>
      </c>
      <c r="AH182" s="3"/>
      <c r="AI182" s="3"/>
      <c r="AJ182" s="3"/>
      <c r="AK182" s="3"/>
      <c r="AL182" s="3"/>
      <c r="AM182" s="3"/>
      <c r="AN182" s="52" t="str">
        <f>IF(Atletas!D173="","",IF(Atletas!B173="Feminino",100,IF(Atletas!B173="Masculino",200,""))+(IF(Atletas!D173="Kids 30kg",1,IF(Atletas!D173="Kids 32kg",2, IF(Atletas!D173="Kids 34kg",3,IF(Atletas!D173="Kids 36kg",4,IF(Atletas!D173="Kids 39kg",5,IF(Atletas!D173="Kids 42kg",6,IF(Atletas!D173="Kids 45kg",7, IF(Atletas!D173="Infantil 39kg",8,IF(Atletas!D173="Infantil 42kg",9,IF(Atletas!D173="Infantil 45kg",10,IF(Atletas!D173="Infantil 48kg",11,IF(Atletas!D173="Infantil 52kg",12,IF(Atletas!D173="Infantil 56kg",13,IF(Atletas!D173="Infantil 60kg",14,IF(Atletas!D173="Juvenil 48kg",15,IF(Atletas!D173="Juvenil 52kg",16,IF(Atletas!D173="Juvenil 56kg",17,IF(Atletas!D173="Juvenil 60kg",18,IF(Atletas!D173="Juvenil 65kg",19,IF(Atletas!D173="Juvenil 70kg",20,IF(Atletas!D173="Juvenil 75kg",21,IF(Atletas!D173="Juvenil 80kg",22, IF(Atletas!D173="Juvenil 85kg",23,IF(Atletas!D173="Adulto 48kg",24,IF(Atletas!D173="Adulto 52kg",25,IF(Atletas!D173="Adulto 56kg",26,IF(Atletas!D173="Adulto 60kg",27,IF(Atletas!D173="Adulto 65kg",28,IF(Atletas!D173="Adulto 70kg",29,IF(Atletas!D173="Adulto 75kg",30,IF(Atletas!D173="Adulto 80kg",31,IF(Atletas!D173="Adulto 85kg",32,IF(Atletas!D173="Adulto 90kg",33,IF(Atletas!D173="Adulto 100kg",34, IF(Atletas!D173="Adulto +100kg",35,"")))))))))))))))))))))))))))))))))))))</f>
        <v/>
      </c>
      <c r="AS182" s="6" t="str">
        <f>IF(Atletas!E173="","",IF(Atletas!B173="Feminino",100,IF(Atletas!B173="Masculino",200,""))+(IF(Atletas!E173="Juvenil 44kg",1,IF(Atletas!E173="Juvenil 48kg",2,IF(Atletas!E173="Juvenil 52kg",3,IF(Atletas!E173="Juvenil 56kg",4,IF(Atletas!E173="Juvenil 60kg",5,IF(Atletas!E173="Juvenil 65kg",6,IF(Atletas!E173="Juvenil 70kg",7,IF(Atletas!E173="Juvenil 75kg",8,IF(Atletas!E173="Juvenil 82kg",9,IF(Atletas!E173="Juvenil 90kg",10,IF(Atletas!E173="Juvenil 100kg",11,IF(Atletas!E173="Adulto 48kg",12,IF(Atletas!E173="Adulto 52kg",13,IF(Atletas!E173="Adulto 56kg",14,IF(Atletas!E173="Adulto 60kg",15,IF(Atletas!E173="Adulto 65kg",16,IF(Atletas!E173="Adulto 70kg",17,IF(Atletas!E173="Adulto 75kg",18,IF(Atletas!E173="Adulto 82kg",19,IF(Atletas!E173="Adulto 90kg",20,IF(Atletas!E173="Adulto 100kg",21,IF(Atletas!E173="Adulto +100kg",22,""))))))))))))))))))))))))</f>
        <v/>
      </c>
      <c r="AX182" s="6" t="str">
        <f>IF(Atletas!F173="","",IF(Atletas!B173="Feminino",100,IF(Atletas!B173="Masculino",200,""))+(IF(Atletas!F173="Adulto 48kg",1,IF(Atletas!F173="Adulto 56kg",2,IF(Atletas!F173="Adulto 65kg",3,IF(Atletas!F173="Adulto 75kg",4,IF(Atletas!F173="Adulto +75kg",5,IF(Atletas!F173="Adulto 52kg",6,IF(Atletas!F173="Adulto 60kg",7,IF(Atletas!F173="Adulto 70kg",8,IF(Atletas!F173="Adulto 80kg",9,IF(Atletas!F173="Adulto 90kg",10,IF(Atletas!F173="Adulto +90kg",11,"")))))))))))))</f>
        <v/>
      </c>
      <c r="BC182" s="6" t="str">
        <f>IF(Atletas!G173="","",IF(Atletas!B173="Feminino",10,IF(Atletas!B173="Masculino",20,""))+(IF(Atletas!G173="Baduanjin A",1,IF(Atletas!G173="Baduanjin B",2))))</f>
        <v/>
      </c>
      <c r="BF182" s="52" t="str">
        <f>IF(Atletas!H173="","",IF(Atletas!B173="Feminino",100,IF(Atletas!B173="Masculino",200,""))+(IF(Atletas!H173="Changquan Mirim",1,IF(Atletas!H173="Nanquan Mirim",2,IF(Atletas!H173="Taijiquan Mirim",3,IF(Atletas!H173="Changquan Grupo C",4,IF(Atletas!H173="Nanquan Grupo C",5,IF(Atletas!H173="Taijiquan Grupo C",6,IF(Atletas!H173="Changquan Grupo B",7,IF(Atletas!H173="Nanquan Grupo B",8,IF(Atletas!H173="Taijiquan Grupo B",9,IF(Atletas!H173="Changquan Grupo A",10,IF(Atletas!H173="Nanquan Grupo A",11,IF(Atletas!H173="Taijiquan Grupo A",12,IF(Atletas!H173="Changquan Opcional",13,IF(Atletas!H173="Nanquan Opcional",14,IF(Atletas!H173="Taijiquan Opcional",15,IF(Atletas!H173="Changquan Adulto",16,IF(Atletas!H173="Nanquan Adulto",17,IF(Atletas!H173="Taijiquan Adulto",18,""))))))))))))))))))))</f>
        <v/>
      </c>
      <c r="BG182" s="52" t="str">
        <f>IF(Atletas!I173="","",IF(Atletas!B173="Feminino",100,IF(Atletas!B173="Masculino",200,""))+(IF(Atletas!I173="Daoshu Mirim",19,IF(Atletas!I173="Jianshu Mirim",20,IF(Atletas!I173="Nandao Mirim",21,IF(Atletas!I173="Taijijian Mirim",22,IF(Atletas!I173="Daoshu Grupo C",23,IF(Atletas!I173="Jianshu Grupo C",24,IF(Atletas!I173="Nandao Grupo C",25,IF(Atletas!I173="Taijijian Grupo C",26,IF(Atletas!I173="Daoshu Grupo B",27,IF(Atletas!I173="Jianshu Grupo B",28,IF(Atletas!I173="Nandao Grupo B",29,IF(Atletas!I173="Taijijian Grupo B",30,IF(Atletas!I173="Daoshu Grupo A",31,IF(Atletas!I173="Jianshu Grupo A",32,IF(Atletas!I173="Nandao Grupo A",33,IF(Atletas!I173="Taijijian Grupo A",34,IF(Atletas!I173="Daoshu Opcional",35,IF(Atletas!I173="Jianshu Opcional",36,IF(Atletas!I173="Nandao Opcional",37,IF(Atletas!I173="Taijijian Opcional",38,IF(Atletas!I173="Daoshu Adulto",39,IF(Atletas!I173="Jianshu Adulto",40,IF(Atletas!I173="Nandao Adulto",41,IF(Atletas!I173="Taijijian Adulto",42,""))))))))))))))))))))))))))</f>
        <v/>
      </c>
      <c r="BH182" s="52" t="str">
        <f>IF(Atletas!J173="","",IF(Atletas!B173="Feminino",100,IF(Atletas!B173="Masculino",200,""))+(IF(Atletas!J173="Gunshu Mirim",43,IF(Atletas!J173="Qiangshu Mirim",44,IF(Atletas!J173="Nangun Mirim",45,IF(Atletas!J173="Gunshu Grupo C",46,IF(Atletas!J173="Qiangshu Grupo C",47,IF(Atletas!J173="Nangun Grupo C",48,IF(Atletas!J173="Gunshu Grupo B",49,IF(Atletas!J173="Qiangshu Grupo B",50,IF(Atletas!J173="Nangun Grupo B",51,IF(Atletas!J173="Gunshu Grupo A",52,IF(Atletas!J173="Qiangshu Grupo A",53,IF(Atletas!J173="Nangun Grupo A",54,IF(Atletas!J173="Gunshu Opcional",55,IF(Atletas!J173="Qiangshu Opcional",56,IF(Atletas!J173="Nangun Opcional",57,IF(Atletas!J173="Gunshu Adulto",58,IF(Atletas!J173="Qiangshu Adulto",59,IF(Atletas!J173="Nangun Adulto",60,IF(Atletas!J173="Taijishan Grupo B",61,IF(Atletas!J173="Taijishan Grupo A",62,""))))))))))))))))))))))</f>
        <v/>
      </c>
      <c r="BM182" s="50" t="str">
        <f>IF(Atletas!K173="","",IF(Atletas!B173="Feminino",100,IF(Atletas!B173="Masculino",200,""))+(IF(Atletas!K173="Equipe 1 Grupo B",1,IF(Atletas!K173="Equipe 2 Grupo B",2,IF(Atletas!K173="Equipe 1 Grupo A",3,IF(Atletas!K173="Equipe 2 Grupo A",4,IF(Atletas!K173="Equipe 1 Adulto",5,IF(Atletas!K173="Equipe 2 Adulto",6,""))))))))</f>
        <v/>
      </c>
      <c r="BR182" s="50" t="str">
        <f>IF(Atletas!L173="","",IF(Atletas!X173&lt;&gt;"",10000,0)+(IF(Atletas!B173="Feminino",1000,IF(Atletas!B173="Masculino",2000,""))+IF(Atletas!L173="Choylayfut A",1,IF(Atletas!L173="Hunggar A",2,IF(Atletas!L173="Wuzuquan A",3,IF(Atletas!L173="Wingchun A",4,IF(Atletas!L173="Outra Mão de Sul A",5,IF(Atletas!L173="Choylayfut B",6,IF(Atletas!L173="Hunggar B",7,IF(Atletas!L173="Wuzuquan B",8,IF(Atletas!L173="Wingchun B",9,IF(Atletas!L173="Outra Mão de Sul B",10,IF(Atletas!L173="Choylayfut C",11,IF(Atletas!L173="Hunggar C",12,IF(Atletas!L173="Wuzuquan C",13,IF(Atletas!L173="Wingchun C",14,IF(Atletas!L173="Outra Mão de Sul C",15,IF(Atletas!L173="Choylayfut D",16,IF(Atletas!L173="Hunggar D",17,IF(Atletas!L173="Wuzuquan D",18,IF(Atletas!L173="Wingchun D",19,IF(Atletas!L173="Outra Mão de Sul D",20,IF(Atletas!L173="Choylayfut E",21,IF(Atletas!L173="Hunggar E",22,IF(Atletas!L173="Wuzuquan E",23,IF(Atletas!L173="Wingchun E",24,IF(Atletas!L173="Outra Mão de Sul E",25,IF(Atletas!L173="Choylayfut F",26,IF(Atletas!L173="Hunggar F",27,IF(Atletas!L173="Wuzuquan F",28,IF(Atletas!L173="Wingchun F",29,IF(Atletas!L173="Outra Mão de Sul F",30,IF(Atletas!L173="Dishuquan A",31,IF(Atletas!L173="Dishuquan B",32,IF(Atletas!L173="Dishuquan C",33,IF(Atletas!L173="Dishuquan D",34,IF(Atletas!L173="Dishuquan E",35,IF(Atletas!L173="Dishuquan F",36,""))))))))))))))))))))))))))))))))))))))</f>
        <v/>
      </c>
      <c r="BS182" s="50" t="str">
        <f>IF(Atletas!M173="","",IF(Atletas!X173&lt;&gt;"",10000,0)+(IF(Atletas!B173="Feminino",1000,IF(Atletas!B173="Masculino",2000,""))+(IF(Atletas!M173="Chaquan A",101,IF(Atletas!M173="Emeiquan A",102,IF(Atletas!M173="Fanziquan A",103,IF(Atletas!M173="Huaquan A",104,IF(Atletas!M173="Hongquan A",105,IF(Atletas!M173="Paoquan A",106,IF(Atletas!M173="Piguaquan A",107,IF(Atletas!M173="Shaolinquan A",108,IF(Atletas!M173="Tanglangquan A",109,IF(Atletas!M173="Yingzhaoquan A",110,IF(Atletas!M173="Tongbeiquan A",111,IF(Atletas!M173="Wudangquan A",112,IF(Atletas!M173="Outros Estilos A",113,IF(Atletas!M173="Chaquan B",114,IF(Atletas!M173="Emeiquan B",115,IF(Atletas!M173="Fanziquan B",116,IF(Atletas!M173="Huaquan B",117,IF(Atletas!M173="Hongquan B",118,IF(Atletas!M173="Paoquan B",119,IF(Atletas!M173="Piguaquan B",120,IF(Atletas!M173="Shaolinquan B",121,IF(Atletas!M173="Tanglangquan B",122,IF(Atletas!M173="Yingzhaoquan B",123,IF(Atletas!M173="Tongbeiquan B",124,IF(Atletas!M173="Wudangquan B",125,IF(Atletas!M173="Outros Estilos B",126,IF(Atletas!M173="Chaquan C",127,IF(Atletas!M173="Emeiquan C",128,IF(Atletas!M173="Fanziquan C",129,IF(Atletas!M173="Huaquan C",130,IF(Atletas!M173="Hongquan C",131,IF(Atletas!M173="Paoquan C",132,IF(Atletas!M173="Piguaquan C",133,IF(Atletas!M173="Shaolinquan C",134,IF(Atletas!M173="Tanglangquan C",135,IF(Atletas!M173="Yingzhaoquan C",136,IF(Atletas!M173="Tongbeiquan C",137,IF(Atletas!M173="Wudangquan C",138,IF(Atletas!M173="Outros Estilos C",139,0))))))))))))))))))))))))))))))))))))))))))</f>
        <v/>
      </c>
      <c r="BT182" s="50" t="str">
        <f>IF(Atletas!M173="","",IF(Atletas!X173&lt;&gt;"",10000,0)+(IF(Atletas!B173="Feminino",1000,IF(Atletas!B173="Masculino",2000,""))+(IF(Atletas!M173="Chaquan D",140,IF(Atletas!M173="Emeiquan D",141,IF(Atletas!M173="Fanziquan D",142,IF(Atletas!M173="Huaquan D",143,IF(Atletas!M173="Hongquan D",144,IF(Atletas!M173="Paoquan D",145,IF(Atletas!M173="Piguaquan D",146,IF(Atletas!M173="Shaolinquan D",147,IF(Atletas!M173="Tanglangquan D",148,IF(Atletas!M173="Yingzhaoquan D",149,IF(Atletas!M173="Tongbeiquan D",150,IF(Atletas!M173="Wudangquan D",151,IF(Atletas!M173="Outros Estilos D",152,IF(Atletas!M173="Chaquan E",153,IF(Atletas!M173="Emeiquan E",154,IF(Atletas!M173="Fanziquan E",155,IF(Atletas!M173="Huaquan E",156,IF(Atletas!M173="Hongquan E",157,IF(Atletas!M173="Paoquan E",158,IF(Atletas!M173="Piguaquan E",159,IF(Atletas!M173="Shaolinquan E",160,IF(Atletas!M173="Tanglangquan E",161,IF(Atletas!M173="Yingzhaoquan E",162,IF(Atletas!M173="Tongbeiquan E",163,IF(Atletas!M173="Wudangquan E",164,IF(Atletas!M173="Outros Estilos E",165,IF(Atletas!M173="Chaquan F",166,IF(Atletas!M173="Emeiquan F",167,IF(Atletas!M173="Fanziquan F",168,IF(Atletas!M173="Huaquan F",169,IF(Atletas!M173="Hongquan F",170,IF(Atletas!M173="Paoquan F",171,IF(Atletas!M173="Piguaquan F",172,IF(Atletas!M173="Shaolinquan F",173,IF(Atletas!M173="Tanglangquan F",174,IF(Atletas!M173="Yingzhaoquan F",175,IF(Atletas!M173="Tongbeiquan F",176,IF(Atletas!M173="Wudangquan F",177,IF(Atletas!M173="Outros Estilos F",178,0))))))))))))))))))))))))))))))))))))))))))</f>
        <v/>
      </c>
      <c r="BU182" s="50" t="str">
        <f>IF(Atletas!N173="","",IF(Atletas!X173&lt;&gt;"",10000,0)+(IF(Atletas!B173="Feminino",1000,IF(Atletas!B173="Masculino",2000,""))+(IF(Atletas!N173="Ditangquan A",201,IF(Atletas!N173="Houquan A",202,IF(Atletas!N173="Zuiquan A",203,IF(Atletas!N173="Ditangquan B",204,IF(Atletas!N173="Houquan B",205,IF(Atletas!N173="Zuiquan B",206,IF(Atletas!N173="Ditangquan C",207,IF(Atletas!N173="Houquan C",208,IF(Atletas!N173="Zuiquan C",209,IF(Atletas!N173="Ditangquan D",210,IF(Atletas!N173="Houquan D",211,IF(Atletas!N173="Zuiquan D",212,IF(Atletas!N173="Ditangquan E",213,IF(Atletas!N173="Houquan E",214,IF(Atletas!N173="Zuiquan E",215,IF(Atletas!N173="Ditangquan F",216,IF(Atletas!N173="Houquan F",217,IF(Atletas!N173="Zuiquan F",218,"")))))))))))))))))))))</f>
        <v/>
      </c>
      <c r="BV182" s="50" t="str">
        <f>IF(Atletas!O173="","",IF(Atletas!X173&lt;&gt;"",10000,0)+IF(Atletas!B173="Feminino",1000,IF(Atletas!B173="Masculino",2000,""))+IF(Atletas!O173="Yang A",301,IF(Atletas!O173="Chen A",302,IF(Atletas!O173="Sun A",303,IF(Atletas!O173="Wu A",304,IF(Atletas!O173="Wu-Hao A",305,IF(Atletas!O173="Outro Taijiquan A",306,IF(Atletas!O173="Yang B",307,IF(Atletas!O173="Chen B",308,IF(Atletas!O173="Sun B",309,IF(Atletas!O173="Wu B",310,IF(Atletas!O173="Wu-Hao B",311,IF(Atletas!O173="Outro Taijiquan B",312,IF(Atletas!O173="Yang C",313,IF(Atletas!O173="Chen C",314,IF(Atletas!O173="Sun C",315,IF(Atletas!O173="Wu C",316,IF(Atletas!O173="Wu-Hao C",317,IF(Atletas!O173="Outro Taijiquan C",318,IF(Atletas!O173="Yang D",319,IF(Atletas!O173="Chen D",320,IF(Atletas!O173="Sun D",321,IF(Atletas!O173="Wu D",322,IF(Atletas!O173="Wu-Hao D",323,IF(Atletas!O173="Outro Taijiquan D",324,IF(Atletas!O173="Yang E",325,IF(Atletas!O173="Chen E",326,IF(Atletas!O173="Sun E",327,IF(Atletas!O173="Wu E",328,IF(Atletas!O173="Wu-Hao E",329,IF(Atletas!O173="Outro Taijiquan E",330,IF(Atletas!O173="Yang F",331,IF(Atletas!O173="Chen F",332,IF(Atletas!O173="Sun F",333,IF(Atletas!O173="Wu F",334,IF(Atletas!O173="Wu-Hao F",335,IF(Atletas!O173="Outro Taijiquan F",336,"")))))))))))))))))))))))))))))))))))))</f>
        <v/>
      </c>
      <c r="BW182" s="50" t="str">
        <f>IF(Atletas!P173="","",IF(Atletas!X173&lt;&gt;"",10000,0)+IF(Atletas!B173="Feminino",1000,IF(Atletas!B173="Masculino",2000,""))+IF(OR(Atletas!P173="Yang 26 A",Atletas!P173="Yang 40 A"),401,IF(OR(Atletas!P173="Chen 25 A",Atletas!P173="Chen 36 A",Atletas!P173="Chen 56 A"),402,IF(Atletas!P173="Sun 73 A",403,IF(Atletas!P173="Wu 45 A",404,IF(Atletas!P173="Wu-Hao 46 A",405,IF(OR(Atletas!P173="Taijiquan 16 A",Atletas!P173="Taijiquan 24 A",Atletas!P173="Taijiquan 32 A",Atletas!P173="Taijiquan 42 A"),406,IF(OR(Atletas!P173="Yang 26 B",Atletas!P173="Yang 40 B"),407,IF(OR(Atletas!P173="Chen 25 B",Atletas!P173="Chen 36 B",Atletas!P173="Chen 56 B"),408,IF(Atletas!P173="Sun 73 B",409,IF(Atletas!P173="Wu 45 B",410,IF(Atletas!P173="Wu-Hao 46 B",411,IF(OR(Atletas!P173="Taijiquan 16 B",Atletas!P173="Taijiquan 24 B",Atletas!P173="Taijiquan 32 B",Atletas!P173="Taijiquan 42 B"),412,IF(OR(Atletas!P173="Yang 26 C",Atletas!P173="Yang 40 C"),413,IF(OR(Atletas!P173="Chen 25 C",Atletas!P173="Chen 36 C",Atletas!P173="Chen 56 C"),414,IF(Atletas!P173="Sun 73 C",415,IF(Atletas!P173="Wu 45 C",416,IF(Atletas!P173="Wu-Hao 46 C",417,IF(OR(Atletas!P173="Taijiquan 16 C",Atletas!P173="Taijiquan 24 C",Atletas!P173="Taijiquan 32 C",Atletas!P173="Taijiquan 42 C"),418,0)))))))))))))))))))</f>
        <v/>
      </c>
      <c r="BX182" s="50" t="str">
        <f>IF(Atletas!P173="","",IF(Atletas!X173&lt;&gt;"",10000,0)+IF(Atletas!B173="Feminino",1000,IF(Atletas!B173="Masculino",2000,""))+IF(OR(Atletas!P173="Yang 26 D",Atletas!P173="Yang 40 D"),419,IF(OR(Atletas!P173="Chen 25 D",Atletas!P173="Chen 36 D",Atletas!P173="Chen 56 D"),420,IF(Atletas!P173="Sun 73 D",421,IF(Atletas!P173="Wu 45 D",422,IF(Atletas!P173="Wu-Hao 46 D",423,IF(OR(Atletas!P173="Taijiquan 16 D",Atletas!P173="Taijiquan 24 D",Atletas!P173="Taijiquan 32 D",Atletas!P173="Taijiquan 42 D"),424,IF(OR(Atletas!P173="Yang 26 E",Atletas!P173="Yang 40 E"),425,IF(OR(Atletas!P173="Chen 25 E",Atletas!P173="Chen 36 E",Atletas!P173="Chen 56 E"),426,IF(Atletas!P173="Sun 73 E",427,IF(Atletas!P173="Wu 45 E",428,IF(Atletas!P173="Wu-Hao 46 E",429,IF(OR(Atletas!P173="Taijiquan 16 E",Atletas!P173="Taijiquan 24 E",Atletas!P173="Taijiquan 32 E",Atletas!P173="Taijiquan 42 E"),430,IF(OR(Atletas!P173="Yang 26 F",Atletas!P173="Yang 40 F"),431,IF(OR(Atletas!P173="Chen 25 F",Atletas!P173="Chen 36 F",Atletas!P173="Chen 56 F"),432,IF(Atletas!P173="Sun 73 F",433,IF(Atletas!P173="Wu 45 F",434,IF(Atletas!P173="Wu-Hao 46 F",435,IF(OR(Atletas!P173="Taijiquan 16 F",Atletas!P173="Taijiquan 24 F",Atletas!P173="Taijiquan 32 F",Atletas!P173="Taijiquan 42 F"),436,0)))))))))))))))))))</f>
        <v/>
      </c>
      <c r="BY182" s="50" t="str">
        <f>IF(Atletas!Q173="","",IF(Atletas!X173&lt;&gt;"",10000,0)+IF(Atletas!B173="Feminino",1000,IF(Atletas!B173="Masculino",2000,""))+IF(Atletas!Q173="Xingyiquan A",501,IF(Atletas!Q173="Baguazhang A",502,IF(Atletas!Q173="Outro Estilo Interno A",503,IF(Atletas!Q173="Xingyiquan B",504,IF(Atletas!Q173="Baguazhang B",505,IF(Atletas!Q173="Outro Estilo Interno B",506,IF(Atletas!Q173="Xingyiquan C",507,IF(Atletas!Q173="Baguazhang C",508,IF(Atletas!Q173="Outro Estilo Interno C",509,IF(Atletas!Q173="Xingyiquan D",510,IF(Atletas!Q173="Baguazhang D",511,IF(Atletas!Q173="Outro Estilo Interno D",512,IF(Atletas!Q173="Xingyiquan E",513,IF(Atletas!Q173="Baguazhang E",514,IF(Atletas!Q173="Outro Estilo Interno E",515,IF(Atletas!Q173="Xingyiquan F",516,IF(Atletas!Q173="Baguazhang F",517,IF(Atletas!Q173="Outro Estilo Interno F",518, "")))))))))))))))))))</f>
        <v/>
      </c>
      <c r="BZ182" s="50" t="str">
        <f>IF(Atletas!R173="","",IF(Atletas!X173&lt;&gt;"",10000,0)+IF(Atletas!B173="Feminino",1000,IF(Atletas!B173="Masculino",2000,""))+IF(Atletas!R173="Dao A",601,IF(Atletas!R173="Jian A",602,IF(Atletas!R173="Bishou A",603,IF(Atletas!R173="Shanzi A",604,IF(Atletas!R173="Outra Arma Curta A",605,IF(Atletas!R173="Dao B",606,IF(Atletas!R173="Jian B",607,IF(Atletas!R173="Bishou B",608,IF(Atletas!R173="Shanzi B",609,IF(Atletas!R173="Outra Arma Curta B",610,IF(Atletas!R173="Dao C",611,IF(Atletas!R173="Jian C",612,IF(Atletas!R173="Bishou C",613,IF(Atletas!R173="Shanzi C",614,IF(Atletas!R173="Outra Arma Curta C",615,IF(Atletas!R173="Dao D",616,IF(Atletas!R173="Jian D",617,IF(Atletas!R173="Bishou D",618,IF(Atletas!R173="Shanzi D",619,IF(Atletas!R173="Outra Arma Curta D",620,IF(Atletas!R173="Dao E",621,IF(Atletas!R173="Jian E",622,IF(Atletas!R173="Bishou E",623,IF(Atletas!R173="Shanzi E",624,IF(Atletas!R173="Outra Arma Curta E",625,IF(Atletas!R173="Dao F",626,IF(Atletas!R173="Jian F",627,IF(Atletas!R173="Bishou F",628,IF(Atletas!R173="Shanzi F",629,IF(Atletas!R173="Outra Arma Curta F",630, "")))))))))))))))))))))))))))))))</f>
        <v/>
      </c>
      <c r="CA182" s="50" t="str">
        <f>IF(Atletas!S173="","",IF(Atletas!X173&lt;&gt;"",10000,0)+IF(Atletas!B173="Feminino",1000,IF(Atletas!B173="Masculino",2000,""))+IF(Atletas!S173="Gun A",701,IF(Atletas!S173="Qiang A",702,IF(Atletas!S173="Pudao / Guandao A",703,IF(Atletas!S173="Outra Arma Longa A",704,IF(Atletas!S173="Gun B",705,IF(Atletas!S173="Qiang B",706,IF(Atletas!S173="Pudao / Guandao B",707,IF(Atletas!S173="Outra Arma Longa B",708,IF(Atletas!S173="Gun C",709,IF(Atletas!S173="Qiang C",710,IF(Atletas!S173="Pudao / Guandao C",711,IF(Atletas!S173="Outra Arma Longa C",712,IF(Atletas!S173="Gun D",713,IF(Atletas!S173="Qiang D",714,IF(Atletas!S173="Pudao / Guandao D",715,IF(Atletas!S173="Outra Arma Longa D",716,IF(Atletas!S173="Gun E",717,IF(Atletas!S173="Qiang E",718,IF(Atletas!S173="Pudao / Guandao E",719,IF(Atletas!S173="Outra Arma Longa E",720,IF(Atletas!S173="Gun F",721,IF(Atletas!S173="Qiang F",722,IF(Atletas!S173="Pudao / Guandao F",723,IF(Atletas!S173="Outra Arma Longa F",724,"")))))))))))))))))))))))))</f>
        <v/>
      </c>
      <c r="CB182" s="50" t="str">
        <f>IF(Atletas!T173="","",IF(Atletas!X173&lt;&gt;"",10000,0)+IF(Atletas!B173="Feminino",1000,IF(Atletas!B173="Masculino",2000,""))+IF(Atletas!T173="Outra Arma Dupla A",801,IF(Atletas!T173="Arma Maleável A",802,IF(Atletas!T173="Outra Arma Dupla B",803,IF(Atletas!T173="Arma Maleável B",804,IF(Atletas!T173="Outra Arma Dupla C",805,IF(Atletas!T173="Arma Maleável C",806,IF(Atletas!T173="Outra Arma Dupla D",807,IF(Atletas!T173="Arma Maleável D",808,IF(Atletas!T173="Outra Arma Dupla E",809,IF(Atletas!T173="Arma Maleável E",810,IF(Atletas!T173="Outra Arma Dupla F",811,IF(Atletas!T173="Arma Maleável F",812,IF(Atletas!T173="Shuangdao A",813,IF(Atletas!T173="Shuangdao B",814,IF(Atletas!T173="Shuangdao C",815,IF(Atletas!T173="Shuangdao D",816,IF(Atletas!T173="Shuangdao E",817,IF(Atletas!T173="Shuangdao F",818,"")))))))))))))))))))</f>
        <v/>
      </c>
      <c r="CC182" s="50" t="str">
        <f>IF(Atletas!U173="","",IF(Atletas!X173&lt;&gt;"",10000,0)+IF(Atletas!B173="Feminino",1000,IF(Atletas!B173="Masculino",2000,""))+IF(OR(Atletas!U173="Taijijian Yang A",Atletas!U173="Taijijian Yang Standard A"),901,IF(OR(Atletas!U173="Taijijian Chen A", Atletas!U173="Taijijian Chen Standard A"),902,IF(Atletas!U173="Taijijian Sun A",903,IF(Atletas!U173="Taijijian Wu A",904,IF(Atletas!U173="Taijijian Wu-Hao A",905,IF(OR(Atletas!U173="Taijijian 32 A",Atletas!U173="Taijijian 42 A"),906,IF(OR(Atletas!U173="Taijijian Yang B",Atletas!U173="Taijijian Yang Standard B"),907,IF(OR(Atletas!U173="Taijijian Chen B", Atletas!U173="Taijijian Chen Standard B"),908,IF(Atletas!U173="Taijijian Sun B",909,IF(Atletas!U173="Taijijian Wu B",910,IF(Atletas!U173="Taijijian Wu-Hao B",911,IF(OR(Atletas!U173="Taijijian 32 B",Atletas!U173="Taijijian 42 B"),912,IF(OR(Atletas!U173="Taijijian Yang C",Atletas!U173="Taijijian Yang Standard C"),913,IF(OR(Atletas!U173="Taijijian Chen C", Atletas!U173="Taijijian Chen Standard C"),914,IF(Atletas!U173="Taijijian Sun C",915,IF(Atletas!U173="Taijijian Wu C",916,IF(Atletas!U173="Taijijian Wu-Hao C",917,IF(OR(Atletas!U173="Taijijian 32 C",Atletas!U173="Taijijian 42 C"),918,IF(OR(Atletas!U173="Taijijian Yang D",Atletas!U173="Taijijian Yang Standard D"),919,IF(OR(Atletas!U173="Taijijian Chen D", Atletas!U173="Taijijian Chen Standard D"),920,IF(Atletas!U173="Taijijian Sun D",921,IF(Atletas!U173="Taijijian Wu D",922,IF(Atletas!U173="Taijijian Wu-Hao D",923,IF(OR(Atletas!U173="Taijijian 32 D",Atletas!U173="Taijijian 42 D"),924,IF(OR(Atletas!U173="Taijijian Yang E",Atletas!U173="Taijijian Yang Standard E"),925,IF(OR(Atletas!U173="Taijijian Chen E", Atletas!U173="Taijijian Chen Standard E"),926,IF(Atletas!U173="Taijijian Sun E",927,IF(Atletas!U173="Taijijian Wu E",928,IF(Atletas!U173="Taijijian Wu-Hao E",929,IF(OR(Atletas!U173="Taijijian 32 E",Atletas!U173="Taijijian 42 E"),930,IF(OR(Atletas!U173="Taijijian Yang F",Atletas!U173="Taijijian Yang Standard F"),931,IF(OR(Atletas!U173="Taijijian Chen F", Atletas!U173="Taijijian Chen Standard F"),932,IF(Atletas!U173="Taijijian Sun F",933,IF(Atletas!U173="Taijijian Wu F",934,IF(Atletas!U173="Taijijian Wu-Hao F",935,IF(OR(Atletas!U173="Taijijian 32 F",Atletas!U173="Taijijian 42 F"),936,"")))))))))))))))))))))))))))))))))))))</f>
        <v/>
      </c>
      <c r="CD182" s="50" t="str">
        <f>IF(Atletas!V173="","",IF(Atletas!X173&lt;&gt;"",10000,0)+IF(Atletas!B173="Feminino",1000,IF(Atletas!B173="Masculino",2000,""))+IF(Atletas!V173="Taijidao A",937,IF(Atletas!V173="TaijiShanzi A",938,IF(Atletas!V173="Taijiqiang A",939,IF(Atletas!V173="Bagua de Arma A",940,IF(Atletas!V173="Xingyi de Arma A",941,IF(Atletas!V173="Taijidao B",942,IF(Atletas!V173="TaijiShanzi B",943,IF(Atletas!V173="Taijiqiang B",944,IF(Atletas!V173="Bagua de Arma B",945,IF(Atletas!V173="Xingyi de Arma B",946,IF(Atletas!V173="Taijidao C",947,IF(Atletas!V173="TaijiShanzi C",948,IF(Atletas!V173="Taijiqiang C",949,IF(Atletas!V173="Bagua de Arma C",950,IF(Atletas!V173="Xingyi de Arma C",951,IF(Atletas!V173="Taijidao D",952,IF(Atletas!V173="TaijiShanzi D",953,IF(Atletas!V173="Taijiqiang D",954,IF(Atletas!V173="Bagua de Arma D",955,IF(Atletas!V173="Xingyi de Arma D",956,IF(Atletas!V173="Taijidao E",957,IF(Atletas!V173="TaijiShanzi E",958,IF(Atletas!V173="Taijiqiang E",959,IF(Atletas!V173="Bagua de Arma E",960,IF(Atletas!V173="Xingyi de Arma E",961,IF(Atletas!V173="Taijidao F",962,IF(Atletas!V173="TaijiShanzi F",963,IF(Atletas!V173="Taijiqiang F",964,IF(Atletas!V173="Bagua de Arma F",965,IF(Atletas!V173="Xingyi de Arma F",966,"")))))))))))))))))))))))))))))))</f>
        <v/>
      </c>
      <c r="CE182" s="66" t="str">
        <f>IF(CF182&lt;&gt;"","TJQ Padr. Chen B","")</f>
        <v/>
      </c>
      <c r="CF182" s="66" t="str">
        <f>IF(COUNTIF(BR:CD,1408)&gt;0,COUNTIF(BR:CD,1408),"")</f>
        <v/>
      </c>
      <c r="CG182" s="66" t="str">
        <f>IF(CH182&lt;&gt;"","TJQ Padr. Chen B","")</f>
        <v/>
      </c>
      <c r="CH182" s="66" t="str">
        <f>IF(COUNTIF(BR:CD,2408)&gt;0,COUNTIF(BR:CD,2408),"")</f>
        <v/>
      </c>
      <c r="CI182" s="66" t="str">
        <f>IF(CJ182&lt;&gt;"","TJQ Padr. Chen C","")</f>
        <v/>
      </c>
      <c r="CJ182" s="66" t="str">
        <f>IF(COUNTIF(BR:CD,11414)&gt;0,COUNTIF(BR:CD,11414),"")</f>
        <v/>
      </c>
      <c r="CK182" s="66" t="str">
        <f>IF(CL182&lt;&gt;"","TJQ Padr. Chen C","")</f>
        <v/>
      </c>
      <c r="CL182" s="66" t="str">
        <f>IF(COUNTIF(BR:CD,12414)&gt;0,COUNTIF(BR:CD,12414),"")</f>
        <v/>
      </c>
      <c r="CM182" s="50" t="str">
        <f xml:space="preserve"> IF(Atletas!W173="","",IF(Atletas!W173="Duilian de Mãos BC - Equipe 1",1,IF(Atletas!W173="Duilian de Mãos BC - Equipe 2",2,IF(Atletas!W173="Duilian de Armas BC - Equipe 1",3,IF(Atletas!W173="Duilian de Armas BC - Equipe 2",4,IF(Atletas!W173="Duilian de Mãos DE - Equipe 1",5,IF(Atletas!W173="Duilian de Mãos DE - Equipe 2",6,IF(Atletas!W173="Duilian de Armas DE - Equipe 1",7,IF(Atletas!W173="Duilian de Armas DE - Equipe 2",8,IF(Atletas!W173="Duilian de Tuishou - Equipe 1",9,IF(Atletas!W173="Duilian de Tuishou - Equipe 2",10,IF(Atletas!W173="Grupo Externo ABC - Equipe 1",11,IF(Atletas!W173="Grupo Externo ABC - Equipe 2",12,IF(Atletas!W173="Grupo Interno ABC - Equipe 1",13,IF(Atletas!W173="Grupo Interno ABC - Equipe 2",14,IF(Atletas!W173="Grupo Externo DEF - Equipe 1",15,IF(Atletas!W173="Grupo Externo DEF - Equipe 2",16,IF(Atletas!W173="Grupo Interno DEF - Equipe 1",17,IF(Atletas!W173="Grupo Interno DEF - Equipe 2",18,"")))))))))))))))))))</f>
        <v/>
      </c>
    </row>
    <row r="183" spans="2:9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 t="str">
        <f t="array" ref="Z183">IFERROR(INDEX(CE$7:CE$348,SMALL(IF(CE$7:CE$348&lt;&gt;"",ROW(CE$7:CE$348)-ROW(CE$7)+1),ROWS(CE$7:CE182))),"")</f>
        <v/>
      </c>
      <c r="AA183" s="3" t="str">
        <f t="array" ref="AA183">IFERROR(INDEX(CF$7:CF$348,SMALL(IF(CF$7:CF$348&lt;&gt;"",ROW(CF$7:CF$348)-ROW(CF$7)+1),ROWS(CF$7:CF182))),"")</f>
        <v/>
      </c>
      <c r="AB183" s="3" t="str">
        <f t="array" ref="AB183">IFERROR(INDEX(CG$7:CG$348,SMALL(IF(CG$7:CG$348&lt;&gt;"",ROW(CG$7:CG$348)-ROW(CG$7)+1),ROWS(CG$7:CG182))),"")</f>
        <v/>
      </c>
      <c r="AC183" s="3" t="str">
        <f t="array" ref="AC183">IFERROR(INDEX(CH$7:CH$348,SMALL(IF(CH$7:CH$348&lt;&gt;"",ROW(CH$7:CH$348)-ROW(CH$7)+1),ROWS(CH$7:CH182))),"")</f>
        <v/>
      </c>
      <c r="AD183" s="3" t="str">
        <f t="array" ref="AD183">IFERROR(INDEX(CI$7:CI$377,SMALL(IF(CI$7:CI$377&lt;&gt;"",ROW(CI$7:CI$377)-ROW(CI$7)+1),ROWS(CI$7:CI182))),"")</f>
        <v/>
      </c>
      <c r="AE183" s="3" t="str">
        <f t="array" ref="AE183">IFERROR(INDEX(CJ$7:CJ$378,SMALL(IF(CJ$7:CJ$378&lt;&gt;"",ROW(CJ$7:CJ$378)-ROW(CJ$7)+1),ROWS(CJ$7:CJ182))),"")</f>
        <v/>
      </c>
      <c r="AF183" s="3" t="str">
        <f t="array" ref="AF183">IFERROR(INDEX(CK$7:CK$378,SMALL(IF(CK$7:CK$378&lt;&gt;"",ROW(CK$7:CK$378)-ROW(CK$7)+1),ROWS(CK$7:CK182))),"")</f>
        <v/>
      </c>
      <c r="AG183" s="3" t="str">
        <f t="array" ref="AG183">IFERROR(INDEX(CL$7:CL$378,SMALL(IF(CL$7:CL$378&lt;&gt;"",ROW(CL$7:CL$378)-ROW(CL$7)+1),ROWS(CL$7:CL182))),"")</f>
        <v/>
      </c>
      <c r="AH183" s="3"/>
      <c r="AI183" s="3"/>
      <c r="AJ183" s="3"/>
      <c r="AK183" s="3"/>
      <c r="AL183" s="3"/>
      <c r="AM183" s="3"/>
      <c r="AN183" s="52" t="str">
        <f>IF(Atletas!D174="","",IF(Atletas!B174="Feminino",100,IF(Atletas!B174="Masculino",200,""))+(IF(Atletas!D174="Kids 30kg",1,IF(Atletas!D174="Kids 32kg",2, IF(Atletas!D174="Kids 34kg",3,IF(Atletas!D174="Kids 36kg",4,IF(Atletas!D174="Kids 39kg",5,IF(Atletas!D174="Kids 42kg",6,IF(Atletas!D174="Kids 45kg",7, IF(Atletas!D174="Infantil 39kg",8,IF(Atletas!D174="Infantil 42kg",9,IF(Atletas!D174="Infantil 45kg",10,IF(Atletas!D174="Infantil 48kg",11,IF(Atletas!D174="Infantil 52kg",12,IF(Atletas!D174="Infantil 56kg",13,IF(Atletas!D174="Infantil 60kg",14,IF(Atletas!D174="Juvenil 48kg",15,IF(Atletas!D174="Juvenil 52kg",16,IF(Atletas!D174="Juvenil 56kg",17,IF(Atletas!D174="Juvenil 60kg",18,IF(Atletas!D174="Juvenil 65kg",19,IF(Atletas!D174="Juvenil 70kg",20,IF(Atletas!D174="Juvenil 75kg",21,IF(Atletas!D174="Juvenil 80kg",22, IF(Atletas!D174="Juvenil 85kg",23,IF(Atletas!D174="Adulto 48kg",24,IF(Atletas!D174="Adulto 52kg",25,IF(Atletas!D174="Adulto 56kg",26,IF(Atletas!D174="Adulto 60kg",27,IF(Atletas!D174="Adulto 65kg",28,IF(Atletas!D174="Adulto 70kg",29,IF(Atletas!D174="Adulto 75kg",30,IF(Atletas!D174="Adulto 80kg",31,IF(Atletas!D174="Adulto 85kg",32,IF(Atletas!D174="Adulto 90kg",33,IF(Atletas!D174="Adulto 100kg",34, IF(Atletas!D174="Adulto +100kg",35,"")))))))))))))))))))))))))))))))))))))</f>
        <v/>
      </c>
      <c r="AS183" s="6" t="str">
        <f>IF(Atletas!E174="","",IF(Atletas!B174="Feminino",100,IF(Atletas!B174="Masculino",200,""))+(IF(Atletas!E174="Juvenil 44kg",1,IF(Atletas!E174="Juvenil 48kg",2,IF(Atletas!E174="Juvenil 52kg",3,IF(Atletas!E174="Juvenil 56kg",4,IF(Atletas!E174="Juvenil 60kg",5,IF(Atletas!E174="Juvenil 65kg",6,IF(Atletas!E174="Juvenil 70kg",7,IF(Atletas!E174="Juvenil 75kg",8,IF(Atletas!E174="Juvenil 82kg",9,IF(Atletas!E174="Juvenil 90kg",10,IF(Atletas!E174="Juvenil 100kg",11,IF(Atletas!E174="Adulto 48kg",12,IF(Atletas!E174="Adulto 52kg",13,IF(Atletas!E174="Adulto 56kg",14,IF(Atletas!E174="Adulto 60kg",15,IF(Atletas!E174="Adulto 65kg",16,IF(Atletas!E174="Adulto 70kg",17,IF(Atletas!E174="Adulto 75kg",18,IF(Atletas!E174="Adulto 82kg",19,IF(Atletas!E174="Adulto 90kg",20,IF(Atletas!E174="Adulto 100kg",21,IF(Atletas!E174="Adulto +100kg",22,""))))))))))))))))))))))))</f>
        <v/>
      </c>
      <c r="AX183" s="6" t="str">
        <f>IF(Atletas!F174="","",IF(Atletas!B174="Feminino",100,IF(Atletas!B174="Masculino",200,""))+(IF(Atletas!F174="Adulto 48kg",1,IF(Atletas!F174="Adulto 56kg",2,IF(Atletas!F174="Adulto 65kg",3,IF(Atletas!F174="Adulto 75kg",4,IF(Atletas!F174="Adulto +75kg",5,IF(Atletas!F174="Adulto 52kg",6,IF(Atletas!F174="Adulto 60kg",7,IF(Atletas!F174="Adulto 70kg",8,IF(Atletas!F174="Adulto 80kg",9,IF(Atletas!F174="Adulto 90kg",10,IF(Atletas!F174="Adulto +90kg",11,"")))))))))))))</f>
        <v/>
      </c>
      <c r="BC183" s="6" t="str">
        <f>IF(Atletas!G174="","",IF(Atletas!B174="Feminino",10,IF(Atletas!B174="Masculino",20,""))+(IF(Atletas!G174="Baduanjin A",1,IF(Atletas!G174="Baduanjin B",2))))</f>
        <v/>
      </c>
      <c r="BF183" s="52" t="str">
        <f>IF(Atletas!H174="","",IF(Atletas!B174="Feminino",100,IF(Atletas!B174="Masculino",200,""))+(IF(Atletas!H174="Changquan Mirim",1,IF(Atletas!H174="Nanquan Mirim",2,IF(Atletas!H174="Taijiquan Mirim",3,IF(Atletas!H174="Changquan Grupo C",4,IF(Atletas!H174="Nanquan Grupo C",5,IF(Atletas!H174="Taijiquan Grupo C",6,IF(Atletas!H174="Changquan Grupo B",7,IF(Atletas!H174="Nanquan Grupo B",8,IF(Atletas!H174="Taijiquan Grupo B",9,IF(Atletas!H174="Changquan Grupo A",10,IF(Atletas!H174="Nanquan Grupo A",11,IF(Atletas!H174="Taijiquan Grupo A",12,IF(Atletas!H174="Changquan Opcional",13,IF(Atletas!H174="Nanquan Opcional",14,IF(Atletas!H174="Taijiquan Opcional",15,IF(Atletas!H174="Changquan Adulto",16,IF(Atletas!H174="Nanquan Adulto",17,IF(Atletas!H174="Taijiquan Adulto",18,""))))))))))))))))))))</f>
        <v/>
      </c>
      <c r="BG183" s="52" t="str">
        <f>IF(Atletas!I174="","",IF(Atletas!B174="Feminino",100,IF(Atletas!B174="Masculino",200,""))+(IF(Atletas!I174="Daoshu Mirim",19,IF(Atletas!I174="Jianshu Mirim",20,IF(Atletas!I174="Nandao Mirim",21,IF(Atletas!I174="Taijijian Mirim",22,IF(Atletas!I174="Daoshu Grupo C",23,IF(Atletas!I174="Jianshu Grupo C",24,IF(Atletas!I174="Nandao Grupo C",25,IF(Atletas!I174="Taijijian Grupo C",26,IF(Atletas!I174="Daoshu Grupo B",27,IF(Atletas!I174="Jianshu Grupo B",28,IF(Atletas!I174="Nandao Grupo B",29,IF(Atletas!I174="Taijijian Grupo B",30,IF(Atletas!I174="Daoshu Grupo A",31,IF(Atletas!I174="Jianshu Grupo A",32,IF(Atletas!I174="Nandao Grupo A",33,IF(Atletas!I174="Taijijian Grupo A",34,IF(Atletas!I174="Daoshu Opcional",35,IF(Atletas!I174="Jianshu Opcional",36,IF(Atletas!I174="Nandao Opcional",37,IF(Atletas!I174="Taijijian Opcional",38,IF(Atletas!I174="Daoshu Adulto",39,IF(Atletas!I174="Jianshu Adulto",40,IF(Atletas!I174="Nandao Adulto",41,IF(Atletas!I174="Taijijian Adulto",42,""))))))))))))))))))))))))))</f>
        <v/>
      </c>
      <c r="BH183" s="52" t="str">
        <f>IF(Atletas!J174="","",IF(Atletas!B174="Feminino",100,IF(Atletas!B174="Masculino",200,""))+(IF(Atletas!J174="Gunshu Mirim",43,IF(Atletas!J174="Qiangshu Mirim",44,IF(Atletas!J174="Nangun Mirim",45,IF(Atletas!J174="Gunshu Grupo C",46,IF(Atletas!J174="Qiangshu Grupo C",47,IF(Atletas!J174="Nangun Grupo C",48,IF(Atletas!J174="Gunshu Grupo B",49,IF(Atletas!J174="Qiangshu Grupo B",50,IF(Atletas!J174="Nangun Grupo B",51,IF(Atletas!J174="Gunshu Grupo A",52,IF(Atletas!J174="Qiangshu Grupo A",53,IF(Atletas!J174="Nangun Grupo A",54,IF(Atletas!J174="Gunshu Opcional",55,IF(Atletas!J174="Qiangshu Opcional",56,IF(Atletas!J174="Nangun Opcional",57,IF(Atletas!J174="Gunshu Adulto",58,IF(Atletas!J174="Qiangshu Adulto",59,IF(Atletas!J174="Nangun Adulto",60,IF(Atletas!J174="Taijishan Grupo B",61,IF(Atletas!J174="Taijishan Grupo A",62,""))))))))))))))))))))))</f>
        <v/>
      </c>
      <c r="BM183" s="50" t="str">
        <f>IF(Atletas!K174="","",IF(Atletas!B174="Feminino",100,IF(Atletas!B174="Masculino",200,""))+(IF(Atletas!K174="Equipe 1 Grupo B",1,IF(Atletas!K174="Equipe 2 Grupo B",2,IF(Atletas!K174="Equipe 1 Grupo A",3,IF(Atletas!K174="Equipe 2 Grupo A",4,IF(Atletas!K174="Equipe 1 Adulto",5,IF(Atletas!K174="Equipe 2 Adulto",6,""))))))))</f>
        <v/>
      </c>
      <c r="BR183" s="50" t="str">
        <f>IF(Atletas!L174="","",IF(Atletas!X174&lt;&gt;"",10000,0)+(IF(Atletas!B174="Feminino",1000,IF(Atletas!B174="Masculino",2000,""))+IF(Atletas!L174="Choylayfut A",1,IF(Atletas!L174="Hunggar A",2,IF(Atletas!L174="Wuzuquan A",3,IF(Atletas!L174="Wingchun A",4,IF(Atletas!L174="Outra Mão de Sul A",5,IF(Atletas!L174="Choylayfut B",6,IF(Atletas!L174="Hunggar B",7,IF(Atletas!L174="Wuzuquan B",8,IF(Atletas!L174="Wingchun B",9,IF(Atletas!L174="Outra Mão de Sul B",10,IF(Atletas!L174="Choylayfut C",11,IF(Atletas!L174="Hunggar C",12,IF(Atletas!L174="Wuzuquan C",13,IF(Atletas!L174="Wingchun C",14,IF(Atletas!L174="Outra Mão de Sul C",15,IF(Atletas!L174="Choylayfut D",16,IF(Atletas!L174="Hunggar D",17,IF(Atletas!L174="Wuzuquan D",18,IF(Atletas!L174="Wingchun D",19,IF(Atletas!L174="Outra Mão de Sul D",20,IF(Atletas!L174="Choylayfut E",21,IF(Atletas!L174="Hunggar E",22,IF(Atletas!L174="Wuzuquan E",23,IF(Atletas!L174="Wingchun E",24,IF(Atletas!L174="Outra Mão de Sul E",25,IF(Atletas!L174="Choylayfut F",26,IF(Atletas!L174="Hunggar F",27,IF(Atletas!L174="Wuzuquan F",28,IF(Atletas!L174="Wingchun F",29,IF(Atletas!L174="Outra Mão de Sul F",30,IF(Atletas!L174="Dishuquan A",31,IF(Atletas!L174="Dishuquan B",32,IF(Atletas!L174="Dishuquan C",33,IF(Atletas!L174="Dishuquan D",34,IF(Atletas!L174="Dishuquan E",35,IF(Atletas!L174="Dishuquan F",36,""))))))))))))))))))))))))))))))))))))))</f>
        <v/>
      </c>
      <c r="BS183" s="50" t="str">
        <f>IF(Atletas!M174="","",IF(Atletas!X174&lt;&gt;"",10000,0)+(IF(Atletas!B174="Feminino",1000,IF(Atletas!B174="Masculino",2000,""))+(IF(Atletas!M174="Chaquan A",101,IF(Atletas!M174="Emeiquan A",102,IF(Atletas!M174="Fanziquan A",103,IF(Atletas!M174="Huaquan A",104,IF(Atletas!M174="Hongquan A",105,IF(Atletas!M174="Paoquan A",106,IF(Atletas!M174="Piguaquan A",107,IF(Atletas!M174="Shaolinquan A",108,IF(Atletas!M174="Tanglangquan A",109,IF(Atletas!M174="Yingzhaoquan A",110,IF(Atletas!M174="Tongbeiquan A",111,IF(Atletas!M174="Wudangquan A",112,IF(Atletas!M174="Outros Estilos A",113,IF(Atletas!M174="Chaquan B",114,IF(Atletas!M174="Emeiquan B",115,IF(Atletas!M174="Fanziquan B",116,IF(Atletas!M174="Huaquan B",117,IF(Atletas!M174="Hongquan B",118,IF(Atletas!M174="Paoquan B",119,IF(Atletas!M174="Piguaquan B",120,IF(Atletas!M174="Shaolinquan B",121,IF(Atletas!M174="Tanglangquan B",122,IF(Atletas!M174="Yingzhaoquan B",123,IF(Atletas!M174="Tongbeiquan B",124,IF(Atletas!M174="Wudangquan B",125,IF(Atletas!M174="Outros Estilos B",126,IF(Atletas!M174="Chaquan C",127,IF(Atletas!M174="Emeiquan C",128,IF(Atletas!M174="Fanziquan C",129,IF(Atletas!M174="Huaquan C",130,IF(Atletas!M174="Hongquan C",131,IF(Atletas!M174="Paoquan C",132,IF(Atletas!M174="Piguaquan C",133,IF(Atletas!M174="Shaolinquan C",134,IF(Atletas!M174="Tanglangquan C",135,IF(Atletas!M174="Yingzhaoquan C",136,IF(Atletas!M174="Tongbeiquan C",137,IF(Atletas!M174="Wudangquan C",138,IF(Atletas!M174="Outros Estilos C",139,0))))))))))))))))))))))))))))))))))))))))))</f>
        <v/>
      </c>
      <c r="BT183" s="50" t="str">
        <f>IF(Atletas!M174="","",IF(Atletas!X174&lt;&gt;"",10000,0)+(IF(Atletas!B174="Feminino",1000,IF(Atletas!B174="Masculino",2000,""))+(IF(Atletas!M174="Chaquan D",140,IF(Atletas!M174="Emeiquan D",141,IF(Atletas!M174="Fanziquan D",142,IF(Atletas!M174="Huaquan D",143,IF(Atletas!M174="Hongquan D",144,IF(Atletas!M174="Paoquan D",145,IF(Atletas!M174="Piguaquan D",146,IF(Atletas!M174="Shaolinquan D",147,IF(Atletas!M174="Tanglangquan D",148,IF(Atletas!M174="Yingzhaoquan D",149,IF(Atletas!M174="Tongbeiquan D",150,IF(Atletas!M174="Wudangquan D",151,IF(Atletas!M174="Outros Estilos D",152,IF(Atletas!M174="Chaquan E",153,IF(Atletas!M174="Emeiquan E",154,IF(Atletas!M174="Fanziquan E",155,IF(Atletas!M174="Huaquan E",156,IF(Atletas!M174="Hongquan E",157,IF(Atletas!M174="Paoquan E",158,IF(Atletas!M174="Piguaquan E",159,IF(Atletas!M174="Shaolinquan E",160,IF(Atletas!M174="Tanglangquan E",161,IF(Atletas!M174="Yingzhaoquan E",162,IF(Atletas!M174="Tongbeiquan E",163,IF(Atletas!M174="Wudangquan E",164,IF(Atletas!M174="Outros Estilos E",165,IF(Atletas!M174="Chaquan F",166,IF(Atletas!M174="Emeiquan F",167,IF(Atletas!M174="Fanziquan F",168,IF(Atletas!M174="Huaquan F",169,IF(Atletas!M174="Hongquan F",170,IF(Atletas!M174="Paoquan F",171,IF(Atletas!M174="Piguaquan F",172,IF(Atletas!M174="Shaolinquan F",173,IF(Atletas!M174="Tanglangquan F",174,IF(Atletas!M174="Yingzhaoquan F",175,IF(Atletas!M174="Tongbeiquan F",176,IF(Atletas!M174="Wudangquan F",177,IF(Atletas!M174="Outros Estilos F",178,0))))))))))))))))))))))))))))))))))))))))))</f>
        <v/>
      </c>
      <c r="BU183" s="50" t="str">
        <f>IF(Atletas!N174="","",IF(Atletas!X174&lt;&gt;"",10000,0)+(IF(Atletas!B174="Feminino",1000,IF(Atletas!B174="Masculino",2000,""))+(IF(Atletas!N174="Ditangquan A",201,IF(Atletas!N174="Houquan A",202,IF(Atletas!N174="Zuiquan A",203,IF(Atletas!N174="Ditangquan B",204,IF(Atletas!N174="Houquan B",205,IF(Atletas!N174="Zuiquan B",206,IF(Atletas!N174="Ditangquan C",207,IF(Atletas!N174="Houquan C",208,IF(Atletas!N174="Zuiquan C",209,IF(Atletas!N174="Ditangquan D",210,IF(Atletas!N174="Houquan D",211,IF(Atletas!N174="Zuiquan D",212,IF(Atletas!N174="Ditangquan E",213,IF(Atletas!N174="Houquan E",214,IF(Atletas!N174="Zuiquan E",215,IF(Atletas!N174="Ditangquan F",216,IF(Atletas!N174="Houquan F",217,IF(Atletas!N174="Zuiquan F",218,"")))))))))))))))))))))</f>
        <v/>
      </c>
      <c r="BV183" s="50" t="str">
        <f>IF(Atletas!O174="","",IF(Atletas!X174&lt;&gt;"",10000,0)+IF(Atletas!B174="Feminino",1000,IF(Atletas!B174="Masculino",2000,""))+IF(Atletas!O174="Yang A",301,IF(Atletas!O174="Chen A",302,IF(Atletas!O174="Sun A",303,IF(Atletas!O174="Wu A",304,IF(Atletas!O174="Wu-Hao A",305,IF(Atletas!O174="Outro Taijiquan A",306,IF(Atletas!O174="Yang B",307,IF(Atletas!O174="Chen B",308,IF(Atletas!O174="Sun B",309,IF(Atletas!O174="Wu B",310,IF(Atletas!O174="Wu-Hao B",311,IF(Atletas!O174="Outro Taijiquan B",312,IF(Atletas!O174="Yang C",313,IF(Atletas!O174="Chen C",314,IF(Atletas!O174="Sun C",315,IF(Atletas!O174="Wu C",316,IF(Atletas!O174="Wu-Hao C",317,IF(Atletas!O174="Outro Taijiquan C",318,IF(Atletas!O174="Yang D",319,IF(Atletas!O174="Chen D",320,IF(Atletas!O174="Sun D",321,IF(Atletas!O174="Wu D",322,IF(Atletas!O174="Wu-Hao D",323,IF(Atletas!O174="Outro Taijiquan D",324,IF(Atletas!O174="Yang E",325,IF(Atletas!O174="Chen E",326,IF(Atletas!O174="Sun E",327,IF(Atletas!O174="Wu E",328,IF(Atletas!O174="Wu-Hao E",329,IF(Atletas!O174="Outro Taijiquan E",330,IF(Atletas!O174="Yang F",331,IF(Atletas!O174="Chen F",332,IF(Atletas!O174="Sun F",333,IF(Atletas!O174="Wu F",334,IF(Atletas!O174="Wu-Hao F",335,IF(Atletas!O174="Outro Taijiquan F",336,"")))))))))))))))))))))))))))))))))))))</f>
        <v/>
      </c>
      <c r="BW183" s="50" t="str">
        <f>IF(Atletas!P174="","",IF(Atletas!X174&lt;&gt;"",10000,0)+IF(Atletas!B174="Feminino",1000,IF(Atletas!B174="Masculino",2000,""))+IF(OR(Atletas!P174="Yang 26 A",Atletas!P174="Yang 40 A"),401,IF(OR(Atletas!P174="Chen 25 A",Atletas!P174="Chen 36 A",Atletas!P174="Chen 56 A"),402,IF(Atletas!P174="Sun 73 A",403,IF(Atletas!P174="Wu 45 A",404,IF(Atletas!P174="Wu-Hao 46 A",405,IF(OR(Atletas!P174="Taijiquan 16 A",Atletas!P174="Taijiquan 24 A",Atletas!P174="Taijiquan 32 A",Atletas!P174="Taijiquan 42 A"),406,IF(OR(Atletas!P174="Yang 26 B",Atletas!P174="Yang 40 B"),407,IF(OR(Atletas!P174="Chen 25 B",Atletas!P174="Chen 36 B",Atletas!P174="Chen 56 B"),408,IF(Atletas!P174="Sun 73 B",409,IF(Atletas!P174="Wu 45 B",410,IF(Atletas!P174="Wu-Hao 46 B",411,IF(OR(Atletas!P174="Taijiquan 16 B",Atletas!P174="Taijiquan 24 B",Atletas!P174="Taijiquan 32 B",Atletas!P174="Taijiquan 42 B"),412,IF(OR(Atletas!P174="Yang 26 C",Atletas!P174="Yang 40 C"),413,IF(OR(Atletas!P174="Chen 25 C",Atletas!P174="Chen 36 C",Atletas!P174="Chen 56 C"),414,IF(Atletas!P174="Sun 73 C",415,IF(Atletas!P174="Wu 45 C",416,IF(Atletas!P174="Wu-Hao 46 C",417,IF(OR(Atletas!P174="Taijiquan 16 C",Atletas!P174="Taijiquan 24 C",Atletas!P174="Taijiquan 32 C",Atletas!P174="Taijiquan 42 C"),418,0)))))))))))))))))))</f>
        <v/>
      </c>
      <c r="BX183" s="50" t="str">
        <f>IF(Atletas!P174="","",IF(Atletas!X174&lt;&gt;"",10000,0)+IF(Atletas!B174="Feminino",1000,IF(Atletas!B174="Masculino",2000,""))+IF(OR(Atletas!P174="Yang 26 D",Atletas!P174="Yang 40 D"),419,IF(OR(Atletas!P174="Chen 25 D",Atletas!P174="Chen 36 D",Atletas!P174="Chen 56 D"),420,IF(Atletas!P174="Sun 73 D",421,IF(Atletas!P174="Wu 45 D",422,IF(Atletas!P174="Wu-Hao 46 D",423,IF(OR(Atletas!P174="Taijiquan 16 D",Atletas!P174="Taijiquan 24 D",Atletas!P174="Taijiquan 32 D",Atletas!P174="Taijiquan 42 D"),424,IF(OR(Atletas!P174="Yang 26 E",Atletas!P174="Yang 40 E"),425,IF(OR(Atletas!P174="Chen 25 E",Atletas!P174="Chen 36 E",Atletas!P174="Chen 56 E"),426,IF(Atletas!P174="Sun 73 E",427,IF(Atletas!P174="Wu 45 E",428,IF(Atletas!P174="Wu-Hao 46 E",429,IF(OR(Atletas!P174="Taijiquan 16 E",Atletas!P174="Taijiquan 24 E",Atletas!P174="Taijiquan 32 E",Atletas!P174="Taijiquan 42 E"),430,IF(OR(Atletas!P174="Yang 26 F",Atletas!P174="Yang 40 F"),431,IF(OR(Atletas!P174="Chen 25 F",Atletas!P174="Chen 36 F",Atletas!P174="Chen 56 F"),432,IF(Atletas!P174="Sun 73 F",433,IF(Atletas!P174="Wu 45 F",434,IF(Atletas!P174="Wu-Hao 46 F",435,IF(OR(Atletas!P174="Taijiquan 16 F",Atletas!P174="Taijiquan 24 F",Atletas!P174="Taijiquan 32 F",Atletas!P174="Taijiquan 42 F"),436,0)))))))))))))))))))</f>
        <v/>
      </c>
      <c r="BY183" s="50" t="str">
        <f>IF(Atletas!Q174="","",IF(Atletas!X174&lt;&gt;"",10000,0)+IF(Atletas!B174="Feminino",1000,IF(Atletas!B174="Masculino",2000,""))+IF(Atletas!Q174="Xingyiquan A",501,IF(Atletas!Q174="Baguazhang A",502,IF(Atletas!Q174="Outro Estilo Interno A",503,IF(Atletas!Q174="Xingyiquan B",504,IF(Atletas!Q174="Baguazhang B",505,IF(Atletas!Q174="Outro Estilo Interno B",506,IF(Atletas!Q174="Xingyiquan C",507,IF(Atletas!Q174="Baguazhang C",508,IF(Atletas!Q174="Outro Estilo Interno C",509,IF(Atletas!Q174="Xingyiquan D",510,IF(Atletas!Q174="Baguazhang D",511,IF(Atletas!Q174="Outro Estilo Interno D",512,IF(Atletas!Q174="Xingyiquan E",513,IF(Atletas!Q174="Baguazhang E",514,IF(Atletas!Q174="Outro Estilo Interno E",515,IF(Atletas!Q174="Xingyiquan F",516,IF(Atletas!Q174="Baguazhang F",517,IF(Atletas!Q174="Outro Estilo Interno F",518, "")))))))))))))))))))</f>
        <v/>
      </c>
      <c r="BZ183" s="50" t="str">
        <f>IF(Atletas!R174="","",IF(Atletas!X174&lt;&gt;"",10000,0)+IF(Atletas!B174="Feminino",1000,IF(Atletas!B174="Masculino",2000,""))+IF(Atletas!R174="Dao A",601,IF(Atletas!R174="Jian A",602,IF(Atletas!R174="Bishou A",603,IF(Atletas!R174="Shanzi A",604,IF(Atletas!R174="Outra Arma Curta A",605,IF(Atletas!R174="Dao B",606,IF(Atletas!R174="Jian B",607,IF(Atletas!R174="Bishou B",608,IF(Atletas!R174="Shanzi B",609,IF(Atletas!R174="Outra Arma Curta B",610,IF(Atletas!R174="Dao C",611,IF(Atletas!R174="Jian C",612,IF(Atletas!R174="Bishou C",613,IF(Atletas!R174="Shanzi C",614,IF(Atletas!R174="Outra Arma Curta C",615,IF(Atletas!R174="Dao D",616,IF(Atletas!R174="Jian D",617,IF(Atletas!R174="Bishou D",618,IF(Atletas!R174="Shanzi D",619,IF(Atletas!R174="Outra Arma Curta D",620,IF(Atletas!R174="Dao E",621,IF(Atletas!R174="Jian E",622,IF(Atletas!R174="Bishou E",623,IF(Atletas!R174="Shanzi E",624,IF(Atletas!R174="Outra Arma Curta E",625,IF(Atletas!R174="Dao F",626,IF(Atletas!R174="Jian F",627,IF(Atletas!R174="Bishou F",628,IF(Atletas!R174="Shanzi F",629,IF(Atletas!R174="Outra Arma Curta F",630, "")))))))))))))))))))))))))))))))</f>
        <v/>
      </c>
      <c r="CA183" s="50" t="str">
        <f>IF(Atletas!S174="","",IF(Atletas!X174&lt;&gt;"",10000,0)+IF(Atletas!B174="Feminino",1000,IF(Atletas!B174="Masculino",2000,""))+IF(Atletas!S174="Gun A",701,IF(Atletas!S174="Qiang A",702,IF(Atletas!S174="Pudao / Guandao A",703,IF(Atletas!S174="Outra Arma Longa A",704,IF(Atletas!S174="Gun B",705,IF(Atletas!S174="Qiang B",706,IF(Atletas!S174="Pudao / Guandao B",707,IF(Atletas!S174="Outra Arma Longa B",708,IF(Atletas!S174="Gun C",709,IF(Atletas!S174="Qiang C",710,IF(Atletas!S174="Pudao / Guandao C",711,IF(Atletas!S174="Outra Arma Longa C",712,IF(Atletas!S174="Gun D",713,IF(Atletas!S174="Qiang D",714,IF(Atletas!S174="Pudao / Guandao D",715,IF(Atletas!S174="Outra Arma Longa D",716,IF(Atletas!S174="Gun E",717,IF(Atletas!S174="Qiang E",718,IF(Atletas!S174="Pudao / Guandao E",719,IF(Atletas!S174="Outra Arma Longa E",720,IF(Atletas!S174="Gun F",721,IF(Atletas!S174="Qiang F",722,IF(Atletas!S174="Pudao / Guandao F",723,IF(Atletas!S174="Outra Arma Longa F",724,"")))))))))))))))))))))))))</f>
        <v/>
      </c>
      <c r="CB183" s="50" t="str">
        <f>IF(Atletas!T174="","",IF(Atletas!X174&lt;&gt;"",10000,0)+IF(Atletas!B174="Feminino",1000,IF(Atletas!B174="Masculino",2000,""))+IF(Atletas!T174="Outra Arma Dupla A",801,IF(Atletas!T174="Arma Maleável A",802,IF(Atletas!T174="Outra Arma Dupla B",803,IF(Atletas!T174="Arma Maleável B",804,IF(Atletas!T174="Outra Arma Dupla C",805,IF(Atletas!T174="Arma Maleável C",806,IF(Atletas!T174="Outra Arma Dupla D",807,IF(Atletas!T174="Arma Maleável D",808,IF(Atletas!T174="Outra Arma Dupla E",809,IF(Atletas!T174="Arma Maleável E",810,IF(Atletas!T174="Outra Arma Dupla F",811,IF(Atletas!T174="Arma Maleável F",812,IF(Atletas!T174="Shuangdao A",813,IF(Atletas!T174="Shuangdao B",814,IF(Atletas!T174="Shuangdao C",815,IF(Atletas!T174="Shuangdao D",816,IF(Atletas!T174="Shuangdao E",817,IF(Atletas!T174="Shuangdao F",818,"")))))))))))))))))))</f>
        <v/>
      </c>
      <c r="CC183" s="50" t="str">
        <f>IF(Atletas!U174="","",IF(Atletas!X174&lt;&gt;"",10000,0)+IF(Atletas!B174="Feminino",1000,IF(Atletas!B174="Masculino",2000,""))+IF(OR(Atletas!U174="Taijijian Yang A",Atletas!U174="Taijijian Yang Standard A"),901,IF(OR(Atletas!U174="Taijijian Chen A", Atletas!U174="Taijijian Chen Standard A"),902,IF(Atletas!U174="Taijijian Sun A",903,IF(Atletas!U174="Taijijian Wu A",904,IF(Atletas!U174="Taijijian Wu-Hao A",905,IF(OR(Atletas!U174="Taijijian 32 A",Atletas!U174="Taijijian 42 A"),906,IF(OR(Atletas!U174="Taijijian Yang B",Atletas!U174="Taijijian Yang Standard B"),907,IF(OR(Atletas!U174="Taijijian Chen B", Atletas!U174="Taijijian Chen Standard B"),908,IF(Atletas!U174="Taijijian Sun B",909,IF(Atletas!U174="Taijijian Wu B",910,IF(Atletas!U174="Taijijian Wu-Hao B",911,IF(OR(Atletas!U174="Taijijian 32 B",Atletas!U174="Taijijian 42 B"),912,IF(OR(Atletas!U174="Taijijian Yang C",Atletas!U174="Taijijian Yang Standard C"),913,IF(OR(Atletas!U174="Taijijian Chen C", Atletas!U174="Taijijian Chen Standard C"),914,IF(Atletas!U174="Taijijian Sun C",915,IF(Atletas!U174="Taijijian Wu C",916,IF(Atletas!U174="Taijijian Wu-Hao C",917,IF(OR(Atletas!U174="Taijijian 32 C",Atletas!U174="Taijijian 42 C"),918,IF(OR(Atletas!U174="Taijijian Yang D",Atletas!U174="Taijijian Yang Standard D"),919,IF(OR(Atletas!U174="Taijijian Chen D", Atletas!U174="Taijijian Chen Standard D"),920,IF(Atletas!U174="Taijijian Sun D",921,IF(Atletas!U174="Taijijian Wu D",922,IF(Atletas!U174="Taijijian Wu-Hao D",923,IF(OR(Atletas!U174="Taijijian 32 D",Atletas!U174="Taijijian 42 D"),924,IF(OR(Atletas!U174="Taijijian Yang E",Atletas!U174="Taijijian Yang Standard E"),925,IF(OR(Atletas!U174="Taijijian Chen E", Atletas!U174="Taijijian Chen Standard E"),926,IF(Atletas!U174="Taijijian Sun E",927,IF(Atletas!U174="Taijijian Wu E",928,IF(Atletas!U174="Taijijian Wu-Hao E",929,IF(OR(Atletas!U174="Taijijian 32 E",Atletas!U174="Taijijian 42 E"),930,IF(OR(Atletas!U174="Taijijian Yang F",Atletas!U174="Taijijian Yang Standard F"),931,IF(OR(Atletas!U174="Taijijian Chen F", Atletas!U174="Taijijian Chen Standard F"),932,IF(Atletas!U174="Taijijian Sun F",933,IF(Atletas!U174="Taijijian Wu F",934,IF(Atletas!U174="Taijijian Wu-Hao F",935,IF(OR(Atletas!U174="Taijijian 32 F",Atletas!U174="Taijijian 42 F"),936,"")))))))))))))))))))))))))))))))))))))</f>
        <v/>
      </c>
      <c r="CD183" s="50" t="str">
        <f>IF(Atletas!V174="","",IF(Atletas!X174&lt;&gt;"",10000,0)+IF(Atletas!B174="Feminino",1000,IF(Atletas!B174="Masculino",2000,""))+IF(Atletas!V174="Taijidao A",937,IF(Atletas!V174="TaijiShanzi A",938,IF(Atletas!V174="Taijiqiang A",939,IF(Atletas!V174="Bagua de Arma A",940,IF(Atletas!V174="Xingyi de Arma A",941,IF(Atletas!V174="Taijidao B",942,IF(Atletas!V174="TaijiShanzi B",943,IF(Atletas!V174="Taijiqiang B",944,IF(Atletas!V174="Bagua de Arma B",945,IF(Atletas!V174="Xingyi de Arma B",946,IF(Atletas!V174="Taijidao C",947,IF(Atletas!V174="TaijiShanzi C",948,IF(Atletas!V174="Taijiqiang C",949,IF(Atletas!V174="Bagua de Arma C",950,IF(Atletas!V174="Xingyi de Arma C",951,IF(Atletas!V174="Taijidao D",952,IF(Atletas!V174="TaijiShanzi D",953,IF(Atletas!V174="Taijiqiang D",954,IF(Atletas!V174="Bagua de Arma D",955,IF(Atletas!V174="Xingyi de Arma D",956,IF(Atletas!V174="Taijidao E",957,IF(Atletas!V174="TaijiShanzi E",958,IF(Atletas!V174="Taijiqiang E",959,IF(Atletas!V174="Bagua de Arma E",960,IF(Atletas!V174="Xingyi de Arma E",961,IF(Atletas!V174="Taijidao F",962,IF(Atletas!V174="TaijiShanzi F",963,IF(Atletas!V174="Taijiqiang F",964,IF(Atletas!V174="Bagua de Arma F",965,IF(Atletas!V174="Xingyi de Arma F",966,"")))))))))))))))))))))))))))))))</f>
        <v/>
      </c>
      <c r="CE183" s="66" t="str">
        <f>IF(CF183&lt;&gt;"","TJQ Padr. Sun B","")</f>
        <v/>
      </c>
      <c r="CF183" s="66" t="str">
        <f>IF(COUNTIF(BR:CD,1409)&gt;0,COUNTIF(BR:CD,1409),"")</f>
        <v/>
      </c>
      <c r="CG183" s="66" t="str">
        <f>IF(CH183&lt;&gt;"","TJQ Padr. Sun B","")</f>
        <v/>
      </c>
      <c r="CH183" s="66" t="str">
        <f>IF(COUNTIF(BR:CD,2409)&gt;0,COUNTIF(BR:CD,2409),"")</f>
        <v/>
      </c>
      <c r="CI183" s="66" t="str">
        <f>IF(CJ183&lt;&gt;"","TJQ Padr. Sun C","")</f>
        <v/>
      </c>
      <c r="CJ183" s="66" t="str">
        <f>IF(COUNTIF(BR:CD,11415)&gt;0,COUNTIF(BR:CD,11415),"")</f>
        <v/>
      </c>
      <c r="CK183" s="66" t="str">
        <f>IF(CL183&lt;&gt;"","TJQ Padr. Sun C","")</f>
        <v/>
      </c>
      <c r="CL183" s="66" t="str">
        <f>IF(COUNTIF(BR:CD,12415)&gt;0,COUNTIF(BR:CD,12415),"")</f>
        <v/>
      </c>
      <c r="CM183" s="50" t="str">
        <f xml:space="preserve"> IF(Atletas!W174="","",IF(Atletas!W174="Duilian de Mãos BC - Equipe 1",1,IF(Atletas!W174="Duilian de Mãos BC - Equipe 2",2,IF(Atletas!W174="Duilian de Armas BC - Equipe 1",3,IF(Atletas!W174="Duilian de Armas BC - Equipe 2",4,IF(Atletas!W174="Duilian de Mãos DE - Equipe 1",5,IF(Atletas!W174="Duilian de Mãos DE - Equipe 2",6,IF(Atletas!W174="Duilian de Armas DE - Equipe 1",7,IF(Atletas!W174="Duilian de Armas DE - Equipe 2",8,IF(Atletas!W174="Duilian de Tuishou - Equipe 1",9,IF(Atletas!W174="Duilian de Tuishou - Equipe 2",10,IF(Atletas!W174="Grupo Externo ABC - Equipe 1",11,IF(Atletas!W174="Grupo Externo ABC - Equipe 2",12,IF(Atletas!W174="Grupo Interno ABC - Equipe 1",13,IF(Atletas!W174="Grupo Interno ABC - Equipe 2",14,IF(Atletas!W174="Grupo Externo DEF - Equipe 1",15,IF(Atletas!W174="Grupo Externo DEF - Equipe 2",16,IF(Atletas!W174="Grupo Interno DEF - Equipe 1",17,IF(Atletas!W174="Grupo Interno DEF - Equipe 2",18,"")))))))))))))))))))</f>
        <v/>
      </c>
    </row>
    <row r="184" spans="2:91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 t="str">
        <f t="array" ref="Z184">IFERROR(INDEX(CE$7:CE$348,SMALL(IF(CE$7:CE$348&lt;&gt;"",ROW(CE$7:CE$348)-ROW(CE$7)+1),ROWS(CE$7:CE183))),"")</f>
        <v/>
      </c>
      <c r="AA184" s="3" t="str">
        <f t="array" ref="AA184">IFERROR(INDEX(CF$7:CF$348,SMALL(IF(CF$7:CF$348&lt;&gt;"",ROW(CF$7:CF$348)-ROW(CF$7)+1),ROWS(CF$7:CF183))),"")</f>
        <v/>
      </c>
      <c r="AB184" s="3" t="str">
        <f t="array" ref="AB184">IFERROR(INDEX(CG$7:CG$348,SMALL(IF(CG$7:CG$348&lt;&gt;"",ROW(CG$7:CG$348)-ROW(CG$7)+1),ROWS(CG$7:CG183))),"")</f>
        <v/>
      </c>
      <c r="AC184" s="3" t="str">
        <f t="array" ref="AC184">IFERROR(INDEX(CH$7:CH$348,SMALL(IF(CH$7:CH$348&lt;&gt;"",ROW(CH$7:CH$348)-ROW(CH$7)+1),ROWS(CH$7:CH183))),"")</f>
        <v/>
      </c>
      <c r="AD184" s="3" t="str">
        <f t="array" ref="AD184">IFERROR(INDEX(CI$7:CI$377,SMALL(IF(CI$7:CI$377&lt;&gt;"",ROW(CI$7:CI$377)-ROW(CI$7)+1),ROWS(CI$7:CI183))),"")</f>
        <v/>
      </c>
      <c r="AE184" s="3" t="str">
        <f t="array" ref="AE184">IFERROR(INDEX(CJ$7:CJ$378,SMALL(IF(CJ$7:CJ$378&lt;&gt;"",ROW(CJ$7:CJ$378)-ROW(CJ$7)+1),ROWS(CJ$7:CJ183))),"")</f>
        <v/>
      </c>
      <c r="AF184" s="3" t="str">
        <f t="array" ref="AF184">IFERROR(INDEX(CK$7:CK$378,SMALL(IF(CK$7:CK$378&lt;&gt;"",ROW(CK$7:CK$378)-ROW(CK$7)+1),ROWS(CK$7:CK183))),"")</f>
        <v/>
      </c>
      <c r="AG184" s="3" t="str">
        <f t="array" ref="AG184">IFERROR(INDEX(CL$7:CL$378,SMALL(IF(CL$7:CL$378&lt;&gt;"",ROW(CL$7:CL$378)-ROW(CL$7)+1),ROWS(CL$7:CL183))),"")</f>
        <v/>
      </c>
      <c r="AH184" s="3"/>
      <c r="AI184" s="3"/>
      <c r="AJ184" s="3"/>
      <c r="AK184" s="3"/>
      <c r="AL184" s="3"/>
      <c r="AM184" s="3"/>
      <c r="AN184" s="52" t="str">
        <f>IF(Atletas!D175="","",IF(Atletas!B175="Feminino",100,IF(Atletas!B175="Masculino",200,""))+(IF(Atletas!D175="Kids 30kg",1,IF(Atletas!D175="Kids 32kg",2, IF(Atletas!D175="Kids 34kg",3,IF(Atletas!D175="Kids 36kg",4,IF(Atletas!D175="Kids 39kg",5,IF(Atletas!D175="Kids 42kg",6,IF(Atletas!D175="Kids 45kg",7, IF(Atletas!D175="Infantil 39kg",8,IF(Atletas!D175="Infantil 42kg",9,IF(Atletas!D175="Infantil 45kg",10,IF(Atletas!D175="Infantil 48kg",11,IF(Atletas!D175="Infantil 52kg",12,IF(Atletas!D175="Infantil 56kg",13,IF(Atletas!D175="Infantil 60kg",14,IF(Atletas!D175="Juvenil 48kg",15,IF(Atletas!D175="Juvenil 52kg",16,IF(Atletas!D175="Juvenil 56kg",17,IF(Atletas!D175="Juvenil 60kg",18,IF(Atletas!D175="Juvenil 65kg",19,IF(Atletas!D175="Juvenil 70kg",20,IF(Atletas!D175="Juvenil 75kg",21,IF(Atletas!D175="Juvenil 80kg",22, IF(Atletas!D175="Juvenil 85kg",23,IF(Atletas!D175="Adulto 48kg",24,IF(Atletas!D175="Adulto 52kg",25,IF(Atletas!D175="Adulto 56kg",26,IF(Atletas!D175="Adulto 60kg",27,IF(Atletas!D175="Adulto 65kg",28,IF(Atletas!D175="Adulto 70kg",29,IF(Atletas!D175="Adulto 75kg",30,IF(Atletas!D175="Adulto 80kg",31,IF(Atletas!D175="Adulto 85kg",32,IF(Atletas!D175="Adulto 90kg",33,IF(Atletas!D175="Adulto 100kg",34, IF(Atletas!D175="Adulto +100kg",35,"")))))))))))))))))))))))))))))))))))))</f>
        <v/>
      </c>
      <c r="AS184" s="6" t="str">
        <f>IF(Atletas!E175="","",IF(Atletas!B175="Feminino",100,IF(Atletas!B175="Masculino",200,""))+(IF(Atletas!E175="Juvenil 44kg",1,IF(Atletas!E175="Juvenil 48kg",2,IF(Atletas!E175="Juvenil 52kg",3,IF(Atletas!E175="Juvenil 56kg",4,IF(Atletas!E175="Juvenil 60kg",5,IF(Atletas!E175="Juvenil 65kg",6,IF(Atletas!E175="Juvenil 70kg",7,IF(Atletas!E175="Juvenil 75kg",8,IF(Atletas!E175="Juvenil 82kg",9,IF(Atletas!E175="Juvenil 90kg",10,IF(Atletas!E175="Juvenil 100kg",11,IF(Atletas!E175="Adulto 48kg",12,IF(Atletas!E175="Adulto 52kg",13,IF(Atletas!E175="Adulto 56kg",14,IF(Atletas!E175="Adulto 60kg",15,IF(Atletas!E175="Adulto 65kg",16,IF(Atletas!E175="Adulto 70kg",17,IF(Atletas!E175="Adulto 75kg",18,IF(Atletas!E175="Adulto 82kg",19,IF(Atletas!E175="Adulto 90kg",20,IF(Atletas!E175="Adulto 100kg",21,IF(Atletas!E175="Adulto +100kg",22,""))))))))))))))))))))))))</f>
        <v/>
      </c>
      <c r="AX184" s="6" t="str">
        <f>IF(Atletas!F175="","",IF(Atletas!B175="Feminino",100,IF(Atletas!B175="Masculino",200,""))+(IF(Atletas!F175="Adulto 48kg",1,IF(Atletas!F175="Adulto 56kg",2,IF(Atletas!F175="Adulto 65kg",3,IF(Atletas!F175="Adulto 75kg",4,IF(Atletas!F175="Adulto +75kg",5,IF(Atletas!F175="Adulto 52kg",6,IF(Atletas!F175="Adulto 60kg",7,IF(Atletas!F175="Adulto 70kg",8,IF(Atletas!F175="Adulto 80kg",9,IF(Atletas!F175="Adulto 90kg",10,IF(Atletas!F175="Adulto +90kg",11,"")))))))))))))</f>
        <v/>
      </c>
      <c r="BC184" s="6" t="str">
        <f>IF(Atletas!G175="","",IF(Atletas!B175="Feminino",10,IF(Atletas!B175="Masculino",20,""))+(IF(Atletas!G175="Baduanjin A",1,IF(Atletas!G175="Baduanjin B",2))))</f>
        <v/>
      </c>
      <c r="BF184" s="52" t="str">
        <f>IF(Atletas!H175="","",IF(Atletas!B175="Feminino",100,IF(Atletas!B175="Masculino",200,""))+(IF(Atletas!H175="Changquan Mirim",1,IF(Atletas!H175="Nanquan Mirim",2,IF(Atletas!H175="Taijiquan Mirim",3,IF(Atletas!H175="Changquan Grupo C",4,IF(Atletas!H175="Nanquan Grupo C",5,IF(Atletas!H175="Taijiquan Grupo C",6,IF(Atletas!H175="Changquan Grupo B",7,IF(Atletas!H175="Nanquan Grupo B",8,IF(Atletas!H175="Taijiquan Grupo B",9,IF(Atletas!H175="Changquan Grupo A",10,IF(Atletas!H175="Nanquan Grupo A",11,IF(Atletas!H175="Taijiquan Grupo A",12,IF(Atletas!H175="Changquan Opcional",13,IF(Atletas!H175="Nanquan Opcional",14,IF(Atletas!H175="Taijiquan Opcional",15,IF(Atletas!H175="Changquan Adulto",16,IF(Atletas!H175="Nanquan Adulto",17,IF(Atletas!H175="Taijiquan Adulto",18,""))))))))))))))))))))</f>
        <v/>
      </c>
      <c r="BG184" s="52" t="str">
        <f>IF(Atletas!I175="","",IF(Atletas!B175="Feminino",100,IF(Atletas!B175="Masculino",200,""))+(IF(Atletas!I175="Daoshu Mirim",19,IF(Atletas!I175="Jianshu Mirim",20,IF(Atletas!I175="Nandao Mirim",21,IF(Atletas!I175="Taijijian Mirim",22,IF(Atletas!I175="Daoshu Grupo C",23,IF(Atletas!I175="Jianshu Grupo C",24,IF(Atletas!I175="Nandao Grupo C",25,IF(Atletas!I175="Taijijian Grupo C",26,IF(Atletas!I175="Daoshu Grupo B",27,IF(Atletas!I175="Jianshu Grupo B",28,IF(Atletas!I175="Nandao Grupo B",29,IF(Atletas!I175="Taijijian Grupo B",30,IF(Atletas!I175="Daoshu Grupo A",31,IF(Atletas!I175="Jianshu Grupo A",32,IF(Atletas!I175="Nandao Grupo A",33,IF(Atletas!I175="Taijijian Grupo A",34,IF(Atletas!I175="Daoshu Opcional",35,IF(Atletas!I175="Jianshu Opcional",36,IF(Atletas!I175="Nandao Opcional",37,IF(Atletas!I175="Taijijian Opcional",38,IF(Atletas!I175="Daoshu Adulto",39,IF(Atletas!I175="Jianshu Adulto",40,IF(Atletas!I175="Nandao Adulto",41,IF(Atletas!I175="Taijijian Adulto",42,""))))))))))))))))))))))))))</f>
        <v/>
      </c>
      <c r="BH184" s="52" t="str">
        <f>IF(Atletas!J175="","",IF(Atletas!B175="Feminino",100,IF(Atletas!B175="Masculino",200,""))+(IF(Atletas!J175="Gunshu Mirim",43,IF(Atletas!J175="Qiangshu Mirim",44,IF(Atletas!J175="Nangun Mirim",45,IF(Atletas!J175="Gunshu Grupo C",46,IF(Atletas!J175="Qiangshu Grupo C",47,IF(Atletas!J175="Nangun Grupo C",48,IF(Atletas!J175="Gunshu Grupo B",49,IF(Atletas!J175="Qiangshu Grupo B",50,IF(Atletas!J175="Nangun Grupo B",51,IF(Atletas!J175="Gunshu Grupo A",52,IF(Atletas!J175="Qiangshu Grupo A",53,IF(Atletas!J175="Nangun Grupo A",54,IF(Atletas!J175="Gunshu Opcional",55,IF(Atletas!J175="Qiangshu Opcional",56,IF(Atletas!J175="Nangun Opcional",57,IF(Atletas!J175="Gunshu Adulto",58,IF(Atletas!J175="Qiangshu Adulto",59,IF(Atletas!J175="Nangun Adulto",60,IF(Atletas!J175="Taijishan Grupo B",61,IF(Atletas!J175="Taijishan Grupo A",62,""))))))))))))))))))))))</f>
        <v/>
      </c>
      <c r="BM184" s="50" t="str">
        <f>IF(Atletas!K175="","",IF(Atletas!B175="Feminino",100,IF(Atletas!B175="Masculino",200,""))+(IF(Atletas!K175="Equipe 1 Grupo B",1,IF(Atletas!K175="Equipe 2 Grupo B",2,IF(Atletas!K175="Equipe 1 Grupo A",3,IF(Atletas!K175="Equipe 2 Grupo A",4,IF(Atletas!K175="Equipe 1 Adulto",5,IF(Atletas!K175="Equipe 2 Adulto",6,""))))))))</f>
        <v/>
      </c>
      <c r="BR184" s="50" t="str">
        <f>IF(Atletas!L175="","",IF(Atletas!X175&lt;&gt;"",10000,0)+(IF(Atletas!B175="Feminino",1000,IF(Atletas!B175="Masculino",2000,""))+IF(Atletas!L175="Choylayfut A",1,IF(Atletas!L175="Hunggar A",2,IF(Atletas!L175="Wuzuquan A",3,IF(Atletas!L175="Wingchun A",4,IF(Atletas!L175="Outra Mão de Sul A",5,IF(Atletas!L175="Choylayfut B",6,IF(Atletas!L175="Hunggar B",7,IF(Atletas!L175="Wuzuquan B",8,IF(Atletas!L175="Wingchun B",9,IF(Atletas!L175="Outra Mão de Sul B",10,IF(Atletas!L175="Choylayfut C",11,IF(Atletas!L175="Hunggar C",12,IF(Atletas!L175="Wuzuquan C",13,IF(Atletas!L175="Wingchun C",14,IF(Atletas!L175="Outra Mão de Sul C",15,IF(Atletas!L175="Choylayfut D",16,IF(Atletas!L175="Hunggar D",17,IF(Atletas!L175="Wuzuquan D",18,IF(Atletas!L175="Wingchun D",19,IF(Atletas!L175="Outra Mão de Sul D",20,IF(Atletas!L175="Choylayfut E",21,IF(Atletas!L175="Hunggar E",22,IF(Atletas!L175="Wuzuquan E",23,IF(Atletas!L175="Wingchun E",24,IF(Atletas!L175="Outra Mão de Sul E",25,IF(Atletas!L175="Choylayfut F",26,IF(Atletas!L175="Hunggar F",27,IF(Atletas!L175="Wuzuquan F",28,IF(Atletas!L175="Wingchun F",29,IF(Atletas!L175="Outra Mão de Sul F",30,IF(Atletas!L175="Dishuquan A",31,IF(Atletas!L175="Dishuquan B",32,IF(Atletas!L175="Dishuquan C",33,IF(Atletas!L175="Dishuquan D",34,IF(Atletas!L175="Dishuquan E",35,IF(Atletas!L175="Dishuquan F",36,""))))))))))))))))))))))))))))))))))))))</f>
        <v/>
      </c>
      <c r="BS184" s="50" t="str">
        <f>IF(Atletas!M175="","",IF(Atletas!X175&lt;&gt;"",10000,0)+(IF(Atletas!B175="Feminino",1000,IF(Atletas!B175="Masculino",2000,""))+(IF(Atletas!M175="Chaquan A",101,IF(Atletas!M175="Emeiquan A",102,IF(Atletas!M175="Fanziquan A",103,IF(Atletas!M175="Huaquan A",104,IF(Atletas!M175="Hongquan A",105,IF(Atletas!M175="Paoquan A",106,IF(Atletas!M175="Piguaquan A",107,IF(Atletas!M175="Shaolinquan A",108,IF(Atletas!M175="Tanglangquan A",109,IF(Atletas!M175="Yingzhaoquan A",110,IF(Atletas!M175="Tongbeiquan A",111,IF(Atletas!M175="Wudangquan A",112,IF(Atletas!M175="Outros Estilos A",113,IF(Atletas!M175="Chaquan B",114,IF(Atletas!M175="Emeiquan B",115,IF(Atletas!M175="Fanziquan B",116,IF(Atletas!M175="Huaquan B",117,IF(Atletas!M175="Hongquan B",118,IF(Atletas!M175="Paoquan B",119,IF(Atletas!M175="Piguaquan B",120,IF(Atletas!M175="Shaolinquan B",121,IF(Atletas!M175="Tanglangquan B",122,IF(Atletas!M175="Yingzhaoquan B",123,IF(Atletas!M175="Tongbeiquan B",124,IF(Atletas!M175="Wudangquan B",125,IF(Atletas!M175="Outros Estilos B",126,IF(Atletas!M175="Chaquan C",127,IF(Atletas!M175="Emeiquan C",128,IF(Atletas!M175="Fanziquan C",129,IF(Atletas!M175="Huaquan C",130,IF(Atletas!M175="Hongquan C",131,IF(Atletas!M175="Paoquan C",132,IF(Atletas!M175="Piguaquan C",133,IF(Atletas!M175="Shaolinquan C",134,IF(Atletas!M175="Tanglangquan C",135,IF(Atletas!M175="Yingzhaoquan C",136,IF(Atletas!M175="Tongbeiquan C",137,IF(Atletas!M175="Wudangquan C",138,IF(Atletas!M175="Outros Estilos C",139,0))))))))))))))))))))))))))))))))))))))))))</f>
        <v/>
      </c>
      <c r="BT184" s="50" t="str">
        <f>IF(Atletas!M175="","",IF(Atletas!X175&lt;&gt;"",10000,0)+(IF(Atletas!B175="Feminino",1000,IF(Atletas!B175="Masculino",2000,""))+(IF(Atletas!M175="Chaquan D",140,IF(Atletas!M175="Emeiquan D",141,IF(Atletas!M175="Fanziquan D",142,IF(Atletas!M175="Huaquan D",143,IF(Atletas!M175="Hongquan D",144,IF(Atletas!M175="Paoquan D",145,IF(Atletas!M175="Piguaquan D",146,IF(Atletas!M175="Shaolinquan D",147,IF(Atletas!M175="Tanglangquan D",148,IF(Atletas!M175="Yingzhaoquan D",149,IF(Atletas!M175="Tongbeiquan D",150,IF(Atletas!M175="Wudangquan D",151,IF(Atletas!M175="Outros Estilos D",152,IF(Atletas!M175="Chaquan E",153,IF(Atletas!M175="Emeiquan E",154,IF(Atletas!M175="Fanziquan E",155,IF(Atletas!M175="Huaquan E",156,IF(Atletas!M175="Hongquan E",157,IF(Atletas!M175="Paoquan E",158,IF(Atletas!M175="Piguaquan E",159,IF(Atletas!M175="Shaolinquan E",160,IF(Atletas!M175="Tanglangquan E",161,IF(Atletas!M175="Yingzhaoquan E",162,IF(Atletas!M175="Tongbeiquan E",163,IF(Atletas!M175="Wudangquan E",164,IF(Atletas!M175="Outros Estilos E",165,IF(Atletas!M175="Chaquan F",166,IF(Atletas!M175="Emeiquan F",167,IF(Atletas!M175="Fanziquan F",168,IF(Atletas!M175="Huaquan F",169,IF(Atletas!M175="Hongquan F",170,IF(Atletas!M175="Paoquan F",171,IF(Atletas!M175="Piguaquan F",172,IF(Atletas!M175="Shaolinquan F",173,IF(Atletas!M175="Tanglangquan F",174,IF(Atletas!M175="Yingzhaoquan F",175,IF(Atletas!M175="Tongbeiquan F",176,IF(Atletas!M175="Wudangquan F",177,IF(Atletas!M175="Outros Estilos F",178,0))))))))))))))))))))))))))))))))))))))))))</f>
        <v/>
      </c>
      <c r="BU184" s="50" t="str">
        <f>IF(Atletas!N175="","",IF(Atletas!X175&lt;&gt;"",10000,0)+(IF(Atletas!B175="Feminino",1000,IF(Atletas!B175="Masculino",2000,""))+(IF(Atletas!N175="Ditangquan A",201,IF(Atletas!N175="Houquan A",202,IF(Atletas!N175="Zuiquan A",203,IF(Atletas!N175="Ditangquan B",204,IF(Atletas!N175="Houquan B",205,IF(Atletas!N175="Zuiquan B",206,IF(Atletas!N175="Ditangquan C",207,IF(Atletas!N175="Houquan C",208,IF(Atletas!N175="Zuiquan C",209,IF(Atletas!N175="Ditangquan D",210,IF(Atletas!N175="Houquan D",211,IF(Atletas!N175="Zuiquan D",212,IF(Atletas!N175="Ditangquan E",213,IF(Atletas!N175="Houquan E",214,IF(Atletas!N175="Zuiquan E",215,IF(Atletas!N175="Ditangquan F",216,IF(Atletas!N175="Houquan F",217,IF(Atletas!N175="Zuiquan F",218,"")))))))))))))))))))))</f>
        <v/>
      </c>
      <c r="BV184" s="50" t="str">
        <f>IF(Atletas!O175="","",IF(Atletas!X175&lt;&gt;"",10000,0)+IF(Atletas!B175="Feminino",1000,IF(Atletas!B175="Masculino",2000,""))+IF(Atletas!O175="Yang A",301,IF(Atletas!O175="Chen A",302,IF(Atletas!O175="Sun A",303,IF(Atletas!O175="Wu A",304,IF(Atletas!O175="Wu-Hao A",305,IF(Atletas!O175="Outro Taijiquan A",306,IF(Atletas!O175="Yang B",307,IF(Atletas!O175="Chen B",308,IF(Atletas!O175="Sun B",309,IF(Atletas!O175="Wu B",310,IF(Atletas!O175="Wu-Hao B",311,IF(Atletas!O175="Outro Taijiquan B",312,IF(Atletas!O175="Yang C",313,IF(Atletas!O175="Chen C",314,IF(Atletas!O175="Sun C",315,IF(Atletas!O175="Wu C",316,IF(Atletas!O175="Wu-Hao C",317,IF(Atletas!O175="Outro Taijiquan C",318,IF(Atletas!O175="Yang D",319,IF(Atletas!O175="Chen D",320,IF(Atletas!O175="Sun D",321,IF(Atletas!O175="Wu D",322,IF(Atletas!O175="Wu-Hao D",323,IF(Atletas!O175="Outro Taijiquan D",324,IF(Atletas!O175="Yang E",325,IF(Atletas!O175="Chen E",326,IF(Atletas!O175="Sun E",327,IF(Atletas!O175="Wu E",328,IF(Atletas!O175="Wu-Hao E",329,IF(Atletas!O175="Outro Taijiquan E",330,IF(Atletas!O175="Yang F",331,IF(Atletas!O175="Chen F",332,IF(Atletas!O175="Sun F",333,IF(Atletas!O175="Wu F",334,IF(Atletas!O175="Wu-Hao F",335,IF(Atletas!O175="Outro Taijiquan F",336,"")))))))))))))))))))))))))))))))))))))</f>
        <v/>
      </c>
      <c r="BW184" s="50" t="str">
        <f>IF(Atletas!P175="","",IF(Atletas!X175&lt;&gt;"",10000,0)+IF(Atletas!B175="Feminino",1000,IF(Atletas!B175="Masculino",2000,""))+IF(OR(Atletas!P175="Yang 26 A",Atletas!P175="Yang 40 A"),401,IF(OR(Atletas!P175="Chen 25 A",Atletas!P175="Chen 36 A",Atletas!P175="Chen 56 A"),402,IF(Atletas!P175="Sun 73 A",403,IF(Atletas!P175="Wu 45 A",404,IF(Atletas!P175="Wu-Hao 46 A",405,IF(OR(Atletas!P175="Taijiquan 16 A",Atletas!P175="Taijiquan 24 A",Atletas!P175="Taijiquan 32 A",Atletas!P175="Taijiquan 42 A"),406,IF(OR(Atletas!P175="Yang 26 B",Atletas!P175="Yang 40 B"),407,IF(OR(Atletas!P175="Chen 25 B",Atletas!P175="Chen 36 B",Atletas!P175="Chen 56 B"),408,IF(Atletas!P175="Sun 73 B",409,IF(Atletas!P175="Wu 45 B",410,IF(Atletas!P175="Wu-Hao 46 B",411,IF(OR(Atletas!P175="Taijiquan 16 B",Atletas!P175="Taijiquan 24 B",Atletas!P175="Taijiquan 32 B",Atletas!P175="Taijiquan 42 B"),412,IF(OR(Atletas!P175="Yang 26 C",Atletas!P175="Yang 40 C"),413,IF(OR(Atletas!P175="Chen 25 C",Atletas!P175="Chen 36 C",Atletas!P175="Chen 56 C"),414,IF(Atletas!P175="Sun 73 C",415,IF(Atletas!P175="Wu 45 C",416,IF(Atletas!P175="Wu-Hao 46 C",417,IF(OR(Atletas!P175="Taijiquan 16 C",Atletas!P175="Taijiquan 24 C",Atletas!P175="Taijiquan 32 C",Atletas!P175="Taijiquan 42 C"),418,0)))))))))))))))))))</f>
        <v/>
      </c>
      <c r="BX184" s="50" t="str">
        <f>IF(Atletas!P175="","",IF(Atletas!X175&lt;&gt;"",10000,0)+IF(Atletas!B175="Feminino",1000,IF(Atletas!B175="Masculino",2000,""))+IF(OR(Atletas!P175="Yang 26 D",Atletas!P175="Yang 40 D"),419,IF(OR(Atletas!P175="Chen 25 D",Atletas!P175="Chen 36 D",Atletas!P175="Chen 56 D"),420,IF(Atletas!P175="Sun 73 D",421,IF(Atletas!P175="Wu 45 D",422,IF(Atletas!P175="Wu-Hao 46 D",423,IF(OR(Atletas!P175="Taijiquan 16 D",Atletas!P175="Taijiquan 24 D",Atletas!P175="Taijiquan 32 D",Atletas!P175="Taijiquan 42 D"),424,IF(OR(Atletas!P175="Yang 26 E",Atletas!P175="Yang 40 E"),425,IF(OR(Atletas!P175="Chen 25 E",Atletas!P175="Chen 36 E",Atletas!P175="Chen 56 E"),426,IF(Atletas!P175="Sun 73 E",427,IF(Atletas!P175="Wu 45 E",428,IF(Atletas!P175="Wu-Hao 46 E",429,IF(OR(Atletas!P175="Taijiquan 16 E",Atletas!P175="Taijiquan 24 E",Atletas!P175="Taijiquan 32 E",Atletas!P175="Taijiquan 42 E"),430,IF(OR(Atletas!P175="Yang 26 F",Atletas!P175="Yang 40 F"),431,IF(OR(Atletas!P175="Chen 25 F",Atletas!P175="Chen 36 F",Atletas!P175="Chen 56 F"),432,IF(Atletas!P175="Sun 73 F",433,IF(Atletas!P175="Wu 45 F",434,IF(Atletas!P175="Wu-Hao 46 F",435,IF(OR(Atletas!P175="Taijiquan 16 F",Atletas!P175="Taijiquan 24 F",Atletas!P175="Taijiquan 32 F",Atletas!P175="Taijiquan 42 F"),436,0)))))))))))))))))))</f>
        <v/>
      </c>
      <c r="BY184" s="50" t="str">
        <f>IF(Atletas!Q175="","",IF(Atletas!X175&lt;&gt;"",10000,0)+IF(Atletas!B175="Feminino",1000,IF(Atletas!B175="Masculino",2000,""))+IF(Atletas!Q175="Xingyiquan A",501,IF(Atletas!Q175="Baguazhang A",502,IF(Atletas!Q175="Outro Estilo Interno A",503,IF(Atletas!Q175="Xingyiquan B",504,IF(Atletas!Q175="Baguazhang B",505,IF(Atletas!Q175="Outro Estilo Interno B",506,IF(Atletas!Q175="Xingyiquan C",507,IF(Atletas!Q175="Baguazhang C",508,IF(Atletas!Q175="Outro Estilo Interno C",509,IF(Atletas!Q175="Xingyiquan D",510,IF(Atletas!Q175="Baguazhang D",511,IF(Atletas!Q175="Outro Estilo Interno D",512,IF(Atletas!Q175="Xingyiquan E",513,IF(Atletas!Q175="Baguazhang E",514,IF(Atletas!Q175="Outro Estilo Interno E",515,IF(Atletas!Q175="Xingyiquan F",516,IF(Atletas!Q175="Baguazhang F",517,IF(Atletas!Q175="Outro Estilo Interno F",518, "")))))))))))))))))))</f>
        <v/>
      </c>
      <c r="BZ184" s="50" t="str">
        <f>IF(Atletas!R175="","",IF(Atletas!X175&lt;&gt;"",10000,0)+IF(Atletas!B175="Feminino",1000,IF(Atletas!B175="Masculino",2000,""))+IF(Atletas!R175="Dao A",601,IF(Atletas!R175="Jian A",602,IF(Atletas!R175="Bishou A",603,IF(Atletas!R175="Shanzi A",604,IF(Atletas!R175="Outra Arma Curta A",605,IF(Atletas!R175="Dao B",606,IF(Atletas!R175="Jian B",607,IF(Atletas!R175="Bishou B",608,IF(Atletas!R175="Shanzi B",609,IF(Atletas!R175="Outra Arma Curta B",610,IF(Atletas!R175="Dao C",611,IF(Atletas!R175="Jian C",612,IF(Atletas!R175="Bishou C",613,IF(Atletas!R175="Shanzi C",614,IF(Atletas!R175="Outra Arma Curta C",615,IF(Atletas!R175="Dao D",616,IF(Atletas!R175="Jian D",617,IF(Atletas!R175="Bishou D",618,IF(Atletas!R175="Shanzi D",619,IF(Atletas!R175="Outra Arma Curta D",620,IF(Atletas!R175="Dao E",621,IF(Atletas!R175="Jian E",622,IF(Atletas!R175="Bishou E",623,IF(Atletas!R175="Shanzi E",624,IF(Atletas!R175="Outra Arma Curta E",625,IF(Atletas!R175="Dao F",626,IF(Atletas!R175="Jian F",627,IF(Atletas!R175="Bishou F",628,IF(Atletas!R175="Shanzi F",629,IF(Atletas!R175="Outra Arma Curta F",630, "")))))))))))))))))))))))))))))))</f>
        <v/>
      </c>
      <c r="CA184" s="50" t="str">
        <f>IF(Atletas!S175="","",IF(Atletas!X175&lt;&gt;"",10000,0)+IF(Atletas!B175="Feminino",1000,IF(Atletas!B175="Masculino",2000,""))+IF(Atletas!S175="Gun A",701,IF(Atletas!S175="Qiang A",702,IF(Atletas!S175="Pudao / Guandao A",703,IF(Atletas!S175="Outra Arma Longa A",704,IF(Atletas!S175="Gun B",705,IF(Atletas!S175="Qiang B",706,IF(Atletas!S175="Pudao / Guandao B",707,IF(Atletas!S175="Outra Arma Longa B",708,IF(Atletas!S175="Gun C",709,IF(Atletas!S175="Qiang C",710,IF(Atletas!S175="Pudao / Guandao C",711,IF(Atletas!S175="Outra Arma Longa C",712,IF(Atletas!S175="Gun D",713,IF(Atletas!S175="Qiang D",714,IF(Atletas!S175="Pudao / Guandao D",715,IF(Atletas!S175="Outra Arma Longa D",716,IF(Atletas!S175="Gun E",717,IF(Atletas!S175="Qiang E",718,IF(Atletas!S175="Pudao / Guandao E",719,IF(Atletas!S175="Outra Arma Longa E",720,IF(Atletas!S175="Gun F",721,IF(Atletas!S175="Qiang F",722,IF(Atletas!S175="Pudao / Guandao F",723,IF(Atletas!S175="Outra Arma Longa F",724,"")))))))))))))))))))))))))</f>
        <v/>
      </c>
      <c r="CB184" s="50" t="str">
        <f>IF(Atletas!T175="","",IF(Atletas!X175&lt;&gt;"",10000,0)+IF(Atletas!B175="Feminino",1000,IF(Atletas!B175="Masculino",2000,""))+IF(Atletas!T175="Outra Arma Dupla A",801,IF(Atletas!T175="Arma Maleável A",802,IF(Atletas!T175="Outra Arma Dupla B",803,IF(Atletas!T175="Arma Maleável B",804,IF(Atletas!T175="Outra Arma Dupla C",805,IF(Atletas!T175="Arma Maleável C",806,IF(Atletas!T175="Outra Arma Dupla D",807,IF(Atletas!T175="Arma Maleável D",808,IF(Atletas!T175="Outra Arma Dupla E",809,IF(Atletas!T175="Arma Maleável E",810,IF(Atletas!T175="Outra Arma Dupla F",811,IF(Atletas!T175="Arma Maleável F",812,IF(Atletas!T175="Shuangdao A",813,IF(Atletas!T175="Shuangdao B",814,IF(Atletas!T175="Shuangdao C",815,IF(Atletas!T175="Shuangdao D",816,IF(Atletas!T175="Shuangdao E",817,IF(Atletas!T175="Shuangdao F",818,"")))))))))))))))))))</f>
        <v/>
      </c>
      <c r="CC184" s="50" t="str">
        <f>IF(Atletas!U175="","",IF(Atletas!X175&lt;&gt;"",10000,0)+IF(Atletas!B175="Feminino",1000,IF(Atletas!B175="Masculino",2000,""))+IF(OR(Atletas!U175="Taijijian Yang A",Atletas!U175="Taijijian Yang Standard A"),901,IF(OR(Atletas!U175="Taijijian Chen A", Atletas!U175="Taijijian Chen Standard A"),902,IF(Atletas!U175="Taijijian Sun A",903,IF(Atletas!U175="Taijijian Wu A",904,IF(Atletas!U175="Taijijian Wu-Hao A",905,IF(OR(Atletas!U175="Taijijian 32 A",Atletas!U175="Taijijian 42 A"),906,IF(OR(Atletas!U175="Taijijian Yang B",Atletas!U175="Taijijian Yang Standard B"),907,IF(OR(Atletas!U175="Taijijian Chen B", Atletas!U175="Taijijian Chen Standard B"),908,IF(Atletas!U175="Taijijian Sun B",909,IF(Atletas!U175="Taijijian Wu B",910,IF(Atletas!U175="Taijijian Wu-Hao B",911,IF(OR(Atletas!U175="Taijijian 32 B",Atletas!U175="Taijijian 42 B"),912,IF(OR(Atletas!U175="Taijijian Yang C",Atletas!U175="Taijijian Yang Standard C"),913,IF(OR(Atletas!U175="Taijijian Chen C", Atletas!U175="Taijijian Chen Standard C"),914,IF(Atletas!U175="Taijijian Sun C",915,IF(Atletas!U175="Taijijian Wu C",916,IF(Atletas!U175="Taijijian Wu-Hao C",917,IF(OR(Atletas!U175="Taijijian 32 C",Atletas!U175="Taijijian 42 C"),918,IF(OR(Atletas!U175="Taijijian Yang D",Atletas!U175="Taijijian Yang Standard D"),919,IF(OR(Atletas!U175="Taijijian Chen D", Atletas!U175="Taijijian Chen Standard D"),920,IF(Atletas!U175="Taijijian Sun D",921,IF(Atletas!U175="Taijijian Wu D",922,IF(Atletas!U175="Taijijian Wu-Hao D",923,IF(OR(Atletas!U175="Taijijian 32 D",Atletas!U175="Taijijian 42 D"),924,IF(OR(Atletas!U175="Taijijian Yang E",Atletas!U175="Taijijian Yang Standard E"),925,IF(OR(Atletas!U175="Taijijian Chen E", Atletas!U175="Taijijian Chen Standard E"),926,IF(Atletas!U175="Taijijian Sun E",927,IF(Atletas!U175="Taijijian Wu E",928,IF(Atletas!U175="Taijijian Wu-Hao E",929,IF(OR(Atletas!U175="Taijijian 32 E",Atletas!U175="Taijijian 42 E"),930,IF(OR(Atletas!U175="Taijijian Yang F",Atletas!U175="Taijijian Yang Standard F"),931,IF(OR(Atletas!U175="Taijijian Chen F", Atletas!U175="Taijijian Chen Standard F"),932,IF(Atletas!U175="Taijijian Sun F",933,IF(Atletas!U175="Taijijian Wu F",934,IF(Atletas!U175="Taijijian Wu-Hao F",935,IF(OR(Atletas!U175="Taijijian 32 F",Atletas!U175="Taijijian 42 F"),936,"")))))))))))))))))))))))))))))))))))))</f>
        <v/>
      </c>
      <c r="CD184" s="50" t="str">
        <f>IF(Atletas!V175="","",IF(Atletas!X175&lt;&gt;"",10000,0)+IF(Atletas!B175="Feminino",1000,IF(Atletas!B175="Masculino",2000,""))+IF(Atletas!V175="Taijidao A",937,IF(Atletas!V175="TaijiShanzi A",938,IF(Atletas!V175="Taijiqiang A",939,IF(Atletas!V175="Bagua de Arma A",940,IF(Atletas!V175="Xingyi de Arma A",941,IF(Atletas!V175="Taijidao B",942,IF(Atletas!V175="TaijiShanzi B",943,IF(Atletas!V175="Taijiqiang B",944,IF(Atletas!V175="Bagua de Arma B",945,IF(Atletas!V175="Xingyi de Arma B",946,IF(Atletas!V175="Taijidao C",947,IF(Atletas!V175="TaijiShanzi C",948,IF(Atletas!V175="Taijiqiang C",949,IF(Atletas!V175="Bagua de Arma C",950,IF(Atletas!V175="Xingyi de Arma C",951,IF(Atletas!V175="Taijidao D",952,IF(Atletas!V175="TaijiShanzi D",953,IF(Atletas!V175="Taijiqiang D",954,IF(Atletas!V175="Bagua de Arma D",955,IF(Atletas!V175="Xingyi de Arma D",956,IF(Atletas!V175="Taijidao E",957,IF(Atletas!V175="TaijiShanzi E",958,IF(Atletas!V175="Taijiqiang E",959,IF(Atletas!V175="Bagua de Arma E",960,IF(Atletas!V175="Xingyi de Arma E",961,IF(Atletas!V175="Taijidao F",962,IF(Atletas!V175="TaijiShanzi F",963,IF(Atletas!V175="Taijiqiang F",964,IF(Atletas!V175="Bagua de Arma F",965,IF(Atletas!V175="Xingyi de Arma F",966,"")))))))))))))))))))))))))))))))</f>
        <v/>
      </c>
      <c r="CE184" s="66" t="str">
        <f>IF(CF184&lt;&gt;"","TJQ Padr. Wu B","")</f>
        <v/>
      </c>
      <c r="CF184" s="66" t="str">
        <f>IF(COUNTIF(BR:CD,1410)&gt;0,COUNTIF(BR:CD,1410),"")</f>
        <v/>
      </c>
      <c r="CG184" s="66" t="str">
        <f>IF(CH184&lt;&gt;"","TJQ Padr. Wu B","")</f>
        <v/>
      </c>
      <c r="CH184" s="66" t="str">
        <f>IF(COUNTIF(BR:CD,2410)&gt;0,COUNTIF(BR:CD,2410),"")</f>
        <v/>
      </c>
      <c r="CI184" s="66" t="str">
        <f>IF(CJ184&lt;&gt;"","TJQ Padr. Wu C","")</f>
        <v/>
      </c>
      <c r="CJ184" s="66" t="str">
        <f>IF(COUNTIF(BR:CD,11416)&gt;0,COUNTIF(BR:CD,11416),"")</f>
        <v/>
      </c>
      <c r="CK184" s="66" t="str">
        <f>IF(CL184&lt;&gt;"","TJQ Padr. Wu C","")</f>
        <v/>
      </c>
      <c r="CL184" s="66" t="str">
        <f>IF(COUNTIF(BR:CD,12416)&gt;0,COUNTIF(BR:CD,12416),"")</f>
        <v/>
      </c>
      <c r="CM184" s="50" t="str">
        <f xml:space="preserve"> IF(Atletas!W175="","",IF(Atletas!W175="Duilian de Mãos BC - Equipe 1",1,IF(Atletas!W175="Duilian de Mãos BC - Equipe 2",2,IF(Atletas!W175="Duilian de Armas BC - Equipe 1",3,IF(Atletas!W175="Duilian de Armas BC - Equipe 2",4,IF(Atletas!W175="Duilian de Mãos DE - Equipe 1",5,IF(Atletas!W175="Duilian de Mãos DE - Equipe 2",6,IF(Atletas!W175="Duilian de Armas DE - Equipe 1",7,IF(Atletas!W175="Duilian de Armas DE - Equipe 2",8,IF(Atletas!W175="Duilian de Tuishou - Equipe 1",9,IF(Atletas!W175="Duilian de Tuishou - Equipe 2",10,IF(Atletas!W175="Grupo Externo ABC - Equipe 1",11,IF(Atletas!W175="Grupo Externo ABC - Equipe 2",12,IF(Atletas!W175="Grupo Interno ABC - Equipe 1",13,IF(Atletas!W175="Grupo Interno ABC - Equipe 2",14,IF(Atletas!W175="Grupo Externo DEF - Equipe 1",15,IF(Atletas!W175="Grupo Externo DEF - Equipe 2",16,IF(Atletas!W175="Grupo Interno DEF - Equipe 1",17,IF(Atletas!W175="Grupo Interno DEF - Equipe 2",18,"")))))))))))))))))))</f>
        <v/>
      </c>
    </row>
    <row r="185" spans="2:91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 t="str">
        <f t="array" ref="Z185">IFERROR(INDEX(CE$7:CE$348,SMALL(IF(CE$7:CE$348&lt;&gt;"",ROW(CE$7:CE$348)-ROW(CE$7)+1),ROWS(CE$7:CE184))),"")</f>
        <v/>
      </c>
      <c r="AA185" s="3" t="str">
        <f t="array" ref="AA185">IFERROR(INDEX(CF$7:CF$348,SMALL(IF(CF$7:CF$348&lt;&gt;"",ROW(CF$7:CF$348)-ROW(CF$7)+1),ROWS(CF$7:CF184))),"")</f>
        <v/>
      </c>
      <c r="AB185" s="3" t="str">
        <f t="array" ref="AB185">IFERROR(INDEX(CG$7:CG$348,SMALL(IF(CG$7:CG$348&lt;&gt;"",ROW(CG$7:CG$348)-ROW(CG$7)+1),ROWS(CG$7:CG184))),"")</f>
        <v/>
      </c>
      <c r="AC185" s="3" t="str">
        <f t="array" ref="AC185">IFERROR(INDEX(CH$7:CH$348,SMALL(IF(CH$7:CH$348&lt;&gt;"",ROW(CH$7:CH$348)-ROW(CH$7)+1),ROWS(CH$7:CH184))),"")</f>
        <v/>
      </c>
      <c r="AD185" s="3" t="str">
        <f t="array" ref="AD185">IFERROR(INDEX(CI$7:CI$377,SMALL(IF(CI$7:CI$377&lt;&gt;"",ROW(CI$7:CI$377)-ROW(CI$7)+1),ROWS(CI$7:CI184))),"")</f>
        <v/>
      </c>
      <c r="AE185" s="3" t="str">
        <f t="array" ref="AE185">IFERROR(INDEX(CJ$7:CJ$378,SMALL(IF(CJ$7:CJ$378&lt;&gt;"",ROW(CJ$7:CJ$378)-ROW(CJ$7)+1),ROWS(CJ$7:CJ184))),"")</f>
        <v/>
      </c>
      <c r="AF185" s="3" t="str">
        <f t="array" ref="AF185">IFERROR(INDEX(CK$7:CK$378,SMALL(IF(CK$7:CK$378&lt;&gt;"",ROW(CK$7:CK$378)-ROW(CK$7)+1),ROWS(CK$7:CK184))),"")</f>
        <v/>
      </c>
      <c r="AG185" s="3" t="str">
        <f t="array" ref="AG185">IFERROR(INDEX(CL$7:CL$378,SMALL(IF(CL$7:CL$378&lt;&gt;"",ROW(CL$7:CL$378)-ROW(CL$7)+1),ROWS(CL$7:CL184))),"")</f>
        <v/>
      </c>
      <c r="AH185" s="3"/>
      <c r="AI185" s="3"/>
      <c r="AJ185" s="3"/>
      <c r="AK185" s="3"/>
      <c r="AL185" s="3"/>
      <c r="AM185" s="3"/>
      <c r="AN185" s="52" t="str">
        <f>IF(Atletas!D176="","",IF(Atletas!B176="Feminino",100,IF(Atletas!B176="Masculino",200,""))+(IF(Atletas!D176="Kids 30kg",1,IF(Atletas!D176="Kids 32kg",2, IF(Atletas!D176="Kids 34kg",3,IF(Atletas!D176="Kids 36kg",4,IF(Atletas!D176="Kids 39kg",5,IF(Atletas!D176="Kids 42kg",6,IF(Atletas!D176="Kids 45kg",7, IF(Atletas!D176="Infantil 39kg",8,IF(Atletas!D176="Infantil 42kg",9,IF(Atletas!D176="Infantil 45kg",10,IF(Atletas!D176="Infantil 48kg",11,IF(Atletas!D176="Infantil 52kg",12,IF(Atletas!D176="Infantil 56kg",13,IF(Atletas!D176="Infantil 60kg",14,IF(Atletas!D176="Juvenil 48kg",15,IF(Atletas!D176="Juvenil 52kg",16,IF(Atletas!D176="Juvenil 56kg",17,IF(Atletas!D176="Juvenil 60kg",18,IF(Atletas!D176="Juvenil 65kg",19,IF(Atletas!D176="Juvenil 70kg",20,IF(Atletas!D176="Juvenil 75kg",21,IF(Atletas!D176="Juvenil 80kg",22, IF(Atletas!D176="Juvenil 85kg",23,IF(Atletas!D176="Adulto 48kg",24,IF(Atletas!D176="Adulto 52kg",25,IF(Atletas!D176="Adulto 56kg",26,IF(Atletas!D176="Adulto 60kg",27,IF(Atletas!D176="Adulto 65kg",28,IF(Atletas!D176="Adulto 70kg",29,IF(Atletas!D176="Adulto 75kg",30,IF(Atletas!D176="Adulto 80kg",31,IF(Atletas!D176="Adulto 85kg",32,IF(Atletas!D176="Adulto 90kg",33,IF(Atletas!D176="Adulto 100kg",34, IF(Atletas!D176="Adulto +100kg",35,"")))))))))))))))))))))))))))))))))))))</f>
        <v/>
      </c>
      <c r="AS185" s="6" t="str">
        <f>IF(Atletas!E176="","",IF(Atletas!B176="Feminino",100,IF(Atletas!B176="Masculino",200,""))+(IF(Atletas!E176="Juvenil 44kg",1,IF(Atletas!E176="Juvenil 48kg",2,IF(Atletas!E176="Juvenil 52kg",3,IF(Atletas!E176="Juvenil 56kg",4,IF(Atletas!E176="Juvenil 60kg",5,IF(Atletas!E176="Juvenil 65kg",6,IF(Atletas!E176="Juvenil 70kg",7,IF(Atletas!E176="Juvenil 75kg",8,IF(Atletas!E176="Juvenil 82kg",9,IF(Atletas!E176="Juvenil 90kg",10,IF(Atletas!E176="Juvenil 100kg",11,IF(Atletas!E176="Adulto 48kg",12,IF(Atletas!E176="Adulto 52kg",13,IF(Atletas!E176="Adulto 56kg",14,IF(Atletas!E176="Adulto 60kg",15,IF(Atletas!E176="Adulto 65kg",16,IF(Atletas!E176="Adulto 70kg",17,IF(Atletas!E176="Adulto 75kg",18,IF(Atletas!E176="Adulto 82kg",19,IF(Atletas!E176="Adulto 90kg",20,IF(Atletas!E176="Adulto 100kg",21,IF(Atletas!E176="Adulto +100kg",22,""))))))))))))))))))))))))</f>
        <v/>
      </c>
      <c r="AX185" s="6" t="str">
        <f>IF(Atletas!F176="","",IF(Atletas!B176="Feminino",100,IF(Atletas!B176="Masculino",200,""))+(IF(Atletas!F176="Adulto 48kg",1,IF(Atletas!F176="Adulto 56kg",2,IF(Atletas!F176="Adulto 65kg",3,IF(Atletas!F176="Adulto 75kg",4,IF(Atletas!F176="Adulto +75kg",5,IF(Atletas!F176="Adulto 52kg",6,IF(Atletas!F176="Adulto 60kg",7,IF(Atletas!F176="Adulto 70kg",8,IF(Atletas!F176="Adulto 80kg",9,IF(Atletas!F176="Adulto 90kg",10,IF(Atletas!F176="Adulto +90kg",11,"")))))))))))))</f>
        <v/>
      </c>
      <c r="BC185" s="6" t="str">
        <f>IF(Atletas!G176="","",IF(Atletas!B176="Feminino",10,IF(Atletas!B176="Masculino",20,""))+(IF(Atletas!G176="Baduanjin A",1,IF(Atletas!G176="Baduanjin B",2))))</f>
        <v/>
      </c>
      <c r="BF185" s="52" t="str">
        <f>IF(Atletas!H176="","",IF(Atletas!B176="Feminino",100,IF(Atletas!B176="Masculino",200,""))+(IF(Atletas!H176="Changquan Mirim",1,IF(Atletas!H176="Nanquan Mirim",2,IF(Atletas!H176="Taijiquan Mirim",3,IF(Atletas!H176="Changquan Grupo C",4,IF(Atletas!H176="Nanquan Grupo C",5,IF(Atletas!H176="Taijiquan Grupo C",6,IF(Atletas!H176="Changquan Grupo B",7,IF(Atletas!H176="Nanquan Grupo B",8,IF(Atletas!H176="Taijiquan Grupo B",9,IF(Atletas!H176="Changquan Grupo A",10,IF(Atletas!H176="Nanquan Grupo A",11,IF(Atletas!H176="Taijiquan Grupo A",12,IF(Atletas!H176="Changquan Opcional",13,IF(Atletas!H176="Nanquan Opcional",14,IF(Atletas!H176="Taijiquan Opcional",15,IF(Atletas!H176="Changquan Adulto",16,IF(Atletas!H176="Nanquan Adulto",17,IF(Atletas!H176="Taijiquan Adulto",18,""))))))))))))))))))))</f>
        <v/>
      </c>
      <c r="BG185" s="52" t="str">
        <f>IF(Atletas!I176="","",IF(Atletas!B176="Feminino",100,IF(Atletas!B176="Masculino",200,""))+(IF(Atletas!I176="Daoshu Mirim",19,IF(Atletas!I176="Jianshu Mirim",20,IF(Atletas!I176="Nandao Mirim",21,IF(Atletas!I176="Taijijian Mirim",22,IF(Atletas!I176="Daoshu Grupo C",23,IF(Atletas!I176="Jianshu Grupo C",24,IF(Atletas!I176="Nandao Grupo C",25,IF(Atletas!I176="Taijijian Grupo C",26,IF(Atletas!I176="Daoshu Grupo B",27,IF(Atletas!I176="Jianshu Grupo B",28,IF(Atletas!I176="Nandao Grupo B",29,IF(Atletas!I176="Taijijian Grupo B",30,IF(Atletas!I176="Daoshu Grupo A",31,IF(Atletas!I176="Jianshu Grupo A",32,IF(Atletas!I176="Nandao Grupo A",33,IF(Atletas!I176="Taijijian Grupo A",34,IF(Atletas!I176="Daoshu Opcional",35,IF(Atletas!I176="Jianshu Opcional",36,IF(Atletas!I176="Nandao Opcional",37,IF(Atletas!I176="Taijijian Opcional",38,IF(Atletas!I176="Daoshu Adulto",39,IF(Atletas!I176="Jianshu Adulto",40,IF(Atletas!I176="Nandao Adulto",41,IF(Atletas!I176="Taijijian Adulto",42,""))))))))))))))))))))))))))</f>
        <v/>
      </c>
      <c r="BH185" s="52" t="str">
        <f>IF(Atletas!J176="","",IF(Atletas!B176="Feminino",100,IF(Atletas!B176="Masculino",200,""))+(IF(Atletas!J176="Gunshu Mirim",43,IF(Atletas!J176="Qiangshu Mirim",44,IF(Atletas!J176="Nangun Mirim",45,IF(Atletas!J176="Gunshu Grupo C",46,IF(Atletas!J176="Qiangshu Grupo C",47,IF(Atletas!J176="Nangun Grupo C",48,IF(Atletas!J176="Gunshu Grupo B",49,IF(Atletas!J176="Qiangshu Grupo B",50,IF(Atletas!J176="Nangun Grupo B",51,IF(Atletas!J176="Gunshu Grupo A",52,IF(Atletas!J176="Qiangshu Grupo A",53,IF(Atletas!J176="Nangun Grupo A",54,IF(Atletas!J176="Gunshu Opcional",55,IF(Atletas!J176="Qiangshu Opcional",56,IF(Atletas!J176="Nangun Opcional",57,IF(Atletas!J176="Gunshu Adulto",58,IF(Atletas!J176="Qiangshu Adulto",59,IF(Atletas!J176="Nangun Adulto",60,IF(Atletas!J176="Taijishan Grupo B",61,IF(Atletas!J176="Taijishan Grupo A",62,""))))))))))))))))))))))</f>
        <v/>
      </c>
      <c r="BM185" s="50" t="str">
        <f>IF(Atletas!K176="","",IF(Atletas!B176="Feminino",100,IF(Atletas!B176="Masculino",200,""))+(IF(Atletas!K176="Equipe 1 Grupo B",1,IF(Atletas!K176="Equipe 2 Grupo B",2,IF(Atletas!K176="Equipe 1 Grupo A",3,IF(Atletas!K176="Equipe 2 Grupo A",4,IF(Atletas!K176="Equipe 1 Adulto",5,IF(Atletas!K176="Equipe 2 Adulto",6,""))))))))</f>
        <v/>
      </c>
      <c r="BR185" s="50" t="str">
        <f>IF(Atletas!L176="","",IF(Atletas!X176&lt;&gt;"",10000,0)+(IF(Atletas!B176="Feminino",1000,IF(Atletas!B176="Masculino",2000,""))+IF(Atletas!L176="Choylayfut A",1,IF(Atletas!L176="Hunggar A",2,IF(Atletas!L176="Wuzuquan A",3,IF(Atletas!L176="Wingchun A",4,IF(Atletas!L176="Outra Mão de Sul A",5,IF(Atletas!L176="Choylayfut B",6,IF(Atletas!L176="Hunggar B",7,IF(Atletas!L176="Wuzuquan B",8,IF(Atletas!L176="Wingchun B",9,IF(Atletas!L176="Outra Mão de Sul B",10,IF(Atletas!L176="Choylayfut C",11,IF(Atletas!L176="Hunggar C",12,IF(Atletas!L176="Wuzuquan C",13,IF(Atletas!L176="Wingchun C",14,IF(Atletas!L176="Outra Mão de Sul C",15,IF(Atletas!L176="Choylayfut D",16,IF(Atletas!L176="Hunggar D",17,IF(Atletas!L176="Wuzuquan D",18,IF(Atletas!L176="Wingchun D",19,IF(Atletas!L176="Outra Mão de Sul D",20,IF(Atletas!L176="Choylayfut E",21,IF(Atletas!L176="Hunggar E",22,IF(Atletas!L176="Wuzuquan E",23,IF(Atletas!L176="Wingchun E",24,IF(Atletas!L176="Outra Mão de Sul E",25,IF(Atletas!L176="Choylayfut F",26,IF(Atletas!L176="Hunggar F",27,IF(Atletas!L176="Wuzuquan F",28,IF(Atletas!L176="Wingchun F",29,IF(Atletas!L176="Outra Mão de Sul F",30,IF(Atletas!L176="Dishuquan A",31,IF(Atletas!L176="Dishuquan B",32,IF(Atletas!L176="Dishuquan C",33,IF(Atletas!L176="Dishuquan D",34,IF(Atletas!L176="Dishuquan E",35,IF(Atletas!L176="Dishuquan F",36,""))))))))))))))))))))))))))))))))))))))</f>
        <v/>
      </c>
      <c r="BS185" s="50" t="str">
        <f>IF(Atletas!M176="","",IF(Atletas!X176&lt;&gt;"",10000,0)+(IF(Atletas!B176="Feminino",1000,IF(Atletas!B176="Masculino",2000,""))+(IF(Atletas!M176="Chaquan A",101,IF(Atletas!M176="Emeiquan A",102,IF(Atletas!M176="Fanziquan A",103,IF(Atletas!M176="Huaquan A",104,IF(Atletas!M176="Hongquan A",105,IF(Atletas!M176="Paoquan A",106,IF(Atletas!M176="Piguaquan A",107,IF(Atletas!M176="Shaolinquan A",108,IF(Atletas!M176="Tanglangquan A",109,IF(Atletas!M176="Yingzhaoquan A",110,IF(Atletas!M176="Tongbeiquan A",111,IF(Atletas!M176="Wudangquan A",112,IF(Atletas!M176="Outros Estilos A",113,IF(Atletas!M176="Chaquan B",114,IF(Atletas!M176="Emeiquan B",115,IF(Atletas!M176="Fanziquan B",116,IF(Atletas!M176="Huaquan B",117,IF(Atletas!M176="Hongquan B",118,IF(Atletas!M176="Paoquan B",119,IF(Atletas!M176="Piguaquan B",120,IF(Atletas!M176="Shaolinquan B",121,IF(Atletas!M176="Tanglangquan B",122,IF(Atletas!M176="Yingzhaoquan B",123,IF(Atletas!M176="Tongbeiquan B",124,IF(Atletas!M176="Wudangquan B",125,IF(Atletas!M176="Outros Estilos B",126,IF(Atletas!M176="Chaquan C",127,IF(Atletas!M176="Emeiquan C",128,IF(Atletas!M176="Fanziquan C",129,IF(Atletas!M176="Huaquan C",130,IF(Atletas!M176="Hongquan C",131,IF(Atletas!M176="Paoquan C",132,IF(Atletas!M176="Piguaquan C",133,IF(Atletas!M176="Shaolinquan C",134,IF(Atletas!M176="Tanglangquan C",135,IF(Atletas!M176="Yingzhaoquan C",136,IF(Atletas!M176="Tongbeiquan C",137,IF(Atletas!M176="Wudangquan C",138,IF(Atletas!M176="Outros Estilos C",139,0))))))))))))))))))))))))))))))))))))))))))</f>
        <v/>
      </c>
      <c r="BT185" s="50" t="str">
        <f>IF(Atletas!M176="","",IF(Atletas!X176&lt;&gt;"",10000,0)+(IF(Atletas!B176="Feminino",1000,IF(Atletas!B176="Masculino",2000,""))+(IF(Atletas!M176="Chaquan D",140,IF(Atletas!M176="Emeiquan D",141,IF(Atletas!M176="Fanziquan D",142,IF(Atletas!M176="Huaquan D",143,IF(Atletas!M176="Hongquan D",144,IF(Atletas!M176="Paoquan D",145,IF(Atletas!M176="Piguaquan D",146,IF(Atletas!M176="Shaolinquan D",147,IF(Atletas!M176="Tanglangquan D",148,IF(Atletas!M176="Yingzhaoquan D",149,IF(Atletas!M176="Tongbeiquan D",150,IF(Atletas!M176="Wudangquan D",151,IF(Atletas!M176="Outros Estilos D",152,IF(Atletas!M176="Chaquan E",153,IF(Atletas!M176="Emeiquan E",154,IF(Atletas!M176="Fanziquan E",155,IF(Atletas!M176="Huaquan E",156,IF(Atletas!M176="Hongquan E",157,IF(Atletas!M176="Paoquan E",158,IF(Atletas!M176="Piguaquan E",159,IF(Atletas!M176="Shaolinquan E",160,IF(Atletas!M176="Tanglangquan E",161,IF(Atletas!M176="Yingzhaoquan E",162,IF(Atletas!M176="Tongbeiquan E",163,IF(Atletas!M176="Wudangquan E",164,IF(Atletas!M176="Outros Estilos E",165,IF(Atletas!M176="Chaquan F",166,IF(Atletas!M176="Emeiquan F",167,IF(Atletas!M176="Fanziquan F",168,IF(Atletas!M176="Huaquan F",169,IF(Atletas!M176="Hongquan F",170,IF(Atletas!M176="Paoquan F",171,IF(Atletas!M176="Piguaquan F",172,IF(Atletas!M176="Shaolinquan F",173,IF(Atletas!M176="Tanglangquan F",174,IF(Atletas!M176="Yingzhaoquan F",175,IF(Atletas!M176="Tongbeiquan F",176,IF(Atletas!M176="Wudangquan F",177,IF(Atletas!M176="Outros Estilos F",178,0))))))))))))))))))))))))))))))))))))))))))</f>
        <v/>
      </c>
      <c r="BU185" s="50" t="str">
        <f>IF(Atletas!N176="","",IF(Atletas!X176&lt;&gt;"",10000,0)+(IF(Atletas!B176="Feminino",1000,IF(Atletas!B176="Masculino",2000,""))+(IF(Atletas!N176="Ditangquan A",201,IF(Atletas!N176="Houquan A",202,IF(Atletas!N176="Zuiquan A",203,IF(Atletas!N176="Ditangquan B",204,IF(Atletas!N176="Houquan B",205,IF(Atletas!N176="Zuiquan B",206,IF(Atletas!N176="Ditangquan C",207,IF(Atletas!N176="Houquan C",208,IF(Atletas!N176="Zuiquan C",209,IF(Atletas!N176="Ditangquan D",210,IF(Atletas!N176="Houquan D",211,IF(Atletas!N176="Zuiquan D",212,IF(Atletas!N176="Ditangquan E",213,IF(Atletas!N176="Houquan E",214,IF(Atletas!N176="Zuiquan E",215,IF(Atletas!N176="Ditangquan F",216,IF(Atletas!N176="Houquan F",217,IF(Atletas!N176="Zuiquan F",218,"")))))))))))))))))))))</f>
        <v/>
      </c>
      <c r="BV185" s="50" t="str">
        <f>IF(Atletas!O176="","",IF(Atletas!X176&lt;&gt;"",10000,0)+IF(Atletas!B176="Feminino",1000,IF(Atletas!B176="Masculino",2000,""))+IF(Atletas!O176="Yang A",301,IF(Atletas!O176="Chen A",302,IF(Atletas!O176="Sun A",303,IF(Atletas!O176="Wu A",304,IF(Atletas!O176="Wu-Hao A",305,IF(Atletas!O176="Outro Taijiquan A",306,IF(Atletas!O176="Yang B",307,IF(Atletas!O176="Chen B",308,IF(Atletas!O176="Sun B",309,IF(Atletas!O176="Wu B",310,IF(Atletas!O176="Wu-Hao B",311,IF(Atletas!O176="Outro Taijiquan B",312,IF(Atletas!O176="Yang C",313,IF(Atletas!O176="Chen C",314,IF(Atletas!O176="Sun C",315,IF(Atletas!O176="Wu C",316,IF(Atletas!O176="Wu-Hao C",317,IF(Atletas!O176="Outro Taijiquan C",318,IF(Atletas!O176="Yang D",319,IF(Atletas!O176="Chen D",320,IF(Atletas!O176="Sun D",321,IF(Atletas!O176="Wu D",322,IF(Atletas!O176="Wu-Hao D",323,IF(Atletas!O176="Outro Taijiquan D",324,IF(Atletas!O176="Yang E",325,IF(Atletas!O176="Chen E",326,IF(Atletas!O176="Sun E",327,IF(Atletas!O176="Wu E",328,IF(Atletas!O176="Wu-Hao E",329,IF(Atletas!O176="Outro Taijiquan E",330,IF(Atletas!O176="Yang F",331,IF(Atletas!O176="Chen F",332,IF(Atletas!O176="Sun F",333,IF(Atletas!O176="Wu F",334,IF(Atletas!O176="Wu-Hao F",335,IF(Atletas!O176="Outro Taijiquan F",336,"")))))))))))))))))))))))))))))))))))))</f>
        <v/>
      </c>
      <c r="BW185" s="50" t="str">
        <f>IF(Atletas!P176="","",IF(Atletas!X176&lt;&gt;"",10000,0)+IF(Atletas!B176="Feminino",1000,IF(Atletas!B176="Masculino",2000,""))+IF(OR(Atletas!P176="Yang 26 A",Atletas!P176="Yang 40 A"),401,IF(OR(Atletas!P176="Chen 25 A",Atletas!P176="Chen 36 A",Atletas!P176="Chen 56 A"),402,IF(Atletas!P176="Sun 73 A",403,IF(Atletas!P176="Wu 45 A",404,IF(Atletas!P176="Wu-Hao 46 A",405,IF(OR(Atletas!P176="Taijiquan 16 A",Atletas!P176="Taijiquan 24 A",Atletas!P176="Taijiquan 32 A",Atletas!P176="Taijiquan 42 A"),406,IF(OR(Atletas!P176="Yang 26 B",Atletas!P176="Yang 40 B"),407,IF(OR(Atletas!P176="Chen 25 B",Atletas!P176="Chen 36 B",Atletas!P176="Chen 56 B"),408,IF(Atletas!P176="Sun 73 B",409,IF(Atletas!P176="Wu 45 B",410,IF(Atletas!P176="Wu-Hao 46 B",411,IF(OR(Atletas!P176="Taijiquan 16 B",Atletas!P176="Taijiquan 24 B",Atletas!P176="Taijiquan 32 B",Atletas!P176="Taijiquan 42 B"),412,IF(OR(Atletas!P176="Yang 26 C",Atletas!P176="Yang 40 C"),413,IF(OR(Atletas!P176="Chen 25 C",Atletas!P176="Chen 36 C",Atletas!P176="Chen 56 C"),414,IF(Atletas!P176="Sun 73 C",415,IF(Atletas!P176="Wu 45 C",416,IF(Atletas!P176="Wu-Hao 46 C",417,IF(OR(Atletas!P176="Taijiquan 16 C",Atletas!P176="Taijiquan 24 C",Atletas!P176="Taijiquan 32 C",Atletas!P176="Taijiquan 42 C"),418,0)))))))))))))))))))</f>
        <v/>
      </c>
      <c r="BX185" s="50" t="str">
        <f>IF(Atletas!P176="","",IF(Atletas!X176&lt;&gt;"",10000,0)+IF(Atletas!B176="Feminino",1000,IF(Atletas!B176="Masculino",2000,""))+IF(OR(Atletas!P176="Yang 26 D",Atletas!P176="Yang 40 D"),419,IF(OR(Atletas!P176="Chen 25 D",Atletas!P176="Chen 36 D",Atletas!P176="Chen 56 D"),420,IF(Atletas!P176="Sun 73 D",421,IF(Atletas!P176="Wu 45 D",422,IF(Atletas!P176="Wu-Hao 46 D",423,IF(OR(Atletas!P176="Taijiquan 16 D",Atletas!P176="Taijiquan 24 D",Atletas!P176="Taijiquan 32 D",Atletas!P176="Taijiquan 42 D"),424,IF(OR(Atletas!P176="Yang 26 E",Atletas!P176="Yang 40 E"),425,IF(OR(Atletas!P176="Chen 25 E",Atletas!P176="Chen 36 E",Atletas!P176="Chen 56 E"),426,IF(Atletas!P176="Sun 73 E",427,IF(Atletas!P176="Wu 45 E",428,IF(Atletas!P176="Wu-Hao 46 E",429,IF(OR(Atletas!P176="Taijiquan 16 E",Atletas!P176="Taijiquan 24 E",Atletas!P176="Taijiquan 32 E",Atletas!P176="Taijiquan 42 E"),430,IF(OR(Atletas!P176="Yang 26 F",Atletas!P176="Yang 40 F"),431,IF(OR(Atletas!P176="Chen 25 F",Atletas!P176="Chen 36 F",Atletas!P176="Chen 56 F"),432,IF(Atletas!P176="Sun 73 F",433,IF(Atletas!P176="Wu 45 F",434,IF(Atletas!P176="Wu-Hao 46 F",435,IF(OR(Atletas!P176="Taijiquan 16 F",Atletas!P176="Taijiquan 24 F",Atletas!P176="Taijiquan 32 F",Atletas!P176="Taijiquan 42 F"),436,0)))))))))))))))))))</f>
        <v/>
      </c>
      <c r="BY185" s="50" t="str">
        <f>IF(Atletas!Q176="","",IF(Atletas!X176&lt;&gt;"",10000,0)+IF(Atletas!B176="Feminino",1000,IF(Atletas!B176="Masculino",2000,""))+IF(Atletas!Q176="Xingyiquan A",501,IF(Atletas!Q176="Baguazhang A",502,IF(Atletas!Q176="Outro Estilo Interno A",503,IF(Atletas!Q176="Xingyiquan B",504,IF(Atletas!Q176="Baguazhang B",505,IF(Atletas!Q176="Outro Estilo Interno B",506,IF(Atletas!Q176="Xingyiquan C",507,IF(Atletas!Q176="Baguazhang C",508,IF(Atletas!Q176="Outro Estilo Interno C",509,IF(Atletas!Q176="Xingyiquan D",510,IF(Atletas!Q176="Baguazhang D",511,IF(Atletas!Q176="Outro Estilo Interno D",512,IF(Atletas!Q176="Xingyiquan E",513,IF(Atletas!Q176="Baguazhang E",514,IF(Atletas!Q176="Outro Estilo Interno E",515,IF(Atletas!Q176="Xingyiquan F",516,IF(Atletas!Q176="Baguazhang F",517,IF(Atletas!Q176="Outro Estilo Interno F",518, "")))))))))))))))))))</f>
        <v/>
      </c>
      <c r="BZ185" s="50" t="str">
        <f>IF(Atletas!R176="","",IF(Atletas!X176&lt;&gt;"",10000,0)+IF(Atletas!B176="Feminino",1000,IF(Atletas!B176="Masculino",2000,""))+IF(Atletas!R176="Dao A",601,IF(Atletas!R176="Jian A",602,IF(Atletas!R176="Bishou A",603,IF(Atletas!R176="Shanzi A",604,IF(Atletas!R176="Outra Arma Curta A",605,IF(Atletas!R176="Dao B",606,IF(Atletas!R176="Jian B",607,IF(Atletas!R176="Bishou B",608,IF(Atletas!R176="Shanzi B",609,IF(Atletas!R176="Outra Arma Curta B",610,IF(Atletas!R176="Dao C",611,IF(Atletas!R176="Jian C",612,IF(Atletas!R176="Bishou C",613,IF(Atletas!R176="Shanzi C",614,IF(Atletas!R176="Outra Arma Curta C",615,IF(Atletas!R176="Dao D",616,IF(Atletas!R176="Jian D",617,IF(Atletas!R176="Bishou D",618,IF(Atletas!R176="Shanzi D",619,IF(Atletas!R176="Outra Arma Curta D",620,IF(Atletas!R176="Dao E",621,IF(Atletas!R176="Jian E",622,IF(Atletas!R176="Bishou E",623,IF(Atletas!R176="Shanzi E",624,IF(Atletas!R176="Outra Arma Curta E",625,IF(Atletas!R176="Dao F",626,IF(Atletas!R176="Jian F",627,IF(Atletas!R176="Bishou F",628,IF(Atletas!R176="Shanzi F",629,IF(Atletas!R176="Outra Arma Curta F",630, "")))))))))))))))))))))))))))))))</f>
        <v/>
      </c>
      <c r="CA185" s="50" t="str">
        <f>IF(Atletas!S176="","",IF(Atletas!X176&lt;&gt;"",10000,0)+IF(Atletas!B176="Feminino",1000,IF(Atletas!B176="Masculino",2000,""))+IF(Atletas!S176="Gun A",701,IF(Atletas!S176="Qiang A",702,IF(Atletas!S176="Pudao / Guandao A",703,IF(Atletas!S176="Outra Arma Longa A",704,IF(Atletas!S176="Gun B",705,IF(Atletas!S176="Qiang B",706,IF(Atletas!S176="Pudao / Guandao B",707,IF(Atletas!S176="Outra Arma Longa B",708,IF(Atletas!S176="Gun C",709,IF(Atletas!S176="Qiang C",710,IF(Atletas!S176="Pudao / Guandao C",711,IF(Atletas!S176="Outra Arma Longa C",712,IF(Atletas!S176="Gun D",713,IF(Atletas!S176="Qiang D",714,IF(Atletas!S176="Pudao / Guandao D",715,IF(Atletas!S176="Outra Arma Longa D",716,IF(Atletas!S176="Gun E",717,IF(Atletas!S176="Qiang E",718,IF(Atletas!S176="Pudao / Guandao E",719,IF(Atletas!S176="Outra Arma Longa E",720,IF(Atletas!S176="Gun F",721,IF(Atletas!S176="Qiang F",722,IF(Atletas!S176="Pudao / Guandao F",723,IF(Atletas!S176="Outra Arma Longa F",724,"")))))))))))))))))))))))))</f>
        <v/>
      </c>
      <c r="CB185" s="50" t="str">
        <f>IF(Atletas!T176="","",IF(Atletas!X176&lt;&gt;"",10000,0)+IF(Atletas!B176="Feminino",1000,IF(Atletas!B176="Masculino",2000,""))+IF(Atletas!T176="Outra Arma Dupla A",801,IF(Atletas!T176="Arma Maleável A",802,IF(Atletas!T176="Outra Arma Dupla B",803,IF(Atletas!T176="Arma Maleável B",804,IF(Atletas!T176="Outra Arma Dupla C",805,IF(Atletas!T176="Arma Maleável C",806,IF(Atletas!T176="Outra Arma Dupla D",807,IF(Atletas!T176="Arma Maleável D",808,IF(Atletas!T176="Outra Arma Dupla E",809,IF(Atletas!T176="Arma Maleável E",810,IF(Atletas!T176="Outra Arma Dupla F",811,IF(Atletas!T176="Arma Maleável F",812,IF(Atletas!T176="Shuangdao A",813,IF(Atletas!T176="Shuangdao B",814,IF(Atletas!T176="Shuangdao C",815,IF(Atletas!T176="Shuangdao D",816,IF(Atletas!T176="Shuangdao E",817,IF(Atletas!T176="Shuangdao F",818,"")))))))))))))))))))</f>
        <v/>
      </c>
      <c r="CC185" s="50" t="str">
        <f>IF(Atletas!U176="","",IF(Atletas!X176&lt;&gt;"",10000,0)+IF(Atletas!B176="Feminino",1000,IF(Atletas!B176="Masculino",2000,""))+IF(OR(Atletas!U176="Taijijian Yang A",Atletas!U176="Taijijian Yang Standard A"),901,IF(OR(Atletas!U176="Taijijian Chen A", Atletas!U176="Taijijian Chen Standard A"),902,IF(Atletas!U176="Taijijian Sun A",903,IF(Atletas!U176="Taijijian Wu A",904,IF(Atletas!U176="Taijijian Wu-Hao A",905,IF(OR(Atletas!U176="Taijijian 32 A",Atletas!U176="Taijijian 42 A"),906,IF(OR(Atletas!U176="Taijijian Yang B",Atletas!U176="Taijijian Yang Standard B"),907,IF(OR(Atletas!U176="Taijijian Chen B", Atletas!U176="Taijijian Chen Standard B"),908,IF(Atletas!U176="Taijijian Sun B",909,IF(Atletas!U176="Taijijian Wu B",910,IF(Atletas!U176="Taijijian Wu-Hao B",911,IF(OR(Atletas!U176="Taijijian 32 B",Atletas!U176="Taijijian 42 B"),912,IF(OR(Atletas!U176="Taijijian Yang C",Atletas!U176="Taijijian Yang Standard C"),913,IF(OR(Atletas!U176="Taijijian Chen C", Atletas!U176="Taijijian Chen Standard C"),914,IF(Atletas!U176="Taijijian Sun C",915,IF(Atletas!U176="Taijijian Wu C",916,IF(Atletas!U176="Taijijian Wu-Hao C",917,IF(OR(Atletas!U176="Taijijian 32 C",Atletas!U176="Taijijian 42 C"),918,IF(OR(Atletas!U176="Taijijian Yang D",Atletas!U176="Taijijian Yang Standard D"),919,IF(OR(Atletas!U176="Taijijian Chen D", Atletas!U176="Taijijian Chen Standard D"),920,IF(Atletas!U176="Taijijian Sun D",921,IF(Atletas!U176="Taijijian Wu D",922,IF(Atletas!U176="Taijijian Wu-Hao D",923,IF(OR(Atletas!U176="Taijijian 32 D",Atletas!U176="Taijijian 42 D"),924,IF(OR(Atletas!U176="Taijijian Yang E",Atletas!U176="Taijijian Yang Standard E"),925,IF(OR(Atletas!U176="Taijijian Chen E", Atletas!U176="Taijijian Chen Standard E"),926,IF(Atletas!U176="Taijijian Sun E",927,IF(Atletas!U176="Taijijian Wu E",928,IF(Atletas!U176="Taijijian Wu-Hao E",929,IF(OR(Atletas!U176="Taijijian 32 E",Atletas!U176="Taijijian 42 E"),930,IF(OR(Atletas!U176="Taijijian Yang F",Atletas!U176="Taijijian Yang Standard F"),931,IF(OR(Atletas!U176="Taijijian Chen F", Atletas!U176="Taijijian Chen Standard F"),932,IF(Atletas!U176="Taijijian Sun F",933,IF(Atletas!U176="Taijijian Wu F",934,IF(Atletas!U176="Taijijian Wu-Hao F",935,IF(OR(Atletas!U176="Taijijian 32 F",Atletas!U176="Taijijian 42 F"),936,"")))))))))))))))))))))))))))))))))))))</f>
        <v/>
      </c>
      <c r="CD185" s="50" t="str">
        <f>IF(Atletas!V176="","",IF(Atletas!X176&lt;&gt;"",10000,0)+IF(Atletas!B176="Feminino",1000,IF(Atletas!B176="Masculino",2000,""))+IF(Atletas!V176="Taijidao A",937,IF(Atletas!V176="TaijiShanzi A",938,IF(Atletas!V176="Taijiqiang A",939,IF(Atletas!V176="Bagua de Arma A",940,IF(Atletas!V176="Xingyi de Arma A",941,IF(Atletas!V176="Taijidao B",942,IF(Atletas!V176="TaijiShanzi B",943,IF(Atletas!V176="Taijiqiang B",944,IF(Atletas!V176="Bagua de Arma B",945,IF(Atletas!V176="Xingyi de Arma B",946,IF(Atletas!V176="Taijidao C",947,IF(Atletas!V176="TaijiShanzi C",948,IF(Atletas!V176="Taijiqiang C",949,IF(Atletas!V176="Bagua de Arma C",950,IF(Atletas!V176="Xingyi de Arma C",951,IF(Atletas!V176="Taijidao D",952,IF(Atletas!V176="TaijiShanzi D",953,IF(Atletas!V176="Taijiqiang D",954,IF(Atletas!V176="Bagua de Arma D",955,IF(Atletas!V176="Xingyi de Arma D",956,IF(Atletas!V176="Taijidao E",957,IF(Atletas!V176="TaijiShanzi E",958,IF(Atletas!V176="Taijiqiang E",959,IF(Atletas!V176="Bagua de Arma E",960,IF(Atletas!V176="Xingyi de Arma E",961,IF(Atletas!V176="Taijidao F",962,IF(Atletas!V176="TaijiShanzi F",963,IF(Atletas!V176="Taijiqiang F",964,IF(Atletas!V176="Bagua de Arma F",965,IF(Atletas!V176="Xingyi de Arma F",966,"")))))))))))))))))))))))))))))))</f>
        <v/>
      </c>
      <c r="CE185" s="66" t="str">
        <f>IF(CF185&lt;&gt;"","TJQ Padr. Wu-Hao B","")</f>
        <v/>
      </c>
      <c r="CF185" s="66" t="str">
        <f>IF(COUNTIF(BR:CD,1411)&gt;0,COUNTIF(BR:CD,1411),"")</f>
        <v/>
      </c>
      <c r="CG185" s="66" t="str">
        <f>IF(CH185&lt;&gt;"","TJQ Padr. Wu-Hao B","")</f>
        <v/>
      </c>
      <c r="CH185" s="66" t="str">
        <f>IF(COUNTIF(BR:CD,2411)&gt;0,COUNTIF(BR:CD,2411),"")</f>
        <v/>
      </c>
      <c r="CI185" s="66" t="str">
        <f>IF(CJ185&lt;&gt;"","TJQ Padr. Wu-Hao C","")</f>
        <v/>
      </c>
      <c r="CJ185" s="66" t="str">
        <f>IF(COUNTIF(BR:CD,11417)&gt;0,COUNTIF(BR:CD,11417),"")</f>
        <v/>
      </c>
      <c r="CK185" s="66" t="str">
        <f>IF(CL185&lt;&gt;"","TJQ Padr. Wu-Hao C","")</f>
        <v/>
      </c>
      <c r="CL185" s="66" t="str">
        <f>IF(COUNTIF(BR:CD,12417)&gt;0,COUNTIF(BR:CD,12417),"")</f>
        <v/>
      </c>
      <c r="CM185" s="50" t="str">
        <f xml:space="preserve"> IF(Atletas!W176="","",IF(Atletas!W176="Duilian de Mãos BC - Equipe 1",1,IF(Atletas!W176="Duilian de Mãos BC - Equipe 2",2,IF(Atletas!W176="Duilian de Armas BC - Equipe 1",3,IF(Atletas!W176="Duilian de Armas BC - Equipe 2",4,IF(Atletas!W176="Duilian de Mãos DE - Equipe 1",5,IF(Atletas!W176="Duilian de Mãos DE - Equipe 2",6,IF(Atletas!W176="Duilian de Armas DE - Equipe 1",7,IF(Atletas!W176="Duilian de Armas DE - Equipe 2",8,IF(Atletas!W176="Duilian de Tuishou - Equipe 1",9,IF(Atletas!W176="Duilian de Tuishou - Equipe 2",10,IF(Atletas!W176="Grupo Externo ABC - Equipe 1",11,IF(Atletas!W176="Grupo Externo ABC - Equipe 2",12,IF(Atletas!W176="Grupo Interno ABC - Equipe 1",13,IF(Atletas!W176="Grupo Interno ABC - Equipe 2",14,IF(Atletas!W176="Grupo Externo DEF - Equipe 1",15,IF(Atletas!W176="Grupo Externo DEF - Equipe 2",16,IF(Atletas!W176="Grupo Interno DEF - Equipe 1",17,IF(Atletas!W176="Grupo Interno DEF - Equipe 2",18,"")))))))))))))))))))</f>
        <v/>
      </c>
    </row>
    <row r="186" spans="2:91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 t="str">
        <f t="array" ref="Z186">IFERROR(INDEX(CE$7:CE$348,SMALL(IF(CE$7:CE$348&lt;&gt;"",ROW(CE$7:CE$348)-ROW(CE$7)+1),ROWS(CE$7:CE185))),"")</f>
        <v/>
      </c>
      <c r="AA186" s="3" t="str">
        <f t="array" ref="AA186">IFERROR(INDEX(CF$7:CF$348,SMALL(IF(CF$7:CF$348&lt;&gt;"",ROW(CF$7:CF$348)-ROW(CF$7)+1),ROWS(CF$7:CF185))),"")</f>
        <v/>
      </c>
      <c r="AB186" s="3" t="str">
        <f t="array" ref="AB186">IFERROR(INDEX(CG$7:CG$348,SMALL(IF(CG$7:CG$348&lt;&gt;"",ROW(CG$7:CG$348)-ROW(CG$7)+1),ROWS(CG$7:CG185))),"")</f>
        <v/>
      </c>
      <c r="AC186" s="3" t="str">
        <f t="array" ref="AC186">IFERROR(INDEX(CH$7:CH$348,SMALL(IF(CH$7:CH$348&lt;&gt;"",ROW(CH$7:CH$348)-ROW(CH$7)+1),ROWS(CH$7:CH185))),"")</f>
        <v/>
      </c>
      <c r="AD186" s="3" t="str">
        <f t="array" ref="AD186">IFERROR(INDEX(CI$7:CI$377,SMALL(IF(CI$7:CI$377&lt;&gt;"",ROW(CI$7:CI$377)-ROW(CI$7)+1),ROWS(CI$7:CI185))),"")</f>
        <v/>
      </c>
      <c r="AE186" s="3" t="str">
        <f t="array" ref="AE186">IFERROR(INDEX(CJ$7:CJ$378,SMALL(IF(CJ$7:CJ$378&lt;&gt;"",ROW(CJ$7:CJ$378)-ROW(CJ$7)+1),ROWS(CJ$7:CJ185))),"")</f>
        <v/>
      </c>
      <c r="AF186" s="3" t="str">
        <f t="array" ref="AF186">IFERROR(INDEX(CK$7:CK$378,SMALL(IF(CK$7:CK$378&lt;&gt;"",ROW(CK$7:CK$378)-ROW(CK$7)+1),ROWS(CK$7:CK185))),"")</f>
        <v/>
      </c>
      <c r="AG186" s="3" t="str">
        <f t="array" ref="AG186">IFERROR(INDEX(CL$7:CL$378,SMALL(IF(CL$7:CL$378&lt;&gt;"",ROW(CL$7:CL$378)-ROW(CL$7)+1),ROWS(CL$7:CL185))),"")</f>
        <v/>
      </c>
      <c r="AH186" s="3"/>
      <c r="AI186" s="3"/>
      <c r="AJ186" s="3"/>
      <c r="AK186" s="3"/>
      <c r="AL186" s="3"/>
      <c r="AM186" s="3"/>
      <c r="AN186" s="52" t="str">
        <f>IF(Atletas!D177="","",IF(Atletas!B177="Feminino",100,IF(Atletas!B177="Masculino",200,""))+(IF(Atletas!D177="Kids 30kg",1,IF(Atletas!D177="Kids 32kg",2, IF(Atletas!D177="Kids 34kg",3,IF(Atletas!D177="Kids 36kg",4,IF(Atletas!D177="Kids 39kg",5,IF(Atletas!D177="Kids 42kg",6,IF(Atletas!D177="Kids 45kg",7, IF(Atletas!D177="Infantil 39kg",8,IF(Atletas!D177="Infantil 42kg",9,IF(Atletas!D177="Infantil 45kg",10,IF(Atletas!D177="Infantil 48kg",11,IF(Atletas!D177="Infantil 52kg",12,IF(Atletas!D177="Infantil 56kg",13,IF(Atletas!D177="Infantil 60kg",14,IF(Atletas!D177="Juvenil 48kg",15,IF(Atletas!D177="Juvenil 52kg",16,IF(Atletas!D177="Juvenil 56kg",17,IF(Atletas!D177="Juvenil 60kg",18,IF(Atletas!D177="Juvenil 65kg",19,IF(Atletas!D177="Juvenil 70kg",20,IF(Atletas!D177="Juvenil 75kg",21,IF(Atletas!D177="Juvenil 80kg",22, IF(Atletas!D177="Juvenil 85kg",23,IF(Atletas!D177="Adulto 48kg",24,IF(Atletas!D177="Adulto 52kg",25,IF(Atletas!D177="Adulto 56kg",26,IF(Atletas!D177="Adulto 60kg",27,IF(Atletas!D177="Adulto 65kg",28,IF(Atletas!D177="Adulto 70kg",29,IF(Atletas!D177="Adulto 75kg",30,IF(Atletas!D177="Adulto 80kg",31,IF(Atletas!D177="Adulto 85kg",32,IF(Atletas!D177="Adulto 90kg",33,IF(Atletas!D177="Adulto 100kg",34, IF(Atletas!D177="Adulto +100kg",35,"")))))))))))))))))))))))))))))))))))))</f>
        <v/>
      </c>
      <c r="AS186" s="6" t="str">
        <f>IF(Atletas!E177="","",IF(Atletas!B177="Feminino",100,IF(Atletas!B177="Masculino",200,""))+(IF(Atletas!E177="Juvenil 44kg",1,IF(Atletas!E177="Juvenil 48kg",2,IF(Atletas!E177="Juvenil 52kg",3,IF(Atletas!E177="Juvenil 56kg",4,IF(Atletas!E177="Juvenil 60kg",5,IF(Atletas!E177="Juvenil 65kg",6,IF(Atletas!E177="Juvenil 70kg",7,IF(Atletas!E177="Juvenil 75kg",8,IF(Atletas!E177="Juvenil 82kg",9,IF(Atletas!E177="Juvenil 90kg",10,IF(Atletas!E177="Juvenil 100kg",11,IF(Atletas!E177="Adulto 48kg",12,IF(Atletas!E177="Adulto 52kg",13,IF(Atletas!E177="Adulto 56kg",14,IF(Atletas!E177="Adulto 60kg",15,IF(Atletas!E177="Adulto 65kg",16,IF(Atletas!E177="Adulto 70kg",17,IF(Atletas!E177="Adulto 75kg",18,IF(Atletas!E177="Adulto 82kg",19,IF(Atletas!E177="Adulto 90kg",20,IF(Atletas!E177="Adulto 100kg",21,IF(Atletas!E177="Adulto +100kg",22,""))))))))))))))))))))))))</f>
        <v/>
      </c>
      <c r="AX186" s="6" t="str">
        <f>IF(Atletas!F177="","",IF(Atletas!B177="Feminino",100,IF(Atletas!B177="Masculino",200,""))+(IF(Atletas!F177="Adulto 48kg",1,IF(Atletas!F177="Adulto 56kg",2,IF(Atletas!F177="Adulto 65kg",3,IF(Atletas!F177="Adulto 75kg",4,IF(Atletas!F177="Adulto +75kg",5,IF(Atletas!F177="Adulto 52kg",6,IF(Atletas!F177="Adulto 60kg",7,IF(Atletas!F177="Adulto 70kg",8,IF(Atletas!F177="Adulto 80kg",9,IF(Atletas!F177="Adulto 90kg",10,IF(Atletas!F177="Adulto +90kg",11,"")))))))))))))</f>
        <v/>
      </c>
      <c r="BC186" s="6" t="str">
        <f>IF(Atletas!G177="","",IF(Atletas!B177="Feminino",10,IF(Atletas!B177="Masculino",20,""))+(IF(Atletas!G177="Baduanjin A",1,IF(Atletas!G177="Baduanjin B",2))))</f>
        <v/>
      </c>
      <c r="BF186" s="52" t="str">
        <f>IF(Atletas!H177="","",IF(Atletas!B177="Feminino",100,IF(Atletas!B177="Masculino",200,""))+(IF(Atletas!H177="Changquan Mirim",1,IF(Atletas!H177="Nanquan Mirim",2,IF(Atletas!H177="Taijiquan Mirim",3,IF(Atletas!H177="Changquan Grupo C",4,IF(Atletas!H177="Nanquan Grupo C",5,IF(Atletas!H177="Taijiquan Grupo C",6,IF(Atletas!H177="Changquan Grupo B",7,IF(Atletas!H177="Nanquan Grupo B",8,IF(Atletas!H177="Taijiquan Grupo B",9,IF(Atletas!H177="Changquan Grupo A",10,IF(Atletas!H177="Nanquan Grupo A",11,IF(Atletas!H177="Taijiquan Grupo A",12,IF(Atletas!H177="Changquan Opcional",13,IF(Atletas!H177="Nanquan Opcional",14,IF(Atletas!H177="Taijiquan Opcional",15,IF(Atletas!H177="Changquan Adulto",16,IF(Atletas!H177="Nanquan Adulto",17,IF(Atletas!H177="Taijiquan Adulto",18,""))))))))))))))))))))</f>
        <v/>
      </c>
      <c r="BG186" s="52" t="str">
        <f>IF(Atletas!I177="","",IF(Atletas!B177="Feminino",100,IF(Atletas!B177="Masculino",200,""))+(IF(Atletas!I177="Daoshu Mirim",19,IF(Atletas!I177="Jianshu Mirim",20,IF(Atletas!I177="Nandao Mirim",21,IF(Atletas!I177="Taijijian Mirim",22,IF(Atletas!I177="Daoshu Grupo C",23,IF(Atletas!I177="Jianshu Grupo C",24,IF(Atletas!I177="Nandao Grupo C",25,IF(Atletas!I177="Taijijian Grupo C",26,IF(Atletas!I177="Daoshu Grupo B",27,IF(Atletas!I177="Jianshu Grupo B",28,IF(Atletas!I177="Nandao Grupo B",29,IF(Atletas!I177="Taijijian Grupo B",30,IF(Atletas!I177="Daoshu Grupo A",31,IF(Atletas!I177="Jianshu Grupo A",32,IF(Atletas!I177="Nandao Grupo A",33,IF(Atletas!I177="Taijijian Grupo A",34,IF(Atletas!I177="Daoshu Opcional",35,IF(Atletas!I177="Jianshu Opcional",36,IF(Atletas!I177="Nandao Opcional",37,IF(Atletas!I177="Taijijian Opcional",38,IF(Atletas!I177="Daoshu Adulto",39,IF(Atletas!I177="Jianshu Adulto",40,IF(Atletas!I177="Nandao Adulto",41,IF(Atletas!I177="Taijijian Adulto",42,""))))))))))))))))))))))))))</f>
        <v/>
      </c>
      <c r="BH186" s="52" t="str">
        <f>IF(Atletas!J177="","",IF(Atletas!B177="Feminino",100,IF(Atletas!B177="Masculino",200,""))+(IF(Atletas!J177="Gunshu Mirim",43,IF(Atletas!J177="Qiangshu Mirim",44,IF(Atletas!J177="Nangun Mirim",45,IF(Atletas!J177="Gunshu Grupo C",46,IF(Atletas!J177="Qiangshu Grupo C",47,IF(Atletas!J177="Nangun Grupo C",48,IF(Atletas!J177="Gunshu Grupo B",49,IF(Atletas!J177="Qiangshu Grupo B",50,IF(Atletas!J177="Nangun Grupo B",51,IF(Atletas!J177="Gunshu Grupo A",52,IF(Atletas!J177="Qiangshu Grupo A",53,IF(Atletas!J177="Nangun Grupo A",54,IF(Atletas!J177="Gunshu Opcional",55,IF(Atletas!J177="Qiangshu Opcional",56,IF(Atletas!J177="Nangun Opcional",57,IF(Atletas!J177="Gunshu Adulto",58,IF(Atletas!J177="Qiangshu Adulto",59,IF(Atletas!J177="Nangun Adulto",60,IF(Atletas!J177="Taijishan Grupo B",61,IF(Atletas!J177="Taijishan Grupo A",62,""))))))))))))))))))))))</f>
        <v/>
      </c>
      <c r="BM186" s="50" t="str">
        <f>IF(Atletas!K177="","",IF(Atletas!B177="Feminino",100,IF(Atletas!B177="Masculino",200,""))+(IF(Atletas!K177="Equipe 1 Grupo B",1,IF(Atletas!K177="Equipe 2 Grupo B",2,IF(Atletas!K177="Equipe 1 Grupo A",3,IF(Atletas!K177="Equipe 2 Grupo A",4,IF(Atletas!K177="Equipe 1 Adulto",5,IF(Atletas!K177="Equipe 2 Adulto",6,""))))))))</f>
        <v/>
      </c>
      <c r="BR186" s="50" t="str">
        <f>IF(Atletas!L177="","",IF(Atletas!X177&lt;&gt;"",10000,0)+(IF(Atletas!B177="Feminino",1000,IF(Atletas!B177="Masculino",2000,""))+IF(Atletas!L177="Choylayfut A",1,IF(Atletas!L177="Hunggar A",2,IF(Atletas!L177="Wuzuquan A",3,IF(Atletas!L177="Wingchun A",4,IF(Atletas!L177="Outra Mão de Sul A",5,IF(Atletas!L177="Choylayfut B",6,IF(Atletas!L177="Hunggar B",7,IF(Atletas!L177="Wuzuquan B",8,IF(Atletas!L177="Wingchun B",9,IF(Atletas!L177="Outra Mão de Sul B",10,IF(Atletas!L177="Choylayfut C",11,IF(Atletas!L177="Hunggar C",12,IF(Atletas!L177="Wuzuquan C",13,IF(Atletas!L177="Wingchun C",14,IF(Atletas!L177="Outra Mão de Sul C",15,IF(Atletas!L177="Choylayfut D",16,IF(Atletas!L177="Hunggar D",17,IF(Atletas!L177="Wuzuquan D",18,IF(Atletas!L177="Wingchun D",19,IF(Atletas!L177="Outra Mão de Sul D",20,IF(Atletas!L177="Choylayfut E",21,IF(Atletas!L177="Hunggar E",22,IF(Atletas!L177="Wuzuquan E",23,IF(Atletas!L177="Wingchun E",24,IF(Atletas!L177="Outra Mão de Sul E",25,IF(Atletas!L177="Choylayfut F",26,IF(Atletas!L177="Hunggar F",27,IF(Atletas!L177="Wuzuquan F",28,IF(Atletas!L177="Wingchun F",29,IF(Atletas!L177="Outra Mão de Sul F",30,IF(Atletas!L177="Dishuquan A",31,IF(Atletas!L177="Dishuquan B",32,IF(Atletas!L177="Dishuquan C",33,IF(Atletas!L177="Dishuquan D",34,IF(Atletas!L177="Dishuquan E",35,IF(Atletas!L177="Dishuquan F",36,""))))))))))))))))))))))))))))))))))))))</f>
        <v/>
      </c>
      <c r="BS186" s="50" t="str">
        <f>IF(Atletas!M177="","",IF(Atletas!X177&lt;&gt;"",10000,0)+(IF(Atletas!B177="Feminino",1000,IF(Atletas!B177="Masculino",2000,""))+(IF(Atletas!M177="Chaquan A",101,IF(Atletas!M177="Emeiquan A",102,IF(Atletas!M177="Fanziquan A",103,IF(Atletas!M177="Huaquan A",104,IF(Atletas!M177="Hongquan A",105,IF(Atletas!M177="Paoquan A",106,IF(Atletas!M177="Piguaquan A",107,IF(Atletas!M177="Shaolinquan A",108,IF(Atletas!M177="Tanglangquan A",109,IF(Atletas!M177="Yingzhaoquan A",110,IF(Atletas!M177="Tongbeiquan A",111,IF(Atletas!M177="Wudangquan A",112,IF(Atletas!M177="Outros Estilos A",113,IF(Atletas!M177="Chaquan B",114,IF(Atletas!M177="Emeiquan B",115,IF(Atletas!M177="Fanziquan B",116,IF(Atletas!M177="Huaquan B",117,IF(Atletas!M177="Hongquan B",118,IF(Atletas!M177="Paoquan B",119,IF(Atletas!M177="Piguaquan B",120,IF(Atletas!M177="Shaolinquan B",121,IF(Atletas!M177="Tanglangquan B",122,IF(Atletas!M177="Yingzhaoquan B",123,IF(Atletas!M177="Tongbeiquan B",124,IF(Atletas!M177="Wudangquan B",125,IF(Atletas!M177="Outros Estilos B",126,IF(Atletas!M177="Chaquan C",127,IF(Atletas!M177="Emeiquan C",128,IF(Atletas!M177="Fanziquan C",129,IF(Atletas!M177="Huaquan C",130,IF(Atletas!M177="Hongquan C",131,IF(Atletas!M177="Paoquan C",132,IF(Atletas!M177="Piguaquan C",133,IF(Atletas!M177="Shaolinquan C",134,IF(Atletas!M177="Tanglangquan C",135,IF(Atletas!M177="Yingzhaoquan C",136,IF(Atletas!M177="Tongbeiquan C",137,IF(Atletas!M177="Wudangquan C",138,IF(Atletas!M177="Outros Estilos C",139,0))))))))))))))))))))))))))))))))))))))))))</f>
        <v/>
      </c>
      <c r="BT186" s="50" t="str">
        <f>IF(Atletas!M177="","",IF(Atletas!X177&lt;&gt;"",10000,0)+(IF(Atletas!B177="Feminino",1000,IF(Atletas!B177="Masculino",2000,""))+(IF(Atletas!M177="Chaquan D",140,IF(Atletas!M177="Emeiquan D",141,IF(Atletas!M177="Fanziquan D",142,IF(Atletas!M177="Huaquan D",143,IF(Atletas!M177="Hongquan D",144,IF(Atletas!M177="Paoquan D",145,IF(Atletas!M177="Piguaquan D",146,IF(Atletas!M177="Shaolinquan D",147,IF(Atletas!M177="Tanglangquan D",148,IF(Atletas!M177="Yingzhaoquan D",149,IF(Atletas!M177="Tongbeiquan D",150,IF(Atletas!M177="Wudangquan D",151,IF(Atletas!M177="Outros Estilos D",152,IF(Atletas!M177="Chaquan E",153,IF(Atletas!M177="Emeiquan E",154,IF(Atletas!M177="Fanziquan E",155,IF(Atletas!M177="Huaquan E",156,IF(Atletas!M177="Hongquan E",157,IF(Atletas!M177="Paoquan E",158,IF(Atletas!M177="Piguaquan E",159,IF(Atletas!M177="Shaolinquan E",160,IF(Atletas!M177="Tanglangquan E",161,IF(Atletas!M177="Yingzhaoquan E",162,IF(Atletas!M177="Tongbeiquan E",163,IF(Atletas!M177="Wudangquan E",164,IF(Atletas!M177="Outros Estilos E",165,IF(Atletas!M177="Chaquan F",166,IF(Atletas!M177="Emeiquan F",167,IF(Atletas!M177="Fanziquan F",168,IF(Atletas!M177="Huaquan F",169,IF(Atletas!M177="Hongquan F",170,IF(Atletas!M177="Paoquan F",171,IF(Atletas!M177="Piguaquan F",172,IF(Atletas!M177="Shaolinquan F",173,IF(Atletas!M177="Tanglangquan F",174,IF(Atletas!M177="Yingzhaoquan F",175,IF(Atletas!M177="Tongbeiquan F",176,IF(Atletas!M177="Wudangquan F",177,IF(Atletas!M177="Outros Estilos F",178,0))))))))))))))))))))))))))))))))))))))))))</f>
        <v/>
      </c>
      <c r="BU186" s="50" t="str">
        <f>IF(Atletas!N177="","",IF(Atletas!X177&lt;&gt;"",10000,0)+(IF(Atletas!B177="Feminino",1000,IF(Atletas!B177="Masculino",2000,""))+(IF(Atletas!N177="Ditangquan A",201,IF(Atletas!N177="Houquan A",202,IF(Atletas!N177="Zuiquan A",203,IF(Atletas!N177="Ditangquan B",204,IF(Atletas!N177="Houquan B",205,IF(Atletas!N177="Zuiquan B",206,IF(Atletas!N177="Ditangquan C",207,IF(Atletas!N177="Houquan C",208,IF(Atletas!N177="Zuiquan C",209,IF(Atletas!N177="Ditangquan D",210,IF(Atletas!N177="Houquan D",211,IF(Atletas!N177="Zuiquan D",212,IF(Atletas!N177="Ditangquan E",213,IF(Atletas!N177="Houquan E",214,IF(Atletas!N177="Zuiquan E",215,IF(Atletas!N177="Ditangquan F",216,IF(Atletas!N177="Houquan F",217,IF(Atletas!N177="Zuiquan F",218,"")))))))))))))))))))))</f>
        <v/>
      </c>
      <c r="BV186" s="50" t="str">
        <f>IF(Atletas!O177="","",IF(Atletas!X177&lt;&gt;"",10000,0)+IF(Atletas!B177="Feminino",1000,IF(Atletas!B177="Masculino",2000,""))+IF(Atletas!O177="Yang A",301,IF(Atletas!O177="Chen A",302,IF(Atletas!O177="Sun A",303,IF(Atletas!O177="Wu A",304,IF(Atletas!O177="Wu-Hao A",305,IF(Atletas!O177="Outro Taijiquan A",306,IF(Atletas!O177="Yang B",307,IF(Atletas!O177="Chen B",308,IF(Atletas!O177="Sun B",309,IF(Atletas!O177="Wu B",310,IF(Atletas!O177="Wu-Hao B",311,IF(Atletas!O177="Outro Taijiquan B",312,IF(Atletas!O177="Yang C",313,IF(Atletas!O177="Chen C",314,IF(Atletas!O177="Sun C",315,IF(Atletas!O177="Wu C",316,IF(Atletas!O177="Wu-Hao C",317,IF(Atletas!O177="Outro Taijiquan C",318,IF(Atletas!O177="Yang D",319,IF(Atletas!O177="Chen D",320,IF(Atletas!O177="Sun D",321,IF(Atletas!O177="Wu D",322,IF(Atletas!O177="Wu-Hao D",323,IF(Atletas!O177="Outro Taijiquan D",324,IF(Atletas!O177="Yang E",325,IF(Atletas!O177="Chen E",326,IF(Atletas!O177="Sun E",327,IF(Atletas!O177="Wu E",328,IF(Atletas!O177="Wu-Hao E",329,IF(Atletas!O177="Outro Taijiquan E",330,IF(Atletas!O177="Yang F",331,IF(Atletas!O177="Chen F",332,IF(Atletas!O177="Sun F",333,IF(Atletas!O177="Wu F",334,IF(Atletas!O177="Wu-Hao F",335,IF(Atletas!O177="Outro Taijiquan F",336,"")))))))))))))))))))))))))))))))))))))</f>
        <v/>
      </c>
      <c r="BW186" s="50" t="str">
        <f>IF(Atletas!P177="","",IF(Atletas!X177&lt;&gt;"",10000,0)+IF(Atletas!B177="Feminino",1000,IF(Atletas!B177="Masculino",2000,""))+IF(OR(Atletas!P177="Yang 26 A",Atletas!P177="Yang 40 A"),401,IF(OR(Atletas!P177="Chen 25 A",Atletas!P177="Chen 36 A",Atletas!P177="Chen 56 A"),402,IF(Atletas!P177="Sun 73 A",403,IF(Atletas!P177="Wu 45 A",404,IF(Atletas!P177="Wu-Hao 46 A",405,IF(OR(Atletas!P177="Taijiquan 16 A",Atletas!P177="Taijiquan 24 A",Atletas!P177="Taijiquan 32 A",Atletas!P177="Taijiquan 42 A"),406,IF(OR(Atletas!P177="Yang 26 B",Atletas!P177="Yang 40 B"),407,IF(OR(Atletas!P177="Chen 25 B",Atletas!P177="Chen 36 B",Atletas!P177="Chen 56 B"),408,IF(Atletas!P177="Sun 73 B",409,IF(Atletas!P177="Wu 45 B",410,IF(Atletas!P177="Wu-Hao 46 B",411,IF(OR(Atletas!P177="Taijiquan 16 B",Atletas!P177="Taijiquan 24 B",Atletas!P177="Taijiquan 32 B",Atletas!P177="Taijiquan 42 B"),412,IF(OR(Atletas!P177="Yang 26 C",Atletas!P177="Yang 40 C"),413,IF(OR(Atletas!P177="Chen 25 C",Atletas!P177="Chen 36 C",Atletas!P177="Chen 56 C"),414,IF(Atletas!P177="Sun 73 C",415,IF(Atletas!P177="Wu 45 C",416,IF(Atletas!P177="Wu-Hao 46 C",417,IF(OR(Atletas!P177="Taijiquan 16 C",Atletas!P177="Taijiquan 24 C",Atletas!P177="Taijiquan 32 C",Atletas!P177="Taijiquan 42 C"),418,0)))))))))))))))))))</f>
        <v/>
      </c>
      <c r="BX186" s="50" t="str">
        <f>IF(Atletas!P177="","",IF(Atletas!X177&lt;&gt;"",10000,0)+IF(Atletas!B177="Feminino",1000,IF(Atletas!B177="Masculino",2000,""))+IF(OR(Atletas!P177="Yang 26 D",Atletas!P177="Yang 40 D"),419,IF(OR(Atletas!P177="Chen 25 D",Atletas!P177="Chen 36 D",Atletas!P177="Chen 56 D"),420,IF(Atletas!P177="Sun 73 D",421,IF(Atletas!P177="Wu 45 D",422,IF(Atletas!P177="Wu-Hao 46 D",423,IF(OR(Atletas!P177="Taijiquan 16 D",Atletas!P177="Taijiquan 24 D",Atletas!P177="Taijiquan 32 D",Atletas!P177="Taijiquan 42 D"),424,IF(OR(Atletas!P177="Yang 26 E",Atletas!P177="Yang 40 E"),425,IF(OR(Atletas!P177="Chen 25 E",Atletas!P177="Chen 36 E",Atletas!P177="Chen 56 E"),426,IF(Atletas!P177="Sun 73 E",427,IF(Atletas!P177="Wu 45 E",428,IF(Atletas!P177="Wu-Hao 46 E",429,IF(OR(Atletas!P177="Taijiquan 16 E",Atletas!P177="Taijiquan 24 E",Atletas!P177="Taijiquan 32 E",Atletas!P177="Taijiquan 42 E"),430,IF(OR(Atletas!P177="Yang 26 F",Atletas!P177="Yang 40 F"),431,IF(OR(Atletas!P177="Chen 25 F",Atletas!P177="Chen 36 F",Atletas!P177="Chen 56 F"),432,IF(Atletas!P177="Sun 73 F",433,IF(Atletas!P177="Wu 45 F",434,IF(Atletas!P177="Wu-Hao 46 F",435,IF(OR(Atletas!P177="Taijiquan 16 F",Atletas!P177="Taijiquan 24 F",Atletas!P177="Taijiquan 32 F",Atletas!P177="Taijiquan 42 F"),436,0)))))))))))))))))))</f>
        <v/>
      </c>
      <c r="BY186" s="50" t="str">
        <f>IF(Atletas!Q177="","",IF(Atletas!X177&lt;&gt;"",10000,0)+IF(Atletas!B177="Feminino",1000,IF(Atletas!B177="Masculino",2000,""))+IF(Atletas!Q177="Xingyiquan A",501,IF(Atletas!Q177="Baguazhang A",502,IF(Atletas!Q177="Outro Estilo Interno A",503,IF(Atletas!Q177="Xingyiquan B",504,IF(Atletas!Q177="Baguazhang B",505,IF(Atletas!Q177="Outro Estilo Interno B",506,IF(Atletas!Q177="Xingyiquan C",507,IF(Atletas!Q177="Baguazhang C",508,IF(Atletas!Q177="Outro Estilo Interno C",509,IF(Atletas!Q177="Xingyiquan D",510,IF(Atletas!Q177="Baguazhang D",511,IF(Atletas!Q177="Outro Estilo Interno D",512,IF(Atletas!Q177="Xingyiquan E",513,IF(Atletas!Q177="Baguazhang E",514,IF(Atletas!Q177="Outro Estilo Interno E",515,IF(Atletas!Q177="Xingyiquan F",516,IF(Atletas!Q177="Baguazhang F",517,IF(Atletas!Q177="Outro Estilo Interno F",518, "")))))))))))))))))))</f>
        <v/>
      </c>
      <c r="BZ186" s="50" t="str">
        <f>IF(Atletas!R177="","",IF(Atletas!X177&lt;&gt;"",10000,0)+IF(Atletas!B177="Feminino",1000,IF(Atletas!B177="Masculino",2000,""))+IF(Atletas!R177="Dao A",601,IF(Atletas!R177="Jian A",602,IF(Atletas!R177="Bishou A",603,IF(Atletas!R177="Shanzi A",604,IF(Atletas!R177="Outra Arma Curta A",605,IF(Atletas!R177="Dao B",606,IF(Atletas!R177="Jian B",607,IF(Atletas!R177="Bishou B",608,IF(Atletas!R177="Shanzi B",609,IF(Atletas!R177="Outra Arma Curta B",610,IF(Atletas!R177="Dao C",611,IF(Atletas!R177="Jian C",612,IF(Atletas!R177="Bishou C",613,IF(Atletas!R177="Shanzi C",614,IF(Atletas!R177="Outra Arma Curta C",615,IF(Atletas!R177="Dao D",616,IF(Atletas!R177="Jian D",617,IF(Atletas!R177="Bishou D",618,IF(Atletas!R177="Shanzi D",619,IF(Atletas!R177="Outra Arma Curta D",620,IF(Atletas!R177="Dao E",621,IF(Atletas!R177="Jian E",622,IF(Atletas!R177="Bishou E",623,IF(Atletas!R177="Shanzi E",624,IF(Atletas!R177="Outra Arma Curta E",625,IF(Atletas!R177="Dao F",626,IF(Atletas!R177="Jian F",627,IF(Atletas!R177="Bishou F",628,IF(Atletas!R177="Shanzi F",629,IF(Atletas!R177="Outra Arma Curta F",630, "")))))))))))))))))))))))))))))))</f>
        <v/>
      </c>
      <c r="CA186" s="50" t="str">
        <f>IF(Atletas!S177="","",IF(Atletas!X177&lt;&gt;"",10000,0)+IF(Atletas!B177="Feminino",1000,IF(Atletas!B177="Masculino",2000,""))+IF(Atletas!S177="Gun A",701,IF(Atletas!S177="Qiang A",702,IF(Atletas!S177="Pudao / Guandao A",703,IF(Atletas!S177="Outra Arma Longa A",704,IF(Atletas!S177="Gun B",705,IF(Atletas!S177="Qiang B",706,IF(Atletas!S177="Pudao / Guandao B",707,IF(Atletas!S177="Outra Arma Longa B",708,IF(Atletas!S177="Gun C",709,IF(Atletas!S177="Qiang C",710,IF(Atletas!S177="Pudao / Guandao C",711,IF(Atletas!S177="Outra Arma Longa C",712,IF(Atletas!S177="Gun D",713,IF(Atletas!S177="Qiang D",714,IF(Atletas!S177="Pudao / Guandao D",715,IF(Atletas!S177="Outra Arma Longa D",716,IF(Atletas!S177="Gun E",717,IF(Atletas!S177="Qiang E",718,IF(Atletas!S177="Pudao / Guandao E",719,IF(Atletas!S177="Outra Arma Longa E",720,IF(Atletas!S177="Gun F",721,IF(Atletas!S177="Qiang F",722,IF(Atletas!S177="Pudao / Guandao F",723,IF(Atletas!S177="Outra Arma Longa F",724,"")))))))))))))))))))))))))</f>
        <v/>
      </c>
      <c r="CB186" s="50" t="str">
        <f>IF(Atletas!T177="","",IF(Atletas!X177&lt;&gt;"",10000,0)+IF(Atletas!B177="Feminino",1000,IF(Atletas!B177="Masculino",2000,""))+IF(Atletas!T177="Outra Arma Dupla A",801,IF(Atletas!T177="Arma Maleável A",802,IF(Atletas!T177="Outra Arma Dupla B",803,IF(Atletas!T177="Arma Maleável B",804,IF(Atletas!T177="Outra Arma Dupla C",805,IF(Atletas!T177="Arma Maleável C",806,IF(Atletas!T177="Outra Arma Dupla D",807,IF(Atletas!T177="Arma Maleável D",808,IF(Atletas!T177="Outra Arma Dupla E",809,IF(Atletas!T177="Arma Maleável E",810,IF(Atletas!T177="Outra Arma Dupla F",811,IF(Atletas!T177="Arma Maleável F",812,IF(Atletas!T177="Shuangdao A",813,IF(Atletas!T177="Shuangdao B",814,IF(Atletas!T177="Shuangdao C",815,IF(Atletas!T177="Shuangdao D",816,IF(Atletas!T177="Shuangdao E",817,IF(Atletas!T177="Shuangdao F",818,"")))))))))))))))))))</f>
        <v/>
      </c>
      <c r="CC186" s="50" t="str">
        <f>IF(Atletas!U177="","",IF(Atletas!X177&lt;&gt;"",10000,0)+IF(Atletas!B177="Feminino",1000,IF(Atletas!B177="Masculino",2000,""))+IF(OR(Atletas!U177="Taijijian Yang A",Atletas!U177="Taijijian Yang Standard A"),901,IF(OR(Atletas!U177="Taijijian Chen A", Atletas!U177="Taijijian Chen Standard A"),902,IF(Atletas!U177="Taijijian Sun A",903,IF(Atletas!U177="Taijijian Wu A",904,IF(Atletas!U177="Taijijian Wu-Hao A",905,IF(OR(Atletas!U177="Taijijian 32 A",Atletas!U177="Taijijian 42 A"),906,IF(OR(Atletas!U177="Taijijian Yang B",Atletas!U177="Taijijian Yang Standard B"),907,IF(OR(Atletas!U177="Taijijian Chen B", Atletas!U177="Taijijian Chen Standard B"),908,IF(Atletas!U177="Taijijian Sun B",909,IF(Atletas!U177="Taijijian Wu B",910,IF(Atletas!U177="Taijijian Wu-Hao B",911,IF(OR(Atletas!U177="Taijijian 32 B",Atletas!U177="Taijijian 42 B"),912,IF(OR(Atletas!U177="Taijijian Yang C",Atletas!U177="Taijijian Yang Standard C"),913,IF(OR(Atletas!U177="Taijijian Chen C", Atletas!U177="Taijijian Chen Standard C"),914,IF(Atletas!U177="Taijijian Sun C",915,IF(Atletas!U177="Taijijian Wu C",916,IF(Atletas!U177="Taijijian Wu-Hao C",917,IF(OR(Atletas!U177="Taijijian 32 C",Atletas!U177="Taijijian 42 C"),918,IF(OR(Atletas!U177="Taijijian Yang D",Atletas!U177="Taijijian Yang Standard D"),919,IF(OR(Atletas!U177="Taijijian Chen D", Atletas!U177="Taijijian Chen Standard D"),920,IF(Atletas!U177="Taijijian Sun D",921,IF(Atletas!U177="Taijijian Wu D",922,IF(Atletas!U177="Taijijian Wu-Hao D",923,IF(OR(Atletas!U177="Taijijian 32 D",Atletas!U177="Taijijian 42 D"),924,IF(OR(Atletas!U177="Taijijian Yang E",Atletas!U177="Taijijian Yang Standard E"),925,IF(OR(Atletas!U177="Taijijian Chen E", Atletas!U177="Taijijian Chen Standard E"),926,IF(Atletas!U177="Taijijian Sun E",927,IF(Atletas!U177="Taijijian Wu E",928,IF(Atletas!U177="Taijijian Wu-Hao E",929,IF(OR(Atletas!U177="Taijijian 32 E",Atletas!U177="Taijijian 42 E"),930,IF(OR(Atletas!U177="Taijijian Yang F",Atletas!U177="Taijijian Yang Standard F"),931,IF(OR(Atletas!U177="Taijijian Chen F", Atletas!U177="Taijijian Chen Standard F"),932,IF(Atletas!U177="Taijijian Sun F",933,IF(Atletas!U177="Taijijian Wu F",934,IF(Atletas!U177="Taijijian Wu-Hao F",935,IF(OR(Atletas!U177="Taijijian 32 F",Atletas!U177="Taijijian 42 F"),936,"")))))))))))))))))))))))))))))))))))))</f>
        <v/>
      </c>
      <c r="CD186" s="50" t="str">
        <f>IF(Atletas!V177="","",IF(Atletas!X177&lt;&gt;"",10000,0)+IF(Atletas!B177="Feminino",1000,IF(Atletas!B177="Masculino",2000,""))+IF(Atletas!V177="Taijidao A",937,IF(Atletas!V177="TaijiShanzi A",938,IF(Atletas!V177="Taijiqiang A",939,IF(Atletas!V177="Bagua de Arma A",940,IF(Atletas!V177="Xingyi de Arma A",941,IF(Atletas!V177="Taijidao B",942,IF(Atletas!V177="TaijiShanzi B",943,IF(Atletas!V177="Taijiqiang B",944,IF(Atletas!V177="Bagua de Arma B",945,IF(Atletas!V177="Xingyi de Arma B",946,IF(Atletas!V177="Taijidao C",947,IF(Atletas!V177="TaijiShanzi C",948,IF(Atletas!V177="Taijiqiang C",949,IF(Atletas!V177="Bagua de Arma C",950,IF(Atletas!V177="Xingyi de Arma C",951,IF(Atletas!V177="Taijidao D",952,IF(Atletas!V177="TaijiShanzi D",953,IF(Atletas!V177="Taijiqiang D",954,IF(Atletas!V177="Bagua de Arma D",955,IF(Atletas!V177="Xingyi de Arma D",956,IF(Atletas!V177="Taijidao E",957,IF(Atletas!V177="TaijiShanzi E",958,IF(Atletas!V177="Taijiqiang E",959,IF(Atletas!V177="Bagua de Arma E",960,IF(Atletas!V177="Xingyi de Arma E",961,IF(Atletas!V177="Taijidao F",962,IF(Atletas!V177="TaijiShanzi F",963,IF(Atletas!V177="Taijiqiang F",964,IF(Atletas!V177="Bagua de Arma F",965,IF(Atletas!V177="Xingyi de Arma F",966,"")))))))))))))))))))))))))))))))</f>
        <v/>
      </c>
      <c r="CE186" s="66" t="str">
        <f>IF(CF186&lt;&gt;"","TJQ Padr. Combinado B","")</f>
        <v/>
      </c>
      <c r="CF186" s="66" t="str">
        <f>IF(COUNTIF(BR:CD,1412)&gt;0,COUNTIF(BR:CD,1412),"")</f>
        <v/>
      </c>
      <c r="CG186" s="66" t="str">
        <f>IF(CH186&lt;&gt;"","TJQ Padr. Combinado B","")</f>
        <v/>
      </c>
      <c r="CH186" s="66" t="str">
        <f>IF(COUNTIF(BR:CD,2412)&gt;0,COUNTIF(BR:CD,2412),"")</f>
        <v/>
      </c>
      <c r="CI186" s="66" t="str">
        <f>IF(CJ186&lt;&gt;"","TJQ Padr. Combinado C","")</f>
        <v/>
      </c>
      <c r="CJ186" s="66" t="str">
        <f>IF(COUNTIF(BR:CD,11418)&gt;0,COUNTIF(BR:CD,11418),"")</f>
        <v/>
      </c>
      <c r="CK186" s="66" t="str">
        <f>IF(CL186&lt;&gt;"","TJQ Padr. Combinado C","")</f>
        <v/>
      </c>
      <c r="CL186" s="66" t="str">
        <f>IF(COUNTIF(BR:CD,12418)&gt;0,COUNTIF(BR:CD,12418),"")</f>
        <v/>
      </c>
      <c r="CM186" s="50" t="str">
        <f xml:space="preserve"> IF(Atletas!W177="","",IF(Atletas!W177="Duilian de Mãos BC - Equipe 1",1,IF(Atletas!W177="Duilian de Mãos BC - Equipe 2",2,IF(Atletas!W177="Duilian de Armas BC - Equipe 1",3,IF(Atletas!W177="Duilian de Armas BC - Equipe 2",4,IF(Atletas!W177="Duilian de Mãos DE - Equipe 1",5,IF(Atletas!W177="Duilian de Mãos DE - Equipe 2",6,IF(Atletas!W177="Duilian de Armas DE - Equipe 1",7,IF(Atletas!W177="Duilian de Armas DE - Equipe 2",8,IF(Atletas!W177="Duilian de Tuishou - Equipe 1",9,IF(Atletas!W177="Duilian de Tuishou - Equipe 2",10,IF(Atletas!W177="Grupo Externo ABC - Equipe 1",11,IF(Atletas!W177="Grupo Externo ABC - Equipe 2",12,IF(Atletas!W177="Grupo Interno ABC - Equipe 1",13,IF(Atletas!W177="Grupo Interno ABC - Equipe 2",14,IF(Atletas!W177="Grupo Externo DEF - Equipe 1",15,IF(Atletas!W177="Grupo Externo DEF - Equipe 2",16,IF(Atletas!W177="Grupo Interno DEF - Equipe 1",17,IF(Atletas!W177="Grupo Interno DEF - Equipe 2",18,"")))))))))))))))))))</f>
        <v/>
      </c>
    </row>
    <row r="187" spans="2:91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 t="str">
        <f t="array" ref="Z187">IFERROR(INDEX(CE$7:CE$348,SMALL(IF(CE$7:CE$348&lt;&gt;"",ROW(CE$7:CE$348)-ROW(CE$7)+1),ROWS(CE$7:CE186))),"")</f>
        <v/>
      </c>
      <c r="AA187" s="3" t="str">
        <f t="array" ref="AA187">IFERROR(INDEX(CF$7:CF$348,SMALL(IF(CF$7:CF$348&lt;&gt;"",ROW(CF$7:CF$348)-ROW(CF$7)+1),ROWS(CF$7:CF186))),"")</f>
        <v/>
      </c>
      <c r="AB187" s="3" t="str">
        <f t="array" ref="AB187">IFERROR(INDEX(CG$7:CG$348,SMALL(IF(CG$7:CG$348&lt;&gt;"",ROW(CG$7:CG$348)-ROW(CG$7)+1),ROWS(CG$7:CG186))),"")</f>
        <v/>
      </c>
      <c r="AC187" s="3" t="str">
        <f t="array" ref="AC187">IFERROR(INDEX(CH$7:CH$348,SMALL(IF(CH$7:CH$348&lt;&gt;"",ROW(CH$7:CH$348)-ROW(CH$7)+1),ROWS(CH$7:CH186))),"")</f>
        <v/>
      </c>
      <c r="AD187" s="3" t="str">
        <f t="array" ref="AD187">IFERROR(INDEX(CI$7:CI$377,SMALL(IF(CI$7:CI$377&lt;&gt;"",ROW(CI$7:CI$377)-ROW(CI$7)+1),ROWS(CI$7:CI186))),"")</f>
        <v/>
      </c>
      <c r="AE187" s="3" t="str">
        <f t="array" ref="AE187">IFERROR(INDEX(CJ$7:CJ$378,SMALL(IF(CJ$7:CJ$378&lt;&gt;"",ROW(CJ$7:CJ$378)-ROW(CJ$7)+1),ROWS(CJ$7:CJ186))),"")</f>
        <v/>
      </c>
      <c r="AF187" s="3" t="str">
        <f t="array" ref="AF187">IFERROR(INDEX(CK$7:CK$378,SMALL(IF(CK$7:CK$378&lt;&gt;"",ROW(CK$7:CK$378)-ROW(CK$7)+1),ROWS(CK$7:CK186))),"")</f>
        <v/>
      </c>
      <c r="AG187" s="3" t="str">
        <f t="array" ref="AG187">IFERROR(INDEX(CL$7:CL$378,SMALL(IF(CL$7:CL$378&lt;&gt;"",ROW(CL$7:CL$378)-ROW(CL$7)+1),ROWS(CL$7:CL186))),"")</f>
        <v/>
      </c>
      <c r="AH187" s="3"/>
      <c r="AI187" s="3"/>
      <c r="AJ187" s="3"/>
      <c r="AK187" s="3"/>
      <c r="AL187" s="3"/>
      <c r="AM187" s="3"/>
      <c r="AN187" s="52" t="str">
        <f>IF(Atletas!D178="","",IF(Atletas!B178="Feminino",100,IF(Atletas!B178="Masculino",200,""))+(IF(Atletas!D178="Kids 30kg",1,IF(Atletas!D178="Kids 32kg",2, IF(Atletas!D178="Kids 34kg",3,IF(Atletas!D178="Kids 36kg",4,IF(Atletas!D178="Kids 39kg",5,IF(Atletas!D178="Kids 42kg",6,IF(Atletas!D178="Kids 45kg",7, IF(Atletas!D178="Infantil 39kg",8,IF(Atletas!D178="Infantil 42kg",9,IF(Atletas!D178="Infantil 45kg",10,IF(Atletas!D178="Infantil 48kg",11,IF(Atletas!D178="Infantil 52kg",12,IF(Atletas!D178="Infantil 56kg",13,IF(Atletas!D178="Infantil 60kg",14,IF(Atletas!D178="Juvenil 48kg",15,IF(Atletas!D178="Juvenil 52kg",16,IF(Atletas!D178="Juvenil 56kg",17,IF(Atletas!D178="Juvenil 60kg",18,IF(Atletas!D178="Juvenil 65kg",19,IF(Atletas!D178="Juvenil 70kg",20,IF(Atletas!D178="Juvenil 75kg",21,IF(Atletas!D178="Juvenil 80kg",22, IF(Atletas!D178="Juvenil 85kg",23,IF(Atletas!D178="Adulto 48kg",24,IF(Atletas!D178="Adulto 52kg",25,IF(Atletas!D178="Adulto 56kg",26,IF(Atletas!D178="Adulto 60kg",27,IF(Atletas!D178="Adulto 65kg",28,IF(Atletas!D178="Adulto 70kg",29,IF(Atletas!D178="Adulto 75kg",30,IF(Atletas!D178="Adulto 80kg",31,IF(Atletas!D178="Adulto 85kg",32,IF(Atletas!D178="Adulto 90kg",33,IF(Atletas!D178="Adulto 100kg",34, IF(Atletas!D178="Adulto +100kg",35,"")))))))))))))))))))))))))))))))))))))</f>
        <v/>
      </c>
      <c r="AS187" s="6" t="str">
        <f>IF(Atletas!E178="","",IF(Atletas!B178="Feminino",100,IF(Atletas!B178="Masculino",200,""))+(IF(Atletas!E178="Juvenil 44kg",1,IF(Atletas!E178="Juvenil 48kg",2,IF(Atletas!E178="Juvenil 52kg",3,IF(Atletas!E178="Juvenil 56kg",4,IF(Atletas!E178="Juvenil 60kg",5,IF(Atletas!E178="Juvenil 65kg",6,IF(Atletas!E178="Juvenil 70kg",7,IF(Atletas!E178="Juvenil 75kg",8,IF(Atletas!E178="Juvenil 82kg",9,IF(Atletas!E178="Juvenil 90kg",10,IF(Atletas!E178="Juvenil 100kg",11,IF(Atletas!E178="Adulto 48kg",12,IF(Atletas!E178="Adulto 52kg",13,IF(Atletas!E178="Adulto 56kg",14,IF(Atletas!E178="Adulto 60kg",15,IF(Atletas!E178="Adulto 65kg",16,IF(Atletas!E178="Adulto 70kg",17,IF(Atletas!E178="Adulto 75kg",18,IF(Atletas!E178="Adulto 82kg",19,IF(Atletas!E178="Adulto 90kg",20,IF(Atletas!E178="Adulto 100kg",21,IF(Atletas!E178="Adulto +100kg",22,""))))))))))))))))))))))))</f>
        <v/>
      </c>
      <c r="AX187" s="6" t="str">
        <f>IF(Atletas!F178="","",IF(Atletas!B178="Feminino",100,IF(Atletas!B178="Masculino",200,""))+(IF(Atletas!F178="Adulto 48kg",1,IF(Atletas!F178="Adulto 56kg",2,IF(Atletas!F178="Adulto 65kg",3,IF(Atletas!F178="Adulto 75kg",4,IF(Atletas!F178="Adulto +75kg",5,IF(Atletas!F178="Adulto 52kg",6,IF(Atletas!F178="Adulto 60kg",7,IF(Atletas!F178="Adulto 70kg",8,IF(Atletas!F178="Adulto 80kg",9,IF(Atletas!F178="Adulto 90kg",10,IF(Atletas!F178="Adulto +90kg",11,"")))))))))))))</f>
        <v/>
      </c>
      <c r="BC187" s="6" t="str">
        <f>IF(Atletas!G178="","",IF(Atletas!B178="Feminino",10,IF(Atletas!B178="Masculino",20,""))+(IF(Atletas!G178="Baduanjin A",1,IF(Atletas!G178="Baduanjin B",2))))</f>
        <v/>
      </c>
      <c r="BF187" s="52" t="str">
        <f>IF(Atletas!H178="","",IF(Atletas!B178="Feminino",100,IF(Atletas!B178="Masculino",200,""))+(IF(Atletas!H178="Changquan Mirim",1,IF(Atletas!H178="Nanquan Mirim",2,IF(Atletas!H178="Taijiquan Mirim",3,IF(Atletas!H178="Changquan Grupo C",4,IF(Atletas!H178="Nanquan Grupo C",5,IF(Atletas!H178="Taijiquan Grupo C",6,IF(Atletas!H178="Changquan Grupo B",7,IF(Atletas!H178="Nanquan Grupo B",8,IF(Atletas!H178="Taijiquan Grupo B",9,IF(Atletas!H178="Changquan Grupo A",10,IF(Atletas!H178="Nanquan Grupo A",11,IF(Atletas!H178="Taijiquan Grupo A",12,IF(Atletas!H178="Changquan Opcional",13,IF(Atletas!H178="Nanquan Opcional",14,IF(Atletas!H178="Taijiquan Opcional",15,IF(Atletas!H178="Changquan Adulto",16,IF(Atletas!H178="Nanquan Adulto",17,IF(Atletas!H178="Taijiquan Adulto",18,""))))))))))))))))))))</f>
        <v/>
      </c>
      <c r="BG187" s="52" t="str">
        <f>IF(Atletas!I178="","",IF(Atletas!B178="Feminino",100,IF(Atletas!B178="Masculino",200,""))+(IF(Atletas!I178="Daoshu Mirim",19,IF(Atletas!I178="Jianshu Mirim",20,IF(Atletas!I178="Nandao Mirim",21,IF(Atletas!I178="Taijijian Mirim",22,IF(Atletas!I178="Daoshu Grupo C",23,IF(Atletas!I178="Jianshu Grupo C",24,IF(Atletas!I178="Nandao Grupo C",25,IF(Atletas!I178="Taijijian Grupo C",26,IF(Atletas!I178="Daoshu Grupo B",27,IF(Atletas!I178="Jianshu Grupo B",28,IF(Atletas!I178="Nandao Grupo B",29,IF(Atletas!I178="Taijijian Grupo B",30,IF(Atletas!I178="Daoshu Grupo A",31,IF(Atletas!I178="Jianshu Grupo A",32,IF(Atletas!I178="Nandao Grupo A",33,IF(Atletas!I178="Taijijian Grupo A",34,IF(Atletas!I178="Daoshu Opcional",35,IF(Atletas!I178="Jianshu Opcional",36,IF(Atletas!I178="Nandao Opcional",37,IF(Atletas!I178="Taijijian Opcional",38,IF(Atletas!I178="Daoshu Adulto",39,IF(Atletas!I178="Jianshu Adulto",40,IF(Atletas!I178="Nandao Adulto",41,IF(Atletas!I178="Taijijian Adulto",42,""))))))))))))))))))))))))))</f>
        <v/>
      </c>
      <c r="BH187" s="52" t="str">
        <f>IF(Atletas!J178="","",IF(Atletas!B178="Feminino",100,IF(Atletas!B178="Masculino",200,""))+(IF(Atletas!J178="Gunshu Mirim",43,IF(Atletas!J178="Qiangshu Mirim",44,IF(Atletas!J178="Nangun Mirim",45,IF(Atletas!J178="Gunshu Grupo C",46,IF(Atletas!J178="Qiangshu Grupo C",47,IF(Atletas!J178="Nangun Grupo C",48,IF(Atletas!J178="Gunshu Grupo B",49,IF(Atletas!J178="Qiangshu Grupo B",50,IF(Atletas!J178="Nangun Grupo B",51,IF(Atletas!J178="Gunshu Grupo A",52,IF(Atletas!J178="Qiangshu Grupo A",53,IF(Atletas!J178="Nangun Grupo A",54,IF(Atletas!J178="Gunshu Opcional",55,IF(Atletas!J178="Qiangshu Opcional",56,IF(Atletas!J178="Nangun Opcional",57,IF(Atletas!J178="Gunshu Adulto",58,IF(Atletas!J178="Qiangshu Adulto",59,IF(Atletas!J178="Nangun Adulto",60,IF(Atletas!J178="Taijishan Grupo B",61,IF(Atletas!J178="Taijishan Grupo A",62,""))))))))))))))))))))))</f>
        <v/>
      </c>
      <c r="BM187" s="50" t="str">
        <f>IF(Atletas!K178="","",IF(Atletas!B178="Feminino",100,IF(Atletas!B178="Masculino",200,""))+(IF(Atletas!K178="Equipe 1 Grupo B",1,IF(Atletas!K178="Equipe 2 Grupo B",2,IF(Atletas!K178="Equipe 1 Grupo A",3,IF(Atletas!K178="Equipe 2 Grupo A",4,IF(Atletas!K178="Equipe 1 Adulto",5,IF(Atletas!K178="Equipe 2 Adulto",6,""))))))))</f>
        <v/>
      </c>
      <c r="BR187" s="50" t="str">
        <f>IF(Atletas!L178="","",IF(Atletas!X178&lt;&gt;"",10000,0)+(IF(Atletas!B178="Feminino",1000,IF(Atletas!B178="Masculino",2000,""))+IF(Atletas!L178="Choylayfut A",1,IF(Atletas!L178="Hunggar A",2,IF(Atletas!L178="Wuzuquan A",3,IF(Atletas!L178="Wingchun A",4,IF(Atletas!L178="Outra Mão de Sul A",5,IF(Atletas!L178="Choylayfut B",6,IF(Atletas!L178="Hunggar B",7,IF(Atletas!L178="Wuzuquan B",8,IF(Atletas!L178="Wingchun B",9,IF(Atletas!L178="Outra Mão de Sul B",10,IF(Atletas!L178="Choylayfut C",11,IF(Atletas!L178="Hunggar C",12,IF(Atletas!L178="Wuzuquan C",13,IF(Atletas!L178="Wingchun C",14,IF(Atletas!L178="Outra Mão de Sul C",15,IF(Atletas!L178="Choylayfut D",16,IF(Atletas!L178="Hunggar D",17,IF(Atletas!L178="Wuzuquan D",18,IF(Atletas!L178="Wingchun D",19,IF(Atletas!L178="Outra Mão de Sul D",20,IF(Atletas!L178="Choylayfut E",21,IF(Atletas!L178="Hunggar E",22,IF(Atletas!L178="Wuzuquan E",23,IF(Atletas!L178="Wingchun E",24,IF(Atletas!L178="Outra Mão de Sul E",25,IF(Atletas!L178="Choylayfut F",26,IF(Atletas!L178="Hunggar F",27,IF(Atletas!L178="Wuzuquan F",28,IF(Atletas!L178="Wingchun F",29,IF(Atletas!L178="Outra Mão de Sul F",30,IF(Atletas!L178="Dishuquan A",31,IF(Atletas!L178="Dishuquan B",32,IF(Atletas!L178="Dishuquan C",33,IF(Atletas!L178="Dishuquan D",34,IF(Atletas!L178="Dishuquan E",35,IF(Atletas!L178="Dishuquan F",36,""))))))))))))))))))))))))))))))))))))))</f>
        <v/>
      </c>
      <c r="BS187" s="50" t="str">
        <f>IF(Atletas!M178="","",IF(Atletas!X178&lt;&gt;"",10000,0)+(IF(Atletas!B178="Feminino",1000,IF(Atletas!B178="Masculino",2000,""))+(IF(Atletas!M178="Chaquan A",101,IF(Atletas!M178="Emeiquan A",102,IF(Atletas!M178="Fanziquan A",103,IF(Atletas!M178="Huaquan A",104,IF(Atletas!M178="Hongquan A",105,IF(Atletas!M178="Paoquan A",106,IF(Atletas!M178="Piguaquan A",107,IF(Atletas!M178="Shaolinquan A",108,IF(Atletas!M178="Tanglangquan A",109,IF(Atletas!M178="Yingzhaoquan A",110,IF(Atletas!M178="Tongbeiquan A",111,IF(Atletas!M178="Wudangquan A",112,IF(Atletas!M178="Outros Estilos A",113,IF(Atletas!M178="Chaquan B",114,IF(Atletas!M178="Emeiquan B",115,IF(Atletas!M178="Fanziquan B",116,IF(Atletas!M178="Huaquan B",117,IF(Atletas!M178="Hongquan B",118,IF(Atletas!M178="Paoquan B",119,IF(Atletas!M178="Piguaquan B",120,IF(Atletas!M178="Shaolinquan B",121,IF(Atletas!M178="Tanglangquan B",122,IF(Atletas!M178="Yingzhaoquan B",123,IF(Atletas!M178="Tongbeiquan B",124,IF(Atletas!M178="Wudangquan B",125,IF(Atletas!M178="Outros Estilos B",126,IF(Atletas!M178="Chaquan C",127,IF(Atletas!M178="Emeiquan C",128,IF(Atletas!M178="Fanziquan C",129,IF(Atletas!M178="Huaquan C",130,IF(Atletas!M178="Hongquan C",131,IF(Atletas!M178="Paoquan C",132,IF(Atletas!M178="Piguaquan C",133,IF(Atletas!M178="Shaolinquan C",134,IF(Atletas!M178="Tanglangquan C",135,IF(Atletas!M178="Yingzhaoquan C",136,IF(Atletas!M178="Tongbeiquan C",137,IF(Atletas!M178="Wudangquan C",138,IF(Atletas!M178="Outros Estilos C",139,0))))))))))))))))))))))))))))))))))))))))))</f>
        <v/>
      </c>
      <c r="BT187" s="50" t="str">
        <f>IF(Atletas!M178="","",IF(Atletas!X178&lt;&gt;"",10000,0)+(IF(Atletas!B178="Feminino",1000,IF(Atletas!B178="Masculino",2000,""))+(IF(Atletas!M178="Chaquan D",140,IF(Atletas!M178="Emeiquan D",141,IF(Atletas!M178="Fanziquan D",142,IF(Atletas!M178="Huaquan D",143,IF(Atletas!M178="Hongquan D",144,IF(Atletas!M178="Paoquan D",145,IF(Atletas!M178="Piguaquan D",146,IF(Atletas!M178="Shaolinquan D",147,IF(Atletas!M178="Tanglangquan D",148,IF(Atletas!M178="Yingzhaoquan D",149,IF(Atletas!M178="Tongbeiquan D",150,IF(Atletas!M178="Wudangquan D",151,IF(Atletas!M178="Outros Estilos D",152,IF(Atletas!M178="Chaquan E",153,IF(Atletas!M178="Emeiquan E",154,IF(Atletas!M178="Fanziquan E",155,IF(Atletas!M178="Huaquan E",156,IF(Atletas!M178="Hongquan E",157,IF(Atletas!M178="Paoquan E",158,IF(Atletas!M178="Piguaquan E",159,IF(Atletas!M178="Shaolinquan E",160,IF(Atletas!M178="Tanglangquan E",161,IF(Atletas!M178="Yingzhaoquan E",162,IF(Atletas!M178="Tongbeiquan E",163,IF(Atletas!M178="Wudangquan E",164,IF(Atletas!M178="Outros Estilos E",165,IF(Atletas!M178="Chaquan F",166,IF(Atletas!M178="Emeiquan F",167,IF(Atletas!M178="Fanziquan F",168,IF(Atletas!M178="Huaquan F",169,IF(Atletas!M178="Hongquan F",170,IF(Atletas!M178="Paoquan F",171,IF(Atletas!M178="Piguaquan F",172,IF(Atletas!M178="Shaolinquan F",173,IF(Atletas!M178="Tanglangquan F",174,IF(Atletas!M178="Yingzhaoquan F",175,IF(Atletas!M178="Tongbeiquan F",176,IF(Atletas!M178="Wudangquan F",177,IF(Atletas!M178="Outros Estilos F",178,0))))))))))))))))))))))))))))))))))))))))))</f>
        <v/>
      </c>
      <c r="BU187" s="50" t="str">
        <f>IF(Atletas!N178="","",IF(Atletas!X178&lt;&gt;"",10000,0)+(IF(Atletas!B178="Feminino",1000,IF(Atletas!B178="Masculino",2000,""))+(IF(Atletas!N178="Ditangquan A",201,IF(Atletas!N178="Houquan A",202,IF(Atletas!N178="Zuiquan A",203,IF(Atletas!N178="Ditangquan B",204,IF(Atletas!N178="Houquan B",205,IF(Atletas!N178="Zuiquan B",206,IF(Atletas!N178="Ditangquan C",207,IF(Atletas!N178="Houquan C",208,IF(Atletas!N178="Zuiquan C",209,IF(Atletas!N178="Ditangquan D",210,IF(Atletas!N178="Houquan D",211,IF(Atletas!N178="Zuiquan D",212,IF(Atletas!N178="Ditangquan E",213,IF(Atletas!N178="Houquan E",214,IF(Atletas!N178="Zuiquan E",215,IF(Atletas!N178="Ditangquan F",216,IF(Atletas!N178="Houquan F",217,IF(Atletas!N178="Zuiquan F",218,"")))))))))))))))))))))</f>
        <v/>
      </c>
      <c r="BV187" s="50" t="str">
        <f>IF(Atletas!O178="","",IF(Atletas!X178&lt;&gt;"",10000,0)+IF(Atletas!B178="Feminino",1000,IF(Atletas!B178="Masculino",2000,""))+IF(Atletas!O178="Yang A",301,IF(Atletas!O178="Chen A",302,IF(Atletas!O178="Sun A",303,IF(Atletas!O178="Wu A",304,IF(Atletas!O178="Wu-Hao A",305,IF(Atletas!O178="Outro Taijiquan A",306,IF(Atletas!O178="Yang B",307,IF(Atletas!O178="Chen B",308,IF(Atletas!O178="Sun B",309,IF(Atletas!O178="Wu B",310,IF(Atletas!O178="Wu-Hao B",311,IF(Atletas!O178="Outro Taijiquan B",312,IF(Atletas!O178="Yang C",313,IF(Atletas!O178="Chen C",314,IF(Atletas!O178="Sun C",315,IF(Atletas!O178="Wu C",316,IF(Atletas!O178="Wu-Hao C",317,IF(Atletas!O178="Outro Taijiquan C",318,IF(Atletas!O178="Yang D",319,IF(Atletas!O178="Chen D",320,IF(Atletas!O178="Sun D",321,IF(Atletas!O178="Wu D",322,IF(Atletas!O178="Wu-Hao D",323,IF(Atletas!O178="Outro Taijiquan D",324,IF(Atletas!O178="Yang E",325,IF(Atletas!O178="Chen E",326,IF(Atletas!O178="Sun E",327,IF(Atletas!O178="Wu E",328,IF(Atletas!O178="Wu-Hao E",329,IF(Atletas!O178="Outro Taijiquan E",330,IF(Atletas!O178="Yang F",331,IF(Atletas!O178="Chen F",332,IF(Atletas!O178="Sun F",333,IF(Atletas!O178="Wu F",334,IF(Atletas!O178="Wu-Hao F",335,IF(Atletas!O178="Outro Taijiquan F",336,"")))))))))))))))))))))))))))))))))))))</f>
        <v/>
      </c>
      <c r="BW187" s="50" t="str">
        <f>IF(Atletas!P178="","",IF(Atletas!X178&lt;&gt;"",10000,0)+IF(Atletas!B178="Feminino",1000,IF(Atletas!B178="Masculino",2000,""))+IF(OR(Atletas!P178="Yang 26 A",Atletas!P178="Yang 40 A"),401,IF(OR(Atletas!P178="Chen 25 A",Atletas!P178="Chen 36 A",Atletas!P178="Chen 56 A"),402,IF(Atletas!P178="Sun 73 A",403,IF(Atletas!P178="Wu 45 A",404,IF(Atletas!P178="Wu-Hao 46 A",405,IF(OR(Atletas!P178="Taijiquan 16 A",Atletas!P178="Taijiquan 24 A",Atletas!P178="Taijiquan 32 A",Atletas!P178="Taijiquan 42 A"),406,IF(OR(Atletas!P178="Yang 26 B",Atletas!P178="Yang 40 B"),407,IF(OR(Atletas!P178="Chen 25 B",Atletas!P178="Chen 36 B",Atletas!P178="Chen 56 B"),408,IF(Atletas!P178="Sun 73 B",409,IF(Atletas!P178="Wu 45 B",410,IF(Atletas!P178="Wu-Hao 46 B",411,IF(OR(Atletas!P178="Taijiquan 16 B",Atletas!P178="Taijiquan 24 B",Atletas!P178="Taijiquan 32 B",Atletas!P178="Taijiquan 42 B"),412,IF(OR(Atletas!P178="Yang 26 C",Atletas!P178="Yang 40 C"),413,IF(OR(Atletas!P178="Chen 25 C",Atletas!P178="Chen 36 C",Atletas!P178="Chen 56 C"),414,IF(Atletas!P178="Sun 73 C",415,IF(Atletas!P178="Wu 45 C",416,IF(Atletas!P178="Wu-Hao 46 C",417,IF(OR(Atletas!P178="Taijiquan 16 C",Atletas!P178="Taijiquan 24 C",Atletas!P178="Taijiquan 32 C",Atletas!P178="Taijiquan 42 C"),418,0)))))))))))))))))))</f>
        <v/>
      </c>
      <c r="BX187" s="50" t="str">
        <f>IF(Atletas!P178="","",IF(Atletas!X178&lt;&gt;"",10000,0)+IF(Atletas!B178="Feminino",1000,IF(Atletas!B178="Masculino",2000,""))+IF(OR(Atletas!P178="Yang 26 D",Atletas!P178="Yang 40 D"),419,IF(OR(Atletas!P178="Chen 25 D",Atletas!P178="Chen 36 D",Atletas!P178="Chen 56 D"),420,IF(Atletas!P178="Sun 73 D",421,IF(Atletas!P178="Wu 45 D",422,IF(Atletas!P178="Wu-Hao 46 D",423,IF(OR(Atletas!P178="Taijiquan 16 D",Atletas!P178="Taijiquan 24 D",Atletas!P178="Taijiquan 32 D",Atletas!P178="Taijiquan 42 D"),424,IF(OR(Atletas!P178="Yang 26 E",Atletas!P178="Yang 40 E"),425,IF(OR(Atletas!P178="Chen 25 E",Atletas!P178="Chen 36 E",Atletas!P178="Chen 56 E"),426,IF(Atletas!P178="Sun 73 E",427,IF(Atletas!P178="Wu 45 E",428,IF(Atletas!P178="Wu-Hao 46 E",429,IF(OR(Atletas!P178="Taijiquan 16 E",Atletas!P178="Taijiquan 24 E",Atletas!P178="Taijiquan 32 E",Atletas!P178="Taijiquan 42 E"),430,IF(OR(Atletas!P178="Yang 26 F",Atletas!P178="Yang 40 F"),431,IF(OR(Atletas!P178="Chen 25 F",Atletas!P178="Chen 36 F",Atletas!P178="Chen 56 F"),432,IF(Atletas!P178="Sun 73 F",433,IF(Atletas!P178="Wu 45 F",434,IF(Atletas!P178="Wu-Hao 46 F",435,IF(OR(Atletas!P178="Taijiquan 16 F",Atletas!P178="Taijiquan 24 F",Atletas!P178="Taijiquan 32 F",Atletas!P178="Taijiquan 42 F"),436,0)))))))))))))))))))</f>
        <v/>
      </c>
      <c r="BY187" s="50" t="str">
        <f>IF(Atletas!Q178="","",IF(Atletas!X178&lt;&gt;"",10000,0)+IF(Atletas!B178="Feminino",1000,IF(Atletas!B178="Masculino",2000,""))+IF(Atletas!Q178="Xingyiquan A",501,IF(Atletas!Q178="Baguazhang A",502,IF(Atletas!Q178="Outro Estilo Interno A",503,IF(Atletas!Q178="Xingyiquan B",504,IF(Atletas!Q178="Baguazhang B",505,IF(Atletas!Q178="Outro Estilo Interno B",506,IF(Atletas!Q178="Xingyiquan C",507,IF(Atletas!Q178="Baguazhang C",508,IF(Atletas!Q178="Outro Estilo Interno C",509,IF(Atletas!Q178="Xingyiquan D",510,IF(Atletas!Q178="Baguazhang D",511,IF(Atletas!Q178="Outro Estilo Interno D",512,IF(Atletas!Q178="Xingyiquan E",513,IF(Atletas!Q178="Baguazhang E",514,IF(Atletas!Q178="Outro Estilo Interno E",515,IF(Atletas!Q178="Xingyiquan F",516,IF(Atletas!Q178="Baguazhang F",517,IF(Atletas!Q178="Outro Estilo Interno F",518, "")))))))))))))))))))</f>
        <v/>
      </c>
      <c r="BZ187" s="50" t="str">
        <f>IF(Atletas!R178="","",IF(Atletas!X178&lt;&gt;"",10000,0)+IF(Atletas!B178="Feminino",1000,IF(Atletas!B178="Masculino",2000,""))+IF(Atletas!R178="Dao A",601,IF(Atletas!R178="Jian A",602,IF(Atletas!R178="Bishou A",603,IF(Atletas!R178="Shanzi A",604,IF(Atletas!R178="Outra Arma Curta A",605,IF(Atletas!R178="Dao B",606,IF(Atletas!R178="Jian B",607,IF(Atletas!R178="Bishou B",608,IF(Atletas!R178="Shanzi B",609,IF(Atletas!R178="Outra Arma Curta B",610,IF(Atletas!R178="Dao C",611,IF(Atletas!R178="Jian C",612,IF(Atletas!R178="Bishou C",613,IF(Atletas!R178="Shanzi C",614,IF(Atletas!R178="Outra Arma Curta C",615,IF(Atletas!R178="Dao D",616,IF(Atletas!R178="Jian D",617,IF(Atletas!R178="Bishou D",618,IF(Atletas!R178="Shanzi D",619,IF(Atletas!R178="Outra Arma Curta D",620,IF(Atletas!R178="Dao E",621,IF(Atletas!R178="Jian E",622,IF(Atletas!R178="Bishou E",623,IF(Atletas!R178="Shanzi E",624,IF(Atletas!R178="Outra Arma Curta E",625,IF(Atletas!R178="Dao F",626,IF(Atletas!R178="Jian F",627,IF(Atletas!R178="Bishou F",628,IF(Atletas!R178="Shanzi F",629,IF(Atletas!R178="Outra Arma Curta F",630, "")))))))))))))))))))))))))))))))</f>
        <v/>
      </c>
      <c r="CA187" s="50" t="str">
        <f>IF(Atletas!S178="","",IF(Atletas!X178&lt;&gt;"",10000,0)+IF(Atletas!B178="Feminino",1000,IF(Atletas!B178="Masculino",2000,""))+IF(Atletas!S178="Gun A",701,IF(Atletas!S178="Qiang A",702,IF(Atletas!S178="Pudao / Guandao A",703,IF(Atletas!S178="Outra Arma Longa A",704,IF(Atletas!S178="Gun B",705,IF(Atletas!S178="Qiang B",706,IF(Atletas!S178="Pudao / Guandao B",707,IF(Atletas!S178="Outra Arma Longa B",708,IF(Atletas!S178="Gun C",709,IF(Atletas!S178="Qiang C",710,IF(Atletas!S178="Pudao / Guandao C",711,IF(Atletas!S178="Outra Arma Longa C",712,IF(Atletas!S178="Gun D",713,IF(Atletas!S178="Qiang D",714,IF(Atletas!S178="Pudao / Guandao D",715,IF(Atletas!S178="Outra Arma Longa D",716,IF(Atletas!S178="Gun E",717,IF(Atletas!S178="Qiang E",718,IF(Atletas!S178="Pudao / Guandao E",719,IF(Atletas!S178="Outra Arma Longa E",720,IF(Atletas!S178="Gun F",721,IF(Atletas!S178="Qiang F",722,IF(Atletas!S178="Pudao / Guandao F",723,IF(Atletas!S178="Outra Arma Longa F",724,"")))))))))))))))))))))))))</f>
        <v/>
      </c>
      <c r="CB187" s="50" t="str">
        <f>IF(Atletas!T178="","",IF(Atletas!X178&lt;&gt;"",10000,0)+IF(Atletas!B178="Feminino",1000,IF(Atletas!B178="Masculino",2000,""))+IF(Atletas!T178="Outra Arma Dupla A",801,IF(Atletas!T178="Arma Maleável A",802,IF(Atletas!T178="Outra Arma Dupla B",803,IF(Atletas!T178="Arma Maleável B",804,IF(Atletas!T178="Outra Arma Dupla C",805,IF(Atletas!T178="Arma Maleável C",806,IF(Atletas!T178="Outra Arma Dupla D",807,IF(Atletas!T178="Arma Maleável D",808,IF(Atletas!T178="Outra Arma Dupla E",809,IF(Atletas!T178="Arma Maleável E",810,IF(Atletas!T178="Outra Arma Dupla F",811,IF(Atletas!T178="Arma Maleável F",812,IF(Atletas!T178="Shuangdao A",813,IF(Atletas!T178="Shuangdao B",814,IF(Atletas!T178="Shuangdao C",815,IF(Atletas!T178="Shuangdao D",816,IF(Atletas!T178="Shuangdao E",817,IF(Atletas!T178="Shuangdao F",818,"")))))))))))))))))))</f>
        <v/>
      </c>
      <c r="CC187" s="50" t="str">
        <f>IF(Atletas!U178="","",IF(Atletas!X178&lt;&gt;"",10000,0)+IF(Atletas!B178="Feminino",1000,IF(Atletas!B178="Masculino",2000,""))+IF(OR(Atletas!U178="Taijijian Yang A",Atletas!U178="Taijijian Yang Standard A"),901,IF(OR(Atletas!U178="Taijijian Chen A", Atletas!U178="Taijijian Chen Standard A"),902,IF(Atletas!U178="Taijijian Sun A",903,IF(Atletas!U178="Taijijian Wu A",904,IF(Atletas!U178="Taijijian Wu-Hao A",905,IF(OR(Atletas!U178="Taijijian 32 A",Atletas!U178="Taijijian 42 A"),906,IF(OR(Atletas!U178="Taijijian Yang B",Atletas!U178="Taijijian Yang Standard B"),907,IF(OR(Atletas!U178="Taijijian Chen B", Atletas!U178="Taijijian Chen Standard B"),908,IF(Atletas!U178="Taijijian Sun B",909,IF(Atletas!U178="Taijijian Wu B",910,IF(Atletas!U178="Taijijian Wu-Hao B",911,IF(OR(Atletas!U178="Taijijian 32 B",Atletas!U178="Taijijian 42 B"),912,IF(OR(Atletas!U178="Taijijian Yang C",Atletas!U178="Taijijian Yang Standard C"),913,IF(OR(Atletas!U178="Taijijian Chen C", Atletas!U178="Taijijian Chen Standard C"),914,IF(Atletas!U178="Taijijian Sun C",915,IF(Atletas!U178="Taijijian Wu C",916,IF(Atletas!U178="Taijijian Wu-Hao C",917,IF(OR(Atletas!U178="Taijijian 32 C",Atletas!U178="Taijijian 42 C"),918,IF(OR(Atletas!U178="Taijijian Yang D",Atletas!U178="Taijijian Yang Standard D"),919,IF(OR(Atletas!U178="Taijijian Chen D", Atletas!U178="Taijijian Chen Standard D"),920,IF(Atletas!U178="Taijijian Sun D",921,IF(Atletas!U178="Taijijian Wu D",922,IF(Atletas!U178="Taijijian Wu-Hao D",923,IF(OR(Atletas!U178="Taijijian 32 D",Atletas!U178="Taijijian 42 D"),924,IF(OR(Atletas!U178="Taijijian Yang E",Atletas!U178="Taijijian Yang Standard E"),925,IF(OR(Atletas!U178="Taijijian Chen E", Atletas!U178="Taijijian Chen Standard E"),926,IF(Atletas!U178="Taijijian Sun E",927,IF(Atletas!U178="Taijijian Wu E",928,IF(Atletas!U178="Taijijian Wu-Hao E",929,IF(OR(Atletas!U178="Taijijian 32 E",Atletas!U178="Taijijian 42 E"),930,IF(OR(Atletas!U178="Taijijian Yang F",Atletas!U178="Taijijian Yang Standard F"),931,IF(OR(Atletas!U178="Taijijian Chen F", Atletas!U178="Taijijian Chen Standard F"),932,IF(Atletas!U178="Taijijian Sun F",933,IF(Atletas!U178="Taijijian Wu F",934,IF(Atletas!U178="Taijijian Wu-Hao F",935,IF(OR(Atletas!U178="Taijijian 32 F",Atletas!U178="Taijijian 42 F"),936,"")))))))))))))))))))))))))))))))))))))</f>
        <v/>
      </c>
      <c r="CD187" s="50" t="str">
        <f>IF(Atletas!V178="","",IF(Atletas!X178&lt;&gt;"",10000,0)+IF(Atletas!B178="Feminino",1000,IF(Atletas!B178="Masculino",2000,""))+IF(Atletas!V178="Taijidao A",937,IF(Atletas!V178="TaijiShanzi A",938,IF(Atletas!V178="Taijiqiang A",939,IF(Atletas!V178="Bagua de Arma A",940,IF(Atletas!V178="Xingyi de Arma A",941,IF(Atletas!V178="Taijidao B",942,IF(Atletas!V178="TaijiShanzi B",943,IF(Atletas!V178="Taijiqiang B",944,IF(Atletas!V178="Bagua de Arma B",945,IF(Atletas!V178="Xingyi de Arma B",946,IF(Atletas!V178="Taijidao C",947,IF(Atletas!V178="TaijiShanzi C",948,IF(Atletas!V178="Taijiqiang C",949,IF(Atletas!V178="Bagua de Arma C",950,IF(Atletas!V178="Xingyi de Arma C",951,IF(Atletas!V178="Taijidao D",952,IF(Atletas!V178="TaijiShanzi D",953,IF(Atletas!V178="Taijiqiang D",954,IF(Atletas!V178="Bagua de Arma D",955,IF(Atletas!V178="Xingyi de Arma D",956,IF(Atletas!V178="Taijidao E",957,IF(Atletas!V178="TaijiShanzi E",958,IF(Atletas!V178="Taijiqiang E",959,IF(Atletas!V178="Bagua de Arma E",960,IF(Atletas!V178="Xingyi de Arma E",961,IF(Atletas!V178="Taijidao F",962,IF(Atletas!V178="TaijiShanzi F",963,IF(Atletas!V178="Taijiqiang F",964,IF(Atletas!V178="Bagua de Arma F",965,IF(Atletas!V178="Xingyi de Arma F",966,"")))))))))))))))))))))))))))))))</f>
        <v/>
      </c>
      <c r="CE187" s="66" t="str">
        <f>IF(CF187&lt;&gt;"","TJQ Padr. Yang C","")</f>
        <v/>
      </c>
      <c r="CF187" s="66" t="str">
        <f>IF(COUNTIF(BR:CD,1413)&gt;0,COUNTIF(BR:CD,1413),"")</f>
        <v/>
      </c>
      <c r="CG187" s="66" t="str">
        <f>IF(CH187&lt;&gt;"","TJQ Padr. Yang C","")</f>
        <v/>
      </c>
      <c r="CH187" s="66" t="str">
        <f>IF(COUNTIF(BR:CD,2413)&gt;0,COUNTIF(BR:CD,2413),"")</f>
        <v/>
      </c>
      <c r="CI187" s="66" t="str">
        <f>IF(CJ187&lt;&gt;"","TJQ Padr. Yang D","")</f>
        <v/>
      </c>
      <c r="CJ187" s="66" t="str">
        <f>IF(COUNTIF(BR:CD,11419)&gt;0,COUNTIF(BR:CD,11419),"")</f>
        <v/>
      </c>
      <c r="CK187" s="66" t="str">
        <f>IF(CL187&lt;&gt;"","TJQ Padr. Yang D","")</f>
        <v/>
      </c>
      <c r="CL187" s="66" t="str">
        <f>IF(COUNTIF(BR:CD,12419)&gt;0,COUNTIF(BR:CD,12419),"")</f>
        <v/>
      </c>
      <c r="CM187" s="50" t="str">
        <f xml:space="preserve"> IF(Atletas!W178="","",IF(Atletas!W178="Duilian de Mãos BC - Equipe 1",1,IF(Atletas!W178="Duilian de Mãos BC - Equipe 2",2,IF(Atletas!W178="Duilian de Armas BC - Equipe 1",3,IF(Atletas!W178="Duilian de Armas BC - Equipe 2",4,IF(Atletas!W178="Duilian de Mãos DE - Equipe 1",5,IF(Atletas!W178="Duilian de Mãos DE - Equipe 2",6,IF(Atletas!W178="Duilian de Armas DE - Equipe 1",7,IF(Atletas!W178="Duilian de Armas DE - Equipe 2",8,IF(Atletas!W178="Duilian de Tuishou - Equipe 1",9,IF(Atletas!W178="Duilian de Tuishou - Equipe 2",10,IF(Atletas!W178="Grupo Externo ABC - Equipe 1",11,IF(Atletas!W178="Grupo Externo ABC - Equipe 2",12,IF(Atletas!W178="Grupo Interno ABC - Equipe 1",13,IF(Atletas!W178="Grupo Interno ABC - Equipe 2",14,IF(Atletas!W178="Grupo Externo DEF - Equipe 1",15,IF(Atletas!W178="Grupo Externo DEF - Equipe 2",16,IF(Atletas!W178="Grupo Interno DEF - Equipe 1",17,IF(Atletas!W178="Grupo Interno DEF - Equipe 2",18,"")))))))))))))))))))</f>
        <v/>
      </c>
    </row>
    <row r="188" spans="2:91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 t="str">
        <f t="array" ref="Z188">IFERROR(INDEX(CE$7:CE$348,SMALL(IF(CE$7:CE$348&lt;&gt;"",ROW(CE$7:CE$348)-ROW(CE$7)+1),ROWS(CE$7:CE187))),"")</f>
        <v/>
      </c>
      <c r="AA188" s="3" t="str">
        <f t="array" ref="AA188">IFERROR(INDEX(CF$7:CF$348,SMALL(IF(CF$7:CF$348&lt;&gt;"",ROW(CF$7:CF$348)-ROW(CF$7)+1),ROWS(CF$7:CF187))),"")</f>
        <v/>
      </c>
      <c r="AB188" s="3" t="str">
        <f t="array" ref="AB188">IFERROR(INDEX(CG$7:CG$348,SMALL(IF(CG$7:CG$348&lt;&gt;"",ROW(CG$7:CG$348)-ROW(CG$7)+1),ROWS(CG$7:CG187))),"")</f>
        <v/>
      </c>
      <c r="AC188" s="3" t="str">
        <f t="array" ref="AC188">IFERROR(INDEX(CH$7:CH$348,SMALL(IF(CH$7:CH$348&lt;&gt;"",ROW(CH$7:CH$348)-ROW(CH$7)+1),ROWS(CH$7:CH187))),"")</f>
        <v/>
      </c>
      <c r="AD188" s="3" t="str">
        <f t="array" ref="AD188">IFERROR(INDEX(CI$7:CI$377,SMALL(IF(CI$7:CI$377&lt;&gt;"",ROW(CI$7:CI$377)-ROW(CI$7)+1),ROWS(CI$7:CI187))),"")</f>
        <v/>
      </c>
      <c r="AE188" s="3" t="str">
        <f t="array" ref="AE188">IFERROR(INDEX(CJ$7:CJ$378,SMALL(IF(CJ$7:CJ$378&lt;&gt;"",ROW(CJ$7:CJ$378)-ROW(CJ$7)+1),ROWS(CJ$7:CJ187))),"")</f>
        <v/>
      </c>
      <c r="AF188" s="3" t="str">
        <f t="array" ref="AF188">IFERROR(INDEX(CK$7:CK$378,SMALL(IF(CK$7:CK$378&lt;&gt;"",ROW(CK$7:CK$378)-ROW(CK$7)+1),ROWS(CK$7:CK187))),"")</f>
        <v/>
      </c>
      <c r="AG188" s="3" t="str">
        <f t="array" ref="AG188">IFERROR(INDEX(CL$7:CL$378,SMALL(IF(CL$7:CL$378&lt;&gt;"",ROW(CL$7:CL$378)-ROW(CL$7)+1),ROWS(CL$7:CL187))),"")</f>
        <v/>
      </c>
      <c r="AH188" s="3"/>
      <c r="AI188" s="3"/>
      <c r="AJ188" s="3"/>
      <c r="AK188" s="3"/>
      <c r="AL188" s="3"/>
      <c r="AM188" s="3"/>
      <c r="AN188" s="52" t="str">
        <f>IF(Atletas!D179="","",IF(Atletas!B179="Feminino",100,IF(Atletas!B179="Masculino",200,""))+(IF(Atletas!D179="Kids 30kg",1,IF(Atletas!D179="Kids 32kg",2, IF(Atletas!D179="Kids 34kg",3,IF(Atletas!D179="Kids 36kg",4,IF(Atletas!D179="Kids 39kg",5,IF(Atletas!D179="Kids 42kg",6,IF(Atletas!D179="Kids 45kg",7, IF(Atletas!D179="Infantil 39kg",8,IF(Atletas!D179="Infantil 42kg",9,IF(Atletas!D179="Infantil 45kg",10,IF(Atletas!D179="Infantil 48kg",11,IF(Atletas!D179="Infantil 52kg",12,IF(Atletas!D179="Infantil 56kg",13,IF(Atletas!D179="Infantil 60kg",14,IF(Atletas!D179="Juvenil 48kg",15,IF(Atletas!D179="Juvenil 52kg",16,IF(Atletas!D179="Juvenil 56kg",17,IF(Atletas!D179="Juvenil 60kg",18,IF(Atletas!D179="Juvenil 65kg",19,IF(Atletas!D179="Juvenil 70kg",20,IF(Atletas!D179="Juvenil 75kg",21,IF(Atletas!D179="Juvenil 80kg",22, IF(Atletas!D179="Juvenil 85kg",23,IF(Atletas!D179="Adulto 48kg",24,IF(Atletas!D179="Adulto 52kg",25,IF(Atletas!D179="Adulto 56kg",26,IF(Atletas!D179="Adulto 60kg",27,IF(Atletas!D179="Adulto 65kg",28,IF(Atletas!D179="Adulto 70kg",29,IF(Atletas!D179="Adulto 75kg",30,IF(Atletas!D179="Adulto 80kg",31,IF(Atletas!D179="Adulto 85kg",32,IF(Atletas!D179="Adulto 90kg",33,IF(Atletas!D179="Adulto 100kg",34, IF(Atletas!D179="Adulto +100kg",35,"")))))))))))))))))))))))))))))))))))))</f>
        <v/>
      </c>
      <c r="AS188" s="6" t="str">
        <f>IF(Atletas!E179="","",IF(Atletas!B179="Feminino",100,IF(Atletas!B179="Masculino",200,""))+(IF(Atletas!E179="Juvenil 44kg",1,IF(Atletas!E179="Juvenil 48kg",2,IF(Atletas!E179="Juvenil 52kg",3,IF(Atletas!E179="Juvenil 56kg",4,IF(Atletas!E179="Juvenil 60kg",5,IF(Atletas!E179="Juvenil 65kg",6,IF(Atletas!E179="Juvenil 70kg",7,IF(Atletas!E179="Juvenil 75kg",8,IF(Atletas!E179="Juvenil 82kg",9,IF(Atletas!E179="Juvenil 90kg",10,IF(Atletas!E179="Juvenil 100kg",11,IF(Atletas!E179="Adulto 48kg",12,IF(Atletas!E179="Adulto 52kg",13,IF(Atletas!E179="Adulto 56kg",14,IF(Atletas!E179="Adulto 60kg",15,IF(Atletas!E179="Adulto 65kg",16,IF(Atletas!E179="Adulto 70kg",17,IF(Atletas!E179="Adulto 75kg",18,IF(Atletas!E179="Adulto 82kg",19,IF(Atletas!E179="Adulto 90kg",20,IF(Atletas!E179="Adulto 100kg",21,IF(Atletas!E179="Adulto +100kg",22,""))))))))))))))))))))))))</f>
        <v/>
      </c>
      <c r="AX188" s="6" t="str">
        <f>IF(Atletas!F179="","",IF(Atletas!B179="Feminino",100,IF(Atletas!B179="Masculino",200,""))+(IF(Atletas!F179="Adulto 48kg",1,IF(Atletas!F179="Adulto 56kg",2,IF(Atletas!F179="Adulto 65kg",3,IF(Atletas!F179="Adulto 75kg",4,IF(Atletas!F179="Adulto +75kg",5,IF(Atletas!F179="Adulto 52kg",6,IF(Atletas!F179="Adulto 60kg",7,IF(Atletas!F179="Adulto 70kg",8,IF(Atletas!F179="Adulto 80kg",9,IF(Atletas!F179="Adulto 90kg",10,IF(Atletas!F179="Adulto +90kg",11,"")))))))))))))</f>
        <v/>
      </c>
      <c r="BC188" s="6" t="str">
        <f>IF(Atletas!G179="","",IF(Atletas!B179="Feminino",10,IF(Atletas!B179="Masculino",20,""))+(IF(Atletas!G179="Baduanjin A",1,IF(Atletas!G179="Baduanjin B",2))))</f>
        <v/>
      </c>
      <c r="BF188" s="52" t="str">
        <f>IF(Atletas!H179="","",IF(Atletas!B179="Feminino",100,IF(Atletas!B179="Masculino",200,""))+(IF(Atletas!H179="Changquan Mirim",1,IF(Atletas!H179="Nanquan Mirim",2,IF(Atletas!H179="Taijiquan Mirim",3,IF(Atletas!H179="Changquan Grupo C",4,IF(Atletas!H179="Nanquan Grupo C",5,IF(Atletas!H179="Taijiquan Grupo C",6,IF(Atletas!H179="Changquan Grupo B",7,IF(Atletas!H179="Nanquan Grupo B",8,IF(Atletas!H179="Taijiquan Grupo B",9,IF(Atletas!H179="Changquan Grupo A",10,IF(Atletas!H179="Nanquan Grupo A",11,IF(Atletas!H179="Taijiquan Grupo A",12,IF(Atletas!H179="Changquan Opcional",13,IF(Atletas!H179="Nanquan Opcional",14,IF(Atletas!H179="Taijiquan Opcional",15,IF(Atletas!H179="Changquan Adulto",16,IF(Atletas!H179="Nanquan Adulto",17,IF(Atletas!H179="Taijiquan Adulto",18,""))))))))))))))))))))</f>
        <v/>
      </c>
      <c r="BG188" s="52" t="str">
        <f>IF(Atletas!I179="","",IF(Atletas!B179="Feminino",100,IF(Atletas!B179="Masculino",200,""))+(IF(Atletas!I179="Daoshu Mirim",19,IF(Atletas!I179="Jianshu Mirim",20,IF(Atletas!I179="Nandao Mirim",21,IF(Atletas!I179="Taijijian Mirim",22,IF(Atletas!I179="Daoshu Grupo C",23,IF(Atletas!I179="Jianshu Grupo C",24,IF(Atletas!I179="Nandao Grupo C",25,IF(Atletas!I179="Taijijian Grupo C",26,IF(Atletas!I179="Daoshu Grupo B",27,IF(Atletas!I179="Jianshu Grupo B",28,IF(Atletas!I179="Nandao Grupo B",29,IF(Atletas!I179="Taijijian Grupo B",30,IF(Atletas!I179="Daoshu Grupo A",31,IF(Atletas!I179="Jianshu Grupo A",32,IF(Atletas!I179="Nandao Grupo A",33,IF(Atletas!I179="Taijijian Grupo A",34,IF(Atletas!I179="Daoshu Opcional",35,IF(Atletas!I179="Jianshu Opcional",36,IF(Atletas!I179="Nandao Opcional",37,IF(Atletas!I179="Taijijian Opcional",38,IF(Atletas!I179="Daoshu Adulto",39,IF(Atletas!I179="Jianshu Adulto",40,IF(Atletas!I179="Nandao Adulto",41,IF(Atletas!I179="Taijijian Adulto",42,""))))))))))))))))))))))))))</f>
        <v/>
      </c>
      <c r="BH188" s="52" t="str">
        <f>IF(Atletas!J179="","",IF(Atletas!B179="Feminino",100,IF(Atletas!B179="Masculino",200,""))+(IF(Atletas!J179="Gunshu Mirim",43,IF(Atletas!J179="Qiangshu Mirim",44,IF(Atletas!J179="Nangun Mirim",45,IF(Atletas!J179="Gunshu Grupo C",46,IF(Atletas!J179="Qiangshu Grupo C",47,IF(Atletas!J179="Nangun Grupo C",48,IF(Atletas!J179="Gunshu Grupo B",49,IF(Atletas!J179="Qiangshu Grupo B",50,IF(Atletas!J179="Nangun Grupo B",51,IF(Atletas!J179="Gunshu Grupo A",52,IF(Atletas!J179="Qiangshu Grupo A",53,IF(Atletas!J179="Nangun Grupo A",54,IF(Atletas!J179="Gunshu Opcional",55,IF(Atletas!J179="Qiangshu Opcional",56,IF(Atletas!J179="Nangun Opcional",57,IF(Atletas!J179="Gunshu Adulto",58,IF(Atletas!J179="Qiangshu Adulto",59,IF(Atletas!J179="Nangun Adulto",60,IF(Atletas!J179="Taijishan Grupo B",61,IF(Atletas!J179="Taijishan Grupo A",62,""))))))))))))))))))))))</f>
        <v/>
      </c>
      <c r="BM188" s="50" t="str">
        <f>IF(Atletas!K179="","",IF(Atletas!B179="Feminino",100,IF(Atletas!B179="Masculino",200,""))+(IF(Atletas!K179="Equipe 1 Grupo B",1,IF(Atletas!K179="Equipe 2 Grupo B",2,IF(Atletas!K179="Equipe 1 Grupo A",3,IF(Atletas!K179="Equipe 2 Grupo A",4,IF(Atletas!K179="Equipe 1 Adulto",5,IF(Atletas!K179="Equipe 2 Adulto",6,""))))))))</f>
        <v/>
      </c>
      <c r="BR188" s="50" t="str">
        <f>IF(Atletas!L179="","",IF(Atletas!X179&lt;&gt;"",10000,0)+(IF(Atletas!B179="Feminino",1000,IF(Atletas!B179="Masculino",2000,""))+IF(Atletas!L179="Choylayfut A",1,IF(Atletas!L179="Hunggar A",2,IF(Atletas!L179="Wuzuquan A",3,IF(Atletas!L179="Wingchun A",4,IF(Atletas!L179="Outra Mão de Sul A",5,IF(Atletas!L179="Choylayfut B",6,IF(Atletas!L179="Hunggar B",7,IF(Atletas!L179="Wuzuquan B",8,IF(Atletas!L179="Wingchun B",9,IF(Atletas!L179="Outra Mão de Sul B",10,IF(Atletas!L179="Choylayfut C",11,IF(Atletas!L179="Hunggar C",12,IF(Atletas!L179="Wuzuquan C",13,IF(Atletas!L179="Wingchun C",14,IF(Atletas!L179="Outra Mão de Sul C",15,IF(Atletas!L179="Choylayfut D",16,IF(Atletas!L179="Hunggar D",17,IF(Atletas!L179="Wuzuquan D",18,IF(Atletas!L179="Wingchun D",19,IF(Atletas!L179="Outra Mão de Sul D",20,IF(Atletas!L179="Choylayfut E",21,IF(Atletas!L179="Hunggar E",22,IF(Atletas!L179="Wuzuquan E",23,IF(Atletas!L179="Wingchun E",24,IF(Atletas!L179="Outra Mão de Sul E",25,IF(Atletas!L179="Choylayfut F",26,IF(Atletas!L179="Hunggar F",27,IF(Atletas!L179="Wuzuquan F",28,IF(Atletas!L179="Wingchun F",29,IF(Atletas!L179="Outra Mão de Sul F",30,IF(Atletas!L179="Dishuquan A",31,IF(Atletas!L179="Dishuquan B",32,IF(Atletas!L179="Dishuquan C",33,IF(Atletas!L179="Dishuquan D",34,IF(Atletas!L179="Dishuquan E",35,IF(Atletas!L179="Dishuquan F",36,""))))))))))))))))))))))))))))))))))))))</f>
        <v/>
      </c>
      <c r="BS188" s="50" t="str">
        <f>IF(Atletas!M179="","",IF(Atletas!X179&lt;&gt;"",10000,0)+(IF(Atletas!B179="Feminino",1000,IF(Atletas!B179="Masculino",2000,""))+(IF(Atletas!M179="Chaquan A",101,IF(Atletas!M179="Emeiquan A",102,IF(Atletas!M179="Fanziquan A",103,IF(Atletas!M179="Huaquan A",104,IF(Atletas!M179="Hongquan A",105,IF(Atletas!M179="Paoquan A",106,IF(Atletas!M179="Piguaquan A",107,IF(Atletas!M179="Shaolinquan A",108,IF(Atletas!M179="Tanglangquan A",109,IF(Atletas!M179="Yingzhaoquan A",110,IF(Atletas!M179="Tongbeiquan A",111,IF(Atletas!M179="Wudangquan A",112,IF(Atletas!M179="Outros Estilos A",113,IF(Atletas!M179="Chaquan B",114,IF(Atletas!M179="Emeiquan B",115,IF(Atletas!M179="Fanziquan B",116,IF(Atletas!M179="Huaquan B",117,IF(Atletas!M179="Hongquan B",118,IF(Atletas!M179="Paoquan B",119,IF(Atletas!M179="Piguaquan B",120,IF(Atletas!M179="Shaolinquan B",121,IF(Atletas!M179="Tanglangquan B",122,IF(Atletas!M179="Yingzhaoquan B",123,IF(Atletas!M179="Tongbeiquan B",124,IF(Atletas!M179="Wudangquan B",125,IF(Atletas!M179="Outros Estilos B",126,IF(Atletas!M179="Chaquan C",127,IF(Atletas!M179="Emeiquan C",128,IF(Atletas!M179="Fanziquan C",129,IF(Atletas!M179="Huaquan C",130,IF(Atletas!M179="Hongquan C",131,IF(Atletas!M179="Paoquan C",132,IF(Atletas!M179="Piguaquan C",133,IF(Atletas!M179="Shaolinquan C",134,IF(Atletas!M179="Tanglangquan C",135,IF(Atletas!M179="Yingzhaoquan C",136,IF(Atletas!M179="Tongbeiquan C",137,IF(Atletas!M179="Wudangquan C",138,IF(Atletas!M179="Outros Estilos C",139,0))))))))))))))))))))))))))))))))))))))))))</f>
        <v/>
      </c>
      <c r="BT188" s="50" t="str">
        <f>IF(Atletas!M179="","",IF(Atletas!X179&lt;&gt;"",10000,0)+(IF(Atletas!B179="Feminino",1000,IF(Atletas!B179="Masculino",2000,""))+(IF(Atletas!M179="Chaquan D",140,IF(Atletas!M179="Emeiquan D",141,IF(Atletas!M179="Fanziquan D",142,IF(Atletas!M179="Huaquan D",143,IF(Atletas!M179="Hongquan D",144,IF(Atletas!M179="Paoquan D",145,IF(Atletas!M179="Piguaquan D",146,IF(Atletas!M179="Shaolinquan D",147,IF(Atletas!M179="Tanglangquan D",148,IF(Atletas!M179="Yingzhaoquan D",149,IF(Atletas!M179="Tongbeiquan D",150,IF(Atletas!M179="Wudangquan D",151,IF(Atletas!M179="Outros Estilos D",152,IF(Atletas!M179="Chaquan E",153,IF(Atletas!M179="Emeiquan E",154,IF(Atletas!M179="Fanziquan E",155,IF(Atletas!M179="Huaquan E",156,IF(Atletas!M179="Hongquan E",157,IF(Atletas!M179="Paoquan E",158,IF(Atletas!M179="Piguaquan E",159,IF(Atletas!M179="Shaolinquan E",160,IF(Atletas!M179="Tanglangquan E",161,IF(Atletas!M179="Yingzhaoquan E",162,IF(Atletas!M179="Tongbeiquan E",163,IF(Atletas!M179="Wudangquan E",164,IF(Atletas!M179="Outros Estilos E",165,IF(Atletas!M179="Chaquan F",166,IF(Atletas!M179="Emeiquan F",167,IF(Atletas!M179="Fanziquan F",168,IF(Atletas!M179="Huaquan F",169,IF(Atletas!M179="Hongquan F",170,IF(Atletas!M179="Paoquan F",171,IF(Atletas!M179="Piguaquan F",172,IF(Atletas!M179="Shaolinquan F",173,IF(Atletas!M179="Tanglangquan F",174,IF(Atletas!M179="Yingzhaoquan F",175,IF(Atletas!M179="Tongbeiquan F",176,IF(Atletas!M179="Wudangquan F",177,IF(Atletas!M179="Outros Estilos F",178,0))))))))))))))))))))))))))))))))))))))))))</f>
        <v/>
      </c>
      <c r="BU188" s="50" t="str">
        <f>IF(Atletas!N179="","",IF(Atletas!X179&lt;&gt;"",10000,0)+(IF(Atletas!B179="Feminino",1000,IF(Atletas!B179="Masculino",2000,""))+(IF(Atletas!N179="Ditangquan A",201,IF(Atletas!N179="Houquan A",202,IF(Atletas!N179="Zuiquan A",203,IF(Atletas!N179="Ditangquan B",204,IF(Atletas!N179="Houquan B",205,IF(Atletas!N179="Zuiquan B",206,IF(Atletas!N179="Ditangquan C",207,IF(Atletas!N179="Houquan C",208,IF(Atletas!N179="Zuiquan C",209,IF(Atletas!N179="Ditangquan D",210,IF(Atletas!N179="Houquan D",211,IF(Atletas!N179="Zuiquan D",212,IF(Atletas!N179="Ditangquan E",213,IF(Atletas!N179="Houquan E",214,IF(Atletas!N179="Zuiquan E",215,IF(Atletas!N179="Ditangquan F",216,IF(Atletas!N179="Houquan F",217,IF(Atletas!N179="Zuiquan F",218,"")))))))))))))))))))))</f>
        <v/>
      </c>
      <c r="BV188" s="50" t="str">
        <f>IF(Atletas!O179="","",IF(Atletas!X179&lt;&gt;"",10000,0)+IF(Atletas!B179="Feminino",1000,IF(Atletas!B179="Masculino",2000,""))+IF(Atletas!O179="Yang A",301,IF(Atletas!O179="Chen A",302,IF(Atletas!O179="Sun A",303,IF(Atletas!O179="Wu A",304,IF(Atletas!O179="Wu-Hao A",305,IF(Atletas!O179="Outro Taijiquan A",306,IF(Atletas!O179="Yang B",307,IF(Atletas!O179="Chen B",308,IF(Atletas!O179="Sun B",309,IF(Atletas!O179="Wu B",310,IF(Atletas!O179="Wu-Hao B",311,IF(Atletas!O179="Outro Taijiquan B",312,IF(Atletas!O179="Yang C",313,IF(Atletas!O179="Chen C",314,IF(Atletas!O179="Sun C",315,IF(Atletas!O179="Wu C",316,IF(Atletas!O179="Wu-Hao C",317,IF(Atletas!O179="Outro Taijiquan C",318,IF(Atletas!O179="Yang D",319,IF(Atletas!O179="Chen D",320,IF(Atletas!O179="Sun D",321,IF(Atletas!O179="Wu D",322,IF(Atletas!O179="Wu-Hao D",323,IF(Atletas!O179="Outro Taijiquan D",324,IF(Atletas!O179="Yang E",325,IF(Atletas!O179="Chen E",326,IF(Atletas!O179="Sun E",327,IF(Atletas!O179="Wu E",328,IF(Atletas!O179="Wu-Hao E",329,IF(Atletas!O179="Outro Taijiquan E",330,IF(Atletas!O179="Yang F",331,IF(Atletas!O179="Chen F",332,IF(Atletas!O179="Sun F",333,IF(Atletas!O179="Wu F",334,IF(Atletas!O179="Wu-Hao F",335,IF(Atletas!O179="Outro Taijiquan F",336,"")))))))))))))))))))))))))))))))))))))</f>
        <v/>
      </c>
      <c r="BW188" s="50" t="str">
        <f>IF(Atletas!P179="","",IF(Atletas!X179&lt;&gt;"",10000,0)+IF(Atletas!B179="Feminino",1000,IF(Atletas!B179="Masculino",2000,""))+IF(OR(Atletas!P179="Yang 26 A",Atletas!P179="Yang 40 A"),401,IF(OR(Atletas!P179="Chen 25 A",Atletas!P179="Chen 36 A",Atletas!P179="Chen 56 A"),402,IF(Atletas!P179="Sun 73 A",403,IF(Atletas!P179="Wu 45 A",404,IF(Atletas!P179="Wu-Hao 46 A",405,IF(OR(Atletas!P179="Taijiquan 16 A",Atletas!P179="Taijiquan 24 A",Atletas!P179="Taijiquan 32 A",Atletas!P179="Taijiquan 42 A"),406,IF(OR(Atletas!P179="Yang 26 B",Atletas!P179="Yang 40 B"),407,IF(OR(Atletas!P179="Chen 25 B",Atletas!P179="Chen 36 B",Atletas!P179="Chen 56 B"),408,IF(Atletas!P179="Sun 73 B",409,IF(Atletas!P179="Wu 45 B",410,IF(Atletas!P179="Wu-Hao 46 B",411,IF(OR(Atletas!P179="Taijiquan 16 B",Atletas!P179="Taijiquan 24 B",Atletas!P179="Taijiquan 32 B",Atletas!P179="Taijiquan 42 B"),412,IF(OR(Atletas!P179="Yang 26 C",Atletas!P179="Yang 40 C"),413,IF(OR(Atletas!P179="Chen 25 C",Atletas!P179="Chen 36 C",Atletas!P179="Chen 56 C"),414,IF(Atletas!P179="Sun 73 C",415,IF(Atletas!P179="Wu 45 C",416,IF(Atletas!P179="Wu-Hao 46 C",417,IF(OR(Atletas!P179="Taijiquan 16 C",Atletas!P179="Taijiquan 24 C",Atletas!P179="Taijiquan 32 C",Atletas!P179="Taijiquan 42 C"),418,0)))))))))))))))))))</f>
        <v/>
      </c>
      <c r="BX188" s="50" t="str">
        <f>IF(Atletas!P179="","",IF(Atletas!X179&lt;&gt;"",10000,0)+IF(Atletas!B179="Feminino",1000,IF(Atletas!B179="Masculino",2000,""))+IF(OR(Atletas!P179="Yang 26 D",Atletas!P179="Yang 40 D"),419,IF(OR(Atletas!P179="Chen 25 D",Atletas!P179="Chen 36 D",Atletas!P179="Chen 56 D"),420,IF(Atletas!P179="Sun 73 D",421,IF(Atletas!P179="Wu 45 D",422,IF(Atletas!P179="Wu-Hao 46 D",423,IF(OR(Atletas!P179="Taijiquan 16 D",Atletas!P179="Taijiquan 24 D",Atletas!P179="Taijiquan 32 D",Atletas!P179="Taijiquan 42 D"),424,IF(OR(Atletas!P179="Yang 26 E",Atletas!P179="Yang 40 E"),425,IF(OR(Atletas!P179="Chen 25 E",Atletas!P179="Chen 36 E",Atletas!P179="Chen 56 E"),426,IF(Atletas!P179="Sun 73 E",427,IF(Atletas!P179="Wu 45 E",428,IF(Atletas!P179="Wu-Hao 46 E",429,IF(OR(Atletas!P179="Taijiquan 16 E",Atletas!P179="Taijiquan 24 E",Atletas!P179="Taijiquan 32 E",Atletas!P179="Taijiquan 42 E"),430,IF(OR(Atletas!P179="Yang 26 F",Atletas!P179="Yang 40 F"),431,IF(OR(Atletas!P179="Chen 25 F",Atletas!P179="Chen 36 F",Atletas!P179="Chen 56 F"),432,IF(Atletas!P179="Sun 73 F",433,IF(Atletas!P179="Wu 45 F",434,IF(Atletas!P179="Wu-Hao 46 F",435,IF(OR(Atletas!P179="Taijiquan 16 F",Atletas!P179="Taijiquan 24 F",Atletas!P179="Taijiquan 32 F",Atletas!P179="Taijiquan 42 F"),436,0)))))))))))))))))))</f>
        <v/>
      </c>
      <c r="BY188" s="50" t="str">
        <f>IF(Atletas!Q179="","",IF(Atletas!X179&lt;&gt;"",10000,0)+IF(Atletas!B179="Feminino",1000,IF(Atletas!B179="Masculino",2000,""))+IF(Atletas!Q179="Xingyiquan A",501,IF(Atletas!Q179="Baguazhang A",502,IF(Atletas!Q179="Outro Estilo Interno A",503,IF(Atletas!Q179="Xingyiquan B",504,IF(Atletas!Q179="Baguazhang B",505,IF(Atletas!Q179="Outro Estilo Interno B",506,IF(Atletas!Q179="Xingyiquan C",507,IF(Atletas!Q179="Baguazhang C",508,IF(Atletas!Q179="Outro Estilo Interno C",509,IF(Atletas!Q179="Xingyiquan D",510,IF(Atletas!Q179="Baguazhang D",511,IF(Atletas!Q179="Outro Estilo Interno D",512,IF(Atletas!Q179="Xingyiquan E",513,IF(Atletas!Q179="Baguazhang E",514,IF(Atletas!Q179="Outro Estilo Interno E",515,IF(Atletas!Q179="Xingyiquan F",516,IF(Atletas!Q179="Baguazhang F",517,IF(Atletas!Q179="Outro Estilo Interno F",518, "")))))))))))))))))))</f>
        <v/>
      </c>
      <c r="BZ188" s="50" t="str">
        <f>IF(Atletas!R179="","",IF(Atletas!X179&lt;&gt;"",10000,0)+IF(Atletas!B179="Feminino",1000,IF(Atletas!B179="Masculino",2000,""))+IF(Atletas!R179="Dao A",601,IF(Atletas!R179="Jian A",602,IF(Atletas!R179="Bishou A",603,IF(Atletas!R179="Shanzi A",604,IF(Atletas!R179="Outra Arma Curta A",605,IF(Atletas!R179="Dao B",606,IF(Atletas!R179="Jian B",607,IF(Atletas!R179="Bishou B",608,IF(Atletas!R179="Shanzi B",609,IF(Atletas!R179="Outra Arma Curta B",610,IF(Atletas!R179="Dao C",611,IF(Atletas!R179="Jian C",612,IF(Atletas!R179="Bishou C",613,IF(Atletas!R179="Shanzi C",614,IF(Atletas!R179="Outra Arma Curta C",615,IF(Atletas!R179="Dao D",616,IF(Atletas!R179="Jian D",617,IF(Atletas!R179="Bishou D",618,IF(Atletas!R179="Shanzi D",619,IF(Atletas!R179="Outra Arma Curta D",620,IF(Atletas!R179="Dao E",621,IF(Atletas!R179="Jian E",622,IF(Atletas!R179="Bishou E",623,IF(Atletas!R179="Shanzi E",624,IF(Atletas!R179="Outra Arma Curta E",625,IF(Atletas!R179="Dao F",626,IF(Atletas!R179="Jian F",627,IF(Atletas!R179="Bishou F",628,IF(Atletas!R179="Shanzi F",629,IF(Atletas!R179="Outra Arma Curta F",630, "")))))))))))))))))))))))))))))))</f>
        <v/>
      </c>
      <c r="CA188" s="50" t="str">
        <f>IF(Atletas!S179="","",IF(Atletas!X179&lt;&gt;"",10000,0)+IF(Atletas!B179="Feminino",1000,IF(Atletas!B179="Masculino",2000,""))+IF(Atletas!S179="Gun A",701,IF(Atletas!S179="Qiang A",702,IF(Atletas!S179="Pudao / Guandao A",703,IF(Atletas!S179="Outra Arma Longa A",704,IF(Atletas!S179="Gun B",705,IF(Atletas!S179="Qiang B",706,IF(Atletas!S179="Pudao / Guandao B",707,IF(Atletas!S179="Outra Arma Longa B",708,IF(Atletas!S179="Gun C",709,IF(Atletas!S179="Qiang C",710,IF(Atletas!S179="Pudao / Guandao C",711,IF(Atletas!S179="Outra Arma Longa C",712,IF(Atletas!S179="Gun D",713,IF(Atletas!S179="Qiang D",714,IF(Atletas!S179="Pudao / Guandao D",715,IF(Atletas!S179="Outra Arma Longa D",716,IF(Atletas!S179="Gun E",717,IF(Atletas!S179="Qiang E",718,IF(Atletas!S179="Pudao / Guandao E",719,IF(Atletas!S179="Outra Arma Longa E",720,IF(Atletas!S179="Gun F",721,IF(Atletas!S179="Qiang F",722,IF(Atletas!S179="Pudao / Guandao F",723,IF(Atletas!S179="Outra Arma Longa F",724,"")))))))))))))))))))))))))</f>
        <v/>
      </c>
      <c r="CB188" s="50" t="str">
        <f>IF(Atletas!T179="","",IF(Atletas!X179&lt;&gt;"",10000,0)+IF(Atletas!B179="Feminino",1000,IF(Atletas!B179="Masculino",2000,""))+IF(Atletas!T179="Outra Arma Dupla A",801,IF(Atletas!T179="Arma Maleável A",802,IF(Atletas!T179="Outra Arma Dupla B",803,IF(Atletas!T179="Arma Maleável B",804,IF(Atletas!T179="Outra Arma Dupla C",805,IF(Atletas!T179="Arma Maleável C",806,IF(Atletas!T179="Outra Arma Dupla D",807,IF(Atletas!T179="Arma Maleável D",808,IF(Atletas!T179="Outra Arma Dupla E",809,IF(Atletas!T179="Arma Maleável E",810,IF(Atletas!T179="Outra Arma Dupla F",811,IF(Atletas!T179="Arma Maleável F",812,IF(Atletas!T179="Shuangdao A",813,IF(Atletas!T179="Shuangdao B",814,IF(Atletas!T179="Shuangdao C",815,IF(Atletas!T179="Shuangdao D",816,IF(Atletas!T179="Shuangdao E",817,IF(Atletas!T179="Shuangdao F",818,"")))))))))))))))))))</f>
        <v/>
      </c>
      <c r="CC188" s="50" t="str">
        <f>IF(Atletas!U179="","",IF(Atletas!X179&lt;&gt;"",10000,0)+IF(Atletas!B179="Feminino",1000,IF(Atletas!B179="Masculino",2000,""))+IF(OR(Atletas!U179="Taijijian Yang A",Atletas!U179="Taijijian Yang Standard A"),901,IF(OR(Atletas!U179="Taijijian Chen A", Atletas!U179="Taijijian Chen Standard A"),902,IF(Atletas!U179="Taijijian Sun A",903,IF(Atletas!U179="Taijijian Wu A",904,IF(Atletas!U179="Taijijian Wu-Hao A",905,IF(OR(Atletas!U179="Taijijian 32 A",Atletas!U179="Taijijian 42 A"),906,IF(OR(Atletas!U179="Taijijian Yang B",Atletas!U179="Taijijian Yang Standard B"),907,IF(OR(Atletas!U179="Taijijian Chen B", Atletas!U179="Taijijian Chen Standard B"),908,IF(Atletas!U179="Taijijian Sun B",909,IF(Atletas!U179="Taijijian Wu B",910,IF(Atletas!U179="Taijijian Wu-Hao B",911,IF(OR(Atletas!U179="Taijijian 32 B",Atletas!U179="Taijijian 42 B"),912,IF(OR(Atletas!U179="Taijijian Yang C",Atletas!U179="Taijijian Yang Standard C"),913,IF(OR(Atletas!U179="Taijijian Chen C", Atletas!U179="Taijijian Chen Standard C"),914,IF(Atletas!U179="Taijijian Sun C",915,IF(Atletas!U179="Taijijian Wu C",916,IF(Atletas!U179="Taijijian Wu-Hao C",917,IF(OR(Atletas!U179="Taijijian 32 C",Atletas!U179="Taijijian 42 C"),918,IF(OR(Atletas!U179="Taijijian Yang D",Atletas!U179="Taijijian Yang Standard D"),919,IF(OR(Atletas!U179="Taijijian Chen D", Atletas!U179="Taijijian Chen Standard D"),920,IF(Atletas!U179="Taijijian Sun D",921,IF(Atletas!U179="Taijijian Wu D",922,IF(Atletas!U179="Taijijian Wu-Hao D",923,IF(OR(Atletas!U179="Taijijian 32 D",Atletas!U179="Taijijian 42 D"),924,IF(OR(Atletas!U179="Taijijian Yang E",Atletas!U179="Taijijian Yang Standard E"),925,IF(OR(Atletas!U179="Taijijian Chen E", Atletas!U179="Taijijian Chen Standard E"),926,IF(Atletas!U179="Taijijian Sun E",927,IF(Atletas!U179="Taijijian Wu E",928,IF(Atletas!U179="Taijijian Wu-Hao E",929,IF(OR(Atletas!U179="Taijijian 32 E",Atletas!U179="Taijijian 42 E"),930,IF(OR(Atletas!U179="Taijijian Yang F",Atletas!U179="Taijijian Yang Standard F"),931,IF(OR(Atletas!U179="Taijijian Chen F", Atletas!U179="Taijijian Chen Standard F"),932,IF(Atletas!U179="Taijijian Sun F",933,IF(Atletas!U179="Taijijian Wu F",934,IF(Atletas!U179="Taijijian Wu-Hao F",935,IF(OR(Atletas!U179="Taijijian 32 F",Atletas!U179="Taijijian 42 F"),936,"")))))))))))))))))))))))))))))))))))))</f>
        <v/>
      </c>
      <c r="CD188" s="50" t="str">
        <f>IF(Atletas!V179="","",IF(Atletas!X179&lt;&gt;"",10000,0)+IF(Atletas!B179="Feminino",1000,IF(Atletas!B179="Masculino",2000,""))+IF(Atletas!V179="Taijidao A",937,IF(Atletas!V179="TaijiShanzi A",938,IF(Atletas!V179="Taijiqiang A",939,IF(Atletas!V179="Bagua de Arma A",940,IF(Atletas!V179="Xingyi de Arma A",941,IF(Atletas!V179="Taijidao B",942,IF(Atletas!V179="TaijiShanzi B",943,IF(Atletas!V179="Taijiqiang B",944,IF(Atletas!V179="Bagua de Arma B",945,IF(Atletas!V179="Xingyi de Arma B",946,IF(Atletas!V179="Taijidao C",947,IF(Atletas!V179="TaijiShanzi C",948,IF(Atletas!V179="Taijiqiang C",949,IF(Atletas!V179="Bagua de Arma C",950,IF(Atletas!V179="Xingyi de Arma C",951,IF(Atletas!V179="Taijidao D",952,IF(Atletas!V179="TaijiShanzi D",953,IF(Atletas!V179="Taijiqiang D",954,IF(Atletas!V179="Bagua de Arma D",955,IF(Atletas!V179="Xingyi de Arma D",956,IF(Atletas!V179="Taijidao E",957,IF(Atletas!V179="TaijiShanzi E",958,IF(Atletas!V179="Taijiqiang E",959,IF(Atletas!V179="Bagua de Arma E",960,IF(Atletas!V179="Xingyi de Arma E",961,IF(Atletas!V179="Taijidao F",962,IF(Atletas!V179="TaijiShanzi F",963,IF(Atletas!V179="Taijiqiang F",964,IF(Atletas!V179="Bagua de Arma F",965,IF(Atletas!V179="Xingyi de Arma F",966,"")))))))))))))))))))))))))))))))</f>
        <v/>
      </c>
      <c r="CE188" s="66" t="str">
        <f>IF(CF188&lt;&gt;"","TJQ Padr. Chen C","")</f>
        <v/>
      </c>
      <c r="CF188" s="66" t="str">
        <f>IF(COUNTIF(BR:CD,1414)&gt;0,COUNTIF(BR:CD,1414),"")</f>
        <v/>
      </c>
      <c r="CG188" s="66" t="str">
        <f>IF(CH188&lt;&gt;"","TJQ Padr. Chen C","")</f>
        <v/>
      </c>
      <c r="CH188" s="66" t="str">
        <f>IF(COUNTIF(BR:CD,2414)&gt;0,COUNTIF(BR:CD,2414),"")</f>
        <v/>
      </c>
      <c r="CI188" s="66" t="str">
        <f>IF(CJ188&lt;&gt;"","TJQ Padr. Chen D","")</f>
        <v/>
      </c>
      <c r="CJ188" s="66" t="str">
        <f>IF(COUNTIF(BR:CD,11420)&gt;0,COUNTIF(BR:CD,11420),"")</f>
        <v/>
      </c>
      <c r="CK188" s="66" t="str">
        <f>IF(CL188&lt;&gt;"","TJQ Padr. Chen D","")</f>
        <v/>
      </c>
      <c r="CL188" s="66" t="str">
        <f>IF(COUNTIF(BR:CD,12420)&gt;0,COUNTIF(BR:CD,12420),"")</f>
        <v/>
      </c>
      <c r="CM188" s="50" t="str">
        <f xml:space="preserve"> IF(Atletas!W179="","",IF(Atletas!W179="Duilian de Mãos BC - Equipe 1",1,IF(Atletas!W179="Duilian de Mãos BC - Equipe 2",2,IF(Atletas!W179="Duilian de Armas BC - Equipe 1",3,IF(Atletas!W179="Duilian de Armas BC - Equipe 2",4,IF(Atletas!W179="Duilian de Mãos DE - Equipe 1",5,IF(Atletas!W179="Duilian de Mãos DE - Equipe 2",6,IF(Atletas!W179="Duilian de Armas DE - Equipe 1",7,IF(Atletas!W179="Duilian de Armas DE - Equipe 2",8,IF(Atletas!W179="Duilian de Tuishou - Equipe 1",9,IF(Atletas!W179="Duilian de Tuishou - Equipe 2",10,IF(Atletas!W179="Grupo Externo ABC - Equipe 1",11,IF(Atletas!W179="Grupo Externo ABC - Equipe 2",12,IF(Atletas!W179="Grupo Interno ABC - Equipe 1",13,IF(Atletas!W179="Grupo Interno ABC - Equipe 2",14,IF(Atletas!W179="Grupo Externo DEF - Equipe 1",15,IF(Atletas!W179="Grupo Externo DEF - Equipe 2",16,IF(Atletas!W179="Grupo Interno DEF - Equipe 1",17,IF(Atletas!W179="Grupo Interno DEF - Equipe 2",18,"")))))))))))))))))))</f>
        <v/>
      </c>
    </row>
    <row r="189" spans="2:91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 t="str">
        <f t="array" ref="Z189">IFERROR(INDEX(CE$7:CE$348,SMALL(IF(CE$7:CE$348&lt;&gt;"",ROW(CE$7:CE$348)-ROW(CE$7)+1),ROWS(CE$7:CE188))),"")</f>
        <v/>
      </c>
      <c r="AA189" s="3" t="str">
        <f t="array" ref="AA189">IFERROR(INDEX(CF$7:CF$348,SMALL(IF(CF$7:CF$348&lt;&gt;"",ROW(CF$7:CF$348)-ROW(CF$7)+1),ROWS(CF$7:CF188))),"")</f>
        <v/>
      </c>
      <c r="AB189" s="3" t="str">
        <f t="array" ref="AB189">IFERROR(INDEX(CG$7:CG$348,SMALL(IF(CG$7:CG$348&lt;&gt;"",ROW(CG$7:CG$348)-ROW(CG$7)+1),ROWS(CG$7:CG188))),"")</f>
        <v/>
      </c>
      <c r="AC189" s="3" t="str">
        <f t="array" ref="AC189">IFERROR(INDEX(CH$7:CH$348,SMALL(IF(CH$7:CH$348&lt;&gt;"",ROW(CH$7:CH$348)-ROW(CH$7)+1),ROWS(CH$7:CH188))),"")</f>
        <v/>
      </c>
      <c r="AD189" s="3" t="str">
        <f t="array" ref="AD189">IFERROR(INDEX(CI$7:CI$377,SMALL(IF(CI$7:CI$377&lt;&gt;"",ROW(CI$7:CI$377)-ROW(CI$7)+1),ROWS(CI$7:CI188))),"")</f>
        <v/>
      </c>
      <c r="AE189" s="3" t="str">
        <f t="array" ref="AE189">IFERROR(INDEX(CJ$7:CJ$378,SMALL(IF(CJ$7:CJ$378&lt;&gt;"",ROW(CJ$7:CJ$378)-ROW(CJ$7)+1),ROWS(CJ$7:CJ188))),"")</f>
        <v/>
      </c>
      <c r="AF189" s="3" t="str">
        <f t="array" ref="AF189">IFERROR(INDEX(CK$7:CK$378,SMALL(IF(CK$7:CK$378&lt;&gt;"",ROW(CK$7:CK$378)-ROW(CK$7)+1),ROWS(CK$7:CK188))),"")</f>
        <v/>
      </c>
      <c r="AG189" s="3" t="str">
        <f t="array" ref="AG189">IFERROR(INDEX(CL$7:CL$378,SMALL(IF(CL$7:CL$378&lt;&gt;"",ROW(CL$7:CL$378)-ROW(CL$7)+1),ROWS(CL$7:CL188))),"")</f>
        <v/>
      </c>
      <c r="AH189" s="3"/>
      <c r="AI189" s="3"/>
      <c r="AJ189" s="3"/>
      <c r="AK189" s="3"/>
      <c r="AL189" s="3"/>
      <c r="AM189" s="3"/>
      <c r="AN189" s="52" t="str">
        <f>IF(Atletas!D180="","",IF(Atletas!B180="Feminino",100,IF(Atletas!B180="Masculino",200,""))+(IF(Atletas!D180="Kids 30kg",1,IF(Atletas!D180="Kids 32kg",2, IF(Atletas!D180="Kids 34kg",3,IF(Atletas!D180="Kids 36kg",4,IF(Atletas!D180="Kids 39kg",5,IF(Atletas!D180="Kids 42kg",6,IF(Atletas!D180="Kids 45kg",7, IF(Atletas!D180="Infantil 39kg",8,IF(Atletas!D180="Infantil 42kg",9,IF(Atletas!D180="Infantil 45kg",10,IF(Atletas!D180="Infantil 48kg",11,IF(Atletas!D180="Infantil 52kg",12,IF(Atletas!D180="Infantil 56kg",13,IF(Atletas!D180="Infantil 60kg",14,IF(Atletas!D180="Juvenil 48kg",15,IF(Atletas!D180="Juvenil 52kg",16,IF(Atletas!D180="Juvenil 56kg",17,IF(Atletas!D180="Juvenil 60kg",18,IF(Atletas!D180="Juvenil 65kg",19,IF(Atletas!D180="Juvenil 70kg",20,IF(Atletas!D180="Juvenil 75kg",21,IF(Atletas!D180="Juvenil 80kg",22, IF(Atletas!D180="Juvenil 85kg",23,IF(Atletas!D180="Adulto 48kg",24,IF(Atletas!D180="Adulto 52kg",25,IF(Atletas!D180="Adulto 56kg",26,IF(Atletas!D180="Adulto 60kg",27,IF(Atletas!D180="Adulto 65kg",28,IF(Atletas!D180="Adulto 70kg",29,IF(Atletas!D180="Adulto 75kg",30,IF(Atletas!D180="Adulto 80kg",31,IF(Atletas!D180="Adulto 85kg",32,IF(Atletas!D180="Adulto 90kg",33,IF(Atletas!D180="Adulto 100kg",34, IF(Atletas!D180="Adulto +100kg",35,"")))))))))))))))))))))))))))))))))))))</f>
        <v/>
      </c>
      <c r="AS189" s="6" t="str">
        <f>IF(Atletas!E180="","",IF(Atletas!B180="Feminino",100,IF(Atletas!B180="Masculino",200,""))+(IF(Atletas!E180="Juvenil 44kg",1,IF(Atletas!E180="Juvenil 48kg",2,IF(Atletas!E180="Juvenil 52kg",3,IF(Atletas!E180="Juvenil 56kg",4,IF(Atletas!E180="Juvenil 60kg",5,IF(Atletas!E180="Juvenil 65kg",6,IF(Atletas!E180="Juvenil 70kg",7,IF(Atletas!E180="Juvenil 75kg",8,IF(Atletas!E180="Juvenil 82kg",9,IF(Atletas!E180="Juvenil 90kg",10,IF(Atletas!E180="Juvenil 100kg",11,IF(Atletas!E180="Adulto 48kg",12,IF(Atletas!E180="Adulto 52kg",13,IF(Atletas!E180="Adulto 56kg",14,IF(Atletas!E180="Adulto 60kg",15,IF(Atletas!E180="Adulto 65kg",16,IF(Atletas!E180="Adulto 70kg",17,IF(Atletas!E180="Adulto 75kg",18,IF(Atletas!E180="Adulto 82kg",19,IF(Atletas!E180="Adulto 90kg",20,IF(Atletas!E180="Adulto 100kg",21,IF(Atletas!E180="Adulto +100kg",22,""))))))))))))))))))))))))</f>
        <v/>
      </c>
      <c r="AX189" s="6" t="str">
        <f>IF(Atletas!F180="","",IF(Atletas!B180="Feminino",100,IF(Atletas!B180="Masculino",200,""))+(IF(Atletas!F180="Adulto 48kg",1,IF(Atletas!F180="Adulto 56kg",2,IF(Atletas!F180="Adulto 65kg",3,IF(Atletas!F180="Adulto 75kg",4,IF(Atletas!F180="Adulto +75kg",5,IF(Atletas!F180="Adulto 52kg",6,IF(Atletas!F180="Adulto 60kg",7,IF(Atletas!F180="Adulto 70kg",8,IF(Atletas!F180="Adulto 80kg",9,IF(Atletas!F180="Adulto 90kg",10,IF(Atletas!F180="Adulto +90kg",11,"")))))))))))))</f>
        <v/>
      </c>
      <c r="BC189" s="6" t="str">
        <f>IF(Atletas!G180="","",IF(Atletas!B180="Feminino",10,IF(Atletas!B180="Masculino",20,""))+(IF(Atletas!G180="Baduanjin A",1,IF(Atletas!G180="Baduanjin B",2))))</f>
        <v/>
      </c>
      <c r="BF189" s="52" t="str">
        <f>IF(Atletas!H180="","",IF(Atletas!B180="Feminino",100,IF(Atletas!B180="Masculino",200,""))+(IF(Atletas!H180="Changquan Mirim",1,IF(Atletas!H180="Nanquan Mirim",2,IF(Atletas!H180="Taijiquan Mirim",3,IF(Atletas!H180="Changquan Grupo C",4,IF(Atletas!H180="Nanquan Grupo C",5,IF(Atletas!H180="Taijiquan Grupo C",6,IF(Atletas!H180="Changquan Grupo B",7,IF(Atletas!H180="Nanquan Grupo B",8,IF(Atletas!H180="Taijiquan Grupo B",9,IF(Atletas!H180="Changquan Grupo A",10,IF(Atletas!H180="Nanquan Grupo A",11,IF(Atletas!H180="Taijiquan Grupo A",12,IF(Atletas!H180="Changquan Opcional",13,IF(Atletas!H180="Nanquan Opcional",14,IF(Atletas!H180="Taijiquan Opcional",15,IF(Atletas!H180="Changquan Adulto",16,IF(Atletas!H180="Nanquan Adulto",17,IF(Atletas!H180="Taijiquan Adulto",18,""))))))))))))))))))))</f>
        <v/>
      </c>
      <c r="BG189" s="52" t="str">
        <f>IF(Atletas!I180="","",IF(Atletas!B180="Feminino",100,IF(Atletas!B180="Masculino",200,""))+(IF(Atletas!I180="Daoshu Mirim",19,IF(Atletas!I180="Jianshu Mirim",20,IF(Atletas!I180="Nandao Mirim",21,IF(Atletas!I180="Taijijian Mirim",22,IF(Atletas!I180="Daoshu Grupo C",23,IF(Atletas!I180="Jianshu Grupo C",24,IF(Atletas!I180="Nandao Grupo C",25,IF(Atletas!I180="Taijijian Grupo C",26,IF(Atletas!I180="Daoshu Grupo B",27,IF(Atletas!I180="Jianshu Grupo B",28,IF(Atletas!I180="Nandao Grupo B",29,IF(Atletas!I180="Taijijian Grupo B",30,IF(Atletas!I180="Daoshu Grupo A",31,IF(Atletas!I180="Jianshu Grupo A",32,IF(Atletas!I180="Nandao Grupo A",33,IF(Atletas!I180="Taijijian Grupo A",34,IF(Atletas!I180="Daoshu Opcional",35,IF(Atletas!I180="Jianshu Opcional",36,IF(Atletas!I180="Nandao Opcional",37,IF(Atletas!I180="Taijijian Opcional",38,IF(Atletas!I180="Daoshu Adulto",39,IF(Atletas!I180="Jianshu Adulto",40,IF(Atletas!I180="Nandao Adulto",41,IF(Atletas!I180="Taijijian Adulto",42,""))))))))))))))))))))))))))</f>
        <v/>
      </c>
      <c r="BH189" s="52" t="str">
        <f>IF(Atletas!J180="","",IF(Atletas!B180="Feminino",100,IF(Atletas!B180="Masculino",200,""))+(IF(Atletas!J180="Gunshu Mirim",43,IF(Atletas!J180="Qiangshu Mirim",44,IF(Atletas!J180="Nangun Mirim",45,IF(Atletas!J180="Gunshu Grupo C",46,IF(Atletas!J180="Qiangshu Grupo C",47,IF(Atletas!J180="Nangun Grupo C",48,IF(Atletas!J180="Gunshu Grupo B",49,IF(Atletas!J180="Qiangshu Grupo B",50,IF(Atletas!J180="Nangun Grupo B",51,IF(Atletas!J180="Gunshu Grupo A",52,IF(Atletas!J180="Qiangshu Grupo A",53,IF(Atletas!J180="Nangun Grupo A",54,IF(Atletas!J180="Gunshu Opcional",55,IF(Atletas!J180="Qiangshu Opcional",56,IF(Atletas!J180="Nangun Opcional",57,IF(Atletas!J180="Gunshu Adulto",58,IF(Atletas!J180="Qiangshu Adulto",59,IF(Atletas!J180="Nangun Adulto",60,IF(Atletas!J180="Taijishan Grupo B",61,IF(Atletas!J180="Taijishan Grupo A",62,""))))))))))))))))))))))</f>
        <v/>
      </c>
      <c r="BM189" s="50" t="str">
        <f>IF(Atletas!K180="","",IF(Atletas!B180="Feminino",100,IF(Atletas!B180="Masculino",200,""))+(IF(Atletas!K180="Equipe 1 Grupo B",1,IF(Atletas!K180="Equipe 2 Grupo B",2,IF(Atletas!K180="Equipe 1 Grupo A",3,IF(Atletas!K180="Equipe 2 Grupo A",4,IF(Atletas!K180="Equipe 1 Adulto",5,IF(Atletas!K180="Equipe 2 Adulto",6,""))))))))</f>
        <v/>
      </c>
      <c r="BR189" s="50" t="str">
        <f>IF(Atletas!L180="","",IF(Atletas!X180&lt;&gt;"",10000,0)+(IF(Atletas!B180="Feminino",1000,IF(Atletas!B180="Masculino",2000,""))+IF(Atletas!L180="Choylayfut A",1,IF(Atletas!L180="Hunggar A",2,IF(Atletas!L180="Wuzuquan A",3,IF(Atletas!L180="Wingchun A",4,IF(Atletas!L180="Outra Mão de Sul A",5,IF(Atletas!L180="Choylayfut B",6,IF(Atletas!L180="Hunggar B",7,IF(Atletas!L180="Wuzuquan B",8,IF(Atletas!L180="Wingchun B",9,IF(Atletas!L180="Outra Mão de Sul B",10,IF(Atletas!L180="Choylayfut C",11,IF(Atletas!L180="Hunggar C",12,IF(Atletas!L180="Wuzuquan C",13,IF(Atletas!L180="Wingchun C",14,IF(Atletas!L180="Outra Mão de Sul C",15,IF(Atletas!L180="Choylayfut D",16,IF(Atletas!L180="Hunggar D",17,IF(Atletas!L180="Wuzuquan D",18,IF(Atletas!L180="Wingchun D",19,IF(Atletas!L180="Outra Mão de Sul D",20,IF(Atletas!L180="Choylayfut E",21,IF(Atletas!L180="Hunggar E",22,IF(Atletas!L180="Wuzuquan E",23,IF(Atletas!L180="Wingchun E",24,IF(Atletas!L180="Outra Mão de Sul E",25,IF(Atletas!L180="Choylayfut F",26,IF(Atletas!L180="Hunggar F",27,IF(Atletas!L180="Wuzuquan F",28,IF(Atletas!L180="Wingchun F",29,IF(Atletas!L180="Outra Mão de Sul F",30,IF(Atletas!L180="Dishuquan A",31,IF(Atletas!L180="Dishuquan B",32,IF(Atletas!L180="Dishuquan C",33,IF(Atletas!L180="Dishuquan D",34,IF(Atletas!L180="Dishuquan E",35,IF(Atletas!L180="Dishuquan F",36,""))))))))))))))))))))))))))))))))))))))</f>
        <v/>
      </c>
      <c r="BS189" s="50" t="str">
        <f>IF(Atletas!M180="","",IF(Atletas!X180&lt;&gt;"",10000,0)+(IF(Atletas!B180="Feminino",1000,IF(Atletas!B180="Masculino",2000,""))+(IF(Atletas!M180="Chaquan A",101,IF(Atletas!M180="Emeiquan A",102,IF(Atletas!M180="Fanziquan A",103,IF(Atletas!M180="Huaquan A",104,IF(Atletas!M180="Hongquan A",105,IF(Atletas!M180="Paoquan A",106,IF(Atletas!M180="Piguaquan A",107,IF(Atletas!M180="Shaolinquan A",108,IF(Atletas!M180="Tanglangquan A",109,IF(Atletas!M180="Yingzhaoquan A",110,IF(Atletas!M180="Tongbeiquan A",111,IF(Atletas!M180="Wudangquan A",112,IF(Atletas!M180="Outros Estilos A",113,IF(Atletas!M180="Chaquan B",114,IF(Atletas!M180="Emeiquan B",115,IF(Atletas!M180="Fanziquan B",116,IF(Atletas!M180="Huaquan B",117,IF(Atletas!M180="Hongquan B",118,IF(Atletas!M180="Paoquan B",119,IF(Atletas!M180="Piguaquan B",120,IF(Atletas!M180="Shaolinquan B",121,IF(Atletas!M180="Tanglangquan B",122,IF(Atletas!M180="Yingzhaoquan B",123,IF(Atletas!M180="Tongbeiquan B",124,IF(Atletas!M180="Wudangquan B",125,IF(Atletas!M180="Outros Estilos B",126,IF(Atletas!M180="Chaquan C",127,IF(Atletas!M180="Emeiquan C",128,IF(Atletas!M180="Fanziquan C",129,IF(Atletas!M180="Huaquan C",130,IF(Atletas!M180="Hongquan C",131,IF(Atletas!M180="Paoquan C",132,IF(Atletas!M180="Piguaquan C",133,IF(Atletas!M180="Shaolinquan C",134,IF(Atletas!M180="Tanglangquan C",135,IF(Atletas!M180="Yingzhaoquan C",136,IF(Atletas!M180="Tongbeiquan C",137,IF(Atletas!M180="Wudangquan C",138,IF(Atletas!M180="Outros Estilos C",139,0))))))))))))))))))))))))))))))))))))))))))</f>
        <v/>
      </c>
      <c r="BT189" s="50" t="str">
        <f>IF(Atletas!M180="","",IF(Atletas!X180&lt;&gt;"",10000,0)+(IF(Atletas!B180="Feminino",1000,IF(Atletas!B180="Masculino",2000,""))+(IF(Atletas!M180="Chaquan D",140,IF(Atletas!M180="Emeiquan D",141,IF(Atletas!M180="Fanziquan D",142,IF(Atletas!M180="Huaquan D",143,IF(Atletas!M180="Hongquan D",144,IF(Atletas!M180="Paoquan D",145,IF(Atletas!M180="Piguaquan D",146,IF(Atletas!M180="Shaolinquan D",147,IF(Atletas!M180="Tanglangquan D",148,IF(Atletas!M180="Yingzhaoquan D",149,IF(Atletas!M180="Tongbeiquan D",150,IF(Atletas!M180="Wudangquan D",151,IF(Atletas!M180="Outros Estilos D",152,IF(Atletas!M180="Chaquan E",153,IF(Atletas!M180="Emeiquan E",154,IF(Atletas!M180="Fanziquan E",155,IF(Atletas!M180="Huaquan E",156,IF(Atletas!M180="Hongquan E",157,IF(Atletas!M180="Paoquan E",158,IF(Atletas!M180="Piguaquan E",159,IF(Atletas!M180="Shaolinquan E",160,IF(Atletas!M180="Tanglangquan E",161,IF(Atletas!M180="Yingzhaoquan E",162,IF(Atletas!M180="Tongbeiquan E",163,IF(Atletas!M180="Wudangquan E",164,IF(Atletas!M180="Outros Estilos E",165,IF(Atletas!M180="Chaquan F",166,IF(Atletas!M180="Emeiquan F",167,IF(Atletas!M180="Fanziquan F",168,IF(Atletas!M180="Huaquan F",169,IF(Atletas!M180="Hongquan F",170,IF(Atletas!M180="Paoquan F",171,IF(Atletas!M180="Piguaquan F",172,IF(Atletas!M180="Shaolinquan F",173,IF(Atletas!M180="Tanglangquan F",174,IF(Atletas!M180="Yingzhaoquan F",175,IF(Atletas!M180="Tongbeiquan F",176,IF(Atletas!M180="Wudangquan F",177,IF(Atletas!M180="Outros Estilos F",178,0))))))))))))))))))))))))))))))))))))))))))</f>
        <v/>
      </c>
      <c r="BU189" s="50" t="str">
        <f>IF(Atletas!N180="","",IF(Atletas!X180&lt;&gt;"",10000,0)+(IF(Atletas!B180="Feminino",1000,IF(Atletas!B180="Masculino",2000,""))+(IF(Atletas!N180="Ditangquan A",201,IF(Atletas!N180="Houquan A",202,IF(Atletas!N180="Zuiquan A",203,IF(Atletas!N180="Ditangquan B",204,IF(Atletas!N180="Houquan B",205,IF(Atletas!N180="Zuiquan B",206,IF(Atletas!N180="Ditangquan C",207,IF(Atletas!N180="Houquan C",208,IF(Atletas!N180="Zuiquan C",209,IF(Atletas!N180="Ditangquan D",210,IF(Atletas!N180="Houquan D",211,IF(Atletas!N180="Zuiquan D",212,IF(Atletas!N180="Ditangquan E",213,IF(Atletas!N180="Houquan E",214,IF(Atletas!N180="Zuiquan E",215,IF(Atletas!N180="Ditangquan F",216,IF(Atletas!N180="Houquan F",217,IF(Atletas!N180="Zuiquan F",218,"")))))))))))))))))))))</f>
        <v/>
      </c>
      <c r="BV189" s="50" t="str">
        <f>IF(Atletas!O180="","",IF(Atletas!X180&lt;&gt;"",10000,0)+IF(Atletas!B180="Feminino",1000,IF(Atletas!B180="Masculino",2000,""))+IF(Atletas!O180="Yang A",301,IF(Atletas!O180="Chen A",302,IF(Atletas!O180="Sun A",303,IF(Atletas!O180="Wu A",304,IF(Atletas!O180="Wu-Hao A",305,IF(Atletas!O180="Outro Taijiquan A",306,IF(Atletas!O180="Yang B",307,IF(Atletas!O180="Chen B",308,IF(Atletas!O180="Sun B",309,IF(Atletas!O180="Wu B",310,IF(Atletas!O180="Wu-Hao B",311,IF(Atletas!O180="Outro Taijiquan B",312,IF(Atletas!O180="Yang C",313,IF(Atletas!O180="Chen C",314,IF(Atletas!O180="Sun C",315,IF(Atletas!O180="Wu C",316,IF(Atletas!O180="Wu-Hao C",317,IF(Atletas!O180="Outro Taijiquan C",318,IF(Atletas!O180="Yang D",319,IF(Atletas!O180="Chen D",320,IF(Atletas!O180="Sun D",321,IF(Atletas!O180="Wu D",322,IF(Atletas!O180="Wu-Hao D",323,IF(Atletas!O180="Outro Taijiquan D",324,IF(Atletas!O180="Yang E",325,IF(Atletas!O180="Chen E",326,IF(Atletas!O180="Sun E",327,IF(Atletas!O180="Wu E",328,IF(Atletas!O180="Wu-Hao E",329,IF(Atletas!O180="Outro Taijiquan E",330,IF(Atletas!O180="Yang F",331,IF(Atletas!O180="Chen F",332,IF(Atletas!O180="Sun F",333,IF(Atletas!O180="Wu F",334,IF(Atletas!O180="Wu-Hao F",335,IF(Atletas!O180="Outro Taijiquan F",336,"")))))))))))))))))))))))))))))))))))))</f>
        <v/>
      </c>
      <c r="BW189" s="50" t="str">
        <f>IF(Atletas!P180="","",IF(Atletas!X180&lt;&gt;"",10000,0)+IF(Atletas!B180="Feminino",1000,IF(Atletas!B180="Masculino",2000,""))+IF(OR(Atletas!P180="Yang 26 A",Atletas!P180="Yang 40 A"),401,IF(OR(Atletas!P180="Chen 25 A",Atletas!P180="Chen 36 A",Atletas!P180="Chen 56 A"),402,IF(Atletas!P180="Sun 73 A",403,IF(Atletas!P180="Wu 45 A",404,IF(Atletas!P180="Wu-Hao 46 A",405,IF(OR(Atletas!P180="Taijiquan 16 A",Atletas!P180="Taijiquan 24 A",Atletas!P180="Taijiquan 32 A",Atletas!P180="Taijiquan 42 A"),406,IF(OR(Atletas!P180="Yang 26 B",Atletas!P180="Yang 40 B"),407,IF(OR(Atletas!P180="Chen 25 B",Atletas!P180="Chen 36 B",Atletas!P180="Chen 56 B"),408,IF(Atletas!P180="Sun 73 B",409,IF(Atletas!P180="Wu 45 B",410,IF(Atletas!P180="Wu-Hao 46 B",411,IF(OR(Atletas!P180="Taijiquan 16 B",Atletas!P180="Taijiquan 24 B",Atletas!P180="Taijiquan 32 B",Atletas!P180="Taijiquan 42 B"),412,IF(OR(Atletas!P180="Yang 26 C",Atletas!P180="Yang 40 C"),413,IF(OR(Atletas!P180="Chen 25 C",Atletas!P180="Chen 36 C",Atletas!P180="Chen 56 C"),414,IF(Atletas!P180="Sun 73 C",415,IF(Atletas!P180="Wu 45 C",416,IF(Atletas!P180="Wu-Hao 46 C",417,IF(OR(Atletas!P180="Taijiquan 16 C",Atletas!P180="Taijiquan 24 C",Atletas!P180="Taijiquan 32 C",Atletas!P180="Taijiquan 42 C"),418,0)))))))))))))))))))</f>
        <v/>
      </c>
      <c r="BX189" s="50" t="str">
        <f>IF(Atletas!P180="","",IF(Atletas!X180&lt;&gt;"",10000,0)+IF(Atletas!B180="Feminino",1000,IF(Atletas!B180="Masculino",2000,""))+IF(OR(Atletas!P180="Yang 26 D",Atletas!P180="Yang 40 D"),419,IF(OR(Atletas!P180="Chen 25 D",Atletas!P180="Chen 36 D",Atletas!P180="Chen 56 D"),420,IF(Atletas!P180="Sun 73 D",421,IF(Atletas!P180="Wu 45 D",422,IF(Atletas!P180="Wu-Hao 46 D",423,IF(OR(Atletas!P180="Taijiquan 16 D",Atletas!P180="Taijiquan 24 D",Atletas!P180="Taijiquan 32 D",Atletas!P180="Taijiquan 42 D"),424,IF(OR(Atletas!P180="Yang 26 E",Atletas!P180="Yang 40 E"),425,IF(OR(Atletas!P180="Chen 25 E",Atletas!P180="Chen 36 E",Atletas!P180="Chen 56 E"),426,IF(Atletas!P180="Sun 73 E",427,IF(Atletas!P180="Wu 45 E",428,IF(Atletas!P180="Wu-Hao 46 E",429,IF(OR(Atletas!P180="Taijiquan 16 E",Atletas!P180="Taijiquan 24 E",Atletas!P180="Taijiquan 32 E",Atletas!P180="Taijiquan 42 E"),430,IF(OR(Atletas!P180="Yang 26 F",Atletas!P180="Yang 40 F"),431,IF(OR(Atletas!P180="Chen 25 F",Atletas!P180="Chen 36 F",Atletas!P180="Chen 56 F"),432,IF(Atletas!P180="Sun 73 F",433,IF(Atletas!P180="Wu 45 F",434,IF(Atletas!P180="Wu-Hao 46 F",435,IF(OR(Atletas!P180="Taijiquan 16 F",Atletas!P180="Taijiquan 24 F",Atletas!P180="Taijiquan 32 F",Atletas!P180="Taijiquan 42 F"),436,0)))))))))))))))))))</f>
        <v/>
      </c>
      <c r="BY189" s="50" t="str">
        <f>IF(Atletas!Q180="","",IF(Atletas!X180&lt;&gt;"",10000,0)+IF(Atletas!B180="Feminino",1000,IF(Atletas!B180="Masculino",2000,""))+IF(Atletas!Q180="Xingyiquan A",501,IF(Atletas!Q180="Baguazhang A",502,IF(Atletas!Q180="Outro Estilo Interno A",503,IF(Atletas!Q180="Xingyiquan B",504,IF(Atletas!Q180="Baguazhang B",505,IF(Atletas!Q180="Outro Estilo Interno B",506,IF(Atletas!Q180="Xingyiquan C",507,IF(Atletas!Q180="Baguazhang C",508,IF(Atletas!Q180="Outro Estilo Interno C",509,IF(Atletas!Q180="Xingyiquan D",510,IF(Atletas!Q180="Baguazhang D",511,IF(Atletas!Q180="Outro Estilo Interno D",512,IF(Atletas!Q180="Xingyiquan E",513,IF(Atletas!Q180="Baguazhang E",514,IF(Atletas!Q180="Outro Estilo Interno E",515,IF(Atletas!Q180="Xingyiquan F",516,IF(Atletas!Q180="Baguazhang F",517,IF(Atletas!Q180="Outro Estilo Interno F",518, "")))))))))))))))))))</f>
        <v/>
      </c>
      <c r="BZ189" s="50" t="str">
        <f>IF(Atletas!R180="","",IF(Atletas!X180&lt;&gt;"",10000,0)+IF(Atletas!B180="Feminino",1000,IF(Atletas!B180="Masculino",2000,""))+IF(Atletas!R180="Dao A",601,IF(Atletas!R180="Jian A",602,IF(Atletas!R180="Bishou A",603,IF(Atletas!R180="Shanzi A",604,IF(Atletas!R180="Outra Arma Curta A",605,IF(Atletas!R180="Dao B",606,IF(Atletas!R180="Jian B",607,IF(Atletas!R180="Bishou B",608,IF(Atletas!R180="Shanzi B",609,IF(Atletas!R180="Outra Arma Curta B",610,IF(Atletas!R180="Dao C",611,IF(Atletas!R180="Jian C",612,IF(Atletas!R180="Bishou C",613,IF(Atletas!R180="Shanzi C",614,IF(Atletas!R180="Outra Arma Curta C",615,IF(Atletas!R180="Dao D",616,IF(Atletas!R180="Jian D",617,IF(Atletas!R180="Bishou D",618,IF(Atletas!R180="Shanzi D",619,IF(Atletas!R180="Outra Arma Curta D",620,IF(Atletas!R180="Dao E",621,IF(Atletas!R180="Jian E",622,IF(Atletas!R180="Bishou E",623,IF(Atletas!R180="Shanzi E",624,IF(Atletas!R180="Outra Arma Curta E",625,IF(Atletas!R180="Dao F",626,IF(Atletas!R180="Jian F",627,IF(Atletas!R180="Bishou F",628,IF(Atletas!R180="Shanzi F",629,IF(Atletas!R180="Outra Arma Curta F",630, "")))))))))))))))))))))))))))))))</f>
        <v/>
      </c>
      <c r="CA189" s="50" t="str">
        <f>IF(Atletas!S180="","",IF(Atletas!X180&lt;&gt;"",10000,0)+IF(Atletas!B180="Feminino",1000,IF(Atletas!B180="Masculino",2000,""))+IF(Atletas!S180="Gun A",701,IF(Atletas!S180="Qiang A",702,IF(Atletas!S180="Pudao / Guandao A",703,IF(Atletas!S180="Outra Arma Longa A",704,IF(Atletas!S180="Gun B",705,IF(Atletas!S180="Qiang B",706,IF(Atletas!S180="Pudao / Guandao B",707,IF(Atletas!S180="Outra Arma Longa B",708,IF(Atletas!S180="Gun C",709,IF(Atletas!S180="Qiang C",710,IF(Atletas!S180="Pudao / Guandao C",711,IF(Atletas!S180="Outra Arma Longa C",712,IF(Atletas!S180="Gun D",713,IF(Atletas!S180="Qiang D",714,IF(Atletas!S180="Pudao / Guandao D",715,IF(Atletas!S180="Outra Arma Longa D",716,IF(Atletas!S180="Gun E",717,IF(Atletas!S180="Qiang E",718,IF(Atletas!S180="Pudao / Guandao E",719,IF(Atletas!S180="Outra Arma Longa E",720,IF(Atletas!S180="Gun F",721,IF(Atletas!S180="Qiang F",722,IF(Atletas!S180="Pudao / Guandao F",723,IF(Atletas!S180="Outra Arma Longa F",724,"")))))))))))))))))))))))))</f>
        <v/>
      </c>
      <c r="CB189" s="50" t="str">
        <f>IF(Atletas!T180="","",IF(Atletas!X180&lt;&gt;"",10000,0)+IF(Atletas!B180="Feminino",1000,IF(Atletas!B180="Masculino",2000,""))+IF(Atletas!T180="Outra Arma Dupla A",801,IF(Atletas!T180="Arma Maleável A",802,IF(Atletas!T180="Outra Arma Dupla B",803,IF(Atletas!T180="Arma Maleável B",804,IF(Atletas!T180="Outra Arma Dupla C",805,IF(Atletas!T180="Arma Maleável C",806,IF(Atletas!T180="Outra Arma Dupla D",807,IF(Atletas!T180="Arma Maleável D",808,IF(Atletas!T180="Outra Arma Dupla E",809,IF(Atletas!T180="Arma Maleável E",810,IF(Atletas!T180="Outra Arma Dupla F",811,IF(Atletas!T180="Arma Maleável F",812,IF(Atletas!T180="Shuangdao A",813,IF(Atletas!T180="Shuangdao B",814,IF(Atletas!T180="Shuangdao C",815,IF(Atletas!T180="Shuangdao D",816,IF(Atletas!T180="Shuangdao E",817,IF(Atletas!T180="Shuangdao F",818,"")))))))))))))))))))</f>
        <v/>
      </c>
      <c r="CC189" s="50" t="str">
        <f>IF(Atletas!U180="","",IF(Atletas!X180&lt;&gt;"",10000,0)+IF(Atletas!B180="Feminino",1000,IF(Atletas!B180="Masculino",2000,""))+IF(OR(Atletas!U180="Taijijian Yang A",Atletas!U180="Taijijian Yang Standard A"),901,IF(OR(Atletas!U180="Taijijian Chen A", Atletas!U180="Taijijian Chen Standard A"),902,IF(Atletas!U180="Taijijian Sun A",903,IF(Atletas!U180="Taijijian Wu A",904,IF(Atletas!U180="Taijijian Wu-Hao A",905,IF(OR(Atletas!U180="Taijijian 32 A",Atletas!U180="Taijijian 42 A"),906,IF(OR(Atletas!U180="Taijijian Yang B",Atletas!U180="Taijijian Yang Standard B"),907,IF(OR(Atletas!U180="Taijijian Chen B", Atletas!U180="Taijijian Chen Standard B"),908,IF(Atletas!U180="Taijijian Sun B",909,IF(Atletas!U180="Taijijian Wu B",910,IF(Atletas!U180="Taijijian Wu-Hao B",911,IF(OR(Atletas!U180="Taijijian 32 B",Atletas!U180="Taijijian 42 B"),912,IF(OR(Atletas!U180="Taijijian Yang C",Atletas!U180="Taijijian Yang Standard C"),913,IF(OR(Atletas!U180="Taijijian Chen C", Atletas!U180="Taijijian Chen Standard C"),914,IF(Atletas!U180="Taijijian Sun C",915,IF(Atletas!U180="Taijijian Wu C",916,IF(Atletas!U180="Taijijian Wu-Hao C",917,IF(OR(Atletas!U180="Taijijian 32 C",Atletas!U180="Taijijian 42 C"),918,IF(OR(Atletas!U180="Taijijian Yang D",Atletas!U180="Taijijian Yang Standard D"),919,IF(OR(Atletas!U180="Taijijian Chen D", Atletas!U180="Taijijian Chen Standard D"),920,IF(Atletas!U180="Taijijian Sun D",921,IF(Atletas!U180="Taijijian Wu D",922,IF(Atletas!U180="Taijijian Wu-Hao D",923,IF(OR(Atletas!U180="Taijijian 32 D",Atletas!U180="Taijijian 42 D"),924,IF(OR(Atletas!U180="Taijijian Yang E",Atletas!U180="Taijijian Yang Standard E"),925,IF(OR(Atletas!U180="Taijijian Chen E", Atletas!U180="Taijijian Chen Standard E"),926,IF(Atletas!U180="Taijijian Sun E",927,IF(Atletas!U180="Taijijian Wu E",928,IF(Atletas!U180="Taijijian Wu-Hao E",929,IF(OR(Atletas!U180="Taijijian 32 E",Atletas!U180="Taijijian 42 E"),930,IF(OR(Atletas!U180="Taijijian Yang F",Atletas!U180="Taijijian Yang Standard F"),931,IF(OR(Atletas!U180="Taijijian Chen F", Atletas!U180="Taijijian Chen Standard F"),932,IF(Atletas!U180="Taijijian Sun F",933,IF(Atletas!U180="Taijijian Wu F",934,IF(Atletas!U180="Taijijian Wu-Hao F",935,IF(OR(Atletas!U180="Taijijian 32 F",Atletas!U180="Taijijian 42 F"),936,"")))))))))))))))))))))))))))))))))))))</f>
        <v/>
      </c>
      <c r="CD189" s="50" t="str">
        <f>IF(Atletas!V180="","",IF(Atletas!X180&lt;&gt;"",10000,0)+IF(Atletas!B180="Feminino",1000,IF(Atletas!B180="Masculino",2000,""))+IF(Atletas!V180="Taijidao A",937,IF(Atletas!V180="TaijiShanzi A",938,IF(Atletas!V180="Taijiqiang A",939,IF(Atletas!V180="Bagua de Arma A",940,IF(Atletas!V180="Xingyi de Arma A",941,IF(Atletas!V180="Taijidao B",942,IF(Atletas!V180="TaijiShanzi B",943,IF(Atletas!V180="Taijiqiang B",944,IF(Atletas!V180="Bagua de Arma B",945,IF(Atletas!V180="Xingyi de Arma B",946,IF(Atletas!V180="Taijidao C",947,IF(Atletas!V180="TaijiShanzi C",948,IF(Atletas!V180="Taijiqiang C",949,IF(Atletas!V180="Bagua de Arma C",950,IF(Atletas!V180="Xingyi de Arma C",951,IF(Atletas!V180="Taijidao D",952,IF(Atletas!V180="TaijiShanzi D",953,IF(Atletas!V180="Taijiqiang D",954,IF(Atletas!V180="Bagua de Arma D",955,IF(Atletas!V180="Xingyi de Arma D",956,IF(Atletas!V180="Taijidao E",957,IF(Atletas!V180="TaijiShanzi E",958,IF(Atletas!V180="Taijiqiang E",959,IF(Atletas!V180="Bagua de Arma E",960,IF(Atletas!V180="Xingyi de Arma E",961,IF(Atletas!V180="Taijidao F",962,IF(Atletas!V180="TaijiShanzi F",963,IF(Atletas!V180="Taijiqiang F",964,IF(Atletas!V180="Bagua de Arma F",965,IF(Atletas!V180="Xingyi de Arma F",966,"")))))))))))))))))))))))))))))))</f>
        <v/>
      </c>
      <c r="CE189" s="66" t="str">
        <f>IF(CF189&lt;&gt;"","TJQ Padr. Sun C","")</f>
        <v/>
      </c>
      <c r="CF189" s="66" t="str">
        <f>IF(COUNTIF(BR:CD,1415)&gt;0,COUNTIF(BR:CD,1415),"")</f>
        <v/>
      </c>
      <c r="CG189" s="66" t="str">
        <f>IF(CH189&lt;&gt;"","TJQ Padr. Sun C","")</f>
        <v/>
      </c>
      <c r="CH189" s="66" t="str">
        <f>IF(COUNTIF(BR:CD,2415)&gt;0,COUNTIF(BR:CD,2415),"")</f>
        <v/>
      </c>
      <c r="CI189" s="66" t="str">
        <f>IF(CJ189&lt;&gt;"","TJQ Padr. Sun D","")</f>
        <v/>
      </c>
      <c r="CJ189" s="66" t="str">
        <f>IF(COUNTIF(BR:CD,11421)&gt;0,COUNTIF(BR:CD,11421),"")</f>
        <v/>
      </c>
      <c r="CK189" s="66" t="str">
        <f>IF(CL189&lt;&gt;"","TJQ Padr. Sun D","")</f>
        <v/>
      </c>
      <c r="CL189" s="66" t="str">
        <f>IF(COUNTIF(BR:CD,12421)&gt;0,COUNTIF(BR:CD,12421),"")</f>
        <v/>
      </c>
      <c r="CM189" s="50" t="str">
        <f xml:space="preserve"> IF(Atletas!W180="","",IF(Atletas!W180="Duilian de Mãos BC - Equipe 1",1,IF(Atletas!W180="Duilian de Mãos BC - Equipe 2",2,IF(Atletas!W180="Duilian de Armas BC - Equipe 1",3,IF(Atletas!W180="Duilian de Armas BC - Equipe 2",4,IF(Atletas!W180="Duilian de Mãos DE - Equipe 1",5,IF(Atletas!W180="Duilian de Mãos DE - Equipe 2",6,IF(Atletas!W180="Duilian de Armas DE - Equipe 1",7,IF(Atletas!W180="Duilian de Armas DE - Equipe 2",8,IF(Atletas!W180="Duilian de Tuishou - Equipe 1",9,IF(Atletas!W180="Duilian de Tuishou - Equipe 2",10,IF(Atletas!W180="Grupo Externo ABC - Equipe 1",11,IF(Atletas!W180="Grupo Externo ABC - Equipe 2",12,IF(Atletas!W180="Grupo Interno ABC - Equipe 1",13,IF(Atletas!W180="Grupo Interno ABC - Equipe 2",14,IF(Atletas!W180="Grupo Externo DEF - Equipe 1",15,IF(Atletas!W180="Grupo Externo DEF - Equipe 2",16,IF(Atletas!W180="Grupo Interno DEF - Equipe 1",17,IF(Atletas!W180="Grupo Interno DEF - Equipe 2",18,"")))))))))))))))))))</f>
        <v/>
      </c>
    </row>
    <row r="190" spans="2:91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 t="str">
        <f t="array" ref="Z190">IFERROR(INDEX(CE$7:CE$348,SMALL(IF(CE$7:CE$348&lt;&gt;"",ROW(CE$7:CE$348)-ROW(CE$7)+1),ROWS(CE$7:CE189))),"")</f>
        <v/>
      </c>
      <c r="AA190" s="3" t="str">
        <f t="array" ref="AA190">IFERROR(INDEX(CF$7:CF$348,SMALL(IF(CF$7:CF$348&lt;&gt;"",ROW(CF$7:CF$348)-ROW(CF$7)+1),ROWS(CF$7:CF189))),"")</f>
        <v/>
      </c>
      <c r="AB190" s="3" t="str">
        <f t="array" ref="AB190">IFERROR(INDEX(CG$7:CG$348,SMALL(IF(CG$7:CG$348&lt;&gt;"",ROW(CG$7:CG$348)-ROW(CG$7)+1),ROWS(CG$7:CG189))),"")</f>
        <v/>
      </c>
      <c r="AC190" s="3" t="str">
        <f t="array" ref="AC190">IFERROR(INDEX(CH$7:CH$348,SMALL(IF(CH$7:CH$348&lt;&gt;"",ROW(CH$7:CH$348)-ROW(CH$7)+1),ROWS(CH$7:CH189))),"")</f>
        <v/>
      </c>
      <c r="AD190" s="3" t="str">
        <f t="array" ref="AD190">IFERROR(INDEX(CI$7:CI$377,SMALL(IF(CI$7:CI$377&lt;&gt;"",ROW(CI$7:CI$377)-ROW(CI$7)+1),ROWS(CI$7:CI189))),"")</f>
        <v/>
      </c>
      <c r="AE190" s="3" t="str">
        <f t="array" ref="AE190">IFERROR(INDEX(CJ$7:CJ$378,SMALL(IF(CJ$7:CJ$378&lt;&gt;"",ROW(CJ$7:CJ$378)-ROW(CJ$7)+1),ROWS(CJ$7:CJ189))),"")</f>
        <v/>
      </c>
      <c r="AF190" s="3" t="str">
        <f t="array" ref="AF190">IFERROR(INDEX(CK$7:CK$378,SMALL(IF(CK$7:CK$378&lt;&gt;"",ROW(CK$7:CK$378)-ROW(CK$7)+1),ROWS(CK$7:CK189))),"")</f>
        <v/>
      </c>
      <c r="AG190" s="3" t="str">
        <f t="array" ref="AG190">IFERROR(INDEX(CL$7:CL$378,SMALL(IF(CL$7:CL$378&lt;&gt;"",ROW(CL$7:CL$378)-ROW(CL$7)+1),ROWS(CL$7:CL189))),"")</f>
        <v/>
      </c>
      <c r="AH190" s="3"/>
      <c r="AI190" s="3"/>
      <c r="AJ190" s="3"/>
      <c r="AK190" s="3"/>
      <c r="AL190" s="3"/>
      <c r="AM190" s="3"/>
      <c r="AN190" s="52" t="str">
        <f>IF(Atletas!D181="","",IF(Atletas!B181="Feminino",100,IF(Atletas!B181="Masculino",200,""))+(IF(Atletas!D181="Kids 30kg",1,IF(Atletas!D181="Kids 32kg",2, IF(Atletas!D181="Kids 34kg",3,IF(Atletas!D181="Kids 36kg",4,IF(Atletas!D181="Kids 39kg",5,IF(Atletas!D181="Kids 42kg",6,IF(Atletas!D181="Kids 45kg",7, IF(Atletas!D181="Infantil 39kg",8,IF(Atletas!D181="Infantil 42kg",9,IF(Atletas!D181="Infantil 45kg",10,IF(Atletas!D181="Infantil 48kg",11,IF(Atletas!D181="Infantil 52kg",12,IF(Atletas!D181="Infantil 56kg",13,IF(Atletas!D181="Infantil 60kg",14,IF(Atletas!D181="Juvenil 48kg",15,IF(Atletas!D181="Juvenil 52kg",16,IF(Atletas!D181="Juvenil 56kg",17,IF(Atletas!D181="Juvenil 60kg",18,IF(Atletas!D181="Juvenil 65kg",19,IF(Atletas!D181="Juvenil 70kg",20,IF(Atletas!D181="Juvenil 75kg",21,IF(Atletas!D181="Juvenil 80kg",22, IF(Atletas!D181="Juvenil 85kg",23,IF(Atletas!D181="Adulto 48kg",24,IF(Atletas!D181="Adulto 52kg",25,IF(Atletas!D181="Adulto 56kg",26,IF(Atletas!D181="Adulto 60kg",27,IF(Atletas!D181="Adulto 65kg",28,IF(Atletas!D181="Adulto 70kg",29,IF(Atletas!D181="Adulto 75kg",30,IF(Atletas!D181="Adulto 80kg",31,IF(Atletas!D181="Adulto 85kg",32,IF(Atletas!D181="Adulto 90kg",33,IF(Atletas!D181="Adulto 100kg",34, IF(Atletas!D181="Adulto +100kg",35,"")))))))))))))))))))))))))))))))))))))</f>
        <v/>
      </c>
      <c r="AS190" s="6" t="str">
        <f>IF(Atletas!E181="","",IF(Atletas!B181="Feminino",100,IF(Atletas!B181="Masculino",200,""))+(IF(Atletas!E181="Juvenil 44kg",1,IF(Atletas!E181="Juvenil 48kg",2,IF(Atletas!E181="Juvenil 52kg",3,IF(Atletas!E181="Juvenil 56kg",4,IF(Atletas!E181="Juvenil 60kg",5,IF(Atletas!E181="Juvenil 65kg",6,IF(Atletas!E181="Juvenil 70kg",7,IF(Atletas!E181="Juvenil 75kg",8,IF(Atletas!E181="Juvenil 82kg",9,IF(Atletas!E181="Juvenil 90kg",10,IF(Atletas!E181="Juvenil 100kg",11,IF(Atletas!E181="Adulto 48kg",12,IF(Atletas!E181="Adulto 52kg",13,IF(Atletas!E181="Adulto 56kg",14,IF(Atletas!E181="Adulto 60kg",15,IF(Atletas!E181="Adulto 65kg",16,IF(Atletas!E181="Adulto 70kg",17,IF(Atletas!E181="Adulto 75kg",18,IF(Atletas!E181="Adulto 82kg",19,IF(Atletas!E181="Adulto 90kg",20,IF(Atletas!E181="Adulto 100kg",21,IF(Atletas!E181="Adulto +100kg",22,""))))))))))))))))))))))))</f>
        <v/>
      </c>
      <c r="AX190" s="6" t="str">
        <f>IF(Atletas!F181="","",IF(Atletas!B181="Feminino",100,IF(Atletas!B181="Masculino",200,""))+(IF(Atletas!F181="Adulto 48kg",1,IF(Atletas!F181="Adulto 56kg",2,IF(Atletas!F181="Adulto 65kg",3,IF(Atletas!F181="Adulto 75kg",4,IF(Atletas!F181="Adulto +75kg",5,IF(Atletas!F181="Adulto 52kg",6,IF(Atletas!F181="Adulto 60kg",7,IF(Atletas!F181="Adulto 70kg",8,IF(Atletas!F181="Adulto 80kg",9,IF(Atletas!F181="Adulto 90kg",10,IF(Atletas!F181="Adulto +90kg",11,"")))))))))))))</f>
        <v/>
      </c>
      <c r="BC190" s="6" t="str">
        <f>IF(Atletas!G181="","",IF(Atletas!B181="Feminino",10,IF(Atletas!B181="Masculino",20,""))+(IF(Atletas!G181="Baduanjin A",1,IF(Atletas!G181="Baduanjin B",2))))</f>
        <v/>
      </c>
      <c r="BF190" s="52" t="str">
        <f>IF(Atletas!H181="","",IF(Atletas!B181="Feminino",100,IF(Atletas!B181="Masculino",200,""))+(IF(Atletas!H181="Changquan Mirim",1,IF(Atletas!H181="Nanquan Mirim",2,IF(Atletas!H181="Taijiquan Mirim",3,IF(Atletas!H181="Changquan Grupo C",4,IF(Atletas!H181="Nanquan Grupo C",5,IF(Atletas!H181="Taijiquan Grupo C",6,IF(Atletas!H181="Changquan Grupo B",7,IF(Atletas!H181="Nanquan Grupo B",8,IF(Atletas!H181="Taijiquan Grupo B",9,IF(Atletas!H181="Changquan Grupo A",10,IF(Atletas!H181="Nanquan Grupo A",11,IF(Atletas!H181="Taijiquan Grupo A",12,IF(Atletas!H181="Changquan Opcional",13,IF(Atletas!H181="Nanquan Opcional",14,IF(Atletas!H181="Taijiquan Opcional",15,IF(Atletas!H181="Changquan Adulto",16,IF(Atletas!H181="Nanquan Adulto",17,IF(Atletas!H181="Taijiquan Adulto",18,""))))))))))))))))))))</f>
        <v/>
      </c>
      <c r="BG190" s="52" t="str">
        <f>IF(Atletas!I181="","",IF(Atletas!B181="Feminino",100,IF(Atletas!B181="Masculino",200,""))+(IF(Atletas!I181="Daoshu Mirim",19,IF(Atletas!I181="Jianshu Mirim",20,IF(Atletas!I181="Nandao Mirim",21,IF(Atletas!I181="Taijijian Mirim",22,IF(Atletas!I181="Daoshu Grupo C",23,IF(Atletas!I181="Jianshu Grupo C",24,IF(Atletas!I181="Nandao Grupo C",25,IF(Atletas!I181="Taijijian Grupo C",26,IF(Atletas!I181="Daoshu Grupo B",27,IF(Atletas!I181="Jianshu Grupo B",28,IF(Atletas!I181="Nandao Grupo B",29,IF(Atletas!I181="Taijijian Grupo B",30,IF(Atletas!I181="Daoshu Grupo A",31,IF(Atletas!I181="Jianshu Grupo A",32,IF(Atletas!I181="Nandao Grupo A",33,IF(Atletas!I181="Taijijian Grupo A",34,IF(Atletas!I181="Daoshu Opcional",35,IF(Atletas!I181="Jianshu Opcional",36,IF(Atletas!I181="Nandao Opcional",37,IF(Atletas!I181="Taijijian Opcional",38,IF(Atletas!I181="Daoshu Adulto",39,IF(Atletas!I181="Jianshu Adulto",40,IF(Atletas!I181="Nandao Adulto",41,IF(Atletas!I181="Taijijian Adulto",42,""))))))))))))))))))))))))))</f>
        <v/>
      </c>
      <c r="BH190" s="52" t="str">
        <f>IF(Atletas!J181="","",IF(Atletas!B181="Feminino",100,IF(Atletas!B181="Masculino",200,""))+(IF(Atletas!J181="Gunshu Mirim",43,IF(Atletas!J181="Qiangshu Mirim",44,IF(Atletas!J181="Nangun Mirim",45,IF(Atletas!J181="Gunshu Grupo C",46,IF(Atletas!J181="Qiangshu Grupo C",47,IF(Atletas!J181="Nangun Grupo C",48,IF(Atletas!J181="Gunshu Grupo B",49,IF(Atletas!J181="Qiangshu Grupo B",50,IF(Atletas!J181="Nangun Grupo B",51,IF(Atletas!J181="Gunshu Grupo A",52,IF(Atletas!J181="Qiangshu Grupo A",53,IF(Atletas!J181="Nangun Grupo A",54,IF(Atletas!J181="Gunshu Opcional",55,IF(Atletas!J181="Qiangshu Opcional",56,IF(Atletas!J181="Nangun Opcional",57,IF(Atletas!J181="Gunshu Adulto",58,IF(Atletas!J181="Qiangshu Adulto",59,IF(Atletas!J181="Nangun Adulto",60,IF(Atletas!J181="Taijishan Grupo B",61,IF(Atletas!J181="Taijishan Grupo A",62,""))))))))))))))))))))))</f>
        <v/>
      </c>
      <c r="BM190" s="50" t="str">
        <f>IF(Atletas!K181="","",IF(Atletas!B181="Feminino",100,IF(Atletas!B181="Masculino",200,""))+(IF(Atletas!K181="Equipe 1 Grupo B",1,IF(Atletas!K181="Equipe 2 Grupo B",2,IF(Atletas!K181="Equipe 1 Grupo A",3,IF(Atletas!K181="Equipe 2 Grupo A",4,IF(Atletas!K181="Equipe 1 Adulto",5,IF(Atletas!K181="Equipe 2 Adulto",6,""))))))))</f>
        <v/>
      </c>
      <c r="BR190" s="50" t="str">
        <f>IF(Atletas!L181="","",IF(Atletas!X181&lt;&gt;"",10000,0)+(IF(Atletas!B181="Feminino",1000,IF(Atletas!B181="Masculino",2000,""))+IF(Atletas!L181="Choylayfut A",1,IF(Atletas!L181="Hunggar A",2,IF(Atletas!L181="Wuzuquan A",3,IF(Atletas!L181="Wingchun A",4,IF(Atletas!L181="Outra Mão de Sul A",5,IF(Atletas!L181="Choylayfut B",6,IF(Atletas!L181="Hunggar B",7,IF(Atletas!L181="Wuzuquan B",8,IF(Atletas!L181="Wingchun B",9,IF(Atletas!L181="Outra Mão de Sul B",10,IF(Atletas!L181="Choylayfut C",11,IF(Atletas!L181="Hunggar C",12,IF(Atletas!L181="Wuzuquan C",13,IF(Atletas!L181="Wingchun C",14,IF(Atletas!L181="Outra Mão de Sul C",15,IF(Atletas!L181="Choylayfut D",16,IF(Atletas!L181="Hunggar D",17,IF(Atletas!L181="Wuzuquan D",18,IF(Atletas!L181="Wingchun D",19,IF(Atletas!L181="Outra Mão de Sul D",20,IF(Atletas!L181="Choylayfut E",21,IF(Atletas!L181="Hunggar E",22,IF(Atletas!L181="Wuzuquan E",23,IF(Atletas!L181="Wingchun E",24,IF(Atletas!L181="Outra Mão de Sul E",25,IF(Atletas!L181="Choylayfut F",26,IF(Atletas!L181="Hunggar F",27,IF(Atletas!L181="Wuzuquan F",28,IF(Atletas!L181="Wingchun F",29,IF(Atletas!L181="Outra Mão de Sul F",30,IF(Atletas!L181="Dishuquan A",31,IF(Atletas!L181="Dishuquan B",32,IF(Atletas!L181="Dishuquan C",33,IF(Atletas!L181="Dishuquan D",34,IF(Atletas!L181="Dishuquan E",35,IF(Atletas!L181="Dishuquan F",36,""))))))))))))))))))))))))))))))))))))))</f>
        <v/>
      </c>
      <c r="BS190" s="50" t="str">
        <f>IF(Atletas!M181="","",IF(Atletas!X181&lt;&gt;"",10000,0)+(IF(Atletas!B181="Feminino",1000,IF(Atletas!B181="Masculino",2000,""))+(IF(Atletas!M181="Chaquan A",101,IF(Atletas!M181="Emeiquan A",102,IF(Atletas!M181="Fanziquan A",103,IF(Atletas!M181="Huaquan A",104,IF(Atletas!M181="Hongquan A",105,IF(Atletas!M181="Paoquan A",106,IF(Atletas!M181="Piguaquan A",107,IF(Atletas!M181="Shaolinquan A",108,IF(Atletas!M181="Tanglangquan A",109,IF(Atletas!M181="Yingzhaoquan A",110,IF(Atletas!M181="Tongbeiquan A",111,IF(Atletas!M181="Wudangquan A",112,IF(Atletas!M181="Outros Estilos A",113,IF(Atletas!M181="Chaquan B",114,IF(Atletas!M181="Emeiquan B",115,IF(Atletas!M181="Fanziquan B",116,IF(Atletas!M181="Huaquan B",117,IF(Atletas!M181="Hongquan B",118,IF(Atletas!M181="Paoquan B",119,IF(Atletas!M181="Piguaquan B",120,IF(Atletas!M181="Shaolinquan B",121,IF(Atletas!M181="Tanglangquan B",122,IF(Atletas!M181="Yingzhaoquan B",123,IF(Atletas!M181="Tongbeiquan B",124,IF(Atletas!M181="Wudangquan B",125,IF(Atletas!M181="Outros Estilos B",126,IF(Atletas!M181="Chaquan C",127,IF(Atletas!M181="Emeiquan C",128,IF(Atletas!M181="Fanziquan C",129,IF(Atletas!M181="Huaquan C",130,IF(Atletas!M181="Hongquan C",131,IF(Atletas!M181="Paoquan C",132,IF(Atletas!M181="Piguaquan C",133,IF(Atletas!M181="Shaolinquan C",134,IF(Atletas!M181="Tanglangquan C",135,IF(Atletas!M181="Yingzhaoquan C",136,IF(Atletas!M181="Tongbeiquan C",137,IF(Atletas!M181="Wudangquan C",138,IF(Atletas!M181="Outros Estilos C",139,0))))))))))))))))))))))))))))))))))))))))))</f>
        <v/>
      </c>
      <c r="BT190" s="50" t="str">
        <f>IF(Atletas!M181="","",IF(Atletas!X181&lt;&gt;"",10000,0)+(IF(Atletas!B181="Feminino",1000,IF(Atletas!B181="Masculino",2000,""))+(IF(Atletas!M181="Chaquan D",140,IF(Atletas!M181="Emeiquan D",141,IF(Atletas!M181="Fanziquan D",142,IF(Atletas!M181="Huaquan D",143,IF(Atletas!M181="Hongquan D",144,IF(Atletas!M181="Paoquan D",145,IF(Atletas!M181="Piguaquan D",146,IF(Atletas!M181="Shaolinquan D",147,IF(Atletas!M181="Tanglangquan D",148,IF(Atletas!M181="Yingzhaoquan D",149,IF(Atletas!M181="Tongbeiquan D",150,IF(Atletas!M181="Wudangquan D",151,IF(Atletas!M181="Outros Estilos D",152,IF(Atletas!M181="Chaquan E",153,IF(Atletas!M181="Emeiquan E",154,IF(Atletas!M181="Fanziquan E",155,IF(Atletas!M181="Huaquan E",156,IF(Atletas!M181="Hongquan E",157,IF(Atletas!M181="Paoquan E",158,IF(Atletas!M181="Piguaquan E",159,IF(Atletas!M181="Shaolinquan E",160,IF(Atletas!M181="Tanglangquan E",161,IF(Atletas!M181="Yingzhaoquan E",162,IF(Atletas!M181="Tongbeiquan E",163,IF(Atletas!M181="Wudangquan E",164,IF(Atletas!M181="Outros Estilos E",165,IF(Atletas!M181="Chaquan F",166,IF(Atletas!M181="Emeiquan F",167,IF(Atletas!M181="Fanziquan F",168,IF(Atletas!M181="Huaquan F",169,IF(Atletas!M181="Hongquan F",170,IF(Atletas!M181="Paoquan F",171,IF(Atletas!M181="Piguaquan F",172,IF(Atletas!M181="Shaolinquan F",173,IF(Atletas!M181="Tanglangquan F",174,IF(Atletas!M181="Yingzhaoquan F",175,IF(Atletas!M181="Tongbeiquan F",176,IF(Atletas!M181="Wudangquan F",177,IF(Atletas!M181="Outros Estilos F",178,0))))))))))))))))))))))))))))))))))))))))))</f>
        <v/>
      </c>
      <c r="BU190" s="50" t="str">
        <f>IF(Atletas!N181="","",IF(Atletas!X181&lt;&gt;"",10000,0)+(IF(Atletas!B181="Feminino",1000,IF(Atletas!B181="Masculino",2000,""))+(IF(Atletas!N181="Ditangquan A",201,IF(Atletas!N181="Houquan A",202,IF(Atletas!N181="Zuiquan A",203,IF(Atletas!N181="Ditangquan B",204,IF(Atletas!N181="Houquan B",205,IF(Atletas!N181="Zuiquan B",206,IF(Atletas!N181="Ditangquan C",207,IF(Atletas!N181="Houquan C",208,IF(Atletas!N181="Zuiquan C",209,IF(Atletas!N181="Ditangquan D",210,IF(Atletas!N181="Houquan D",211,IF(Atletas!N181="Zuiquan D",212,IF(Atletas!N181="Ditangquan E",213,IF(Atletas!N181="Houquan E",214,IF(Atletas!N181="Zuiquan E",215,IF(Atletas!N181="Ditangquan F",216,IF(Atletas!N181="Houquan F",217,IF(Atletas!N181="Zuiquan F",218,"")))))))))))))))))))))</f>
        <v/>
      </c>
      <c r="BV190" s="50" t="str">
        <f>IF(Atletas!O181="","",IF(Atletas!X181&lt;&gt;"",10000,0)+IF(Atletas!B181="Feminino",1000,IF(Atletas!B181="Masculino",2000,""))+IF(Atletas!O181="Yang A",301,IF(Atletas!O181="Chen A",302,IF(Atletas!O181="Sun A",303,IF(Atletas!O181="Wu A",304,IF(Atletas!O181="Wu-Hao A",305,IF(Atletas!O181="Outro Taijiquan A",306,IF(Atletas!O181="Yang B",307,IF(Atletas!O181="Chen B",308,IF(Atletas!O181="Sun B",309,IF(Atletas!O181="Wu B",310,IF(Atletas!O181="Wu-Hao B",311,IF(Atletas!O181="Outro Taijiquan B",312,IF(Atletas!O181="Yang C",313,IF(Atletas!O181="Chen C",314,IF(Atletas!O181="Sun C",315,IF(Atletas!O181="Wu C",316,IF(Atletas!O181="Wu-Hao C",317,IF(Atletas!O181="Outro Taijiquan C",318,IF(Atletas!O181="Yang D",319,IF(Atletas!O181="Chen D",320,IF(Atletas!O181="Sun D",321,IF(Atletas!O181="Wu D",322,IF(Atletas!O181="Wu-Hao D",323,IF(Atletas!O181="Outro Taijiquan D",324,IF(Atletas!O181="Yang E",325,IF(Atletas!O181="Chen E",326,IF(Atletas!O181="Sun E",327,IF(Atletas!O181="Wu E",328,IF(Atletas!O181="Wu-Hao E",329,IF(Atletas!O181="Outro Taijiquan E",330,IF(Atletas!O181="Yang F",331,IF(Atletas!O181="Chen F",332,IF(Atletas!O181="Sun F",333,IF(Atletas!O181="Wu F",334,IF(Atletas!O181="Wu-Hao F",335,IF(Atletas!O181="Outro Taijiquan F",336,"")))))))))))))))))))))))))))))))))))))</f>
        <v/>
      </c>
      <c r="BW190" s="50" t="str">
        <f>IF(Atletas!P181="","",IF(Atletas!X181&lt;&gt;"",10000,0)+IF(Atletas!B181="Feminino",1000,IF(Atletas!B181="Masculino",2000,""))+IF(OR(Atletas!P181="Yang 26 A",Atletas!P181="Yang 40 A"),401,IF(OR(Atletas!P181="Chen 25 A",Atletas!P181="Chen 36 A",Atletas!P181="Chen 56 A"),402,IF(Atletas!P181="Sun 73 A",403,IF(Atletas!P181="Wu 45 A",404,IF(Atletas!P181="Wu-Hao 46 A",405,IF(OR(Atletas!P181="Taijiquan 16 A",Atletas!P181="Taijiquan 24 A",Atletas!P181="Taijiquan 32 A",Atletas!P181="Taijiquan 42 A"),406,IF(OR(Atletas!P181="Yang 26 B",Atletas!P181="Yang 40 B"),407,IF(OR(Atletas!P181="Chen 25 B",Atletas!P181="Chen 36 B",Atletas!P181="Chen 56 B"),408,IF(Atletas!P181="Sun 73 B",409,IF(Atletas!P181="Wu 45 B",410,IF(Atletas!P181="Wu-Hao 46 B",411,IF(OR(Atletas!P181="Taijiquan 16 B",Atletas!P181="Taijiquan 24 B",Atletas!P181="Taijiquan 32 B",Atletas!P181="Taijiquan 42 B"),412,IF(OR(Atletas!P181="Yang 26 C",Atletas!P181="Yang 40 C"),413,IF(OR(Atletas!P181="Chen 25 C",Atletas!P181="Chen 36 C",Atletas!P181="Chen 56 C"),414,IF(Atletas!P181="Sun 73 C",415,IF(Atletas!P181="Wu 45 C",416,IF(Atletas!P181="Wu-Hao 46 C",417,IF(OR(Atletas!P181="Taijiquan 16 C",Atletas!P181="Taijiquan 24 C",Atletas!P181="Taijiquan 32 C",Atletas!P181="Taijiquan 42 C"),418,0)))))))))))))))))))</f>
        <v/>
      </c>
      <c r="BX190" s="50" t="str">
        <f>IF(Atletas!P181="","",IF(Atletas!X181&lt;&gt;"",10000,0)+IF(Atletas!B181="Feminino",1000,IF(Atletas!B181="Masculino",2000,""))+IF(OR(Atletas!P181="Yang 26 D",Atletas!P181="Yang 40 D"),419,IF(OR(Atletas!P181="Chen 25 D",Atletas!P181="Chen 36 D",Atletas!P181="Chen 56 D"),420,IF(Atletas!P181="Sun 73 D",421,IF(Atletas!P181="Wu 45 D",422,IF(Atletas!P181="Wu-Hao 46 D",423,IF(OR(Atletas!P181="Taijiquan 16 D",Atletas!P181="Taijiquan 24 D",Atletas!P181="Taijiquan 32 D",Atletas!P181="Taijiquan 42 D"),424,IF(OR(Atletas!P181="Yang 26 E",Atletas!P181="Yang 40 E"),425,IF(OR(Atletas!P181="Chen 25 E",Atletas!P181="Chen 36 E",Atletas!P181="Chen 56 E"),426,IF(Atletas!P181="Sun 73 E",427,IF(Atletas!P181="Wu 45 E",428,IF(Atletas!P181="Wu-Hao 46 E",429,IF(OR(Atletas!P181="Taijiquan 16 E",Atletas!P181="Taijiquan 24 E",Atletas!P181="Taijiquan 32 E",Atletas!P181="Taijiquan 42 E"),430,IF(OR(Atletas!P181="Yang 26 F",Atletas!P181="Yang 40 F"),431,IF(OR(Atletas!P181="Chen 25 F",Atletas!P181="Chen 36 F",Atletas!P181="Chen 56 F"),432,IF(Atletas!P181="Sun 73 F",433,IF(Atletas!P181="Wu 45 F",434,IF(Atletas!P181="Wu-Hao 46 F",435,IF(OR(Atletas!P181="Taijiquan 16 F",Atletas!P181="Taijiquan 24 F",Atletas!P181="Taijiquan 32 F",Atletas!P181="Taijiquan 42 F"),436,0)))))))))))))))))))</f>
        <v/>
      </c>
      <c r="BY190" s="50" t="str">
        <f>IF(Atletas!Q181="","",IF(Atletas!X181&lt;&gt;"",10000,0)+IF(Atletas!B181="Feminino",1000,IF(Atletas!B181="Masculino",2000,""))+IF(Atletas!Q181="Xingyiquan A",501,IF(Atletas!Q181="Baguazhang A",502,IF(Atletas!Q181="Outro Estilo Interno A",503,IF(Atletas!Q181="Xingyiquan B",504,IF(Atletas!Q181="Baguazhang B",505,IF(Atletas!Q181="Outro Estilo Interno B",506,IF(Atletas!Q181="Xingyiquan C",507,IF(Atletas!Q181="Baguazhang C",508,IF(Atletas!Q181="Outro Estilo Interno C",509,IF(Atletas!Q181="Xingyiquan D",510,IF(Atletas!Q181="Baguazhang D",511,IF(Atletas!Q181="Outro Estilo Interno D",512,IF(Atletas!Q181="Xingyiquan E",513,IF(Atletas!Q181="Baguazhang E",514,IF(Atletas!Q181="Outro Estilo Interno E",515,IF(Atletas!Q181="Xingyiquan F",516,IF(Atletas!Q181="Baguazhang F",517,IF(Atletas!Q181="Outro Estilo Interno F",518, "")))))))))))))))))))</f>
        <v/>
      </c>
      <c r="BZ190" s="50" t="str">
        <f>IF(Atletas!R181="","",IF(Atletas!X181&lt;&gt;"",10000,0)+IF(Atletas!B181="Feminino",1000,IF(Atletas!B181="Masculino",2000,""))+IF(Atletas!R181="Dao A",601,IF(Atletas!R181="Jian A",602,IF(Atletas!R181="Bishou A",603,IF(Atletas!R181="Shanzi A",604,IF(Atletas!R181="Outra Arma Curta A",605,IF(Atletas!R181="Dao B",606,IF(Atletas!R181="Jian B",607,IF(Atletas!R181="Bishou B",608,IF(Atletas!R181="Shanzi B",609,IF(Atletas!R181="Outra Arma Curta B",610,IF(Atletas!R181="Dao C",611,IF(Atletas!R181="Jian C",612,IF(Atletas!R181="Bishou C",613,IF(Atletas!R181="Shanzi C",614,IF(Atletas!R181="Outra Arma Curta C",615,IF(Atletas!R181="Dao D",616,IF(Atletas!R181="Jian D",617,IF(Atletas!R181="Bishou D",618,IF(Atletas!R181="Shanzi D",619,IF(Atletas!R181="Outra Arma Curta D",620,IF(Atletas!R181="Dao E",621,IF(Atletas!R181="Jian E",622,IF(Atletas!R181="Bishou E",623,IF(Atletas!R181="Shanzi E",624,IF(Atletas!R181="Outra Arma Curta E",625,IF(Atletas!R181="Dao F",626,IF(Atletas!R181="Jian F",627,IF(Atletas!R181="Bishou F",628,IF(Atletas!R181="Shanzi F",629,IF(Atletas!R181="Outra Arma Curta F",630, "")))))))))))))))))))))))))))))))</f>
        <v/>
      </c>
      <c r="CA190" s="50" t="str">
        <f>IF(Atletas!S181="","",IF(Atletas!X181&lt;&gt;"",10000,0)+IF(Atletas!B181="Feminino",1000,IF(Atletas!B181="Masculino",2000,""))+IF(Atletas!S181="Gun A",701,IF(Atletas!S181="Qiang A",702,IF(Atletas!S181="Pudao / Guandao A",703,IF(Atletas!S181="Outra Arma Longa A",704,IF(Atletas!S181="Gun B",705,IF(Atletas!S181="Qiang B",706,IF(Atletas!S181="Pudao / Guandao B",707,IF(Atletas!S181="Outra Arma Longa B",708,IF(Atletas!S181="Gun C",709,IF(Atletas!S181="Qiang C",710,IF(Atletas!S181="Pudao / Guandao C",711,IF(Atletas!S181="Outra Arma Longa C",712,IF(Atletas!S181="Gun D",713,IF(Atletas!S181="Qiang D",714,IF(Atletas!S181="Pudao / Guandao D",715,IF(Atletas!S181="Outra Arma Longa D",716,IF(Atletas!S181="Gun E",717,IF(Atletas!S181="Qiang E",718,IF(Atletas!S181="Pudao / Guandao E",719,IF(Atletas!S181="Outra Arma Longa E",720,IF(Atletas!S181="Gun F",721,IF(Atletas!S181="Qiang F",722,IF(Atletas!S181="Pudao / Guandao F",723,IF(Atletas!S181="Outra Arma Longa F",724,"")))))))))))))))))))))))))</f>
        <v/>
      </c>
      <c r="CB190" s="50" t="str">
        <f>IF(Atletas!T181="","",IF(Atletas!X181&lt;&gt;"",10000,0)+IF(Atletas!B181="Feminino",1000,IF(Atletas!B181="Masculino",2000,""))+IF(Atletas!T181="Outra Arma Dupla A",801,IF(Atletas!T181="Arma Maleável A",802,IF(Atletas!T181="Outra Arma Dupla B",803,IF(Atletas!T181="Arma Maleável B",804,IF(Atletas!T181="Outra Arma Dupla C",805,IF(Atletas!T181="Arma Maleável C",806,IF(Atletas!T181="Outra Arma Dupla D",807,IF(Atletas!T181="Arma Maleável D",808,IF(Atletas!T181="Outra Arma Dupla E",809,IF(Atletas!T181="Arma Maleável E",810,IF(Atletas!T181="Outra Arma Dupla F",811,IF(Atletas!T181="Arma Maleável F",812,IF(Atletas!T181="Shuangdao A",813,IF(Atletas!T181="Shuangdao B",814,IF(Atletas!T181="Shuangdao C",815,IF(Atletas!T181="Shuangdao D",816,IF(Atletas!T181="Shuangdao E",817,IF(Atletas!T181="Shuangdao F",818,"")))))))))))))))))))</f>
        <v/>
      </c>
      <c r="CC190" s="50" t="str">
        <f>IF(Atletas!U181="","",IF(Atletas!X181&lt;&gt;"",10000,0)+IF(Atletas!B181="Feminino",1000,IF(Atletas!B181="Masculino",2000,""))+IF(OR(Atletas!U181="Taijijian Yang A",Atletas!U181="Taijijian Yang Standard A"),901,IF(OR(Atletas!U181="Taijijian Chen A", Atletas!U181="Taijijian Chen Standard A"),902,IF(Atletas!U181="Taijijian Sun A",903,IF(Atletas!U181="Taijijian Wu A",904,IF(Atletas!U181="Taijijian Wu-Hao A",905,IF(OR(Atletas!U181="Taijijian 32 A",Atletas!U181="Taijijian 42 A"),906,IF(OR(Atletas!U181="Taijijian Yang B",Atletas!U181="Taijijian Yang Standard B"),907,IF(OR(Atletas!U181="Taijijian Chen B", Atletas!U181="Taijijian Chen Standard B"),908,IF(Atletas!U181="Taijijian Sun B",909,IF(Atletas!U181="Taijijian Wu B",910,IF(Atletas!U181="Taijijian Wu-Hao B",911,IF(OR(Atletas!U181="Taijijian 32 B",Atletas!U181="Taijijian 42 B"),912,IF(OR(Atletas!U181="Taijijian Yang C",Atletas!U181="Taijijian Yang Standard C"),913,IF(OR(Atletas!U181="Taijijian Chen C", Atletas!U181="Taijijian Chen Standard C"),914,IF(Atletas!U181="Taijijian Sun C",915,IF(Atletas!U181="Taijijian Wu C",916,IF(Atletas!U181="Taijijian Wu-Hao C",917,IF(OR(Atletas!U181="Taijijian 32 C",Atletas!U181="Taijijian 42 C"),918,IF(OR(Atletas!U181="Taijijian Yang D",Atletas!U181="Taijijian Yang Standard D"),919,IF(OR(Atletas!U181="Taijijian Chen D", Atletas!U181="Taijijian Chen Standard D"),920,IF(Atletas!U181="Taijijian Sun D",921,IF(Atletas!U181="Taijijian Wu D",922,IF(Atletas!U181="Taijijian Wu-Hao D",923,IF(OR(Atletas!U181="Taijijian 32 D",Atletas!U181="Taijijian 42 D"),924,IF(OR(Atletas!U181="Taijijian Yang E",Atletas!U181="Taijijian Yang Standard E"),925,IF(OR(Atletas!U181="Taijijian Chen E", Atletas!U181="Taijijian Chen Standard E"),926,IF(Atletas!U181="Taijijian Sun E",927,IF(Atletas!U181="Taijijian Wu E",928,IF(Atletas!U181="Taijijian Wu-Hao E",929,IF(OR(Atletas!U181="Taijijian 32 E",Atletas!U181="Taijijian 42 E"),930,IF(OR(Atletas!U181="Taijijian Yang F",Atletas!U181="Taijijian Yang Standard F"),931,IF(OR(Atletas!U181="Taijijian Chen F", Atletas!U181="Taijijian Chen Standard F"),932,IF(Atletas!U181="Taijijian Sun F",933,IF(Atletas!U181="Taijijian Wu F",934,IF(Atletas!U181="Taijijian Wu-Hao F",935,IF(OR(Atletas!U181="Taijijian 32 F",Atletas!U181="Taijijian 42 F"),936,"")))))))))))))))))))))))))))))))))))))</f>
        <v/>
      </c>
      <c r="CD190" s="50" t="str">
        <f>IF(Atletas!V181="","",IF(Atletas!X181&lt;&gt;"",10000,0)+IF(Atletas!B181="Feminino",1000,IF(Atletas!B181="Masculino",2000,""))+IF(Atletas!V181="Taijidao A",937,IF(Atletas!V181="TaijiShanzi A",938,IF(Atletas!V181="Taijiqiang A",939,IF(Atletas!V181="Bagua de Arma A",940,IF(Atletas!V181="Xingyi de Arma A",941,IF(Atletas!V181="Taijidao B",942,IF(Atletas!V181="TaijiShanzi B",943,IF(Atletas!V181="Taijiqiang B",944,IF(Atletas!V181="Bagua de Arma B",945,IF(Atletas!V181="Xingyi de Arma B",946,IF(Atletas!V181="Taijidao C",947,IF(Atletas!V181="TaijiShanzi C",948,IF(Atletas!V181="Taijiqiang C",949,IF(Atletas!V181="Bagua de Arma C",950,IF(Atletas!V181="Xingyi de Arma C",951,IF(Atletas!V181="Taijidao D",952,IF(Atletas!V181="TaijiShanzi D",953,IF(Atletas!V181="Taijiqiang D",954,IF(Atletas!V181="Bagua de Arma D",955,IF(Atletas!V181="Xingyi de Arma D",956,IF(Atletas!V181="Taijidao E",957,IF(Atletas!V181="TaijiShanzi E",958,IF(Atletas!V181="Taijiqiang E",959,IF(Atletas!V181="Bagua de Arma E",960,IF(Atletas!V181="Xingyi de Arma E",961,IF(Atletas!V181="Taijidao F",962,IF(Atletas!V181="TaijiShanzi F",963,IF(Atletas!V181="Taijiqiang F",964,IF(Atletas!V181="Bagua de Arma F",965,IF(Atletas!V181="Xingyi de Arma F",966,"")))))))))))))))))))))))))))))))</f>
        <v/>
      </c>
      <c r="CE190" s="66" t="str">
        <f>IF(CF190&lt;&gt;"","TJQ Padr. Wu C","")</f>
        <v/>
      </c>
      <c r="CF190" s="66" t="str">
        <f>IF(COUNTIF(BR:CD,1416)&gt;0,COUNTIF(BR:CD,1416),"")</f>
        <v/>
      </c>
      <c r="CG190" s="66" t="str">
        <f>IF(CH190&lt;&gt;"","TJQ Padr. Wu C","")</f>
        <v/>
      </c>
      <c r="CH190" s="66" t="str">
        <f>IF(COUNTIF(BR:CD,2416)&gt;0,COUNTIF(BR:CD,2416),"")</f>
        <v/>
      </c>
      <c r="CI190" s="66" t="str">
        <f>IF(CJ190&lt;&gt;"","TJQ Padr. Wu D","")</f>
        <v/>
      </c>
      <c r="CJ190" s="66" t="str">
        <f>IF(COUNTIF(BR:CD,11422)&gt;0,COUNTIF(BR:CD,11422),"")</f>
        <v/>
      </c>
      <c r="CK190" s="66" t="str">
        <f>IF(CL190&lt;&gt;"","TJQ Padr. Wu D","")</f>
        <v/>
      </c>
      <c r="CL190" s="66" t="str">
        <f>IF(COUNTIF(BR:CD,12422)&gt;0,COUNTIF(BR:CD,12422),"")</f>
        <v/>
      </c>
      <c r="CM190" s="50" t="str">
        <f xml:space="preserve"> IF(Atletas!W181="","",IF(Atletas!W181="Duilian de Mãos BC - Equipe 1",1,IF(Atletas!W181="Duilian de Mãos BC - Equipe 2",2,IF(Atletas!W181="Duilian de Armas BC - Equipe 1",3,IF(Atletas!W181="Duilian de Armas BC - Equipe 2",4,IF(Atletas!W181="Duilian de Mãos DE - Equipe 1",5,IF(Atletas!W181="Duilian de Mãos DE - Equipe 2",6,IF(Atletas!W181="Duilian de Armas DE - Equipe 1",7,IF(Atletas!W181="Duilian de Armas DE - Equipe 2",8,IF(Atletas!W181="Duilian de Tuishou - Equipe 1",9,IF(Atletas!W181="Duilian de Tuishou - Equipe 2",10,IF(Atletas!W181="Grupo Externo ABC - Equipe 1",11,IF(Atletas!W181="Grupo Externo ABC - Equipe 2",12,IF(Atletas!W181="Grupo Interno ABC - Equipe 1",13,IF(Atletas!W181="Grupo Interno ABC - Equipe 2",14,IF(Atletas!W181="Grupo Externo DEF - Equipe 1",15,IF(Atletas!W181="Grupo Externo DEF - Equipe 2",16,IF(Atletas!W181="Grupo Interno DEF - Equipe 1",17,IF(Atletas!W181="Grupo Interno DEF - Equipe 2",18,"")))))))))))))))))))</f>
        <v/>
      </c>
    </row>
    <row r="191" spans="2:91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 t="str">
        <f t="array" ref="Z191">IFERROR(INDEX(CE$7:CE$348,SMALL(IF(CE$7:CE$348&lt;&gt;"",ROW(CE$7:CE$348)-ROW(CE$7)+1),ROWS(CE$7:CE190))),"")</f>
        <v/>
      </c>
      <c r="AA191" s="3" t="str">
        <f t="array" ref="AA191">IFERROR(INDEX(CF$7:CF$348,SMALL(IF(CF$7:CF$348&lt;&gt;"",ROW(CF$7:CF$348)-ROW(CF$7)+1),ROWS(CF$7:CF190))),"")</f>
        <v/>
      </c>
      <c r="AB191" s="3" t="str">
        <f t="array" ref="AB191">IFERROR(INDEX(CG$7:CG$348,SMALL(IF(CG$7:CG$348&lt;&gt;"",ROW(CG$7:CG$348)-ROW(CG$7)+1),ROWS(CG$7:CG190))),"")</f>
        <v/>
      </c>
      <c r="AC191" s="3" t="str">
        <f t="array" ref="AC191">IFERROR(INDEX(CH$7:CH$348,SMALL(IF(CH$7:CH$348&lt;&gt;"",ROW(CH$7:CH$348)-ROW(CH$7)+1),ROWS(CH$7:CH190))),"")</f>
        <v/>
      </c>
      <c r="AD191" s="3" t="str">
        <f t="array" ref="AD191">IFERROR(INDEX(CI$7:CI$377,SMALL(IF(CI$7:CI$377&lt;&gt;"",ROW(CI$7:CI$377)-ROW(CI$7)+1),ROWS(CI$7:CI190))),"")</f>
        <v/>
      </c>
      <c r="AE191" s="3" t="str">
        <f t="array" ref="AE191">IFERROR(INDEX(CJ$7:CJ$378,SMALL(IF(CJ$7:CJ$378&lt;&gt;"",ROW(CJ$7:CJ$378)-ROW(CJ$7)+1),ROWS(CJ$7:CJ190))),"")</f>
        <v/>
      </c>
      <c r="AF191" s="3" t="str">
        <f t="array" ref="AF191">IFERROR(INDEX(CK$7:CK$378,SMALL(IF(CK$7:CK$378&lt;&gt;"",ROW(CK$7:CK$378)-ROW(CK$7)+1),ROWS(CK$7:CK190))),"")</f>
        <v/>
      </c>
      <c r="AG191" s="3" t="str">
        <f t="array" ref="AG191">IFERROR(INDEX(CL$7:CL$378,SMALL(IF(CL$7:CL$378&lt;&gt;"",ROW(CL$7:CL$378)-ROW(CL$7)+1),ROWS(CL$7:CL190))),"")</f>
        <v/>
      </c>
      <c r="AH191" s="3"/>
      <c r="AI191" s="3"/>
      <c r="AJ191" s="3"/>
      <c r="AK191" s="3"/>
      <c r="AL191" s="3"/>
      <c r="AM191" s="3"/>
      <c r="AN191" s="52" t="str">
        <f>IF(Atletas!D182="","",IF(Atletas!B182="Feminino",100,IF(Atletas!B182="Masculino",200,""))+(IF(Atletas!D182="Kids 30kg",1,IF(Atletas!D182="Kids 32kg",2, IF(Atletas!D182="Kids 34kg",3,IF(Atletas!D182="Kids 36kg",4,IF(Atletas!D182="Kids 39kg",5,IF(Atletas!D182="Kids 42kg",6,IF(Atletas!D182="Kids 45kg",7, IF(Atletas!D182="Infantil 39kg",8,IF(Atletas!D182="Infantil 42kg",9,IF(Atletas!D182="Infantil 45kg",10,IF(Atletas!D182="Infantil 48kg",11,IF(Atletas!D182="Infantil 52kg",12,IF(Atletas!D182="Infantil 56kg",13,IF(Atletas!D182="Infantil 60kg",14,IF(Atletas!D182="Juvenil 48kg",15,IF(Atletas!D182="Juvenil 52kg",16,IF(Atletas!D182="Juvenil 56kg",17,IF(Atletas!D182="Juvenil 60kg",18,IF(Atletas!D182="Juvenil 65kg",19,IF(Atletas!D182="Juvenil 70kg",20,IF(Atletas!D182="Juvenil 75kg",21,IF(Atletas!D182="Juvenil 80kg",22, IF(Atletas!D182="Juvenil 85kg",23,IF(Atletas!D182="Adulto 48kg",24,IF(Atletas!D182="Adulto 52kg",25,IF(Atletas!D182="Adulto 56kg",26,IF(Atletas!D182="Adulto 60kg",27,IF(Atletas!D182="Adulto 65kg",28,IF(Atletas!D182="Adulto 70kg",29,IF(Atletas!D182="Adulto 75kg",30,IF(Atletas!D182="Adulto 80kg",31,IF(Atletas!D182="Adulto 85kg",32,IF(Atletas!D182="Adulto 90kg",33,IF(Atletas!D182="Adulto 100kg",34, IF(Atletas!D182="Adulto +100kg",35,"")))))))))))))))))))))))))))))))))))))</f>
        <v/>
      </c>
      <c r="AS191" s="6" t="str">
        <f>IF(Atletas!E182="","",IF(Atletas!B182="Feminino",100,IF(Atletas!B182="Masculino",200,""))+(IF(Atletas!E182="Juvenil 44kg",1,IF(Atletas!E182="Juvenil 48kg",2,IF(Atletas!E182="Juvenil 52kg",3,IF(Atletas!E182="Juvenil 56kg",4,IF(Atletas!E182="Juvenil 60kg",5,IF(Atletas!E182="Juvenil 65kg",6,IF(Atletas!E182="Juvenil 70kg",7,IF(Atletas!E182="Juvenil 75kg",8,IF(Atletas!E182="Juvenil 82kg",9,IF(Atletas!E182="Juvenil 90kg",10,IF(Atletas!E182="Juvenil 100kg",11,IF(Atletas!E182="Adulto 48kg",12,IF(Atletas!E182="Adulto 52kg",13,IF(Atletas!E182="Adulto 56kg",14,IF(Atletas!E182="Adulto 60kg",15,IF(Atletas!E182="Adulto 65kg",16,IF(Atletas!E182="Adulto 70kg",17,IF(Atletas!E182="Adulto 75kg",18,IF(Atletas!E182="Adulto 82kg",19,IF(Atletas!E182="Adulto 90kg",20,IF(Atletas!E182="Adulto 100kg",21,IF(Atletas!E182="Adulto +100kg",22,""))))))))))))))))))))))))</f>
        <v/>
      </c>
      <c r="AX191" s="6" t="str">
        <f>IF(Atletas!F182="","",IF(Atletas!B182="Feminino",100,IF(Atletas!B182="Masculino",200,""))+(IF(Atletas!F182="Adulto 48kg",1,IF(Atletas!F182="Adulto 56kg",2,IF(Atletas!F182="Adulto 65kg",3,IF(Atletas!F182="Adulto 75kg",4,IF(Atletas!F182="Adulto +75kg",5,IF(Atletas!F182="Adulto 52kg",6,IF(Atletas!F182="Adulto 60kg",7,IF(Atletas!F182="Adulto 70kg",8,IF(Atletas!F182="Adulto 80kg",9,IF(Atletas!F182="Adulto 90kg",10,IF(Atletas!F182="Adulto +90kg",11,"")))))))))))))</f>
        <v/>
      </c>
      <c r="BC191" s="6" t="str">
        <f>IF(Atletas!G182="","",IF(Atletas!B182="Feminino",10,IF(Atletas!B182="Masculino",20,""))+(IF(Atletas!G182="Baduanjin A",1,IF(Atletas!G182="Baduanjin B",2))))</f>
        <v/>
      </c>
      <c r="BF191" s="52" t="str">
        <f>IF(Atletas!H182="","",IF(Atletas!B182="Feminino",100,IF(Atletas!B182="Masculino",200,""))+(IF(Atletas!H182="Changquan Mirim",1,IF(Atletas!H182="Nanquan Mirim",2,IF(Atletas!H182="Taijiquan Mirim",3,IF(Atletas!H182="Changquan Grupo C",4,IF(Atletas!H182="Nanquan Grupo C",5,IF(Atletas!H182="Taijiquan Grupo C",6,IF(Atletas!H182="Changquan Grupo B",7,IF(Atletas!H182="Nanquan Grupo B",8,IF(Atletas!H182="Taijiquan Grupo B",9,IF(Atletas!H182="Changquan Grupo A",10,IF(Atletas!H182="Nanquan Grupo A",11,IF(Atletas!H182="Taijiquan Grupo A",12,IF(Atletas!H182="Changquan Opcional",13,IF(Atletas!H182="Nanquan Opcional",14,IF(Atletas!H182="Taijiquan Opcional",15,IF(Atletas!H182="Changquan Adulto",16,IF(Atletas!H182="Nanquan Adulto",17,IF(Atletas!H182="Taijiquan Adulto",18,""))))))))))))))))))))</f>
        <v/>
      </c>
      <c r="BG191" s="52" t="str">
        <f>IF(Atletas!I182="","",IF(Atletas!B182="Feminino",100,IF(Atletas!B182="Masculino",200,""))+(IF(Atletas!I182="Daoshu Mirim",19,IF(Atletas!I182="Jianshu Mirim",20,IF(Atletas!I182="Nandao Mirim",21,IF(Atletas!I182="Taijijian Mirim",22,IF(Atletas!I182="Daoshu Grupo C",23,IF(Atletas!I182="Jianshu Grupo C",24,IF(Atletas!I182="Nandao Grupo C",25,IF(Atletas!I182="Taijijian Grupo C",26,IF(Atletas!I182="Daoshu Grupo B",27,IF(Atletas!I182="Jianshu Grupo B",28,IF(Atletas!I182="Nandao Grupo B",29,IF(Atletas!I182="Taijijian Grupo B",30,IF(Atletas!I182="Daoshu Grupo A",31,IF(Atletas!I182="Jianshu Grupo A",32,IF(Atletas!I182="Nandao Grupo A",33,IF(Atletas!I182="Taijijian Grupo A",34,IF(Atletas!I182="Daoshu Opcional",35,IF(Atletas!I182="Jianshu Opcional",36,IF(Atletas!I182="Nandao Opcional",37,IF(Atletas!I182="Taijijian Opcional",38,IF(Atletas!I182="Daoshu Adulto",39,IF(Atletas!I182="Jianshu Adulto",40,IF(Atletas!I182="Nandao Adulto",41,IF(Atletas!I182="Taijijian Adulto",42,""))))))))))))))))))))))))))</f>
        <v/>
      </c>
      <c r="BH191" s="52" t="str">
        <f>IF(Atletas!J182="","",IF(Atletas!B182="Feminino",100,IF(Atletas!B182="Masculino",200,""))+(IF(Atletas!J182="Gunshu Mirim",43,IF(Atletas!J182="Qiangshu Mirim",44,IF(Atletas!J182="Nangun Mirim",45,IF(Atletas!J182="Gunshu Grupo C",46,IF(Atletas!J182="Qiangshu Grupo C",47,IF(Atletas!J182="Nangun Grupo C",48,IF(Atletas!J182="Gunshu Grupo B",49,IF(Atletas!J182="Qiangshu Grupo B",50,IF(Atletas!J182="Nangun Grupo B",51,IF(Atletas!J182="Gunshu Grupo A",52,IF(Atletas!J182="Qiangshu Grupo A",53,IF(Atletas!J182="Nangun Grupo A",54,IF(Atletas!J182="Gunshu Opcional",55,IF(Atletas!J182="Qiangshu Opcional",56,IF(Atletas!J182="Nangun Opcional",57,IF(Atletas!J182="Gunshu Adulto",58,IF(Atletas!J182="Qiangshu Adulto",59,IF(Atletas!J182="Nangun Adulto",60,IF(Atletas!J182="Taijishan Grupo B",61,IF(Atletas!J182="Taijishan Grupo A",62,""))))))))))))))))))))))</f>
        <v/>
      </c>
      <c r="BM191" s="50" t="str">
        <f>IF(Atletas!K182="","",IF(Atletas!B182="Feminino",100,IF(Atletas!B182="Masculino",200,""))+(IF(Atletas!K182="Equipe 1 Grupo B",1,IF(Atletas!K182="Equipe 2 Grupo B",2,IF(Atletas!K182="Equipe 1 Grupo A",3,IF(Atletas!K182="Equipe 2 Grupo A",4,IF(Atletas!K182="Equipe 1 Adulto",5,IF(Atletas!K182="Equipe 2 Adulto",6,""))))))))</f>
        <v/>
      </c>
      <c r="BR191" s="50" t="str">
        <f>IF(Atletas!L182="","",IF(Atletas!X182&lt;&gt;"",10000,0)+(IF(Atletas!B182="Feminino",1000,IF(Atletas!B182="Masculino",2000,""))+IF(Atletas!L182="Choylayfut A",1,IF(Atletas!L182="Hunggar A",2,IF(Atletas!L182="Wuzuquan A",3,IF(Atletas!L182="Wingchun A",4,IF(Atletas!L182="Outra Mão de Sul A",5,IF(Atletas!L182="Choylayfut B",6,IF(Atletas!L182="Hunggar B",7,IF(Atletas!L182="Wuzuquan B",8,IF(Atletas!L182="Wingchun B",9,IF(Atletas!L182="Outra Mão de Sul B",10,IF(Atletas!L182="Choylayfut C",11,IF(Atletas!L182="Hunggar C",12,IF(Atletas!L182="Wuzuquan C",13,IF(Atletas!L182="Wingchun C",14,IF(Atletas!L182="Outra Mão de Sul C",15,IF(Atletas!L182="Choylayfut D",16,IF(Atletas!L182="Hunggar D",17,IF(Atletas!L182="Wuzuquan D",18,IF(Atletas!L182="Wingchun D",19,IF(Atletas!L182="Outra Mão de Sul D",20,IF(Atletas!L182="Choylayfut E",21,IF(Atletas!L182="Hunggar E",22,IF(Atletas!L182="Wuzuquan E",23,IF(Atletas!L182="Wingchun E",24,IF(Atletas!L182="Outra Mão de Sul E",25,IF(Atletas!L182="Choylayfut F",26,IF(Atletas!L182="Hunggar F",27,IF(Atletas!L182="Wuzuquan F",28,IF(Atletas!L182="Wingchun F",29,IF(Atletas!L182="Outra Mão de Sul F",30,IF(Atletas!L182="Dishuquan A",31,IF(Atletas!L182="Dishuquan B",32,IF(Atletas!L182="Dishuquan C",33,IF(Atletas!L182="Dishuquan D",34,IF(Atletas!L182="Dishuquan E",35,IF(Atletas!L182="Dishuquan F",36,""))))))))))))))))))))))))))))))))))))))</f>
        <v/>
      </c>
      <c r="BS191" s="50" t="str">
        <f>IF(Atletas!M182="","",IF(Atletas!X182&lt;&gt;"",10000,0)+(IF(Atletas!B182="Feminino",1000,IF(Atletas!B182="Masculino",2000,""))+(IF(Atletas!M182="Chaquan A",101,IF(Atletas!M182="Emeiquan A",102,IF(Atletas!M182="Fanziquan A",103,IF(Atletas!M182="Huaquan A",104,IF(Atletas!M182="Hongquan A",105,IF(Atletas!M182="Paoquan A",106,IF(Atletas!M182="Piguaquan A",107,IF(Atletas!M182="Shaolinquan A",108,IF(Atletas!M182="Tanglangquan A",109,IF(Atletas!M182="Yingzhaoquan A",110,IF(Atletas!M182="Tongbeiquan A",111,IF(Atletas!M182="Wudangquan A",112,IF(Atletas!M182="Outros Estilos A",113,IF(Atletas!M182="Chaquan B",114,IF(Atletas!M182="Emeiquan B",115,IF(Atletas!M182="Fanziquan B",116,IF(Atletas!M182="Huaquan B",117,IF(Atletas!M182="Hongquan B",118,IF(Atletas!M182="Paoquan B",119,IF(Atletas!M182="Piguaquan B",120,IF(Atletas!M182="Shaolinquan B",121,IF(Atletas!M182="Tanglangquan B",122,IF(Atletas!M182="Yingzhaoquan B",123,IF(Atletas!M182="Tongbeiquan B",124,IF(Atletas!M182="Wudangquan B",125,IF(Atletas!M182="Outros Estilos B",126,IF(Atletas!M182="Chaquan C",127,IF(Atletas!M182="Emeiquan C",128,IF(Atletas!M182="Fanziquan C",129,IF(Atletas!M182="Huaquan C",130,IF(Atletas!M182="Hongquan C",131,IF(Atletas!M182="Paoquan C",132,IF(Atletas!M182="Piguaquan C",133,IF(Atletas!M182="Shaolinquan C",134,IF(Atletas!M182="Tanglangquan C",135,IF(Atletas!M182="Yingzhaoquan C",136,IF(Atletas!M182="Tongbeiquan C",137,IF(Atletas!M182="Wudangquan C",138,IF(Atletas!M182="Outros Estilos C",139,0))))))))))))))))))))))))))))))))))))))))))</f>
        <v/>
      </c>
      <c r="BT191" s="50" t="str">
        <f>IF(Atletas!M182="","",IF(Atletas!X182&lt;&gt;"",10000,0)+(IF(Atletas!B182="Feminino",1000,IF(Atletas!B182="Masculino",2000,""))+(IF(Atletas!M182="Chaquan D",140,IF(Atletas!M182="Emeiquan D",141,IF(Atletas!M182="Fanziquan D",142,IF(Atletas!M182="Huaquan D",143,IF(Atletas!M182="Hongquan D",144,IF(Atletas!M182="Paoquan D",145,IF(Atletas!M182="Piguaquan D",146,IF(Atletas!M182="Shaolinquan D",147,IF(Atletas!M182="Tanglangquan D",148,IF(Atletas!M182="Yingzhaoquan D",149,IF(Atletas!M182="Tongbeiquan D",150,IF(Atletas!M182="Wudangquan D",151,IF(Atletas!M182="Outros Estilos D",152,IF(Atletas!M182="Chaquan E",153,IF(Atletas!M182="Emeiquan E",154,IF(Atletas!M182="Fanziquan E",155,IF(Atletas!M182="Huaquan E",156,IF(Atletas!M182="Hongquan E",157,IF(Atletas!M182="Paoquan E",158,IF(Atletas!M182="Piguaquan E",159,IF(Atletas!M182="Shaolinquan E",160,IF(Atletas!M182="Tanglangquan E",161,IF(Atletas!M182="Yingzhaoquan E",162,IF(Atletas!M182="Tongbeiquan E",163,IF(Atletas!M182="Wudangquan E",164,IF(Atletas!M182="Outros Estilos E",165,IF(Atletas!M182="Chaquan F",166,IF(Atletas!M182="Emeiquan F",167,IF(Atletas!M182="Fanziquan F",168,IF(Atletas!M182="Huaquan F",169,IF(Atletas!M182="Hongquan F",170,IF(Atletas!M182="Paoquan F",171,IF(Atletas!M182="Piguaquan F",172,IF(Atletas!M182="Shaolinquan F",173,IF(Atletas!M182="Tanglangquan F",174,IF(Atletas!M182="Yingzhaoquan F",175,IF(Atletas!M182="Tongbeiquan F",176,IF(Atletas!M182="Wudangquan F",177,IF(Atletas!M182="Outros Estilos F",178,0))))))))))))))))))))))))))))))))))))))))))</f>
        <v/>
      </c>
      <c r="BU191" s="50" t="str">
        <f>IF(Atletas!N182="","",IF(Atletas!X182&lt;&gt;"",10000,0)+(IF(Atletas!B182="Feminino",1000,IF(Atletas!B182="Masculino",2000,""))+(IF(Atletas!N182="Ditangquan A",201,IF(Atletas!N182="Houquan A",202,IF(Atletas!N182="Zuiquan A",203,IF(Atletas!N182="Ditangquan B",204,IF(Atletas!N182="Houquan B",205,IF(Atletas!N182="Zuiquan B",206,IF(Atletas!N182="Ditangquan C",207,IF(Atletas!N182="Houquan C",208,IF(Atletas!N182="Zuiquan C",209,IF(Atletas!N182="Ditangquan D",210,IF(Atletas!N182="Houquan D",211,IF(Atletas!N182="Zuiquan D",212,IF(Atletas!N182="Ditangquan E",213,IF(Atletas!N182="Houquan E",214,IF(Atletas!N182="Zuiquan E",215,IF(Atletas!N182="Ditangquan F",216,IF(Atletas!N182="Houquan F",217,IF(Atletas!N182="Zuiquan F",218,"")))))))))))))))))))))</f>
        <v/>
      </c>
      <c r="BV191" s="50" t="str">
        <f>IF(Atletas!O182="","",IF(Atletas!X182&lt;&gt;"",10000,0)+IF(Atletas!B182="Feminino",1000,IF(Atletas!B182="Masculino",2000,""))+IF(Atletas!O182="Yang A",301,IF(Atletas!O182="Chen A",302,IF(Atletas!O182="Sun A",303,IF(Atletas!O182="Wu A",304,IF(Atletas!O182="Wu-Hao A",305,IF(Atletas!O182="Outro Taijiquan A",306,IF(Atletas!O182="Yang B",307,IF(Atletas!O182="Chen B",308,IF(Atletas!O182="Sun B",309,IF(Atletas!O182="Wu B",310,IF(Atletas!O182="Wu-Hao B",311,IF(Atletas!O182="Outro Taijiquan B",312,IF(Atletas!O182="Yang C",313,IF(Atletas!O182="Chen C",314,IF(Atletas!O182="Sun C",315,IF(Atletas!O182="Wu C",316,IF(Atletas!O182="Wu-Hao C",317,IF(Atletas!O182="Outro Taijiquan C",318,IF(Atletas!O182="Yang D",319,IF(Atletas!O182="Chen D",320,IF(Atletas!O182="Sun D",321,IF(Atletas!O182="Wu D",322,IF(Atletas!O182="Wu-Hao D",323,IF(Atletas!O182="Outro Taijiquan D",324,IF(Atletas!O182="Yang E",325,IF(Atletas!O182="Chen E",326,IF(Atletas!O182="Sun E",327,IF(Atletas!O182="Wu E",328,IF(Atletas!O182="Wu-Hao E",329,IF(Atletas!O182="Outro Taijiquan E",330,IF(Atletas!O182="Yang F",331,IF(Atletas!O182="Chen F",332,IF(Atletas!O182="Sun F",333,IF(Atletas!O182="Wu F",334,IF(Atletas!O182="Wu-Hao F",335,IF(Atletas!O182="Outro Taijiquan F",336,"")))))))))))))))))))))))))))))))))))))</f>
        <v/>
      </c>
      <c r="BW191" s="50" t="str">
        <f>IF(Atletas!P182="","",IF(Atletas!X182&lt;&gt;"",10000,0)+IF(Atletas!B182="Feminino",1000,IF(Atletas!B182="Masculino",2000,""))+IF(OR(Atletas!P182="Yang 26 A",Atletas!P182="Yang 40 A"),401,IF(OR(Atletas!P182="Chen 25 A",Atletas!P182="Chen 36 A",Atletas!P182="Chen 56 A"),402,IF(Atletas!P182="Sun 73 A",403,IF(Atletas!P182="Wu 45 A",404,IF(Atletas!P182="Wu-Hao 46 A",405,IF(OR(Atletas!P182="Taijiquan 16 A",Atletas!P182="Taijiquan 24 A",Atletas!P182="Taijiquan 32 A",Atletas!P182="Taijiquan 42 A"),406,IF(OR(Atletas!P182="Yang 26 B",Atletas!P182="Yang 40 B"),407,IF(OR(Atletas!P182="Chen 25 B",Atletas!P182="Chen 36 B",Atletas!P182="Chen 56 B"),408,IF(Atletas!P182="Sun 73 B",409,IF(Atletas!P182="Wu 45 B",410,IF(Atletas!P182="Wu-Hao 46 B",411,IF(OR(Atletas!P182="Taijiquan 16 B",Atletas!P182="Taijiquan 24 B",Atletas!P182="Taijiquan 32 B",Atletas!P182="Taijiquan 42 B"),412,IF(OR(Atletas!P182="Yang 26 C",Atletas!P182="Yang 40 C"),413,IF(OR(Atletas!P182="Chen 25 C",Atletas!P182="Chen 36 C",Atletas!P182="Chen 56 C"),414,IF(Atletas!P182="Sun 73 C",415,IF(Atletas!P182="Wu 45 C",416,IF(Atletas!P182="Wu-Hao 46 C",417,IF(OR(Atletas!P182="Taijiquan 16 C",Atletas!P182="Taijiquan 24 C",Atletas!P182="Taijiquan 32 C",Atletas!P182="Taijiquan 42 C"),418,0)))))))))))))))))))</f>
        <v/>
      </c>
      <c r="BX191" s="50" t="str">
        <f>IF(Atletas!P182="","",IF(Atletas!X182&lt;&gt;"",10000,0)+IF(Atletas!B182="Feminino",1000,IF(Atletas!B182="Masculino",2000,""))+IF(OR(Atletas!P182="Yang 26 D",Atletas!P182="Yang 40 D"),419,IF(OR(Atletas!P182="Chen 25 D",Atletas!P182="Chen 36 D",Atletas!P182="Chen 56 D"),420,IF(Atletas!P182="Sun 73 D",421,IF(Atletas!P182="Wu 45 D",422,IF(Atletas!P182="Wu-Hao 46 D",423,IF(OR(Atletas!P182="Taijiquan 16 D",Atletas!P182="Taijiquan 24 D",Atletas!P182="Taijiquan 32 D",Atletas!P182="Taijiquan 42 D"),424,IF(OR(Atletas!P182="Yang 26 E",Atletas!P182="Yang 40 E"),425,IF(OR(Atletas!P182="Chen 25 E",Atletas!P182="Chen 36 E",Atletas!P182="Chen 56 E"),426,IF(Atletas!P182="Sun 73 E",427,IF(Atletas!P182="Wu 45 E",428,IF(Atletas!P182="Wu-Hao 46 E",429,IF(OR(Atletas!P182="Taijiquan 16 E",Atletas!P182="Taijiquan 24 E",Atletas!P182="Taijiquan 32 E",Atletas!P182="Taijiquan 42 E"),430,IF(OR(Atletas!P182="Yang 26 F",Atletas!P182="Yang 40 F"),431,IF(OR(Atletas!P182="Chen 25 F",Atletas!P182="Chen 36 F",Atletas!P182="Chen 56 F"),432,IF(Atletas!P182="Sun 73 F",433,IF(Atletas!P182="Wu 45 F",434,IF(Atletas!P182="Wu-Hao 46 F",435,IF(OR(Atletas!P182="Taijiquan 16 F",Atletas!P182="Taijiquan 24 F",Atletas!P182="Taijiquan 32 F",Atletas!P182="Taijiquan 42 F"),436,0)))))))))))))))))))</f>
        <v/>
      </c>
      <c r="BY191" s="50" t="str">
        <f>IF(Atletas!Q182="","",IF(Atletas!X182&lt;&gt;"",10000,0)+IF(Atletas!B182="Feminino",1000,IF(Atletas!B182="Masculino",2000,""))+IF(Atletas!Q182="Xingyiquan A",501,IF(Atletas!Q182="Baguazhang A",502,IF(Atletas!Q182="Outro Estilo Interno A",503,IF(Atletas!Q182="Xingyiquan B",504,IF(Atletas!Q182="Baguazhang B",505,IF(Atletas!Q182="Outro Estilo Interno B",506,IF(Atletas!Q182="Xingyiquan C",507,IF(Atletas!Q182="Baguazhang C",508,IF(Atletas!Q182="Outro Estilo Interno C",509,IF(Atletas!Q182="Xingyiquan D",510,IF(Atletas!Q182="Baguazhang D",511,IF(Atletas!Q182="Outro Estilo Interno D",512,IF(Atletas!Q182="Xingyiquan E",513,IF(Atletas!Q182="Baguazhang E",514,IF(Atletas!Q182="Outro Estilo Interno E",515,IF(Atletas!Q182="Xingyiquan F",516,IF(Atletas!Q182="Baguazhang F",517,IF(Atletas!Q182="Outro Estilo Interno F",518, "")))))))))))))))))))</f>
        <v/>
      </c>
      <c r="BZ191" s="50" t="str">
        <f>IF(Atletas!R182="","",IF(Atletas!X182&lt;&gt;"",10000,0)+IF(Atletas!B182="Feminino",1000,IF(Atletas!B182="Masculino",2000,""))+IF(Atletas!R182="Dao A",601,IF(Atletas!R182="Jian A",602,IF(Atletas!R182="Bishou A",603,IF(Atletas!R182="Shanzi A",604,IF(Atletas!R182="Outra Arma Curta A",605,IF(Atletas!R182="Dao B",606,IF(Atletas!R182="Jian B",607,IF(Atletas!R182="Bishou B",608,IF(Atletas!R182="Shanzi B",609,IF(Atletas!R182="Outra Arma Curta B",610,IF(Atletas!R182="Dao C",611,IF(Atletas!R182="Jian C",612,IF(Atletas!R182="Bishou C",613,IF(Atletas!R182="Shanzi C",614,IF(Atletas!R182="Outra Arma Curta C",615,IF(Atletas!R182="Dao D",616,IF(Atletas!R182="Jian D",617,IF(Atletas!R182="Bishou D",618,IF(Atletas!R182="Shanzi D",619,IF(Atletas!R182="Outra Arma Curta D",620,IF(Atletas!R182="Dao E",621,IF(Atletas!R182="Jian E",622,IF(Atletas!R182="Bishou E",623,IF(Atletas!R182="Shanzi E",624,IF(Atletas!R182="Outra Arma Curta E",625,IF(Atletas!R182="Dao F",626,IF(Atletas!R182="Jian F",627,IF(Atletas!R182="Bishou F",628,IF(Atletas!R182="Shanzi F",629,IF(Atletas!R182="Outra Arma Curta F",630, "")))))))))))))))))))))))))))))))</f>
        <v/>
      </c>
      <c r="CA191" s="50" t="str">
        <f>IF(Atletas!S182="","",IF(Atletas!X182&lt;&gt;"",10000,0)+IF(Atletas!B182="Feminino",1000,IF(Atletas!B182="Masculino",2000,""))+IF(Atletas!S182="Gun A",701,IF(Atletas!S182="Qiang A",702,IF(Atletas!S182="Pudao / Guandao A",703,IF(Atletas!S182="Outra Arma Longa A",704,IF(Atletas!S182="Gun B",705,IF(Atletas!S182="Qiang B",706,IF(Atletas!S182="Pudao / Guandao B",707,IF(Atletas!S182="Outra Arma Longa B",708,IF(Atletas!S182="Gun C",709,IF(Atletas!S182="Qiang C",710,IF(Atletas!S182="Pudao / Guandao C",711,IF(Atletas!S182="Outra Arma Longa C",712,IF(Atletas!S182="Gun D",713,IF(Atletas!S182="Qiang D",714,IF(Atletas!S182="Pudao / Guandao D",715,IF(Atletas!S182="Outra Arma Longa D",716,IF(Atletas!S182="Gun E",717,IF(Atletas!S182="Qiang E",718,IF(Atletas!S182="Pudao / Guandao E",719,IF(Atletas!S182="Outra Arma Longa E",720,IF(Atletas!S182="Gun F",721,IF(Atletas!S182="Qiang F",722,IF(Atletas!S182="Pudao / Guandao F",723,IF(Atletas!S182="Outra Arma Longa F",724,"")))))))))))))))))))))))))</f>
        <v/>
      </c>
      <c r="CB191" s="50" t="str">
        <f>IF(Atletas!T182="","",IF(Atletas!X182&lt;&gt;"",10000,0)+IF(Atletas!B182="Feminino",1000,IF(Atletas!B182="Masculino",2000,""))+IF(Atletas!T182="Outra Arma Dupla A",801,IF(Atletas!T182="Arma Maleável A",802,IF(Atletas!T182="Outra Arma Dupla B",803,IF(Atletas!T182="Arma Maleável B",804,IF(Atletas!T182="Outra Arma Dupla C",805,IF(Atletas!T182="Arma Maleável C",806,IF(Atletas!T182="Outra Arma Dupla D",807,IF(Atletas!T182="Arma Maleável D",808,IF(Atletas!T182="Outra Arma Dupla E",809,IF(Atletas!T182="Arma Maleável E",810,IF(Atletas!T182="Outra Arma Dupla F",811,IF(Atletas!T182="Arma Maleável F",812,IF(Atletas!T182="Shuangdao A",813,IF(Atletas!T182="Shuangdao B",814,IF(Atletas!T182="Shuangdao C",815,IF(Atletas!T182="Shuangdao D",816,IF(Atletas!T182="Shuangdao E",817,IF(Atletas!T182="Shuangdao F",818,"")))))))))))))))))))</f>
        <v/>
      </c>
      <c r="CC191" s="50" t="str">
        <f>IF(Atletas!U182="","",IF(Atletas!X182&lt;&gt;"",10000,0)+IF(Atletas!B182="Feminino",1000,IF(Atletas!B182="Masculino",2000,""))+IF(OR(Atletas!U182="Taijijian Yang A",Atletas!U182="Taijijian Yang Standard A"),901,IF(OR(Atletas!U182="Taijijian Chen A", Atletas!U182="Taijijian Chen Standard A"),902,IF(Atletas!U182="Taijijian Sun A",903,IF(Atletas!U182="Taijijian Wu A",904,IF(Atletas!U182="Taijijian Wu-Hao A",905,IF(OR(Atletas!U182="Taijijian 32 A",Atletas!U182="Taijijian 42 A"),906,IF(OR(Atletas!U182="Taijijian Yang B",Atletas!U182="Taijijian Yang Standard B"),907,IF(OR(Atletas!U182="Taijijian Chen B", Atletas!U182="Taijijian Chen Standard B"),908,IF(Atletas!U182="Taijijian Sun B",909,IF(Atletas!U182="Taijijian Wu B",910,IF(Atletas!U182="Taijijian Wu-Hao B",911,IF(OR(Atletas!U182="Taijijian 32 B",Atletas!U182="Taijijian 42 B"),912,IF(OR(Atletas!U182="Taijijian Yang C",Atletas!U182="Taijijian Yang Standard C"),913,IF(OR(Atletas!U182="Taijijian Chen C", Atletas!U182="Taijijian Chen Standard C"),914,IF(Atletas!U182="Taijijian Sun C",915,IF(Atletas!U182="Taijijian Wu C",916,IF(Atletas!U182="Taijijian Wu-Hao C",917,IF(OR(Atletas!U182="Taijijian 32 C",Atletas!U182="Taijijian 42 C"),918,IF(OR(Atletas!U182="Taijijian Yang D",Atletas!U182="Taijijian Yang Standard D"),919,IF(OR(Atletas!U182="Taijijian Chen D", Atletas!U182="Taijijian Chen Standard D"),920,IF(Atletas!U182="Taijijian Sun D",921,IF(Atletas!U182="Taijijian Wu D",922,IF(Atletas!U182="Taijijian Wu-Hao D",923,IF(OR(Atletas!U182="Taijijian 32 D",Atletas!U182="Taijijian 42 D"),924,IF(OR(Atletas!U182="Taijijian Yang E",Atletas!U182="Taijijian Yang Standard E"),925,IF(OR(Atletas!U182="Taijijian Chen E", Atletas!U182="Taijijian Chen Standard E"),926,IF(Atletas!U182="Taijijian Sun E",927,IF(Atletas!U182="Taijijian Wu E",928,IF(Atletas!U182="Taijijian Wu-Hao E",929,IF(OR(Atletas!U182="Taijijian 32 E",Atletas!U182="Taijijian 42 E"),930,IF(OR(Atletas!U182="Taijijian Yang F",Atletas!U182="Taijijian Yang Standard F"),931,IF(OR(Atletas!U182="Taijijian Chen F", Atletas!U182="Taijijian Chen Standard F"),932,IF(Atletas!U182="Taijijian Sun F",933,IF(Atletas!U182="Taijijian Wu F",934,IF(Atletas!U182="Taijijian Wu-Hao F",935,IF(OR(Atletas!U182="Taijijian 32 F",Atletas!U182="Taijijian 42 F"),936,"")))))))))))))))))))))))))))))))))))))</f>
        <v/>
      </c>
      <c r="CD191" s="50" t="str">
        <f>IF(Atletas!V182="","",IF(Atletas!X182&lt;&gt;"",10000,0)+IF(Atletas!B182="Feminino",1000,IF(Atletas!B182="Masculino",2000,""))+IF(Atletas!V182="Taijidao A",937,IF(Atletas!V182="TaijiShanzi A",938,IF(Atletas!V182="Taijiqiang A",939,IF(Atletas!V182="Bagua de Arma A",940,IF(Atletas!V182="Xingyi de Arma A",941,IF(Atletas!V182="Taijidao B",942,IF(Atletas!V182="TaijiShanzi B",943,IF(Atletas!V182="Taijiqiang B",944,IF(Atletas!V182="Bagua de Arma B",945,IF(Atletas!V182="Xingyi de Arma B",946,IF(Atletas!V182="Taijidao C",947,IF(Atletas!V182="TaijiShanzi C",948,IF(Atletas!V182="Taijiqiang C",949,IF(Atletas!V182="Bagua de Arma C",950,IF(Atletas!V182="Xingyi de Arma C",951,IF(Atletas!V182="Taijidao D",952,IF(Atletas!V182="TaijiShanzi D",953,IF(Atletas!V182="Taijiqiang D",954,IF(Atletas!V182="Bagua de Arma D",955,IF(Atletas!V182="Xingyi de Arma D",956,IF(Atletas!V182="Taijidao E",957,IF(Atletas!V182="TaijiShanzi E",958,IF(Atletas!V182="Taijiqiang E",959,IF(Atletas!V182="Bagua de Arma E",960,IF(Atletas!V182="Xingyi de Arma E",961,IF(Atletas!V182="Taijidao F",962,IF(Atletas!V182="TaijiShanzi F",963,IF(Atletas!V182="Taijiqiang F",964,IF(Atletas!V182="Bagua de Arma F",965,IF(Atletas!V182="Xingyi de Arma F",966,"")))))))))))))))))))))))))))))))</f>
        <v/>
      </c>
      <c r="CE191" s="66" t="str">
        <f>IF(CF191&lt;&gt;"","TJQ Padr. Wu-Hao C","")</f>
        <v/>
      </c>
      <c r="CF191" s="66" t="str">
        <f>IF(COUNTIF(BR:CD,1417)&gt;0,COUNTIF(BR:CD,1417),"")</f>
        <v/>
      </c>
      <c r="CG191" s="66" t="str">
        <f>IF(CH191&lt;&gt;"","TJQ Padr. Wu-Hao C","")</f>
        <v/>
      </c>
      <c r="CH191" s="66" t="str">
        <f>IF(COUNTIF(BR:CD,2417)&gt;0,COUNTIF(BR:CD,2417),"")</f>
        <v/>
      </c>
      <c r="CI191" s="66" t="str">
        <f>IF(CJ191&lt;&gt;"","TJQ Padr. Wu-Hao D","")</f>
        <v/>
      </c>
      <c r="CJ191" s="66" t="str">
        <f>IF(COUNTIF(BR:CD,11423)&gt;0,COUNTIF(BR:CD,11423),"")</f>
        <v/>
      </c>
      <c r="CK191" s="66" t="str">
        <f>IF(CL191&lt;&gt;"","TJQ Padr. Wu-Hao D","")</f>
        <v/>
      </c>
      <c r="CL191" s="66" t="str">
        <f>IF(COUNTIF(BR:CD,12423)&gt;0,COUNTIF(BR:CD,12423),"")</f>
        <v/>
      </c>
      <c r="CM191" s="50" t="str">
        <f xml:space="preserve"> IF(Atletas!W182="","",IF(Atletas!W182="Duilian de Mãos BC - Equipe 1",1,IF(Atletas!W182="Duilian de Mãos BC - Equipe 2",2,IF(Atletas!W182="Duilian de Armas BC - Equipe 1",3,IF(Atletas!W182="Duilian de Armas BC - Equipe 2",4,IF(Atletas!W182="Duilian de Mãos DE - Equipe 1",5,IF(Atletas!W182="Duilian de Mãos DE - Equipe 2",6,IF(Atletas!W182="Duilian de Armas DE - Equipe 1",7,IF(Atletas!W182="Duilian de Armas DE - Equipe 2",8,IF(Atletas!W182="Duilian de Tuishou - Equipe 1",9,IF(Atletas!W182="Duilian de Tuishou - Equipe 2",10,IF(Atletas!W182="Grupo Externo ABC - Equipe 1",11,IF(Atletas!W182="Grupo Externo ABC - Equipe 2",12,IF(Atletas!W182="Grupo Interno ABC - Equipe 1",13,IF(Atletas!W182="Grupo Interno ABC - Equipe 2",14,IF(Atletas!W182="Grupo Externo DEF - Equipe 1",15,IF(Atletas!W182="Grupo Externo DEF - Equipe 2",16,IF(Atletas!W182="Grupo Interno DEF - Equipe 1",17,IF(Atletas!W182="Grupo Interno DEF - Equipe 2",18,"")))))))))))))))))))</f>
        <v/>
      </c>
    </row>
    <row r="192" spans="2:91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 t="str">
        <f t="array" ref="Z192">IFERROR(INDEX(CE$7:CE$348,SMALL(IF(CE$7:CE$348&lt;&gt;"",ROW(CE$7:CE$348)-ROW(CE$7)+1),ROWS(CE$7:CE191))),"")</f>
        <v/>
      </c>
      <c r="AA192" s="3" t="str">
        <f t="array" ref="AA192">IFERROR(INDEX(CF$7:CF$348,SMALL(IF(CF$7:CF$348&lt;&gt;"",ROW(CF$7:CF$348)-ROW(CF$7)+1),ROWS(CF$7:CF191))),"")</f>
        <v/>
      </c>
      <c r="AB192" s="3" t="str">
        <f t="array" ref="AB192">IFERROR(INDEX(CG$7:CG$348,SMALL(IF(CG$7:CG$348&lt;&gt;"",ROW(CG$7:CG$348)-ROW(CG$7)+1),ROWS(CG$7:CG191))),"")</f>
        <v/>
      </c>
      <c r="AC192" s="3" t="str">
        <f t="array" ref="AC192">IFERROR(INDEX(CH$7:CH$348,SMALL(IF(CH$7:CH$348&lt;&gt;"",ROW(CH$7:CH$348)-ROW(CH$7)+1),ROWS(CH$7:CH191))),"")</f>
        <v/>
      </c>
      <c r="AD192" s="3" t="str">
        <f t="array" ref="AD192">IFERROR(INDEX(CI$7:CI$377,SMALL(IF(CI$7:CI$377&lt;&gt;"",ROW(CI$7:CI$377)-ROW(CI$7)+1),ROWS(CI$7:CI191))),"")</f>
        <v/>
      </c>
      <c r="AE192" s="3" t="str">
        <f t="array" ref="AE192">IFERROR(INDEX(CJ$7:CJ$378,SMALL(IF(CJ$7:CJ$378&lt;&gt;"",ROW(CJ$7:CJ$378)-ROW(CJ$7)+1),ROWS(CJ$7:CJ191))),"")</f>
        <v/>
      </c>
      <c r="AF192" s="3" t="str">
        <f t="array" ref="AF192">IFERROR(INDEX(CK$7:CK$378,SMALL(IF(CK$7:CK$378&lt;&gt;"",ROW(CK$7:CK$378)-ROW(CK$7)+1),ROWS(CK$7:CK191))),"")</f>
        <v/>
      </c>
      <c r="AG192" s="3" t="str">
        <f t="array" ref="AG192">IFERROR(INDEX(CL$7:CL$378,SMALL(IF(CL$7:CL$378&lt;&gt;"",ROW(CL$7:CL$378)-ROW(CL$7)+1),ROWS(CL$7:CL191))),"")</f>
        <v/>
      </c>
      <c r="AH192" s="3"/>
      <c r="AI192" s="3"/>
      <c r="AJ192" s="3"/>
      <c r="AK192" s="3"/>
      <c r="AL192" s="3"/>
      <c r="AM192" s="3"/>
      <c r="AN192" s="52" t="str">
        <f>IF(Atletas!D183="","",IF(Atletas!B183="Feminino",100,IF(Atletas!B183="Masculino",200,""))+(IF(Atletas!D183="Kids 30kg",1,IF(Atletas!D183="Kids 32kg",2, IF(Atletas!D183="Kids 34kg",3,IF(Atletas!D183="Kids 36kg",4,IF(Atletas!D183="Kids 39kg",5,IF(Atletas!D183="Kids 42kg",6,IF(Atletas!D183="Kids 45kg",7, IF(Atletas!D183="Infantil 39kg",8,IF(Atletas!D183="Infantil 42kg",9,IF(Atletas!D183="Infantil 45kg",10,IF(Atletas!D183="Infantil 48kg",11,IF(Atletas!D183="Infantil 52kg",12,IF(Atletas!D183="Infantil 56kg",13,IF(Atletas!D183="Infantil 60kg",14,IF(Atletas!D183="Juvenil 48kg",15,IF(Atletas!D183="Juvenil 52kg",16,IF(Atletas!D183="Juvenil 56kg",17,IF(Atletas!D183="Juvenil 60kg",18,IF(Atletas!D183="Juvenil 65kg",19,IF(Atletas!D183="Juvenil 70kg",20,IF(Atletas!D183="Juvenil 75kg",21,IF(Atletas!D183="Juvenil 80kg",22, IF(Atletas!D183="Juvenil 85kg",23,IF(Atletas!D183="Adulto 48kg",24,IF(Atletas!D183="Adulto 52kg",25,IF(Atletas!D183="Adulto 56kg",26,IF(Atletas!D183="Adulto 60kg",27,IF(Atletas!D183="Adulto 65kg",28,IF(Atletas!D183="Adulto 70kg",29,IF(Atletas!D183="Adulto 75kg",30,IF(Atletas!D183="Adulto 80kg",31,IF(Atletas!D183="Adulto 85kg",32,IF(Atletas!D183="Adulto 90kg",33,IF(Atletas!D183="Adulto 100kg",34, IF(Atletas!D183="Adulto +100kg",35,"")))))))))))))))))))))))))))))))))))))</f>
        <v/>
      </c>
      <c r="AS192" s="6" t="str">
        <f>IF(Atletas!E183="","",IF(Atletas!B183="Feminino",100,IF(Atletas!B183="Masculino",200,""))+(IF(Atletas!E183="Juvenil 44kg",1,IF(Atletas!E183="Juvenil 48kg",2,IF(Atletas!E183="Juvenil 52kg",3,IF(Atletas!E183="Juvenil 56kg",4,IF(Atletas!E183="Juvenil 60kg",5,IF(Atletas!E183="Juvenil 65kg",6,IF(Atletas!E183="Juvenil 70kg",7,IF(Atletas!E183="Juvenil 75kg",8,IF(Atletas!E183="Juvenil 82kg",9,IF(Atletas!E183="Juvenil 90kg",10,IF(Atletas!E183="Juvenil 100kg",11,IF(Atletas!E183="Adulto 48kg",12,IF(Atletas!E183="Adulto 52kg",13,IF(Atletas!E183="Adulto 56kg",14,IF(Atletas!E183="Adulto 60kg",15,IF(Atletas!E183="Adulto 65kg",16,IF(Atletas!E183="Adulto 70kg",17,IF(Atletas!E183="Adulto 75kg",18,IF(Atletas!E183="Adulto 82kg",19,IF(Atletas!E183="Adulto 90kg",20,IF(Atletas!E183="Adulto 100kg",21,IF(Atletas!E183="Adulto +100kg",22,""))))))))))))))))))))))))</f>
        <v/>
      </c>
      <c r="AX192" s="6" t="str">
        <f>IF(Atletas!F183="","",IF(Atletas!B183="Feminino",100,IF(Atletas!B183="Masculino",200,""))+(IF(Atletas!F183="Adulto 48kg",1,IF(Atletas!F183="Adulto 56kg",2,IF(Atletas!F183="Adulto 65kg",3,IF(Atletas!F183="Adulto 75kg",4,IF(Atletas!F183="Adulto +75kg",5,IF(Atletas!F183="Adulto 52kg",6,IF(Atletas!F183="Adulto 60kg",7,IF(Atletas!F183="Adulto 70kg",8,IF(Atletas!F183="Adulto 80kg",9,IF(Atletas!F183="Adulto 90kg",10,IF(Atletas!F183="Adulto +90kg",11,"")))))))))))))</f>
        <v/>
      </c>
      <c r="BC192" s="6" t="str">
        <f>IF(Atletas!G183="","",IF(Atletas!B183="Feminino",10,IF(Atletas!B183="Masculino",20,""))+(IF(Atletas!G183="Baduanjin A",1,IF(Atletas!G183="Baduanjin B",2))))</f>
        <v/>
      </c>
      <c r="BF192" s="52" t="str">
        <f>IF(Atletas!H183="","",IF(Atletas!B183="Feminino",100,IF(Atletas!B183="Masculino",200,""))+(IF(Atletas!H183="Changquan Mirim",1,IF(Atletas!H183="Nanquan Mirim",2,IF(Atletas!H183="Taijiquan Mirim",3,IF(Atletas!H183="Changquan Grupo C",4,IF(Atletas!H183="Nanquan Grupo C",5,IF(Atletas!H183="Taijiquan Grupo C",6,IF(Atletas!H183="Changquan Grupo B",7,IF(Atletas!H183="Nanquan Grupo B",8,IF(Atletas!H183="Taijiquan Grupo B",9,IF(Atletas!H183="Changquan Grupo A",10,IF(Atletas!H183="Nanquan Grupo A",11,IF(Atletas!H183="Taijiquan Grupo A",12,IF(Atletas!H183="Changquan Opcional",13,IF(Atletas!H183="Nanquan Opcional",14,IF(Atletas!H183="Taijiquan Opcional",15,IF(Atletas!H183="Changquan Adulto",16,IF(Atletas!H183="Nanquan Adulto",17,IF(Atletas!H183="Taijiquan Adulto",18,""))))))))))))))))))))</f>
        <v/>
      </c>
      <c r="BG192" s="52" t="str">
        <f>IF(Atletas!I183="","",IF(Atletas!B183="Feminino",100,IF(Atletas!B183="Masculino",200,""))+(IF(Atletas!I183="Daoshu Mirim",19,IF(Atletas!I183="Jianshu Mirim",20,IF(Atletas!I183="Nandao Mirim",21,IF(Atletas!I183="Taijijian Mirim",22,IF(Atletas!I183="Daoshu Grupo C",23,IF(Atletas!I183="Jianshu Grupo C",24,IF(Atletas!I183="Nandao Grupo C",25,IF(Atletas!I183="Taijijian Grupo C",26,IF(Atletas!I183="Daoshu Grupo B",27,IF(Atletas!I183="Jianshu Grupo B",28,IF(Atletas!I183="Nandao Grupo B",29,IF(Atletas!I183="Taijijian Grupo B",30,IF(Atletas!I183="Daoshu Grupo A",31,IF(Atletas!I183="Jianshu Grupo A",32,IF(Atletas!I183="Nandao Grupo A",33,IF(Atletas!I183="Taijijian Grupo A",34,IF(Atletas!I183="Daoshu Opcional",35,IF(Atletas!I183="Jianshu Opcional",36,IF(Atletas!I183="Nandao Opcional",37,IF(Atletas!I183="Taijijian Opcional",38,IF(Atletas!I183="Daoshu Adulto",39,IF(Atletas!I183="Jianshu Adulto",40,IF(Atletas!I183="Nandao Adulto",41,IF(Atletas!I183="Taijijian Adulto",42,""))))))))))))))))))))))))))</f>
        <v/>
      </c>
      <c r="BH192" s="52" t="str">
        <f>IF(Atletas!J183="","",IF(Atletas!B183="Feminino",100,IF(Atletas!B183="Masculino",200,""))+(IF(Atletas!J183="Gunshu Mirim",43,IF(Atletas!J183="Qiangshu Mirim",44,IF(Atletas!J183="Nangun Mirim",45,IF(Atletas!J183="Gunshu Grupo C",46,IF(Atletas!J183="Qiangshu Grupo C",47,IF(Atletas!J183="Nangun Grupo C",48,IF(Atletas!J183="Gunshu Grupo B",49,IF(Atletas!J183="Qiangshu Grupo B",50,IF(Atletas!J183="Nangun Grupo B",51,IF(Atletas!J183="Gunshu Grupo A",52,IF(Atletas!J183="Qiangshu Grupo A",53,IF(Atletas!J183="Nangun Grupo A",54,IF(Atletas!J183="Gunshu Opcional",55,IF(Atletas!J183="Qiangshu Opcional",56,IF(Atletas!J183="Nangun Opcional",57,IF(Atletas!J183="Gunshu Adulto",58,IF(Atletas!J183="Qiangshu Adulto",59,IF(Atletas!J183="Nangun Adulto",60,IF(Atletas!J183="Taijishan Grupo B",61,IF(Atletas!J183="Taijishan Grupo A",62,""))))))))))))))))))))))</f>
        <v/>
      </c>
      <c r="BM192" s="50" t="str">
        <f>IF(Atletas!K183="","",IF(Atletas!B183="Feminino",100,IF(Atletas!B183="Masculino",200,""))+(IF(Atletas!K183="Equipe 1 Grupo B",1,IF(Atletas!K183="Equipe 2 Grupo B",2,IF(Atletas!K183="Equipe 1 Grupo A",3,IF(Atletas!K183="Equipe 2 Grupo A",4,IF(Atletas!K183="Equipe 1 Adulto",5,IF(Atletas!K183="Equipe 2 Adulto",6,""))))))))</f>
        <v/>
      </c>
      <c r="BR192" s="50" t="str">
        <f>IF(Atletas!L183="","",IF(Atletas!X183&lt;&gt;"",10000,0)+(IF(Atletas!B183="Feminino",1000,IF(Atletas!B183="Masculino",2000,""))+IF(Atletas!L183="Choylayfut A",1,IF(Atletas!L183="Hunggar A",2,IF(Atletas!L183="Wuzuquan A",3,IF(Atletas!L183="Wingchun A",4,IF(Atletas!L183="Outra Mão de Sul A",5,IF(Atletas!L183="Choylayfut B",6,IF(Atletas!L183="Hunggar B",7,IF(Atletas!L183="Wuzuquan B",8,IF(Atletas!L183="Wingchun B",9,IF(Atletas!L183="Outra Mão de Sul B",10,IF(Atletas!L183="Choylayfut C",11,IF(Atletas!L183="Hunggar C",12,IF(Atletas!L183="Wuzuquan C",13,IF(Atletas!L183="Wingchun C",14,IF(Atletas!L183="Outra Mão de Sul C",15,IF(Atletas!L183="Choylayfut D",16,IF(Atletas!L183="Hunggar D",17,IF(Atletas!L183="Wuzuquan D",18,IF(Atletas!L183="Wingchun D",19,IF(Atletas!L183="Outra Mão de Sul D",20,IF(Atletas!L183="Choylayfut E",21,IF(Atletas!L183="Hunggar E",22,IF(Atletas!L183="Wuzuquan E",23,IF(Atletas!L183="Wingchun E",24,IF(Atletas!L183="Outra Mão de Sul E",25,IF(Atletas!L183="Choylayfut F",26,IF(Atletas!L183="Hunggar F",27,IF(Atletas!L183="Wuzuquan F",28,IF(Atletas!L183="Wingchun F",29,IF(Atletas!L183="Outra Mão de Sul F",30,IF(Atletas!L183="Dishuquan A",31,IF(Atletas!L183="Dishuquan B",32,IF(Atletas!L183="Dishuquan C",33,IF(Atletas!L183="Dishuquan D",34,IF(Atletas!L183="Dishuquan E",35,IF(Atletas!L183="Dishuquan F",36,""))))))))))))))))))))))))))))))))))))))</f>
        <v/>
      </c>
      <c r="BS192" s="50" t="str">
        <f>IF(Atletas!M183="","",IF(Atletas!X183&lt;&gt;"",10000,0)+(IF(Atletas!B183="Feminino",1000,IF(Atletas!B183="Masculino",2000,""))+(IF(Atletas!M183="Chaquan A",101,IF(Atletas!M183="Emeiquan A",102,IF(Atletas!M183="Fanziquan A",103,IF(Atletas!M183="Huaquan A",104,IF(Atletas!M183="Hongquan A",105,IF(Atletas!M183="Paoquan A",106,IF(Atletas!M183="Piguaquan A",107,IF(Atletas!M183="Shaolinquan A",108,IF(Atletas!M183="Tanglangquan A",109,IF(Atletas!M183="Yingzhaoquan A",110,IF(Atletas!M183="Tongbeiquan A",111,IF(Atletas!M183="Wudangquan A",112,IF(Atletas!M183="Outros Estilos A",113,IF(Atletas!M183="Chaquan B",114,IF(Atletas!M183="Emeiquan B",115,IF(Atletas!M183="Fanziquan B",116,IF(Atletas!M183="Huaquan B",117,IF(Atletas!M183="Hongquan B",118,IF(Atletas!M183="Paoquan B",119,IF(Atletas!M183="Piguaquan B",120,IF(Atletas!M183="Shaolinquan B",121,IF(Atletas!M183="Tanglangquan B",122,IF(Atletas!M183="Yingzhaoquan B",123,IF(Atletas!M183="Tongbeiquan B",124,IF(Atletas!M183="Wudangquan B",125,IF(Atletas!M183="Outros Estilos B",126,IF(Atletas!M183="Chaquan C",127,IF(Atletas!M183="Emeiquan C",128,IF(Atletas!M183="Fanziquan C",129,IF(Atletas!M183="Huaquan C",130,IF(Atletas!M183="Hongquan C",131,IF(Atletas!M183="Paoquan C",132,IF(Atletas!M183="Piguaquan C",133,IF(Atletas!M183="Shaolinquan C",134,IF(Atletas!M183="Tanglangquan C",135,IF(Atletas!M183="Yingzhaoquan C",136,IF(Atletas!M183="Tongbeiquan C",137,IF(Atletas!M183="Wudangquan C",138,IF(Atletas!M183="Outros Estilos C",139,0))))))))))))))))))))))))))))))))))))))))))</f>
        <v/>
      </c>
      <c r="BT192" s="50" t="str">
        <f>IF(Atletas!M183="","",IF(Atletas!X183&lt;&gt;"",10000,0)+(IF(Atletas!B183="Feminino",1000,IF(Atletas!B183="Masculino",2000,""))+(IF(Atletas!M183="Chaquan D",140,IF(Atletas!M183="Emeiquan D",141,IF(Atletas!M183="Fanziquan D",142,IF(Atletas!M183="Huaquan D",143,IF(Atletas!M183="Hongquan D",144,IF(Atletas!M183="Paoquan D",145,IF(Atletas!M183="Piguaquan D",146,IF(Atletas!M183="Shaolinquan D",147,IF(Atletas!M183="Tanglangquan D",148,IF(Atletas!M183="Yingzhaoquan D",149,IF(Atletas!M183="Tongbeiquan D",150,IF(Atletas!M183="Wudangquan D",151,IF(Atletas!M183="Outros Estilos D",152,IF(Atletas!M183="Chaquan E",153,IF(Atletas!M183="Emeiquan E",154,IF(Atletas!M183="Fanziquan E",155,IF(Atletas!M183="Huaquan E",156,IF(Atletas!M183="Hongquan E",157,IF(Atletas!M183="Paoquan E",158,IF(Atletas!M183="Piguaquan E",159,IF(Atletas!M183="Shaolinquan E",160,IF(Atletas!M183="Tanglangquan E",161,IF(Atletas!M183="Yingzhaoquan E",162,IF(Atletas!M183="Tongbeiquan E",163,IF(Atletas!M183="Wudangquan E",164,IF(Atletas!M183="Outros Estilos E",165,IF(Atletas!M183="Chaquan F",166,IF(Atletas!M183="Emeiquan F",167,IF(Atletas!M183="Fanziquan F",168,IF(Atletas!M183="Huaquan F",169,IF(Atletas!M183="Hongquan F",170,IF(Atletas!M183="Paoquan F",171,IF(Atletas!M183="Piguaquan F",172,IF(Atletas!M183="Shaolinquan F",173,IF(Atletas!M183="Tanglangquan F",174,IF(Atletas!M183="Yingzhaoquan F",175,IF(Atletas!M183="Tongbeiquan F",176,IF(Atletas!M183="Wudangquan F",177,IF(Atletas!M183="Outros Estilos F",178,0))))))))))))))))))))))))))))))))))))))))))</f>
        <v/>
      </c>
      <c r="BU192" s="50" t="str">
        <f>IF(Atletas!N183="","",IF(Atletas!X183&lt;&gt;"",10000,0)+(IF(Atletas!B183="Feminino",1000,IF(Atletas!B183="Masculino",2000,""))+(IF(Atletas!N183="Ditangquan A",201,IF(Atletas!N183="Houquan A",202,IF(Atletas!N183="Zuiquan A",203,IF(Atletas!N183="Ditangquan B",204,IF(Atletas!N183="Houquan B",205,IF(Atletas!N183="Zuiquan B",206,IF(Atletas!N183="Ditangquan C",207,IF(Atletas!N183="Houquan C",208,IF(Atletas!N183="Zuiquan C",209,IF(Atletas!N183="Ditangquan D",210,IF(Atletas!N183="Houquan D",211,IF(Atletas!N183="Zuiquan D",212,IF(Atletas!N183="Ditangquan E",213,IF(Atletas!N183="Houquan E",214,IF(Atletas!N183="Zuiquan E",215,IF(Atletas!N183="Ditangquan F",216,IF(Atletas!N183="Houquan F",217,IF(Atletas!N183="Zuiquan F",218,"")))))))))))))))))))))</f>
        <v/>
      </c>
      <c r="BV192" s="50" t="str">
        <f>IF(Atletas!O183="","",IF(Atletas!X183&lt;&gt;"",10000,0)+IF(Atletas!B183="Feminino",1000,IF(Atletas!B183="Masculino",2000,""))+IF(Atletas!O183="Yang A",301,IF(Atletas!O183="Chen A",302,IF(Atletas!O183="Sun A",303,IF(Atletas!O183="Wu A",304,IF(Atletas!O183="Wu-Hao A",305,IF(Atletas!O183="Outro Taijiquan A",306,IF(Atletas!O183="Yang B",307,IF(Atletas!O183="Chen B",308,IF(Atletas!O183="Sun B",309,IF(Atletas!O183="Wu B",310,IF(Atletas!O183="Wu-Hao B",311,IF(Atletas!O183="Outro Taijiquan B",312,IF(Atletas!O183="Yang C",313,IF(Atletas!O183="Chen C",314,IF(Atletas!O183="Sun C",315,IF(Atletas!O183="Wu C",316,IF(Atletas!O183="Wu-Hao C",317,IF(Atletas!O183="Outro Taijiquan C",318,IF(Atletas!O183="Yang D",319,IF(Atletas!O183="Chen D",320,IF(Atletas!O183="Sun D",321,IF(Atletas!O183="Wu D",322,IF(Atletas!O183="Wu-Hao D",323,IF(Atletas!O183="Outro Taijiquan D",324,IF(Atletas!O183="Yang E",325,IF(Atletas!O183="Chen E",326,IF(Atletas!O183="Sun E",327,IF(Atletas!O183="Wu E",328,IF(Atletas!O183="Wu-Hao E",329,IF(Atletas!O183="Outro Taijiquan E",330,IF(Atletas!O183="Yang F",331,IF(Atletas!O183="Chen F",332,IF(Atletas!O183="Sun F",333,IF(Atletas!O183="Wu F",334,IF(Atletas!O183="Wu-Hao F",335,IF(Atletas!O183="Outro Taijiquan F",336,"")))))))))))))))))))))))))))))))))))))</f>
        <v/>
      </c>
      <c r="BW192" s="50" t="str">
        <f>IF(Atletas!P183="","",IF(Atletas!X183&lt;&gt;"",10000,0)+IF(Atletas!B183="Feminino",1000,IF(Atletas!B183="Masculino",2000,""))+IF(OR(Atletas!P183="Yang 26 A",Atletas!P183="Yang 40 A"),401,IF(OR(Atletas!P183="Chen 25 A",Atletas!P183="Chen 36 A",Atletas!P183="Chen 56 A"),402,IF(Atletas!P183="Sun 73 A",403,IF(Atletas!P183="Wu 45 A",404,IF(Atletas!P183="Wu-Hao 46 A",405,IF(OR(Atletas!P183="Taijiquan 16 A",Atletas!P183="Taijiquan 24 A",Atletas!P183="Taijiquan 32 A",Atletas!P183="Taijiquan 42 A"),406,IF(OR(Atletas!P183="Yang 26 B",Atletas!P183="Yang 40 B"),407,IF(OR(Atletas!P183="Chen 25 B",Atletas!P183="Chen 36 B",Atletas!P183="Chen 56 B"),408,IF(Atletas!P183="Sun 73 B",409,IF(Atletas!P183="Wu 45 B",410,IF(Atletas!P183="Wu-Hao 46 B",411,IF(OR(Atletas!P183="Taijiquan 16 B",Atletas!P183="Taijiquan 24 B",Atletas!P183="Taijiquan 32 B",Atletas!P183="Taijiquan 42 B"),412,IF(OR(Atletas!P183="Yang 26 C",Atletas!P183="Yang 40 C"),413,IF(OR(Atletas!P183="Chen 25 C",Atletas!P183="Chen 36 C",Atletas!P183="Chen 56 C"),414,IF(Atletas!P183="Sun 73 C",415,IF(Atletas!P183="Wu 45 C",416,IF(Atletas!P183="Wu-Hao 46 C",417,IF(OR(Atletas!P183="Taijiquan 16 C",Atletas!P183="Taijiquan 24 C",Atletas!P183="Taijiquan 32 C",Atletas!P183="Taijiquan 42 C"),418,0)))))))))))))))))))</f>
        <v/>
      </c>
      <c r="BX192" s="50" t="str">
        <f>IF(Atletas!P183="","",IF(Atletas!X183&lt;&gt;"",10000,0)+IF(Atletas!B183="Feminino",1000,IF(Atletas!B183="Masculino",2000,""))+IF(OR(Atletas!P183="Yang 26 D",Atletas!P183="Yang 40 D"),419,IF(OR(Atletas!P183="Chen 25 D",Atletas!P183="Chen 36 D",Atletas!P183="Chen 56 D"),420,IF(Atletas!P183="Sun 73 D",421,IF(Atletas!P183="Wu 45 D",422,IF(Atletas!P183="Wu-Hao 46 D",423,IF(OR(Atletas!P183="Taijiquan 16 D",Atletas!P183="Taijiquan 24 D",Atletas!P183="Taijiquan 32 D",Atletas!P183="Taijiquan 42 D"),424,IF(OR(Atletas!P183="Yang 26 E",Atletas!P183="Yang 40 E"),425,IF(OR(Atletas!P183="Chen 25 E",Atletas!P183="Chen 36 E",Atletas!P183="Chen 56 E"),426,IF(Atletas!P183="Sun 73 E",427,IF(Atletas!P183="Wu 45 E",428,IF(Atletas!P183="Wu-Hao 46 E",429,IF(OR(Atletas!P183="Taijiquan 16 E",Atletas!P183="Taijiquan 24 E",Atletas!P183="Taijiquan 32 E",Atletas!P183="Taijiquan 42 E"),430,IF(OR(Atletas!P183="Yang 26 F",Atletas!P183="Yang 40 F"),431,IF(OR(Atletas!P183="Chen 25 F",Atletas!P183="Chen 36 F",Atletas!P183="Chen 56 F"),432,IF(Atletas!P183="Sun 73 F",433,IF(Atletas!P183="Wu 45 F",434,IF(Atletas!P183="Wu-Hao 46 F",435,IF(OR(Atletas!P183="Taijiquan 16 F",Atletas!P183="Taijiquan 24 F",Atletas!P183="Taijiquan 32 F",Atletas!P183="Taijiquan 42 F"),436,0)))))))))))))))))))</f>
        <v/>
      </c>
      <c r="BY192" s="50" t="str">
        <f>IF(Atletas!Q183="","",IF(Atletas!X183&lt;&gt;"",10000,0)+IF(Atletas!B183="Feminino",1000,IF(Atletas!B183="Masculino",2000,""))+IF(Atletas!Q183="Xingyiquan A",501,IF(Atletas!Q183="Baguazhang A",502,IF(Atletas!Q183="Outro Estilo Interno A",503,IF(Atletas!Q183="Xingyiquan B",504,IF(Atletas!Q183="Baguazhang B",505,IF(Atletas!Q183="Outro Estilo Interno B",506,IF(Atletas!Q183="Xingyiquan C",507,IF(Atletas!Q183="Baguazhang C",508,IF(Atletas!Q183="Outro Estilo Interno C",509,IF(Atletas!Q183="Xingyiquan D",510,IF(Atletas!Q183="Baguazhang D",511,IF(Atletas!Q183="Outro Estilo Interno D",512,IF(Atletas!Q183="Xingyiquan E",513,IF(Atletas!Q183="Baguazhang E",514,IF(Atletas!Q183="Outro Estilo Interno E",515,IF(Atletas!Q183="Xingyiquan F",516,IF(Atletas!Q183="Baguazhang F",517,IF(Atletas!Q183="Outro Estilo Interno F",518, "")))))))))))))))))))</f>
        <v/>
      </c>
      <c r="BZ192" s="50" t="str">
        <f>IF(Atletas!R183="","",IF(Atletas!X183&lt;&gt;"",10000,0)+IF(Atletas!B183="Feminino",1000,IF(Atletas!B183="Masculino",2000,""))+IF(Atletas!R183="Dao A",601,IF(Atletas!R183="Jian A",602,IF(Atletas!R183="Bishou A",603,IF(Atletas!R183="Shanzi A",604,IF(Atletas!R183="Outra Arma Curta A",605,IF(Atletas!R183="Dao B",606,IF(Atletas!R183="Jian B",607,IF(Atletas!R183="Bishou B",608,IF(Atletas!R183="Shanzi B",609,IF(Atletas!R183="Outra Arma Curta B",610,IF(Atletas!R183="Dao C",611,IF(Atletas!R183="Jian C",612,IF(Atletas!R183="Bishou C",613,IF(Atletas!R183="Shanzi C",614,IF(Atletas!R183="Outra Arma Curta C",615,IF(Atletas!R183="Dao D",616,IF(Atletas!R183="Jian D",617,IF(Atletas!R183="Bishou D",618,IF(Atletas!R183="Shanzi D",619,IF(Atletas!R183="Outra Arma Curta D",620,IF(Atletas!R183="Dao E",621,IF(Atletas!R183="Jian E",622,IF(Atletas!R183="Bishou E",623,IF(Atletas!R183="Shanzi E",624,IF(Atletas!R183="Outra Arma Curta E",625,IF(Atletas!R183="Dao F",626,IF(Atletas!R183="Jian F",627,IF(Atletas!R183="Bishou F",628,IF(Atletas!R183="Shanzi F",629,IF(Atletas!R183="Outra Arma Curta F",630, "")))))))))))))))))))))))))))))))</f>
        <v/>
      </c>
      <c r="CA192" s="50" t="str">
        <f>IF(Atletas!S183="","",IF(Atletas!X183&lt;&gt;"",10000,0)+IF(Atletas!B183="Feminino",1000,IF(Atletas!B183="Masculino",2000,""))+IF(Atletas!S183="Gun A",701,IF(Atletas!S183="Qiang A",702,IF(Atletas!S183="Pudao / Guandao A",703,IF(Atletas!S183="Outra Arma Longa A",704,IF(Atletas!S183="Gun B",705,IF(Atletas!S183="Qiang B",706,IF(Atletas!S183="Pudao / Guandao B",707,IF(Atletas!S183="Outra Arma Longa B",708,IF(Atletas!S183="Gun C",709,IF(Atletas!S183="Qiang C",710,IF(Atletas!S183="Pudao / Guandao C",711,IF(Atletas!S183="Outra Arma Longa C",712,IF(Atletas!S183="Gun D",713,IF(Atletas!S183="Qiang D",714,IF(Atletas!S183="Pudao / Guandao D",715,IF(Atletas!S183="Outra Arma Longa D",716,IF(Atletas!S183="Gun E",717,IF(Atletas!S183="Qiang E",718,IF(Atletas!S183="Pudao / Guandao E",719,IF(Atletas!S183="Outra Arma Longa E",720,IF(Atletas!S183="Gun F",721,IF(Atletas!S183="Qiang F",722,IF(Atletas!S183="Pudao / Guandao F",723,IF(Atletas!S183="Outra Arma Longa F",724,"")))))))))))))))))))))))))</f>
        <v/>
      </c>
      <c r="CB192" s="50" t="str">
        <f>IF(Atletas!T183="","",IF(Atletas!X183&lt;&gt;"",10000,0)+IF(Atletas!B183="Feminino",1000,IF(Atletas!B183="Masculino",2000,""))+IF(Atletas!T183="Outra Arma Dupla A",801,IF(Atletas!T183="Arma Maleável A",802,IF(Atletas!T183="Outra Arma Dupla B",803,IF(Atletas!T183="Arma Maleável B",804,IF(Atletas!T183="Outra Arma Dupla C",805,IF(Atletas!T183="Arma Maleável C",806,IF(Atletas!T183="Outra Arma Dupla D",807,IF(Atletas!T183="Arma Maleável D",808,IF(Atletas!T183="Outra Arma Dupla E",809,IF(Atletas!T183="Arma Maleável E",810,IF(Atletas!T183="Outra Arma Dupla F",811,IF(Atletas!T183="Arma Maleável F",812,IF(Atletas!T183="Shuangdao A",813,IF(Atletas!T183="Shuangdao B",814,IF(Atletas!T183="Shuangdao C",815,IF(Atletas!T183="Shuangdao D",816,IF(Atletas!T183="Shuangdao E",817,IF(Atletas!T183="Shuangdao F",818,"")))))))))))))))))))</f>
        <v/>
      </c>
      <c r="CC192" s="50" t="str">
        <f>IF(Atletas!U183="","",IF(Atletas!X183&lt;&gt;"",10000,0)+IF(Atletas!B183="Feminino",1000,IF(Atletas!B183="Masculino",2000,""))+IF(OR(Atletas!U183="Taijijian Yang A",Atletas!U183="Taijijian Yang Standard A"),901,IF(OR(Atletas!U183="Taijijian Chen A", Atletas!U183="Taijijian Chen Standard A"),902,IF(Atletas!U183="Taijijian Sun A",903,IF(Atletas!U183="Taijijian Wu A",904,IF(Atletas!U183="Taijijian Wu-Hao A",905,IF(OR(Atletas!U183="Taijijian 32 A",Atletas!U183="Taijijian 42 A"),906,IF(OR(Atletas!U183="Taijijian Yang B",Atletas!U183="Taijijian Yang Standard B"),907,IF(OR(Atletas!U183="Taijijian Chen B", Atletas!U183="Taijijian Chen Standard B"),908,IF(Atletas!U183="Taijijian Sun B",909,IF(Atletas!U183="Taijijian Wu B",910,IF(Atletas!U183="Taijijian Wu-Hao B",911,IF(OR(Atletas!U183="Taijijian 32 B",Atletas!U183="Taijijian 42 B"),912,IF(OR(Atletas!U183="Taijijian Yang C",Atletas!U183="Taijijian Yang Standard C"),913,IF(OR(Atletas!U183="Taijijian Chen C", Atletas!U183="Taijijian Chen Standard C"),914,IF(Atletas!U183="Taijijian Sun C",915,IF(Atletas!U183="Taijijian Wu C",916,IF(Atletas!U183="Taijijian Wu-Hao C",917,IF(OR(Atletas!U183="Taijijian 32 C",Atletas!U183="Taijijian 42 C"),918,IF(OR(Atletas!U183="Taijijian Yang D",Atletas!U183="Taijijian Yang Standard D"),919,IF(OR(Atletas!U183="Taijijian Chen D", Atletas!U183="Taijijian Chen Standard D"),920,IF(Atletas!U183="Taijijian Sun D",921,IF(Atletas!U183="Taijijian Wu D",922,IF(Atletas!U183="Taijijian Wu-Hao D",923,IF(OR(Atletas!U183="Taijijian 32 D",Atletas!U183="Taijijian 42 D"),924,IF(OR(Atletas!U183="Taijijian Yang E",Atletas!U183="Taijijian Yang Standard E"),925,IF(OR(Atletas!U183="Taijijian Chen E", Atletas!U183="Taijijian Chen Standard E"),926,IF(Atletas!U183="Taijijian Sun E",927,IF(Atletas!U183="Taijijian Wu E",928,IF(Atletas!U183="Taijijian Wu-Hao E",929,IF(OR(Atletas!U183="Taijijian 32 E",Atletas!U183="Taijijian 42 E"),930,IF(OR(Atletas!U183="Taijijian Yang F",Atletas!U183="Taijijian Yang Standard F"),931,IF(OR(Atletas!U183="Taijijian Chen F", Atletas!U183="Taijijian Chen Standard F"),932,IF(Atletas!U183="Taijijian Sun F",933,IF(Atletas!U183="Taijijian Wu F",934,IF(Atletas!U183="Taijijian Wu-Hao F",935,IF(OR(Atletas!U183="Taijijian 32 F",Atletas!U183="Taijijian 42 F"),936,"")))))))))))))))))))))))))))))))))))))</f>
        <v/>
      </c>
      <c r="CD192" s="50" t="str">
        <f>IF(Atletas!V183="","",IF(Atletas!X183&lt;&gt;"",10000,0)+IF(Atletas!B183="Feminino",1000,IF(Atletas!B183="Masculino",2000,""))+IF(Atletas!V183="Taijidao A",937,IF(Atletas!V183="TaijiShanzi A",938,IF(Atletas!V183="Taijiqiang A",939,IF(Atletas!V183="Bagua de Arma A",940,IF(Atletas!V183="Xingyi de Arma A",941,IF(Atletas!V183="Taijidao B",942,IF(Atletas!V183="TaijiShanzi B",943,IF(Atletas!V183="Taijiqiang B",944,IF(Atletas!V183="Bagua de Arma B",945,IF(Atletas!V183="Xingyi de Arma B",946,IF(Atletas!V183="Taijidao C",947,IF(Atletas!V183="TaijiShanzi C",948,IF(Atletas!V183="Taijiqiang C",949,IF(Atletas!V183="Bagua de Arma C",950,IF(Atletas!V183="Xingyi de Arma C",951,IF(Atletas!V183="Taijidao D",952,IF(Atletas!V183="TaijiShanzi D",953,IF(Atletas!V183="Taijiqiang D",954,IF(Atletas!V183="Bagua de Arma D",955,IF(Atletas!V183="Xingyi de Arma D",956,IF(Atletas!V183="Taijidao E",957,IF(Atletas!V183="TaijiShanzi E",958,IF(Atletas!V183="Taijiqiang E",959,IF(Atletas!V183="Bagua de Arma E",960,IF(Atletas!V183="Xingyi de Arma E",961,IF(Atletas!V183="Taijidao F",962,IF(Atletas!V183="TaijiShanzi F",963,IF(Atletas!V183="Taijiqiang F",964,IF(Atletas!V183="Bagua de Arma F",965,IF(Atletas!V183="Xingyi de Arma F",966,"")))))))))))))))))))))))))))))))</f>
        <v/>
      </c>
      <c r="CE192" s="66" t="str">
        <f>IF(CF192&lt;&gt;"","TJQ Padr. Combinado C","")</f>
        <v/>
      </c>
      <c r="CF192" s="66" t="str">
        <f>IF(COUNTIF(BR:CD,1418)&gt;0,COUNTIF(BR:CD,1418),"")</f>
        <v/>
      </c>
      <c r="CG192" s="66" t="str">
        <f>IF(CH192&lt;&gt;"","TJQ Padr. Combinado C","")</f>
        <v/>
      </c>
      <c r="CH192" s="66" t="str">
        <f>IF(COUNTIF(BR:CD,2418)&gt;0,COUNTIF(BR:CD,2418),"")</f>
        <v/>
      </c>
      <c r="CI192" s="66" t="str">
        <f>IF(CJ192&lt;&gt;"","TJQ Padr. Combinado D","")</f>
        <v/>
      </c>
      <c r="CJ192" s="66" t="str">
        <f>IF(COUNTIF(BR:CD,11424)&gt;0,COUNTIF(BR:CD,11424),"")</f>
        <v/>
      </c>
      <c r="CK192" s="66" t="str">
        <f>IF(CL192&lt;&gt;"","TJQ Padr. Combinado D","")</f>
        <v/>
      </c>
      <c r="CL192" s="66" t="str">
        <f>IF(COUNTIF(BR:CD,12424)&gt;0,COUNTIF(BR:CD,12424),"")</f>
        <v/>
      </c>
      <c r="CM192" s="50" t="str">
        <f xml:space="preserve"> IF(Atletas!W183="","",IF(Atletas!W183="Duilian de Mãos BC - Equipe 1",1,IF(Atletas!W183="Duilian de Mãos BC - Equipe 2",2,IF(Atletas!W183="Duilian de Armas BC - Equipe 1",3,IF(Atletas!W183="Duilian de Armas BC - Equipe 2",4,IF(Atletas!W183="Duilian de Mãos DE - Equipe 1",5,IF(Atletas!W183="Duilian de Mãos DE - Equipe 2",6,IF(Atletas!W183="Duilian de Armas DE - Equipe 1",7,IF(Atletas!W183="Duilian de Armas DE - Equipe 2",8,IF(Atletas!W183="Duilian de Tuishou - Equipe 1",9,IF(Atletas!W183="Duilian de Tuishou - Equipe 2",10,IF(Atletas!W183="Grupo Externo ABC - Equipe 1",11,IF(Atletas!W183="Grupo Externo ABC - Equipe 2",12,IF(Atletas!W183="Grupo Interno ABC - Equipe 1",13,IF(Atletas!W183="Grupo Interno ABC - Equipe 2",14,IF(Atletas!W183="Grupo Externo DEF - Equipe 1",15,IF(Atletas!W183="Grupo Externo DEF - Equipe 2",16,IF(Atletas!W183="Grupo Interno DEF - Equipe 1",17,IF(Atletas!W183="Grupo Interno DEF - Equipe 2",18,"")))))))))))))))))))</f>
        <v/>
      </c>
    </row>
    <row r="193" spans="2:91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 t="str">
        <f t="array" ref="Z193">IFERROR(INDEX(CE$7:CE$348,SMALL(IF(CE$7:CE$348&lt;&gt;"",ROW(CE$7:CE$348)-ROW(CE$7)+1),ROWS(CE$7:CE192))),"")</f>
        <v/>
      </c>
      <c r="AA193" s="3" t="str">
        <f t="array" ref="AA193">IFERROR(INDEX(CF$7:CF$348,SMALL(IF(CF$7:CF$348&lt;&gt;"",ROW(CF$7:CF$348)-ROW(CF$7)+1),ROWS(CF$7:CF192))),"")</f>
        <v/>
      </c>
      <c r="AB193" s="3" t="str">
        <f t="array" ref="AB193">IFERROR(INDEX(CG$7:CG$348,SMALL(IF(CG$7:CG$348&lt;&gt;"",ROW(CG$7:CG$348)-ROW(CG$7)+1),ROWS(CG$7:CG192))),"")</f>
        <v/>
      </c>
      <c r="AC193" s="3" t="str">
        <f t="array" ref="AC193">IFERROR(INDEX(CH$7:CH$348,SMALL(IF(CH$7:CH$348&lt;&gt;"",ROW(CH$7:CH$348)-ROW(CH$7)+1),ROWS(CH$7:CH192))),"")</f>
        <v/>
      </c>
      <c r="AD193" s="3" t="str">
        <f t="array" ref="AD193">IFERROR(INDEX(CI$7:CI$377,SMALL(IF(CI$7:CI$377&lt;&gt;"",ROW(CI$7:CI$377)-ROW(CI$7)+1),ROWS(CI$7:CI192))),"")</f>
        <v/>
      </c>
      <c r="AE193" s="3" t="str">
        <f t="array" ref="AE193">IFERROR(INDEX(CJ$7:CJ$378,SMALL(IF(CJ$7:CJ$378&lt;&gt;"",ROW(CJ$7:CJ$378)-ROW(CJ$7)+1),ROWS(CJ$7:CJ192))),"")</f>
        <v/>
      </c>
      <c r="AF193" s="3" t="str">
        <f t="array" ref="AF193">IFERROR(INDEX(CK$7:CK$378,SMALL(IF(CK$7:CK$378&lt;&gt;"",ROW(CK$7:CK$378)-ROW(CK$7)+1),ROWS(CK$7:CK192))),"")</f>
        <v/>
      </c>
      <c r="AG193" s="3" t="str">
        <f t="array" ref="AG193">IFERROR(INDEX(CL$7:CL$378,SMALL(IF(CL$7:CL$378&lt;&gt;"",ROW(CL$7:CL$378)-ROW(CL$7)+1),ROWS(CL$7:CL192))),"")</f>
        <v/>
      </c>
      <c r="AH193" s="3"/>
      <c r="AI193" s="3"/>
      <c r="AJ193" s="3"/>
      <c r="AK193" s="3"/>
      <c r="AL193" s="3"/>
      <c r="AM193" s="3"/>
      <c r="AN193" s="52" t="str">
        <f>IF(Atletas!D184="","",IF(Atletas!B184="Feminino",100,IF(Atletas!B184="Masculino",200,""))+(IF(Atletas!D184="Kids 30kg",1,IF(Atletas!D184="Kids 32kg",2, IF(Atletas!D184="Kids 34kg",3,IF(Atletas!D184="Kids 36kg",4,IF(Atletas!D184="Kids 39kg",5,IF(Atletas!D184="Kids 42kg",6,IF(Atletas!D184="Kids 45kg",7, IF(Atletas!D184="Infantil 39kg",8,IF(Atletas!D184="Infantil 42kg",9,IF(Atletas!D184="Infantil 45kg",10,IF(Atletas!D184="Infantil 48kg",11,IF(Atletas!D184="Infantil 52kg",12,IF(Atletas!D184="Infantil 56kg",13,IF(Atletas!D184="Infantil 60kg",14,IF(Atletas!D184="Juvenil 48kg",15,IF(Atletas!D184="Juvenil 52kg",16,IF(Atletas!D184="Juvenil 56kg",17,IF(Atletas!D184="Juvenil 60kg",18,IF(Atletas!D184="Juvenil 65kg",19,IF(Atletas!D184="Juvenil 70kg",20,IF(Atletas!D184="Juvenil 75kg",21,IF(Atletas!D184="Juvenil 80kg",22, IF(Atletas!D184="Juvenil 85kg",23,IF(Atletas!D184="Adulto 48kg",24,IF(Atletas!D184="Adulto 52kg",25,IF(Atletas!D184="Adulto 56kg",26,IF(Atletas!D184="Adulto 60kg",27,IF(Atletas!D184="Adulto 65kg",28,IF(Atletas!D184="Adulto 70kg",29,IF(Atletas!D184="Adulto 75kg",30,IF(Atletas!D184="Adulto 80kg",31,IF(Atletas!D184="Adulto 85kg",32,IF(Atletas!D184="Adulto 90kg",33,IF(Atletas!D184="Adulto 100kg",34, IF(Atletas!D184="Adulto +100kg",35,"")))))))))))))))))))))))))))))))))))))</f>
        <v/>
      </c>
      <c r="AS193" s="6" t="str">
        <f>IF(Atletas!E184="","",IF(Atletas!B184="Feminino",100,IF(Atletas!B184="Masculino",200,""))+(IF(Atletas!E184="Juvenil 44kg",1,IF(Atletas!E184="Juvenil 48kg",2,IF(Atletas!E184="Juvenil 52kg",3,IF(Atletas!E184="Juvenil 56kg",4,IF(Atletas!E184="Juvenil 60kg",5,IF(Atletas!E184="Juvenil 65kg",6,IF(Atletas!E184="Juvenil 70kg",7,IF(Atletas!E184="Juvenil 75kg",8,IF(Atletas!E184="Juvenil 82kg",9,IF(Atletas!E184="Juvenil 90kg",10,IF(Atletas!E184="Juvenil 100kg",11,IF(Atletas!E184="Adulto 48kg",12,IF(Atletas!E184="Adulto 52kg",13,IF(Atletas!E184="Adulto 56kg",14,IF(Atletas!E184="Adulto 60kg",15,IF(Atletas!E184="Adulto 65kg",16,IF(Atletas!E184="Adulto 70kg",17,IF(Atletas!E184="Adulto 75kg",18,IF(Atletas!E184="Adulto 82kg",19,IF(Atletas!E184="Adulto 90kg",20,IF(Atletas!E184="Adulto 100kg",21,IF(Atletas!E184="Adulto +100kg",22,""))))))))))))))))))))))))</f>
        <v/>
      </c>
      <c r="AX193" s="6" t="str">
        <f>IF(Atletas!F184="","",IF(Atletas!B184="Feminino",100,IF(Atletas!B184="Masculino",200,""))+(IF(Atletas!F184="Adulto 48kg",1,IF(Atletas!F184="Adulto 56kg",2,IF(Atletas!F184="Adulto 65kg",3,IF(Atletas!F184="Adulto 75kg",4,IF(Atletas!F184="Adulto +75kg",5,IF(Atletas!F184="Adulto 52kg",6,IF(Atletas!F184="Adulto 60kg",7,IF(Atletas!F184="Adulto 70kg",8,IF(Atletas!F184="Adulto 80kg",9,IF(Atletas!F184="Adulto 90kg",10,IF(Atletas!F184="Adulto +90kg",11,"")))))))))))))</f>
        <v/>
      </c>
      <c r="BC193" s="6" t="str">
        <f>IF(Atletas!G184="","",IF(Atletas!B184="Feminino",10,IF(Atletas!B184="Masculino",20,""))+(IF(Atletas!G184="Baduanjin A",1,IF(Atletas!G184="Baduanjin B",2))))</f>
        <v/>
      </c>
      <c r="BF193" s="52" t="str">
        <f>IF(Atletas!H184="","",IF(Atletas!B184="Feminino",100,IF(Atletas!B184="Masculino",200,""))+(IF(Atletas!H184="Changquan Mirim",1,IF(Atletas!H184="Nanquan Mirim",2,IF(Atletas!H184="Taijiquan Mirim",3,IF(Atletas!H184="Changquan Grupo C",4,IF(Atletas!H184="Nanquan Grupo C",5,IF(Atletas!H184="Taijiquan Grupo C",6,IF(Atletas!H184="Changquan Grupo B",7,IF(Atletas!H184="Nanquan Grupo B",8,IF(Atletas!H184="Taijiquan Grupo B",9,IF(Atletas!H184="Changquan Grupo A",10,IF(Atletas!H184="Nanquan Grupo A",11,IF(Atletas!H184="Taijiquan Grupo A",12,IF(Atletas!H184="Changquan Opcional",13,IF(Atletas!H184="Nanquan Opcional",14,IF(Atletas!H184="Taijiquan Opcional",15,IF(Atletas!H184="Changquan Adulto",16,IF(Atletas!H184="Nanquan Adulto",17,IF(Atletas!H184="Taijiquan Adulto",18,""))))))))))))))))))))</f>
        <v/>
      </c>
      <c r="BG193" s="52" t="str">
        <f>IF(Atletas!I184="","",IF(Atletas!B184="Feminino",100,IF(Atletas!B184="Masculino",200,""))+(IF(Atletas!I184="Daoshu Mirim",19,IF(Atletas!I184="Jianshu Mirim",20,IF(Atletas!I184="Nandao Mirim",21,IF(Atletas!I184="Taijijian Mirim",22,IF(Atletas!I184="Daoshu Grupo C",23,IF(Atletas!I184="Jianshu Grupo C",24,IF(Atletas!I184="Nandao Grupo C",25,IF(Atletas!I184="Taijijian Grupo C",26,IF(Atletas!I184="Daoshu Grupo B",27,IF(Atletas!I184="Jianshu Grupo B",28,IF(Atletas!I184="Nandao Grupo B",29,IF(Atletas!I184="Taijijian Grupo B",30,IF(Atletas!I184="Daoshu Grupo A",31,IF(Atletas!I184="Jianshu Grupo A",32,IF(Atletas!I184="Nandao Grupo A",33,IF(Atletas!I184="Taijijian Grupo A",34,IF(Atletas!I184="Daoshu Opcional",35,IF(Atletas!I184="Jianshu Opcional",36,IF(Atletas!I184="Nandao Opcional",37,IF(Atletas!I184="Taijijian Opcional",38,IF(Atletas!I184="Daoshu Adulto",39,IF(Atletas!I184="Jianshu Adulto",40,IF(Atletas!I184="Nandao Adulto",41,IF(Atletas!I184="Taijijian Adulto",42,""))))))))))))))))))))))))))</f>
        <v/>
      </c>
      <c r="BH193" s="52" t="str">
        <f>IF(Atletas!J184="","",IF(Atletas!B184="Feminino",100,IF(Atletas!B184="Masculino",200,""))+(IF(Atletas!J184="Gunshu Mirim",43,IF(Atletas!J184="Qiangshu Mirim",44,IF(Atletas!J184="Nangun Mirim",45,IF(Atletas!J184="Gunshu Grupo C",46,IF(Atletas!J184="Qiangshu Grupo C",47,IF(Atletas!J184="Nangun Grupo C",48,IF(Atletas!J184="Gunshu Grupo B",49,IF(Atletas!J184="Qiangshu Grupo B",50,IF(Atletas!J184="Nangun Grupo B",51,IF(Atletas!J184="Gunshu Grupo A",52,IF(Atletas!J184="Qiangshu Grupo A",53,IF(Atletas!J184="Nangun Grupo A",54,IF(Atletas!J184="Gunshu Opcional",55,IF(Atletas!J184="Qiangshu Opcional",56,IF(Atletas!J184="Nangun Opcional",57,IF(Atletas!J184="Gunshu Adulto",58,IF(Atletas!J184="Qiangshu Adulto",59,IF(Atletas!J184="Nangun Adulto",60,IF(Atletas!J184="Taijishan Grupo B",61,IF(Atletas!J184="Taijishan Grupo A",62,""))))))))))))))))))))))</f>
        <v/>
      </c>
      <c r="BM193" s="50" t="str">
        <f>IF(Atletas!K184="","",IF(Atletas!B184="Feminino",100,IF(Atletas!B184="Masculino",200,""))+(IF(Atletas!K184="Equipe 1 Grupo B",1,IF(Atletas!K184="Equipe 2 Grupo B",2,IF(Atletas!K184="Equipe 1 Grupo A",3,IF(Atletas!K184="Equipe 2 Grupo A",4,IF(Atletas!K184="Equipe 1 Adulto",5,IF(Atletas!K184="Equipe 2 Adulto",6,""))))))))</f>
        <v/>
      </c>
      <c r="BR193" s="50" t="str">
        <f>IF(Atletas!L184="","",IF(Atletas!X184&lt;&gt;"",10000,0)+(IF(Atletas!B184="Feminino",1000,IF(Atletas!B184="Masculino",2000,""))+IF(Atletas!L184="Choylayfut A",1,IF(Atletas!L184="Hunggar A",2,IF(Atletas!L184="Wuzuquan A",3,IF(Atletas!L184="Wingchun A",4,IF(Atletas!L184="Outra Mão de Sul A",5,IF(Atletas!L184="Choylayfut B",6,IF(Atletas!L184="Hunggar B",7,IF(Atletas!L184="Wuzuquan B",8,IF(Atletas!L184="Wingchun B",9,IF(Atletas!L184="Outra Mão de Sul B",10,IF(Atletas!L184="Choylayfut C",11,IF(Atletas!L184="Hunggar C",12,IF(Atletas!L184="Wuzuquan C",13,IF(Atletas!L184="Wingchun C",14,IF(Atletas!L184="Outra Mão de Sul C",15,IF(Atletas!L184="Choylayfut D",16,IF(Atletas!L184="Hunggar D",17,IF(Atletas!L184="Wuzuquan D",18,IF(Atletas!L184="Wingchun D",19,IF(Atletas!L184="Outra Mão de Sul D",20,IF(Atletas!L184="Choylayfut E",21,IF(Atletas!L184="Hunggar E",22,IF(Atletas!L184="Wuzuquan E",23,IF(Atletas!L184="Wingchun E",24,IF(Atletas!L184="Outra Mão de Sul E",25,IF(Atletas!L184="Choylayfut F",26,IF(Atletas!L184="Hunggar F",27,IF(Atletas!L184="Wuzuquan F",28,IF(Atletas!L184="Wingchun F",29,IF(Atletas!L184="Outra Mão de Sul F",30,IF(Atletas!L184="Dishuquan A",31,IF(Atletas!L184="Dishuquan B",32,IF(Atletas!L184="Dishuquan C",33,IF(Atletas!L184="Dishuquan D",34,IF(Atletas!L184="Dishuquan E",35,IF(Atletas!L184="Dishuquan F",36,""))))))))))))))))))))))))))))))))))))))</f>
        <v/>
      </c>
      <c r="BS193" s="50" t="str">
        <f>IF(Atletas!M184="","",IF(Atletas!X184&lt;&gt;"",10000,0)+(IF(Atletas!B184="Feminino",1000,IF(Atletas!B184="Masculino",2000,""))+(IF(Atletas!M184="Chaquan A",101,IF(Atletas!M184="Emeiquan A",102,IF(Atletas!M184="Fanziquan A",103,IF(Atletas!M184="Huaquan A",104,IF(Atletas!M184="Hongquan A",105,IF(Atletas!M184="Paoquan A",106,IF(Atletas!M184="Piguaquan A",107,IF(Atletas!M184="Shaolinquan A",108,IF(Atletas!M184="Tanglangquan A",109,IF(Atletas!M184="Yingzhaoquan A",110,IF(Atletas!M184="Tongbeiquan A",111,IF(Atletas!M184="Wudangquan A",112,IF(Atletas!M184="Outros Estilos A",113,IF(Atletas!M184="Chaquan B",114,IF(Atletas!M184="Emeiquan B",115,IF(Atletas!M184="Fanziquan B",116,IF(Atletas!M184="Huaquan B",117,IF(Atletas!M184="Hongquan B",118,IF(Atletas!M184="Paoquan B",119,IF(Atletas!M184="Piguaquan B",120,IF(Atletas!M184="Shaolinquan B",121,IF(Atletas!M184="Tanglangquan B",122,IF(Atletas!M184="Yingzhaoquan B",123,IF(Atletas!M184="Tongbeiquan B",124,IF(Atletas!M184="Wudangquan B",125,IF(Atletas!M184="Outros Estilos B",126,IF(Atletas!M184="Chaquan C",127,IF(Atletas!M184="Emeiquan C",128,IF(Atletas!M184="Fanziquan C",129,IF(Atletas!M184="Huaquan C",130,IF(Atletas!M184="Hongquan C",131,IF(Atletas!M184="Paoquan C",132,IF(Atletas!M184="Piguaquan C",133,IF(Atletas!M184="Shaolinquan C",134,IF(Atletas!M184="Tanglangquan C",135,IF(Atletas!M184="Yingzhaoquan C",136,IF(Atletas!M184="Tongbeiquan C",137,IF(Atletas!M184="Wudangquan C",138,IF(Atletas!M184="Outros Estilos C",139,0))))))))))))))))))))))))))))))))))))))))))</f>
        <v/>
      </c>
      <c r="BT193" s="50" t="str">
        <f>IF(Atletas!M184="","",IF(Atletas!X184&lt;&gt;"",10000,0)+(IF(Atletas!B184="Feminino",1000,IF(Atletas!B184="Masculino",2000,""))+(IF(Atletas!M184="Chaquan D",140,IF(Atletas!M184="Emeiquan D",141,IF(Atletas!M184="Fanziquan D",142,IF(Atletas!M184="Huaquan D",143,IF(Atletas!M184="Hongquan D",144,IF(Atletas!M184="Paoquan D",145,IF(Atletas!M184="Piguaquan D",146,IF(Atletas!M184="Shaolinquan D",147,IF(Atletas!M184="Tanglangquan D",148,IF(Atletas!M184="Yingzhaoquan D",149,IF(Atletas!M184="Tongbeiquan D",150,IF(Atletas!M184="Wudangquan D",151,IF(Atletas!M184="Outros Estilos D",152,IF(Atletas!M184="Chaquan E",153,IF(Atletas!M184="Emeiquan E",154,IF(Atletas!M184="Fanziquan E",155,IF(Atletas!M184="Huaquan E",156,IF(Atletas!M184="Hongquan E",157,IF(Atletas!M184="Paoquan E",158,IF(Atletas!M184="Piguaquan E",159,IF(Atletas!M184="Shaolinquan E",160,IF(Atletas!M184="Tanglangquan E",161,IF(Atletas!M184="Yingzhaoquan E",162,IF(Atletas!M184="Tongbeiquan E",163,IF(Atletas!M184="Wudangquan E",164,IF(Atletas!M184="Outros Estilos E",165,IF(Atletas!M184="Chaquan F",166,IF(Atletas!M184="Emeiquan F",167,IF(Atletas!M184="Fanziquan F",168,IF(Atletas!M184="Huaquan F",169,IF(Atletas!M184="Hongquan F",170,IF(Atletas!M184="Paoquan F",171,IF(Atletas!M184="Piguaquan F",172,IF(Atletas!M184="Shaolinquan F",173,IF(Atletas!M184="Tanglangquan F",174,IF(Atletas!M184="Yingzhaoquan F",175,IF(Atletas!M184="Tongbeiquan F",176,IF(Atletas!M184="Wudangquan F",177,IF(Atletas!M184="Outros Estilos F",178,0))))))))))))))))))))))))))))))))))))))))))</f>
        <v/>
      </c>
      <c r="BU193" s="50" t="str">
        <f>IF(Atletas!N184="","",IF(Atletas!X184&lt;&gt;"",10000,0)+(IF(Atletas!B184="Feminino",1000,IF(Atletas!B184="Masculino",2000,""))+(IF(Atletas!N184="Ditangquan A",201,IF(Atletas!N184="Houquan A",202,IF(Atletas!N184="Zuiquan A",203,IF(Atletas!N184="Ditangquan B",204,IF(Atletas!N184="Houquan B",205,IF(Atletas!N184="Zuiquan B",206,IF(Atletas!N184="Ditangquan C",207,IF(Atletas!N184="Houquan C",208,IF(Atletas!N184="Zuiquan C",209,IF(Atletas!N184="Ditangquan D",210,IF(Atletas!N184="Houquan D",211,IF(Atletas!N184="Zuiquan D",212,IF(Atletas!N184="Ditangquan E",213,IF(Atletas!N184="Houquan E",214,IF(Atletas!N184="Zuiquan E",215,IF(Atletas!N184="Ditangquan F",216,IF(Atletas!N184="Houquan F",217,IF(Atletas!N184="Zuiquan F",218,"")))))))))))))))))))))</f>
        <v/>
      </c>
      <c r="BV193" s="50" t="str">
        <f>IF(Atletas!O184="","",IF(Atletas!X184&lt;&gt;"",10000,0)+IF(Atletas!B184="Feminino",1000,IF(Atletas!B184="Masculino",2000,""))+IF(Atletas!O184="Yang A",301,IF(Atletas!O184="Chen A",302,IF(Atletas!O184="Sun A",303,IF(Atletas!O184="Wu A",304,IF(Atletas!O184="Wu-Hao A",305,IF(Atletas!O184="Outro Taijiquan A",306,IF(Atletas!O184="Yang B",307,IF(Atletas!O184="Chen B",308,IF(Atletas!O184="Sun B",309,IF(Atletas!O184="Wu B",310,IF(Atletas!O184="Wu-Hao B",311,IF(Atletas!O184="Outro Taijiquan B",312,IF(Atletas!O184="Yang C",313,IF(Atletas!O184="Chen C",314,IF(Atletas!O184="Sun C",315,IF(Atletas!O184="Wu C",316,IF(Atletas!O184="Wu-Hao C",317,IF(Atletas!O184="Outro Taijiquan C",318,IF(Atletas!O184="Yang D",319,IF(Atletas!O184="Chen D",320,IF(Atletas!O184="Sun D",321,IF(Atletas!O184="Wu D",322,IF(Atletas!O184="Wu-Hao D",323,IF(Atletas!O184="Outro Taijiquan D",324,IF(Atletas!O184="Yang E",325,IF(Atletas!O184="Chen E",326,IF(Atletas!O184="Sun E",327,IF(Atletas!O184="Wu E",328,IF(Atletas!O184="Wu-Hao E",329,IF(Atletas!O184="Outro Taijiquan E",330,IF(Atletas!O184="Yang F",331,IF(Atletas!O184="Chen F",332,IF(Atletas!O184="Sun F",333,IF(Atletas!O184="Wu F",334,IF(Atletas!O184="Wu-Hao F",335,IF(Atletas!O184="Outro Taijiquan F",336,"")))))))))))))))))))))))))))))))))))))</f>
        <v/>
      </c>
      <c r="BW193" s="50" t="str">
        <f>IF(Atletas!P184="","",IF(Atletas!X184&lt;&gt;"",10000,0)+IF(Atletas!B184="Feminino",1000,IF(Atletas!B184="Masculino",2000,""))+IF(OR(Atletas!P184="Yang 26 A",Atletas!P184="Yang 40 A"),401,IF(OR(Atletas!P184="Chen 25 A",Atletas!P184="Chen 36 A",Atletas!P184="Chen 56 A"),402,IF(Atletas!P184="Sun 73 A",403,IF(Atletas!P184="Wu 45 A",404,IF(Atletas!P184="Wu-Hao 46 A",405,IF(OR(Atletas!P184="Taijiquan 16 A",Atletas!P184="Taijiquan 24 A",Atletas!P184="Taijiquan 32 A",Atletas!P184="Taijiquan 42 A"),406,IF(OR(Atletas!P184="Yang 26 B",Atletas!P184="Yang 40 B"),407,IF(OR(Atletas!P184="Chen 25 B",Atletas!P184="Chen 36 B",Atletas!P184="Chen 56 B"),408,IF(Atletas!P184="Sun 73 B",409,IF(Atletas!P184="Wu 45 B",410,IF(Atletas!P184="Wu-Hao 46 B",411,IF(OR(Atletas!P184="Taijiquan 16 B",Atletas!P184="Taijiquan 24 B",Atletas!P184="Taijiquan 32 B",Atletas!P184="Taijiquan 42 B"),412,IF(OR(Atletas!P184="Yang 26 C",Atletas!P184="Yang 40 C"),413,IF(OR(Atletas!P184="Chen 25 C",Atletas!P184="Chen 36 C",Atletas!P184="Chen 56 C"),414,IF(Atletas!P184="Sun 73 C",415,IF(Atletas!P184="Wu 45 C",416,IF(Atletas!P184="Wu-Hao 46 C",417,IF(OR(Atletas!P184="Taijiquan 16 C",Atletas!P184="Taijiquan 24 C",Atletas!P184="Taijiquan 32 C",Atletas!P184="Taijiquan 42 C"),418,0)))))))))))))))))))</f>
        <v/>
      </c>
      <c r="BX193" s="50" t="str">
        <f>IF(Atletas!P184="","",IF(Atletas!X184&lt;&gt;"",10000,0)+IF(Atletas!B184="Feminino",1000,IF(Atletas!B184="Masculino",2000,""))+IF(OR(Atletas!P184="Yang 26 D",Atletas!P184="Yang 40 D"),419,IF(OR(Atletas!P184="Chen 25 D",Atletas!P184="Chen 36 D",Atletas!P184="Chen 56 D"),420,IF(Atletas!P184="Sun 73 D",421,IF(Atletas!P184="Wu 45 D",422,IF(Atletas!P184="Wu-Hao 46 D",423,IF(OR(Atletas!P184="Taijiquan 16 D",Atletas!P184="Taijiquan 24 D",Atletas!P184="Taijiquan 32 D",Atletas!P184="Taijiquan 42 D"),424,IF(OR(Atletas!P184="Yang 26 E",Atletas!P184="Yang 40 E"),425,IF(OR(Atletas!P184="Chen 25 E",Atletas!P184="Chen 36 E",Atletas!P184="Chen 56 E"),426,IF(Atletas!P184="Sun 73 E",427,IF(Atletas!P184="Wu 45 E",428,IF(Atletas!P184="Wu-Hao 46 E",429,IF(OR(Atletas!P184="Taijiquan 16 E",Atletas!P184="Taijiquan 24 E",Atletas!P184="Taijiquan 32 E",Atletas!P184="Taijiquan 42 E"),430,IF(OR(Atletas!P184="Yang 26 F",Atletas!P184="Yang 40 F"),431,IF(OR(Atletas!P184="Chen 25 F",Atletas!P184="Chen 36 F",Atletas!P184="Chen 56 F"),432,IF(Atletas!P184="Sun 73 F",433,IF(Atletas!P184="Wu 45 F",434,IF(Atletas!P184="Wu-Hao 46 F",435,IF(OR(Atletas!P184="Taijiquan 16 F",Atletas!P184="Taijiquan 24 F",Atletas!P184="Taijiquan 32 F",Atletas!P184="Taijiquan 42 F"),436,0)))))))))))))))))))</f>
        <v/>
      </c>
      <c r="BY193" s="50" t="str">
        <f>IF(Atletas!Q184="","",IF(Atletas!X184&lt;&gt;"",10000,0)+IF(Atletas!B184="Feminino",1000,IF(Atletas!B184="Masculino",2000,""))+IF(Atletas!Q184="Xingyiquan A",501,IF(Atletas!Q184="Baguazhang A",502,IF(Atletas!Q184="Outro Estilo Interno A",503,IF(Atletas!Q184="Xingyiquan B",504,IF(Atletas!Q184="Baguazhang B",505,IF(Atletas!Q184="Outro Estilo Interno B",506,IF(Atletas!Q184="Xingyiquan C",507,IF(Atletas!Q184="Baguazhang C",508,IF(Atletas!Q184="Outro Estilo Interno C",509,IF(Atletas!Q184="Xingyiquan D",510,IF(Atletas!Q184="Baguazhang D",511,IF(Atletas!Q184="Outro Estilo Interno D",512,IF(Atletas!Q184="Xingyiquan E",513,IF(Atletas!Q184="Baguazhang E",514,IF(Atletas!Q184="Outro Estilo Interno E",515,IF(Atletas!Q184="Xingyiquan F",516,IF(Atletas!Q184="Baguazhang F",517,IF(Atletas!Q184="Outro Estilo Interno F",518, "")))))))))))))))))))</f>
        <v/>
      </c>
      <c r="BZ193" s="50" t="str">
        <f>IF(Atletas!R184="","",IF(Atletas!X184&lt;&gt;"",10000,0)+IF(Atletas!B184="Feminino",1000,IF(Atletas!B184="Masculino",2000,""))+IF(Atletas!R184="Dao A",601,IF(Atletas!R184="Jian A",602,IF(Atletas!R184="Bishou A",603,IF(Atletas!R184="Shanzi A",604,IF(Atletas!R184="Outra Arma Curta A",605,IF(Atletas!R184="Dao B",606,IF(Atletas!R184="Jian B",607,IF(Atletas!R184="Bishou B",608,IF(Atletas!R184="Shanzi B",609,IF(Atletas!R184="Outra Arma Curta B",610,IF(Atletas!R184="Dao C",611,IF(Atletas!R184="Jian C",612,IF(Atletas!R184="Bishou C",613,IF(Atletas!R184="Shanzi C",614,IF(Atletas!R184="Outra Arma Curta C",615,IF(Atletas!R184="Dao D",616,IF(Atletas!R184="Jian D",617,IF(Atletas!R184="Bishou D",618,IF(Atletas!R184="Shanzi D",619,IF(Atletas!R184="Outra Arma Curta D",620,IF(Atletas!R184="Dao E",621,IF(Atletas!R184="Jian E",622,IF(Atletas!R184="Bishou E",623,IF(Atletas!R184="Shanzi E",624,IF(Atletas!R184="Outra Arma Curta E",625,IF(Atletas!R184="Dao F",626,IF(Atletas!R184="Jian F",627,IF(Atletas!R184="Bishou F",628,IF(Atletas!R184="Shanzi F",629,IF(Atletas!R184="Outra Arma Curta F",630, "")))))))))))))))))))))))))))))))</f>
        <v/>
      </c>
      <c r="CA193" s="50" t="str">
        <f>IF(Atletas!S184="","",IF(Atletas!X184&lt;&gt;"",10000,0)+IF(Atletas!B184="Feminino",1000,IF(Atletas!B184="Masculino",2000,""))+IF(Atletas!S184="Gun A",701,IF(Atletas!S184="Qiang A",702,IF(Atletas!S184="Pudao / Guandao A",703,IF(Atletas!S184="Outra Arma Longa A",704,IF(Atletas!S184="Gun B",705,IF(Atletas!S184="Qiang B",706,IF(Atletas!S184="Pudao / Guandao B",707,IF(Atletas!S184="Outra Arma Longa B",708,IF(Atletas!S184="Gun C",709,IF(Atletas!S184="Qiang C",710,IF(Atletas!S184="Pudao / Guandao C",711,IF(Atletas!S184="Outra Arma Longa C",712,IF(Atletas!S184="Gun D",713,IF(Atletas!S184="Qiang D",714,IF(Atletas!S184="Pudao / Guandao D",715,IF(Atletas!S184="Outra Arma Longa D",716,IF(Atletas!S184="Gun E",717,IF(Atletas!S184="Qiang E",718,IF(Atletas!S184="Pudao / Guandao E",719,IF(Atletas!S184="Outra Arma Longa E",720,IF(Atletas!S184="Gun F",721,IF(Atletas!S184="Qiang F",722,IF(Atletas!S184="Pudao / Guandao F",723,IF(Atletas!S184="Outra Arma Longa F",724,"")))))))))))))))))))))))))</f>
        <v/>
      </c>
      <c r="CB193" s="50" t="str">
        <f>IF(Atletas!T184="","",IF(Atletas!X184&lt;&gt;"",10000,0)+IF(Atletas!B184="Feminino",1000,IF(Atletas!B184="Masculino",2000,""))+IF(Atletas!T184="Outra Arma Dupla A",801,IF(Atletas!T184="Arma Maleável A",802,IF(Atletas!T184="Outra Arma Dupla B",803,IF(Atletas!T184="Arma Maleável B",804,IF(Atletas!T184="Outra Arma Dupla C",805,IF(Atletas!T184="Arma Maleável C",806,IF(Atletas!T184="Outra Arma Dupla D",807,IF(Atletas!T184="Arma Maleável D",808,IF(Atletas!T184="Outra Arma Dupla E",809,IF(Atletas!T184="Arma Maleável E",810,IF(Atletas!T184="Outra Arma Dupla F",811,IF(Atletas!T184="Arma Maleável F",812,IF(Atletas!T184="Shuangdao A",813,IF(Atletas!T184="Shuangdao B",814,IF(Atletas!T184="Shuangdao C",815,IF(Atletas!T184="Shuangdao D",816,IF(Atletas!T184="Shuangdao E",817,IF(Atletas!T184="Shuangdao F",818,"")))))))))))))))))))</f>
        <v/>
      </c>
      <c r="CC193" s="50" t="str">
        <f>IF(Atletas!U184="","",IF(Atletas!X184&lt;&gt;"",10000,0)+IF(Atletas!B184="Feminino",1000,IF(Atletas!B184="Masculino",2000,""))+IF(OR(Atletas!U184="Taijijian Yang A",Atletas!U184="Taijijian Yang Standard A"),901,IF(OR(Atletas!U184="Taijijian Chen A", Atletas!U184="Taijijian Chen Standard A"),902,IF(Atletas!U184="Taijijian Sun A",903,IF(Atletas!U184="Taijijian Wu A",904,IF(Atletas!U184="Taijijian Wu-Hao A",905,IF(OR(Atletas!U184="Taijijian 32 A",Atletas!U184="Taijijian 42 A"),906,IF(OR(Atletas!U184="Taijijian Yang B",Atletas!U184="Taijijian Yang Standard B"),907,IF(OR(Atletas!U184="Taijijian Chen B", Atletas!U184="Taijijian Chen Standard B"),908,IF(Atletas!U184="Taijijian Sun B",909,IF(Atletas!U184="Taijijian Wu B",910,IF(Atletas!U184="Taijijian Wu-Hao B",911,IF(OR(Atletas!U184="Taijijian 32 B",Atletas!U184="Taijijian 42 B"),912,IF(OR(Atletas!U184="Taijijian Yang C",Atletas!U184="Taijijian Yang Standard C"),913,IF(OR(Atletas!U184="Taijijian Chen C", Atletas!U184="Taijijian Chen Standard C"),914,IF(Atletas!U184="Taijijian Sun C",915,IF(Atletas!U184="Taijijian Wu C",916,IF(Atletas!U184="Taijijian Wu-Hao C",917,IF(OR(Atletas!U184="Taijijian 32 C",Atletas!U184="Taijijian 42 C"),918,IF(OR(Atletas!U184="Taijijian Yang D",Atletas!U184="Taijijian Yang Standard D"),919,IF(OR(Atletas!U184="Taijijian Chen D", Atletas!U184="Taijijian Chen Standard D"),920,IF(Atletas!U184="Taijijian Sun D",921,IF(Atletas!U184="Taijijian Wu D",922,IF(Atletas!U184="Taijijian Wu-Hao D",923,IF(OR(Atletas!U184="Taijijian 32 D",Atletas!U184="Taijijian 42 D"),924,IF(OR(Atletas!U184="Taijijian Yang E",Atletas!U184="Taijijian Yang Standard E"),925,IF(OR(Atletas!U184="Taijijian Chen E", Atletas!U184="Taijijian Chen Standard E"),926,IF(Atletas!U184="Taijijian Sun E",927,IF(Atletas!U184="Taijijian Wu E",928,IF(Atletas!U184="Taijijian Wu-Hao E",929,IF(OR(Atletas!U184="Taijijian 32 E",Atletas!U184="Taijijian 42 E"),930,IF(OR(Atletas!U184="Taijijian Yang F",Atletas!U184="Taijijian Yang Standard F"),931,IF(OR(Atletas!U184="Taijijian Chen F", Atletas!U184="Taijijian Chen Standard F"),932,IF(Atletas!U184="Taijijian Sun F",933,IF(Atletas!U184="Taijijian Wu F",934,IF(Atletas!U184="Taijijian Wu-Hao F",935,IF(OR(Atletas!U184="Taijijian 32 F",Atletas!U184="Taijijian 42 F"),936,"")))))))))))))))))))))))))))))))))))))</f>
        <v/>
      </c>
      <c r="CD193" s="50" t="str">
        <f>IF(Atletas!V184="","",IF(Atletas!X184&lt;&gt;"",10000,0)+IF(Atletas!B184="Feminino",1000,IF(Atletas!B184="Masculino",2000,""))+IF(Atletas!V184="Taijidao A",937,IF(Atletas!V184="TaijiShanzi A",938,IF(Atletas!V184="Taijiqiang A",939,IF(Atletas!V184="Bagua de Arma A",940,IF(Atletas!V184="Xingyi de Arma A",941,IF(Atletas!V184="Taijidao B",942,IF(Atletas!V184="TaijiShanzi B",943,IF(Atletas!V184="Taijiqiang B",944,IF(Atletas!V184="Bagua de Arma B",945,IF(Atletas!V184="Xingyi de Arma B",946,IF(Atletas!V184="Taijidao C",947,IF(Atletas!V184="TaijiShanzi C",948,IF(Atletas!V184="Taijiqiang C",949,IF(Atletas!V184="Bagua de Arma C",950,IF(Atletas!V184="Xingyi de Arma C",951,IF(Atletas!V184="Taijidao D",952,IF(Atletas!V184="TaijiShanzi D",953,IF(Atletas!V184="Taijiqiang D",954,IF(Atletas!V184="Bagua de Arma D",955,IF(Atletas!V184="Xingyi de Arma D",956,IF(Atletas!V184="Taijidao E",957,IF(Atletas!V184="TaijiShanzi E",958,IF(Atletas!V184="Taijiqiang E",959,IF(Atletas!V184="Bagua de Arma E",960,IF(Atletas!V184="Xingyi de Arma E",961,IF(Atletas!V184="Taijidao F",962,IF(Atletas!V184="TaijiShanzi F",963,IF(Atletas!V184="Taijiqiang F",964,IF(Atletas!V184="Bagua de Arma F",965,IF(Atletas!V184="Xingyi de Arma F",966,"")))))))))))))))))))))))))))))))</f>
        <v/>
      </c>
      <c r="CE193" s="66" t="str">
        <f>IF(CF193&lt;&gt;"","TJQ Padr. Yang D","")</f>
        <v/>
      </c>
      <c r="CF193" s="66" t="str">
        <f>IF(COUNTIF(BR:CD,1419)&gt;0,COUNTIF(BR:CD,1419),"")</f>
        <v/>
      </c>
      <c r="CG193" s="66" t="str">
        <f>IF(CH193&lt;&gt;"","TJQ Padr. Yang D","")</f>
        <v/>
      </c>
      <c r="CH193" s="66" t="str">
        <f>IF(COUNTIF(BR:CD,2419)&gt;0,COUNTIF(BR:CD,2419),"")</f>
        <v/>
      </c>
      <c r="CI193" s="66" t="str">
        <f>IF(CJ193&lt;&gt;"","TJQ Padr. Yang E","")</f>
        <v/>
      </c>
      <c r="CJ193" s="66" t="str">
        <f>IF(COUNTIF(BR:CD,11425)&gt;0,COUNTIF(BR:CD,11425),"")</f>
        <v/>
      </c>
      <c r="CK193" s="66" t="str">
        <f>IF(CL193&lt;&gt;"","TJQ Padr. Yang E","")</f>
        <v/>
      </c>
      <c r="CL193" s="66" t="str">
        <f>IF(COUNTIF(BR:CD,12425)&gt;0,COUNTIF(BR:CD,12425),"")</f>
        <v/>
      </c>
      <c r="CM193" s="50" t="str">
        <f xml:space="preserve"> IF(Atletas!W184="","",IF(Atletas!W184="Duilian de Mãos BC - Equipe 1",1,IF(Atletas!W184="Duilian de Mãos BC - Equipe 2",2,IF(Atletas!W184="Duilian de Armas BC - Equipe 1",3,IF(Atletas!W184="Duilian de Armas BC - Equipe 2",4,IF(Atletas!W184="Duilian de Mãos DE - Equipe 1",5,IF(Atletas!W184="Duilian de Mãos DE - Equipe 2",6,IF(Atletas!W184="Duilian de Armas DE - Equipe 1",7,IF(Atletas!W184="Duilian de Armas DE - Equipe 2",8,IF(Atletas!W184="Duilian de Tuishou - Equipe 1",9,IF(Atletas!W184="Duilian de Tuishou - Equipe 2",10,IF(Atletas!W184="Grupo Externo ABC - Equipe 1",11,IF(Atletas!W184="Grupo Externo ABC - Equipe 2",12,IF(Atletas!W184="Grupo Interno ABC - Equipe 1",13,IF(Atletas!W184="Grupo Interno ABC - Equipe 2",14,IF(Atletas!W184="Grupo Externo DEF - Equipe 1",15,IF(Atletas!W184="Grupo Externo DEF - Equipe 2",16,IF(Atletas!W184="Grupo Interno DEF - Equipe 1",17,IF(Atletas!W184="Grupo Interno DEF - Equipe 2",18,"")))))))))))))))))))</f>
        <v/>
      </c>
    </row>
    <row r="194" spans="2:91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 t="str">
        <f t="array" ref="Z194">IFERROR(INDEX(CE$7:CE$348,SMALL(IF(CE$7:CE$348&lt;&gt;"",ROW(CE$7:CE$348)-ROW(CE$7)+1),ROWS(CE$7:CE193))),"")</f>
        <v/>
      </c>
      <c r="AA194" s="3" t="str">
        <f t="array" ref="AA194">IFERROR(INDEX(CF$7:CF$348,SMALL(IF(CF$7:CF$348&lt;&gt;"",ROW(CF$7:CF$348)-ROW(CF$7)+1),ROWS(CF$7:CF193))),"")</f>
        <v/>
      </c>
      <c r="AB194" s="3" t="str">
        <f t="array" ref="AB194">IFERROR(INDEX(CG$7:CG$348,SMALL(IF(CG$7:CG$348&lt;&gt;"",ROW(CG$7:CG$348)-ROW(CG$7)+1),ROWS(CG$7:CG193))),"")</f>
        <v/>
      </c>
      <c r="AC194" s="3" t="str">
        <f t="array" ref="AC194">IFERROR(INDEX(CH$7:CH$348,SMALL(IF(CH$7:CH$348&lt;&gt;"",ROW(CH$7:CH$348)-ROW(CH$7)+1),ROWS(CH$7:CH193))),"")</f>
        <v/>
      </c>
      <c r="AD194" s="3" t="str">
        <f t="array" ref="AD194">IFERROR(INDEX(CI$7:CI$377,SMALL(IF(CI$7:CI$377&lt;&gt;"",ROW(CI$7:CI$377)-ROW(CI$7)+1),ROWS(CI$7:CI193))),"")</f>
        <v/>
      </c>
      <c r="AE194" s="3" t="str">
        <f t="array" ref="AE194">IFERROR(INDEX(CJ$7:CJ$378,SMALL(IF(CJ$7:CJ$378&lt;&gt;"",ROW(CJ$7:CJ$378)-ROW(CJ$7)+1),ROWS(CJ$7:CJ193))),"")</f>
        <v/>
      </c>
      <c r="AF194" s="3" t="str">
        <f t="array" ref="AF194">IFERROR(INDEX(CK$7:CK$378,SMALL(IF(CK$7:CK$378&lt;&gt;"",ROW(CK$7:CK$378)-ROW(CK$7)+1),ROWS(CK$7:CK193))),"")</f>
        <v/>
      </c>
      <c r="AG194" s="3" t="str">
        <f t="array" ref="AG194">IFERROR(INDEX(CL$7:CL$378,SMALL(IF(CL$7:CL$378&lt;&gt;"",ROW(CL$7:CL$378)-ROW(CL$7)+1),ROWS(CL$7:CL193))),"")</f>
        <v/>
      </c>
      <c r="AH194" s="3"/>
      <c r="AI194" s="3"/>
      <c r="AJ194" s="3"/>
      <c r="AK194" s="3"/>
      <c r="AL194" s="3"/>
      <c r="AM194" s="3"/>
      <c r="AN194" s="52" t="str">
        <f>IF(Atletas!D185="","",IF(Atletas!B185="Feminino",100,IF(Atletas!B185="Masculino",200,""))+(IF(Atletas!D185="Kids 30kg",1,IF(Atletas!D185="Kids 32kg",2, IF(Atletas!D185="Kids 34kg",3,IF(Atletas!D185="Kids 36kg",4,IF(Atletas!D185="Kids 39kg",5,IF(Atletas!D185="Kids 42kg",6,IF(Atletas!D185="Kids 45kg",7, IF(Atletas!D185="Infantil 39kg",8,IF(Atletas!D185="Infantil 42kg",9,IF(Atletas!D185="Infantil 45kg",10,IF(Atletas!D185="Infantil 48kg",11,IF(Atletas!D185="Infantil 52kg",12,IF(Atletas!D185="Infantil 56kg",13,IF(Atletas!D185="Infantil 60kg",14,IF(Atletas!D185="Juvenil 48kg",15,IF(Atletas!D185="Juvenil 52kg",16,IF(Atletas!D185="Juvenil 56kg",17,IF(Atletas!D185="Juvenil 60kg",18,IF(Atletas!D185="Juvenil 65kg",19,IF(Atletas!D185="Juvenil 70kg",20,IF(Atletas!D185="Juvenil 75kg",21,IF(Atletas!D185="Juvenil 80kg",22, IF(Atletas!D185="Juvenil 85kg",23,IF(Atletas!D185="Adulto 48kg",24,IF(Atletas!D185="Adulto 52kg",25,IF(Atletas!D185="Adulto 56kg",26,IF(Atletas!D185="Adulto 60kg",27,IF(Atletas!D185="Adulto 65kg",28,IF(Atletas!D185="Adulto 70kg",29,IF(Atletas!D185="Adulto 75kg",30,IF(Atletas!D185="Adulto 80kg",31,IF(Atletas!D185="Adulto 85kg",32,IF(Atletas!D185="Adulto 90kg",33,IF(Atletas!D185="Adulto 100kg",34, IF(Atletas!D185="Adulto +100kg",35,"")))))))))))))))))))))))))))))))))))))</f>
        <v/>
      </c>
      <c r="AS194" s="6" t="str">
        <f>IF(Atletas!E185="","",IF(Atletas!B185="Feminino",100,IF(Atletas!B185="Masculino",200,""))+(IF(Atletas!E185="Juvenil 44kg",1,IF(Atletas!E185="Juvenil 48kg",2,IF(Atletas!E185="Juvenil 52kg",3,IF(Atletas!E185="Juvenil 56kg",4,IF(Atletas!E185="Juvenil 60kg",5,IF(Atletas!E185="Juvenil 65kg",6,IF(Atletas!E185="Juvenil 70kg",7,IF(Atletas!E185="Juvenil 75kg",8,IF(Atletas!E185="Juvenil 82kg",9,IF(Atletas!E185="Juvenil 90kg",10,IF(Atletas!E185="Juvenil 100kg",11,IF(Atletas!E185="Adulto 48kg",12,IF(Atletas!E185="Adulto 52kg",13,IF(Atletas!E185="Adulto 56kg",14,IF(Atletas!E185="Adulto 60kg",15,IF(Atletas!E185="Adulto 65kg",16,IF(Atletas!E185="Adulto 70kg",17,IF(Atletas!E185="Adulto 75kg",18,IF(Atletas!E185="Adulto 82kg",19,IF(Atletas!E185="Adulto 90kg",20,IF(Atletas!E185="Adulto 100kg",21,IF(Atletas!E185="Adulto +100kg",22,""))))))))))))))))))))))))</f>
        <v/>
      </c>
      <c r="AX194" s="6" t="str">
        <f>IF(Atletas!F185="","",IF(Atletas!B185="Feminino",100,IF(Atletas!B185="Masculino",200,""))+(IF(Atletas!F185="Adulto 48kg",1,IF(Atletas!F185="Adulto 56kg",2,IF(Atletas!F185="Adulto 65kg",3,IF(Atletas!F185="Adulto 75kg",4,IF(Atletas!F185="Adulto +75kg",5,IF(Atletas!F185="Adulto 52kg",6,IF(Atletas!F185="Adulto 60kg",7,IF(Atletas!F185="Adulto 70kg",8,IF(Atletas!F185="Adulto 80kg",9,IF(Atletas!F185="Adulto 90kg",10,IF(Atletas!F185="Adulto +90kg",11,"")))))))))))))</f>
        <v/>
      </c>
      <c r="BC194" s="6" t="str">
        <f>IF(Atletas!G185="","",IF(Atletas!B185="Feminino",10,IF(Atletas!B185="Masculino",20,""))+(IF(Atletas!G185="Baduanjin A",1,IF(Atletas!G185="Baduanjin B",2))))</f>
        <v/>
      </c>
      <c r="BF194" s="52" t="str">
        <f>IF(Atletas!H185="","",IF(Atletas!B185="Feminino",100,IF(Atletas!B185="Masculino",200,""))+(IF(Atletas!H185="Changquan Mirim",1,IF(Atletas!H185="Nanquan Mirim",2,IF(Atletas!H185="Taijiquan Mirim",3,IF(Atletas!H185="Changquan Grupo C",4,IF(Atletas!H185="Nanquan Grupo C",5,IF(Atletas!H185="Taijiquan Grupo C",6,IF(Atletas!H185="Changquan Grupo B",7,IF(Atletas!H185="Nanquan Grupo B",8,IF(Atletas!H185="Taijiquan Grupo B",9,IF(Atletas!H185="Changquan Grupo A",10,IF(Atletas!H185="Nanquan Grupo A",11,IF(Atletas!H185="Taijiquan Grupo A",12,IF(Atletas!H185="Changquan Opcional",13,IF(Atletas!H185="Nanquan Opcional",14,IF(Atletas!H185="Taijiquan Opcional",15,IF(Atletas!H185="Changquan Adulto",16,IF(Atletas!H185="Nanquan Adulto",17,IF(Atletas!H185="Taijiquan Adulto",18,""))))))))))))))))))))</f>
        <v/>
      </c>
      <c r="BG194" s="52" t="str">
        <f>IF(Atletas!I185="","",IF(Atletas!B185="Feminino",100,IF(Atletas!B185="Masculino",200,""))+(IF(Atletas!I185="Daoshu Mirim",19,IF(Atletas!I185="Jianshu Mirim",20,IF(Atletas!I185="Nandao Mirim",21,IF(Atletas!I185="Taijijian Mirim",22,IF(Atletas!I185="Daoshu Grupo C",23,IF(Atletas!I185="Jianshu Grupo C",24,IF(Atletas!I185="Nandao Grupo C",25,IF(Atletas!I185="Taijijian Grupo C",26,IF(Atletas!I185="Daoshu Grupo B",27,IF(Atletas!I185="Jianshu Grupo B",28,IF(Atletas!I185="Nandao Grupo B",29,IF(Atletas!I185="Taijijian Grupo B",30,IF(Atletas!I185="Daoshu Grupo A",31,IF(Atletas!I185="Jianshu Grupo A",32,IF(Atletas!I185="Nandao Grupo A",33,IF(Atletas!I185="Taijijian Grupo A",34,IF(Atletas!I185="Daoshu Opcional",35,IF(Atletas!I185="Jianshu Opcional",36,IF(Atletas!I185="Nandao Opcional",37,IF(Atletas!I185="Taijijian Opcional",38,IF(Atletas!I185="Daoshu Adulto",39,IF(Atletas!I185="Jianshu Adulto",40,IF(Atletas!I185="Nandao Adulto",41,IF(Atletas!I185="Taijijian Adulto",42,""))))))))))))))))))))))))))</f>
        <v/>
      </c>
      <c r="BH194" s="52" t="str">
        <f>IF(Atletas!J185="","",IF(Atletas!B185="Feminino",100,IF(Atletas!B185="Masculino",200,""))+(IF(Atletas!J185="Gunshu Mirim",43,IF(Atletas!J185="Qiangshu Mirim",44,IF(Atletas!J185="Nangun Mirim",45,IF(Atletas!J185="Gunshu Grupo C",46,IF(Atletas!J185="Qiangshu Grupo C",47,IF(Atletas!J185="Nangun Grupo C",48,IF(Atletas!J185="Gunshu Grupo B",49,IF(Atletas!J185="Qiangshu Grupo B",50,IF(Atletas!J185="Nangun Grupo B",51,IF(Atletas!J185="Gunshu Grupo A",52,IF(Atletas!J185="Qiangshu Grupo A",53,IF(Atletas!J185="Nangun Grupo A",54,IF(Atletas!J185="Gunshu Opcional",55,IF(Atletas!J185="Qiangshu Opcional",56,IF(Atletas!J185="Nangun Opcional",57,IF(Atletas!J185="Gunshu Adulto",58,IF(Atletas!J185="Qiangshu Adulto",59,IF(Atletas!J185="Nangun Adulto",60,IF(Atletas!J185="Taijishan Grupo B",61,IF(Atletas!J185="Taijishan Grupo A",62,""))))))))))))))))))))))</f>
        <v/>
      </c>
      <c r="BM194" s="50" t="str">
        <f>IF(Atletas!K185="","",IF(Atletas!B185="Feminino",100,IF(Atletas!B185="Masculino",200,""))+(IF(Atletas!K185="Equipe 1 Grupo B",1,IF(Atletas!K185="Equipe 2 Grupo B",2,IF(Atletas!K185="Equipe 1 Grupo A",3,IF(Atletas!K185="Equipe 2 Grupo A",4,IF(Atletas!K185="Equipe 1 Adulto",5,IF(Atletas!K185="Equipe 2 Adulto",6,""))))))))</f>
        <v/>
      </c>
      <c r="BR194" s="50" t="str">
        <f>IF(Atletas!L185="","",IF(Atletas!X185&lt;&gt;"",10000,0)+(IF(Atletas!B185="Feminino",1000,IF(Atletas!B185="Masculino",2000,""))+IF(Atletas!L185="Choylayfut A",1,IF(Atletas!L185="Hunggar A",2,IF(Atletas!L185="Wuzuquan A",3,IF(Atletas!L185="Wingchun A",4,IF(Atletas!L185="Outra Mão de Sul A",5,IF(Atletas!L185="Choylayfut B",6,IF(Atletas!L185="Hunggar B",7,IF(Atletas!L185="Wuzuquan B",8,IF(Atletas!L185="Wingchun B",9,IF(Atletas!L185="Outra Mão de Sul B",10,IF(Atletas!L185="Choylayfut C",11,IF(Atletas!L185="Hunggar C",12,IF(Atletas!L185="Wuzuquan C",13,IF(Atletas!L185="Wingchun C",14,IF(Atletas!L185="Outra Mão de Sul C",15,IF(Atletas!L185="Choylayfut D",16,IF(Atletas!L185="Hunggar D",17,IF(Atletas!L185="Wuzuquan D",18,IF(Atletas!L185="Wingchun D",19,IF(Atletas!L185="Outra Mão de Sul D",20,IF(Atletas!L185="Choylayfut E",21,IF(Atletas!L185="Hunggar E",22,IF(Atletas!L185="Wuzuquan E",23,IF(Atletas!L185="Wingchun E",24,IF(Atletas!L185="Outra Mão de Sul E",25,IF(Atletas!L185="Choylayfut F",26,IF(Atletas!L185="Hunggar F",27,IF(Atletas!L185="Wuzuquan F",28,IF(Atletas!L185="Wingchun F",29,IF(Atletas!L185="Outra Mão de Sul F",30,IF(Atletas!L185="Dishuquan A",31,IF(Atletas!L185="Dishuquan B",32,IF(Atletas!L185="Dishuquan C",33,IF(Atletas!L185="Dishuquan D",34,IF(Atletas!L185="Dishuquan E",35,IF(Atletas!L185="Dishuquan F",36,""))))))))))))))))))))))))))))))))))))))</f>
        <v/>
      </c>
      <c r="BS194" s="50" t="str">
        <f>IF(Atletas!M185="","",IF(Atletas!X185&lt;&gt;"",10000,0)+(IF(Atletas!B185="Feminino",1000,IF(Atletas!B185="Masculino",2000,""))+(IF(Atletas!M185="Chaquan A",101,IF(Atletas!M185="Emeiquan A",102,IF(Atletas!M185="Fanziquan A",103,IF(Atletas!M185="Huaquan A",104,IF(Atletas!M185="Hongquan A",105,IF(Atletas!M185="Paoquan A",106,IF(Atletas!M185="Piguaquan A",107,IF(Atletas!M185="Shaolinquan A",108,IF(Atletas!M185="Tanglangquan A",109,IF(Atletas!M185="Yingzhaoquan A",110,IF(Atletas!M185="Tongbeiquan A",111,IF(Atletas!M185="Wudangquan A",112,IF(Atletas!M185="Outros Estilos A",113,IF(Atletas!M185="Chaquan B",114,IF(Atletas!M185="Emeiquan B",115,IF(Atletas!M185="Fanziquan B",116,IF(Atletas!M185="Huaquan B",117,IF(Atletas!M185="Hongquan B",118,IF(Atletas!M185="Paoquan B",119,IF(Atletas!M185="Piguaquan B",120,IF(Atletas!M185="Shaolinquan B",121,IF(Atletas!M185="Tanglangquan B",122,IF(Atletas!M185="Yingzhaoquan B",123,IF(Atletas!M185="Tongbeiquan B",124,IF(Atletas!M185="Wudangquan B",125,IF(Atletas!M185="Outros Estilos B",126,IF(Atletas!M185="Chaquan C",127,IF(Atletas!M185="Emeiquan C",128,IF(Atletas!M185="Fanziquan C",129,IF(Atletas!M185="Huaquan C",130,IF(Atletas!M185="Hongquan C",131,IF(Atletas!M185="Paoquan C",132,IF(Atletas!M185="Piguaquan C",133,IF(Atletas!M185="Shaolinquan C",134,IF(Atletas!M185="Tanglangquan C",135,IF(Atletas!M185="Yingzhaoquan C",136,IF(Atletas!M185="Tongbeiquan C",137,IF(Atletas!M185="Wudangquan C",138,IF(Atletas!M185="Outros Estilos C",139,0))))))))))))))))))))))))))))))))))))))))))</f>
        <v/>
      </c>
      <c r="BT194" s="50" t="str">
        <f>IF(Atletas!M185="","",IF(Atletas!X185&lt;&gt;"",10000,0)+(IF(Atletas!B185="Feminino",1000,IF(Atletas!B185="Masculino",2000,""))+(IF(Atletas!M185="Chaquan D",140,IF(Atletas!M185="Emeiquan D",141,IF(Atletas!M185="Fanziquan D",142,IF(Atletas!M185="Huaquan D",143,IF(Atletas!M185="Hongquan D",144,IF(Atletas!M185="Paoquan D",145,IF(Atletas!M185="Piguaquan D",146,IF(Atletas!M185="Shaolinquan D",147,IF(Atletas!M185="Tanglangquan D",148,IF(Atletas!M185="Yingzhaoquan D",149,IF(Atletas!M185="Tongbeiquan D",150,IF(Atletas!M185="Wudangquan D",151,IF(Atletas!M185="Outros Estilos D",152,IF(Atletas!M185="Chaquan E",153,IF(Atletas!M185="Emeiquan E",154,IF(Atletas!M185="Fanziquan E",155,IF(Atletas!M185="Huaquan E",156,IF(Atletas!M185="Hongquan E",157,IF(Atletas!M185="Paoquan E",158,IF(Atletas!M185="Piguaquan E",159,IF(Atletas!M185="Shaolinquan E",160,IF(Atletas!M185="Tanglangquan E",161,IF(Atletas!M185="Yingzhaoquan E",162,IF(Atletas!M185="Tongbeiquan E",163,IF(Atletas!M185="Wudangquan E",164,IF(Atletas!M185="Outros Estilos E",165,IF(Atletas!M185="Chaquan F",166,IF(Atletas!M185="Emeiquan F",167,IF(Atletas!M185="Fanziquan F",168,IF(Atletas!M185="Huaquan F",169,IF(Atletas!M185="Hongquan F",170,IF(Atletas!M185="Paoquan F",171,IF(Atletas!M185="Piguaquan F",172,IF(Atletas!M185="Shaolinquan F",173,IF(Atletas!M185="Tanglangquan F",174,IF(Atletas!M185="Yingzhaoquan F",175,IF(Atletas!M185="Tongbeiquan F",176,IF(Atletas!M185="Wudangquan F",177,IF(Atletas!M185="Outros Estilos F",178,0))))))))))))))))))))))))))))))))))))))))))</f>
        <v/>
      </c>
      <c r="BU194" s="50" t="str">
        <f>IF(Atletas!N185="","",IF(Atletas!X185&lt;&gt;"",10000,0)+(IF(Atletas!B185="Feminino",1000,IF(Atletas!B185="Masculino",2000,""))+(IF(Atletas!N185="Ditangquan A",201,IF(Atletas!N185="Houquan A",202,IF(Atletas!N185="Zuiquan A",203,IF(Atletas!N185="Ditangquan B",204,IF(Atletas!N185="Houquan B",205,IF(Atletas!N185="Zuiquan B",206,IF(Atletas!N185="Ditangquan C",207,IF(Atletas!N185="Houquan C",208,IF(Atletas!N185="Zuiquan C",209,IF(Atletas!N185="Ditangquan D",210,IF(Atletas!N185="Houquan D",211,IF(Atletas!N185="Zuiquan D",212,IF(Atletas!N185="Ditangquan E",213,IF(Atletas!N185="Houquan E",214,IF(Atletas!N185="Zuiquan E",215,IF(Atletas!N185="Ditangquan F",216,IF(Atletas!N185="Houquan F",217,IF(Atletas!N185="Zuiquan F",218,"")))))))))))))))))))))</f>
        <v/>
      </c>
      <c r="BV194" s="50" t="str">
        <f>IF(Atletas!O185="","",IF(Atletas!X185&lt;&gt;"",10000,0)+IF(Atletas!B185="Feminino",1000,IF(Atletas!B185="Masculino",2000,""))+IF(Atletas!O185="Yang A",301,IF(Atletas!O185="Chen A",302,IF(Atletas!O185="Sun A",303,IF(Atletas!O185="Wu A",304,IF(Atletas!O185="Wu-Hao A",305,IF(Atletas!O185="Outro Taijiquan A",306,IF(Atletas!O185="Yang B",307,IF(Atletas!O185="Chen B",308,IF(Atletas!O185="Sun B",309,IF(Atletas!O185="Wu B",310,IF(Atletas!O185="Wu-Hao B",311,IF(Atletas!O185="Outro Taijiquan B",312,IF(Atletas!O185="Yang C",313,IF(Atletas!O185="Chen C",314,IF(Atletas!O185="Sun C",315,IF(Atletas!O185="Wu C",316,IF(Atletas!O185="Wu-Hao C",317,IF(Atletas!O185="Outro Taijiquan C",318,IF(Atletas!O185="Yang D",319,IF(Atletas!O185="Chen D",320,IF(Atletas!O185="Sun D",321,IF(Atletas!O185="Wu D",322,IF(Atletas!O185="Wu-Hao D",323,IF(Atletas!O185="Outro Taijiquan D",324,IF(Atletas!O185="Yang E",325,IF(Atletas!O185="Chen E",326,IF(Atletas!O185="Sun E",327,IF(Atletas!O185="Wu E",328,IF(Atletas!O185="Wu-Hao E",329,IF(Atletas!O185="Outro Taijiquan E",330,IF(Atletas!O185="Yang F",331,IF(Atletas!O185="Chen F",332,IF(Atletas!O185="Sun F",333,IF(Atletas!O185="Wu F",334,IF(Atletas!O185="Wu-Hao F",335,IF(Atletas!O185="Outro Taijiquan F",336,"")))))))))))))))))))))))))))))))))))))</f>
        <v/>
      </c>
      <c r="BW194" s="50" t="str">
        <f>IF(Atletas!P185="","",IF(Atletas!X185&lt;&gt;"",10000,0)+IF(Atletas!B185="Feminino",1000,IF(Atletas!B185="Masculino",2000,""))+IF(OR(Atletas!P185="Yang 26 A",Atletas!P185="Yang 40 A"),401,IF(OR(Atletas!P185="Chen 25 A",Atletas!P185="Chen 36 A",Atletas!P185="Chen 56 A"),402,IF(Atletas!P185="Sun 73 A",403,IF(Atletas!P185="Wu 45 A",404,IF(Atletas!P185="Wu-Hao 46 A",405,IF(OR(Atletas!P185="Taijiquan 16 A",Atletas!P185="Taijiquan 24 A",Atletas!P185="Taijiquan 32 A",Atletas!P185="Taijiquan 42 A"),406,IF(OR(Atletas!P185="Yang 26 B",Atletas!P185="Yang 40 B"),407,IF(OR(Atletas!P185="Chen 25 B",Atletas!P185="Chen 36 B",Atletas!P185="Chen 56 B"),408,IF(Atletas!P185="Sun 73 B",409,IF(Atletas!P185="Wu 45 B",410,IF(Atletas!P185="Wu-Hao 46 B",411,IF(OR(Atletas!P185="Taijiquan 16 B",Atletas!P185="Taijiquan 24 B",Atletas!P185="Taijiquan 32 B",Atletas!P185="Taijiquan 42 B"),412,IF(OR(Atletas!P185="Yang 26 C",Atletas!P185="Yang 40 C"),413,IF(OR(Atletas!P185="Chen 25 C",Atletas!P185="Chen 36 C",Atletas!P185="Chen 56 C"),414,IF(Atletas!P185="Sun 73 C",415,IF(Atletas!P185="Wu 45 C",416,IF(Atletas!P185="Wu-Hao 46 C",417,IF(OR(Atletas!P185="Taijiquan 16 C",Atletas!P185="Taijiquan 24 C",Atletas!P185="Taijiquan 32 C",Atletas!P185="Taijiquan 42 C"),418,0)))))))))))))))))))</f>
        <v/>
      </c>
      <c r="BX194" s="50" t="str">
        <f>IF(Atletas!P185="","",IF(Atletas!X185&lt;&gt;"",10000,0)+IF(Atletas!B185="Feminino",1000,IF(Atletas!B185="Masculino",2000,""))+IF(OR(Atletas!P185="Yang 26 D",Atletas!P185="Yang 40 D"),419,IF(OR(Atletas!P185="Chen 25 D",Atletas!P185="Chen 36 D",Atletas!P185="Chen 56 D"),420,IF(Atletas!P185="Sun 73 D",421,IF(Atletas!P185="Wu 45 D",422,IF(Atletas!P185="Wu-Hao 46 D",423,IF(OR(Atletas!P185="Taijiquan 16 D",Atletas!P185="Taijiquan 24 D",Atletas!P185="Taijiquan 32 D",Atletas!P185="Taijiquan 42 D"),424,IF(OR(Atletas!P185="Yang 26 E",Atletas!P185="Yang 40 E"),425,IF(OR(Atletas!P185="Chen 25 E",Atletas!P185="Chen 36 E",Atletas!P185="Chen 56 E"),426,IF(Atletas!P185="Sun 73 E",427,IF(Atletas!P185="Wu 45 E",428,IF(Atletas!P185="Wu-Hao 46 E",429,IF(OR(Atletas!P185="Taijiquan 16 E",Atletas!P185="Taijiquan 24 E",Atletas!P185="Taijiquan 32 E",Atletas!P185="Taijiquan 42 E"),430,IF(OR(Atletas!P185="Yang 26 F",Atletas!P185="Yang 40 F"),431,IF(OR(Atletas!P185="Chen 25 F",Atletas!P185="Chen 36 F",Atletas!P185="Chen 56 F"),432,IF(Atletas!P185="Sun 73 F",433,IF(Atletas!P185="Wu 45 F",434,IF(Atletas!P185="Wu-Hao 46 F",435,IF(OR(Atletas!P185="Taijiquan 16 F",Atletas!P185="Taijiquan 24 F",Atletas!P185="Taijiquan 32 F",Atletas!P185="Taijiquan 42 F"),436,0)))))))))))))))))))</f>
        <v/>
      </c>
      <c r="BY194" s="50" t="str">
        <f>IF(Atletas!Q185="","",IF(Atletas!X185&lt;&gt;"",10000,0)+IF(Atletas!B185="Feminino",1000,IF(Atletas!B185="Masculino",2000,""))+IF(Atletas!Q185="Xingyiquan A",501,IF(Atletas!Q185="Baguazhang A",502,IF(Atletas!Q185="Outro Estilo Interno A",503,IF(Atletas!Q185="Xingyiquan B",504,IF(Atletas!Q185="Baguazhang B",505,IF(Atletas!Q185="Outro Estilo Interno B",506,IF(Atletas!Q185="Xingyiquan C",507,IF(Atletas!Q185="Baguazhang C",508,IF(Atletas!Q185="Outro Estilo Interno C",509,IF(Atletas!Q185="Xingyiquan D",510,IF(Atletas!Q185="Baguazhang D",511,IF(Atletas!Q185="Outro Estilo Interno D",512,IF(Atletas!Q185="Xingyiquan E",513,IF(Atletas!Q185="Baguazhang E",514,IF(Atletas!Q185="Outro Estilo Interno E",515,IF(Atletas!Q185="Xingyiquan F",516,IF(Atletas!Q185="Baguazhang F",517,IF(Atletas!Q185="Outro Estilo Interno F",518, "")))))))))))))))))))</f>
        <v/>
      </c>
      <c r="BZ194" s="50" t="str">
        <f>IF(Atletas!R185="","",IF(Atletas!X185&lt;&gt;"",10000,0)+IF(Atletas!B185="Feminino",1000,IF(Atletas!B185="Masculino",2000,""))+IF(Atletas!R185="Dao A",601,IF(Atletas!R185="Jian A",602,IF(Atletas!R185="Bishou A",603,IF(Atletas!R185="Shanzi A",604,IF(Atletas!R185="Outra Arma Curta A",605,IF(Atletas!R185="Dao B",606,IF(Atletas!R185="Jian B",607,IF(Atletas!R185="Bishou B",608,IF(Atletas!R185="Shanzi B",609,IF(Atletas!R185="Outra Arma Curta B",610,IF(Atletas!R185="Dao C",611,IF(Atletas!R185="Jian C",612,IF(Atletas!R185="Bishou C",613,IF(Atletas!R185="Shanzi C",614,IF(Atletas!R185="Outra Arma Curta C",615,IF(Atletas!R185="Dao D",616,IF(Atletas!R185="Jian D",617,IF(Atletas!R185="Bishou D",618,IF(Atletas!R185="Shanzi D",619,IF(Atletas!R185="Outra Arma Curta D",620,IF(Atletas!R185="Dao E",621,IF(Atletas!R185="Jian E",622,IF(Atletas!R185="Bishou E",623,IF(Atletas!R185="Shanzi E",624,IF(Atletas!R185="Outra Arma Curta E",625,IF(Atletas!R185="Dao F",626,IF(Atletas!R185="Jian F",627,IF(Atletas!R185="Bishou F",628,IF(Atletas!R185="Shanzi F",629,IF(Atletas!R185="Outra Arma Curta F",630, "")))))))))))))))))))))))))))))))</f>
        <v/>
      </c>
      <c r="CA194" s="50" t="str">
        <f>IF(Atletas!S185="","",IF(Atletas!X185&lt;&gt;"",10000,0)+IF(Atletas!B185="Feminino",1000,IF(Atletas!B185="Masculino",2000,""))+IF(Atletas!S185="Gun A",701,IF(Atletas!S185="Qiang A",702,IF(Atletas!S185="Pudao / Guandao A",703,IF(Atletas!S185="Outra Arma Longa A",704,IF(Atletas!S185="Gun B",705,IF(Atletas!S185="Qiang B",706,IF(Atletas!S185="Pudao / Guandao B",707,IF(Atletas!S185="Outra Arma Longa B",708,IF(Atletas!S185="Gun C",709,IF(Atletas!S185="Qiang C",710,IF(Atletas!S185="Pudao / Guandao C",711,IF(Atletas!S185="Outra Arma Longa C",712,IF(Atletas!S185="Gun D",713,IF(Atletas!S185="Qiang D",714,IF(Atletas!S185="Pudao / Guandao D",715,IF(Atletas!S185="Outra Arma Longa D",716,IF(Atletas!S185="Gun E",717,IF(Atletas!S185="Qiang E",718,IF(Atletas!S185="Pudao / Guandao E",719,IF(Atletas!S185="Outra Arma Longa E",720,IF(Atletas!S185="Gun F",721,IF(Atletas!S185="Qiang F",722,IF(Atletas!S185="Pudao / Guandao F",723,IF(Atletas!S185="Outra Arma Longa F",724,"")))))))))))))))))))))))))</f>
        <v/>
      </c>
      <c r="CB194" s="50" t="str">
        <f>IF(Atletas!T185="","",IF(Atletas!X185&lt;&gt;"",10000,0)+IF(Atletas!B185="Feminino",1000,IF(Atletas!B185="Masculino",2000,""))+IF(Atletas!T185="Outra Arma Dupla A",801,IF(Atletas!T185="Arma Maleável A",802,IF(Atletas!T185="Outra Arma Dupla B",803,IF(Atletas!T185="Arma Maleável B",804,IF(Atletas!T185="Outra Arma Dupla C",805,IF(Atletas!T185="Arma Maleável C",806,IF(Atletas!T185="Outra Arma Dupla D",807,IF(Atletas!T185="Arma Maleável D",808,IF(Atletas!T185="Outra Arma Dupla E",809,IF(Atletas!T185="Arma Maleável E",810,IF(Atletas!T185="Outra Arma Dupla F",811,IF(Atletas!T185="Arma Maleável F",812,IF(Atletas!T185="Shuangdao A",813,IF(Atletas!T185="Shuangdao B",814,IF(Atletas!T185="Shuangdao C",815,IF(Atletas!T185="Shuangdao D",816,IF(Atletas!T185="Shuangdao E",817,IF(Atletas!T185="Shuangdao F",818,"")))))))))))))))))))</f>
        <v/>
      </c>
      <c r="CC194" s="50" t="str">
        <f>IF(Atletas!U185="","",IF(Atletas!X185&lt;&gt;"",10000,0)+IF(Atletas!B185="Feminino",1000,IF(Atletas!B185="Masculino",2000,""))+IF(OR(Atletas!U185="Taijijian Yang A",Atletas!U185="Taijijian Yang Standard A"),901,IF(OR(Atletas!U185="Taijijian Chen A", Atletas!U185="Taijijian Chen Standard A"),902,IF(Atletas!U185="Taijijian Sun A",903,IF(Atletas!U185="Taijijian Wu A",904,IF(Atletas!U185="Taijijian Wu-Hao A",905,IF(OR(Atletas!U185="Taijijian 32 A",Atletas!U185="Taijijian 42 A"),906,IF(OR(Atletas!U185="Taijijian Yang B",Atletas!U185="Taijijian Yang Standard B"),907,IF(OR(Atletas!U185="Taijijian Chen B", Atletas!U185="Taijijian Chen Standard B"),908,IF(Atletas!U185="Taijijian Sun B",909,IF(Atletas!U185="Taijijian Wu B",910,IF(Atletas!U185="Taijijian Wu-Hao B",911,IF(OR(Atletas!U185="Taijijian 32 B",Atletas!U185="Taijijian 42 B"),912,IF(OR(Atletas!U185="Taijijian Yang C",Atletas!U185="Taijijian Yang Standard C"),913,IF(OR(Atletas!U185="Taijijian Chen C", Atletas!U185="Taijijian Chen Standard C"),914,IF(Atletas!U185="Taijijian Sun C",915,IF(Atletas!U185="Taijijian Wu C",916,IF(Atletas!U185="Taijijian Wu-Hao C",917,IF(OR(Atletas!U185="Taijijian 32 C",Atletas!U185="Taijijian 42 C"),918,IF(OR(Atletas!U185="Taijijian Yang D",Atletas!U185="Taijijian Yang Standard D"),919,IF(OR(Atletas!U185="Taijijian Chen D", Atletas!U185="Taijijian Chen Standard D"),920,IF(Atletas!U185="Taijijian Sun D",921,IF(Atletas!U185="Taijijian Wu D",922,IF(Atletas!U185="Taijijian Wu-Hao D",923,IF(OR(Atletas!U185="Taijijian 32 D",Atletas!U185="Taijijian 42 D"),924,IF(OR(Atletas!U185="Taijijian Yang E",Atletas!U185="Taijijian Yang Standard E"),925,IF(OR(Atletas!U185="Taijijian Chen E", Atletas!U185="Taijijian Chen Standard E"),926,IF(Atletas!U185="Taijijian Sun E",927,IF(Atletas!U185="Taijijian Wu E",928,IF(Atletas!U185="Taijijian Wu-Hao E",929,IF(OR(Atletas!U185="Taijijian 32 E",Atletas!U185="Taijijian 42 E"),930,IF(OR(Atletas!U185="Taijijian Yang F",Atletas!U185="Taijijian Yang Standard F"),931,IF(OR(Atletas!U185="Taijijian Chen F", Atletas!U185="Taijijian Chen Standard F"),932,IF(Atletas!U185="Taijijian Sun F",933,IF(Atletas!U185="Taijijian Wu F",934,IF(Atletas!U185="Taijijian Wu-Hao F",935,IF(OR(Atletas!U185="Taijijian 32 F",Atletas!U185="Taijijian 42 F"),936,"")))))))))))))))))))))))))))))))))))))</f>
        <v/>
      </c>
      <c r="CD194" s="50" t="str">
        <f>IF(Atletas!V185="","",IF(Atletas!X185&lt;&gt;"",10000,0)+IF(Atletas!B185="Feminino",1000,IF(Atletas!B185="Masculino",2000,""))+IF(Atletas!V185="Taijidao A",937,IF(Atletas!V185="TaijiShanzi A",938,IF(Atletas!V185="Taijiqiang A",939,IF(Atletas!V185="Bagua de Arma A",940,IF(Atletas!V185="Xingyi de Arma A",941,IF(Atletas!V185="Taijidao B",942,IF(Atletas!V185="TaijiShanzi B",943,IF(Atletas!V185="Taijiqiang B",944,IF(Atletas!V185="Bagua de Arma B",945,IF(Atletas!V185="Xingyi de Arma B",946,IF(Atletas!V185="Taijidao C",947,IF(Atletas!V185="TaijiShanzi C",948,IF(Atletas!V185="Taijiqiang C",949,IF(Atletas!V185="Bagua de Arma C",950,IF(Atletas!V185="Xingyi de Arma C",951,IF(Atletas!V185="Taijidao D",952,IF(Atletas!V185="TaijiShanzi D",953,IF(Atletas!V185="Taijiqiang D",954,IF(Atletas!V185="Bagua de Arma D",955,IF(Atletas!V185="Xingyi de Arma D",956,IF(Atletas!V185="Taijidao E",957,IF(Atletas!V185="TaijiShanzi E",958,IF(Atletas!V185="Taijiqiang E",959,IF(Atletas!V185="Bagua de Arma E",960,IF(Atletas!V185="Xingyi de Arma E",961,IF(Atletas!V185="Taijidao F",962,IF(Atletas!V185="TaijiShanzi F",963,IF(Atletas!V185="Taijiqiang F",964,IF(Atletas!V185="Bagua de Arma F",965,IF(Atletas!V185="Xingyi de Arma F",966,"")))))))))))))))))))))))))))))))</f>
        <v/>
      </c>
      <c r="CE194" s="66" t="str">
        <f>IF(CF194&lt;&gt;"","TJQ Padr. Chen D","")</f>
        <v/>
      </c>
      <c r="CF194" s="66" t="str">
        <f>IF(COUNTIF(BR:CD,1420)&gt;0,COUNTIF(BR:CD,1420),"")</f>
        <v/>
      </c>
      <c r="CG194" s="66" t="str">
        <f>IF(CH194&lt;&gt;"","TJQ Padr. Chen D","")</f>
        <v/>
      </c>
      <c r="CH194" s="66" t="str">
        <f>IF(COUNTIF(BR:CD,2420)&gt;0,COUNTIF(BR:CD,2420),"")</f>
        <v/>
      </c>
      <c r="CI194" s="66" t="str">
        <f>IF(CJ194&lt;&gt;"","TJQ Padr. Chen E","")</f>
        <v/>
      </c>
      <c r="CJ194" s="66" t="str">
        <f>IF(COUNTIF(BR:CD,11426)&gt;0,COUNTIF(BR:CD,11426),"")</f>
        <v/>
      </c>
      <c r="CK194" s="66" t="str">
        <f>IF(CL194&lt;&gt;"","TJQ Padr. Chen E","")</f>
        <v/>
      </c>
      <c r="CL194" s="66" t="str">
        <f>IF(COUNTIF(BR:CD,12426)&gt;0,COUNTIF(BR:CD,12426),"")</f>
        <v/>
      </c>
      <c r="CM194" s="50" t="str">
        <f xml:space="preserve"> IF(Atletas!W185="","",IF(Atletas!W185="Duilian de Mãos BC - Equipe 1",1,IF(Atletas!W185="Duilian de Mãos BC - Equipe 2",2,IF(Atletas!W185="Duilian de Armas BC - Equipe 1",3,IF(Atletas!W185="Duilian de Armas BC - Equipe 2",4,IF(Atletas!W185="Duilian de Mãos DE - Equipe 1",5,IF(Atletas!W185="Duilian de Mãos DE - Equipe 2",6,IF(Atletas!W185="Duilian de Armas DE - Equipe 1",7,IF(Atletas!W185="Duilian de Armas DE - Equipe 2",8,IF(Atletas!W185="Duilian de Tuishou - Equipe 1",9,IF(Atletas!W185="Duilian de Tuishou - Equipe 2",10,IF(Atletas!W185="Grupo Externo ABC - Equipe 1",11,IF(Atletas!W185="Grupo Externo ABC - Equipe 2",12,IF(Atletas!W185="Grupo Interno ABC - Equipe 1",13,IF(Atletas!W185="Grupo Interno ABC - Equipe 2",14,IF(Atletas!W185="Grupo Externo DEF - Equipe 1",15,IF(Atletas!W185="Grupo Externo DEF - Equipe 2",16,IF(Atletas!W185="Grupo Interno DEF - Equipe 1",17,IF(Atletas!W185="Grupo Interno DEF - Equipe 2",18,"")))))))))))))))))))</f>
        <v/>
      </c>
    </row>
    <row r="195" spans="2:91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 t="str">
        <f t="array" ref="Z195">IFERROR(INDEX(CE$7:CE$348,SMALL(IF(CE$7:CE$348&lt;&gt;"",ROW(CE$7:CE$348)-ROW(CE$7)+1),ROWS(CE$7:CE194))),"")</f>
        <v/>
      </c>
      <c r="AA195" s="3" t="str">
        <f t="array" ref="AA195">IFERROR(INDEX(CF$7:CF$348,SMALL(IF(CF$7:CF$348&lt;&gt;"",ROW(CF$7:CF$348)-ROW(CF$7)+1),ROWS(CF$7:CF194))),"")</f>
        <v/>
      </c>
      <c r="AB195" s="3" t="str">
        <f t="array" ref="AB195">IFERROR(INDEX(CG$7:CG$348,SMALL(IF(CG$7:CG$348&lt;&gt;"",ROW(CG$7:CG$348)-ROW(CG$7)+1),ROWS(CG$7:CG194))),"")</f>
        <v/>
      </c>
      <c r="AC195" s="3" t="str">
        <f t="array" ref="AC195">IFERROR(INDEX(CH$7:CH$348,SMALL(IF(CH$7:CH$348&lt;&gt;"",ROW(CH$7:CH$348)-ROW(CH$7)+1),ROWS(CH$7:CH194))),"")</f>
        <v/>
      </c>
      <c r="AD195" s="3" t="str">
        <f t="array" ref="AD195">IFERROR(INDEX(CI$7:CI$377,SMALL(IF(CI$7:CI$377&lt;&gt;"",ROW(CI$7:CI$377)-ROW(CI$7)+1),ROWS(CI$7:CI194))),"")</f>
        <v/>
      </c>
      <c r="AE195" s="3" t="str">
        <f t="array" ref="AE195">IFERROR(INDEX(CJ$7:CJ$378,SMALL(IF(CJ$7:CJ$378&lt;&gt;"",ROW(CJ$7:CJ$378)-ROW(CJ$7)+1),ROWS(CJ$7:CJ194))),"")</f>
        <v/>
      </c>
      <c r="AF195" s="3" t="str">
        <f t="array" ref="AF195">IFERROR(INDEX(CK$7:CK$378,SMALL(IF(CK$7:CK$378&lt;&gt;"",ROW(CK$7:CK$378)-ROW(CK$7)+1),ROWS(CK$7:CK194))),"")</f>
        <v/>
      </c>
      <c r="AG195" s="3" t="str">
        <f t="array" ref="AG195">IFERROR(INDEX(CL$7:CL$378,SMALL(IF(CL$7:CL$378&lt;&gt;"",ROW(CL$7:CL$378)-ROW(CL$7)+1),ROWS(CL$7:CL194))),"")</f>
        <v/>
      </c>
      <c r="AH195" s="3"/>
      <c r="AI195" s="3"/>
      <c r="AJ195" s="3"/>
      <c r="AK195" s="3"/>
      <c r="AL195" s="3"/>
      <c r="AM195" s="3"/>
      <c r="AN195" s="52" t="str">
        <f>IF(Atletas!D186="","",IF(Atletas!B186="Feminino",100,IF(Atletas!B186="Masculino",200,""))+(IF(Atletas!D186="Kids 30kg",1,IF(Atletas!D186="Kids 32kg",2, IF(Atletas!D186="Kids 34kg",3,IF(Atletas!D186="Kids 36kg",4,IF(Atletas!D186="Kids 39kg",5,IF(Atletas!D186="Kids 42kg",6,IF(Atletas!D186="Kids 45kg",7, IF(Atletas!D186="Infantil 39kg",8,IF(Atletas!D186="Infantil 42kg",9,IF(Atletas!D186="Infantil 45kg",10,IF(Atletas!D186="Infantil 48kg",11,IF(Atletas!D186="Infantil 52kg",12,IF(Atletas!D186="Infantil 56kg",13,IF(Atletas!D186="Infantil 60kg",14,IF(Atletas!D186="Juvenil 48kg",15,IF(Atletas!D186="Juvenil 52kg",16,IF(Atletas!D186="Juvenil 56kg",17,IF(Atletas!D186="Juvenil 60kg",18,IF(Atletas!D186="Juvenil 65kg",19,IF(Atletas!D186="Juvenil 70kg",20,IF(Atletas!D186="Juvenil 75kg",21,IF(Atletas!D186="Juvenil 80kg",22, IF(Atletas!D186="Juvenil 85kg",23,IF(Atletas!D186="Adulto 48kg",24,IF(Atletas!D186="Adulto 52kg",25,IF(Atletas!D186="Adulto 56kg",26,IF(Atletas!D186="Adulto 60kg",27,IF(Atletas!D186="Adulto 65kg",28,IF(Atletas!D186="Adulto 70kg",29,IF(Atletas!D186="Adulto 75kg",30,IF(Atletas!D186="Adulto 80kg",31,IF(Atletas!D186="Adulto 85kg",32,IF(Atletas!D186="Adulto 90kg",33,IF(Atletas!D186="Adulto 100kg",34, IF(Atletas!D186="Adulto +100kg",35,"")))))))))))))))))))))))))))))))))))))</f>
        <v/>
      </c>
      <c r="AS195" s="6" t="str">
        <f>IF(Atletas!E186="","",IF(Atletas!B186="Feminino",100,IF(Atletas!B186="Masculino",200,""))+(IF(Atletas!E186="Juvenil 44kg",1,IF(Atletas!E186="Juvenil 48kg",2,IF(Atletas!E186="Juvenil 52kg",3,IF(Atletas!E186="Juvenil 56kg",4,IF(Atletas!E186="Juvenil 60kg",5,IF(Atletas!E186="Juvenil 65kg",6,IF(Atletas!E186="Juvenil 70kg",7,IF(Atletas!E186="Juvenil 75kg",8,IF(Atletas!E186="Juvenil 82kg",9,IF(Atletas!E186="Juvenil 90kg",10,IF(Atletas!E186="Juvenil 100kg",11,IF(Atletas!E186="Adulto 48kg",12,IF(Atletas!E186="Adulto 52kg",13,IF(Atletas!E186="Adulto 56kg",14,IF(Atletas!E186="Adulto 60kg",15,IF(Atletas!E186="Adulto 65kg",16,IF(Atletas!E186="Adulto 70kg",17,IF(Atletas!E186="Adulto 75kg",18,IF(Atletas!E186="Adulto 82kg",19,IF(Atletas!E186="Adulto 90kg",20,IF(Atletas!E186="Adulto 100kg",21,IF(Atletas!E186="Adulto +100kg",22,""))))))))))))))))))))))))</f>
        <v/>
      </c>
      <c r="AX195" s="6" t="str">
        <f>IF(Atletas!F186="","",IF(Atletas!B186="Feminino",100,IF(Atletas!B186="Masculino",200,""))+(IF(Atletas!F186="Adulto 48kg",1,IF(Atletas!F186="Adulto 56kg",2,IF(Atletas!F186="Adulto 65kg",3,IF(Atletas!F186="Adulto 75kg",4,IF(Atletas!F186="Adulto +75kg",5,IF(Atletas!F186="Adulto 52kg",6,IF(Atletas!F186="Adulto 60kg",7,IF(Atletas!F186="Adulto 70kg",8,IF(Atletas!F186="Adulto 80kg",9,IF(Atletas!F186="Adulto 90kg",10,IF(Atletas!F186="Adulto +90kg",11,"")))))))))))))</f>
        <v/>
      </c>
      <c r="BC195" s="6" t="str">
        <f>IF(Atletas!G186="","",IF(Atletas!B186="Feminino",10,IF(Atletas!B186="Masculino",20,""))+(IF(Atletas!G186="Baduanjin A",1,IF(Atletas!G186="Baduanjin B",2))))</f>
        <v/>
      </c>
      <c r="BF195" s="52" t="str">
        <f>IF(Atletas!H186="","",IF(Atletas!B186="Feminino",100,IF(Atletas!B186="Masculino",200,""))+(IF(Atletas!H186="Changquan Mirim",1,IF(Atletas!H186="Nanquan Mirim",2,IF(Atletas!H186="Taijiquan Mirim",3,IF(Atletas!H186="Changquan Grupo C",4,IF(Atletas!H186="Nanquan Grupo C",5,IF(Atletas!H186="Taijiquan Grupo C",6,IF(Atletas!H186="Changquan Grupo B",7,IF(Atletas!H186="Nanquan Grupo B",8,IF(Atletas!H186="Taijiquan Grupo B",9,IF(Atletas!H186="Changquan Grupo A",10,IF(Atletas!H186="Nanquan Grupo A",11,IF(Atletas!H186="Taijiquan Grupo A",12,IF(Atletas!H186="Changquan Opcional",13,IF(Atletas!H186="Nanquan Opcional",14,IF(Atletas!H186="Taijiquan Opcional",15,IF(Atletas!H186="Changquan Adulto",16,IF(Atletas!H186="Nanquan Adulto",17,IF(Atletas!H186="Taijiquan Adulto",18,""))))))))))))))))))))</f>
        <v/>
      </c>
      <c r="BG195" s="52" t="str">
        <f>IF(Atletas!I186="","",IF(Atletas!B186="Feminino",100,IF(Atletas!B186="Masculino",200,""))+(IF(Atletas!I186="Daoshu Mirim",19,IF(Atletas!I186="Jianshu Mirim",20,IF(Atletas!I186="Nandao Mirim",21,IF(Atletas!I186="Taijijian Mirim",22,IF(Atletas!I186="Daoshu Grupo C",23,IF(Atletas!I186="Jianshu Grupo C",24,IF(Atletas!I186="Nandao Grupo C",25,IF(Atletas!I186="Taijijian Grupo C",26,IF(Atletas!I186="Daoshu Grupo B",27,IF(Atletas!I186="Jianshu Grupo B",28,IF(Atletas!I186="Nandao Grupo B",29,IF(Atletas!I186="Taijijian Grupo B",30,IF(Atletas!I186="Daoshu Grupo A",31,IF(Atletas!I186="Jianshu Grupo A",32,IF(Atletas!I186="Nandao Grupo A",33,IF(Atletas!I186="Taijijian Grupo A",34,IF(Atletas!I186="Daoshu Opcional",35,IF(Atletas!I186="Jianshu Opcional",36,IF(Atletas!I186="Nandao Opcional",37,IF(Atletas!I186="Taijijian Opcional",38,IF(Atletas!I186="Daoshu Adulto",39,IF(Atletas!I186="Jianshu Adulto",40,IF(Atletas!I186="Nandao Adulto",41,IF(Atletas!I186="Taijijian Adulto",42,""))))))))))))))))))))))))))</f>
        <v/>
      </c>
      <c r="BH195" s="52" t="str">
        <f>IF(Atletas!J186="","",IF(Atletas!B186="Feminino",100,IF(Atletas!B186="Masculino",200,""))+(IF(Atletas!J186="Gunshu Mirim",43,IF(Atletas!J186="Qiangshu Mirim",44,IF(Atletas!J186="Nangun Mirim",45,IF(Atletas!J186="Gunshu Grupo C",46,IF(Atletas!J186="Qiangshu Grupo C",47,IF(Atletas!J186="Nangun Grupo C",48,IF(Atletas!J186="Gunshu Grupo B",49,IF(Atletas!J186="Qiangshu Grupo B",50,IF(Atletas!J186="Nangun Grupo B",51,IF(Atletas!J186="Gunshu Grupo A",52,IF(Atletas!J186="Qiangshu Grupo A",53,IF(Atletas!J186="Nangun Grupo A",54,IF(Atletas!J186="Gunshu Opcional",55,IF(Atletas!J186="Qiangshu Opcional",56,IF(Atletas!J186="Nangun Opcional",57,IF(Atletas!J186="Gunshu Adulto",58,IF(Atletas!J186="Qiangshu Adulto",59,IF(Atletas!J186="Nangun Adulto",60,IF(Atletas!J186="Taijishan Grupo B",61,IF(Atletas!J186="Taijishan Grupo A",62,""))))))))))))))))))))))</f>
        <v/>
      </c>
      <c r="BM195" s="50" t="str">
        <f>IF(Atletas!K186="","",IF(Atletas!B186="Feminino",100,IF(Atletas!B186="Masculino",200,""))+(IF(Atletas!K186="Equipe 1 Grupo B",1,IF(Atletas!K186="Equipe 2 Grupo B",2,IF(Atletas!K186="Equipe 1 Grupo A",3,IF(Atletas!K186="Equipe 2 Grupo A",4,IF(Atletas!K186="Equipe 1 Adulto",5,IF(Atletas!K186="Equipe 2 Adulto",6,""))))))))</f>
        <v/>
      </c>
      <c r="BR195" s="50" t="str">
        <f>IF(Atletas!L186="","",IF(Atletas!X186&lt;&gt;"",10000,0)+(IF(Atletas!B186="Feminino",1000,IF(Atletas!B186="Masculino",2000,""))+IF(Atletas!L186="Choylayfut A",1,IF(Atletas!L186="Hunggar A",2,IF(Atletas!L186="Wuzuquan A",3,IF(Atletas!L186="Wingchun A",4,IF(Atletas!L186="Outra Mão de Sul A",5,IF(Atletas!L186="Choylayfut B",6,IF(Atletas!L186="Hunggar B",7,IF(Atletas!L186="Wuzuquan B",8,IF(Atletas!L186="Wingchun B",9,IF(Atletas!L186="Outra Mão de Sul B",10,IF(Atletas!L186="Choylayfut C",11,IF(Atletas!L186="Hunggar C",12,IF(Atletas!L186="Wuzuquan C",13,IF(Atletas!L186="Wingchun C",14,IF(Atletas!L186="Outra Mão de Sul C",15,IF(Atletas!L186="Choylayfut D",16,IF(Atletas!L186="Hunggar D",17,IF(Atletas!L186="Wuzuquan D",18,IF(Atletas!L186="Wingchun D",19,IF(Atletas!L186="Outra Mão de Sul D",20,IF(Atletas!L186="Choylayfut E",21,IF(Atletas!L186="Hunggar E",22,IF(Atletas!L186="Wuzuquan E",23,IF(Atletas!L186="Wingchun E",24,IF(Atletas!L186="Outra Mão de Sul E",25,IF(Atletas!L186="Choylayfut F",26,IF(Atletas!L186="Hunggar F",27,IF(Atletas!L186="Wuzuquan F",28,IF(Atletas!L186="Wingchun F",29,IF(Atletas!L186="Outra Mão de Sul F",30,IF(Atletas!L186="Dishuquan A",31,IF(Atletas!L186="Dishuquan B",32,IF(Atletas!L186="Dishuquan C",33,IF(Atletas!L186="Dishuquan D",34,IF(Atletas!L186="Dishuquan E",35,IF(Atletas!L186="Dishuquan F",36,""))))))))))))))))))))))))))))))))))))))</f>
        <v/>
      </c>
      <c r="BS195" s="50" t="str">
        <f>IF(Atletas!M186="","",IF(Atletas!X186&lt;&gt;"",10000,0)+(IF(Atletas!B186="Feminino",1000,IF(Atletas!B186="Masculino",2000,""))+(IF(Atletas!M186="Chaquan A",101,IF(Atletas!M186="Emeiquan A",102,IF(Atletas!M186="Fanziquan A",103,IF(Atletas!M186="Huaquan A",104,IF(Atletas!M186="Hongquan A",105,IF(Atletas!M186="Paoquan A",106,IF(Atletas!M186="Piguaquan A",107,IF(Atletas!M186="Shaolinquan A",108,IF(Atletas!M186="Tanglangquan A",109,IF(Atletas!M186="Yingzhaoquan A",110,IF(Atletas!M186="Tongbeiquan A",111,IF(Atletas!M186="Wudangquan A",112,IF(Atletas!M186="Outros Estilos A",113,IF(Atletas!M186="Chaquan B",114,IF(Atletas!M186="Emeiquan B",115,IF(Atletas!M186="Fanziquan B",116,IF(Atletas!M186="Huaquan B",117,IF(Atletas!M186="Hongquan B",118,IF(Atletas!M186="Paoquan B",119,IF(Atletas!M186="Piguaquan B",120,IF(Atletas!M186="Shaolinquan B",121,IF(Atletas!M186="Tanglangquan B",122,IF(Atletas!M186="Yingzhaoquan B",123,IF(Atletas!M186="Tongbeiquan B",124,IF(Atletas!M186="Wudangquan B",125,IF(Atletas!M186="Outros Estilos B",126,IF(Atletas!M186="Chaquan C",127,IF(Atletas!M186="Emeiquan C",128,IF(Atletas!M186="Fanziquan C",129,IF(Atletas!M186="Huaquan C",130,IF(Atletas!M186="Hongquan C",131,IF(Atletas!M186="Paoquan C",132,IF(Atletas!M186="Piguaquan C",133,IF(Atletas!M186="Shaolinquan C",134,IF(Atletas!M186="Tanglangquan C",135,IF(Atletas!M186="Yingzhaoquan C",136,IF(Atletas!M186="Tongbeiquan C",137,IF(Atletas!M186="Wudangquan C",138,IF(Atletas!M186="Outros Estilos C",139,0))))))))))))))))))))))))))))))))))))))))))</f>
        <v/>
      </c>
      <c r="BT195" s="50" t="str">
        <f>IF(Atletas!M186="","",IF(Atletas!X186&lt;&gt;"",10000,0)+(IF(Atletas!B186="Feminino",1000,IF(Atletas!B186="Masculino",2000,""))+(IF(Atletas!M186="Chaquan D",140,IF(Atletas!M186="Emeiquan D",141,IF(Atletas!M186="Fanziquan D",142,IF(Atletas!M186="Huaquan D",143,IF(Atletas!M186="Hongquan D",144,IF(Atletas!M186="Paoquan D",145,IF(Atletas!M186="Piguaquan D",146,IF(Atletas!M186="Shaolinquan D",147,IF(Atletas!M186="Tanglangquan D",148,IF(Atletas!M186="Yingzhaoquan D",149,IF(Atletas!M186="Tongbeiquan D",150,IF(Atletas!M186="Wudangquan D",151,IF(Atletas!M186="Outros Estilos D",152,IF(Atletas!M186="Chaquan E",153,IF(Atletas!M186="Emeiquan E",154,IF(Atletas!M186="Fanziquan E",155,IF(Atletas!M186="Huaquan E",156,IF(Atletas!M186="Hongquan E",157,IF(Atletas!M186="Paoquan E",158,IF(Atletas!M186="Piguaquan E",159,IF(Atletas!M186="Shaolinquan E",160,IF(Atletas!M186="Tanglangquan E",161,IF(Atletas!M186="Yingzhaoquan E",162,IF(Atletas!M186="Tongbeiquan E",163,IF(Atletas!M186="Wudangquan E",164,IF(Atletas!M186="Outros Estilos E",165,IF(Atletas!M186="Chaquan F",166,IF(Atletas!M186="Emeiquan F",167,IF(Atletas!M186="Fanziquan F",168,IF(Atletas!M186="Huaquan F",169,IF(Atletas!M186="Hongquan F",170,IF(Atletas!M186="Paoquan F",171,IF(Atletas!M186="Piguaquan F",172,IF(Atletas!M186="Shaolinquan F",173,IF(Atletas!M186="Tanglangquan F",174,IF(Atletas!M186="Yingzhaoquan F",175,IF(Atletas!M186="Tongbeiquan F",176,IF(Atletas!M186="Wudangquan F",177,IF(Atletas!M186="Outros Estilos F",178,0))))))))))))))))))))))))))))))))))))))))))</f>
        <v/>
      </c>
      <c r="BU195" s="50" t="str">
        <f>IF(Atletas!N186="","",IF(Atletas!X186&lt;&gt;"",10000,0)+(IF(Atletas!B186="Feminino",1000,IF(Atletas!B186="Masculino",2000,""))+(IF(Atletas!N186="Ditangquan A",201,IF(Atletas!N186="Houquan A",202,IF(Atletas!N186="Zuiquan A",203,IF(Atletas!N186="Ditangquan B",204,IF(Atletas!N186="Houquan B",205,IF(Atletas!N186="Zuiquan B",206,IF(Atletas!N186="Ditangquan C",207,IF(Atletas!N186="Houquan C",208,IF(Atletas!N186="Zuiquan C",209,IF(Atletas!N186="Ditangquan D",210,IF(Atletas!N186="Houquan D",211,IF(Atletas!N186="Zuiquan D",212,IF(Atletas!N186="Ditangquan E",213,IF(Atletas!N186="Houquan E",214,IF(Atletas!N186="Zuiquan E",215,IF(Atletas!N186="Ditangquan F",216,IF(Atletas!N186="Houquan F",217,IF(Atletas!N186="Zuiquan F",218,"")))))))))))))))))))))</f>
        <v/>
      </c>
      <c r="BV195" s="50" t="str">
        <f>IF(Atletas!O186="","",IF(Atletas!X186&lt;&gt;"",10000,0)+IF(Atletas!B186="Feminino",1000,IF(Atletas!B186="Masculino",2000,""))+IF(Atletas!O186="Yang A",301,IF(Atletas!O186="Chen A",302,IF(Atletas!O186="Sun A",303,IF(Atletas!O186="Wu A",304,IF(Atletas!O186="Wu-Hao A",305,IF(Atletas!O186="Outro Taijiquan A",306,IF(Atletas!O186="Yang B",307,IF(Atletas!O186="Chen B",308,IF(Atletas!O186="Sun B",309,IF(Atletas!O186="Wu B",310,IF(Atletas!O186="Wu-Hao B",311,IF(Atletas!O186="Outro Taijiquan B",312,IF(Atletas!O186="Yang C",313,IF(Atletas!O186="Chen C",314,IF(Atletas!O186="Sun C",315,IF(Atletas!O186="Wu C",316,IF(Atletas!O186="Wu-Hao C",317,IF(Atletas!O186="Outro Taijiquan C",318,IF(Atletas!O186="Yang D",319,IF(Atletas!O186="Chen D",320,IF(Atletas!O186="Sun D",321,IF(Atletas!O186="Wu D",322,IF(Atletas!O186="Wu-Hao D",323,IF(Atletas!O186="Outro Taijiquan D",324,IF(Atletas!O186="Yang E",325,IF(Atletas!O186="Chen E",326,IF(Atletas!O186="Sun E",327,IF(Atletas!O186="Wu E",328,IF(Atletas!O186="Wu-Hao E",329,IF(Atletas!O186="Outro Taijiquan E",330,IF(Atletas!O186="Yang F",331,IF(Atletas!O186="Chen F",332,IF(Atletas!O186="Sun F",333,IF(Atletas!O186="Wu F",334,IF(Atletas!O186="Wu-Hao F",335,IF(Atletas!O186="Outro Taijiquan F",336,"")))))))))))))))))))))))))))))))))))))</f>
        <v/>
      </c>
      <c r="BW195" s="50" t="str">
        <f>IF(Atletas!P186="","",IF(Atletas!X186&lt;&gt;"",10000,0)+IF(Atletas!B186="Feminino",1000,IF(Atletas!B186="Masculino",2000,""))+IF(OR(Atletas!P186="Yang 26 A",Atletas!P186="Yang 40 A"),401,IF(OR(Atletas!P186="Chen 25 A",Atletas!P186="Chen 36 A",Atletas!P186="Chen 56 A"),402,IF(Atletas!P186="Sun 73 A",403,IF(Atletas!P186="Wu 45 A",404,IF(Atletas!P186="Wu-Hao 46 A",405,IF(OR(Atletas!P186="Taijiquan 16 A",Atletas!P186="Taijiquan 24 A",Atletas!P186="Taijiquan 32 A",Atletas!P186="Taijiquan 42 A"),406,IF(OR(Atletas!P186="Yang 26 B",Atletas!P186="Yang 40 B"),407,IF(OR(Atletas!P186="Chen 25 B",Atletas!P186="Chen 36 B",Atletas!P186="Chen 56 B"),408,IF(Atletas!P186="Sun 73 B",409,IF(Atletas!P186="Wu 45 B",410,IF(Atletas!P186="Wu-Hao 46 B",411,IF(OR(Atletas!P186="Taijiquan 16 B",Atletas!P186="Taijiquan 24 B",Atletas!P186="Taijiquan 32 B",Atletas!P186="Taijiquan 42 B"),412,IF(OR(Atletas!P186="Yang 26 C",Atletas!P186="Yang 40 C"),413,IF(OR(Atletas!P186="Chen 25 C",Atletas!P186="Chen 36 C",Atletas!P186="Chen 56 C"),414,IF(Atletas!P186="Sun 73 C",415,IF(Atletas!P186="Wu 45 C",416,IF(Atletas!P186="Wu-Hao 46 C",417,IF(OR(Atletas!P186="Taijiquan 16 C",Atletas!P186="Taijiquan 24 C",Atletas!P186="Taijiquan 32 C",Atletas!P186="Taijiquan 42 C"),418,0)))))))))))))))))))</f>
        <v/>
      </c>
      <c r="BX195" s="50" t="str">
        <f>IF(Atletas!P186="","",IF(Atletas!X186&lt;&gt;"",10000,0)+IF(Atletas!B186="Feminino",1000,IF(Atletas!B186="Masculino",2000,""))+IF(OR(Atletas!P186="Yang 26 D",Atletas!P186="Yang 40 D"),419,IF(OR(Atletas!P186="Chen 25 D",Atletas!P186="Chen 36 D",Atletas!P186="Chen 56 D"),420,IF(Atletas!P186="Sun 73 D",421,IF(Atletas!P186="Wu 45 D",422,IF(Atletas!P186="Wu-Hao 46 D",423,IF(OR(Atletas!P186="Taijiquan 16 D",Atletas!P186="Taijiquan 24 D",Atletas!P186="Taijiquan 32 D",Atletas!P186="Taijiquan 42 D"),424,IF(OR(Atletas!P186="Yang 26 E",Atletas!P186="Yang 40 E"),425,IF(OR(Atletas!P186="Chen 25 E",Atletas!P186="Chen 36 E",Atletas!P186="Chen 56 E"),426,IF(Atletas!P186="Sun 73 E",427,IF(Atletas!P186="Wu 45 E",428,IF(Atletas!P186="Wu-Hao 46 E",429,IF(OR(Atletas!P186="Taijiquan 16 E",Atletas!P186="Taijiquan 24 E",Atletas!P186="Taijiquan 32 E",Atletas!P186="Taijiquan 42 E"),430,IF(OR(Atletas!P186="Yang 26 F",Atletas!P186="Yang 40 F"),431,IF(OR(Atletas!P186="Chen 25 F",Atletas!P186="Chen 36 F",Atletas!P186="Chen 56 F"),432,IF(Atletas!P186="Sun 73 F",433,IF(Atletas!P186="Wu 45 F",434,IF(Atletas!P186="Wu-Hao 46 F",435,IF(OR(Atletas!P186="Taijiquan 16 F",Atletas!P186="Taijiquan 24 F",Atletas!P186="Taijiquan 32 F",Atletas!P186="Taijiquan 42 F"),436,0)))))))))))))))))))</f>
        <v/>
      </c>
      <c r="BY195" s="50" t="str">
        <f>IF(Atletas!Q186="","",IF(Atletas!X186&lt;&gt;"",10000,0)+IF(Atletas!B186="Feminino",1000,IF(Atletas!B186="Masculino",2000,""))+IF(Atletas!Q186="Xingyiquan A",501,IF(Atletas!Q186="Baguazhang A",502,IF(Atletas!Q186="Outro Estilo Interno A",503,IF(Atletas!Q186="Xingyiquan B",504,IF(Atletas!Q186="Baguazhang B",505,IF(Atletas!Q186="Outro Estilo Interno B",506,IF(Atletas!Q186="Xingyiquan C",507,IF(Atletas!Q186="Baguazhang C",508,IF(Atletas!Q186="Outro Estilo Interno C",509,IF(Atletas!Q186="Xingyiquan D",510,IF(Atletas!Q186="Baguazhang D",511,IF(Atletas!Q186="Outro Estilo Interno D",512,IF(Atletas!Q186="Xingyiquan E",513,IF(Atletas!Q186="Baguazhang E",514,IF(Atletas!Q186="Outro Estilo Interno E",515,IF(Atletas!Q186="Xingyiquan F",516,IF(Atletas!Q186="Baguazhang F",517,IF(Atletas!Q186="Outro Estilo Interno F",518, "")))))))))))))))))))</f>
        <v/>
      </c>
      <c r="BZ195" s="50" t="str">
        <f>IF(Atletas!R186="","",IF(Atletas!X186&lt;&gt;"",10000,0)+IF(Atletas!B186="Feminino",1000,IF(Atletas!B186="Masculino",2000,""))+IF(Atletas!R186="Dao A",601,IF(Atletas!R186="Jian A",602,IF(Atletas!R186="Bishou A",603,IF(Atletas!R186="Shanzi A",604,IF(Atletas!R186="Outra Arma Curta A",605,IF(Atletas!R186="Dao B",606,IF(Atletas!R186="Jian B",607,IF(Atletas!R186="Bishou B",608,IF(Atletas!R186="Shanzi B",609,IF(Atletas!R186="Outra Arma Curta B",610,IF(Atletas!R186="Dao C",611,IF(Atletas!R186="Jian C",612,IF(Atletas!R186="Bishou C",613,IF(Atletas!R186="Shanzi C",614,IF(Atletas!R186="Outra Arma Curta C",615,IF(Atletas!R186="Dao D",616,IF(Atletas!R186="Jian D",617,IF(Atletas!R186="Bishou D",618,IF(Atletas!R186="Shanzi D",619,IF(Atletas!R186="Outra Arma Curta D",620,IF(Atletas!R186="Dao E",621,IF(Atletas!R186="Jian E",622,IF(Atletas!R186="Bishou E",623,IF(Atletas!R186="Shanzi E",624,IF(Atletas!R186="Outra Arma Curta E",625,IF(Atletas!R186="Dao F",626,IF(Atletas!R186="Jian F",627,IF(Atletas!R186="Bishou F",628,IF(Atletas!R186="Shanzi F",629,IF(Atletas!R186="Outra Arma Curta F",630, "")))))))))))))))))))))))))))))))</f>
        <v/>
      </c>
      <c r="CA195" s="50" t="str">
        <f>IF(Atletas!S186="","",IF(Atletas!X186&lt;&gt;"",10000,0)+IF(Atletas!B186="Feminino",1000,IF(Atletas!B186="Masculino",2000,""))+IF(Atletas!S186="Gun A",701,IF(Atletas!S186="Qiang A",702,IF(Atletas!S186="Pudao / Guandao A",703,IF(Atletas!S186="Outra Arma Longa A",704,IF(Atletas!S186="Gun B",705,IF(Atletas!S186="Qiang B",706,IF(Atletas!S186="Pudao / Guandao B",707,IF(Atletas!S186="Outra Arma Longa B",708,IF(Atletas!S186="Gun C",709,IF(Atletas!S186="Qiang C",710,IF(Atletas!S186="Pudao / Guandao C",711,IF(Atletas!S186="Outra Arma Longa C",712,IF(Atletas!S186="Gun D",713,IF(Atletas!S186="Qiang D",714,IF(Atletas!S186="Pudao / Guandao D",715,IF(Atletas!S186="Outra Arma Longa D",716,IF(Atletas!S186="Gun E",717,IF(Atletas!S186="Qiang E",718,IF(Atletas!S186="Pudao / Guandao E",719,IF(Atletas!S186="Outra Arma Longa E",720,IF(Atletas!S186="Gun F",721,IF(Atletas!S186="Qiang F",722,IF(Atletas!S186="Pudao / Guandao F",723,IF(Atletas!S186="Outra Arma Longa F",724,"")))))))))))))))))))))))))</f>
        <v/>
      </c>
      <c r="CB195" s="50" t="str">
        <f>IF(Atletas!T186="","",IF(Atletas!X186&lt;&gt;"",10000,0)+IF(Atletas!B186="Feminino",1000,IF(Atletas!B186="Masculino",2000,""))+IF(Atletas!T186="Outra Arma Dupla A",801,IF(Atletas!T186="Arma Maleável A",802,IF(Atletas!T186="Outra Arma Dupla B",803,IF(Atletas!T186="Arma Maleável B",804,IF(Atletas!T186="Outra Arma Dupla C",805,IF(Atletas!T186="Arma Maleável C",806,IF(Atletas!T186="Outra Arma Dupla D",807,IF(Atletas!T186="Arma Maleável D",808,IF(Atletas!T186="Outra Arma Dupla E",809,IF(Atletas!T186="Arma Maleável E",810,IF(Atletas!T186="Outra Arma Dupla F",811,IF(Atletas!T186="Arma Maleável F",812,IF(Atletas!T186="Shuangdao A",813,IF(Atletas!T186="Shuangdao B",814,IF(Atletas!T186="Shuangdao C",815,IF(Atletas!T186="Shuangdao D",816,IF(Atletas!T186="Shuangdao E",817,IF(Atletas!T186="Shuangdao F",818,"")))))))))))))))))))</f>
        <v/>
      </c>
      <c r="CC195" s="50" t="str">
        <f>IF(Atletas!U186="","",IF(Atletas!X186&lt;&gt;"",10000,0)+IF(Atletas!B186="Feminino",1000,IF(Atletas!B186="Masculino",2000,""))+IF(OR(Atletas!U186="Taijijian Yang A",Atletas!U186="Taijijian Yang Standard A"),901,IF(OR(Atletas!U186="Taijijian Chen A", Atletas!U186="Taijijian Chen Standard A"),902,IF(Atletas!U186="Taijijian Sun A",903,IF(Atletas!U186="Taijijian Wu A",904,IF(Atletas!U186="Taijijian Wu-Hao A",905,IF(OR(Atletas!U186="Taijijian 32 A",Atletas!U186="Taijijian 42 A"),906,IF(OR(Atletas!U186="Taijijian Yang B",Atletas!U186="Taijijian Yang Standard B"),907,IF(OR(Atletas!U186="Taijijian Chen B", Atletas!U186="Taijijian Chen Standard B"),908,IF(Atletas!U186="Taijijian Sun B",909,IF(Atletas!U186="Taijijian Wu B",910,IF(Atletas!U186="Taijijian Wu-Hao B",911,IF(OR(Atletas!U186="Taijijian 32 B",Atletas!U186="Taijijian 42 B"),912,IF(OR(Atletas!U186="Taijijian Yang C",Atletas!U186="Taijijian Yang Standard C"),913,IF(OR(Atletas!U186="Taijijian Chen C", Atletas!U186="Taijijian Chen Standard C"),914,IF(Atletas!U186="Taijijian Sun C",915,IF(Atletas!U186="Taijijian Wu C",916,IF(Atletas!U186="Taijijian Wu-Hao C",917,IF(OR(Atletas!U186="Taijijian 32 C",Atletas!U186="Taijijian 42 C"),918,IF(OR(Atletas!U186="Taijijian Yang D",Atletas!U186="Taijijian Yang Standard D"),919,IF(OR(Atletas!U186="Taijijian Chen D", Atletas!U186="Taijijian Chen Standard D"),920,IF(Atletas!U186="Taijijian Sun D",921,IF(Atletas!U186="Taijijian Wu D",922,IF(Atletas!U186="Taijijian Wu-Hao D",923,IF(OR(Atletas!U186="Taijijian 32 D",Atletas!U186="Taijijian 42 D"),924,IF(OR(Atletas!U186="Taijijian Yang E",Atletas!U186="Taijijian Yang Standard E"),925,IF(OR(Atletas!U186="Taijijian Chen E", Atletas!U186="Taijijian Chen Standard E"),926,IF(Atletas!U186="Taijijian Sun E",927,IF(Atletas!U186="Taijijian Wu E",928,IF(Atletas!U186="Taijijian Wu-Hao E",929,IF(OR(Atletas!U186="Taijijian 32 E",Atletas!U186="Taijijian 42 E"),930,IF(OR(Atletas!U186="Taijijian Yang F",Atletas!U186="Taijijian Yang Standard F"),931,IF(OR(Atletas!U186="Taijijian Chen F", Atletas!U186="Taijijian Chen Standard F"),932,IF(Atletas!U186="Taijijian Sun F",933,IF(Atletas!U186="Taijijian Wu F",934,IF(Atletas!U186="Taijijian Wu-Hao F",935,IF(OR(Atletas!U186="Taijijian 32 F",Atletas!U186="Taijijian 42 F"),936,"")))))))))))))))))))))))))))))))))))))</f>
        <v/>
      </c>
      <c r="CD195" s="50" t="str">
        <f>IF(Atletas!V186="","",IF(Atletas!X186&lt;&gt;"",10000,0)+IF(Atletas!B186="Feminino",1000,IF(Atletas!B186="Masculino",2000,""))+IF(Atletas!V186="Taijidao A",937,IF(Atletas!V186="TaijiShanzi A",938,IF(Atletas!V186="Taijiqiang A",939,IF(Atletas!V186="Bagua de Arma A",940,IF(Atletas!V186="Xingyi de Arma A",941,IF(Atletas!V186="Taijidao B",942,IF(Atletas!V186="TaijiShanzi B",943,IF(Atletas!V186="Taijiqiang B",944,IF(Atletas!V186="Bagua de Arma B",945,IF(Atletas!V186="Xingyi de Arma B",946,IF(Atletas!V186="Taijidao C",947,IF(Atletas!V186="TaijiShanzi C",948,IF(Atletas!V186="Taijiqiang C",949,IF(Atletas!V186="Bagua de Arma C",950,IF(Atletas!V186="Xingyi de Arma C",951,IF(Atletas!V186="Taijidao D",952,IF(Atletas!V186="TaijiShanzi D",953,IF(Atletas!V186="Taijiqiang D",954,IF(Atletas!V186="Bagua de Arma D",955,IF(Atletas!V186="Xingyi de Arma D",956,IF(Atletas!V186="Taijidao E",957,IF(Atletas!V186="TaijiShanzi E",958,IF(Atletas!V186="Taijiqiang E",959,IF(Atletas!V186="Bagua de Arma E",960,IF(Atletas!V186="Xingyi de Arma E",961,IF(Atletas!V186="Taijidao F",962,IF(Atletas!V186="TaijiShanzi F",963,IF(Atletas!V186="Taijiqiang F",964,IF(Atletas!V186="Bagua de Arma F",965,IF(Atletas!V186="Xingyi de Arma F",966,"")))))))))))))))))))))))))))))))</f>
        <v/>
      </c>
      <c r="CE195" s="66" t="str">
        <f>IF(CF195&lt;&gt;"","TJQ Padr. Sun D","")</f>
        <v/>
      </c>
      <c r="CF195" s="66" t="str">
        <f>IF(COUNTIF(BR:CD,1421)&gt;0,COUNTIF(BR:CD,1421),"")</f>
        <v/>
      </c>
      <c r="CG195" s="66" t="str">
        <f>IF(CH195&lt;&gt;"","TJQ Padr. Sun D","")</f>
        <v/>
      </c>
      <c r="CH195" s="66" t="str">
        <f>IF(COUNTIF(BR:CD,2421)&gt;0,COUNTIF(BR:CD,2421),"")</f>
        <v/>
      </c>
      <c r="CI195" s="66" t="str">
        <f>IF(CJ195&lt;&gt;"","TJQ Padr. Sun E","")</f>
        <v/>
      </c>
      <c r="CJ195" s="66" t="str">
        <f>IF(COUNTIF(BR:CD,11427)&gt;0,COUNTIF(BR:CD,11427),"")</f>
        <v/>
      </c>
      <c r="CK195" s="66" t="str">
        <f>IF(CL195&lt;&gt;"","TJQ Padr. Sun E","")</f>
        <v/>
      </c>
      <c r="CL195" s="66" t="str">
        <f>IF(COUNTIF(BR:CD,12427)&gt;0,COUNTIF(BR:CD,12427),"")</f>
        <v/>
      </c>
      <c r="CM195" s="50" t="str">
        <f xml:space="preserve"> IF(Atletas!W186="","",IF(Atletas!W186="Duilian de Mãos BC - Equipe 1",1,IF(Atletas!W186="Duilian de Mãos BC - Equipe 2",2,IF(Atletas!W186="Duilian de Armas BC - Equipe 1",3,IF(Atletas!W186="Duilian de Armas BC - Equipe 2",4,IF(Atletas!W186="Duilian de Mãos DE - Equipe 1",5,IF(Atletas!W186="Duilian de Mãos DE - Equipe 2",6,IF(Atletas!W186="Duilian de Armas DE - Equipe 1",7,IF(Atletas!W186="Duilian de Armas DE - Equipe 2",8,IF(Atletas!W186="Duilian de Tuishou - Equipe 1",9,IF(Atletas!W186="Duilian de Tuishou - Equipe 2",10,IF(Atletas!W186="Grupo Externo ABC - Equipe 1",11,IF(Atletas!W186="Grupo Externo ABC - Equipe 2",12,IF(Atletas!W186="Grupo Interno ABC - Equipe 1",13,IF(Atletas!W186="Grupo Interno ABC - Equipe 2",14,IF(Atletas!W186="Grupo Externo DEF - Equipe 1",15,IF(Atletas!W186="Grupo Externo DEF - Equipe 2",16,IF(Atletas!W186="Grupo Interno DEF - Equipe 1",17,IF(Atletas!W186="Grupo Interno DEF - Equipe 2",18,"")))))))))))))))))))</f>
        <v/>
      </c>
    </row>
    <row r="196" spans="2:91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 t="str">
        <f t="array" ref="Z196">IFERROR(INDEX(CE$7:CE$348,SMALL(IF(CE$7:CE$348&lt;&gt;"",ROW(CE$7:CE$348)-ROW(CE$7)+1),ROWS(CE$7:CE195))),"")</f>
        <v/>
      </c>
      <c r="AA196" s="3" t="str">
        <f t="array" ref="AA196">IFERROR(INDEX(CF$7:CF$348,SMALL(IF(CF$7:CF$348&lt;&gt;"",ROW(CF$7:CF$348)-ROW(CF$7)+1),ROWS(CF$7:CF195))),"")</f>
        <v/>
      </c>
      <c r="AB196" s="3" t="str">
        <f t="array" ref="AB196">IFERROR(INDEX(CG$7:CG$348,SMALL(IF(CG$7:CG$348&lt;&gt;"",ROW(CG$7:CG$348)-ROW(CG$7)+1),ROWS(CG$7:CG195))),"")</f>
        <v/>
      </c>
      <c r="AC196" s="3" t="str">
        <f t="array" ref="AC196">IFERROR(INDEX(CH$7:CH$348,SMALL(IF(CH$7:CH$348&lt;&gt;"",ROW(CH$7:CH$348)-ROW(CH$7)+1),ROWS(CH$7:CH195))),"")</f>
        <v/>
      </c>
      <c r="AD196" s="3" t="str">
        <f t="array" ref="AD196">IFERROR(INDEX(CI$7:CI$377,SMALL(IF(CI$7:CI$377&lt;&gt;"",ROW(CI$7:CI$377)-ROW(CI$7)+1),ROWS(CI$7:CI195))),"")</f>
        <v/>
      </c>
      <c r="AE196" s="3" t="str">
        <f t="array" ref="AE196">IFERROR(INDEX(CJ$7:CJ$378,SMALL(IF(CJ$7:CJ$378&lt;&gt;"",ROW(CJ$7:CJ$378)-ROW(CJ$7)+1),ROWS(CJ$7:CJ195))),"")</f>
        <v/>
      </c>
      <c r="AF196" s="3" t="str">
        <f t="array" ref="AF196">IFERROR(INDEX(CK$7:CK$378,SMALL(IF(CK$7:CK$378&lt;&gt;"",ROW(CK$7:CK$378)-ROW(CK$7)+1),ROWS(CK$7:CK195))),"")</f>
        <v/>
      </c>
      <c r="AG196" s="3" t="str">
        <f t="array" ref="AG196">IFERROR(INDEX(CL$7:CL$378,SMALL(IF(CL$7:CL$378&lt;&gt;"",ROW(CL$7:CL$378)-ROW(CL$7)+1),ROWS(CL$7:CL195))),"")</f>
        <v/>
      </c>
      <c r="AH196" s="3"/>
      <c r="AI196" s="3"/>
      <c r="AJ196" s="3"/>
      <c r="AK196" s="3"/>
      <c r="AL196" s="3"/>
      <c r="AM196" s="3"/>
      <c r="AN196" s="52" t="str">
        <f>IF(Atletas!D187="","",IF(Atletas!B187="Feminino",100,IF(Atletas!B187="Masculino",200,""))+(IF(Atletas!D187="Kids 30kg",1,IF(Atletas!D187="Kids 32kg",2, IF(Atletas!D187="Kids 34kg",3,IF(Atletas!D187="Kids 36kg",4,IF(Atletas!D187="Kids 39kg",5,IF(Atletas!D187="Kids 42kg",6,IF(Atletas!D187="Kids 45kg",7, IF(Atletas!D187="Infantil 39kg",8,IF(Atletas!D187="Infantil 42kg",9,IF(Atletas!D187="Infantil 45kg",10,IF(Atletas!D187="Infantil 48kg",11,IF(Atletas!D187="Infantil 52kg",12,IF(Atletas!D187="Infantil 56kg",13,IF(Atletas!D187="Infantil 60kg",14,IF(Atletas!D187="Juvenil 48kg",15,IF(Atletas!D187="Juvenil 52kg",16,IF(Atletas!D187="Juvenil 56kg",17,IF(Atletas!D187="Juvenil 60kg",18,IF(Atletas!D187="Juvenil 65kg",19,IF(Atletas!D187="Juvenil 70kg",20,IF(Atletas!D187="Juvenil 75kg",21,IF(Atletas!D187="Juvenil 80kg",22, IF(Atletas!D187="Juvenil 85kg",23,IF(Atletas!D187="Adulto 48kg",24,IF(Atletas!D187="Adulto 52kg",25,IF(Atletas!D187="Adulto 56kg",26,IF(Atletas!D187="Adulto 60kg",27,IF(Atletas!D187="Adulto 65kg",28,IF(Atletas!D187="Adulto 70kg",29,IF(Atletas!D187="Adulto 75kg",30,IF(Atletas!D187="Adulto 80kg",31,IF(Atletas!D187="Adulto 85kg",32,IF(Atletas!D187="Adulto 90kg",33,IF(Atletas!D187="Adulto 100kg",34, IF(Atletas!D187="Adulto +100kg",35,"")))))))))))))))))))))))))))))))))))))</f>
        <v/>
      </c>
      <c r="AS196" s="6" t="str">
        <f>IF(Atletas!E187="","",IF(Atletas!B187="Feminino",100,IF(Atletas!B187="Masculino",200,""))+(IF(Atletas!E187="Juvenil 44kg",1,IF(Atletas!E187="Juvenil 48kg",2,IF(Atletas!E187="Juvenil 52kg",3,IF(Atletas!E187="Juvenil 56kg",4,IF(Atletas!E187="Juvenil 60kg",5,IF(Atletas!E187="Juvenil 65kg",6,IF(Atletas!E187="Juvenil 70kg",7,IF(Atletas!E187="Juvenil 75kg",8,IF(Atletas!E187="Juvenil 82kg",9,IF(Atletas!E187="Juvenil 90kg",10,IF(Atletas!E187="Juvenil 100kg",11,IF(Atletas!E187="Adulto 48kg",12,IF(Atletas!E187="Adulto 52kg",13,IF(Atletas!E187="Adulto 56kg",14,IF(Atletas!E187="Adulto 60kg",15,IF(Atletas!E187="Adulto 65kg",16,IF(Atletas!E187="Adulto 70kg",17,IF(Atletas!E187="Adulto 75kg",18,IF(Atletas!E187="Adulto 82kg",19,IF(Atletas!E187="Adulto 90kg",20,IF(Atletas!E187="Adulto 100kg",21,IF(Atletas!E187="Adulto +100kg",22,""))))))))))))))))))))))))</f>
        <v/>
      </c>
      <c r="AX196" s="6" t="str">
        <f>IF(Atletas!F187="","",IF(Atletas!B187="Feminino",100,IF(Atletas!B187="Masculino",200,""))+(IF(Atletas!F187="Adulto 48kg",1,IF(Atletas!F187="Adulto 56kg",2,IF(Atletas!F187="Adulto 65kg",3,IF(Atletas!F187="Adulto 75kg",4,IF(Atletas!F187="Adulto +75kg",5,IF(Atletas!F187="Adulto 52kg",6,IF(Atletas!F187="Adulto 60kg",7,IF(Atletas!F187="Adulto 70kg",8,IF(Atletas!F187="Adulto 80kg",9,IF(Atletas!F187="Adulto 90kg",10,IF(Atletas!F187="Adulto +90kg",11,"")))))))))))))</f>
        <v/>
      </c>
      <c r="BC196" s="6" t="str">
        <f>IF(Atletas!G187="","",IF(Atletas!B187="Feminino",10,IF(Atletas!B187="Masculino",20,""))+(IF(Atletas!G187="Baduanjin A",1,IF(Atletas!G187="Baduanjin B",2))))</f>
        <v/>
      </c>
      <c r="BF196" s="52" t="str">
        <f>IF(Atletas!H187="","",IF(Atletas!B187="Feminino",100,IF(Atletas!B187="Masculino",200,""))+(IF(Atletas!H187="Changquan Mirim",1,IF(Atletas!H187="Nanquan Mirim",2,IF(Atletas!H187="Taijiquan Mirim",3,IF(Atletas!H187="Changquan Grupo C",4,IF(Atletas!H187="Nanquan Grupo C",5,IF(Atletas!H187="Taijiquan Grupo C",6,IF(Atletas!H187="Changquan Grupo B",7,IF(Atletas!H187="Nanquan Grupo B",8,IF(Atletas!H187="Taijiquan Grupo B",9,IF(Atletas!H187="Changquan Grupo A",10,IF(Atletas!H187="Nanquan Grupo A",11,IF(Atletas!H187="Taijiquan Grupo A",12,IF(Atletas!H187="Changquan Opcional",13,IF(Atletas!H187="Nanquan Opcional",14,IF(Atletas!H187="Taijiquan Opcional",15,IF(Atletas!H187="Changquan Adulto",16,IF(Atletas!H187="Nanquan Adulto",17,IF(Atletas!H187="Taijiquan Adulto",18,""))))))))))))))))))))</f>
        <v/>
      </c>
      <c r="BG196" s="52" t="str">
        <f>IF(Atletas!I187="","",IF(Atletas!B187="Feminino",100,IF(Atletas!B187="Masculino",200,""))+(IF(Atletas!I187="Daoshu Mirim",19,IF(Atletas!I187="Jianshu Mirim",20,IF(Atletas!I187="Nandao Mirim",21,IF(Atletas!I187="Taijijian Mirim",22,IF(Atletas!I187="Daoshu Grupo C",23,IF(Atletas!I187="Jianshu Grupo C",24,IF(Atletas!I187="Nandao Grupo C",25,IF(Atletas!I187="Taijijian Grupo C",26,IF(Atletas!I187="Daoshu Grupo B",27,IF(Atletas!I187="Jianshu Grupo B",28,IF(Atletas!I187="Nandao Grupo B",29,IF(Atletas!I187="Taijijian Grupo B",30,IF(Atletas!I187="Daoshu Grupo A",31,IF(Atletas!I187="Jianshu Grupo A",32,IF(Atletas!I187="Nandao Grupo A",33,IF(Atletas!I187="Taijijian Grupo A",34,IF(Atletas!I187="Daoshu Opcional",35,IF(Atletas!I187="Jianshu Opcional",36,IF(Atletas!I187="Nandao Opcional",37,IF(Atletas!I187="Taijijian Opcional",38,IF(Atletas!I187="Daoshu Adulto",39,IF(Atletas!I187="Jianshu Adulto",40,IF(Atletas!I187="Nandao Adulto",41,IF(Atletas!I187="Taijijian Adulto",42,""))))))))))))))))))))))))))</f>
        <v/>
      </c>
      <c r="BH196" s="52" t="str">
        <f>IF(Atletas!J187="","",IF(Atletas!B187="Feminino",100,IF(Atletas!B187="Masculino",200,""))+(IF(Atletas!J187="Gunshu Mirim",43,IF(Atletas!J187="Qiangshu Mirim",44,IF(Atletas!J187="Nangun Mirim",45,IF(Atletas!J187="Gunshu Grupo C",46,IF(Atletas!J187="Qiangshu Grupo C",47,IF(Atletas!J187="Nangun Grupo C",48,IF(Atletas!J187="Gunshu Grupo B",49,IF(Atletas!J187="Qiangshu Grupo B",50,IF(Atletas!J187="Nangun Grupo B",51,IF(Atletas!J187="Gunshu Grupo A",52,IF(Atletas!J187="Qiangshu Grupo A",53,IF(Atletas!J187="Nangun Grupo A",54,IF(Atletas!J187="Gunshu Opcional",55,IF(Atletas!J187="Qiangshu Opcional",56,IF(Atletas!J187="Nangun Opcional",57,IF(Atletas!J187="Gunshu Adulto",58,IF(Atletas!J187="Qiangshu Adulto",59,IF(Atletas!J187="Nangun Adulto",60,IF(Atletas!J187="Taijishan Grupo B",61,IF(Atletas!J187="Taijishan Grupo A",62,""))))))))))))))))))))))</f>
        <v/>
      </c>
      <c r="BM196" s="50" t="str">
        <f>IF(Atletas!K187="","",IF(Atletas!B187="Feminino",100,IF(Atletas!B187="Masculino",200,""))+(IF(Atletas!K187="Equipe 1 Grupo B",1,IF(Atletas!K187="Equipe 2 Grupo B",2,IF(Atletas!K187="Equipe 1 Grupo A",3,IF(Atletas!K187="Equipe 2 Grupo A",4,IF(Atletas!K187="Equipe 1 Adulto",5,IF(Atletas!K187="Equipe 2 Adulto",6,""))))))))</f>
        <v/>
      </c>
      <c r="BR196" s="50" t="str">
        <f>IF(Atletas!L187="","",IF(Atletas!X187&lt;&gt;"",10000,0)+(IF(Atletas!B187="Feminino",1000,IF(Atletas!B187="Masculino",2000,""))+IF(Atletas!L187="Choylayfut A",1,IF(Atletas!L187="Hunggar A",2,IF(Atletas!L187="Wuzuquan A",3,IF(Atletas!L187="Wingchun A",4,IF(Atletas!L187="Outra Mão de Sul A",5,IF(Atletas!L187="Choylayfut B",6,IF(Atletas!L187="Hunggar B",7,IF(Atletas!L187="Wuzuquan B",8,IF(Atletas!L187="Wingchun B",9,IF(Atletas!L187="Outra Mão de Sul B",10,IF(Atletas!L187="Choylayfut C",11,IF(Atletas!L187="Hunggar C",12,IF(Atletas!L187="Wuzuquan C",13,IF(Atletas!L187="Wingchun C",14,IF(Atletas!L187="Outra Mão de Sul C",15,IF(Atletas!L187="Choylayfut D",16,IF(Atletas!L187="Hunggar D",17,IF(Atletas!L187="Wuzuquan D",18,IF(Atletas!L187="Wingchun D",19,IF(Atletas!L187="Outra Mão de Sul D",20,IF(Atletas!L187="Choylayfut E",21,IF(Atletas!L187="Hunggar E",22,IF(Atletas!L187="Wuzuquan E",23,IF(Atletas!L187="Wingchun E",24,IF(Atletas!L187="Outra Mão de Sul E",25,IF(Atletas!L187="Choylayfut F",26,IF(Atletas!L187="Hunggar F",27,IF(Atletas!L187="Wuzuquan F",28,IF(Atletas!L187="Wingchun F",29,IF(Atletas!L187="Outra Mão de Sul F",30,IF(Atletas!L187="Dishuquan A",31,IF(Atletas!L187="Dishuquan B",32,IF(Atletas!L187="Dishuquan C",33,IF(Atletas!L187="Dishuquan D",34,IF(Atletas!L187="Dishuquan E",35,IF(Atletas!L187="Dishuquan F",36,""))))))))))))))))))))))))))))))))))))))</f>
        <v/>
      </c>
      <c r="BS196" s="50" t="str">
        <f>IF(Atletas!M187="","",IF(Atletas!X187&lt;&gt;"",10000,0)+(IF(Atletas!B187="Feminino",1000,IF(Atletas!B187="Masculino",2000,""))+(IF(Atletas!M187="Chaquan A",101,IF(Atletas!M187="Emeiquan A",102,IF(Atletas!M187="Fanziquan A",103,IF(Atletas!M187="Huaquan A",104,IF(Atletas!M187="Hongquan A",105,IF(Atletas!M187="Paoquan A",106,IF(Atletas!M187="Piguaquan A",107,IF(Atletas!M187="Shaolinquan A",108,IF(Atletas!M187="Tanglangquan A",109,IF(Atletas!M187="Yingzhaoquan A",110,IF(Atletas!M187="Tongbeiquan A",111,IF(Atletas!M187="Wudangquan A",112,IF(Atletas!M187="Outros Estilos A",113,IF(Atletas!M187="Chaquan B",114,IF(Atletas!M187="Emeiquan B",115,IF(Atletas!M187="Fanziquan B",116,IF(Atletas!M187="Huaquan B",117,IF(Atletas!M187="Hongquan B",118,IF(Atletas!M187="Paoquan B",119,IF(Atletas!M187="Piguaquan B",120,IF(Atletas!M187="Shaolinquan B",121,IF(Atletas!M187="Tanglangquan B",122,IF(Atletas!M187="Yingzhaoquan B",123,IF(Atletas!M187="Tongbeiquan B",124,IF(Atletas!M187="Wudangquan B",125,IF(Atletas!M187="Outros Estilos B",126,IF(Atletas!M187="Chaquan C",127,IF(Atletas!M187="Emeiquan C",128,IF(Atletas!M187="Fanziquan C",129,IF(Atletas!M187="Huaquan C",130,IF(Atletas!M187="Hongquan C",131,IF(Atletas!M187="Paoquan C",132,IF(Atletas!M187="Piguaquan C",133,IF(Atletas!M187="Shaolinquan C",134,IF(Atletas!M187="Tanglangquan C",135,IF(Atletas!M187="Yingzhaoquan C",136,IF(Atletas!M187="Tongbeiquan C",137,IF(Atletas!M187="Wudangquan C",138,IF(Atletas!M187="Outros Estilos C",139,0))))))))))))))))))))))))))))))))))))))))))</f>
        <v/>
      </c>
      <c r="BT196" s="50" t="str">
        <f>IF(Atletas!M187="","",IF(Atletas!X187&lt;&gt;"",10000,0)+(IF(Atletas!B187="Feminino",1000,IF(Atletas!B187="Masculino",2000,""))+(IF(Atletas!M187="Chaquan D",140,IF(Atletas!M187="Emeiquan D",141,IF(Atletas!M187="Fanziquan D",142,IF(Atletas!M187="Huaquan D",143,IF(Atletas!M187="Hongquan D",144,IF(Atletas!M187="Paoquan D",145,IF(Atletas!M187="Piguaquan D",146,IF(Atletas!M187="Shaolinquan D",147,IF(Atletas!M187="Tanglangquan D",148,IF(Atletas!M187="Yingzhaoquan D",149,IF(Atletas!M187="Tongbeiquan D",150,IF(Atletas!M187="Wudangquan D",151,IF(Atletas!M187="Outros Estilos D",152,IF(Atletas!M187="Chaquan E",153,IF(Atletas!M187="Emeiquan E",154,IF(Atletas!M187="Fanziquan E",155,IF(Atletas!M187="Huaquan E",156,IF(Atletas!M187="Hongquan E",157,IF(Atletas!M187="Paoquan E",158,IF(Atletas!M187="Piguaquan E",159,IF(Atletas!M187="Shaolinquan E",160,IF(Atletas!M187="Tanglangquan E",161,IF(Atletas!M187="Yingzhaoquan E",162,IF(Atletas!M187="Tongbeiquan E",163,IF(Atletas!M187="Wudangquan E",164,IF(Atletas!M187="Outros Estilos E",165,IF(Atletas!M187="Chaquan F",166,IF(Atletas!M187="Emeiquan F",167,IF(Atletas!M187="Fanziquan F",168,IF(Atletas!M187="Huaquan F",169,IF(Atletas!M187="Hongquan F",170,IF(Atletas!M187="Paoquan F",171,IF(Atletas!M187="Piguaquan F",172,IF(Atletas!M187="Shaolinquan F",173,IF(Atletas!M187="Tanglangquan F",174,IF(Atletas!M187="Yingzhaoquan F",175,IF(Atletas!M187="Tongbeiquan F",176,IF(Atletas!M187="Wudangquan F",177,IF(Atletas!M187="Outros Estilos F",178,0))))))))))))))))))))))))))))))))))))))))))</f>
        <v/>
      </c>
      <c r="BU196" s="50" t="str">
        <f>IF(Atletas!N187="","",IF(Atletas!X187&lt;&gt;"",10000,0)+(IF(Atletas!B187="Feminino",1000,IF(Atletas!B187="Masculino",2000,""))+(IF(Atletas!N187="Ditangquan A",201,IF(Atletas!N187="Houquan A",202,IF(Atletas!N187="Zuiquan A",203,IF(Atletas!N187="Ditangquan B",204,IF(Atletas!N187="Houquan B",205,IF(Atletas!N187="Zuiquan B",206,IF(Atletas!N187="Ditangquan C",207,IF(Atletas!N187="Houquan C",208,IF(Atletas!N187="Zuiquan C",209,IF(Atletas!N187="Ditangquan D",210,IF(Atletas!N187="Houquan D",211,IF(Atletas!N187="Zuiquan D",212,IF(Atletas!N187="Ditangquan E",213,IF(Atletas!N187="Houquan E",214,IF(Atletas!N187="Zuiquan E",215,IF(Atletas!N187="Ditangquan F",216,IF(Atletas!N187="Houquan F",217,IF(Atletas!N187="Zuiquan F",218,"")))))))))))))))))))))</f>
        <v/>
      </c>
      <c r="BV196" s="50" t="str">
        <f>IF(Atletas!O187="","",IF(Atletas!X187&lt;&gt;"",10000,0)+IF(Atletas!B187="Feminino",1000,IF(Atletas!B187="Masculino",2000,""))+IF(Atletas!O187="Yang A",301,IF(Atletas!O187="Chen A",302,IF(Atletas!O187="Sun A",303,IF(Atletas!O187="Wu A",304,IF(Atletas!O187="Wu-Hao A",305,IF(Atletas!O187="Outro Taijiquan A",306,IF(Atletas!O187="Yang B",307,IF(Atletas!O187="Chen B",308,IF(Atletas!O187="Sun B",309,IF(Atletas!O187="Wu B",310,IF(Atletas!O187="Wu-Hao B",311,IF(Atletas!O187="Outro Taijiquan B",312,IF(Atletas!O187="Yang C",313,IF(Atletas!O187="Chen C",314,IF(Atletas!O187="Sun C",315,IF(Atletas!O187="Wu C",316,IF(Atletas!O187="Wu-Hao C",317,IF(Atletas!O187="Outro Taijiquan C",318,IF(Atletas!O187="Yang D",319,IF(Atletas!O187="Chen D",320,IF(Atletas!O187="Sun D",321,IF(Atletas!O187="Wu D",322,IF(Atletas!O187="Wu-Hao D",323,IF(Atletas!O187="Outro Taijiquan D",324,IF(Atletas!O187="Yang E",325,IF(Atletas!O187="Chen E",326,IF(Atletas!O187="Sun E",327,IF(Atletas!O187="Wu E",328,IF(Atletas!O187="Wu-Hao E",329,IF(Atletas!O187="Outro Taijiquan E",330,IF(Atletas!O187="Yang F",331,IF(Atletas!O187="Chen F",332,IF(Atletas!O187="Sun F",333,IF(Atletas!O187="Wu F",334,IF(Atletas!O187="Wu-Hao F",335,IF(Atletas!O187="Outro Taijiquan F",336,"")))))))))))))))))))))))))))))))))))))</f>
        <v/>
      </c>
      <c r="BW196" s="50" t="str">
        <f>IF(Atletas!P187="","",IF(Atletas!X187&lt;&gt;"",10000,0)+IF(Atletas!B187="Feminino",1000,IF(Atletas!B187="Masculino",2000,""))+IF(OR(Atletas!P187="Yang 26 A",Atletas!P187="Yang 40 A"),401,IF(OR(Atletas!P187="Chen 25 A",Atletas!P187="Chen 36 A",Atletas!P187="Chen 56 A"),402,IF(Atletas!P187="Sun 73 A",403,IF(Atletas!P187="Wu 45 A",404,IF(Atletas!P187="Wu-Hao 46 A",405,IF(OR(Atletas!P187="Taijiquan 16 A",Atletas!P187="Taijiquan 24 A",Atletas!P187="Taijiquan 32 A",Atletas!P187="Taijiquan 42 A"),406,IF(OR(Atletas!P187="Yang 26 B",Atletas!P187="Yang 40 B"),407,IF(OR(Atletas!P187="Chen 25 B",Atletas!P187="Chen 36 B",Atletas!P187="Chen 56 B"),408,IF(Atletas!P187="Sun 73 B",409,IF(Atletas!P187="Wu 45 B",410,IF(Atletas!P187="Wu-Hao 46 B",411,IF(OR(Atletas!P187="Taijiquan 16 B",Atletas!P187="Taijiquan 24 B",Atletas!P187="Taijiquan 32 B",Atletas!P187="Taijiquan 42 B"),412,IF(OR(Atletas!P187="Yang 26 C",Atletas!P187="Yang 40 C"),413,IF(OR(Atletas!P187="Chen 25 C",Atletas!P187="Chen 36 C",Atletas!P187="Chen 56 C"),414,IF(Atletas!P187="Sun 73 C",415,IF(Atletas!P187="Wu 45 C",416,IF(Atletas!P187="Wu-Hao 46 C",417,IF(OR(Atletas!P187="Taijiquan 16 C",Atletas!P187="Taijiquan 24 C",Atletas!P187="Taijiquan 32 C",Atletas!P187="Taijiquan 42 C"),418,0)))))))))))))))))))</f>
        <v/>
      </c>
      <c r="BX196" s="50" t="str">
        <f>IF(Atletas!P187="","",IF(Atletas!X187&lt;&gt;"",10000,0)+IF(Atletas!B187="Feminino",1000,IF(Atletas!B187="Masculino",2000,""))+IF(OR(Atletas!P187="Yang 26 D",Atletas!P187="Yang 40 D"),419,IF(OR(Atletas!P187="Chen 25 D",Atletas!P187="Chen 36 D",Atletas!P187="Chen 56 D"),420,IF(Atletas!P187="Sun 73 D",421,IF(Atletas!P187="Wu 45 D",422,IF(Atletas!P187="Wu-Hao 46 D",423,IF(OR(Atletas!P187="Taijiquan 16 D",Atletas!P187="Taijiquan 24 D",Atletas!P187="Taijiquan 32 D",Atletas!P187="Taijiquan 42 D"),424,IF(OR(Atletas!P187="Yang 26 E",Atletas!P187="Yang 40 E"),425,IF(OR(Atletas!P187="Chen 25 E",Atletas!P187="Chen 36 E",Atletas!P187="Chen 56 E"),426,IF(Atletas!P187="Sun 73 E",427,IF(Atletas!P187="Wu 45 E",428,IF(Atletas!P187="Wu-Hao 46 E",429,IF(OR(Atletas!P187="Taijiquan 16 E",Atletas!P187="Taijiquan 24 E",Atletas!P187="Taijiquan 32 E",Atletas!P187="Taijiquan 42 E"),430,IF(OR(Atletas!P187="Yang 26 F",Atletas!P187="Yang 40 F"),431,IF(OR(Atletas!P187="Chen 25 F",Atletas!P187="Chen 36 F",Atletas!P187="Chen 56 F"),432,IF(Atletas!P187="Sun 73 F",433,IF(Atletas!P187="Wu 45 F",434,IF(Atletas!P187="Wu-Hao 46 F",435,IF(OR(Atletas!P187="Taijiquan 16 F",Atletas!P187="Taijiquan 24 F",Atletas!P187="Taijiquan 32 F",Atletas!P187="Taijiquan 42 F"),436,0)))))))))))))))))))</f>
        <v/>
      </c>
      <c r="BY196" s="50" t="str">
        <f>IF(Atletas!Q187="","",IF(Atletas!X187&lt;&gt;"",10000,0)+IF(Atletas!B187="Feminino",1000,IF(Atletas!B187="Masculino",2000,""))+IF(Atletas!Q187="Xingyiquan A",501,IF(Atletas!Q187="Baguazhang A",502,IF(Atletas!Q187="Outro Estilo Interno A",503,IF(Atletas!Q187="Xingyiquan B",504,IF(Atletas!Q187="Baguazhang B",505,IF(Atletas!Q187="Outro Estilo Interno B",506,IF(Atletas!Q187="Xingyiquan C",507,IF(Atletas!Q187="Baguazhang C",508,IF(Atletas!Q187="Outro Estilo Interno C",509,IF(Atletas!Q187="Xingyiquan D",510,IF(Atletas!Q187="Baguazhang D",511,IF(Atletas!Q187="Outro Estilo Interno D",512,IF(Atletas!Q187="Xingyiquan E",513,IF(Atletas!Q187="Baguazhang E",514,IF(Atletas!Q187="Outro Estilo Interno E",515,IF(Atletas!Q187="Xingyiquan F",516,IF(Atletas!Q187="Baguazhang F",517,IF(Atletas!Q187="Outro Estilo Interno F",518, "")))))))))))))))))))</f>
        <v/>
      </c>
      <c r="BZ196" s="50" t="str">
        <f>IF(Atletas!R187="","",IF(Atletas!X187&lt;&gt;"",10000,0)+IF(Atletas!B187="Feminino",1000,IF(Atletas!B187="Masculino",2000,""))+IF(Atletas!R187="Dao A",601,IF(Atletas!R187="Jian A",602,IF(Atletas!R187="Bishou A",603,IF(Atletas!R187="Shanzi A",604,IF(Atletas!R187="Outra Arma Curta A",605,IF(Atletas!R187="Dao B",606,IF(Atletas!R187="Jian B",607,IF(Atletas!R187="Bishou B",608,IF(Atletas!R187="Shanzi B",609,IF(Atletas!R187="Outra Arma Curta B",610,IF(Atletas!R187="Dao C",611,IF(Atletas!R187="Jian C",612,IF(Atletas!R187="Bishou C",613,IF(Atletas!R187="Shanzi C",614,IF(Atletas!R187="Outra Arma Curta C",615,IF(Atletas!R187="Dao D",616,IF(Atletas!R187="Jian D",617,IF(Atletas!R187="Bishou D",618,IF(Atletas!R187="Shanzi D",619,IF(Atletas!R187="Outra Arma Curta D",620,IF(Atletas!R187="Dao E",621,IF(Atletas!R187="Jian E",622,IF(Atletas!R187="Bishou E",623,IF(Atletas!R187="Shanzi E",624,IF(Atletas!R187="Outra Arma Curta E",625,IF(Atletas!R187="Dao F",626,IF(Atletas!R187="Jian F",627,IF(Atletas!R187="Bishou F",628,IF(Atletas!R187="Shanzi F",629,IF(Atletas!R187="Outra Arma Curta F",630, "")))))))))))))))))))))))))))))))</f>
        <v/>
      </c>
      <c r="CA196" s="50" t="str">
        <f>IF(Atletas!S187="","",IF(Atletas!X187&lt;&gt;"",10000,0)+IF(Atletas!B187="Feminino",1000,IF(Atletas!B187="Masculino",2000,""))+IF(Atletas!S187="Gun A",701,IF(Atletas!S187="Qiang A",702,IF(Atletas!S187="Pudao / Guandao A",703,IF(Atletas!S187="Outra Arma Longa A",704,IF(Atletas!S187="Gun B",705,IF(Atletas!S187="Qiang B",706,IF(Atletas!S187="Pudao / Guandao B",707,IF(Atletas!S187="Outra Arma Longa B",708,IF(Atletas!S187="Gun C",709,IF(Atletas!S187="Qiang C",710,IF(Atletas!S187="Pudao / Guandao C",711,IF(Atletas!S187="Outra Arma Longa C",712,IF(Atletas!S187="Gun D",713,IF(Atletas!S187="Qiang D",714,IF(Atletas!S187="Pudao / Guandao D",715,IF(Atletas!S187="Outra Arma Longa D",716,IF(Atletas!S187="Gun E",717,IF(Atletas!S187="Qiang E",718,IF(Atletas!S187="Pudao / Guandao E",719,IF(Atletas!S187="Outra Arma Longa E",720,IF(Atletas!S187="Gun F",721,IF(Atletas!S187="Qiang F",722,IF(Atletas!S187="Pudao / Guandao F",723,IF(Atletas!S187="Outra Arma Longa F",724,"")))))))))))))))))))))))))</f>
        <v/>
      </c>
      <c r="CB196" s="50" t="str">
        <f>IF(Atletas!T187="","",IF(Atletas!X187&lt;&gt;"",10000,0)+IF(Atletas!B187="Feminino",1000,IF(Atletas!B187="Masculino",2000,""))+IF(Atletas!T187="Outra Arma Dupla A",801,IF(Atletas!T187="Arma Maleável A",802,IF(Atletas!T187="Outra Arma Dupla B",803,IF(Atletas!T187="Arma Maleável B",804,IF(Atletas!T187="Outra Arma Dupla C",805,IF(Atletas!T187="Arma Maleável C",806,IF(Atletas!T187="Outra Arma Dupla D",807,IF(Atletas!T187="Arma Maleável D",808,IF(Atletas!T187="Outra Arma Dupla E",809,IF(Atletas!T187="Arma Maleável E",810,IF(Atletas!T187="Outra Arma Dupla F",811,IF(Atletas!T187="Arma Maleável F",812,IF(Atletas!T187="Shuangdao A",813,IF(Atletas!T187="Shuangdao B",814,IF(Atletas!T187="Shuangdao C",815,IF(Atletas!T187="Shuangdao D",816,IF(Atletas!T187="Shuangdao E",817,IF(Atletas!T187="Shuangdao F",818,"")))))))))))))))))))</f>
        <v/>
      </c>
      <c r="CC196" s="50" t="str">
        <f>IF(Atletas!U187="","",IF(Atletas!X187&lt;&gt;"",10000,0)+IF(Atletas!B187="Feminino",1000,IF(Atletas!B187="Masculino",2000,""))+IF(OR(Atletas!U187="Taijijian Yang A",Atletas!U187="Taijijian Yang Standard A"),901,IF(OR(Atletas!U187="Taijijian Chen A", Atletas!U187="Taijijian Chen Standard A"),902,IF(Atletas!U187="Taijijian Sun A",903,IF(Atletas!U187="Taijijian Wu A",904,IF(Atletas!U187="Taijijian Wu-Hao A",905,IF(OR(Atletas!U187="Taijijian 32 A",Atletas!U187="Taijijian 42 A"),906,IF(OR(Atletas!U187="Taijijian Yang B",Atletas!U187="Taijijian Yang Standard B"),907,IF(OR(Atletas!U187="Taijijian Chen B", Atletas!U187="Taijijian Chen Standard B"),908,IF(Atletas!U187="Taijijian Sun B",909,IF(Atletas!U187="Taijijian Wu B",910,IF(Atletas!U187="Taijijian Wu-Hao B",911,IF(OR(Atletas!U187="Taijijian 32 B",Atletas!U187="Taijijian 42 B"),912,IF(OR(Atletas!U187="Taijijian Yang C",Atletas!U187="Taijijian Yang Standard C"),913,IF(OR(Atletas!U187="Taijijian Chen C", Atletas!U187="Taijijian Chen Standard C"),914,IF(Atletas!U187="Taijijian Sun C",915,IF(Atletas!U187="Taijijian Wu C",916,IF(Atletas!U187="Taijijian Wu-Hao C",917,IF(OR(Atletas!U187="Taijijian 32 C",Atletas!U187="Taijijian 42 C"),918,IF(OR(Atletas!U187="Taijijian Yang D",Atletas!U187="Taijijian Yang Standard D"),919,IF(OR(Atletas!U187="Taijijian Chen D", Atletas!U187="Taijijian Chen Standard D"),920,IF(Atletas!U187="Taijijian Sun D",921,IF(Atletas!U187="Taijijian Wu D",922,IF(Atletas!U187="Taijijian Wu-Hao D",923,IF(OR(Atletas!U187="Taijijian 32 D",Atletas!U187="Taijijian 42 D"),924,IF(OR(Atletas!U187="Taijijian Yang E",Atletas!U187="Taijijian Yang Standard E"),925,IF(OR(Atletas!U187="Taijijian Chen E", Atletas!U187="Taijijian Chen Standard E"),926,IF(Atletas!U187="Taijijian Sun E",927,IF(Atletas!U187="Taijijian Wu E",928,IF(Atletas!U187="Taijijian Wu-Hao E",929,IF(OR(Atletas!U187="Taijijian 32 E",Atletas!U187="Taijijian 42 E"),930,IF(OR(Atletas!U187="Taijijian Yang F",Atletas!U187="Taijijian Yang Standard F"),931,IF(OR(Atletas!U187="Taijijian Chen F", Atletas!U187="Taijijian Chen Standard F"),932,IF(Atletas!U187="Taijijian Sun F",933,IF(Atletas!U187="Taijijian Wu F",934,IF(Atletas!U187="Taijijian Wu-Hao F",935,IF(OR(Atletas!U187="Taijijian 32 F",Atletas!U187="Taijijian 42 F"),936,"")))))))))))))))))))))))))))))))))))))</f>
        <v/>
      </c>
      <c r="CD196" s="50" t="str">
        <f>IF(Atletas!V187="","",IF(Atletas!X187&lt;&gt;"",10000,0)+IF(Atletas!B187="Feminino",1000,IF(Atletas!B187="Masculino",2000,""))+IF(Atletas!V187="Taijidao A",937,IF(Atletas!V187="TaijiShanzi A",938,IF(Atletas!V187="Taijiqiang A",939,IF(Atletas!V187="Bagua de Arma A",940,IF(Atletas!V187="Xingyi de Arma A",941,IF(Atletas!V187="Taijidao B",942,IF(Atletas!V187="TaijiShanzi B",943,IF(Atletas!V187="Taijiqiang B",944,IF(Atletas!V187="Bagua de Arma B",945,IF(Atletas!V187="Xingyi de Arma B",946,IF(Atletas!V187="Taijidao C",947,IF(Atletas!V187="TaijiShanzi C",948,IF(Atletas!V187="Taijiqiang C",949,IF(Atletas!V187="Bagua de Arma C",950,IF(Atletas!V187="Xingyi de Arma C",951,IF(Atletas!V187="Taijidao D",952,IF(Atletas!V187="TaijiShanzi D",953,IF(Atletas!V187="Taijiqiang D",954,IF(Atletas!V187="Bagua de Arma D",955,IF(Atletas!V187="Xingyi de Arma D",956,IF(Atletas!V187="Taijidao E",957,IF(Atletas!V187="TaijiShanzi E",958,IF(Atletas!V187="Taijiqiang E",959,IF(Atletas!V187="Bagua de Arma E",960,IF(Atletas!V187="Xingyi de Arma E",961,IF(Atletas!V187="Taijidao F",962,IF(Atletas!V187="TaijiShanzi F",963,IF(Atletas!V187="Taijiqiang F",964,IF(Atletas!V187="Bagua de Arma F",965,IF(Atletas!V187="Xingyi de Arma F",966,"")))))))))))))))))))))))))))))))</f>
        <v/>
      </c>
      <c r="CE196" s="66" t="str">
        <f>IF(CF196&lt;&gt;"","TJQ Padr. Wu D","")</f>
        <v/>
      </c>
      <c r="CF196" s="66" t="str">
        <f>IF(COUNTIF(BR:CD,1422)&gt;0,COUNTIF(BR:CD,1422),"")</f>
        <v/>
      </c>
      <c r="CG196" s="66" t="str">
        <f>IF(CH196&lt;&gt;"","TJQ Padr. Wu D","")</f>
        <v/>
      </c>
      <c r="CH196" s="66" t="str">
        <f>IF(COUNTIF(BR:CD,2422)&gt;0,COUNTIF(BR:CD,2422),"")</f>
        <v/>
      </c>
      <c r="CI196" s="66" t="str">
        <f>IF(CJ196&lt;&gt;"","TJQ Padr. Wu E","")</f>
        <v/>
      </c>
      <c r="CJ196" s="66" t="str">
        <f>IF(COUNTIF(BR:CD,11428)&gt;0,COUNTIF(BR:CD,11428),"")</f>
        <v/>
      </c>
      <c r="CK196" s="66" t="str">
        <f>IF(CL196&lt;&gt;"","TJQ Padr. Wu E","")</f>
        <v/>
      </c>
      <c r="CL196" s="66" t="str">
        <f>IF(COUNTIF(BR:CD,12428)&gt;0,COUNTIF(BR:CD,12428),"")</f>
        <v/>
      </c>
      <c r="CM196" s="50" t="str">
        <f xml:space="preserve"> IF(Atletas!W187="","",IF(Atletas!W187="Duilian de Mãos BC - Equipe 1",1,IF(Atletas!W187="Duilian de Mãos BC - Equipe 2",2,IF(Atletas!W187="Duilian de Armas BC - Equipe 1",3,IF(Atletas!W187="Duilian de Armas BC - Equipe 2",4,IF(Atletas!W187="Duilian de Mãos DE - Equipe 1",5,IF(Atletas!W187="Duilian de Mãos DE - Equipe 2",6,IF(Atletas!W187="Duilian de Armas DE - Equipe 1",7,IF(Atletas!W187="Duilian de Armas DE - Equipe 2",8,IF(Atletas!W187="Duilian de Tuishou - Equipe 1",9,IF(Atletas!W187="Duilian de Tuishou - Equipe 2",10,IF(Atletas!W187="Grupo Externo ABC - Equipe 1",11,IF(Atletas!W187="Grupo Externo ABC - Equipe 2",12,IF(Atletas!W187="Grupo Interno ABC - Equipe 1",13,IF(Atletas!W187="Grupo Interno ABC - Equipe 2",14,IF(Atletas!W187="Grupo Externo DEF - Equipe 1",15,IF(Atletas!W187="Grupo Externo DEF - Equipe 2",16,IF(Atletas!W187="Grupo Interno DEF - Equipe 1",17,IF(Atletas!W187="Grupo Interno DEF - Equipe 2",18,"")))))))))))))))))))</f>
        <v/>
      </c>
    </row>
    <row r="197" spans="2:91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 t="str">
        <f t="array" ref="Z197">IFERROR(INDEX(CE$7:CE$348,SMALL(IF(CE$7:CE$348&lt;&gt;"",ROW(CE$7:CE$348)-ROW(CE$7)+1),ROWS(CE$7:CE196))),"")</f>
        <v/>
      </c>
      <c r="AA197" s="3" t="str">
        <f t="array" ref="AA197">IFERROR(INDEX(CF$7:CF$348,SMALL(IF(CF$7:CF$348&lt;&gt;"",ROW(CF$7:CF$348)-ROW(CF$7)+1),ROWS(CF$7:CF196))),"")</f>
        <v/>
      </c>
      <c r="AB197" s="3" t="str">
        <f t="array" ref="AB197">IFERROR(INDEX(CG$7:CG$348,SMALL(IF(CG$7:CG$348&lt;&gt;"",ROW(CG$7:CG$348)-ROW(CG$7)+1),ROWS(CG$7:CG196))),"")</f>
        <v/>
      </c>
      <c r="AC197" s="3" t="str">
        <f t="array" ref="AC197">IFERROR(INDEX(CH$7:CH$348,SMALL(IF(CH$7:CH$348&lt;&gt;"",ROW(CH$7:CH$348)-ROW(CH$7)+1),ROWS(CH$7:CH196))),"")</f>
        <v/>
      </c>
      <c r="AD197" s="3" t="str">
        <f t="array" ref="AD197">IFERROR(INDEX(CI$7:CI$377,SMALL(IF(CI$7:CI$377&lt;&gt;"",ROW(CI$7:CI$377)-ROW(CI$7)+1),ROWS(CI$7:CI196))),"")</f>
        <v/>
      </c>
      <c r="AE197" s="3" t="str">
        <f t="array" ref="AE197">IFERROR(INDEX(CJ$7:CJ$378,SMALL(IF(CJ$7:CJ$378&lt;&gt;"",ROW(CJ$7:CJ$378)-ROW(CJ$7)+1),ROWS(CJ$7:CJ196))),"")</f>
        <v/>
      </c>
      <c r="AF197" s="3" t="str">
        <f t="array" ref="AF197">IFERROR(INDEX(CK$7:CK$378,SMALL(IF(CK$7:CK$378&lt;&gt;"",ROW(CK$7:CK$378)-ROW(CK$7)+1),ROWS(CK$7:CK196))),"")</f>
        <v/>
      </c>
      <c r="AG197" s="3" t="str">
        <f t="array" ref="AG197">IFERROR(INDEX(CL$7:CL$378,SMALL(IF(CL$7:CL$378&lt;&gt;"",ROW(CL$7:CL$378)-ROW(CL$7)+1),ROWS(CL$7:CL196))),"")</f>
        <v/>
      </c>
      <c r="AH197" s="3"/>
      <c r="AI197" s="3"/>
      <c r="AJ197" s="3"/>
      <c r="AK197" s="3"/>
      <c r="AL197" s="3"/>
      <c r="AM197" s="3"/>
      <c r="AN197" s="52" t="str">
        <f>IF(Atletas!D188="","",IF(Atletas!B188="Feminino",100,IF(Atletas!B188="Masculino",200,""))+(IF(Atletas!D188="Kids 30kg",1,IF(Atletas!D188="Kids 32kg",2, IF(Atletas!D188="Kids 34kg",3,IF(Atletas!D188="Kids 36kg",4,IF(Atletas!D188="Kids 39kg",5,IF(Atletas!D188="Kids 42kg",6,IF(Atletas!D188="Kids 45kg",7, IF(Atletas!D188="Infantil 39kg",8,IF(Atletas!D188="Infantil 42kg",9,IF(Atletas!D188="Infantil 45kg",10,IF(Atletas!D188="Infantil 48kg",11,IF(Atletas!D188="Infantil 52kg",12,IF(Atletas!D188="Infantil 56kg",13,IF(Atletas!D188="Infantil 60kg",14,IF(Atletas!D188="Juvenil 48kg",15,IF(Atletas!D188="Juvenil 52kg",16,IF(Atletas!D188="Juvenil 56kg",17,IF(Atletas!D188="Juvenil 60kg",18,IF(Atletas!D188="Juvenil 65kg",19,IF(Atletas!D188="Juvenil 70kg",20,IF(Atletas!D188="Juvenil 75kg",21,IF(Atletas!D188="Juvenil 80kg",22, IF(Atletas!D188="Juvenil 85kg",23,IF(Atletas!D188="Adulto 48kg",24,IF(Atletas!D188="Adulto 52kg",25,IF(Atletas!D188="Adulto 56kg",26,IF(Atletas!D188="Adulto 60kg",27,IF(Atletas!D188="Adulto 65kg",28,IF(Atletas!D188="Adulto 70kg",29,IF(Atletas!D188="Adulto 75kg",30,IF(Atletas!D188="Adulto 80kg",31,IF(Atletas!D188="Adulto 85kg",32,IF(Atletas!D188="Adulto 90kg",33,IF(Atletas!D188="Adulto 100kg",34, IF(Atletas!D188="Adulto +100kg",35,"")))))))))))))))))))))))))))))))))))))</f>
        <v/>
      </c>
      <c r="AS197" s="6" t="str">
        <f>IF(Atletas!E188="","",IF(Atletas!B188="Feminino",100,IF(Atletas!B188="Masculino",200,""))+(IF(Atletas!E188="Juvenil 44kg",1,IF(Atletas!E188="Juvenil 48kg",2,IF(Atletas!E188="Juvenil 52kg",3,IF(Atletas!E188="Juvenil 56kg",4,IF(Atletas!E188="Juvenil 60kg",5,IF(Atletas!E188="Juvenil 65kg",6,IF(Atletas!E188="Juvenil 70kg",7,IF(Atletas!E188="Juvenil 75kg",8,IF(Atletas!E188="Juvenil 82kg",9,IF(Atletas!E188="Juvenil 90kg",10,IF(Atletas!E188="Juvenil 100kg",11,IF(Atletas!E188="Adulto 48kg",12,IF(Atletas!E188="Adulto 52kg",13,IF(Atletas!E188="Adulto 56kg",14,IF(Atletas!E188="Adulto 60kg",15,IF(Atletas!E188="Adulto 65kg",16,IF(Atletas!E188="Adulto 70kg",17,IF(Atletas!E188="Adulto 75kg",18,IF(Atletas!E188="Adulto 82kg",19,IF(Atletas!E188="Adulto 90kg",20,IF(Atletas!E188="Adulto 100kg",21,IF(Atletas!E188="Adulto +100kg",22,""))))))))))))))))))))))))</f>
        <v/>
      </c>
      <c r="AX197" s="6" t="str">
        <f>IF(Atletas!F188="","",IF(Atletas!B188="Feminino",100,IF(Atletas!B188="Masculino",200,""))+(IF(Atletas!F188="Adulto 48kg",1,IF(Atletas!F188="Adulto 56kg",2,IF(Atletas!F188="Adulto 65kg",3,IF(Atletas!F188="Adulto 75kg",4,IF(Atletas!F188="Adulto +75kg",5,IF(Atletas!F188="Adulto 52kg",6,IF(Atletas!F188="Adulto 60kg",7,IF(Atletas!F188="Adulto 70kg",8,IF(Atletas!F188="Adulto 80kg",9,IF(Atletas!F188="Adulto 90kg",10,IF(Atletas!F188="Adulto +90kg",11,"")))))))))))))</f>
        <v/>
      </c>
      <c r="BC197" s="6" t="str">
        <f>IF(Atletas!G188="","",IF(Atletas!B188="Feminino",10,IF(Atletas!B188="Masculino",20,""))+(IF(Atletas!G188="Baduanjin A",1,IF(Atletas!G188="Baduanjin B",2))))</f>
        <v/>
      </c>
      <c r="BF197" s="52" t="str">
        <f>IF(Atletas!H188="","",IF(Atletas!B188="Feminino",100,IF(Atletas!B188="Masculino",200,""))+(IF(Atletas!H188="Changquan Mirim",1,IF(Atletas!H188="Nanquan Mirim",2,IF(Atletas!H188="Taijiquan Mirim",3,IF(Atletas!H188="Changquan Grupo C",4,IF(Atletas!H188="Nanquan Grupo C",5,IF(Atletas!H188="Taijiquan Grupo C",6,IF(Atletas!H188="Changquan Grupo B",7,IF(Atletas!H188="Nanquan Grupo B",8,IF(Atletas!H188="Taijiquan Grupo B",9,IF(Atletas!H188="Changquan Grupo A",10,IF(Atletas!H188="Nanquan Grupo A",11,IF(Atletas!H188="Taijiquan Grupo A",12,IF(Atletas!H188="Changquan Opcional",13,IF(Atletas!H188="Nanquan Opcional",14,IF(Atletas!H188="Taijiquan Opcional",15,IF(Atletas!H188="Changquan Adulto",16,IF(Atletas!H188="Nanquan Adulto",17,IF(Atletas!H188="Taijiquan Adulto",18,""))))))))))))))))))))</f>
        <v/>
      </c>
      <c r="BG197" s="52" t="str">
        <f>IF(Atletas!I188="","",IF(Atletas!B188="Feminino",100,IF(Atletas!B188="Masculino",200,""))+(IF(Atletas!I188="Daoshu Mirim",19,IF(Atletas!I188="Jianshu Mirim",20,IF(Atletas!I188="Nandao Mirim",21,IF(Atletas!I188="Taijijian Mirim",22,IF(Atletas!I188="Daoshu Grupo C",23,IF(Atletas!I188="Jianshu Grupo C",24,IF(Atletas!I188="Nandao Grupo C",25,IF(Atletas!I188="Taijijian Grupo C",26,IF(Atletas!I188="Daoshu Grupo B",27,IF(Atletas!I188="Jianshu Grupo B",28,IF(Atletas!I188="Nandao Grupo B",29,IF(Atletas!I188="Taijijian Grupo B",30,IF(Atletas!I188="Daoshu Grupo A",31,IF(Atletas!I188="Jianshu Grupo A",32,IF(Atletas!I188="Nandao Grupo A",33,IF(Atletas!I188="Taijijian Grupo A",34,IF(Atletas!I188="Daoshu Opcional",35,IF(Atletas!I188="Jianshu Opcional",36,IF(Atletas!I188="Nandao Opcional",37,IF(Atletas!I188="Taijijian Opcional",38,IF(Atletas!I188="Daoshu Adulto",39,IF(Atletas!I188="Jianshu Adulto",40,IF(Atletas!I188="Nandao Adulto",41,IF(Atletas!I188="Taijijian Adulto",42,""))))))))))))))))))))))))))</f>
        <v/>
      </c>
      <c r="BH197" s="52" t="str">
        <f>IF(Atletas!J188="","",IF(Atletas!B188="Feminino",100,IF(Atletas!B188="Masculino",200,""))+(IF(Atletas!J188="Gunshu Mirim",43,IF(Atletas!J188="Qiangshu Mirim",44,IF(Atletas!J188="Nangun Mirim",45,IF(Atletas!J188="Gunshu Grupo C",46,IF(Atletas!J188="Qiangshu Grupo C",47,IF(Atletas!J188="Nangun Grupo C",48,IF(Atletas!J188="Gunshu Grupo B",49,IF(Atletas!J188="Qiangshu Grupo B",50,IF(Atletas!J188="Nangun Grupo B",51,IF(Atletas!J188="Gunshu Grupo A",52,IF(Atletas!J188="Qiangshu Grupo A",53,IF(Atletas!J188="Nangun Grupo A",54,IF(Atletas!J188="Gunshu Opcional",55,IF(Atletas!J188="Qiangshu Opcional",56,IF(Atletas!J188="Nangun Opcional",57,IF(Atletas!J188="Gunshu Adulto",58,IF(Atletas!J188="Qiangshu Adulto",59,IF(Atletas!J188="Nangun Adulto",60,IF(Atletas!J188="Taijishan Grupo B",61,IF(Atletas!J188="Taijishan Grupo A",62,""))))))))))))))))))))))</f>
        <v/>
      </c>
      <c r="BM197" s="50" t="str">
        <f>IF(Atletas!K188="","",IF(Atletas!B188="Feminino",100,IF(Atletas!B188="Masculino",200,""))+(IF(Atletas!K188="Equipe 1 Grupo B",1,IF(Atletas!K188="Equipe 2 Grupo B",2,IF(Atletas!K188="Equipe 1 Grupo A",3,IF(Atletas!K188="Equipe 2 Grupo A",4,IF(Atletas!K188="Equipe 1 Adulto",5,IF(Atletas!K188="Equipe 2 Adulto",6,""))))))))</f>
        <v/>
      </c>
      <c r="BR197" s="50" t="str">
        <f>IF(Atletas!L188="","",IF(Atletas!X188&lt;&gt;"",10000,0)+(IF(Atletas!B188="Feminino",1000,IF(Atletas!B188="Masculino",2000,""))+IF(Atletas!L188="Choylayfut A",1,IF(Atletas!L188="Hunggar A",2,IF(Atletas!L188="Wuzuquan A",3,IF(Atletas!L188="Wingchun A",4,IF(Atletas!L188="Outra Mão de Sul A",5,IF(Atletas!L188="Choylayfut B",6,IF(Atletas!L188="Hunggar B",7,IF(Atletas!L188="Wuzuquan B",8,IF(Atletas!L188="Wingchun B",9,IF(Atletas!L188="Outra Mão de Sul B",10,IF(Atletas!L188="Choylayfut C",11,IF(Atletas!L188="Hunggar C",12,IF(Atletas!L188="Wuzuquan C",13,IF(Atletas!L188="Wingchun C",14,IF(Atletas!L188="Outra Mão de Sul C",15,IF(Atletas!L188="Choylayfut D",16,IF(Atletas!L188="Hunggar D",17,IF(Atletas!L188="Wuzuquan D",18,IF(Atletas!L188="Wingchun D",19,IF(Atletas!L188="Outra Mão de Sul D",20,IF(Atletas!L188="Choylayfut E",21,IF(Atletas!L188="Hunggar E",22,IF(Atletas!L188="Wuzuquan E",23,IF(Atletas!L188="Wingchun E",24,IF(Atletas!L188="Outra Mão de Sul E",25,IF(Atletas!L188="Choylayfut F",26,IF(Atletas!L188="Hunggar F",27,IF(Atletas!L188="Wuzuquan F",28,IF(Atletas!L188="Wingchun F",29,IF(Atletas!L188="Outra Mão de Sul F",30,IF(Atletas!L188="Dishuquan A",31,IF(Atletas!L188="Dishuquan B",32,IF(Atletas!L188="Dishuquan C",33,IF(Atletas!L188="Dishuquan D",34,IF(Atletas!L188="Dishuquan E",35,IF(Atletas!L188="Dishuquan F",36,""))))))))))))))))))))))))))))))))))))))</f>
        <v/>
      </c>
      <c r="BS197" s="50" t="str">
        <f>IF(Atletas!M188="","",IF(Atletas!X188&lt;&gt;"",10000,0)+(IF(Atletas!B188="Feminino",1000,IF(Atletas!B188="Masculino",2000,""))+(IF(Atletas!M188="Chaquan A",101,IF(Atletas!M188="Emeiquan A",102,IF(Atletas!M188="Fanziquan A",103,IF(Atletas!M188="Huaquan A",104,IF(Atletas!M188="Hongquan A",105,IF(Atletas!M188="Paoquan A",106,IF(Atletas!M188="Piguaquan A",107,IF(Atletas!M188="Shaolinquan A",108,IF(Atletas!M188="Tanglangquan A",109,IF(Atletas!M188="Yingzhaoquan A",110,IF(Atletas!M188="Tongbeiquan A",111,IF(Atletas!M188="Wudangquan A",112,IF(Atletas!M188="Outros Estilos A",113,IF(Atletas!M188="Chaquan B",114,IF(Atletas!M188="Emeiquan B",115,IF(Atletas!M188="Fanziquan B",116,IF(Atletas!M188="Huaquan B",117,IF(Atletas!M188="Hongquan B",118,IF(Atletas!M188="Paoquan B",119,IF(Atletas!M188="Piguaquan B",120,IF(Atletas!M188="Shaolinquan B",121,IF(Atletas!M188="Tanglangquan B",122,IF(Atletas!M188="Yingzhaoquan B",123,IF(Atletas!M188="Tongbeiquan B",124,IF(Atletas!M188="Wudangquan B",125,IF(Atletas!M188="Outros Estilos B",126,IF(Atletas!M188="Chaquan C",127,IF(Atletas!M188="Emeiquan C",128,IF(Atletas!M188="Fanziquan C",129,IF(Atletas!M188="Huaquan C",130,IF(Atletas!M188="Hongquan C",131,IF(Atletas!M188="Paoquan C",132,IF(Atletas!M188="Piguaquan C",133,IF(Atletas!M188="Shaolinquan C",134,IF(Atletas!M188="Tanglangquan C",135,IF(Atletas!M188="Yingzhaoquan C",136,IF(Atletas!M188="Tongbeiquan C",137,IF(Atletas!M188="Wudangquan C",138,IF(Atletas!M188="Outros Estilos C",139,0))))))))))))))))))))))))))))))))))))))))))</f>
        <v/>
      </c>
      <c r="BT197" s="50" t="str">
        <f>IF(Atletas!M188="","",IF(Atletas!X188&lt;&gt;"",10000,0)+(IF(Atletas!B188="Feminino",1000,IF(Atletas!B188="Masculino",2000,""))+(IF(Atletas!M188="Chaquan D",140,IF(Atletas!M188="Emeiquan D",141,IF(Atletas!M188="Fanziquan D",142,IF(Atletas!M188="Huaquan D",143,IF(Atletas!M188="Hongquan D",144,IF(Atletas!M188="Paoquan D",145,IF(Atletas!M188="Piguaquan D",146,IF(Atletas!M188="Shaolinquan D",147,IF(Atletas!M188="Tanglangquan D",148,IF(Atletas!M188="Yingzhaoquan D",149,IF(Atletas!M188="Tongbeiquan D",150,IF(Atletas!M188="Wudangquan D",151,IF(Atletas!M188="Outros Estilos D",152,IF(Atletas!M188="Chaquan E",153,IF(Atletas!M188="Emeiquan E",154,IF(Atletas!M188="Fanziquan E",155,IF(Atletas!M188="Huaquan E",156,IF(Atletas!M188="Hongquan E",157,IF(Atletas!M188="Paoquan E",158,IF(Atletas!M188="Piguaquan E",159,IF(Atletas!M188="Shaolinquan E",160,IF(Atletas!M188="Tanglangquan E",161,IF(Atletas!M188="Yingzhaoquan E",162,IF(Atletas!M188="Tongbeiquan E",163,IF(Atletas!M188="Wudangquan E",164,IF(Atletas!M188="Outros Estilos E",165,IF(Atletas!M188="Chaquan F",166,IF(Atletas!M188="Emeiquan F",167,IF(Atletas!M188="Fanziquan F",168,IF(Atletas!M188="Huaquan F",169,IF(Atletas!M188="Hongquan F",170,IF(Atletas!M188="Paoquan F",171,IF(Atletas!M188="Piguaquan F",172,IF(Atletas!M188="Shaolinquan F",173,IF(Atletas!M188="Tanglangquan F",174,IF(Atletas!M188="Yingzhaoquan F",175,IF(Atletas!M188="Tongbeiquan F",176,IF(Atletas!M188="Wudangquan F",177,IF(Atletas!M188="Outros Estilos F",178,0))))))))))))))))))))))))))))))))))))))))))</f>
        <v/>
      </c>
      <c r="BU197" s="50" t="str">
        <f>IF(Atletas!N188="","",IF(Atletas!X188&lt;&gt;"",10000,0)+(IF(Atletas!B188="Feminino",1000,IF(Atletas!B188="Masculino",2000,""))+(IF(Atletas!N188="Ditangquan A",201,IF(Atletas!N188="Houquan A",202,IF(Atletas!N188="Zuiquan A",203,IF(Atletas!N188="Ditangquan B",204,IF(Atletas!N188="Houquan B",205,IF(Atletas!N188="Zuiquan B",206,IF(Atletas!N188="Ditangquan C",207,IF(Atletas!N188="Houquan C",208,IF(Atletas!N188="Zuiquan C",209,IF(Atletas!N188="Ditangquan D",210,IF(Atletas!N188="Houquan D",211,IF(Atletas!N188="Zuiquan D",212,IF(Atletas!N188="Ditangquan E",213,IF(Atletas!N188="Houquan E",214,IF(Atletas!N188="Zuiquan E",215,IF(Atletas!N188="Ditangquan F",216,IF(Atletas!N188="Houquan F",217,IF(Atletas!N188="Zuiquan F",218,"")))))))))))))))))))))</f>
        <v/>
      </c>
      <c r="BV197" s="50" t="str">
        <f>IF(Atletas!O188="","",IF(Atletas!X188&lt;&gt;"",10000,0)+IF(Atletas!B188="Feminino",1000,IF(Atletas!B188="Masculino",2000,""))+IF(Atletas!O188="Yang A",301,IF(Atletas!O188="Chen A",302,IF(Atletas!O188="Sun A",303,IF(Atletas!O188="Wu A",304,IF(Atletas!O188="Wu-Hao A",305,IF(Atletas!O188="Outro Taijiquan A",306,IF(Atletas!O188="Yang B",307,IF(Atletas!O188="Chen B",308,IF(Atletas!O188="Sun B",309,IF(Atletas!O188="Wu B",310,IF(Atletas!O188="Wu-Hao B",311,IF(Atletas!O188="Outro Taijiquan B",312,IF(Atletas!O188="Yang C",313,IF(Atletas!O188="Chen C",314,IF(Atletas!O188="Sun C",315,IF(Atletas!O188="Wu C",316,IF(Atletas!O188="Wu-Hao C",317,IF(Atletas!O188="Outro Taijiquan C",318,IF(Atletas!O188="Yang D",319,IF(Atletas!O188="Chen D",320,IF(Atletas!O188="Sun D",321,IF(Atletas!O188="Wu D",322,IF(Atletas!O188="Wu-Hao D",323,IF(Atletas!O188="Outro Taijiquan D",324,IF(Atletas!O188="Yang E",325,IF(Atletas!O188="Chen E",326,IF(Atletas!O188="Sun E",327,IF(Atletas!O188="Wu E",328,IF(Atletas!O188="Wu-Hao E",329,IF(Atletas!O188="Outro Taijiquan E",330,IF(Atletas!O188="Yang F",331,IF(Atletas!O188="Chen F",332,IF(Atletas!O188="Sun F",333,IF(Atletas!O188="Wu F",334,IF(Atletas!O188="Wu-Hao F",335,IF(Atletas!O188="Outro Taijiquan F",336,"")))))))))))))))))))))))))))))))))))))</f>
        <v/>
      </c>
      <c r="BW197" s="50" t="str">
        <f>IF(Atletas!P188="","",IF(Atletas!X188&lt;&gt;"",10000,0)+IF(Atletas!B188="Feminino",1000,IF(Atletas!B188="Masculino",2000,""))+IF(OR(Atletas!P188="Yang 26 A",Atletas!P188="Yang 40 A"),401,IF(OR(Atletas!P188="Chen 25 A",Atletas!P188="Chen 36 A",Atletas!P188="Chen 56 A"),402,IF(Atletas!P188="Sun 73 A",403,IF(Atletas!P188="Wu 45 A",404,IF(Atletas!P188="Wu-Hao 46 A",405,IF(OR(Atletas!P188="Taijiquan 16 A",Atletas!P188="Taijiquan 24 A",Atletas!P188="Taijiquan 32 A",Atletas!P188="Taijiquan 42 A"),406,IF(OR(Atletas!P188="Yang 26 B",Atletas!P188="Yang 40 B"),407,IF(OR(Atletas!P188="Chen 25 B",Atletas!P188="Chen 36 B",Atletas!P188="Chen 56 B"),408,IF(Atletas!P188="Sun 73 B",409,IF(Atletas!P188="Wu 45 B",410,IF(Atletas!P188="Wu-Hao 46 B",411,IF(OR(Atletas!P188="Taijiquan 16 B",Atletas!P188="Taijiquan 24 B",Atletas!P188="Taijiquan 32 B",Atletas!P188="Taijiquan 42 B"),412,IF(OR(Atletas!P188="Yang 26 C",Atletas!P188="Yang 40 C"),413,IF(OR(Atletas!P188="Chen 25 C",Atletas!P188="Chen 36 C",Atletas!P188="Chen 56 C"),414,IF(Atletas!P188="Sun 73 C",415,IF(Atletas!P188="Wu 45 C",416,IF(Atletas!P188="Wu-Hao 46 C",417,IF(OR(Atletas!P188="Taijiquan 16 C",Atletas!P188="Taijiquan 24 C",Atletas!P188="Taijiquan 32 C",Atletas!P188="Taijiquan 42 C"),418,0)))))))))))))))))))</f>
        <v/>
      </c>
      <c r="BX197" s="50" t="str">
        <f>IF(Atletas!P188="","",IF(Atletas!X188&lt;&gt;"",10000,0)+IF(Atletas!B188="Feminino",1000,IF(Atletas!B188="Masculino",2000,""))+IF(OR(Atletas!P188="Yang 26 D",Atletas!P188="Yang 40 D"),419,IF(OR(Atletas!P188="Chen 25 D",Atletas!P188="Chen 36 D",Atletas!P188="Chen 56 D"),420,IF(Atletas!P188="Sun 73 D",421,IF(Atletas!P188="Wu 45 D",422,IF(Atletas!P188="Wu-Hao 46 D",423,IF(OR(Atletas!P188="Taijiquan 16 D",Atletas!P188="Taijiquan 24 D",Atletas!P188="Taijiquan 32 D",Atletas!P188="Taijiquan 42 D"),424,IF(OR(Atletas!P188="Yang 26 E",Atletas!P188="Yang 40 E"),425,IF(OR(Atletas!P188="Chen 25 E",Atletas!P188="Chen 36 E",Atletas!P188="Chen 56 E"),426,IF(Atletas!P188="Sun 73 E",427,IF(Atletas!P188="Wu 45 E",428,IF(Atletas!P188="Wu-Hao 46 E",429,IF(OR(Atletas!P188="Taijiquan 16 E",Atletas!P188="Taijiquan 24 E",Atletas!P188="Taijiquan 32 E",Atletas!P188="Taijiquan 42 E"),430,IF(OR(Atletas!P188="Yang 26 F",Atletas!P188="Yang 40 F"),431,IF(OR(Atletas!P188="Chen 25 F",Atletas!P188="Chen 36 F",Atletas!P188="Chen 56 F"),432,IF(Atletas!P188="Sun 73 F",433,IF(Atletas!P188="Wu 45 F",434,IF(Atletas!P188="Wu-Hao 46 F",435,IF(OR(Atletas!P188="Taijiquan 16 F",Atletas!P188="Taijiquan 24 F",Atletas!P188="Taijiquan 32 F",Atletas!P188="Taijiquan 42 F"),436,0)))))))))))))))))))</f>
        <v/>
      </c>
      <c r="BY197" s="50" t="str">
        <f>IF(Atletas!Q188="","",IF(Atletas!X188&lt;&gt;"",10000,0)+IF(Atletas!B188="Feminino",1000,IF(Atletas!B188="Masculino",2000,""))+IF(Atletas!Q188="Xingyiquan A",501,IF(Atletas!Q188="Baguazhang A",502,IF(Atletas!Q188="Outro Estilo Interno A",503,IF(Atletas!Q188="Xingyiquan B",504,IF(Atletas!Q188="Baguazhang B",505,IF(Atletas!Q188="Outro Estilo Interno B",506,IF(Atletas!Q188="Xingyiquan C",507,IF(Atletas!Q188="Baguazhang C",508,IF(Atletas!Q188="Outro Estilo Interno C",509,IF(Atletas!Q188="Xingyiquan D",510,IF(Atletas!Q188="Baguazhang D",511,IF(Atletas!Q188="Outro Estilo Interno D",512,IF(Atletas!Q188="Xingyiquan E",513,IF(Atletas!Q188="Baguazhang E",514,IF(Atletas!Q188="Outro Estilo Interno E",515,IF(Atletas!Q188="Xingyiquan F",516,IF(Atletas!Q188="Baguazhang F",517,IF(Atletas!Q188="Outro Estilo Interno F",518, "")))))))))))))))))))</f>
        <v/>
      </c>
      <c r="BZ197" s="50" t="str">
        <f>IF(Atletas!R188="","",IF(Atletas!X188&lt;&gt;"",10000,0)+IF(Atletas!B188="Feminino",1000,IF(Atletas!B188="Masculino",2000,""))+IF(Atletas!R188="Dao A",601,IF(Atletas!R188="Jian A",602,IF(Atletas!R188="Bishou A",603,IF(Atletas!R188="Shanzi A",604,IF(Atletas!R188="Outra Arma Curta A",605,IF(Atletas!R188="Dao B",606,IF(Atletas!R188="Jian B",607,IF(Atletas!R188="Bishou B",608,IF(Atletas!R188="Shanzi B",609,IF(Atletas!R188="Outra Arma Curta B",610,IF(Atletas!R188="Dao C",611,IF(Atletas!R188="Jian C",612,IF(Atletas!R188="Bishou C",613,IF(Atletas!R188="Shanzi C",614,IF(Atletas!R188="Outra Arma Curta C",615,IF(Atletas!R188="Dao D",616,IF(Atletas!R188="Jian D",617,IF(Atletas!R188="Bishou D",618,IF(Atletas!R188="Shanzi D",619,IF(Atletas!R188="Outra Arma Curta D",620,IF(Atletas!R188="Dao E",621,IF(Atletas!R188="Jian E",622,IF(Atletas!R188="Bishou E",623,IF(Atletas!R188="Shanzi E",624,IF(Atletas!R188="Outra Arma Curta E",625,IF(Atletas!R188="Dao F",626,IF(Atletas!R188="Jian F",627,IF(Atletas!R188="Bishou F",628,IF(Atletas!R188="Shanzi F",629,IF(Atletas!R188="Outra Arma Curta F",630, "")))))))))))))))))))))))))))))))</f>
        <v/>
      </c>
      <c r="CA197" s="50" t="str">
        <f>IF(Atletas!S188="","",IF(Atletas!X188&lt;&gt;"",10000,0)+IF(Atletas!B188="Feminino",1000,IF(Atletas!B188="Masculino",2000,""))+IF(Atletas!S188="Gun A",701,IF(Atletas!S188="Qiang A",702,IF(Atletas!S188="Pudao / Guandao A",703,IF(Atletas!S188="Outra Arma Longa A",704,IF(Atletas!S188="Gun B",705,IF(Atletas!S188="Qiang B",706,IF(Atletas!S188="Pudao / Guandao B",707,IF(Atletas!S188="Outra Arma Longa B",708,IF(Atletas!S188="Gun C",709,IF(Atletas!S188="Qiang C",710,IF(Atletas!S188="Pudao / Guandao C",711,IF(Atletas!S188="Outra Arma Longa C",712,IF(Atletas!S188="Gun D",713,IF(Atletas!S188="Qiang D",714,IF(Atletas!S188="Pudao / Guandao D",715,IF(Atletas!S188="Outra Arma Longa D",716,IF(Atletas!S188="Gun E",717,IF(Atletas!S188="Qiang E",718,IF(Atletas!S188="Pudao / Guandao E",719,IF(Atletas!S188="Outra Arma Longa E",720,IF(Atletas!S188="Gun F",721,IF(Atletas!S188="Qiang F",722,IF(Atletas!S188="Pudao / Guandao F",723,IF(Atletas!S188="Outra Arma Longa F",724,"")))))))))))))))))))))))))</f>
        <v/>
      </c>
      <c r="CB197" s="50" t="str">
        <f>IF(Atletas!T188="","",IF(Atletas!X188&lt;&gt;"",10000,0)+IF(Atletas!B188="Feminino",1000,IF(Atletas!B188="Masculino",2000,""))+IF(Atletas!T188="Outra Arma Dupla A",801,IF(Atletas!T188="Arma Maleável A",802,IF(Atletas!T188="Outra Arma Dupla B",803,IF(Atletas!T188="Arma Maleável B",804,IF(Atletas!T188="Outra Arma Dupla C",805,IF(Atletas!T188="Arma Maleável C",806,IF(Atletas!T188="Outra Arma Dupla D",807,IF(Atletas!T188="Arma Maleável D",808,IF(Atletas!T188="Outra Arma Dupla E",809,IF(Atletas!T188="Arma Maleável E",810,IF(Atletas!T188="Outra Arma Dupla F",811,IF(Atletas!T188="Arma Maleável F",812,IF(Atletas!T188="Shuangdao A",813,IF(Atletas!T188="Shuangdao B",814,IF(Atletas!T188="Shuangdao C",815,IF(Atletas!T188="Shuangdao D",816,IF(Atletas!T188="Shuangdao E",817,IF(Atletas!T188="Shuangdao F",818,"")))))))))))))))))))</f>
        <v/>
      </c>
      <c r="CC197" s="50" t="str">
        <f>IF(Atletas!U188="","",IF(Atletas!X188&lt;&gt;"",10000,0)+IF(Atletas!B188="Feminino",1000,IF(Atletas!B188="Masculino",2000,""))+IF(OR(Atletas!U188="Taijijian Yang A",Atletas!U188="Taijijian Yang Standard A"),901,IF(OR(Atletas!U188="Taijijian Chen A", Atletas!U188="Taijijian Chen Standard A"),902,IF(Atletas!U188="Taijijian Sun A",903,IF(Atletas!U188="Taijijian Wu A",904,IF(Atletas!U188="Taijijian Wu-Hao A",905,IF(OR(Atletas!U188="Taijijian 32 A",Atletas!U188="Taijijian 42 A"),906,IF(OR(Atletas!U188="Taijijian Yang B",Atletas!U188="Taijijian Yang Standard B"),907,IF(OR(Atletas!U188="Taijijian Chen B", Atletas!U188="Taijijian Chen Standard B"),908,IF(Atletas!U188="Taijijian Sun B",909,IF(Atletas!U188="Taijijian Wu B",910,IF(Atletas!U188="Taijijian Wu-Hao B",911,IF(OR(Atletas!U188="Taijijian 32 B",Atletas!U188="Taijijian 42 B"),912,IF(OR(Atletas!U188="Taijijian Yang C",Atletas!U188="Taijijian Yang Standard C"),913,IF(OR(Atletas!U188="Taijijian Chen C", Atletas!U188="Taijijian Chen Standard C"),914,IF(Atletas!U188="Taijijian Sun C",915,IF(Atletas!U188="Taijijian Wu C",916,IF(Atletas!U188="Taijijian Wu-Hao C",917,IF(OR(Atletas!U188="Taijijian 32 C",Atletas!U188="Taijijian 42 C"),918,IF(OR(Atletas!U188="Taijijian Yang D",Atletas!U188="Taijijian Yang Standard D"),919,IF(OR(Atletas!U188="Taijijian Chen D", Atletas!U188="Taijijian Chen Standard D"),920,IF(Atletas!U188="Taijijian Sun D",921,IF(Atletas!U188="Taijijian Wu D",922,IF(Atletas!U188="Taijijian Wu-Hao D",923,IF(OR(Atletas!U188="Taijijian 32 D",Atletas!U188="Taijijian 42 D"),924,IF(OR(Atletas!U188="Taijijian Yang E",Atletas!U188="Taijijian Yang Standard E"),925,IF(OR(Atletas!U188="Taijijian Chen E", Atletas!U188="Taijijian Chen Standard E"),926,IF(Atletas!U188="Taijijian Sun E",927,IF(Atletas!U188="Taijijian Wu E",928,IF(Atletas!U188="Taijijian Wu-Hao E",929,IF(OR(Atletas!U188="Taijijian 32 E",Atletas!U188="Taijijian 42 E"),930,IF(OR(Atletas!U188="Taijijian Yang F",Atletas!U188="Taijijian Yang Standard F"),931,IF(OR(Atletas!U188="Taijijian Chen F", Atletas!U188="Taijijian Chen Standard F"),932,IF(Atletas!U188="Taijijian Sun F",933,IF(Atletas!U188="Taijijian Wu F",934,IF(Atletas!U188="Taijijian Wu-Hao F",935,IF(OR(Atletas!U188="Taijijian 32 F",Atletas!U188="Taijijian 42 F"),936,"")))))))))))))))))))))))))))))))))))))</f>
        <v/>
      </c>
      <c r="CD197" s="50" t="str">
        <f>IF(Atletas!V188="","",IF(Atletas!X188&lt;&gt;"",10000,0)+IF(Atletas!B188="Feminino",1000,IF(Atletas!B188="Masculino",2000,""))+IF(Atletas!V188="Taijidao A",937,IF(Atletas!V188="TaijiShanzi A",938,IF(Atletas!V188="Taijiqiang A",939,IF(Atletas!V188="Bagua de Arma A",940,IF(Atletas!V188="Xingyi de Arma A",941,IF(Atletas!V188="Taijidao B",942,IF(Atletas!V188="TaijiShanzi B",943,IF(Atletas!V188="Taijiqiang B",944,IF(Atletas!V188="Bagua de Arma B",945,IF(Atletas!V188="Xingyi de Arma B",946,IF(Atletas!V188="Taijidao C",947,IF(Atletas!V188="TaijiShanzi C",948,IF(Atletas!V188="Taijiqiang C",949,IF(Atletas!V188="Bagua de Arma C",950,IF(Atletas!V188="Xingyi de Arma C",951,IF(Atletas!V188="Taijidao D",952,IF(Atletas!V188="TaijiShanzi D",953,IF(Atletas!V188="Taijiqiang D",954,IF(Atletas!V188="Bagua de Arma D",955,IF(Atletas!V188="Xingyi de Arma D",956,IF(Atletas!V188="Taijidao E",957,IF(Atletas!V188="TaijiShanzi E",958,IF(Atletas!V188="Taijiqiang E",959,IF(Atletas!V188="Bagua de Arma E",960,IF(Atletas!V188="Xingyi de Arma E",961,IF(Atletas!V188="Taijidao F",962,IF(Atletas!V188="TaijiShanzi F",963,IF(Atletas!V188="Taijiqiang F",964,IF(Atletas!V188="Bagua de Arma F",965,IF(Atletas!V188="Xingyi de Arma F",966,"")))))))))))))))))))))))))))))))</f>
        <v/>
      </c>
      <c r="CE197" s="66" t="str">
        <f>IF(CF197&lt;&gt;"","TJQ Padr. Wu-Hao D","")</f>
        <v/>
      </c>
      <c r="CF197" s="66" t="str">
        <f>IF(COUNTIF(BR:CD,1423)&gt;0,COUNTIF(BR:CD,1423),"")</f>
        <v/>
      </c>
      <c r="CG197" s="66" t="str">
        <f>IF(CH197&lt;&gt;"","TJQ Padr. Wu-Hao D","")</f>
        <v/>
      </c>
      <c r="CH197" s="66" t="str">
        <f>IF(COUNTIF(BR:CD,2423)&gt;0,COUNTIF(BR:CD,2423),"")</f>
        <v/>
      </c>
      <c r="CI197" s="66" t="str">
        <f>IF(CJ197&lt;&gt;"","TJQ Padr. Wu-Hao E","")</f>
        <v/>
      </c>
      <c r="CJ197" s="66" t="str">
        <f>IF(COUNTIF(BR:CD,11429)&gt;0,COUNTIF(BR:CD,11429),"")</f>
        <v/>
      </c>
      <c r="CK197" s="66" t="str">
        <f>IF(CL197&lt;&gt;"","TJQ Padr. Wu-Hao E","")</f>
        <v/>
      </c>
      <c r="CL197" s="66" t="str">
        <f>IF(COUNTIF(BR:CD,12429)&gt;0,COUNTIF(BR:CD,12429),"")</f>
        <v/>
      </c>
      <c r="CM197" s="50" t="str">
        <f xml:space="preserve"> IF(Atletas!W188="","",IF(Atletas!W188="Duilian de Mãos BC - Equipe 1",1,IF(Atletas!W188="Duilian de Mãos BC - Equipe 2",2,IF(Atletas!W188="Duilian de Armas BC - Equipe 1",3,IF(Atletas!W188="Duilian de Armas BC - Equipe 2",4,IF(Atletas!W188="Duilian de Mãos DE - Equipe 1",5,IF(Atletas!W188="Duilian de Mãos DE - Equipe 2",6,IF(Atletas!W188="Duilian de Armas DE - Equipe 1",7,IF(Atletas!W188="Duilian de Armas DE - Equipe 2",8,IF(Atletas!W188="Duilian de Tuishou - Equipe 1",9,IF(Atletas!W188="Duilian de Tuishou - Equipe 2",10,IF(Atletas!W188="Grupo Externo ABC - Equipe 1",11,IF(Atletas!W188="Grupo Externo ABC - Equipe 2",12,IF(Atletas!W188="Grupo Interno ABC - Equipe 1",13,IF(Atletas!W188="Grupo Interno ABC - Equipe 2",14,IF(Atletas!W188="Grupo Externo DEF - Equipe 1",15,IF(Atletas!W188="Grupo Externo DEF - Equipe 2",16,IF(Atletas!W188="Grupo Interno DEF - Equipe 1",17,IF(Atletas!W188="Grupo Interno DEF - Equipe 2",18,"")))))))))))))))))))</f>
        <v/>
      </c>
    </row>
    <row r="198" spans="2:91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 t="str">
        <f t="array" ref="Z198">IFERROR(INDEX(CE$7:CE$348,SMALL(IF(CE$7:CE$348&lt;&gt;"",ROW(CE$7:CE$348)-ROW(CE$7)+1),ROWS(CE$7:CE197))),"")</f>
        <v/>
      </c>
      <c r="AA198" s="3" t="str">
        <f t="array" ref="AA198">IFERROR(INDEX(CF$7:CF$348,SMALL(IF(CF$7:CF$348&lt;&gt;"",ROW(CF$7:CF$348)-ROW(CF$7)+1),ROWS(CF$7:CF197))),"")</f>
        <v/>
      </c>
      <c r="AB198" s="3" t="str">
        <f t="array" ref="AB198">IFERROR(INDEX(CG$7:CG$348,SMALL(IF(CG$7:CG$348&lt;&gt;"",ROW(CG$7:CG$348)-ROW(CG$7)+1),ROWS(CG$7:CG197))),"")</f>
        <v/>
      </c>
      <c r="AC198" s="3" t="str">
        <f t="array" ref="AC198">IFERROR(INDEX(CH$7:CH$348,SMALL(IF(CH$7:CH$348&lt;&gt;"",ROW(CH$7:CH$348)-ROW(CH$7)+1),ROWS(CH$7:CH197))),"")</f>
        <v/>
      </c>
      <c r="AD198" s="3" t="str">
        <f t="array" ref="AD198">IFERROR(INDEX(CI$7:CI$377,SMALL(IF(CI$7:CI$377&lt;&gt;"",ROW(CI$7:CI$377)-ROW(CI$7)+1),ROWS(CI$7:CI197))),"")</f>
        <v/>
      </c>
      <c r="AE198" s="3" t="str">
        <f t="array" ref="AE198">IFERROR(INDEX(CJ$7:CJ$378,SMALL(IF(CJ$7:CJ$378&lt;&gt;"",ROW(CJ$7:CJ$378)-ROW(CJ$7)+1),ROWS(CJ$7:CJ197))),"")</f>
        <v/>
      </c>
      <c r="AF198" s="3" t="str">
        <f t="array" ref="AF198">IFERROR(INDEX(CK$7:CK$378,SMALL(IF(CK$7:CK$378&lt;&gt;"",ROW(CK$7:CK$378)-ROW(CK$7)+1),ROWS(CK$7:CK197))),"")</f>
        <v/>
      </c>
      <c r="AG198" s="3" t="str">
        <f t="array" ref="AG198">IFERROR(INDEX(CL$7:CL$378,SMALL(IF(CL$7:CL$378&lt;&gt;"",ROW(CL$7:CL$378)-ROW(CL$7)+1),ROWS(CL$7:CL197))),"")</f>
        <v/>
      </c>
      <c r="AH198" s="3"/>
      <c r="AI198" s="3"/>
      <c r="AJ198" s="3"/>
      <c r="AK198" s="3"/>
      <c r="AL198" s="3"/>
      <c r="AM198" s="3"/>
      <c r="AN198" s="52" t="str">
        <f>IF(Atletas!D189="","",IF(Atletas!B189="Feminino",100,IF(Atletas!B189="Masculino",200,""))+(IF(Atletas!D189="Kids 30kg",1,IF(Atletas!D189="Kids 32kg",2, IF(Atletas!D189="Kids 34kg",3,IF(Atletas!D189="Kids 36kg",4,IF(Atletas!D189="Kids 39kg",5,IF(Atletas!D189="Kids 42kg",6,IF(Atletas!D189="Kids 45kg",7, IF(Atletas!D189="Infantil 39kg",8,IF(Atletas!D189="Infantil 42kg",9,IF(Atletas!D189="Infantil 45kg",10,IF(Atletas!D189="Infantil 48kg",11,IF(Atletas!D189="Infantil 52kg",12,IF(Atletas!D189="Infantil 56kg",13,IF(Atletas!D189="Infantil 60kg",14,IF(Atletas!D189="Juvenil 48kg",15,IF(Atletas!D189="Juvenil 52kg",16,IF(Atletas!D189="Juvenil 56kg",17,IF(Atletas!D189="Juvenil 60kg",18,IF(Atletas!D189="Juvenil 65kg",19,IF(Atletas!D189="Juvenil 70kg",20,IF(Atletas!D189="Juvenil 75kg",21,IF(Atletas!D189="Juvenil 80kg",22, IF(Atletas!D189="Juvenil 85kg",23,IF(Atletas!D189="Adulto 48kg",24,IF(Atletas!D189="Adulto 52kg",25,IF(Atletas!D189="Adulto 56kg",26,IF(Atletas!D189="Adulto 60kg",27,IF(Atletas!D189="Adulto 65kg",28,IF(Atletas!D189="Adulto 70kg",29,IF(Atletas!D189="Adulto 75kg",30,IF(Atletas!D189="Adulto 80kg",31,IF(Atletas!D189="Adulto 85kg",32,IF(Atletas!D189="Adulto 90kg",33,IF(Atletas!D189="Adulto 100kg",34, IF(Atletas!D189="Adulto +100kg",35,"")))))))))))))))))))))))))))))))))))))</f>
        <v/>
      </c>
      <c r="AS198" s="6" t="str">
        <f>IF(Atletas!E189="","",IF(Atletas!B189="Feminino",100,IF(Atletas!B189="Masculino",200,""))+(IF(Atletas!E189="Juvenil 44kg",1,IF(Atletas!E189="Juvenil 48kg",2,IF(Atletas!E189="Juvenil 52kg",3,IF(Atletas!E189="Juvenil 56kg",4,IF(Atletas!E189="Juvenil 60kg",5,IF(Atletas!E189="Juvenil 65kg",6,IF(Atletas!E189="Juvenil 70kg",7,IF(Atletas!E189="Juvenil 75kg",8,IF(Atletas!E189="Juvenil 82kg",9,IF(Atletas!E189="Juvenil 90kg",10,IF(Atletas!E189="Juvenil 100kg",11,IF(Atletas!E189="Adulto 48kg",12,IF(Atletas!E189="Adulto 52kg",13,IF(Atletas!E189="Adulto 56kg",14,IF(Atletas!E189="Adulto 60kg",15,IF(Atletas!E189="Adulto 65kg",16,IF(Atletas!E189="Adulto 70kg",17,IF(Atletas!E189="Adulto 75kg",18,IF(Atletas!E189="Adulto 82kg",19,IF(Atletas!E189="Adulto 90kg",20,IF(Atletas!E189="Adulto 100kg",21,IF(Atletas!E189="Adulto +100kg",22,""))))))))))))))))))))))))</f>
        <v/>
      </c>
      <c r="AX198" s="6" t="str">
        <f>IF(Atletas!F189="","",IF(Atletas!B189="Feminino",100,IF(Atletas!B189="Masculino",200,""))+(IF(Atletas!F189="Adulto 48kg",1,IF(Atletas!F189="Adulto 56kg",2,IF(Atletas!F189="Adulto 65kg",3,IF(Atletas!F189="Adulto 75kg",4,IF(Atletas!F189="Adulto +75kg",5,IF(Atletas!F189="Adulto 52kg",6,IF(Atletas!F189="Adulto 60kg",7,IF(Atletas!F189="Adulto 70kg",8,IF(Atletas!F189="Adulto 80kg",9,IF(Atletas!F189="Adulto 90kg",10,IF(Atletas!F189="Adulto +90kg",11,"")))))))))))))</f>
        <v/>
      </c>
      <c r="BC198" s="6" t="str">
        <f>IF(Atletas!G189="","",IF(Atletas!B189="Feminino",10,IF(Atletas!B189="Masculino",20,""))+(IF(Atletas!G189="Baduanjin A",1,IF(Atletas!G189="Baduanjin B",2))))</f>
        <v/>
      </c>
      <c r="BF198" s="52" t="str">
        <f>IF(Atletas!H189="","",IF(Atletas!B189="Feminino",100,IF(Atletas!B189="Masculino",200,""))+(IF(Atletas!H189="Changquan Mirim",1,IF(Atletas!H189="Nanquan Mirim",2,IF(Atletas!H189="Taijiquan Mirim",3,IF(Atletas!H189="Changquan Grupo C",4,IF(Atletas!H189="Nanquan Grupo C",5,IF(Atletas!H189="Taijiquan Grupo C",6,IF(Atletas!H189="Changquan Grupo B",7,IF(Atletas!H189="Nanquan Grupo B",8,IF(Atletas!H189="Taijiquan Grupo B",9,IF(Atletas!H189="Changquan Grupo A",10,IF(Atletas!H189="Nanquan Grupo A",11,IF(Atletas!H189="Taijiquan Grupo A",12,IF(Atletas!H189="Changquan Opcional",13,IF(Atletas!H189="Nanquan Opcional",14,IF(Atletas!H189="Taijiquan Opcional",15,IF(Atletas!H189="Changquan Adulto",16,IF(Atletas!H189="Nanquan Adulto",17,IF(Atletas!H189="Taijiquan Adulto",18,""))))))))))))))))))))</f>
        <v/>
      </c>
      <c r="BG198" s="52" t="str">
        <f>IF(Atletas!I189="","",IF(Atletas!B189="Feminino",100,IF(Atletas!B189="Masculino",200,""))+(IF(Atletas!I189="Daoshu Mirim",19,IF(Atletas!I189="Jianshu Mirim",20,IF(Atletas!I189="Nandao Mirim",21,IF(Atletas!I189="Taijijian Mirim",22,IF(Atletas!I189="Daoshu Grupo C",23,IF(Atletas!I189="Jianshu Grupo C",24,IF(Atletas!I189="Nandao Grupo C",25,IF(Atletas!I189="Taijijian Grupo C",26,IF(Atletas!I189="Daoshu Grupo B",27,IF(Atletas!I189="Jianshu Grupo B",28,IF(Atletas!I189="Nandao Grupo B",29,IF(Atletas!I189="Taijijian Grupo B",30,IF(Atletas!I189="Daoshu Grupo A",31,IF(Atletas!I189="Jianshu Grupo A",32,IF(Atletas!I189="Nandao Grupo A",33,IF(Atletas!I189="Taijijian Grupo A",34,IF(Atletas!I189="Daoshu Opcional",35,IF(Atletas!I189="Jianshu Opcional",36,IF(Atletas!I189="Nandao Opcional",37,IF(Atletas!I189="Taijijian Opcional",38,IF(Atletas!I189="Daoshu Adulto",39,IF(Atletas!I189="Jianshu Adulto",40,IF(Atletas!I189="Nandao Adulto",41,IF(Atletas!I189="Taijijian Adulto",42,""))))))))))))))))))))))))))</f>
        <v/>
      </c>
      <c r="BH198" s="52" t="str">
        <f>IF(Atletas!J189="","",IF(Atletas!B189="Feminino",100,IF(Atletas!B189="Masculino",200,""))+(IF(Atletas!J189="Gunshu Mirim",43,IF(Atletas!J189="Qiangshu Mirim",44,IF(Atletas!J189="Nangun Mirim",45,IF(Atletas!J189="Gunshu Grupo C",46,IF(Atletas!J189="Qiangshu Grupo C",47,IF(Atletas!J189="Nangun Grupo C",48,IF(Atletas!J189="Gunshu Grupo B",49,IF(Atletas!J189="Qiangshu Grupo B",50,IF(Atletas!J189="Nangun Grupo B",51,IF(Atletas!J189="Gunshu Grupo A",52,IF(Atletas!J189="Qiangshu Grupo A",53,IF(Atletas!J189="Nangun Grupo A",54,IF(Atletas!J189="Gunshu Opcional",55,IF(Atletas!J189="Qiangshu Opcional",56,IF(Atletas!J189="Nangun Opcional",57,IF(Atletas!J189="Gunshu Adulto",58,IF(Atletas!J189="Qiangshu Adulto",59,IF(Atletas!J189="Nangun Adulto",60,IF(Atletas!J189="Taijishan Grupo B",61,IF(Atletas!J189="Taijishan Grupo A",62,""))))))))))))))))))))))</f>
        <v/>
      </c>
      <c r="BM198" s="50" t="str">
        <f>IF(Atletas!K189="","",IF(Atletas!B189="Feminino",100,IF(Atletas!B189="Masculino",200,""))+(IF(Atletas!K189="Equipe 1 Grupo B",1,IF(Atletas!K189="Equipe 2 Grupo B",2,IF(Atletas!K189="Equipe 1 Grupo A",3,IF(Atletas!K189="Equipe 2 Grupo A",4,IF(Atletas!K189="Equipe 1 Adulto",5,IF(Atletas!K189="Equipe 2 Adulto",6,""))))))))</f>
        <v/>
      </c>
      <c r="BR198" s="50" t="str">
        <f>IF(Atletas!L189="","",IF(Atletas!X189&lt;&gt;"",10000,0)+(IF(Atletas!B189="Feminino",1000,IF(Atletas!B189="Masculino",2000,""))+IF(Atletas!L189="Choylayfut A",1,IF(Atletas!L189="Hunggar A",2,IF(Atletas!L189="Wuzuquan A",3,IF(Atletas!L189="Wingchun A",4,IF(Atletas!L189="Outra Mão de Sul A",5,IF(Atletas!L189="Choylayfut B",6,IF(Atletas!L189="Hunggar B",7,IF(Atletas!L189="Wuzuquan B",8,IF(Atletas!L189="Wingchun B",9,IF(Atletas!L189="Outra Mão de Sul B",10,IF(Atletas!L189="Choylayfut C",11,IF(Atletas!L189="Hunggar C",12,IF(Atletas!L189="Wuzuquan C",13,IF(Atletas!L189="Wingchun C",14,IF(Atletas!L189="Outra Mão de Sul C",15,IF(Atletas!L189="Choylayfut D",16,IF(Atletas!L189="Hunggar D",17,IF(Atletas!L189="Wuzuquan D",18,IF(Atletas!L189="Wingchun D",19,IF(Atletas!L189="Outra Mão de Sul D",20,IF(Atletas!L189="Choylayfut E",21,IF(Atletas!L189="Hunggar E",22,IF(Atletas!L189="Wuzuquan E",23,IF(Atletas!L189="Wingchun E",24,IF(Atletas!L189="Outra Mão de Sul E",25,IF(Atletas!L189="Choylayfut F",26,IF(Atletas!L189="Hunggar F",27,IF(Atletas!L189="Wuzuquan F",28,IF(Atletas!L189="Wingchun F",29,IF(Atletas!L189="Outra Mão de Sul F",30,IF(Atletas!L189="Dishuquan A",31,IF(Atletas!L189="Dishuquan B",32,IF(Atletas!L189="Dishuquan C",33,IF(Atletas!L189="Dishuquan D",34,IF(Atletas!L189="Dishuquan E",35,IF(Atletas!L189="Dishuquan F",36,""))))))))))))))))))))))))))))))))))))))</f>
        <v/>
      </c>
      <c r="BS198" s="50" t="str">
        <f>IF(Atletas!M189="","",IF(Atletas!X189&lt;&gt;"",10000,0)+(IF(Atletas!B189="Feminino",1000,IF(Atletas!B189="Masculino",2000,""))+(IF(Atletas!M189="Chaquan A",101,IF(Atletas!M189="Emeiquan A",102,IF(Atletas!M189="Fanziquan A",103,IF(Atletas!M189="Huaquan A",104,IF(Atletas!M189="Hongquan A",105,IF(Atletas!M189="Paoquan A",106,IF(Atletas!M189="Piguaquan A",107,IF(Atletas!M189="Shaolinquan A",108,IF(Atletas!M189="Tanglangquan A",109,IF(Atletas!M189="Yingzhaoquan A",110,IF(Atletas!M189="Tongbeiquan A",111,IF(Atletas!M189="Wudangquan A",112,IF(Atletas!M189="Outros Estilos A",113,IF(Atletas!M189="Chaquan B",114,IF(Atletas!M189="Emeiquan B",115,IF(Atletas!M189="Fanziquan B",116,IF(Atletas!M189="Huaquan B",117,IF(Atletas!M189="Hongquan B",118,IF(Atletas!M189="Paoquan B",119,IF(Atletas!M189="Piguaquan B",120,IF(Atletas!M189="Shaolinquan B",121,IF(Atletas!M189="Tanglangquan B",122,IF(Atletas!M189="Yingzhaoquan B",123,IF(Atletas!M189="Tongbeiquan B",124,IF(Atletas!M189="Wudangquan B",125,IF(Atletas!M189="Outros Estilos B",126,IF(Atletas!M189="Chaquan C",127,IF(Atletas!M189="Emeiquan C",128,IF(Atletas!M189="Fanziquan C",129,IF(Atletas!M189="Huaquan C",130,IF(Atletas!M189="Hongquan C",131,IF(Atletas!M189="Paoquan C",132,IF(Atletas!M189="Piguaquan C",133,IF(Atletas!M189="Shaolinquan C",134,IF(Atletas!M189="Tanglangquan C",135,IF(Atletas!M189="Yingzhaoquan C",136,IF(Atletas!M189="Tongbeiquan C",137,IF(Atletas!M189="Wudangquan C",138,IF(Atletas!M189="Outros Estilos C",139,0))))))))))))))))))))))))))))))))))))))))))</f>
        <v/>
      </c>
      <c r="BT198" s="50" t="str">
        <f>IF(Atletas!M189="","",IF(Atletas!X189&lt;&gt;"",10000,0)+(IF(Atletas!B189="Feminino",1000,IF(Atletas!B189="Masculino",2000,""))+(IF(Atletas!M189="Chaquan D",140,IF(Atletas!M189="Emeiquan D",141,IF(Atletas!M189="Fanziquan D",142,IF(Atletas!M189="Huaquan D",143,IF(Atletas!M189="Hongquan D",144,IF(Atletas!M189="Paoquan D",145,IF(Atletas!M189="Piguaquan D",146,IF(Atletas!M189="Shaolinquan D",147,IF(Atletas!M189="Tanglangquan D",148,IF(Atletas!M189="Yingzhaoquan D",149,IF(Atletas!M189="Tongbeiquan D",150,IF(Atletas!M189="Wudangquan D",151,IF(Atletas!M189="Outros Estilos D",152,IF(Atletas!M189="Chaquan E",153,IF(Atletas!M189="Emeiquan E",154,IF(Atletas!M189="Fanziquan E",155,IF(Atletas!M189="Huaquan E",156,IF(Atletas!M189="Hongquan E",157,IF(Atletas!M189="Paoquan E",158,IF(Atletas!M189="Piguaquan E",159,IF(Atletas!M189="Shaolinquan E",160,IF(Atletas!M189="Tanglangquan E",161,IF(Atletas!M189="Yingzhaoquan E",162,IF(Atletas!M189="Tongbeiquan E",163,IF(Atletas!M189="Wudangquan E",164,IF(Atletas!M189="Outros Estilos E",165,IF(Atletas!M189="Chaquan F",166,IF(Atletas!M189="Emeiquan F",167,IF(Atletas!M189="Fanziquan F",168,IF(Atletas!M189="Huaquan F",169,IF(Atletas!M189="Hongquan F",170,IF(Atletas!M189="Paoquan F",171,IF(Atletas!M189="Piguaquan F",172,IF(Atletas!M189="Shaolinquan F",173,IF(Atletas!M189="Tanglangquan F",174,IF(Atletas!M189="Yingzhaoquan F",175,IF(Atletas!M189="Tongbeiquan F",176,IF(Atletas!M189="Wudangquan F",177,IF(Atletas!M189="Outros Estilos F",178,0))))))))))))))))))))))))))))))))))))))))))</f>
        <v/>
      </c>
      <c r="BU198" s="50" t="str">
        <f>IF(Atletas!N189="","",IF(Atletas!X189&lt;&gt;"",10000,0)+(IF(Atletas!B189="Feminino",1000,IF(Atletas!B189="Masculino",2000,""))+(IF(Atletas!N189="Ditangquan A",201,IF(Atletas!N189="Houquan A",202,IF(Atletas!N189="Zuiquan A",203,IF(Atletas!N189="Ditangquan B",204,IF(Atletas!N189="Houquan B",205,IF(Atletas!N189="Zuiquan B",206,IF(Atletas!N189="Ditangquan C",207,IF(Atletas!N189="Houquan C",208,IF(Atletas!N189="Zuiquan C",209,IF(Atletas!N189="Ditangquan D",210,IF(Atletas!N189="Houquan D",211,IF(Atletas!N189="Zuiquan D",212,IF(Atletas!N189="Ditangquan E",213,IF(Atletas!N189="Houquan E",214,IF(Atletas!N189="Zuiquan E",215,IF(Atletas!N189="Ditangquan F",216,IF(Atletas!N189="Houquan F",217,IF(Atletas!N189="Zuiquan F",218,"")))))))))))))))))))))</f>
        <v/>
      </c>
      <c r="BV198" s="50" t="str">
        <f>IF(Atletas!O189="","",IF(Atletas!X189&lt;&gt;"",10000,0)+IF(Atletas!B189="Feminino",1000,IF(Atletas!B189="Masculino",2000,""))+IF(Atletas!O189="Yang A",301,IF(Atletas!O189="Chen A",302,IF(Atletas!O189="Sun A",303,IF(Atletas!O189="Wu A",304,IF(Atletas!O189="Wu-Hao A",305,IF(Atletas!O189="Outro Taijiquan A",306,IF(Atletas!O189="Yang B",307,IF(Atletas!O189="Chen B",308,IF(Atletas!O189="Sun B",309,IF(Atletas!O189="Wu B",310,IF(Atletas!O189="Wu-Hao B",311,IF(Atletas!O189="Outro Taijiquan B",312,IF(Atletas!O189="Yang C",313,IF(Atletas!O189="Chen C",314,IF(Atletas!O189="Sun C",315,IF(Atletas!O189="Wu C",316,IF(Atletas!O189="Wu-Hao C",317,IF(Atletas!O189="Outro Taijiquan C",318,IF(Atletas!O189="Yang D",319,IF(Atletas!O189="Chen D",320,IF(Atletas!O189="Sun D",321,IF(Atletas!O189="Wu D",322,IF(Atletas!O189="Wu-Hao D",323,IF(Atletas!O189="Outro Taijiquan D",324,IF(Atletas!O189="Yang E",325,IF(Atletas!O189="Chen E",326,IF(Atletas!O189="Sun E",327,IF(Atletas!O189="Wu E",328,IF(Atletas!O189="Wu-Hao E",329,IF(Atletas!O189="Outro Taijiquan E",330,IF(Atletas!O189="Yang F",331,IF(Atletas!O189="Chen F",332,IF(Atletas!O189="Sun F",333,IF(Atletas!O189="Wu F",334,IF(Atletas!O189="Wu-Hao F",335,IF(Atletas!O189="Outro Taijiquan F",336,"")))))))))))))))))))))))))))))))))))))</f>
        <v/>
      </c>
      <c r="BW198" s="50" t="str">
        <f>IF(Atletas!P189="","",IF(Atletas!X189&lt;&gt;"",10000,0)+IF(Atletas!B189="Feminino",1000,IF(Atletas!B189="Masculino",2000,""))+IF(OR(Atletas!P189="Yang 26 A",Atletas!P189="Yang 40 A"),401,IF(OR(Atletas!P189="Chen 25 A",Atletas!P189="Chen 36 A",Atletas!P189="Chen 56 A"),402,IF(Atletas!P189="Sun 73 A",403,IF(Atletas!P189="Wu 45 A",404,IF(Atletas!P189="Wu-Hao 46 A",405,IF(OR(Atletas!P189="Taijiquan 16 A",Atletas!P189="Taijiquan 24 A",Atletas!P189="Taijiquan 32 A",Atletas!P189="Taijiquan 42 A"),406,IF(OR(Atletas!P189="Yang 26 B",Atletas!P189="Yang 40 B"),407,IF(OR(Atletas!P189="Chen 25 B",Atletas!P189="Chen 36 B",Atletas!P189="Chen 56 B"),408,IF(Atletas!P189="Sun 73 B",409,IF(Atletas!P189="Wu 45 B",410,IF(Atletas!P189="Wu-Hao 46 B",411,IF(OR(Atletas!P189="Taijiquan 16 B",Atletas!P189="Taijiquan 24 B",Atletas!P189="Taijiquan 32 B",Atletas!P189="Taijiquan 42 B"),412,IF(OR(Atletas!P189="Yang 26 C",Atletas!P189="Yang 40 C"),413,IF(OR(Atletas!P189="Chen 25 C",Atletas!P189="Chen 36 C",Atletas!P189="Chen 56 C"),414,IF(Atletas!P189="Sun 73 C",415,IF(Atletas!P189="Wu 45 C",416,IF(Atletas!P189="Wu-Hao 46 C",417,IF(OR(Atletas!P189="Taijiquan 16 C",Atletas!P189="Taijiquan 24 C",Atletas!P189="Taijiquan 32 C",Atletas!P189="Taijiquan 42 C"),418,0)))))))))))))))))))</f>
        <v/>
      </c>
      <c r="BX198" s="50" t="str">
        <f>IF(Atletas!P189="","",IF(Atletas!X189&lt;&gt;"",10000,0)+IF(Atletas!B189="Feminino",1000,IF(Atletas!B189="Masculino",2000,""))+IF(OR(Atletas!P189="Yang 26 D",Atletas!P189="Yang 40 D"),419,IF(OR(Atletas!P189="Chen 25 D",Atletas!P189="Chen 36 D",Atletas!P189="Chen 56 D"),420,IF(Atletas!P189="Sun 73 D",421,IF(Atletas!P189="Wu 45 D",422,IF(Atletas!P189="Wu-Hao 46 D",423,IF(OR(Atletas!P189="Taijiquan 16 D",Atletas!P189="Taijiquan 24 D",Atletas!P189="Taijiquan 32 D",Atletas!P189="Taijiquan 42 D"),424,IF(OR(Atletas!P189="Yang 26 E",Atletas!P189="Yang 40 E"),425,IF(OR(Atletas!P189="Chen 25 E",Atletas!P189="Chen 36 E",Atletas!P189="Chen 56 E"),426,IF(Atletas!P189="Sun 73 E",427,IF(Atletas!P189="Wu 45 E",428,IF(Atletas!P189="Wu-Hao 46 E",429,IF(OR(Atletas!P189="Taijiquan 16 E",Atletas!P189="Taijiquan 24 E",Atletas!P189="Taijiquan 32 E",Atletas!P189="Taijiquan 42 E"),430,IF(OR(Atletas!P189="Yang 26 F",Atletas!P189="Yang 40 F"),431,IF(OR(Atletas!P189="Chen 25 F",Atletas!P189="Chen 36 F",Atletas!P189="Chen 56 F"),432,IF(Atletas!P189="Sun 73 F",433,IF(Atletas!P189="Wu 45 F",434,IF(Atletas!P189="Wu-Hao 46 F",435,IF(OR(Atletas!P189="Taijiquan 16 F",Atletas!P189="Taijiquan 24 F",Atletas!P189="Taijiquan 32 F",Atletas!P189="Taijiquan 42 F"),436,0)))))))))))))))))))</f>
        <v/>
      </c>
      <c r="BY198" s="50" t="str">
        <f>IF(Atletas!Q189="","",IF(Atletas!X189&lt;&gt;"",10000,0)+IF(Atletas!B189="Feminino",1000,IF(Atletas!B189="Masculino",2000,""))+IF(Atletas!Q189="Xingyiquan A",501,IF(Atletas!Q189="Baguazhang A",502,IF(Atletas!Q189="Outro Estilo Interno A",503,IF(Atletas!Q189="Xingyiquan B",504,IF(Atletas!Q189="Baguazhang B",505,IF(Atletas!Q189="Outro Estilo Interno B",506,IF(Atletas!Q189="Xingyiquan C",507,IF(Atletas!Q189="Baguazhang C",508,IF(Atletas!Q189="Outro Estilo Interno C",509,IF(Atletas!Q189="Xingyiquan D",510,IF(Atletas!Q189="Baguazhang D",511,IF(Atletas!Q189="Outro Estilo Interno D",512,IF(Atletas!Q189="Xingyiquan E",513,IF(Atletas!Q189="Baguazhang E",514,IF(Atletas!Q189="Outro Estilo Interno E",515,IF(Atletas!Q189="Xingyiquan F",516,IF(Atletas!Q189="Baguazhang F",517,IF(Atletas!Q189="Outro Estilo Interno F",518, "")))))))))))))))))))</f>
        <v/>
      </c>
      <c r="BZ198" s="50" t="str">
        <f>IF(Atletas!R189="","",IF(Atletas!X189&lt;&gt;"",10000,0)+IF(Atletas!B189="Feminino",1000,IF(Atletas!B189="Masculino",2000,""))+IF(Atletas!R189="Dao A",601,IF(Atletas!R189="Jian A",602,IF(Atletas!R189="Bishou A",603,IF(Atletas!R189="Shanzi A",604,IF(Atletas!R189="Outra Arma Curta A",605,IF(Atletas!R189="Dao B",606,IF(Atletas!R189="Jian B",607,IF(Atletas!R189="Bishou B",608,IF(Atletas!R189="Shanzi B",609,IF(Atletas!R189="Outra Arma Curta B",610,IF(Atletas!R189="Dao C",611,IF(Atletas!R189="Jian C",612,IF(Atletas!R189="Bishou C",613,IF(Atletas!R189="Shanzi C",614,IF(Atletas!R189="Outra Arma Curta C",615,IF(Atletas!R189="Dao D",616,IF(Atletas!R189="Jian D",617,IF(Atletas!R189="Bishou D",618,IF(Atletas!R189="Shanzi D",619,IF(Atletas!R189="Outra Arma Curta D",620,IF(Atletas!R189="Dao E",621,IF(Atletas!R189="Jian E",622,IF(Atletas!R189="Bishou E",623,IF(Atletas!R189="Shanzi E",624,IF(Atletas!R189="Outra Arma Curta E",625,IF(Atletas!R189="Dao F",626,IF(Atletas!R189="Jian F",627,IF(Atletas!R189="Bishou F",628,IF(Atletas!R189="Shanzi F",629,IF(Atletas!R189="Outra Arma Curta F",630, "")))))))))))))))))))))))))))))))</f>
        <v/>
      </c>
      <c r="CA198" s="50" t="str">
        <f>IF(Atletas!S189="","",IF(Atletas!X189&lt;&gt;"",10000,0)+IF(Atletas!B189="Feminino",1000,IF(Atletas!B189="Masculino",2000,""))+IF(Atletas!S189="Gun A",701,IF(Atletas!S189="Qiang A",702,IF(Atletas!S189="Pudao / Guandao A",703,IF(Atletas!S189="Outra Arma Longa A",704,IF(Atletas!S189="Gun B",705,IF(Atletas!S189="Qiang B",706,IF(Atletas!S189="Pudao / Guandao B",707,IF(Atletas!S189="Outra Arma Longa B",708,IF(Atletas!S189="Gun C",709,IF(Atletas!S189="Qiang C",710,IF(Atletas!S189="Pudao / Guandao C",711,IF(Atletas!S189="Outra Arma Longa C",712,IF(Atletas!S189="Gun D",713,IF(Atletas!S189="Qiang D",714,IF(Atletas!S189="Pudao / Guandao D",715,IF(Atletas!S189="Outra Arma Longa D",716,IF(Atletas!S189="Gun E",717,IF(Atletas!S189="Qiang E",718,IF(Atletas!S189="Pudao / Guandao E",719,IF(Atletas!S189="Outra Arma Longa E",720,IF(Atletas!S189="Gun F",721,IF(Atletas!S189="Qiang F",722,IF(Atletas!S189="Pudao / Guandao F",723,IF(Atletas!S189="Outra Arma Longa F",724,"")))))))))))))))))))))))))</f>
        <v/>
      </c>
      <c r="CB198" s="50" t="str">
        <f>IF(Atletas!T189="","",IF(Atletas!X189&lt;&gt;"",10000,0)+IF(Atletas!B189="Feminino",1000,IF(Atletas!B189="Masculino",2000,""))+IF(Atletas!T189="Outra Arma Dupla A",801,IF(Atletas!T189="Arma Maleável A",802,IF(Atletas!T189="Outra Arma Dupla B",803,IF(Atletas!T189="Arma Maleável B",804,IF(Atletas!T189="Outra Arma Dupla C",805,IF(Atletas!T189="Arma Maleável C",806,IF(Atletas!T189="Outra Arma Dupla D",807,IF(Atletas!T189="Arma Maleável D",808,IF(Atletas!T189="Outra Arma Dupla E",809,IF(Atletas!T189="Arma Maleável E",810,IF(Atletas!T189="Outra Arma Dupla F",811,IF(Atletas!T189="Arma Maleável F",812,IF(Atletas!T189="Shuangdao A",813,IF(Atletas!T189="Shuangdao B",814,IF(Atletas!T189="Shuangdao C",815,IF(Atletas!T189="Shuangdao D",816,IF(Atletas!T189="Shuangdao E",817,IF(Atletas!T189="Shuangdao F",818,"")))))))))))))))))))</f>
        <v/>
      </c>
      <c r="CC198" s="50" t="str">
        <f>IF(Atletas!U189="","",IF(Atletas!X189&lt;&gt;"",10000,0)+IF(Atletas!B189="Feminino",1000,IF(Atletas!B189="Masculino",2000,""))+IF(OR(Atletas!U189="Taijijian Yang A",Atletas!U189="Taijijian Yang Standard A"),901,IF(OR(Atletas!U189="Taijijian Chen A", Atletas!U189="Taijijian Chen Standard A"),902,IF(Atletas!U189="Taijijian Sun A",903,IF(Atletas!U189="Taijijian Wu A",904,IF(Atletas!U189="Taijijian Wu-Hao A",905,IF(OR(Atletas!U189="Taijijian 32 A",Atletas!U189="Taijijian 42 A"),906,IF(OR(Atletas!U189="Taijijian Yang B",Atletas!U189="Taijijian Yang Standard B"),907,IF(OR(Atletas!U189="Taijijian Chen B", Atletas!U189="Taijijian Chen Standard B"),908,IF(Atletas!U189="Taijijian Sun B",909,IF(Atletas!U189="Taijijian Wu B",910,IF(Atletas!U189="Taijijian Wu-Hao B",911,IF(OR(Atletas!U189="Taijijian 32 B",Atletas!U189="Taijijian 42 B"),912,IF(OR(Atletas!U189="Taijijian Yang C",Atletas!U189="Taijijian Yang Standard C"),913,IF(OR(Atletas!U189="Taijijian Chen C", Atletas!U189="Taijijian Chen Standard C"),914,IF(Atletas!U189="Taijijian Sun C",915,IF(Atletas!U189="Taijijian Wu C",916,IF(Atletas!U189="Taijijian Wu-Hao C",917,IF(OR(Atletas!U189="Taijijian 32 C",Atletas!U189="Taijijian 42 C"),918,IF(OR(Atletas!U189="Taijijian Yang D",Atletas!U189="Taijijian Yang Standard D"),919,IF(OR(Atletas!U189="Taijijian Chen D", Atletas!U189="Taijijian Chen Standard D"),920,IF(Atletas!U189="Taijijian Sun D",921,IF(Atletas!U189="Taijijian Wu D",922,IF(Atletas!U189="Taijijian Wu-Hao D",923,IF(OR(Atletas!U189="Taijijian 32 D",Atletas!U189="Taijijian 42 D"),924,IF(OR(Atletas!U189="Taijijian Yang E",Atletas!U189="Taijijian Yang Standard E"),925,IF(OR(Atletas!U189="Taijijian Chen E", Atletas!U189="Taijijian Chen Standard E"),926,IF(Atletas!U189="Taijijian Sun E",927,IF(Atletas!U189="Taijijian Wu E",928,IF(Atletas!U189="Taijijian Wu-Hao E",929,IF(OR(Atletas!U189="Taijijian 32 E",Atletas!U189="Taijijian 42 E"),930,IF(OR(Atletas!U189="Taijijian Yang F",Atletas!U189="Taijijian Yang Standard F"),931,IF(OR(Atletas!U189="Taijijian Chen F", Atletas!U189="Taijijian Chen Standard F"),932,IF(Atletas!U189="Taijijian Sun F",933,IF(Atletas!U189="Taijijian Wu F",934,IF(Atletas!U189="Taijijian Wu-Hao F",935,IF(OR(Atletas!U189="Taijijian 32 F",Atletas!U189="Taijijian 42 F"),936,"")))))))))))))))))))))))))))))))))))))</f>
        <v/>
      </c>
      <c r="CD198" s="50" t="str">
        <f>IF(Atletas!V189="","",IF(Atletas!X189&lt;&gt;"",10000,0)+IF(Atletas!B189="Feminino",1000,IF(Atletas!B189="Masculino",2000,""))+IF(Atletas!V189="Taijidao A",937,IF(Atletas!V189="TaijiShanzi A",938,IF(Atletas!V189="Taijiqiang A",939,IF(Atletas!V189="Bagua de Arma A",940,IF(Atletas!V189="Xingyi de Arma A",941,IF(Atletas!V189="Taijidao B",942,IF(Atletas!V189="TaijiShanzi B",943,IF(Atletas!V189="Taijiqiang B",944,IF(Atletas!V189="Bagua de Arma B",945,IF(Atletas!V189="Xingyi de Arma B",946,IF(Atletas!V189="Taijidao C",947,IF(Atletas!V189="TaijiShanzi C",948,IF(Atletas!V189="Taijiqiang C",949,IF(Atletas!V189="Bagua de Arma C",950,IF(Atletas!V189="Xingyi de Arma C",951,IF(Atletas!V189="Taijidao D",952,IF(Atletas!V189="TaijiShanzi D",953,IF(Atletas!V189="Taijiqiang D",954,IF(Atletas!V189="Bagua de Arma D",955,IF(Atletas!V189="Xingyi de Arma D",956,IF(Atletas!V189="Taijidao E",957,IF(Atletas!V189="TaijiShanzi E",958,IF(Atletas!V189="Taijiqiang E",959,IF(Atletas!V189="Bagua de Arma E",960,IF(Atletas!V189="Xingyi de Arma E",961,IF(Atletas!V189="Taijidao F",962,IF(Atletas!V189="TaijiShanzi F",963,IF(Atletas!V189="Taijiqiang F",964,IF(Atletas!V189="Bagua de Arma F",965,IF(Atletas!V189="Xingyi de Arma F",966,"")))))))))))))))))))))))))))))))</f>
        <v/>
      </c>
      <c r="CE198" s="66" t="str">
        <f>IF(CF198&lt;&gt;"","TJQ Padr. Combinado D","")</f>
        <v/>
      </c>
      <c r="CF198" s="66" t="str">
        <f>IF(COUNTIF(BR:CD,1424)&gt;0,COUNTIF(BR:CD,1424),"")</f>
        <v/>
      </c>
      <c r="CG198" s="66" t="str">
        <f>IF(CH198&lt;&gt;"","TJQ Padr. Combinado D","")</f>
        <v/>
      </c>
      <c r="CH198" s="66" t="str">
        <f>IF(COUNTIF(BR:CD,2424)&gt;0,COUNTIF(BR:CD,2424),"")</f>
        <v/>
      </c>
      <c r="CI198" s="66" t="str">
        <f>IF(CJ198&lt;&gt;"","TJQ Padr. Combinado E","")</f>
        <v/>
      </c>
      <c r="CJ198" s="66" t="str">
        <f>IF(COUNTIF(BR:CD,11430)&gt;0,COUNTIF(BR:CD,11430),"")</f>
        <v/>
      </c>
      <c r="CK198" s="66" t="str">
        <f>IF(CL198&lt;&gt;"","TJQ Padr. Combinado E","")</f>
        <v/>
      </c>
      <c r="CL198" s="66" t="str">
        <f>IF(COUNTIF(BR:CD,12430)&gt;0,COUNTIF(BR:CD,12430),"")</f>
        <v/>
      </c>
      <c r="CM198" s="50" t="str">
        <f xml:space="preserve"> IF(Atletas!W189="","",IF(Atletas!W189="Duilian de Mãos BC - Equipe 1",1,IF(Atletas!W189="Duilian de Mãos BC - Equipe 2",2,IF(Atletas!W189="Duilian de Armas BC - Equipe 1",3,IF(Atletas!W189="Duilian de Armas BC - Equipe 2",4,IF(Atletas!W189="Duilian de Mãos DE - Equipe 1",5,IF(Atletas!W189="Duilian de Mãos DE - Equipe 2",6,IF(Atletas!W189="Duilian de Armas DE - Equipe 1",7,IF(Atletas!W189="Duilian de Armas DE - Equipe 2",8,IF(Atletas!W189="Duilian de Tuishou - Equipe 1",9,IF(Atletas!W189="Duilian de Tuishou - Equipe 2",10,IF(Atletas!W189="Grupo Externo ABC - Equipe 1",11,IF(Atletas!W189="Grupo Externo ABC - Equipe 2",12,IF(Atletas!W189="Grupo Interno ABC - Equipe 1",13,IF(Atletas!W189="Grupo Interno ABC - Equipe 2",14,IF(Atletas!W189="Grupo Externo DEF - Equipe 1",15,IF(Atletas!W189="Grupo Externo DEF - Equipe 2",16,IF(Atletas!W189="Grupo Interno DEF - Equipe 1",17,IF(Atletas!W189="Grupo Interno DEF - Equipe 2",18,"")))))))))))))))))))</f>
        <v/>
      </c>
    </row>
    <row r="199" spans="2:91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 t="str">
        <f t="array" ref="Z199">IFERROR(INDEX(CE$7:CE$348,SMALL(IF(CE$7:CE$348&lt;&gt;"",ROW(CE$7:CE$348)-ROW(CE$7)+1),ROWS(CE$7:CE198))),"")</f>
        <v/>
      </c>
      <c r="AA199" s="3" t="str">
        <f t="array" ref="AA199">IFERROR(INDEX(CF$7:CF$348,SMALL(IF(CF$7:CF$348&lt;&gt;"",ROW(CF$7:CF$348)-ROW(CF$7)+1),ROWS(CF$7:CF198))),"")</f>
        <v/>
      </c>
      <c r="AB199" s="3" t="str">
        <f t="array" ref="AB199">IFERROR(INDEX(CG$7:CG$348,SMALL(IF(CG$7:CG$348&lt;&gt;"",ROW(CG$7:CG$348)-ROW(CG$7)+1),ROWS(CG$7:CG198))),"")</f>
        <v/>
      </c>
      <c r="AC199" s="3" t="str">
        <f t="array" ref="AC199">IFERROR(INDEX(CH$7:CH$348,SMALL(IF(CH$7:CH$348&lt;&gt;"",ROW(CH$7:CH$348)-ROW(CH$7)+1),ROWS(CH$7:CH198))),"")</f>
        <v/>
      </c>
      <c r="AD199" s="3" t="str">
        <f t="array" ref="AD199">IFERROR(INDEX(CI$7:CI$377,SMALL(IF(CI$7:CI$377&lt;&gt;"",ROW(CI$7:CI$377)-ROW(CI$7)+1),ROWS(CI$7:CI198))),"")</f>
        <v/>
      </c>
      <c r="AE199" s="3" t="str">
        <f t="array" ref="AE199">IFERROR(INDEX(CJ$7:CJ$378,SMALL(IF(CJ$7:CJ$378&lt;&gt;"",ROW(CJ$7:CJ$378)-ROW(CJ$7)+1),ROWS(CJ$7:CJ198))),"")</f>
        <v/>
      </c>
      <c r="AF199" s="3" t="str">
        <f t="array" ref="AF199">IFERROR(INDEX(CK$7:CK$378,SMALL(IF(CK$7:CK$378&lt;&gt;"",ROW(CK$7:CK$378)-ROW(CK$7)+1),ROWS(CK$7:CK198))),"")</f>
        <v/>
      </c>
      <c r="AG199" s="3" t="str">
        <f t="array" ref="AG199">IFERROR(INDEX(CL$7:CL$378,SMALL(IF(CL$7:CL$378&lt;&gt;"",ROW(CL$7:CL$378)-ROW(CL$7)+1),ROWS(CL$7:CL198))),"")</f>
        <v/>
      </c>
      <c r="AH199" s="3"/>
      <c r="AI199" s="3"/>
      <c r="AJ199" s="3"/>
      <c r="AK199" s="3"/>
      <c r="AL199" s="3"/>
      <c r="AM199" s="3"/>
      <c r="AN199" s="52" t="str">
        <f>IF(Atletas!D190="","",IF(Atletas!B190="Feminino",100,IF(Atletas!B190="Masculino",200,""))+(IF(Atletas!D190="Kids 30kg",1,IF(Atletas!D190="Kids 32kg",2, IF(Atletas!D190="Kids 34kg",3,IF(Atletas!D190="Kids 36kg",4,IF(Atletas!D190="Kids 39kg",5,IF(Atletas!D190="Kids 42kg",6,IF(Atletas!D190="Kids 45kg",7, IF(Atletas!D190="Infantil 39kg",8,IF(Atletas!D190="Infantil 42kg",9,IF(Atletas!D190="Infantil 45kg",10,IF(Atletas!D190="Infantil 48kg",11,IF(Atletas!D190="Infantil 52kg",12,IF(Atletas!D190="Infantil 56kg",13,IF(Atletas!D190="Infantil 60kg",14,IF(Atletas!D190="Juvenil 48kg",15,IF(Atletas!D190="Juvenil 52kg",16,IF(Atletas!D190="Juvenil 56kg",17,IF(Atletas!D190="Juvenil 60kg",18,IF(Atletas!D190="Juvenil 65kg",19,IF(Atletas!D190="Juvenil 70kg",20,IF(Atletas!D190="Juvenil 75kg",21,IF(Atletas!D190="Juvenil 80kg",22, IF(Atletas!D190="Juvenil 85kg",23,IF(Atletas!D190="Adulto 48kg",24,IF(Atletas!D190="Adulto 52kg",25,IF(Atletas!D190="Adulto 56kg",26,IF(Atletas!D190="Adulto 60kg",27,IF(Atletas!D190="Adulto 65kg",28,IF(Atletas!D190="Adulto 70kg",29,IF(Atletas!D190="Adulto 75kg",30,IF(Atletas!D190="Adulto 80kg",31,IF(Atletas!D190="Adulto 85kg",32,IF(Atletas!D190="Adulto 90kg",33,IF(Atletas!D190="Adulto 100kg",34, IF(Atletas!D190="Adulto +100kg",35,"")))))))))))))))))))))))))))))))))))))</f>
        <v/>
      </c>
      <c r="AS199" s="6" t="str">
        <f>IF(Atletas!E190="","",IF(Atletas!B190="Feminino",100,IF(Atletas!B190="Masculino",200,""))+(IF(Atletas!E190="Juvenil 44kg",1,IF(Atletas!E190="Juvenil 48kg",2,IF(Atletas!E190="Juvenil 52kg",3,IF(Atletas!E190="Juvenil 56kg",4,IF(Atletas!E190="Juvenil 60kg",5,IF(Atletas!E190="Juvenil 65kg",6,IF(Atletas!E190="Juvenil 70kg",7,IF(Atletas!E190="Juvenil 75kg",8,IF(Atletas!E190="Juvenil 82kg",9,IF(Atletas!E190="Juvenil 90kg",10,IF(Atletas!E190="Juvenil 100kg",11,IF(Atletas!E190="Adulto 48kg",12,IF(Atletas!E190="Adulto 52kg",13,IF(Atletas!E190="Adulto 56kg",14,IF(Atletas!E190="Adulto 60kg",15,IF(Atletas!E190="Adulto 65kg",16,IF(Atletas!E190="Adulto 70kg",17,IF(Atletas!E190="Adulto 75kg",18,IF(Atletas!E190="Adulto 82kg",19,IF(Atletas!E190="Adulto 90kg",20,IF(Atletas!E190="Adulto 100kg",21,IF(Atletas!E190="Adulto +100kg",22,""))))))))))))))))))))))))</f>
        <v/>
      </c>
      <c r="AX199" s="6" t="str">
        <f>IF(Atletas!F190="","",IF(Atletas!B190="Feminino",100,IF(Atletas!B190="Masculino",200,""))+(IF(Atletas!F190="Adulto 48kg",1,IF(Atletas!F190="Adulto 56kg",2,IF(Atletas!F190="Adulto 65kg",3,IF(Atletas!F190="Adulto 75kg",4,IF(Atletas!F190="Adulto +75kg",5,IF(Atletas!F190="Adulto 52kg",6,IF(Atletas!F190="Adulto 60kg",7,IF(Atletas!F190="Adulto 70kg",8,IF(Atletas!F190="Adulto 80kg",9,IF(Atletas!F190="Adulto 90kg",10,IF(Atletas!F190="Adulto +90kg",11,"")))))))))))))</f>
        <v/>
      </c>
      <c r="BC199" s="6" t="str">
        <f>IF(Atletas!G190="","",IF(Atletas!B190="Feminino",10,IF(Atletas!B190="Masculino",20,""))+(IF(Atletas!G190="Baduanjin A",1,IF(Atletas!G190="Baduanjin B",2))))</f>
        <v/>
      </c>
      <c r="BF199" s="52" t="str">
        <f>IF(Atletas!H190="","",IF(Atletas!B190="Feminino",100,IF(Atletas!B190="Masculino",200,""))+(IF(Atletas!H190="Changquan Mirim",1,IF(Atletas!H190="Nanquan Mirim",2,IF(Atletas!H190="Taijiquan Mirim",3,IF(Atletas!H190="Changquan Grupo C",4,IF(Atletas!H190="Nanquan Grupo C",5,IF(Atletas!H190="Taijiquan Grupo C",6,IF(Atletas!H190="Changquan Grupo B",7,IF(Atletas!H190="Nanquan Grupo B",8,IF(Atletas!H190="Taijiquan Grupo B",9,IF(Atletas!H190="Changquan Grupo A",10,IF(Atletas!H190="Nanquan Grupo A",11,IF(Atletas!H190="Taijiquan Grupo A",12,IF(Atletas!H190="Changquan Opcional",13,IF(Atletas!H190="Nanquan Opcional",14,IF(Atletas!H190="Taijiquan Opcional",15,IF(Atletas!H190="Changquan Adulto",16,IF(Atletas!H190="Nanquan Adulto",17,IF(Atletas!H190="Taijiquan Adulto",18,""))))))))))))))))))))</f>
        <v/>
      </c>
      <c r="BG199" s="52" t="str">
        <f>IF(Atletas!I190="","",IF(Atletas!B190="Feminino",100,IF(Atletas!B190="Masculino",200,""))+(IF(Atletas!I190="Daoshu Mirim",19,IF(Atletas!I190="Jianshu Mirim",20,IF(Atletas!I190="Nandao Mirim",21,IF(Atletas!I190="Taijijian Mirim",22,IF(Atletas!I190="Daoshu Grupo C",23,IF(Atletas!I190="Jianshu Grupo C",24,IF(Atletas!I190="Nandao Grupo C",25,IF(Atletas!I190="Taijijian Grupo C",26,IF(Atletas!I190="Daoshu Grupo B",27,IF(Atletas!I190="Jianshu Grupo B",28,IF(Atletas!I190="Nandao Grupo B",29,IF(Atletas!I190="Taijijian Grupo B",30,IF(Atletas!I190="Daoshu Grupo A",31,IF(Atletas!I190="Jianshu Grupo A",32,IF(Atletas!I190="Nandao Grupo A",33,IF(Atletas!I190="Taijijian Grupo A",34,IF(Atletas!I190="Daoshu Opcional",35,IF(Atletas!I190="Jianshu Opcional",36,IF(Atletas!I190="Nandao Opcional",37,IF(Atletas!I190="Taijijian Opcional",38,IF(Atletas!I190="Daoshu Adulto",39,IF(Atletas!I190="Jianshu Adulto",40,IF(Atletas!I190="Nandao Adulto",41,IF(Atletas!I190="Taijijian Adulto",42,""))))))))))))))))))))))))))</f>
        <v/>
      </c>
      <c r="BH199" s="52" t="str">
        <f>IF(Atletas!J190="","",IF(Atletas!B190="Feminino",100,IF(Atletas!B190="Masculino",200,""))+(IF(Atletas!J190="Gunshu Mirim",43,IF(Atletas!J190="Qiangshu Mirim",44,IF(Atletas!J190="Nangun Mirim",45,IF(Atletas!J190="Gunshu Grupo C",46,IF(Atletas!J190="Qiangshu Grupo C",47,IF(Atletas!J190="Nangun Grupo C",48,IF(Atletas!J190="Gunshu Grupo B",49,IF(Atletas!J190="Qiangshu Grupo B",50,IF(Atletas!J190="Nangun Grupo B",51,IF(Atletas!J190="Gunshu Grupo A",52,IF(Atletas!J190="Qiangshu Grupo A",53,IF(Atletas!J190="Nangun Grupo A",54,IF(Atletas!J190="Gunshu Opcional",55,IF(Atletas!J190="Qiangshu Opcional",56,IF(Atletas!J190="Nangun Opcional",57,IF(Atletas!J190="Gunshu Adulto",58,IF(Atletas!J190="Qiangshu Adulto",59,IF(Atletas!J190="Nangun Adulto",60,IF(Atletas!J190="Taijishan Grupo B",61,IF(Atletas!J190="Taijishan Grupo A",62,""))))))))))))))))))))))</f>
        <v/>
      </c>
      <c r="BM199" s="50" t="str">
        <f>IF(Atletas!K190="","",IF(Atletas!B190="Feminino",100,IF(Atletas!B190="Masculino",200,""))+(IF(Atletas!K190="Equipe 1 Grupo B",1,IF(Atletas!K190="Equipe 2 Grupo B",2,IF(Atletas!K190="Equipe 1 Grupo A",3,IF(Atletas!K190="Equipe 2 Grupo A",4,IF(Atletas!K190="Equipe 1 Adulto",5,IF(Atletas!K190="Equipe 2 Adulto",6,""))))))))</f>
        <v/>
      </c>
      <c r="BR199" s="50" t="str">
        <f>IF(Atletas!L190="","",IF(Atletas!X190&lt;&gt;"",10000,0)+(IF(Atletas!B190="Feminino",1000,IF(Atletas!B190="Masculino",2000,""))+IF(Atletas!L190="Choylayfut A",1,IF(Atletas!L190="Hunggar A",2,IF(Atletas!L190="Wuzuquan A",3,IF(Atletas!L190="Wingchun A",4,IF(Atletas!L190="Outra Mão de Sul A",5,IF(Atletas!L190="Choylayfut B",6,IF(Atletas!L190="Hunggar B",7,IF(Atletas!L190="Wuzuquan B",8,IF(Atletas!L190="Wingchun B",9,IF(Atletas!L190="Outra Mão de Sul B",10,IF(Atletas!L190="Choylayfut C",11,IF(Atletas!L190="Hunggar C",12,IF(Atletas!L190="Wuzuquan C",13,IF(Atletas!L190="Wingchun C",14,IF(Atletas!L190="Outra Mão de Sul C",15,IF(Atletas!L190="Choylayfut D",16,IF(Atletas!L190="Hunggar D",17,IF(Atletas!L190="Wuzuquan D",18,IF(Atletas!L190="Wingchun D",19,IF(Atletas!L190="Outra Mão de Sul D",20,IF(Atletas!L190="Choylayfut E",21,IF(Atletas!L190="Hunggar E",22,IF(Atletas!L190="Wuzuquan E",23,IF(Atletas!L190="Wingchun E",24,IF(Atletas!L190="Outra Mão de Sul E",25,IF(Atletas!L190="Choylayfut F",26,IF(Atletas!L190="Hunggar F",27,IF(Atletas!L190="Wuzuquan F",28,IF(Atletas!L190="Wingchun F",29,IF(Atletas!L190="Outra Mão de Sul F",30,IF(Atletas!L190="Dishuquan A",31,IF(Atletas!L190="Dishuquan B",32,IF(Atletas!L190="Dishuquan C",33,IF(Atletas!L190="Dishuquan D",34,IF(Atletas!L190="Dishuquan E",35,IF(Atletas!L190="Dishuquan F",36,""))))))))))))))))))))))))))))))))))))))</f>
        <v/>
      </c>
      <c r="BS199" s="50" t="str">
        <f>IF(Atletas!M190="","",IF(Atletas!X190&lt;&gt;"",10000,0)+(IF(Atletas!B190="Feminino",1000,IF(Atletas!B190="Masculino",2000,""))+(IF(Atletas!M190="Chaquan A",101,IF(Atletas!M190="Emeiquan A",102,IF(Atletas!M190="Fanziquan A",103,IF(Atletas!M190="Huaquan A",104,IF(Atletas!M190="Hongquan A",105,IF(Atletas!M190="Paoquan A",106,IF(Atletas!M190="Piguaquan A",107,IF(Atletas!M190="Shaolinquan A",108,IF(Atletas!M190="Tanglangquan A",109,IF(Atletas!M190="Yingzhaoquan A",110,IF(Atletas!M190="Tongbeiquan A",111,IF(Atletas!M190="Wudangquan A",112,IF(Atletas!M190="Outros Estilos A",113,IF(Atletas!M190="Chaquan B",114,IF(Atletas!M190="Emeiquan B",115,IF(Atletas!M190="Fanziquan B",116,IF(Atletas!M190="Huaquan B",117,IF(Atletas!M190="Hongquan B",118,IF(Atletas!M190="Paoquan B",119,IF(Atletas!M190="Piguaquan B",120,IF(Atletas!M190="Shaolinquan B",121,IF(Atletas!M190="Tanglangquan B",122,IF(Atletas!M190="Yingzhaoquan B",123,IF(Atletas!M190="Tongbeiquan B",124,IF(Atletas!M190="Wudangquan B",125,IF(Atletas!M190="Outros Estilos B",126,IF(Atletas!M190="Chaquan C",127,IF(Atletas!M190="Emeiquan C",128,IF(Atletas!M190="Fanziquan C",129,IF(Atletas!M190="Huaquan C",130,IF(Atletas!M190="Hongquan C",131,IF(Atletas!M190="Paoquan C",132,IF(Atletas!M190="Piguaquan C",133,IF(Atletas!M190="Shaolinquan C",134,IF(Atletas!M190="Tanglangquan C",135,IF(Atletas!M190="Yingzhaoquan C",136,IF(Atletas!M190="Tongbeiquan C",137,IF(Atletas!M190="Wudangquan C",138,IF(Atletas!M190="Outros Estilos C",139,0))))))))))))))))))))))))))))))))))))))))))</f>
        <v/>
      </c>
      <c r="BT199" s="50" t="str">
        <f>IF(Atletas!M190="","",IF(Atletas!X190&lt;&gt;"",10000,0)+(IF(Atletas!B190="Feminino",1000,IF(Atletas!B190="Masculino",2000,""))+(IF(Atletas!M190="Chaquan D",140,IF(Atletas!M190="Emeiquan D",141,IF(Atletas!M190="Fanziquan D",142,IF(Atletas!M190="Huaquan D",143,IF(Atletas!M190="Hongquan D",144,IF(Atletas!M190="Paoquan D",145,IF(Atletas!M190="Piguaquan D",146,IF(Atletas!M190="Shaolinquan D",147,IF(Atletas!M190="Tanglangquan D",148,IF(Atletas!M190="Yingzhaoquan D",149,IF(Atletas!M190="Tongbeiquan D",150,IF(Atletas!M190="Wudangquan D",151,IF(Atletas!M190="Outros Estilos D",152,IF(Atletas!M190="Chaquan E",153,IF(Atletas!M190="Emeiquan E",154,IF(Atletas!M190="Fanziquan E",155,IF(Atletas!M190="Huaquan E",156,IF(Atletas!M190="Hongquan E",157,IF(Atletas!M190="Paoquan E",158,IF(Atletas!M190="Piguaquan E",159,IF(Atletas!M190="Shaolinquan E",160,IF(Atletas!M190="Tanglangquan E",161,IF(Atletas!M190="Yingzhaoquan E",162,IF(Atletas!M190="Tongbeiquan E",163,IF(Atletas!M190="Wudangquan E",164,IF(Atletas!M190="Outros Estilos E",165,IF(Atletas!M190="Chaquan F",166,IF(Atletas!M190="Emeiquan F",167,IF(Atletas!M190="Fanziquan F",168,IF(Atletas!M190="Huaquan F",169,IF(Atletas!M190="Hongquan F",170,IF(Atletas!M190="Paoquan F",171,IF(Atletas!M190="Piguaquan F",172,IF(Atletas!M190="Shaolinquan F",173,IF(Atletas!M190="Tanglangquan F",174,IF(Atletas!M190="Yingzhaoquan F",175,IF(Atletas!M190="Tongbeiquan F",176,IF(Atletas!M190="Wudangquan F",177,IF(Atletas!M190="Outros Estilos F",178,0))))))))))))))))))))))))))))))))))))))))))</f>
        <v/>
      </c>
      <c r="BU199" s="50" t="str">
        <f>IF(Atletas!N190="","",IF(Atletas!X190&lt;&gt;"",10000,0)+(IF(Atletas!B190="Feminino",1000,IF(Atletas!B190="Masculino",2000,""))+(IF(Atletas!N190="Ditangquan A",201,IF(Atletas!N190="Houquan A",202,IF(Atletas!N190="Zuiquan A",203,IF(Atletas!N190="Ditangquan B",204,IF(Atletas!N190="Houquan B",205,IF(Atletas!N190="Zuiquan B",206,IF(Atletas!N190="Ditangquan C",207,IF(Atletas!N190="Houquan C",208,IF(Atletas!N190="Zuiquan C",209,IF(Atletas!N190="Ditangquan D",210,IF(Atletas!N190="Houquan D",211,IF(Atletas!N190="Zuiquan D",212,IF(Atletas!N190="Ditangquan E",213,IF(Atletas!N190="Houquan E",214,IF(Atletas!N190="Zuiquan E",215,IF(Atletas!N190="Ditangquan F",216,IF(Atletas!N190="Houquan F",217,IF(Atletas!N190="Zuiquan F",218,"")))))))))))))))))))))</f>
        <v/>
      </c>
      <c r="BV199" s="50" t="str">
        <f>IF(Atletas!O190="","",IF(Atletas!X190&lt;&gt;"",10000,0)+IF(Atletas!B190="Feminino",1000,IF(Atletas!B190="Masculino",2000,""))+IF(Atletas!O190="Yang A",301,IF(Atletas!O190="Chen A",302,IF(Atletas!O190="Sun A",303,IF(Atletas!O190="Wu A",304,IF(Atletas!O190="Wu-Hao A",305,IF(Atletas!O190="Outro Taijiquan A",306,IF(Atletas!O190="Yang B",307,IF(Atletas!O190="Chen B",308,IF(Atletas!O190="Sun B",309,IF(Atletas!O190="Wu B",310,IF(Atletas!O190="Wu-Hao B",311,IF(Atletas!O190="Outro Taijiquan B",312,IF(Atletas!O190="Yang C",313,IF(Atletas!O190="Chen C",314,IF(Atletas!O190="Sun C",315,IF(Atletas!O190="Wu C",316,IF(Atletas!O190="Wu-Hao C",317,IF(Atletas!O190="Outro Taijiquan C",318,IF(Atletas!O190="Yang D",319,IF(Atletas!O190="Chen D",320,IF(Atletas!O190="Sun D",321,IF(Atletas!O190="Wu D",322,IF(Atletas!O190="Wu-Hao D",323,IF(Atletas!O190="Outro Taijiquan D",324,IF(Atletas!O190="Yang E",325,IF(Atletas!O190="Chen E",326,IF(Atletas!O190="Sun E",327,IF(Atletas!O190="Wu E",328,IF(Atletas!O190="Wu-Hao E",329,IF(Atletas!O190="Outro Taijiquan E",330,IF(Atletas!O190="Yang F",331,IF(Atletas!O190="Chen F",332,IF(Atletas!O190="Sun F",333,IF(Atletas!O190="Wu F",334,IF(Atletas!O190="Wu-Hao F",335,IF(Atletas!O190="Outro Taijiquan F",336,"")))))))))))))))))))))))))))))))))))))</f>
        <v/>
      </c>
      <c r="BW199" s="50" t="str">
        <f>IF(Atletas!P190="","",IF(Atletas!X190&lt;&gt;"",10000,0)+IF(Atletas!B190="Feminino",1000,IF(Atletas!B190="Masculino",2000,""))+IF(OR(Atletas!P190="Yang 26 A",Atletas!P190="Yang 40 A"),401,IF(OR(Atletas!P190="Chen 25 A",Atletas!P190="Chen 36 A",Atletas!P190="Chen 56 A"),402,IF(Atletas!P190="Sun 73 A",403,IF(Atletas!P190="Wu 45 A",404,IF(Atletas!P190="Wu-Hao 46 A",405,IF(OR(Atletas!P190="Taijiquan 16 A",Atletas!P190="Taijiquan 24 A",Atletas!P190="Taijiquan 32 A",Atletas!P190="Taijiquan 42 A"),406,IF(OR(Atletas!P190="Yang 26 B",Atletas!P190="Yang 40 B"),407,IF(OR(Atletas!P190="Chen 25 B",Atletas!P190="Chen 36 B",Atletas!P190="Chen 56 B"),408,IF(Atletas!P190="Sun 73 B",409,IF(Atletas!P190="Wu 45 B",410,IF(Atletas!P190="Wu-Hao 46 B",411,IF(OR(Atletas!P190="Taijiquan 16 B",Atletas!P190="Taijiquan 24 B",Atletas!P190="Taijiquan 32 B",Atletas!P190="Taijiquan 42 B"),412,IF(OR(Atletas!P190="Yang 26 C",Atletas!P190="Yang 40 C"),413,IF(OR(Atletas!P190="Chen 25 C",Atletas!P190="Chen 36 C",Atletas!P190="Chen 56 C"),414,IF(Atletas!P190="Sun 73 C",415,IF(Atletas!P190="Wu 45 C",416,IF(Atletas!P190="Wu-Hao 46 C",417,IF(OR(Atletas!P190="Taijiquan 16 C",Atletas!P190="Taijiquan 24 C",Atletas!P190="Taijiquan 32 C",Atletas!P190="Taijiquan 42 C"),418,0)))))))))))))))))))</f>
        <v/>
      </c>
      <c r="BX199" s="50" t="str">
        <f>IF(Atletas!P190="","",IF(Atletas!X190&lt;&gt;"",10000,0)+IF(Atletas!B190="Feminino",1000,IF(Atletas!B190="Masculino",2000,""))+IF(OR(Atletas!P190="Yang 26 D",Atletas!P190="Yang 40 D"),419,IF(OR(Atletas!P190="Chen 25 D",Atletas!P190="Chen 36 D",Atletas!P190="Chen 56 D"),420,IF(Atletas!P190="Sun 73 D",421,IF(Atletas!P190="Wu 45 D",422,IF(Atletas!P190="Wu-Hao 46 D",423,IF(OR(Atletas!P190="Taijiquan 16 D",Atletas!P190="Taijiquan 24 D",Atletas!P190="Taijiquan 32 D",Atletas!P190="Taijiquan 42 D"),424,IF(OR(Atletas!P190="Yang 26 E",Atletas!P190="Yang 40 E"),425,IF(OR(Atletas!P190="Chen 25 E",Atletas!P190="Chen 36 E",Atletas!P190="Chen 56 E"),426,IF(Atletas!P190="Sun 73 E",427,IF(Atletas!P190="Wu 45 E",428,IF(Atletas!P190="Wu-Hao 46 E",429,IF(OR(Atletas!P190="Taijiquan 16 E",Atletas!P190="Taijiquan 24 E",Atletas!P190="Taijiquan 32 E",Atletas!P190="Taijiquan 42 E"),430,IF(OR(Atletas!P190="Yang 26 F",Atletas!P190="Yang 40 F"),431,IF(OR(Atletas!P190="Chen 25 F",Atletas!P190="Chen 36 F",Atletas!P190="Chen 56 F"),432,IF(Atletas!P190="Sun 73 F",433,IF(Atletas!P190="Wu 45 F",434,IF(Atletas!P190="Wu-Hao 46 F",435,IF(OR(Atletas!P190="Taijiquan 16 F",Atletas!P190="Taijiquan 24 F",Atletas!P190="Taijiquan 32 F",Atletas!P190="Taijiquan 42 F"),436,0)))))))))))))))))))</f>
        <v/>
      </c>
      <c r="BY199" s="50" t="str">
        <f>IF(Atletas!Q190="","",IF(Atletas!X190&lt;&gt;"",10000,0)+IF(Atletas!B190="Feminino",1000,IF(Atletas!B190="Masculino",2000,""))+IF(Atletas!Q190="Xingyiquan A",501,IF(Atletas!Q190="Baguazhang A",502,IF(Atletas!Q190="Outro Estilo Interno A",503,IF(Atletas!Q190="Xingyiquan B",504,IF(Atletas!Q190="Baguazhang B",505,IF(Atletas!Q190="Outro Estilo Interno B",506,IF(Atletas!Q190="Xingyiquan C",507,IF(Atletas!Q190="Baguazhang C",508,IF(Atletas!Q190="Outro Estilo Interno C",509,IF(Atletas!Q190="Xingyiquan D",510,IF(Atletas!Q190="Baguazhang D",511,IF(Atletas!Q190="Outro Estilo Interno D",512,IF(Atletas!Q190="Xingyiquan E",513,IF(Atletas!Q190="Baguazhang E",514,IF(Atletas!Q190="Outro Estilo Interno E",515,IF(Atletas!Q190="Xingyiquan F",516,IF(Atletas!Q190="Baguazhang F",517,IF(Atletas!Q190="Outro Estilo Interno F",518, "")))))))))))))))))))</f>
        <v/>
      </c>
      <c r="BZ199" s="50" t="str">
        <f>IF(Atletas!R190="","",IF(Atletas!X190&lt;&gt;"",10000,0)+IF(Atletas!B190="Feminino",1000,IF(Atletas!B190="Masculino",2000,""))+IF(Atletas!R190="Dao A",601,IF(Atletas!R190="Jian A",602,IF(Atletas!R190="Bishou A",603,IF(Atletas!R190="Shanzi A",604,IF(Atletas!R190="Outra Arma Curta A",605,IF(Atletas!R190="Dao B",606,IF(Atletas!R190="Jian B",607,IF(Atletas!R190="Bishou B",608,IF(Atletas!R190="Shanzi B",609,IF(Atletas!R190="Outra Arma Curta B",610,IF(Atletas!R190="Dao C",611,IF(Atletas!R190="Jian C",612,IF(Atletas!R190="Bishou C",613,IF(Atletas!R190="Shanzi C",614,IF(Atletas!R190="Outra Arma Curta C",615,IF(Atletas!R190="Dao D",616,IF(Atletas!R190="Jian D",617,IF(Atletas!R190="Bishou D",618,IF(Atletas!R190="Shanzi D",619,IF(Atletas!R190="Outra Arma Curta D",620,IF(Atletas!R190="Dao E",621,IF(Atletas!R190="Jian E",622,IF(Atletas!R190="Bishou E",623,IF(Atletas!R190="Shanzi E",624,IF(Atletas!R190="Outra Arma Curta E",625,IF(Atletas!R190="Dao F",626,IF(Atletas!R190="Jian F",627,IF(Atletas!R190="Bishou F",628,IF(Atletas!R190="Shanzi F",629,IF(Atletas!R190="Outra Arma Curta F",630, "")))))))))))))))))))))))))))))))</f>
        <v/>
      </c>
      <c r="CA199" s="50" t="str">
        <f>IF(Atletas!S190="","",IF(Atletas!X190&lt;&gt;"",10000,0)+IF(Atletas!B190="Feminino",1000,IF(Atletas!B190="Masculino",2000,""))+IF(Atletas!S190="Gun A",701,IF(Atletas!S190="Qiang A",702,IF(Atletas!S190="Pudao / Guandao A",703,IF(Atletas!S190="Outra Arma Longa A",704,IF(Atletas!S190="Gun B",705,IF(Atletas!S190="Qiang B",706,IF(Atletas!S190="Pudao / Guandao B",707,IF(Atletas!S190="Outra Arma Longa B",708,IF(Atletas!S190="Gun C",709,IF(Atletas!S190="Qiang C",710,IF(Atletas!S190="Pudao / Guandao C",711,IF(Atletas!S190="Outra Arma Longa C",712,IF(Atletas!S190="Gun D",713,IF(Atletas!S190="Qiang D",714,IF(Atletas!S190="Pudao / Guandao D",715,IF(Atletas!S190="Outra Arma Longa D",716,IF(Atletas!S190="Gun E",717,IF(Atletas!S190="Qiang E",718,IF(Atletas!S190="Pudao / Guandao E",719,IF(Atletas!S190="Outra Arma Longa E",720,IF(Atletas!S190="Gun F",721,IF(Atletas!S190="Qiang F",722,IF(Atletas!S190="Pudao / Guandao F",723,IF(Atletas!S190="Outra Arma Longa F",724,"")))))))))))))))))))))))))</f>
        <v/>
      </c>
      <c r="CB199" s="50" t="str">
        <f>IF(Atletas!T190="","",IF(Atletas!X190&lt;&gt;"",10000,0)+IF(Atletas!B190="Feminino",1000,IF(Atletas!B190="Masculino",2000,""))+IF(Atletas!T190="Outra Arma Dupla A",801,IF(Atletas!T190="Arma Maleável A",802,IF(Atletas!T190="Outra Arma Dupla B",803,IF(Atletas!T190="Arma Maleável B",804,IF(Atletas!T190="Outra Arma Dupla C",805,IF(Atletas!T190="Arma Maleável C",806,IF(Atletas!T190="Outra Arma Dupla D",807,IF(Atletas!T190="Arma Maleável D",808,IF(Atletas!T190="Outra Arma Dupla E",809,IF(Atletas!T190="Arma Maleável E",810,IF(Atletas!T190="Outra Arma Dupla F",811,IF(Atletas!T190="Arma Maleável F",812,IF(Atletas!T190="Shuangdao A",813,IF(Atletas!T190="Shuangdao B",814,IF(Atletas!T190="Shuangdao C",815,IF(Atletas!T190="Shuangdao D",816,IF(Atletas!T190="Shuangdao E",817,IF(Atletas!T190="Shuangdao F",818,"")))))))))))))))))))</f>
        <v/>
      </c>
      <c r="CC199" s="50" t="str">
        <f>IF(Atletas!U190="","",IF(Atletas!X190&lt;&gt;"",10000,0)+IF(Atletas!B190="Feminino",1000,IF(Atletas!B190="Masculino",2000,""))+IF(OR(Atletas!U190="Taijijian Yang A",Atletas!U190="Taijijian Yang Standard A"),901,IF(OR(Atletas!U190="Taijijian Chen A", Atletas!U190="Taijijian Chen Standard A"),902,IF(Atletas!U190="Taijijian Sun A",903,IF(Atletas!U190="Taijijian Wu A",904,IF(Atletas!U190="Taijijian Wu-Hao A",905,IF(OR(Atletas!U190="Taijijian 32 A",Atletas!U190="Taijijian 42 A"),906,IF(OR(Atletas!U190="Taijijian Yang B",Atletas!U190="Taijijian Yang Standard B"),907,IF(OR(Atletas!U190="Taijijian Chen B", Atletas!U190="Taijijian Chen Standard B"),908,IF(Atletas!U190="Taijijian Sun B",909,IF(Atletas!U190="Taijijian Wu B",910,IF(Atletas!U190="Taijijian Wu-Hao B",911,IF(OR(Atletas!U190="Taijijian 32 B",Atletas!U190="Taijijian 42 B"),912,IF(OR(Atletas!U190="Taijijian Yang C",Atletas!U190="Taijijian Yang Standard C"),913,IF(OR(Atletas!U190="Taijijian Chen C", Atletas!U190="Taijijian Chen Standard C"),914,IF(Atletas!U190="Taijijian Sun C",915,IF(Atletas!U190="Taijijian Wu C",916,IF(Atletas!U190="Taijijian Wu-Hao C",917,IF(OR(Atletas!U190="Taijijian 32 C",Atletas!U190="Taijijian 42 C"),918,IF(OR(Atletas!U190="Taijijian Yang D",Atletas!U190="Taijijian Yang Standard D"),919,IF(OR(Atletas!U190="Taijijian Chen D", Atletas!U190="Taijijian Chen Standard D"),920,IF(Atletas!U190="Taijijian Sun D",921,IF(Atletas!U190="Taijijian Wu D",922,IF(Atletas!U190="Taijijian Wu-Hao D",923,IF(OR(Atletas!U190="Taijijian 32 D",Atletas!U190="Taijijian 42 D"),924,IF(OR(Atletas!U190="Taijijian Yang E",Atletas!U190="Taijijian Yang Standard E"),925,IF(OR(Atletas!U190="Taijijian Chen E", Atletas!U190="Taijijian Chen Standard E"),926,IF(Atletas!U190="Taijijian Sun E",927,IF(Atletas!U190="Taijijian Wu E",928,IF(Atletas!U190="Taijijian Wu-Hao E",929,IF(OR(Atletas!U190="Taijijian 32 E",Atletas!U190="Taijijian 42 E"),930,IF(OR(Atletas!U190="Taijijian Yang F",Atletas!U190="Taijijian Yang Standard F"),931,IF(OR(Atletas!U190="Taijijian Chen F", Atletas!U190="Taijijian Chen Standard F"),932,IF(Atletas!U190="Taijijian Sun F",933,IF(Atletas!U190="Taijijian Wu F",934,IF(Atletas!U190="Taijijian Wu-Hao F",935,IF(OR(Atletas!U190="Taijijian 32 F",Atletas!U190="Taijijian 42 F"),936,"")))))))))))))))))))))))))))))))))))))</f>
        <v/>
      </c>
      <c r="CD199" s="50" t="str">
        <f>IF(Atletas!V190="","",IF(Atletas!X190&lt;&gt;"",10000,0)+IF(Atletas!B190="Feminino",1000,IF(Atletas!B190="Masculino",2000,""))+IF(Atletas!V190="Taijidao A",937,IF(Atletas!V190="TaijiShanzi A",938,IF(Atletas!V190="Taijiqiang A",939,IF(Atletas!V190="Bagua de Arma A",940,IF(Atletas!V190="Xingyi de Arma A",941,IF(Atletas!V190="Taijidao B",942,IF(Atletas!V190="TaijiShanzi B",943,IF(Atletas!V190="Taijiqiang B",944,IF(Atletas!V190="Bagua de Arma B",945,IF(Atletas!V190="Xingyi de Arma B",946,IF(Atletas!V190="Taijidao C",947,IF(Atletas!V190="TaijiShanzi C",948,IF(Atletas!V190="Taijiqiang C",949,IF(Atletas!V190="Bagua de Arma C",950,IF(Atletas!V190="Xingyi de Arma C",951,IF(Atletas!V190="Taijidao D",952,IF(Atletas!V190="TaijiShanzi D",953,IF(Atletas!V190="Taijiqiang D",954,IF(Atletas!V190="Bagua de Arma D",955,IF(Atletas!V190="Xingyi de Arma D",956,IF(Atletas!V190="Taijidao E",957,IF(Atletas!V190="TaijiShanzi E",958,IF(Atletas!V190="Taijiqiang E",959,IF(Atletas!V190="Bagua de Arma E",960,IF(Atletas!V190="Xingyi de Arma E",961,IF(Atletas!V190="Taijidao F",962,IF(Atletas!V190="TaijiShanzi F",963,IF(Atletas!V190="Taijiqiang F",964,IF(Atletas!V190="Bagua de Arma F",965,IF(Atletas!V190="Xingyi de Arma F",966,"")))))))))))))))))))))))))))))))</f>
        <v/>
      </c>
      <c r="CE199" s="66" t="str">
        <f>IF(CF199&lt;&gt;"","TJQ Padr. Yang E","")</f>
        <v/>
      </c>
      <c r="CF199" s="66" t="str">
        <f>IF(COUNTIF(BR:CD,1425)&gt;0,COUNTIF(BR:CD,1425),"")</f>
        <v/>
      </c>
      <c r="CG199" s="66" t="str">
        <f>IF(CH199&lt;&gt;"","TJQ Padr. Yang E","")</f>
        <v/>
      </c>
      <c r="CH199" s="66" t="str">
        <f>IF(COUNTIF(BR:CD,2425)&gt;0,COUNTIF(BR:CD,2425),"")</f>
        <v/>
      </c>
      <c r="CI199" s="66" t="str">
        <f>IF(CJ199&lt;&gt;"","TJQ Padr. Yang F","")</f>
        <v/>
      </c>
      <c r="CJ199" s="66" t="str">
        <f>IF(COUNTIF(BR:CD,11431)&gt;0,COUNTIF(BR:CD,11431),"")</f>
        <v/>
      </c>
      <c r="CK199" s="66" t="str">
        <f>IF(CL199&lt;&gt;"","TJQ Padr. Yang F","")</f>
        <v/>
      </c>
      <c r="CL199" s="66" t="str">
        <f>IF(COUNTIF(BR:CD,12431)&gt;0,COUNTIF(BR:CD,12431),"")</f>
        <v/>
      </c>
      <c r="CM199" s="50" t="str">
        <f xml:space="preserve"> IF(Atletas!W190="","",IF(Atletas!W190="Duilian de Mãos BC - Equipe 1",1,IF(Atletas!W190="Duilian de Mãos BC - Equipe 2",2,IF(Atletas!W190="Duilian de Armas BC - Equipe 1",3,IF(Atletas!W190="Duilian de Armas BC - Equipe 2",4,IF(Atletas!W190="Duilian de Mãos DE - Equipe 1",5,IF(Atletas!W190="Duilian de Mãos DE - Equipe 2",6,IF(Atletas!W190="Duilian de Armas DE - Equipe 1",7,IF(Atletas!W190="Duilian de Armas DE - Equipe 2",8,IF(Atletas!W190="Duilian de Tuishou - Equipe 1",9,IF(Atletas!W190="Duilian de Tuishou - Equipe 2",10,IF(Atletas!W190="Grupo Externo ABC - Equipe 1",11,IF(Atletas!W190="Grupo Externo ABC - Equipe 2",12,IF(Atletas!W190="Grupo Interno ABC - Equipe 1",13,IF(Atletas!W190="Grupo Interno ABC - Equipe 2",14,IF(Atletas!W190="Grupo Externo DEF - Equipe 1",15,IF(Atletas!W190="Grupo Externo DEF - Equipe 2",16,IF(Atletas!W190="Grupo Interno DEF - Equipe 1",17,IF(Atletas!W190="Grupo Interno DEF - Equipe 2",18,"")))))))))))))))))))</f>
        <v/>
      </c>
    </row>
    <row r="200" spans="2:91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 t="str">
        <f t="array" ref="Z200">IFERROR(INDEX(CE$7:CE$348,SMALL(IF(CE$7:CE$348&lt;&gt;"",ROW(CE$7:CE$348)-ROW(CE$7)+1),ROWS(CE$7:CE199))),"")</f>
        <v/>
      </c>
      <c r="AA200" s="3" t="str">
        <f t="array" ref="AA200">IFERROR(INDEX(CF$7:CF$348,SMALL(IF(CF$7:CF$348&lt;&gt;"",ROW(CF$7:CF$348)-ROW(CF$7)+1),ROWS(CF$7:CF199))),"")</f>
        <v/>
      </c>
      <c r="AB200" s="3" t="str">
        <f t="array" ref="AB200">IFERROR(INDEX(CG$7:CG$348,SMALL(IF(CG$7:CG$348&lt;&gt;"",ROW(CG$7:CG$348)-ROW(CG$7)+1),ROWS(CG$7:CG199))),"")</f>
        <v/>
      </c>
      <c r="AC200" s="3" t="str">
        <f t="array" ref="AC200">IFERROR(INDEX(CH$7:CH$348,SMALL(IF(CH$7:CH$348&lt;&gt;"",ROW(CH$7:CH$348)-ROW(CH$7)+1),ROWS(CH$7:CH199))),"")</f>
        <v/>
      </c>
      <c r="AD200" s="3" t="str">
        <f t="array" ref="AD200">IFERROR(INDEX(CI$7:CI$377,SMALL(IF(CI$7:CI$377&lt;&gt;"",ROW(CI$7:CI$377)-ROW(CI$7)+1),ROWS(CI$7:CI199))),"")</f>
        <v/>
      </c>
      <c r="AE200" s="3" t="str">
        <f t="array" ref="AE200">IFERROR(INDEX(CJ$7:CJ$378,SMALL(IF(CJ$7:CJ$378&lt;&gt;"",ROW(CJ$7:CJ$378)-ROW(CJ$7)+1),ROWS(CJ$7:CJ199))),"")</f>
        <v/>
      </c>
      <c r="AF200" s="3" t="str">
        <f t="array" ref="AF200">IFERROR(INDEX(CK$7:CK$378,SMALL(IF(CK$7:CK$378&lt;&gt;"",ROW(CK$7:CK$378)-ROW(CK$7)+1),ROWS(CK$7:CK199))),"")</f>
        <v/>
      </c>
      <c r="AG200" s="3" t="str">
        <f t="array" ref="AG200">IFERROR(INDEX(CL$7:CL$378,SMALL(IF(CL$7:CL$378&lt;&gt;"",ROW(CL$7:CL$378)-ROW(CL$7)+1),ROWS(CL$7:CL199))),"")</f>
        <v/>
      </c>
      <c r="AH200" s="3"/>
      <c r="AI200" s="3"/>
      <c r="AJ200" s="3"/>
      <c r="AK200" s="3"/>
      <c r="AL200" s="3"/>
      <c r="AM200" s="3"/>
      <c r="AN200" s="52" t="str">
        <f>IF(Atletas!D191="","",IF(Atletas!B191="Feminino",100,IF(Atletas!B191="Masculino",200,""))+(IF(Atletas!D191="Kids 30kg",1,IF(Atletas!D191="Kids 32kg",2, IF(Atletas!D191="Kids 34kg",3,IF(Atletas!D191="Kids 36kg",4,IF(Atletas!D191="Kids 39kg",5,IF(Atletas!D191="Kids 42kg",6,IF(Atletas!D191="Kids 45kg",7, IF(Atletas!D191="Infantil 39kg",8,IF(Atletas!D191="Infantil 42kg",9,IF(Atletas!D191="Infantil 45kg",10,IF(Atletas!D191="Infantil 48kg",11,IF(Atletas!D191="Infantil 52kg",12,IF(Atletas!D191="Infantil 56kg",13,IF(Atletas!D191="Infantil 60kg",14,IF(Atletas!D191="Juvenil 48kg",15,IF(Atletas!D191="Juvenil 52kg",16,IF(Atletas!D191="Juvenil 56kg",17,IF(Atletas!D191="Juvenil 60kg",18,IF(Atletas!D191="Juvenil 65kg",19,IF(Atletas!D191="Juvenil 70kg",20,IF(Atletas!D191="Juvenil 75kg",21,IF(Atletas!D191="Juvenil 80kg",22, IF(Atletas!D191="Juvenil 85kg",23,IF(Atletas!D191="Adulto 48kg",24,IF(Atletas!D191="Adulto 52kg",25,IF(Atletas!D191="Adulto 56kg",26,IF(Atletas!D191="Adulto 60kg",27,IF(Atletas!D191="Adulto 65kg",28,IF(Atletas!D191="Adulto 70kg",29,IF(Atletas!D191="Adulto 75kg",30,IF(Atletas!D191="Adulto 80kg",31,IF(Atletas!D191="Adulto 85kg",32,IF(Atletas!D191="Adulto 90kg",33,IF(Atletas!D191="Adulto 100kg",34, IF(Atletas!D191="Adulto +100kg",35,"")))))))))))))))))))))))))))))))))))))</f>
        <v/>
      </c>
      <c r="AS200" s="6" t="str">
        <f>IF(Atletas!E191="","",IF(Atletas!B191="Feminino",100,IF(Atletas!B191="Masculino",200,""))+(IF(Atletas!E191="Juvenil 44kg",1,IF(Atletas!E191="Juvenil 48kg",2,IF(Atletas!E191="Juvenil 52kg",3,IF(Atletas!E191="Juvenil 56kg",4,IF(Atletas!E191="Juvenil 60kg",5,IF(Atletas!E191="Juvenil 65kg",6,IF(Atletas!E191="Juvenil 70kg",7,IF(Atletas!E191="Juvenil 75kg",8,IF(Atletas!E191="Juvenil 82kg",9,IF(Atletas!E191="Juvenil 90kg",10,IF(Atletas!E191="Juvenil 100kg",11,IF(Atletas!E191="Adulto 48kg",12,IF(Atletas!E191="Adulto 52kg",13,IF(Atletas!E191="Adulto 56kg",14,IF(Atletas!E191="Adulto 60kg",15,IF(Atletas!E191="Adulto 65kg",16,IF(Atletas!E191="Adulto 70kg",17,IF(Atletas!E191="Adulto 75kg",18,IF(Atletas!E191="Adulto 82kg",19,IF(Atletas!E191="Adulto 90kg",20,IF(Atletas!E191="Adulto 100kg",21,IF(Atletas!E191="Adulto +100kg",22,""))))))))))))))))))))))))</f>
        <v/>
      </c>
      <c r="AX200" s="6" t="str">
        <f>IF(Atletas!F191="","",IF(Atletas!B191="Feminino",100,IF(Atletas!B191="Masculino",200,""))+(IF(Atletas!F191="Adulto 48kg",1,IF(Atletas!F191="Adulto 56kg",2,IF(Atletas!F191="Adulto 65kg",3,IF(Atletas!F191="Adulto 75kg",4,IF(Atletas!F191="Adulto +75kg",5,IF(Atletas!F191="Adulto 52kg",6,IF(Atletas!F191="Adulto 60kg",7,IF(Atletas!F191="Adulto 70kg",8,IF(Atletas!F191="Adulto 80kg",9,IF(Atletas!F191="Adulto 90kg",10,IF(Atletas!F191="Adulto +90kg",11,"")))))))))))))</f>
        <v/>
      </c>
      <c r="BC200" s="6" t="str">
        <f>IF(Atletas!G191="","",IF(Atletas!B191="Feminino",10,IF(Atletas!B191="Masculino",20,""))+(IF(Atletas!G191="Baduanjin A",1,IF(Atletas!G191="Baduanjin B",2))))</f>
        <v/>
      </c>
      <c r="BF200" s="52" t="str">
        <f>IF(Atletas!H191="","",IF(Atletas!B191="Feminino",100,IF(Atletas!B191="Masculino",200,""))+(IF(Atletas!H191="Changquan Mirim",1,IF(Atletas!H191="Nanquan Mirim",2,IF(Atletas!H191="Taijiquan Mirim",3,IF(Atletas!H191="Changquan Grupo C",4,IF(Atletas!H191="Nanquan Grupo C",5,IF(Atletas!H191="Taijiquan Grupo C",6,IF(Atletas!H191="Changquan Grupo B",7,IF(Atletas!H191="Nanquan Grupo B",8,IF(Atletas!H191="Taijiquan Grupo B",9,IF(Atletas!H191="Changquan Grupo A",10,IF(Atletas!H191="Nanquan Grupo A",11,IF(Atletas!H191="Taijiquan Grupo A",12,IF(Atletas!H191="Changquan Opcional",13,IF(Atletas!H191="Nanquan Opcional",14,IF(Atletas!H191="Taijiquan Opcional",15,IF(Atletas!H191="Changquan Adulto",16,IF(Atletas!H191="Nanquan Adulto",17,IF(Atletas!H191="Taijiquan Adulto",18,""))))))))))))))))))))</f>
        <v/>
      </c>
      <c r="BG200" s="52" t="str">
        <f>IF(Atletas!I191="","",IF(Atletas!B191="Feminino",100,IF(Atletas!B191="Masculino",200,""))+(IF(Atletas!I191="Daoshu Mirim",19,IF(Atletas!I191="Jianshu Mirim",20,IF(Atletas!I191="Nandao Mirim",21,IF(Atletas!I191="Taijijian Mirim",22,IF(Atletas!I191="Daoshu Grupo C",23,IF(Atletas!I191="Jianshu Grupo C",24,IF(Atletas!I191="Nandao Grupo C",25,IF(Atletas!I191="Taijijian Grupo C",26,IF(Atletas!I191="Daoshu Grupo B",27,IF(Atletas!I191="Jianshu Grupo B",28,IF(Atletas!I191="Nandao Grupo B",29,IF(Atletas!I191="Taijijian Grupo B",30,IF(Atletas!I191="Daoshu Grupo A",31,IF(Atletas!I191="Jianshu Grupo A",32,IF(Atletas!I191="Nandao Grupo A",33,IF(Atletas!I191="Taijijian Grupo A",34,IF(Atletas!I191="Daoshu Opcional",35,IF(Atletas!I191="Jianshu Opcional",36,IF(Atletas!I191="Nandao Opcional",37,IF(Atletas!I191="Taijijian Opcional",38,IF(Atletas!I191="Daoshu Adulto",39,IF(Atletas!I191="Jianshu Adulto",40,IF(Atletas!I191="Nandao Adulto",41,IF(Atletas!I191="Taijijian Adulto",42,""))))))))))))))))))))))))))</f>
        <v/>
      </c>
      <c r="BH200" s="52" t="str">
        <f>IF(Atletas!J191="","",IF(Atletas!B191="Feminino",100,IF(Atletas!B191="Masculino",200,""))+(IF(Atletas!J191="Gunshu Mirim",43,IF(Atletas!J191="Qiangshu Mirim",44,IF(Atletas!J191="Nangun Mirim",45,IF(Atletas!J191="Gunshu Grupo C",46,IF(Atletas!J191="Qiangshu Grupo C",47,IF(Atletas!J191="Nangun Grupo C",48,IF(Atletas!J191="Gunshu Grupo B",49,IF(Atletas!J191="Qiangshu Grupo B",50,IF(Atletas!J191="Nangun Grupo B",51,IF(Atletas!J191="Gunshu Grupo A",52,IF(Atletas!J191="Qiangshu Grupo A",53,IF(Atletas!J191="Nangun Grupo A",54,IF(Atletas!J191="Gunshu Opcional",55,IF(Atletas!J191="Qiangshu Opcional",56,IF(Atletas!J191="Nangun Opcional",57,IF(Atletas!J191="Gunshu Adulto",58,IF(Atletas!J191="Qiangshu Adulto",59,IF(Atletas!J191="Nangun Adulto",60,IF(Atletas!J191="Taijishan Grupo B",61,IF(Atletas!J191="Taijishan Grupo A",62,""))))))))))))))))))))))</f>
        <v/>
      </c>
      <c r="BM200" s="50" t="str">
        <f>IF(Atletas!K191="","",IF(Atletas!B191="Feminino",100,IF(Atletas!B191="Masculino",200,""))+(IF(Atletas!K191="Equipe 1 Grupo B",1,IF(Atletas!K191="Equipe 2 Grupo B",2,IF(Atletas!K191="Equipe 1 Grupo A",3,IF(Atletas!K191="Equipe 2 Grupo A",4,IF(Atletas!K191="Equipe 1 Adulto",5,IF(Atletas!K191="Equipe 2 Adulto",6,""))))))))</f>
        <v/>
      </c>
      <c r="BR200" s="50" t="str">
        <f>IF(Atletas!L191="","",IF(Atletas!X191&lt;&gt;"",10000,0)+(IF(Atletas!B191="Feminino",1000,IF(Atletas!B191="Masculino",2000,""))+IF(Atletas!L191="Choylayfut A",1,IF(Atletas!L191="Hunggar A",2,IF(Atletas!L191="Wuzuquan A",3,IF(Atletas!L191="Wingchun A",4,IF(Atletas!L191="Outra Mão de Sul A",5,IF(Atletas!L191="Choylayfut B",6,IF(Atletas!L191="Hunggar B",7,IF(Atletas!L191="Wuzuquan B",8,IF(Atletas!L191="Wingchun B",9,IF(Atletas!L191="Outra Mão de Sul B",10,IF(Atletas!L191="Choylayfut C",11,IF(Atletas!L191="Hunggar C",12,IF(Atletas!L191="Wuzuquan C",13,IF(Atletas!L191="Wingchun C",14,IF(Atletas!L191="Outra Mão de Sul C",15,IF(Atletas!L191="Choylayfut D",16,IF(Atletas!L191="Hunggar D",17,IF(Atletas!L191="Wuzuquan D",18,IF(Atletas!L191="Wingchun D",19,IF(Atletas!L191="Outra Mão de Sul D",20,IF(Atletas!L191="Choylayfut E",21,IF(Atletas!L191="Hunggar E",22,IF(Atletas!L191="Wuzuquan E",23,IF(Atletas!L191="Wingchun E",24,IF(Atletas!L191="Outra Mão de Sul E",25,IF(Atletas!L191="Choylayfut F",26,IF(Atletas!L191="Hunggar F",27,IF(Atletas!L191="Wuzuquan F",28,IF(Atletas!L191="Wingchun F",29,IF(Atletas!L191="Outra Mão de Sul F",30,IF(Atletas!L191="Dishuquan A",31,IF(Atletas!L191="Dishuquan B",32,IF(Atletas!L191="Dishuquan C",33,IF(Atletas!L191="Dishuquan D",34,IF(Atletas!L191="Dishuquan E",35,IF(Atletas!L191="Dishuquan F",36,""))))))))))))))))))))))))))))))))))))))</f>
        <v/>
      </c>
      <c r="BS200" s="50" t="str">
        <f>IF(Atletas!M191="","",IF(Atletas!X191&lt;&gt;"",10000,0)+(IF(Atletas!B191="Feminino",1000,IF(Atletas!B191="Masculino",2000,""))+(IF(Atletas!M191="Chaquan A",101,IF(Atletas!M191="Emeiquan A",102,IF(Atletas!M191="Fanziquan A",103,IF(Atletas!M191="Huaquan A",104,IF(Atletas!M191="Hongquan A",105,IF(Atletas!M191="Paoquan A",106,IF(Atletas!M191="Piguaquan A",107,IF(Atletas!M191="Shaolinquan A",108,IF(Atletas!M191="Tanglangquan A",109,IF(Atletas!M191="Yingzhaoquan A",110,IF(Atletas!M191="Tongbeiquan A",111,IF(Atletas!M191="Wudangquan A",112,IF(Atletas!M191="Outros Estilos A",113,IF(Atletas!M191="Chaquan B",114,IF(Atletas!M191="Emeiquan B",115,IF(Atletas!M191="Fanziquan B",116,IF(Atletas!M191="Huaquan B",117,IF(Atletas!M191="Hongquan B",118,IF(Atletas!M191="Paoquan B",119,IF(Atletas!M191="Piguaquan B",120,IF(Atletas!M191="Shaolinquan B",121,IF(Atletas!M191="Tanglangquan B",122,IF(Atletas!M191="Yingzhaoquan B",123,IF(Atletas!M191="Tongbeiquan B",124,IF(Atletas!M191="Wudangquan B",125,IF(Atletas!M191="Outros Estilos B",126,IF(Atletas!M191="Chaquan C",127,IF(Atletas!M191="Emeiquan C",128,IF(Atletas!M191="Fanziquan C",129,IF(Atletas!M191="Huaquan C",130,IF(Atletas!M191="Hongquan C",131,IF(Atletas!M191="Paoquan C",132,IF(Atletas!M191="Piguaquan C",133,IF(Atletas!M191="Shaolinquan C",134,IF(Atletas!M191="Tanglangquan C",135,IF(Atletas!M191="Yingzhaoquan C",136,IF(Atletas!M191="Tongbeiquan C",137,IF(Atletas!M191="Wudangquan C",138,IF(Atletas!M191="Outros Estilos C",139,0))))))))))))))))))))))))))))))))))))))))))</f>
        <v/>
      </c>
      <c r="BT200" s="50" t="str">
        <f>IF(Atletas!M191="","",IF(Atletas!X191&lt;&gt;"",10000,0)+(IF(Atletas!B191="Feminino",1000,IF(Atletas!B191="Masculino",2000,""))+(IF(Atletas!M191="Chaquan D",140,IF(Atletas!M191="Emeiquan D",141,IF(Atletas!M191="Fanziquan D",142,IF(Atletas!M191="Huaquan D",143,IF(Atletas!M191="Hongquan D",144,IF(Atletas!M191="Paoquan D",145,IF(Atletas!M191="Piguaquan D",146,IF(Atletas!M191="Shaolinquan D",147,IF(Atletas!M191="Tanglangquan D",148,IF(Atletas!M191="Yingzhaoquan D",149,IF(Atletas!M191="Tongbeiquan D",150,IF(Atletas!M191="Wudangquan D",151,IF(Atletas!M191="Outros Estilos D",152,IF(Atletas!M191="Chaquan E",153,IF(Atletas!M191="Emeiquan E",154,IF(Atletas!M191="Fanziquan E",155,IF(Atletas!M191="Huaquan E",156,IF(Atletas!M191="Hongquan E",157,IF(Atletas!M191="Paoquan E",158,IF(Atletas!M191="Piguaquan E",159,IF(Atletas!M191="Shaolinquan E",160,IF(Atletas!M191="Tanglangquan E",161,IF(Atletas!M191="Yingzhaoquan E",162,IF(Atletas!M191="Tongbeiquan E",163,IF(Atletas!M191="Wudangquan E",164,IF(Atletas!M191="Outros Estilos E",165,IF(Atletas!M191="Chaquan F",166,IF(Atletas!M191="Emeiquan F",167,IF(Atletas!M191="Fanziquan F",168,IF(Atletas!M191="Huaquan F",169,IF(Atletas!M191="Hongquan F",170,IF(Atletas!M191="Paoquan F",171,IF(Atletas!M191="Piguaquan F",172,IF(Atletas!M191="Shaolinquan F",173,IF(Atletas!M191="Tanglangquan F",174,IF(Atletas!M191="Yingzhaoquan F",175,IF(Atletas!M191="Tongbeiquan F",176,IF(Atletas!M191="Wudangquan F",177,IF(Atletas!M191="Outros Estilos F",178,0))))))))))))))))))))))))))))))))))))))))))</f>
        <v/>
      </c>
      <c r="BU200" s="50" t="str">
        <f>IF(Atletas!N191="","",IF(Atletas!X191&lt;&gt;"",10000,0)+(IF(Atletas!B191="Feminino",1000,IF(Atletas!B191="Masculino",2000,""))+(IF(Atletas!N191="Ditangquan A",201,IF(Atletas!N191="Houquan A",202,IF(Atletas!N191="Zuiquan A",203,IF(Atletas!N191="Ditangquan B",204,IF(Atletas!N191="Houquan B",205,IF(Atletas!N191="Zuiquan B",206,IF(Atletas!N191="Ditangquan C",207,IF(Atletas!N191="Houquan C",208,IF(Atletas!N191="Zuiquan C",209,IF(Atletas!N191="Ditangquan D",210,IF(Atletas!N191="Houquan D",211,IF(Atletas!N191="Zuiquan D",212,IF(Atletas!N191="Ditangquan E",213,IF(Atletas!N191="Houquan E",214,IF(Atletas!N191="Zuiquan E",215,IF(Atletas!N191="Ditangquan F",216,IF(Atletas!N191="Houquan F",217,IF(Atletas!N191="Zuiquan F",218,"")))))))))))))))))))))</f>
        <v/>
      </c>
      <c r="BV200" s="50" t="str">
        <f>IF(Atletas!O191="","",IF(Atletas!X191&lt;&gt;"",10000,0)+IF(Atletas!B191="Feminino",1000,IF(Atletas!B191="Masculino",2000,""))+IF(Atletas!O191="Yang A",301,IF(Atletas!O191="Chen A",302,IF(Atletas!O191="Sun A",303,IF(Atletas!O191="Wu A",304,IF(Atletas!O191="Wu-Hao A",305,IF(Atletas!O191="Outro Taijiquan A",306,IF(Atletas!O191="Yang B",307,IF(Atletas!O191="Chen B",308,IF(Atletas!O191="Sun B",309,IF(Atletas!O191="Wu B",310,IF(Atletas!O191="Wu-Hao B",311,IF(Atletas!O191="Outro Taijiquan B",312,IF(Atletas!O191="Yang C",313,IF(Atletas!O191="Chen C",314,IF(Atletas!O191="Sun C",315,IF(Atletas!O191="Wu C",316,IF(Atletas!O191="Wu-Hao C",317,IF(Atletas!O191="Outro Taijiquan C",318,IF(Atletas!O191="Yang D",319,IF(Atletas!O191="Chen D",320,IF(Atletas!O191="Sun D",321,IF(Atletas!O191="Wu D",322,IF(Atletas!O191="Wu-Hao D",323,IF(Atletas!O191="Outro Taijiquan D",324,IF(Atletas!O191="Yang E",325,IF(Atletas!O191="Chen E",326,IF(Atletas!O191="Sun E",327,IF(Atletas!O191="Wu E",328,IF(Atletas!O191="Wu-Hao E",329,IF(Atletas!O191="Outro Taijiquan E",330,IF(Atletas!O191="Yang F",331,IF(Atletas!O191="Chen F",332,IF(Atletas!O191="Sun F",333,IF(Atletas!O191="Wu F",334,IF(Atletas!O191="Wu-Hao F",335,IF(Atletas!O191="Outro Taijiquan F",336,"")))))))))))))))))))))))))))))))))))))</f>
        <v/>
      </c>
      <c r="BW200" s="50" t="str">
        <f>IF(Atletas!P191="","",IF(Atletas!X191&lt;&gt;"",10000,0)+IF(Atletas!B191="Feminino",1000,IF(Atletas!B191="Masculino",2000,""))+IF(OR(Atletas!P191="Yang 26 A",Atletas!P191="Yang 40 A"),401,IF(OR(Atletas!P191="Chen 25 A",Atletas!P191="Chen 36 A",Atletas!P191="Chen 56 A"),402,IF(Atletas!P191="Sun 73 A",403,IF(Atletas!P191="Wu 45 A",404,IF(Atletas!P191="Wu-Hao 46 A",405,IF(OR(Atletas!P191="Taijiquan 16 A",Atletas!P191="Taijiquan 24 A",Atletas!P191="Taijiquan 32 A",Atletas!P191="Taijiquan 42 A"),406,IF(OR(Atletas!P191="Yang 26 B",Atletas!P191="Yang 40 B"),407,IF(OR(Atletas!P191="Chen 25 B",Atletas!P191="Chen 36 B",Atletas!P191="Chen 56 B"),408,IF(Atletas!P191="Sun 73 B",409,IF(Atletas!P191="Wu 45 B",410,IF(Atletas!P191="Wu-Hao 46 B",411,IF(OR(Atletas!P191="Taijiquan 16 B",Atletas!P191="Taijiquan 24 B",Atletas!P191="Taijiquan 32 B",Atletas!P191="Taijiquan 42 B"),412,IF(OR(Atletas!P191="Yang 26 C",Atletas!P191="Yang 40 C"),413,IF(OR(Atletas!P191="Chen 25 C",Atletas!P191="Chen 36 C",Atletas!P191="Chen 56 C"),414,IF(Atletas!P191="Sun 73 C",415,IF(Atletas!P191="Wu 45 C",416,IF(Atletas!P191="Wu-Hao 46 C",417,IF(OR(Atletas!P191="Taijiquan 16 C",Atletas!P191="Taijiquan 24 C",Atletas!P191="Taijiquan 32 C",Atletas!P191="Taijiquan 42 C"),418,0)))))))))))))))))))</f>
        <v/>
      </c>
      <c r="BX200" s="50" t="str">
        <f>IF(Atletas!P191="","",IF(Atletas!X191&lt;&gt;"",10000,0)+IF(Atletas!B191="Feminino",1000,IF(Atletas!B191="Masculino",2000,""))+IF(OR(Atletas!P191="Yang 26 D",Atletas!P191="Yang 40 D"),419,IF(OR(Atletas!P191="Chen 25 D",Atletas!P191="Chen 36 D",Atletas!P191="Chen 56 D"),420,IF(Atletas!P191="Sun 73 D",421,IF(Atletas!P191="Wu 45 D",422,IF(Atletas!P191="Wu-Hao 46 D",423,IF(OR(Atletas!P191="Taijiquan 16 D",Atletas!P191="Taijiquan 24 D",Atletas!P191="Taijiquan 32 D",Atletas!P191="Taijiquan 42 D"),424,IF(OR(Atletas!P191="Yang 26 E",Atletas!P191="Yang 40 E"),425,IF(OR(Atletas!P191="Chen 25 E",Atletas!P191="Chen 36 E",Atletas!P191="Chen 56 E"),426,IF(Atletas!P191="Sun 73 E",427,IF(Atletas!P191="Wu 45 E",428,IF(Atletas!P191="Wu-Hao 46 E",429,IF(OR(Atletas!P191="Taijiquan 16 E",Atletas!P191="Taijiquan 24 E",Atletas!P191="Taijiquan 32 E",Atletas!P191="Taijiquan 42 E"),430,IF(OR(Atletas!P191="Yang 26 F",Atletas!P191="Yang 40 F"),431,IF(OR(Atletas!P191="Chen 25 F",Atletas!P191="Chen 36 F",Atletas!P191="Chen 56 F"),432,IF(Atletas!P191="Sun 73 F",433,IF(Atletas!P191="Wu 45 F",434,IF(Atletas!P191="Wu-Hao 46 F",435,IF(OR(Atletas!P191="Taijiquan 16 F",Atletas!P191="Taijiquan 24 F",Atletas!P191="Taijiquan 32 F",Atletas!P191="Taijiquan 42 F"),436,0)))))))))))))))))))</f>
        <v/>
      </c>
      <c r="BY200" s="50" t="str">
        <f>IF(Atletas!Q191="","",IF(Atletas!X191&lt;&gt;"",10000,0)+IF(Atletas!B191="Feminino",1000,IF(Atletas!B191="Masculino",2000,""))+IF(Atletas!Q191="Xingyiquan A",501,IF(Atletas!Q191="Baguazhang A",502,IF(Atletas!Q191="Outro Estilo Interno A",503,IF(Atletas!Q191="Xingyiquan B",504,IF(Atletas!Q191="Baguazhang B",505,IF(Atletas!Q191="Outro Estilo Interno B",506,IF(Atletas!Q191="Xingyiquan C",507,IF(Atletas!Q191="Baguazhang C",508,IF(Atletas!Q191="Outro Estilo Interno C",509,IF(Atletas!Q191="Xingyiquan D",510,IF(Atletas!Q191="Baguazhang D",511,IF(Atletas!Q191="Outro Estilo Interno D",512,IF(Atletas!Q191="Xingyiquan E",513,IF(Atletas!Q191="Baguazhang E",514,IF(Atletas!Q191="Outro Estilo Interno E",515,IF(Atletas!Q191="Xingyiquan F",516,IF(Atletas!Q191="Baguazhang F",517,IF(Atletas!Q191="Outro Estilo Interno F",518, "")))))))))))))))))))</f>
        <v/>
      </c>
      <c r="BZ200" s="50" t="str">
        <f>IF(Atletas!R191="","",IF(Atletas!X191&lt;&gt;"",10000,0)+IF(Atletas!B191="Feminino",1000,IF(Atletas!B191="Masculino",2000,""))+IF(Atletas!R191="Dao A",601,IF(Atletas!R191="Jian A",602,IF(Atletas!R191="Bishou A",603,IF(Atletas!R191="Shanzi A",604,IF(Atletas!R191="Outra Arma Curta A",605,IF(Atletas!R191="Dao B",606,IF(Atletas!R191="Jian B",607,IF(Atletas!R191="Bishou B",608,IF(Atletas!R191="Shanzi B",609,IF(Atletas!R191="Outra Arma Curta B",610,IF(Atletas!R191="Dao C",611,IF(Atletas!R191="Jian C",612,IF(Atletas!R191="Bishou C",613,IF(Atletas!R191="Shanzi C",614,IF(Atletas!R191="Outra Arma Curta C",615,IF(Atletas!R191="Dao D",616,IF(Atletas!R191="Jian D",617,IF(Atletas!R191="Bishou D",618,IF(Atletas!R191="Shanzi D",619,IF(Atletas!R191="Outra Arma Curta D",620,IF(Atletas!R191="Dao E",621,IF(Atletas!R191="Jian E",622,IF(Atletas!R191="Bishou E",623,IF(Atletas!R191="Shanzi E",624,IF(Atletas!R191="Outra Arma Curta E",625,IF(Atletas!R191="Dao F",626,IF(Atletas!R191="Jian F",627,IF(Atletas!R191="Bishou F",628,IF(Atletas!R191="Shanzi F",629,IF(Atletas!R191="Outra Arma Curta F",630, "")))))))))))))))))))))))))))))))</f>
        <v/>
      </c>
      <c r="CA200" s="50" t="str">
        <f>IF(Atletas!S191="","",IF(Atletas!X191&lt;&gt;"",10000,0)+IF(Atletas!B191="Feminino",1000,IF(Atletas!B191="Masculino",2000,""))+IF(Atletas!S191="Gun A",701,IF(Atletas!S191="Qiang A",702,IF(Atletas!S191="Pudao / Guandao A",703,IF(Atletas!S191="Outra Arma Longa A",704,IF(Atletas!S191="Gun B",705,IF(Atletas!S191="Qiang B",706,IF(Atletas!S191="Pudao / Guandao B",707,IF(Atletas!S191="Outra Arma Longa B",708,IF(Atletas!S191="Gun C",709,IF(Atletas!S191="Qiang C",710,IF(Atletas!S191="Pudao / Guandao C",711,IF(Atletas!S191="Outra Arma Longa C",712,IF(Atletas!S191="Gun D",713,IF(Atletas!S191="Qiang D",714,IF(Atletas!S191="Pudao / Guandao D",715,IF(Atletas!S191="Outra Arma Longa D",716,IF(Atletas!S191="Gun E",717,IF(Atletas!S191="Qiang E",718,IF(Atletas!S191="Pudao / Guandao E",719,IF(Atletas!S191="Outra Arma Longa E",720,IF(Atletas!S191="Gun F",721,IF(Atletas!S191="Qiang F",722,IF(Atletas!S191="Pudao / Guandao F",723,IF(Atletas!S191="Outra Arma Longa F",724,"")))))))))))))))))))))))))</f>
        <v/>
      </c>
      <c r="CB200" s="50" t="str">
        <f>IF(Atletas!T191="","",IF(Atletas!X191&lt;&gt;"",10000,0)+IF(Atletas!B191="Feminino",1000,IF(Atletas!B191="Masculino",2000,""))+IF(Atletas!T191="Outra Arma Dupla A",801,IF(Atletas!T191="Arma Maleável A",802,IF(Atletas!T191="Outra Arma Dupla B",803,IF(Atletas!T191="Arma Maleável B",804,IF(Atletas!T191="Outra Arma Dupla C",805,IF(Atletas!T191="Arma Maleável C",806,IF(Atletas!T191="Outra Arma Dupla D",807,IF(Atletas!T191="Arma Maleável D",808,IF(Atletas!T191="Outra Arma Dupla E",809,IF(Atletas!T191="Arma Maleável E",810,IF(Atletas!T191="Outra Arma Dupla F",811,IF(Atletas!T191="Arma Maleável F",812,IF(Atletas!T191="Shuangdao A",813,IF(Atletas!T191="Shuangdao B",814,IF(Atletas!T191="Shuangdao C",815,IF(Atletas!T191="Shuangdao D",816,IF(Atletas!T191="Shuangdao E",817,IF(Atletas!T191="Shuangdao F",818,"")))))))))))))))))))</f>
        <v/>
      </c>
      <c r="CC200" s="50" t="str">
        <f>IF(Atletas!U191="","",IF(Atletas!X191&lt;&gt;"",10000,0)+IF(Atletas!B191="Feminino",1000,IF(Atletas!B191="Masculino",2000,""))+IF(OR(Atletas!U191="Taijijian Yang A",Atletas!U191="Taijijian Yang Standard A"),901,IF(OR(Atletas!U191="Taijijian Chen A", Atletas!U191="Taijijian Chen Standard A"),902,IF(Atletas!U191="Taijijian Sun A",903,IF(Atletas!U191="Taijijian Wu A",904,IF(Atletas!U191="Taijijian Wu-Hao A",905,IF(OR(Atletas!U191="Taijijian 32 A",Atletas!U191="Taijijian 42 A"),906,IF(OR(Atletas!U191="Taijijian Yang B",Atletas!U191="Taijijian Yang Standard B"),907,IF(OR(Atletas!U191="Taijijian Chen B", Atletas!U191="Taijijian Chen Standard B"),908,IF(Atletas!U191="Taijijian Sun B",909,IF(Atletas!U191="Taijijian Wu B",910,IF(Atletas!U191="Taijijian Wu-Hao B",911,IF(OR(Atletas!U191="Taijijian 32 B",Atletas!U191="Taijijian 42 B"),912,IF(OR(Atletas!U191="Taijijian Yang C",Atletas!U191="Taijijian Yang Standard C"),913,IF(OR(Atletas!U191="Taijijian Chen C", Atletas!U191="Taijijian Chen Standard C"),914,IF(Atletas!U191="Taijijian Sun C",915,IF(Atletas!U191="Taijijian Wu C",916,IF(Atletas!U191="Taijijian Wu-Hao C",917,IF(OR(Atletas!U191="Taijijian 32 C",Atletas!U191="Taijijian 42 C"),918,IF(OR(Atletas!U191="Taijijian Yang D",Atletas!U191="Taijijian Yang Standard D"),919,IF(OR(Atletas!U191="Taijijian Chen D", Atletas!U191="Taijijian Chen Standard D"),920,IF(Atletas!U191="Taijijian Sun D",921,IF(Atletas!U191="Taijijian Wu D",922,IF(Atletas!U191="Taijijian Wu-Hao D",923,IF(OR(Atletas!U191="Taijijian 32 D",Atletas!U191="Taijijian 42 D"),924,IF(OR(Atletas!U191="Taijijian Yang E",Atletas!U191="Taijijian Yang Standard E"),925,IF(OR(Atletas!U191="Taijijian Chen E", Atletas!U191="Taijijian Chen Standard E"),926,IF(Atletas!U191="Taijijian Sun E",927,IF(Atletas!U191="Taijijian Wu E",928,IF(Atletas!U191="Taijijian Wu-Hao E",929,IF(OR(Atletas!U191="Taijijian 32 E",Atletas!U191="Taijijian 42 E"),930,IF(OR(Atletas!U191="Taijijian Yang F",Atletas!U191="Taijijian Yang Standard F"),931,IF(OR(Atletas!U191="Taijijian Chen F", Atletas!U191="Taijijian Chen Standard F"),932,IF(Atletas!U191="Taijijian Sun F",933,IF(Atletas!U191="Taijijian Wu F",934,IF(Atletas!U191="Taijijian Wu-Hao F",935,IF(OR(Atletas!U191="Taijijian 32 F",Atletas!U191="Taijijian 42 F"),936,"")))))))))))))))))))))))))))))))))))))</f>
        <v/>
      </c>
      <c r="CD200" s="50" t="str">
        <f>IF(Atletas!V191="","",IF(Atletas!X191&lt;&gt;"",10000,0)+IF(Atletas!B191="Feminino",1000,IF(Atletas!B191="Masculino",2000,""))+IF(Atletas!V191="Taijidao A",937,IF(Atletas!V191="TaijiShanzi A",938,IF(Atletas!V191="Taijiqiang A",939,IF(Atletas!V191="Bagua de Arma A",940,IF(Atletas!V191="Xingyi de Arma A",941,IF(Atletas!V191="Taijidao B",942,IF(Atletas!V191="TaijiShanzi B",943,IF(Atletas!V191="Taijiqiang B",944,IF(Atletas!V191="Bagua de Arma B",945,IF(Atletas!V191="Xingyi de Arma B",946,IF(Atletas!V191="Taijidao C",947,IF(Atletas!V191="TaijiShanzi C",948,IF(Atletas!V191="Taijiqiang C",949,IF(Atletas!V191="Bagua de Arma C",950,IF(Atletas!V191="Xingyi de Arma C",951,IF(Atletas!V191="Taijidao D",952,IF(Atletas!V191="TaijiShanzi D",953,IF(Atletas!V191="Taijiqiang D",954,IF(Atletas!V191="Bagua de Arma D",955,IF(Atletas!V191="Xingyi de Arma D",956,IF(Atletas!V191="Taijidao E",957,IF(Atletas!V191="TaijiShanzi E",958,IF(Atletas!V191="Taijiqiang E",959,IF(Atletas!V191="Bagua de Arma E",960,IF(Atletas!V191="Xingyi de Arma E",961,IF(Atletas!V191="Taijidao F",962,IF(Atletas!V191="TaijiShanzi F",963,IF(Atletas!V191="Taijiqiang F",964,IF(Atletas!V191="Bagua de Arma F",965,IF(Atletas!V191="Xingyi de Arma F",966,"")))))))))))))))))))))))))))))))</f>
        <v/>
      </c>
      <c r="CE200" s="66" t="str">
        <f>IF(CF200&lt;&gt;"","TJQ Padr. Chen E","")</f>
        <v/>
      </c>
      <c r="CF200" s="66" t="str">
        <f>IF(COUNTIF(BR:CD,1426)&gt;0,COUNTIF(BR:CD,1426),"")</f>
        <v/>
      </c>
      <c r="CG200" s="66" t="str">
        <f>IF(CH200&lt;&gt;"","TJQ Padr. Chen E","")</f>
        <v/>
      </c>
      <c r="CH200" s="66" t="str">
        <f>IF(COUNTIF(BR:CD,2426)&gt;0,COUNTIF(BR:CD,2426),"")</f>
        <v/>
      </c>
      <c r="CI200" s="66" t="str">
        <f>IF(CJ200&lt;&gt;"","TJQ Padr. Chen F","")</f>
        <v/>
      </c>
      <c r="CJ200" s="66" t="str">
        <f>IF(COUNTIF(BR:CD,11432)&gt;0,COUNTIF(BR:CD,11432),"")</f>
        <v/>
      </c>
      <c r="CK200" s="66" t="str">
        <f>IF(CL200&lt;&gt;"","TJQ Padr. Chen F","")</f>
        <v/>
      </c>
      <c r="CL200" s="66" t="str">
        <f>IF(COUNTIF(BR:CD,12432)&gt;0,COUNTIF(BR:CD,12432),"")</f>
        <v/>
      </c>
      <c r="CM200" s="50" t="str">
        <f xml:space="preserve"> IF(Atletas!W191="","",IF(Atletas!W191="Duilian de Mãos BC - Equipe 1",1,IF(Atletas!W191="Duilian de Mãos BC - Equipe 2",2,IF(Atletas!W191="Duilian de Armas BC - Equipe 1",3,IF(Atletas!W191="Duilian de Armas BC - Equipe 2",4,IF(Atletas!W191="Duilian de Mãos DE - Equipe 1",5,IF(Atletas!W191="Duilian de Mãos DE - Equipe 2",6,IF(Atletas!W191="Duilian de Armas DE - Equipe 1",7,IF(Atletas!W191="Duilian de Armas DE - Equipe 2",8,IF(Atletas!W191="Duilian de Tuishou - Equipe 1",9,IF(Atletas!W191="Duilian de Tuishou - Equipe 2",10,IF(Atletas!W191="Grupo Externo ABC - Equipe 1",11,IF(Atletas!W191="Grupo Externo ABC - Equipe 2",12,IF(Atletas!W191="Grupo Interno ABC - Equipe 1",13,IF(Atletas!W191="Grupo Interno ABC - Equipe 2",14,IF(Atletas!W191="Grupo Externo DEF - Equipe 1",15,IF(Atletas!W191="Grupo Externo DEF - Equipe 2",16,IF(Atletas!W191="Grupo Interno DEF - Equipe 1",17,IF(Atletas!W191="Grupo Interno DEF - Equipe 2",18,"")))))))))))))))))))</f>
        <v/>
      </c>
    </row>
    <row r="201" spans="2:91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 t="str">
        <f t="array" ref="Z201">IFERROR(INDEX(CE$7:CE$348,SMALL(IF(CE$7:CE$348&lt;&gt;"",ROW(CE$7:CE$348)-ROW(CE$7)+1),ROWS(CE$7:CE200))),"")</f>
        <v/>
      </c>
      <c r="AA201" s="3" t="str">
        <f t="array" ref="AA201">IFERROR(INDEX(CF$7:CF$348,SMALL(IF(CF$7:CF$348&lt;&gt;"",ROW(CF$7:CF$348)-ROW(CF$7)+1),ROWS(CF$7:CF200))),"")</f>
        <v/>
      </c>
      <c r="AB201" s="3" t="str">
        <f t="array" ref="AB201">IFERROR(INDEX(CG$7:CG$348,SMALL(IF(CG$7:CG$348&lt;&gt;"",ROW(CG$7:CG$348)-ROW(CG$7)+1),ROWS(CG$7:CG200))),"")</f>
        <v/>
      </c>
      <c r="AC201" s="3" t="str">
        <f t="array" ref="AC201">IFERROR(INDEX(CH$7:CH$348,SMALL(IF(CH$7:CH$348&lt;&gt;"",ROW(CH$7:CH$348)-ROW(CH$7)+1),ROWS(CH$7:CH200))),"")</f>
        <v/>
      </c>
      <c r="AD201" s="3" t="str">
        <f t="array" ref="AD201">IFERROR(INDEX(CI$7:CI$377,SMALL(IF(CI$7:CI$377&lt;&gt;"",ROW(CI$7:CI$377)-ROW(CI$7)+1),ROWS(CI$7:CI200))),"")</f>
        <v/>
      </c>
      <c r="AE201" s="3" t="str">
        <f t="array" ref="AE201">IFERROR(INDEX(CJ$7:CJ$378,SMALL(IF(CJ$7:CJ$378&lt;&gt;"",ROW(CJ$7:CJ$378)-ROW(CJ$7)+1),ROWS(CJ$7:CJ200))),"")</f>
        <v/>
      </c>
      <c r="AF201" s="3" t="str">
        <f t="array" ref="AF201">IFERROR(INDEX(CK$7:CK$378,SMALL(IF(CK$7:CK$378&lt;&gt;"",ROW(CK$7:CK$378)-ROW(CK$7)+1),ROWS(CK$7:CK200))),"")</f>
        <v/>
      </c>
      <c r="AG201" s="3" t="str">
        <f t="array" ref="AG201">IFERROR(INDEX(CL$7:CL$378,SMALL(IF(CL$7:CL$378&lt;&gt;"",ROW(CL$7:CL$378)-ROW(CL$7)+1),ROWS(CL$7:CL200))),"")</f>
        <v/>
      </c>
      <c r="AH201" s="3"/>
      <c r="AI201" s="3"/>
      <c r="AJ201" s="3"/>
      <c r="AK201" s="3"/>
      <c r="AL201" s="3"/>
      <c r="AM201" s="3"/>
      <c r="AN201" s="52" t="str">
        <f>IF(Atletas!D192="","",IF(Atletas!B192="Feminino",100,IF(Atletas!B192="Masculino",200,""))+(IF(Atletas!D192="Kids 30kg",1,IF(Atletas!D192="Kids 32kg",2, IF(Atletas!D192="Kids 34kg",3,IF(Atletas!D192="Kids 36kg",4,IF(Atletas!D192="Kids 39kg",5,IF(Atletas!D192="Kids 42kg",6,IF(Atletas!D192="Kids 45kg",7, IF(Atletas!D192="Infantil 39kg",8,IF(Atletas!D192="Infantil 42kg",9,IF(Atletas!D192="Infantil 45kg",10,IF(Atletas!D192="Infantil 48kg",11,IF(Atletas!D192="Infantil 52kg",12,IF(Atletas!D192="Infantil 56kg",13,IF(Atletas!D192="Infantil 60kg",14,IF(Atletas!D192="Juvenil 48kg",15,IF(Atletas!D192="Juvenil 52kg",16,IF(Atletas!D192="Juvenil 56kg",17,IF(Atletas!D192="Juvenil 60kg",18,IF(Atletas!D192="Juvenil 65kg",19,IF(Atletas!D192="Juvenil 70kg",20,IF(Atletas!D192="Juvenil 75kg",21,IF(Atletas!D192="Juvenil 80kg",22, IF(Atletas!D192="Juvenil 85kg",23,IF(Atletas!D192="Adulto 48kg",24,IF(Atletas!D192="Adulto 52kg",25,IF(Atletas!D192="Adulto 56kg",26,IF(Atletas!D192="Adulto 60kg",27,IF(Atletas!D192="Adulto 65kg",28,IF(Atletas!D192="Adulto 70kg",29,IF(Atletas!D192="Adulto 75kg",30,IF(Atletas!D192="Adulto 80kg",31,IF(Atletas!D192="Adulto 85kg",32,IF(Atletas!D192="Adulto 90kg",33,IF(Atletas!D192="Adulto 100kg",34, IF(Atletas!D192="Adulto +100kg",35,"")))))))))))))))))))))))))))))))))))))</f>
        <v/>
      </c>
      <c r="AS201" s="6" t="str">
        <f>IF(Atletas!E192="","",IF(Atletas!B192="Feminino",100,IF(Atletas!B192="Masculino",200,""))+(IF(Atletas!E192="Juvenil 44kg",1,IF(Atletas!E192="Juvenil 48kg",2,IF(Atletas!E192="Juvenil 52kg",3,IF(Atletas!E192="Juvenil 56kg",4,IF(Atletas!E192="Juvenil 60kg",5,IF(Atletas!E192="Juvenil 65kg",6,IF(Atletas!E192="Juvenil 70kg",7,IF(Atletas!E192="Juvenil 75kg",8,IF(Atletas!E192="Juvenil 82kg",9,IF(Atletas!E192="Juvenil 90kg",10,IF(Atletas!E192="Juvenil 100kg",11,IF(Atletas!E192="Adulto 48kg",12,IF(Atletas!E192="Adulto 52kg",13,IF(Atletas!E192="Adulto 56kg",14,IF(Atletas!E192="Adulto 60kg",15,IF(Atletas!E192="Adulto 65kg",16,IF(Atletas!E192="Adulto 70kg",17,IF(Atletas!E192="Adulto 75kg",18,IF(Atletas!E192="Adulto 82kg",19,IF(Atletas!E192="Adulto 90kg",20,IF(Atletas!E192="Adulto 100kg",21,IF(Atletas!E192="Adulto +100kg",22,""))))))))))))))))))))))))</f>
        <v/>
      </c>
      <c r="AX201" s="6" t="str">
        <f>IF(Atletas!F192="","",IF(Atletas!B192="Feminino",100,IF(Atletas!B192="Masculino",200,""))+(IF(Atletas!F192="Adulto 48kg",1,IF(Atletas!F192="Adulto 56kg",2,IF(Atletas!F192="Adulto 65kg",3,IF(Atletas!F192="Adulto 75kg",4,IF(Atletas!F192="Adulto +75kg",5,IF(Atletas!F192="Adulto 52kg",6,IF(Atletas!F192="Adulto 60kg",7,IF(Atletas!F192="Adulto 70kg",8,IF(Atletas!F192="Adulto 80kg",9,IF(Atletas!F192="Adulto 90kg",10,IF(Atletas!F192="Adulto +90kg",11,"")))))))))))))</f>
        <v/>
      </c>
      <c r="BC201" s="6" t="str">
        <f>IF(Atletas!G192="","",IF(Atletas!B192="Feminino",10,IF(Atletas!B192="Masculino",20,""))+(IF(Atletas!G192="Baduanjin A",1,IF(Atletas!G192="Baduanjin B",2))))</f>
        <v/>
      </c>
      <c r="BF201" s="52" t="str">
        <f>IF(Atletas!H192="","",IF(Atletas!B192="Feminino",100,IF(Atletas!B192="Masculino",200,""))+(IF(Atletas!H192="Changquan Mirim",1,IF(Atletas!H192="Nanquan Mirim",2,IF(Atletas!H192="Taijiquan Mirim",3,IF(Atletas!H192="Changquan Grupo C",4,IF(Atletas!H192="Nanquan Grupo C",5,IF(Atletas!H192="Taijiquan Grupo C",6,IF(Atletas!H192="Changquan Grupo B",7,IF(Atletas!H192="Nanquan Grupo B",8,IF(Atletas!H192="Taijiquan Grupo B",9,IF(Atletas!H192="Changquan Grupo A",10,IF(Atletas!H192="Nanquan Grupo A",11,IF(Atletas!H192="Taijiquan Grupo A",12,IF(Atletas!H192="Changquan Opcional",13,IF(Atletas!H192="Nanquan Opcional",14,IF(Atletas!H192="Taijiquan Opcional",15,IF(Atletas!H192="Changquan Adulto",16,IF(Atletas!H192="Nanquan Adulto",17,IF(Atletas!H192="Taijiquan Adulto",18,""))))))))))))))))))))</f>
        <v/>
      </c>
      <c r="BG201" s="52" t="str">
        <f>IF(Atletas!I192="","",IF(Atletas!B192="Feminino",100,IF(Atletas!B192="Masculino",200,""))+(IF(Atletas!I192="Daoshu Mirim",19,IF(Atletas!I192="Jianshu Mirim",20,IF(Atletas!I192="Nandao Mirim",21,IF(Atletas!I192="Taijijian Mirim",22,IF(Atletas!I192="Daoshu Grupo C",23,IF(Atletas!I192="Jianshu Grupo C",24,IF(Atletas!I192="Nandao Grupo C",25,IF(Atletas!I192="Taijijian Grupo C",26,IF(Atletas!I192="Daoshu Grupo B",27,IF(Atletas!I192="Jianshu Grupo B",28,IF(Atletas!I192="Nandao Grupo B",29,IF(Atletas!I192="Taijijian Grupo B",30,IF(Atletas!I192="Daoshu Grupo A",31,IF(Atletas!I192="Jianshu Grupo A",32,IF(Atletas!I192="Nandao Grupo A",33,IF(Atletas!I192="Taijijian Grupo A",34,IF(Atletas!I192="Daoshu Opcional",35,IF(Atletas!I192="Jianshu Opcional",36,IF(Atletas!I192="Nandao Opcional",37,IF(Atletas!I192="Taijijian Opcional",38,IF(Atletas!I192="Daoshu Adulto",39,IF(Atletas!I192="Jianshu Adulto",40,IF(Atletas!I192="Nandao Adulto",41,IF(Atletas!I192="Taijijian Adulto",42,""))))))))))))))))))))))))))</f>
        <v/>
      </c>
      <c r="BH201" s="52" t="str">
        <f>IF(Atletas!J192="","",IF(Atletas!B192="Feminino",100,IF(Atletas!B192="Masculino",200,""))+(IF(Atletas!J192="Gunshu Mirim",43,IF(Atletas!J192="Qiangshu Mirim",44,IF(Atletas!J192="Nangun Mirim",45,IF(Atletas!J192="Gunshu Grupo C",46,IF(Atletas!J192="Qiangshu Grupo C",47,IF(Atletas!J192="Nangun Grupo C",48,IF(Atletas!J192="Gunshu Grupo B",49,IF(Atletas!J192="Qiangshu Grupo B",50,IF(Atletas!J192="Nangun Grupo B",51,IF(Atletas!J192="Gunshu Grupo A",52,IF(Atletas!J192="Qiangshu Grupo A",53,IF(Atletas!J192="Nangun Grupo A",54,IF(Atletas!J192="Gunshu Opcional",55,IF(Atletas!J192="Qiangshu Opcional",56,IF(Atletas!J192="Nangun Opcional",57,IF(Atletas!J192="Gunshu Adulto",58,IF(Atletas!J192="Qiangshu Adulto",59,IF(Atletas!J192="Nangun Adulto",60,IF(Atletas!J192="Taijishan Grupo B",61,IF(Atletas!J192="Taijishan Grupo A",62,""))))))))))))))))))))))</f>
        <v/>
      </c>
      <c r="BM201" s="50" t="str">
        <f>IF(Atletas!K192="","",IF(Atletas!B192="Feminino",100,IF(Atletas!B192="Masculino",200,""))+(IF(Atletas!K192="Equipe 1 Grupo B",1,IF(Atletas!K192="Equipe 2 Grupo B",2,IF(Atletas!K192="Equipe 1 Grupo A",3,IF(Atletas!K192="Equipe 2 Grupo A",4,IF(Atletas!K192="Equipe 1 Adulto",5,IF(Atletas!K192="Equipe 2 Adulto",6,""))))))))</f>
        <v/>
      </c>
      <c r="BR201" s="50" t="str">
        <f>IF(Atletas!L192="","",IF(Atletas!X192&lt;&gt;"",10000,0)+(IF(Atletas!B192="Feminino",1000,IF(Atletas!B192="Masculino",2000,""))+IF(Atletas!L192="Choylayfut A",1,IF(Atletas!L192="Hunggar A",2,IF(Atletas!L192="Wuzuquan A",3,IF(Atletas!L192="Wingchun A",4,IF(Atletas!L192="Outra Mão de Sul A",5,IF(Atletas!L192="Choylayfut B",6,IF(Atletas!L192="Hunggar B",7,IF(Atletas!L192="Wuzuquan B",8,IF(Atletas!L192="Wingchun B",9,IF(Atletas!L192="Outra Mão de Sul B",10,IF(Atletas!L192="Choylayfut C",11,IF(Atletas!L192="Hunggar C",12,IF(Atletas!L192="Wuzuquan C",13,IF(Atletas!L192="Wingchun C",14,IF(Atletas!L192="Outra Mão de Sul C",15,IF(Atletas!L192="Choylayfut D",16,IF(Atletas!L192="Hunggar D",17,IF(Atletas!L192="Wuzuquan D",18,IF(Atletas!L192="Wingchun D",19,IF(Atletas!L192="Outra Mão de Sul D",20,IF(Atletas!L192="Choylayfut E",21,IF(Atletas!L192="Hunggar E",22,IF(Atletas!L192="Wuzuquan E",23,IF(Atletas!L192="Wingchun E",24,IF(Atletas!L192="Outra Mão de Sul E",25,IF(Atletas!L192="Choylayfut F",26,IF(Atletas!L192="Hunggar F",27,IF(Atletas!L192="Wuzuquan F",28,IF(Atletas!L192="Wingchun F",29,IF(Atletas!L192="Outra Mão de Sul F",30,IF(Atletas!L192="Dishuquan A",31,IF(Atletas!L192="Dishuquan B",32,IF(Atletas!L192="Dishuquan C",33,IF(Atletas!L192="Dishuquan D",34,IF(Atletas!L192="Dishuquan E",35,IF(Atletas!L192="Dishuquan F",36,""))))))))))))))))))))))))))))))))))))))</f>
        <v/>
      </c>
      <c r="BS201" s="50" t="str">
        <f>IF(Atletas!M192="","",IF(Atletas!X192&lt;&gt;"",10000,0)+(IF(Atletas!B192="Feminino",1000,IF(Atletas!B192="Masculino",2000,""))+(IF(Atletas!M192="Chaquan A",101,IF(Atletas!M192="Emeiquan A",102,IF(Atletas!M192="Fanziquan A",103,IF(Atletas!M192="Huaquan A",104,IF(Atletas!M192="Hongquan A",105,IF(Atletas!M192="Paoquan A",106,IF(Atletas!M192="Piguaquan A",107,IF(Atletas!M192="Shaolinquan A",108,IF(Atletas!M192="Tanglangquan A",109,IF(Atletas!M192="Yingzhaoquan A",110,IF(Atletas!M192="Tongbeiquan A",111,IF(Atletas!M192="Wudangquan A",112,IF(Atletas!M192="Outros Estilos A",113,IF(Atletas!M192="Chaquan B",114,IF(Atletas!M192="Emeiquan B",115,IF(Atletas!M192="Fanziquan B",116,IF(Atletas!M192="Huaquan B",117,IF(Atletas!M192="Hongquan B",118,IF(Atletas!M192="Paoquan B",119,IF(Atletas!M192="Piguaquan B",120,IF(Atletas!M192="Shaolinquan B",121,IF(Atletas!M192="Tanglangquan B",122,IF(Atletas!M192="Yingzhaoquan B",123,IF(Atletas!M192="Tongbeiquan B",124,IF(Atletas!M192="Wudangquan B",125,IF(Atletas!M192="Outros Estilos B",126,IF(Atletas!M192="Chaquan C",127,IF(Atletas!M192="Emeiquan C",128,IF(Atletas!M192="Fanziquan C",129,IF(Atletas!M192="Huaquan C",130,IF(Atletas!M192="Hongquan C",131,IF(Atletas!M192="Paoquan C",132,IF(Atletas!M192="Piguaquan C",133,IF(Atletas!M192="Shaolinquan C",134,IF(Atletas!M192="Tanglangquan C",135,IF(Atletas!M192="Yingzhaoquan C",136,IF(Atletas!M192="Tongbeiquan C",137,IF(Atletas!M192="Wudangquan C",138,IF(Atletas!M192="Outros Estilos C",139,0))))))))))))))))))))))))))))))))))))))))))</f>
        <v/>
      </c>
      <c r="BT201" s="50" t="str">
        <f>IF(Atletas!M192="","",IF(Atletas!X192&lt;&gt;"",10000,0)+(IF(Atletas!B192="Feminino",1000,IF(Atletas!B192="Masculino",2000,""))+(IF(Atletas!M192="Chaquan D",140,IF(Atletas!M192="Emeiquan D",141,IF(Atletas!M192="Fanziquan D",142,IF(Atletas!M192="Huaquan D",143,IF(Atletas!M192="Hongquan D",144,IF(Atletas!M192="Paoquan D",145,IF(Atletas!M192="Piguaquan D",146,IF(Atletas!M192="Shaolinquan D",147,IF(Atletas!M192="Tanglangquan D",148,IF(Atletas!M192="Yingzhaoquan D",149,IF(Atletas!M192="Tongbeiquan D",150,IF(Atletas!M192="Wudangquan D",151,IF(Atletas!M192="Outros Estilos D",152,IF(Atletas!M192="Chaquan E",153,IF(Atletas!M192="Emeiquan E",154,IF(Atletas!M192="Fanziquan E",155,IF(Atletas!M192="Huaquan E",156,IF(Atletas!M192="Hongquan E",157,IF(Atletas!M192="Paoquan E",158,IF(Atletas!M192="Piguaquan E",159,IF(Atletas!M192="Shaolinquan E",160,IF(Atletas!M192="Tanglangquan E",161,IF(Atletas!M192="Yingzhaoquan E",162,IF(Atletas!M192="Tongbeiquan E",163,IF(Atletas!M192="Wudangquan E",164,IF(Atletas!M192="Outros Estilos E",165,IF(Atletas!M192="Chaquan F",166,IF(Atletas!M192="Emeiquan F",167,IF(Atletas!M192="Fanziquan F",168,IF(Atletas!M192="Huaquan F",169,IF(Atletas!M192="Hongquan F",170,IF(Atletas!M192="Paoquan F",171,IF(Atletas!M192="Piguaquan F",172,IF(Atletas!M192="Shaolinquan F",173,IF(Atletas!M192="Tanglangquan F",174,IF(Atletas!M192="Yingzhaoquan F",175,IF(Atletas!M192="Tongbeiquan F",176,IF(Atletas!M192="Wudangquan F",177,IF(Atletas!M192="Outros Estilos F",178,0))))))))))))))))))))))))))))))))))))))))))</f>
        <v/>
      </c>
      <c r="BU201" s="50" t="str">
        <f>IF(Atletas!N192="","",IF(Atletas!X192&lt;&gt;"",10000,0)+(IF(Atletas!B192="Feminino",1000,IF(Atletas!B192="Masculino",2000,""))+(IF(Atletas!N192="Ditangquan A",201,IF(Atletas!N192="Houquan A",202,IF(Atletas!N192="Zuiquan A",203,IF(Atletas!N192="Ditangquan B",204,IF(Atletas!N192="Houquan B",205,IF(Atletas!N192="Zuiquan B",206,IF(Atletas!N192="Ditangquan C",207,IF(Atletas!N192="Houquan C",208,IF(Atletas!N192="Zuiquan C",209,IF(Atletas!N192="Ditangquan D",210,IF(Atletas!N192="Houquan D",211,IF(Atletas!N192="Zuiquan D",212,IF(Atletas!N192="Ditangquan E",213,IF(Atletas!N192="Houquan E",214,IF(Atletas!N192="Zuiquan E",215,IF(Atletas!N192="Ditangquan F",216,IF(Atletas!N192="Houquan F",217,IF(Atletas!N192="Zuiquan F",218,"")))))))))))))))))))))</f>
        <v/>
      </c>
      <c r="BV201" s="50" t="str">
        <f>IF(Atletas!O192="","",IF(Atletas!X192&lt;&gt;"",10000,0)+IF(Atletas!B192="Feminino",1000,IF(Atletas!B192="Masculino",2000,""))+IF(Atletas!O192="Yang A",301,IF(Atletas!O192="Chen A",302,IF(Atletas!O192="Sun A",303,IF(Atletas!O192="Wu A",304,IF(Atletas!O192="Wu-Hao A",305,IF(Atletas!O192="Outro Taijiquan A",306,IF(Atletas!O192="Yang B",307,IF(Atletas!O192="Chen B",308,IF(Atletas!O192="Sun B",309,IF(Atletas!O192="Wu B",310,IF(Atletas!O192="Wu-Hao B",311,IF(Atletas!O192="Outro Taijiquan B",312,IF(Atletas!O192="Yang C",313,IF(Atletas!O192="Chen C",314,IF(Atletas!O192="Sun C",315,IF(Atletas!O192="Wu C",316,IF(Atletas!O192="Wu-Hao C",317,IF(Atletas!O192="Outro Taijiquan C",318,IF(Atletas!O192="Yang D",319,IF(Atletas!O192="Chen D",320,IF(Atletas!O192="Sun D",321,IF(Atletas!O192="Wu D",322,IF(Atletas!O192="Wu-Hao D",323,IF(Atletas!O192="Outro Taijiquan D",324,IF(Atletas!O192="Yang E",325,IF(Atletas!O192="Chen E",326,IF(Atletas!O192="Sun E",327,IF(Atletas!O192="Wu E",328,IF(Atletas!O192="Wu-Hao E",329,IF(Atletas!O192="Outro Taijiquan E",330,IF(Atletas!O192="Yang F",331,IF(Atletas!O192="Chen F",332,IF(Atletas!O192="Sun F",333,IF(Atletas!O192="Wu F",334,IF(Atletas!O192="Wu-Hao F",335,IF(Atletas!O192="Outro Taijiquan F",336,"")))))))))))))))))))))))))))))))))))))</f>
        <v/>
      </c>
      <c r="BW201" s="50" t="str">
        <f>IF(Atletas!P192="","",IF(Atletas!X192&lt;&gt;"",10000,0)+IF(Atletas!B192="Feminino",1000,IF(Atletas!B192="Masculino",2000,""))+IF(OR(Atletas!P192="Yang 26 A",Atletas!P192="Yang 40 A"),401,IF(OR(Atletas!P192="Chen 25 A",Atletas!P192="Chen 36 A",Atletas!P192="Chen 56 A"),402,IF(Atletas!P192="Sun 73 A",403,IF(Atletas!P192="Wu 45 A",404,IF(Atletas!P192="Wu-Hao 46 A",405,IF(OR(Atletas!P192="Taijiquan 16 A",Atletas!P192="Taijiquan 24 A",Atletas!P192="Taijiquan 32 A",Atletas!P192="Taijiquan 42 A"),406,IF(OR(Atletas!P192="Yang 26 B",Atletas!P192="Yang 40 B"),407,IF(OR(Atletas!P192="Chen 25 B",Atletas!P192="Chen 36 B",Atletas!P192="Chen 56 B"),408,IF(Atletas!P192="Sun 73 B",409,IF(Atletas!P192="Wu 45 B",410,IF(Atletas!P192="Wu-Hao 46 B",411,IF(OR(Atletas!P192="Taijiquan 16 B",Atletas!P192="Taijiquan 24 B",Atletas!P192="Taijiquan 32 B",Atletas!P192="Taijiquan 42 B"),412,IF(OR(Atletas!P192="Yang 26 C",Atletas!P192="Yang 40 C"),413,IF(OR(Atletas!P192="Chen 25 C",Atletas!P192="Chen 36 C",Atletas!P192="Chen 56 C"),414,IF(Atletas!P192="Sun 73 C",415,IF(Atletas!P192="Wu 45 C",416,IF(Atletas!P192="Wu-Hao 46 C",417,IF(OR(Atletas!P192="Taijiquan 16 C",Atletas!P192="Taijiquan 24 C",Atletas!P192="Taijiquan 32 C",Atletas!P192="Taijiquan 42 C"),418,0)))))))))))))))))))</f>
        <v/>
      </c>
      <c r="BX201" s="50" t="str">
        <f>IF(Atletas!P192="","",IF(Atletas!X192&lt;&gt;"",10000,0)+IF(Atletas!B192="Feminino",1000,IF(Atletas!B192="Masculino",2000,""))+IF(OR(Atletas!P192="Yang 26 D",Atletas!P192="Yang 40 D"),419,IF(OR(Atletas!P192="Chen 25 D",Atletas!P192="Chen 36 D",Atletas!P192="Chen 56 D"),420,IF(Atletas!P192="Sun 73 D",421,IF(Atletas!P192="Wu 45 D",422,IF(Atletas!P192="Wu-Hao 46 D",423,IF(OR(Atletas!P192="Taijiquan 16 D",Atletas!P192="Taijiquan 24 D",Atletas!P192="Taijiquan 32 D",Atletas!P192="Taijiquan 42 D"),424,IF(OR(Atletas!P192="Yang 26 E",Atletas!P192="Yang 40 E"),425,IF(OR(Atletas!P192="Chen 25 E",Atletas!P192="Chen 36 E",Atletas!P192="Chen 56 E"),426,IF(Atletas!P192="Sun 73 E",427,IF(Atletas!P192="Wu 45 E",428,IF(Atletas!P192="Wu-Hao 46 E",429,IF(OR(Atletas!P192="Taijiquan 16 E",Atletas!P192="Taijiquan 24 E",Atletas!P192="Taijiquan 32 E",Atletas!P192="Taijiquan 42 E"),430,IF(OR(Atletas!P192="Yang 26 F",Atletas!P192="Yang 40 F"),431,IF(OR(Atletas!P192="Chen 25 F",Atletas!P192="Chen 36 F",Atletas!P192="Chen 56 F"),432,IF(Atletas!P192="Sun 73 F",433,IF(Atletas!P192="Wu 45 F",434,IF(Atletas!P192="Wu-Hao 46 F",435,IF(OR(Atletas!P192="Taijiquan 16 F",Atletas!P192="Taijiquan 24 F",Atletas!P192="Taijiquan 32 F",Atletas!P192="Taijiquan 42 F"),436,0)))))))))))))))))))</f>
        <v/>
      </c>
      <c r="BY201" s="50" t="str">
        <f>IF(Atletas!Q192="","",IF(Atletas!X192&lt;&gt;"",10000,0)+IF(Atletas!B192="Feminino",1000,IF(Atletas!B192="Masculino",2000,""))+IF(Atletas!Q192="Xingyiquan A",501,IF(Atletas!Q192="Baguazhang A",502,IF(Atletas!Q192="Outro Estilo Interno A",503,IF(Atletas!Q192="Xingyiquan B",504,IF(Atletas!Q192="Baguazhang B",505,IF(Atletas!Q192="Outro Estilo Interno B",506,IF(Atletas!Q192="Xingyiquan C",507,IF(Atletas!Q192="Baguazhang C",508,IF(Atletas!Q192="Outro Estilo Interno C",509,IF(Atletas!Q192="Xingyiquan D",510,IF(Atletas!Q192="Baguazhang D",511,IF(Atletas!Q192="Outro Estilo Interno D",512,IF(Atletas!Q192="Xingyiquan E",513,IF(Atletas!Q192="Baguazhang E",514,IF(Atletas!Q192="Outro Estilo Interno E",515,IF(Atletas!Q192="Xingyiquan F",516,IF(Atletas!Q192="Baguazhang F",517,IF(Atletas!Q192="Outro Estilo Interno F",518, "")))))))))))))))))))</f>
        <v/>
      </c>
      <c r="BZ201" s="50" t="str">
        <f>IF(Atletas!R192="","",IF(Atletas!X192&lt;&gt;"",10000,0)+IF(Atletas!B192="Feminino",1000,IF(Atletas!B192="Masculino",2000,""))+IF(Atletas!R192="Dao A",601,IF(Atletas!R192="Jian A",602,IF(Atletas!R192="Bishou A",603,IF(Atletas!R192="Shanzi A",604,IF(Atletas!R192="Outra Arma Curta A",605,IF(Atletas!R192="Dao B",606,IF(Atletas!R192="Jian B",607,IF(Atletas!R192="Bishou B",608,IF(Atletas!R192="Shanzi B",609,IF(Atletas!R192="Outra Arma Curta B",610,IF(Atletas!R192="Dao C",611,IF(Atletas!R192="Jian C",612,IF(Atletas!R192="Bishou C",613,IF(Atletas!R192="Shanzi C",614,IF(Atletas!R192="Outra Arma Curta C",615,IF(Atletas!R192="Dao D",616,IF(Atletas!R192="Jian D",617,IF(Atletas!R192="Bishou D",618,IF(Atletas!R192="Shanzi D",619,IF(Atletas!R192="Outra Arma Curta D",620,IF(Atletas!R192="Dao E",621,IF(Atletas!R192="Jian E",622,IF(Atletas!R192="Bishou E",623,IF(Atletas!R192="Shanzi E",624,IF(Atletas!R192="Outra Arma Curta E",625,IF(Atletas!R192="Dao F",626,IF(Atletas!R192="Jian F",627,IF(Atletas!R192="Bishou F",628,IF(Atletas!R192="Shanzi F",629,IF(Atletas!R192="Outra Arma Curta F",630, "")))))))))))))))))))))))))))))))</f>
        <v/>
      </c>
      <c r="CA201" s="50" t="str">
        <f>IF(Atletas!S192="","",IF(Atletas!X192&lt;&gt;"",10000,0)+IF(Atletas!B192="Feminino",1000,IF(Atletas!B192="Masculino",2000,""))+IF(Atletas!S192="Gun A",701,IF(Atletas!S192="Qiang A",702,IF(Atletas!S192="Pudao / Guandao A",703,IF(Atletas!S192="Outra Arma Longa A",704,IF(Atletas!S192="Gun B",705,IF(Atletas!S192="Qiang B",706,IF(Atletas!S192="Pudao / Guandao B",707,IF(Atletas!S192="Outra Arma Longa B",708,IF(Atletas!S192="Gun C",709,IF(Atletas!S192="Qiang C",710,IF(Atletas!S192="Pudao / Guandao C",711,IF(Atletas!S192="Outra Arma Longa C",712,IF(Atletas!S192="Gun D",713,IF(Atletas!S192="Qiang D",714,IF(Atletas!S192="Pudao / Guandao D",715,IF(Atletas!S192="Outra Arma Longa D",716,IF(Atletas!S192="Gun E",717,IF(Atletas!S192="Qiang E",718,IF(Atletas!S192="Pudao / Guandao E",719,IF(Atletas!S192="Outra Arma Longa E",720,IF(Atletas!S192="Gun F",721,IF(Atletas!S192="Qiang F",722,IF(Atletas!S192="Pudao / Guandao F",723,IF(Atletas!S192="Outra Arma Longa F",724,"")))))))))))))))))))))))))</f>
        <v/>
      </c>
      <c r="CB201" s="50" t="str">
        <f>IF(Atletas!T192="","",IF(Atletas!X192&lt;&gt;"",10000,0)+IF(Atletas!B192="Feminino",1000,IF(Atletas!B192="Masculino",2000,""))+IF(Atletas!T192="Outra Arma Dupla A",801,IF(Atletas!T192="Arma Maleável A",802,IF(Atletas!T192="Outra Arma Dupla B",803,IF(Atletas!T192="Arma Maleável B",804,IF(Atletas!T192="Outra Arma Dupla C",805,IF(Atletas!T192="Arma Maleável C",806,IF(Atletas!T192="Outra Arma Dupla D",807,IF(Atletas!T192="Arma Maleável D",808,IF(Atletas!T192="Outra Arma Dupla E",809,IF(Atletas!T192="Arma Maleável E",810,IF(Atletas!T192="Outra Arma Dupla F",811,IF(Atletas!T192="Arma Maleável F",812,IF(Atletas!T192="Shuangdao A",813,IF(Atletas!T192="Shuangdao B",814,IF(Atletas!T192="Shuangdao C",815,IF(Atletas!T192="Shuangdao D",816,IF(Atletas!T192="Shuangdao E",817,IF(Atletas!T192="Shuangdao F",818,"")))))))))))))))))))</f>
        <v/>
      </c>
      <c r="CC201" s="50" t="str">
        <f>IF(Atletas!U192="","",IF(Atletas!X192&lt;&gt;"",10000,0)+IF(Atletas!B192="Feminino",1000,IF(Atletas!B192="Masculino",2000,""))+IF(OR(Atletas!U192="Taijijian Yang A",Atletas!U192="Taijijian Yang Standard A"),901,IF(OR(Atletas!U192="Taijijian Chen A", Atletas!U192="Taijijian Chen Standard A"),902,IF(Atletas!U192="Taijijian Sun A",903,IF(Atletas!U192="Taijijian Wu A",904,IF(Atletas!U192="Taijijian Wu-Hao A",905,IF(OR(Atletas!U192="Taijijian 32 A",Atletas!U192="Taijijian 42 A"),906,IF(OR(Atletas!U192="Taijijian Yang B",Atletas!U192="Taijijian Yang Standard B"),907,IF(OR(Atletas!U192="Taijijian Chen B", Atletas!U192="Taijijian Chen Standard B"),908,IF(Atletas!U192="Taijijian Sun B",909,IF(Atletas!U192="Taijijian Wu B",910,IF(Atletas!U192="Taijijian Wu-Hao B",911,IF(OR(Atletas!U192="Taijijian 32 B",Atletas!U192="Taijijian 42 B"),912,IF(OR(Atletas!U192="Taijijian Yang C",Atletas!U192="Taijijian Yang Standard C"),913,IF(OR(Atletas!U192="Taijijian Chen C", Atletas!U192="Taijijian Chen Standard C"),914,IF(Atletas!U192="Taijijian Sun C",915,IF(Atletas!U192="Taijijian Wu C",916,IF(Atletas!U192="Taijijian Wu-Hao C",917,IF(OR(Atletas!U192="Taijijian 32 C",Atletas!U192="Taijijian 42 C"),918,IF(OR(Atletas!U192="Taijijian Yang D",Atletas!U192="Taijijian Yang Standard D"),919,IF(OR(Atletas!U192="Taijijian Chen D", Atletas!U192="Taijijian Chen Standard D"),920,IF(Atletas!U192="Taijijian Sun D",921,IF(Atletas!U192="Taijijian Wu D",922,IF(Atletas!U192="Taijijian Wu-Hao D",923,IF(OR(Atletas!U192="Taijijian 32 D",Atletas!U192="Taijijian 42 D"),924,IF(OR(Atletas!U192="Taijijian Yang E",Atletas!U192="Taijijian Yang Standard E"),925,IF(OR(Atletas!U192="Taijijian Chen E", Atletas!U192="Taijijian Chen Standard E"),926,IF(Atletas!U192="Taijijian Sun E",927,IF(Atletas!U192="Taijijian Wu E",928,IF(Atletas!U192="Taijijian Wu-Hao E",929,IF(OR(Atletas!U192="Taijijian 32 E",Atletas!U192="Taijijian 42 E"),930,IF(OR(Atletas!U192="Taijijian Yang F",Atletas!U192="Taijijian Yang Standard F"),931,IF(OR(Atletas!U192="Taijijian Chen F", Atletas!U192="Taijijian Chen Standard F"),932,IF(Atletas!U192="Taijijian Sun F",933,IF(Atletas!U192="Taijijian Wu F",934,IF(Atletas!U192="Taijijian Wu-Hao F",935,IF(OR(Atletas!U192="Taijijian 32 F",Atletas!U192="Taijijian 42 F"),936,"")))))))))))))))))))))))))))))))))))))</f>
        <v/>
      </c>
      <c r="CD201" s="50" t="str">
        <f>IF(Atletas!V192="","",IF(Atletas!X192&lt;&gt;"",10000,0)+IF(Atletas!B192="Feminino",1000,IF(Atletas!B192="Masculino",2000,""))+IF(Atletas!V192="Taijidao A",937,IF(Atletas!V192="TaijiShanzi A",938,IF(Atletas!V192="Taijiqiang A",939,IF(Atletas!V192="Bagua de Arma A",940,IF(Atletas!V192="Xingyi de Arma A",941,IF(Atletas!V192="Taijidao B",942,IF(Atletas!V192="TaijiShanzi B",943,IF(Atletas!V192="Taijiqiang B",944,IF(Atletas!V192="Bagua de Arma B",945,IF(Atletas!V192="Xingyi de Arma B",946,IF(Atletas!V192="Taijidao C",947,IF(Atletas!V192="TaijiShanzi C",948,IF(Atletas!V192="Taijiqiang C",949,IF(Atletas!V192="Bagua de Arma C",950,IF(Atletas!V192="Xingyi de Arma C",951,IF(Atletas!V192="Taijidao D",952,IF(Atletas!V192="TaijiShanzi D",953,IF(Atletas!V192="Taijiqiang D",954,IF(Atletas!V192="Bagua de Arma D",955,IF(Atletas!V192="Xingyi de Arma D",956,IF(Atletas!V192="Taijidao E",957,IF(Atletas!V192="TaijiShanzi E",958,IF(Atletas!V192="Taijiqiang E",959,IF(Atletas!V192="Bagua de Arma E",960,IF(Atletas!V192="Xingyi de Arma E",961,IF(Atletas!V192="Taijidao F",962,IF(Atletas!V192="TaijiShanzi F",963,IF(Atletas!V192="Taijiqiang F",964,IF(Atletas!V192="Bagua de Arma F",965,IF(Atletas!V192="Xingyi de Arma F",966,"")))))))))))))))))))))))))))))))</f>
        <v/>
      </c>
      <c r="CE201" s="66" t="str">
        <f>IF(CF201&lt;&gt;"","TJQ Padr. Sun E","")</f>
        <v/>
      </c>
      <c r="CF201" s="66" t="str">
        <f>IF(COUNTIF(BR:CD,1427)&gt;0,COUNTIF(BR:CD,1427),"")</f>
        <v/>
      </c>
      <c r="CG201" s="66" t="str">
        <f>IF(CH201&lt;&gt;"","TJQ Padr. Sun E","")</f>
        <v/>
      </c>
      <c r="CH201" s="66" t="str">
        <f>IF(COUNTIF(BR:CD,2427)&gt;0,COUNTIF(BR:CD,2427),"")</f>
        <v/>
      </c>
      <c r="CI201" s="66" t="str">
        <f>IF(CJ201&lt;&gt;"","TJQ Padr. Sun F","")</f>
        <v/>
      </c>
      <c r="CJ201" s="66" t="str">
        <f>IF(COUNTIF(BR:CD,11433)&gt;0,COUNTIF(BR:CD,11433),"")</f>
        <v/>
      </c>
      <c r="CK201" s="66" t="str">
        <f>IF(CL201&lt;&gt;"","TJQ Padr. Sun F","")</f>
        <v/>
      </c>
      <c r="CL201" s="66" t="str">
        <f>IF(COUNTIF(BR:CD,12433)&gt;0,COUNTIF(BR:CD,12433),"")</f>
        <v/>
      </c>
      <c r="CM201" s="50" t="str">
        <f xml:space="preserve"> IF(Atletas!W192="","",IF(Atletas!W192="Duilian de Mãos BC - Equipe 1",1,IF(Atletas!W192="Duilian de Mãos BC - Equipe 2",2,IF(Atletas!W192="Duilian de Armas BC - Equipe 1",3,IF(Atletas!W192="Duilian de Armas BC - Equipe 2",4,IF(Atletas!W192="Duilian de Mãos DE - Equipe 1",5,IF(Atletas!W192="Duilian de Mãos DE - Equipe 2",6,IF(Atletas!W192="Duilian de Armas DE - Equipe 1",7,IF(Atletas!W192="Duilian de Armas DE - Equipe 2",8,IF(Atletas!W192="Duilian de Tuishou - Equipe 1",9,IF(Atletas!W192="Duilian de Tuishou - Equipe 2",10,IF(Atletas!W192="Grupo Externo ABC - Equipe 1",11,IF(Atletas!W192="Grupo Externo ABC - Equipe 2",12,IF(Atletas!W192="Grupo Interno ABC - Equipe 1",13,IF(Atletas!W192="Grupo Interno ABC - Equipe 2",14,IF(Atletas!W192="Grupo Externo DEF - Equipe 1",15,IF(Atletas!W192="Grupo Externo DEF - Equipe 2",16,IF(Atletas!W192="Grupo Interno DEF - Equipe 1",17,IF(Atletas!W192="Grupo Interno DEF - Equipe 2",18,"")))))))))))))))))))</f>
        <v/>
      </c>
    </row>
    <row r="202" spans="2:91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 t="str">
        <f t="array" ref="Z202">IFERROR(INDEX(CE$7:CE$348,SMALL(IF(CE$7:CE$348&lt;&gt;"",ROW(CE$7:CE$348)-ROW(CE$7)+1),ROWS(CE$7:CE201))),"")</f>
        <v/>
      </c>
      <c r="AA202" s="3" t="str">
        <f t="array" ref="AA202">IFERROR(INDEX(CF$7:CF$348,SMALL(IF(CF$7:CF$348&lt;&gt;"",ROW(CF$7:CF$348)-ROW(CF$7)+1),ROWS(CF$7:CF201))),"")</f>
        <v/>
      </c>
      <c r="AB202" s="3" t="str">
        <f t="array" ref="AB202">IFERROR(INDEX(CG$7:CG$348,SMALL(IF(CG$7:CG$348&lt;&gt;"",ROW(CG$7:CG$348)-ROW(CG$7)+1),ROWS(CG$7:CG201))),"")</f>
        <v/>
      </c>
      <c r="AC202" s="3" t="str">
        <f t="array" ref="AC202">IFERROR(INDEX(CH$7:CH$348,SMALL(IF(CH$7:CH$348&lt;&gt;"",ROW(CH$7:CH$348)-ROW(CH$7)+1),ROWS(CH$7:CH201))),"")</f>
        <v/>
      </c>
      <c r="AD202" s="3" t="str">
        <f t="array" ref="AD202">IFERROR(INDEX(CI$7:CI$377,SMALL(IF(CI$7:CI$377&lt;&gt;"",ROW(CI$7:CI$377)-ROW(CI$7)+1),ROWS(CI$7:CI201))),"")</f>
        <v/>
      </c>
      <c r="AE202" s="3" t="str">
        <f t="array" ref="AE202">IFERROR(INDEX(CJ$7:CJ$378,SMALL(IF(CJ$7:CJ$378&lt;&gt;"",ROW(CJ$7:CJ$378)-ROW(CJ$7)+1),ROWS(CJ$7:CJ201))),"")</f>
        <v/>
      </c>
      <c r="AF202" s="3" t="str">
        <f t="array" ref="AF202">IFERROR(INDEX(CK$7:CK$378,SMALL(IF(CK$7:CK$378&lt;&gt;"",ROW(CK$7:CK$378)-ROW(CK$7)+1),ROWS(CK$7:CK201))),"")</f>
        <v/>
      </c>
      <c r="AG202" s="3" t="str">
        <f t="array" ref="AG202">IFERROR(INDEX(CL$7:CL$378,SMALL(IF(CL$7:CL$378&lt;&gt;"",ROW(CL$7:CL$378)-ROW(CL$7)+1),ROWS(CL$7:CL201))),"")</f>
        <v/>
      </c>
      <c r="AH202" s="3"/>
      <c r="AI202" s="3"/>
      <c r="AJ202" s="3"/>
      <c r="AK202" s="3"/>
      <c r="AL202" s="3"/>
      <c r="AM202" s="3"/>
      <c r="AN202" s="52" t="str">
        <f>IF(Atletas!D193="","",IF(Atletas!B193="Feminino",100,IF(Atletas!B193="Masculino",200,""))+(IF(Atletas!D193="Kids 30kg",1,IF(Atletas!D193="Kids 32kg",2, IF(Atletas!D193="Kids 34kg",3,IF(Atletas!D193="Kids 36kg",4,IF(Atletas!D193="Kids 39kg",5,IF(Atletas!D193="Kids 42kg",6,IF(Atletas!D193="Kids 45kg",7, IF(Atletas!D193="Infantil 39kg",8,IF(Atletas!D193="Infantil 42kg",9,IF(Atletas!D193="Infantil 45kg",10,IF(Atletas!D193="Infantil 48kg",11,IF(Atletas!D193="Infantil 52kg",12,IF(Atletas!D193="Infantil 56kg",13,IF(Atletas!D193="Infantil 60kg",14,IF(Atletas!D193="Juvenil 48kg",15,IF(Atletas!D193="Juvenil 52kg",16,IF(Atletas!D193="Juvenil 56kg",17,IF(Atletas!D193="Juvenil 60kg",18,IF(Atletas!D193="Juvenil 65kg",19,IF(Atletas!D193="Juvenil 70kg",20,IF(Atletas!D193="Juvenil 75kg",21,IF(Atletas!D193="Juvenil 80kg",22, IF(Atletas!D193="Juvenil 85kg",23,IF(Atletas!D193="Adulto 48kg",24,IF(Atletas!D193="Adulto 52kg",25,IF(Atletas!D193="Adulto 56kg",26,IF(Atletas!D193="Adulto 60kg",27,IF(Atletas!D193="Adulto 65kg",28,IF(Atletas!D193="Adulto 70kg",29,IF(Atletas!D193="Adulto 75kg",30,IF(Atletas!D193="Adulto 80kg",31,IF(Atletas!D193="Adulto 85kg",32,IF(Atletas!D193="Adulto 90kg",33,IF(Atletas!D193="Adulto 100kg",34, IF(Atletas!D193="Adulto +100kg",35,"")))))))))))))))))))))))))))))))))))))</f>
        <v/>
      </c>
      <c r="AS202" s="6" t="str">
        <f>IF(Atletas!E193="","",IF(Atletas!B193="Feminino",100,IF(Atletas!B193="Masculino",200,""))+(IF(Atletas!E193="Juvenil 44kg",1,IF(Atletas!E193="Juvenil 48kg",2,IF(Atletas!E193="Juvenil 52kg",3,IF(Atletas!E193="Juvenil 56kg",4,IF(Atletas!E193="Juvenil 60kg",5,IF(Atletas!E193="Juvenil 65kg",6,IF(Atletas!E193="Juvenil 70kg",7,IF(Atletas!E193="Juvenil 75kg",8,IF(Atletas!E193="Juvenil 82kg",9,IF(Atletas!E193="Juvenil 90kg",10,IF(Atletas!E193="Juvenil 100kg",11,IF(Atletas!E193="Adulto 48kg",12,IF(Atletas!E193="Adulto 52kg",13,IF(Atletas!E193="Adulto 56kg",14,IF(Atletas!E193="Adulto 60kg",15,IF(Atletas!E193="Adulto 65kg",16,IF(Atletas!E193="Adulto 70kg",17,IF(Atletas!E193="Adulto 75kg",18,IF(Atletas!E193="Adulto 82kg",19,IF(Atletas!E193="Adulto 90kg",20,IF(Atletas!E193="Adulto 100kg",21,IF(Atletas!E193="Adulto +100kg",22,""))))))))))))))))))))))))</f>
        <v/>
      </c>
      <c r="AX202" s="6" t="str">
        <f>IF(Atletas!F193="","",IF(Atletas!B193="Feminino",100,IF(Atletas!B193="Masculino",200,""))+(IF(Atletas!F193="Adulto 48kg",1,IF(Atletas!F193="Adulto 56kg",2,IF(Atletas!F193="Adulto 65kg",3,IF(Atletas!F193="Adulto 75kg",4,IF(Atletas!F193="Adulto +75kg",5,IF(Atletas!F193="Adulto 52kg",6,IF(Atletas!F193="Adulto 60kg",7,IF(Atletas!F193="Adulto 70kg",8,IF(Atletas!F193="Adulto 80kg",9,IF(Atletas!F193="Adulto 90kg",10,IF(Atletas!F193="Adulto +90kg",11,"")))))))))))))</f>
        <v/>
      </c>
      <c r="BC202" s="6" t="str">
        <f>IF(Atletas!G193="","",IF(Atletas!B193="Feminino",10,IF(Atletas!B193="Masculino",20,""))+(IF(Atletas!G193="Baduanjin A",1,IF(Atletas!G193="Baduanjin B",2))))</f>
        <v/>
      </c>
      <c r="BF202" s="52" t="str">
        <f>IF(Atletas!H193="","",IF(Atletas!B193="Feminino",100,IF(Atletas!B193="Masculino",200,""))+(IF(Atletas!H193="Changquan Mirim",1,IF(Atletas!H193="Nanquan Mirim",2,IF(Atletas!H193="Taijiquan Mirim",3,IF(Atletas!H193="Changquan Grupo C",4,IF(Atletas!H193="Nanquan Grupo C",5,IF(Atletas!H193="Taijiquan Grupo C",6,IF(Atletas!H193="Changquan Grupo B",7,IF(Atletas!H193="Nanquan Grupo B",8,IF(Atletas!H193="Taijiquan Grupo B",9,IF(Atletas!H193="Changquan Grupo A",10,IF(Atletas!H193="Nanquan Grupo A",11,IF(Atletas!H193="Taijiquan Grupo A",12,IF(Atletas!H193="Changquan Opcional",13,IF(Atletas!H193="Nanquan Opcional",14,IF(Atletas!H193="Taijiquan Opcional",15,IF(Atletas!H193="Changquan Adulto",16,IF(Atletas!H193="Nanquan Adulto",17,IF(Atletas!H193="Taijiquan Adulto",18,""))))))))))))))))))))</f>
        <v/>
      </c>
      <c r="BG202" s="52" t="str">
        <f>IF(Atletas!I193="","",IF(Atletas!B193="Feminino",100,IF(Atletas!B193="Masculino",200,""))+(IF(Atletas!I193="Daoshu Mirim",19,IF(Atletas!I193="Jianshu Mirim",20,IF(Atletas!I193="Nandao Mirim",21,IF(Atletas!I193="Taijijian Mirim",22,IF(Atletas!I193="Daoshu Grupo C",23,IF(Atletas!I193="Jianshu Grupo C",24,IF(Atletas!I193="Nandao Grupo C",25,IF(Atletas!I193="Taijijian Grupo C",26,IF(Atletas!I193="Daoshu Grupo B",27,IF(Atletas!I193="Jianshu Grupo B",28,IF(Atletas!I193="Nandao Grupo B",29,IF(Atletas!I193="Taijijian Grupo B",30,IF(Atletas!I193="Daoshu Grupo A",31,IF(Atletas!I193="Jianshu Grupo A",32,IF(Atletas!I193="Nandao Grupo A",33,IF(Atletas!I193="Taijijian Grupo A",34,IF(Atletas!I193="Daoshu Opcional",35,IF(Atletas!I193="Jianshu Opcional",36,IF(Atletas!I193="Nandao Opcional",37,IF(Atletas!I193="Taijijian Opcional",38,IF(Atletas!I193="Daoshu Adulto",39,IF(Atletas!I193="Jianshu Adulto",40,IF(Atletas!I193="Nandao Adulto",41,IF(Atletas!I193="Taijijian Adulto",42,""))))))))))))))))))))))))))</f>
        <v/>
      </c>
      <c r="BH202" s="52" t="str">
        <f>IF(Atletas!J193="","",IF(Atletas!B193="Feminino",100,IF(Atletas!B193="Masculino",200,""))+(IF(Atletas!J193="Gunshu Mirim",43,IF(Atletas!J193="Qiangshu Mirim",44,IF(Atletas!J193="Nangun Mirim",45,IF(Atletas!J193="Gunshu Grupo C",46,IF(Atletas!J193="Qiangshu Grupo C",47,IF(Atletas!J193="Nangun Grupo C",48,IF(Atletas!J193="Gunshu Grupo B",49,IF(Atletas!J193="Qiangshu Grupo B",50,IF(Atletas!J193="Nangun Grupo B",51,IF(Atletas!J193="Gunshu Grupo A",52,IF(Atletas!J193="Qiangshu Grupo A",53,IF(Atletas!J193="Nangun Grupo A",54,IF(Atletas!J193="Gunshu Opcional",55,IF(Atletas!J193="Qiangshu Opcional",56,IF(Atletas!J193="Nangun Opcional",57,IF(Atletas!J193="Gunshu Adulto",58,IF(Atletas!J193="Qiangshu Adulto",59,IF(Atletas!J193="Nangun Adulto",60,IF(Atletas!J193="Taijishan Grupo B",61,IF(Atletas!J193="Taijishan Grupo A",62,""))))))))))))))))))))))</f>
        <v/>
      </c>
      <c r="BM202" s="50" t="str">
        <f>IF(Atletas!K193="","",IF(Atletas!B193="Feminino",100,IF(Atletas!B193="Masculino",200,""))+(IF(Atletas!K193="Equipe 1 Grupo B",1,IF(Atletas!K193="Equipe 2 Grupo B",2,IF(Atletas!K193="Equipe 1 Grupo A",3,IF(Atletas!K193="Equipe 2 Grupo A",4,IF(Atletas!K193="Equipe 1 Adulto",5,IF(Atletas!K193="Equipe 2 Adulto",6,""))))))))</f>
        <v/>
      </c>
      <c r="BR202" s="50" t="str">
        <f>IF(Atletas!L193="","",IF(Atletas!X193&lt;&gt;"",10000,0)+(IF(Atletas!B193="Feminino",1000,IF(Atletas!B193="Masculino",2000,""))+IF(Atletas!L193="Choylayfut A",1,IF(Atletas!L193="Hunggar A",2,IF(Atletas!L193="Wuzuquan A",3,IF(Atletas!L193="Wingchun A",4,IF(Atletas!L193="Outra Mão de Sul A",5,IF(Atletas!L193="Choylayfut B",6,IF(Atletas!L193="Hunggar B",7,IF(Atletas!L193="Wuzuquan B",8,IF(Atletas!L193="Wingchun B",9,IF(Atletas!L193="Outra Mão de Sul B",10,IF(Atletas!L193="Choylayfut C",11,IF(Atletas!L193="Hunggar C",12,IF(Atletas!L193="Wuzuquan C",13,IF(Atletas!L193="Wingchun C",14,IF(Atletas!L193="Outra Mão de Sul C",15,IF(Atletas!L193="Choylayfut D",16,IF(Atletas!L193="Hunggar D",17,IF(Atletas!L193="Wuzuquan D",18,IF(Atletas!L193="Wingchun D",19,IF(Atletas!L193="Outra Mão de Sul D",20,IF(Atletas!L193="Choylayfut E",21,IF(Atletas!L193="Hunggar E",22,IF(Atletas!L193="Wuzuquan E",23,IF(Atletas!L193="Wingchun E",24,IF(Atletas!L193="Outra Mão de Sul E",25,IF(Atletas!L193="Choylayfut F",26,IF(Atletas!L193="Hunggar F",27,IF(Atletas!L193="Wuzuquan F",28,IF(Atletas!L193="Wingchun F",29,IF(Atletas!L193="Outra Mão de Sul F",30,IF(Atletas!L193="Dishuquan A",31,IF(Atletas!L193="Dishuquan B",32,IF(Atletas!L193="Dishuquan C",33,IF(Atletas!L193="Dishuquan D",34,IF(Atletas!L193="Dishuquan E",35,IF(Atletas!L193="Dishuquan F",36,""))))))))))))))))))))))))))))))))))))))</f>
        <v/>
      </c>
      <c r="BS202" s="50" t="str">
        <f>IF(Atletas!M193="","",IF(Atletas!X193&lt;&gt;"",10000,0)+(IF(Atletas!B193="Feminino",1000,IF(Atletas!B193="Masculino",2000,""))+(IF(Atletas!M193="Chaquan A",101,IF(Atletas!M193="Emeiquan A",102,IF(Atletas!M193="Fanziquan A",103,IF(Atletas!M193="Huaquan A",104,IF(Atletas!M193="Hongquan A",105,IF(Atletas!M193="Paoquan A",106,IF(Atletas!M193="Piguaquan A",107,IF(Atletas!M193="Shaolinquan A",108,IF(Atletas!M193="Tanglangquan A",109,IF(Atletas!M193="Yingzhaoquan A",110,IF(Atletas!M193="Tongbeiquan A",111,IF(Atletas!M193="Wudangquan A",112,IF(Atletas!M193="Outros Estilos A",113,IF(Atletas!M193="Chaquan B",114,IF(Atletas!M193="Emeiquan B",115,IF(Atletas!M193="Fanziquan B",116,IF(Atletas!M193="Huaquan B",117,IF(Atletas!M193="Hongquan B",118,IF(Atletas!M193="Paoquan B",119,IF(Atletas!M193="Piguaquan B",120,IF(Atletas!M193="Shaolinquan B",121,IF(Atletas!M193="Tanglangquan B",122,IF(Atletas!M193="Yingzhaoquan B",123,IF(Atletas!M193="Tongbeiquan B",124,IF(Atletas!M193="Wudangquan B",125,IF(Atletas!M193="Outros Estilos B",126,IF(Atletas!M193="Chaquan C",127,IF(Atletas!M193="Emeiquan C",128,IF(Atletas!M193="Fanziquan C",129,IF(Atletas!M193="Huaquan C",130,IF(Atletas!M193="Hongquan C",131,IF(Atletas!M193="Paoquan C",132,IF(Atletas!M193="Piguaquan C",133,IF(Atletas!M193="Shaolinquan C",134,IF(Atletas!M193="Tanglangquan C",135,IF(Atletas!M193="Yingzhaoquan C",136,IF(Atletas!M193="Tongbeiquan C",137,IF(Atletas!M193="Wudangquan C",138,IF(Atletas!M193="Outros Estilos C",139,0))))))))))))))))))))))))))))))))))))))))))</f>
        <v/>
      </c>
      <c r="BT202" s="50" t="str">
        <f>IF(Atletas!M193="","",IF(Atletas!X193&lt;&gt;"",10000,0)+(IF(Atletas!B193="Feminino",1000,IF(Atletas!B193="Masculino",2000,""))+(IF(Atletas!M193="Chaquan D",140,IF(Atletas!M193="Emeiquan D",141,IF(Atletas!M193="Fanziquan D",142,IF(Atletas!M193="Huaquan D",143,IF(Atletas!M193="Hongquan D",144,IF(Atletas!M193="Paoquan D",145,IF(Atletas!M193="Piguaquan D",146,IF(Atletas!M193="Shaolinquan D",147,IF(Atletas!M193="Tanglangquan D",148,IF(Atletas!M193="Yingzhaoquan D",149,IF(Atletas!M193="Tongbeiquan D",150,IF(Atletas!M193="Wudangquan D",151,IF(Atletas!M193="Outros Estilos D",152,IF(Atletas!M193="Chaquan E",153,IF(Atletas!M193="Emeiquan E",154,IF(Atletas!M193="Fanziquan E",155,IF(Atletas!M193="Huaquan E",156,IF(Atletas!M193="Hongquan E",157,IF(Atletas!M193="Paoquan E",158,IF(Atletas!M193="Piguaquan E",159,IF(Atletas!M193="Shaolinquan E",160,IF(Atletas!M193="Tanglangquan E",161,IF(Atletas!M193="Yingzhaoquan E",162,IF(Atletas!M193="Tongbeiquan E",163,IF(Atletas!M193="Wudangquan E",164,IF(Atletas!M193="Outros Estilos E",165,IF(Atletas!M193="Chaquan F",166,IF(Atletas!M193="Emeiquan F",167,IF(Atletas!M193="Fanziquan F",168,IF(Atletas!M193="Huaquan F",169,IF(Atletas!M193="Hongquan F",170,IF(Atletas!M193="Paoquan F",171,IF(Atletas!M193="Piguaquan F",172,IF(Atletas!M193="Shaolinquan F",173,IF(Atletas!M193="Tanglangquan F",174,IF(Atletas!M193="Yingzhaoquan F",175,IF(Atletas!M193="Tongbeiquan F",176,IF(Atletas!M193="Wudangquan F",177,IF(Atletas!M193="Outros Estilos F",178,0))))))))))))))))))))))))))))))))))))))))))</f>
        <v/>
      </c>
      <c r="BU202" s="50" t="str">
        <f>IF(Atletas!N193="","",IF(Atletas!X193&lt;&gt;"",10000,0)+(IF(Atletas!B193="Feminino",1000,IF(Atletas!B193="Masculino",2000,""))+(IF(Atletas!N193="Ditangquan A",201,IF(Atletas!N193="Houquan A",202,IF(Atletas!N193="Zuiquan A",203,IF(Atletas!N193="Ditangquan B",204,IF(Atletas!N193="Houquan B",205,IF(Atletas!N193="Zuiquan B",206,IF(Atletas!N193="Ditangquan C",207,IF(Atletas!N193="Houquan C",208,IF(Atletas!N193="Zuiquan C",209,IF(Atletas!N193="Ditangquan D",210,IF(Atletas!N193="Houquan D",211,IF(Atletas!N193="Zuiquan D",212,IF(Atletas!N193="Ditangquan E",213,IF(Atletas!N193="Houquan E",214,IF(Atletas!N193="Zuiquan E",215,IF(Atletas!N193="Ditangquan F",216,IF(Atletas!N193="Houquan F",217,IF(Atletas!N193="Zuiquan F",218,"")))))))))))))))))))))</f>
        <v/>
      </c>
      <c r="BV202" s="50" t="str">
        <f>IF(Atletas!O193="","",IF(Atletas!X193&lt;&gt;"",10000,0)+IF(Atletas!B193="Feminino",1000,IF(Atletas!B193="Masculino",2000,""))+IF(Atletas!O193="Yang A",301,IF(Atletas!O193="Chen A",302,IF(Atletas!O193="Sun A",303,IF(Atletas!O193="Wu A",304,IF(Atletas!O193="Wu-Hao A",305,IF(Atletas!O193="Outro Taijiquan A",306,IF(Atletas!O193="Yang B",307,IF(Atletas!O193="Chen B",308,IF(Atletas!O193="Sun B",309,IF(Atletas!O193="Wu B",310,IF(Atletas!O193="Wu-Hao B",311,IF(Atletas!O193="Outro Taijiquan B",312,IF(Atletas!O193="Yang C",313,IF(Atletas!O193="Chen C",314,IF(Atletas!O193="Sun C",315,IF(Atletas!O193="Wu C",316,IF(Atletas!O193="Wu-Hao C",317,IF(Atletas!O193="Outro Taijiquan C",318,IF(Atletas!O193="Yang D",319,IF(Atletas!O193="Chen D",320,IF(Atletas!O193="Sun D",321,IF(Atletas!O193="Wu D",322,IF(Atletas!O193="Wu-Hao D",323,IF(Atletas!O193="Outro Taijiquan D",324,IF(Atletas!O193="Yang E",325,IF(Atletas!O193="Chen E",326,IF(Atletas!O193="Sun E",327,IF(Atletas!O193="Wu E",328,IF(Atletas!O193="Wu-Hao E",329,IF(Atletas!O193="Outro Taijiquan E",330,IF(Atletas!O193="Yang F",331,IF(Atletas!O193="Chen F",332,IF(Atletas!O193="Sun F",333,IF(Atletas!O193="Wu F",334,IF(Atletas!O193="Wu-Hao F",335,IF(Atletas!O193="Outro Taijiquan F",336,"")))))))))))))))))))))))))))))))))))))</f>
        <v/>
      </c>
      <c r="BW202" s="50" t="str">
        <f>IF(Atletas!P193="","",IF(Atletas!X193&lt;&gt;"",10000,0)+IF(Atletas!B193="Feminino",1000,IF(Atletas!B193="Masculino",2000,""))+IF(OR(Atletas!P193="Yang 26 A",Atletas!P193="Yang 40 A"),401,IF(OR(Atletas!P193="Chen 25 A",Atletas!P193="Chen 36 A",Atletas!P193="Chen 56 A"),402,IF(Atletas!P193="Sun 73 A",403,IF(Atletas!P193="Wu 45 A",404,IF(Atletas!P193="Wu-Hao 46 A",405,IF(OR(Atletas!P193="Taijiquan 16 A",Atletas!P193="Taijiquan 24 A",Atletas!P193="Taijiquan 32 A",Atletas!P193="Taijiquan 42 A"),406,IF(OR(Atletas!P193="Yang 26 B",Atletas!P193="Yang 40 B"),407,IF(OR(Atletas!P193="Chen 25 B",Atletas!P193="Chen 36 B",Atletas!P193="Chen 56 B"),408,IF(Atletas!P193="Sun 73 B",409,IF(Atletas!P193="Wu 45 B",410,IF(Atletas!P193="Wu-Hao 46 B",411,IF(OR(Atletas!P193="Taijiquan 16 B",Atletas!P193="Taijiquan 24 B",Atletas!P193="Taijiquan 32 B",Atletas!P193="Taijiquan 42 B"),412,IF(OR(Atletas!P193="Yang 26 C",Atletas!P193="Yang 40 C"),413,IF(OR(Atletas!P193="Chen 25 C",Atletas!P193="Chen 36 C",Atletas!P193="Chen 56 C"),414,IF(Atletas!P193="Sun 73 C",415,IF(Atletas!P193="Wu 45 C",416,IF(Atletas!P193="Wu-Hao 46 C",417,IF(OR(Atletas!P193="Taijiquan 16 C",Atletas!P193="Taijiquan 24 C",Atletas!P193="Taijiquan 32 C",Atletas!P193="Taijiquan 42 C"),418,0)))))))))))))))))))</f>
        <v/>
      </c>
      <c r="BX202" s="50" t="str">
        <f>IF(Atletas!P193="","",IF(Atletas!X193&lt;&gt;"",10000,0)+IF(Atletas!B193="Feminino",1000,IF(Atletas!B193="Masculino",2000,""))+IF(OR(Atletas!P193="Yang 26 D",Atletas!P193="Yang 40 D"),419,IF(OR(Atletas!P193="Chen 25 D",Atletas!P193="Chen 36 D",Atletas!P193="Chen 56 D"),420,IF(Atletas!P193="Sun 73 D",421,IF(Atletas!P193="Wu 45 D",422,IF(Atletas!P193="Wu-Hao 46 D",423,IF(OR(Atletas!P193="Taijiquan 16 D",Atletas!P193="Taijiquan 24 D",Atletas!P193="Taijiquan 32 D",Atletas!P193="Taijiquan 42 D"),424,IF(OR(Atletas!P193="Yang 26 E",Atletas!P193="Yang 40 E"),425,IF(OR(Atletas!P193="Chen 25 E",Atletas!P193="Chen 36 E",Atletas!P193="Chen 56 E"),426,IF(Atletas!P193="Sun 73 E",427,IF(Atletas!P193="Wu 45 E",428,IF(Atletas!P193="Wu-Hao 46 E",429,IF(OR(Atletas!P193="Taijiquan 16 E",Atletas!P193="Taijiquan 24 E",Atletas!P193="Taijiquan 32 E",Atletas!P193="Taijiquan 42 E"),430,IF(OR(Atletas!P193="Yang 26 F",Atletas!P193="Yang 40 F"),431,IF(OR(Atletas!P193="Chen 25 F",Atletas!P193="Chen 36 F",Atletas!P193="Chen 56 F"),432,IF(Atletas!P193="Sun 73 F",433,IF(Atletas!P193="Wu 45 F",434,IF(Atletas!P193="Wu-Hao 46 F",435,IF(OR(Atletas!P193="Taijiquan 16 F",Atletas!P193="Taijiquan 24 F",Atletas!P193="Taijiquan 32 F",Atletas!P193="Taijiquan 42 F"),436,0)))))))))))))))))))</f>
        <v/>
      </c>
      <c r="BY202" s="50" t="str">
        <f>IF(Atletas!Q193="","",IF(Atletas!X193&lt;&gt;"",10000,0)+IF(Atletas!B193="Feminino",1000,IF(Atletas!B193="Masculino",2000,""))+IF(Atletas!Q193="Xingyiquan A",501,IF(Atletas!Q193="Baguazhang A",502,IF(Atletas!Q193="Outro Estilo Interno A",503,IF(Atletas!Q193="Xingyiquan B",504,IF(Atletas!Q193="Baguazhang B",505,IF(Atletas!Q193="Outro Estilo Interno B",506,IF(Atletas!Q193="Xingyiquan C",507,IF(Atletas!Q193="Baguazhang C",508,IF(Atletas!Q193="Outro Estilo Interno C",509,IF(Atletas!Q193="Xingyiquan D",510,IF(Atletas!Q193="Baguazhang D",511,IF(Atletas!Q193="Outro Estilo Interno D",512,IF(Atletas!Q193="Xingyiquan E",513,IF(Atletas!Q193="Baguazhang E",514,IF(Atletas!Q193="Outro Estilo Interno E",515,IF(Atletas!Q193="Xingyiquan F",516,IF(Atletas!Q193="Baguazhang F",517,IF(Atletas!Q193="Outro Estilo Interno F",518, "")))))))))))))))))))</f>
        <v/>
      </c>
      <c r="BZ202" s="50" t="str">
        <f>IF(Atletas!R193="","",IF(Atletas!X193&lt;&gt;"",10000,0)+IF(Atletas!B193="Feminino",1000,IF(Atletas!B193="Masculino",2000,""))+IF(Atletas!R193="Dao A",601,IF(Atletas!R193="Jian A",602,IF(Atletas!R193="Bishou A",603,IF(Atletas!R193="Shanzi A",604,IF(Atletas!R193="Outra Arma Curta A",605,IF(Atletas!R193="Dao B",606,IF(Atletas!R193="Jian B",607,IF(Atletas!R193="Bishou B",608,IF(Atletas!R193="Shanzi B",609,IF(Atletas!R193="Outra Arma Curta B",610,IF(Atletas!R193="Dao C",611,IF(Atletas!R193="Jian C",612,IF(Atletas!R193="Bishou C",613,IF(Atletas!R193="Shanzi C",614,IF(Atletas!R193="Outra Arma Curta C",615,IF(Atletas!R193="Dao D",616,IF(Atletas!R193="Jian D",617,IF(Atletas!R193="Bishou D",618,IF(Atletas!R193="Shanzi D",619,IF(Atletas!R193="Outra Arma Curta D",620,IF(Atletas!R193="Dao E",621,IF(Atletas!R193="Jian E",622,IF(Atletas!R193="Bishou E",623,IF(Atletas!R193="Shanzi E",624,IF(Atletas!R193="Outra Arma Curta E",625,IF(Atletas!R193="Dao F",626,IF(Atletas!R193="Jian F",627,IF(Atletas!R193="Bishou F",628,IF(Atletas!R193="Shanzi F",629,IF(Atletas!R193="Outra Arma Curta F",630, "")))))))))))))))))))))))))))))))</f>
        <v/>
      </c>
      <c r="CA202" s="50" t="str">
        <f>IF(Atletas!S193="","",IF(Atletas!X193&lt;&gt;"",10000,0)+IF(Atletas!B193="Feminino",1000,IF(Atletas!B193="Masculino",2000,""))+IF(Atletas!S193="Gun A",701,IF(Atletas!S193="Qiang A",702,IF(Atletas!S193="Pudao / Guandao A",703,IF(Atletas!S193="Outra Arma Longa A",704,IF(Atletas!S193="Gun B",705,IF(Atletas!S193="Qiang B",706,IF(Atletas!S193="Pudao / Guandao B",707,IF(Atletas!S193="Outra Arma Longa B",708,IF(Atletas!S193="Gun C",709,IF(Atletas!S193="Qiang C",710,IF(Atletas!S193="Pudao / Guandao C",711,IF(Atletas!S193="Outra Arma Longa C",712,IF(Atletas!S193="Gun D",713,IF(Atletas!S193="Qiang D",714,IF(Atletas!S193="Pudao / Guandao D",715,IF(Atletas!S193="Outra Arma Longa D",716,IF(Atletas!S193="Gun E",717,IF(Atletas!S193="Qiang E",718,IF(Atletas!S193="Pudao / Guandao E",719,IF(Atletas!S193="Outra Arma Longa E",720,IF(Atletas!S193="Gun F",721,IF(Atletas!S193="Qiang F",722,IF(Atletas!S193="Pudao / Guandao F",723,IF(Atletas!S193="Outra Arma Longa F",724,"")))))))))))))))))))))))))</f>
        <v/>
      </c>
      <c r="CB202" s="50" t="str">
        <f>IF(Atletas!T193="","",IF(Atletas!X193&lt;&gt;"",10000,0)+IF(Atletas!B193="Feminino",1000,IF(Atletas!B193="Masculino",2000,""))+IF(Atletas!T193="Outra Arma Dupla A",801,IF(Atletas!T193="Arma Maleável A",802,IF(Atletas!T193="Outra Arma Dupla B",803,IF(Atletas!T193="Arma Maleável B",804,IF(Atletas!T193="Outra Arma Dupla C",805,IF(Atletas!T193="Arma Maleável C",806,IF(Atletas!T193="Outra Arma Dupla D",807,IF(Atletas!T193="Arma Maleável D",808,IF(Atletas!T193="Outra Arma Dupla E",809,IF(Atletas!T193="Arma Maleável E",810,IF(Atletas!T193="Outra Arma Dupla F",811,IF(Atletas!T193="Arma Maleável F",812,IF(Atletas!T193="Shuangdao A",813,IF(Atletas!T193="Shuangdao B",814,IF(Atletas!T193="Shuangdao C",815,IF(Atletas!T193="Shuangdao D",816,IF(Atletas!T193="Shuangdao E",817,IF(Atletas!T193="Shuangdao F",818,"")))))))))))))))))))</f>
        <v/>
      </c>
      <c r="CC202" s="50" t="str">
        <f>IF(Atletas!U193="","",IF(Atletas!X193&lt;&gt;"",10000,0)+IF(Atletas!B193="Feminino",1000,IF(Atletas!B193="Masculino",2000,""))+IF(OR(Atletas!U193="Taijijian Yang A",Atletas!U193="Taijijian Yang Standard A"),901,IF(OR(Atletas!U193="Taijijian Chen A", Atletas!U193="Taijijian Chen Standard A"),902,IF(Atletas!U193="Taijijian Sun A",903,IF(Atletas!U193="Taijijian Wu A",904,IF(Atletas!U193="Taijijian Wu-Hao A",905,IF(OR(Atletas!U193="Taijijian 32 A",Atletas!U193="Taijijian 42 A"),906,IF(OR(Atletas!U193="Taijijian Yang B",Atletas!U193="Taijijian Yang Standard B"),907,IF(OR(Atletas!U193="Taijijian Chen B", Atletas!U193="Taijijian Chen Standard B"),908,IF(Atletas!U193="Taijijian Sun B",909,IF(Atletas!U193="Taijijian Wu B",910,IF(Atletas!U193="Taijijian Wu-Hao B",911,IF(OR(Atletas!U193="Taijijian 32 B",Atletas!U193="Taijijian 42 B"),912,IF(OR(Atletas!U193="Taijijian Yang C",Atletas!U193="Taijijian Yang Standard C"),913,IF(OR(Atletas!U193="Taijijian Chen C", Atletas!U193="Taijijian Chen Standard C"),914,IF(Atletas!U193="Taijijian Sun C",915,IF(Atletas!U193="Taijijian Wu C",916,IF(Atletas!U193="Taijijian Wu-Hao C",917,IF(OR(Atletas!U193="Taijijian 32 C",Atletas!U193="Taijijian 42 C"),918,IF(OR(Atletas!U193="Taijijian Yang D",Atletas!U193="Taijijian Yang Standard D"),919,IF(OR(Atletas!U193="Taijijian Chen D", Atletas!U193="Taijijian Chen Standard D"),920,IF(Atletas!U193="Taijijian Sun D",921,IF(Atletas!U193="Taijijian Wu D",922,IF(Atletas!U193="Taijijian Wu-Hao D",923,IF(OR(Atletas!U193="Taijijian 32 D",Atletas!U193="Taijijian 42 D"),924,IF(OR(Atletas!U193="Taijijian Yang E",Atletas!U193="Taijijian Yang Standard E"),925,IF(OR(Atletas!U193="Taijijian Chen E", Atletas!U193="Taijijian Chen Standard E"),926,IF(Atletas!U193="Taijijian Sun E",927,IF(Atletas!U193="Taijijian Wu E",928,IF(Atletas!U193="Taijijian Wu-Hao E",929,IF(OR(Atletas!U193="Taijijian 32 E",Atletas!U193="Taijijian 42 E"),930,IF(OR(Atletas!U193="Taijijian Yang F",Atletas!U193="Taijijian Yang Standard F"),931,IF(OR(Atletas!U193="Taijijian Chen F", Atletas!U193="Taijijian Chen Standard F"),932,IF(Atletas!U193="Taijijian Sun F",933,IF(Atletas!U193="Taijijian Wu F",934,IF(Atletas!U193="Taijijian Wu-Hao F",935,IF(OR(Atletas!U193="Taijijian 32 F",Atletas!U193="Taijijian 42 F"),936,"")))))))))))))))))))))))))))))))))))))</f>
        <v/>
      </c>
      <c r="CD202" s="50" t="str">
        <f>IF(Atletas!V193="","",IF(Atletas!X193&lt;&gt;"",10000,0)+IF(Atletas!B193="Feminino",1000,IF(Atletas!B193="Masculino",2000,""))+IF(Atletas!V193="Taijidao A",937,IF(Atletas!V193="TaijiShanzi A",938,IF(Atletas!V193="Taijiqiang A",939,IF(Atletas!V193="Bagua de Arma A",940,IF(Atletas!V193="Xingyi de Arma A",941,IF(Atletas!V193="Taijidao B",942,IF(Atletas!V193="TaijiShanzi B",943,IF(Atletas!V193="Taijiqiang B",944,IF(Atletas!V193="Bagua de Arma B",945,IF(Atletas!V193="Xingyi de Arma B",946,IF(Atletas!V193="Taijidao C",947,IF(Atletas!V193="TaijiShanzi C",948,IF(Atletas!V193="Taijiqiang C",949,IF(Atletas!V193="Bagua de Arma C",950,IF(Atletas!V193="Xingyi de Arma C",951,IF(Atletas!V193="Taijidao D",952,IF(Atletas!V193="TaijiShanzi D",953,IF(Atletas!V193="Taijiqiang D",954,IF(Atletas!V193="Bagua de Arma D",955,IF(Atletas!V193="Xingyi de Arma D",956,IF(Atletas!V193="Taijidao E",957,IF(Atletas!V193="TaijiShanzi E",958,IF(Atletas!V193="Taijiqiang E",959,IF(Atletas!V193="Bagua de Arma E",960,IF(Atletas!V193="Xingyi de Arma E",961,IF(Atletas!V193="Taijidao F",962,IF(Atletas!V193="TaijiShanzi F",963,IF(Atletas!V193="Taijiqiang F",964,IF(Atletas!V193="Bagua de Arma F",965,IF(Atletas!V193="Xingyi de Arma F",966,"")))))))))))))))))))))))))))))))</f>
        <v/>
      </c>
      <c r="CE202" s="66" t="str">
        <f>IF(CF202&lt;&gt;"","TJQ Padr. Wu E","")</f>
        <v/>
      </c>
      <c r="CF202" s="66" t="str">
        <f>IF(COUNTIF(BR:CD,1428)&gt;0,COUNTIF(BR:CD,1428),"")</f>
        <v/>
      </c>
      <c r="CG202" s="66" t="str">
        <f>IF(CH202&lt;&gt;"","TJQ Padr. Wu E","")</f>
        <v/>
      </c>
      <c r="CH202" s="66" t="str">
        <f>IF(COUNTIF(BR:CD,2428)&gt;0,COUNTIF(BR:CD,2428),"")</f>
        <v/>
      </c>
      <c r="CI202" s="66" t="str">
        <f>IF(CJ202&lt;&gt;"","TJQ Padr. Wu F","")</f>
        <v/>
      </c>
      <c r="CJ202" s="66" t="str">
        <f>IF(COUNTIF(BR:CD,11434)&gt;0,COUNTIF(BR:CD,11434),"")</f>
        <v/>
      </c>
      <c r="CK202" s="66" t="str">
        <f>IF(CL202&lt;&gt;"","TJQ Padr. Wu F","")</f>
        <v/>
      </c>
      <c r="CL202" s="66" t="str">
        <f>IF(COUNTIF(BR:CD,12434)&gt;0,COUNTIF(BR:CD,12434),"")</f>
        <v/>
      </c>
      <c r="CM202" s="50" t="str">
        <f xml:space="preserve"> IF(Atletas!W193="","",IF(Atletas!W193="Duilian de Mãos BC - Equipe 1",1,IF(Atletas!W193="Duilian de Mãos BC - Equipe 2",2,IF(Atletas!W193="Duilian de Armas BC - Equipe 1",3,IF(Atletas!W193="Duilian de Armas BC - Equipe 2",4,IF(Atletas!W193="Duilian de Mãos DE - Equipe 1",5,IF(Atletas!W193="Duilian de Mãos DE - Equipe 2",6,IF(Atletas!W193="Duilian de Armas DE - Equipe 1",7,IF(Atletas!W193="Duilian de Armas DE - Equipe 2",8,IF(Atletas!W193="Duilian de Tuishou - Equipe 1",9,IF(Atletas!W193="Duilian de Tuishou - Equipe 2",10,IF(Atletas!W193="Grupo Externo ABC - Equipe 1",11,IF(Atletas!W193="Grupo Externo ABC - Equipe 2",12,IF(Atletas!W193="Grupo Interno ABC - Equipe 1",13,IF(Atletas!W193="Grupo Interno ABC - Equipe 2",14,IF(Atletas!W193="Grupo Externo DEF - Equipe 1",15,IF(Atletas!W193="Grupo Externo DEF - Equipe 2",16,IF(Atletas!W193="Grupo Interno DEF - Equipe 1",17,IF(Atletas!W193="Grupo Interno DEF - Equipe 2",18,"")))))))))))))))))))</f>
        <v/>
      </c>
    </row>
    <row r="203" spans="2:9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 t="str">
        <f t="array" ref="Z203">IFERROR(INDEX(CE$7:CE$348,SMALL(IF(CE$7:CE$348&lt;&gt;"",ROW(CE$7:CE$348)-ROW(CE$7)+1),ROWS(CE$7:CE202))),"")</f>
        <v/>
      </c>
      <c r="AA203" s="3" t="str">
        <f t="array" ref="AA203">IFERROR(INDEX(CF$7:CF$348,SMALL(IF(CF$7:CF$348&lt;&gt;"",ROW(CF$7:CF$348)-ROW(CF$7)+1),ROWS(CF$7:CF202))),"")</f>
        <v/>
      </c>
      <c r="AB203" s="3" t="str">
        <f t="array" ref="AB203">IFERROR(INDEX(CG$7:CG$348,SMALL(IF(CG$7:CG$348&lt;&gt;"",ROW(CG$7:CG$348)-ROW(CG$7)+1),ROWS(CG$7:CG202))),"")</f>
        <v/>
      </c>
      <c r="AC203" s="3" t="str">
        <f t="array" ref="AC203">IFERROR(INDEX(CH$7:CH$348,SMALL(IF(CH$7:CH$348&lt;&gt;"",ROW(CH$7:CH$348)-ROW(CH$7)+1),ROWS(CH$7:CH202))),"")</f>
        <v/>
      </c>
      <c r="AD203" s="3" t="str">
        <f t="array" ref="AD203">IFERROR(INDEX(CI$7:CI$377,SMALL(IF(CI$7:CI$377&lt;&gt;"",ROW(CI$7:CI$377)-ROW(CI$7)+1),ROWS(CI$7:CI202))),"")</f>
        <v/>
      </c>
      <c r="AE203" s="3" t="str">
        <f t="array" ref="AE203">IFERROR(INDEX(CJ$7:CJ$378,SMALL(IF(CJ$7:CJ$378&lt;&gt;"",ROW(CJ$7:CJ$378)-ROW(CJ$7)+1),ROWS(CJ$7:CJ202))),"")</f>
        <v/>
      </c>
      <c r="AF203" s="3" t="str">
        <f t="array" ref="AF203">IFERROR(INDEX(CK$7:CK$378,SMALL(IF(CK$7:CK$378&lt;&gt;"",ROW(CK$7:CK$378)-ROW(CK$7)+1),ROWS(CK$7:CK202))),"")</f>
        <v/>
      </c>
      <c r="AG203" s="3" t="str">
        <f t="array" ref="AG203">IFERROR(INDEX(CL$7:CL$378,SMALL(IF(CL$7:CL$378&lt;&gt;"",ROW(CL$7:CL$378)-ROW(CL$7)+1),ROWS(CL$7:CL202))),"")</f>
        <v/>
      </c>
      <c r="AH203" s="3"/>
      <c r="AI203" s="3"/>
      <c r="AJ203" s="3"/>
      <c r="AK203" s="3"/>
      <c r="AL203" s="3"/>
      <c r="AM203" s="3"/>
      <c r="AN203" s="52" t="str">
        <f>IF(Atletas!D194="","",IF(Atletas!B194="Feminino",100,IF(Atletas!B194="Masculino",200,""))+(IF(Atletas!D194="Kids 30kg",1,IF(Atletas!D194="Kids 32kg",2, IF(Atletas!D194="Kids 34kg",3,IF(Atletas!D194="Kids 36kg",4,IF(Atletas!D194="Kids 39kg",5,IF(Atletas!D194="Kids 42kg",6,IF(Atletas!D194="Kids 45kg",7, IF(Atletas!D194="Infantil 39kg",8,IF(Atletas!D194="Infantil 42kg",9,IF(Atletas!D194="Infantil 45kg",10,IF(Atletas!D194="Infantil 48kg",11,IF(Atletas!D194="Infantil 52kg",12,IF(Atletas!D194="Infantil 56kg",13,IF(Atletas!D194="Infantil 60kg",14,IF(Atletas!D194="Juvenil 48kg",15,IF(Atletas!D194="Juvenil 52kg",16,IF(Atletas!D194="Juvenil 56kg",17,IF(Atletas!D194="Juvenil 60kg",18,IF(Atletas!D194="Juvenil 65kg",19,IF(Atletas!D194="Juvenil 70kg",20,IF(Atletas!D194="Juvenil 75kg",21,IF(Atletas!D194="Juvenil 80kg",22, IF(Atletas!D194="Juvenil 85kg",23,IF(Atletas!D194="Adulto 48kg",24,IF(Atletas!D194="Adulto 52kg",25,IF(Atletas!D194="Adulto 56kg",26,IF(Atletas!D194="Adulto 60kg",27,IF(Atletas!D194="Adulto 65kg",28,IF(Atletas!D194="Adulto 70kg",29,IF(Atletas!D194="Adulto 75kg",30,IF(Atletas!D194="Adulto 80kg",31,IF(Atletas!D194="Adulto 85kg",32,IF(Atletas!D194="Adulto 90kg",33,IF(Atletas!D194="Adulto 100kg",34, IF(Atletas!D194="Adulto +100kg",35,"")))))))))))))))))))))))))))))))))))))</f>
        <v/>
      </c>
      <c r="AS203" s="6" t="str">
        <f>IF(Atletas!E194="","",IF(Atletas!B194="Feminino",100,IF(Atletas!B194="Masculino",200,""))+(IF(Atletas!E194="Juvenil 44kg",1,IF(Atletas!E194="Juvenil 48kg",2,IF(Atletas!E194="Juvenil 52kg",3,IF(Atletas!E194="Juvenil 56kg",4,IF(Atletas!E194="Juvenil 60kg",5,IF(Atletas!E194="Juvenil 65kg",6,IF(Atletas!E194="Juvenil 70kg",7,IF(Atletas!E194="Juvenil 75kg",8,IF(Atletas!E194="Juvenil 82kg",9,IF(Atletas!E194="Juvenil 90kg",10,IF(Atletas!E194="Juvenil 100kg",11,IF(Atletas!E194="Adulto 48kg",12,IF(Atletas!E194="Adulto 52kg",13,IF(Atletas!E194="Adulto 56kg",14,IF(Atletas!E194="Adulto 60kg",15,IF(Atletas!E194="Adulto 65kg",16,IF(Atletas!E194="Adulto 70kg",17,IF(Atletas!E194="Adulto 75kg",18,IF(Atletas!E194="Adulto 82kg",19,IF(Atletas!E194="Adulto 90kg",20,IF(Atletas!E194="Adulto 100kg",21,IF(Atletas!E194="Adulto +100kg",22,""))))))))))))))))))))))))</f>
        <v/>
      </c>
      <c r="AX203" s="6" t="str">
        <f>IF(Atletas!F194="","",IF(Atletas!B194="Feminino",100,IF(Atletas!B194="Masculino",200,""))+(IF(Atletas!F194="Adulto 48kg",1,IF(Atletas!F194="Adulto 56kg",2,IF(Atletas!F194="Adulto 65kg",3,IF(Atletas!F194="Adulto 75kg",4,IF(Atletas!F194="Adulto +75kg",5,IF(Atletas!F194="Adulto 52kg",6,IF(Atletas!F194="Adulto 60kg",7,IF(Atletas!F194="Adulto 70kg",8,IF(Atletas!F194="Adulto 80kg",9,IF(Atletas!F194="Adulto 90kg",10,IF(Atletas!F194="Adulto +90kg",11,"")))))))))))))</f>
        <v/>
      </c>
      <c r="BC203" s="6" t="str">
        <f>IF(Atletas!G194="","",IF(Atletas!B194="Feminino",10,IF(Atletas!B194="Masculino",20,""))+(IF(Atletas!G194="Baduanjin A",1,IF(Atletas!G194="Baduanjin B",2))))</f>
        <v/>
      </c>
      <c r="BF203" s="52" t="str">
        <f>IF(Atletas!H194="","",IF(Atletas!B194="Feminino",100,IF(Atletas!B194="Masculino",200,""))+(IF(Atletas!H194="Changquan Mirim",1,IF(Atletas!H194="Nanquan Mirim",2,IF(Atletas!H194="Taijiquan Mirim",3,IF(Atletas!H194="Changquan Grupo C",4,IF(Atletas!H194="Nanquan Grupo C",5,IF(Atletas!H194="Taijiquan Grupo C",6,IF(Atletas!H194="Changquan Grupo B",7,IF(Atletas!H194="Nanquan Grupo B",8,IF(Atletas!H194="Taijiquan Grupo B",9,IF(Atletas!H194="Changquan Grupo A",10,IF(Atletas!H194="Nanquan Grupo A",11,IF(Atletas!H194="Taijiquan Grupo A",12,IF(Atletas!H194="Changquan Opcional",13,IF(Atletas!H194="Nanquan Opcional",14,IF(Atletas!H194="Taijiquan Opcional",15,IF(Atletas!H194="Changquan Adulto",16,IF(Atletas!H194="Nanquan Adulto",17,IF(Atletas!H194="Taijiquan Adulto",18,""))))))))))))))))))))</f>
        <v/>
      </c>
      <c r="BG203" s="52" t="str">
        <f>IF(Atletas!I194="","",IF(Atletas!B194="Feminino",100,IF(Atletas!B194="Masculino",200,""))+(IF(Atletas!I194="Daoshu Mirim",19,IF(Atletas!I194="Jianshu Mirim",20,IF(Atletas!I194="Nandao Mirim",21,IF(Atletas!I194="Taijijian Mirim",22,IF(Atletas!I194="Daoshu Grupo C",23,IF(Atletas!I194="Jianshu Grupo C",24,IF(Atletas!I194="Nandao Grupo C",25,IF(Atletas!I194="Taijijian Grupo C",26,IF(Atletas!I194="Daoshu Grupo B",27,IF(Atletas!I194="Jianshu Grupo B",28,IF(Atletas!I194="Nandao Grupo B",29,IF(Atletas!I194="Taijijian Grupo B",30,IF(Atletas!I194="Daoshu Grupo A",31,IF(Atletas!I194="Jianshu Grupo A",32,IF(Atletas!I194="Nandao Grupo A",33,IF(Atletas!I194="Taijijian Grupo A",34,IF(Atletas!I194="Daoshu Opcional",35,IF(Atletas!I194="Jianshu Opcional",36,IF(Atletas!I194="Nandao Opcional",37,IF(Atletas!I194="Taijijian Opcional",38,IF(Atletas!I194="Daoshu Adulto",39,IF(Atletas!I194="Jianshu Adulto",40,IF(Atletas!I194="Nandao Adulto",41,IF(Atletas!I194="Taijijian Adulto",42,""))))))))))))))))))))))))))</f>
        <v/>
      </c>
      <c r="BH203" s="52" t="str">
        <f>IF(Atletas!J194="","",IF(Atletas!B194="Feminino",100,IF(Atletas!B194="Masculino",200,""))+(IF(Atletas!J194="Gunshu Mirim",43,IF(Atletas!J194="Qiangshu Mirim",44,IF(Atletas!J194="Nangun Mirim",45,IF(Atletas!J194="Gunshu Grupo C",46,IF(Atletas!J194="Qiangshu Grupo C",47,IF(Atletas!J194="Nangun Grupo C",48,IF(Atletas!J194="Gunshu Grupo B",49,IF(Atletas!J194="Qiangshu Grupo B",50,IF(Atletas!J194="Nangun Grupo B",51,IF(Atletas!J194="Gunshu Grupo A",52,IF(Atletas!J194="Qiangshu Grupo A",53,IF(Atletas!J194="Nangun Grupo A",54,IF(Atletas!J194="Gunshu Opcional",55,IF(Atletas!J194="Qiangshu Opcional",56,IF(Atletas!J194="Nangun Opcional",57,IF(Atletas!J194="Gunshu Adulto",58,IF(Atletas!J194="Qiangshu Adulto",59,IF(Atletas!J194="Nangun Adulto",60,IF(Atletas!J194="Taijishan Grupo B",61,IF(Atletas!J194="Taijishan Grupo A",62,""))))))))))))))))))))))</f>
        <v/>
      </c>
      <c r="BM203" s="50" t="str">
        <f>IF(Atletas!K194="","",IF(Atletas!B194="Feminino",100,IF(Atletas!B194="Masculino",200,""))+(IF(Atletas!K194="Equipe 1 Grupo B",1,IF(Atletas!K194="Equipe 2 Grupo B",2,IF(Atletas!K194="Equipe 1 Grupo A",3,IF(Atletas!K194="Equipe 2 Grupo A",4,IF(Atletas!K194="Equipe 1 Adulto",5,IF(Atletas!K194="Equipe 2 Adulto",6,""))))))))</f>
        <v/>
      </c>
      <c r="BR203" s="50" t="str">
        <f>IF(Atletas!L194="","",IF(Atletas!X194&lt;&gt;"",10000,0)+(IF(Atletas!B194="Feminino",1000,IF(Atletas!B194="Masculino",2000,""))+IF(Atletas!L194="Choylayfut A",1,IF(Atletas!L194="Hunggar A",2,IF(Atletas!L194="Wuzuquan A",3,IF(Atletas!L194="Wingchun A",4,IF(Atletas!L194="Outra Mão de Sul A",5,IF(Atletas!L194="Choylayfut B",6,IF(Atletas!L194="Hunggar B",7,IF(Atletas!L194="Wuzuquan B",8,IF(Atletas!L194="Wingchun B",9,IF(Atletas!L194="Outra Mão de Sul B",10,IF(Atletas!L194="Choylayfut C",11,IF(Atletas!L194="Hunggar C",12,IF(Atletas!L194="Wuzuquan C",13,IF(Atletas!L194="Wingchun C",14,IF(Atletas!L194="Outra Mão de Sul C",15,IF(Atletas!L194="Choylayfut D",16,IF(Atletas!L194="Hunggar D",17,IF(Atletas!L194="Wuzuquan D",18,IF(Atletas!L194="Wingchun D",19,IF(Atletas!L194="Outra Mão de Sul D",20,IF(Atletas!L194="Choylayfut E",21,IF(Atletas!L194="Hunggar E",22,IF(Atletas!L194="Wuzuquan E",23,IF(Atletas!L194="Wingchun E",24,IF(Atletas!L194="Outra Mão de Sul E",25,IF(Atletas!L194="Choylayfut F",26,IF(Atletas!L194="Hunggar F",27,IF(Atletas!L194="Wuzuquan F",28,IF(Atletas!L194="Wingchun F",29,IF(Atletas!L194="Outra Mão de Sul F",30,IF(Atletas!L194="Dishuquan A",31,IF(Atletas!L194="Dishuquan B",32,IF(Atletas!L194="Dishuquan C",33,IF(Atletas!L194="Dishuquan D",34,IF(Atletas!L194="Dishuquan E",35,IF(Atletas!L194="Dishuquan F",36,""))))))))))))))))))))))))))))))))))))))</f>
        <v/>
      </c>
      <c r="BS203" s="50" t="str">
        <f>IF(Atletas!M194="","",IF(Atletas!X194&lt;&gt;"",10000,0)+(IF(Atletas!B194="Feminino",1000,IF(Atletas!B194="Masculino",2000,""))+(IF(Atletas!M194="Chaquan A",101,IF(Atletas!M194="Emeiquan A",102,IF(Atletas!M194="Fanziquan A",103,IF(Atletas!M194="Huaquan A",104,IF(Atletas!M194="Hongquan A",105,IF(Atletas!M194="Paoquan A",106,IF(Atletas!M194="Piguaquan A",107,IF(Atletas!M194="Shaolinquan A",108,IF(Atletas!M194="Tanglangquan A",109,IF(Atletas!M194="Yingzhaoquan A",110,IF(Atletas!M194="Tongbeiquan A",111,IF(Atletas!M194="Wudangquan A",112,IF(Atletas!M194="Outros Estilos A",113,IF(Atletas!M194="Chaquan B",114,IF(Atletas!M194="Emeiquan B",115,IF(Atletas!M194="Fanziquan B",116,IF(Atletas!M194="Huaquan B",117,IF(Atletas!M194="Hongquan B",118,IF(Atletas!M194="Paoquan B",119,IF(Atletas!M194="Piguaquan B",120,IF(Atletas!M194="Shaolinquan B",121,IF(Atletas!M194="Tanglangquan B",122,IF(Atletas!M194="Yingzhaoquan B",123,IF(Atletas!M194="Tongbeiquan B",124,IF(Atletas!M194="Wudangquan B",125,IF(Atletas!M194="Outros Estilos B",126,IF(Atletas!M194="Chaquan C",127,IF(Atletas!M194="Emeiquan C",128,IF(Atletas!M194="Fanziquan C",129,IF(Atletas!M194="Huaquan C",130,IF(Atletas!M194="Hongquan C",131,IF(Atletas!M194="Paoquan C",132,IF(Atletas!M194="Piguaquan C",133,IF(Atletas!M194="Shaolinquan C",134,IF(Atletas!M194="Tanglangquan C",135,IF(Atletas!M194="Yingzhaoquan C",136,IF(Atletas!M194="Tongbeiquan C",137,IF(Atletas!M194="Wudangquan C",138,IF(Atletas!M194="Outros Estilos C",139,0))))))))))))))))))))))))))))))))))))))))))</f>
        <v/>
      </c>
      <c r="BT203" s="50" t="str">
        <f>IF(Atletas!M194="","",IF(Atletas!X194&lt;&gt;"",10000,0)+(IF(Atletas!B194="Feminino",1000,IF(Atletas!B194="Masculino",2000,""))+(IF(Atletas!M194="Chaquan D",140,IF(Atletas!M194="Emeiquan D",141,IF(Atletas!M194="Fanziquan D",142,IF(Atletas!M194="Huaquan D",143,IF(Atletas!M194="Hongquan D",144,IF(Atletas!M194="Paoquan D",145,IF(Atletas!M194="Piguaquan D",146,IF(Atletas!M194="Shaolinquan D",147,IF(Atletas!M194="Tanglangquan D",148,IF(Atletas!M194="Yingzhaoquan D",149,IF(Atletas!M194="Tongbeiquan D",150,IF(Atletas!M194="Wudangquan D",151,IF(Atletas!M194="Outros Estilos D",152,IF(Atletas!M194="Chaquan E",153,IF(Atletas!M194="Emeiquan E",154,IF(Atletas!M194="Fanziquan E",155,IF(Atletas!M194="Huaquan E",156,IF(Atletas!M194="Hongquan E",157,IF(Atletas!M194="Paoquan E",158,IF(Atletas!M194="Piguaquan E",159,IF(Atletas!M194="Shaolinquan E",160,IF(Atletas!M194="Tanglangquan E",161,IF(Atletas!M194="Yingzhaoquan E",162,IF(Atletas!M194="Tongbeiquan E",163,IF(Atletas!M194="Wudangquan E",164,IF(Atletas!M194="Outros Estilos E",165,IF(Atletas!M194="Chaquan F",166,IF(Atletas!M194="Emeiquan F",167,IF(Atletas!M194="Fanziquan F",168,IF(Atletas!M194="Huaquan F",169,IF(Atletas!M194="Hongquan F",170,IF(Atletas!M194="Paoquan F",171,IF(Atletas!M194="Piguaquan F",172,IF(Atletas!M194="Shaolinquan F",173,IF(Atletas!M194="Tanglangquan F",174,IF(Atletas!M194="Yingzhaoquan F",175,IF(Atletas!M194="Tongbeiquan F",176,IF(Atletas!M194="Wudangquan F",177,IF(Atletas!M194="Outros Estilos F",178,0))))))))))))))))))))))))))))))))))))))))))</f>
        <v/>
      </c>
      <c r="BU203" s="50" t="str">
        <f>IF(Atletas!N194="","",IF(Atletas!X194&lt;&gt;"",10000,0)+(IF(Atletas!B194="Feminino",1000,IF(Atletas!B194="Masculino",2000,""))+(IF(Atletas!N194="Ditangquan A",201,IF(Atletas!N194="Houquan A",202,IF(Atletas!N194="Zuiquan A",203,IF(Atletas!N194="Ditangquan B",204,IF(Atletas!N194="Houquan B",205,IF(Atletas!N194="Zuiquan B",206,IF(Atletas!N194="Ditangquan C",207,IF(Atletas!N194="Houquan C",208,IF(Atletas!N194="Zuiquan C",209,IF(Atletas!N194="Ditangquan D",210,IF(Atletas!N194="Houquan D",211,IF(Atletas!N194="Zuiquan D",212,IF(Atletas!N194="Ditangquan E",213,IF(Atletas!N194="Houquan E",214,IF(Atletas!N194="Zuiquan E",215,IF(Atletas!N194="Ditangquan F",216,IF(Atletas!N194="Houquan F",217,IF(Atletas!N194="Zuiquan F",218,"")))))))))))))))))))))</f>
        <v/>
      </c>
      <c r="BV203" s="50" t="str">
        <f>IF(Atletas!O194="","",IF(Atletas!X194&lt;&gt;"",10000,0)+IF(Atletas!B194="Feminino",1000,IF(Atletas!B194="Masculino",2000,""))+IF(Atletas!O194="Yang A",301,IF(Atletas!O194="Chen A",302,IF(Atletas!O194="Sun A",303,IF(Atletas!O194="Wu A",304,IF(Atletas!O194="Wu-Hao A",305,IF(Atletas!O194="Outro Taijiquan A",306,IF(Atletas!O194="Yang B",307,IF(Atletas!O194="Chen B",308,IF(Atletas!O194="Sun B",309,IF(Atletas!O194="Wu B",310,IF(Atletas!O194="Wu-Hao B",311,IF(Atletas!O194="Outro Taijiquan B",312,IF(Atletas!O194="Yang C",313,IF(Atletas!O194="Chen C",314,IF(Atletas!O194="Sun C",315,IF(Atletas!O194="Wu C",316,IF(Atletas!O194="Wu-Hao C",317,IF(Atletas!O194="Outro Taijiquan C",318,IF(Atletas!O194="Yang D",319,IF(Atletas!O194="Chen D",320,IF(Atletas!O194="Sun D",321,IF(Atletas!O194="Wu D",322,IF(Atletas!O194="Wu-Hao D",323,IF(Atletas!O194="Outro Taijiquan D",324,IF(Atletas!O194="Yang E",325,IF(Atletas!O194="Chen E",326,IF(Atletas!O194="Sun E",327,IF(Atletas!O194="Wu E",328,IF(Atletas!O194="Wu-Hao E",329,IF(Atletas!O194="Outro Taijiquan E",330,IF(Atletas!O194="Yang F",331,IF(Atletas!O194="Chen F",332,IF(Atletas!O194="Sun F",333,IF(Atletas!O194="Wu F",334,IF(Atletas!O194="Wu-Hao F",335,IF(Atletas!O194="Outro Taijiquan F",336,"")))))))))))))))))))))))))))))))))))))</f>
        <v/>
      </c>
      <c r="BW203" s="50" t="str">
        <f>IF(Atletas!P194="","",IF(Atletas!X194&lt;&gt;"",10000,0)+IF(Atletas!B194="Feminino",1000,IF(Atletas!B194="Masculino",2000,""))+IF(OR(Atletas!P194="Yang 26 A",Atletas!P194="Yang 40 A"),401,IF(OR(Atletas!P194="Chen 25 A",Atletas!P194="Chen 36 A",Atletas!P194="Chen 56 A"),402,IF(Atletas!P194="Sun 73 A",403,IF(Atletas!P194="Wu 45 A",404,IF(Atletas!P194="Wu-Hao 46 A",405,IF(OR(Atletas!P194="Taijiquan 16 A",Atletas!P194="Taijiquan 24 A",Atletas!P194="Taijiquan 32 A",Atletas!P194="Taijiquan 42 A"),406,IF(OR(Atletas!P194="Yang 26 B",Atletas!P194="Yang 40 B"),407,IF(OR(Atletas!P194="Chen 25 B",Atletas!P194="Chen 36 B",Atletas!P194="Chen 56 B"),408,IF(Atletas!P194="Sun 73 B",409,IF(Atletas!P194="Wu 45 B",410,IF(Atletas!P194="Wu-Hao 46 B",411,IF(OR(Atletas!P194="Taijiquan 16 B",Atletas!P194="Taijiquan 24 B",Atletas!P194="Taijiquan 32 B",Atletas!P194="Taijiquan 42 B"),412,IF(OR(Atletas!P194="Yang 26 C",Atletas!P194="Yang 40 C"),413,IF(OR(Atletas!P194="Chen 25 C",Atletas!P194="Chen 36 C",Atletas!P194="Chen 56 C"),414,IF(Atletas!P194="Sun 73 C",415,IF(Atletas!P194="Wu 45 C",416,IF(Atletas!P194="Wu-Hao 46 C",417,IF(OR(Atletas!P194="Taijiquan 16 C",Atletas!P194="Taijiquan 24 C",Atletas!P194="Taijiquan 32 C",Atletas!P194="Taijiquan 42 C"),418,0)))))))))))))))))))</f>
        <v/>
      </c>
      <c r="BX203" s="50" t="str">
        <f>IF(Atletas!P194="","",IF(Atletas!X194&lt;&gt;"",10000,0)+IF(Atletas!B194="Feminino",1000,IF(Atletas!B194="Masculino",2000,""))+IF(OR(Atletas!P194="Yang 26 D",Atletas!P194="Yang 40 D"),419,IF(OR(Atletas!P194="Chen 25 D",Atletas!P194="Chen 36 D",Atletas!P194="Chen 56 D"),420,IF(Atletas!P194="Sun 73 D",421,IF(Atletas!P194="Wu 45 D",422,IF(Atletas!P194="Wu-Hao 46 D",423,IF(OR(Atletas!P194="Taijiquan 16 D",Atletas!P194="Taijiquan 24 D",Atletas!P194="Taijiquan 32 D",Atletas!P194="Taijiquan 42 D"),424,IF(OR(Atletas!P194="Yang 26 E",Atletas!P194="Yang 40 E"),425,IF(OR(Atletas!P194="Chen 25 E",Atletas!P194="Chen 36 E",Atletas!P194="Chen 56 E"),426,IF(Atletas!P194="Sun 73 E",427,IF(Atletas!P194="Wu 45 E",428,IF(Atletas!P194="Wu-Hao 46 E",429,IF(OR(Atletas!P194="Taijiquan 16 E",Atletas!P194="Taijiquan 24 E",Atletas!P194="Taijiquan 32 E",Atletas!P194="Taijiquan 42 E"),430,IF(OR(Atletas!P194="Yang 26 F",Atletas!P194="Yang 40 F"),431,IF(OR(Atletas!P194="Chen 25 F",Atletas!P194="Chen 36 F",Atletas!P194="Chen 56 F"),432,IF(Atletas!P194="Sun 73 F",433,IF(Atletas!P194="Wu 45 F",434,IF(Atletas!P194="Wu-Hao 46 F",435,IF(OR(Atletas!P194="Taijiquan 16 F",Atletas!P194="Taijiquan 24 F",Atletas!P194="Taijiquan 32 F",Atletas!P194="Taijiquan 42 F"),436,0)))))))))))))))))))</f>
        <v/>
      </c>
      <c r="BY203" s="50" t="str">
        <f>IF(Atletas!Q194="","",IF(Atletas!X194&lt;&gt;"",10000,0)+IF(Atletas!B194="Feminino",1000,IF(Atletas!B194="Masculino",2000,""))+IF(Atletas!Q194="Xingyiquan A",501,IF(Atletas!Q194="Baguazhang A",502,IF(Atletas!Q194="Outro Estilo Interno A",503,IF(Atletas!Q194="Xingyiquan B",504,IF(Atletas!Q194="Baguazhang B",505,IF(Atletas!Q194="Outro Estilo Interno B",506,IF(Atletas!Q194="Xingyiquan C",507,IF(Atletas!Q194="Baguazhang C",508,IF(Atletas!Q194="Outro Estilo Interno C",509,IF(Atletas!Q194="Xingyiquan D",510,IF(Atletas!Q194="Baguazhang D",511,IF(Atletas!Q194="Outro Estilo Interno D",512,IF(Atletas!Q194="Xingyiquan E",513,IF(Atletas!Q194="Baguazhang E",514,IF(Atletas!Q194="Outro Estilo Interno E",515,IF(Atletas!Q194="Xingyiquan F",516,IF(Atletas!Q194="Baguazhang F",517,IF(Atletas!Q194="Outro Estilo Interno F",518, "")))))))))))))))))))</f>
        <v/>
      </c>
      <c r="BZ203" s="50" t="str">
        <f>IF(Atletas!R194="","",IF(Atletas!X194&lt;&gt;"",10000,0)+IF(Atletas!B194="Feminino",1000,IF(Atletas!B194="Masculino",2000,""))+IF(Atletas!R194="Dao A",601,IF(Atletas!R194="Jian A",602,IF(Atletas!R194="Bishou A",603,IF(Atletas!R194="Shanzi A",604,IF(Atletas!R194="Outra Arma Curta A",605,IF(Atletas!R194="Dao B",606,IF(Atletas!R194="Jian B",607,IF(Atletas!R194="Bishou B",608,IF(Atletas!R194="Shanzi B",609,IF(Atletas!R194="Outra Arma Curta B",610,IF(Atletas!R194="Dao C",611,IF(Atletas!R194="Jian C",612,IF(Atletas!R194="Bishou C",613,IF(Atletas!R194="Shanzi C",614,IF(Atletas!R194="Outra Arma Curta C",615,IF(Atletas!R194="Dao D",616,IF(Atletas!R194="Jian D",617,IF(Atletas!R194="Bishou D",618,IF(Atletas!R194="Shanzi D",619,IF(Atletas!R194="Outra Arma Curta D",620,IF(Atletas!R194="Dao E",621,IF(Atletas!R194="Jian E",622,IF(Atletas!R194="Bishou E",623,IF(Atletas!R194="Shanzi E",624,IF(Atletas!R194="Outra Arma Curta E",625,IF(Atletas!R194="Dao F",626,IF(Atletas!R194="Jian F",627,IF(Atletas!R194="Bishou F",628,IF(Atletas!R194="Shanzi F",629,IF(Atletas!R194="Outra Arma Curta F",630, "")))))))))))))))))))))))))))))))</f>
        <v/>
      </c>
      <c r="CA203" s="50" t="str">
        <f>IF(Atletas!S194="","",IF(Atletas!X194&lt;&gt;"",10000,0)+IF(Atletas!B194="Feminino",1000,IF(Atletas!B194="Masculino",2000,""))+IF(Atletas!S194="Gun A",701,IF(Atletas!S194="Qiang A",702,IF(Atletas!S194="Pudao / Guandao A",703,IF(Atletas!S194="Outra Arma Longa A",704,IF(Atletas!S194="Gun B",705,IF(Atletas!S194="Qiang B",706,IF(Atletas!S194="Pudao / Guandao B",707,IF(Atletas!S194="Outra Arma Longa B",708,IF(Atletas!S194="Gun C",709,IF(Atletas!S194="Qiang C",710,IF(Atletas!S194="Pudao / Guandao C",711,IF(Atletas!S194="Outra Arma Longa C",712,IF(Atletas!S194="Gun D",713,IF(Atletas!S194="Qiang D",714,IF(Atletas!S194="Pudao / Guandao D",715,IF(Atletas!S194="Outra Arma Longa D",716,IF(Atletas!S194="Gun E",717,IF(Atletas!S194="Qiang E",718,IF(Atletas!S194="Pudao / Guandao E",719,IF(Atletas!S194="Outra Arma Longa E",720,IF(Atletas!S194="Gun F",721,IF(Atletas!S194="Qiang F",722,IF(Atletas!S194="Pudao / Guandao F",723,IF(Atletas!S194="Outra Arma Longa F",724,"")))))))))))))))))))))))))</f>
        <v/>
      </c>
      <c r="CB203" s="50" t="str">
        <f>IF(Atletas!T194="","",IF(Atletas!X194&lt;&gt;"",10000,0)+IF(Atletas!B194="Feminino",1000,IF(Atletas!B194="Masculino",2000,""))+IF(Atletas!T194="Outra Arma Dupla A",801,IF(Atletas!T194="Arma Maleável A",802,IF(Atletas!T194="Outra Arma Dupla B",803,IF(Atletas!T194="Arma Maleável B",804,IF(Atletas!T194="Outra Arma Dupla C",805,IF(Atletas!T194="Arma Maleável C",806,IF(Atletas!T194="Outra Arma Dupla D",807,IF(Atletas!T194="Arma Maleável D",808,IF(Atletas!T194="Outra Arma Dupla E",809,IF(Atletas!T194="Arma Maleável E",810,IF(Atletas!T194="Outra Arma Dupla F",811,IF(Atletas!T194="Arma Maleável F",812,IF(Atletas!T194="Shuangdao A",813,IF(Atletas!T194="Shuangdao B",814,IF(Atletas!T194="Shuangdao C",815,IF(Atletas!T194="Shuangdao D",816,IF(Atletas!T194="Shuangdao E",817,IF(Atletas!T194="Shuangdao F",818,"")))))))))))))))))))</f>
        <v/>
      </c>
      <c r="CC203" s="50" t="str">
        <f>IF(Atletas!U194="","",IF(Atletas!X194&lt;&gt;"",10000,0)+IF(Atletas!B194="Feminino",1000,IF(Atletas!B194="Masculino",2000,""))+IF(OR(Atletas!U194="Taijijian Yang A",Atletas!U194="Taijijian Yang Standard A"),901,IF(OR(Atletas!U194="Taijijian Chen A", Atletas!U194="Taijijian Chen Standard A"),902,IF(Atletas!U194="Taijijian Sun A",903,IF(Atletas!U194="Taijijian Wu A",904,IF(Atletas!U194="Taijijian Wu-Hao A",905,IF(OR(Atletas!U194="Taijijian 32 A",Atletas!U194="Taijijian 42 A"),906,IF(OR(Atletas!U194="Taijijian Yang B",Atletas!U194="Taijijian Yang Standard B"),907,IF(OR(Atletas!U194="Taijijian Chen B", Atletas!U194="Taijijian Chen Standard B"),908,IF(Atletas!U194="Taijijian Sun B",909,IF(Atletas!U194="Taijijian Wu B",910,IF(Atletas!U194="Taijijian Wu-Hao B",911,IF(OR(Atletas!U194="Taijijian 32 B",Atletas!U194="Taijijian 42 B"),912,IF(OR(Atletas!U194="Taijijian Yang C",Atletas!U194="Taijijian Yang Standard C"),913,IF(OR(Atletas!U194="Taijijian Chen C", Atletas!U194="Taijijian Chen Standard C"),914,IF(Atletas!U194="Taijijian Sun C",915,IF(Atletas!U194="Taijijian Wu C",916,IF(Atletas!U194="Taijijian Wu-Hao C",917,IF(OR(Atletas!U194="Taijijian 32 C",Atletas!U194="Taijijian 42 C"),918,IF(OR(Atletas!U194="Taijijian Yang D",Atletas!U194="Taijijian Yang Standard D"),919,IF(OR(Atletas!U194="Taijijian Chen D", Atletas!U194="Taijijian Chen Standard D"),920,IF(Atletas!U194="Taijijian Sun D",921,IF(Atletas!U194="Taijijian Wu D",922,IF(Atletas!U194="Taijijian Wu-Hao D",923,IF(OR(Atletas!U194="Taijijian 32 D",Atletas!U194="Taijijian 42 D"),924,IF(OR(Atletas!U194="Taijijian Yang E",Atletas!U194="Taijijian Yang Standard E"),925,IF(OR(Atletas!U194="Taijijian Chen E", Atletas!U194="Taijijian Chen Standard E"),926,IF(Atletas!U194="Taijijian Sun E",927,IF(Atletas!U194="Taijijian Wu E",928,IF(Atletas!U194="Taijijian Wu-Hao E",929,IF(OR(Atletas!U194="Taijijian 32 E",Atletas!U194="Taijijian 42 E"),930,IF(OR(Atletas!U194="Taijijian Yang F",Atletas!U194="Taijijian Yang Standard F"),931,IF(OR(Atletas!U194="Taijijian Chen F", Atletas!U194="Taijijian Chen Standard F"),932,IF(Atletas!U194="Taijijian Sun F",933,IF(Atletas!U194="Taijijian Wu F",934,IF(Atletas!U194="Taijijian Wu-Hao F",935,IF(OR(Atletas!U194="Taijijian 32 F",Atletas!U194="Taijijian 42 F"),936,"")))))))))))))))))))))))))))))))))))))</f>
        <v/>
      </c>
      <c r="CD203" s="50" t="str">
        <f>IF(Atletas!V194="","",IF(Atletas!X194&lt;&gt;"",10000,0)+IF(Atletas!B194="Feminino",1000,IF(Atletas!B194="Masculino",2000,""))+IF(Atletas!V194="Taijidao A",937,IF(Atletas!V194="TaijiShanzi A",938,IF(Atletas!V194="Taijiqiang A",939,IF(Atletas!V194="Bagua de Arma A",940,IF(Atletas!V194="Xingyi de Arma A",941,IF(Atletas!V194="Taijidao B",942,IF(Atletas!V194="TaijiShanzi B",943,IF(Atletas!V194="Taijiqiang B",944,IF(Atletas!V194="Bagua de Arma B",945,IF(Atletas!V194="Xingyi de Arma B",946,IF(Atletas!V194="Taijidao C",947,IF(Atletas!V194="TaijiShanzi C",948,IF(Atletas!V194="Taijiqiang C",949,IF(Atletas!V194="Bagua de Arma C",950,IF(Atletas!V194="Xingyi de Arma C",951,IF(Atletas!V194="Taijidao D",952,IF(Atletas!V194="TaijiShanzi D",953,IF(Atletas!V194="Taijiqiang D",954,IF(Atletas!V194="Bagua de Arma D",955,IF(Atletas!V194="Xingyi de Arma D",956,IF(Atletas!V194="Taijidao E",957,IF(Atletas!V194="TaijiShanzi E",958,IF(Atletas!V194="Taijiqiang E",959,IF(Atletas!V194="Bagua de Arma E",960,IF(Atletas!V194="Xingyi de Arma E",961,IF(Atletas!V194="Taijidao F",962,IF(Atletas!V194="TaijiShanzi F",963,IF(Atletas!V194="Taijiqiang F",964,IF(Atletas!V194="Bagua de Arma F",965,IF(Atletas!V194="Xingyi de Arma F",966,"")))))))))))))))))))))))))))))))</f>
        <v/>
      </c>
      <c r="CE203" s="66" t="str">
        <f>IF(CF203&lt;&gt;"","TJQ Padr. Wu-Hao E","")</f>
        <v/>
      </c>
      <c r="CF203" s="66" t="str">
        <f>IF(COUNTIF(BR:CD,1429)&gt;0,COUNTIF(BR:CD,1429),"")</f>
        <v/>
      </c>
      <c r="CG203" s="66" t="str">
        <f>IF(CH203&lt;&gt;"","TJQ Padr. Wu-Hao E","")</f>
        <v/>
      </c>
      <c r="CH203" s="66" t="str">
        <f>IF(COUNTIF(BR:CD,2429)&gt;0,COUNTIF(BR:CD,2429),"")</f>
        <v/>
      </c>
      <c r="CI203" s="66" t="str">
        <f>IF(CJ203&lt;&gt;"","TJQ Padr. Wu-Hao F","")</f>
        <v/>
      </c>
      <c r="CJ203" s="66" t="str">
        <f>IF(COUNTIF(BR:CD,11435)&gt;0,COUNTIF(BR:CD,11435),"")</f>
        <v/>
      </c>
      <c r="CK203" s="66" t="str">
        <f>IF(CL203&lt;&gt;"","TJQ Padr. Wu-Hao F","")</f>
        <v/>
      </c>
      <c r="CL203" s="66" t="str">
        <f>IF(COUNTIF(BR:CD,12435)&gt;0,COUNTIF(BR:CD,12435),"")</f>
        <v/>
      </c>
      <c r="CM203" s="50" t="str">
        <f xml:space="preserve"> IF(Atletas!W194="","",IF(Atletas!W194="Duilian de Mãos BC - Equipe 1",1,IF(Atletas!W194="Duilian de Mãos BC - Equipe 2",2,IF(Atletas!W194="Duilian de Armas BC - Equipe 1",3,IF(Atletas!W194="Duilian de Armas BC - Equipe 2",4,IF(Atletas!W194="Duilian de Mãos DE - Equipe 1",5,IF(Atletas!W194="Duilian de Mãos DE - Equipe 2",6,IF(Atletas!W194="Duilian de Armas DE - Equipe 1",7,IF(Atletas!W194="Duilian de Armas DE - Equipe 2",8,IF(Atletas!W194="Duilian de Tuishou - Equipe 1",9,IF(Atletas!W194="Duilian de Tuishou - Equipe 2",10,IF(Atletas!W194="Grupo Externo ABC - Equipe 1",11,IF(Atletas!W194="Grupo Externo ABC - Equipe 2",12,IF(Atletas!W194="Grupo Interno ABC - Equipe 1",13,IF(Atletas!W194="Grupo Interno ABC - Equipe 2",14,IF(Atletas!W194="Grupo Externo DEF - Equipe 1",15,IF(Atletas!W194="Grupo Externo DEF - Equipe 2",16,IF(Atletas!W194="Grupo Interno DEF - Equipe 1",17,IF(Atletas!W194="Grupo Interno DEF - Equipe 2",18,"")))))))))))))))))))</f>
        <v/>
      </c>
    </row>
    <row r="204" spans="2:91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 t="str">
        <f t="array" ref="Z204">IFERROR(INDEX(CE$7:CE$348,SMALL(IF(CE$7:CE$348&lt;&gt;"",ROW(CE$7:CE$348)-ROW(CE$7)+1),ROWS(CE$7:CE203))),"")</f>
        <v/>
      </c>
      <c r="AA204" s="3" t="str">
        <f t="array" ref="AA204">IFERROR(INDEX(CF$7:CF$348,SMALL(IF(CF$7:CF$348&lt;&gt;"",ROW(CF$7:CF$348)-ROW(CF$7)+1),ROWS(CF$7:CF203))),"")</f>
        <v/>
      </c>
      <c r="AB204" s="3" t="str">
        <f t="array" ref="AB204">IFERROR(INDEX(CG$7:CG$348,SMALL(IF(CG$7:CG$348&lt;&gt;"",ROW(CG$7:CG$348)-ROW(CG$7)+1),ROWS(CG$7:CG203))),"")</f>
        <v/>
      </c>
      <c r="AC204" s="3" t="str">
        <f t="array" ref="AC204">IFERROR(INDEX(CH$7:CH$348,SMALL(IF(CH$7:CH$348&lt;&gt;"",ROW(CH$7:CH$348)-ROW(CH$7)+1),ROWS(CH$7:CH203))),"")</f>
        <v/>
      </c>
      <c r="AD204" s="3" t="str">
        <f t="array" ref="AD204">IFERROR(INDEX(CI$7:CI$377,SMALL(IF(CI$7:CI$377&lt;&gt;"",ROW(CI$7:CI$377)-ROW(CI$7)+1),ROWS(CI$7:CI203))),"")</f>
        <v/>
      </c>
      <c r="AE204" s="3" t="str">
        <f t="array" ref="AE204">IFERROR(INDEX(CJ$7:CJ$378,SMALL(IF(CJ$7:CJ$378&lt;&gt;"",ROW(CJ$7:CJ$378)-ROW(CJ$7)+1),ROWS(CJ$7:CJ203))),"")</f>
        <v/>
      </c>
      <c r="AF204" s="3" t="str">
        <f t="array" ref="AF204">IFERROR(INDEX(CK$7:CK$378,SMALL(IF(CK$7:CK$378&lt;&gt;"",ROW(CK$7:CK$378)-ROW(CK$7)+1),ROWS(CK$7:CK203))),"")</f>
        <v/>
      </c>
      <c r="AG204" s="3" t="str">
        <f t="array" ref="AG204">IFERROR(INDEX(CL$7:CL$378,SMALL(IF(CL$7:CL$378&lt;&gt;"",ROW(CL$7:CL$378)-ROW(CL$7)+1),ROWS(CL$7:CL203))),"")</f>
        <v/>
      </c>
      <c r="AH204" s="3"/>
      <c r="AI204" s="3"/>
      <c r="AJ204" s="3"/>
      <c r="AK204" s="3"/>
      <c r="AL204" s="3"/>
      <c r="AM204" s="3"/>
      <c r="AN204" s="52" t="str">
        <f>IF(Atletas!D195="","",IF(Atletas!B195="Feminino",100,IF(Atletas!B195="Masculino",200,""))+(IF(Atletas!D195="Kids 30kg",1,IF(Atletas!D195="Kids 32kg",2, IF(Atletas!D195="Kids 34kg",3,IF(Atletas!D195="Kids 36kg",4,IF(Atletas!D195="Kids 39kg",5,IF(Atletas!D195="Kids 42kg",6,IF(Atletas!D195="Kids 45kg",7, IF(Atletas!D195="Infantil 39kg",8,IF(Atletas!D195="Infantil 42kg",9,IF(Atletas!D195="Infantil 45kg",10,IF(Atletas!D195="Infantil 48kg",11,IF(Atletas!D195="Infantil 52kg",12,IF(Atletas!D195="Infantil 56kg",13,IF(Atletas!D195="Infantil 60kg",14,IF(Atletas!D195="Juvenil 48kg",15,IF(Atletas!D195="Juvenil 52kg",16,IF(Atletas!D195="Juvenil 56kg",17,IF(Atletas!D195="Juvenil 60kg",18,IF(Atletas!D195="Juvenil 65kg",19,IF(Atletas!D195="Juvenil 70kg",20,IF(Atletas!D195="Juvenil 75kg",21,IF(Atletas!D195="Juvenil 80kg",22, IF(Atletas!D195="Juvenil 85kg",23,IF(Atletas!D195="Adulto 48kg",24,IF(Atletas!D195="Adulto 52kg",25,IF(Atletas!D195="Adulto 56kg",26,IF(Atletas!D195="Adulto 60kg",27,IF(Atletas!D195="Adulto 65kg",28,IF(Atletas!D195="Adulto 70kg",29,IF(Atletas!D195="Adulto 75kg",30,IF(Atletas!D195="Adulto 80kg",31,IF(Atletas!D195="Adulto 85kg",32,IF(Atletas!D195="Adulto 90kg",33,IF(Atletas!D195="Adulto 100kg",34, IF(Atletas!D195="Adulto +100kg",35,"")))))))))))))))))))))))))))))))))))))</f>
        <v/>
      </c>
      <c r="AS204" s="6" t="str">
        <f>IF(Atletas!E195="","",IF(Atletas!B195="Feminino",100,IF(Atletas!B195="Masculino",200,""))+(IF(Atletas!E195="Juvenil 44kg",1,IF(Atletas!E195="Juvenil 48kg",2,IF(Atletas!E195="Juvenil 52kg",3,IF(Atletas!E195="Juvenil 56kg",4,IF(Atletas!E195="Juvenil 60kg",5,IF(Atletas!E195="Juvenil 65kg",6,IF(Atletas!E195="Juvenil 70kg",7,IF(Atletas!E195="Juvenil 75kg",8,IF(Atletas!E195="Juvenil 82kg",9,IF(Atletas!E195="Juvenil 90kg",10,IF(Atletas!E195="Juvenil 100kg",11,IF(Atletas!E195="Adulto 48kg",12,IF(Atletas!E195="Adulto 52kg",13,IF(Atletas!E195="Adulto 56kg",14,IF(Atletas!E195="Adulto 60kg",15,IF(Atletas!E195="Adulto 65kg",16,IF(Atletas!E195="Adulto 70kg",17,IF(Atletas!E195="Adulto 75kg",18,IF(Atletas!E195="Adulto 82kg",19,IF(Atletas!E195="Adulto 90kg",20,IF(Atletas!E195="Adulto 100kg",21,IF(Atletas!E195="Adulto +100kg",22,""))))))))))))))))))))))))</f>
        <v/>
      </c>
      <c r="AX204" s="6" t="str">
        <f>IF(Atletas!F195="","",IF(Atletas!B195="Feminino",100,IF(Atletas!B195="Masculino",200,""))+(IF(Atletas!F195="Adulto 48kg",1,IF(Atletas!F195="Adulto 56kg",2,IF(Atletas!F195="Adulto 65kg",3,IF(Atletas!F195="Adulto 75kg",4,IF(Atletas!F195="Adulto +75kg",5,IF(Atletas!F195="Adulto 52kg",6,IF(Atletas!F195="Adulto 60kg",7,IF(Atletas!F195="Adulto 70kg",8,IF(Atletas!F195="Adulto 80kg",9,IF(Atletas!F195="Adulto 90kg",10,IF(Atletas!F195="Adulto +90kg",11,"")))))))))))))</f>
        <v/>
      </c>
      <c r="BC204" s="6" t="str">
        <f>IF(Atletas!G195="","",IF(Atletas!B195="Feminino",10,IF(Atletas!B195="Masculino",20,""))+(IF(Atletas!G195="Baduanjin A",1,IF(Atletas!G195="Baduanjin B",2))))</f>
        <v/>
      </c>
      <c r="BF204" s="52" t="str">
        <f>IF(Atletas!H195="","",IF(Atletas!B195="Feminino",100,IF(Atletas!B195="Masculino",200,""))+(IF(Atletas!H195="Changquan Mirim",1,IF(Atletas!H195="Nanquan Mirim",2,IF(Atletas!H195="Taijiquan Mirim",3,IF(Atletas!H195="Changquan Grupo C",4,IF(Atletas!H195="Nanquan Grupo C",5,IF(Atletas!H195="Taijiquan Grupo C",6,IF(Atletas!H195="Changquan Grupo B",7,IF(Atletas!H195="Nanquan Grupo B",8,IF(Atletas!H195="Taijiquan Grupo B",9,IF(Atletas!H195="Changquan Grupo A",10,IF(Atletas!H195="Nanquan Grupo A",11,IF(Atletas!H195="Taijiquan Grupo A",12,IF(Atletas!H195="Changquan Opcional",13,IF(Atletas!H195="Nanquan Opcional",14,IF(Atletas!H195="Taijiquan Opcional",15,IF(Atletas!H195="Changquan Adulto",16,IF(Atletas!H195="Nanquan Adulto",17,IF(Atletas!H195="Taijiquan Adulto",18,""))))))))))))))))))))</f>
        <v/>
      </c>
      <c r="BG204" s="52" t="str">
        <f>IF(Atletas!I195="","",IF(Atletas!B195="Feminino",100,IF(Atletas!B195="Masculino",200,""))+(IF(Atletas!I195="Daoshu Mirim",19,IF(Atletas!I195="Jianshu Mirim",20,IF(Atletas!I195="Nandao Mirim",21,IF(Atletas!I195="Taijijian Mirim",22,IF(Atletas!I195="Daoshu Grupo C",23,IF(Atletas!I195="Jianshu Grupo C",24,IF(Atletas!I195="Nandao Grupo C",25,IF(Atletas!I195="Taijijian Grupo C",26,IF(Atletas!I195="Daoshu Grupo B",27,IF(Atletas!I195="Jianshu Grupo B",28,IF(Atletas!I195="Nandao Grupo B",29,IF(Atletas!I195="Taijijian Grupo B",30,IF(Atletas!I195="Daoshu Grupo A",31,IF(Atletas!I195="Jianshu Grupo A",32,IF(Atletas!I195="Nandao Grupo A",33,IF(Atletas!I195="Taijijian Grupo A",34,IF(Atletas!I195="Daoshu Opcional",35,IF(Atletas!I195="Jianshu Opcional",36,IF(Atletas!I195="Nandao Opcional",37,IF(Atletas!I195="Taijijian Opcional",38,IF(Atletas!I195="Daoshu Adulto",39,IF(Atletas!I195="Jianshu Adulto",40,IF(Atletas!I195="Nandao Adulto",41,IF(Atletas!I195="Taijijian Adulto",42,""))))))))))))))))))))))))))</f>
        <v/>
      </c>
      <c r="BH204" s="52" t="str">
        <f>IF(Atletas!J195="","",IF(Atletas!B195="Feminino",100,IF(Atletas!B195="Masculino",200,""))+(IF(Atletas!J195="Gunshu Mirim",43,IF(Atletas!J195="Qiangshu Mirim",44,IF(Atletas!J195="Nangun Mirim",45,IF(Atletas!J195="Gunshu Grupo C",46,IF(Atletas!J195="Qiangshu Grupo C",47,IF(Atletas!J195="Nangun Grupo C",48,IF(Atletas!J195="Gunshu Grupo B",49,IF(Atletas!J195="Qiangshu Grupo B",50,IF(Atletas!J195="Nangun Grupo B",51,IF(Atletas!J195="Gunshu Grupo A",52,IF(Atletas!J195="Qiangshu Grupo A",53,IF(Atletas!J195="Nangun Grupo A",54,IF(Atletas!J195="Gunshu Opcional",55,IF(Atletas!J195="Qiangshu Opcional",56,IF(Atletas!J195="Nangun Opcional",57,IF(Atletas!J195="Gunshu Adulto",58,IF(Atletas!J195="Qiangshu Adulto",59,IF(Atletas!J195="Nangun Adulto",60,IF(Atletas!J195="Taijishan Grupo B",61,IF(Atletas!J195="Taijishan Grupo A",62,""))))))))))))))))))))))</f>
        <v/>
      </c>
      <c r="BM204" s="50" t="str">
        <f>IF(Atletas!K195="","",IF(Atletas!B195="Feminino",100,IF(Atletas!B195="Masculino",200,""))+(IF(Atletas!K195="Equipe 1 Grupo B",1,IF(Atletas!K195="Equipe 2 Grupo B",2,IF(Atletas!K195="Equipe 1 Grupo A",3,IF(Atletas!K195="Equipe 2 Grupo A",4,IF(Atletas!K195="Equipe 1 Adulto",5,IF(Atletas!K195="Equipe 2 Adulto",6,""))))))))</f>
        <v/>
      </c>
      <c r="BR204" s="50" t="str">
        <f>IF(Atletas!L195="","",IF(Atletas!X195&lt;&gt;"",10000,0)+(IF(Atletas!B195="Feminino",1000,IF(Atletas!B195="Masculino",2000,""))+IF(Atletas!L195="Choylayfut A",1,IF(Atletas!L195="Hunggar A",2,IF(Atletas!L195="Wuzuquan A",3,IF(Atletas!L195="Wingchun A",4,IF(Atletas!L195="Outra Mão de Sul A",5,IF(Atletas!L195="Choylayfut B",6,IF(Atletas!L195="Hunggar B",7,IF(Atletas!L195="Wuzuquan B",8,IF(Atletas!L195="Wingchun B",9,IF(Atletas!L195="Outra Mão de Sul B",10,IF(Atletas!L195="Choylayfut C",11,IF(Atletas!L195="Hunggar C",12,IF(Atletas!L195="Wuzuquan C",13,IF(Atletas!L195="Wingchun C",14,IF(Atletas!L195="Outra Mão de Sul C",15,IF(Atletas!L195="Choylayfut D",16,IF(Atletas!L195="Hunggar D",17,IF(Atletas!L195="Wuzuquan D",18,IF(Atletas!L195="Wingchun D",19,IF(Atletas!L195="Outra Mão de Sul D",20,IF(Atletas!L195="Choylayfut E",21,IF(Atletas!L195="Hunggar E",22,IF(Atletas!L195="Wuzuquan E",23,IF(Atletas!L195="Wingchun E",24,IF(Atletas!L195="Outra Mão de Sul E",25,IF(Atletas!L195="Choylayfut F",26,IF(Atletas!L195="Hunggar F",27,IF(Atletas!L195="Wuzuquan F",28,IF(Atletas!L195="Wingchun F",29,IF(Atletas!L195="Outra Mão de Sul F",30,IF(Atletas!L195="Dishuquan A",31,IF(Atletas!L195="Dishuquan B",32,IF(Atletas!L195="Dishuquan C",33,IF(Atletas!L195="Dishuquan D",34,IF(Atletas!L195="Dishuquan E",35,IF(Atletas!L195="Dishuquan F",36,""))))))))))))))))))))))))))))))))))))))</f>
        <v/>
      </c>
      <c r="BS204" s="50" t="str">
        <f>IF(Atletas!M195="","",IF(Atletas!X195&lt;&gt;"",10000,0)+(IF(Atletas!B195="Feminino",1000,IF(Atletas!B195="Masculino",2000,""))+(IF(Atletas!M195="Chaquan A",101,IF(Atletas!M195="Emeiquan A",102,IF(Atletas!M195="Fanziquan A",103,IF(Atletas!M195="Huaquan A",104,IF(Atletas!M195="Hongquan A",105,IF(Atletas!M195="Paoquan A",106,IF(Atletas!M195="Piguaquan A",107,IF(Atletas!M195="Shaolinquan A",108,IF(Atletas!M195="Tanglangquan A",109,IF(Atletas!M195="Yingzhaoquan A",110,IF(Atletas!M195="Tongbeiquan A",111,IF(Atletas!M195="Wudangquan A",112,IF(Atletas!M195="Outros Estilos A",113,IF(Atletas!M195="Chaquan B",114,IF(Atletas!M195="Emeiquan B",115,IF(Atletas!M195="Fanziquan B",116,IF(Atletas!M195="Huaquan B",117,IF(Atletas!M195="Hongquan B",118,IF(Atletas!M195="Paoquan B",119,IF(Atletas!M195="Piguaquan B",120,IF(Atletas!M195="Shaolinquan B",121,IF(Atletas!M195="Tanglangquan B",122,IF(Atletas!M195="Yingzhaoquan B",123,IF(Atletas!M195="Tongbeiquan B",124,IF(Atletas!M195="Wudangquan B",125,IF(Atletas!M195="Outros Estilos B",126,IF(Atletas!M195="Chaquan C",127,IF(Atletas!M195="Emeiquan C",128,IF(Atletas!M195="Fanziquan C",129,IF(Atletas!M195="Huaquan C",130,IF(Atletas!M195="Hongquan C",131,IF(Atletas!M195="Paoquan C",132,IF(Atletas!M195="Piguaquan C",133,IF(Atletas!M195="Shaolinquan C",134,IF(Atletas!M195="Tanglangquan C",135,IF(Atletas!M195="Yingzhaoquan C",136,IF(Atletas!M195="Tongbeiquan C",137,IF(Atletas!M195="Wudangquan C",138,IF(Atletas!M195="Outros Estilos C",139,0))))))))))))))))))))))))))))))))))))))))))</f>
        <v/>
      </c>
      <c r="BT204" s="50" t="str">
        <f>IF(Atletas!M195="","",IF(Atletas!X195&lt;&gt;"",10000,0)+(IF(Atletas!B195="Feminino",1000,IF(Atletas!B195="Masculino",2000,""))+(IF(Atletas!M195="Chaquan D",140,IF(Atletas!M195="Emeiquan D",141,IF(Atletas!M195="Fanziquan D",142,IF(Atletas!M195="Huaquan D",143,IF(Atletas!M195="Hongquan D",144,IF(Atletas!M195="Paoquan D",145,IF(Atletas!M195="Piguaquan D",146,IF(Atletas!M195="Shaolinquan D",147,IF(Atletas!M195="Tanglangquan D",148,IF(Atletas!M195="Yingzhaoquan D",149,IF(Atletas!M195="Tongbeiquan D",150,IF(Atletas!M195="Wudangquan D",151,IF(Atletas!M195="Outros Estilos D",152,IF(Atletas!M195="Chaquan E",153,IF(Atletas!M195="Emeiquan E",154,IF(Atletas!M195="Fanziquan E",155,IF(Atletas!M195="Huaquan E",156,IF(Atletas!M195="Hongquan E",157,IF(Atletas!M195="Paoquan E",158,IF(Atletas!M195="Piguaquan E",159,IF(Atletas!M195="Shaolinquan E",160,IF(Atletas!M195="Tanglangquan E",161,IF(Atletas!M195="Yingzhaoquan E",162,IF(Atletas!M195="Tongbeiquan E",163,IF(Atletas!M195="Wudangquan E",164,IF(Atletas!M195="Outros Estilos E",165,IF(Atletas!M195="Chaquan F",166,IF(Atletas!M195="Emeiquan F",167,IF(Atletas!M195="Fanziquan F",168,IF(Atletas!M195="Huaquan F",169,IF(Atletas!M195="Hongquan F",170,IF(Atletas!M195="Paoquan F",171,IF(Atletas!M195="Piguaquan F",172,IF(Atletas!M195="Shaolinquan F",173,IF(Atletas!M195="Tanglangquan F",174,IF(Atletas!M195="Yingzhaoquan F",175,IF(Atletas!M195="Tongbeiquan F",176,IF(Atletas!M195="Wudangquan F",177,IF(Atletas!M195="Outros Estilos F",178,0))))))))))))))))))))))))))))))))))))))))))</f>
        <v/>
      </c>
      <c r="BU204" s="50" t="str">
        <f>IF(Atletas!N195="","",IF(Atletas!X195&lt;&gt;"",10000,0)+(IF(Atletas!B195="Feminino",1000,IF(Atletas!B195="Masculino",2000,""))+(IF(Atletas!N195="Ditangquan A",201,IF(Atletas!N195="Houquan A",202,IF(Atletas!N195="Zuiquan A",203,IF(Atletas!N195="Ditangquan B",204,IF(Atletas!N195="Houquan B",205,IF(Atletas!N195="Zuiquan B",206,IF(Atletas!N195="Ditangquan C",207,IF(Atletas!N195="Houquan C",208,IF(Atletas!N195="Zuiquan C",209,IF(Atletas!N195="Ditangquan D",210,IF(Atletas!N195="Houquan D",211,IF(Atletas!N195="Zuiquan D",212,IF(Atletas!N195="Ditangquan E",213,IF(Atletas!N195="Houquan E",214,IF(Atletas!N195="Zuiquan E",215,IF(Atletas!N195="Ditangquan F",216,IF(Atletas!N195="Houquan F",217,IF(Atletas!N195="Zuiquan F",218,"")))))))))))))))))))))</f>
        <v/>
      </c>
      <c r="BV204" s="50" t="str">
        <f>IF(Atletas!O195="","",IF(Atletas!X195&lt;&gt;"",10000,0)+IF(Atletas!B195="Feminino",1000,IF(Atletas!B195="Masculino",2000,""))+IF(Atletas!O195="Yang A",301,IF(Atletas!O195="Chen A",302,IF(Atletas!O195="Sun A",303,IF(Atletas!O195="Wu A",304,IF(Atletas!O195="Wu-Hao A",305,IF(Atletas!O195="Outro Taijiquan A",306,IF(Atletas!O195="Yang B",307,IF(Atletas!O195="Chen B",308,IF(Atletas!O195="Sun B",309,IF(Atletas!O195="Wu B",310,IF(Atletas!O195="Wu-Hao B",311,IF(Atletas!O195="Outro Taijiquan B",312,IF(Atletas!O195="Yang C",313,IF(Atletas!O195="Chen C",314,IF(Atletas!O195="Sun C",315,IF(Atletas!O195="Wu C",316,IF(Atletas!O195="Wu-Hao C",317,IF(Atletas!O195="Outro Taijiquan C",318,IF(Atletas!O195="Yang D",319,IF(Atletas!O195="Chen D",320,IF(Atletas!O195="Sun D",321,IF(Atletas!O195="Wu D",322,IF(Atletas!O195="Wu-Hao D",323,IF(Atletas!O195="Outro Taijiquan D",324,IF(Atletas!O195="Yang E",325,IF(Atletas!O195="Chen E",326,IF(Atletas!O195="Sun E",327,IF(Atletas!O195="Wu E",328,IF(Atletas!O195="Wu-Hao E",329,IF(Atletas!O195="Outro Taijiquan E",330,IF(Atletas!O195="Yang F",331,IF(Atletas!O195="Chen F",332,IF(Atletas!O195="Sun F",333,IF(Atletas!O195="Wu F",334,IF(Atletas!O195="Wu-Hao F",335,IF(Atletas!O195="Outro Taijiquan F",336,"")))))))))))))))))))))))))))))))))))))</f>
        <v/>
      </c>
      <c r="BW204" s="50" t="str">
        <f>IF(Atletas!P195="","",IF(Atletas!X195&lt;&gt;"",10000,0)+IF(Atletas!B195="Feminino",1000,IF(Atletas!B195="Masculino",2000,""))+IF(OR(Atletas!P195="Yang 26 A",Atletas!P195="Yang 40 A"),401,IF(OR(Atletas!P195="Chen 25 A",Atletas!P195="Chen 36 A",Atletas!P195="Chen 56 A"),402,IF(Atletas!P195="Sun 73 A",403,IF(Atletas!P195="Wu 45 A",404,IF(Atletas!P195="Wu-Hao 46 A",405,IF(OR(Atletas!P195="Taijiquan 16 A",Atletas!P195="Taijiquan 24 A",Atletas!P195="Taijiquan 32 A",Atletas!P195="Taijiquan 42 A"),406,IF(OR(Atletas!P195="Yang 26 B",Atletas!P195="Yang 40 B"),407,IF(OR(Atletas!P195="Chen 25 B",Atletas!P195="Chen 36 B",Atletas!P195="Chen 56 B"),408,IF(Atletas!P195="Sun 73 B",409,IF(Atletas!P195="Wu 45 B",410,IF(Atletas!P195="Wu-Hao 46 B",411,IF(OR(Atletas!P195="Taijiquan 16 B",Atletas!P195="Taijiquan 24 B",Atletas!P195="Taijiquan 32 B",Atletas!P195="Taijiquan 42 B"),412,IF(OR(Atletas!P195="Yang 26 C",Atletas!P195="Yang 40 C"),413,IF(OR(Atletas!P195="Chen 25 C",Atletas!P195="Chen 36 C",Atletas!P195="Chen 56 C"),414,IF(Atletas!P195="Sun 73 C",415,IF(Atletas!P195="Wu 45 C",416,IF(Atletas!P195="Wu-Hao 46 C",417,IF(OR(Atletas!P195="Taijiquan 16 C",Atletas!P195="Taijiquan 24 C",Atletas!P195="Taijiquan 32 C",Atletas!P195="Taijiquan 42 C"),418,0)))))))))))))))))))</f>
        <v/>
      </c>
      <c r="BX204" s="50" t="str">
        <f>IF(Atletas!P195="","",IF(Atletas!X195&lt;&gt;"",10000,0)+IF(Atletas!B195="Feminino",1000,IF(Atletas!B195="Masculino",2000,""))+IF(OR(Atletas!P195="Yang 26 D",Atletas!P195="Yang 40 D"),419,IF(OR(Atletas!P195="Chen 25 D",Atletas!P195="Chen 36 D",Atletas!P195="Chen 56 D"),420,IF(Atletas!P195="Sun 73 D",421,IF(Atletas!P195="Wu 45 D",422,IF(Atletas!P195="Wu-Hao 46 D",423,IF(OR(Atletas!P195="Taijiquan 16 D",Atletas!P195="Taijiquan 24 D",Atletas!P195="Taijiquan 32 D",Atletas!P195="Taijiquan 42 D"),424,IF(OR(Atletas!P195="Yang 26 E",Atletas!P195="Yang 40 E"),425,IF(OR(Atletas!P195="Chen 25 E",Atletas!P195="Chen 36 E",Atletas!P195="Chen 56 E"),426,IF(Atletas!P195="Sun 73 E",427,IF(Atletas!P195="Wu 45 E",428,IF(Atletas!P195="Wu-Hao 46 E",429,IF(OR(Atletas!P195="Taijiquan 16 E",Atletas!P195="Taijiquan 24 E",Atletas!P195="Taijiquan 32 E",Atletas!P195="Taijiquan 42 E"),430,IF(OR(Atletas!P195="Yang 26 F",Atletas!P195="Yang 40 F"),431,IF(OR(Atletas!P195="Chen 25 F",Atletas!P195="Chen 36 F",Atletas!P195="Chen 56 F"),432,IF(Atletas!P195="Sun 73 F",433,IF(Atletas!P195="Wu 45 F",434,IF(Atletas!P195="Wu-Hao 46 F",435,IF(OR(Atletas!P195="Taijiquan 16 F",Atletas!P195="Taijiquan 24 F",Atletas!P195="Taijiquan 32 F",Atletas!P195="Taijiquan 42 F"),436,0)))))))))))))))))))</f>
        <v/>
      </c>
      <c r="BY204" s="50" t="str">
        <f>IF(Atletas!Q195="","",IF(Atletas!X195&lt;&gt;"",10000,0)+IF(Atletas!B195="Feminino",1000,IF(Atletas!B195="Masculino",2000,""))+IF(Atletas!Q195="Xingyiquan A",501,IF(Atletas!Q195="Baguazhang A",502,IF(Atletas!Q195="Outro Estilo Interno A",503,IF(Atletas!Q195="Xingyiquan B",504,IF(Atletas!Q195="Baguazhang B",505,IF(Atletas!Q195="Outro Estilo Interno B",506,IF(Atletas!Q195="Xingyiquan C",507,IF(Atletas!Q195="Baguazhang C",508,IF(Atletas!Q195="Outro Estilo Interno C",509,IF(Atletas!Q195="Xingyiquan D",510,IF(Atletas!Q195="Baguazhang D",511,IF(Atletas!Q195="Outro Estilo Interno D",512,IF(Atletas!Q195="Xingyiquan E",513,IF(Atletas!Q195="Baguazhang E",514,IF(Atletas!Q195="Outro Estilo Interno E",515,IF(Atletas!Q195="Xingyiquan F",516,IF(Atletas!Q195="Baguazhang F",517,IF(Atletas!Q195="Outro Estilo Interno F",518, "")))))))))))))))))))</f>
        <v/>
      </c>
      <c r="BZ204" s="50" t="str">
        <f>IF(Atletas!R195="","",IF(Atletas!X195&lt;&gt;"",10000,0)+IF(Atletas!B195="Feminino",1000,IF(Atletas!B195="Masculino",2000,""))+IF(Atletas!R195="Dao A",601,IF(Atletas!R195="Jian A",602,IF(Atletas!R195="Bishou A",603,IF(Atletas!R195="Shanzi A",604,IF(Atletas!R195="Outra Arma Curta A",605,IF(Atletas!R195="Dao B",606,IF(Atletas!R195="Jian B",607,IF(Atletas!R195="Bishou B",608,IF(Atletas!R195="Shanzi B",609,IF(Atletas!R195="Outra Arma Curta B",610,IF(Atletas!R195="Dao C",611,IF(Atletas!R195="Jian C",612,IF(Atletas!R195="Bishou C",613,IF(Atletas!R195="Shanzi C",614,IF(Atletas!R195="Outra Arma Curta C",615,IF(Atletas!R195="Dao D",616,IF(Atletas!R195="Jian D",617,IF(Atletas!R195="Bishou D",618,IF(Atletas!R195="Shanzi D",619,IF(Atletas!R195="Outra Arma Curta D",620,IF(Atletas!R195="Dao E",621,IF(Atletas!R195="Jian E",622,IF(Atletas!R195="Bishou E",623,IF(Atletas!R195="Shanzi E",624,IF(Atletas!R195="Outra Arma Curta E",625,IF(Atletas!R195="Dao F",626,IF(Atletas!R195="Jian F",627,IF(Atletas!R195="Bishou F",628,IF(Atletas!R195="Shanzi F",629,IF(Atletas!R195="Outra Arma Curta F",630, "")))))))))))))))))))))))))))))))</f>
        <v/>
      </c>
      <c r="CA204" s="50" t="str">
        <f>IF(Atletas!S195="","",IF(Atletas!X195&lt;&gt;"",10000,0)+IF(Atletas!B195="Feminino",1000,IF(Atletas!B195="Masculino",2000,""))+IF(Atletas!S195="Gun A",701,IF(Atletas!S195="Qiang A",702,IF(Atletas!S195="Pudao / Guandao A",703,IF(Atletas!S195="Outra Arma Longa A",704,IF(Atletas!S195="Gun B",705,IF(Atletas!S195="Qiang B",706,IF(Atletas!S195="Pudao / Guandao B",707,IF(Atletas!S195="Outra Arma Longa B",708,IF(Atletas!S195="Gun C",709,IF(Atletas!S195="Qiang C",710,IF(Atletas!S195="Pudao / Guandao C",711,IF(Atletas!S195="Outra Arma Longa C",712,IF(Atletas!S195="Gun D",713,IF(Atletas!S195="Qiang D",714,IF(Atletas!S195="Pudao / Guandao D",715,IF(Atletas!S195="Outra Arma Longa D",716,IF(Atletas!S195="Gun E",717,IF(Atletas!S195="Qiang E",718,IF(Atletas!S195="Pudao / Guandao E",719,IF(Atletas!S195="Outra Arma Longa E",720,IF(Atletas!S195="Gun F",721,IF(Atletas!S195="Qiang F",722,IF(Atletas!S195="Pudao / Guandao F",723,IF(Atletas!S195="Outra Arma Longa F",724,"")))))))))))))))))))))))))</f>
        <v/>
      </c>
      <c r="CB204" s="50" t="str">
        <f>IF(Atletas!T195="","",IF(Atletas!X195&lt;&gt;"",10000,0)+IF(Atletas!B195="Feminino",1000,IF(Atletas!B195="Masculino",2000,""))+IF(Atletas!T195="Outra Arma Dupla A",801,IF(Atletas!T195="Arma Maleável A",802,IF(Atletas!T195="Outra Arma Dupla B",803,IF(Atletas!T195="Arma Maleável B",804,IF(Atletas!T195="Outra Arma Dupla C",805,IF(Atletas!T195="Arma Maleável C",806,IF(Atletas!T195="Outra Arma Dupla D",807,IF(Atletas!T195="Arma Maleável D",808,IF(Atletas!T195="Outra Arma Dupla E",809,IF(Atletas!T195="Arma Maleável E",810,IF(Atletas!T195="Outra Arma Dupla F",811,IF(Atletas!T195="Arma Maleável F",812,IF(Atletas!T195="Shuangdao A",813,IF(Atletas!T195="Shuangdao B",814,IF(Atletas!T195="Shuangdao C",815,IF(Atletas!T195="Shuangdao D",816,IF(Atletas!T195="Shuangdao E",817,IF(Atletas!T195="Shuangdao F",818,"")))))))))))))))))))</f>
        <v/>
      </c>
      <c r="CC204" s="50" t="str">
        <f>IF(Atletas!U195="","",IF(Atletas!X195&lt;&gt;"",10000,0)+IF(Atletas!B195="Feminino",1000,IF(Atletas!B195="Masculino",2000,""))+IF(OR(Atletas!U195="Taijijian Yang A",Atletas!U195="Taijijian Yang Standard A"),901,IF(OR(Atletas!U195="Taijijian Chen A", Atletas!U195="Taijijian Chen Standard A"),902,IF(Atletas!U195="Taijijian Sun A",903,IF(Atletas!U195="Taijijian Wu A",904,IF(Atletas!U195="Taijijian Wu-Hao A",905,IF(OR(Atletas!U195="Taijijian 32 A",Atletas!U195="Taijijian 42 A"),906,IF(OR(Atletas!U195="Taijijian Yang B",Atletas!U195="Taijijian Yang Standard B"),907,IF(OR(Atletas!U195="Taijijian Chen B", Atletas!U195="Taijijian Chen Standard B"),908,IF(Atletas!U195="Taijijian Sun B",909,IF(Atletas!U195="Taijijian Wu B",910,IF(Atletas!U195="Taijijian Wu-Hao B",911,IF(OR(Atletas!U195="Taijijian 32 B",Atletas!U195="Taijijian 42 B"),912,IF(OR(Atletas!U195="Taijijian Yang C",Atletas!U195="Taijijian Yang Standard C"),913,IF(OR(Atletas!U195="Taijijian Chen C", Atletas!U195="Taijijian Chen Standard C"),914,IF(Atletas!U195="Taijijian Sun C",915,IF(Atletas!U195="Taijijian Wu C",916,IF(Atletas!U195="Taijijian Wu-Hao C",917,IF(OR(Atletas!U195="Taijijian 32 C",Atletas!U195="Taijijian 42 C"),918,IF(OR(Atletas!U195="Taijijian Yang D",Atletas!U195="Taijijian Yang Standard D"),919,IF(OR(Atletas!U195="Taijijian Chen D", Atletas!U195="Taijijian Chen Standard D"),920,IF(Atletas!U195="Taijijian Sun D",921,IF(Atletas!U195="Taijijian Wu D",922,IF(Atletas!U195="Taijijian Wu-Hao D",923,IF(OR(Atletas!U195="Taijijian 32 D",Atletas!U195="Taijijian 42 D"),924,IF(OR(Atletas!U195="Taijijian Yang E",Atletas!U195="Taijijian Yang Standard E"),925,IF(OR(Atletas!U195="Taijijian Chen E", Atletas!U195="Taijijian Chen Standard E"),926,IF(Atletas!U195="Taijijian Sun E",927,IF(Atletas!U195="Taijijian Wu E",928,IF(Atletas!U195="Taijijian Wu-Hao E",929,IF(OR(Atletas!U195="Taijijian 32 E",Atletas!U195="Taijijian 42 E"),930,IF(OR(Atletas!U195="Taijijian Yang F",Atletas!U195="Taijijian Yang Standard F"),931,IF(OR(Atletas!U195="Taijijian Chen F", Atletas!U195="Taijijian Chen Standard F"),932,IF(Atletas!U195="Taijijian Sun F",933,IF(Atletas!U195="Taijijian Wu F",934,IF(Atletas!U195="Taijijian Wu-Hao F",935,IF(OR(Atletas!U195="Taijijian 32 F",Atletas!U195="Taijijian 42 F"),936,"")))))))))))))))))))))))))))))))))))))</f>
        <v/>
      </c>
      <c r="CD204" s="50" t="str">
        <f>IF(Atletas!V195="","",IF(Atletas!X195&lt;&gt;"",10000,0)+IF(Atletas!B195="Feminino",1000,IF(Atletas!B195="Masculino",2000,""))+IF(Atletas!V195="Taijidao A",937,IF(Atletas!V195="TaijiShanzi A",938,IF(Atletas!V195="Taijiqiang A",939,IF(Atletas!V195="Bagua de Arma A",940,IF(Atletas!V195="Xingyi de Arma A",941,IF(Atletas!V195="Taijidao B",942,IF(Atletas!V195="TaijiShanzi B",943,IF(Atletas!V195="Taijiqiang B",944,IF(Atletas!V195="Bagua de Arma B",945,IF(Atletas!V195="Xingyi de Arma B",946,IF(Atletas!V195="Taijidao C",947,IF(Atletas!V195="TaijiShanzi C",948,IF(Atletas!V195="Taijiqiang C",949,IF(Atletas!V195="Bagua de Arma C",950,IF(Atletas!V195="Xingyi de Arma C",951,IF(Atletas!V195="Taijidao D",952,IF(Atletas!V195="TaijiShanzi D",953,IF(Atletas!V195="Taijiqiang D",954,IF(Atletas!V195="Bagua de Arma D",955,IF(Atletas!V195="Xingyi de Arma D",956,IF(Atletas!V195="Taijidao E",957,IF(Atletas!V195="TaijiShanzi E",958,IF(Atletas!V195="Taijiqiang E",959,IF(Atletas!V195="Bagua de Arma E",960,IF(Atletas!V195="Xingyi de Arma E",961,IF(Atletas!V195="Taijidao F",962,IF(Atletas!V195="TaijiShanzi F",963,IF(Atletas!V195="Taijiqiang F",964,IF(Atletas!V195="Bagua de Arma F",965,IF(Atletas!V195="Xingyi de Arma F",966,"")))))))))))))))))))))))))))))))</f>
        <v/>
      </c>
      <c r="CE204" s="66" t="str">
        <f>IF(CF204&lt;&gt;"","TJQ Padr. Combinado E","")</f>
        <v/>
      </c>
      <c r="CF204" s="66" t="str">
        <f>IF(COUNTIF(BR:CD,1430)&gt;0,COUNTIF(BR:CD,1430),"")</f>
        <v/>
      </c>
      <c r="CG204" s="66" t="str">
        <f>IF(CH204&lt;&gt;"","TJQ Padr. Combinado E","")</f>
        <v/>
      </c>
      <c r="CH204" s="66" t="str">
        <f>IF(COUNTIF(BR:CD,2430)&gt;0,COUNTIF(BR:CD,2430),"")</f>
        <v/>
      </c>
      <c r="CI204" s="66" t="str">
        <f>IF(CJ204&lt;&gt;"","TJQ Padr. Combinado F","")</f>
        <v/>
      </c>
      <c r="CJ204" s="66" t="str">
        <f>IF(COUNTIF(BR:CD,11436)&gt;0,COUNTIF(BR:CD,11436),"")</f>
        <v/>
      </c>
      <c r="CK204" s="66" t="str">
        <f>IF(CL204&lt;&gt;"","TJQ Padr. Combinado F","")</f>
        <v/>
      </c>
      <c r="CL204" s="66" t="str">
        <f>IF(COUNTIF(BR:CD,12436)&gt;0,COUNTIF(BR:CD,12436),"")</f>
        <v/>
      </c>
      <c r="CM204" s="50" t="str">
        <f xml:space="preserve"> IF(Atletas!W195="","",IF(Atletas!W195="Duilian de Mãos BC - Equipe 1",1,IF(Atletas!W195="Duilian de Mãos BC - Equipe 2",2,IF(Atletas!W195="Duilian de Armas BC - Equipe 1",3,IF(Atletas!W195="Duilian de Armas BC - Equipe 2",4,IF(Atletas!W195="Duilian de Mãos DE - Equipe 1",5,IF(Atletas!W195="Duilian de Mãos DE - Equipe 2",6,IF(Atletas!W195="Duilian de Armas DE - Equipe 1",7,IF(Atletas!W195="Duilian de Armas DE - Equipe 2",8,IF(Atletas!W195="Duilian de Tuishou - Equipe 1",9,IF(Atletas!W195="Duilian de Tuishou - Equipe 2",10,IF(Atletas!W195="Grupo Externo ABC - Equipe 1",11,IF(Atletas!W195="Grupo Externo ABC - Equipe 2",12,IF(Atletas!W195="Grupo Interno ABC - Equipe 1",13,IF(Atletas!W195="Grupo Interno ABC - Equipe 2",14,IF(Atletas!W195="Grupo Externo DEF - Equipe 1",15,IF(Atletas!W195="Grupo Externo DEF - Equipe 2",16,IF(Atletas!W195="Grupo Interno DEF - Equipe 1",17,IF(Atletas!W195="Grupo Interno DEF - Equipe 2",18,"")))))))))))))))))))</f>
        <v/>
      </c>
    </row>
    <row r="205" spans="2:91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 t="str">
        <f t="array" ref="Z205">IFERROR(INDEX(CE$7:CE$348,SMALL(IF(CE$7:CE$348&lt;&gt;"",ROW(CE$7:CE$348)-ROW(CE$7)+1),ROWS(CE$7:CE204))),"")</f>
        <v/>
      </c>
      <c r="AA205" s="3" t="str">
        <f t="array" ref="AA205">IFERROR(INDEX(CF$7:CF$348,SMALL(IF(CF$7:CF$348&lt;&gt;"",ROW(CF$7:CF$348)-ROW(CF$7)+1),ROWS(CF$7:CF204))),"")</f>
        <v/>
      </c>
      <c r="AB205" s="3" t="str">
        <f t="array" ref="AB205">IFERROR(INDEX(CG$7:CG$348,SMALL(IF(CG$7:CG$348&lt;&gt;"",ROW(CG$7:CG$348)-ROW(CG$7)+1),ROWS(CG$7:CG204))),"")</f>
        <v/>
      </c>
      <c r="AC205" s="3" t="str">
        <f t="array" ref="AC205">IFERROR(INDEX(CH$7:CH$348,SMALL(IF(CH$7:CH$348&lt;&gt;"",ROW(CH$7:CH$348)-ROW(CH$7)+1),ROWS(CH$7:CH204))),"")</f>
        <v/>
      </c>
      <c r="AD205" s="3" t="str">
        <f t="array" ref="AD205">IFERROR(INDEX(CI$7:CI$377,SMALL(IF(CI$7:CI$377&lt;&gt;"",ROW(CI$7:CI$377)-ROW(CI$7)+1),ROWS(CI$7:CI204))),"")</f>
        <v/>
      </c>
      <c r="AE205" s="3" t="str">
        <f t="array" ref="AE205">IFERROR(INDEX(CJ$7:CJ$378,SMALL(IF(CJ$7:CJ$378&lt;&gt;"",ROW(CJ$7:CJ$378)-ROW(CJ$7)+1),ROWS(CJ$7:CJ204))),"")</f>
        <v/>
      </c>
      <c r="AF205" s="3" t="str">
        <f t="array" ref="AF205">IFERROR(INDEX(CK$7:CK$378,SMALL(IF(CK$7:CK$378&lt;&gt;"",ROW(CK$7:CK$378)-ROW(CK$7)+1),ROWS(CK$7:CK204))),"")</f>
        <v/>
      </c>
      <c r="AG205" s="3" t="str">
        <f t="array" ref="AG205">IFERROR(INDEX(CL$7:CL$378,SMALL(IF(CL$7:CL$378&lt;&gt;"",ROW(CL$7:CL$378)-ROW(CL$7)+1),ROWS(CL$7:CL204))),"")</f>
        <v/>
      </c>
      <c r="AH205" s="3"/>
      <c r="AI205" s="3"/>
      <c r="AJ205" s="3"/>
      <c r="AK205" s="3"/>
      <c r="AL205" s="3"/>
      <c r="AM205" s="3"/>
      <c r="AN205" s="52" t="str">
        <f>IF(Atletas!D196="","",IF(Atletas!B196="Feminino",100,IF(Atletas!B196="Masculino",200,""))+(IF(Atletas!D196="Kids 30kg",1,IF(Atletas!D196="Kids 32kg",2, IF(Atletas!D196="Kids 34kg",3,IF(Atletas!D196="Kids 36kg",4,IF(Atletas!D196="Kids 39kg",5,IF(Atletas!D196="Kids 42kg",6,IF(Atletas!D196="Kids 45kg",7, IF(Atletas!D196="Infantil 39kg",8,IF(Atletas!D196="Infantil 42kg",9,IF(Atletas!D196="Infantil 45kg",10,IF(Atletas!D196="Infantil 48kg",11,IF(Atletas!D196="Infantil 52kg",12,IF(Atletas!D196="Infantil 56kg",13,IF(Atletas!D196="Infantil 60kg",14,IF(Atletas!D196="Juvenil 48kg",15,IF(Atletas!D196="Juvenil 52kg",16,IF(Atletas!D196="Juvenil 56kg",17,IF(Atletas!D196="Juvenil 60kg",18,IF(Atletas!D196="Juvenil 65kg",19,IF(Atletas!D196="Juvenil 70kg",20,IF(Atletas!D196="Juvenil 75kg",21,IF(Atletas!D196="Juvenil 80kg",22, IF(Atletas!D196="Juvenil 85kg",23,IF(Atletas!D196="Adulto 48kg",24,IF(Atletas!D196="Adulto 52kg",25,IF(Atletas!D196="Adulto 56kg",26,IF(Atletas!D196="Adulto 60kg",27,IF(Atletas!D196="Adulto 65kg",28,IF(Atletas!D196="Adulto 70kg",29,IF(Atletas!D196="Adulto 75kg",30,IF(Atletas!D196="Adulto 80kg",31,IF(Atletas!D196="Adulto 85kg",32,IF(Atletas!D196="Adulto 90kg",33,IF(Atletas!D196="Adulto 100kg",34, IF(Atletas!D196="Adulto +100kg",35,"")))))))))))))))))))))))))))))))))))))</f>
        <v/>
      </c>
      <c r="AS205" s="6" t="str">
        <f>IF(Atletas!E196="","",IF(Atletas!B196="Feminino",100,IF(Atletas!B196="Masculino",200,""))+(IF(Atletas!E196="Juvenil 44kg",1,IF(Atletas!E196="Juvenil 48kg",2,IF(Atletas!E196="Juvenil 52kg",3,IF(Atletas!E196="Juvenil 56kg",4,IF(Atletas!E196="Juvenil 60kg",5,IF(Atletas!E196="Juvenil 65kg",6,IF(Atletas!E196="Juvenil 70kg",7,IF(Atletas!E196="Juvenil 75kg",8,IF(Atletas!E196="Juvenil 82kg",9,IF(Atletas!E196="Juvenil 90kg",10,IF(Atletas!E196="Juvenil 100kg",11,IF(Atletas!E196="Adulto 48kg",12,IF(Atletas!E196="Adulto 52kg",13,IF(Atletas!E196="Adulto 56kg",14,IF(Atletas!E196="Adulto 60kg",15,IF(Atletas!E196="Adulto 65kg",16,IF(Atletas!E196="Adulto 70kg",17,IF(Atletas!E196="Adulto 75kg",18,IF(Atletas!E196="Adulto 82kg",19,IF(Atletas!E196="Adulto 90kg",20,IF(Atletas!E196="Adulto 100kg",21,IF(Atletas!E196="Adulto +100kg",22,""))))))))))))))))))))))))</f>
        <v/>
      </c>
      <c r="AX205" s="6" t="str">
        <f>IF(Atletas!F196="","",IF(Atletas!B196="Feminino",100,IF(Atletas!B196="Masculino",200,""))+(IF(Atletas!F196="Adulto 48kg",1,IF(Atletas!F196="Adulto 56kg",2,IF(Atletas!F196="Adulto 65kg",3,IF(Atletas!F196="Adulto 75kg",4,IF(Atletas!F196="Adulto +75kg",5,IF(Atletas!F196="Adulto 52kg",6,IF(Atletas!F196="Adulto 60kg",7,IF(Atletas!F196="Adulto 70kg",8,IF(Atletas!F196="Adulto 80kg",9,IF(Atletas!F196="Adulto 90kg",10,IF(Atletas!F196="Adulto +90kg",11,"")))))))))))))</f>
        <v/>
      </c>
      <c r="BC205" s="6" t="str">
        <f>IF(Atletas!G196="","",IF(Atletas!B196="Feminino",10,IF(Atletas!B196="Masculino",20,""))+(IF(Atletas!G196="Baduanjin A",1,IF(Atletas!G196="Baduanjin B",2))))</f>
        <v/>
      </c>
      <c r="BF205" s="52" t="str">
        <f>IF(Atletas!H196="","",IF(Atletas!B196="Feminino",100,IF(Atletas!B196="Masculino",200,""))+(IF(Atletas!H196="Changquan Mirim",1,IF(Atletas!H196="Nanquan Mirim",2,IF(Atletas!H196="Taijiquan Mirim",3,IF(Atletas!H196="Changquan Grupo C",4,IF(Atletas!H196="Nanquan Grupo C",5,IF(Atletas!H196="Taijiquan Grupo C",6,IF(Atletas!H196="Changquan Grupo B",7,IF(Atletas!H196="Nanquan Grupo B",8,IF(Atletas!H196="Taijiquan Grupo B",9,IF(Atletas!H196="Changquan Grupo A",10,IF(Atletas!H196="Nanquan Grupo A",11,IF(Atletas!H196="Taijiquan Grupo A",12,IF(Atletas!H196="Changquan Opcional",13,IF(Atletas!H196="Nanquan Opcional",14,IF(Atletas!H196="Taijiquan Opcional",15,IF(Atletas!H196="Changquan Adulto",16,IF(Atletas!H196="Nanquan Adulto",17,IF(Atletas!H196="Taijiquan Adulto",18,""))))))))))))))))))))</f>
        <v/>
      </c>
      <c r="BG205" s="52" t="str">
        <f>IF(Atletas!I196="","",IF(Atletas!B196="Feminino",100,IF(Atletas!B196="Masculino",200,""))+(IF(Atletas!I196="Daoshu Mirim",19,IF(Atletas!I196="Jianshu Mirim",20,IF(Atletas!I196="Nandao Mirim",21,IF(Atletas!I196="Taijijian Mirim",22,IF(Atletas!I196="Daoshu Grupo C",23,IF(Atletas!I196="Jianshu Grupo C",24,IF(Atletas!I196="Nandao Grupo C",25,IF(Atletas!I196="Taijijian Grupo C",26,IF(Atletas!I196="Daoshu Grupo B",27,IF(Atletas!I196="Jianshu Grupo B",28,IF(Atletas!I196="Nandao Grupo B",29,IF(Atletas!I196="Taijijian Grupo B",30,IF(Atletas!I196="Daoshu Grupo A",31,IF(Atletas!I196="Jianshu Grupo A",32,IF(Atletas!I196="Nandao Grupo A",33,IF(Atletas!I196="Taijijian Grupo A",34,IF(Atletas!I196="Daoshu Opcional",35,IF(Atletas!I196="Jianshu Opcional",36,IF(Atletas!I196="Nandao Opcional",37,IF(Atletas!I196="Taijijian Opcional",38,IF(Atletas!I196="Daoshu Adulto",39,IF(Atletas!I196="Jianshu Adulto",40,IF(Atletas!I196="Nandao Adulto",41,IF(Atletas!I196="Taijijian Adulto",42,""))))))))))))))))))))))))))</f>
        <v/>
      </c>
      <c r="BH205" s="52" t="str">
        <f>IF(Atletas!J196="","",IF(Atletas!B196="Feminino",100,IF(Atletas!B196="Masculino",200,""))+(IF(Atletas!J196="Gunshu Mirim",43,IF(Atletas!J196="Qiangshu Mirim",44,IF(Atletas!J196="Nangun Mirim",45,IF(Atletas!J196="Gunshu Grupo C",46,IF(Atletas!J196="Qiangshu Grupo C",47,IF(Atletas!J196="Nangun Grupo C",48,IF(Atletas!J196="Gunshu Grupo B",49,IF(Atletas!J196="Qiangshu Grupo B",50,IF(Atletas!J196="Nangun Grupo B",51,IF(Atletas!J196="Gunshu Grupo A",52,IF(Atletas!J196="Qiangshu Grupo A",53,IF(Atletas!J196="Nangun Grupo A",54,IF(Atletas!J196="Gunshu Opcional",55,IF(Atletas!J196="Qiangshu Opcional",56,IF(Atletas!J196="Nangun Opcional",57,IF(Atletas!J196="Gunshu Adulto",58,IF(Atletas!J196="Qiangshu Adulto",59,IF(Atletas!J196="Nangun Adulto",60,IF(Atletas!J196="Taijishan Grupo B",61,IF(Atletas!J196="Taijishan Grupo A",62,""))))))))))))))))))))))</f>
        <v/>
      </c>
      <c r="BM205" s="50" t="str">
        <f>IF(Atletas!K196="","",IF(Atletas!B196="Feminino",100,IF(Atletas!B196="Masculino",200,""))+(IF(Atletas!K196="Equipe 1 Grupo B",1,IF(Atletas!K196="Equipe 2 Grupo B",2,IF(Atletas!K196="Equipe 1 Grupo A",3,IF(Atletas!K196="Equipe 2 Grupo A",4,IF(Atletas!K196="Equipe 1 Adulto",5,IF(Atletas!K196="Equipe 2 Adulto",6,""))))))))</f>
        <v/>
      </c>
      <c r="BR205" s="50" t="str">
        <f>IF(Atletas!L196="","",IF(Atletas!X196&lt;&gt;"",10000,0)+(IF(Atletas!B196="Feminino",1000,IF(Atletas!B196="Masculino",2000,""))+IF(Atletas!L196="Choylayfut A",1,IF(Atletas!L196="Hunggar A",2,IF(Atletas!L196="Wuzuquan A",3,IF(Atletas!L196="Wingchun A",4,IF(Atletas!L196="Outra Mão de Sul A",5,IF(Atletas!L196="Choylayfut B",6,IF(Atletas!L196="Hunggar B",7,IF(Atletas!L196="Wuzuquan B",8,IF(Atletas!L196="Wingchun B",9,IF(Atletas!L196="Outra Mão de Sul B",10,IF(Atletas!L196="Choylayfut C",11,IF(Atletas!L196="Hunggar C",12,IF(Atletas!L196="Wuzuquan C",13,IF(Atletas!L196="Wingchun C",14,IF(Atletas!L196="Outra Mão de Sul C",15,IF(Atletas!L196="Choylayfut D",16,IF(Atletas!L196="Hunggar D",17,IF(Atletas!L196="Wuzuquan D",18,IF(Atletas!L196="Wingchun D",19,IF(Atletas!L196="Outra Mão de Sul D",20,IF(Atletas!L196="Choylayfut E",21,IF(Atletas!L196="Hunggar E",22,IF(Atletas!L196="Wuzuquan E",23,IF(Atletas!L196="Wingchun E",24,IF(Atletas!L196="Outra Mão de Sul E",25,IF(Atletas!L196="Choylayfut F",26,IF(Atletas!L196="Hunggar F",27,IF(Atletas!L196="Wuzuquan F",28,IF(Atletas!L196="Wingchun F",29,IF(Atletas!L196="Outra Mão de Sul F",30,IF(Atletas!L196="Dishuquan A",31,IF(Atletas!L196="Dishuquan B",32,IF(Atletas!L196="Dishuquan C",33,IF(Atletas!L196="Dishuquan D",34,IF(Atletas!L196="Dishuquan E",35,IF(Atletas!L196="Dishuquan F",36,""))))))))))))))))))))))))))))))))))))))</f>
        <v/>
      </c>
      <c r="BS205" s="50" t="str">
        <f>IF(Atletas!M196="","",IF(Atletas!X196&lt;&gt;"",10000,0)+(IF(Atletas!B196="Feminino",1000,IF(Atletas!B196="Masculino",2000,""))+(IF(Atletas!M196="Chaquan A",101,IF(Atletas!M196="Emeiquan A",102,IF(Atletas!M196="Fanziquan A",103,IF(Atletas!M196="Huaquan A",104,IF(Atletas!M196="Hongquan A",105,IF(Atletas!M196="Paoquan A",106,IF(Atletas!M196="Piguaquan A",107,IF(Atletas!M196="Shaolinquan A",108,IF(Atletas!M196="Tanglangquan A",109,IF(Atletas!M196="Yingzhaoquan A",110,IF(Atletas!M196="Tongbeiquan A",111,IF(Atletas!M196="Wudangquan A",112,IF(Atletas!M196="Outros Estilos A",113,IF(Atletas!M196="Chaquan B",114,IF(Atletas!M196="Emeiquan B",115,IF(Atletas!M196="Fanziquan B",116,IF(Atletas!M196="Huaquan B",117,IF(Atletas!M196="Hongquan B",118,IF(Atletas!M196="Paoquan B",119,IF(Atletas!M196="Piguaquan B",120,IF(Atletas!M196="Shaolinquan B",121,IF(Atletas!M196="Tanglangquan B",122,IF(Atletas!M196="Yingzhaoquan B",123,IF(Atletas!M196="Tongbeiquan B",124,IF(Atletas!M196="Wudangquan B",125,IF(Atletas!M196="Outros Estilos B",126,IF(Atletas!M196="Chaquan C",127,IF(Atletas!M196="Emeiquan C",128,IF(Atletas!M196="Fanziquan C",129,IF(Atletas!M196="Huaquan C",130,IF(Atletas!M196="Hongquan C",131,IF(Atletas!M196="Paoquan C",132,IF(Atletas!M196="Piguaquan C",133,IF(Atletas!M196="Shaolinquan C",134,IF(Atletas!M196="Tanglangquan C",135,IF(Atletas!M196="Yingzhaoquan C",136,IF(Atletas!M196="Tongbeiquan C",137,IF(Atletas!M196="Wudangquan C",138,IF(Atletas!M196="Outros Estilos C",139,0))))))))))))))))))))))))))))))))))))))))))</f>
        <v/>
      </c>
      <c r="BT205" s="50" t="str">
        <f>IF(Atletas!M196="","",IF(Atletas!X196&lt;&gt;"",10000,0)+(IF(Atletas!B196="Feminino",1000,IF(Atletas!B196="Masculino",2000,""))+(IF(Atletas!M196="Chaquan D",140,IF(Atletas!M196="Emeiquan D",141,IF(Atletas!M196="Fanziquan D",142,IF(Atletas!M196="Huaquan D",143,IF(Atletas!M196="Hongquan D",144,IF(Atletas!M196="Paoquan D",145,IF(Atletas!M196="Piguaquan D",146,IF(Atletas!M196="Shaolinquan D",147,IF(Atletas!M196="Tanglangquan D",148,IF(Atletas!M196="Yingzhaoquan D",149,IF(Atletas!M196="Tongbeiquan D",150,IF(Atletas!M196="Wudangquan D",151,IF(Atletas!M196="Outros Estilos D",152,IF(Atletas!M196="Chaquan E",153,IF(Atletas!M196="Emeiquan E",154,IF(Atletas!M196="Fanziquan E",155,IF(Atletas!M196="Huaquan E",156,IF(Atletas!M196="Hongquan E",157,IF(Atletas!M196="Paoquan E",158,IF(Atletas!M196="Piguaquan E",159,IF(Atletas!M196="Shaolinquan E",160,IF(Atletas!M196="Tanglangquan E",161,IF(Atletas!M196="Yingzhaoquan E",162,IF(Atletas!M196="Tongbeiquan E",163,IF(Atletas!M196="Wudangquan E",164,IF(Atletas!M196="Outros Estilos E",165,IF(Atletas!M196="Chaquan F",166,IF(Atletas!M196="Emeiquan F",167,IF(Atletas!M196="Fanziquan F",168,IF(Atletas!M196="Huaquan F",169,IF(Atletas!M196="Hongquan F",170,IF(Atletas!M196="Paoquan F",171,IF(Atletas!M196="Piguaquan F",172,IF(Atletas!M196="Shaolinquan F",173,IF(Atletas!M196="Tanglangquan F",174,IF(Atletas!M196="Yingzhaoquan F",175,IF(Atletas!M196="Tongbeiquan F",176,IF(Atletas!M196="Wudangquan F",177,IF(Atletas!M196="Outros Estilos F",178,0))))))))))))))))))))))))))))))))))))))))))</f>
        <v/>
      </c>
      <c r="BU205" s="50" t="str">
        <f>IF(Atletas!N196="","",IF(Atletas!X196&lt;&gt;"",10000,0)+(IF(Atletas!B196="Feminino",1000,IF(Atletas!B196="Masculino",2000,""))+(IF(Atletas!N196="Ditangquan A",201,IF(Atletas!N196="Houquan A",202,IF(Atletas!N196="Zuiquan A",203,IF(Atletas!N196="Ditangquan B",204,IF(Atletas!N196="Houquan B",205,IF(Atletas!N196="Zuiquan B",206,IF(Atletas!N196="Ditangquan C",207,IF(Atletas!N196="Houquan C",208,IF(Atletas!N196="Zuiquan C",209,IF(Atletas!N196="Ditangquan D",210,IF(Atletas!N196="Houquan D",211,IF(Atletas!N196="Zuiquan D",212,IF(Atletas!N196="Ditangquan E",213,IF(Atletas!N196="Houquan E",214,IF(Atletas!N196="Zuiquan E",215,IF(Atletas!N196="Ditangquan F",216,IF(Atletas!N196="Houquan F",217,IF(Atletas!N196="Zuiquan F",218,"")))))))))))))))))))))</f>
        <v/>
      </c>
      <c r="BV205" s="50" t="str">
        <f>IF(Atletas!O196="","",IF(Atletas!X196&lt;&gt;"",10000,0)+IF(Atletas!B196="Feminino",1000,IF(Atletas!B196="Masculino",2000,""))+IF(Atletas!O196="Yang A",301,IF(Atletas!O196="Chen A",302,IF(Atletas!O196="Sun A",303,IF(Atletas!O196="Wu A",304,IF(Atletas!O196="Wu-Hao A",305,IF(Atletas!O196="Outro Taijiquan A",306,IF(Atletas!O196="Yang B",307,IF(Atletas!O196="Chen B",308,IF(Atletas!O196="Sun B",309,IF(Atletas!O196="Wu B",310,IF(Atletas!O196="Wu-Hao B",311,IF(Atletas!O196="Outro Taijiquan B",312,IF(Atletas!O196="Yang C",313,IF(Atletas!O196="Chen C",314,IF(Atletas!O196="Sun C",315,IF(Atletas!O196="Wu C",316,IF(Atletas!O196="Wu-Hao C",317,IF(Atletas!O196="Outro Taijiquan C",318,IF(Atletas!O196="Yang D",319,IF(Atletas!O196="Chen D",320,IF(Atletas!O196="Sun D",321,IF(Atletas!O196="Wu D",322,IF(Atletas!O196="Wu-Hao D",323,IF(Atletas!O196="Outro Taijiquan D",324,IF(Atletas!O196="Yang E",325,IF(Atletas!O196="Chen E",326,IF(Atletas!O196="Sun E",327,IF(Atletas!O196="Wu E",328,IF(Atletas!O196="Wu-Hao E",329,IF(Atletas!O196="Outro Taijiquan E",330,IF(Atletas!O196="Yang F",331,IF(Atletas!O196="Chen F",332,IF(Atletas!O196="Sun F",333,IF(Atletas!O196="Wu F",334,IF(Atletas!O196="Wu-Hao F",335,IF(Atletas!O196="Outro Taijiquan F",336,"")))))))))))))))))))))))))))))))))))))</f>
        <v/>
      </c>
      <c r="BW205" s="50" t="str">
        <f>IF(Atletas!P196="","",IF(Atletas!X196&lt;&gt;"",10000,0)+IF(Atletas!B196="Feminino",1000,IF(Atletas!B196="Masculino",2000,""))+IF(OR(Atletas!P196="Yang 26 A",Atletas!P196="Yang 40 A"),401,IF(OR(Atletas!P196="Chen 25 A",Atletas!P196="Chen 36 A",Atletas!P196="Chen 56 A"),402,IF(Atletas!P196="Sun 73 A",403,IF(Atletas!P196="Wu 45 A",404,IF(Atletas!P196="Wu-Hao 46 A",405,IF(OR(Atletas!P196="Taijiquan 16 A",Atletas!P196="Taijiquan 24 A",Atletas!P196="Taijiquan 32 A",Atletas!P196="Taijiquan 42 A"),406,IF(OR(Atletas!P196="Yang 26 B",Atletas!P196="Yang 40 B"),407,IF(OR(Atletas!P196="Chen 25 B",Atletas!P196="Chen 36 B",Atletas!P196="Chen 56 B"),408,IF(Atletas!P196="Sun 73 B",409,IF(Atletas!P196="Wu 45 B",410,IF(Atletas!P196="Wu-Hao 46 B",411,IF(OR(Atletas!P196="Taijiquan 16 B",Atletas!P196="Taijiquan 24 B",Atletas!P196="Taijiquan 32 B",Atletas!P196="Taijiquan 42 B"),412,IF(OR(Atletas!P196="Yang 26 C",Atletas!P196="Yang 40 C"),413,IF(OR(Atletas!P196="Chen 25 C",Atletas!P196="Chen 36 C",Atletas!P196="Chen 56 C"),414,IF(Atletas!P196="Sun 73 C",415,IF(Atletas!P196="Wu 45 C",416,IF(Atletas!P196="Wu-Hao 46 C",417,IF(OR(Atletas!P196="Taijiquan 16 C",Atletas!P196="Taijiquan 24 C",Atletas!P196="Taijiquan 32 C",Atletas!P196="Taijiquan 42 C"),418,0)))))))))))))))))))</f>
        <v/>
      </c>
      <c r="BX205" s="50" t="str">
        <f>IF(Atletas!P196="","",IF(Atletas!X196&lt;&gt;"",10000,0)+IF(Atletas!B196="Feminino",1000,IF(Atletas!B196="Masculino",2000,""))+IF(OR(Atletas!P196="Yang 26 D",Atletas!P196="Yang 40 D"),419,IF(OR(Atletas!P196="Chen 25 D",Atletas!P196="Chen 36 D",Atletas!P196="Chen 56 D"),420,IF(Atletas!P196="Sun 73 D",421,IF(Atletas!P196="Wu 45 D",422,IF(Atletas!P196="Wu-Hao 46 D",423,IF(OR(Atletas!P196="Taijiquan 16 D",Atletas!P196="Taijiquan 24 D",Atletas!P196="Taijiquan 32 D",Atletas!P196="Taijiquan 42 D"),424,IF(OR(Atletas!P196="Yang 26 E",Atletas!P196="Yang 40 E"),425,IF(OR(Atletas!P196="Chen 25 E",Atletas!P196="Chen 36 E",Atletas!P196="Chen 56 E"),426,IF(Atletas!P196="Sun 73 E",427,IF(Atletas!P196="Wu 45 E",428,IF(Atletas!P196="Wu-Hao 46 E",429,IF(OR(Atletas!P196="Taijiquan 16 E",Atletas!P196="Taijiquan 24 E",Atletas!P196="Taijiquan 32 E",Atletas!P196="Taijiquan 42 E"),430,IF(OR(Atletas!P196="Yang 26 F",Atletas!P196="Yang 40 F"),431,IF(OR(Atletas!P196="Chen 25 F",Atletas!P196="Chen 36 F",Atletas!P196="Chen 56 F"),432,IF(Atletas!P196="Sun 73 F",433,IF(Atletas!P196="Wu 45 F",434,IF(Atletas!P196="Wu-Hao 46 F",435,IF(OR(Atletas!P196="Taijiquan 16 F",Atletas!P196="Taijiquan 24 F",Atletas!P196="Taijiquan 32 F",Atletas!P196="Taijiquan 42 F"),436,0)))))))))))))))))))</f>
        <v/>
      </c>
      <c r="BY205" s="50" t="str">
        <f>IF(Atletas!Q196="","",IF(Atletas!X196&lt;&gt;"",10000,0)+IF(Atletas!B196="Feminino",1000,IF(Atletas!B196="Masculino",2000,""))+IF(Atletas!Q196="Xingyiquan A",501,IF(Atletas!Q196="Baguazhang A",502,IF(Atletas!Q196="Outro Estilo Interno A",503,IF(Atletas!Q196="Xingyiquan B",504,IF(Atletas!Q196="Baguazhang B",505,IF(Atletas!Q196="Outro Estilo Interno B",506,IF(Atletas!Q196="Xingyiquan C",507,IF(Atletas!Q196="Baguazhang C",508,IF(Atletas!Q196="Outro Estilo Interno C",509,IF(Atletas!Q196="Xingyiquan D",510,IF(Atletas!Q196="Baguazhang D",511,IF(Atletas!Q196="Outro Estilo Interno D",512,IF(Atletas!Q196="Xingyiquan E",513,IF(Atletas!Q196="Baguazhang E",514,IF(Atletas!Q196="Outro Estilo Interno E",515,IF(Atletas!Q196="Xingyiquan F",516,IF(Atletas!Q196="Baguazhang F",517,IF(Atletas!Q196="Outro Estilo Interno F",518, "")))))))))))))))))))</f>
        <v/>
      </c>
      <c r="BZ205" s="50" t="str">
        <f>IF(Atletas!R196="","",IF(Atletas!X196&lt;&gt;"",10000,0)+IF(Atletas!B196="Feminino",1000,IF(Atletas!B196="Masculino",2000,""))+IF(Atletas!R196="Dao A",601,IF(Atletas!R196="Jian A",602,IF(Atletas!R196="Bishou A",603,IF(Atletas!R196="Shanzi A",604,IF(Atletas!R196="Outra Arma Curta A",605,IF(Atletas!R196="Dao B",606,IF(Atletas!R196="Jian B",607,IF(Atletas!R196="Bishou B",608,IF(Atletas!R196="Shanzi B",609,IF(Atletas!R196="Outra Arma Curta B",610,IF(Atletas!R196="Dao C",611,IF(Atletas!R196="Jian C",612,IF(Atletas!R196="Bishou C",613,IF(Atletas!R196="Shanzi C",614,IF(Atletas!R196="Outra Arma Curta C",615,IF(Atletas!R196="Dao D",616,IF(Atletas!R196="Jian D",617,IF(Atletas!R196="Bishou D",618,IF(Atletas!R196="Shanzi D",619,IF(Atletas!R196="Outra Arma Curta D",620,IF(Atletas!R196="Dao E",621,IF(Atletas!R196="Jian E",622,IF(Atletas!R196="Bishou E",623,IF(Atletas!R196="Shanzi E",624,IF(Atletas!R196="Outra Arma Curta E",625,IF(Atletas!R196="Dao F",626,IF(Atletas!R196="Jian F",627,IF(Atletas!R196="Bishou F",628,IF(Atletas!R196="Shanzi F",629,IF(Atletas!R196="Outra Arma Curta F",630, "")))))))))))))))))))))))))))))))</f>
        <v/>
      </c>
      <c r="CA205" s="50" t="str">
        <f>IF(Atletas!S196="","",IF(Atletas!X196&lt;&gt;"",10000,0)+IF(Atletas!B196="Feminino",1000,IF(Atletas!B196="Masculino",2000,""))+IF(Atletas!S196="Gun A",701,IF(Atletas!S196="Qiang A",702,IF(Atletas!S196="Pudao / Guandao A",703,IF(Atletas!S196="Outra Arma Longa A",704,IF(Atletas!S196="Gun B",705,IF(Atletas!S196="Qiang B",706,IF(Atletas!S196="Pudao / Guandao B",707,IF(Atletas!S196="Outra Arma Longa B",708,IF(Atletas!S196="Gun C",709,IF(Atletas!S196="Qiang C",710,IF(Atletas!S196="Pudao / Guandao C",711,IF(Atletas!S196="Outra Arma Longa C",712,IF(Atletas!S196="Gun D",713,IF(Atletas!S196="Qiang D",714,IF(Atletas!S196="Pudao / Guandao D",715,IF(Atletas!S196="Outra Arma Longa D",716,IF(Atletas!S196="Gun E",717,IF(Atletas!S196="Qiang E",718,IF(Atletas!S196="Pudao / Guandao E",719,IF(Atletas!S196="Outra Arma Longa E",720,IF(Atletas!S196="Gun F",721,IF(Atletas!S196="Qiang F",722,IF(Atletas!S196="Pudao / Guandao F",723,IF(Atletas!S196="Outra Arma Longa F",724,"")))))))))))))))))))))))))</f>
        <v/>
      </c>
      <c r="CB205" s="50" t="str">
        <f>IF(Atletas!T196="","",IF(Atletas!X196&lt;&gt;"",10000,0)+IF(Atletas!B196="Feminino",1000,IF(Atletas!B196="Masculino",2000,""))+IF(Atletas!T196="Outra Arma Dupla A",801,IF(Atletas!T196="Arma Maleável A",802,IF(Atletas!T196="Outra Arma Dupla B",803,IF(Atletas!T196="Arma Maleável B",804,IF(Atletas!T196="Outra Arma Dupla C",805,IF(Atletas!T196="Arma Maleável C",806,IF(Atletas!T196="Outra Arma Dupla D",807,IF(Atletas!T196="Arma Maleável D",808,IF(Atletas!T196="Outra Arma Dupla E",809,IF(Atletas!T196="Arma Maleável E",810,IF(Atletas!T196="Outra Arma Dupla F",811,IF(Atletas!T196="Arma Maleável F",812,IF(Atletas!T196="Shuangdao A",813,IF(Atletas!T196="Shuangdao B",814,IF(Atletas!T196="Shuangdao C",815,IF(Atletas!T196="Shuangdao D",816,IF(Atletas!T196="Shuangdao E",817,IF(Atletas!T196="Shuangdao F",818,"")))))))))))))))))))</f>
        <v/>
      </c>
      <c r="CC205" s="50" t="str">
        <f>IF(Atletas!U196="","",IF(Atletas!X196&lt;&gt;"",10000,0)+IF(Atletas!B196="Feminino",1000,IF(Atletas!B196="Masculino",2000,""))+IF(OR(Atletas!U196="Taijijian Yang A",Atletas!U196="Taijijian Yang Standard A"),901,IF(OR(Atletas!U196="Taijijian Chen A", Atletas!U196="Taijijian Chen Standard A"),902,IF(Atletas!U196="Taijijian Sun A",903,IF(Atletas!U196="Taijijian Wu A",904,IF(Atletas!U196="Taijijian Wu-Hao A",905,IF(OR(Atletas!U196="Taijijian 32 A",Atletas!U196="Taijijian 42 A"),906,IF(OR(Atletas!U196="Taijijian Yang B",Atletas!U196="Taijijian Yang Standard B"),907,IF(OR(Atletas!U196="Taijijian Chen B", Atletas!U196="Taijijian Chen Standard B"),908,IF(Atletas!U196="Taijijian Sun B",909,IF(Atletas!U196="Taijijian Wu B",910,IF(Atletas!U196="Taijijian Wu-Hao B",911,IF(OR(Atletas!U196="Taijijian 32 B",Atletas!U196="Taijijian 42 B"),912,IF(OR(Atletas!U196="Taijijian Yang C",Atletas!U196="Taijijian Yang Standard C"),913,IF(OR(Atletas!U196="Taijijian Chen C", Atletas!U196="Taijijian Chen Standard C"),914,IF(Atletas!U196="Taijijian Sun C",915,IF(Atletas!U196="Taijijian Wu C",916,IF(Atletas!U196="Taijijian Wu-Hao C",917,IF(OR(Atletas!U196="Taijijian 32 C",Atletas!U196="Taijijian 42 C"),918,IF(OR(Atletas!U196="Taijijian Yang D",Atletas!U196="Taijijian Yang Standard D"),919,IF(OR(Atletas!U196="Taijijian Chen D", Atletas!U196="Taijijian Chen Standard D"),920,IF(Atletas!U196="Taijijian Sun D",921,IF(Atletas!U196="Taijijian Wu D",922,IF(Atletas!U196="Taijijian Wu-Hao D",923,IF(OR(Atletas!U196="Taijijian 32 D",Atletas!U196="Taijijian 42 D"),924,IF(OR(Atletas!U196="Taijijian Yang E",Atletas!U196="Taijijian Yang Standard E"),925,IF(OR(Atletas!U196="Taijijian Chen E", Atletas!U196="Taijijian Chen Standard E"),926,IF(Atletas!U196="Taijijian Sun E",927,IF(Atletas!U196="Taijijian Wu E",928,IF(Atletas!U196="Taijijian Wu-Hao E",929,IF(OR(Atletas!U196="Taijijian 32 E",Atletas!U196="Taijijian 42 E"),930,IF(OR(Atletas!U196="Taijijian Yang F",Atletas!U196="Taijijian Yang Standard F"),931,IF(OR(Atletas!U196="Taijijian Chen F", Atletas!U196="Taijijian Chen Standard F"),932,IF(Atletas!U196="Taijijian Sun F",933,IF(Atletas!U196="Taijijian Wu F",934,IF(Atletas!U196="Taijijian Wu-Hao F",935,IF(OR(Atletas!U196="Taijijian 32 F",Atletas!U196="Taijijian 42 F"),936,"")))))))))))))))))))))))))))))))))))))</f>
        <v/>
      </c>
      <c r="CD205" s="50" t="str">
        <f>IF(Atletas!V196="","",IF(Atletas!X196&lt;&gt;"",10000,0)+IF(Atletas!B196="Feminino",1000,IF(Atletas!B196="Masculino",2000,""))+IF(Atletas!V196="Taijidao A",937,IF(Atletas!V196="TaijiShanzi A",938,IF(Atletas!V196="Taijiqiang A",939,IF(Atletas!V196="Bagua de Arma A",940,IF(Atletas!V196="Xingyi de Arma A",941,IF(Atletas!V196="Taijidao B",942,IF(Atletas!V196="TaijiShanzi B",943,IF(Atletas!V196="Taijiqiang B",944,IF(Atletas!V196="Bagua de Arma B",945,IF(Atletas!V196="Xingyi de Arma B",946,IF(Atletas!V196="Taijidao C",947,IF(Atletas!V196="TaijiShanzi C",948,IF(Atletas!V196="Taijiqiang C",949,IF(Atletas!V196="Bagua de Arma C",950,IF(Atletas!V196="Xingyi de Arma C",951,IF(Atletas!V196="Taijidao D",952,IF(Atletas!V196="TaijiShanzi D",953,IF(Atletas!V196="Taijiqiang D",954,IF(Atletas!V196="Bagua de Arma D",955,IF(Atletas!V196="Xingyi de Arma D",956,IF(Atletas!V196="Taijidao E",957,IF(Atletas!V196="TaijiShanzi E",958,IF(Atletas!V196="Taijiqiang E",959,IF(Atletas!V196="Bagua de Arma E",960,IF(Atletas!V196="Xingyi de Arma E",961,IF(Atletas!V196="Taijidao F",962,IF(Atletas!V196="TaijiShanzi F",963,IF(Atletas!V196="Taijiqiang F",964,IF(Atletas!V196="Bagua de Arma F",965,IF(Atletas!V196="Xingyi de Arma F",966,"")))))))))))))))))))))))))))))))</f>
        <v/>
      </c>
      <c r="CE205" s="66" t="str">
        <f>IF(CF205&lt;&gt;"","TJQ Padr. Yang F","")</f>
        <v/>
      </c>
      <c r="CF205" s="66" t="str">
        <f>IF(COUNTIF(BR:CD,1431)&gt;0,COUNTIF(BR:CD,1431),"")</f>
        <v/>
      </c>
      <c r="CG205" s="66" t="str">
        <f>IF(CH205&lt;&gt;"","TJQ Padr. Yang F","")</f>
        <v/>
      </c>
      <c r="CH205" s="66" t="str">
        <f>IF(COUNTIF(BR:CD,2431)&gt;0,COUNTIF(BR:CD,2431),"")</f>
        <v/>
      </c>
      <c r="CI205" s="66" t="str">
        <f>IF(CJ205&lt;&gt;"","Xingyiquan A","")</f>
        <v/>
      </c>
      <c r="CJ205" s="66" t="str">
        <f>IF(COUNTIF(BR:CD,11437)&gt;0,COUNTIF(BR:CD,11437),"")</f>
        <v/>
      </c>
      <c r="CK205" s="66" t="str">
        <f>IF(CL205&lt;&gt;"","Xingyiquan A","")</f>
        <v/>
      </c>
      <c r="CL205" s="66" t="str">
        <f>IF(COUNTIF(BR:CD,12437)&gt;0,COUNTIF(BR:CD,12437),"")</f>
        <v/>
      </c>
      <c r="CM205" s="50" t="str">
        <f xml:space="preserve"> IF(Atletas!W196="","",IF(Atletas!W196="Duilian de Mãos BC - Equipe 1",1,IF(Atletas!W196="Duilian de Mãos BC - Equipe 2",2,IF(Atletas!W196="Duilian de Armas BC - Equipe 1",3,IF(Atletas!W196="Duilian de Armas BC - Equipe 2",4,IF(Atletas!W196="Duilian de Mãos DE - Equipe 1",5,IF(Atletas!W196="Duilian de Mãos DE - Equipe 2",6,IF(Atletas!W196="Duilian de Armas DE - Equipe 1",7,IF(Atletas!W196="Duilian de Armas DE - Equipe 2",8,IF(Atletas!W196="Duilian de Tuishou - Equipe 1",9,IF(Atletas!W196="Duilian de Tuishou - Equipe 2",10,IF(Atletas!W196="Grupo Externo ABC - Equipe 1",11,IF(Atletas!W196="Grupo Externo ABC - Equipe 2",12,IF(Atletas!W196="Grupo Interno ABC - Equipe 1",13,IF(Atletas!W196="Grupo Interno ABC - Equipe 2",14,IF(Atletas!W196="Grupo Externo DEF - Equipe 1",15,IF(Atletas!W196="Grupo Externo DEF - Equipe 2",16,IF(Atletas!W196="Grupo Interno DEF - Equipe 1",17,IF(Atletas!W196="Grupo Interno DEF - Equipe 2",18,"")))))))))))))))))))</f>
        <v/>
      </c>
    </row>
    <row r="206" spans="2:91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 t="str">
        <f t="array" ref="Z206">IFERROR(INDEX(CE$7:CE$348,SMALL(IF(CE$7:CE$348&lt;&gt;"",ROW(CE$7:CE$348)-ROW(CE$7)+1),ROWS(CE$7:CE205))),"")</f>
        <v/>
      </c>
      <c r="AA206" s="3" t="str">
        <f t="array" ref="AA206">IFERROR(INDEX(CF$7:CF$348,SMALL(IF(CF$7:CF$348&lt;&gt;"",ROW(CF$7:CF$348)-ROW(CF$7)+1),ROWS(CF$7:CF205))),"")</f>
        <v/>
      </c>
      <c r="AB206" s="3" t="str">
        <f t="array" ref="AB206">IFERROR(INDEX(CG$7:CG$348,SMALL(IF(CG$7:CG$348&lt;&gt;"",ROW(CG$7:CG$348)-ROW(CG$7)+1),ROWS(CG$7:CG205))),"")</f>
        <v/>
      </c>
      <c r="AC206" s="3" t="str">
        <f t="array" ref="AC206">IFERROR(INDEX(CH$7:CH$348,SMALL(IF(CH$7:CH$348&lt;&gt;"",ROW(CH$7:CH$348)-ROW(CH$7)+1),ROWS(CH$7:CH205))),"")</f>
        <v/>
      </c>
      <c r="AD206" s="3" t="str">
        <f t="array" ref="AD206">IFERROR(INDEX(CI$7:CI$377,SMALL(IF(CI$7:CI$377&lt;&gt;"",ROW(CI$7:CI$377)-ROW(CI$7)+1),ROWS(CI$7:CI205))),"")</f>
        <v/>
      </c>
      <c r="AE206" s="3" t="str">
        <f t="array" ref="AE206">IFERROR(INDEX(CJ$7:CJ$378,SMALL(IF(CJ$7:CJ$378&lt;&gt;"",ROW(CJ$7:CJ$378)-ROW(CJ$7)+1),ROWS(CJ$7:CJ205))),"")</f>
        <v/>
      </c>
      <c r="AF206" s="3" t="str">
        <f t="array" ref="AF206">IFERROR(INDEX(CK$7:CK$378,SMALL(IF(CK$7:CK$378&lt;&gt;"",ROW(CK$7:CK$378)-ROW(CK$7)+1),ROWS(CK$7:CK205))),"")</f>
        <v/>
      </c>
      <c r="AG206" s="3" t="str">
        <f t="array" ref="AG206">IFERROR(INDEX(CL$7:CL$378,SMALL(IF(CL$7:CL$378&lt;&gt;"",ROW(CL$7:CL$378)-ROW(CL$7)+1),ROWS(CL$7:CL205))),"")</f>
        <v/>
      </c>
      <c r="AH206" s="3"/>
      <c r="AI206" s="3"/>
      <c r="AJ206" s="3"/>
      <c r="AK206" s="3"/>
      <c r="AL206" s="3"/>
      <c r="AM206" s="3"/>
      <c r="AN206" s="52" t="str">
        <f>IF(Atletas!D197="","",IF(Atletas!B197="Feminino",100,IF(Atletas!B197="Masculino",200,""))+(IF(Atletas!D197="Kids 30kg",1,IF(Atletas!D197="Kids 32kg",2, IF(Atletas!D197="Kids 34kg",3,IF(Atletas!D197="Kids 36kg",4,IF(Atletas!D197="Kids 39kg",5,IF(Atletas!D197="Kids 42kg",6,IF(Atletas!D197="Kids 45kg",7, IF(Atletas!D197="Infantil 39kg",8,IF(Atletas!D197="Infantil 42kg",9,IF(Atletas!D197="Infantil 45kg",10,IF(Atletas!D197="Infantil 48kg",11,IF(Atletas!D197="Infantil 52kg",12,IF(Atletas!D197="Infantil 56kg",13,IF(Atletas!D197="Infantil 60kg",14,IF(Atletas!D197="Juvenil 48kg",15,IF(Atletas!D197="Juvenil 52kg",16,IF(Atletas!D197="Juvenil 56kg",17,IF(Atletas!D197="Juvenil 60kg",18,IF(Atletas!D197="Juvenil 65kg",19,IF(Atletas!D197="Juvenil 70kg",20,IF(Atletas!D197="Juvenil 75kg",21,IF(Atletas!D197="Juvenil 80kg",22, IF(Atletas!D197="Juvenil 85kg",23,IF(Atletas!D197="Adulto 48kg",24,IF(Atletas!D197="Adulto 52kg",25,IF(Atletas!D197="Adulto 56kg",26,IF(Atletas!D197="Adulto 60kg",27,IF(Atletas!D197="Adulto 65kg",28,IF(Atletas!D197="Adulto 70kg",29,IF(Atletas!D197="Adulto 75kg",30,IF(Atletas!D197="Adulto 80kg",31,IF(Atletas!D197="Adulto 85kg",32,IF(Atletas!D197="Adulto 90kg",33,IF(Atletas!D197="Adulto 100kg",34, IF(Atletas!D197="Adulto +100kg",35,"")))))))))))))))))))))))))))))))))))))</f>
        <v/>
      </c>
      <c r="AS206" s="6" t="str">
        <f>IF(Atletas!E197="","",IF(Atletas!B197="Feminino",100,IF(Atletas!B197="Masculino",200,""))+(IF(Atletas!E197="Juvenil 44kg",1,IF(Atletas!E197="Juvenil 48kg",2,IF(Atletas!E197="Juvenil 52kg",3,IF(Atletas!E197="Juvenil 56kg",4,IF(Atletas!E197="Juvenil 60kg",5,IF(Atletas!E197="Juvenil 65kg",6,IF(Atletas!E197="Juvenil 70kg",7,IF(Atletas!E197="Juvenil 75kg",8,IF(Atletas!E197="Juvenil 82kg",9,IF(Atletas!E197="Juvenil 90kg",10,IF(Atletas!E197="Juvenil 100kg",11,IF(Atletas!E197="Adulto 48kg",12,IF(Atletas!E197="Adulto 52kg",13,IF(Atletas!E197="Adulto 56kg",14,IF(Atletas!E197="Adulto 60kg",15,IF(Atletas!E197="Adulto 65kg",16,IF(Atletas!E197="Adulto 70kg",17,IF(Atletas!E197="Adulto 75kg",18,IF(Atletas!E197="Adulto 82kg",19,IF(Atletas!E197="Adulto 90kg",20,IF(Atletas!E197="Adulto 100kg",21,IF(Atletas!E197="Adulto +100kg",22,""))))))))))))))))))))))))</f>
        <v/>
      </c>
      <c r="AX206" s="6" t="str">
        <f>IF(Atletas!F197="","",IF(Atletas!B197="Feminino",100,IF(Atletas!B197="Masculino",200,""))+(IF(Atletas!F197="Adulto 48kg",1,IF(Atletas!F197="Adulto 56kg",2,IF(Atletas!F197="Adulto 65kg",3,IF(Atletas!F197="Adulto 75kg",4,IF(Atletas!F197="Adulto +75kg",5,IF(Atletas!F197="Adulto 52kg",6,IF(Atletas!F197="Adulto 60kg",7,IF(Atletas!F197="Adulto 70kg",8,IF(Atletas!F197="Adulto 80kg",9,IF(Atletas!F197="Adulto 90kg",10,IF(Atletas!F197="Adulto +90kg",11,"")))))))))))))</f>
        <v/>
      </c>
      <c r="BC206" s="6" t="str">
        <f>IF(Atletas!G197="","",IF(Atletas!B197="Feminino",10,IF(Atletas!B197="Masculino",20,""))+(IF(Atletas!G197="Baduanjin A",1,IF(Atletas!G197="Baduanjin B",2))))</f>
        <v/>
      </c>
      <c r="BF206" s="52" t="str">
        <f>IF(Atletas!H197="","",IF(Atletas!B197="Feminino",100,IF(Atletas!B197="Masculino",200,""))+(IF(Atletas!H197="Changquan Mirim",1,IF(Atletas!H197="Nanquan Mirim",2,IF(Atletas!H197="Taijiquan Mirim",3,IF(Atletas!H197="Changquan Grupo C",4,IF(Atletas!H197="Nanquan Grupo C",5,IF(Atletas!H197="Taijiquan Grupo C",6,IF(Atletas!H197="Changquan Grupo B",7,IF(Atletas!H197="Nanquan Grupo B",8,IF(Atletas!H197="Taijiquan Grupo B",9,IF(Atletas!H197="Changquan Grupo A",10,IF(Atletas!H197="Nanquan Grupo A",11,IF(Atletas!H197="Taijiquan Grupo A",12,IF(Atletas!H197="Changquan Opcional",13,IF(Atletas!H197="Nanquan Opcional",14,IF(Atletas!H197="Taijiquan Opcional",15,IF(Atletas!H197="Changquan Adulto",16,IF(Atletas!H197="Nanquan Adulto",17,IF(Atletas!H197="Taijiquan Adulto",18,""))))))))))))))))))))</f>
        <v/>
      </c>
      <c r="BG206" s="52" t="str">
        <f>IF(Atletas!I197="","",IF(Atletas!B197="Feminino",100,IF(Atletas!B197="Masculino",200,""))+(IF(Atletas!I197="Daoshu Mirim",19,IF(Atletas!I197="Jianshu Mirim",20,IF(Atletas!I197="Nandao Mirim",21,IF(Atletas!I197="Taijijian Mirim",22,IF(Atletas!I197="Daoshu Grupo C",23,IF(Atletas!I197="Jianshu Grupo C",24,IF(Atletas!I197="Nandao Grupo C",25,IF(Atletas!I197="Taijijian Grupo C",26,IF(Atletas!I197="Daoshu Grupo B",27,IF(Atletas!I197="Jianshu Grupo B",28,IF(Atletas!I197="Nandao Grupo B",29,IF(Atletas!I197="Taijijian Grupo B",30,IF(Atletas!I197="Daoshu Grupo A",31,IF(Atletas!I197="Jianshu Grupo A",32,IF(Atletas!I197="Nandao Grupo A",33,IF(Atletas!I197="Taijijian Grupo A",34,IF(Atletas!I197="Daoshu Opcional",35,IF(Atletas!I197="Jianshu Opcional",36,IF(Atletas!I197="Nandao Opcional",37,IF(Atletas!I197="Taijijian Opcional",38,IF(Atletas!I197="Daoshu Adulto",39,IF(Atletas!I197="Jianshu Adulto",40,IF(Atletas!I197="Nandao Adulto",41,IF(Atletas!I197="Taijijian Adulto",42,""))))))))))))))))))))))))))</f>
        <v/>
      </c>
      <c r="BH206" s="52" t="str">
        <f>IF(Atletas!J197="","",IF(Atletas!B197="Feminino",100,IF(Atletas!B197="Masculino",200,""))+(IF(Atletas!J197="Gunshu Mirim",43,IF(Atletas!J197="Qiangshu Mirim",44,IF(Atletas!J197="Nangun Mirim",45,IF(Atletas!J197="Gunshu Grupo C",46,IF(Atletas!J197="Qiangshu Grupo C",47,IF(Atletas!J197="Nangun Grupo C",48,IF(Atletas!J197="Gunshu Grupo B",49,IF(Atletas!J197="Qiangshu Grupo B",50,IF(Atletas!J197="Nangun Grupo B",51,IF(Atletas!J197="Gunshu Grupo A",52,IF(Atletas!J197="Qiangshu Grupo A",53,IF(Atletas!J197="Nangun Grupo A",54,IF(Atletas!J197="Gunshu Opcional",55,IF(Atletas!J197="Qiangshu Opcional",56,IF(Atletas!J197="Nangun Opcional",57,IF(Atletas!J197="Gunshu Adulto",58,IF(Atletas!J197="Qiangshu Adulto",59,IF(Atletas!J197="Nangun Adulto",60,IF(Atletas!J197="Taijishan Grupo B",61,IF(Atletas!J197="Taijishan Grupo A",62,""))))))))))))))))))))))</f>
        <v/>
      </c>
      <c r="BM206" s="50" t="str">
        <f>IF(Atletas!K197="","",IF(Atletas!B197="Feminino",100,IF(Atletas!B197="Masculino",200,""))+(IF(Atletas!K197="Equipe 1 Grupo B",1,IF(Atletas!K197="Equipe 2 Grupo B",2,IF(Atletas!K197="Equipe 1 Grupo A",3,IF(Atletas!K197="Equipe 2 Grupo A",4,IF(Atletas!K197="Equipe 1 Adulto",5,IF(Atletas!K197="Equipe 2 Adulto",6,""))))))))</f>
        <v/>
      </c>
      <c r="BR206" s="50" t="str">
        <f>IF(Atletas!L197="","",IF(Atletas!X197&lt;&gt;"",10000,0)+(IF(Atletas!B197="Feminino",1000,IF(Atletas!B197="Masculino",2000,""))+IF(Atletas!L197="Choylayfut A",1,IF(Atletas!L197="Hunggar A",2,IF(Atletas!L197="Wuzuquan A",3,IF(Atletas!L197="Wingchun A",4,IF(Atletas!L197="Outra Mão de Sul A",5,IF(Atletas!L197="Choylayfut B",6,IF(Atletas!L197="Hunggar B",7,IF(Atletas!L197="Wuzuquan B",8,IF(Atletas!L197="Wingchun B",9,IF(Atletas!L197="Outra Mão de Sul B",10,IF(Atletas!L197="Choylayfut C",11,IF(Atletas!L197="Hunggar C",12,IF(Atletas!L197="Wuzuquan C",13,IF(Atletas!L197="Wingchun C",14,IF(Atletas!L197="Outra Mão de Sul C",15,IF(Atletas!L197="Choylayfut D",16,IF(Atletas!L197="Hunggar D",17,IF(Atletas!L197="Wuzuquan D",18,IF(Atletas!L197="Wingchun D",19,IF(Atletas!L197="Outra Mão de Sul D",20,IF(Atletas!L197="Choylayfut E",21,IF(Atletas!L197="Hunggar E",22,IF(Atletas!L197="Wuzuquan E",23,IF(Atletas!L197="Wingchun E",24,IF(Atletas!L197="Outra Mão de Sul E",25,IF(Atletas!L197="Choylayfut F",26,IF(Atletas!L197="Hunggar F",27,IF(Atletas!L197="Wuzuquan F",28,IF(Atletas!L197="Wingchun F",29,IF(Atletas!L197="Outra Mão de Sul F",30,IF(Atletas!L197="Dishuquan A",31,IF(Atletas!L197="Dishuquan B",32,IF(Atletas!L197="Dishuquan C",33,IF(Atletas!L197="Dishuquan D",34,IF(Atletas!L197="Dishuquan E",35,IF(Atletas!L197="Dishuquan F",36,""))))))))))))))))))))))))))))))))))))))</f>
        <v/>
      </c>
      <c r="BS206" s="50" t="str">
        <f>IF(Atletas!M197="","",IF(Atletas!X197&lt;&gt;"",10000,0)+(IF(Atletas!B197="Feminino",1000,IF(Atletas!B197="Masculino",2000,""))+(IF(Atletas!M197="Chaquan A",101,IF(Atletas!M197="Emeiquan A",102,IF(Atletas!M197="Fanziquan A",103,IF(Atletas!M197="Huaquan A",104,IF(Atletas!M197="Hongquan A",105,IF(Atletas!M197="Paoquan A",106,IF(Atletas!M197="Piguaquan A",107,IF(Atletas!M197="Shaolinquan A",108,IF(Atletas!M197="Tanglangquan A",109,IF(Atletas!M197="Yingzhaoquan A",110,IF(Atletas!M197="Tongbeiquan A",111,IF(Atletas!M197="Wudangquan A",112,IF(Atletas!M197="Outros Estilos A",113,IF(Atletas!M197="Chaquan B",114,IF(Atletas!M197="Emeiquan B",115,IF(Atletas!M197="Fanziquan B",116,IF(Atletas!M197="Huaquan B",117,IF(Atletas!M197="Hongquan B",118,IF(Atletas!M197="Paoquan B",119,IF(Atletas!M197="Piguaquan B",120,IF(Atletas!M197="Shaolinquan B",121,IF(Atletas!M197="Tanglangquan B",122,IF(Atletas!M197="Yingzhaoquan B",123,IF(Atletas!M197="Tongbeiquan B",124,IF(Atletas!M197="Wudangquan B",125,IF(Atletas!M197="Outros Estilos B",126,IF(Atletas!M197="Chaquan C",127,IF(Atletas!M197="Emeiquan C",128,IF(Atletas!M197="Fanziquan C",129,IF(Atletas!M197="Huaquan C",130,IF(Atletas!M197="Hongquan C",131,IF(Atletas!M197="Paoquan C",132,IF(Atletas!M197="Piguaquan C",133,IF(Atletas!M197="Shaolinquan C",134,IF(Atletas!M197="Tanglangquan C",135,IF(Atletas!M197="Yingzhaoquan C",136,IF(Atletas!M197="Tongbeiquan C",137,IF(Atletas!M197="Wudangquan C",138,IF(Atletas!M197="Outros Estilos C",139,0))))))))))))))))))))))))))))))))))))))))))</f>
        <v/>
      </c>
      <c r="BT206" s="50" t="str">
        <f>IF(Atletas!M197="","",IF(Atletas!X197&lt;&gt;"",10000,0)+(IF(Atletas!B197="Feminino",1000,IF(Atletas!B197="Masculino",2000,""))+(IF(Atletas!M197="Chaquan D",140,IF(Atletas!M197="Emeiquan D",141,IF(Atletas!M197="Fanziquan D",142,IF(Atletas!M197="Huaquan D",143,IF(Atletas!M197="Hongquan D",144,IF(Atletas!M197="Paoquan D",145,IF(Atletas!M197="Piguaquan D",146,IF(Atletas!M197="Shaolinquan D",147,IF(Atletas!M197="Tanglangquan D",148,IF(Atletas!M197="Yingzhaoquan D",149,IF(Atletas!M197="Tongbeiquan D",150,IF(Atletas!M197="Wudangquan D",151,IF(Atletas!M197="Outros Estilos D",152,IF(Atletas!M197="Chaquan E",153,IF(Atletas!M197="Emeiquan E",154,IF(Atletas!M197="Fanziquan E",155,IF(Atletas!M197="Huaquan E",156,IF(Atletas!M197="Hongquan E",157,IF(Atletas!M197="Paoquan E",158,IF(Atletas!M197="Piguaquan E",159,IF(Atletas!M197="Shaolinquan E",160,IF(Atletas!M197="Tanglangquan E",161,IF(Atletas!M197="Yingzhaoquan E",162,IF(Atletas!M197="Tongbeiquan E",163,IF(Atletas!M197="Wudangquan E",164,IF(Atletas!M197="Outros Estilos E",165,IF(Atletas!M197="Chaquan F",166,IF(Atletas!M197="Emeiquan F",167,IF(Atletas!M197="Fanziquan F",168,IF(Atletas!M197="Huaquan F",169,IF(Atletas!M197="Hongquan F",170,IF(Atletas!M197="Paoquan F",171,IF(Atletas!M197="Piguaquan F",172,IF(Atletas!M197="Shaolinquan F",173,IF(Atletas!M197="Tanglangquan F",174,IF(Atletas!M197="Yingzhaoquan F",175,IF(Atletas!M197="Tongbeiquan F",176,IF(Atletas!M197="Wudangquan F",177,IF(Atletas!M197="Outros Estilos F",178,0))))))))))))))))))))))))))))))))))))))))))</f>
        <v/>
      </c>
      <c r="BU206" s="50" t="str">
        <f>IF(Atletas!N197="","",IF(Atletas!X197&lt;&gt;"",10000,0)+(IF(Atletas!B197="Feminino",1000,IF(Atletas!B197="Masculino",2000,""))+(IF(Atletas!N197="Ditangquan A",201,IF(Atletas!N197="Houquan A",202,IF(Atletas!N197="Zuiquan A",203,IF(Atletas!N197="Ditangquan B",204,IF(Atletas!N197="Houquan B",205,IF(Atletas!N197="Zuiquan B",206,IF(Atletas!N197="Ditangquan C",207,IF(Atletas!N197="Houquan C",208,IF(Atletas!N197="Zuiquan C",209,IF(Atletas!N197="Ditangquan D",210,IF(Atletas!N197="Houquan D",211,IF(Atletas!N197="Zuiquan D",212,IF(Atletas!N197="Ditangquan E",213,IF(Atletas!N197="Houquan E",214,IF(Atletas!N197="Zuiquan E",215,IF(Atletas!N197="Ditangquan F",216,IF(Atletas!N197="Houquan F",217,IF(Atletas!N197="Zuiquan F",218,"")))))))))))))))))))))</f>
        <v/>
      </c>
      <c r="BV206" s="50" t="str">
        <f>IF(Atletas!O197="","",IF(Atletas!X197&lt;&gt;"",10000,0)+IF(Atletas!B197="Feminino",1000,IF(Atletas!B197="Masculino",2000,""))+IF(Atletas!O197="Yang A",301,IF(Atletas!O197="Chen A",302,IF(Atletas!O197="Sun A",303,IF(Atletas!O197="Wu A",304,IF(Atletas!O197="Wu-Hao A",305,IF(Atletas!O197="Outro Taijiquan A",306,IF(Atletas!O197="Yang B",307,IF(Atletas!O197="Chen B",308,IF(Atletas!O197="Sun B",309,IF(Atletas!O197="Wu B",310,IF(Atletas!O197="Wu-Hao B",311,IF(Atletas!O197="Outro Taijiquan B",312,IF(Atletas!O197="Yang C",313,IF(Atletas!O197="Chen C",314,IF(Atletas!O197="Sun C",315,IF(Atletas!O197="Wu C",316,IF(Atletas!O197="Wu-Hao C",317,IF(Atletas!O197="Outro Taijiquan C",318,IF(Atletas!O197="Yang D",319,IF(Atletas!O197="Chen D",320,IF(Atletas!O197="Sun D",321,IF(Atletas!O197="Wu D",322,IF(Atletas!O197="Wu-Hao D",323,IF(Atletas!O197="Outro Taijiquan D",324,IF(Atletas!O197="Yang E",325,IF(Atletas!O197="Chen E",326,IF(Atletas!O197="Sun E",327,IF(Atletas!O197="Wu E",328,IF(Atletas!O197="Wu-Hao E",329,IF(Atletas!O197="Outro Taijiquan E",330,IF(Atletas!O197="Yang F",331,IF(Atletas!O197="Chen F",332,IF(Atletas!O197="Sun F",333,IF(Atletas!O197="Wu F",334,IF(Atletas!O197="Wu-Hao F",335,IF(Atletas!O197="Outro Taijiquan F",336,"")))))))))))))))))))))))))))))))))))))</f>
        <v/>
      </c>
      <c r="BW206" s="50" t="str">
        <f>IF(Atletas!P197="","",IF(Atletas!X197&lt;&gt;"",10000,0)+IF(Atletas!B197="Feminino",1000,IF(Atletas!B197="Masculino",2000,""))+IF(OR(Atletas!P197="Yang 26 A",Atletas!P197="Yang 40 A"),401,IF(OR(Atletas!P197="Chen 25 A",Atletas!P197="Chen 36 A",Atletas!P197="Chen 56 A"),402,IF(Atletas!P197="Sun 73 A",403,IF(Atletas!P197="Wu 45 A",404,IF(Atletas!P197="Wu-Hao 46 A",405,IF(OR(Atletas!P197="Taijiquan 16 A",Atletas!P197="Taijiquan 24 A",Atletas!P197="Taijiquan 32 A",Atletas!P197="Taijiquan 42 A"),406,IF(OR(Atletas!P197="Yang 26 B",Atletas!P197="Yang 40 B"),407,IF(OR(Atletas!P197="Chen 25 B",Atletas!P197="Chen 36 B",Atletas!P197="Chen 56 B"),408,IF(Atletas!P197="Sun 73 B",409,IF(Atletas!P197="Wu 45 B",410,IF(Atletas!P197="Wu-Hao 46 B",411,IF(OR(Atletas!P197="Taijiquan 16 B",Atletas!P197="Taijiquan 24 B",Atletas!P197="Taijiquan 32 B",Atletas!P197="Taijiquan 42 B"),412,IF(OR(Atletas!P197="Yang 26 C",Atletas!P197="Yang 40 C"),413,IF(OR(Atletas!P197="Chen 25 C",Atletas!P197="Chen 36 C",Atletas!P197="Chen 56 C"),414,IF(Atletas!P197="Sun 73 C",415,IF(Atletas!P197="Wu 45 C",416,IF(Atletas!P197="Wu-Hao 46 C",417,IF(OR(Atletas!P197="Taijiquan 16 C",Atletas!P197="Taijiquan 24 C",Atletas!P197="Taijiquan 32 C",Atletas!P197="Taijiquan 42 C"),418,0)))))))))))))))))))</f>
        <v/>
      </c>
      <c r="BX206" s="50" t="str">
        <f>IF(Atletas!P197="","",IF(Atletas!X197&lt;&gt;"",10000,0)+IF(Atletas!B197="Feminino",1000,IF(Atletas!B197="Masculino",2000,""))+IF(OR(Atletas!P197="Yang 26 D",Atletas!P197="Yang 40 D"),419,IF(OR(Atletas!P197="Chen 25 D",Atletas!P197="Chen 36 D",Atletas!P197="Chen 56 D"),420,IF(Atletas!P197="Sun 73 D",421,IF(Atletas!P197="Wu 45 D",422,IF(Atletas!P197="Wu-Hao 46 D",423,IF(OR(Atletas!P197="Taijiquan 16 D",Atletas!P197="Taijiquan 24 D",Atletas!P197="Taijiquan 32 D",Atletas!P197="Taijiquan 42 D"),424,IF(OR(Atletas!P197="Yang 26 E",Atletas!P197="Yang 40 E"),425,IF(OR(Atletas!P197="Chen 25 E",Atletas!P197="Chen 36 E",Atletas!P197="Chen 56 E"),426,IF(Atletas!P197="Sun 73 E",427,IF(Atletas!P197="Wu 45 E",428,IF(Atletas!P197="Wu-Hao 46 E",429,IF(OR(Atletas!P197="Taijiquan 16 E",Atletas!P197="Taijiquan 24 E",Atletas!P197="Taijiquan 32 E",Atletas!P197="Taijiquan 42 E"),430,IF(OR(Atletas!P197="Yang 26 F",Atletas!P197="Yang 40 F"),431,IF(OR(Atletas!P197="Chen 25 F",Atletas!P197="Chen 36 F",Atletas!P197="Chen 56 F"),432,IF(Atletas!P197="Sun 73 F",433,IF(Atletas!P197="Wu 45 F",434,IF(Atletas!P197="Wu-Hao 46 F",435,IF(OR(Atletas!P197="Taijiquan 16 F",Atletas!P197="Taijiquan 24 F",Atletas!P197="Taijiquan 32 F",Atletas!P197="Taijiquan 42 F"),436,0)))))))))))))))))))</f>
        <v/>
      </c>
      <c r="BY206" s="50" t="str">
        <f>IF(Atletas!Q197="","",IF(Atletas!X197&lt;&gt;"",10000,0)+IF(Atletas!B197="Feminino",1000,IF(Atletas!B197="Masculino",2000,""))+IF(Atletas!Q197="Xingyiquan A",501,IF(Atletas!Q197="Baguazhang A",502,IF(Atletas!Q197="Outro Estilo Interno A",503,IF(Atletas!Q197="Xingyiquan B",504,IF(Atletas!Q197="Baguazhang B",505,IF(Atletas!Q197="Outro Estilo Interno B",506,IF(Atletas!Q197="Xingyiquan C",507,IF(Atletas!Q197="Baguazhang C",508,IF(Atletas!Q197="Outro Estilo Interno C",509,IF(Atletas!Q197="Xingyiquan D",510,IF(Atletas!Q197="Baguazhang D",511,IF(Atletas!Q197="Outro Estilo Interno D",512,IF(Atletas!Q197="Xingyiquan E",513,IF(Atletas!Q197="Baguazhang E",514,IF(Atletas!Q197="Outro Estilo Interno E",515,IF(Atletas!Q197="Xingyiquan F",516,IF(Atletas!Q197="Baguazhang F",517,IF(Atletas!Q197="Outro Estilo Interno F",518, "")))))))))))))))))))</f>
        <v/>
      </c>
      <c r="BZ206" s="50" t="str">
        <f>IF(Atletas!R197="","",IF(Atletas!X197&lt;&gt;"",10000,0)+IF(Atletas!B197="Feminino",1000,IF(Atletas!B197="Masculino",2000,""))+IF(Atletas!R197="Dao A",601,IF(Atletas!R197="Jian A",602,IF(Atletas!R197="Bishou A",603,IF(Atletas!R197="Shanzi A",604,IF(Atletas!R197="Outra Arma Curta A",605,IF(Atletas!R197="Dao B",606,IF(Atletas!R197="Jian B",607,IF(Atletas!R197="Bishou B",608,IF(Atletas!R197="Shanzi B",609,IF(Atletas!R197="Outra Arma Curta B",610,IF(Atletas!R197="Dao C",611,IF(Atletas!R197="Jian C",612,IF(Atletas!R197="Bishou C",613,IF(Atletas!R197="Shanzi C",614,IF(Atletas!R197="Outra Arma Curta C",615,IF(Atletas!R197="Dao D",616,IF(Atletas!R197="Jian D",617,IF(Atletas!R197="Bishou D",618,IF(Atletas!R197="Shanzi D",619,IF(Atletas!R197="Outra Arma Curta D",620,IF(Atletas!R197="Dao E",621,IF(Atletas!R197="Jian E",622,IF(Atletas!R197="Bishou E",623,IF(Atletas!R197="Shanzi E",624,IF(Atletas!R197="Outra Arma Curta E",625,IF(Atletas!R197="Dao F",626,IF(Atletas!R197="Jian F",627,IF(Atletas!R197="Bishou F",628,IF(Atletas!R197="Shanzi F",629,IF(Atletas!R197="Outra Arma Curta F",630, "")))))))))))))))))))))))))))))))</f>
        <v/>
      </c>
      <c r="CA206" s="50" t="str">
        <f>IF(Atletas!S197="","",IF(Atletas!X197&lt;&gt;"",10000,0)+IF(Atletas!B197="Feminino",1000,IF(Atletas!B197="Masculino",2000,""))+IF(Atletas!S197="Gun A",701,IF(Atletas!S197="Qiang A",702,IF(Atletas!S197="Pudao / Guandao A",703,IF(Atletas!S197="Outra Arma Longa A",704,IF(Atletas!S197="Gun B",705,IF(Atletas!S197="Qiang B",706,IF(Atletas!S197="Pudao / Guandao B",707,IF(Atletas!S197="Outra Arma Longa B",708,IF(Atletas!S197="Gun C",709,IF(Atletas!S197="Qiang C",710,IF(Atletas!S197="Pudao / Guandao C",711,IF(Atletas!S197="Outra Arma Longa C",712,IF(Atletas!S197="Gun D",713,IF(Atletas!S197="Qiang D",714,IF(Atletas!S197="Pudao / Guandao D",715,IF(Atletas!S197="Outra Arma Longa D",716,IF(Atletas!S197="Gun E",717,IF(Atletas!S197="Qiang E",718,IF(Atletas!S197="Pudao / Guandao E",719,IF(Atletas!S197="Outra Arma Longa E",720,IF(Atletas!S197="Gun F",721,IF(Atletas!S197="Qiang F",722,IF(Atletas!S197="Pudao / Guandao F",723,IF(Atletas!S197="Outra Arma Longa F",724,"")))))))))))))))))))))))))</f>
        <v/>
      </c>
      <c r="CB206" s="50" t="str">
        <f>IF(Atletas!T197="","",IF(Atletas!X197&lt;&gt;"",10000,0)+IF(Atletas!B197="Feminino",1000,IF(Atletas!B197="Masculino",2000,""))+IF(Atletas!T197="Outra Arma Dupla A",801,IF(Atletas!T197="Arma Maleável A",802,IF(Atletas!T197="Outra Arma Dupla B",803,IF(Atletas!T197="Arma Maleável B",804,IF(Atletas!T197="Outra Arma Dupla C",805,IF(Atletas!T197="Arma Maleável C",806,IF(Atletas!T197="Outra Arma Dupla D",807,IF(Atletas!T197="Arma Maleável D",808,IF(Atletas!T197="Outra Arma Dupla E",809,IF(Atletas!T197="Arma Maleável E",810,IF(Atletas!T197="Outra Arma Dupla F",811,IF(Atletas!T197="Arma Maleável F",812,IF(Atletas!T197="Shuangdao A",813,IF(Atletas!T197="Shuangdao B",814,IF(Atletas!T197="Shuangdao C",815,IF(Atletas!T197="Shuangdao D",816,IF(Atletas!T197="Shuangdao E",817,IF(Atletas!T197="Shuangdao F",818,"")))))))))))))))))))</f>
        <v/>
      </c>
      <c r="CC206" s="50" t="str">
        <f>IF(Atletas!U197="","",IF(Atletas!X197&lt;&gt;"",10000,0)+IF(Atletas!B197="Feminino",1000,IF(Atletas!B197="Masculino",2000,""))+IF(OR(Atletas!U197="Taijijian Yang A",Atletas!U197="Taijijian Yang Standard A"),901,IF(OR(Atletas!U197="Taijijian Chen A", Atletas!U197="Taijijian Chen Standard A"),902,IF(Atletas!U197="Taijijian Sun A",903,IF(Atletas!U197="Taijijian Wu A",904,IF(Atletas!U197="Taijijian Wu-Hao A",905,IF(OR(Atletas!U197="Taijijian 32 A",Atletas!U197="Taijijian 42 A"),906,IF(OR(Atletas!U197="Taijijian Yang B",Atletas!U197="Taijijian Yang Standard B"),907,IF(OR(Atletas!U197="Taijijian Chen B", Atletas!U197="Taijijian Chen Standard B"),908,IF(Atletas!U197="Taijijian Sun B",909,IF(Atletas!U197="Taijijian Wu B",910,IF(Atletas!U197="Taijijian Wu-Hao B",911,IF(OR(Atletas!U197="Taijijian 32 B",Atletas!U197="Taijijian 42 B"),912,IF(OR(Atletas!U197="Taijijian Yang C",Atletas!U197="Taijijian Yang Standard C"),913,IF(OR(Atletas!U197="Taijijian Chen C", Atletas!U197="Taijijian Chen Standard C"),914,IF(Atletas!U197="Taijijian Sun C",915,IF(Atletas!U197="Taijijian Wu C",916,IF(Atletas!U197="Taijijian Wu-Hao C",917,IF(OR(Atletas!U197="Taijijian 32 C",Atletas!U197="Taijijian 42 C"),918,IF(OR(Atletas!U197="Taijijian Yang D",Atletas!U197="Taijijian Yang Standard D"),919,IF(OR(Atletas!U197="Taijijian Chen D", Atletas!U197="Taijijian Chen Standard D"),920,IF(Atletas!U197="Taijijian Sun D",921,IF(Atletas!U197="Taijijian Wu D",922,IF(Atletas!U197="Taijijian Wu-Hao D",923,IF(OR(Atletas!U197="Taijijian 32 D",Atletas!U197="Taijijian 42 D"),924,IF(OR(Atletas!U197="Taijijian Yang E",Atletas!U197="Taijijian Yang Standard E"),925,IF(OR(Atletas!U197="Taijijian Chen E", Atletas!U197="Taijijian Chen Standard E"),926,IF(Atletas!U197="Taijijian Sun E",927,IF(Atletas!U197="Taijijian Wu E",928,IF(Atletas!U197="Taijijian Wu-Hao E",929,IF(OR(Atletas!U197="Taijijian 32 E",Atletas!U197="Taijijian 42 E"),930,IF(OR(Atletas!U197="Taijijian Yang F",Atletas!U197="Taijijian Yang Standard F"),931,IF(OR(Atletas!U197="Taijijian Chen F", Atletas!U197="Taijijian Chen Standard F"),932,IF(Atletas!U197="Taijijian Sun F",933,IF(Atletas!U197="Taijijian Wu F",934,IF(Atletas!U197="Taijijian Wu-Hao F",935,IF(OR(Atletas!U197="Taijijian 32 F",Atletas!U197="Taijijian 42 F"),936,"")))))))))))))))))))))))))))))))))))))</f>
        <v/>
      </c>
      <c r="CD206" s="50" t="str">
        <f>IF(Atletas!V197="","",IF(Atletas!X197&lt;&gt;"",10000,0)+IF(Atletas!B197="Feminino",1000,IF(Atletas!B197="Masculino",2000,""))+IF(Atletas!V197="Taijidao A",937,IF(Atletas!V197="TaijiShanzi A",938,IF(Atletas!V197="Taijiqiang A",939,IF(Atletas!V197="Bagua de Arma A",940,IF(Atletas!V197="Xingyi de Arma A",941,IF(Atletas!V197="Taijidao B",942,IF(Atletas!V197="TaijiShanzi B",943,IF(Atletas!V197="Taijiqiang B",944,IF(Atletas!V197="Bagua de Arma B",945,IF(Atletas!V197="Xingyi de Arma B",946,IF(Atletas!V197="Taijidao C",947,IF(Atletas!V197="TaijiShanzi C",948,IF(Atletas!V197="Taijiqiang C",949,IF(Atletas!V197="Bagua de Arma C",950,IF(Atletas!V197="Xingyi de Arma C",951,IF(Atletas!V197="Taijidao D",952,IF(Atletas!V197="TaijiShanzi D",953,IF(Atletas!V197="Taijiqiang D",954,IF(Atletas!V197="Bagua de Arma D",955,IF(Atletas!V197="Xingyi de Arma D",956,IF(Atletas!V197="Taijidao E",957,IF(Atletas!V197="TaijiShanzi E",958,IF(Atletas!V197="Taijiqiang E",959,IF(Atletas!V197="Bagua de Arma E",960,IF(Atletas!V197="Xingyi de Arma E",961,IF(Atletas!V197="Taijidao F",962,IF(Atletas!V197="TaijiShanzi F",963,IF(Atletas!V197="Taijiqiang F",964,IF(Atletas!V197="Bagua de Arma F",965,IF(Atletas!V197="Xingyi de Arma F",966,"")))))))))))))))))))))))))))))))</f>
        <v/>
      </c>
      <c r="CE206" s="66" t="str">
        <f>IF(CF206&lt;&gt;"","TJQ Padr. Chen F","")</f>
        <v/>
      </c>
      <c r="CF206" s="66" t="str">
        <f>IF(COUNTIF(BR:CD,1432)&gt;0,COUNTIF(BR:CD,1432),"")</f>
        <v/>
      </c>
      <c r="CG206" s="66" t="str">
        <f>IF(CH206&lt;&gt;"","TJQ Padr. Chen F","")</f>
        <v/>
      </c>
      <c r="CH206" s="66" t="str">
        <f>IF(COUNTIF(BR:CD,2432)&gt;0,COUNTIF(BR:CD,2432),"")</f>
        <v/>
      </c>
      <c r="CI206" s="66" t="str">
        <f>IF(CJ206&lt;&gt;"","Baguazhang A ","")</f>
        <v/>
      </c>
      <c r="CJ206" s="66" t="str">
        <f>IF(COUNTIF(BR:CD,11438)&gt;0,COUNTIF(BR:CD,11438),"")</f>
        <v/>
      </c>
      <c r="CK206" s="66" t="str">
        <f>IF(CL206&lt;&gt;"","Baguazhang A ","")</f>
        <v/>
      </c>
      <c r="CL206" s="66" t="str">
        <f>IF(COUNTIF(BR:CD,12438)&gt;0,COUNTIF(BR:CD,12438),"")</f>
        <v/>
      </c>
      <c r="CM206" s="50" t="str">
        <f xml:space="preserve"> IF(Atletas!W197="","",IF(Atletas!W197="Duilian de Mãos BC - Equipe 1",1,IF(Atletas!W197="Duilian de Mãos BC - Equipe 2",2,IF(Atletas!W197="Duilian de Armas BC - Equipe 1",3,IF(Atletas!W197="Duilian de Armas BC - Equipe 2",4,IF(Atletas!W197="Duilian de Mãos DE - Equipe 1",5,IF(Atletas!W197="Duilian de Mãos DE - Equipe 2",6,IF(Atletas!W197="Duilian de Armas DE - Equipe 1",7,IF(Atletas!W197="Duilian de Armas DE - Equipe 2",8,IF(Atletas!W197="Duilian de Tuishou - Equipe 1",9,IF(Atletas!W197="Duilian de Tuishou - Equipe 2",10,IF(Atletas!W197="Grupo Externo ABC - Equipe 1",11,IF(Atletas!W197="Grupo Externo ABC - Equipe 2",12,IF(Atletas!W197="Grupo Interno ABC - Equipe 1",13,IF(Atletas!W197="Grupo Interno ABC - Equipe 2",14,IF(Atletas!W197="Grupo Externo DEF - Equipe 1",15,IF(Atletas!W197="Grupo Externo DEF - Equipe 2",16,IF(Atletas!W197="Grupo Interno DEF - Equipe 1",17,IF(Atletas!W197="Grupo Interno DEF - Equipe 2",18,"")))))))))))))))))))</f>
        <v/>
      </c>
    </row>
    <row r="207" spans="2:91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 t="str">
        <f t="array" ref="Z207">IFERROR(INDEX(CE$7:CE$348,SMALL(IF(CE$7:CE$348&lt;&gt;"",ROW(CE$7:CE$348)-ROW(CE$7)+1),ROWS(CE$7:CE206))),"")</f>
        <v/>
      </c>
      <c r="AA207" s="3" t="str">
        <f t="array" ref="AA207">IFERROR(INDEX(CF$7:CF$348,SMALL(IF(CF$7:CF$348&lt;&gt;"",ROW(CF$7:CF$348)-ROW(CF$7)+1),ROWS(CF$7:CF206))),"")</f>
        <v/>
      </c>
      <c r="AB207" s="3" t="str">
        <f t="array" ref="AB207">IFERROR(INDEX(CG$7:CG$348,SMALL(IF(CG$7:CG$348&lt;&gt;"",ROW(CG$7:CG$348)-ROW(CG$7)+1),ROWS(CG$7:CG206))),"")</f>
        <v/>
      </c>
      <c r="AC207" s="3" t="str">
        <f t="array" ref="AC207">IFERROR(INDEX(CH$7:CH$348,SMALL(IF(CH$7:CH$348&lt;&gt;"",ROW(CH$7:CH$348)-ROW(CH$7)+1),ROWS(CH$7:CH206))),"")</f>
        <v/>
      </c>
      <c r="AD207" s="3" t="str">
        <f t="array" ref="AD207">IFERROR(INDEX(CI$7:CI$377,SMALL(IF(CI$7:CI$377&lt;&gt;"",ROW(CI$7:CI$377)-ROW(CI$7)+1),ROWS(CI$7:CI206))),"")</f>
        <v/>
      </c>
      <c r="AE207" s="3" t="str">
        <f t="array" ref="AE207">IFERROR(INDEX(CJ$7:CJ$378,SMALL(IF(CJ$7:CJ$378&lt;&gt;"",ROW(CJ$7:CJ$378)-ROW(CJ$7)+1),ROWS(CJ$7:CJ206))),"")</f>
        <v/>
      </c>
      <c r="AF207" s="3" t="str">
        <f t="array" ref="AF207">IFERROR(INDEX(CK$7:CK$378,SMALL(IF(CK$7:CK$378&lt;&gt;"",ROW(CK$7:CK$378)-ROW(CK$7)+1),ROWS(CK$7:CK206))),"")</f>
        <v/>
      </c>
      <c r="AG207" s="3" t="str">
        <f t="array" ref="AG207">IFERROR(INDEX(CL$7:CL$378,SMALL(IF(CL$7:CL$378&lt;&gt;"",ROW(CL$7:CL$378)-ROW(CL$7)+1),ROWS(CL$7:CL206))),"")</f>
        <v/>
      </c>
      <c r="AH207" s="3"/>
      <c r="AI207" s="3"/>
      <c r="AJ207" s="3"/>
      <c r="AK207" s="3"/>
      <c r="AL207" s="3"/>
      <c r="AM207" s="3"/>
      <c r="AN207" s="52" t="str">
        <f>IF(Atletas!D198="","",IF(Atletas!B198="Feminino",100,IF(Atletas!B198="Masculino",200,""))+(IF(Atletas!D198="Kids 30kg",1,IF(Atletas!D198="Kids 32kg",2, IF(Atletas!D198="Kids 34kg",3,IF(Atletas!D198="Kids 36kg",4,IF(Atletas!D198="Kids 39kg",5,IF(Atletas!D198="Kids 42kg",6,IF(Atletas!D198="Kids 45kg",7, IF(Atletas!D198="Infantil 39kg",8,IF(Atletas!D198="Infantil 42kg",9,IF(Atletas!D198="Infantil 45kg",10,IF(Atletas!D198="Infantil 48kg",11,IF(Atletas!D198="Infantil 52kg",12,IF(Atletas!D198="Infantil 56kg",13,IF(Atletas!D198="Infantil 60kg",14,IF(Atletas!D198="Juvenil 48kg",15,IF(Atletas!D198="Juvenil 52kg",16,IF(Atletas!D198="Juvenil 56kg",17,IF(Atletas!D198="Juvenil 60kg",18,IF(Atletas!D198="Juvenil 65kg",19,IF(Atletas!D198="Juvenil 70kg",20,IF(Atletas!D198="Juvenil 75kg",21,IF(Atletas!D198="Juvenil 80kg",22, IF(Atletas!D198="Juvenil 85kg",23,IF(Atletas!D198="Adulto 48kg",24,IF(Atletas!D198="Adulto 52kg",25,IF(Atletas!D198="Adulto 56kg",26,IF(Atletas!D198="Adulto 60kg",27,IF(Atletas!D198="Adulto 65kg",28,IF(Atletas!D198="Adulto 70kg",29,IF(Atletas!D198="Adulto 75kg",30,IF(Atletas!D198="Adulto 80kg",31,IF(Atletas!D198="Adulto 85kg",32,IF(Atletas!D198="Adulto 90kg",33,IF(Atletas!D198="Adulto 100kg",34, IF(Atletas!D198="Adulto +100kg",35,"")))))))))))))))))))))))))))))))))))))</f>
        <v/>
      </c>
      <c r="AS207" s="6" t="str">
        <f>IF(Atletas!E198="","",IF(Atletas!B198="Feminino",100,IF(Atletas!B198="Masculino",200,""))+(IF(Atletas!E198="Juvenil 44kg",1,IF(Atletas!E198="Juvenil 48kg",2,IF(Atletas!E198="Juvenil 52kg",3,IF(Atletas!E198="Juvenil 56kg",4,IF(Atletas!E198="Juvenil 60kg",5,IF(Atletas!E198="Juvenil 65kg",6,IF(Atletas!E198="Juvenil 70kg",7,IF(Atletas!E198="Juvenil 75kg",8,IF(Atletas!E198="Juvenil 82kg",9,IF(Atletas!E198="Juvenil 90kg",10,IF(Atletas!E198="Juvenil 100kg",11,IF(Atletas!E198="Adulto 48kg",12,IF(Atletas!E198="Adulto 52kg",13,IF(Atletas!E198="Adulto 56kg",14,IF(Atletas!E198="Adulto 60kg",15,IF(Atletas!E198="Adulto 65kg",16,IF(Atletas!E198="Adulto 70kg",17,IF(Atletas!E198="Adulto 75kg",18,IF(Atletas!E198="Adulto 82kg",19,IF(Atletas!E198="Adulto 90kg",20,IF(Atletas!E198="Adulto 100kg",21,IF(Atletas!E198="Adulto +100kg",22,""))))))))))))))))))))))))</f>
        <v/>
      </c>
      <c r="AX207" s="6" t="str">
        <f>IF(Atletas!F198="","",IF(Atletas!B198="Feminino",100,IF(Atletas!B198="Masculino",200,""))+(IF(Atletas!F198="Adulto 48kg",1,IF(Atletas!F198="Adulto 56kg",2,IF(Atletas!F198="Adulto 65kg",3,IF(Atletas!F198="Adulto 75kg",4,IF(Atletas!F198="Adulto +75kg",5,IF(Atletas!F198="Adulto 52kg",6,IF(Atletas!F198="Adulto 60kg",7,IF(Atletas!F198="Adulto 70kg",8,IF(Atletas!F198="Adulto 80kg",9,IF(Atletas!F198="Adulto 90kg",10,IF(Atletas!F198="Adulto +90kg",11,"")))))))))))))</f>
        <v/>
      </c>
      <c r="BC207" s="6" t="str">
        <f>IF(Atletas!G198="","",IF(Atletas!B198="Feminino",10,IF(Atletas!B198="Masculino",20,""))+(IF(Atletas!G198="Baduanjin A",1,IF(Atletas!G198="Baduanjin B",2))))</f>
        <v/>
      </c>
      <c r="BF207" s="52" t="str">
        <f>IF(Atletas!H198="","",IF(Atletas!B198="Feminino",100,IF(Atletas!B198="Masculino",200,""))+(IF(Atletas!H198="Changquan Mirim",1,IF(Atletas!H198="Nanquan Mirim",2,IF(Atletas!H198="Taijiquan Mirim",3,IF(Atletas!H198="Changquan Grupo C",4,IF(Atletas!H198="Nanquan Grupo C",5,IF(Atletas!H198="Taijiquan Grupo C",6,IF(Atletas!H198="Changquan Grupo B",7,IF(Atletas!H198="Nanquan Grupo B",8,IF(Atletas!H198="Taijiquan Grupo B",9,IF(Atletas!H198="Changquan Grupo A",10,IF(Atletas!H198="Nanquan Grupo A",11,IF(Atletas!H198="Taijiquan Grupo A",12,IF(Atletas!H198="Changquan Opcional",13,IF(Atletas!H198="Nanquan Opcional",14,IF(Atletas!H198="Taijiquan Opcional",15,IF(Atletas!H198="Changquan Adulto",16,IF(Atletas!H198="Nanquan Adulto",17,IF(Atletas!H198="Taijiquan Adulto",18,""))))))))))))))))))))</f>
        <v/>
      </c>
      <c r="BG207" s="52" t="str">
        <f>IF(Atletas!I198="","",IF(Atletas!B198="Feminino",100,IF(Atletas!B198="Masculino",200,""))+(IF(Atletas!I198="Daoshu Mirim",19,IF(Atletas!I198="Jianshu Mirim",20,IF(Atletas!I198="Nandao Mirim",21,IF(Atletas!I198="Taijijian Mirim",22,IF(Atletas!I198="Daoshu Grupo C",23,IF(Atletas!I198="Jianshu Grupo C",24,IF(Atletas!I198="Nandao Grupo C",25,IF(Atletas!I198="Taijijian Grupo C",26,IF(Atletas!I198="Daoshu Grupo B",27,IF(Atletas!I198="Jianshu Grupo B",28,IF(Atletas!I198="Nandao Grupo B",29,IF(Atletas!I198="Taijijian Grupo B",30,IF(Atletas!I198="Daoshu Grupo A",31,IF(Atletas!I198="Jianshu Grupo A",32,IF(Atletas!I198="Nandao Grupo A",33,IF(Atletas!I198="Taijijian Grupo A",34,IF(Atletas!I198="Daoshu Opcional",35,IF(Atletas!I198="Jianshu Opcional",36,IF(Atletas!I198="Nandao Opcional",37,IF(Atletas!I198="Taijijian Opcional",38,IF(Atletas!I198="Daoshu Adulto",39,IF(Atletas!I198="Jianshu Adulto",40,IF(Atletas!I198="Nandao Adulto",41,IF(Atletas!I198="Taijijian Adulto",42,""))))))))))))))))))))))))))</f>
        <v/>
      </c>
      <c r="BH207" s="52" t="str">
        <f>IF(Atletas!J198="","",IF(Atletas!B198="Feminino",100,IF(Atletas!B198="Masculino",200,""))+(IF(Atletas!J198="Gunshu Mirim",43,IF(Atletas!J198="Qiangshu Mirim",44,IF(Atletas!J198="Nangun Mirim",45,IF(Atletas!J198="Gunshu Grupo C",46,IF(Atletas!J198="Qiangshu Grupo C",47,IF(Atletas!J198="Nangun Grupo C",48,IF(Atletas!J198="Gunshu Grupo B",49,IF(Atletas!J198="Qiangshu Grupo B",50,IF(Atletas!J198="Nangun Grupo B",51,IF(Atletas!J198="Gunshu Grupo A",52,IF(Atletas!J198="Qiangshu Grupo A",53,IF(Atletas!J198="Nangun Grupo A",54,IF(Atletas!J198="Gunshu Opcional",55,IF(Atletas!J198="Qiangshu Opcional",56,IF(Atletas!J198="Nangun Opcional",57,IF(Atletas!J198="Gunshu Adulto",58,IF(Atletas!J198="Qiangshu Adulto",59,IF(Atletas!J198="Nangun Adulto",60,IF(Atletas!J198="Taijishan Grupo B",61,IF(Atletas!J198="Taijishan Grupo A",62,""))))))))))))))))))))))</f>
        <v/>
      </c>
      <c r="BM207" s="50" t="str">
        <f>IF(Atletas!K198="","",IF(Atletas!B198="Feminino",100,IF(Atletas!B198="Masculino",200,""))+(IF(Atletas!K198="Equipe 1 Grupo B",1,IF(Atletas!K198="Equipe 2 Grupo B",2,IF(Atletas!K198="Equipe 1 Grupo A",3,IF(Atletas!K198="Equipe 2 Grupo A",4,IF(Atletas!K198="Equipe 1 Adulto",5,IF(Atletas!K198="Equipe 2 Adulto",6,""))))))))</f>
        <v/>
      </c>
      <c r="BR207" s="50" t="str">
        <f>IF(Atletas!L198="","",IF(Atletas!X198&lt;&gt;"",10000,0)+(IF(Atletas!B198="Feminino",1000,IF(Atletas!B198="Masculino",2000,""))+IF(Atletas!L198="Choylayfut A",1,IF(Atletas!L198="Hunggar A",2,IF(Atletas!L198="Wuzuquan A",3,IF(Atletas!L198="Wingchun A",4,IF(Atletas!L198="Outra Mão de Sul A",5,IF(Atletas!L198="Choylayfut B",6,IF(Atletas!L198="Hunggar B",7,IF(Atletas!L198="Wuzuquan B",8,IF(Atletas!L198="Wingchun B",9,IF(Atletas!L198="Outra Mão de Sul B",10,IF(Atletas!L198="Choylayfut C",11,IF(Atletas!L198="Hunggar C",12,IF(Atletas!L198="Wuzuquan C",13,IF(Atletas!L198="Wingchun C",14,IF(Atletas!L198="Outra Mão de Sul C",15,IF(Atletas!L198="Choylayfut D",16,IF(Atletas!L198="Hunggar D",17,IF(Atletas!L198="Wuzuquan D",18,IF(Atletas!L198="Wingchun D",19,IF(Atletas!L198="Outra Mão de Sul D",20,IF(Atletas!L198="Choylayfut E",21,IF(Atletas!L198="Hunggar E",22,IF(Atletas!L198="Wuzuquan E",23,IF(Atletas!L198="Wingchun E",24,IF(Atletas!L198="Outra Mão de Sul E",25,IF(Atletas!L198="Choylayfut F",26,IF(Atletas!L198="Hunggar F",27,IF(Atletas!L198="Wuzuquan F",28,IF(Atletas!L198="Wingchun F",29,IF(Atletas!L198="Outra Mão de Sul F",30,IF(Atletas!L198="Dishuquan A",31,IF(Atletas!L198="Dishuquan B",32,IF(Atletas!L198="Dishuquan C",33,IF(Atletas!L198="Dishuquan D",34,IF(Atletas!L198="Dishuquan E",35,IF(Atletas!L198="Dishuquan F",36,""))))))))))))))))))))))))))))))))))))))</f>
        <v/>
      </c>
      <c r="BS207" s="50" t="str">
        <f>IF(Atletas!M198="","",IF(Atletas!X198&lt;&gt;"",10000,0)+(IF(Atletas!B198="Feminino",1000,IF(Atletas!B198="Masculino",2000,""))+(IF(Atletas!M198="Chaquan A",101,IF(Atletas!M198="Emeiquan A",102,IF(Atletas!M198="Fanziquan A",103,IF(Atletas!M198="Huaquan A",104,IF(Atletas!M198="Hongquan A",105,IF(Atletas!M198="Paoquan A",106,IF(Atletas!M198="Piguaquan A",107,IF(Atletas!M198="Shaolinquan A",108,IF(Atletas!M198="Tanglangquan A",109,IF(Atletas!M198="Yingzhaoquan A",110,IF(Atletas!M198="Tongbeiquan A",111,IF(Atletas!M198="Wudangquan A",112,IF(Atletas!M198="Outros Estilos A",113,IF(Atletas!M198="Chaquan B",114,IF(Atletas!M198="Emeiquan B",115,IF(Atletas!M198="Fanziquan B",116,IF(Atletas!M198="Huaquan B",117,IF(Atletas!M198="Hongquan B",118,IF(Atletas!M198="Paoquan B",119,IF(Atletas!M198="Piguaquan B",120,IF(Atletas!M198="Shaolinquan B",121,IF(Atletas!M198="Tanglangquan B",122,IF(Atletas!M198="Yingzhaoquan B",123,IF(Atletas!M198="Tongbeiquan B",124,IF(Atletas!M198="Wudangquan B",125,IF(Atletas!M198="Outros Estilos B",126,IF(Atletas!M198="Chaquan C",127,IF(Atletas!M198="Emeiquan C",128,IF(Atletas!M198="Fanziquan C",129,IF(Atletas!M198="Huaquan C",130,IF(Atletas!M198="Hongquan C",131,IF(Atletas!M198="Paoquan C",132,IF(Atletas!M198="Piguaquan C",133,IF(Atletas!M198="Shaolinquan C",134,IF(Atletas!M198="Tanglangquan C",135,IF(Atletas!M198="Yingzhaoquan C",136,IF(Atletas!M198="Tongbeiquan C",137,IF(Atletas!M198="Wudangquan C",138,IF(Atletas!M198="Outros Estilos C",139,0))))))))))))))))))))))))))))))))))))))))))</f>
        <v/>
      </c>
      <c r="BT207" s="50" t="str">
        <f>IF(Atletas!M198="","",IF(Atletas!X198&lt;&gt;"",10000,0)+(IF(Atletas!B198="Feminino",1000,IF(Atletas!B198="Masculino",2000,""))+(IF(Atletas!M198="Chaquan D",140,IF(Atletas!M198="Emeiquan D",141,IF(Atletas!M198="Fanziquan D",142,IF(Atletas!M198="Huaquan D",143,IF(Atletas!M198="Hongquan D",144,IF(Atletas!M198="Paoquan D",145,IF(Atletas!M198="Piguaquan D",146,IF(Atletas!M198="Shaolinquan D",147,IF(Atletas!M198="Tanglangquan D",148,IF(Atletas!M198="Yingzhaoquan D",149,IF(Atletas!M198="Tongbeiquan D",150,IF(Atletas!M198="Wudangquan D",151,IF(Atletas!M198="Outros Estilos D",152,IF(Atletas!M198="Chaquan E",153,IF(Atletas!M198="Emeiquan E",154,IF(Atletas!M198="Fanziquan E",155,IF(Atletas!M198="Huaquan E",156,IF(Atletas!M198="Hongquan E",157,IF(Atletas!M198="Paoquan E",158,IF(Atletas!M198="Piguaquan E",159,IF(Atletas!M198="Shaolinquan E",160,IF(Atletas!M198="Tanglangquan E",161,IF(Atletas!M198="Yingzhaoquan E",162,IF(Atletas!M198="Tongbeiquan E",163,IF(Atletas!M198="Wudangquan E",164,IF(Atletas!M198="Outros Estilos E",165,IF(Atletas!M198="Chaquan F",166,IF(Atletas!M198="Emeiquan F",167,IF(Atletas!M198="Fanziquan F",168,IF(Atletas!M198="Huaquan F",169,IF(Atletas!M198="Hongquan F",170,IF(Atletas!M198="Paoquan F",171,IF(Atletas!M198="Piguaquan F",172,IF(Atletas!M198="Shaolinquan F",173,IF(Atletas!M198="Tanglangquan F",174,IF(Atletas!M198="Yingzhaoquan F",175,IF(Atletas!M198="Tongbeiquan F",176,IF(Atletas!M198="Wudangquan F",177,IF(Atletas!M198="Outros Estilos F",178,0))))))))))))))))))))))))))))))))))))))))))</f>
        <v/>
      </c>
      <c r="BU207" s="50" t="str">
        <f>IF(Atletas!N198="","",IF(Atletas!X198&lt;&gt;"",10000,0)+(IF(Atletas!B198="Feminino",1000,IF(Atletas!B198="Masculino",2000,""))+(IF(Atletas!N198="Ditangquan A",201,IF(Atletas!N198="Houquan A",202,IF(Atletas!N198="Zuiquan A",203,IF(Atletas!N198="Ditangquan B",204,IF(Atletas!N198="Houquan B",205,IF(Atletas!N198="Zuiquan B",206,IF(Atletas!N198="Ditangquan C",207,IF(Atletas!N198="Houquan C",208,IF(Atletas!N198="Zuiquan C",209,IF(Atletas!N198="Ditangquan D",210,IF(Atletas!N198="Houquan D",211,IF(Atletas!N198="Zuiquan D",212,IF(Atletas!N198="Ditangquan E",213,IF(Atletas!N198="Houquan E",214,IF(Atletas!N198="Zuiquan E",215,IF(Atletas!N198="Ditangquan F",216,IF(Atletas!N198="Houquan F",217,IF(Atletas!N198="Zuiquan F",218,"")))))))))))))))))))))</f>
        <v/>
      </c>
      <c r="BV207" s="50" t="str">
        <f>IF(Atletas!O198="","",IF(Atletas!X198&lt;&gt;"",10000,0)+IF(Atletas!B198="Feminino",1000,IF(Atletas!B198="Masculino",2000,""))+IF(Atletas!O198="Yang A",301,IF(Atletas!O198="Chen A",302,IF(Atletas!O198="Sun A",303,IF(Atletas!O198="Wu A",304,IF(Atletas!O198="Wu-Hao A",305,IF(Atletas!O198="Outro Taijiquan A",306,IF(Atletas!O198="Yang B",307,IF(Atletas!O198="Chen B",308,IF(Atletas!O198="Sun B",309,IF(Atletas!O198="Wu B",310,IF(Atletas!O198="Wu-Hao B",311,IF(Atletas!O198="Outro Taijiquan B",312,IF(Atletas!O198="Yang C",313,IF(Atletas!O198="Chen C",314,IF(Atletas!O198="Sun C",315,IF(Atletas!O198="Wu C",316,IF(Atletas!O198="Wu-Hao C",317,IF(Atletas!O198="Outro Taijiquan C",318,IF(Atletas!O198="Yang D",319,IF(Atletas!O198="Chen D",320,IF(Atletas!O198="Sun D",321,IF(Atletas!O198="Wu D",322,IF(Atletas!O198="Wu-Hao D",323,IF(Atletas!O198="Outro Taijiquan D",324,IF(Atletas!O198="Yang E",325,IF(Atletas!O198="Chen E",326,IF(Atletas!O198="Sun E",327,IF(Atletas!O198="Wu E",328,IF(Atletas!O198="Wu-Hao E",329,IF(Atletas!O198="Outro Taijiquan E",330,IF(Atletas!O198="Yang F",331,IF(Atletas!O198="Chen F",332,IF(Atletas!O198="Sun F",333,IF(Atletas!O198="Wu F",334,IF(Atletas!O198="Wu-Hao F",335,IF(Atletas!O198="Outro Taijiquan F",336,"")))))))))))))))))))))))))))))))))))))</f>
        <v/>
      </c>
      <c r="BW207" s="50" t="str">
        <f>IF(Atletas!P198="","",IF(Atletas!X198&lt;&gt;"",10000,0)+IF(Atletas!B198="Feminino",1000,IF(Atletas!B198="Masculino",2000,""))+IF(OR(Atletas!P198="Yang 26 A",Atletas!P198="Yang 40 A"),401,IF(OR(Atletas!P198="Chen 25 A",Atletas!P198="Chen 36 A",Atletas!P198="Chen 56 A"),402,IF(Atletas!P198="Sun 73 A",403,IF(Atletas!P198="Wu 45 A",404,IF(Atletas!P198="Wu-Hao 46 A",405,IF(OR(Atletas!P198="Taijiquan 16 A",Atletas!P198="Taijiquan 24 A",Atletas!P198="Taijiquan 32 A",Atletas!P198="Taijiquan 42 A"),406,IF(OR(Atletas!P198="Yang 26 B",Atletas!P198="Yang 40 B"),407,IF(OR(Atletas!P198="Chen 25 B",Atletas!P198="Chen 36 B",Atletas!P198="Chen 56 B"),408,IF(Atletas!P198="Sun 73 B",409,IF(Atletas!P198="Wu 45 B",410,IF(Atletas!P198="Wu-Hao 46 B",411,IF(OR(Atletas!P198="Taijiquan 16 B",Atletas!P198="Taijiquan 24 B",Atletas!P198="Taijiquan 32 B",Atletas!P198="Taijiquan 42 B"),412,IF(OR(Atletas!P198="Yang 26 C",Atletas!P198="Yang 40 C"),413,IF(OR(Atletas!P198="Chen 25 C",Atletas!P198="Chen 36 C",Atletas!P198="Chen 56 C"),414,IF(Atletas!P198="Sun 73 C",415,IF(Atletas!P198="Wu 45 C",416,IF(Atletas!P198="Wu-Hao 46 C",417,IF(OR(Atletas!P198="Taijiquan 16 C",Atletas!P198="Taijiquan 24 C",Atletas!P198="Taijiquan 32 C",Atletas!P198="Taijiquan 42 C"),418,0)))))))))))))))))))</f>
        <v/>
      </c>
      <c r="BX207" s="50" t="str">
        <f>IF(Atletas!P198="","",IF(Atletas!X198&lt;&gt;"",10000,0)+IF(Atletas!B198="Feminino",1000,IF(Atletas!B198="Masculino",2000,""))+IF(OR(Atletas!P198="Yang 26 D",Atletas!P198="Yang 40 D"),419,IF(OR(Atletas!P198="Chen 25 D",Atletas!P198="Chen 36 D",Atletas!P198="Chen 56 D"),420,IF(Atletas!P198="Sun 73 D",421,IF(Atletas!P198="Wu 45 D",422,IF(Atletas!P198="Wu-Hao 46 D",423,IF(OR(Atletas!P198="Taijiquan 16 D",Atletas!P198="Taijiquan 24 D",Atletas!P198="Taijiquan 32 D",Atletas!P198="Taijiquan 42 D"),424,IF(OR(Atletas!P198="Yang 26 E",Atletas!P198="Yang 40 E"),425,IF(OR(Atletas!P198="Chen 25 E",Atletas!P198="Chen 36 E",Atletas!P198="Chen 56 E"),426,IF(Atletas!P198="Sun 73 E",427,IF(Atletas!P198="Wu 45 E",428,IF(Atletas!P198="Wu-Hao 46 E",429,IF(OR(Atletas!P198="Taijiquan 16 E",Atletas!P198="Taijiquan 24 E",Atletas!P198="Taijiquan 32 E",Atletas!P198="Taijiquan 42 E"),430,IF(OR(Atletas!P198="Yang 26 F",Atletas!P198="Yang 40 F"),431,IF(OR(Atletas!P198="Chen 25 F",Atletas!P198="Chen 36 F",Atletas!P198="Chen 56 F"),432,IF(Atletas!P198="Sun 73 F",433,IF(Atletas!P198="Wu 45 F",434,IF(Atletas!P198="Wu-Hao 46 F",435,IF(OR(Atletas!P198="Taijiquan 16 F",Atletas!P198="Taijiquan 24 F",Atletas!P198="Taijiquan 32 F",Atletas!P198="Taijiquan 42 F"),436,0)))))))))))))))))))</f>
        <v/>
      </c>
      <c r="BY207" s="50" t="str">
        <f>IF(Atletas!Q198="","",IF(Atletas!X198&lt;&gt;"",10000,0)+IF(Atletas!B198="Feminino",1000,IF(Atletas!B198="Masculino",2000,""))+IF(Atletas!Q198="Xingyiquan A",501,IF(Atletas!Q198="Baguazhang A",502,IF(Atletas!Q198="Outro Estilo Interno A",503,IF(Atletas!Q198="Xingyiquan B",504,IF(Atletas!Q198="Baguazhang B",505,IF(Atletas!Q198="Outro Estilo Interno B",506,IF(Atletas!Q198="Xingyiquan C",507,IF(Atletas!Q198="Baguazhang C",508,IF(Atletas!Q198="Outro Estilo Interno C",509,IF(Atletas!Q198="Xingyiquan D",510,IF(Atletas!Q198="Baguazhang D",511,IF(Atletas!Q198="Outro Estilo Interno D",512,IF(Atletas!Q198="Xingyiquan E",513,IF(Atletas!Q198="Baguazhang E",514,IF(Atletas!Q198="Outro Estilo Interno E",515,IF(Atletas!Q198="Xingyiquan F",516,IF(Atletas!Q198="Baguazhang F",517,IF(Atletas!Q198="Outro Estilo Interno F",518, "")))))))))))))))))))</f>
        <v/>
      </c>
      <c r="BZ207" s="50" t="str">
        <f>IF(Atletas!R198="","",IF(Atletas!X198&lt;&gt;"",10000,0)+IF(Atletas!B198="Feminino",1000,IF(Atletas!B198="Masculino",2000,""))+IF(Atletas!R198="Dao A",601,IF(Atletas!R198="Jian A",602,IF(Atletas!R198="Bishou A",603,IF(Atletas!R198="Shanzi A",604,IF(Atletas!R198="Outra Arma Curta A",605,IF(Atletas!R198="Dao B",606,IF(Atletas!R198="Jian B",607,IF(Atletas!R198="Bishou B",608,IF(Atletas!R198="Shanzi B",609,IF(Atletas!R198="Outra Arma Curta B",610,IF(Atletas!R198="Dao C",611,IF(Atletas!R198="Jian C",612,IF(Atletas!R198="Bishou C",613,IF(Atletas!R198="Shanzi C",614,IF(Atletas!R198="Outra Arma Curta C",615,IF(Atletas!R198="Dao D",616,IF(Atletas!R198="Jian D",617,IF(Atletas!R198="Bishou D",618,IF(Atletas!R198="Shanzi D",619,IF(Atletas!R198="Outra Arma Curta D",620,IF(Atletas!R198="Dao E",621,IF(Atletas!R198="Jian E",622,IF(Atletas!R198="Bishou E",623,IF(Atletas!R198="Shanzi E",624,IF(Atletas!R198="Outra Arma Curta E",625,IF(Atletas!R198="Dao F",626,IF(Atletas!R198="Jian F",627,IF(Atletas!R198="Bishou F",628,IF(Atletas!R198="Shanzi F",629,IF(Atletas!R198="Outra Arma Curta F",630, "")))))))))))))))))))))))))))))))</f>
        <v/>
      </c>
      <c r="CA207" s="50" t="str">
        <f>IF(Atletas!S198="","",IF(Atletas!X198&lt;&gt;"",10000,0)+IF(Atletas!B198="Feminino",1000,IF(Atletas!B198="Masculino",2000,""))+IF(Atletas!S198="Gun A",701,IF(Atletas!S198="Qiang A",702,IF(Atletas!S198="Pudao / Guandao A",703,IF(Atletas!S198="Outra Arma Longa A",704,IF(Atletas!S198="Gun B",705,IF(Atletas!S198="Qiang B",706,IF(Atletas!S198="Pudao / Guandao B",707,IF(Atletas!S198="Outra Arma Longa B",708,IF(Atletas!S198="Gun C",709,IF(Atletas!S198="Qiang C",710,IF(Atletas!S198="Pudao / Guandao C",711,IF(Atletas!S198="Outra Arma Longa C",712,IF(Atletas!S198="Gun D",713,IF(Atletas!S198="Qiang D",714,IF(Atletas!S198="Pudao / Guandao D",715,IF(Atletas!S198="Outra Arma Longa D",716,IF(Atletas!S198="Gun E",717,IF(Atletas!S198="Qiang E",718,IF(Atletas!S198="Pudao / Guandao E",719,IF(Atletas!S198="Outra Arma Longa E",720,IF(Atletas!S198="Gun F",721,IF(Atletas!S198="Qiang F",722,IF(Atletas!S198="Pudao / Guandao F",723,IF(Atletas!S198="Outra Arma Longa F",724,"")))))))))))))))))))))))))</f>
        <v/>
      </c>
      <c r="CB207" s="50" t="str">
        <f>IF(Atletas!T198="","",IF(Atletas!X198&lt;&gt;"",10000,0)+IF(Atletas!B198="Feminino",1000,IF(Atletas!B198="Masculino",2000,""))+IF(Atletas!T198="Outra Arma Dupla A",801,IF(Atletas!T198="Arma Maleável A",802,IF(Atletas!T198="Outra Arma Dupla B",803,IF(Atletas!T198="Arma Maleável B",804,IF(Atletas!T198="Outra Arma Dupla C",805,IF(Atletas!T198="Arma Maleável C",806,IF(Atletas!T198="Outra Arma Dupla D",807,IF(Atletas!T198="Arma Maleável D",808,IF(Atletas!T198="Outra Arma Dupla E",809,IF(Atletas!T198="Arma Maleável E",810,IF(Atletas!T198="Outra Arma Dupla F",811,IF(Atletas!T198="Arma Maleável F",812,IF(Atletas!T198="Shuangdao A",813,IF(Atletas!T198="Shuangdao B",814,IF(Atletas!T198="Shuangdao C",815,IF(Atletas!T198="Shuangdao D",816,IF(Atletas!T198="Shuangdao E",817,IF(Atletas!T198="Shuangdao F",818,"")))))))))))))))))))</f>
        <v/>
      </c>
      <c r="CC207" s="50" t="str">
        <f>IF(Atletas!U198="","",IF(Atletas!X198&lt;&gt;"",10000,0)+IF(Atletas!B198="Feminino",1000,IF(Atletas!B198="Masculino",2000,""))+IF(OR(Atletas!U198="Taijijian Yang A",Atletas!U198="Taijijian Yang Standard A"),901,IF(OR(Atletas!U198="Taijijian Chen A", Atletas!U198="Taijijian Chen Standard A"),902,IF(Atletas!U198="Taijijian Sun A",903,IF(Atletas!U198="Taijijian Wu A",904,IF(Atletas!U198="Taijijian Wu-Hao A",905,IF(OR(Atletas!U198="Taijijian 32 A",Atletas!U198="Taijijian 42 A"),906,IF(OR(Atletas!U198="Taijijian Yang B",Atletas!U198="Taijijian Yang Standard B"),907,IF(OR(Atletas!U198="Taijijian Chen B", Atletas!U198="Taijijian Chen Standard B"),908,IF(Atletas!U198="Taijijian Sun B",909,IF(Atletas!U198="Taijijian Wu B",910,IF(Atletas!U198="Taijijian Wu-Hao B",911,IF(OR(Atletas!U198="Taijijian 32 B",Atletas!U198="Taijijian 42 B"),912,IF(OR(Atletas!U198="Taijijian Yang C",Atletas!U198="Taijijian Yang Standard C"),913,IF(OR(Atletas!U198="Taijijian Chen C", Atletas!U198="Taijijian Chen Standard C"),914,IF(Atletas!U198="Taijijian Sun C",915,IF(Atletas!U198="Taijijian Wu C",916,IF(Atletas!U198="Taijijian Wu-Hao C",917,IF(OR(Atletas!U198="Taijijian 32 C",Atletas!U198="Taijijian 42 C"),918,IF(OR(Atletas!U198="Taijijian Yang D",Atletas!U198="Taijijian Yang Standard D"),919,IF(OR(Atletas!U198="Taijijian Chen D", Atletas!U198="Taijijian Chen Standard D"),920,IF(Atletas!U198="Taijijian Sun D",921,IF(Atletas!U198="Taijijian Wu D",922,IF(Atletas!U198="Taijijian Wu-Hao D",923,IF(OR(Atletas!U198="Taijijian 32 D",Atletas!U198="Taijijian 42 D"),924,IF(OR(Atletas!U198="Taijijian Yang E",Atletas!U198="Taijijian Yang Standard E"),925,IF(OR(Atletas!U198="Taijijian Chen E", Atletas!U198="Taijijian Chen Standard E"),926,IF(Atletas!U198="Taijijian Sun E",927,IF(Atletas!U198="Taijijian Wu E",928,IF(Atletas!U198="Taijijian Wu-Hao E",929,IF(OR(Atletas!U198="Taijijian 32 E",Atletas!U198="Taijijian 42 E"),930,IF(OR(Atletas!U198="Taijijian Yang F",Atletas!U198="Taijijian Yang Standard F"),931,IF(OR(Atletas!U198="Taijijian Chen F", Atletas!U198="Taijijian Chen Standard F"),932,IF(Atletas!U198="Taijijian Sun F",933,IF(Atletas!U198="Taijijian Wu F",934,IF(Atletas!U198="Taijijian Wu-Hao F",935,IF(OR(Atletas!U198="Taijijian 32 F",Atletas!U198="Taijijian 42 F"),936,"")))))))))))))))))))))))))))))))))))))</f>
        <v/>
      </c>
      <c r="CD207" s="50" t="str">
        <f>IF(Atletas!V198="","",IF(Atletas!X198&lt;&gt;"",10000,0)+IF(Atletas!B198="Feminino",1000,IF(Atletas!B198="Masculino",2000,""))+IF(Atletas!V198="Taijidao A",937,IF(Atletas!V198="TaijiShanzi A",938,IF(Atletas!V198="Taijiqiang A",939,IF(Atletas!V198="Bagua de Arma A",940,IF(Atletas!V198="Xingyi de Arma A",941,IF(Atletas!V198="Taijidao B",942,IF(Atletas!V198="TaijiShanzi B",943,IF(Atletas!V198="Taijiqiang B",944,IF(Atletas!V198="Bagua de Arma B",945,IF(Atletas!V198="Xingyi de Arma B",946,IF(Atletas!V198="Taijidao C",947,IF(Atletas!V198="TaijiShanzi C",948,IF(Atletas!V198="Taijiqiang C",949,IF(Atletas!V198="Bagua de Arma C",950,IF(Atletas!V198="Xingyi de Arma C",951,IF(Atletas!V198="Taijidao D",952,IF(Atletas!V198="TaijiShanzi D",953,IF(Atletas!V198="Taijiqiang D",954,IF(Atletas!V198="Bagua de Arma D",955,IF(Atletas!V198="Xingyi de Arma D",956,IF(Atletas!V198="Taijidao E",957,IF(Atletas!V198="TaijiShanzi E",958,IF(Atletas!V198="Taijiqiang E",959,IF(Atletas!V198="Bagua de Arma E",960,IF(Atletas!V198="Xingyi de Arma E",961,IF(Atletas!V198="Taijidao F",962,IF(Atletas!V198="TaijiShanzi F",963,IF(Atletas!V198="Taijiqiang F",964,IF(Atletas!V198="Bagua de Arma F",965,IF(Atletas!V198="Xingyi de Arma F",966,"")))))))))))))))))))))))))))))))</f>
        <v/>
      </c>
      <c r="CE207" s="66" t="str">
        <f>IF(CF207&lt;&gt;"","TJQ Padr. Sun F","")</f>
        <v/>
      </c>
      <c r="CF207" s="66" t="str">
        <f>IF(COUNTIF(BR:CD,1433)&gt;0,COUNTIF(BR:CD,1433),"")</f>
        <v/>
      </c>
      <c r="CG207" s="66" t="str">
        <f>IF(CH207&lt;&gt;"","TJQ Padr. Sun F","")</f>
        <v/>
      </c>
      <c r="CH207" s="66" t="str">
        <f>IF(COUNTIF(BR:CD,2433)&gt;0,COUNTIF(BR:CD,2433),"")</f>
        <v/>
      </c>
      <c r="CI207" s="66" t="str">
        <f>IF(CJ207&lt;&gt;"","Outro Estilo Interno A","")</f>
        <v/>
      </c>
      <c r="CJ207" s="66" t="str">
        <f>IF(COUNTIF(BR:CD,11439)&gt;0,COUNTIF(BR:CD,11439),"")</f>
        <v/>
      </c>
      <c r="CK207" s="66" t="str">
        <f>IF(CL207&lt;&gt;"","Outro Estilo Interno A","")</f>
        <v/>
      </c>
      <c r="CL207" s="66" t="str">
        <f>IF(COUNTIF(BR:CD,12439)&gt;0,COUNTIF(BR:CD,12439),"")</f>
        <v/>
      </c>
      <c r="CM207" s="50" t="str">
        <f xml:space="preserve"> IF(Atletas!W198="","",IF(Atletas!W198="Duilian de Mãos BC - Equipe 1",1,IF(Atletas!W198="Duilian de Mãos BC - Equipe 2",2,IF(Atletas!W198="Duilian de Armas BC - Equipe 1",3,IF(Atletas!W198="Duilian de Armas BC - Equipe 2",4,IF(Atletas!W198="Duilian de Mãos DE - Equipe 1",5,IF(Atletas!W198="Duilian de Mãos DE - Equipe 2",6,IF(Atletas!W198="Duilian de Armas DE - Equipe 1",7,IF(Atletas!W198="Duilian de Armas DE - Equipe 2",8,IF(Atletas!W198="Duilian de Tuishou - Equipe 1",9,IF(Atletas!W198="Duilian de Tuishou - Equipe 2",10,IF(Atletas!W198="Grupo Externo ABC - Equipe 1",11,IF(Atletas!W198="Grupo Externo ABC - Equipe 2",12,IF(Atletas!W198="Grupo Interno ABC - Equipe 1",13,IF(Atletas!W198="Grupo Interno ABC - Equipe 2",14,IF(Atletas!W198="Grupo Externo DEF - Equipe 1",15,IF(Atletas!W198="Grupo Externo DEF - Equipe 2",16,IF(Atletas!W198="Grupo Interno DEF - Equipe 1",17,IF(Atletas!W198="Grupo Interno DEF - Equipe 2",18,"")))))))))))))))))))</f>
        <v/>
      </c>
    </row>
    <row r="208" spans="2:91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 t="str">
        <f t="array" ref="Z208">IFERROR(INDEX(CE$7:CE$348,SMALL(IF(CE$7:CE$348&lt;&gt;"",ROW(CE$7:CE$348)-ROW(CE$7)+1),ROWS(CE$7:CE207))),"")</f>
        <v/>
      </c>
      <c r="AA208" s="3" t="str">
        <f t="array" ref="AA208">IFERROR(INDEX(CF$7:CF$348,SMALL(IF(CF$7:CF$348&lt;&gt;"",ROW(CF$7:CF$348)-ROW(CF$7)+1),ROWS(CF$7:CF207))),"")</f>
        <v/>
      </c>
      <c r="AB208" s="3" t="str">
        <f t="array" ref="AB208">IFERROR(INDEX(CG$7:CG$348,SMALL(IF(CG$7:CG$348&lt;&gt;"",ROW(CG$7:CG$348)-ROW(CG$7)+1),ROWS(CG$7:CG207))),"")</f>
        <v/>
      </c>
      <c r="AC208" s="3" t="str">
        <f t="array" ref="AC208">IFERROR(INDEX(CH$7:CH$348,SMALL(IF(CH$7:CH$348&lt;&gt;"",ROW(CH$7:CH$348)-ROW(CH$7)+1),ROWS(CH$7:CH207))),"")</f>
        <v/>
      </c>
      <c r="AD208" s="3" t="str">
        <f t="array" ref="AD208">IFERROR(INDEX(CI$7:CI$377,SMALL(IF(CI$7:CI$377&lt;&gt;"",ROW(CI$7:CI$377)-ROW(CI$7)+1),ROWS(CI$7:CI207))),"")</f>
        <v/>
      </c>
      <c r="AE208" s="3" t="str">
        <f t="array" ref="AE208">IFERROR(INDEX(CJ$7:CJ$378,SMALL(IF(CJ$7:CJ$378&lt;&gt;"",ROW(CJ$7:CJ$378)-ROW(CJ$7)+1),ROWS(CJ$7:CJ207))),"")</f>
        <v/>
      </c>
      <c r="AF208" s="3" t="str">
        <f t="array" ref="AF208">IFERROR(INDEX(CK$7:CK$378,SMALL(IF(CK$7:CK$378&lt;&gt;"",ROW(CK$7:CK$378)-ROW(CK$7)+1),ROWS(CK$7:CK207))),"")</f>
        <v/>
      </c>
      <c r="AG208" s="3" t="str">
        <f t="array" ref="AG208">IFERROR(INDEX(CL$7:CL$378,SMALL(IF(CL$7:CL$378&lt;&gt;"",ROW(CL$7:CL$378)-ROW(CL$7)+1),ROWS(CL$7:CL207))),"")</f>
        <v/>
      </c>
      <c r="AH208" s="3"/>
      <c r="AI208" s="3"/>
      <c r="AJ208" s="3"/>
      <c r="AK208" s="3"/>
      <c r="AL208" s="3"/>
      <c r="AM208" s="3"/>
      <c r="AN208" s="52" t="str">
        <f>IF(Atletas!D199="","",IF(Atletas!B199="Feminino",100,IF(Atletas!B199="Masculino",200,""))+(IF(Atletas!D199="Kids 30kg",1,IF(Atletas!D199="Kids 32kg",2, IF(Atletas!D199="Kids 34kg",3,IF(Atletas!D199="Kids 36kg",4,IF(Atletas!D199="Kids 39kg",5,IF(Atletas!D199="Kids 42kg",6,IF(Atletas!D199="Kids 45kg",7, IF(Atletas!D199="Infantil 39kg",8,IF(Atletas!D199="Infantil 42kg",9,IF(Atletas!D199="Infantil 45kg",10,IF(Atletas!D199="Infantil 48kg",11,IF(Atletas!D199="Infantil 52kg",12,IF(Atletas!D199="Infantil 56kg",13,IF(Atletas!D199="Infantil 60kg",14,IF(Atletas!D199="Juvenil 48kg",15,IF(Atletas!D199="Juvenil 52kg",16,IF(Atletas!D199="Juvenil 56kg",17,IF(Atletas!D199="Juvenil 60kg",18,IF(Atletas!D199="Juvenil 65kg",19,IF(Atletas!D199="Juvenil 70kg",20,IF(Atletas!D199="Juvenil 75kg",21,IF(Atletas!D199="Juvenil 80kg",22, IF(Atletas!D199="Juvenil 85kg",23,IF(Atletas!D199="Adulto 48kg",24,IF(Atletas!D199="Adulto 52kg",25,IF(Atletas!D199="Adulto 56kg",26,IF(Atletas!D199="Adulto 60kg",27,IF(Atletas!D199="Adulto 65kg",28,IF(Atletas!D199="Adulto 70kg",29,IF(Atletas!D199="Adulto 75kg",30,IF(Atletas!D199="Adulto 80kg",31,IF(Atletas!D199="Adulto 85kg",32,IF(Atletas!D199="Adulto 90kg",33,IF(Atletas!D199="Adulto 100kg",34, IF(Atletas!D199="Adulto +100kg",35,"")))))))))))))))))))))))))))))))))))))</f>
        <v/>
      </c>
      <c r="AS208" s="6" t="str">
        <f>IF(Atletas!E199="","",IF(Atletas!B199="Feminino",100,IF(Atletas!B199="Masculino",200,""))+(IF(Atletas!E199="Juvenil 44kg",1,IF(Atletas!E199="Juvenil 48kg",2,IF(Atletas!E199="Juvenil 52kg",3,IF(Atletas!E199="Juvenil 56kg",4,IF(Atletas!E199="Juvenil 60kg",5,IF(Atletas!E199="Juvenil 65kg",6,IF(Atletas!E199="Juvenil 70kg",7,IF(Atletas!E199="Juvenil 75kg",8,IF(Atletas!E199="Juvenil 82kg",9,IF(Atletas!E199="Juvenil 90kg",10,IF(Atletas!E199="Juvenil 100kg",11,IF(Atletas!E199="Adulto 48kg",12,IF(Atletas!E199="Adulto 52kg",13,IF(Atletas!E199="Adulto 56kg",14,IF(Atletas!E199="Adulto 60kg",15,IF(Atletas!E199="Adulto 65kg",16,IF(Atletas!E199="Adulto 70kg",17,IF(Atletas!E199="Adulto 75kg",18,IF(Atletas!E199="Adulto 82kg",19,IF(Atletas!E199="Adulto 90kg",20,IF(Atletas!E199="Adulto 100kg",21,IF(Atletas!E199="Adulto +100kg",22,""))))))))))))))))))))))))</f>
        <v/>
      </c>
      <c r="AX208" s="6" t="str">
        <f>IF(Atletas!F199="","",IF(Atletas!B199="Feminino",100,IF(Atletas!B199="Masculino",200,""))+(IF(Atletas!F199="Adulto 48kg",1,IF(Atletas!F199="Adulto 56kg",2,IF(Atletas!F199="Adulto 65kg",3,IF(Atletas!F199="Adulto 75kg",4,IF(Atletas!F199="Adulto +75kg",5,IF(Atletas!F199="Adulto 52kg",6,IF(Atletas!F199="Adulto 60kg",7,IF(Atletas!F199="Adulto 70kg",8,IF(Atletas!F199="Adulto 80kg",9,IF(Atletas!F199="Adulto 90kg",10,IF(Atletas!F199="Adulto +90kg",11,"")))))))))))))</f>
        <v/>
      </c>
      <c r="BC208" s="6" t="str">
        <f>IF(Atletas!G199="","",IF(Atletas!B199="Feminino",10,IF(Atletas!B199="Masculino",20,""))+(IF(Atletas!G199="Baduanjin A",1,IF(Atletas!G199="Baduanjin B",2))))</f>
        <v/>
      </c>
      <c r="BF208" s="52" t="str">
        <f>IF(Atletas!H199="","",IF(Atletas!B199="Feminino",100,IF(Atletas!B199="Masculino",200,""))+(IF(Atletas!H199="Changquan Mirim",1,IF(Atletas!H199="Nanquan Mirim",2,IF(Atletas!H199="Taijiquan Mirim",3,IF(Atletas!H199="Changquan Grupo C",4,IF(Atletas!H199="Nanquan Grupo C",5,IF(Atletas!H199="Taijiquan Grupo C",6,IF(Atletas!H199="Changquan Grupo B",7,IF(Atletas!H199="Nanquan Grupo B",8,IF(Atletas!H199="Taijiquan Grupo B",9,IF(Atletas!H199="Changquan Grupo A",10,IF(Atletas!H199="Nanquan Grupo A",11,IF(Atletas!H199="Taijiquan Grupo A",12,IF(Atletas!H199="Changquan Opcional",13,IF(Atletas!H199="Nanquan Opcional",14,IF(Atletas!H199="Taijiquan Opcional",15,IF(Atletas!H199="Changquan Adulto",16,IF(Atletas!H199="Nanquan Adulto",17,IF(Atletas!H199="Taijiquan Adulto",18,""))))))))))))))))))))</f>
        <v/>
      </c>
      <c r="BG208" s="52" t="str">
        <f>IF(Atletas!I199="","",IF(Atletas!B199="Feminino",100,IF(Atletas!B199="Masculino",200,""))+(IF(Atletas!I199="Daoshu Mirim",19,IF(Atletas!I199="Jianshu Mirim",20,IF(Atletas!I199="Nandao Mirim",21,IF(Atletas!I199="Taijijian Mirim",22,IF(Atletas!I199="Daoshu Grupo C",23,IF(Atletas!I199="Jianshu Grupo C",24,IF(Atletas!I199="Nandao Grupo C",25,IF(Atletas!I199="Taijijian Grupo C",26,IF(Atletas!I199="Daoshu Grupo B",27,IF(Atletas!I199="Jianshu Grupo B",28,IF(Atletas!I199="Nandao Grupo B",29,IF(Atletas!I199="Taijijian Grupo B",30,IF(Atletas!I199="Daoshu Grupo A",31,IF(Atletas!I199="Jianshu Grupo A",32,IF(Atletas!I199="Nandao Grupo A",33,IF(Atletas!I199="Taijijian Grupo A",34,IF(Atletas!I199="Daoshu Opcional",35,IF(Atletas!I199="Jianshu Opcional",36,IF(Atletas!I199="Nandao Opcional",37,IF(Atletas!I199="Taijijian Opcional",38,IF(Atletas!I199="Daoshu Adulto",39,IF(Atletas!I199="Jianshu Adulto",40,IF(Atletas!I199="Nandao Adulto",41,IF(Atletas!I199="Taijijian Adulto",42,""))))))))))))))))))))))))))</f>
        <v/>
      </c>
      <c r="BH208" s="52" t="str">
        <f>IF(Atletas!J199="","",IF(Atletas!B199="Feminino",100,IF(Atletas!B199="Masculino",200,""))+(IF(Atletas!J199="Gunshu Mirim",43,IF(Atletas!J199="Qiangshu Mirim",44,IF(Atletas!J199="Nangun Mirim",45,IF(Atletas!J199="Gunshu Grupo C",46,IF(Atletas!J199="Qiangshu Grupo C",47,IF(Atletas!J199="Nangun Grupo C",48,IF(Atletas!J199="Gunshu Grupo B",49,IF(Atletas!J199="Qiangshu Grupo B",50,IF(Atletas!J199="Nangun Grupo B",51,IF(Atletas!J199="Gunshu Grupo A",52,IF(Atletas!J199="Qiangshu Grupo A",53,IF(Atletas!J199="Nangun Grupo A",54,IF(Atletas!J199="Gunshu Opcional",55,IF(Atletas!J199="Qiangshu Opcional",56,IF(Atletas!J199="Nangun Opcional",57,IF(Atletas!J199="Gunshu Adulto",58,IF(Atletas!J199="Qiangshu Adulto",59,IF(Atletas!J199="Nangun Adulto",60,IF(Atletas!J199="Taijishan Grupo B",61,IF(Atletas!J199="Taijishan Grupo A",62,""))))))))))))))))))))))</f>
        <v/>
      </c>
      <c r="BM208" s="50" t="str">
        <f>IF(Atletas!K199="","",IF(Atletas!B199="Feminino",100,IF(Atletas!B199="Masculino",200,""))+(IF(Atletas!K199="Equipe 1 Grupo B",1,IF(Atletas!K199="Equipe 2 Grupo B",2,IF(Atletas!K199="Equipe 1 Grupo A",3,IF(Atletas!K199="Equipe 2 Grupo A",4,IF(Atletas!K199="Equipe 1 Adulto",5,IF(Atletas!K199="Equipe 2 Adulto",6,""))))))))</f>
        <v/>
      </c>
      <c r="BR208" s="50" t="str">
        <f>IF(Atletas!L199="","",IF(Atletas!X199&lt;&gt;"",10000,0)+(IF(Atletas!B199="Feminino",1000,IF(Atletas!B199="Masculino",2000,""))+IF(Atletas!L199="Choylayfut A",1,IF(Atletas!L199="Hunggar A",2,IF(Atletas!L199="Wuzuquan A",3,IF(Atletas!L199="Wingchun A",4,IF(Atletas!L199="Outra Mão de Sul A",5,IF(Atletas!L199="Choylayfut B",6,IF(Atletas!L199="Hunggar B",7,IF(Atletas!L199="Wuzuquan B",8,IF(Atletas!L199="Wingchun B",9,IF(Atletas!L199="Outra Mão de Sul B",10,IF(Atletas!L199="Choylayfut C",11,IF(Atletas!L199="Hunggar C",12,IF(Atletas!L199="Wuzuquan C",13,IF(Atletas!L199="Wingchun C",14,IF(Atletas!L199="Outra Mão de Sul C",15,IF(Atletas!L199="Choylayfut D",16,IF(Atletas!L199="Hunggar D",17,IF(Atletas!L199="Wuzuquan D",18,IF(Atletas!L199="Wingchun D",19,IF(Atletas!L199="Outra Mão de Sul D",20,IF(Atletas!L199="Choylayfut E",21,IF(Atletas!L199="Hunggar E",22,IF(Atletas!L199="Wuzuquan E",23,IF(Atletas!L199="Wingchun E",24,IF(Atletas!L199="Outra Mão de Sul E",25,IF(Atletas!L199="Choylayfut F",26,IF(Atletas!L199="Hunggar F",27,IF(Atletas!L199="Wuzuquan F",28,IF(Atletas!L199="Wingchun F",29,IF(Atletas!L199="Outra Mão de Sul F",30,IF(Atletas!L199="Dishuquan A",31,IF(Atletas!L199="Dishuquan B",32,IF(Atletas!L199="Dishuquan C",33,IF(Atletas!L199="Dishuquan D",34,IF(Atletas!L199="Dishuquan E",35,IF(Atletas!L199="Dishuquan F",36,""))))))))))))))))))))))))))))))))))))))</f>
        <v/>
      </c>
      <c r="BS208" s="50" t="str">
        <f>IF(Atletas!M199="","",IF(Atletas!X199&lt;&gt;"",10000,0)+(IF(Atletas!B199="Feminino",1000,IF(Atletas!B199="Masculino",2000,""))+(IF(Atletas!M199="Chaquan A",101,IF(Atletas!M199="Emeiquan A",102,IF(Atletas!M199="Fanziquan A",103,IF(Atletas!M199="Huaquan A",104,IF(Atletas!M199="Hongquan A",105,IF(Atletas!M199="Paoquan A",106,IF(Atletas!M199="Piguaquan A",107,IF(Atletas!M199="Shaolinquan A",108,IF(Atletas!M199="Tanglangquan A",109,IF(Atletas!M199="Yingzhaoquan A",110,IF(Atletas!M199="Tongbeiquan A",111,IF(Atletas!M199="Wudangquan A",112,IF(Atletas!M199="Outros Estilos A",113,IF(Atletas!M199="Chaquan B",114,IF(Atletas!M199="Emeiquan B",115,IF(Atletas!M199="Fanziquan B",116,IF(Atletas!M199="Huaquan B",117,IF(Atletas!M199="Hongquan B",118,IF(Atletas!M199="Paoquan B",119,IF(Atletas!M199="Piguaquan B",120,IF(Atletas!M199="Shaolinquan B",121,IF(Atletas!M199="Tanglangquan B",122,IF(Atletas!M199="Yingzhaoquan B",123,IF(Atletas!M199="Tongbeiquan B",124,IF(Atletas!M199="Wudangquan B",125,IF(Atletas!M199="Outros Estilos B",126,IF(Atletas!M199="Chaquan C",127,IF(Atletas!M199="Emeiquan C",128,IF(Atletas!M199="Fanziquan C",129,IF(Atletas!M199="Huaquan C",130,IF(Atletas!M199="Hongquan C",131,IF(Atletas!M199="Paoquan C",132,IF(Atletas!M199="Piguaquan C",133,IF(Atletas!M199="Shaolinquan C",134,IF(Atletas!M199="Tanglangquan C",135,IF(Atletas!M199="Yingzhaoquan C",136,IF(Atletas!M199="Tongbeiquan C",137,IF(Atletas!M199="Wudangquan C",138,IF(Atletas!M199="Outros Estilos C",139,0))))))))))))))))))))))))))))))))))))))))))</f>
        <v/>
      </c>
      <c r="BT208" s="50" t="str">
        <f>IF(Atletas!M199="","",IF(Atletas!X199&lt;&gt;"",10000,0)+(IF(Atletas!B199="Feminino",1000,IF(Atletas!B199="Masculino",2000,""))+(IF(Atletas!M199="Chaquan D",140,IF(Atletas!M199="Emeiquan D",141,IF(Atletas!M199="Fanziquan D",142,IF(Atletas!M199="Huaquan D",143,IF(Atletas!M199="Hongquan D",144,IF(Atletas!M199="Paoquan D",145,IF(Atletas!M199="Piguaquan D",146,IF(Atletas!M199="Shaolinquan D",147,IF(Atletas!M199="Tanglangquan D",148,IF(Atletas!M199="Yingzhaoquan D",149,IF(Atletas!M199="Tongbeiquan D",150,IF(Atletas!M199="Wudangquan D",151,IF(Atletas!M199="Outros Estilos D",152,IF(Atletas!M199="Chaquan E",153,IF(Atletas!M199="Emeiquan E",154,IF(Atletas!M199="Fanziquan E",155,IF(Atletas!M199="Huaquan E",156,IF(Atletas!M199="Hongquan E",157,IF(Atletas!M199="Paoquan E",158,IF(Atletas!M199="Piguaquan E",159,IF(Atletas!M199="Shaolinquan E",160,IF(Atletas!M199="Tanglangquan E",161,IF(Atletas!M199="Yingzhaoquan E",162,IF(Atletas!M199="Tongbeiquan E",163,IF(Atletas!M199="Wudangquan E",164,IF(Atletas!M199="Outros Estilos E",165,IF(Atletas!M199="Chaquan F",166,IF(Atletas!M199="Emeiquan F",167,IF(Atletas!M199="Fanziquan F",168,IF(Atletas!M199="Huaquan F",169,IF(Atletas!M199="Hongquan F",170,IF(Atletas!M199="Paoquan F",171,IF(Atletas!M199="Piguaquan F",172,IF(Atletas!M199="Shaolinquan F",173,IF(Atletas!M199="Tanglangquan F",174,IF(Atletas!M199="Yingzhaoquan F",175,IF(Atletas!M199="Tongbeiquan F",176,IF(Atletas!M199="Wudangquan F",177,IF(Atletas!M199="Outros Estilos F",178,0))))))))))))))))))))))))))))))))))))))))))</f>
        <v/>
      </c>
      <c r="BU208" s="50" t="str">
        <f>IF(Atletas!N199="","",IF(Atletas!X199&lt;&gt;"",10000,0)+(IF(Atletas!B199="Feminino",1000,IF(Atletas!B199="Masculino",2000,""))+(IF(Atletas!N199="Ditangquan A",201,IF(Atletas!N199="Houquan A",202,IF(Atletas!N199="Zuiquan A",203,IF(Atletas!N199="Ditangquan B",204,IF(Atletas!N199="Houquan B",205,IF(Atletas!N199="Zuiquan B",206,IF(Atletas!N199="Ditangquan C",207,IF(Atletas!N199="Houquan C",208,IF(Atletas!N199="Zuiquan C",209,IF(Atletas!N199="Ditangquan D",210,IF(Atletas!N199="Houquan D",211,IF(Atletas!N199="Zuiquan D",212,IF(Atletas!N199="Ditangquan E",213,IF(Atletas!N199="Houquan E",214,IF(Atletas!N199="Zuiquan E",215,IF(Atletas!N199="Ditangquan F",216,IF(Atletas!N199="Houquan F",217,IF(Atletas!N199="Zuiquan F",218,"")))))))))))))))))))))</f>
        <v/>
      </c>
      <c r="BV208" s="50" t="str">
        <f>IF(Atletas!O199="","",IF(Atletas!X199&lt;&gt;"",10000,0)+IF(Atletas!B199="Feminino",1000,IF(Atletas!B199="Masculino",2000,""))+IF(Atletas!O199="Yang A",301,IF(Atletas!O199="Chen A",302,IF(Atletas!O199="Sun A",303,IF(Atletas!O199="Wu A",304,IF(Atletas!O199="Wu-Hao A",305,IF(Atletas!O199="Outro Taijiquan A",306,IF(Atletas!O199="Yang B",307,IF(Atletas!O199="Chen B",308,IF(Atletas!O199="Sun B",309,IF(Atletas!O199="Wu B",310,IF(Atletas!O199="Wu-Hao B",311,IF(Atletas!O199="Outro Taijiquan B",312,IF(Atletas!O199="Yang C",313,IF(Atletas!O199="Chen C",314,IF(Atletas!O199="Sun C",315,IF(Atletas!O199="Wu C",316,IF(Atletas!O199="Wu-Hao C",317,IF(Atletas!O199="Outro Taijiquan C",318,IF(Atletas!O199="Yang D",319,IF(Atletas!O199="Chen D",320,IF(Atletas!O199="Sun D",321,IF(Atletas!O199="Wu D",322,IF(Atletas!O199="Wu-Hao D",323,IF(Atletas!O199="Outro Taijiquan D",324,IF(Atletas!O199="Yang E",325,IF(Atletas!O199="Chen E",326,IF(Atletas!O199="Sun E",327,IF(Atletas!O199="Wu E",328,IF(Atletas!O199="Wu-Hao E",329,IF(Atletas!O199="Outro Taijiquan E",330,IF(Atletas!O199="Yang F",331,IF(Atletas!O199="Chen F",332,IF(Atletas!O199="Sun F",333,IF(Atletas!O199="Wu F",334,IF(Atletas!O199="Wu-Hao F",335,IF(Atletas!O199="Outro Taijiquan F",336,"")))))))))))))))))))))))))))))))))))))</f>
        <v/>
      </c>
      <c r="BW208" s="50" t="str">
        <f>IF(Atletas!P199="","",IF(Atletas!X199&lt;&gt;"",10000,0)+IF(Atletas!B199="Feminino",1000,IF(Atletas!B199="Masculino",2000,""))+IF(OR(Atletas!P199="Yang 26 A",Atletas!P199="Yang 40 A"),401,IF(OR(Atletas!P199="Chen 25 A",Atletas!P199="Chen 36 A",Atletas!P199="Chen 56 A"),402,IF(Atletas!P199="Sun 73 A",403,IF(Atletas!P199="Wu 45 A",404,IF(Atletas!P199="Wu-Hao 46 A",405,IF(OR(Atletas!P199="Taijiquan 16 A",Atletas!P199="Taijiquan 24 A",Atletas!P199="Taijiquan 32 A",Atletas!P199="Taijiquan 42 A"),406,IF(OR(Atletas!P199="Yang 26 B",Atletas!P199="Yang 40 B"),407,IF(OR(Atletas!P199="Chen 25 B",Atletas!P199="Chen 36 B",Atletas!P199="Chen 56 B"),408,IF(Atletas!P199="Sun 73 B",409,IF(Atletas!P199="Wu 45 B",410,IF(Atletas!P199="Wu-Hao 46 B",411,IF(OR(Atletas!P199="Taijiquan 16 B",Atletas!P199="Taijiquan 24 B",Atletas!P199="Taijiquan 32 B",Atletas!P199="Taijiquan 42 B"),412,IF(OR(Atletas!P199="Yang 26 C",Atletas!P199="Yang 40 C"),413,IF(OR(Atletas!P199="Chen 25 C",Atletas!P199="Chen 36 C",Atletas!P199="Chen 56 C"),414,IF(Atletas!P199="Sun 73 C",415,IF(Atletas!P199="Wu 45 C",416,IF(Atletas!P199="Wu-Hao 46 C",417,IF(OR(Atletas!P199="Taijiquan 16 C",Atletas!P199="Taijiquan 24 C",Atletas!P199="Taijiquan 32 C",Atletas!P199="Taijiquan 42 C"),418,0)))))))))))))))))))</f>
        <v/>
      </c>
      <c r="BX208" s="50" t="str">
        <f>IF(Atletas!P199="","",IF(Atletas!X199&lt;&gt;"",10000,0)+IF(Atletas!B199="Feminino",1000,IF(Atletas!B199="Masculino",2000,""))+IF(OR(Atletas!P199="Yang 26 D",Atletas!P199="Yang 40 D"),419,IF(OR(Atletas!P199="Chen 25 D",Atletas!P199="Chen 36 D",Atletas!P199="Chen 56 D"),420,IF(Atletas!P199="Sun 73 D",421,IF(Atletas!P199="Wu 45 D",422,IF(Atletas!P199="Wu-Hao 46 D",423,IF(OR(Atletas!P199="Taijiquan 16 D",Atletas!P199="Taijiquan 24 D",Atletas!P199="Taijiquan 32 D",Atletas!P199="Taijiquan 42 D"),424,IF(OR(Atletas!P199="Yang 26 E",Atletas!P199="Yang 40 E"),425,IF(OR(Atletas!P199="Chen 25 E",Atletas!P199="Chen 36 E",Atletas!P199="Chen 56 E"),426,IF(Atletas!P199="Sun 73 E",427,IF(Atletas!P199="Wu 45 E",428,IF(Atletas!P199="Wu-Hao 46 E",429,IF(OR(Atletas!P199="Taijiquan 16 E",Atletas!P199="Taijiquan 24 E",Atletas!P199="Taijiquan 32 E",Atletas!P199="Taijiquan 42 E"),430,IF(OR(Atletas!P199="Yang 26 F",Atletas!P199="Yang 40 F"),431,IF(OR(Atletas!P199="Chen 25 F",Atletas!P199="Chen 36 F",Atletas!P199="Chen 56 F"),432,IF(Atletas!P199="Sun 73 F",433,IF(Atletas!P199="Wu 45 F",434,IF(Atletas!P199="Wu-Hao 46 F",435,IF(OR(Atletas!P199="Taijiquan 16 F",Atletas!P199="Taijiquan 24 F",Atletas!P199="Taijiquan 32 F",Atletas!P199="Taijiquan 42 F"),436,0)))))))))))))))))))</f>
        <v/>
      </c>
      <c r="BY208" s="50" t="str">
        <f>IF(Atletas!Q199="","",IF(Atletas!X199&lt;&gt;"",10000,0)+IF(Atletas!B199="Feminino",1000,IF(Atletas!B199="Masculino",2000,""))+IF(Atletas!Q199="Xingyiquan A",501,IF(Atletas!Q199="Baguazhang A",502,IF(Atletas!Q199="Outro Estilo Interno A",503,IF(Atletas!Q199="Xingyiquan B",504,IF(Atletas!Q199="Baguazhang B",505,IF(Atletas!Q199="Outro Estilo Interno B",506,IF(Atletas!Q199="Xingyiquan C",507,IF(Atletas!Q199="Baguazhang C",508,IF(Atletas!Q199="Outro Estilo Interno C",509,IF(Atletas!Q199="Xingyiquan D",510,IF(Atletas!Q199="Baguazhang D",511,IF(Atletas!Q199="Outro Estilo Interno D",512,IF(Atletas!Q199="Xingyiquan E",513,IF(Atletas!Q199="Baguazhang E",514,IF(Atletas!Q199="Outro Estilo Interno E",515,IF(Atletas!Q199="Xingyiquan F",516,IF(Atletas!Q199="Baguazhang F",517,IF(Atletas!Q199="Outro Estilo Interno F",518, "")))))))))))))))))))</f>
        <v/>
      </c>
      <c r="BZ208" s="50" t="str">
        <f>IF(Atletas!R199="","",IF(Atletas!X199&lt;&gt;"",10000,0)+IF(Atletas!B199="Feminino",1000,IF(Atletas!B199="Masculino",2000,""))+IF(Atletas!R199="Dao A",601,IF(Atletas!R199="Jian A",602,IF(Atletas!R199="Bishou A",603,IF(Atletas!R199="Shanzi A",604,IF(Atletas!R199="Outra Arma Curta A",605,IF(Atletas!R199="Dao B",606,IF(Atletas!R199="Jian B",607,IF(Atletas!R199="Bishou B",608,IF(Atletas!R199="Shanzi B",609,IF(Atletas!R199="Outra Arma Curta B",610,IF(Atletas!R199="Dao C",611,IF(Atletas!R199="Jian C",612,IF(Atletas!R199="Bishou C",613,IF(Atletas!R199="Shanzi C",614,IF(Atletas!R199="Outra Arma Curta C",615,IF(Atletas!R199="Dao D",616,IF(Atletas!R199="Jian D",617,IF(Atletas!R199="Bishou D",618,IF(Atletas!R199="Shanzi D",619,IF(Atletas!R199="Outra Arma Curta D",620,IF(Atletas!R199="Dao E",621,IF(Atletas!R199="Jian E",622,IF(Atletas!R199="Bishou E",623,IF(Atletas!R199="Shanzi E",624,IF(Atletas!R199="Outra Arma Curta E",625,IF(Atletas!R199="Dao F",626,IF(Atletas!R199="Jian F",627,IF(Atletas!R199="Bishou F",628,IF(Atletas!R199="Shanzi F",629,IF(Atletas!R199="Outra Arma Curta F",630, "")))))))))))))))))))))))))))))))</f>
        <v/>
      </c>
      <c r="CA208" s="50" t="str">
        <f>IF(Atletas!S199="","",IF(Atletas!X199&lt;&gt;"",10000,0)+IF(Atletas!B199="Feminino",1000,IF(Atletas!B199="Masculino",2000,""))+IF(Atletas!S199="Gun A",701,IF(Atletas!S199="Qiang A",702,IF(Atletas!S199="Pudao / Guandao A",703,IF(Atletas!S199="Outra Arma Longa A",704,IF(Atletas!S199="Gun B",705,IF(Atletas!S199="Qiang B",706,IF(Atletas!S199="Pudao / Guandao B",707,IF(Atletas!S199="Outra Arma Longa B",708,IF(Atletas!S199="Gun C",709,IF(Atletas!S199="Qiang C",710,IF(Atletas!S199="Pudao / Guandao C",711,IF(Atletas!S199="Outra Arma Longa C",712,IF(Atletas!S199="Gun D",713,IF(Atletas!S199="Qiang D",714,IF(Atletas!S199="Pudao / Guandao D",715,IF(Atletas!S199="Outra Arma Longa D",716,IF(Atletas!S199="Gun E",717,IF(Atletas!S199="Qiang E",718,IF(Atletas!S199="Pudao / Guandao E",719,IF(Atletas!S199="Outra Arma Longa E",720,IF(Atletas!S199="Gun F",721,IF(Atletas!S199="Qiang F",722,IF(Atletas!S199="Pudao / Guandao F",723,IF(Atletas!S199="Outra Arma Longa F",724,"")))))))))))))))))))))))))</f>
        <v/>
      </c>
      <c r="CB208" s="50" t="str">
        <f>IF(Atletas!T199="","",IF(Atletas!X199&lt;&gt;"",10000,0)+IF(Atletas!B199="Feminino",1000,IF(Atletas!B199="Masculino",2000,""))+IF(Atletas!T199="Outra Arma Dupla A",801,IF(Atletas!T199="Arma Maleável A",802,IF(Atletas!T199="Outra Arma Dupla B",803,IF(Atletas!T199="Arma Maleável B",804,IF(Atletas!T199="Outra Arma Dupla C",805,IF(Atletas!T199="Arma Maleável C",806,IF(Atletas!T199="Outra Arma Dupla D",807,IF(Atletas!T199="Arma Maleável D",808,IF(Atletas!T199="Outra Arma Dupla E",809,IF(Atletas!T199="Arma Maleável E",810,IF(Atletas!T199="Outra Arma Dupla F",811,IF(Atletas!T199="Arma Maleável F",812,IF(Atletas!T199="Shuangdao A",813,IF(Atletas!T199="Shuangdao B",814,IF(Atletas!T199="Shuangdao C",815,IF(Atletas!T199="Shuangdao D",816,IF(Atletas!T199="Shuangdao E",817,IF(Atletas!T199="Shuangdao F",818,"")))))))))))))))))))</f>
        <v/>
      </c>
      <c r="CC208" s="50" t="str">
        <f>IF(Atletas!U199="","",IF(Atletas!X199&lt;&gt;"",10000,0)+IF(Atletas!B199="Feminino",1000,IF(Atletas!B199="Masculino",2000,""))+IF(OR(Atletas!U199="Taijijian Yang A",Atletas!U199="Taijijian Yang Standard A"),901,IF(OR(Atletas!U199="Taijijian Chen A", Atletas!U199="Taijijian Chen Standard A"),902,IF(Atletas!U199="Taijijian Sun A",903,IF(Atletas!U199="Taijijian Wu A",904,IF(Atletas!U199="Taijijian Wu-Hao A",905,IF(OR(Atletas!U199="Taijijian 32 A",Atletas!U199="Taijijian 42 A"),906,IF(OR(Atletas!U199="Taijijian Yang B",Atletas!U199="Taijijian Yang Standard B"),907,IF(OR(Atletas!U199="Taijijian Chen B", Atletas!U199="Taijijian Chen Standard B"),908,IF(Atletas!U199="Taijijian Sun B",909,IF(Atletas!U199="Taijijian Wu B",910,IF(Atletas!U199="Taijijian Wu-Hao B",911,IF(OR(Atletas!U199="Taijijian 32 B",Atletas!U199="Taijijian 42 B"),912,IF(OR(Atletas!U199="Taijijian Yang C",Atletas!U199="Taijijian Yang Standard C"),913,IF(OR(Atletas!U199="Taijijian Chen C", Atletas!U199="Taijijian Chen Standard C"),914,IF(Atletas!U199="Taijijian Sun C",915,IF(Atletas!U199="Taijijian Wu C",916,IF(Atletas!U199="Taijijian Wu-Hao C",917,IF(OR(Atletas!U199="Taijijian 32 C",Atletas!U199="Taijijian 42 C"),918,IF(OR(Atletas!U199="Taijijian Yang D",Atletas!U199="Taijijian Yang Standard D"),919,IF(OR(Atletas!U199="Taijijian Chen D", Atletas!U199="Taijijian Chen Standard D"),920,IF(Atletas!U199="Taijijian Sun D",921,IF(Atletas!U199="Taijijian Wu D",922,IF(Atletas!U199="Taijijian Wu-Hao D",923,IF(OR(Atletas!U199="Taijijian 32 D",Atletas!U199="Taijijian 42 D"),924,IF(OR(Atletas!U199="Taijijian Yang E",Atletas!U199="Taijijian Yang Standard E"),925,IF(OR(Atletas!U199="Taijijian Chen E", Atletas!U199="Taijijian Chen Standard E"),926,IF(Atletas!U199="Taijijian Sun E",927,IF(Atletas!U199="Taijijian Wu E",928,IF(Atletas!U199="Taijijian Wu-Hao E",929,IF(OR(Atletas!U199="Taijijian 32 E",Atletas!U199="Taijijian 42 E"),930,IF(OR(Atletas!U199="Taijijian Yang F",Atletas!U199="Taijijian Yang Standard F"),931,IF(OR(Atletas!U199="Taijijian Chen F", Atletas!U199="Taijijian Chen Standard F"),932,IF(Atletas!U199="Taijijian Sun F",933,IF(Atletas!U199="Taijijian Wu F",934,IF(Atletas!U199="Taijijian Wu-Hao F",935,IF(OR(Atletas!U199="Taijijian 32 F",Atletas!U199="Taijijian 42 F"),936,"")))))))))))))))))))))))))))))))))))))</f>
        <v/>
      </c>
      <c r="CD208" s="50" t="str">
        <f>IF(Atletas!V199="","",IF(Atletas!X199&lt;&gt;"",10000,0)+IF(Atletas!B199="Feminino",1000,IF(Atletas!B199="Masculino",2000,""))+IF(Atletas!V199="Taijidao A",937,IF(Atletas!V199="TaijiShanzi A",938,IF(Atletas!V199="Taijiqiang A",939,IF(Atletas!V199="Bagua de Arma A",940,IF(Atletas!V199="Xingyi de Arma A",941,IF(Atletas!V199="Taijidao B",942,IF(Atletas!V199="TaijiShanzi B",943,IF(Atletas!V199="Taijiqiang B",944,IF(Atletas!V199="Bagua de Arma B",945,IF(Atletas!V199="Xingyi de Arma B",946,IF(Atletas!V199="Taijidao C",947,IF(Atletas!V199="TaijiShanzi C",948,IF(Atletas!V199="Taijiqiang C",949,IF(Atletas!V199="Bagua de Arma C",950,IF(Atletas!V199="Xingyi de Arma C",951,IF(Atletas!V199="Taijidao D",952,IF(Atletas!V199="TaijiShanzi D",953,IF(Atletas!V199="Taijiqiang D",954,IF(Atletas!V199="Bagua de Arma D",955,IF(Atletas!V199="Xingyi de Arma D",956,IF(Atletas!V199="Taijidao E",957,IF(Atletas!V199="TaijiShanzi E",958,IF(Atletas!V199="Taijiqiang E",959,IF(Atletas!V199="Bagua de Arma E",960,IF(Atletas!V199="Xingyi de Arma E",961,IF(Atletas!V199="Taijidao F",962,IF(Atletas!V199="TaijiShanzi F",963,IF(Atletas!V199="Taijiqiang F",964,IF(Atletas!V199="Bagua de Arma F",965,IF(Atletas!V199="Xingyi de Arma F",966,"")))))))))))))))))))))))))))))))</f>
        <v/>
      </c>
      <c r="CE208" s="66" t="str">
        <f>IF(CF208&lt;&gt;"","TJQ Padr. Wu F","")</f>
        <v/>
      </c>
      <c r="CF208" s="66" t="str">
        <f>IF(COUNTIF(BR:CD,1434)&gt;0,COUNTIF(BR:CD,1434),"")</f>
        <v/>
      </c>
      <c r="CG208" s="66" t="str">
        <f>IF(CH208&lt;&gt;"","TJQ Padr. Wu F","")</f>
        <v/>
      </c>
      <c r="CH208" s="66" t="str">
        <f>IF(COUNTIF(BR:CD,2434)&gt;0,COUNTIF(BR:CD,2434),"")</f>
        <v/>
      </c>
      <c r="CI208" s="66" t="str">
        <f>IF(CJ208&lt;&gt;"","Xingyiquan B","")</f>
        <v/>
      </c>
      <c r="CJ208" s="66" t="str">
        <f>IF(COUNTIF(BR:CD,11440)&gt;0,COUNTIF(BR:CD,11440),"")</f>
        <v/>
      </c>
      <c r="CK208" s="66" t="str">
        <f>IF(CL208&lt;&gt;"","Xingyiquan B","")</f>
        <v/>
      </c>
      <c r="CL208" s="66" t="str">
        <f>IF(COUNTIF(BR:CD,12440)&gt;0,COUNTIF(BR:CD,12440),"")</f>
        <v/>
      </c>
      <c r="CM208" s="50" t="str">
        <f xml:space="preserve"> IF(Atletas!W199="","",IF(Atletas!W199="Duilian de Mãos BC - Equipe 1",1,IF(Atletas!W199="Duilian de Mãos BC - Equipe 2",2,IF(Atletas!W199="Duilian de Armas BC - Equipe 1",3,IF(Atletas!W199="Duilian de Armas BC - Equipe 2",4,IF(Atletas!W199="Duilian de Mãos DE - Equipe 1",5,IF(Atletas!W199="Duilian de Mãos DE - Equipe 2",6,IF(Atletas!W199="Duilian de Armas DE - Equipe 1",7,IF(Atletas!W199="Duilian de Armas DE - Equipe 2",8,IF(Atletas!W199="Duilian de Tuishou - Equipe 1",9,IF(Atletas!W199="Duilian de Tuishou - Equipe 2",10,IF(Atletas!W199="Grupo Externo ABC - Equipe 1",11,IF(Atletas!W199="Grupo Externo ABC - Equipe 2",12,IF(Atletas!W199="Grupo Interno ABC - Equipe 1",13,IF(Atletas!W199="Grupo Interno ABC - Equipe 2",14,IF(Atletas!W199="Grupo Externo DEF - Equipe 1",15,IF(Atletas!W199="Grupo Externo DEF - Equipe 2",16,IF(Atletas!W199="Grupo Interno DEF - Equipe 1",17,IF(Atletas!W199="Grupo Interno DEF - Equipe 2",18,"")))))))))))))))))))</f>
        <v/>
      </c>
    </row>
    <row r="209" spans="2:91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 t="str">
        <f t="array" ref="Z209">IFERROR(INDEX(CE$7:CE$348,SMALL(IF(CE$7:CE$348&lt;&gt;"",ROW(CE$7:CE$348)-ROW(CE$7)+1),ROWS(CE$7:CE208))),"")</f>
        <v/>
      </c>
      <c r="AA209" s="3" t="str">
        <f t="array" ref="AA209">IFERROR(INDEX(CF$7:CF$348,SMALL(IF(CF$7:CF$348&lt;&gt;"",ROW(CF$7:CF$348)-ROW(CF$7)+1),ROWS(CF$7:CF208))),"")</f>
        <v/>
      </c>
      <c r="AB209" s="3" t="str">
        <f t="array" ref="AB209">IFERROR(INDEX(CG$7:CG$348,SMALL(IF(CG$7:CG$348&lt;&gt;"",ROW(CG$7:CG$348)-ROW(CG$7)+1),ROWS(CG$7:CG208))),"")</f>
        <v/>
      </c>
      <c r="AC209" s="3" t="str">
        <f t="array" ref="AC209">IFERROR(INDEX(CH$7:CH$348,SMALL(IF(CH$7:CH$348&lt;&gt;"",ROW(CH$7:CH$348)-ROW(CH$7)+1),ROWS(CH$7:CH208))),"")</f>
        <v/>
      </c>
      <c r="AD209" s="3" t="str">
        <f t="array" ref="AD209">IFERROR(INDEX(CI$7:CI$377,SMALL(IF(CI$7:CI$377&lt;&gt;"",ROW(CI$7:CI$377)-ROW(CI$7)+1),ROWS(CI$7:CI208))),"")</f>
        <v/>
      </c>
      <c r="AE209" s="3" t="str">
        <f t="array" ref="AE209">IFERROR(INDEX(CJ$7:CJ$378,SMALL(IF(CJ$7:CJ$378&lt;&gt;"",ROW(CJ$7:CJ$378)-ROW(CJ$7)+1),ROWS(CJ$7:CJ208))),"")</f>
        <v/>
      </c>
      <c r="AF209" s="3" t="str">
        <f t="array" ref="AF209">IFERROR(INDEX(CK$7:CK$378,SMALL(IF(CK$7:CK$378&lt;&gt;"",ROW(CK$7:CK$378)-ROW(CK$7)+1),ROWS(CK$7:CK208))),"")</f>
        <v/>
      </c>
      <c r="AG209" s="3" t="str">
        <f t="array" ref="AG209">IFERROR(INDEX(CL$7:CL$378,SMALL(IF(CL$7:CL$378&lt;&gt;"",ROW(CL$7:CL$378)-ROW(CL$7)+1),ROWS(CL$7:CL208))),"")</f>
        <v/>
      </c>
      <c r="AH209" s="3"/>
      <c r="AI209" s="3"/>
      <c r="AJ209" s="3"/>
      <c r="AK209" s="3"/>
      <c r="AL209" s="3"/>
      <c r="AM209" s="3"/>
      <c r="AN209" s="52" t="str">
        <f>IF(Atletas!D200="","",IF(Atletas!B200="Feminino",100,IF(Atletas!B200="Masculino",200,""))+(IF(Atletas!D200="Kids 30kg",1,IF(Atletas!D200="Kids 32kg",2, IF(Atletas!D200="Kids 34kg",3,IF(Atletas!D200="Kids 36kg",4,IF(Atletas!D200="Kids 39kg",5,IF(Atletas!D200="Kids 42kg",6,IF(Atletas!D200="Kids 45kg",7, IF(Atletas!D200="Infantil 39kg",8,IF(Atletas!D200="Infantil 42kg",9,IF(Atletas!D200="Infantil 45kg",10,IF(Atletas!D200="Infantil 48kg",11,IF(Atletas!D200="Infantil 52kg",12,IF(Atletas!D200="Infantil 56kg",13,IF(Atletas!D200="Infantil 60kg",14,IF(Atletas!D200="Juvenil 48kg",15,IF(Atletas!D200="Juvenil 52kg",16,IF(Atletas!D200="Juvenil 56kg",17,IF(Atletas!D200="Juvenil 60kg",18,IF(Atletas!D200="Juvenil 65kg",19,IF(Atletas!D200="Juvenil 70kg",20,IF(Atletas!D200="Juvenil 75kg",21,IF(Atletas!D200="Juvenil 80kg",22, IF(Atletas!D200="Juvenil 85kg",23,IF(Atletas!D200="Adulto 48kg",24,IF(Atletas!D200="Adulto 52kg",25,IF(Atletas!D200="Adulto 56kg",26,IF(Atletas!D200="Adulto 60kg",27,IF(Atletas!D200="Adulto 65kg",28,IF(Atletas!D200="Adulto 70kg",29,IF(Atletas!D200="Adulto 75kg",30,IF(Atletas!D200="Adulto 80kg",31,IF(Atletas!D200="Adulto 85kg",32,IF(Atletas!D200="Adulto 90kg",33,IF(Atletas!D200="Adulto 100kg",34, IF(Atletas!D200="Adulto +100kg",35,"")))))))))))))))))))))))))))))))))))))</f>
        <v/>
      </c>
      <c r="AS209" s="6" t="str">
        <f>IF(Atletas!E200="","",IF(Atletas!B200="Feminino",100,IF(Atletas!B200="Masculino",200,""))+(IF(Atletas!E200="Juvenil 44kg",1,IF(Atletas!E200="Juvenil 48kg",2,IF(Atletas!E200="Juvenil 52kg",3,IF(Atletas!E200="Juvenil 56kg",4,IF(Atletas!E200="Juvenil 60kg",5,IF(Atletas!E200="Juvenil 65kg",6,IF(Atletas!E200="Juvenil 70kg",7,IF(Atletas!E200="Juvenil 75kg",8,IF(Atletas!E200="Juvenil 82kg",9,IF(Atletas!E200="Juvenil 90kg",10,IF(Atletas!E200="Juvenil 100kg",11,IF(Atletas!E200="Adulto 48kg",12,IF(Atletas!E200="Adulto 52kg",13,IF(Atletas!E200="Adulto 56kg",14,IF(Atletas!E200="Adulto 60kg",15,IF(Atletas!E200="Adulto 65kg",16,IF(Atletas!E200="Adulto 70kg",17,IF(Atletas!E200="Adulto 75kg",18,IF(Atletas!E200="Adulto 82kg",19,IF(Atletas!E200="Adulto 90kg",20,IF(Atletas!E200="Adulto 100kg",21,IF(Atletas!E200="Adulto +100kg",22,""))))))))))))))))))))))))</f>
        <v/>
      </c>
      <c r="AX209" s="6" t="str">
        <f>IF(Atletas!F200="","",IF(Atletas!B200="Feminino",100,IF(Atletas!B200="Masculino",200,""))+(IF(Atletas!F200="Adulto 48kg",1,IF(Atletas!F200="Adulto 56kg",2,IF(Atletas!F200="Adulto 65kg",3,IF(Atletas!F200="Adulto 75kg",4,IF(Atletas!F200="Adulto +75kg",5,IF(Atletas!F200="Adulto 52kg",6,IF(Atletas!F200="Adulto 60kg",7,IF(Atletas!F200="Adulto 70kg",8,IF(Atletas!F200="Adulto 80kg",9,IF(Atletas!F200="Adulto 90kg",10,IF(Atletas!F200="Adulto +90kg",11,"")))))))))))))</f>
        <v/>
      </c>
      <c r="BC209" s="6" t="str">
        <f>IF(Atletas!G200="","",IF(Atletas!B200="Feminino",10,IF(Atletas!B200="Masculino",20,""))+(IF(Atletas!G200="Baduanjin A",1,IF(Atletas!G200="Baduanjin B",2))))</f>
        <v/>
      </c>
      <c r="BF209" s="52" t="str">
        <f>IF(Atletas!H200="","",IF(Atletas!B200="Feminino",100,IF(Atletas!B200="Masculino",200,""))+(IF(Atletas!H200="Changquan Mirim",1,IF(Atletas!H200="Nanquan Mirim",2,IF(Atletas!H200="Taijiquan Mirim",3,IF(Atletas!H200="Changquan Grupo C",4,IF(Atletas!H200="Nanquan Grupo C",5,IF(Atletas!H200="Taijiquan Grupo C",6,IF(Atletas!H200="Changquan Grupo B",7,IF(Atletas!H200="Nanquan Grupo B",8,IF(Atletas!H200="Taijiquan Grupo B",9,IF(Atletas!H200="Changquan Grupo A",10,IF(Atletas!H200="Nanquan Grupo A",11,IF(Atletas!H200="Taijiquan Grupo A",12,IF(Atletas!H200="Changquan Opcional",13,IF(Atletas!H200="Nanquan Opcional",14,IF(Atletas!H200="Taijiquan Opcional",15,IF(Atletas!H200="Changquan Adulto",16,IF(Atletas!H200="Nanquan Adulto",17,IF(Atletas!H200="Taijiquan Adulto",18,""))))))))))))))))))))</f>
        <v/>
      </c>
      <c r="BG209" s="52" t="str">
        <f>IF(Atletas!I200="","",IF(Atletas!B200="Feminino",100,IF(Atletas!B200="Masculino",200,""))+(IF(Atletas!I200="Daoshu Mirim",19,IF(Atletas!I200="Jianshu Mirim",20,IF(Atletas!I200="Nandao Mirim",21,IF(Atletas!I200="Taijijian Mirim",22,IF(Atletas!I200="Daoshu Grupo C",23,IF(Atletas!I200="Jianshu Grupo C",24,IF(Atletas!I200="Nandao Grupo C",25,IF(Atletas!I200="Taijijian Grupo C",26,IF(Atletas!I200="Daoshu Grupo B",27,IF(Atletas!I200="Jianshu Grupo B",28,IF(Atletas!I200="Nandao Grupo B",29,IF(Atletas!I200="Taijijian Grupo B",30,IF(Atletas!I200="Daoshu Grupo A",31,IF(Atletas!I200="Jianshu Grupo A",32,IF(Atletas!I200="Nandao Grupo A",33,IF(Atletas!I200="Taijijian Grupo A",34,IF(Atletas!I200="Daoshu Opcional",35,IF(Atletas!I200="Jianshu Opcional",36,IF(Atletas!I200="Nandao Opcional",37,IF(Atletas!I200="Taijijian Opcional",38,IF(Atletas!I200="Daoshu Adulto",39,IF(Atletas!I200="Jianshu Adulto",40,IF(Atletas!I200="Nandao Adulto",41,IF(Atletas!I200="Taijijian Adulto",42,""))))))))))))))))))))))))))</f>
        <v/>
      </c>
      <c r="BH209" s="52" t="str">
        <f>IF(Atletas!J200="","",IF(Atletas!B200="Feminino",100,IF(Atletas!B200="Masculino",200,""))+(IF(Atletas!J200="Gunshu Mirim",43,IF(Atletas!J200="Qiangshu Mirim",44,IF(Atletas!J200="Nangun Mirim",45,IF(Atletas!J200="Gunshu Grupo C",46,IF(Atletas!J200="Qiangshu Grupo C",47,IF(Atletas!J200="Nangun Grupo C",48,IF(Atletas!J200="Gunshu Grupo B",49,IF(Atletas!J200="Qiangshu Grupo B",50,IF(Atletas!J200="Nangun Grupo B",51,IF(Atletas!J200="Gunshu Grupo A",52,IF(Atletas!J200="Qiangshu Grupo A",53,IF(Atletas!J200="Nangun Grupo A",54,IF(Atletas!J200="Gunshu Opcional",55,IF(Atletas!J200="Qiangshu Opcional",56,IF(Atletas!J200="Nangun Opcional",57,IF(Atletas!J200="Gunshu Adulto",58,IF(Atletas!J200="Qiangshu Adulto",59,IF(Atletas!J200="Nangun Adulto",60,IF(Atletas!J200="Taijishan Grupo B",61,IF(Atletas!J200="Taijishan Grupo A",62,""))))))))))))))))))))))</f>
        <v/>
      </c>
      <c r="BM209" s="50" t="str">
        <f>IF(Atletas!K200="","",IF(Atletas!B200="Feminino",100,IF(Atletas!B200="Masculino",200,""))+(IF(Atletas!K200="Equipe 1 Grupo B",1,IF(Atletas!K200="Equipe 2 Grupo B",2,IF(Atletas!K200="Equipe 1 Grupo A",3,IF(Atletas!K200="Equipe 2 Grupo A",4,IF(Atletas!K200="Equipe 1 Adulto",5,IF(Atletas!K200="Equipe 2 Adulto",6,""))))))))</f>
        <v/>
      </c>
      <c r="BR209" s="50" t="str">
        <f>IF(Atletas!L200="","",IF(Atletas!X200&lt;&gt;"",10000,0)+(IF(Atletas!B200="Feminino",1000,IF(Atletas!B200="Masculino",2000,""))+IF(Atletas!L200="Choylayfut A",1,IF(Atletas!L200="Hunggar A",2,IF(Atletas!L200="Wuzuquan A",3,IF(Atletas!L200="Wingchun A",4,IF(Atletas!L200="Outra Mão de Sul A",5,IF(Atletas!L200="Choylayfut B",6,IF(Atletas!L200="Hunggar B",7,IF(Atletas!L200="Wuzuquan B",8,IF(Atletas!L200="Wingchun B",9,IF(Atletas!L200="Outra Mão de Sul B",10,IF(Atletas!L200="Choylayfut C",11,IF(Atletas!L200="Hunggar C",12,IF(Atletas!L200="Wuzuquan C",13,IF(Atletas!L200="Wingchun C",14,IF(Atletas!L200="Outra Mão de Sul C",15,IF(Atletas!L200="Choylayfut D",16,IF(Atletas!L200="Hunggar D",17,IF(Atletas!L200="Wuzuquan D",18,IF(Atletas!L200="Wingchun D",19,IF(Atletas!L200="Outra Mão de Sul D",20,IF(Atletas!L200="Choylayfut E",21,IF(Atletas!L200="Hunggar E",22,IF(Atletas!L200="Wuzuquan E",23,IF(Atletas!L200="Wingchun E",24,IF(Atletas!L200="Outra Mão de Sul E",25,IF(Atletas!L200="Choylayfut F",26,IF(Atletas!L200="Hunggar F",27,IF(Atletas!L200="Wuzuquan F",28,IF(Atletas!L200="Wingchun F",29,IF(Atletas!L200="Outra Mão de Sul F",30,IF(Atletas!L200="Dishuquan A",31,IF(Atletas!L200="Dishuquan B",32,IF(Atletas!L200="Dishuquan C",33,IF(Atletas!L200="Dishuquan D",34,IF(Atletas!L200="Dishuquan E",35,IF(Atletas!L200="Dishuquan F",36,""))))))))))))))))))))))))))))))))))))))</f>
        <v/>
      </c>
      <c r="BS209" s="50" t="str">
        <f>IF(Atletas!M200="","",IF(Atletas!X200&lt;&gt;"",10000,0)+(IF(Atletas!B200="Feminino",1000,IF(Atletas!B200="Masculino",2000,""))+(IF(Atletas!M200="Chaquan A",101,IF(Atletas!M200="Emeiquan A",102,IF(Atletas!M200="Fanziquan A",103,IF(Atletas!M200="Huaquan A",104,IF(Atletas!M200="Hongquan A",105,IF(Atletas!M200="Paoquan A",106,IF(Atletas!M200="Piguaquan A",107,IF(Atletas!M200="Shaolinquan A",108,IF(Atletas!M200="Tanglangquan A",109,IF(Atletas!M200="Yingzhaoquan A",110,IF(Atletas!M200="Tongbeiquan A",111,IF(Atletas!M200="Wudangquan A",112,IF(Atletas!M200="Outros Estilos A",113,IF(Atletas!M200="Chaquan B",114,IF(Atletas!M200="Emeiquan B",115,IF(Atletas!M200="Fanziquan B",116,IF(Atletas!M200="Huaquan B",117,IF(Atletas!M200="Hongquan B",118,IF(Atletas!M200="Paoquan B",119,IF(Atletas!M200="Piguaquan B",120,IF(Atletas!M200="Shaolinquan B",121,IF(Atletas!M200="Tanglangquan B",122,IF(Atletas!M200="Yingzhaoquan B",123,IF(Atletas!M200="Tongbeiquan B",124,IF(Atletas!M200="Wudangquan B",125,IF(Atletas!M200="Outros Estilos B",126,IF(Atletas!M200="Chaquan C",127,IF(Atletas!M200="Emeiquan C",128,IF(Atletas!M200="Fanziquan C",129,IF(Atletas!M200="Huaquan C",130,IF(Atletas!M200="Hongquan C",131,IF(Atletas!M200="Paoquan C",132,IF(Atletas!M200="Piguaquan C",133,IF(Atletas!M200="Shaolinquan C",134,IF(Atletas!M200="Tanglangquan C",135,IF(Atletas!M200="Yingzhaoquan C",136,IF(Atletas!M200="Tongbeiquan C",137,IF(Atletas!M200="Wudangquan C",138,IF(Atletas!M200="Outros Estilos C",139,0))))))))))))))))))))))))))))))))))))))))))</f>
        <v/>
      </c>
      <c r="BT209" s="50" t="str">
        <f>IF(Atletas!M200="","",IF(Atletas!X200&lt;&gt;"",10000,0)+(IF(Atletas!B200="Feminino",1000,IF(Atletas!B200="Masculino",2000,""))+(IF(Atletas!M200="Chaquan D",140,IF(Atletas!M200="Emeiquan D",141,IF(Atletas!M200="Fanziquan D",142,IF(Atletas!M200="Huaquan D",143,IF(Atletas!M200="Hongquan D",144,IF(Atletas!M200="Paoquan D",145,IF(Atletas!M200="Piguaquan D",146,IF(Atletas!M200="Shaolinquan D",147,IF(Atletas!M200="Tanglangquan D",148,IF(Atletas!M200="Yingzhaoquan D",149,IF(Atletas!M200="Tongbeiquan D",150,IF(Atletas!M200="Wudangquan D",151,IF(Atletas!M200="Outros Estilos D",152,IF(Atletas!M200="Chaquan E",153,IF(Atletas!M200="Emeiquan E",154,IF(Atletas!M200="Fanziquan E",155,IF(Atletas!M200="Huaquan E",156,IF(Atletas!M200="Hongquan E",157,IF(Atletas!M200="Paoquan E",158,IF(Atletas!M200="Piguaquan E",159,IF(Atletas!M200="Shaolinquan E",160,IF(Atletas!M200="Tanglangquan E",161,IF(Atletas!M200="Yingzhaoquan E",162,IF(Atletas!M200="Tongbeiquan E",163,IF(Atletas!M200="Wudangquan E",164,IF(Atletas!M200="Outros Estilos E",165,IF(Atletas!M200="Chaquan F",166,IF(Atletas!M200="Emeiquan F",167,IF(Atletas!M200="Fanziquan F",168,IF(Atletas!M200="Huaquan F",169,IF(Atletas!M200="Hongquan F",170,IF(Atletas!M200="Paoquan F",171,IF(Atletas!M200="Piguaquan F",172,IF(Atletas!M200="Shaolinquan F",173,IF(Atletas!M200="Tanglangquan F",174,IF(Atletas!M200="Yingzhaoquan F",175,IF(Atletas!M200="Tongbeiquan F",176,IF(Atletas!M200="Wudangquan F",177,IF(Atletas!M200="Outros Estilos F",178,0))))))))))))))))))))))))))))))))))))))))))</f>
        <v/>
      </c>
      <c r="BU209" s="50" t="str">
        <f>IF(Atletas!N200="","",IF(Atletas!X200&lt;&gt;"",10000,0)+(IF(Atletas!B200="Feminino",1000,IF(Atletas!B200="Masculino",2000,""))+(IF(Atletas!N200="Ditangquan A",201,IF(Atletas!N200="Houquan A",202,IF(Atletas!N200="Zuiquan A",203,IF(Atletas!N200="Ditangquan B",204,IF(Atletas!N200="Houquan B",205,IF(Atletas!N200="Zuiquan B",206,IF(Atletas!N200="Ditangquan C",207,IF(Atletas!N200="Houquan C",208,IF(Atletas!N200="Zuiquan C",209,IF(Atletas!N200="Ditangquan D",210,IF(Atletas!N200="Houquan D",211,IF(Atletas!N200="Zuiquan D",212,IF(Atletas!N200="Ditangquan E",213,IF(Atletas!N200="Houquan E",214,IF(Atletas!N200="Zuiquan E",215,IF(Atletas!N200="Ditangquan F",216,IF(Atletas!N200="Houquan F",217,IF(Atletas!N200="Zuiquan F",218,"")))))))))))))))))))))</f>
        <v/>
      </c>
      <c r="BV209" s="50" t="str">
        <f>IF(Atletas!O200="","",IF(Atletas!X200&lt;&gt;"",10000,0)+IF(Atletas!B200="Feminino",1000,IF(Atletas!B200="Masculino",2000,""))+IF(Atletas!O200="Yang A",301,IF(Atletas!O200="Chen A",302,IF(Atletas!O200="Sun A",303,IF(Atletas!O200="Wu A",304,IF(Atletas!O200="Wu-Hao A",305,IF(Atletas!O200="Outro Taijiquan A",306,IF(Atletas!O200="Yang B",307,IF(Atletas!O200="Chen B",308,IF(Atletas!O200="Sun B",309,IF(Atletas!O200="Wu B",310,IF(Atletas!O200="Wu-Hao B",311,IF(Atletas!O200="Outro Taijiquan B",312,IF(Atletas!O200="Yang C",313,IF(Atletas!O200="Chen C",314,IF(Atletas!O200="Sun C",315,IF(Atletas!O200="Wu C",316,IF(Atletas!O200="Wu-Hao C",317,IF(Atletas!O200="Outro Taijiquan C",318,IF(Atletas!O200="Yang D",319,IF(Atletas!O200="Chen D",320,IF(Atletas!O200="Sun D",321,IF(Atletas!O200="Wu D",322,IF(Atletas!O200="Wu-Hao D",323,IF(Atletas!O200="Outro Taijiquan D",324,IF(Atletas!O200="Yang E",325,IF(Atletas!O200="Chen E",326,IF(Atletas!O200="Sun E",327,IF(Atletas!O200="Wu E",328,IF(Atletas!O200="Wu-Hao E",329,IF(Atletas!O200="Outro Taijiquan E",330,IF(Atletas!O200="Yang F",331,IF(Atletas!O200="Chen F",332,IF(Atletas!O200="Sun F",333,IF(Atletas!O200="Wu F",334,IF(Atletas!O200="Wu-Hao F",335,IF(Atletas!O200="Outro Taijiquan F",336,"")))))))))))))))))))))))))))))))))))))</f>
        <v/>
      </c>
      <c r="BW209" s="50" t="str">
        <f>IF(Atletas!P200="","",IF(Atletas!X200&lt;&gt;"",10000,0)+IF(Atletas!B200="Feminino",1000,IF(Atletas!B200="Masculino",2000,""))+IF(OR(Atletas!P200="Yang 26 A",Atletas!P200="Yang 40 A"),401,IF(OR(Atletas!P200="Chen 25 A",Atletas!P200="Chen 36 A",Atletas!P200="Chen 56 A"),402,IF(Atletas!P200="Sun 73 A",403,IF(Atletas!P200="Wu 45 A",404,IF(Atletas!P200="Wu-Hao 46 A",405,IF(OR(Atletas!P200="Taijiquan 16 A",Atletas!P200="Taijiquan 24 A",Atletas!P200="Taijiquan 32 A",Atletas!P200="Taijiquan 42 A"),406,IF(OR(Atletas!P200="Yang 26 B",Atletas!P200="Yang 40 B"),407,IF(OR(Atletas!P200="Chen 25 B",Atletas!P200="Chen 36 B",Atletas!P200="Chen 56 B"),408,IF(Atletas!P200="Sun 73 B",409,IF(Atletas!P200="Wu 45 B",410,IF(Atletas!P200="Wu-Hao 46 B",411,IF(OR(Atletas!P200="Taijiquan 16 B",Atletas!P200="Taijiquan 24 B",Atletas!P200="Taijiquan 32 B",Atletas!P200="Taijiquan 42 B"),412,IF(OR(Atletas!P200="Yang 26 C",Atletas!P200="Yang 40 C"),413,IF(OR(Atletas!P200="Chen 25 C",Atletas!P200="Chen 36 C",Atletas!P200="Chen 56 C"),414,IF(Atletas!P200="Sun 73 C",415,IF(Atletas!P200="Wu 45 C",416,IF(Atletas!P200="Wu-Hao 46 C",417,IF(OR(Atletas!P200="Taijiquan 16 C",Atletas!P200="Taijiquan 24 C",Atletas!P200="Taijiquan 32 C",Atletas!P200="Taijiquan 42 C"),418,0)))))))))))))))))))</f>
        <v/>
      </c>
      <c r="BX209" s="50" t="str">
        <f>IF(Atletas!P200="","",IF(Atletas!X200&lt;&gt;"",10000,0)+IF(Atletas!B200="Feminino",1000,IF(Atletas!B200="Masculino",2000,""))+IF(OR(Atletas!P200="Yang 26 D",Atletas!P200="Yang 40 D"),419,IF(OR(Atletas!P200="Chen 25 D",Atletas!P200="Chen 36 D",Atletas!P200="Chen 56 D"),420,IF(Atletas!P200="Sun 73 D",421,IF(Atletas!P200="Wu 45 D",422,IF(Atletas!P200="Wu-Hao 46 D",423,IF(OR(Atletas!P200="Taijiquan 16 D",Atletas!P200="Taijiquan 24 D",Atletas!P200="Taijiquan 32 D",Atletas!P200="Taijiquan 42 D"),424,IF(OR(Atletas!P200="Yang 26 E",Atletas!P200="Yang 40 E"),425,IF(OR(Atletas!P200="Chen 25 E",Atletas!P200="Chen 36 E",Atletas!P200="Chen 56 E"),426,IF(Atletas!P200="Sun 73 E",427,IF(Atletas!P200="Wu 45 E",428,IF(Atletas!P200="Wu-Hao 46 E",429,IF(OR(Atletas!P200="Taijiquan 16 E",Atletas!P200="Taijiquan 24 E",Atletas!P200="Taijiquan 32 E",Atletas!P200="Taijiquan 42 E"),430,IF(OR(Atletas!P200="Yang 26 F",Atletas!P200="Yang 40 F"),431,IF(OR(Atletas!P200="Chen 25 F",Atletas!P200="Chen 36 F",Atletas!P200="Chen 56 F"),432,IF(Atletas!P200="Sun 73 F",433,IF(Atletas!P200="Wu 45 F",434,IF(Atletas!P200="Wu-Hao 46 F",435,IF(OR(Atletas!P200="Taijiquan 16 F",Atletas!P200="Taijiquan 24 F",Atletas!P200="Taijiquan 32 F",Atletas!P200="Taijiquan 42 F"),436,0)))))))))))))))))))</f>
        <v/>
      </c>
      <c r="BY209" s="50" t="str">
        <f>IF(Atletas!Q200="","",IF(Atletas!X200&lt;&gt;"",10000,0)+IF(Atletas!B200="Feminino",1000,IF(Atletas!B200="Masculino",2000,""))+IF(Atletas!Q200="Xingyiquan A",501,IF(Atletas!Q200="Baguazhang A",502,IF(Atletas!Q200="Outro Estilo Interno A",503,IF(Atletas!Q200="Xingyiquan B",504,IF(Atletas!Q200="Baguazhang B",505,IF(Atletas!Q200="Outro Estilo Interno B",506,IF(Atletas!Q200="Xingyiquan C",507,IF(Atletas!Q200="Baguazhang C",508,IF(Atletas!Q200="Outro Estilo Interno C",509,IF(Atletas!Q200="Xingyiquan D",510,IF(Atletas!Q200="Baguazhang D",511,IF(Atletas!Q200="Outro Estilo Interno D",512,IF(Atletas!Q200="Xingyiquan E",513,IF(Atletas!Q200="Baguazhang E",514,IF(Atletas!Q200="Outro Estilo Interno E",515,IF(Atletas!Q200="Xingyiquan F",516,IF(Atletas!Q200="Baguazhang F",517,IF(Atletas!Q200="Outro Estilo Interno F",518, "")))))))))))))))))))</f>
        <v/>
      </c>
      <c r="BZ209" s="50" t="str">
        <f>IF(Atletas!R200="","",IF(Atletas!X200&lt;&gt;"",10000,0)+IF(Atletas!B200="Feminino",1000,IF(Atletas!B200="Masculino",2000,""))+IF(Atletas!R200="Dao A",601,IF(Atletas!R200="Jian A",602,IF(Atletas!R200="Bishou A",603,IF(Atletas!R200="Shanzi A",604,IF(Atletas!R200="Outra Arma Curta A",605,IF(Atletas!R200="Dao B",606,IF(Atletas!R200="Jian B",607,IF(Atletas!R200="Bishou B",608,IF(Atletas!R200="Shanzi B",609,IF(Atletas!R200="Outra Arma Curta B",610,IF(Atletas!R200="Dao C",611,IF(Atletas!R200="Jian C",612,IF(Atletas!R200="Bishou C",613,IF(Atletas!R200="Shanzi C",614,IF(Atletas!R200="Outra Arma Curta C",615,IF(Atletas!R200="Dao D",616,IF(Atletas!R200="Jian D",617,IF(Atletas!R200="Bishou D",618,IF(Atletas!R200="Shanzi D",619,IF(Atletas!R200="Outra Arma Curta D",620,IF(Atletas!R200="Dao E",621,IF(Atletas!R200="Jian E",622,IF(Atletas!R200="Bishou E",623,IF(Atletas!R200="Shanzi E",624,IF(Atletas!R200="Outra Arma Curta E",625,IF(Atletas!R200="Dao F",626,IF(Atletas!R200="Jian F",627,IF(Atletas!R200="Bishou F",628,IF(Atletas!R200="Shanzi F",629,IF(Atletas!R200="Outra Arma Curta F",630, "")))))))))))))))))))))))))))))))</f>
        <v/>
      </c>
      <c r="CA209" s="50" t="str">
        <f>IF(Atletas!S200="","",IF(Atletas!X200&lt;&gt;"",10000,0)+IF(Atletas!B200="Feminino",1000,IF(Atletas!B200="Masculino",2000,""))+IF(Atletas!S200="Gun A",701,IF(Atletas!S200="Qiang A",702,IF(Atletas!S200="Pudao / Guandao A",703,IF(Atletas!S200="Outra Arma Longa A",704,IF(Atletas!S200="Gun B",705,IF(Atletas!S200="Qiang B",706,IF(Atletas!S200="Pudao / Guandao B",707,IF(Atletas!S200="Outra Arma Longa B",708,IF(Atletas!S200="Gun C",709,IF(Atletas!S200="Qiang C",710,IF(Atletas!S200="Pudao / Guandao C",711,IF(Atletas!S200="Outra Arma Longa C",712,IF(Atletas!S200="Gun D",713,IF(Atletas!S200="Qiang D",714,IF(Atletas!S200="Pudao / Guandao D",715,IF(Atletas!S200="Outra Arma Longa D",716,IF(Atletas!S200="Gun E",717,IF(Atletas!S200="Qiang E",718,IF(Atletas!S200="Pudao / Guandao E",719,IF(Atletas!S200="Outra Arma Longa E",720,IF(Atletas!S200="Gun F",721,IF(Atletas!S200="Qiang F",722,IF(Atletas!S200="Pudao / Guandao F",723,IF(Atletas!S200="Outra Arma Longa F",724,"")))))))))))))))))))))))))</f>
        <v/>
      </c>
      <c r="CB209" s="50" t="str">
        <f>IF(Atletas!T200="","",IF(Atletas!X200&lt;&gt;"",10000,0)+IF(Atletas!B200="Feminino",1000,IF(Atletas!B200="Masculino",2000,""))+IF(Atletas!T200="Outra Arma Dupla A",801,IF(Atletas!T200="Arma Maleável A",802,IF(Atletas!T200="Outra Arma Dupla B",803,IF(Atletas!T200="Arma Maleável B",804,IF(Atletas!T200="Outra Arma Dupla C",805,IF(Atletas!T200="Arma Maleável C",806,IF(Atletas!T200="Outra Arma Dupla D",807,IF(Atletas!T200="Arma Maleável D",808,IF(Atletas!T200="Outra Arma Dupla E",809,IF(Atletas!T200="Arma Maleável E",810,IF(Atletas!T200="Outra Arma Dupla F",811,IF(Atletas!T200="Arma Maleável F",812,IF(Atletas!T200="Shuangdao A",813,IF(Atletas!T200="Shuangdao B",814,IF(Atletas!T200="Shuangdao C",815,IF(Atletas!T200="Shuangdao D",816,IF(Atletas!T200="Shuangdao E",817,IF(Atletas!T200="Shuangdao F",818,"")))))))))))))))))))</f>
        <v/>
      </c>
      <c r="CC209" s="50" t="str">
        <f>IF(Atletas!U200="","",IF(Atletas!X200&lt;&gt;"",10000,0)+IF(Atletas!B200="Feminino",1000,IF(Atletas!B200="Masculino",2000,""))+IF(OR(Atletas!U200="Taijijian Yang A",Atletas!U200="Taijijian Yang Standard A"),901,IF(OR(Atletas!U200="Taijijian Chen A", Atletas!U200="Taijijian Chen Standard A"),902,IF(Atletas!U200="Taijijian Sun A",903,IF(Atletas!U200="Taijijian Wu A",904,IF(Atletas!U200="Taijijian Wu-Hao A",905,IF(OR(Atletas!U200="Taijijian 32 A",Atletas!U200="Taijijian 42 A"),906,IF(OR(Atletas!U200="Taijijian Yang B",Atletas!U200="Taijijian Yang Standard B"),907,IF(OR(Atletas!U200="Taijijian Chen B", Atletas!U200="Taijijian Chen Standard B"),908,IF(Atletas!U200="Taijijian Sun B",909,IF(Atletas!U200="Taijijian Wu B",910,IF(Atletas!U200="Taijijian Wu-Hao B",911,IF(OR(Atletas!U200="Taijijian 32 B",Atletas!U200="Taijijian 42 B"),912,IF(OR(Atletas!U200="Taijijian Yang C",Atletas!U200="Taijijian Yang Standard C"),913,IF(OR(Atletas!U200="Taijijian Chen C", Atletas!U200="Taijijian Chen Standard C"),914,IF(Atletas!U200="Taijijian Sun C",915,IF(Atletas!U200="Taijijian Wu C",916,IF(Atletas!U200="Taijijian Wu-Hao C",917,IF(OR(Atletas!U200="Taijijian 32 C",Atletas!U200="Taijijian 42 C"),918,IF(OR(Atletas!U200="Taijijian Yang D",Atletas!U200="Taijijian Yang Standard D"),919,IF(OR(Atletas!U200="Taijijian Chen D", Atletas!U200="Taijijian Chen Standard D"),920,IF(Atletas!U200="Taijijian Sun D",921,IF(Atletas!U200="Taijijian Wu D",922,IF(Atletas!U200="Taijijian Wu-Hao D",923,IF(OR(Atletas!U200="Taijijian 32 D",Atletas!U200="Taijijian 42 D"),924,IF(OR(Atletas!U200="Taijijian Yang E",Atletas!U200="Taijijian Yang Standard E"),925,IF(OR(Atletas!U200="Taijijian Chen E", Atletas!U200="Taijijian Chen Standard E"),926,IF(Atletas!U200="Taijijian Sun E",927,IF(Atletas!U200="Taijijian Wu E",928,IF(Atletas!U200="Taijijian Wu-Hao E",929,IF(OR(Atletas!U200="Taijijian 32 E",Atletas!U200="Taijijian 42 E"),930,IF(OR(Atletas!U200="Taijijian Yang F",Atletas!U200="Taijijian Yang Standard F"),931,IF(OR(Atletas!U200="Taijijian Chen F", Atletas!U200="Taijijian Chen Standard F"),932,IF(Atletas!U200="Taijijian Sun F",933,IF(Atletas!U200="Taijijian Wu F",934,IF(Atletas!U200="Taijijian Wu-Hao F",935,IF(OR(Atletas!U200="Taijijian 32 F",Atletas!U200="Taijijian 42 F"),936,"")))))))))))))))))))))))))))))))))))))</f>
        <v/>
      </c>
      <c r="CD209" s="50" t="str">
        <f>IF(Atletas!V200="","",IF(Atletas!X200&lt;&gt;"",10000,0)+IF(Atletas!B200="Feminino",1000,IF(Atletas!B200="Masculino",2000,""))+IF(Atletas!V200="Taijidao A",937,IF(Atletas!V200="TaijiShanzi A",938,IF(Atletas!V200="Taijiqiang A",939,IF(Atletas!V200="Bagua de Arma A",940,IF(Atletas!V200="Xingyi de Arma A",941,IF(Atletas!V200="Taijidao B",942,IF(Atletas!V200="TaijiShanzi B",943,IF(Atletas!V200="Taijiqiang B",944,IF(Atletas!V200="Bagua de Arma B",945,IF(Atletas!V200="Xingyi de Arma B",946,IF(Atletas!V200="Taijidao C",947,IF(Atletas!V200="TaijiShanzi C",948,IF(Atletas!V200="Taijiqiang C",949,IF(Atletas!V200="Bagua de Arma C",950,IF(Atletas!V200="Xingyi de Arma C",951,IF(Atletas!V200="Taijidao D",952,IF(Atletas!V200="TaijiShanzi D",953,IF(Atletas!V200="Taijiqiang D",954,IF(Atletas!V200="Bagua de Arma D",955,IF(Atletas!V200="Xingyi de Arma D",956,IF(Atletas!V200="Taijidao E",957,IF(Atletas!V200="TaijiShanzi E",958,IF(Atletas!V200="Taijiqiang E",959,IF(Atletas!V200="Bagua de Arma E",960,IF(Atletas!V200="Xingyi de Arma E",961,IF(Atletas!V200="Taijidao F",962,IF(Atletas!V200="TaijiShanzi F",963,IF(Atletas!V200="Taijiqiang F",964,IF(Atletas!V200="Bagua de Arma F",965,IF(Atletas!V200="Xingyi de Arma F",966,"")))))))))))))))))))))))))))))))</f>
        <v/>
      </c>
      <c r="CE209" s="66" t="str">
        <f>IF(CF209&lt;&gt;"","TJQ Padr. Wu-Hao F","")</f>
        <v/>
      </c>
      <c r="CF209" s="66" t="str">
        <f>IF(COUNTIF(BR:CD,1435)&gt;0,COUNTIF(BR:CD,1435),"")</f>
        <v/>
      </c>
      <c r="CG209" s="66" t="str">
        <f>IF(CH209&lt;&gt;"","TJQ Padr. Wu-Hao F","")</f>
        <v/>
      </c>
      <c r="CH209" s="66" t="str">
        <f>IF(COUNTIF(BR:CD,2435)&gt;0,COUNTIF(BR:CD,2435),"")</f>
        <v/>
      </c>
      <c r="CI209" s="66" t="str">
        <f>IF(CJ209&lt;&gt;"","Baguazhang B ","")</f>
        <v/>
      </c>
      <c r="CJ209" s="66" t="str">
        <f>IF(COUNTIF(BR:CD,11441)&gt;0,COUNTIF(BR:CD,11441),"")</f>
        <v/>
      </c>
      <c r="CK209" s="66" t="str">
        <f>IF(CL209&lt;&gt;"","Baguazhang B ","")</f>
        <v/>
      </c>
      <c r="CL209" s="66" t="str">
        <f>IF(COUNTIF(BR:CD,12441)&gt;0,COUNTIF(BR:CD,12441),"")</f>
        <v/>
      </c>
      <c r="CM209" s="50" t="str">
        <f xml:space="preserve"> IF(Atletas!W200="","",IF(Atletas!W200="Duilian de Mãos BC - Equipe 1",1,IF(Atletas!W200="Duilian de Mãos BC - Equipe 2",2,IF(Atletas!W200="Duilian de Armas BC - Equipe 1",3,IF(Atletas!W200="Duilian de Armas BC - Equipe 2",4,IF(Atletas!W200="Duilian de Mãos DE - Equipe 1",5,IF(Atletas!W200="Duilian de Mãos DE - Equipe 2",6,IF(Atletas!W200="Duilian de Armas DE - Equipe 1",7,IF(Atletas!W200="Duilian de Armas DE - Equipe 2",8,IF(Atletas!W200="Duilian de Tuishou - Equipe 1",9,IF(Atletas!W200="Duilian de Tuishou - Equipe 2",10,IF(Atletas!W200="Grupo Externo ABC - Equipe 1",11,IF(Atletas!W200="Grupo Externo ABC - Equipe 2",12,IF(Atletas!W200="Grupo Interno ABC - Equipe 1",13,IF(Atletas!W200="Grupo Interno ABC - Equipe 2",14,IF(Atletas!W200="Grupo Externo DEF - Equipe 1",15,IF(Atletas!W200="Grupo Externo DEF - Equipe 2",16,IF(Atletas!W200="Grupo Interno DEF - Equipe 1",17,IF(Atletas!W200="Grupo Interno DEF - Equipe 2",18,"")))))))))))))))))))</f>
        <v/>
      </c>
    </row>
    <row r="210" spans="2:91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 t="str">
        <f t="array" ref="Z210">IFERROR(INDEX(CE$7:CE$348,SMALL(IF(CE$7:CE$348&lt;&gt;"",ROW(CE$7:CE$348)-ROW(CE$7)+1),ROWS(CE$7:CE209))),"")</f>
        <v/>
      </c>
      <c r="AA210" s="3" t="str">
        <f t="array" ref="AA210">IFERROR(INDEX(CF$7:CF$348,SMALL(IF(CF$7:CF$348&lt;&gt;"",ROW(CF$7:CF$348)-ROW(CF$7)+1),ROWS(CF$7:CF209))),"")</f>
        <v/>
      </c>
      <c r="AB210" s="3" t="str">
        <f t="array" ref="AB210">IFERROR(INDEX(CG$7:CG$348,SMALL(IF(CG$7:CG$348&lt;&gt;"",ROW(CG$7:CG$348)-ROW(CG$7)+1),ROWS(CG$7:CG209))),"")</f>
        <v/>
      </c>
      <c r="AC210" s="3" t="str">
        <f t="array" ref="AC210">IFERROR(INDEX(CH$7:CH$348,SMALL(IF(CH$7:CH$348&lt;&gt;"",ROW(CH$7:CH$348)-ROW(CH$7)+1),ROWS(CH$7:CH209))),"")</f>
        <v/>
      </c>
      <c r="AD210" s="3" t="str">
        <f t="array" ref="AD210">IFERROR(INDEX(CI$7:CI$377,SMALL(IF(CI$7:CI$377&lt;&gt;"",ROW(CI$7:CI$377)-ROW(CI$7)+1),ROWS(CI$7:CI209))),"")</f>
        <v/>
      </c>
      <c r="AE210" s="3" t="str">
        <f t="array" ref="AE210">IFERROR(INDEX(CJ$7:CJ$378,SMALL(IF(CJ$7:CJ$378&lt;&gt;"",ROW(CJ$7:CJ$378)-ROW(CJ$7)+1),ROWS(CJ$7:CJ209))),"")</f>
        <v/>
      </c>
      <c r="AF210" s="3" t="str">
        <f t="array" ref="AF210">IFERROR(INDEX(CK$7:CK$378,SMALL(IF(CK$7:CK$378&lt;&gt;"",ROW(CK$7:CK$378)-ROW(CK$7)+1),ROWS(CK$7:CK209))),"")</f>
        <v/>
      </c>
      <c r="AG210" s="3" t="str">
        <f t="array" ref="AG210">IFERROR(INDEX(CL$7:CL$378,SMALL(IF(CL$7:CL$378&lt;&gt;"",ROW(CL$7:CL$378)-ROW(CL$7)+1),ROWS(CL$7:CL209))),"")</f>
        <v/>
      </c>
      <c r="AH210" s="3"/>
      <c r="AI210" s="3"/>
      <c r="AJ210" s="3"/>
      <c r="AK210" s="3"/>
      <c r="AL210" s="3"/>
      <c r="AM210" s="3"/>
      <c r="AN210" s="52" t="str">
        <f>IF(Atletas!D201="","",IF(Atletas!B201="Feminino",100,IF(Atletas!B201="Masculino",200,""))+(IF(Atletas!D201="Kids 30kg",1,IF(Atletas!D201="Kids 32kg",2, IF(Atletas!D201="Kids 34kg",3,IF(Atletas!D201="Kids 36kg",4,IF(Atletas!D201="Kids 39kg",5,IF(Atletas!D201="Kids 42kg",6,IF(Atletas!D201="Kids 45kg",7, IF(Atletas!D201="Infantil 39kg",8,IF(Atletas!D201="Infantil 42kg",9,IF(Atletas!D201="Infantil 45kg",10,IF(Atletas!D201="Infantil 48kg",11,IF(Atletas!D201="Infantil 52kg",12,IF(Atletas!D201="Infantil 56kg",13,IF(Atletas!D201="Infantil 60kg",14,IF(Atletas!D201="Juvenil 48kg",15,IF(Atletas!D201="Juvenil 52kg",16,IF(Atletas!D201="Juvenil 56kg",17,IF(Atletas!D201="Juvenil 60kg",18,IF(Atletas!D201="Juvenil 65kg",19,IF(Atletas!D201="Juvenil 70kg",20,IF(Atletas!D201="Juvenil 75kg",21,IF(Atletas!D201="Juvenil 80kg",22, IF(Atletas!D201="Juvenil 85kg",23,IF(Atletas!D201="Adulto 48kg",24,IF(Atletas!D201="Adulto 52kg",25,IF(Atletas!D201="Adulto 56kg",26,IF(Atletas!D201="Adulto 60kg",27,IF(Atletas!D201="Adulto 65kg",28,IF(Atletas!D201="Adulto 70kg",29,IF(Atletas!D201="Adulto 75kg",30,IF(Atletas!D201="Adulto 80kg",31,IF(Atletas!D201="Adulto 85kg",32,IF(Atletas!D201="Adulto 90kg",33,IF(Atletas!D201="Adulto 100kg",34, IF(Atletas!D201="Adulto +100kg",35,"")))))))))))))))))))))))))))))))))))))</f>
        <v/>
      </c>
      <c r="AS210" s="6" t="str">
        <f>IF(Atletas!E201="","",IF(Atletas!B201="Feminino",100,IF(Atletas!B201="Masculino",200,""))+(IF(Atletas!E201="Juvenil 44kg",1,IF(Atletas!E201="Juvenil 48kg",2,IF(Atletas!E201="Juvenil 52kg",3,IF(Atletas!E201="Juvenil 56kg",4,IF(Atletas!E201="Juvenil 60kg",5,IF(Atletas!E201="Juvenil 65kg",6,IF(Atletas!E201="Juvenil 70kg",7,IF(Atletas!E201="Juvenil 75kg",8,IF(Atletas!E201="Juvenil 82kg",9,IF(Atletas!E201="Juvenil 90kg",10,IF(Atletas!E201="Juvenil 100kg",11,IF(Atletas!E201="Adulto 48kg",12,IF(Atletas!E201="Adulto 52kg",13,IF(Atletas!E201="Adulto 56kg",14,IF(Atletas!E201="Adulto 60kg",15,IF(Atletas!E201="Adulto 65kg",16,IF(Atletas!E201="Adulto 70kg",17,IF(Atletas!E201="Adulto 75kg",18,IF(Atletas!E201="Adulto 82kg",19,IF(Atletas!E201="Adulto 90kg",20,IF(Atletas!E201="Adulto 100kg",21,IF(Atletas!E201="Adulto +100kg",22,""))))))))))))))))))))))))</f>
        <v/>
      </c>
      <c r="AX210" s="6" t="str">
        <f>IF(Atletas!F201="","",IF(Atletas!B201="Feminino",100,IF(Atletas!B201="Masculino",200,""))+(IF(Atletas!F201="Adulto 48kg",1,IF(Atletas!F201="Adulto 56kg",2,IF(Atletas!F201="Adulto 65kg",3,IF(Atletas!F201="Adulto 75kg",4,IF(Atletas!F201="Adulto +75kg",5,IF(Atletas!F201="Adulto 52kg",6,IF(Atletas!F201="Adulto 60kg",7,IF(Atletas!F201="Adulto 70kg",8,IF(Atletas!F201="Adulto 80kg",9,IF(Atletas!F201="Adulto 90kg",10,IF(Atletas!F201="Adulto +90kg",11,"")))))))))))))</f>
        <v/>
      </c>
      <c r="BC210" s="6" t="str">
        <f>IF(Atletas!G201="","",IF(Atletas!B201="Feminino",10,IF(Atletas!B201="Masculino",20,""))+(IF(Atletas!G201="Baduanjin A",1,IF(Atletas!G201="Baduanjin B",2))))</f>
        <v/>
      </c>
      <c r="BF210" s="52" t="str">
        <f>IF(Atletas!H201="","",IF(Atletas!B201="Feminino",100,IF(Atletas!B201="Masculino",200,""))+(IF(Atletas!H201="Changquan Mirim",1,IF(Atletas!H201="Nanquan Mirim",2,IF(Atletas!H201="Taijiquan Mirim",3,IF(Atletas!H201="Changquan Grupo C",4,IF(Atletas!H201="Nanquan Grupo C",5,IF(Atletas!H201="Taijiquan Grupo C",6,IF(Atletas!H201="Changquan Grupo B",7,IF(Atletas!H201="Nanquan Grupo B",8,IF(Atletas!H201="Taijiquan Grupo B",9,IF(Atletas!H201="Changquan Grupo A",10,IF(Atletas!H201="Nanquan Grupo A",11,IF(Atletas!H201="Taijiquan Grupo A",12,IF(Atletas!H201="Changquan Opcional",13,IF(Atletas!H201="Nanquan Opcional",14,IF(Atletas!H201="Taijiquan Opcional",15,IF(Atletas!H201="Changquan Adulto",16,IF(Atletas!H201="Nanquan Adulto",17,IF(Atletas!H201="Taijiquan Adulto",18,""))))))))))))))))))))</f>
        <v/>
      </c>
      <c r="BG210" s="52" t="str">
        <f>IF(Atletas!I201="","",IF(Atletas!B201="Feminino",100,IF(Atletas!B201="Masculino",200,""))+(IF(Atletas!I201="Daoshu Mirim",19,IF(Atletas!I201="Jianshu Mirim",20,IF(Atletas!I201="Nandao Mirim",21,IF(Atletas!I201="Taijijian Mirim",22,IF(Atletas!I201="Daoshu Grupo C",23,IF(Atletas!I201="Jianshu Grupo C",24,IF(Atletas!I201="Nandao Grupo C",25,IF(Atletas!I201="Taijijian Grupo C",26,IF(Atletas!I201="Daoshu Grupo B",27,IF(Atletas!I201="Jianshu Grupo B",28,IF(Atletas!I201="Nandao Grupo B",29,IF(Atletas!I201="Taijijian Grupo B",30,IF(Atletas!I201="Daoshu Grupo A",31,IF(Atletas!I201="Jianshu Grupo A",32,IF(Atletas!I201="Nandao Grupo A",33,IF(Atletas!I201="Taijijian Grupo A",34,IF(Atletas!I201="Daoshu Opcional",35,IF(Atletas!I201="Jianshu Opcional",36,IF(Atletas!I201="Nandao Opcional",37,IF(Atletas!I201="Taijijian Opcional",38,IF(Atletas!I201="Daoshu Adulto",39,IF(Atletas!I201="Jianshu Adulto",40,IF(Atletas!I201="Nandao Adulto",41,IF(Atletas!I201="Taijijian Adulto",42,""))))))))))))))))))))))))))</f>
        <v/>
      </c>
      <c r="BH210" s="52" t="str">
        <f>IF(Atletas!J201="","",IF(Atletas!B201="Feminino",100,IF(Atletas!B201="Masculino",200,""))+(IF(Atletas!J201="Gunshu Mirim",43,IF(Atletas!J201="Qiangshu Mirim",44,IF(Atletas!J201="Nangun Mirim",45,IF(Atletas!J201="Gunshu Grupo C",46,IF(Atletas!J201="Qiangshu Grupo C",47,IF(Atletas!J201="Nangun Grupo C",48,IF(Atletas!J201="Gunshu Grupo B",49,IF(Atletas!J201="Qiangshu Grupo B",50,IF(Atletas!J201="Nangun Grupo B",51,IF(Atletas!J201="Gunshu Grupo A",52,IF(Atletas!J201="Qiangshu Grupo A",53,IF(Atletas!J201="Nangun Grupo A",54,IF(Atletas!J201="Gunshu Opcional",55,IF(Atletas!J201="Qiangshu Opcional",56,IF(Atletas!J201="Nangun Opcional",57,IF(Atletas!J201="Gunshu Adulto",58,IF(Atletas!J201="Qiangshu Adulto",59,IF(Atletas!J201="Nangun Adulto",60,IF(Atletas!J201="Taijishan Grupo B",61,IF(Atletas!J201="Taijishan Grupo A",62,""))))))))))))))))))))))</f>
        <v/>
      </c>
      <c r="BM210" s="50" t="str">
        <f>IF(Atletas!K201="","",IF(Atletas!B201="Feminino",100,IF(Atletas!B201="Masculino",200,""))+(IF(Atletas!K201="Equipe 1 Grupo B",1,IF(Atletas!K201="Equipe 2 Grupo B",2,IF(Atletas!K201="Equipe 1 Grupo A",3,IF(Atletas!K201="Equipe 2 Grupo A",4,IF(Atletas!K201="Equipe 1 Adulto",5,IF(Atletas!K201="Equipe 2 Adulto",6,""))))))))</f>
        <v/>
      </c>
      <c r="BR210" s="50" t="str">
        <f>IF(Atletas!L201="","",IF(Atletas!X201&lt;&gt;"",10000,0)+(IF(Atletas!B201="Feminino",1000,IF(Atletas!B201="Masculino",2000,""))+IF(Atletas!L201="Choylayfut A",1,IF(Atletas!L201="Hunggar A",2,IF(Atletas!L201="Wuzuquan A",3,IF(Atletas!L201="Wingchun A",4,IF(Atletas!L201="Outra Mão de Sul A",5,IF(Atletas!L201="Choylayfut B",6,IF(Atletas!L201="Hunggar B",7,IF(Atletas!L201="Wuzuquan B",8,IF(Atletas!L201="Wingchun B",9,IF(Atletas!L201="Outra Mão de Sul B",10,IF(Atletas!L201="Choylayfut C",11,IF(Atletas!L201="Hunggar C",12,IF(Atletas!L201="Wuzuquan C",13,IF(Atletas!L201="Wingchun C",14,IF(Atletas!L201="Outra Mão de Sul C",15,IF(Atletas!L201="Choylayfut D",16,IF(Atletas!L201="Hunggar D",17,IF(Atletas!L201="Wuzuquan D",18,IF(Atletas!L201="Wingchun D",19,IF(Atletas!L201="Outra Mão de Sul D",20,IF(Atletas!L201="Choylayfut E",21,IF(Atletas!L201="Hunggar E",22,IF(Atletas!L201="Wuzuquan E",23,IF(Atletas!L201="Wingchun E",24,IF(Atletas!L201="Outra Mão de Sul E",25,IF(Atletas!L201="Choylayfut F",26,IF(Atletas!L201="Hunggar F",27,IF(Atletas!L201="Wuzuquan F",28,IF(Atletas!L201="Wingchun F",29,IF(Atletas!L201="Outra Mão de Sul F",30,IF(Atletas!L201="Dishuquan A",31,IF(Atletas!L201="Dishuquan B",32,IF(Atletas!L201="Dishuquan C",33,IF(Atletas!L201="Dishuquan D",34,IF(Atletas!L201="Dishuquan E",35,IF(Atletas!L201="Dishuquan F",36,""))))))))))))))))))))))))))))))))))))))</f>
        <v/>
      </c>
      <c r="BS210" s="50" t="str">
        <f>IF(Atletas!M201="","",IF(Atletas!X201&lt;&gt;"",10000,0)+(IF(Atletas!B201="Feminino",1000,IF(Atletas!B201="Masculino",2000,""))+(IF(Atletas!M201="Chaquan A",101,IF(Atletas!M201="Emeiquan A",102,IF(Atletas!M201="Fanziquan A",103,IF(Atletas!M201="Huaquan A",104,IF(Atletas!M201="Hongquan A",105,IF(Atletas!M201="Paoquan A",106,IF(Atletas!M201="Piguaquan A",107,IF(Atletas!M201="Shaolinquan A",108,IF(Atletas!M201="Tanglangquan A",109,IF(Atletas!M201="Yingzhaoquan A",110,IF(Atletas!M201="Tongbeiquan A",111,IF(Atletas!M201="Wudangquan A",112,IF(Atletas!M201="Outros Estilos A",113,IF(Atletas!M201="Chaquan B",114,IF(Atletas!M201="Emeiquan B",115,IF(Atletas!M201="Fanziquan B",116,IF(Atletas!M201="Huaquan B",117,IF(Atletas!M201="Hongquan B",118,IF(Atletas!M201="Paoquan B",119,IF(Atletas!M201="Piguaquan B",120,IF(Atletas!M201="Shaolinquan B",121,IF(Atletas!M201="Tanglangquan B",122,IF(Atletas!M201="Yingzhaoquan B",123,IF(Atletas!M201="Tongbeiquan B",124,IF(Atletas!M201="Wudangquan B",125,IF(Atletas!M201="Outros Estilos B",126,IF(Atletas!M201="Chaquan C",127,IF(Atletas!M201="Emeiquan C",128,IF(Atletas!M201="Fanziquan C",129,IF(Atletas!M201="Huaquan C",130,IF(Atletas!M201="Hongquan C",131,IF(Atletas!M201="Paoquan C",132,IF(Atletas!M201="Piguaquan C",133,IF(Atletas!M201="Shaolinquan C",134,IF(Atletas!M201="Tanglangquan C",135,IF(Atletas!M201="Yingzhaoquan C",136,IF(Atletas!M201="Tongbeiquan C",137,IF(Atletas!M201="Wudangquan C",138,IF(Atletas!M201="Outros Estilos C",139,0))))))))))))))))))))))))))))))))))))))))))</f>
        <v/>
      </c>
      <c r="BT210" s="50" t="str">
        <f>IF(Atletas!M201="","",IF(Atletas!X201&lt;&gt;"",10000,0)+(IF(Atletas!B201="Feminino",1000,IF(Atletas!B201="Masculino",2000,""))+(IF(Atletas!M201="Chaquan D",140,IF(Atletas!M201="Emeiquan D",141,IF(Atletas!M201="Fanziquan D",142,IF(Atletas!M201="Huaquan D",143,IF(Atletas!M201="Hongquan D",144,IF(Atletas!M201="Paoquan D",145,IF(Atletas!M201="Piguaquan D",146,IF(Atletas!M201="Shaolinquan D",147,IF(Atletas!M201="Tanglangquan D",148,IF(Atletas!M201="Yingzhaoquan D",149,IF(Atletas!M201="Tongbeiquan D",150,IF(Atletas!M201="Wudangquan D",151,IF(Atletas!M201="Outros Estilos D",152,IF(Atletas!M201="Chaquan E",153,IF(Atletas!M201="Emeiquan E",154,IF(Atletas!M201="Fanziquan E",155,IF(Atletas!M201="Huaquan E",156,IF(Atletas!M201="Hongquan E",157,IF(Atletas!M201="Paoquan E",158,IF(Atletas!M201="Piguaquan E",159,IF(Atletas!M201="Shaolinquan E",160,IF(Atletas!M201="Tanglangquan E",161,IF(Atletas!M201="Yingzhaoquan E",162,IF(Atletas!M201="Tongbeiquan E",163,IF(Atletas!M201="Wudangquan E",164,IF(Atletas!M201="Outros Estilos E",165,IF(Atletas!M201="Chaquan F",166,IF(Atletas!M201="Emeiquan F",167,IF(Atletas!M201="Fanziquan F",168,IF(Atletas!M201="Huaquan F",169,IF(Atletas!M201="Hongquan F",170,IF(Atletas!M201="Paoquan F",171,IF(Atletas!M201="Piguaquan F",172,IF(Atletas!M201="Shaolinquan F",173,IF(Atletas!M201="Tanglangquan F",174,IF(Atletas!M201="Yingzhaoquan F",175,IF(Atletas!M201="Tongbeiquan F",176,IF(Atletas!M201="Wudangquan F",177,IF(Atletas!M201="Outros Estilos F",178,0))))))))))))))))))))))))))))))))))))))))))</f>
        <v/>
      </c>
      <c r="BU210" s="50" t="str">
        <f>IF(Atletas!N201="","",IF(Atletas!X201&lt;&gt;"",10000,0)+(IF(Atletas!B201="Feminino",1000,IF(Atletas!B201="Masculino",2000,""))+(IF(Atletas!N201="Ditangquan A",201,IF(Atletas!N201="Houquan A",202,IF(Atletas!N201="Zuiquan A",203,IF(Atletas!N201="Ditangquan B",204,IF(Atletas!N201="Houquan B",205,IF(Atletas!N201="Zuiquan B",206,IF(Atletas!N201="Ditangquan C",207,IF(Atletas!N201="Houquan C",208,IF(Atletas!N201="Zuiquan C",209,IF(Atletas!N201="Ditangquan D",210,IF(Atletas!N201="Houquan D",211,IF(Atletas!N201="Zuiquan D",212,IF(Atletas!N201="Ditangquan E",213,IF(Atletas!N201="Houquan E",214,IF(Atletas!N201="Zuiquan E",215,IF(Atletas!N201="Ditangquan F",216,IF(Atletas!N201="Houquan F",217,IF(Atletas!N201="Zuiquan F",218,"")))))))))))))))))))))</f>
        <v/>
      </c>
      <c r="BV210" s="50" t="str">
        <f>IF(Atletas!O201="","",IF(Atletas!X201&lt;&gt;"",10000,0)+IF(Atletas!B201="Feminino",1000,IF(Atletas!B201="Masculino",2000,""))+IF(Atletas!O201="Yang A",301,IF(Atletas!O201="Chen A",302,IF(Atletas!O201="Sun A",303,IF(Atletas!O201="Wu A",304,IF(Atletas!O201="Wu-Hao A",305,IF(Atletas!O201="Outro Taijiquan A",306,IF(Atletas!O201="Yang B",307,IF(Atletas!O201="Chen B",308,IF(Atletas!O201="Sun B",309,IF(Atletas!O201="Wu B",310,IF(Atletas!O201="Wu-Hao B",311,IF(Atletas!O201="Outro Taijiquan B",312,IF(Atletas!O201="Yang C",313,IF(Atletas!O201="Chen C",314,IF(Atletas!O201="Sun C",315,IF(Atletas!O201="Wu C",316,IF(Atletas!O201="Wu-Hao C",317,IF(Atletas!O201="Outro Taijiquan C",318,IF(Atletas!O201="Yang D",319,IF(Atletas!O201="Chen D",320,IF(Atletas!O201="Sun D",321,IF(Atletas!O201="Wu D",322,IF(Atletas!O201="Wu-Hao D",323,IF(Atletas!O201="Outro Taijiquan D",324,IF(Atletas!O201="Yang E",325,IF(Atletas!O201="Chen E",326,IF(Atletas!O201="Sun E",327,IF(Atletas!O201="Wu E",328,IF(Atletas!O201="Wu-Hao E",329,IF(Atletas!O201="Outro Taijiquan E",330,IF(Atletas!O201="Yang F",331,IF(Atletas!O201="Chen F",332,IF(Atletas!O201="Sun F",333,IF(Atletas!O201="Wu F",334,IF(Atletas!O201="Wu-Hao F",335,IF(Atletas!O201="Outro Taijiquan F",336,"")))))))))))))))))))))))))))))))))))))</f>
        <v/>
      </c>
      <c r="BW210" s="50" t="str">
        <f>IF(Atletas!P201="","",IF(Atletas!X201&lt;&gt;"",10000,0)+IF(Atletas!B201="Feminino",1000,IF(Atletas!B201="Masculino",2000,""))+IF(OR(Atletas!P201="Yang 26 A",Atletas!P201="Yang 40 A"),401,IF(OR(Atletas!P201="Chen 25 A",Atletas!P201="Chen 36 A",Atletas!P201="Chen 56 A"),402,IF(Atletas!P201="Sun 73 A",403,IF(Atletas!P201="Wu 45 A",404,IF(Atletas!P201="Wu-Hao 46 A",405,IF(OR(Atletas!P201="Taijiquan 16 A",Atletas!P201="Taijiquan 24 A",Atletas!P201="Taijiquan 32 A",Atletas!P201="Taijiquan 42 A"),406,IF(OR(Atletas!P201="Yang 26 B",Atletas!P201="Yang 40 B"),407,IF(OR(Atletas!P201="Chen 25 B",Atletas!P201="Chen 36 B",Atletas!P201="Chen 56 B"),408,IF(Atletas!P201="Sun 73 B",409,IF(Atletas!P201="Wu 45 B",410,IF(Atletas!P201="Wu-Hao 46 B",411,IF(OR(Atletas!P201="Taijiquan 16 B",Atletas!P201="Taijiquan 24 B",Atletas!P201="Taijiquan 32 B",Atletas!P201="Taijiquan 42 B"),412,IF(OR(Atletas!P201="Yang 26 C",Atletas!P201="Yang 40 C"),413,IF(OR(Atletas!P201="Chen 25 C",Atletas!P201="Chen 36 C",Atletas!P201="Chen 56 C"),414,IF(Atletas!P201="Sun 73 C",415,IF(Atletas!P201="Wu 45 C",416,IF(Atletas!P201="Wu-Hao 46 C",417,IF(OR(Atletas!P201="Taijiquan 16 C",Atletas!P201="Taijiquan 24 C",Atletas!P201="Taijiquan 32 C",Atletas!P201="Taijiquan 42 C"),418,0)))))))))))))))))))</f>
        <v/>
      </c>
      <c r="BX210" s="50" t="str">
        <f>IF(Atletas!P201="","",IF(Atletas!X201&lt;&gt;"",10000,0)+IF(Atletas!B201="Feminino",1000,IF(Atletas!B201="Masculino",2000,""))+IF(OR(Atletas!P201="Yang 26 D",Atletas!P201="Yang 40 D"),419,IF(OR(Atletas!P201="Chen 25 D",Atletas!P201="Chen 36 D",Atletas!P201="Chen 56 D"),420,IF(Atletas!P201="Sun 73 D",421,IF(Atletas!P201="Wu 45 D",422,IF(Atletas!P201="Wu-Hao 46 D",423,IF(OR(Atletas!P201="Taijiquan 16 D",Atletas!P201="Taijiquan 24 D",Atletas!P201="Taijiquan 32 D",Atletas!P201="Taijiquan 42 D"),424,IF(OR(Atletas!P201="Yang 26 E",Atletas!P201="Yang 40 E"),425,IF(OR(Atletas!P201="Chen 25 E",Atletas!P201="Chen 36 E",Atletas!P201="Chen 56 E"),426,IF(Atletas!P201="Sun 73 E",427,IF(Atletas!P201="Wu 45 E",428,IF(Atletas!P201="Wu-Hao 46 E",429,IF(OR(Atletas!P201="Taijiquan 16 E",Atletas!P201="Taijiquan 24 E",Atletas!P201="Taijiquan 32 E",Atletas!P201="Taijiquan 42 E"),430,IF(OR(Atletas!P201="Yang 26 F",Atletas!P201="Yang 40 F"),431,IF(OR(Atletas!P201="Chen 25 F",Atletas!P201="Chen 36 F",Atletas!P201="Chen 56 F"),432,IF(Atletas!P201="Sun 73 F",433,IF(Atletas!P201="Wu 45 F",434,IF(Atletas!P201="Wu-Hao 46 F",435,IF(OR(Atletas!P201="Taijiquan 16 F",Atletas!P201="Taijiquan 24 F",Atletas!P201="Taijiquan 32 F",Atletas!P201="Taijiquan 42 F"),436,0)))))))))))))))))))</f>
        <v/>
      </c>
      <c r="BY210" s="50" t="str">
        <f>IF(Atletas!Q201="","",IF(Atletas!X201&lt;&gt;"",10000,0)+IF(Atletas!B201="Feminino",1000,IF(Atletas!B201="Masculino",2000,""))+IF(Atletas!Q201="Xingyiquan A",501,IF(Atletas!Q201="Baguazhang A",502,IF(Atletas!Q201="Outro Estilo Interno A",503,IF(Atletas!Q201="Xingyiquan B",504,IF(Atletas!Q201="Baguazhang B",505,IF(Atletas!Q201="Outro Estilo Interno B",506,IF(Atletas!Q201="Xingyiquan C",507,IF(Atletas!Q201="Baguazhang C",508,IF(Atletas!Q201="Outro Estilo Interno C",509,IF(Atletas!Q201="Xingyiquan D",510,IF(Atletas!Q201="Baguazhang D",511,IF(Atletas!Q201="Outro Estilo Interno D",512,IF(Atletas!Q201="Xingyiquan E",513,IF(Atletas!Q201="Baguazhang E",514,IF(Atletas!Q201="Outro Estilo Interno E",515,IF(Atletas!Q201="Xingyiquan F",516,IF(Atletas!Q201="Baguazhang F",517,IF(Atletas!Q201="Outro Estilo Interno F",518, "")))))))))))))))))))</f>
        <v/>
      </c>
      <c r="BZ210" s="50" t="str">
        <f>IF(Atletas!R201="","",IF(Atletas!X201&lt;&gt;"",10000,0)+IF(Atletas!B201="Feminino",1000,IF(Atletas!B201="Masculino",2000,""))+IF(Atletas!R201="Dao A",601,IF(Atletas!R201="Jian A",602,IF(Atletas!R201="Bishou A",603,IF(Atletas!R201="Shanzi A",604,IF(Atletas!R201="Outra Arma Curta A",605,IF(Atletas!R201="Dao B",606,IF(Atletas!R201="Jian B",607,IF(Atletas!R201="Bishou B",608,IF(Atletas!R201="Shanzi B",609,IF(Atletas!R201="Outra Arma Curta B",610,IF(Atletas!R201="Dao C",611,IF(Atletas!R201="Jian C",612,IF(Atletas!R201="Bishou C",613,IF(Atletas!R201="Shanzi C",614,IF(Atletas!R201="Outra Arma Curta C",615,IF(Atletas!R201="Dao D",616,IF(Atletas!R201="Jian D",617,IF(Atletas!R201="Bishou D",618,IF(Atletas!R201="Shanzi D",619,IF(Atletas!R201="Outra Arma Curta D",620,IF(Atletas!R201="Dao E",621,IF(Atletas!R201="Jian E",622,IF(Atletas!R201="Bishou E",623,IF(Atletas!R201="Shanzi E",624,IF(Atletas!R201="Outra Arma Curta E",625,IF(Atletas!R201="Dao F",626,IF(Atletas!R201="Jian F",627,IF(Atletas!R201="Bishou F",628,IF(Atletas!R201="Shanzi F",629,IF(Atletas!R201="Outra Arma Curta F",630, "")))))))))))))))))))))))))))))))</f>
        <v/>
      </c>
      <c r="CA210" s="50" t="str">
        <f>IF(Atletas!S201="","",IF(Atletas!X201&lt;&gt;"",10000,0)+IF(Atletas!B201="Feminino",1000,IF(Atletas!B201="Masculino",2000,""))+IF(Atletas!S201="Gun A",701,IF(Atletas!S201="Qiang A",702,IF(Atletas!S201="Pudao / Guandao A",703,IF(Atletas!S201="Outra Arma Longa A",704,IF(Atletas!S201="Gun B",705,IF(Atletas!S201="Qiang B",706,IF(Atletas!S201="Pudao / Guandao B",707,IF(Atletas!S201="Outra Arma Longa B",708,IF(Atletas!S201="Gun C",709,IF(Atletas!S201="Qiang C",710,IF(Atletas!S201="Pudao / Guandao C",711,IF(Atletas!S201="Outra Arma Longa C",712,IF(Atletas!S201="Gun D",713,IF(Atletas!S201="Qiang D",714,IF(Atletas!S201="Pudao / Guandao D",715,IF(Atletas!S201="Outra Arma Longa D",716,IF(Atletas!S201="Gun E",717,IF(Atletas!S201="Qiang E",718,IF(Atletas!S201="Pudao / Guandao E",719,IF(Atletas!S201="Outra Arma Longa E",720,IF(Atletas!S201="Gun F",721,IF(Atletas!S201="Qiang F",722,IF(Atletas!S201="Pudao / Guandao F",723,IF(Atletas!S201="Outra Arma Longa F",724,"")))))))))))))))))))))))))</f>
        <v/>
      </c>
      <c r="CB210" s="50" t="str">
        <f>IF(Atletas!T201="","",IF(Atletas!X201&lt;&gt;"",10000,0)+IF(Atletas!B201="Feminino",1000,IF(Atletas!B201="Masculino",2000,""))+IF(Atletas!T201="Outra Arma Dupla A",801,IF(Atletas!T201="Arma Maleável A",802,IF(Atletas!T201="Outra Arma Dupla B",803,IF(Atletas!T201="Arma Maleável B",804,IF(Atletas!T201="Outra Arma Dupla C",805,IF(Atletas!T201="Arma Maleável C",806,IF(Atletas!T201="Outra Arma Dupla D",807,IF(Atletas!T201="Arma Maleável D",808,IF(Atletas!T201="Outra Arma Dupla E",809,IF(Atletas!T201="Arma Maleável E",810,IF(Atletas!T201="Outra Arma Dupla F",811,IF(Atletas!T201="Arma Maleável F",812,IF(Atletas!T201="Shuangdao A",813,IF(Atletas!T201="Shuangdao B",814,IF(Atletas!T201="Shuangdao C",815,IF(Atletas!T201="Shuangdao D",816,IF(Atletas!T201="Shuangdao E",817,IF(Atletas!T201="Shuangdao F",818,"")))))))))))))))))))</f>
        <v/>
      </c>
      <c r="CC210" s="50" t="str">
        <f>IF(Atletas!U201="","",IF(Atletas!X201&lt;&gt;"",10000,0)+IF(Atletas!B201="Feminino",1000,IF(Atletas!B201="Masculino",2000,""))+IF(OR(Atletas!U201="Taijijian Yang A",Atletas!U201="Taijijian Yang Standard A"),901,IF(OR(Atletas!U201="Taijijian Chen A", Atletas!U201="Taijijian Chen Standard A"),902,IF(Atletas!U201="Taijijian Sun A",903,IF(Atletas!U201="Taijijian Wu A",904,IF(Atletas!U201="Taijijian Wu-Hao A",905,IF(OR(Atletas!U201="Taijijian 32 A",Atletas!U201="Taijijian 42 A"),906,IF(OR(Atletas!U201="Taijijian Yang B",Atletas!U201="Taijijian Yang Standard B"),907,IF(OR(Atletas!U201="Taijijian Chen B", Atletas!U201="Taijijian Chen Standard B"),908,IF(Atletas!U201="Taijijian Sun B",909,IF(Atletas!U201="Taijijian Wu B",910,IF(Atletas!U201="Taijijian Wu-Hao B",911,IF(OR(Atletas!U201="Taijijian 32 B",Atletas!U201="Taijijian 42 B"),912,IF(OR(Atletas!U201="Taijijian Yang C",Atletas!U201="Taijijian Yang Standard C"),913,IF(OR(Atletas!U201="Taijijian Chen C", Atletas!U201="Taijijian Chen Standard C"),914,IF(Atletas!U201="Taijijian Sun C",915,IF(Atletas!U201="Taijijian Wu C",916,IF(Atletas!U201="Taijijian Wu-Hao C",917,IF(OR(Atletas!U201="Taijijian 32 C",Atletas!U201="Taijijian 42 C"),918,IF(OR(Atletas!U201="Taijijian Yang D",Atletas!U201="Taijijian Yang Standard D"),919,IF(OR(Atletas!U201="Taijijian Chen D", Atletas!U201="Taijijian Chen Standard D"),920,IF(Atletas!U201="Taijijian Sun D",921,IF(Atletas!U201="Taijijian Wu D",922,IF(Atletas!U201="Taijijian Wu-Hao D",923,IF(OR(Atletas!U201="Taijijian 32 D",Atletas!U201="Taijijian 42 D"),924,IF(OR(Atletas!U201="Taijijian Yang E",Atletas!U201="Taijijian Yang Standard E"),925,IF(OR(Atletas!U201="Taijijian Chen E", Atletas!U201="Taijijian Chen Standard E"),926,IF(Atletas!U201="Taijijian Sun E",927,IF(Atletas!U201="Taijijian Wu E",928,IF(Atletas!U201="Taijijian Wu-Hao E",929,IF(OR(Atletas!U201="Taijijian 32 E",Atletas!U201="Taijijian 42 E"),930,IF(OR(Atletas!U201="Taijijian Yang F",Atletas!U201="Taijijian Yang Standard F"),931,IF(OR(Atletas!U201="Taijijian Chen F", Atletas!U201="Taijijian Chen Standard F"),932,IF(Atletas!U201="Taijijian Sun F",933,IF(Atletas!U201="Taijijian Wu F",934,IF(Atletas!U201="Taijijian Wu-Hao F",935,IF(OR(Atletas!U201="Taijijian 32 F",Atletas!U201="Taijijian 42 F"),936,"")))))))))))))))))))))))))))))))))))))</f>
        <v/>
      </c>
      <c r="CD210" s="50" t="str">
        <f>IF(Atletas!V201="","",IF(Atletas!X201&lt;&gt;"",10000,0)+IF(Atletas!B201="Feminino",1000,IF(Atletas!B201="Masculino",2000,""))+IF(Atletas!V201="Taijidao A",937,IF(Atletas!V201="TaijiShanzi A",938,IF(Atletas!V201="Taijiqiang A",939,IF(Atletas!V201="Bagua de Arma A",940,IF(Atletas!V201="Xingyi de Arma A",941,IF(Atletas!V201="Taijidao B",942,IF(Atletas!V201="TaijiShanzi B",943,IF(Atletas!V201="Taijiqiang B",944,IF(Atletas!V201="Bagua de Arma B",945,IF(Atletas!V201="Xingyi de Arma B",946,IF(Atletas!V201="Taijidao C",947,IF(Atletas!V201="TaijiShanzi C",948,IF(Atletas!V201="Taijiqiang C",949,IF(Atletas!V201="Bagua de Arma C",950,IF(Atletas!V201="Xingyi de Arma C",951,IF(Atletas!V201="Taijidao D",952,IF(Atletas!V201="TaijiShanzi D",953,IF(Atletas!V201="Taijiqiang D",954,IF(Atletas!V201="Bagua de Arma D",955,IF(Atletas!V201="Xingyi de Arma D",956,IF(Atletas!V201="Taijidao E",957,IF(Atletas!V201="TaijiShanzi E",958,IF(Atletas!V201="Taijiqiang E",959,IF(Atletas!V201="Bagua de Arma E",960,IF(Atletas!V201="Xingyi de Arma E",961,IF(Atletas!V201="Taijidao F",962,IF(Atletas!V201="TaijiShanzi F",963,IF(Atletas!V201="Taijiqiang F",964,IF(Atletas!V201="Bagua de Arma F",965,IF(Atletas!V201="Xingyi de Arma F",966,"")))))))))))))))))))))))))))))))</f>
        <v/>
      </c>
      <c r="CE210" s="66" t="str">
        <f>IF(CF210&lt;&gt;"","TJQ Padr. Combinado F","")</f>
        <v/>
      </c>
      <c r="CF210" s="66" t="str">
        <f>IF(COUNTIF(BR:CD,1436)&gt;0,COUNTIF(BR:CD,1436),"")</f>
        <v/>
      </c>
      <c r="CG210" s="66" t="str">
        <f>IF(CH210&lt;&gt;"","TJQ Padr. Combinado F","")</f>
        <v/>
      </c>
      <c r="CH210" s="66" t="str">
        <f>IF(COUNTIF(BR:CD,2436)&gt;0,COUNTIF(BR:CD,2436),"")</f>
        <v/>
      </c>
      <c r="CI210" s="66" t="str">
        <f>IF(CJ210&lt;&gt;"","Outro Estilo Interno B","")</f>
        <v/>
      </c>
      <c r="CJ210" s="66" t="str">
        <f>IF(COUNTIF(BR:CD,11442)&gt;0,COUNTIF(BR:CD,11442),"")</f>
        <v/>
      </c>
      <c r="CK210" s="66" t="str">
        <f>IF(CL210&lt;&gt;"","Outro Estilo Interno B","")</f>
        <v/>
      </c>
      <c r="CL210" s="66" t="str">
        <f>IF(COUNTIF(BR:CD,12442)&gt;0,COUNTIF(BR:CD,12442),"")</f>
        <v/>
      </c>
      <c r="CM210" s="50" t="str">
        <f xml:space="preserve"> IF(Atletas!W201="","",IF(Atletas!W201="Duilian de Mãos BC - Equipe 1",1,IF(Atletas!W201="Duilian de Mãos BC - Equipe 2",2,IF(Atletas!W201="Duilian de Armas BC - Equipe 1",3,IF(Atletas!W201="Duilian de Armas BC - Equipe 2",4,IF(Atletas!W201="Duilian de Mãos DE - Equipe 1",5,IF(Atletas!W201="Duilian de Mãos DE - Equipe 2",6,IF(Atletas!W201="Duilian de Armas DE - Equipe 1",7,IF(Atletas!W201="Duilian de Armas DE - Equipe 2",8,IF(Atletas!W201="Duilian de Tuishou - Equipe 1",9,IF(Atletas!W201="Duilian de Tuishou - Equipe 2",10,IF(Atletas!W201="Grupo Externo ABC - Equipe 1",11,IF(Atletas!W201="Grupo Externo ABC - Equipe 2",12,IF(Atletas!W201="Grupo Interno ABC - Equipe 1",13,IF(Atletas!W201="Grupo Interno ABC - Equipe 2",14,IF(Atletas!W201="Grupo Externo DEF - Equipe 1",15,IF(Atletas!W201="Grupo Externo DEF - Equipe 2",16,IF(Atletas!W201="Grupo Interno DEF - Equipe 1",17,IF(Atletas!W201="Grupo Interno DEF - Equipe 2",18,"")))))))))))))))))))</f>
        <v/>
      </c>
    </row>
    <row r="211" spans="2:91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 t="str">
        <f t="array" ref="Z211">IFERROR(INDEX(CE$7:CE$348,SMALL(IF(CE$7:CE$348&lt;&gt;"",ROW(CE$7:CE$348)-ROW(CE$7)+1),ROWS(CE$7:CE210))),"")</f>
        <v/>
      </c>
      <c r="AA211" s="3" t="str">
        <f t="array" ref="AA211">IFERROR(INDEX(CF$7:CF$348,SMALL(IF(CF$7:CF$348&lt;&gt;"",ROW(CF$7:CF$348)-ROW(CF$7)+1),ROWS(CF$7:CF210))),"")</f>
        <v/>
      </c>
      <c r="AB211" s="3" t="str">
        <f t="array" ref="AB211">IFERROR(INDEX(CG$7:CG$348,SMALL(IF(CG$7:CG$348&lt;&gt;"",ROW(CG$7:CG$348)-ROW(CG$7)+1),ROWS(CG$7:CG210))),"")</f>
        <v/>
      </c>
      <c r="AC211" s="3" t="str">
        <f t="array" ref="AC211">IFERROR(INDEX(CH$7:CH$348,SMALL(IF(CH$7:CH$348&lt;&gt;"",ROW(CH$7:CH$348)-ROW(CH$7)+1),ROWS(CH$7:CH210))),"")</f>
        <v/>
      </c>
      <c r="AD211" s="3" t="str">
        <f t="array" ref="AD211">IFERROR(INDEX(CI$7:CI$377,SMALL(IF(CI$7:CI$377&lt;&gt;"",ROW(CI$7:CI$377)-ROW(CI$7)+1),ROWS(CI$7:CI210))),"")</f>
        <v/>
      </c>
      <c r="AE211" s="3" t="str">
        <f t="array" ref="AE211">IFERROR(INDEX(CJ$7:CJ$378,SMALL(IF(CJ$7:CJ$378&lt;&gt;"",ROW(CJ$7:CJ$378)-ROW(CJ$7)+1),ROWS(CJ$7:CJ210))),"")</f>
        <v/>
      </c>
      <c r="AF211" s="3" t="str">
        <f t="array" ref="AF211">IFERROR(INDEX(CK$7:CK$378,SMALL(IF(CK$7:CK$378&lt;&gt;"",ROW(CK$7:CK$378)-ROW(CK$7)+1),ROWS(CK$7:CK210))),"")</f>
        <v/>
      </c>
      <c r="AG211" s="3" t="str">
        <f t="array" ref="AG211">IFERROR(INDEX(CL$7:CL$378,SMALL(IF(CL$7:CL$378&lt;&gt;"",ROW(CL$7:CL$378)-ROW(CL$7)+1),ROWS(CL$7:CL210))),"")</f>
        <v/>
      </c>
      <c r="AH211" s="3"/>
      <c r="AI211" s="3"/>
      <c r="AJ211" s="3"/>
      <c r="AK211" s="3"/>
      <c r="AL211" s="3"/>
      <c r="AM211" s="3"/>
      <c r="AN211" s="52" t="str">
        <f>IF(Atletas!D202="","",IF(Atletas!B202="Feminino",100,IF(Atletas!B202="Masculino",200,""))+(IF(Atletas!D202="Kids 30kg",1,IF(Atletas!D202="Kids 32kg",2, IF(Atletas!D202="Kids 34kg",3,IF(Atletas!D202="Kids 36kg",4,IF(Atletas!D202="Kids 39kg",5,IF(Atletas!D202="Kids 42kg",6,IF(Atletas!D202="Kids 45kg",7, IF(Atletas!D202="Infantil 39kg",8,IF(Atletas!D202="Infantil 42kg",9,IF(Atletas!D202="Infantil 45kg",10,IF(Atletas!D202="Infantil 48kg",11,IF(Atletas!D202="Infantil 52kg",12,IF(Atletas!D202="Infantil 56kg",13,IF(Atletas!D202="Infantil 60kg",14,IF(Atletas!D202="Juvenil 48kg",15,IF(Atletas!D202="Juvenil 52kg",16,IF(Atletas!D202="Juvenil 56kg",17,IF(Atletas!D202="Juvenil 60kg",18,IF(Atletas!D202="Juvenil 65kg",19,IF(Atletas!D202="Juvenil 70kg",20,IF(Atletas!D202="Juvenil 75kg",21,IF(Atletas!D202="Juvenil 80kg",22, IF(Atletas!D202="Juvenil 85kg",23,IF(Atletas!D202="Adulto 48kg",24,IF(Atletas!D202="Adulto 52kg",25,IF(Atletas!D202="Adulto 56kg",26,IF(Atletas!D202="Adulto 60kg",27,IF(Atletas!D202="Adulto 65kg",28,IF(Atletas!D202="Adulto 70kg",29,IF(Atletas!D202="Adulto 75kg",30,IF(Atletas!D202="Adulto 80kg",31,IF(Atletas!D202="Adulto 85kg",32,IF(Atletas!D202="Adulto 90kg",33,IF(Atletas!D202="Adulto 100kg",34, IF(Atletas!D202="Adulto +100kg",35,"")))))))))))))))))))))))))))))))))))))</f>
        <v/>
      </c>
      <c r="AS211" s="6" t="str">
        <f>IF(Atletas!E202="","",IF(Atletas!B202="Feminino",100,IF(Atletas!B202="Masculino",200,""))+(IF(Atletas!E202="Juvenil 44kg",1,IF(Atletas!E202="Juvenil 48kg",2,IF(Atletas!E202="Juvenil 52kg",3,IF(Atletas!E202="Juvenil 56kg",4,IF(Atletas!E202="Juvenil 60kg",5,IF(Atletas!E202="Juvenil 65kg",6,IF(Atletas!E202="Juvenil 70kg",7,IF(Atletas!E202="Juvenil 75kg",8,IF(Atletas!E202="Juvenil 82kg",9,IF(Atletas!E202="Juvenil 90kg",10,IF(Atletas!E202="Juvenil 100kg",11,IF(Atletas!E202="Adulto 48kg",12,IF(Atletas!E202="Adulto 52kg",13,IF(Atletas!E202="Adulto 56kg",14,IF(Atletas!E202="Adulto 60kg",15,IF(Atletas!E202="Adulto 65kg",16,IF(Atletas!E202="Adulto 70kg",17,IF(Atletas!E202="Adulto 75kg",18,IF(Atletas!E202="Adulto 82kg",19,IF(Atletas!E202="Adulto 90kg",20,IF(Atletas!E202="Adulto 100kg",21,IF(Atletas!E202="Adulto +100kg",22,""))))))))))))))))))))))))</f>
        <v/>
      </c>
      <c r="AX211" s="6" t="str">
        <f>IF(Atletas!F202="","",IF(Atletas!B202="Feminino",100,IF(Atletas!B202="Masculino",200,""))+(IF(Atletas!F202="Adulto 48kg",1,IF(Atletas!F202="Adulto 56kg",2,IF(Atletas!F202="Adulto 65kg",3,IF(Atletas!F202="Adulto 75kg",4,IF(Atletas!F202="Adulto +75kg",5,IF(Atletas!F202="Adulto 52kg",6,IF(Atletas!F202="Adulto 60kg",7,IF(Atletas!F202="Adulto 70kg",8,IF(Atletas!F202="Adulto 80kg",9,IF(Atletas!F202="Adulto 90kg",10,IF(Atletas!F202="Adulto +90kg",11,"")))))))))))))</f>
        <v/>
      </c>
      <c r="BC211" s="6" t="str">
        <f>IF(Atletas!G202="","",IF(Atletas!B202="Feminino",10,IF(Atletas!B202="Masculino",20,""))+(IF(Atletas!G202="Baduanjin A",1,IF(Atletas!G202="Baduanjin B",2))))</f>
        <v/>
      </c>
      <c r="BF211" s="52" t="str">
        <f>IF(Atletas!H202="","",IF(Atletas!B202="Feminino",100,IF(Atletas!B202="Masculino",200,""))+(IF(Atletas!H202="Changquan Mirim",1,IF(Atletas!H202="Nanquan Mirim",2,IF(Atletas!H202="Taijiquan Mirim",3,IF(Atletas!H202="Changquan Grupo C",4,IF(Atletas!H202="Nanquan Grupo C",5,IF(Atletas!H202="Taijiquan Grupo C",6,IF(Atletas!H202="Changquan Grupo B",7,IF(Atletas!H202="Nanquan Grupo B",8,IF(Atletas!H202="Taijiquan Grupo B",9,IF(Atletas!H202="Changquan Grupo A",10,IF(Atletas!H202="Nanquan Grupo A",11,IF(Atletas!H202="Taijiquan Grupo A",12,IF(Atletas!H202="Changquan Opcional",13,IF(Atletas!H202="Nanquan Opcional",14,IF(Atletas!H202="Taijiquan Opcional",15,IF(Atletas!H202="Changquan Adulto",16,IF(Atletas!H202="Nanquan Adulto",17,IF(Atletas!H202="Taijiquan Adulto",18,""))))))))))))))))))))</f>
        <v/>
      </c>
      <c r="BG211" s="52" t="str">
        <f>IF(Atletas!I202="","",IF(Atletas!B202="Feminino",100,IF(Atletas!B202="Masculino",200,""))+(IF(Atletas!I202="Daoshu Mirim",19,IF(Atletas!I202="Jianshu Mirim",20,IF(Atletas!I202="Nandao Mirim",21,IF(Atletas!I202="Taijijian Mirim",22,IF(Atletas!I202="Daoshu Grupo C",23,IF(Atletas!I202="Jianshu Grupo C",24,IF(Atletas!I202="Nandao Grupo C",25,IF(Atletas!I202="Taijijian Grupo C",26,IF(Atletas!I202="Daoshu Grupo B",27,IF(Atletas!I202="Jianshu Grupo B",28,IF(Atletas!I202="Nandao Grupo B",29,IF(Atletas!I202="Taijijian Grupo B",30,IF(Atletas!I202="Daoshu Grupo A",31,IF(Atletas!I202="Jianshu Grupo A",32,IF(Atletas!I202="Nandao Grupo A",33,IF(Atletas!I202="Taijijian Grupo A",34,IF(Atletas!I202="Daoshu Opcional",35,IF(Atletas!I202="Jianshu Opcional",36,IF(Atletas!I202="Nandao Opcional",37,IF(Atletas!I202="Taijijian Opcional",38,IF(Atletas!I202="Daoshu Adulto",39,IF(Atletas!I202="Jianshu Adulto",40,IF(Atletas!I202="Nandao Adulto",41,IF(Atletas!I202="Taijijian Adulto",42,""))))))))))))))))))))))))))</f>
        <v/>
      </c>
      <c r="BH211" s="52" t="str">
        <f>IF(Atletas!J202="","",IF(Atletas!B202="Feminino",100,IF(Atletas!B202="Masculino",200,""))+(IF(Atletas!J202="Gunshu Mirim",43,IF(Atletas!J202="Qiangshu Mirim",44,IF(Atletas!J202="Nangun Mirim",45,IF(Atletas!J202="Gunshu Grupo C",46,IF(Atletas!J202="Qiangshu Grupo C",47,IF(Atletas!J202="Nangun Grupo C",48,IF(Atletas!J202="Gunshu Grupo B",49,IF(Atletas!J202="Qiangshu Grupo B",50,IF(Atletas!J202="Nangun Grupo B",51,IF(Atletas!J202="Gunshu Grupo A",52,IF(Atletas!J202="Qiangshu Grupo A",53,IF(Atletas!J202="Nangun Grupo A",54,IF(Atletas!J202="Gunshu Opcional",55,IF(Atletas!J202="Qiangshu Opcional",56,IF(Atletas!J202="Nangun Opcional",57,IF(Atletas!J202="Gunshu Adulto",58,IF(Atletas!J202="Qiangshu Adulto",59,IF(Atletas!J202="Nangun Adulto",60,IF(Atletas!J202="Taijishan Grupo B",61,IF(Atletas!J202="Taijishan Grupo A",62,""))))))))))))))))))))))</f>
        <v/>
      </c>
      <c r="BM211" s="50" t="str">
        <f>IF(Atletas!K202="","",IF(Atletas!B202="Feminino",100,IF(Atletas!B202="Masculino",200,""))+(IF(Atletas!K202="Equipe 1 Grupo B",1,IF(Atletas!K202="Equipe 2 Grupo B",2,IF(Atletas!K202="Equipe 1 Grupo A",3,IF(Atletas!K202="Equipe 2 Grupo A",4,IF(Atletas!K202="Equipe 1 Adulto",5,IF(Atletas!K202="Equipe 2 Adulto",6,""))))))))</f>
        <v/>
      </c>
      <c r="BR211" s="50" t="str">
        <f>IF(Atletas!L202="","",IF(Atletas!X202&lt;&gt;"",10000,0)+(IF(Atletas!B202="Feminino",1000,IF(Atletas!B202="Masculino",2000,""))+IF(Atletas!L202="Choylayfut A",1,IF(Atletas!L202="Hunggar A",2,IF(Atletas!L202="Wuzuquan A",3,IF(Atletas!L202="Wingchun A",4,IF(Atletas!L202="Outra Mão de Sul A",5,IF(Atletas!L202="Choylayfut B",6,IF(Atletas!L202="Hunggar B",7,IF(Atletas!L202="Wuzuquan B",8,IF(Atletas!L202="Wingchun B",9,IF(Atletas!L202="Outra Mão de Sul B",10,IF(Atletas!L202="Choylayfut C",11,IF(Atletas!L202="Hunggar C",12,IF(Atletas!L202="Wuzuquan C",13,IF(Atletas!L202="Wingchun C",14,IF(Atletas!L202="Outra Mão de Sul C",15,IF(Atletas!L202="Choylayfut D",16,IF(Atletas!L202="Hunggar D",17,IF(Atletas!L202="Wuzuquan D",18,IF(Atletas!L202="Wingchun D",19,IF(Atletas!L202="Outra Mão de Sul D",20,IF(Atletas!L202="Choylayfut E",21,IF(Atletas!L202="Hunggar E",22,IF(Atletas!L202="Wuzuquan E",23,IF(Atletas!L202="Wingchun E",24,IF(Atletas!L202="Outra Mão de Sul E",25,IF(Atletas!L202="Choylayfut F",26,IF(Atletas!L202="Hunggar F",27,IF(Atletas!L202="Wuzuquan F",28,IF(Atletas!L202="Wingchun F",29,IF(Atletas!L202="Outra Mão de Sul F",30,IF(Atletas!L202="Dishuquan A",31,IF(Atletas!L202="Dishuquan B",32,IF(Atletas!L202="Dishuquan C",33,IF(Atletas!L202="Dishuquan D",34,IF(Atletas!L202="Dishuquan E",35,IF(Atletas!L202="Dishuquan F",36,""))))))))))))))))))))))))))))))))))))))</f>
        <v/>
      </c>
      <c r="BS211" s="50" t="str">
        <f>IF(Atletas!M202="","",IF(Atletas!X202&lt;&gt;"",10000,0)+(IF(Atletas!B202="Feminino",1000,IF(Atletas!B202="Masculino",2000,""))+(IF(Atletas!M202="Chaquan A",101,IF(Atletas!M202="Emeiquan A",102,IF(Atletas!M202="Fanziquan A",103,IF(Atletas!M202="Huaquan A",104,IF(Atletas!M202="Hongquan A",105,IF(Atletas!M202="Paoquan A",106,IF(Atletas!M202="Piguaquan A",107,IF(Atletas!M202="Shaolinquan A",108,IF(Atletas!M202="Tanglangquan A",109,IF(Atletas!M202="Yingzhaoquan A",110,IF(Atletas!M202="Tongbeiquan A",111,IF(Atletas!M202="Wudangquan A",112,IF(Atletas!M202="Outros Estilos A",113,IF(Atletas!M202="Chaquan B",114,IF(Atletas!M202="Emeiquan B",115,IF(Atletas!M202="Fanziquan B",116,IF(Atletas!M202="Huaquan B",117,IF(Atletas!M202="Hongquan B",118,IF(Atletas!M202="Paoquan B",119,IF(Atletas!M202="Piguaquan B",120,IF(Atletas!M202="Shaolinquan B",121,IF(Atletas!M202="Tanglangquan B",122,IF(Atletas!M202="Yingzhaoquan B",123,IF(Atletas!M202="Tongbeiquan B",124,IF(Atletas!M202="Wudangquan B",125,IF(Atletas!M202="Outros Estilos B",126,IF(Atletas!M202="Chaquan C",127,IF(Atletas!M202="Emeiquan C",128,IF(Atletas!M202="Fanziquan C",129,IF(Atletas!M202="Huaquan C",130,IF(Atletas!M202="Hongquan C",131,IF(Atletas!M202="Paoquan C",132,IF(Atletas!M202="Piguaquan C",133,IF(Atletas!M202="Shaolinquan C",134,IF(Atletas!M202="Tanglangquan C",135,IF(Atletas!M202="Yingzhaoquan C",136,IF(Atletas!M202="Tongbeiquan C",137,IF(Atletas!M202="Wudangquan C",138,IF(Atletas!M202="Outros Estilos C",139,0))))))))))))))))))))))))))))))))))))))))))</f>
        <v/>
      </c>
      <c r="BT211" s="50" t="str">
        <f>IF(Atletas!M202="","",IF(Atletas!X202&lt;&gt;"",10000,0)+(IF(Atletas!B202="Feminino",1000,IF(Atletas!B202="Masculino",2000,""))+(IF(Atletas!M202="Chaquan D",140,IF(Atletas!M202="Emeiquan D",141,IF(Atletas!M202="Fanziquan D",142,IF(Atletas!M202="Huaquan D",143,IF(Atletas!M202="Hongquan D",144,IF(Atletas!M202="Paoquan D",145,IF(Atletas!M202="Piguaquan D",146,IF(Atletas!M202="Shaolinquan D",147,IF(Atletas!M202="Tanglangquan D",148,IF(Atletas!M202="Yingzhaoquan D",149,IF(Atletas!M202="Tongbeiquan D",150,IF(Atletas!M202="Wudangquan D",151,IF(Atletas!M202="Outros Estilos D",152,IF(Atletas!M202="Chaquan E",153,IF(Atletas!M202="Emeiquan E",154,IF(Atletas!M202="Fanziquan E",155,IF(Atletas!M202="Huaquan E",156,IF(Atletas!M202="Hongquan E",157,IF(Atletas!M202="Paoquan E",158,IF(Atletas!M202="Piguaquan E",159,IF(Atletas!M202="Shaolinquan E",160,IF(Atletas!M202="Tanglangquan E",161,IF(Atletas!M202="Yingzhaoquan E",162,IF(Atletas!M202="Tongbeiquan E",163,IF(Atletas!M202="Wudangquan E",164,IF(Atletas!M202="Outros Estilos E",165,IF(Atletas!M202="Chaquan F",166,IF(Atletas!M202="Emeiquan F",167,IF(Atletas!M202="Fanziquan F",168,IF(Atletas!M202="Huaquan F",169,IF(Atletas!M202="Hongquan F",170,IF(Atletas!M202="Paoquan F",171,IF(Atletas!M202="Piguaquan F",172,IF(Atletas!M202="Shaolinquan F",173,IF(Atletas!M202="Tanglangquan F",174,IF(Atletas!M202="Yingzhaoquan F",175,IF(Atletas!M202="Tongbeiquan F",176,IF(Atletas!M202="Wudangquan F",177,IF(Atletas!M202="Outros Estilos F",178,0))))))))))))))))))))))))))))))))))))))))))</f>
        <v/>
      </c>
      <c r="BU211" s="50" t="str">
        <f>IF(Atletas!N202="","",IF(Atletas!X202&lt;&gt;"",10000,0)+(IF(Atletas!B202="Feminino",1000,IF(Atletas!B202="Masculino",2000,""))+(IF(Atletas!N202="Ditangquan A",201,IF(Atletas!N202="Houquan A",202,IF(Atletas!N202="Zuiquan A",203,IF(Atletas!N202="Ditangquan B",204,IF(Atletas!N202="Houquan B",205,IF(Atletas!N202="Zuiquan B",206,IF(Atletas!N202="Ditangquan C",207,IF(Atletas!N202="Houquan C",208,IF(Atletas!N202="Zuiquan C",209,IF(Atletas!N202="Ditangquan D",210,IF(Atletas!N202="Houquan D",211,IF(Atletas!N202="Zuiquan D",212,IF(Atletas!N202="Ditangquan E",213,IF(Atletas!N202="Houquan E",214,IF(Atletas!N202="Zuiquan E",215,IF(Atletas!N202="Ditangquan F",216,IF(Atletas!N202="Houquan F",217,IF(Atletas!N202="Zuiquan F",218,"")))))))))))))))))))))</f>
        <v/>
      </c>
      <c r="BV211" s="50" t="str">
        <f>IF(Atletas!O202="","",IF(Atletas!X202&lt;&gt;"",10000,0)+IF(Atletas!B202="Feminino",1000,IF(Atletas!B202="Masculino",2000,""))+IF(Atletas!O202="Yang A",301,IF(Atletas!O202="Chen A",302,IF(Atletas!O202="Sun A",303,IF(Atletas!O202="Wu A",304,IF(Atletas!O202="Wu-Hao A",305,IF(Atletas!O202="Outro Taijiquan A",306,IF(Atletas!O202="Yang B",307,IF(Atletas!O202="Chen B",308,IF(Atletas!O202="Sun B",309,IF(Atletas!O202="Wu B",310,IF(Atletas!O202="Wu-Hao B",311,IF(Atletas!O202="Outro Taijiquan B",312,IF(Atletas!O202="Yang C",313,IF(Atletas!O202="Chen C",314,IF(Atletas!O202="Sun C",315,IF(Atletas!O202="Wu C",316,IF(Atletas!O202="Wu-Hao C",317,IF(Atletas!O202="Outro Taijiquan C",318,IF(Atletas!O202="Yang D",319,IF(Atletas!O202="Chen D",320,IF(Atletas!O202="Sun D",321,IF(Atletas!O202="Wu D",322,IF(Atletas!O202="Wu-Hao D",323,IF(Atletas!O202="Outro Taijiquan D",324,IF(Atletas!O202="Yang E",325,IF(Atletas!O202="Chen E",326,IF(Atletas!O202="Sun E",327,IF(Atletas!O202="Wu E",328,IF(Atletas!O202="Wu-Hao E",329,IF(Atletas!O202="Outro Taijiquan E",330,IF(Atletas!O202="Yang F",331,IF(Atletas!O202="Chen F",332,IF(Atletas!O202="Sun F",333,IF(Atletas!O202="Wu F",334,IF(Atletas!O202="Wu-Hao F",335,IF(Atletas!O202="Outro Taijiquan F",336,"")))))))))))))))))))))))))))))))))))))</f>
        <v/>
      </c>
      <c r="BW211" s="50" t="str">
        <f>IF(Atletas!P202="","",IF(Atletas!X202&lt;&gt;"",10000,0)+IF(Atletas!B202="Feminino",1000,IF(Atletas!B202="Masculino",2000,""))+IF(OR(Atletas!P202="Yang 26 A",Atletas!P202="Yang 40 A"),401,IF(OR(Atletas!P202="Chen 25 A",Atletas!P202="Chen 36 A",Atletas!P202="Chen 56 A"),402,IF(Atletas!P202="Sun 73 A",403,IF(Atletas!P202="Wu 45 A",404,IF(Atletas!P202="Wu-Hao 46 A",405,IF(OR(Atletas!P202="Taijiquan 16 A",Atletas!P202="Taijiquan 24 A",Atletas!P202="Taijiquan 32 A",Atletas!P202="Taijiquan 42 A"),406,IF(OR(Atletas!P202="Yang 26 B",Atletas!P202="Yang 40 B"),407,IF(OR(Atletas!P202="Chen 25 B",Atletas!P202="Chen 36 B",Atletas!P202="Chen 56 B"),408,IF(Atletas!P202="Sun 73 B",409,IF(Atletas!P202="Wu 45 B",410,IF(Atletas!P202="Wu-Hao 46 B",411,IF(OR(Atletas!P202="Taijiquan 16 B",Atletas!P202="Taijiquan 24 B",Atletas!P202="Taijiquan 32 B",Atletas!P202="Taijiquan 42 B"),412,IF(OR(Atletas!P202="Yang 26 C",Atletas!P202="Yang 40 C"),413,IF(OR(Atletas!P202="Chen 25 C",Atletas!P202="Chen 36 C",Atletas!P202="Chen 56 C"),414,IF(Atletas!P202="Sun 73 C",415,IF(Atletas!P202="Wu 45 C",416,IF(Atletas!P202="Wu-Hao 46 C",417,IF(OR(Atletas!P202="Taijiquan 16 C",Atletas!P202="Taijiquan 24 C",Atletas!P202="Taijiquan 32 C",Atletas!P202="Taijiquan 42 C"),418,0)))))))))))))))))))</f>
        <v/>
      </c>
      <c r="BX211" s="50" t="str">
        <f>IF(Atletas!P202="","",IF(Atletas!X202&lt;&gt;"",10000,0)+IF(Atletas!B202="Feminino",1000,IF(Atletas!B202="Masculino",2000,""))+IF(OR(Atletas!P202="Yang 26 D",Atletas!P202="Yang 40 D"),419,IF(OR(Atletas!P202="Chen 25 D",Atletas!P202="Chen 36 D",Atletas!P202="Chen 56 D"),420,IF(Atletas!P202="Sun 73 D",421,IF(Atletas!P202="Wu 45 D",422,IF(Atletas!P202="Wu-Hao 46 D",423,IF(OR(Atletas!P202="Taijiquan 16 D",Atletas!P202="Taijiquan 24 D",Atletas!P202="Taijiquan 32 D",Atletas!P202="Taijiquan 42 D"),424,IF(OR(Atletas!P202="Yang 26 E",Atletas!P202="Yang 40 E"),425,IF(OR(Atletas!P202="Chen 25 E",Atletas!P202="Chen 36 E",Atletas!P202="Chen 56 E"),426,IF(Atletas!P202="Sun 73 E",427,IF(Atletas!P202="Wu 45 E",428,IF(Atletas!P202="Wu-Hao 46 E",429,IF(OR(Atletas!P202="Taijiquan 16 E",Atletas!P202="Taijiquan 24 E",Atletas!P202="Taijiquan 32 E",Atletas!P202="Taijiquan 42 E"),430,IF(OR(Atletas!P202="Yang 26 F",Atletas!P202="Yang 40 F"),431,IF(OR(Atletas!P202="Chen 25 F",Atletas!P202="Chen 36 F",Atletas!P202="Chen 56 F"),432,IF(Atletas!P202="Sun 73 F",433,IF(Atletas!P202="Wu 45 F",434,IF(Atletas!P202="Wu-Hao 46 F",435,IF(OR(Atletas!P202="Taijiquan 16 F",Atletas!P202="Taijiquan 24 F",Atletas!P202="Taijiquan 32 F",Atletas!P202="Taijiquan 42 F"),436,0)))))))))))))))))))</f>
        <v/>
      </c>
      <c r="BY211" s="50" t="str">
        <f>IF(Atletas!Q202="","",IF(Atletas!X202&lt;&gt;"",10000,0)+IF(Atletas!B202="Feminino",1000,IF(Atletas!B202="Masculino",2000,""))+IF(Atletas!Q202="Xingyiquan A",501,IF(Atletas!Q202="Baguazhang A",502,IF(Atletas!Q202="Outro Estilo Interno A",503,IF(Atletas!Q202="Xingyiquan B",504,IF(Atletas!Q202="Baguazhang B",505,IF(Atletas!Q202="Outro Estilo Interno B",506,IF(Atletas!Q202="Xingyiquan C",507,IF(Atletas!Q202="Baguazhang C",508,IF(Atletas!Q202="Outro Estilo Interno C",509,IF(Atletas!Q202="Xingyiquan D",510,IF(Atletas!Q202="Baguazhang D",511,IF(Atletas!Q202="Outro Estilo Interno D",512,IF(Atletas!Q202="Xingyiquan E",513,IF(Atletas!Q202="Baguazhang E",514,IF(Atletas!Q202="Outro Estilo Interno E",515,IF(Atletas!Q202="Xingyiquan F",516,IF(Atletas!Q202="Baguazhang F",517,IF(Atletas!Q202="Outro Estilo Interno F",518, "")))))))))))))))))))</f>
        <v/>
      </c>
      <c r="BZ211" s="50" t="str">
        <f>IF(Atletas!R202="","",IF(Atletas!X202&lt;&gt;"",10000,0)+IF(Atletas!B202="Feminino",1000,IF(Atletas!B202="Masculino",2000,""))+IF(Atletas!R202="Dao A",601,IF(Atletas!R202="Jian A",602,IF(Atletas!R202="Bishou A",603,IF(Atletas!R202="Shanzi A",604,IF(Atletas!R202="Outra Arma Curta A",605,IF(Atletas!R202="Dao B",606,IF(Atletas!R202="Jian B",607,IF(Atletas!R202="Bishou B",608,IF(Atletas!R202="Shanzi B",609,IF(Atletas!R202="Outra Arma Curta B",610,IF(Atletas!R202="Dao C",611,IF(Atletas!R202="Jian C",612,IF(Atletas!R202="Bishou C",613,IF(Atletas!R202="Shanzi C",614,IF(Atletas!R202="Outra Arma Curta C",615,IF(Atletas!R202="Dao D",616,IF(Atletas!R202="Jian D",617,IF(Atletas!R202="Bishou D",618,IF(Atletas!R202="Shanzi D",619,IF(Atletas!R202="Outra Arma Curta D",620,IF(Atletas!R202="Dao E",621,IF(Atletas!R202="Jian E",622,IF(Atletas!R202="Bishou E",623,IF(Atletas!R202="Shanzi E",624,IF(Atletas!R202="Outra Arma Curta E",625,IF(Atletas!R202="Dao F",626,IF(Atletas!R202="Jian F",627,IF(Atletas!R202="Bishou F",628,IF(Atletas!R202="Shanzi F",629,IF(Atletas!R202="Outra Arma Curta F",630, "")))))))))))))))))))))))))))))))</f>
        <v/>
      </c>
      <c r="CA211" s="50" t="str">
        <f>IF(Atletas!S202="","",IF(Atletas!X202&lt;&gt;"",10000,0)+IF(Atletas!B202="Feminino",1000,IF(Atletas!B202="Masculino",2000,""))+IF(Atletas!S202="Gun A",701,IF(Atletas!S202="Qiang A",702,IF(Atletas!S202="Pudao / Guandao A",703,IF(Atletas!S202="Outra Arma Longa A",704,IF(Atletas!S202="Gun B",705,IF(Atletas!S202="Qiang B",706,IF(Atletas!S202="Pudao / Guandao B",707,IF(Atletas!S202="Outra Arma Longa B",708,IF(Atletas!S202="Gun C",709,IF(Atletas!S202="Qiang C",710,IF(Atletas!S202="Pudao / Guandao C",711,IF(Atletas!S202="Outra Arma Longa C",712,IF(Atletas!S202="Gun D",713,IF(Atletas!S202="Qiang D",714,IF(Atletas!S202="Pudao / Guandao D",715,IF(Atletas!S202="Outra Arma Longa D",716,IF(Atletas!S202="Gun E",717,IF(Atletas!S202="Qiang E",718,IF(Atletas!S202="Pudao / Guandao E",719,IF(Atletas!S202="Outra Arma Longa E",720,IF(Atletas!S202="Gun F",721,IF(Atletas!S202="Qiang F",722,IF(Atletas!S202="Pudao / Guandao F",723,IF(Atletas!S202="Outra Arma Longa F",724,"")))))))))))))))))))))))))</f>
        <v/>
      </c>
      <c r="CB211" s="50" t="str">
        <f>IF(Atletas!T202="","",IF(Atletas!X202&lt;&gt;"",10000,0)+IF(Atletas!B202="Feminino",1000,IF(Atletas!B202="Masculino",2000,""))+IF(Atletas!T202="Outra Arma Dupla A",801,IF(Atletas!T202="Arma Maleável A",802,IF(Atletas!T202="Outra Arma Dupla B",803,IF(Atletas!T202="Arma Maleável B",804,IF(Atletas!T202="Outra Arma Dupla C",805,IF(Atletas!T202="Arma Maleável C",806,IF(Atletas!T202="Outra Arma Dupla D",807,IF(Atletas!T202="Arma Maleável D",808,IF(Atletas!T202="Outra Arma Dupla E",809,IF(Atletas!T202="Arma Maleável E",810,IF(Atletas!T202="Outra Arma Dupla F",811,IF(Atletas!T202="Arma Maleável F",812,IF(Atletas!T202="Shuangdao A",813,IF(Atletas!T202="Shuangdao B",814,IF(Atletas!T202="Shuangdao C",815,IF(Atletas!T202="Shuangdao D",816,IF(Atletas!T202="Shuangdao E",817,IF(Atletas!T202="Shuangdao F",818,"")))))))))))))))))))</f>
        <v/>
      </c>
      <c r="CC211" s="50" t="str">
        <f>IF(Atletas!U202="","",IF(Atletas!X202&lt;&gt;"",10000,0)+IF(Atletas!B202="Feminino",1000,IF(Atletas!B202="Masculino",2000,""))+IF(OR(Atletas!U202="Taijijian Yang A",Atletas!U202="Taijijian Yang Standard A"),901,IF(OR(Atletas!U202="Taijijian Chen A", Atletas!U202="Taijijian Chen Standard A"),902,IF(Atletas!U202="Taijijian Sun A",903,IF(Atletas!U202="Taijijian Wu A",904,IF(Atletas!U202="Taijijian Wu-Hao A",905,IF(OR(Atletas!U202="Taijijian 32 A",Atletas!U202="Taijijian 42 A"),906,IF(OR(Atletas!U202="Taijijian Yang B",Atletas!U202="Taijijian Yang Standard B"),907,IF(OR(Atletas!U202="Taijijian Chen B", Atletas!U202="Taijijian Chen Standard B"),908,IF(Atletas!U202="Taijijian Sun B",909,IF(Atletas!U202="Taijijian Wu B",910,IF(Atletas!U202="Taijijian Wu-Hao B",911,IF(OR(Atletas!U202="Taijijian 32 B",Atletas!U202="Taijijian 42 B"),912,IF(OR(Atletas!U202="Taijijian Yang C",Atletas!U202="Taijijian Yang Standard C"),913,IF(OR(Atletas!U202="Taijijian Chen C", Atletas!U202="Taijijian Chen Standard C"),914,IF(Atletas!U202="Taijijian Sun C",915,IF(Atletas!U202="Taijijian Wu C",916,IF(Atletas!U202="Taijijian Wu-Hao C",917,IF(OR(Atletas!U202="Taijijian 32 C",Atletas!U202="Taijijian 42 C"),918,IF(OR(Atletas!U202="Taijijian Yang D",Atletas!U202="Taijijian Yang Standard D"),919,IF(OR(Atletas!U202="Taijijian Chen D", Atletas!U202="Taijijian Chen Standard D"),920,IF(Atletas!U202="Taijijian Sun D",921,IF(Atletas!U202="Taijijian Wu D",922,IF(Atletas!U202="Taijijian Wu-Hao D",923,IF(OR(Atletas!U202="Taijijian 32 D",Atletas!U202="Taijijian 42 D"),924,IF(OR(Atletas!U202="Taijijian Yang E",Atletas!U202="Taijijian Yang Standard E"),925,IF(OR(Atletas!U202="Taijijian Chen E", Atletas!U202="Taijijian Chen Standard E"),926,IF(Atletas!U202="Taijijian Sun E",927,IF(Atletas!U202="Taijijian Wu E",928,IF(Atletas!U202="Taijijian Wu-Hao E",929,IF(OR(Atletas!U202="Taijijian 32 E",Atletas!U202="Taijijian 42 E"),930,IF(OR(Atletas!U202="Taijijian Yang F",Atletas!U202="Taijijian Yang Standard F"),931,IF(OR(Atletas!U202="Taijijian Chen F", Atletas!U202="Taijijian Chen Standard F"),932,IF(Atletas!U202="Taijijian Sun F",933,IF(Atletas!U202="Taijijian Wu F",934,IF(Atletas!U202="Taijijian Wu-Hao F",935,IF(OR(Atletas!U202="Taijijian 32 F",Atletas!U202="Taijijian 42 F"),936,"")))))))))))))))))))))))))))))))))))))</f>
        <v/>
      </c>
      <c r="CD211" s="50" t="str">
        <f>IF(Atletas!V202="","",IF(Atletas!X202&lt;&gt;"",10000,0)+IF(Atletas!B202="Feminino",1000,IF(Atletas!B202="Masculino",2000,""))+IF(Atletas!V202="Taijidao A",937,IF(Atletas!V202="TaijiShanzi A",938,IF(Atletas!V202="Taijiqiang A",939,IF(Atletas!V202="Bagua de Arma A",940,IF(Atletas!V202="Xingyi de Arma A",941,IF(Atletas!V202="Taijidao B",942,IF(Atletas!V202="TaijiShanzi B",943,IF(Atletas!V202="Taijiqiang B",944,IF(Atletas!V202="Bagua de Arma B",945,IF(Atletas!V202="Xingyi de Arma B",946,IF(Atletas!V202="Taijidao C",947,IF(Atletas!V202="TaijiShanzi C",948,IF(Atletas!V202="Taijiqiang C",949,IF(Atletas!V202="Bagua de Arma C",950,IF(Atletas!V202="Xingyi de Arma C",951,IF(Atletas!V202="Taijidao D",952,IF(Atletas!V202="TaijiShanzi D",953,IF(Atletas!V202="Taijiqiang D",954,IF(Atletas!V202="Bagua de Arma D",955,IF(Atletas!V202="Xingyi de Arma D",956,IF(Atletas!V202="Taijidao E",957,IF(Atletas!V202="TaijiShanzi E",958,IF(Atletas!V202="Taijiqiang E",959,IF(Atletas!V202="Bagua de Arma E",960,IF(Atletas!V202="Xingyi de Arma E",961,IF(Atletas!V202="Taijidao F",962,IF(Atletas!V202="TaijiShanzi F",963,IF(Atletas!V202="Taijiqiang F",964,IF(Atletas!V202="Bagua de Arma F",965,IF(Atletas!V202="Xingyi de Arma F",966,"")))))))))))))))))))))))))))))))</f>
        <v/>
      </c>
      <c r="CE211" s="66" t="str">
        <f>IF(CF211&lt;&gt;"","Xingyiquan A","")</f>
        <v/>
      </c>
      <c r="CF211" s="66" t="str">
        <f>IF(COUNTIF(BR:CD,1501)&gt;0,COUNTIF(BR:CD,1501),"")</f>
        <v/>
      </c>
      <c r="CG211" s="66" t="str">
        <f>IF(CH211&lt;&gt;"","Xingyiquan A","")</f>
        <v/>
      </c>
      <c r="CH211" s="66" t="str">
        <f>IF(COUNTIF(BR:CD,2501)&gt;0,COUNTIF(BR:CD,2501),"")</f>
        <v/>
      </c>
      <c r="CI211" s="66" t="str">
        <f>IF(CJ211&lt;&gt;"","Xingyiquan C","")</f>
        <v/>
      </c>
      <c r="CJ211" s="66" t="str">
        <f>IF(COUNTIF(BR:CD,11443)&gt;0,COUNTIF(BR:CD,11443),"")</f>
        <v/>
      </c>
      <c r="CK211" s="66" t="str">
        <f>IF(CL211&lt;&gt;"","Xingyiquan C","")</f>
        <v/>
      </c>
      <c r="CL211" s="66" t="str">
        <f>IF(COUNTIF(BR:CD,12443)&gt;0,COUNTIF(BR:CD,12443),"")</f>
        <v/>
      </c>
      <c r="CM211" s="50" t="str">
        <f xml:space="preserve"> IF(Atletas!W202="","",IF(Atletas!W202="Duilian de Mãos BC - Equipe 1",1,IF(Atletas!W202="Duilian de Mãos BC - Equipe 2",2,IF(Atletas!W202="Duilian de Armas BC - Equipe 1",3,IF(Atletas!W202="Duilian de Armas BC - Equipe 2",4,IF(Atletas!W202="Duilian de Mãos DE - Equipe 1",5,IF(Atletas!W202="Duilian de Mãos DE - Equipe 2",6,IF(Atletas!W202="Duilian de Armas DE - Equipe 1",7,IF(Atletas!W202="Duilian de Armas DE - Equipe 2",8,IF(Atletas!W202="Duilian de Tuishou - Equipe 1",9,IF(Atletas!W202="Duilian de Tuishou - Equipe 2",10,IF(Atletas!W202="Grupo Externo ABC - Equipe 1",11,IF(Atletas!W202="Grupo Externo ABC - Equipe 2",12,IF(Atletas!W202="Grupo Interno ABC - Equipe 1",13,IF(Atletas!W202="Grupo Interno ABC - Equipe 2",14,IF(Atletas!W202="Grupo Externo DEF - Equipe 1",15,IF(Atletas!W202="Grupo Externo DEF - Equipe 2",16,IF(Atletas!W202="Grupo Interno DEF - Equipe 1",17,IF(Atletas!W202="Grupo Interno DEF - Equipe 2",18,"")))))))))))))))))))</f>
        <v/>
      </c>
    </row>
    <row r="212" spans="2:91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 t="str">
        <f t="array" ref="Z212">IFERROR(INDEX(CE$7:CE$348,SMALL(IF(CE$7:CE$348&lt;&gt;"",ROW(CE$7:CE$348)-ROW(CE$7)+1),ROWS(CE$7:CE211))),"")</f>
        <v/>
      </c>
      <c r="AA212" s="3" t="str">
        <f t="array" ref="AA212">IFERROR(INDEX(CF$7:CF$348,SMALL(IF(CF$7:CF$348&lt;&gt;"",ROW(CF$7:CF$348)-ROW(CF$7)+1),ROWS(CF$7:CF211))),"")</f>
        <v/>
      </c>
      <c r="AB212" s="3" t="str">
        <f t="array" ref="AB212">IFERROR(INDEX(CG$7:CG$348,SMALL(IF(CG$7:CG$348&lt;&gt;"",ROW(CG$7:CG$348)-ROW(CG$7)+1),ROWS(CG$7:CG211))),"")</f>
        <v/>
      </c>
      <c r="AC212" s="3" t="str">
        <f t="array" ref="AC212">IFERROR(INDEX(CH$7:CH$348,SMALL(IF(CH$7:CH$348&lt;&gt;"",ROW(CH$7:CH$348)-ROW(CH$7)+1),ROWS(CH$7:CH211))),"")</f>
        <v/>
      </c>
      <c r="AD212" s="3" t="str">
        <f t="array" ref="AD212">IFERROR(INDEX(CI$7:CI$377,SMALL(IF(CI$7:CI$377&lt;&gt;"",ROW(CI$7:CI$377)-ROW(CI$7)+1),ROWS(CI$7:CI211))),"")</f>
        <v/>
      </c>
      <c r="AE212" s="3" t="str">
        <f t="array" ref="AE212">IFERROR(INDEX(CJ$7:CJ$378,SMALL(IF(CJ$7:CJ$378&lt;&gt;"",ROW(CJ$7:CJ$378)-ROW(CJ$7)+1),ROWS(CJ$7:CJ211))),"")</f>
        <v/>
      </c>
      <c r="AF212" s="3" t="str">
        <f t="array" ref="AF212">IFERROR(INDEX(CK$7:CK$378,SMALL(IF(CK$7:CK$378&lt;&gt;"",ROW(CK$7:CK$378)-ROW(CK$7)+1),ROWS(CK$7:CK211))),"")</f>
        <v/>
      </c>
      <c r="AG212" s="3" t="str">
        <f t="array" ref="AG212">IFERROR(INDEX(CL$7:CL$378,SMALL(IF(CL$7:CL$378&lt;&gt;"",ROW(CL$7:CL$378)-ROW(CL$7)+1),ROWS(CL$7:CL211))),"")</f>
        <v/>
      </c>
      <c r="AH212" s="3"/>
      <c r="AI212" s="3"/>
      <c r="AJ212" s="3"/>
      <c r="AK212" s="3"/>
      <c r="AL212" s="3"/>
      <c r="AM212" s="3"/>
      <c r="AN212" s="52" t="str">
        <f>IF(Atletas!D203="","",IF(Atletas!B203="Feminino",100,IF(Atletas!B203="Masculino",200,""))+(IF(Atletas!D203="Kids 30kg",1,IF(Atletas!D203="Kids 32kg",2, IF(Atletas!D203="Kids 34kg",3,IF(Atletas!D203="Kids 36kg",4,IF(Atletas!D203="Kids 39kg",5,IF(Atletas!D203="Kids 42kg",6,IF(Atletas!D203="Kids 45kg",7, IF(Atletas!D203="Infantil 39kg",8,IF(Atletas!D203="Infantil 42kg",9,IF(Atletas!D203="Infantil 45kg",10,IF(Atletas!D203="Infantil 48kg",11,IF(Atletas!D203="Infantil 52kg",12,IF(Atletas!D203="Infantil 56kg",13,IF(Atletas!D203="Infantil 60kg",14,IF(Atletas!D203="Juvenil 48kg",15,IF(Atletas!D203="Juvenil 52kg",16,IF(Atletas!D203="Juvenil 56kg",17,IF(Atletas!D203="Juvenil 60kg",18,IF(Atletas!D203="Juvenil 65kg",19,IF(Atletas!D203="Juvenil 70kg",20,IF(Atletas!D203="Juvenil 75kg",21,IF(Atletas!D203="Juvenil 80kg",22, IF(Atletas!D203="Juvenil 85kg",23,IF(Atletas!D203="Adulto 48kg",24,IF(Atletas!D203="Adulto 52kg",25,IF(Atletas!D203="Adulto 56kg",26,IF(Atletas!D203="Adulto 60kg",27,IF(Atletas!D203="Adulto 65kg",28,IF(Atletas!D203="Adulto 70kg",29,IF(Atletas!D203="Adulto 75kg",30,IF(Atletas!D203="Adulto 80kg",31,IF(Atletas!D203="Adulto 85kg",32,IF(Atletas!D203="Adulto 90kg",33,IF(Atletas!D203="Adulto 100kg",34, IF(Atletas!D203="Adulto +100kg",35,"")))))))))))))))))))))))))))))))))))))</f>
        <v/>
      </c>
      <c r="AS212" s="6" t="str">
        <f>IF(Atletas!E203="","",IF(Atletas!B203="Feminino",100,IF(Atletas!B203="Masculino",200,""))+(IF(Atletas!E203="Juvenil 44kg",1,IF(Atletas!E203="Juvenil 48kg",2,IF(Atletas!E203="Juvenil 52kg",3,IF(Atletas!E203="Juvenil 56kg",4,IF(Atletas!E203="Juvenil 60kg",5,IF(Atletas!E203="Juvenil 65kg",6,IF(Atletas!E203="Juvenil 70kg",7,IF(Atletas!E203="Juvenil 75kg",8,IF(Atletas!E203="Juvenil 82kg",9,IF(Atletas!E203="Juvenil 90kg",10,IF(Atletas!E203="Juvenil 100kg",11,IF(Atletas!E203="Adulto 48kg",12,IF(Atletas!E203="Adulto 52kg",13,IF(Atletas!E203="Adulto 56kg",14,IF(Atletas!E203="Adulto 60kg",15,IF(Atletas!E203="Adulto 65kg",16,IF(Atletas!E203="Adulto 70kg",17,IF(Atletas!E203="Adulto 75kg",18,IF(Atletas!E203="Adulto 82kg",19,IF(Atletas!E203="Adulto 90kg",20,IF(Atletas!E203="Adulto 100kg",21,IF(Atletas!E203="Adulto +100kg",22,""))))))))))))))))))))))))</f>
        <v/>
      </c>
      <c r="AX212" s="6" t="str">
        <f>IF(Atletas!F203="","",IF(Atletas!B203="Feminino",100,IF(Atletas!B203="Masculino",200,""))+(IF(Atletas!F203="Adulto 48kg",1,IF(Atletas!F203="Adulto 56kg",2,IF(Atletas!F203="Adulto 65kg",3,IF(Atletas!F203="Adulto 75kg",4,IF(Atletas!F203="Adulto +75kg",5,IF(Atletas!F203="Adulto 52kg",6,IF(Atletas!F203="Adulto 60kg",7,IF(Atletas!F203="Adulto 70kg",8,IF(Atletas!F203="Adulto 80kg",9,IF(Atletas!F203="Adulto 90kg",10,IF(Atletas!F203="Adulto +90kg",11,"")))))))))))))</f>
        <v/>
      </c>
      <c r="BC212" s="6" t="str">
        <f>IF(Atletas!G203="","",IF(Atletas!B203="Feminino",10,IF(Atletas!B203="Masculino",20,""))+(IF(Atletas!G203="Baduanjin A",1,IF(Atletas!G203="Baduanjin B",2))))</f>
        <v/>
      </c>
      <c r="BF212" s="52" t="str">
        <f>IF(Atletas!H203="","",IF(Atletas!B203="Feminino",100,IF(Atletas!B203="Masculino",200,""))+(IF(Atletas!H203="Changquan Mirim",1,IF(Atletas!H203="Nanquan Mirim",2,IF(Atletas!H203="Taijiquan Mirim",3,IF(Atletas!H203="Changquan Grupo C",4,IF(Atletas!H203="Nanquan Grupo C",5,IF(Atletas!H203="Taijiquan Grupo C",6,IF(Atletas!H203="Changquan Grupo B",7,IF(Atletas!H203="Nanquan Grupo B",8,IF(Atletas!H203="Taijiquan Grupo B",9,IF(Atletas!H203="Changquan Grupo A",10,IF(Atletas!H203="Nanquan Grupo A",11,IF(Atletas!H203="Taijiquan Grupo A",12,IF(Atletas!H203="Changquan Opcional",13,IF(Atletas!H203="Nanquan Opcional",14,IF(Atletas!H203="Taijiquan Opcional",15,IF(Atletas!H203="Changquan Adulto",16,IF(Atletas!H203="Nanquan Adulto",17,IF(Atletas!H203="Taijiquan Adulto",18,""))))))))))))))))))))</f>
        <v/>
      </c>
      <c r="BG212" s="52" t="str">
        <f>IF(Atletas!I203="","",IF(Atletas!B203="Feminino",100,IF(Atletas!B203="Masculino",200,""))+(IF(Atletas!I203="Daoshu Mirim",19,IF(Atletas!I203="Jianshu Mirim",20,IF(Atletas!I203="Nandao Mirim",21,IF(Atletas!I203="Taijijian Mirim",22,IF(Atletas!I203="Daoshu Grupo C",23,IF(Atletas!I203="Jianshu Grupo C",24,IF(Atletas!I203="Nandao Grupo C",25,IF(Atletas!I203="Taijijian Grupo C",26,IF(Atletas!I203="Daoshu Grupo B",27,IF(Atletas!I203="Jianshu Grupo B",28,IF(Atletas!I203="Nandao Grupo B",29,IF(Atletas!I203="Taijijian Grupo B",30,IF(Atletas!I203="Daoshu Grupo A",31,IF(Atletas!I203="Jianshu Grupo A",32,IF(Atletas!I203="Nandao Grupo A",33,IF(Atletas!I203="Taijijian Grupo A",34,IF(Atletas!I203="Daoshu Opcional",35,IF(Atletas!I203="Jianshu Opcional",36,IF(Atletas!I203="Nandao Opcional",37,IF(Atletas!I203="Taijijian Opcional",38,IF(Atletas!I203="Daoshu Adulto",39,IF(Atletas!I203="Jianshu Adulto",40,IF(Atletas!I203="Nandao Adulto",41,IF(Atletas!I203="Taijijian Adulto",42,""))))))))))))))))))))))))))</f>
        <v/>
      </c>
      <c r="BH212" s="52" t="str">
        <f>IF(Atletas!J203="","",IF(Atletas!B203="Feminino",100,IF(Atletas!B203="Masculino",200,""))+(IF(Atletas!J203="Gunshu Mirim",43,IF(Atletas!J203="Qiangshu Mirim",44,IF(Atletas!J203="Nangun Mirim",45,IF(Atletas!J203="Gunshu Grupo C",46,IF(Atletas!J203="Qiangshu Grupo C",47,IF(Atletas!J203="Nangun Grupo C",48,IF(Atletas!J203="Gunshu Grupo B",49,IF(Atletas!J203="Qiangshu Grupo B",50,IF(Atletas!J203="Nangun Grupo B",51,IF(Atletas!J203="Gunshu Grupo A",52,IF(Atletas!J203="Qiangshu Grupo A",53,IF(Atletas!J203="Nangun Grupo A",54,IF(Atletas!J203="Gunshu Opcional",55,IF(Atletas!J203="Qiangshu Opcional",56,IF(Atletas!J203="Nangun Opcional",57,IF(Atletas!J203="Gunshu Adulto",58,IF(Atletas!J203="Qiangshu Adulto",59,IF(Atletas!J203="Nangun Adulto",60,IF(Atletas!J203="Taijishan Grupo B",61,IF(Atletas!J203="Taijishan Grupo A",62,""))))))))))))))))))))))</f>
        <v/>
      </c>
      <c r="BM212" s="50" t="str">
        <f>IF(Atletas!K203="","",IF(Atletas!B203="Feminino",100,IF(Atletas!B203="Masculino",200,""))+(IF(Atletas!K203="Equipe 1 Grupo B",1,IF(Atletas!K203="Equipe 2 Grupo B",2,IF(Atletas!K203="Equipe 1 Grupo A",3,IF(Atletas!K203="Equipe 2 Grupo A",4,IF(Atletas!K203="Equipe 1 Adulto",5,IF(Atletas!K203="Equipe 2 Adulto",6,""))))))))</f>
        <v/>
      </c>
      <c r="BR212" s="50" t="str">
        <f>IF(Atletas!L203="","",IF(Atletas!X203&lt;&gt;"",10000,0)+(IF(Atletas!B203="Feminino",1000,IF(Atletas!B203="Masculino",2000,""))+IF(Atletas!L203="Choylayfut A",1,IF(Atletas!L203="Hunggar A",2,IF(Atletas!L203="Wuzuquan A",3,IF(Atletas!L203="Wingchun A",4,IF(Atletas!L203="Outra Mão de Sul A",5,IF(Atletas!L203="Choylayfut B",6,IF(Atletas!L203="Hunggar B",7,IF(Atletas!L203="Wuzuquan B",8,IF(Atletas!L203="Wingchun B",9,IF(Atletas!L203="Outra Mão de Sul B",10,IF(Atletas!L203="Choylayfut C",11,IF(Atletas!L203="Hunggar C",12,IF(Atletas!L203="Wuzuquan C",13,IF(Atletas!L203="Wingchun C",14,IF(Atletas!L203="Outra Mão de Sul C",15,IF(Atletas!L203="Choylayfut D",16,IF(Atletas!L203="Hunggar D",17,IF(Atletas!L203="Wuzuquan D",18,IF(Atletas!L203="Wingchun D",19,IF(Atletas!L203="Outra Mão de Sul D",20,IF(Atletas!L203="Choylayfut E",21,IF(Atletas!L203="Hunggar E",22,IF(Atletas!L203="Wuzuquan E",23,IF(Atletas!L203="Wingchun E",24,IF(Atletas!L203="Outra Mão de Sul E",25,IF(Atletas!L203="Choylayfut F",26,IF(Atletas!L203="Hunggar F",27,IF(Atletas!L203="Wuzuquan F",28,IF(Atletas!L203="Wingchun F",29,IF(Atletas!L203="Outra Mão de Sul F",30,IF(Atletas!L203="Dishuquan A",31,IF(Atletas!L203="Dishuquan B",32,IF(Atletas!L203="Dishuquan C",33,IF(Atletas!L203="Dishuquan D",34,IF(Atletas!L203="Dishuquan E",35,IF(Atletas!L203="Dishuquan F",36,""))))))))))))))))))))))))))))))))))))))</f>
        <v/>
      </c>
      <c r="BS212" s="50" t="str">
        <f>IF(Atletas!M203="","",IF(Atletas!X203&lt;&gt;"",10000,0)+(IF(Atletas!B203="Feminino",1000,IF(Atletas!B203="Masculino",2000,""))+(IF(Atletas!M203="Chaquan A",101,IF(Atletas!M203="Emeiquan A",102,IF(Atletas!M203="Fanziquan A",103,IF(Atletas!M203="Huaquan A",104,IF(Atletas!M203="Hongquan A",105,IF(Atletas!M203="Paoquan A",106,IF(Atletas!M203="Piguaquan A",107,IF(Atletas!M203="Shaolinquan A",108,IF(Atletas!M203="Tanglangquan A",109,IF(Atletas!M203="Yingzhaoquan A",110,IF(Atletas!M203="Tongbeiquan A",111,IF(Atletas!M203="Wudangquan A",112,IF(Atletas!M203="Outros Estilos A",113,IF(Atletas!M203="Chaquan B",114,IF(Atletas!M203="Emeiquan B",115,IF(Atletas!M203="Fanziquan B",116,IF(Atletas!M203="Huaquan B",117,IF(Atletas!M203="Hongquan B",118,IF(Atletas!M203="Paoquan B",119,IF(Atletas!M203="Piguaquan B",120,IF(Atletas!M203="Shaolinquan B",121,IF(Atletas!M203="Tanglangquan B",122,IF(Atletas!M203="Yingzhaoquan B",123,IF(Atletas!M203="Tongbeiquan B",124,IF(Atletas!M203="Wudangquan B",125,IF(Atletas!M203="Outros Estilos B",126,IF(Atletas!M203="Chaquan C",127,IF(Atletas!M203="Emeiquan C",128,IF(Atletas!M203="Fanziquan C",129,IF(Atletas!M203="Huaquan C",130,IF(Atletas!M203="Hongquan C",131,IF(Atletas!M203="Paoquan C",132,IF(Atletas!M203="Piguaquan C",133,IF(Atletas!M203="Shaolinquan C",134,IF(Atletas!M203="Tanglangquan C",135,IF(Atletas!M203="Yingzhaoquan C",136,IF(Atletas!M203="Tongbeiquan C",137,IF(Atletas!M203="Wudangquan C",138,IF(Atletas!M203="Outros Estilos C",139,0))))))))))))))))))))))))))))))))))))))))))</f>
        <v/>
      </c>
      <c r="BT212" s="50" t="str">
        <f>IF(Atletas!M203="","",IF(Atletas!X203&lt;&gt;"",10000,0)+(IF(Atletas!B203="Feminino",1000,IF(Atletas!B203="Masculino",2000,""))+(IF(Atletas!M203="Chaquan D",140,IF(Atletas!M203="Emeiquan D",141,IF(Atletas!M203="Fanziquan D",142,IF(Atletas!M203="Huaquan D",143,IF(Atletas!M203="Hongquan D",144,IF(Atletas!M203="Paoquan D",145,IF(Atletas!M203="Piguaquan D",146,IF(Atletas!M203="Shaolinquan D",147,IF(Atletas!M203="Tanglangquan D",148,IF(Atletas!M203="Yingzhaoquan D",149,IF(Atletas!M203="Tongbeiquan D",150,IF(Atletas!M203="Wudangquan D",151,IF(Atletas!M203="Outros Estilos D",152,IF(Atletas!M203="Chaquan E",153,IF(Atletas!M203="Emeiquan E",154,IF(Atletas!M203="Fanziquan E",155,IF(Atletas!M203="Huaquan E",156,IF(Atletas!M203="Hongquan E",157,IF(Atletas!M203="Paoquan E",158,IF(Atletas!M203="Piguaquan E",159,IF(Atletas!M203="Shaolinquan E",160,IF(Atletas!M203="Tanglangquan E",161,IF(Atletas!M203="Yingzhaoquan E",162,IF(Atletas!M203="Tongbeiquan E",163,IF(Atletas!M203="Wudangquan E",164,IF(Atletas!M203="Outros Estilos E",165,IF(Atletas!M203="Chaquan F",166,IF(Atletas!M203="Emeiquan F",167,IF(Atletas!M203="Fanziquan F",168,IF(Atletas!M203="Huaquan F",169,IF(Atletas!M203="Hongquan F",170,IF(Atletas!M203="Paoquan F",171,IF(Atletas!M203="Piguaquan F",172,IF(Atletas!M203="Shaolinquan F",173,IF(Atletas!M203="Tanglangquan F",174,IF(Atletas!M203="Yingzhaoquan F",175,IF(Atletas!M203="Tongbeiquan F",176,IF(Atletas!M203="Wudangquan F",177,IF(Atletas!M203="Outros Estilos F",178,0))))))))))))))))))))))))))))))))))))))))))</f>
        <v/>
      </c>
      <c r="BU212" s="50" t="str">
        <f>IF(Atletas!N203="","",IF(Atletas!X203&lt;&gt;"",10000,0)+(IF(Atletas!B203="Feminino",1000,IF(Atletas!B203="Masculino",2000,""))+(IF(Atletas!N203="Ditangquan A",201,IF(Atletas!N203="Houquan A",202,IF(Atletas!N203="Zuiquan A",203,IF(Atletas!N203="Ditangquan B",204,IF(Atletas!N203="Houquan B",205,IF(Atletas!N203="Zuiquan B",206,IF(Atletas!N203="Ditangquan C",207,IF(Atletas!N203="Houquan C",208,IF(Atletas!N203="Zuiquan C",209,IF(Atletas!N203="Ditangquan D",210,IF(Atletas!N203="Houquan D",211,IF(Atletas!N203="Zuiquan D",212,IF(Atletas!N203="Ditangquan E",213,IF(Atletas!N203="Houquan E",214,IF(Atletas!N203="Zuiquan E",215,IF(Atletas!N203="Ditangquan F",216,IF(Atletas!N203="Houquan F",217,IF(Atletas!N203="Zuiquan F",218,"")))))))))))))))))))))</f>
        <v/>
      </c>
      <c r="BV212" s="50" t="str">
        <f>IF(Atletas!O203="","",IF(Atletas!X203&lt;&gt;"",10000,0)+IF(Atletas!B203="Feminino",1000,IF(Atletas!B203="Masculino",2000,""))+IF(Atletas!O203="Yang A",301,IF(Atletas!O203="Chen A",302,IF(Atletas!O203="Sun A",303,IF(Atletas!O203="Wu A",304,IF(Atletas!O203="Wu-Hao A",305,IF(Atletas!O203="Outro Taijiquan A",306,IF(Atletas!O203="Yang B",307,IF(Atletas!O203="Chen B",308,IF(Atletas!O203="Sun B",309,IF(Atletas!O203="Wu B",310,IF(Atletas!O203="Wu-Hao B",311,IF(Atletas!O203="Outro Taijiquan B",312,IF(Atletas!O203="Yang C",313,IF(Atletas!O203="Chen C",314,IF(Atletas!O203="Sun C",315,IF(Atletas!O203="Wu C",316,IF(Atletas!O203="Wu-Hao C",317,IF(Atletas!O203="Outro Taijiquan C",318,IF(Atletas!O203="Yang D",319,IF(Atletas!O203="Chen D",320,IF(Atletas!O203="Sun D",321,IF(Atletas!O203="Wu D",322,IF(Atletas!O203="Wu-Hao D",323,IF(Atletas!O203="Outro Taijiquan D",324,IF(Atletas!O203="Yang E",325,IF(Atletas!O203="Chen E",326,IF(Atletas!O203="Sun E",327,IF(Atletas!O203="Wu E",328,IF(Atletas!O203="Wu-Hao E",329,IF(Atletas!O203="Outro Taijiquan E",330,IF(Atletas!O203="Yang F",331,IF(Atletas!O203="Chen F",332,IF(Atletas!O203="Sun F",333,IF(Atletas!O203="Wu F",334,IF(Atletas!O203="Wu-Hao F",335,IF(Atletas!O203="Outro Taijiquan F",336,"")))))))))))))))))))))))))))))))))))))</f>
        <v/>
      </c>
      <c r="BW212" s="50" t="str">
        <f>IF(Atletas!P203="","",IF(Atletas!X203&lt;&gt;"",10000,0)+IF(Atletas!B203="Feminino",1000,IF(Atletas!B203="Masculino",2000,""))+IF(OR(Atletas!P203="Yang 26 A",Atletas!P203="Yang 40 A"),401,IF(OR(Atletas!P203="Chen 25 A",Atletas!P203="Chen 36 A",Atletas!P203="Chen 56 A"),402,IF(Atletas!P203="Sun 73 A",403,IF(Atletas!P203="Wu 45 A",404,IF(Atletas!P203="Wu-Hao 46 A",405,IF(OR(Atletas!P203="Taijiquan 16 A",Atletas!P203="Taijiquan 24 A",Atletas!P203="Taijiquan 32 A",Atletas!P203="Taijiquan 42 A"),406,IF(OR(Atletas!P203="Yang 26 B",Atletas!P203="Yang 40 B"),407,IF(OR(Atletas!P203="Chen 25 B",Atletas!P203="Chen 36 B",Atletas!P203="Chen 56 B"),408,IF(Atletas!P203="Sun 73 B",409,IF(Atletas!P203="Wu 45 B",410,IF(Atletas!P203="Wu-Hao 46 B",411,IF(OR(Atletas!P203="Taijiquan 16 B",Atletas!P203="Taijiquan 24 B",Atletas!P203="Taijiquan 32 B",Atletas!P203="Taijiquan 42 B"),412,IF(OR(Atletas!P203="Yang 26 C",Atletas!P203="Yang 40 C"),413,IF(OR(Atletas!P203="Chen 25 C",Atletas!P203="Chen 36 C",Atletas!P203="Chen 56 C"),414,IF(Atletas!P203="Sun 73 C",415,IF(Atletas!P203="Wu 45 C",416,IF(Atletas!P203="Wu-Hao 46 C",417,IF(OR(Atletas!P203="Taijiquan 16 C",Atletas!P203="Taijiquan 24 C",Atletas!P203="Taijiquan 32 C",Atletas!P203="Taijiquan 42 C"),418,0)))))))))))))))))))</f>
        <v/>
      </c>
      <c r="BX212" s="50" t="str">
        <f>IF(Atletas!P203="","",IF(Atletas!X203&lt;&gt;"",10000,0)+IF(Atletas!B203="Feminino",1000,IF(Atletas!B203="Masculino",2000,""))+IF(OR(Atletas!P203="Yang 26 D",Atletas!P203="Yang 40 D"),419,IF(OR(Atletas!P203="Chen 25 D",Atletas!P203="Chen 36 D",Atletas!P203="Chen 56 D"),420,IF(Atletas!P203="Sun 73 D",421,IF(Atletas!P203="Wu 45 D",422,IF(Atletas!P203="Wu-Hao 46 D",423,IF(OR(Atletas!P203="Taijiquan 16 D",Atletas!P203="Taijiquan 24 D",Atletas!P203="Taijiquan 32 D",Atletas!P203="Taijiquan 42 D"),424,IF(OR(Atletas!P203="Yang 26 E",Atletas!P203="Yang 40 E"),425,IF(OR(Atletas!P203="Chen 25 E",Atletas!P203="Chen 36 E",Atletas!P203="Chen 56 E"),426,IF(Atletas!P203="Sun 73 E",427,IF(Atletas!P203="Wu 45 E",428,IF(Atletas!P203="Wu-Hao 46 E",429,IF(OR(Atletas!P203="Taijiquan 16 E",Atletas!P203="Taijiquan 24 E",Atletas!P203="Taijiquan 32 E",Atletas!P203="Taijiquan 42 E"),430,IF(OR(Atletas!P203="Yang 26 F",Atletas!P203="Yang 40 F"),431,IF(OR(Atletas!P203="Chen 25 F",Atletas!P203="Chen 36 F",Atletas!P203="Chen 56 F"),432,IF(Atletas!P203="Sun 73 F",433,IF(Atletas!P203="Wu 45 F",434,IF(Atletas!P203="Wu-Hao 46 F",435,IF(OR(Atletas!P203="Taijiquan 16 F",Atletas!P203="Taijiquan 24 F",Atletas!P203="Taijiquan 32 F",Atletas!P203="Taijiquan 42 F"),436,0)))))))))))))))))))</f>
        <v/>
      </c>
      <c r="BY212" s="50" t="str">
        <f>IF(Atletas!Q203="","",IF(Atletas!X203&lt;&gt;"",10000,0)+IF(Atletas!B203="Feminino",1000,IF(Atletas!B203="Masculino",2000,""))+IF(Atletas!Q203="Xingyiquan A",501,IF(Atletas!Q203="Baguazhang A",502,IF(Atletas!Q203="Outro Estilo Interno A",503,IF(Atletas!Q203="Xingyiquan B",504,IF(Atletas!Q203="Baguazhang B",505,IF(Atletas!Q203="Outro Estilo Interno B",506,IF(Atletas!Q203="Xingyiquan C",507,IF(Atletas!Q203="Baguazhang C",508,IF(Atletas!Q203="Outro Estilo Interno C",509,IF(Atletas!Q203="Xingyiquan D",510,IF(Atletas!Q203="Baguazhang D",511,IF(Atletas!Q203="Outro Estilo Interno D",512,IF(Atletas!Q203="Xingyiquan E",513,IF(Atletas!Q203="Baguazhang E",514,IF(Atletas!Q203="Outro Estilo Interno E",515,IF(Atletas!Q203="Xingyiquan F",516,IF(Atletas!Q203="Baguazhang F",517,IF(Atletas!Q203="Outro Estilo Interno F",518, "")))))))))))))))))))</f>
        <v/>
      </c>
      <c r="BZ212" s="50" t="str">
        <f>IF(Atletas!R203="","",IF(Atletas!X203&lt;&gt;"",10000,0)+IF(Atletas!B203="Feminino",1000,IF(Atletas!B203="Masculino",2000,""))+IF(Atletas!R203="Dao A",601,IF(Atletas!R203="Jian A",602,IF(Atletas!R203="Bishou A",603,IF(Atletas!R203="Shanzi A",604,IF(Atletas!R203="Outra Arma Curta A",605,IF(Atletas!R203="Dao B",606,IF(Atletas!R203="Jian B",607,IF(Atletas!R203="Bishou B",608,IF(Atletas!R203="Shanzi B",609,IF(Atletas!R203="Outra Arma Curta B",610,IF(Atletas!R203="Dao C",611,IF(Atletas!R203="Jian C",612,IF(Atletas!R203="Bishou C",613,IF(Atletas!R203="Shanzi C",614,IF(Atletas!R203="Outra Arma Curta C",615,IF(Atletas!R203="Dao D",616,IF(Atletas!R203="Jian D",617,IF(Atletas!R203="Bishou D",618,IF(Atletas!R203="Shanzi D",619,IF(Atletas!R203="Outra Arma Curta D",620,IF(Atletas!R203="Dao E",621,IF(Atletas!R203="Jian E",622,IF(Atletas!R203="Bishou E",623,IF(Atletas!R203="Shanzi E",624,IF(Atletas!R203="Outra Arma Curta E",625,IF(Atletas!R203="Dao F",626,IF(Atletas!R203="Jian F",627,IF(Atletas!R203="Bishou F",628,IF(Atletas!R203="Shanzi F",629,IF(Atletas!R203="Outra Arma Curta F",630, "")))))))))))))))))))))))))))))))</f>
        <v/>
      </c>
      <c r="CA212" s="50" t="str">
        <f>IF(Atletas!S203="","",IF(Atletas!X203&lt;&gt;"",10000,0)+IF(Atletas!B203="Feminino",1000,IF(Atletas!B203="Masculino",2000,""))+IF(Atletas!S203="Gun A",701,IF(Atletas!S203="Qiang A",702,IF(Atletas!S203="Pudao / Guandao A",703,IF(Atletas!S203="Outra Arma Longa A",704,IF(Atletas!S203="Gun B",705,IF(Atletas!S203="Qiang B",706,IF(Atletas!S203="Pudao / Guandao B",707,IF(Atletas!S203="Outra Arma Longa B",708,IF(Atletas!S203="Gun C",709,IF(Atletas!S203="Qiang C",710,IF(Atletas!S203="Pudao / Guandao C",711,IF(Atletas!S203="Outra Arma Longa C",712,IF(Atletas!S203="Gun D",713,IF(Atletas!S203="Qiang D",714,IF(Atletas!S203="Pudao / Guandao D",715,IF(Atletas!S203="Outra Arma Longa D",716,IF(Atletas!S203="Gun E",717,IF(Atletas!S203="Qiang E",718,IF(Atletas!S203="Pudao / Guandao E",719,IF(Atletas!S203="Outra Arma Longa E",720,IF(Atletas!S203="Gun F",721,IF(Atletas!S203="Qiang F",722,IF(Atletas!S203="Pudao / Guandao F",723,IF(Atletas!S203="Outra Arma Longa F",724,"")))))))))))))))))))))))))</f>
        <v/>
      </c>
      <c r="CB212" s="50" t="str">
        <f>IF(Atletas!T203="","",IF(Atletas!X203&lt;&gt;"",10000,0)+IF(Atletas!B203="Feminino",1000,IF(Atletas!B203="Masculino",2000,""))+IF(Atletas!T203="Outra Arma Dupla A",801,IF(Atletas!T203="Arma Maleável A",802,IF(Atletas!T203="Outra Arma Dupla B",803,IF(Atletas!T203="Arma Maleável B",804,IF(Atletas!T203="Outra Arma Dupla C",805,IF(Atletas!T203="Arma Maleável C",806,IF(Atletas!T203="Outra Arma Dupla D",807,IF(Atletas!T203="Arma Maleável D",808,IF(Atletas!T203="Outra Arma Dupla E",809,IF(Atletas!T203="Arma Maleável E",810,IF(Atletas!T203="Outra Arma Dupla F",811,IF(Atletas!T203="Arma Maleável F",812,IF(Atletas!T203="Shuangdao A",813,IF(Atletas!T203="Shuangdao B",814,IF(Atletas!T203="Shuangdao C",815,IF(Atletas!T203="Shuangdao D",816,IF(Atletas!T203="Shuangdao E",817,IF(Atletas!T203="Shuangdao F",818,"")))))))))))))))))))</f>
        <v/>
      </c>
      <c r="CC212" s="50" t="str">
        <f>IF(Atletas!U203="","",IF(Atletas!X203&lt;&gt;"",10000,0)+IF(Atletas!B203="Feminino",1000,IF(Atletas!B203="Masculino",2000,""))+IF(OR(Atletas!U203="Taijijian Yang A",Atletas!U203="Taijijian Yang Standard A"),901,IF(OR(Atletas!U203="Taijijian Chen A", Atletas!U203="Taijijian Chen Standard A"),902,IF(Atletas!U203="Taijijian Sun A",903,IF(Atletas!U203="Taijijian Wu A",904,IF(Atletas!U203="Taijijian Wu-Hao A",905,IF(OR(Atletas!U203="Taijijian 32 A",Atletas!U203="Taijijian 42 A"),906,IF(OR(Atletas!U203="Taijijian Yang B",Atletas!U203="Taijijian Yang Standard B"),907,IF(OR(Atletas!U203="Taijijian Chen B", Atletas!U203="Taijijian Chen Standard B"),908,IF(Atletas!U203="Taijijian Sun B",909,IF(Atletas!U203="Taijijian Wu B",910,IF(Atletas!U203="Taijijian Wu-Hao B",911,IF(OR(Atletas!U203="Taijijian 32 B",Atletas!U203="Taijijian 42 B"),912,IF(OR(Atletas!U203="Taijijian Yang C",Atletas!U203="Taijijian Yang Standard C"),913,IF(OR(Atletas!U203="Taijijian Chen C", Atletas!U203="Taijijian Chen Standard C"),914,IF(Atletas!U203="Taijijian Sun C",915,IF(Atletas!U203="Taijijian Wu C",916,IF(Atletas!U203="Taijijian Wu-Hao C",917,IF(OR(Atletas!U203="Taijijian 32 C",Atletas!U203="Taijijian 42 C"),918,IF(OR(Atletas!U203="Taijijian Yang D",Atletas!U203="Taijijian Yang Standard D"),919,IF(OR(Atletas!U203="Taijijian Chen D", Atletas!U203="Taijijian Chen Standard D"),920,IF(Atletas!U203="Taijijian Sun D",921,IF(Atletas!U203="Taijijian Wu D",922,IF(Atletas!U203="Taijijian Wu-Hao D",923,IF(OR(Atletas!U203="Taijijian 32 D",Atletas!U203="Taijijian 42 D"),924,IF(OR(Atletas!U203="Taijijian Yang E",Atletas!U203="Taijijian Yang Standard E"),925,IF(OR(Atletas!U203="Taijijian Chen E", Atletas!U203="Taijijian Chen Standard E"),926,IF(Atletas!U203="Taijijian Sun E",927,IF(Atletas!U203="Taijijian Wu E",928,IF(Atletas!U203="Taijijian Wu-Hao E",929,IF(OR(Atletas!U203="Taijijian 32 E",Atletas!U203="Taijijian 42 E"),930,IF(OR(Atletas!U203="Taijijian Yang F",Atletas!U203="Taijijian Yang Standard F"),931,IF(OR(Atletas!U203="Taijijian Chen F", Atletas!U203="Taijijian Chen Standard F"),932,IF(Atletas!U203="Taijijian Sun F",933,IF(Atletas!U203="Taijijian Wu F",934,IF(Atletas!U203="Taijijian Wu-Hao F",935,IF(OR(Atletas!U203="Taijijian 32 F",Atletas!U203="Taijijian 42 F"),936,"")))))))))))))))))))))))))))))))))))))</f>
        <v/>
      </c>
      <c r="CD212" s="50" t="str">
        <f>IF(Atletas!V203="","",IF(Atletas!X203&lt;&gt;"",10000,0)+IF(Atletas!B203="Feminino",1000,IF(Atletas!B203="Masculino",2000,""))+IF(Atletas!V203="Taijidao A",937,IF(Atletas!V203="TaijiShanzi A",938,IF(Atletas!V203="Taijiqiang A",939,IF(Atletas!V203="Bagua de Arma A",940,IF(Atletas!V203="Xingyi de Arma A",941,IF(Atletas!V203="Taijidao B",942,IF(Atletas!V203="TaijiShanzi B",943,IF(Atletas!V203="Taijiqiang B",944,IF(Atletas!V203="Bagua de Arma B",945,IF(Atletas!V203="Xingyi de Arma B",946,IF(Atletas!V203="Taijidao C",947,IF(Atletas!V203="TaijiShanzi C",948,IF(Atletas!V203="Taijiqiang C",949,IF(Atletas!V203="Bagua de Arma C",950,IF(Atletas!V203="Xingyi de Arma C",951,IF(Atletas!V203="Taijidao D",952,IF(Atletas!V203="TaijiShanzi D",953,IF(Atletas!V203="Taijiqiang D",954,IF(Atletas!V203="Bagua de Arma D",955,IF(Atletas!V203="Xingyi de Arma D",956,IF(Atletas!V203="Taijidao E",957,IF(Atletas!V203="TaijiShanzi E",958,IF(Atletas!V203="Taijiqiang E",959,IF(Atletas!V203="Bagua de Arma E",960,IF(Atletas!V203="Xingyi de Arma E",961,IF(Atletas!V203="Taijidao F",962,IF(Atletas!V203="TaijiShanzi F",963,IF(Atletas!V203="Taijiqiang F",964,IF(Atletas!V203="Bagua de Arma F",965,IF(Atletas!V203="Xingyi de Arma F",966,"")))))))))))))))))))))))))))))))</f>
        <v/>
      </c>
      <c r="CE212" s="66" t="str">
        <f>IF(CF212&lt;&gt;"","Baguazhang A ","")</f>
        <v/>
      </c>
      <c r="CF212" s="66" t="str">
        <f>IF(COUNTIF(BR:CD,1502)&gt;0,COUNTIF(BR:CD,1502),"")</f>
        <v/>
      </c>
      <c r="CG212" s="66" t="str">
        <f>IF(CH212&lt;&gt;"","Baguazhang A ","")</f>
        <v/>
      </c>
      <c r="CH212" s="66" t="str">
        <f>IF(COUNTIF(BR:CD,2502)&gt;0,COUNTIF(BR:CD,2502),"")</f>
        <v/>
      </c>
      <c r="CI212" s="66" t="str">
        <f>IF(CJ212&lt;&gt;"","Baguazhang C ","")</f>
        <v/>
      </c>
      <c r="CJ212" s="66" t="str">
        <f>IF(COUNTIF(BR:CD,11444)&gt;0,COUNTIF(BR:CD,11444),"")</f>
        <v/>
      </c>
      <c r="CK212" s="66" t="str">
        <f>IF(CL212&lt;&gt;"","Baguazhang C ","")</f>
        <v/>
      </c>
      <c r="CL212" s="66" t="str">
        <f>IF(COUNTIF(BR:CD,12444)&gt;0,COUNTIF(BR:CD,12444),"")</f>
        <v/>
      </c>
      <c r="CM212" s="50" t="str">
        <f xml:space="preserve"> IF(Atletas!W203="","",IF(Atletas!W203="Duilian de Mãos BC - Equipe 1",1,IF(Atletas!W203="Duilian de Mãos BC - Equipe 2",2,IF(Atletas!W203="Duilian de Armas BC - Equipe 1",3,IF(Atletas!W203="Duilian de Armas BC - Equipe 2",4,IF(Atletas!W203="Duilian de Mãos DE - Equipe 1",5,IF(Atletas!W203="Duilian de Mãos DE - Equipe 2",6,IF(Atletas!W203="Duilian de Armas DE - Equipe 1",7,IF(Atletas!W203="Duilian de Armas DE - Equipe 2",8,IF(Atletas!W203="Duilian de Tuishou - Equipe 1",9,IF(Atletas!W203="Duilian de Tuishou - Equipe 2",10,IF(Atletas!W203="Grupo Externo ABC - Equipe 1",11,IF(Atletas!W203="Grupo Externo ABC - Equipe 2",12,IF(Atletas!W203="Grupo Interno ABC - Equipe 1",13,IF(Atletas!W203="Grupo Interno ABC - Equipe 2",14,IF(Atletas!W203="Grupo Externo DEF - Equipe 1",15,IF(Atletas!W203="Grupo Externo DEF - Equipe 2",16,IF(Atletas!W203="Grupo Interno DEF - Equipe 1",17,IF(Atletas!W203="Grupo Interno DEF - Equipe 2",18,"")))))))))))))))))))</f>
        <v/>
      </c>
    </row>
    <row r="213" spans="2:91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 t="str">
        <f t="array" ref="Z213">IFERROR(INDEX(CE$7:CE$348,SMALL(IF(CE$7:CE$348&lt;&gt;"",ROW(CE$7:CE$348)-ROW(CE$7)+1),ROWS(CE$7:CE212))),"")</f>
        <v/>
      </c>
      <c r="AA213" s="3" t="str">
        <f t="array" ref="AA213">IFERROR(INDEX(CF$7:CF$348,SMALL(IF(CF$7:CF$348&lt;&gt;"",ROW(CF$7:CF$348)-ROW(CF$7)+1),ROWS(CF$7:CF212))),"")</f>
        <v/>
      </c>
      <c r="AB213" s="3" t="str">
        <f t="array" ref="AB213">IFERROR(INDEX(CG$7:CG$348,SMALL(IF(CG$7:CG$348&lt;&gt;"",ROW(CG$7:CG$348)-ROW(CG$7)+1),ROWS(CG$7:CG212))),"")</f>
        <v/>
      </c>
      <c r="AC213" s="3" t="str">
        <f t="array" ref="AC213">IFERROR(INDEX(CH$7:CH$348,SMALL(IF(CH$7:CH$348&lt;&gt;"",ROW(CH$7:CH$348)-ROW(CH$7)+1),ROWS(CH$7:CH212))),"")</f>
        <v/>
      </c>
      <c r="AD213" s="3" t="str">
        <f t="array" ref="AD213">IFERROR(INDEX(CI$7:CI$377,SMALL(IF(CI$7:CI$377&lt;&gt;"",ROW(CI$7:CI$377)-ROW(CI$7)+1),ROWS(CI$7:CI212))),"")</f>
        <v/>
      </c>
      <c r="AE213" s="3" t="str">
        <f t="array" ref="AE213">IFERROR(INDEX(CJ$7:CJ$378,SMALL(IF(CJ$7:CJ$378&lt;&gt;"",ROW(CJ$7:CJ$378)-ROW(CJ$7)+1),ROWS(CJ$7:CJ212))),"")</f>
        <v/>
      </c>
      <c r="AF213" s="3" t="str">
        <f t="array" ref="AF213">IFERROR(INDEX(CK$7:CK$378,SMALL(IF(CK$7:CK$378&lt;&gt;"",ROW(CK$7:CK$378)-ROW(CK$7)+1),ROWS(CK$7:CK212))),"")</f>
        <v/>
      </c>
      <c r="AG213" s="3" t="str">
        <f t="array" ref="AG213">IFERROR(INDEX(CL$7:CL$378,SMALL(IF(CL$7:CL$378&lt;&gt;"",ROW(CL$7:CL$378)-ROW(CL$7)+1),ROWS(CL$7:CL212))),"")</f>
        <v/>
      </c>
      <c r="AH213" s="3"/>
      <c r="AI213" s="3"/>
      <c r="AJ213" s="3"/>
      <c r="AK213" s="3"/>
      <c r="AL213" s="3"/>
      <c r="AM213" s="3"/>
      <c r="AN213" s="52" t="str">
        <f>IF(Atletas!D204="","",IF(Atletas!B204="Feminino",100,IF(Atletas!B204="Masculino",200,""))+(IF(Atletas!D204="Kids 30kg",1,IF(Atletas!D204="Kids 32kg",2, IF(Atletas!D204="Kids 34kg",3,IF(Atletas!D204="Kids 36kg",4,IF(Atletas!D204="Kids 39kg",5,IF(Atletas!D204="Kids 42kg",6,IF(Atletas!D204="Kids 45kg",7, IF(Atletas!D204="Infantil 39kg",8,IF(Atletas!D204="Infantil 42kg",9,IF(Atletas!D204="Infantil 45kg",10,IF(Atletas!D204="Infantil 48kg",11,IF(Atletas!D204="Infantil 52kg",12,IF(Atletas!D204="Infantil 56kg",13,IF(Atletas!D204="Infantil 60kg",14,IF(Atletas!D204="Juvenil 48kg",15,IF(Atletas!D204="Juvenil 52kg",16,IF(Atletas!D204="Juvenil 56kg",17,IF(Atletas!D204="Juvenil 60kg",18,IF(Atletas!D204="Juvenil 65kg",19,IF(Atletas!D204="Juvenil 70kg",20,IF(Atletas!D204="Juvenil 75kg",21,IF(Atletas!D204="Juvenil 80kg",22, IF(Atletas!D204="Juvenil 85kg",23,IF(Atletas!D204="Adulto 48kg",24,IF(Atletas!D204="Adulto 52kg",25,IF(Atletas!D204="Adulto 56kg",26,IF(Atletas!D204="Adulto 60kg",27,IF(Atletas!D204="Adulto 65kg",28,IF(Atletas!D204="Adulto 70kg",29,IF(Atletas!D204="Adulto 75kg",30,IF(Atletas!D204="Adulto 80kg",31,IF(Atletas!D204="Adulto 85kg",32,IF(Atletas!D204="Adulto 90kg",33,IF(Atletas!D204="Adulto 100kg",34, IF(Atletas!D204="Adulto +100kg",35,"")))))))))))))))))))))))))))))))))))))</f>
        <v/>
      </c>
      <c r="AS213" s="6" t="str">
        <f>IF(Atletas!E204="","",IF(Atletas!B204="Feminino",100,IF(Atletas!B204="Masculino",200,""))+(IF(Atletas!E204="Juvenil 44kg",1,IF(Atletas!E204="Juvenil 48kg",2,IF(Atletas!E204="Juvenil 52kg",3,IF(Atletas!E204="Juvenil 56kg",4,IF(Atletas!E204="Juvenil 60kg",5,IF(Atletas!E204="Juvenil 65kg",6,IF(Atletas!E204="Juvenil 70kg",7,IF(Atletas!E204="Juvenil 75kg",8,IF(Atletas!E204="Juvenil 82kg",9,IF(Atletas!E204="Juvenil 90kg",10,IF(Atletas!E204="Juvenil 100kg",11,IF(Atletas!E204="Adulto 48kg",12,IF(Atletas!E204="Adulto 52kg",13,IF(Atletas!E204="Adulto 56kg",14,IF(Atletas!E204="Adulto 60kg",15,IF(Atletas!E204="Adulto 65kg",16,IF(Atletas!E204="Adulto 70kg",17,IF(Atletas!E204="Adulto 75kg",18,IF(Atletas!E204="Adulto 82kg",19,IF(Atletas!E204="Adulto 90kg",20,IF(Atletas!E204="Adulto 100kg",21,IF(Atletas!E204="Adulto +100kg",22,""))))))))))))))))))))))))</f>
        <v/>
      </c>
      <c r="AX213" s="6" t="str">
        <f>IF(Atletas!F204="","",IF(Atletas!B204="Feminino",100,IF(Atletas!B204="Masculino",200,""))+(IF(Atletas!F204="Adulto 48kg",1,IF(Atletas!F204="Adulto 56kg",2,IF(Atletas!F204="Adulto 65kg",3,IF(Atletas!F204="Adulto 75kg",4,IF(Atletas!F204="Adulto +75kg",5,IF(Atletas!F204="Adulto 52kg",6,IF(Atletas!F204="Adulto 60kg",7,IF(Atletas!F204="Adulto 70kg",8,IF(Atletas!F204="Adulto 80kg",9,IF(Atletas!F204="Adulto 90kg",10,IF(Atletas!F204="Adulto +90kg",11,"")))))))))))))</f>
        <v/>
      </c>
      <c r="BC213" s="6" t="str">
        <f>IF(Atletas!G204="","",IF(Atletas!B204="Feminino",10,IF(Atletas!B204="Masculino",20,""))+(IF(Atletas!G204="Baduanjin A",1,IF(Atletas!G204="Baduanjin B",2))))</f>
        <v/>
      </c>
      <c r="BF213" s="52" t="str">
        <f>IF(Atletas!H204="","",IF(Atletas!B204="Feminino",100,IF(Atletas!B204="Masculino",200,""))+(IF(Atletas!H204="Changquan Mirim",1,IF(Atletas!H204="Nanquan Mirim",2,IF(Atletas!H204="Taijiquan Mirim",3,IF(Atletas!H204="Changquan Grupo C",4,IF(Atletas!H204="Nanquan Grupo C",5,IF(Atletas!H204="Taijiquan Grupo C",6,IF(Atletas!H204="Changquan Grupo B",7,IF(Atletas!H204="Nanquan Grupo B",8,IF(Atletas!H204="Taijiquan Grupo B",9,IF(Atletas!H204="Changquan Grupo A",10,IF(Atletas!H204="Nanquan Grupo A",11,IF(Atletas!H204="Taijiquan Grupo A",12,IF(Atletas!H204="Changquan Opcional",13,IF(Atletas!H204="Nanquan Opcional",14,IF(Atletas!H204="Taijiquan Opcional",15,IF(Atletas!H204="Changquan Adulto",16,IF(Atletas!H204="Nanquan Adulto",17,IF(Atletas!H204="Taijiquan Adulto",18,""))))))))))))))))))))</f>
        <v/>
      </c>
      <c r="BG213" s="52" t="str">
        <f>IF(Atletas!I204="","",IF(Atletas!B204="Feminino",100,IF(Atletas!B204="Masculino",200,""))+(IF(Atletas!I204="Daoshu Mirim",19,IF(Atletas!I204="Jianshu Mirim",20,IF(Atletas!I204="Nandao Mirim",21,IF(Atletas!I204="Taijijian Mirim",22,IF(Atletas!I204="Daoshu Grupo C",23,IF(Atletas!I204="Jianshu Grupo C",24,IF(Atletas!I204="Nandao Grupo C",25,IF(Atletas!I204="Taijijian Grupo C",26,IF(Atletas!I204="Daoshu Grupo B",27,IF(Atletas!I204="Jianshu Grupo B",28,IF(Atletas!I204="Nandao Grupo B",29,IF(Atletas!I204="Taijijian Grupo B",30,IF(Atletas!I204="Daoshu Grupo A",31,IF(Atletas!I204="Jianshu Grupo A",32,IF(Atletas!I204="Nandao Grupo A",33,IF(Atletas!I204="Taijijian Grupo A",34,IF(Atletas!I204="Daoshu Opcional",35,IF(Atletas!I204="Jianshu Opcional",36,IF(Atletas!I204="Nandao Opcional",37,IF(Atletas!I204="Taijijian Opcional",38,IF(Atletas!I204="Daoshu Adulto",39,IF(Atletas!I204="Jianshu Adulto",40,IF(Atletas!I204="Nandao Adulto",41,IF(Atletas!I204="Taijijian Adulto",42,""))))))))))))))))))))))))))</f>
        <v/>
      </c>
      <c r="BH213" s="52" t="str">
        <f>IF(Atletas!J204="","",IF(Atletas!B204="Feminino",100,IF(Atletas!B204="Masculino",200,""))+(IF(Atletas!J204="Gunshu Mirim",43,IF(Atletas!J204="Qiangshu Mirim",44,IF(Atletas!J204="Nangun Mirim",45,IF(Atletas!J204="Gunshu Grupo C",46,IF(Atletas!J204="Qiangshu Grupo C",47,IF(Atletas!J204="Nangun Grupo C",48,IF(Atletas!J204="Gunshu Grupo B",49,IF(Atletas!J204="Qiangshu Grupo B",50,IF(Atletas!J204="Nangun Grupo B",51,IF(Atletas!J204="Gunshu Grupo A",52,IF(Atletas!J204="Qiangshu Grupo A",53,IF(Atletas!J204="Nangun Grupo A",54,IF(Atletas!J204="Gunshu Opcional",55,IF(Atletas!J204="Qiangshu Opcional",56,IF(Atletas!J204="Nangun Opcional",57,IF(Atletas!J204="Gunshu Adulto",58,IF(Atletas!J204="Qiangshu Adulto",59,IF(Atletas!J204="Nangun Adulto",60,IF(Atletas!J204="Taijishan Grupo B",61,IF(Atletas!J204="Taijishan Grupo A",62,""))))))))))))))))))))))</f>
        <v/>
      </c>
      <c r="BM213" s="50" t="str">
        <f>IF(Atletas!K204="","",IF(Atletas!B204="Feminino",100,IF(Atletas!B204="Masculino",200,""))+(IF(Atletas!K204="Equipe 1 Grupo B",1,IF(Atletas!K204="Equipe 2 Grupo B",2,IF(Atletas!K204="Equipe 1 Grupo A",3,IF(Atletas!K204="Equipe 2 Grupo A",4,IF(Atletas!K204="Equipe 1 Adulto",5,IF(Atletas!K204="Equipe 2 Adulto",6,""))))))))</f>
        <v/>
      </c>
      <c r="BR213" s="50" t="str">
        <f>IF(Atletas!L204="","",IF(Atletas!X204&lt;&gt;"",10000,0)+(IF(Atletas!B204="Feminino",1000,IF(Atletas!B204="Masculino",2000,""))+IF(Atletas!L204="Choylayfut A",1,IF(Atletas!L204="Hunggar A",2,IF(Atletas!L204="Wuzuquan A",3,IF(Atletas!L204="Wingchun A",4,IF(Atletas!L204="Outra Mão de Sul A",5,IF(Atletas!L204="Choylayfut B",6,IF(Atletas!L204="Hunggar B",7,IF(Atletas!L204="Wuzuquan B",8,IF(Atletas!L204="Wingchun B",9,IF(Atletas!L204="Outra Mão de Sul B",10,IF(Atletas!L204="Choylayfut C",11,IF(Atletas!L204="Hunggar C",12,IF(Atletas!L204="Wuzuquan C",13,IF(Atletas!L204="Wingchun C",14,IF(Atletas!L204="Outra Mão de Sul C",15,IF(Atletas!L204="Choylayfut D",16,IF(Atletas!L204="Hunggar D",17,IF(Atletas!L204="Wuzuquan D",18,IF(Atletas!L204="Wingchun D",19,IF(Atletas!L204="Outra Mão de Sul D",20,IF(Atletas!L204="Choylayfut E",21,IF(Atletas!L204="Hunggar E",22,IF(Atletas!L204="Wuzuquan E",23,IF(Atletas!L204="Wingchun E",24,IF(Atletas!L204="Outra Mão de Sul E",25,IF(Atletas!L204="Choylayfut F",26,IF(Atletas!L204="Hunggar F",27,IF(Atletas!L204="Wuzuquan F",28,IF(Atletas!L204="Wingchun F",29,IF(Atletas!L204="Outra Mão de Sul F",30,IF(Atletas!L204="Dishuquan A",31,IF(Atletas!L204="Dishuquan B",32,IF(Atletas!L204="Dishuquan C",33,IF(Atletas!L204="Dishuquan D",34,IF(Atletas!L204="Dishuquan E",35,IF(Atletas!L204="Dishuquan F",36,""))))))))))))))))))))))))))))))))))))))</f>
        <v/>
      </c>
      <c r="BS213" s="50" t="str">
        <f>IF(Atletas!M204="","",IF(Atletas!X204&lt;&gt;"",10000,0)+(IF(Atletas!B204="Feminino",1000,IF(Atletas!B204="Masculino",2000,""))+(IF(Atletas!M204="Chaquan A",101,IF(Atletas!M204="Emeiquan A",102,IF(Atletas!M204="Fanziquan A",103,IF(Atletas!M204="Huaquan A",104,IF(Atletas!M204="Hongquan A",105,IF(Atletas!M204="Paoquan A",106,IF(Atletas!M204="Piguaquan A",107,IF(Atletas!M204="Shaolinquan A",108,IF(Atletas!M204="Tanglangquan A",109,IF(Atletas!M204="Yingzhaoquan A",110,IF(Atletas!M204="Tongbeiquan A",111,IF(Atletas!M204="Wudangquan A",112,IF(Atletas!M204="Outros Estilos A",113,IF(Atletas!M204="Chaquan B",114,IF(Atletas!M204="Emeiquan B",115,IF(Atletas!M204="Fanziquan B",116,IF(Atletas!M204="Huaquan B",117,IF(Atletas!M204="Hongquan B",118,IF(Atletas!M204="Paoquan B",119,IF(Atletas!M204="Piguaquan B",120,IF(Atletas!M204="Shaolinquan B",121,IF(Atletas!M204="Tanglangquan B",122,IF(Atletas!M204="Yingzhaoquan B",123,IF(Atletas!M204="Tongbeiquan B",124,IF(Atletas!M204="Wudangquan B",125,IF(Atletas!M204="Outros Estilos B",126,IF(Atletas!M204="Chaquan C",127,IF(Atletas!M204="Emeiquan C",128,IF(Atletas!M204="Fanziquan C",129,IF(Atletas!M204="Huaquan C",130,IF(Atletas!M204="Hongquan C",131,IF(Atletas!M204="Paoquan C",132,IF(Atletas!M204="Piguaquan C",133,IF(Atletas!M204="Shaolinquan C",134,IF(Atletas!M204="Tanglangquan C",135,IF(Atletas!M204="Yingzhaoquan C",136,IF(Atletas!M204="Tongbeiquan C",137,IF(Atletas!M204="Wudangquan C",138,IF(Atletas!M204="Outros Estilos C",139,0))))))))))))))))))))))))))))))))))))))))))</f>
        <v/>
      </c>
      <c r="BT213" s="50" t="str">
        <f>IF(Atletas!M204="","",IF(Atletas!X204&lt;&gt;"",10000,0)+(IF(Atletas!B204="Feminino",1000,IF(Atletas!B204="Masculino",2000,""))+(IF(Atletas!M204="Chaquan D",140,IF(Atletas!M204="Emeiquan D",141,IF(Atletas!M204="Fanziquan D",142,IF(Atletas!M204="Huaquan D",143,IF(Atletas!M204="Hongquan D",144,IF(Atletas!M204="Paoquan D",145,IF(Atletas!M204="Piguaquan D",146,IF(Atletas!M204="Shaolinquan D",147,IF(Atletas!M204="Tanglangquan D",148,IF(Atletas!M204="Yingzhaoquan D",149,IF(Atletas!M204="Tongbeiquan D",150,IF(Atletas!M204="Wudangquan D",151,IF(Atletas!M204="Outros Estilos D",152,IF(Atletas!M204="Chaquan E",153,IF(Atletas!M204="Emeiquan E",154,IF(Atletas!M204="Fanziquan E",155,IF(Atletas!M204="Huaquan E",156,IF(Atletas!M204="Hongquan E",157,IF(Atletas!M204="Paoquan E",158,IF(Atletas!M204="Piguaquan E",159,IF(Atletas!M204="Shaolinquan E",160,IF(Atletas!M204="Tanglangquan E",161,IF(Atletas!M204="Yingzhaoquan E",162,IF(Atletas!M204="Tongbeiquan E",163,IF(Atletas!M204="Wudangquan E",164,IF(Atletas!M204="Outros Estilos E",165,IF(Atletas!M204="Chaquan F",166,IF(Atletas!M204="Emeiquan F",167,IF(Atletas!M204="Fanziquan F",168,IF(Atletas!M204="Huaquan F",169,IF(Atletas!M204="Hongquan F",170,IF(Atletas!M204="Paoquan F",171,IF(Atletas!M204="Piguaquan F",172,IF(Atletas!M204="Shaolinquan F",173,IF(Atletas!M204="Tanglangquan F",174,IF(Atletas!M204="Yingzhaoquan F",175,IF(Atletas!M204="Tongbeiquan F",176,IF(Atletas!M204="Wudangquan F",177,IF(Atletas!M204="Outros Estilos F",178,0))))))))))))))))))))))))))))))))))))))))))</f>
        <v/>
      </c>
      <c r="BU213" s="50" t="str">
        <f>IF(Atletas!N204="","",IF(Atletas!X204&lt;&gt;"",10000,0)+(IF(Atletas!B204="Feminino",1000,IF(Atletas!B204="Masculino",2000,""))+(IF(Atletas!N204="Ditangquan A",201,IF(Atletas!N204="Houquan A",202,IF(Atletas!N204="Zuiquan A",203,IF(Atletas!N204="Ditangquan B",204,IF(Atletas!N204="Houquan B",205,IF(Atletas!N204="Zuiquan B",206,IF(Atletas!N204="Ditangquan C",207,IF(Atletas!N204="Houquan C",208,IF(Atletas!N204="Zuiquan C",209,IF(Atletas!N204="Ditangquan D",210,IF(Atletas!N204="Houquan D",211,IF(Atletas!N204="Zuiquan D",212,IF(Atletas!N204="Ditangquan E",213,IF(Atletas!N204="Houquan E",214,IF(Atletas!N204="Zuiquan E",215,IF(Atletas!N204="Ditangquan F",216,IF(Atletas!N204="Houquan F",217,IF(Atletas!N204="Zuiquan F",218,"")))))))))))))))))))))</f>
        <v/>
      </c>
      <c r="BV213" s="50" t="str">
        <f>IF(Atletas!O204="","",IF(Atletas!X204&lt;&gt;"",10000,0)+IF(Atletas!B204="Feminino",1000,IF(Atletas!B204="Masculino",2000,""))+IF(Atletas!O204="Yang A",301,IF(Atletas!O204="Chen A",302,IF(Atletas!O204="Sun A",303,IF(Atletas!O204="Wu A",304,IF(Atletas!O204="Wu-Hao A",305,IF(Atletas!O204="Outro Taijiquan A",306,IF(Atletas!O204="Yang B",307,IF(Atletas!O204="Chen B",308,IF(Atletas!O204="Sun B",309,IF(Atletas!O204="Wu B",310,IF(Atletas!O204="Wu-Hao B",311,IF(Atletas!O204="Outro Taijiquan B",312,IF(Atletas!O204="Yang C",313,IF(Atletas!O204="Chen C",314,IF(Atletas!O204="Sun C",315,IF(Atletas!O204="Wu C",316,IF(Atletas!O204="Wu-Hao C",317,IF(Atletas!O204="Outro Taijiquan C",318,IF(Atletas!O204="Yang D",319,IF(Atletas!O204="Chen D",320,IF(Atletas!O204="Sun D",321,IF(Atletas!O204="Wu D",322,IF(Atletas!O204="Wu-Hao D",323,IF(Atletas!O204="Outro Taijiquan D",324,IF(Atletas!O204="Yang E",325,IF(Atletas!O204="Chen E",326,IF(Atletas!O204="Sun E",327,IF(Atletas!O204="Wu E",328,IF(Atletas!O204="Wu-Hao E",329,IF(Atletas!O204="Outro Taijiquan E",330,IF(Atletas!O204="Yang F",331,IF(Atletas!O204="Chen F",332,IF(Atletas!O204="Sun F",333,IF(Atletas!O204="Wu F",334,IF(Atletas!O204="Wu-Hao F",335,IF(Atletas!O204="Outro Taijiquan F",336,"")))))))))))))))))))))))))))))))))))))</f>
        <v/>
      </c>
      <c r="BW213" s="50" t="str">
        <f>IF(Atletas!P204="","",IF(Atletas!X204&lt;&gt;"",10000,0)+IF(Atletas!B204="Feminino",1000,IF(Atletas!B204="Masculino",2000,""))+IF(OR(Atletas!P204="Yang 26 A",Atletas!P204="Yang 40 A"),401,IF(OR(Atletas!P204="Chen 25 A",Atletas!P204="Chen 36 A",Atletas!P204="Chen 56 A"),402,IF(Atletas!P204="Sun 73 A",403,IF(Atletas!P204="Wu 45 A",404,IF(Atletas!P204="Wu-Hao 46 A",405,IF(OR(Atletas!P204="Taijiquan 16 A",Atletas!P204="Taijiquan 24 A",Atletas!P204="Taijiquan 32 A",Atletas!P204="Taijiquan 42 A"),406,IF(OR(Atletas!P204="Yang 26 B",Atletas!P204="Yang 40 B"),407,IF(OR(Atletas!P204="Chen 25 B",Atletas!P204="Chen 36 B",Atletas!P204="Chen 56 B"),408,IF(Atletas!P204="Sun 73 B",409,IF(Atletas!P204="Wu 45 B",410,IF(Atletas!P204="Wu-Hao 46 B",411,IF(OR(Atletas!P204="Taijiquan 16 B",Atletas!P204="Taijiquan 24 B",Atletas!P204="Taijiquan 32 B",Atletas!P204="Taijiquan 42 B"),412,IF(OR(Atletas!P204="Yang 26 C",Atletas!P204="Yang 40 C"),413,IF(OR(Atletas!P204="Chen 25 C",Atletas!P204="Chen 36 C",Atletas!P204="Chen 56 C"),414,IF(Atletas!P204="Sun 73 C",415,IF(Atletas!P204="Wu 45 C",416,IF(Atletas!P204="Wu-Hao 46 C",417,IF(OR(Atletas!P204="Taijiquan 16 C",Atletas!P204="Taijiquan 24 C",Atletas!P204="Taijiquan 32 C",Atletas!P204="Taijiquan 42 C"),418,0)))))))))))))))))))</f>
        <v/>
      </c>
      <c r="BX213" s="50" t="str">
        <f>IF(Atletas!P204="","",IF(Atletas!X204&lt;&gt;"",10000,0)+IF(Atletas!B204="Feminino",1000,IF(Atletas!B204="Masculino",2000,""))+IF(OR(Atletas!P204="Yang 26 D",Atletas!P204="Yang 40 D"),419,IF(OR(Atletas!P204="Chen 25 D",Atletas!P204="Chen 36 D",Atletas!P204="Chen 56 D"),420,IF(Atletas!P204="Sun 73 D",421,IF(Atletas!P204="Wu 45 D",422,IF(Atletas!P204="Wu-Hao 46 D",423,IF(OR(Atletas!P204="Taijiquan 16 D",Atletas!P204="Taijiquan 24 D",Atletas!P204="Taijiquan 32 D",Atletas!P204="Taijiquan 42 D"),424,IF(OR(Atletas!P204="Yang 26 E",Atletas!P204="Yang 40 E"),425,IF(OR(Atletas!P204="Chen 25 E",Atletas!P204="Chen 36 E",Atletas!P204="Chen 56 E"),426,IF(Atletas!P204="Sun 73 E",427,IF(Atletas!P204="Wu 45 E",428,IF(Atletas!P204="Wu-Hao 46 E",429,IF(OR(Atletas!P204="Taijiquan 16 E",Atletas!P204="Taijiquan 24 E",Atletas!P204="Taijiquan 32 E",Atletas!P204="Taijiquan 42 E"),430,IF(OR(Atletas!P204="Yang 26 F",Atletas!P204="Yang 40 F"),431,IF(OR(Atletas!P204="Chen 25 F",Atletas!P204="Chen 36 F",Atletas!P204="Chen 56 F"),432,IF(Atletas!P204="Sun 73 F",433,IF(Atletas!P204="Wu 45 F",434,IF(Atletas!P204="Wu-Hao 46 F",435,IF(OR(Atletas!P204="Taijiquan 16 F",Atletas!P204="Taijiquan 24 F",Atletas!P204="Taijiquan 32 F",Atletas!P204="Taijiquan 42 F"),436,0)))))))))))))))))))</f>
        <v/>
      </c>
      <c r="BY213" s="50" t="str">
        <f>IF(Atletas!Q204="","",IF(Atletas!X204&lt;&gt;"",10000,0)+IF(Atletas!B204="Feminino",1000,IF(Atletas!B204="Masculino",2000,""))+IF(Atletas!Q204="Xingyiquan A",501,IF(Atletas!Q204="Baguazhang A",502,IF(Atletas!Q204="Outro Estilo Interno A",503,IF(Atletas!Q204="Xingyiquan B",504,IF(Atletas!Q204="Baguazhang B",505,IF(Atletas!Q204="Outro Estilo Interno B",506,IF(Atletas!Q204="Xingyiquan C",507,IF(Atletas!Q204="Baguazhang C",508,IF(Atletas!Q204="Outro Estilo Interno C",509,IF(Atletas!Q204="Xingyiquan D",510,IF(Atletas!Q204="Baguazhang D",511,IF(Atletas!Q204="Outro Estilo Interno D",512,IF(Atletas!Q204="Xingyiquan E",513,IF(Atletas!Q204="Baguazhang E",514,IF(Atletas!Q204="Outro Estilo Interno E",515,IF(Atletas!Q204="Xingyiquan F",516,IF(Atletas!Q204="Baguazhang F",517,IF(Atletas!Q204="Outro Estilo Interno F",518, "")))))))))))))))))))</f>
        <v/>
      </c>
      <c r="BZ213" s="50" t="str">
        <f>IF(Atletas!R204="","",IF(Atletas!X204&lt;&gt;"",10000,0)+IF(Atletas!B204="Feminino",1000,IF(Atletas!B204="Masculino",2000,""))+IF(Atletas!R204="Dao A",601,IF(Atletas!R204="Jian A",602,IF(Atletas!R204="Bishou A",603,IF(Atletas!R204="Shanzi A",604,IF(Atletas!R204="Outra Arma Curta A",605,IF(Atletas!R204="Dao B",606,IF(Atletas!R204="Jian B",607,IF(Atletas!R204="Bishou B",608,IF(Atletas!R204="Shanzi B",609,IF(Atletas!R204="Outra Arma Curta B",610,IF(Atletas!R204="Dao C",611,IF(Atletas!R204="Jian C",612,IF(Atletas!R204="Bishou C",613,IF(Atletas!R204="Shanzi C",614,IF(Atletas!R204="Outra Arma Curta C",615,IF(Atletas!R204="Dao D",616,IF(Atletas!R204="Jian D",617,IF(Atletas!R204="Bishou D",618,IF(Atletas!R204="Shanzi D",619,IF(Atletas!R204="Outra Arma Curta D",620,IF(Atletas!R204="Dao E",621,IF(Atletas!R204="Jian E",622,IF(Atletas!R204="Bishou E",623,IF(Atletas!R204="Shanzi E",624,IF(Atletas!R204="Outra Arma Curta E",625,IF(Atletas!R204="Dao F",626,IF(Atletas!R204="Jian F",627,IF(Atletas!R204="Bishou F",628,IF(Atletas!R204="Shanzi F",629,IF(Atletas!R204="Outra Arma Curta F",630, "")))))))))))))))))))))))))))))))</f>
        <v/>
      </c>
      <c r="CA213" s="50" t="str">
        <f>IF(Atletas!S204="","",IF(Atletas!X204&lt;&gt;"",10000,0)+IF(Atletas!B204="Feminino",1000,IF(Atletas!B204="Masculino",2000,""))+IF(Atletas!S204="Gun A",701,IF(Atletas!S204="Qiang A",702,IF(Atletas!S204="Pudao / Guandao A",703,IF(Atletas!S204="Outra Arma Longa A",704,IF(Atletas!S204="Gun B",705,IF(Atletas!S204="Qiang B",706,IF(Atletas!S204="Pudao / Guandao B",707,IF(Atletas!S204="Outra Arma Longa B",708,IF(Atletas!S204="Gun C",709,IF(Atletas!S204="Qiang C",710,IF(Atletas!S204="Pudao / Guandao C",711,IF(Atletas!S204="Outra Arma Longa C",712,IF(Atletas!S204="Gun D",713,IF(Atletas!S204="Qiang D",714,IF(Atletas!S204="Pudao / Guandao D",715,IF(Atletas!S204="Outra Arma Longa D",716,IF(Atletas!S204="Gun E",717,IF(Atletas!S204="Qiang E",718,IF(Atletas!S204="Pudao / Guandao E",719,IF(Atletas!S204="Outra Arma Longa E",720,IF(Atletas!S204="Gun F",721,IF(Atletas!S204="Qiang F",722,IF(Atletas!S204="Pudao / Guandao F",723,IF(Atletas!S204="Outra Arma Longa F",724,"")))))))))))))))))))))))))</f>
        <v/>
      </c>
      <c r="CB213" s="50" t="str">
        <f>IF(Atletas!T204="","",IF(Atletas!X204&lt;&gt;"",10000,0)+IF(Atletas!B204="Feminino",1000,IF(Atletas!B204="Masculino",2000,""))+IF(Atletas!T204="Outra Arma Dupla A",801,IF(Atletas!T204="Arma Maleável A",802,IF(Atletas!T204="Outra Arma Dupla B",803,IF(Atletas!T204="Arma Maleável B",804,IF(Atletas!T204="Outra Arma Dupla C",805,IF(Atletas!T204="Arma Maleável C",806,IF(Atletas!T204="Outra Arma Dupla D",807,IF(Atletas!T204="Arma Maleável D",808,IF(Atletas!T204="Outra Arma Dupla E",809,IF(Atletas!T204="Arma Maleável E",810,IF(Atletas!T204="Outra Arma Dupla F",811,IF(Atletas!T204="Arma Maleável F",812,IF(Atletas!T204="Shuangdao A",813,IF(Atletas!T204="Shuangdao B",814,IF(Atletas!T204="Shuangdao C",815,IF(Atletas!T204="Shuangdao D",816,IF(Atletas!T204="Shuangdao E",817,IF(Atletas!T204="Shuangdao F",818,"")))))))))))))))))))</f>
        <v/>
      </c>
      <c r="CC213" s="50" t="str">
        <f>IF(Atletas!U204="","",IF(Atletas!X204&lt;&gt;"",10000,0)+IF(Atletas!B204="Feminino",1000,IF(Atletas!B204="Masculino",2000,""))+IF(OR(Atletas!U204="Taijijian Yang A",Atletas!U204="Taijijian Yang Standard A"),901,IF(OR(Atletas!U204="Taijijian Chen A", Atletas!U204="Taijijian Chen Standard A"),902,IF(Atletas!U204="Taijijian Sun A",903,IF(Atletas!U204="Taijijian Wu A",904,IF(Atletas!U204="Taijijian Wu-Hao A",905,IF(OR(Atletas!U204="Taijijian 32 A",Atletas!U204="Taijijian 42 A"),906,IF(OR(Atletas!U204="Taijijian Yang B",Atletas!U204="Taijijian Yang Standard B"),907,IF(OR(Atletas!U204="Taijijian Chen B", Atletas!U204="Taijijian Chen Standard B"),908,IF(Atletas!U204="Taijijian Sun B",909,IF(Atletas!U204="Taijijian Wu B",910,IF(Atletas!U204="Taijijian Wu-Hao B",911,IF(OR(Atletas!U204="Taijijian 32 B",Atletas!U204="Taijijian 42 B"),912,IF(OR(Atletas!U204="Taijijian Yang C",Atletas!U204="Taijijian Yang Standard C"),913,IF(OR(Atletas!U204="Taijijian Chen C", Atletas!U204="Taijijian Chen Standard C"),914,IF(Atletas!U204="Taijijian Sun C",915,IF(Atletas!U204="Taijijian Wu C",916,IF(Atletas!U204="Taijijian Wu-Hao C",917,IF(OR(Atletas!U204="Taijijian 32 C",Atletas!U204="Taijijian 42 C"),918,IF(OR(Atletas!U204="Taijijian Yang D",Atletas!U204="Taijijian Yang Standard D"),919,IF(OR(Atletas!U204="Taijijian Chen D", Atletas!U204="Taijijian Chen Standard D"),920,IF(Atletas!U204="Taijijian Sun D",921,IF(Atletas!U204="Taijijian Wu D",922,IF(Atletas!U204="Taijijian Wu-Hao D",923,IF(OR(Atletas!U204="Taijijian 32 D",Atletas!U204="Taijijian 42 D"),924,IF(OR(Atletas!U204="Taijijian Yang E",Atletas!U204="Taijijian Yang Standard E"),925,IF(OR(Atletas!U204="Taijijian Chen E", Atletas!U204="Taijijian Chen Standard E"),926,IF(Atletas!U204="Taijijian Sun E",927,IF(Atletas!U204="Taijijian Wu E",928,IF(Atletas!U204="Taijijian Wu-Hao E",929,IF(OR(Atletas!U204="Taijijian 32 E",Atletas!U204="Taijijian 42 E"),930,IF(OR(Atletas!U204="Taijijian Yang F",Atletas!U204="Taijijian Yang Standard F"),931,IF(OR(Atletas!U204="Taijijian Chen F", Atletas!U204="Taijijian Chen Standard F"),932,IF(Atletas!U204="Taijijian Sun F",933,IF(Atletas!U204="Taijijian Wu F",934,IF(Atletas!U204="Taijijian Wu-Hao F",935,IF(OR(Atletas!U204="Taijijian 32 F",Atletas!U204="Taijijian 42 F"),936,"")))))))))))))))))))))))))))))))))))))</f>
        <v/>
      </c>
      <c r="CD213" s="50" t="str">
        <f>IF(Atletas!V204="","",IF(Atletas!X204&lt;&gt;"",10000,0)+IF(Atletas!B204="Feminino",1000,IF(Atletas!B204="Masculino",2000,""))+IF(Atletas!V204="Taijidao A",937,IF(Atletas!V204="TaijiShanzi A",938,IF(Atletas!V204="Taijiqiang A",939,IF(Atletas!V204="Bagua de Arma A",940,IF(Atletas!V204="Xingyi de Arma A",941,IF(Atletas!V204="Taijidao B",942,IF(Atletas!V204="TaijiShanzi B",943,IF(Atletas!V204="Taijiqiang B",944,IF(Atletas!V204="Bagua de Arma B",945,IF(Atletas!V204="Xingyi de Arma B",946,IF(Atletas!V204="Taijidao C",947,IF(Atletas!V204="TaijiShanzi C",948,IF(Atletas!V204="Taijiqiang C",949,IF(Atletas!V204="Bagua de Arma C",950,IF(Atletas!V204="Xingyi de Arma C",951,IF(Atletas!V204="Taijidao D",952,IF(Atletas!V204="TaijiShanzi D",953,IF(Atletas!V204="Taijiqiang D",954,IF(Atletas!V204="Bagua de Arma D",955,IF(Atletas!V204="Xingyi de Arma D",956,IF(Atletas!V204="Taijidao E",957,IF(Atletas!V204="TaijiShanzi E",958,IF(Atletas!V204="Taijiqiang E",959,IF(Atletas!V204="Bagua de Arma E",960,IF(Atletas!V204="Xingyi de Arma E",961,IF(Atletas!V204="Taijidao F",962,IF(Atletas!V204="TaijiShanzi F",963,IF(Atletas!V204="Taijiqiang F",964,IF(Atletas!V204="Bagua de Arma F",965,IF(Atletas!V204="Xingyi de Arma F",966,"")))))))))))))))))))))))))))))))</f>
        <v/>
      </c>
      <c r="CE213" s="66" t="str">
        <f>IF(CF213&lt;&gt;"","Outro Estilo Interno A","")</f>
        <v/>
      </c>
      <c r="CF213" s="66" t="str">
        <f>IF(COUNTIF(BR:CD,1503)&gt;0,COUNTIF(BR:CD,1503),"")</f>
        <v/>
      </c>
      <c r="CG213" s="66" t="str">
        <f>IF(CH213&lt;&gt;"","Outro Estilo Interno A","")</f>
        <v/>
      </c>
      <c r="CH213" s="66" t="str">
        <f>IF(COUNTIF(BR:CD,2503)&gt;0,COUNTIF(BR:CD,2503),"")</f>
        <v/>
      </c>
      <c r="CI213" s="66" t="str">
        <f>IF(CJ213&lt;&gt;"","Outro Estilo Interno C","")</f>
        <v/>
      </c>
      <c r="CJ213" s="66" t="str">
        <f>IF(COUNTIF(BR:CD,11445)&gt;0,COUNTIF(BR:CD,11445),"")</f>
        <v/>
      </c>
      <c r="CK213" s="66" t="str">
        <f>IF(CL213&lt;&gt;"","Outro Estilo Interno C","")</f>
        <v/>
      </c>
      <c r="CL213" s="66" t="str">
        <f>IF(COUNTIF(BR:CD,12445)&gt;0,COUNTIF(BR:CD,12445),"")</f>
        <v/>
      </c>
      <c r="CM213" s="50" t="str">
        <f xml:space="preserve"> IF(Atletas!W204="","",IF(Atletas!W204="Duilian de Mãos BC - Equipe 1",1,IF(Atletas!W204="Duilian de Mãos BC - Equipe 2",2,IF(Atletas!W204="Duilian de Armas BC - Equipe 1",3,IF(Atletas!W204="Duilian de Armas BC - Equipe 2",4,IF(Atletas!W204="Duilian de Mãos DE - Equipe 1",5,IF(Atletas!W204="Duilian de Mãos DE - Equipe 2",6,IF(Atletas!W204="Duilian de Armas DE - Equipe 1",7,IF(Atletas!W204="Duilian de Armas DE - Equipe 2",8,IF(Atletas!W204="Duilian de Tuishou - Equipe 1",9,IF(Atletas!W204="Duilian de Tuishou - Equipe 2",10,IF(Atletas!W204="Grupo Externo ABC - Equipe 1",11,IF(Atletas!W204="Grupo Externo ABC - Equipe 2",12,IF(Atletas!W204="Grupo Interno ABC - Equipe 1",13,IF(Atletas!W204="Grupo Interno ABC - Equipe 2",14,IF(Atletas!W204="Grupo Externo DEF - Equipe 1",15,IF(Atletas!W204="Grupo Externo DEF - Equipe 2",16,IF(Atletas!W204="Grupo Interno DEF - Equipe 1",17,IF(Atletas!W204="Grupo Interno DEF - Equipe 2",18,"")))))))))))))))))))</f>
        <v/>
      </c>
    </row>
    <row r="214" spans="2:91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 t="str">
        <f t="array" ref="Z214">IFERROR(INDEX(CE$7:CE$348,SMALL(IF(CE$7:CE$348&lt;&gt;"",ROW(CE$7:CE$348)-ROW(CE$7)+1),ROWS(CE$7:CE213))),"")</f>
        <v/>
      </c>
      <c r="AA214" s="3" t="str">
        <f t="array" ref="AA214">IFERROR(INDEX(CF$7:CF$348,SMALL(IF(CF$7:CF$348&lt;&gt;"",ROW(CF$7:CF$348)-ROW(CF$7)+1),ROWS(CF$7:CF213))),"")</f>
        <v/>
      </c>
      <c r="AB214" s="3" t="str">
        <f t="array" ref="AB214">IFERROR(INDEX(CG$7:CG$348,SMALL(IF(CG$7:CG$348&lt;&gt;"",ROW(CG$7:CG$348)-ROW(CG$7)+1),ROWS(CG$7:CG213))),"")</f>
        <v/>
      </c>
      <c r="AC214" s="3" t="str">
        <f t="array" ref="AC214">IFERROR(INDEX(CH$7:CH$348,SMALL(IF(CH$7:CH$348&lt;&gt;"",ROW(CH$7:CH$348)-ROW(CH$7)+1),ROWS(CH$7:CH213))),"")</f>
        <v/>
      </c>
      <c r="AD214" s="3" t="str">
        <f t="array" ref="AD214">IFERROR(INDEX(CI$7:CI$377,SMALL(IF(CI$7:CI$377&lt;&gt;"",ROW(CI$7:CI$377)-ROW(CI$7)+1),ROWS(CI$7:CI213))),"")</f>
        <v/>
      </c>
      <c r="AE214" s="3" t="str">
        <f t="array" ref="AE214">IFERROR(INDEX(CJ$7:CJ$378,SMALL(IF(CJ$7:CJ$378&lt;&gt;"",ROW(CJ$7:CJ$378)-ROW(CJ$7)+1),ROWS(CJ$7:CJ213))),"")</f>
        <v/>
      </c>
      <c r="AF214" s="3" t="str">
        <f t="array" ref="AF214">IFERROR(INDEX(CK$7:CK$378,SMALL(IF(CK$7:CK$378&lt;&gt;"",ROW(CK$7:CK$378)-ROW(CK$7)+1),ROWS(CK$7:CK213))),"")</f>
        <v/>
      </c>
      <c r="AG214" s="3" t="str">
        <f t="array" ref="AG214">IFERROR(INDEX(CL$7:CL$378,SMALL(IF(CL$7:CL$378&lt;&gt;"",ROW(CL$7:CL$378)-ROW(CL$7)+1),ROWS(CL$7:CL213))),"")</f>
        <v/>
      </c>
      <c r="AH214" s="3"/>
      <c r="AI214" s="3"/>
      <c r="AJ214" s="3"/>
      <c r="AK214" s="3"/>
      <c r="AL214" s="3"/>
      <c r="AM214" s="3"/>
      <c r="AN214" s="52" t="str">
        <f>IF(Atletas!D205="","",IF(Atletas!B205="Feminino",100,IF(Atletas!B205="Masculino",200,""))+(IF(Atletas!D205="Kids 30kg",1,IF(Atletas!D205="Kids 32kg",2, IF(Atletas!D205="Kids 34kg",3,IF(Atletas!D205="Kids 36kg",4,IF(Atletas!D205="Kids 39kg",5,IF(Atletas!D205="Kids 42kg",6,IF(Atletas!D205="Kids 45kg",7, IF(Atletas!D205="Infantil 39kg",8,IF(Atletas!D205="Infantil 42kg",9,IF(Atletas!D205="Infantil 45kg",10,IF(Atletas!D205="Infantil 48kg",11,IF(Atletas!D205="Infantil 52kg",12,IF(Atletas!D205="Infantil 56kg",13,IF(Atletas!D205="Infantil 60kg",14,IF(Atletas!D205="Juvenil 48kg",15,IF(Atletas!D205="Juvenil 52kg",16,IF(Atletas!D205="Juvenil 56kg",17,IF(Atletas!D205="Juvenil 60kg",18,IF(Atletas!D205="Juvenil 65kg",19,IF(Atletas!D205="Juvenil 70kg",20,IF(Atletas!D205="Juvenil 75kg",21,IF(Atletas!D205="Juvenil 80kg",22, IF(Atletas!D205="Juvenil 85kg",23,IF(Atletas!D205="Adulto 48kg",24,IF(Atletas!D205="Adulto 52kg",25,IF(Atletas!D205="Adulto 56kg",26,IF(Atletas!D205="Adulto 60kg",27,IF(Atletas!D205="Adulto 65kg",28,IF(Atletas!D205="Adulto 70kg",29,IF(Atletas!D205="Adulto 75kg",30,IF(Atletas!D205="Adulto 80kg",31,IF(Atletas!D205="Adulto 85kg",32,IF(Atletas!D205="Adulto 90kg",33,IF(Atletas!D205="Adulto 100kg",34, IF(Atletas!D205="Adulto +100kg",35,"")))))))))))))))))))))))))))))))))))))</f>
        <v/>
      </c>
      <c r="AS214" s="6" t="str">
        <f>IF(Atletas!E205="","",IF(Atletas!B205="Feminino",100,IF(Atletas!B205="Masculino",200,""))+(IF(Atletas!E205="Juvenil 44kg",1,IF(Atletas!E205="Juvenil 48kg",2,IF(Atletas!E205="Juvenil 52kg",3,IF(Atletas!E205="Juvenil 56kg",4,IF(Atletas!E205="Juvenil 60kg",5,IF(Atletas!E205="Juvenil 65kg",6,IF(Atletas!E205="Juvenil 70kg",7,IF(Atletas!E205="Juvenil 75kg",8,IF(Atletas!E205="Juvenil 82kg",9,IF(Atletas!E205="Juvenil 90kg",10,IF(Atletas!E205="Juvenil 100kg",11,IF(Atletas!E205="Adulto 48kg",12,IF(Atletas!E205="Adulto 52kg",13,IF(Atletas!E205="Adulto 56kg",14,IF(Atletas!E205="Adulto 60kg",15,IF(Atletas!E205="Adulto 65kg",16,IF(Atletas!E205="Adulto 70kg",17,IF(Atletas!E205="Adulto 75kg",18,IF(Atletas!E205="Adulto 82kg",19,IF(Atletas!E205="Adulto 90kg",20,IF(Atletas!E205="Adulto 100kg",21,IF(Atletas!E205="Adulto +100kg",22,""))))))))))))))))))))))))</f>
        <v/>
      </c>
      <c r="AX214" s="6" t="str">
        <f>IF(Atletas!F205="","",IF(Atletas!B205="Feminino",100,IF(Atletas!B205="Masculino",200,""))+(IF(Atletas!F205="Adulto 48kg",1,IF(Atletas!F205="Adulto 56kg",2,IF(Atletas!F205="Adulto 65kg",3,IF(Atletas!F205="Adulto 75kg",4,IF(Atletas!F205="Adulto +75kg",5,IF(Atletas!F205="Adulto 52kg",6,IF(Atletas!F205="Adulto 60kg",7,IF(Atletas!F205="Adulto 70kg",8,IF(Atletas!F205="Adulto 80kg",9,IF(Atletas!F205="Adulto 90kg",10,IF(Atletas!F205="Adulto +90kg",11,"")))))))))))))</f>
        <v/>
      </c>
      <c r="BC214" s="6" t="str">
        <f>IF(Atletas!G205="","",IF(Atletas!B205="Feminino",10,IF(Atletas!B205="Masculino",20,""))+(IF(Atletas!G205="Baduanjin A",1,IF(Atletas!G205="Baduanjin B",2))))</f>
        <v/>
      </c>
      <c r="BF214" s="52" t="str">
        <f>IF(Atletas!H205="","",IF(Atletas!B205="Feminino",100,IF(Atletas!B205="Masculino",200,""))+(IF(Atletas!H205="Changquan Mirim",1,IF(Atletas!H205="Nanquan Mirim",2,IF(Atletas!H205="Taijiquan Mirim",3,IF(Atletas!H205="Changquan Grupo C",4,IF(Atletas!H205="Nanquan Grupo C",5,IF(Atletas!H205="Taijiquan Grupo C",6,IF(Atletas!H205="Changquan Grupo B",7,IF(Atletas!H205="Nanquan Grupo B",8,IF(Atletas!H205="Taijiquan Grupo B",9,IF(Atletas!H205="Changquan Grupo A",10,IF(Atletas!H205="Nanquan Grupo A",11,IF(Atletas!H205="Taijiquan Grupo A",12,IF(Atletas!H205="Changquan Opcional",13,IF(Atletas!H205="Nanquan Opcional",14,IF(Atletas!H205="Taijiquan Opcional",15,IF(Atletas!H205="Changquan Adulto",16,IF(Atletas!H205="Nanquan Adulto",17,IF(Atletas!H205="Taijiquan Adulto",18,""))))))))))))))))))))</f>
        <v/>
      </c>
      <c r="BG214" s="52" t="str">
        <f>IF(Atletas!I205="","",IF(Atletas!B205="Feminino",100,IF(Atletas!B205="Masculino",200,""))+(IF(Atletas!I205="Daoshu Mirim",19,IF(Atletas!I205="Jianshu Mirim",20,IF(Atletas!I205="Nandao Mirim",21,IF(Atletas!I205="Taijijian Mirim",22,IF(Atletas!I205="Daoshu Grupo C",23,IF(Atletas!I205="Jianshu Grupo C",24,IF(Atletas!I205="Nandao Grupo C",25,IF(Atletas!I205="Taijijian Grupo C",26,IF(Atletas!I205="Daoshu Grupo B",27,IF(Atletas!I205="Jianshu Grupo B",28,IF(Atletas!I205="Nandao Grupo B",29,IF(Atletas!I205="Taijijian Grupo B",30,IF(Atletas!I205="Daoshu Grupo A",31,IF(Atletas!I205="Jianshu Grupo A",32,IF(Atletas!I205="Nandao Grupo A",33,IF(Atletas!I205="Taijijian Grupo A",34,IF(Atletas!I205="Daoshu Opcional",35,IF(Atletas!I205="Jianshu Opcional",36,IF(Atletas!I205="Nandao Opcional",37,IF(Atletas!I205="Taijijian Opcional",38,IF(Atletas!I205="Daoshu Adulto",39,IF(Atletas!I205="Jianshu Adulto",40,IF(Atletas!I205="Nandao Adulto",41,IF(Atletas!I205="Taijijian Adulto",42,""))))))))))))))))))))))))))</f>
        <v/>
      </c>
      <c r="BH214" s="52" t="str">
        <f>IF(Atletas!J205="","",IF(Atletas!B205="Feminino",100,IF(Atletas!B205="Masculino",200,""))+(IF(Atletas!J205="Gunshu Mirim",43,IF(Atletas!J205="Qiangshu Mirim",44,IF(Atletas!J205="Nangun Mirim",45,IF(Atletas!J205="Gunshu Grupo C",46,IF(Atletas!J205="Qiangshu Grupo C",47,IF(Atletas!J205="Nangun Grupo C",48,IF(Atletas!J205="Gunshu Grupo B",49,IF(Atletas!J205="Qiangshu Grupo B",50,IF(Atletas!J205="Nangun Grupo B",51,IF(Atletas!J205="Gunshu Grupo A",52,IF(Atletas!J205="Qiangshu Grupo A",53,IF(Atletas!J205="Nangun Grupo A",54,IF(Atletas!J205="Gunshu Opcional",55,IF(Atletas!J205="Qiangshu Opcional",56,IF(Atletas!J205="Nangun Opcional",57,IF(Atletas!J205="Gunshu Adulto",58,IF(Atletas!J205="Qiangshu Adulto",59,IF(Atletas!J205="Nangun Adulto",60,IF(Atletas!J205="Taijishan Grupo B",61,IF(Atletas!J205="Taijishan Grupo A",62,""))))))))))))))))))))))</f>
        <v/>
      </c>
      <c r="BM214" s="50" t="str">
        <f>IF(Atletas!K205="","",IF(Atletas!B205="Feminino",100,IF(Atletas!B205="Masculino",200,""))+(IF(Atletas!K205="Equipe 1 Grupo B",1,IF(Atletas!K205="Equipe 2 Grupo B",2,IF(Atletas!K205="Equipe 1 Grupo A",3,IF(Atletas!K205="Equipe 2 Grupo A",4,IF(Atletas!K205="Equipe 1 Adulto",5,IF(Atletas!K205="Equipe 2 Adulto",6,""))))))))</f>
        <v/>
      </c>
      <c r="BR214" s="50" t="str">
        <f>IF(Atletas!L205="","",IF(Atletas!X205&lt;&gt;"",10000,0)+(IF(Atletas!B205="Feminino",1000,IF(Atletas!B205="Masculino",2000,""))+IF(Atletas!L205="Choylayfut A",1,IF(Atletas!L205="Hunggar A",2,IF(Atletas!L205="Wuzuquan A",3,IF(Atletas!L205="Wingchun A",4,IF(Atletas!L205="Outra Mão de Sul A",5,IF(Atletas!L205="Choylayfut B",6,IF(Atletas!L205="Hunggar B",7,IF(Atletas!L205="Wuzuquan B",8,IF(Atletas!L205="Wingchun B",9,IF(Atletas!L205="Outra Mão de Sul B",10,IF(Atletas!L205="Choylayfut C",11,IF(Atletas!L205="Hunggar C",12,IF(Atletas!L205="Wuzuquan C",13,IF(Atletas!L205="Wingchun C",14,IF(Atletas!L205="Outra Mão de Sul C",15,IF(Atletas!L205="Choylayfut D",16,IF(Atletas!L205="Hunggar D",17,IF(Atletas!L205="Wuzuquan D",18,IF(Atletas!L205="Wingchun D",19,IF(Atletas!L205="Outra Mão de Sul D",20,IF(Atletas!L205="Choylayfut E",21,IF(Atletas!L205="Hunggar E",22,IF(Atletas!L205="Wuzuquan E",23,IF(Atletas!L205="Wingchun E",24,IF(Atletas!L205="Outra Mão de Sul E",25,IF(Atletas!L205="Choylayfut F",26,IF(Atletas!L205="Hunggar F",27,IF(Atletas!L205="Wuzuquan F",28,IF(Atletas!L205="Wingchun F",29,IF(Atletas!L205="Outra Mão de Sul F",30,IF(Atletas!L205="Dishuquan A",31,IF(Atletas!L205="Dishuquan B",32,IF(Atletas!L205="Dishuquan C",33,IF(Atletas!L205="Dishuquan D",34,IF(Atletas!L205="Dishuquan E",35,IF(Atletas!L205="Dishuquan F",36,""))))))))))))))))))))))))))))))))))))))</f>
        <v/>
      </c>
      <c r="BS214" s="50" t="str">
        <f>IF(Atletas!M205="","",IF(Atletas!X205&lt;&gt;"",10000,0)+(IF(Atletas!B205="Feminino",1000,IF(Atletas!B205="Masculino",2000,""))+(IF(Atletas!M205="Chaquan A",101,IF(Atletas!M205="Emeiquan A",102,IF(Atletas!M205="Fanziquan A",103,IF(Atletas!M205="Huaquan A",104,IF(Atletas!M205="Hongquan A",105,IF(Atletas!M205="Paoquan A",106,IF(Atletas!M205="Piguaquan A",107,IF(Atletas!M205="Shaolinquan A",108,IF(Atletas!M205="Tanglangquan A",109,IF(Atletas!M205="Yingzhaoquan A",110,IF(Atletas!M205="Tongbeiquan A",111,IF(Atletas!M205="Wudangquan A",112,IF(Atletas!M205="Outros Estilos A",113,IF(Atletas!M205="Chaquan B",114,IF(Atletas!M205="Emeiquan B",115,IF(Atletas!M205="Fanziquan B",116,IF(Atletas!M205="Huaquan B",117,IF(Atletas!M205="Hongquan B",118,IF(Atletas!M205="Paoquan B",119,IF(Atletas!M205="Piguaquan B",120,IF(Atletas!M205="Shaolinquan B",121,IF(Atletas!M205="Tanglangquan B",122,IF(Atletas!M205="Yingzhaoquan B",123,IF(Atletas!M205="Tongbeiquan B",124,IF(Atletas!M205="Wudangquan B",125,IF(Atletas!M205="Outros Estilos B",126,IF(Atletas!M205="Chaquan C",127,IF(Atletas!M205="Emeiquan C",128,IF(Atletas!M205="Fanziquan C",129,IF(Atletas!M205="Huaquan C",130,IF(Atletas!M205="Hongquan C",131,IF(Atletas!M205="Paoquan C",132,IF(Atletas!M205="Piguaquan C",133,IF(Atletas!M205="Shaolinquan C",134,IF(Atletas!M205="Tanglangquan C",135,IF(Atletas!M205="Yingzhaoquan C",136,IF(Atletas!M205="Tongbeiquan C",137,IF(Atletas!M205="Wudangquan C",138,IF(Atletas!M205="Outros Estilos C",139,0))))))))))))))))))))))))))))))))))))))))))</f>
        <v/>
      </c>
      <c r="BT214" s="50" t="str">
        <f>IF(Atletas!M205="","",IF(Atletas!X205&lt;&gt;"",10000,0)+(IF(Atletas!B205="Feminino",1000,IF(Atletas!B205="Masculino",2000,""))+(IF(Atletas!M205="Chaquan D",140,IF(Atletas!M205="Emeiquan D",141,IF(Atletas!M205="Fanziquan D",142,IF(Atletas!M205="Huaquan D",143,IF(Atletas!M205="Hongquan D",144,IF(Atletas!M205="Paoquan D",145,IF(Atletas!M205="Piguaquan D",146,IF(Atletas!M205="Shaolinquan D",147,IF(Atletas!M205="Tanglangquan D",148,IF(Atletas!M205="Yingzhaoquan D",149,IF(Atletas!M205="Tongbeiquan D",150,IF(Atletas!M205="Wudangquan D",151,IF(Atletas!M205="Outros Estilos D",152,IF(Atletas!M205="Chaquan E",153,IF(Atletas!M205="Emeiquan E",154,IF(Atletas!M205="Fanziquan E",155,IF(Atletas!M205="Huaquan E",156,IF(Atletas!M205="Hongquan E",157,IF(Atletas!M205="Paoquan E",158,IF(Atletas!M205="Piguaquan E",159,IF(Atletas!M205="Shaolinquan E",160,IF(Atletas!M205="Tanglangquan E",161,IF(Atletas!M205="Yingzhaoquan E",162,IF(Atletas!M205="Tongbeiquan E",163,IF(Atletas!M205="Wudangquan E",164,IF(Atletas!M205="Outros Estilos E",165,IF(Atletas!M205="Chaquan F",166,IF(Atletas!M205="Emeiquan F",167,IF(Atletas!M205="Fanziquan F",168,IF(Atletas!M205="Huaquan F",169,IF(Atletas!M205="Hongquan F",170,IF(Atletas!M205="Paoquan F",171,IF(Atletas!M205="Piguaquan F",172,IF(Atletas!M205="Shaolinquan F",173,IF(Atletas!M205="Tanglangquan F",174,IF(Atletas!M205="Yingzhaoquan F",175,IF(Atletas!M205="Tongbeiquan F",176,IF(Atletas!M205="Wudangquan F",177,IF(Atletas!M205="Outros Estilos F",178,0))))))))))))))))))))))))))))))))))))))))))</f>
        <v/>
      </c>
      <c r="BU214" s="50" t="str">
        <f>IF(Atletas!N205="","",IF(Atletas!X205&lt;&gt;"",10000,0)+(IF(Atletas!B205="Feminino",1000,IF(Atletas!B205="Masculino",2000,""))+(IF(Atletas!N205="Ditangquan A",201,IF(Atletas!N205="Houquan A",202,IF(Atletas!N205="Zuiquan A",203,IF(Atletas!N205="Ditangquan B",204,IF(Atletas!N205="Houquan B",205,IF(Atletas!N205="Zuiquan B",206,IF(Atletas!N205="Ditangquan C",207,IF(Atletas!N205="Houquan C",208,IF(Atletas!N205="Zuiquan C",209,IF(Atletas!N205="Ditangquan D",210,IF(Atletas!N205="Houquan D",211,IF(Atletas!N205="Zuiquan D",212,IF(Atletas!N205="Ditangquan E",213,IF(Atletas!N205="Houquan E",214,IF(Atletas!N205="Zuiquan E",215,IF(Atletas!N205="Ditangquan F",216,IF(Atletas!N205="Houquan F",217,IF(Atletas!N205="Zuiquan F",218,"")))))))))))))))))))))</f>
        <v/>
      </c>
      <c r="BV214" s="50" t="str">
        <f>IF(Atletas!O205="","",IF(Atletas!X205&lt;&gt;"",10000,0)+IF(Atletas!B205="Feminino",1000,IF(Atletas!B205="Masculino",2000,""))+IF(Atletas!O205="Yang A",301,IF(Atletas!O205="Chen A",302,IF(Atletas!O205="Sun A",303,IF(Atletas!O205="Wu A",304,IF(Atletas!O205="Wu-Hao A",305,IF(Atletas!O205="Outro Taijiquan A",306,IF(Atletas!O205="Yang B",307,IF(Atletas!O205="Chen B",308,IF(Atletas!O205="Sun B",309,IF(Atletas!O205="Wu B",310,IF(Atletas!O205="Wu-Hao B",311,IF(Atletas!O205="Outro Taijiquan B",312,IF(Atletas!O205="Yang C",313,IF(Atletas!O205="Chen C",314,IF(Atletas!O205="Sun C",315,IF(Atletas!O205="Wu C",316,IF(Atletas!O205="Wu-Hao C",317,IF(Atletas!O205="Outro Taijiquan C",318,IF(Atletas!O205="Yang D",319,IF(Atletas!O205="Chen D",320,IF(Atletas!O205="Sun D",321,IF(Atletas!O205="Wu D",322,IF(Atletas!O205="Wu-Hao D",323,IF(Atletas!O205="Outro Taijiquan D",324,IF(Atletas!O205="Yang E",325,IF(Atletas!O205="Chen E",326,IF(Atletas!O205="Sun E",327,IF(Atletas!O205="Wu E",328,IF(Atletas!O205="Wu-Hao E",329,IF(Atletas!O205="Outro Taijiquan E",330,IF(Atletas!O205="Yang F",331,IF(Atletas!O205="Chen F",332,IF(Atletas!O205="Sun F",333,IF(Atletas!O205="Wu F",334,IF(Atletas!O205="Wu-Hao F",335,IF(Atletas!O205="Outro Taijiquan F",336,"")))))))))))))))))))))))))))))))))))))</f>
        <v/>
      </c>
      <c r="BW214" s="50" t="str">
        <f>IF(Atletas!P205="","",IF(Atletas!X205&lt;&gt;"",10000,0)+IF(Atletas!B205="Feminino",1000,IF(Atletas!B205="Masculino",2000,""))+IF(OR(Atletas!P205="Yang 26 A",Atletas!P205="Yang 40 A"),401,IF(OR(Atletas!P205="Chen 25 A",Atletas!P205="Chen 36 A",Atletas!P205="Chen 56 A"),402,IF(Atletas!P205="Sun 73 A",403,IF(Atletas!P205="Wu 45 A",404,IF(Atletas!P205="Wu-Hao 46 A",405,IF(OR(Atletas!P205="Taijiquan 16 A",Atletas!P205="Taijiquan 24 A",Atletas!P205="Taijiquan 32 A",Atletas!P205="Taijiquan 42 A"),406,IF(OR(Atletas!P205="Yang 26 B",Atletas!P205="Yang 40 B"),407,IF(OR(Atletas!P205="Chen 25 B",Atletas!P205="Chen 36 B",Atletas!P205="Chen 56 B"),408,IF(Atletas!P205="Sun 73 B",409,IF(Atletas!P205="Wu 45 B",410,IF(Atletas!P205="Wu-Hao 46 B",411,IF(OR(Atletas!P205="Taijiquan 16 B",Atletas!P205="Taijiquan 24 B",Atletas!P205="Taijiquan 32 B",Atletas!P205="Taijiquan 42 B"),412,IF(OR(Atletas!P205="Yang 26 C",Atletas!P205="Yang 40 C"),413,IF(OR(Atletas!P205="Chen 25 C",Atletas!P205="Chen 36 C",Atletas!P205="Chen 56 C"),414,IF(Atletas!P205="Sun 73 C",415,IF(Atletas!P205="Wu 45 C",416,IF(Atletas!P205="Wu-Hao 46 C",417,IF(OR(Atletas!P205="Taijiquan 16 C",Atletas!P205="Taijiquan 24 C",Atletas!P205="Taijiquan 32 C",Atletas!P205="Taijiquan 42 C"),418,0)))))))))))))))))))</f>
        <v/>
      </c>
      <c r="BX214" s="50" t="str">
        <f>IF(Atletas!P205="","",IF(Atletas!X205&lt;&gt;"",10000,0)+IF(Atletas!B205="Feminino",1000,IF(Atletas!B205="Masculino",2000,""))+IF(OR(Atletas!P205="Yang 26 D",Atletas!P205="Yang 40 D"),419,IF(OR(Atletas!P205="Chen 25 D",Atletas!P205="Chen 36 D",Atletas!P205="Chen 56 D"),420,IF(Atletas!P205="Sun 73 D",421,IF(Atletas!P205="Wu 45 D",422,IF(Atletas!P205="Wu-Hao 46 D",423,IF(OR(Atletas!P205="Taijiquan 16 D",Atletas!P205="Taijiquan 24 D",Atletas!P205="Taijiquan 32 D",Atletas!P205="Taijiquan 42 D"),424,IF(OR(Atletas!P205="Yang 26 E",Atletas!P205="Yang 40 E"),425,IF(OR(Atletas!P205="Chen 25 E",Atletas!P205="Chen 36 E",Atletas!P205="Chen 56 E"),426,IF(Atletas!P205="Sun 73 E",427,IF(Atletas!P205="Wu 45 E",428,IF(Atletas!P205="Wu-Hao 46 E",429,IF(OR(Atletas!P205="Taijiquan 16 E",Atletas!P205="Taijiquan 24 E",Atletas!P205="Taijiquan 32 E",Atletas!P205="Taijiquan 42 E"),430,IF(OR(Atletas!P205="Yang 26 F",Atletas!P205="Yang 40 F"),431,IF(OR(Atletas!P205="Chen 25 F",Atletas!P205="Chen 36 F",Atletas!P205="Chen 56 F"),432,IF(Atletas!P205="Sun 73 F",433,IF(Atletas!P205="Wu 45 F",434,IF(Atletas!P205="Wu-Hao 46 F",435,IF(OR(Atletas!P205="Taijiquan 16 F",Atletas!P205="Taijiquan 24 F",Atletas!P205="Taijiquan 32 F",Atletas!P205="Taijiquan 42 F"),436,0)))))))))))))))))))</f>
        <v/>
      </c>
      <c r="BY214" s="50" t="str">
        <f>IF(Atletas!Q205="","",IF(Atletas!X205&lt;&gt;"",10000,0)+IF(Atletas!B205="Feminino",1000,IF(Atletas!B205="Masculino",2000,""))+IF(Atletas!Q205="Xingyiquan A",501,IF(Atletas!Q205="Baguazhang A",502,IF(Atletas!Q205="Outro Estilo Interno A",503,IF(Atletas!Q205="Xingyiquan B",504,IF(Atletas!Q205="Baguazhang B",505,IF(Atletas!Q205="Outro Estilo Interno B",506,IF(Atletas!Q205="Xingyiquan C",507,IF(Atletas!Q205="Baguazhang C",508,IF(Atletas!Q205="Outro Estilo Interno C",509,IF(Atletas!Q205="Xingyiquan D",510,IF(Atletas!Q205="Baguazhang D",511,IF(Atletas!Q205="Outro Estilo Interno D",512,IF(Atletas!Q205="Xingyiquan E",513,IF(Atletas!Q205="Baguazhang E",514,IF(Atletas!Q205="Outro Estilo Interno E",515,IF(Atletas!Q205="Xingyiquan F",516,IF(Atletas!Q205="Baguazhang F",517,IF(Atletas!Q205="Outro Estilo Interno F",518, "")))))))))))))))))))</f>
        <v/>
      </c>
      <c r="BZ214" s="50" t="str">
        <f>IF(Atletas!R205="","",IF(Atletas!X205&lt;&gt;"",10000,0)+IF(Atletas!B205="Feminino",1000,IF(Atletas!B205="Masculino",2000,""))+IF(Atletas!R205="Dao A",601,IF(Atletas!R205="Jian A",602,IF(Atletas!R205="Bishou A",603,IF(Atletas!R205="Shanzi A",604,IF(Atletas!R205="Outra Arma Curta A",605,IF(Atletas!R205="Dao B",606,IF(Atletas!R205="Jian B",607,IF(Atletas!R205="Bishou B",608,IF(Atletas!R205="Shanzi B",609,IF(Atletas!R205="Outra Arma Curta B",610,IF(Atletas!R205="Dao C",611,IF(Atletas!R205="Jian C",612,IF(Atletas!R205="Bishou C",613,IF(Atletas!R205="Shanzi C",614,IF(Atletas!R205="Outra Arma Curta C",615,IF(Atletas!R205="Dao D",616,IF(Atletas!R205="Jian D",617,IF(Atletas!R205="Bishou D",618,IF(Atletas!R205="Shanzi D",619,IF(Atletas!R205="Outra Arma Curta D",620,IF(Atletas!R205="Dao E",621,IF(Atletas!R205="Jian E",622,IF(Atletas!R205="Bishou E",623,IF(Atletas!R205="Shanzi E",624,IF(Atletas!R205="Outra Arma Curta E",625,IF(Atletas!R205="Dao F",626,IF(Atletas!R205="Jian F",627,IF(Atletas!R205="Bishou F",628,IF(Atletas!R205="Shanzi F",629,IF(Atletas!R205="Outra Arma Curta F",630, "")))))))))))))))))))))))))))))))</f>
        <v/>
      </c>
      <c r="CA214" s="50" t="str">
        <f>IF(Atletas!S205="","",IF(Atletas!X205&lt;&gt;"",10000,0)+IF(Atletas!B205="Feminino",1000,IF(Atletas!B205="Masculino",2000,""))+IF(Atletas!S205="Gun A",701,IF(Atletas!S205="Qiang A",702,IF(Atletas!S205="Pudao / Guandao A",703,IF(Atletas!S205="Outra Arma Longa A",704,IF(Atletas!S205="Gun B",705,IF(Atletas!S205="Qiang B",706,IF(Atletas!S205="Pudao / Guandao B",707,IF(Atletas!S205="Outra Arma Longa B",708,IF(Atletas!S205="Gun C",709,IF(Atletas!S205="Qiang C",710,IF(Atletas!S205="Pudao / Guandao C",711,IF(Atletas!S205="Outra Arma Longa C",712,IF(Atletas!S205="Gun D",713,IF(Atletas!S205="Qiang D",714,IF(Atletas!S205="Pudao / Guandao D",715,IF(Atletas!S205="Outra Arma Longa D",716,IF(Atletas!S205="Gun E",717,IF(Atletas!S205="Qiang E",718,IF(Atletas!S205="Pudao / Guandao E",719,IF(Atletas!S205="Outra Arma Longa E",720,IF(Atletas!S205="Gun F",721,IF(Atletas!S205="Qiang F",722,IF(Atletas!S205="Pudao / Guandao F",723,IF(Atletas!S205="Outra Arma Longa F",724,"")))))))))))))))))))))))))</f>
        <v/>
      </c>
      <c r="CB214" s="50" t="str">
        <f>IF(Atletas!T205="","",IF(Atletas!X205&lt;&gt;"",10000,0)+IF(Atletas!B205="Feminino",1000,IF(Atletas!B205="Masculino",2000,""))+IF(Atletas!T205="Outra Arma Dupla A",801,IF(Atletas!T205="Arma Maleável A",802,IF(Atletas!T205="Outra Arma Dupla B",803,IF(Atletas!T205="Arma Maleável B",804,IF(Atletas!T205="Outra Arma Dupla C",805,IF(Atletas!T205="Arma Maleável C",806,IF(Atletas!T205="Outra Arma Dupla D",807,IF(Atletas!T205="Arma Maleável D",808,IF(Atletas!T205="Outra Arma Dupla E",809,IF(Atletas!T205="Arma Maleável E",810,IF(Atletas!T205="Outra Arma Dupla F",811,IF(Atletas!T205="Arma Maleável F",812,IF(Atletas!T205="Shuangdao A",813,IF(Atletas!T205="Shuangdao B",814,IF(Atletas!T205="Shuangdao C",815,IF(Atletas!T205="Shuangdao D",816,IF(Atletas!T205="Shuangdao E",817,IF(Atletas!T205="Shuangdao F",818,"")))))))))))))))))))</f>
        <v/>
      </c>
      <c r="CC214" s="50" t="str">
        <f>IF(Atletas!U205="","",IF(Atletas!X205&lt;&gt;"",10000,0)+IF(Atletas!B205="Feminino",1000,IF(Atletas!B205="Masculino",2000,""))+IF(OR(Atletas!U205="Taijijian Yang A",Atletas!U205="Taijijian Yang Standard A"),901,IF(OR(Atletas!U205="Taijijian Chen A", Atletas!U205="Taijijian Chen Standard A"),902,IF(Atletas!U205="Taijijian Sun A",903,IF(Atletas!U205="Taijijian Wu A",904,IF(Atletas!U205="Taijijian Wu-Hao A",905,IF(OR(Atletas!U205="Taijijian 32 A",Atletas!U205="Taijijian 42 A"),906,IF(OR(Atletas!U205="Taijijian Yang B",Atletas!U205="Taijijian Yang Standard B"),907,IF(OR(Atletas!U205="Taijijian Chen B", Atletas!U205="Taijijian Chen Standard B"),908,IF(Atletas!U205="Taijijian Sun B",909,IF(Atletas!U205="Taijijian Wu B",910,IF(Atletas!U205="Taijijian Wu-Hao B",911,IF(OR(Atletas!U205="Taijijian 32 B",Atletas!U205="Taijijian 42 B"),912,IF(OR(Atletas!U205="Taijijian Yang C",Atletas!U205="Taijijian Yang Standard C"),913,IF(OR(Atletas!U205="Taijijian Chen C", Atletas!U205="Taijijian Chen Standard C"),914,IF(Atletas!U205="Taijijian Sun C",915,IF(Atletas!U205="Taijijian Wu C",916,IF(Atletas!U205="Taijijian Wu-Hao C",917,IF(OR(Atletas!U205="Taijijian 32 C",Atletas!U205="Taijijian 42 C"),918,IF(OR(Atletas!U205="Taijijian Yang D",Atletas!U205="Taijijian Yang Standard D"),919,IF(OR(Atletas!U205="Taijijian Chen D", Atletas!U205="Taijijian Chen Standard D"),920,IF(Atletas!U205="Taijijian Sun D",921,IF(Atletas!U205="Taijijian Wu D",922,IF(Atletas!U205="Taijijian Wu-Hao D",923,IF(OR(Atletas!U205="Taijijian 32 D",Atletas!U205="Taijijian 42 D"),924,IF(OR(Atletas!U205="Taijijian Yang E",Atletas!U205="Taijijian Yang Standard E"),925,IF(OR(Atletas!U205="Taijijian Chen E", Atletas!U205="Taijijian Chen Standard E"),926,IF(Atletas!U205="Taijijian Sun E",927,IF(Atletas!U205="Taijijian Wu E",928,IF(Atletas!U205="Taijijian Wu-Hao E",929,IF(OR(Atletas!U205="Taijijian 32 E",Atletas!U205="Taijijian 42 E"),930,IF(OR(Atletas!U205="Taijijian Yang F",Atletas!U205="Taijijian Yang Standard F"),931,IF(OR(Atletas!U205="Taijijian Chen F", Atletas!U205="Taijijian Chen Standard F"),932,IF(Atletas!U205="Taijijian Sun F",933,IF(Atletas!U205="Taijijian Wu F",934,IF(Atletas!U205="Taijijian Wu-Hao F",935,IF(OR(Atletas!U205="Taijijian 32 F",Atletas!U205="Taijijian 42 F"),936,"")))))))))))))))))))))))))))))))))))))</f>
        <v/>
      </c>
      <c r="CD214" s="50" t="str">
        <f>IF(Atletas!V205="","",IF(Atletas!X205&lt;&gt;"",10000,0)+IF(Atletas!B205="Feminino",1000,IF(Atletas!B205="Masculino",2000,""))+IF(Atletas!V205="Taijidao A",937,IF(Atletas!V205="TaijiShanzi A",938,IF(Atletas!V205="Taijiqiang A",939,IF(Atletas!V205="Bagua de Arma A",940,IF(Atletas!V205="Xingyi de Arma A",941,IF(Atletas!V205="Taijidao B",942,IF(Atletas!V205="TaijiShanzi B",943,IF(Atletas!V205="Taijiqiang B",944,IF(Atletas!V205="Bagua de Arma B",945,IF(Atletas!V205="Xingyi de Arma B",946,IF(Atletas!V205="Taijidao C",947,IF(Atletas!V205="TaijiShanzi C",948,IF(Atletas!V205="Taijiqiang C",949,IF(Atletas!V205="Bagua de Arma C",950,IF(Atletas!V205="Xingyi de Arma C",951,IF(Atletas!V205="Taijidao D",952,IF(Atletas!V205="TaijiShanzi D",953,IF(Atletas!V205="Taijiqiang D",954,IF(Atletas!V205="Bagua de Arma D",955,IF(Atletas!V205="Xingyi de Arma D",956,IF(Atletas!V205="Taijidao E",957,IF(Atletas!V205="TaijiShanzi E",958,IF(Atletas!V205="Taijiqiang E",959,IF(Atletas!V205="Bagua de Arma E",960,IF(Atletas!V205="Xingyi de Arma E",961,IF(Atletas!V205="Taijidao F",962,IF(Atletas!V205="TaijiShanzi F",963,IF(Atletas!V205="Taijiqiang F",964,IF(Atletas!V205="Bagua de Arma F",965,IF(Atletas!V205="Xingyi de Arma F",966,"")))))))))))))))))))))))))))))))</f>
        <v/>
      </c>
      <c r="CE214" s="66" t="str">
        <f>IF(CF214&lt;&gt;"","Xingyiquan B","")</f>
        <v/>
      </c>
      <c r="CF214" s="66" t="str">
        <f>IF(COUNTIF(BR:CD,1504)&gt;0,COUNTIF(BR:CD,1504),"")</f>
        <v/>
      </c>
      <c r="CG214" s="66" t="str">
        <f>IF(CH214&lt;&gt;"","Xingyiquan B","")</f>
        <v/>
      </c>
      <c r="CH214" s="66" t="str">
        <f>IF(COUNTIF(BR:CD,2504)&gt;0,COUNTIF(BR:CD,2504),"")</f>
        <v/>
      </c>
      <c r="CI214" s="66" t="str">
        <f>IF(CJ214&lt;&gt;"","Xingyiquan D","")</f>
        <v/>
      </c>
      <c r="CJ214" s="66" t="str">
        <f>IF(COUNTIF(BR:CD,11446)&gt;0,COUNTIF(BR:CD,11446),"")</f>
        <v/>
      </c>
      <c r="CK214" s="66" t="str">
        <f>IF(CL214&lt;&gt;"","Xingyiquan D","")</f>
        <v/>
      </c>
      <c r="CL214" s="66" t="str">
        <f>IF(COUNTIF(BR:CD,12446)&gt;0,COUNTIF(BR:CD,12446),"")</f>
        <v/>
      </c>
      <c r="CM214" s="50" t="str">
        <f xml:space="preserve"> IF(Atletas!W205="","",IF(Atletas!W205="Duilian de Mãos BC - Equipe 1",1,IF(Atletas!W205="Duilian de Mãos BC - Equipe 2",2,IF(Atletas!W205="Duilian de Armas BC - Equipe 1",3,IF(Atletas!W205="Duilian de Armas BC - Equipe 2",4,IF(Atletas!W205="Duilian de Mãos DE - Equipe 1",5,IF(Atletas!W205="Duilian de Mãos DE - Equipe 2",6,IF(Atletas!W205="Duilian de Armas DE - Equipe 1",7,IF(Atletas!W205="Duilian de Armas DE - Equipe 2",8,IF(Atletas!W205="Duilian de Tuishou - Equipe 1",9,IF(Atletas!W205="Duilian de Tuishou - Equipe 2",10,IF(Atletas!W205="Grupo Externo ABC - Equipe 1",11,IF(Atletas!W205="Grupo Externo ABC - Equipe 2",12,IF(Atletas!W205="Grupo Interno ABC - Equipe 1",13,IF(Atletas!W205="Grupo Interno ABC - Equipe 2",14,IF(Atletas!W205="Grupo Externo DEF - Equipe 1",15,IF(Atletas!W205="Grupo Externo DEF - Equipe 2",16,IF(Atletas!W205="Grupo Interno DEF - Equipe 1",17,IF(Atletas!W205="Grupo Interno DEF - Equipe 2",18,"")))))))))))))))))))</f>
        <v/>
      </c>
    </row>
    <row r="215" spans="2:91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 t="str">
        <f t="array" ref="Z215">IFERROR(INDEX(CE$7:CE$348,SMALL(IF(CE$7:CE$348&lt;&gt;"",ROW(CE$7:CE$348)-ROW(CE$7)+1),ROWS(CE$7:CE214))),"")</f>
        <v/>
      </c>
      <c r="AA215" s="3" t="str">
        <f t="array" ref="AA215">IFERROR(INDEX(CF$7:CF$348,SMALL(IF(CF$7:CF$348&lt;&gt;"",ROW(CF$7:CF$348)-ROW(CF$7)+1),ROWS(CF$7:CF214))),"")</f>
        <v/>
      </c>
      <c r="AB215" s="3" t="str">
        <f t="array" ref="AB215">IFERROR(INDEX(CG$7:CG$348,SMALL(IF(CG$7:CG$348&lt;&gt;"",ROW(CG$7:CG$348)-ROW(CG$7)+1),ROWS(CG$7:CG214))),"")</f>
        <v/>
      </c>
      <c r="AC215" s="3" t="str">
        <f t="array" ref="AC215">IFERROR(INDEX(CH$7:CH$348,SMALL(IF(CH$7:CH$348&lt;&gt;"",ROW(CH$7:CH$348)-ROW(CH$7)+1),ROWS(CH$7:CH214))),"")</f>
        <v/>
      </c>
      <c r="AD215" s="3" t="str">
        <f t="array" ref="AD215">IFERROR(INDEX(CI$7:CI$377,SMALL(IF(CI$7:CI$377&lt;&gt;"",ROW(CI$7:CI$377)-ROW(CI$7)+1),ROWS(CI$7:CI214))),"")</f>
        <v/>
      </c>
      <c r="AE215" s="3" t="str">
        <f t="array" ref="AE215">IFERROR(INDEX(CJ$7:CJ$378,SMALL(IF(CJ$7:CJ$378&lt;&gt;"",ROW(CJ$7:CJ$378)-ROW(CJ$7)+1),ROWS(CJ$7:CJ214))),"")</f>
        <v/>
      </c>
      <c r="AF215" s="3" t="str">
        <f t="array" ref="AF215">IFERROR(INDEX(CK$7:CK$378,SMALL(IF(CK$7:CK$378&lt;&gt;"",ROW(CK$7:CK$378)-ROW(CK$7)+1),ROWS(CK$7:CK214))),"")</f>
        <v/>
      </c>
      <c r="AG215" s="3" t="str">
        <f t="array" ref="AG215">IFERROR(INDEX(CL$7:CL$378,SMALL(IF(CL$7:CL$378&lt;&gt;"",ROW(CL$7:CL$378)-ROW(CL$7)+1),ROWS(CL$7:CL214))),"")</f>
        <v/>
      </c>
      <c r="AH215" s="3"/>
      <c r="AI215" s="3"/>
      <c r="AJ215" s="3"/>
      <c r="AK215" s="3"/>
      <c r="AL215" s="3"/>
      <c r="AM215" s="3"/>
      <c r="AN215" s="52" t="str">
        <f>IF(Atletas!D206="","",IF(Atletas!B206="Feminino",100,IF(Atletas!B206="Masculino",200,""))+(IF(Atletas!D206="Kids 30kg",1,IF(Atletas!D206="Kids 32kg",2, IF(Atletas!D206="Kids 34kg",3,IF(Atletas!D206="Kids 36kg",4,IF(Atletas!D206="Kids 39kg",5,IF(Atletas!D206="Kids 42kg",6,IF(Atletas!D206="Kids 45kg",7, IF(Atletas!D206="Infantil 39kg",8,IF(Atletas!D206="Infantil 42kg",9,IF(Atletas!D206="Infantil 45kg",10,IF(Atletas!D206="Infantil 48kg",11,IF(Atletas!D206="Infantil 52kg",12,IF(Atletas!D206="Infantil 56kg",13,IF(Atletas!D206="Infantil 60kg",14,IF(Atletas!D206="Juvenil 48kg",15,IF(Atletas!D206="Juvenil 52kg",16,IF(Atletas!D206="Juvenil 56kg",17,IF(Atletas!D206="Juvenil 60kg",18,IF(Atletas!D206="Juvenil 65kg",19,IF(Atletas!D206="Juvenil 70kg",20,IF(Atletas!D206="Juvenil 75kg",21,IF(Atletas!D206="Juvenil 80kg",22, IF(Atletas!D206="Juvenil 85kg",23,IF(Atletas!D206="Adulto 48kg",24,IF(Atletas!D206="Adulto 52kg",25,IF(Atletas!D206="Adulto 56kg",26,IF(Atletas!D206="Adulto 60kg",27,IF(Atletas!D206="Adulto 65kg",28,IF(Atletas!D206="Adulto 70kg",29,IF(Atletas!D206="Adulto 75kg",30,IF(Atletas!D206="Adulto 80kg",31,IF(Atletas!D206="Adulto 85kg",32,IF(Atletas!D206="Adulto 90kg",33,IF(Atletas!D206="Adulto 100kg",34, IF(Atletas!D206="Adulto +100kg",35,"")))))))))))))))))))))))))))))))))))))</f>
        <v/>
      </c>
      <c r="AS215" s="6" t="str">
        <f>IF(Atletas!E206="","",IF(Atletas!B206="Feminino",100,IF(Atletas!B206="Masculino",200,""))+(IF(Atletas!E206="Juvenil 44kg",1,IF(Atletas!E206="Juvenil 48kg",2,IF(Atletas!E206="Juvenil 52kg",3,IF(Atletas!E206="Juvenil 56kg",4,IF(Atletas!E206="Juvenil 60kg",5,IF(Atletas!E206="Juvenil 65kg",6,IF(Atletas!E206="Juvenil 70kg",7,IF(Atletas!E206="Juvenil 75kg",8,IF(Atletas!E206="Juvenil 82kg",9,IF(Atletas!E206="Juvenil 90kg",10,IF(Atletas!E206="Juvenil 100kg",11,IF(Atletas!E206="Adulto 48kg",12,IF(Atletas!E206="Adulto 52kg",13,IF(Atletas!E206="Adulto 56kg",14,IF(Atletas!E206="Adulto 60kg",15,IF(Atletas!E206="Adulto 65kg",16,IF(Atletas!E206="Adulto 70kg",17,IF(Atletas!E206="Adulto 75kg",18,IF(Atletas!E206="Adulto 82kg",19,IF(Atletas!E206="Adulto 90kg",20,IF(Atletas!E206="Adulto 100kg",21,IF(Atletas!E206="Adulto +100kg",22,""))))))))))))))))))))))))</f>
        <v/>
      </c>
      <c r="AX215" s="6" t="str">
        <f>IF(Atletas!F206="","",IF(Atletas!B206="Feminino",100,IF(Atletas!B206="Masculino",200,""))+(IF(Atletas!F206="Adulto 48kg",1,IF(Atletas!F206="Adulto 56kg",2,IF(Atletas!F206="Adulto 65kg",3,IF(Atletas!F206="Adulto 75kg",4,IF(Atletas!F206="Adulto +75kg",5,IF(Atletas!F206="Adulto 52kg",6,IF(Atletas!F206="Adulto 60kg",7,IF(Atletas!F206="Adulto 70kg",8,IF(Atletas!F206="Adulto 80kg",9,IF(Atletas!F206="Adulto 90kg",10,IF(Atletas!F206="Adulto +90kg",11,"")))))))))))))</f>
        <v/>
      </c>
      <c r="BC215" s="6" t="str">
        <f>IF(Atletas!G206="","",IF(Atletas!B206="Feminino",10,IF(Atletas!B206="Masculino",20,""))+(IF(Atletas!G206="Baduanjin A",1,IF(Atletas!G206="Baduanjin B",2))))</f>
        <v/>
      </c>
      <c r="BF215" s="52" t="str">
        <f>IF(Atletas!H206="","",IF(Atletas!B206="Feminino",100,IF(Atletas!B206="Masculino",200,""))+(IF(Atletas!H206="Changquan Mirim",1,IF(Atletas!H206="Nanquan Mirim",2,IF(Atletas!H206="Taijiquan Mirim",3,IF(Atletas!H206="Changquan Grupo C",4,IF(Atletas!H206="Nanquan Grupo C",5,IF(Atletas!H206="Taijiquan Grupo C",6,IF(Atletas!H206="Changquan Grupo B",7,IF(Atletas!H206="Nanquan Grupo B",8,IF(Atletas!H206="Taijiquan Grupo B",9,IF(Atletas!H206="Changquan Grupo A",10,IF(Atletas!H206="Nanquan Grupo A",11,IF(Atletas!H206="Taijiquan Grupo A",12,IF(Atletas!H206="Changquan Opcional",13,IF(Atletas!H206="Nanquan Opcional",14,IF(Atletas!H206="Taijiquan Opcional",15,IF(Atletas!H206="Changquan Adulto",16,IF(Atletas!H206="Nanquan Adulto",17,IF(Atletas!H206="Taijiquan Adulto",18,""))))))))))))))))))))</f>
        <v/>
      </c>
      <c r="BG215" s="52" t="str">
        <f>IF(Atletas!I206="","",IF(Atletas!B206="Feminino",100,IF(Atletas!B206="Masculino",200,""))+(IF(Atletas!I206="Daoshu Mirim",19,IF(Atletas!I206="Jianshu Mirim",20,IF(Atletas!I206="Nandao Mirim",21,IF(Atletas!I206="Taijijian Mirim",22,IF(Atletas!I206="Daoshu Grupo C",23,IF(Atletas!I206="Jianshu Grupo C",24,IF(Atletas!I206="Nandao Grupo C",25,IF(Atletas!I206="Taijijian Grupo C",26,IF(Atletas!I206="Daoshu Grupo B",27,IF(Atletas!I206="Jianshu Grupo B",28,IF(Atletas!I206="Nandao Grupo B",29,IF(Atletas!I206="Taijijian Grupo B",30,IF(Atletas!I206="Daoshu Grupo A",31,IF(Atletas!I206="Jianshu Grupo A",32,IF(Atletas!I206="Nandao Grupo A",33,IF(Atletas!I206="Taijijian Grupo A",34,IF(Atletas!I206="Daoshu Opcional",35,IF(Atletas!I206="Jianshu Opcional",36,IF(Atletas!I206="Nandao Opcional",37,IF(Atletas!I206="Taijijian Opcional",38,IF(Atletas!I206="Daoshu Adulto",39,IF(Atletas!I206="Jianshu Adulto",40,IF(Atletas!I206="Nandao Adulto",41,IF(Atletas!I206="Taijijian Adulto",42,""))))))))))))))))))))))))))</f>
        <v/>
      </c>
      <c r="BH215" s="52" t="str">
        <f>IF(Atletas!J206="","",IF(Atletas!B206="Feminino",100,IF(Atletas!B206="Masculino",200,""))+(IF(Atletas!J206="Gunshu Mirim",43,IF(Atletas!J206="Qiangshu Mirim",44,IF(Atletas!J206="Nangun Mirim",45,IF(Atletas!J206="Gunshu Grupo C",46,IF(Atletas!J206="Qiangshu Grupo C",47,IF(Atletas!J206="Nangun Grupo C",48,IF(Atletas!J206="Gunshu Grupo B",49,IF(Atletas!J206="Qiangshu Grupo B",50,IF(Atletas!J206="Nangun Grupo B",51,IF(Atletas!J206="Gunshu Grupo A",52,IF(Atletas!J206="Qiangshu Grupo A",53,IF(Atletas!J206="Nangun Grupo A",54,IF(Atletas!J206="Gunshu Opcional",55,IF(Atletas!J206="Qiangshu Opcional",56,IF(Atletas!J206="Nangun Opcional",57,IF(Atletas!J206="Gunshu Adulto",58,IF(Atletas!J206="Qiangshu Adulto",59,IF(Atletas!J206="Nangun Adulto",60,IF(Atletas!J206="Taijishan Grupo B",61,IF(Atletas!J206="Taijishan Grupo A",62,""))))))))))))))))))))))</f>
        <v/>
      </c>
      <c r="BM215" s="50" t="str">
        <f>IF(Atletas!K206="","",IF(Atletas!B206="Feminino",100,IF(Atletas!B206="Masculino",200,""))+(IF(Atletas!K206="Equipe 1 Grupo B",1,IF(Atletas!K206="Equipe 2 Grupo B",2,IF(Atletas!K206="Equipe 1 Grupo A",3,IF(Atletas!K206="Equipe 2 Grupo A",4,IF(Atletas!K206="Equipe 1 Adulto",5,IF(Atletas!K206="Equipe 2 Adulto",6,""))))))))</f>
        <v/>
      </c>
      <c r="BR215" s="50" t="str">
        <f>IF(Atletas!L206="","",IF(Atletas!X206&lt;&gt;"",10000,0)+(IF(Atletas!B206="Feminino",1000,IF(Atletas!B206="Masculino",2000,""))+IF(Atletas!L206="Choylayfut A",1,IF(Atletas!L206="Hunggar A",2,IF(Atletas!L206="Wuzuquan A",3,IF(Atletas!L206="Wingchun A",4,IF(Atletas!L206="Outra Mão de Sul A",5,IF(Atletas!L206="Choylayfut B",6,IF(Atletas!L206="Hunggar B",7,IF(Atletas!L206="Wuzuquan B",8,IF(Atletas!L206="Wingchun B",9,IF(Atletas!L206="Outra Mão de Sul B",10,IF(Atletas!L206="Choylayfut C",11,IF(Atletas!L206="Hunggar C",12,IF(Atletas!L206="Wuzuquan C",13,IF(Atletas!L206="Wingchun C",14,IF(Atletas!L206="Outra Mão de Sul C",15,IF(Atletas!L206="Choylayfut D",16,IF(Atletas!L206="Hunggar D",17,IF(Atletas!L206="Wuzuquan D",18,IF(Atletas!L206="Wingchun D",19,IF(Atletas!L206="Outra Mão de Sul D",20,IF(Atletas!L206="Choylayfut E",21,IF(Atletas!L206="Hunggar E",22,IF(Atletas!L206="Wuzuquan E",23,IF(Atletas!L206="Wingchun E",24,IF(Atletas!L206="Outra Mão de Sul E",25,IF(Atletas!L206="Choylayfut F",26,IF(Atletas!L206="Hunggar F",27,IF(Atletas!L206="Wuzuquan F",28,IF(Atletas!L206="Wingchun F",29,IF(Atletas!L206="Outra Mão de Sul F",30,IF(Atletas!L206="Dishuquan A",31,IF(Atletas!L206="Dishuquan B",32,IF(Atletas!L206="Dishuquan C",33,IF(Atletas!L206="Dishuquan D",34,IF(Atletas!L206="Dishuquan E",35,IF(Atletas!L206="Dishuquan F",36,""))))))))))))))))))))))))))))))))))))))</f>
        <v/>
      </c>
      <c r="BS215" s="50" t="str">
        <f>IF(Atletas!M206="","",IF(Atletas!X206&lt;&gt;"",10000,0)+(IF(Atletas!B206="Feminino",1000,IF(Atletas!B206="Masculino",2000,""))+(IF(Atletas!M206="Chaquan A",101,IF(Atletas!M206="Emeiquan A",102,IF(Atletas!M206="Fanziquan A",103,IF(Atletas!M206="Huaquan A",104,IF(Atletas!M206="Hongquan A",105,IF(Atletas!M206="Paoquan A",106,IF(Atletas!M206="Piguaquan A",107,IF(Atletas!M206="Shaolinquan A",108,IF(Atletas!M206="Tanglangquan A",109,IF(Atletas!M206="Yingzhaoquan A",110,IF(Atletas!M206="Tongbeiquan A",111,IF(Atletas!M206="Wudangquan A",112,IF(Atletas!M206="Outros Estilos A",113,IF(Atletas!M206="Chaquan B",114,IF(Atletas!M206="Emeiquan B",115,IF(Atletas!M206="Fanziquan B",116,IF(Atletas!M206="Huaquan B",117,IF(Atletas!M206="Hongquan B",118,IF(Atletas!M206="Paoquan B",119,IF(Atletas!M206="Piguaquan B",120,IF(Atletas!M206="Shaolinquan B",121,IF(Atletas!M206="Tanglangquan B",122,IF(Atletas!M206="Yingzhaoquan B",123,IF(Atletas!M206="Tongbeiquan B",124,IF(Atletas!M206="Wudangquan B",125,IF(Atletas!M206="Outros Estilos B",126,IF(Atletas!M206="Chaquan C",127,IF(Atletas!M206="Emeiquan C",128,IF(Atletas!M206="Fanziquan C",129,IF(Atletas!M206="Huaquan C",130,IF(Atletas!M206="Hongquan C",131,IF(Atletas!M206="Paoquan C",132,IF(Atletas!M206="Piguaquan C",133,IF(Atletas!M206="Shaolinquan C",134,IF(Atletas!M206="Tanglangquan C",135,IF(Atletas!M206="Yingzhaoquan C",136,IF(Atletas!M206="Tongbeiquan C",137,IF(Atletas!M206="Wudangquan C",138,IF(Atletas!M206="Outros Estilos C",139,0))))))))))))))))))))))))))))))))))))))))))</f>
        <v/>
      </c>
      <c r="BT215" s="50" t="str">
        <f>IF(Atletas!M206="","",IF(Atletas!X206&lt;&gt;"",10000,0)+(IF(Atletas!B206="Feminino",1000,IF(Atletas!B206="Masculino",2000,""))+(IF(Atletas!M206="Chaquan D",140,IF(Atletas!M206="Emeiquan D",141,IF(Atletas!M206="Fanziquan D",142,IF(Atletas!M206="Huaquan D",143,IF(Atletas!M206="Hongquan D",144,IF(Atletas!M206="Paoquan D",145,IF(Atletas!M206="Piguaquan D",146,IF(Atletas!M206="Shaolinquan D",147,IF(Atletas!M206="Tanglangquan D",148,IF(Atletas!M206="Yingzhaoquan D",149,IF(Atletas!M206="Tongbeiquan D",150,IF(Atletas!M206="Wudangquan D",151,IF(Atletas!M206="Outros Estilos D",152,IF(Atletas!M206="Chaquan E",153,IF(Atletas!M206="Emeiquan E",154,IF(Atletas!M206="Fanziquan E",155,IF(Atletas!M206="Huaquan E",156,IF(Atletas!M206="Hongquan E",157,IF(Atletas!M206="Paoquan E",158,IF(Atletas!M206="Piguaquan E",159,IF(Atletas!M206="Shaolinquan E",160,IF(Atletas!M206="Tanglangquan E",161,IF(Atletas!M206="Yingzhaoquan E",162,IF(Atletas!M206="Tongbeiquan E",163,IF(Atletas!M206="Wudangquan E",164,IF(Atletas!M206="Outros Estilos E",165,IF(Atletas!M206="Chaquan F",166,IF(Atletas!M206="Emeiquan F",167,IF(Atletas!M206="Fanziquan F",168,IF(Atletas!M206="Huaquan F",169,IF(Atletas!M206="Hongquan F",170,IF(Atletas!M206="Paoquan F",171,IF(Atletas!M206="Piguaquan F",172,IF(Atletas!M206="Shaolinquan F",173,IF(Atletas!M206="Tanglangquan F",174,IF(Atletas!M206="Yingzhaoquan F",175,IF(Atletas!M206="Tongbeiquan F",176,IF(Atletas!M206="Wudangquan F",177,IF(Atletas!M206="Outros Estilos F",178,0))))))))))))))))))))))))))))))))))))))))))</f>
        <v/>
      </c>
      <c r="BU215" s="50" t="str">
        <f>IF(Atletas!N206="","",IF(Atletas!X206&lt;&gt;"",10000,0)+(IF(Atletas!B206="Feminino",1000,IF(Atletas!B206="Masculino",2000,""))+(IF(Atletas!N206="Ditangquan A",201,IF(Atletas!N206="Houquan A",202,IF(Atletas!N206="Zuiquan A",203,IF(Atletas!N206="Ditangquan B",204,IF(Atletas!N206="Houquan B",205,IF(Atletas!N206="Zuiquan B",206,IF(Atletas!N206="Ditangquan C",207,IF(Atletas!N206="Houquan C",208,IF(Atletas!N206="Zuiquan C",209,IF(Atletas!N206="Ditangquan D",210,IF(Atletas!N206="Houquan D",211,IF(Atletas!N206="Zuiquan D",212,IF(Atletas!N206="Ditangquan E",213,IF(Atletas!N206="Houquan E",214,IF(Atletas!N206="Zuiquan E",215,IF(Atletas!N206="Ditangquan F",216,IF(Atletas!N206="Houquan F",217,IF(Atletas!N206="Zuiquan F",218,"")))))))))))))))))))))</f>
        <v/>
      </c>
      <c r="BV215" s="50" t="str">
        <f>IF(Atletas!O206="","",IF(Atletas!X206&lt;&gt;"",10000,0)+IF(Atletas!B206="Feminino",1000,IF(Atletas!B206="Masculino",2000,""))+IF(Atletas!O206="Yang A",301,IF(Atletas!O206="Chen A",302,IF(Atletas!O206="Sun A",303,IF(Atletas!O206="Wu A",304,IF(Atletas!O206="Wu-Hao A",305,IF(Atletas!O206="Outro Taijiquan A",306,IF(Atletas!O206="Yang B",307,IF(Atletas!O206="Chen B",308,IF(Atletas!O206="Sun B",309,IF(Atletas!O206="Wu B",310,IF(Atletas!O206="Wu-Hao B",311,IF(Atletas!O206="Outro Taijiquan B",312,IF(Atletas!O206="Yang C",313,IF(Atletas!O206="Chen C",314,IF(Atletas!O206="Sun C",315,IF(Atletas!O206="Wu C",316,IF(Atletas!O206="Wu-Hao C",317,IF(Atletas!O206="Outro Taijiquan C",318,IF(Atletas!O206="Yang D",319,IF(Atletas!O206="Chen D",320,IF(Atletas!O206="Sun D",321,IF(Atletas!O206="Wu D",322,IF(Atletas!O206="Wu-Hao D",323,IF(Atletas!O206="Outro Taijiquan D",324,IF(Atletas!O206="Yang E",325,IF(Atletas!O206="Chen E",326,IF(Atletas!O206="Sun E",327,IF(Atletas!O206="Wu E",328,IF(Atletas!O206="Wu-Hao E",329,IF(Atletas!O206="Outro Taijiquan E",330,IF(Atletas!O206="Yang F",331,IF(Atletas!O206="Chen F",332,IF(Atletas!O206="Sun F",333,IF(Atletas!O206="Wu F",334,IF(Atletas!O206="Wu-Hao F",335,IF(Atletas!O206="Outro Taijiquan F",336,"")))))))))))))))))))))))))))))))))))))</f>
        <v/>
      </c>
      <c r="BW215" s="50" t="str">
        <f>IF(Atletas!P206="","",IF(Atletas!X206&lt;&gt;"",10000,0)+IF(Atletas!B206="Feminino",1000,IF(Atletas!B206="Masculino",2000,""))+IF(OR(Atletas!P206="Yang 26 A",Atletas!P206="Yang 40 A"),401,IF(OR(Atletas!P206="Chen 25 A",Atletas!P206="Chen 36 A",Atletas!P206="Chen 56 A"),402,IF(Atletas!P206="Sun 73 A",403,IF(Atletas!P206="Wu 45 A",404,IF(Atletas!P206="Wu-Hao 46 A",405,IF(OR(Atletas!P206="Taijiquan 16 A",Atletas!P206="Taijiquan 24 A",Atletas!P206="Taijiquan 32 A",Atletas!P206="Taijiquan 42 A"),406,IF(OR(Atletas!P206="Yang 26 B",Atletas!P206="Yang 40 B"),407,IF(OR(Atletas!P206="Chen 25 B",Atletas!P206="Chen 36 B",Atletas!P206="Chen 56 B"),408,IF(Atletas!P206="Sun 73 B",409,IF(Atletas!P206="Wu 45 B",410,IF(Atletas!P206="Wu-Hao 46 B",411,IF(OR(Atletas!P206="Taijiquan 16 B",Atletas!P206="Taijiquan 24 B",Atletas!P206="Taijiquan 32 B",Atletas!P206="Taijiquan 42 B"),412,IF(OR(Atletas!P206="Yang 26 C",Atletas!P206="Yang 40 C"),413,IF(OR(Atletas!P206="Chen 25 C",Atletas!P206="Chen 36 C",Atletas!P206="Chen 56 C"),414,IF(Atletas!P206="Sun 73 C",415,IF(Atletas!P206="Wu 45 C",416,IF(Atletas!P206="Wu-Hao 46 C",417,IF(OR(Atletas!P206="Taijiquan 16 C",Atletas!P206="Taijiquan 24 C",Atletas!P206="Taijiquan 32 C",Atletas!P206="Taijiquan 42 C"),418,0)))))))))))))))))))</f>
        <v/>
      </c>
      <c r="BX215" s="50" t="str">
        <f>IF(Atletas!P206="","",IF(Atletas!X206&lt;&gt;"",10000,0)+IF(Atletas!B206="Feminino",1000,IF(Atletas!B206="Masculino",2000,""))+IF(OR(Atletas!P206="Yang 26 D",Atletas!P206="Yang 40 D"),419,IF(OR(Atletas!P206="Chen 25 D",Atletas!P206="Chen 36 D",Atletas!P206="Chen 56 D"),420,IF(Atletas!P206="Sun 73 D",421,IF(Atletas!P206="Wu 45 D",422,IF(Atletas!P206="Wu-Hao 46 D",423,IF(OR(Atletas!P206="Taijiquan 16 D",Atletas!P206="Taijiquan 24 D",Atletas!P206="Taijiquan 32 D",Atletas!P206="Taijiquan 42 D"),424,IF(OR(Atletas!P206="Yang 26 E",Atletas!P206="Yang 40 E"),425,IF(OR(Atletas!P206="Chen 25 E",Atletas!P206="Chen 36 E",Atletas!P206="Chen 56 E"),426,IF(Atletas!P206="Sun 73 E",427,IF(Atletas!P206="Wu 45 E",428,IF(Atletas!P206="Wu-Hao 46 E",429,IF(OR(Atletas!P206="Taijiquan 16 E",Atletas!P206="Taijiquan 24 E",Atletas!P206="Taijiquan 32 E",Atletas!P206="Taijiquan 42 E"),430,IF(OR(Atletas!P206="Yang 26 F",Atletas!P206="Yang 40 F"),431,IF(OR(Atletas!P206="Chen 25 F",Atletas!P206="Chen 36 F",Atletas!P206="Chen 56 F"),432,IF(Atletas!P206="Sun 73 F",433,IF(Atletas!P206="Wu 45 F",434,IF(Atletas!P206="Wu-Hao 46 F",435,IF(OR(Atletas!P206="Taijiquan 16 F",Atletas!P206="Taijiquan 24 F",Atletas!P206="Taijiquan 32 F",Atletas!P206="Taijiquan 42 F"),436,0)))))))))))))))))))</f>
        <v/>
      </c>
      <c r="BY215" s="50" t="str">
        <f>IF(Atletas!Q206="","",IF(Atletas!X206&lt;&gt;"",10000,0)+IF(Atletas!B206="Feminino",1000,IF(Atletas!B206="Masculino",2000,""))+IF(Atletas!Q206="Xingyiquan A",501,IF(Atletas!Q206="Baguazhang A",502,IF(Atletas!Q206="Outro Estilo Interno A",503,IF(Atletas!Q206="Xingyiquan B",504,IF(Atletas!Q206="Baguazhang B",505,IF(Atletas!Q206="Outro Estilo Interno B",506,IF(Atletas!Q206="Xingyiquan C",507,IF(Atletas!Q206="Baguazhang C",508,IF(Atletas!Q206="Outro Estilo Interno C",509,IF(Atletas!Q206="Xingyiquan D",510,IF(Atletas!Q206="Baguazhang D",511,IF(Atletas!Q206="Outro Estilo Interno D",512,IF(Atletas!Q206="Xingyiquan E",513,IF(Atletas!Q206="Baguazhang E",514,IF(Atletas!Q206="Outro Estilo Interno E",515,IF(Atletas!Q206="Xingyiquan F",516,IF(Atletas!Q206="Baguazhang F",517,IF(Atletas!Q206="Outro Estilo Interno F",518, "")))))))))))))))))))</f>
        <v/>
      </c>
      <c r="BZ215" s="50" t="str">
        <f>IF(Atletas!R206="","",IF(Atletas!X206&lt;&gt;"",10000,0)+IF(Atletas!B206="Feminino",1000,IF(Atletas!B206="Masculino",2000,""))+IF(Atletas!R206="Dao A",601,IF(Atletas!R206="Jian A",602,IF(Atletas!R206="Bishou A",603,IF(Atletas!R206="Shanzi A",604,IF(Atletas!R206="Outra Arma Curta A",605,IF(Atletas!R206="Dao B",606,IF(Atletas!R206="Jian B",607,IF(Atletas!R206="Bishou B",608,IF(Atletas!R206="Shanzi B",609,IF(Atletas!R206="Outra Arma Curta B",610,IF(Atletas!R206="Dao C",611,IF(Atletas!R206="Jian C",612,IF(Atletas!R206="Bishou C",613,IF(Atletas!R206="Shanzi C",614,IF(Atletas!R206="Outra Arma Curta C",615,IF(Atletas!R206="Dao D",616,IF(Atletas!R206="Jian D",617,IF(Atletas!R206="Bishou D",618,IF(Atletas!R206="Shanzi D",619,IF(Atletas!R206="Outra Arma Curta D",620,IF(Atletas!R206="Dao E",621,IF(Atletas!R206="Jian E",622,IF(Atletas!R206="Bishou E",623,IF(Atletas!R206="Shanzi E",624,IF(Atletas!R206="Outra Arma Curta E",625,IF(Atletas!R206="Dao F",626,IF(Atletas!R206="Jian F",627,IF(Atletas!R206="Bishou F",628,IF(Atletas!R206="Shanzi F",629,IF(Atletas!R206="Outra Arma Curta F",630, "")))))))))))))))))))))))))))))))</f>
        <v/>
      </c>
      <c r="CA215" s="50" t="str">
        <f>IF(Atletas!S206="","",IF(Atletas!X206&lt;&gt;"",10000,0)+IF(Atletas!B206="Feminino",1000,IF(Atletas!B206="Masculino",2000,""))+IF(Atletas!S206="Gun A",701,IF(Atletas!S206="Qiang A",702,IF(Atletas!S206="Pudao / Guandao A",703,IF(Atletas!S206="Outra Arma Longa A",704,IF(Atletas!S206="Gun B",705,IF(Atletas!S206="Qiang B",706,IF(Atletas!S206="Pudao / Guandao B",707,IF(Atletas!S206="Outra Arma Longa B",708,IF(Atletas!S206="Gun C",709,IF(Atletas!S206="Qiang C",710,IF(Atletas!S206="Pudao / Guandao C",711,IF(Atletas!S206="Outra Arma Longa C",712,IF(Atletas!S206="Gun D",713,IF(Atletas!S206="Qiang D",714,IF(Atletas!S206="Pudao / Guandao D",715,IF(Atletas!S206="Outra Arma Longa D",716,IF(Atletas!S206="Gun E",717,IF(Atletas!S206="Qiang E",718,IF(Atletas!S206="Pudao / Guandao E",719,IF(Atletas!S206="Outra Arma Longa E",720,IF(Atletas!S206="Gun F",721,IF(Atletas!S206="Qiang F",722,IF(Atletas!S206="Pudao / Guandao F",723,IF(Atletas!S206="Outra Arma Longa F",724,"")))))))))))))))))))))))))</f>
        <v/>
      </c>
      <c r="CB215" s="50" t="str">
        <f>IF(Atletas!T206="","",IF(Atletas!X206&lt;&gt;"",10000,0)+IF(Atletas!B206="Feminino",1000,IF(Atletas!B206="Masculino",2000,""))+IF(Atletas!T206="Outra Arma Dupla A",801,IF(Atletas!T206="Arma Maleável A",802,IF(Atletas!T206="Outra Arma Dupla B",803,IF(Atletas!T206="Arma Maleável B",804,IF(Atletas!T206="Outra Arma Dupla C",805,IF(Atletas!T206="Arma Maleável C",806,IF(Atletas!T206="Outra Arma Dupla D",807,IF(Atletas!T206="Arma Maleável D",808,IF(Atletas!T206="Outra Arma Dupla E",809,IF(Atletas!T206="Arma Maleável E",810,IF(Atletas!T206="Outra Arma Dupla F",811,IF(Atletas!T206="Arma Maleável F",812,IF(Atletas!T206="Shuangdao A",813,IF(Atletas!T206="Shuangdao B",814,IF(Atletas!T206="Shuangdao C",815,IF(Atletas!T206="Shuangdao D",816,IF(Atletas!T206="Shuangdao E",817,IF(Atletas!T206="Shuangdao F",818,"")))))))))))))))))))</f>
        <v/>
      </c>
      <c r="CC215" s="50" t="str">
        <f>IF(Atletas!U206="","",IF(Atletas!X206&lt;&gt;"",10000,0)+IF(Atletas!B206="Feminino",1000,IF(Atletas!B206="Masculino",2000,""))+IF(OR(Atletas!U206="Taijijian Yang A",Atletas!U206="Taijijian Yang Standard A"),901,IF(OR(Atletas!U206="Taijijian Chen A", Atletas!U206="Taijijian Chen Standard A"),902,IF(Atletas!U206="Taijijian Sun A",903,IF(Atletas!U206="Taijijian Wu A",904,IF(Atletas!U206="Taijijian Wu-Hao A",905,IF(OR(Atletas!U206="Taijijian 32 A",Atletas!U206="Taijijian 42 A"),906,IF(OR(Atletas!U206="Taijijian Yang B",Atletas!U206="Taijijian Yang Standard B"),907,IF(OR(Atletas!U206="Taijijian Chen B", Atletas!U206="Taijijian Chen Standard B"),908,IF(Atletas!U206="Taijijian Sun B",909,IF(Atletas!U206="Taijijian Wu B",910,IF(Atletas!U206="Taijijian Wu-Hao B",911,IF(OR(Atletas!U206="Taijijian 32 B",Atletas!U206="Taijijian 42 B"),912,IF(OR(Atletas!U206="Taijijian Yang C",Atletas!U206="Taijijian Yang Standard C"),913,IF(OR(Atletas!U206="Taijijian Chen C", Atletas!U206="Taijijian Chen Standard C"),914,IF(Atletas!U206="Taijijian Sun C",915,IF(Atletas!U206="Taijijian Wu C",916,IF(Atletas!U206="Taijijian Wu-Hao C",917,IF(OR(Atletas!U206="Taijijian 32 C",Atletas!U206="Taijijian 42 C"),918,IF(OR(Atletas!U206="Taijijian Yang D",Atletas!U206="Taijijian Yang Standard D"),919,IF(OR(Atletas!U206="Taijijian Chen D", Atletas!U206="Taijijian Chen Standard D"),920,IF(Atletas!U206="Taijijian Sun D",921,IF(Atletas!U206="Taijijian Wu D",922,IF(Atletas!U206="Taijijian Wu-Hao D",923,IF(OR(Atletas!U206="Taijijian 32 D",Atletas!U206="Taijijian 42 D"),924,IF(OR(Atletas!U206="Taijijian Yang E",Atletas!U206="Taijijian Yang Standard E"),925,IF(OR(Atletas!U206="Taijijian Chen E", Atletas!U206="Taijijian Chen Standard E"),926,IF(Atletas!U206="Taijijian Sun E",927,IF(Atletas!U206="Taijijian Wu E",928,IF(Atletas!U206="Taijijian Wu-Hao E",929,IF(OR(Atletas!U206="Taijijian 32 E",Atletas!U206="Taijijian 42 E"),930,IF(OR(Atletas!U206="Taijijian Yang F",Atletas!U206="Taijijian Yang Standard F"),931,IF(OR(Atletas!U206="Taijijian Chen F", Atletas!U206="Taijijian Chen Standard F"),932,IF(Atletas!U206="Taijijian Sun F",933,IF(Atletas!U206="Taijijian Wu F",934,IF(Atletas!U206="Taijijian Wu-Hao F",935,IF(OR(Atletas!U206="Taijijian 32 F",Atletas!U206="Taijijian 42 F"),936,"")))))))))))))))))))))))))))))))))))))</f>
        <v/>
      </c>
      <c r="CD215" s="50" t="str">
        <f>IF(Atletas!V206="","",IF(Atletas!X206&lt;&gt;"",10000,0)+IF(Atletas!B206="Feminino",1000,IF(Atletas!B206="Masculino",2000,""))+IF(Atletas!V206="Taijidao A",937,IF(Atletas!V206="TaijiShanzi A",938,IF(Atletas!V206="Taijiqiang A",939,IF(Atletas!V206="Bagua de Arma A",940,IF(Atletas!V206="Xingyi de Arma A",941,IF(Atletas!V206="Taijidao B",942,IF(Atletas!V206="TaijiShanzi B",943,IF(Atletas!V206="Taijiqiang B",944,IF(Atletas!V206="Bagua de Arma B",945,IF(Atletas!V206="Xingyi de Arma B",946,IF(Atletas!V206="Taijidao C",947,IF(Atletas!V206="TaijiShanzi C",948,IF(Atletas!V206="Taijiqiang C",949,IF(Atletas!V206="Bagua de Arma C",950,IF(Atletas!V206="Xingyi de Arma C",951,IF(Atletas!V206="Taijidao D",952,IF(Atletas!V206="TaijiShanzi D",953,IF(Atletas!V206="Taijiqiang D",954,IF(Atletas!V206="Bagua de Arma D",955,IF(Atletas!V206="Xingyi de Arma D",956,IF(Atletas!V206="Taijidao E",957,IF(Atletas!V206="TaijiShanzi E",958,IF(Atletas!V206="Taijiqiang E",959,IF(Atletas!V206="Bagua de Arma E",960,IF(Atletas!V206="Xingyi de Arma E",961,IF(Atletas!V206="Taijidao F",962,IF(Atletas!V206="TaijiShanzi F",963,IF(Atletas!V206="Taijiqiang F",964,IF(Atletas!V206="Bagua de Arma F",965,IF(Atletas!V206="Xingyi de Arma F",966,"")))))))))))))))))))))))))))))))</f>
        <v/>
      </c>
      <c r="CE215" s="66" t="str">
        <f>IF(CF215&lt;&gt;"","Baguazhang B ","")</f>
        <v/>
      </c>
      <c r="CF215" s="66" t="str">
        <f>IF(COUNTIF(BR:CD,1505)&gt;0,COUNTIF(BR:CD,1505),"")</f>
        <v/>
      </c>
      <c r="CG215" s="66" t="str">
        <f>IF(CH215&lt;&gt;"","Baguazhang B ","")</f>
        <v/>
      </c>
      <c r="CH215" s="66" t="str">
        <f>IF(COUNTIF(BR:CD,2505)&gt;0,COUNTIF(BR:CD,2505),"")</f>
        <v/>
      </c>
      <c r="CI215" s="66" t="str">
        <f>IF(CJ215&lt;&gt;"","Baguazhang D ","")</f>
        <v/>
      </c>
      <c r="CJ215" s="66" t="str">
        <f>IF(COUNTIF(BR:CD,11447)&gt;0,COUNTIF(BR:CD,11447),"")</f>
        <v/>
      </c>
      <c r="CK215" s="66" t="str">
        <f>IF(CL215&lt;&gt;"","Baguazhang D ","")</f>
        <v/>
      </c>
      <c r="CL215" s="66" t="str">
        <f>IF(COUNTIF(BR:CD,12447)&gt;0,COUNTIF(BR:CD,12447),"")</f>
        <v/>
      </c>
      <c r="CM215" s="50" t="str">
        <f xml:space="preserve"> IF(Atletas!W206="","",IF(Atletas!W206="Duilian de Mãos BC - Equipe 1",1,IF(Atletas!W206="Duilian de Mãos BC - Equipe 2",2,IF(Atletas!W206="Duilian de Armas BC - Equipe 1",3,IF(Atletas!W206="Duilian de Armas BC - Equipe 2",4,IF(Atletas!W206="Duilian de Mãos DE - Equipe 1",5,IF(Atletas!W206="Duilian de Mãos DE - Equipe 2",6,IF(Atletas!W206="Duilian de Armas DE - Equipe 1",7,IF(Atletas!W206="Duilian de Armas DE - Equipe 2",8,IF(Atletas!W206="Duilian de Tuishou - Equipe 1",9,IF(Atletas!W206="Duilian de Tuishou - Equipe 2",10,IF(Atletas!W206="Grupo Externo ABC - Equipe 1",11,IF(Atletas!W206="Grupo Externo ABC - Equipe 2",12,IF(Atletas!W206="Grupo Interno ABC - Equipe 1",13,IF(Atletas!W206="Grupo Interno ABC - Equipe 2",14,IF(Atletas!W206="Grupo Externo DEF - Equipe 1",15,IF(Atletas!W206="Grupo Externo DEF - Equipe 2",16,IF(Atletas!W206="Grupo Interno DEF - Equipe 1",17,IF(Atletas!W206="Grupo Interno DEF - Equipe 2",18,"")))))))))))))))))))</f>
        <v/>
      </c>
    </row>
    <row r="216" spans="2:91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 t="str">
        <f t="array" ref="Z216">IFERROR(INDEX(CE$7:CE$348,SMALL(IF(CE$7:CE$348&lt;&gt;"",ROW(CE$7:CE$348)-ROW(CE$7)+1),ROWS(CE$7:CE215))),"")</f>
        <v/>
      </c>
      <c r="AA216" s="3" t="str">
        <f t="array" ref="AA216">IFERROR(INDEX(CF$7:CF$348,SMALL(IF(CF$7:CF$348&lt;&gt;"",ROW(CF$7:CF$348)-ROW(CF$7)+1),ROWS(CF$7:CF215))),"")</f>
        <v/>
      </c>
      <c r="AB216" s="3" t="str">
        <f t="array" ref="AB216">IFERROR(INDEX(CG$7:CG$348,SMALL(IF(CG$7:CG$348&lt;&gt;"",ROW(CG$7:CG$348)-ROW(CG$7)+1),ROWS(CG$7:CG215))),"")</f>
        <v/>
      </c>
      <c r="AC216" s="3" t="str">
        <f t="array" ref="AC216">IFERROR(INDEX(CH$7:CH$348,SMALL(IF(CH$7:CH$348&lt;&gt;"",ROW(CH$7:CH$348)-ROW(CH$7)+1),ROWS(CH$7:CH215))),"")</f>
        <v/>
      </c>
      <c r="AD216" s="3" t="str">
        <f t="array" ref="AD216">IFERROR(INDEX(CI$7:CI$377,SMALL(IF(CI$7:CI$377&lt;&gt;"",ROW(CI$7:CI$377)-ROW(CI$7)+1),ROWS(CI$7:CI215))),"")</f>
        <v/>
      </c>
      <c r="AE216" s="3" t="str">
        <f t="array" ref="AE216">IFERROR(INDEX(CJ$7:CJ$378,SMALL(IF(CJ$7:CJ$378&lt;&gt;"",ROW(CJ$7:CJ$378)-ROW(CJ$7)+1),ROWS(CJ$7:CJ215))),"")</f>
        <v/>
      </c>
      <c r="AF216" s="3" t="str">
        <f t="array" ref="AF216">IFERROR(INDEX(CK$7:CK$378,SMALL(IF(CK$7:CK$378&lt;&gt;"",ROW(CK$7:CK$378)-ROW(CK$7)+1),ROWS(CK$7:CK215))),"")</f>
        <v/>
      </c>
      <c r="AG216" s="3" t="str">
        <f t="array" ref="AG216">IFERROR(INDEX(CL$7:CL$378,SMALL(IF(CL$7:CL$378&lt;&gt;"",ROW(CL$7:CL$378)-ROW(CL$7)+1),ROWS(CL$7:CL215))),"")</f>
        <v/>
      </c>
      <c r="AH216" s="3"/>
      <c r="AI216" s="3"/>
      <c r="AJ216" s="3"/>
      <c r="AK216" s="3"/>
      <c r="AL216" s="3"/>
      <c r="AM216" s="3"/>
      <c r="AN216" s="52" t="str">
        <f>IF(Atletas!D207="","",IF(Atletas!B207="Feminino",100,IF(Atletas!B207="Masculino",200,""))+(IF(Atletas!D207="Kids 30kg",1,IF(Atletas!D207="Kids 32kg",2, IF(Atletas!D207="Kids 34kg",3,IF(Atletas!D207="Kids 36kg",4,IF(Atletas!D207="Kids 39kg",5,IF(Atletas!D207="Kids 42kg",6,IF(Atletas!D207="Kids 45kg",7, IF(Atletas!D207="Infantil 39kg",8,IF(Atletas!D207="Infantil 42kg",9,IF(Atletas!D207="Infantil 45kg",10,IF(Atletas!D207="Infantil 48kg",11,IF(Atletas!D207="Infantil 52kg",12,IF(Atletas!D207="Infantil 56kg",13,IF(Atletas!D207="Infantil 60kg",14,IF(Atletas!D207="Juvenil 48kg",15,IF(Atletas!D207="Juvenil 52kg",16,IF(Atletas!D207="Juvenil 56kg",17,IF(Atletas!D207="Juvenil 60kg",18,IF(Atletas!D207="Juvenil 65kg",19,IF(Atletas!D207="Juvenil 70kg",20,IF(Atletas!D207="Juvenil 75kg",21,IF(Atletas!D207="Juvenil 80kg",22, IF(Atletas!D207="Juvenil 85kg",23,IF(Atletas!D207="Adulto 48kg",24,IF(Atletas!D207="Adulto 52kg",25,IF(Atletas!D207="Adulto 56kg",26,IF(Atletas!D207="Adulto 60kg",27,IF(Atletas!D207="Adulto 65kg",28,IF(Atletas!D207="Adulto 70kg",29,IF(Atletas!D207="Adulto 75kg",30,IF(Atletas!D207="Adulto 80kg",31,IF(Atletas!D207="Adulto 85kg",32,IF(Atletas!D207="Adulto 90kg",33,IF(Atletas!D207="Adulto 100kg",34, IF(Atletas!D207="Adulto +100kg",35,"")))))))))))))))))))))))))))))))))))))</f>
        <v/>
      </c>
      <c r="AS216" s="6" t="str">
        <f>IF(Atletas!E207="","",IF(Atletas!B207="Feminino",100,IF(Atletas!B207="Masculino",200,""))+(IF(Atletas!E207="Juvenil 44kg",1,IF(Atletas!E207="Juvenil 48kg",2,IF(Atletas!E207="Juvenil 52kg",3,IF(Atletas!E207="Juvenil 56kg",4,IF(Atletas!E207="Juvenil 60kg",5,IF(Atletas!E207="Juvenil 65kg",6,IF(Atletas!E207="Juvenil 70kg",7,IF(Atletas!E207="Juvenil 75kg",8,IF(Atletas!E207="Juvenil 82kg",9,IF(Atletas!E207="Juvenil 90kg",10,IF(Atletas!E207="Juvenil 100kg",11,IF(Atletas!E207="Adulto 48kg",12,IF(Atletas!E207="Adulto 52kg",13,IF(Atletas!E207="Adulto 56kg",14,IF(Atletas!E207="Adulto 60kg",15,IF(Atletas!E207="Adulto 65kg",16,IF(Atletas!E207="Adulto 70kg",17,IF(Atletas!E207="Adulto 75kg",18,IF(Atletas!E207="Adulto 82kg",19,IF(Atletas!E207="Adulto 90kg",20,IF(Atletas!E207="Adulto 100kg",21,IF(Atletas!E207="Adulto +100kg",22,""))))))))))))))))))))))))</f>
        <v/>
      </c>
      <c r="AX216" s="6" t="str">
        <f>IF(Atletas!F207="","",IF(Atletas!B207="Feminino",100,IF(Atletas!B207="Masculino",200,""))+(IF(Atletas!F207="Adulto 48kg",1,IF(Atletas!F207="Adulto 56kg",2,IF(Atletas!F207="Adulto 65kg",3,IF(Atletas!F207="Adulto 75kg",4,IF(Atletas!F207="Adulto +75kg",5,IF(Atletas!F207="Adulto 52kg",6,IF(Atletas!F207="Adulto 60kg",7,IF(Atletas!F207="Adulto 70kg",8,IF(Atletas!F207="Adulto 80kg",9,IF(Atletas!F207="Adulto 90kg",10,IF(Atletas!F207="Adulto +90kg",11,"")))))))))))))</f>
        <v/>
      </c>
      <c r="BC216" s="6" t="str">
        <f>IF(Atletas!G207="","",IF(Atletas!B207="Feminino",10,IF(Atletas!B207="Masculino",20,""))+(IF(Atletas!G207="Baduanjin A",1,IF(Atletas!G207="Baduanjin B",2))))</f>
        <v/>
      </c>
      <c r="BF216" s="52" t="str">
        <f>IF(Atletas!H207="","",IF(Atletas!B207="Feminino",100,IF(Atletas!B207="Masculino",200,""))+(IF(Atletas!H207="Changquan Mirim",1,IF(Atletas!H207="Nanquan Mirim",2,IF(Atletas!H207="Taijiquan Mirim",3,IF(Atletas!H207="Changquan Grupo C",4,IF(Atletas!H207="Nanquan Grupo C",5,IF(Atletas!H207="Taijiquan Grupo C",6,IF(Atletas!H207="Changquan Grupo B",7,IF(Atletas!H207="Nanquan Grupo B",8,IF(Atletas!H207="Taijiquan Grupo B",9,IF(Atletas!H207="Changquan Grupo A",10,IF(Atletas!H207="Nanquan Grupo A",11,IF(Atletas!H207="Taijiquan Grupo A",12,IF(Atletas!H207="Changquan Opcional",13,IF(Atletas!H207="Nanquan Opcional",14,IF(Atletas!H207="Taijiquan Opcional",15,IF(Atletas!H207="Changquan Adulto",16,IF(Atletas!H207="Nanquan Adulto",17,IF(Atletas!H207="Taijiquan Adulto",18,""))))))))))))))))))))</f>
        <v/>
      </c>
      <c r="BG216" s="52" t="str">
        <f>IF(Atletas!I207="","",IF(Atletas!B207="Feminino",100,IF(Atletas!B207="Masculino",200,""))+(IF(Atletas!I207="Daoshu Mirim",19,IF(Atletas!I207="Jianshu Mirim",20,IF(Atletas!I207="Nandao Mirim",21,IF(Atletas!I207="Taijijian Mirim",22,IF(Atletas!I207="Daoshu Grupo C",23,IF(Atletas!I207="Jianshu Grupo C",24,IF(Atletas!I207="Nandao Grupo C",25,IF(Atletas!I207="Taijijian Grupo C",26,IF(Atletas!I207="Daoshu Grupo B",27,IF(Atletas!I207="Jianshu Grupo B",28,IF(Atletas!I207="Nandao Grupo B",29,IF(Atletas!I207="Taijijian Grupo B",30,IF(Atletas!I207="Daoshu Grupo A",31,IF(Atletas!I207="Jianshu Grupo A",32,IF(Atletas!I207="Nandao Grupo A",33,IF(Atletas!I207="Taijijian Grupo A",34,IF(Atletas!I207="Daoshu Opcional",35,IF(Atletas!I207="Jianshu Opcional",36,IF(Atletas!I207="Nandao Opcional",37,IF(Atletas!I207="Taijijian Opcional",38,IF(Atletas!I207="Daoshu Adulto",39,IF(Atletas!I207="Jianshu Adulto",40,IF(Atletas!I207="Nandao Adulto",41,IF(Atletas!I207="Taijijian Adulto",42,""))))))))))))))))))))))))))</f>
        <v/>
      </c>
      <c r="BH216" s="52" t="str">
        <f>IF(Atletas!J207="","",IF(Atletas!B207="Feminino",100,IF(Atletas!B207="Masculino",200,""))+(IF(Atletas!J207="Gunshu Mirim",43,IF(Atletas!J207="Qiangshu Mirim",44,IF(Atletas!J207="Nangun Mirim",45,IF(Atletas!J207="Gunshu Grupo C",46,IF(Atletas!J207="Qiangshu Grupo C",47,IF(Atletas!J207="Nangun Grupo C",48,IF(Atletas!J207="Gunshu Grupo B",49,IF(Atletas!J207="Qiangshu Grupo B",50,IF(Atletas!J207="Nangun Grupo B",51,IF(Atletas!J207="Gunshu Grupo A",52,IF(Atletas!J207="Qiangshu Grupo A",53,IF(Atletas!J207="Nangun Grupo A",54,IF(Atletas!J207="Gunshu Opcional",55,IF(Atletas!J207="Qiangshu Opcional",56,IF(Atletas!J207="Nangun Opcional",57,IF(Atletas!J207="Gunshu Adulto",58,IF(Atletas!J207="Qiangshu Adulto",59,IF(Atletas!J207="Nangun Adulto",60,IF(Atletas!J207="Taijishan Grupo B",61,IF(Atletas!J207="Taijishan Grupo A",62,""))))))))))))))))))))))</f>
        <v/>
      </c>
      <c r="BM216" s="50" t="str">
        <f>IF(Atletas!K207="","",IF(Atletas!B207="Feminino",100,IF(Atletas!B207="Masculino",200,""))+(IF(Atletas!K207="Equipe 1 Grupo B",1,IF(Atletas!K207="Equipe 2 Grupo B",2,IF(Atletas!K207="Equipe 1 Grupo A",3,IF(Atletas!K207="Equipe 2 Grupo A",4,IF(Atletas!K207="Equipe 1 Adulto",5,IF(Atletas!K207="Equipe 2 Adulto",6,""))))))))</f>
        <v/>
      </c>
      <c r="BR216" s="50" t="str">
        <f>IF(Atletas!L207="","",IF(Atletas!X207&lt;&gt;"",10000,0)+(IF(Atletas!B207="Feminino",1000,IF(Atletas!B207="Masculino",2000,""))+IF(Atletas!L207="Choylayfut A",1,IF(Atletas!L207="Hunggar A",2,IF(Atletas!L207="Wuzuquan A",3,IF(Atletas!L207="Wingchun A",4,IF(Atletas!L207="Outra Mão de Sul A",5,IF(Atletas!L207="Choylayfut B",6,IF(Atletas!L207="Hunggar B",7,IF(Atletas!L207="Wuzuquan B",8,IF(Atletas!L207="Wingchun B",9,IF(Atletas!L207="Outra Mão de Sul B",10,IF(Atletas!L207="Choylayfut C",11,IF(Atletas!L207="Hunggar C",12,IF(Atletas!L207="Wuzuquan C",13,IF(Atletas!L207="Wingchun C",14,IF(Atletas!L207="Outra Mão de Sul C",15,IF(Atletas!L207="Choylayfut D",16,IF(Atletas!L207="Hunggar D",17,IF(Atletas!L207="Wuzuquan D",18,IF(Atletas!L207="Wingchun D",19,IF(Atletas!L207="Outra Mão de Sul D",20,IF(Atletas!L207="Choylayfut E",21,IF(Atletas!L207="Hunggar E",22,IF(Atletas!L207="Wuzuquan E",23,IF(Atletas!L207="Wingchun E",24,IF(Atletas!L207="Outra Mão de Sul E",25,IF(Atletas!L207="Choylayfut F",26,IF(Atletas!L207="Hunggar F",27,IF(Atletas!L207="Wuzuquan F",28,IF(Atletas!L207="Wingchun F",29,IF(Atletas!L207="Outra Mão de Sul F",30,IF(Atletas!L207="Dishuquan A",31,IF(Atletas!L207="Dishuquan B",32,IF(Atletas!L207="Dishuquan C",33,IF(Atletas!L207="Dishuquan D",34,IF(Atletas!L207="Dishuquan E",35,IF(Atletas!L207="Dishuquan F",36,""))))))))))))))))))))))))))))))))))))))</f>
        <v/>
      </c>
      <c r="BS216" s="50" t="str">
        <f>IF(Atletas!M207="","",IF(Atletas!X207&lt;&gt;"",10000,0)+(IF(Atletas!B207="Feminino",1000,IF(Atletas!B207="Masculino",2000,""))+(IF(Atletas!M207="Chaquan A",101,IF(Atletas!M207="Emeiquan A",102,IF(Atletas!M207="Fanziquan A",103,IF(Atletas!M207="Huaquan A",104,IF(Atletas!M207="Hongquan A",105,IF(Atletas!M207="Paoquan A",106,IF(Atletas!M207="Piguaquan A",107,IF(Atletas!M207="Shaolinquan A",108,IF(Atletas!M207="Tanglangquan A",109,IF(Atletas!M207="Yingzhaoquan A",110,IF(Atletas!M207="Tongbeiquan A",111,IF(Atletas!M207="Wudangquan A",112,IF(Atletas!M207="Outros Estilos A",113,IF(Atletas!M207="Chaquan B",114,IF(Atletas!M207="Emeiquan B",115,IF(Atletas!M207="Fanziquan B",116,IF(Atletas!M207="Huaquan B",117,IF(Atletas!M207="Hongquan B",118,IF(Atletas!M207="Paoquan B",119,IF(Atletas!M207="Piguaquan B",120,IF(Atletas!M207="Shaolinquan B",121,IF(Atletas!M207="Tanglangquan B",122,IF(Atletas!M207="Yingzhaoquan B",123,IF(Atletas!M207="Tongbeiquan B",124,IF(Atletas!M207="Wudangquan B",125,IF(Atletas!M207="Outros Estilos B",126,IF(Atletas!M207="Chaquan C",127,IF(Atletas!M207="Emeiquan C",128,IF(Atletas!M207="Fanziquan C",129,IF(Atletas!M207="Huaquan C",130,IF(Atletas!M207="Hongquan C",131,IF(Atletas!M207="Paoquan C",132,IF(Atletas!M207="Piguaquan C",133,IF(Atletas!M207="Shaolinquan C",134,IF(Atletas!M207="Tanglangquan C",135,IF(Atletas!M207="Yingzhaoquan C",136,IF(Atletas!M207="Tongbeiquan C",137,IF(Atletas!M207="Wudangquan C",138,IF(Atletas!M207="Outros Estilos C",139,0))))))))))))))))))))))))))))))))))))))))))</f>
        <v/>
      </c>
      <c r="BT216" s="50" t="str">
        <f>IF(Atletas!M207="","",IF(Atletas!X207&lt;&gt;"",10000,0)+(IF(Atletas!B207="Feminino",1000,IF(Atletas!B207="Masculino",2000,""))+(IF(Atletas!M207="Chaquan D",140,IF(Atletas!M207="Emeiquan D",141,IF(Atletas!M207="Fanziquan D",142,IF(Atletas!M207="Huaquan D",143,IF(Atletas!M207="Hongquan D",144,IF(Atletas!M207="Paoquan D",145,IF(Atletas!M207="Piguaquan D",146,IF(Atletas!M207="Shaolinquan D",147,IF(Atletas!M207="Tanglangquan D",148,IF(Atletas!M207="Yingzhaoquan D",149,IF(Atletas!M207="Tongbeiquan D",150,IF(Atletas!M207="Wudangquan D",151,IF(Atletas!M207="Outros Estilos D",152,IF(Atletas!M207="Chaquan E",153,IF(Atletas!M207="Emeiquan E",154,IF(Atletas!M207="Fanziquan E",155,IF(Atletas!M207="Huaquan E",156,IF(Atletas!M207="Hongquan E",157,IF(Atletas!M207="Paoquan E",158,IF(Atletas!M207="Piguaquan E",159,IF(Atletas!M207="Shaolinquan E",160,IF(Atletas!M207="Tanglangquan E",161,IF(Atletas!M207="Yingzhaoquan E",162,IF(Atletas!M207="Tongbeiquan E",163,IF(Atletas!M207="Wudangquan E",164,IF(Atletas!M207="Outros Estilos E",165,IF(Atletas!M207="Chaquan F",166,IF(Atletas!M207="Emeiquan F",167,IF(Atletas!M207="Fanziquan F",168,IF(Atletas!M207="Huaquan F",169,IF(Atletas!M207="Hongquan F",170,IF(Atletas!M207="Paoquan F",171,IF(Atletas!M207="Piguaquan F",172,IF(Atletas!M207="Shaolinquan F",173,IF(Atletas!M207="Tanglangquan F",174,IF(Atletas!M207="Yingzhaoquan F",175,IF(Atletas!M207="Tongbeiquan F",176,IF(Atletas!M207="Wudangquan F",177,IF(Atletas!M207="Outros Estilos F",178,0))))))))))))))))))))))))))))))))))))))))))</f>
        <v/>
      </c>
      <c r="BU216" s="50" t="str">
        <f>IF(Atletas!N207="","",IF(Atletas!X207&lt;&gt;"",10000,0)+(IF(Atletas!B207="Feminino",1000,IF(Atletas!B207="Masculino",2000,""))+(IF(Atletas!N207="Ditangquan A",201,IF(Atletas!N207="Houquan A",202,IF(Atletas!N207="Zuiquan A",203,IF(Atletas!N207="Ditangquan B",204,IF(Atletas!N207="Houquan B",205,IF(Atletas!N207="Zuiquan B",206,IF(Atletas!N207="Ditangquan C",207,IF(Atletas!N207="Houquan C",208,IF(Atletas!N207="Zuiquan C",209,IF(Atletas!N207="Ditangquan D",210,IF(Atletas!N207="Houquan D",211,IF(Atletas!N207="Zuiquan D",212,IF(Atletas!N207="Ditangquan E",213,IF(Atletas!N207="Houquan E",214,IF(Atletas!N207="Zuiquan E",215,IF(Atletas!N207="Ditangquan F",216,IF(Atletas!N207="Houquan F",217,IF(Atletas!N207="Zuiquan F",218,"")))))))))))))))))))))</f>
        <v/>
      </c>
      <c r="BV216" s="50" t="str">
        <f>IF(Atletas!O207="","",IF(Atletas!X207&lt;&gt;"",10000,0)+IF(Atletas!B207="Feminino",1000,IF(Atletas!B207="Masculino",2000,""))+IF(Atletas!O207="Yang A",301,IF(Atletas!O207="Chen A",302,IF(Atletas!O207="Sun A",303,IF(Atletas!O207="Wu A",304,IF(Atletas!O207="Wu-Hao A",305,IF(Atletas!O207="Outro Taijiquan A",306,IF(Atletas!O207="Yang B",307,IF(Atletas!O207="Chen B",308,IF(Atletas!O207="Sun B",309,IF(Atletas!O207="Wu B",310,IF(Atletas!O207="Wu-Hao B",311,IF(Atletas!O207="Outro Taijiquan B",312,IF(Atletas!O207="Yang C",313,IF(Atletas!O207="Chen C",314,IF(Atletas!O207="Sun C",315,IF(Atletas!O207="Wu C",316,IF(Atletas!O207="Wu-Hao C",317,IF(Atletas!O207="Outro Taijiquan C",318,IF(Atletas!O207="Yang D",319,IF(Atletas!O207="Chen D",320,IF(Atletas!O207="Sun D",321,IF(Atletas!O207="Wu D",322,IF(Atletas!O207="Wu-Hao D",323,IF(Atletas!O207="Outro Taijiquan D",324,IF(Atletas!O207="Yang E",325,IF(Atletas!O207="Chen E",326,IF(Atletas!O207="Sun E",327,IF(Atletas!O207="Wu E",328,IF(Atletas!O207="Wu-Hao E",329,IF(Atletas!O207="Outro Taijiquan E",330,IF(Atletas!O207="Yang F",331,IF(Atletas!O207="Chen F",332,IF(Atletas!O207="Sun F",333,IF(Atletas!O207="Wu F",334,IF(Atletas!O207="Wu-Hao F",335,IF(Atletas!O207="Outro Taijiquan F",336,"")))))))))))))))))))))))))))))))))))))</f>
        <v/>
      </c>
      <c r="BW216" s="50" t="str">
        <f>IF(Atletas!P207="","",IF(Atletas!X207&lt;&gt;"",10000,0)+IF(Atletas!B207="Feminino",1000,IF(Atletas!B207="Masculino",2000,""))+IF(OR(Atletas!P207="Yang 26 A",Atletas!P207="Yang 40 A"),401,IF(OR(Atletas!P207="Chen 25 A",Atletas!P207="Chen 36 A",Atletas!P207="Chen 56 A"),402,IF(Atletas!P207="Sun 73 A",403,IF(Atletas!P207="Wu 45 A",404,IF(Atletas!P207="Wu-Hao 46 A",405,IF(OR(Atletas!P207="Taijiquan 16 A",Atletas!P207="Taijiquan 24 A",Atletas!P207="Taijiquan 32 A",Atletas!P207="Taijiquan 42 A"),406,IF(OR(Atletas!P207="Yang 26 B",Atletas!P207="Yang 40 B"),407,IF(OR(Atletas!P207="Chen 25 B",Atletas!P207="Chen 36 B",Atletas!P207="Chen 56 B"),408,IF(Atletas!P207="Sun 73 B",409,IF(Atletas!P207="Wu 45 B",410,IF(Atletas!P207="Wu-Hao 46 B",411,IF(OR(Atletas!P207="Taijiquan 16 B",Atletas!P207="Taijiquan 24 B",Atletas!P207="Taijiquan 32 B",Atletas!P207="Taijiquan 42 B"),412,IF(OR(Atletas!P207="Yang 26 C",Atletas!P207="Yang 40 C"),413,IF(OR(Atletas!P207="Chen 25 C",Atletas!P207="Chen 36 C",Atletas!P207="Chen 56 C"),414,IF(Atletas!P207="Sun 73 C",415,IF(Atletas!P207="Wu 45 C",416,IF(Atletas!P207="Wu-Hao 46 C",417,IF(OR(Atletas!P207="Taijiquan 16 C",Atletas!P207="Taijiquan 24 C",Atletas!P207="Taijiquan 32 C",Atletas!P207="Taijiquan 42 C"),418,0)))))))))))))))))))</f>
        <v/>
      </c>
      <c r="BX216" s="50" t="str">
        <f>IF(Atletas!P207="","",IF(Atletas!X207&lt;&gt;"",10000,0)+IF(Atletas!B207="Feminino",1000,IF(Atletas!B207="Masculino",2000,""))+IF(OR(Atletas!P207="Yang 26 D",Atletas!P207="Yang 40 D"),419,IF(OR(Atletas!P207="Chen 25 D",Atletas!P207="Chen 36 D",Atletas!P207="Chen 56 D"),420,IF(Atletas!P207="Sun 73 D",421,IF(Atletas!P207="Wu 45 D",422,IF(Atletas!P207="Wu-Hao 46 D",423,IF(OR(Atletas!P207="Taijiquan 16 D",Atletas!P207="Taijiquan 24 D",Atletas!P207="Taijiquan 32 D",Atletas!P207="Taijiquan 42 D"),424,IF(OR(Atletas!P207="Yang 26 E",Atletas!P207="Yang 40 E"),425,IF(OR(Atletas!P207="Chen 25 E",Atletas!P207="Chen 36 E",Atletas!P207="Chen 56 E"),426,IF(Atletas!P207="Sun 73 E",427,IF(Atletas!P207="Wu 45 E",428,IF(Atletas!P207="Wu-Hao 46 E",429,IF(OR(Atletas!P207="Taijiquan 16 E",Atletas!P207="Taijiquan 24 E",Atletas!P207="Taijiquan 32 E",Atletas!P207="Taijiquan 42 E"),430,IF(OR(Atletas!P207="Yang 26 F",Atletas!P207="Yang 40 F"),431,IF(OR(Atletas!P207="Chen 25 F",Atletas!P207="Chen 36 F",Atletas!P207="Chen 56 F"),432,IF(Atletas!P207="Sun 73 F",433,IF(Atletas!P207="Wu 45 F",434,IF(Atletas!P207="Wu-Hao 46 F",435,IF(OR(Atletas!P207="Taijiquan 16 F",Atletas!P207="Taijiquan 24 F",Atletas!P207="Taijiquan 32 F",Atletas!P207="Taijiquan 42 F"),436,0)))))))))))))))))))</f>
        <v/>
      </c>
      <c r="BY216" s="50" t="str">
        <f>IF(Atletas!Q207="","",IF(Atletas!X207&lt;&gt;"",10000,0)+IF(Atletas!B207="Feminino",1000,IF(Atletas!B207="Masculino",2000,""))+IF(Atletas!Q207="Xingyiquan A",501,IF(Atletas!Q207="Baguazhang A",502,IF(Atletas!Q207="Outro Estilo Interno A",503,IF(Atletas!Q207="Xingyiquan B",504,IF(Atletas!Q207="Baguazhang B",505,IF(Atletas!Q207="Outro Estilo Interno B",506,IF(Atletas!Q207="Xingyiquan C",507,IF(Atletas!Q207="Baguazhang C",508,IF(Atletas!Q207="Outro Estilo Interno C",509,IF(Atletas!Q207="Xingyiquan D",510,IF(Atletas!Q207="Baguazhang D",511,IF(Atletas!Q207="Outro Estilo Interno D",512,IF(Atletas!Q207="Xingyiquan E",513,IF(Atletas!Q207="Baguazhang E",514,IF(Atletas!Q207="Outro Estilo Interno E",515,IF(Atletas!Q207="Xingyiquan F",516,IF(Atletas!Q207="Baguazhang F",517,IF(Atletas!Q207="Outro Estilo Interno F",518, "")))))))))))))))))))</f>
        <v/>
      </c>
      <c r="BZ216" s="50" t="str">
        <f>IF(Atletas!R207="","",IF(Atletas!X207&lt;&gt;"",10000,0)+IF(Atletas!B207="Feminino",1000,IF(Atletas!B207="Masculino",2000,""))+IF(Atletas!R207="Dao A",601,IF(Atletas!R207="Jian A",602,IF(Atletas!R207="Bishou A",603,IF(Atletas!R207="Shanzi A",604,IF(Atletas!R207="Outra Arma Curta A",605,IF(Atletas!R207="Dao B",606,IF(Atletas!R207="Jian B",607,IF(Atletas!R207="Bishou B",608,IF(Atletas!R207="Shanzi B",609,IF(Atletas!R207="Outra Arma Curta B",610,IF(Atletas!R207="Dao C",611,IF(Atletas!R207="Jian C",612,IF(Atletas!R207="Bishou C",613,IF(Atletas!R207="Shanzi C",614,IF(Atletas!R207="Outra Arma Curta C",615,IF(Atletas!R207="Dao D",616,IF(Atletas!R207="Jian D",617,IF(Atletas!R207="Bishou D",618,IF(Atletas!R207="Shanzi D",619,IF(Atletas!R207="Outra Arma Curta D",620,IF(Atletas!R207="Dao E",621,IF(Atletas!R207="Jian E",622,IF(Atletas!R207="Bishou E",623,IF(Atletas!R207="Shanzi E",624,IF(Atletas!R207="Outra Arma Curta E",625,IF(Atletas!R207="Dao F",626,IF(Atletas!R207="Jian F",627,IF(Atletas!R207="Bishou F",628,IF(Atletas!R207="Shanzi F",629,IF(Atletas!R207="Outra Arma Curta F",630, "")))))))))))))))))))))))))))))))</f>
        <v/>
      </c>
      <c r="CA216" s="50" t="str">
        <f>IF(Atletas!S207="","",IF(Atletas!X207&lt;&gt;"",10000,0)+IF(Atletas!B207="Feminino",1000,IF(Atletas!B207="Masculino",2000,""))+IF(Atletas!S207="Gun A",701,IF(Atletas!S207="Qiang A",702,IF(Atletas!S207="Pudao / Guandao A",703,IF(Atletas!S207="Outra Arma Longa A",704,IF(Atletas!S207="Gun B",705,IF(Atletas!S207="Qiang B",706,IF(Atletas!S207="Pudao / Guandao B",707,IF(Atletas!S207="Outra Arma Longa B",708,IF(Atletas!S207="Gun C",709,IF(Atletas!S207="Qiang C",710,IF(Atletas!S207="Pudao / Guandao C",711,IF(Atletas!S207="Outra Arma Longa C",712,IF(Atletas!S207="Gun D",713,IF(Atletas!S207="Qiang D",714,IF(Atletas!S207="Pudao / Guandao D",715,IF(Atletas!S207="Outra Arma Longa D",716,IF(Atletas!S207="Gun E",717,IF(Atletas!S207="Qiang E",718,IF(Atletas!S207="Pudao / Guandao E",719,IF(Atletas!S207="Outra Arma Longa E",720,IF(Atletas!S207="Gun F",721,IF(Atletas!S207="Qiang F",722,IF(Atletas!S207="Pudao / Guandao F",723,IF(Atletas!S207="Outra Arma Longa F",724,"")))))))))))))))))))))))))</f>
        <v/>
      </c>
      <c r="CB216" s="50" t="str">
        <f>IF(Atletas!T207="","",IF(Atletas!X207&lt;&gt;"",10000,0)+IF(Atletas!B207="Feminino",1000,IF(Atletas!B207="Masculino",2000,""))+IF(Atletas!T207="Outra Arma Dupla A",801,IF(Atletas!T207="Arma Maleável A",802,IF(Atletas!T207="Outra Arma Dupla B",803,IF(Atletas!T207="Arma Maleável B",804,IF(Atletas!T207="Outra Arma Dupla C",805,IF(Atletas!T207="Arma Maleável C",806,IF(Atletas!T207="Outra Arma Dupla D",807,IF(Atletas!T207="Arma Maleável D",808,IF(Atletas!T207="Outra Arma Dupla E",809,IF(Atletas!T207="Arma Maleável E",810,IF(Atletas!T207="Outra Arma Dupla F",811,IF(Atletas!T207="Arma Maleável F",812,IF(Atletas!T207="Shuangdao A",813,IF(Atletas!T207="Shuangdao B",814,IF(Atletas!T207="Shuangdao C",815,IF(Atletas!T207="Shuangdao D",816,IF(Atletas!T207="Shuangdao E",817,IF(Atletas!T207="Shuangdao F",818,"")))))))))))))))))))</f>
        <v/>
      </c>
      <c r="CC216" s="50" t="str">
        <f>IF(Atletas!U207="","",IF(Atletas!X207&lt;&gt;"",10000,0)+IF(Atletas!B207="Feminino",1000,IF(Atletas!B207="Masculino",2000,""))+IF(OR(Atletas!U207="Taijijian Yang A",Atletas!U207="Taijijian Yang Standard A"),901,IF(OR(Atletas!U207="Taijijian Chen A", Atletas!U207="Taijijian Chen Standard A"),902,IF(Atletas!U207="Taijijian Sun A",903,IF(Atletas!U207="Taijijian Wu A",904,IF(Atletas!U207="Taijijian Wu-Hao A",905,IF(OR(Atletas!U207="Taijijian 32 A",Atletas!U207="Taijijian 42 A"),906,IF(OR(Atletas!U207="Taijijian Yang B",Atletas!U207="Taijijian Yang Standard B"),907,IF(OR(Atletas!U207="Taijijian Chen B", Atletas!U207="Taijijian Chen Standard B"),908,IF(Atletas!U207="Taijijian Sun B",909,IF(Atletas!U207="Taijijian Wu B",910,IF(Atletas!U207="Taijijian Wu-Hao B",911,IF(OR(Atletas!U207="Taijijian 32 B",Atletas!U207="Taijijian 42 B"),912,IF(OR(Atletas!U207="Taijijian Yang C",Atletas!U207="Taijijian Yang Standard C"),913,IF(OR(Atletas!U207="Taijijian Chen C", Atletas!U207="Taijijian Chen Standard C"),914,IF(Atletas!U207="Taijijian Sun C",915,IF(Atletas!U207="Taijijian Wu C",916,IF(Atletas!U207="Taijijian Wu-Hao C",917,IF(OR(Atletas!U207="Taijijian 32 C",Atletas!U207="Taijijian 42 C"),918,IF(OR(Atletas!U207="Taijijian Yang D",Atletas!U207="Taijijian Yang Standard D"),919,IF(OR(Atletas!U207="Taijijian Chen D", Atletas!U207="Taijijian Chen Standard D"),920,IF(Atletas!U207="Taijijian Sun D",921,IF(Atletas!U207="Taijijian Wu D",922,IF(Atletas!U207="Taijijian Wu-Hao D",923,IF(OR(Atletas!U207="Taijijian 32 D",Atletas!U207="Taijijian 42 D"),924,IF(OR(Atletas!U207="Taijijian Yang E",Atletas!U207="Taijijian Yang Standard E"),925,IF(OR(Atletas!U207="Taijijian Chen E", Atletas!U207="Taijijian Chen Standard E"),926,IF(Atletas!U207="Taijijian Sun E",927,IF(Atletas!U207="Taijijian Wu E",928,IF(Atletas!U207="Taijijian Wu-Hao E",929,IF(OR(Atletas!U207="Taijijian 32 E",Atletas!U207="Taijijian 42 E"),930,IF(OR(Atletas!U207="Taijijian Yang F",Atletas!U207="Taijijian Yang Standard F"),931,IF(OR(Atletas!U207="Taijijian Chen F", Atletas!U207="Taijijian Chen Standard F"),932,IF(Atletas!U207="Taijijian Sun F",933,IF(Atletas!U207="Taijijian Wu F",934,IF(Atletas!U207="Taijijian Wu-Hao F",935,IF(OR(Atletas!U207="Taijijian 32 F",Atletas!U207="Taijijian 42 F"),936,"")))))))))))))))))))))))))))))))))))))</f>
        <v/>
      </c>
      <c r="CD216" s="50" t="str">
        <f>IF(Atletas!V207="","",IF(Atletas!X207&lt;&gt;"",10000,0)+IF(Atletas!B207="Feminino",1000,IF(Atletas!B207="Masculino",2000,""))+IF(Atletas!V207="Taijidao A",937,IF(Atletas!V207="TaijiShanzi A",938,IF(Atletas!V207="Taijiqiang A",939,IF(Atletas!V207="Bagua de Arma A",940,IF(Atletas!V207="Xingyi de Arma A",941,IF(Atletas!V207="Taijidao B",942,IF(Atletas!V207="TaijiShanzi B",943,IF(Atletas!V207="Taijiqiang B",944,IF(Atletas!V207="Bagua de Arma B",945,IF(Atletas!V207="Xingyi de Arma B",946,IF(Atletas!V207="Taijidao C",947,IF(Atletas!V207="TaijiShanzi C",948,IF(Atletas!V207="Taijiqiang C",949,IF(Atletas!V207="Bagua de Arma C",950,IF(Atletas!V207="Xingyi de Arma C",951,IF(Atletas!V207="Taijidao D",952,IF(Atletas!V207="TaijiShanzi D",953,IF(Atletas!V207="Taijiqiang D",954,IF(Atletas!V207="Bagua de Arma D",955,IF(Atletas!V207="Xingyi de Arma D",956,IF(Atletas!V207="Taijidao E",957,IF(Atletas!V207="TaijiShanzi E",958,IF(Atletas!V207="Taijiqiang E",959,IF(Atletas!V207="Bagua de Arma E",960,IF(Atletas!V207="Xingyi de Arma E",961,IF(Atletas!V207="Taijidao F",962,IF(Atletas!V207="TaijiShanzi F",963,IF(Atletas!V207="Taijiqiang F",964,IF(Atletas!V207="Bagua de Arma F",965,IF(Atletas!V207="Xingyi de Arma F",966,"")))))))))))))))))))))))))))))))</f>
        <v/>
      </c>
      <c r="CE216" s="66" t="str">
        <f>IF(CF216&lt;&gt;"","Outro Estilo Interno B","")</f>
        <v/>
      </c>
      <c r="CF216" s="66" t="str">
        <f>IF(COUNTIF(BR:CD,1506)&gt;0,COUNTIF(BR:CD,1506),"")</f>
        <v/>
      </c>
      <c r="CG216" s="66" t="str">
        <f>IF(CH216&lt;&gt;"","Outro Estilo Interno B","")</f>
        <v/>
      </c>
      <c r="CH216" s="66" t="str">
        <f>IF(COUNTIF(BR:CD,2506)&gt;0,COUNTIF(BR:CD,2506),"")</f>
        <v/>
      </c>
      <c r="CI216" s="66" t="str">
        <f>IF(CJ216&lt;&gt;"","Outro Estilo Interno D","")</f>
        <v/>
      </c>
      <c r="CJ216" s="66" t="str">
        <f>IF(COUNTIF(BR:CD,11448)&gt;0,COUNTIF(BR:CD,11448),"")</f>
        <v/>
      </c>
      <c r="CK216" s="66" t="str">
        <f>IF(CL216&lt;&gt;"","Outro Estilo Interno D","")</f>
        <v/>
      </c>
      <c r="CL216" s="66" t="str">
        <f>IF(COUNTIF(BR:CD,12448)&gt;0,COUNTIF(BR:CD,12448),"")</f>
        <v/>
      </c>
      <c r="CM216" s="50" t="str">
        <f xml:space="preserve"> IF(Atletas!W207="","",IF(Atletas!W207="Duilian de Mãos BC - Equipe 1",1,IF(Atletas!W207="Duilian de Mãos BC - Equipe 2",2,IF(Atletas!W207="Duilian de Armas BC - Equipe 1",3,IF(Atletas!W207="Duilian de Armas BC - Equipe 2",4,IF(Atletas!W207="Duilian de Mãos DE - Equipe 1",5,IF(Atletas!W207="Duilian de Mãos DE - Equipe 2",6,IF(Atletas!W207="Duilian de Armas DE - Equipe 1",7,IF(Atletas!W207="Duilian de Armas DE - Equipe 2",8,IF(Atletas!W207="Duilian de Tuishou - Equipe 1",9,IF(Atletas!W207="Duilian de Tuishou - Equipe 2",10,IF(Atletas!W207="Grupo Externo ABC - Equipe 1",11,IF(Atletas!W207="Grupo Externo ABC - Equipe 2",12,IF(Atletas!W207="Grupo Interno ABC - Equipe 1",13,IF(Atletas!W207="Grupo Interno ABC - Equipe 2",14,IF(Atletas!W207="Grupo Externo DEF - Equipe 1",15,IF(Atletas!W207="Grupo Externo DEF - Equipe 2",16,IF(Atletas!W207="Grupo Interno DEF - Equipe 1",17,IF(Atletas!W207="Grupo Interno DEF - Equipe 2",18,"")))))))))))))))))))</f>
        <v/>
      </c>
    </row>
    <row r="217" spans="2:91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 t="str">
        <f t="array" ref="Z217">IFERROR(INDEX(CE$7:CE$348,SMALL(IF(CE$7:CE$348&lt;&gt;"",ROW(CE$7:CE$348)-ROW(CE$7)+1),ROWS(CE$7:CE216))),"")</f>
        <v/>
      </c>
      <c r="AA217" s="3" t="str">
        <f t="array" ref="AA217">IFERROR(INDEX(CF$7:CF$348,SMALL(IF(CF$7:CF$348&lt;&gt;"",ROW(CF$7:CF$348)-ROW(CF$7)+1),ROWS(CF$7:CF216))),"")</f>
        <v/>
      </c>
      <c r="AB217" s="3" t="str">
        <f t="array" ref="AB217">IFERROR(INDEX(CG$7:CG$348,SMALL(IF(CG$7:CG$348&lt;&gt;"",ROW(CG$7:CG$348)-ROW(CG$7)+1),ROWS(CG$7:CG216))),"")</f>
        <v/>
      </c>
      <c r="AC217" s="3" t="str">
        <f t="array" ref="AC217">IFERROR(INDEX(CH$7:CH$348,SMALL(IF(CH$7:CH$348&lt;&gt;"",ROW(CH$7:CH$348)-ROW(CH$7)+1),ROWS(CH$7:CH216))),"")</f>
        <v/>
      </c>
      <c r="AD217" s="3" t="str">
        <f t="array" ref="AD217">IFERROR(INDEX(CI$7:CI$377,SMALL(IF(CI$7:CI$377&lt;&gt;"",ROW(CI$7:CI$377)-ROW(CI$7)+1),ROWS(CI$7:CI216))),"")</f>
        <v/>
      </c>
      <c r="AE217" s="3" t="str">
        <f t="array" ref="AE217">IFERROR(INDEX(CJ$7:CJ$378,SMALL(IF(CJ$7:CJ$378&lt;&gt;"",ROW(CJ$7:CJ$378)-ROW(CJ$7)+1),ROWS(CJ$7:CJ216))),"")</f>
        <v/>
      </c>
      <c r="AF217" s="3" t="str">
        <f t="array" ref="AF217">IFERROR(INDEX(CK$7:CK$378,SMALL(IF(CK$7:CK$378&lt;&gt;"",ROW(CK$7:CK$378)-ROW(CK$7)+1),ROWS(CK$7:CK216))),"")</f>
        <v/>
      </c>
      <c r="AG217" s="3" t="str">
        <f t="array" ref="AG217">IFERROR(INDEX(CL$7:CL$378,SMALL(IF(CL$7:CL$378&lt;&gt;"",ROW(CL$7:CL$378)-ROW(CL$7)+1),ROWS(CL$7:CL216))),"")</f>
        <v/>
      </c>
      <c r="AH217" s="3"/>
      <c r="AI217" s="3"/>
      <c r="AJ217" s="3"/>
      <c r="AK217" s="3"/>
      <c r="AL217" s="3"/>
      <c r="AM217" s="3"/>
      <c r="AN217" s="52" t="str">
        <f>IF(Atletas!D208="","",IF(Atletas!B208="Feminino",100,IF(Atletas!B208="Masculino",200,""))+(IF(Atletas!D208="Kids 30kg",1,IF(Atletas!D208="Kids 32kg",2, IF(Atletas!D208="Kids 34kg",3,IF(Atletas!D208="Kids 36kg",4,IF(Atletas!D208="Kids 39kg",5,IF(Atletas!D208="Kids 42kg",6,IF(Atletas!D208="Kids 45kg",7, IF(Atletas!D208="Infantil 39kg",8,IF(Atletas!D208="Infantil 42kg",9,IF(Atletas!D208="Infantil 45kg",10,IF(Atletas!D208="Infantil 48kg",11,IF(Atletas!D208="Infantil 52kg",12,IF(Atletas!D208="Infantil 56kg",13,IF(Atletas!D208="Infantil 60kg",14,IF(Atletas!D208="Juvenil 48kg",15,IF(Atletas!D208="Juvenil 52kg",16,IF(Atletas!D208="Juvenil 56kg",17,IF(Atletas!D208="Juvenil 60kg",18,IF(Atletas!D208="Juvenil 65kg",19,IF(Atletas!D208="Juvenil 70kg",20,IF(Atletas!D208="Juvenil 75kg",21,IF(Atletas!D208="Juvenil 80kg",22, IF(Atletas!D208="Juvenil 85kg",23,IF(Atletas!D208="Adulto 48kg",24,IF(Atletas!D208="Adulto 52kg",25,IF(Atletas!D208="Adulto 56kg",26,IF(Atletas!D208="Adulto 60kg",27,IF(Atletas!D208="Adulto 65kg",28,IF(Atletas!D208="Adulto 70kg",29,IF(Atletas!D208="Adulto 75kg",30,IF(Atletas!D208="Adulto 80kg",31,IF(Atletas!D208="Adulto 85kg",32,IF(Atletas!D208="Adulto 90kg",33,IF(Atletas!D208="Adulto 100kg",34, IF(Atletas!D208="Adulto +100kg",35,"")))))))))))))))))))))))))))))))))))))</f>
        <v/>
      </c>
      <c r="AS217" s="6" t="str">
        <f>IF(Atletas!E208="","",IF(Atletas!B208="Feminino",100,IF(Atletas!B208="Masculino",200,""))+(IF(Atletas!E208="Juvenil 44kg",1,IF(Atletas!E208="Juvenil 48kg",2,IF(Atletas!E208="Juvenil 52kg",3,IF(Atletas!E208="Juvenil 56kg",4,IF(Atletas!E208="Juvenil 60kg",5,IF(Atletas!E208="Juvenil 65kg",6,IF(Atletas!E208="Juvenil 70kg",7,IF(Atletas!E208="Juvenil 75kg",8,IF(Atletas!E208="Juvenil 82kg",9,IF(Atletas!E208="Juvenil 90kg",10,IF(Atletas!E208="Juvenil 100kg",11,IF(Atletas!E208="Adulto 48kg",12,IF(Atletas!E208="Adulto 52kg",13,IF(Atletas!E208="Adulto 56kg",14,IF(Atletas!E208="Adulto 60kg",15,IF(Atletas!E208="Adulto 65kg",16,IF(Atletas!E208="Adulto 70kg",17,IF(Atletas!E208="Adulto 75kg",18,IF(Atletas!E208="Adulto 82kg",19,IF(Atletas!E208="Adulto 90kg",20,IF(Atletas!E208="Adulto 100kg",21,IF(Atletas!E208="Adulto +100kg",22,""))))))))))))))))))))))))</f>
        <v/>
      </c>
      <c r="AX217" s="6" t="str">
        <f>IF(Atletas!F208="","",IF(Atletas!B208="Feminino",100,IF(Atletas!B208="Masculino",200,""))+(IF(Atletas!F208="Adulto 48kg",1,IF(Atletas!F208="Adulto 56kg",2,IF(Atletas!F208="Adulto 65kg",3,IF(Atletas!F208="Adulto 75kg",4,IF(Atletas!F208="Adulto +75kg",5,IF(Atletas!F208="Adulto 52kg",6,IF(Atletas!F208="Adulto 60kg",7,IF(Atletas!F208="Adulto 70kg",8,IF(Atletas!F208="Adulto 80kg",9,IF(Atletas!F208="Adulto 90kg",10,IF(Atletas!F208="Adulto +90kg",11,"")))))))))))))</f>
        <v/>
      </c>
      <c r="BC217" s="6" t="str">
        <f>IF(Atletas!G208="","",IF(Atletas!B208="Feminino",10,IF(Atletas!B208="Masculino",20,""))+(IF(Atletas!G208="Baduanjin A",1,IF(Atletas!G208="Baduanjin B",2))))</f>
        <v/>
      </c>
      <c r="BF217" s="52" t="str">
        <f>IF(Atletas!H208="","",IF(Atletas!B208="Feminino",100,IF(Atletas!B208="Masculino",200,""))+(IF(Atletas!H208="Changquan Mirim",1,IF(Atletas!H208="Nanquan Mirim",2,IF(Atletas!H208="Taijiquan Mirim",3,IF(Atletas!H208="Changquan Grupo C",4,IF(Atletas!H208="Nanquan Grupo C",5,IF(Atletas!H208="Taijiquan Grupo C",6,IF(Atletas!H208="Changquan Grupo B",7,IF(Atletas!H208="Nanquan Grupo B",8,IF(Atletas!H208="Taijiquan Grupo B",9,IF(Atletas!H208="Changquan Grupo A",10,IF(Atletas!H208="Nanquan Grupo A",11,IF(Atletas!H208="Taijiquan Grupo A",12,IF(Atletas!H208="Changquan Opcional",13,IF(Atletas!H208="Nanquan Opcional",14,IF(Atletas!H208="Taijiquan Opcional",15,IF(Atletas!H208="Changquan Adulto",16,IF(Atletas!H208="Nanquan Adulto",17,IF(Atletas!H208="Taijiquan Adulto",18,""))))))))))))))))))))</f>
        <v/>
      </c>
      <c r="BG217" s="52" t="str">
        <f>IF(Atletas!I208="","",IF(Atletas!B208="Feminino",100,IF(Atletas!B208="Masculino",200,""))+(IF(Atletas!I208="Daoshu Mirim",19,IF(Atletas!I208="Jianshu Mirim",20,IF(Atletas!I208="Nandao Mirim",21,IF(Atletas!I208="Taijijian Mirim",22,IF(Atletas!I208="Daoshu Grupo C",23,IF(Atletas!I208="Jianshu Grupo C",24,IF(Atletas!I208="Nandao Grupo C",25,IF(Atletas!I208="Taijijian Grupo C",26,IF(Atletas!I208="Daoshu Grupo B",27,IF(Atletas!I208="Jianshu Grupo B",28,IF(Atletas!I208="Nandao Grupo B",29,IF(Atletas!I208="Taijijian Grupo B",30,IF(Atletas!I208="Daoshu Grupo A",31,IF(Atletas!I208="Jianshu Grupo A",32,IF(Atletas!I208="Nandao Grupo A",33,IF(Atletas!I208="Taijijian Grupo A",34,IF(Atletas!I208="Daoshu Opcional",35,IF(Atletas!I208="Jianshu Opcional",36,IF(Atletas!I208="Nandao Opcional",37,IF(Atletas!I208="Taijijian Opcional",38,IF(Atletas!I208="Daoshu Adulto",39,IF(Atletas!I208="Jianshu Adulto",40,IF(Atletas!I208="Nandao Adulto",41,IF(Atletas!I208="Taijijian Adulto",42,""))))))))))))))))))))))))))</f>
        <v/>
      </c>
      <c r="BH217" s="52" t="str">
        <f>IF(Atletas!J208="","",IF(Atletas!B208="Feminino",100,IF(Atletas!B208="Masculino",200,""))+(IF(Atletas!J208="Gunshu Mirim",43,IF(Atletas!J208="Qiangshu Mirim",44,IF(Atletas!J208="Nangun Mirim",45,IF(Atletas!J208="Gunshu Grupo C",46,IF(Atletas!J208="Qiangshu Grupo C",47,IF(Atletas!J208="Nangun Grupo C",48,IF(Atletas!J208="Gunshu Grupo B",49,IF(Atletas!J208="Qiangshu Grupo B",50,IF(Atletas!J208="Nangun Grupo B",51,IF(Atletas!J208="Gunshu Grupo A",52,IF(Atletas!J208="Qiangshu Grupo A",53,IF(Atletas!J208="Nangun Grupo A",54,IF(Atletas!J208="Gunshu Opcional",55,IF(Atletas!J208="Qiangshu Opcional",56,IF(Atletas!J208="Nangun Opcional",57,IF(Atletas!J208="Gunshu Adulto",58,IF(Atletas!J208="Qiangshu Adulto",59,IF(Atletas!J208="Nangun Adulto",60,IF(Atletas!J208="Taijishan Grupo B",61,IF(Atletas!J208="Taijishan Grupo A",62,""))))))))))))))))))))))</f>
        <v/>
      </c>
      <c r="BM217" s="50" t="str">
        <f>IF(Atletas!K208="","",IF(Atletas!B208="Feminino",100,IF(Atletas!B208="Masculino",200,""))+(IF(Atletas!K208="Equipe 1 Grupo B",1,IF(Atletas!K208="Equipe 2 Grupo B",2,IF(Atletas!K208="Equipe 1 Grupo A",3,IF(Atletas!K208="Equipe 2 Grupo A",4,IF(Atletas!K208="Equipe 1 Adulto",5,IF(Atletas!K208="Equipe 2 Adulto",6,""))))))))</f>
        <v/>
      </c>
      <c r="BR217" s="50" t="str">
        <f>IF(Atletas!L208="","",IF(Atletas!X208&lt;&gt;"",10000,0)+(IF(Atletas!B208="Feminino",1000,IF(Atletas!B208="Masculino",2000,""))+IF(Atletas!L208="Choylayfut A",1,IF(Atletas!L208="Hunggar A",2,IF(Atletas!L208="Wuzuquan A",3,IF(Atletas!L208="Wingchun A",4,IF(Atletas!L208="Outra Mão de Sul A",5,IF(Atletas!L208="Choylayfut B",6,IF(Atletas!L208="Hunggar B",7,IF(Atletas!L208="Wuzuquan B",8,IF(Atletas!L208="Wingchun B",9,IF(Atletas!L208="Outra Mão de Sul B",10,IF(Atletas!L208="Choylayfut C",11,IF(Atletas!L208="Hunggar C",12,IF(Atletas!L208="Wuzuquan C",13,IF(Atletas!L208="Wingchun C",14,IF(Atletas!L208="Outra Mão de Sul C",15,IF(Atletas!L208="Choylayfut D",16,IF(Atletas!L208="Hunggar D",17,IF(Atletas!L208="Wuzuquan D",18,IF(Atletas!L208="Wingchun D",19,IF(Atletas!L208="Outra Mão de Sul D",20,IF(Atletas!L208="Choylayfut E",21,IF(Atletas!L208="Hunggar E",22,IF(Atletas!L208="Wuzuquan E",23,IF(Atletas!L208="Wingchun E",24,IF(Atletas!L208="Outra Mão de Sul E",25,IF(Atletas!L208="Choylayfut F",26,IF(Atletas!L208="Hunggar F",27,IF(Atletas!L208="Wuzuquan F",28,IF(Atletas!L208="Wingchun F",29,IF(Atletas!L208="Outra Mão de Sul F",30,IF(Atletas!L208="Dishuquan A",31,IF(Atletas!L208="Dishuquan B",32,IF(Atletas!L208="Dishuquan C",33,IF(Atletas!L208="Dishuquan D",34,IF(Atletas!L208="Dishuquan E",35,IF(Atletas!L208="Dishuquan F",36,""))))))))))))))))))))))))))))))))))))))</f>
        <v/>
      </c>
      <c r="BS217" s="50" t="str">
        <f>IF(Atletas!M208="","",IF(Atletas!X208&lt;&gt;"",10000,0)+(IF(Atletas!B208="Feminino",1000,IF(Atletas!B208="Masculino",2000,""))+(IF(Atletas!M208="Chaquan A",101,IF(Atletas!M208="Emeiquan A",102,IF(Atletas!M208="Fanziquan A",103,IF(Atletas!M208="Huaquan A",104,IF(Atletas!M208="Hongquan A",105,IF(Atletas!M208="Paoquan A",106,IF(Atletas!M208="Piguaquan A",107,IF(Atletas!M208="Shaolinquan A",108,IF(Atletas!M208="Tanglangquan A",109,IF(Atletas!M208="Yingzhaoquan A",110,IF(Atletas!M208="Tongbeiquan A",111,IF(Atletas!M208="Wudangquan A",112,IF(Atletas!M208="Outros Estilos A",113,IF(Atletas!M208="Chaquan B",114,IF(Atletas!M208="Emeiquan B",115,IF(Atletas!M208="Fanziquan B",116,IF(Atletas!M208="Huaquan B",117,IF(Atletas!M208="Hongquan B",118,IF(Atletas!M208="Paoquan B",119,IF(Atletas!M208="Piguaquan B",120,IF(Atletas!M208="Shaolinquan B",121,IF(Atletas!M208="Tanglangquan B",122,IF(Atletas!M208="Yingzhaoquan B",123,IF(Atletas!M208="Tongbeiquan B",124,IF(Atletas!M208="Wudangquan B",125,IF(Atletas!M208="Outros Estilos B",126,IF(Atletas!M208="Chaquan C",127,IF(Atletas!M208="Emeiquan C",128,IF(Atletas!M208="Fanziquan C",129,IF(Atletas!M208="Huaquan C",130,IF(Atletas!M208="Hongquan C",131,IF(Atletas!M208="Paoquan C",132,IF(Atletas!M208="Piguaquan C",133,IF(Atletas!M208="Shaolinquan C",134,IF(Atletas!M208="Tanglangquan C",135,IF(Atletas!M208="Yingzhaoquan C",136,IF(Atletas!M208="Tongbeiquan C",137,IF(Atletas!M208="Wudangquan C",138,IF(Atletas!M208="Outros Estilos C",139,0))))))))))))))))))))))))))))))))))))))))))</f>
        <v/>
      </c>
      <c r="BT217" s="50" t="str">
        <f>IF(Atletas!M208="","",IF(Atletas!X208&lt;&gt;"",10000,0)+(IF(Atletas!B208="Feminino",1000,IF(Atletas!B208="Masculino",2000,""))+(IF(Atletas!M208="Chaquan D",140,IF(Atletas!M208="Emeiquan D",141,IF(Atletas!M208="Fanziquan D",142,IF(Atletas!M208="Huaquan D",143,IF(Atletas!M208="Hongquan D",144,IF(Atletas!M208="Paoquan D",145,IF(Atletas!M208="Piguaquan D",146,IF(Atletas!M208="Shaolinquan D",147,IF(Atletas!M208="Tanglangquan D",148,IF(Atletas!M208="Yingzhaoquan D",149,IF(Atletas!M208="Tongbeiquan D",150,IF(Atletas!M208="Wudangquan D",151,IF(Atletas!M208="Outros Estilos D",152,IF(Atletas!M208="Chaquan E",153,IF(Atletas!M208="Emeiquan E",154,IF(Atletas!M208="Fanziquan E",155,IF(Atletas!M208="Huaquan E",156,IF(Atletas!M208="Hongquan E",157,IF(Atletas!M208="Paoquan E",158,IF(Atletas!M208="Piguaquan E",159,IF(Atletas!M208="Shaolinquan E",160,IF(Atletas!M208="Tanglangquan E",161,IF(Atletas!M208="Yingzhaoquan E",162,IF(Atletas!M208="Tongbeiquan E",163,IF(Atletas!M208="Wudangquan E",164,IF(Atletas!M208="Outros Estilos E",165,IF(Atletas!M208="Chaquan F",166,IF(Atletas!M208="Emeiquan F",167,IF(Atletas!M208="Fanziquan F",168,IF(Atletas!M208="Huaquan F",169,IF(Atletas!M208="Hongquan F",170,IF(Atletas!M208="Paoquan F",171,IF(Atletas!M208="Piguaquan F",172,IF(Atletas!M208="Shaolinquan F",173,IF(Atletas!M208="Tanglangquan F",174,IF(Atletas!M208="Yingzhaoquan F",175,IF(Atletas!M208="Tongbeiquan F",176,IF(Atletas!M208="Wudangquan F",177,IF(Atletas!M208="Outros Estilos F",178,0))))))))))))))))))))))))))))))))))))))))))</f>
        <v/>
      </c>
      <c r="BU217" s="50" t="str">
        <f>IF(Atletas!N208="","",IF(Atletas!X208&lt;&gt;"",10000,0)+(IF(Atletas!B208="Feminino",1000,IF(Atletas!B208="Masculino",2000,""))+(IF(Atletas!N208="Ditangquan A",201,IF(Atletas!N208="Houquan A",202,IF(Atletas!N208="Zuiquan A",203,IF(Atletas!N208="Ditangquan B",204,IF(Atletas!N208="Houquan B",205,IF(Atletas!N208="Zuiquan B",206,IF(Atletas!N208="Ditangquan C",207,IF(Atletas!N208="Houquan C",208,IF(Atletas!N208="Zuiquan C",209,IF(Atletas!N208="Ditangquan D",210,IF(Atletas!N208="Houquan D",211,IF(Atletas!N208="Zuiquan D",212,IF(Atletas!N208="Ditangquan E",213,IF(Atletas!N208="Houquan E",214,IF(Atletas!N208="Zuiquan E",215,IF(Atletas!N208="Ditangquan F",216,IF(Atletas!N208="Houquan F",217,IF(Atletas!N208="Zuiquan F",218,"")))))))))))))))))))))</f>
        <v/>
      </c>
      <c r="BV217" s="50" t="str">
        <f>IF(Atletas!O208="","",IF(Atletas!X208&lt;&gt;"",10000,0)+IF(Atletas!B208="Feminino",1000,IF(Atletas!B208="Masculino",2000,""))+IF(Atletas!O208="Yang A",301,IF(Atletas!O208="Chen A",302,IF(Atletas!O208="Sun A",303,IF(Atletas!O208="Wu A",304,IF(Atletas!O208="Wu-Hao A",305,IF(Atletas!O208="Outro Taijiquan A",306,IF(Atletas!O208="Yang B",307,IF(Atletas!O208="Chen B",308,IF(Atletas!O208="Sun B",309,IF(Atletas!O208="Wu B",310,IF(Atletas!O208="Wu-Hao B",311,IF(Atletas!O208="Outro Taijiquan B",312,IF(Atletas!O208="Yang C",313,IF(Atletas!O208="Chen C",314,IF(Atletas!O208="Sun C",315,IF(Atletas!O208="Wu C",316,IF(Atletas!O208="Wu-Hao C",317,IF(Atletas!O208="Outro Taijiquan C",318,IF(Atletas!O208="Yang D",319,IF(Atletas!O208="Chen D",320,IF(Atletas!O208="Sun D",321,IF(Atletas!O208="Wu D",322,IF(Atletas!O208="Wu-Hao D",323,IF(Atletas!O208="Outro Taijiquan D",324,IF(Atletas!O208="Yang E",325,IF(Atletas!O208="Chen E",326,IF(Atletas!O208="Sun E",327,IF(Atletas!O208="Wu E",328,IF(Atletas!O208="Wu-Hao E",329,IF(Atletas!O208="Outro Taijiquan E",330,IF(Atletas!O208="Yang F",331,IF(Atletas!O208="Chen F",332,IF(Atletas!O208="Sun F",333,IF(Atletas!O208="Wu F",334,IF(Atletas!O208="Wu-Hao F",335,IF(Atletas!O208="Outro Taijiquan F",336,"")))))))))))))))))))))))))))))))))))))</f>
        <v/>
      </c>
      <c r="BW217" s="50" t="str">
        <f>IF(Atletas!P208="","",IF(Atletas!X208&lt;&gt;"",10000,0)+IF(Atletas!B208="Feminino",1000,IF(Atletas!B208="Masculino",2000,""))+IF(OR(Atletas!P208="Yang 26 A",Atletas!P208="Yang 40 A"),401,IF(OR(Atletas!P208="Chen 25 A",Atletas!P208="Chen 36 A",Atletas!P208="Chen 56 A"),402,IF(Atletas!P208="Sun 73 A",403,IF(Atletas!P208="Wu 45 A",404,IF(Atletas!P208="Wu-Hao 46 A",405,IF(OR(Atletas!P208="Taijiquan 16 A",Atletas!P208="Taijiquan 24 A",Atletas!P208="Taijiquan 32 A",Atletas!P208="Taijiquan 42 A"),406,IF(OR(Atletas!P208="Yang 26 B",Atletas!P208="Yang 40 B"),407,IF(OR(Atletas!P208="Chen 25 B",Atletas!P208="Chen 36 B",Atletas!P208="Chen 56 B"),408,IF(Atletas!P208="Sun 73 B",409,IF(Atletas!P208="Wu 45 B",410,IF(Atletas!P208="Wu-Hao 46 B",411,IF(OR(Atletas!P208="Taijiquan 16 B",Atletas!P208="Taijiquan 24 B",Atletas!P208="Taijiquan 32 B",Atletas!P208="Taijiquan 42 B"),412,IF(OR(Atletas!P208="Yang 26 C",Atletas!P208="Yang 40 C"),413,IF(OR(Atletas!P208="Chen 25 C",Atletas!P208="Chen 36 C",Atletas!P208="Chen 56 C"),414,IF(Atletas!P208="Sun 73 C",415,IF(Atletas!P208="Wu 45 C",416,IF(Atletas!P208="Wu-Hao 46 C",417,IF(OR(Atletas!P208="Taijiquan 16 C",Atletas!P208="Taijiquan 24 C",Atletas!P208="Taijiquan 32 C",Atletas!P208="Taijiquan 42 C"),418,0)))))))))))))))))))</f>
        <v/>
      </c>
      <c r="BX217" s="50" t="str">
        <f>IF(Atletas!P208="","",IF(Atletas!X208&lt;&gt;"",10000,0)+IF(Atletas!B208="Feminino",1000,IF(Atletas!B208="Masculino",2000,""))+IF(OR(Atletas!P208="Yang 26 D",Atletas!P208="Yang 40 D"),419,IF(OR(Atletas!P208="Chen 25 D",Atletas!P208="Chen 36 D",Atletas!P208="Chen 56 D"),420,IF(Atletas!P208="Sun 73 D",421,IF(Atletas!P208="Wu 45 D",422,IF(Atletas!P208="Wu-Hao 46 D",423,IF(OR(Atletas!P208="Taijiquan 16 D",Atletas!P208="Taijiquan 24 D",Atletas!P208="Taijiquan 32 D",Atletas!P208="Taijiquan 42 D"),424,IF(OR(Atletas!P208="Yang 26 E",Atletas!P208="Yang 40 E"),425,IF(OR(Atletas!P208="Chen 25 E",Atletas!P208="Chen 36 E",Atletas!P208="Chen 56 E"),426,IF(Atletas!P208="Sun 73 E",427,IF(Atletas!P208="Wu 45 E",428,IF(Atletas!P208="Wu-Hao 46 E",429,IF(OR(Atletas!P208="Taijiquan 16 E",Atletas!P208="Taijiquan 24 E",Atletas!P208="Taijiquan 32 E",Atletas!P208="Taijiquan 42 E"),430,IF(OR(Atletas!P208="Yang 26 F",Atletas!P208="Yang 40 F"),431,IF(OR(Atletas!P208="Chen 25 F",Atletas!P208="Chen 36 F",Atletas!P208="Chen 56 F"),432,IF(Atletas!P208="Sun 73 F",433,IF(Atletas!P208="Wu 45 F",434,IF(Atletas!P208="Wu-Hao 46 F",435,IF(OR(Atletas!P208="Taijiquan 16 F",Atletas!P208="Taijiquan 24 F",Atletas!P208="Taijiquan 32 F",Atletas!P208="Taijiquan 42 F"),436,0)))))))))))))))))))</f>
        <v/>
      </c>
      <c r="BY217" s="50" t="str">
        <f>IF(Atletas!Q208="","",IF(Atletas!X208&lt;&gt;"",10000,0)+IF(Atletas!B208="Feminino",1000,IF(Atletas!B208="Masculino",2000,""))+IF(Atletas!Q208="Xingyiquan A",501,IF(Atletas!Q208="Baguazhang A",502,IF(Atletas!Q208="Outro Estilo Interno A",503,IF(Atletas!Q208="Xingyiquan B",504,IF(Atletas!Q208="Baguazhang B",505,IF(Atletas!Q208="Outro Estilo Interno B",506,IF(Atletas!Q208="Xingyiquan C",507,IF(Atletas!Q208="Baguazhang C",508,IF(Atletas!Q208="Outro Estilo Interno C",509,IF(Atletas!Q208="Xingyiquan D",510,IF(Atletas!Q208="Baguazhang D",511,IF(Atletas!Q208="Outro Estilo Interno D",512,IF(Atletas!Q208="Xingyiquan E",513,IF(Atletas!Q208="Baguazhang E",514,IF(Atletas!Q208="Outro Estilo Interno E",515,IF(Atletas!Q208="Xingyiquan F",516,IF(Atletas!Q208="Baguazhang F",517,IF(Atletas!Q208="Outro Estilo Interno F",518, "")))))))))))))))))))</f>
        <v/>
      </c>
      <c r="BZ217" s="50" t="str">
        <f>IF(Atletas!R208="","",IF(Atletas!X208&lt;&gt;"",10000,0)+IF(Atletas!B208="Feminino",1000,IF(Atletas!B208="Masculino",2000,""))+IF(Atletas!R208="Dao A",601,IF(Atletas!R208="Jian A",602,IF(Atletas!R208="Bishou A",603,IF(Atletas!R208="Shanzi A",604,IF(Atletas!R208="Outra Arma Curta A",605,IF(Atletas!R208="Dao B",606,IF(Atletas!R208="Jian B",607,IF(Atletas!R208="Bishou B",608,IF(Atletas!R208="Shanzi B",609,IF(Atletas!R208="Outra Arma Curta B",610,IF(Atletas!R208="Dao C",611,IF(Atletas!R208="Jian C",612,IF(Atletas!R208="Bishou C",613,IF(Atletas!R208="Shanzi C",614,IF(Atletas!R208="Outra Arma Curta C",615,IF(Atletas!R208="Dao D",616,IF(Atletas!R208="Jian D",617,IF(Atletas!R208="Bishou D",618,IF(Atletas!R208="Shanzi D",619,IF(Atletas!R208="Outra Arma Curta D",620,IF(Atletas!R208="Dao E",621,IF(Atletas!R208="Jian E",622,IF(Atletas!R208="Bishou E",623,IF(Atletas!R208="Shanzi E",624,IF(Atletas!R208="Outra Arma Curta E",625,IF(Atletas!R208="Dao F",626,IF(Atletas!R208="Jian F",627,IF(Atletas!R208="Bishou F",628,IF(Atletas!R208="Shanzi F",629,IF(Atletas!R208="Outra Arma Curta F",630, "")))))))))))))))))))))))))))))))</f>
        <v/>
      </c>
      <c r="CA217" s="50" t="str">
        <f>IF(Atletas!S208="","",IF(Atletas!X208&lt;&gt;"",10000,0)+IF(Atletas!B208="Feminino",1000,IF(Atletas!B208="Masculino",2000,""))+IF(Atletas!S208="Gun A",701,IF(Atletas!S208="Qiang A",702,IF(Atletas!S208="Pudao / Guandao A",703,IF(Atletas!S208="Outra Arma Longa A",704,IF(Atletas!S208="Gun B",705,IF(Atletas!S208="Qiang B",706,IF(Atletas!S208="Pudao / Guandao B",707,IF(Atletas!S208="Outra Arma Longa B",708,IF(Atletas!S208="Gun C",709,IF(Atletas!S208="Qiang C",710,IF(Atletas!S208="Pudao / Guandao C",711,IF(Atletas!S208="Outra Arma Longa C",712,IF(Atletas!S208="Gun D",713,IF(Atletas!S208="Qiang D",714,IF(Atletas!S208="Pudao / Guandao D",715,IF(Atletas!S208="Outra Arma Longa D",716,IF(Atletas!S208="Gun E",717,IF(Atletas!S208="Qiang E",718,IF(Atletas!S208="Pudao / Guandao E",719,IF(Atletas!S208="Outra Arma Longa E",720,IF(Atletas!S208="Gun F",721,IF(Atletas!S208="Qiang F",722,IF(Atletas!S208="Pudao / Guandao F",723,IF(Atletas!S208="Outra Arma Longa F",724,"")))))))))))))))))))))))))</f>
        <v/>
      </c>
      <c r="CB217" s="50" t="str">
        <f>IF(Atletas!T208="","",IF(Atletas!X208&lt;&gt;"",10000,0)+IF(Atletas!B208="Feminino",1000,IF(Atletas!B208="Masculino",2000,""))+IF(Atletas!T208="Outra Arma Dupla A",801,IF(Atletas!T208="Arma Maleável A",802,IF(Atletas!T208="Outra Arma Dupla B",803,IF(Atletas!T208="Arma Maleável B",804,IF(Atletas!T208="Outra Arma Dupla C",805,IF(Atletas!T208="Arma Maleável C",806,IF(Atletas!T208="Outra Arma Dupla D",807,IF(Atletas!T208="Arma Maleável D",808,IF(Atletas!T208="Outra Arma Dupla E",809,IF(Atletas!T208="Arma Maleável E",810,IF(Atletas!T208="Outra Arma Dupla F",811,IF(Atletas!T208="Arma Maleável F",812,IF(Atletas!T208="Shuangdao A",813,IF(Atletas!T208="Shuangdao B",814,IF(Atletas!T208="Shuangdao C",815,IF(Atletas!T208="Shuangdao D",816,IF(Atletas!T208="Shuangdao E",817,IF(Atletas!T208="Shuangdao F",818,"")))))))))))))))))))</f>
        <v/>
      </c>
      <c r="CC217" s="50" t="str">
        <f>IF(Atletas!U208="","",IF(Atletas!X208&lt;&gt;"",10000,0)+IF(Atletas!B208="Feminino",1000,IF(Atletas!B208="Masculino",2000,""))+IF(OR(Atletas!U208="Taijijian Yang A",Atletas!U208="Taijijian Yang Standard A"),901,IF(OR(Atletas!U208="Taijijian Chen A", Atletas!U208="Taijijian Chen Standard A"),902,IF(Atletas!U208="Taijijian Sun A",903,IF(Atletas!U208="Taijijian Wu A",904,IF(Atletas!U208="Taijijian Wu-Hao A",905,IF(OR(Atletas!U208="Taijijian 32 A",Atletas!U208="Taijijian 42 A"),906,IF(OR(Atletas!U208="Taijijian Yang B",Atletas!U208="Taijijian Yang Standard B"),907,IF(OR(Atletas!U208="Taijijian Chen B", Atletas!U208="Taijijian Chen Standard B"),908,IF(Atletas!U208="Taijijian Sun B",909,IF(Atletas!U208="Taijijian Wu B",910,IF(Atletas!U208="Taijijian Wu-Hao B",911,IF(OR(Atletas!U208="Taijijian 32 B",Atletas!U208="Taijijian 42 B"),912,IF(OR(Atletas!U208="Taijijian Yang C",Atletas!U208="Taijijian Yang Standard C"),913,IF(OR(Atletas!U208="Taijijian Chen C", Atletas!U208="Taijijian Chen Standard C"),914,IF(Atletas!U208="Taijijian Sun C",915,IF(Atletas!U208="Taijijian Wu C",916,IF(Atletas!U208="Taijijian Wu-Hao C",917,IF(OR(Atletas!U208="Taijijian 32 C",Atletas!U208="Taijijian 42 C"),918,IF(OR(Atletas!U208="Taijijian Yang D",Atletas!U208="Taijijian Yang Standard D"),919,IF(OR(Atletas!U208="Taijijian Chen D", Atletas!U208="Taijijian Chen Standard D"),920,IF(Atletas!U208="Taijijian Sun D",921,IF(Atletas!U208="Taijijian Wu D",922,IF(Atletas!U208="Taijijian Wu-Hao D",923,IF(OR(Atletas!U208="Taijijian 32 D",Atletas!U208="Taijijian 42 D"),924,IF(OR(Atletas!U208="Taijijian Yang E",Atletas!U208="Taijijian Yang Standard E"),925,IF(OR(Atletas!U208="Taijijian Chen E", Atletas!U208="Taijijian Chen Standard E"),926,IF(Atletas!U208="Taijijian Sun E",927,IF(Atletas!U208="Taijijian Wu E",928,IF(Atletas!U208="Taijijian Wu-Hao E",929,IF(OR(Atletas!U208="Taijijian 32 E",Atletas!U208="Taijijian 42 E"),930,IF(OR(Atletas!U208="Taijijian Yang F",Atletas!U208="Taijijian Yang Standard F"),931,IF(OR(Atletas!U208="Taijijian Chen F", Atletas!U208="Taijijian Chen Standard F"),932,IF(Atletas!U208="Taijijian Sun F",933,IF(Atletas!U208="Taijijian Wu F",934,IF(Atletas!U208="Taijijian Wu-Hao F",935,IF(OR(Atletas!U208="Taijijian 32 F",Atletas!U208="Taijijian 42 F"),936,"")))))))))))))))))))))))))))))))))))))</f>
        <v/>
      </c>
      <c r="CD217" s="50" t="str">
        <f>IF(Atletas!V208="","",IF(Atletas!X208&lt;&gt;"",10000,0)+IF(Atletas!B208="Feminino",1000,IF(Atletas!B208="Masculino",2000,""))+IF(Atletas!V208="Taijidao A",937,IF(Atletas!V208="TaijiShanzi A",938,IF(Atletas!V208="Taijiqiang A",939,IF(Atletas!V208="Bagua de Arma A",940,IF(Atletas!V208="Xingyi de Arma A",941,IF(Atletas!V208="Taijidao B",942,IF(Atletas!V208="TaijiShanzi B",943,IF(Atletas!V208="Taijiqiang B",944,IF(Atletas!V208="Bagua de Arma B",945,IF(Atletas!V208="Xingyi de Arma B",946,IF(Atletas!V208="Taijidao C",947,IF(Atletas!V208="TaijiShanzi C",948,IF(Atletas!V208="Taijiqiang C",949,IF(Atletas!V208="Bagua de Arma C",950,IF(Atletas!V208="Xingyi de Arma C",951,IF(Atletas!V208="Taijidao D",952,IF(Atletas!V208="TaijiShanzi D",953,IF(Atletas!V208="Taijiqiang D",954,IF(Atletas!V208="Bagua de Arma D",955,IF(Atletas!V208="Xingyi de Arma D",956,IF(Atletas!V208="Taijidao E",957,IF(Atletas!V208="TaijiShanzi E",958,IF(Atletas!V208="Taijiqiang E",959,IF(Atletas!V208="Bagua de Arma E",960,IF(Atletas!V208="Xingyi de Arma E",961,IF(Atletas!V208="Taijidao F",962,IF(Atletas!V208="TaijiShanzi F",963,IF(Atletas!V208="Taijiqiang F",964,IF(Atletas!V208="Bagua de Arma F",965,IF(Atletas!V208="Xingyi de Arma F",966,"")))))))))))))))))))))))))))))))</f>
        <v/>
      </c>
      <c r="CE217" s="66" t="str">
        <f>IF(CF217&lt;&gt;"","Xingyiquan C","")</f>
        <v/>
      </c>
      <c r="CF217" s="66" t="str">
        <f>IF(COUNTIF(BR:CD,1507)&gt;0,COUNTIF(BR:CD,1507),"")</f>
        <v/>
      </c>
      <c r="CG217" s="66" t="str">
        <f>IF(CH217&lt;&gt;"","Xingyiquan C","")</f>
        <v/>
      </c>
      <c r="CH217" s="66" t="str">
        <f>IF(COUNTIF(BR:CD,2507)&gt;0,COUNTIF(BR:CD,2507),"")</f>
        <v/>
      </c>
      <c r="CI217" s="66" t="str">
        <f>IF(CJ217&lt;&gt;"","Xingyiquan E","")</f>
        <v/>
      </c>
      <c r="CJ217" s="66" t="str">
        <f>IF(COUNTIF(BR:CD,11449)&gt;0,COUNTIF(BR:CD,11449),"")</f>
        <v/>
      </c>
      <c r="CK217" s="66" t="str">
        <f>IF(CL217&lt;&gt;"","Xingyiquan E","")</f>
        <v/>
      </c>
      <c r="CL217" s="66" t="str">
        <f>IF(COUNTIF(BR:CD,12449)&gt;0,COUNTIF(BR:CD,12449),"")</f>
        <v/>
      </c>
      <c r="CM217" s="50" t="str">
        <f xml:space="preserve"> IF(Atletas!W208="","",IF(Atletas!W208="Duilian de Mãos BC - Equipe 1",1,IF(Atletas!W208="Duilian de Mãos BC - Equipe 2",2,IF(Atletas!W208="Duilian de Armas BC - Equipe 1",3,IF(Atletas!W208="Duilian de Armas BC - Equipe 2",4,IF(Atletas!W208="Duilian de Mãos DE - Equipe 1",5,IF(Atletas!W208="Duilian de Mãos DE - Equipe 2",6,IF(Atletas!W208="Duilian de Armas DE - Equipe 1",7,IF(Atletas!W208="Duilian de Armas DE - Equipe 2",8,IF(Atletas!W208="Duilian de Tuishou - Equipe 1",9,IF(Atletas!W208="Duilian de Tuishou - Equipe 2",10,IF(Atletas!W208="Grupo Externo ABC - Equipe 1",11,IF(Atletas!W208="Grupo Externo ABC - Equipe 2",12,IF(Atletas!W208="Grupo Interno ABC - Equipe 1",13,IF(Atletas!W208="Grupo Interno ABC - Equipe 2",14,IF(Atletas!W208="Grupo Externo DEF - Equipe 1",15,IF(Atletas!W208="Grupo Externo DEF - Equipe 2",16,IF(Atletas!W208="Grupo Interno DEF - Equipe 1",17,IF(Atletas!W208="Grupo Interno DEF - Equipe 2",18,"")))))))))))))))))))</f>
        <v/>
      </c>
    </row>
    <row r="218" spans="2:91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 t="str">
        <f t="array" ref="Z218">IFERROR(INDEX(CE$7:CE$348,SMALL(IF(CE$7:CE$348&lt;&gt;"",ROW(CE$7:CE$348)-ROW(CE$7)+1),ROWS(CE$7:CE217))),"")</f>
        <v/>
      </c>
      <c r="AA218" s="3" t="str">
        <f t="array" ref="AA218">IFERROR(INDEX(CF$7:CF$348,SMALL(IF(CF$7:CF$348&lt;&gt;"",ROW(CF$7:CF$348)-ROW(CF$7)+1),ROWS(CF$7:CF217))),"")</f>
        <v/>
      </c>
      <c r="AB218" s="3" t="str">
        <f t="array" ref="AB218">IFERROR(INDEX(CG$7:CG$348,SMALL(IF(CG$7:CG$348&lt;&gt;"",ROW(CG$7:CG$348)-ROW(CG$7)+1),ROWS(CG$7:CG217))),"")</f>
        <v/>
      </c>
      <c r="AC218" s="3" t="str">
        <f t="array" ref="AC218">IFERROR(INDEX(CH$7:CH$348,SMALL(IF(CH$7:CH$348&lt;&gt;"",ROW(CH$7:CH$348)-ROW(CH$7)+1),ROWS(CH$7:CH217))),"")</f>
        <v/>
      </c>
      <c r="AD218" s="3" t="str">
        <f t="array" ref="AD218">IFERROR(INDEX(CI$7:CI$377,SMALL(IF(CI$7:CI$377&lt;&gt;"",ROW(CI$7:CI$377)-ROW(CI$7)+1),ROWS(CI$7:CI217))),"")</f>
        <v/>
      </c>
      <c r="AE218" s="3" t="str">
        <f t="array" ref="AE218">IFERROR(INDEX(CJ$7:CJ$378,SMALL(IF(CJ$7:CJ$378&lt;&gt;"",ROW(CJ$7:CJ$378)-ROW(CJ$7)+1),ROWS(CJ$7:CJ217))),"")</f>
        <v/>
      </c>
      <c r="AF218" s="3" t="str">
        <f t="array" ref="AF218">IFERROR(INDEX(CK$7:CK$378,SMALL(IF(CK$7:CK$378&lt;&gt;"",ROW(CK$7:CK$378)-ROW(CK$7)+1),ROWS(CK$7:CK217))),"")</f>
        <v/>
      </c>
      <c r="AG218" s="3" t="str">
        <f t="array" ref="AG218">IFERROR(INDEX(CL$7:CL$378,SMALL(IF(CL$7:CL$378&lt;&gt;"",ROW(CL$7:CL$378)-ROW(CL$7)+1),ROWS(CL$7:CL217))),"")</f>
        <v/>
      </c>
      <c r="AH218" s="3"/>
      <c r="AI218" s="3"/>
      <c r="AJ218" s="3"/>
      <c r="AK218" s="3"/>
      <c r="AL218" s="3"/>
      <c r="AM218" s="3"/>
      <c r="AN218" s="52" t="str">
        <f>IF(Atletas!D209="","",IF(Atletas!B209="Feminino",100,IF(Atletas!B209="Masculino",200,""))+(IF(Atletas!D209="Kids 30kg",1,IF(Atletas!D209="Kids 32kg",2, IF(Atletas!D209="Kids 34kg",3,IF(Atletas!D209="Kids 36kg",4,IF(Atletas!D209="Kids 39kg",5,IF(Atletas!D209="Kids 42kg",6,IF(Atletas!D209="Kids 45kg",7, IF(Atletas!D209="Infantil 39kg",8,IF(Atletas!D209="Infantil 42kg",9,IF(Atletas!D209="Infantil 45kg",10,IF(Atletas!D209="Infantil 48kg",11,IF(Atletas!D209="Infantil 52kg",12,IF(Atletas!D209="Infantil 56kg",13,IF(Atletas!D209="Infantil 60kg",14,IF(Atletas!D209="Juvenil 48kg",15,IF(Atletas!D209="Juvenil 52kg",16,IF(Atletas!D209="Juvenil 56kg",17,IF(Atletas!D209="Juvenil 60kg",18,IF(Atletas!D209="Juvenil 65kg",19,IF(Atletas!D209="Juvenil 70kg",20,IF(Atletas!D209="Juvenil 75kg",21,IF(Atletas!D209="Juvenil 80kg",22, IF(Atletas!D209="Juvenil 85kg",23,IF(Atletas!D209="Adulto 48kg",24,IF(Atletas!D209="Adulto 52kg",25,IF(Atletas!D209="Adulto 56kg",26,IF(Atletas!D209="Adulto 60kg",27,IF(Atletas!D209="Adulto 65kg",28,IF(Atletas!D209="Adulto 70kg",29,IF(Atletas!D209="Adulto 75kg",30,IF(Atletas!D209="Adulto 80kg",31,IF(Atletas!D209="Adulto 85kg",32,IF(Atletas!D209="Adulto 90kg",33,IF(Atletas!D209="Adulto 100kg",34, IF(Atletas!D209="Adulto +100kg",35,"")))))))))))))))))))))))))))))))))))))</f>
        <v/>
      </c>
      <c r="AS218" s="6" t="str">
        <f>IF(Atletas!E209="","",IF(Atletas!B209="Feminino",100,IF(Atletas!B209="Masculino",200,""))+(IF(Atletas!E209="Juvenil 44kg",1,IF(Atletas!E209="Juvenil 48kg",2,IF(Atletas!E209="Juvenil 52kg",3,IF(Atletas!E209="Juvenil 56kg",4,IF(Atletas!E209="Juvenil 60kg",5,IF(Atletas!E209="Juvenil 65kg",6,IF(Atletas!E209="Juvenil 70kg",7,IF(Atletas!E209="Juvenil 75kg",8,IF(Atletas!E209="Juvenil 82kg",9,IF(Atletas!E209="Juvenil 90kg",10,IF(Atletas!E209="Juvenil 100kg",11,IF(Atletas!E209="Adulto 48kg",12,IF(Atletas!E209="Adulto 52kg",13,IF(Atletas!E209="Adulto 56kg",14,IF(Atletas!E209="Adulto 60kg",15,IF(Atletas!E209="Adulto 65kg",16,IF(Atletas!E209="Adulto 70kg",17,IF(Atletas!E209="Adulto 75kg",18,IF(Atletas!E209="Adulto 82kg",19,IF(Atletas!E209="Adulto 90kg",20,IF(Atletas!E209="Adulto 100kg",21,IF(Atletas!E209="Adulto +100kg",22,""))))))))))))))))))))))))</f>
        <v/>
      </c>
      <c r="AX218" s="6" t="str">
        <f>IF(Atletas!F209="","",IF(Atletas!B209="Feminino",100,IF(Atletas!B209="Masculino",200,""))+(IF(Atletas!F209="Adulto 48kg",1,IF(Atletas!F209="Adulto 56kg",2,IF(Atletas!F209="Adulto 65kg",3,IF(Atletas!F209="Adulto 75kg",4,IF(Atletas!F209="Adulto +75kg",5,IF(Atletas!F209="Adulto 52kg",6,IF(Atletas!F209="Adulto 60kg",7,IF(Atletas!F209="Adulto 70kg",8,IF(Atletas!F209="Adulto 80kg",9,IF(Atletas!F209="Adulto 90kg",10,IF(Atletas!F209="Adulto +90kg",11,"")))))))))))))</f>
        <v/>
      </c>
      <c r="BC218" s="6" t="str">
        <f>IF(Atletas!G209="","",IF(Atletas!B209="Feminino",10,IF(Atletas!B209="Masculino",20,""))+(IF(Atletas!G209="Baduanjin A",1,IF(Atletas!G209="Baduanjin B",2))))</f>
        <v/>
      </c>
      <c r="BF218" s="52" t="str">
        <f>IF(Atletas!H209="","",IF(Atletas!B209="Feminino",100,IF(Atletas!B209="Masculino",200,""))+(IF(Atletas!H209="Changquan Mirim",1,IF(Atletas!H209="Nanquan Mirim",2,IF(Atletas!H209="Taijiquan Mirim",3,IF(Atletas!H209="Changquan Grupo C",4,IF(Atletas!H209="Nanquan Grupo C",5,IF(Atletas!H209="Taijiquan Grupo C",6,IF(Atletas!H209="Changquan Grupo B",7,IF(Atletas!H209="Nanquan Grupo B",8,IF(Atletas!H209="Taijiquan Grupo B",9,IF(Atletas!H209="Changquan Grupo A",10,IF(Atletas!H209="Nanquan Grupo A",11,IF(Atletas!H209="Taijiquan Grupo A",12,IF(Atletas!H209="Changquan Opcional",13,IF(Atletas!H209="Nanquan Opcional",14,IF(Atletas!H209="Taijiquan Opcional",15,IF(Atletas!H209="Changquan Adulto",16,IF(Atletas!H209="Nanquan Adulto",17,IF(Atletas!H209="Taijiquan Adulto",18,""))))))))))))))))))))</f>
        <v/>
      </c>
      <c r="BG218" s="52" t="str">
        <f>IF(Atletas!I209="","",IF(Atletas!B209="Feminino",100,IF(Atletas!B209="Masculino",200,""))+(IF(Atletas!I209="Daoshu Mirim",19,IF(Atletas!I209="Jianshu Mirim",20,IF(Atletas!I209="Nandao Mirim",21,IF(Atletas!I209="Taijijian Mirim",22,IF(Atletas!I209="Daoshu Grupo C",23,IF(Atletas!I209="Jianshu Grupo C",24,IF(Atletas!I209="Nandao Grupo C",25,IF(Atletas!I209="Taijijian Grupo C",26,IF(Atletas!I209="Daoshu Grupo B",27,IF(Atletas!I209="Jianshu Grupo B",28,IF(Atletas!I209="Nandao Grupo B",29,IF(Atletas!I209="Taijijian Grupo B",30,IF(Atletas!I209="Daoshu Grupo A",31,IF(Atletas!I209="Jianshu Grupo A",32,IF(Atletas!I209="Nandao Grupo A",33,IF(Atletas!I209="Taijijian Grupo A",34,IF(Atletas!I209="Daoshu Opcional",35,IF(Atletas!I209="Jianshu Opcional",36,IF(Atletas!I209="Nandao Opcional",37,IF(Atletas!I209="Taijijian Opcional",38,IF(Atletas!I209="Daoshu Adulto",39,IF(Atletas!I209="Jianshu Adulto",40,IF(Atletas!I209="Nandao Adulto",41,IF(Atletas!I209="Taijijian Adulto",42,""))))))))))))))))))))))))))</f>
        <v/>
      </c>
      <c r="BH218" s="52" t="str">
        <f>IF(Atletas!J209="","",IF(Atletas!B209="Feminino",100,IF(Atletas!B209="Masculino",200,""))+(IF(Atletas!J209="Gunshu Mirim",43,IF(Atletas!J209="Qiangshu Mirim",44,IF(Atletas!J209="Nangun Mirim",45,IF(Atletas!J209="Gunshu Grupo C",46,IF(Atletas!J209="Qiangshu Grupo C",47,IF(Atletas!J209="Nangun Grupo C",48,IF(Atletas!J209="Gunshu Grupo B",49,IF(Atletas!J209="Qiangshu Grupo B",50,IF(Atletas!J209="Nangun Grupo B",51,IF(Atletas!J209="Gunshu Grupo A",52,IF(Atletas!J209="Qiangshu Grupo A",53,IF(Atletas!J209="Nangun Grupo A",54,IF(Atletas!J209="Gunshu Opcional",55,IF(Atletas!J209="Qiangshu Opcional",56,IF(Atletas!J209="Nangun Opcional",57,IF(Atletas!J209="Gunshu Adulto",58,IF(Atletas!J209="Qiangshu Adulto",59,IF(Atletas!J209="Nangun Adulto",60,IF(Atletas!J209="Taijishan Grupo B",61,IF(Atletas!J209="Taijishan Grupo A",62,""))))))))))))))))))))))</f>
        <v/>
      </c>
      <c r="BM218" s="50" t="str">
        <f>IF(Atletas!K209="","",IF(Atletas!B209="Feminino",100,IF(Atletas!B209="Masculino",200,""))+(IF(Atletas!K209="Equipe 1 Grupo B",1,IF(Atletas!K209="Equipe 2 Grupo B",2,IF(Atletas!K209="Equipe 1 Grupo A",3,IF(Atletas!K209="Equipe 2 Grupo A",4,IF(Atletas!K209="Equipe 1 Adulto",5,IF(Atletas!K209="Equipe 2 Adulto",6,""))))))))</f>
        <v/>
      </c>
      <c r="BR218" s="50" t="str">
        <f>IF(Atletas!L209="","",IF(Atletas!X209&lt;&gt;"",10000,0)+(IF(Atletas!B209="Feminino",1000,IF(Atletas!B209="Masculino",2000,""))+IF(Atletas!L209="Choylayfut A",1,IF(Atletas!L209="Hunggar A",2,IF(Atletas!L209="Wuzuquan A",3,IF(Atletas!L209="Wingchun A",4,IF(Atletas!L209="Outra Mão de Sul A",5,IF(Atletas!L209="Choylayfut B",6,IF(Atletas!L209="Hunggar B",7,IF(Atletas!L209="Wuzuquan B",8,IF(Atletas!L209="Wingchun B",9,IF(Atletas!L209="Outra Mão de Sul B",10,IF(Atletas!L209="Choylayfut C",11,IF(Atletas!L209="Hunggar C",12,IF(Atletas!L209="Wuzuquan C",13,IF(Atletas!L209="Wingchun C",14,IF(Atletas!L209="Outra Mão de Sul C",15,IF(Atletas!L209="Choylayfut D",16,IF(Atletas!L209="Hunggar D",17,IF(Atletas!L209="Wuzuquan D",18,IF(Atletas!L209="Wingchun D",19,IF(Atletas!L209="Outra Mão de Sul D",20,IF(Atletas!L209="Choylayfut E",21,IF(Atletas!L209="Hunggar E",22,IF(Atletas!L209="Wuzuquan E",23,IF(Atletas!L209="Wingchun E",24,IF(Atletas!L209="Outra Mão de Sul E",25,IF(Atletas!L209="Choylayfut F",26,IF(Atletas!L209="Hunggar F",27,IF(Atletas!L209="Wuzuquan F",28,IF(Atletas!L209="Wingchun F",29,IF(Atletas!L209="Outra Mão de Sul F",30,IF(Atletas!L209="Dishuquan A",31,IF(Atletas!L209="Dishuquan B",32,IF(Atletas!L209="Dishuquan C",33,IF(Atletas!L209="Dishuquan D",34,IF(Atletas!L209="Dishuquan E",35,IF(Atletas!L209="Dishuquan F",36,""))))))))))))))))))))))))))))))))))))))</f>
        <v/>
      </c>
      <c r="BS218" s="50" t="str">
        <f>IF(Atletas!M209="","",IF(Atletas!X209&lt;&gt;"",10000,0)+(IF(Atletas!B209="Feminino",1000,IF(Atletas!B209="Masculino",2000,""))+(IF(Atletas!M209="Chaquan A",101,IF(Atletas!M209="Emeiquan A",102,IF(Atletas!M209="Fanziquan A",103,IF(Atletas!M209="Huaquan A",104,IF(Atletas!M209="Hongquan A",105,IF(Atletas!M209="Paoquan A",106,IF(Atletas!M209="Piguaquan A",107,IF(Atletas!M209="Shaolinquan A",108,IF(Atletas!M209="Tanglangquan A",109,IF(Atletas!M209="Yingzhaoquan A",110,IF(Atletas!M209="Tongbeiquan A",111,IF(Atletas!M209="Wudangquan A",112,IF(Atletas!M209="Outros Estilos A",113,IF(Atletas!M209="Chaquan B",114,IF(Atletas!M209="Emeiquan B",115,IF(Atletas!M209="Fanziquan B",116,IF(Atletas!M209="Huaquan B",117,IF(Atletas!M209="Hongquan B",118,IF(Atletas!M209="Paoquan B",119,IF(Atletas!M209="Piguaquan B",120,IF(Atletas!M209="Shaolinquan B",121,IF(Atletas!M209="Tanglangquan B",122,IF(Atletas!M209="Yingzhaoquan B",123,IF(Atletas!M209="Tongbeiquan B",124,IF(Atletas!M209="Wudangquan B",125,IF(Atletas!M209="Outros Estilos B",126,IF(Atletas!M209="Chaquan C",127,IF(Atletas!M209="Emeiquan C",128,IF(Atletas!M209="Fanziquan C",129,IF(Atletas!M209="Huaquan C",130,IF(Atletas!M209="Hongquan C",131,IF(Atletas!M209="Paoquan C",132,IF(Atletas!M209="Piguaquan C",133,IF(Atletas!M209="Shaolinquan C",134,IF(Atletas!M209="Tanglangquan C",135,IF(Atletas!M209="Yingzhaoquan C",136,IF(Atletas!M209="Tongbeiquan C",137,IF(Atletas!M209="Wudangquan C",138,IF(Atletas!M209="Outros Estilos C",139,0))))))))))))))))))))))))))))))))))))))))))</f>
        <v/>
      </c>
      <c r="BT218" s="50" t="str">
        <f>IF(Atletas!M209="","",IF(Atletas!X209&lt;&gt;"",10000,0)+(IF(Atletas!B209="Feminino",1000,IF(Atletas!B209="Masculino",2000,""))+(IF(Atletas!M209="Chaquan D",140,IF(Atletas!M209="Emeiquan D",141,IF(Atletas!M209="Fanziquan D",142,IF(Atletas!M209="Huaquan D",143,IF(Atletas!M209="Hongquan D",144,IF(Atletas!M209="Paoquan D",145,IF(Atletas!M209="Piguaquan D",146,IF(Atletas!M209="Shaolinquan D",147,IF(Atletas!M209="Tanglangquan D",148,IF(Atletas!M209="Yingzhaoquan D",149,IF(Atletas!M209="Tongbeiquan D",150,IF(Atletas!M209="Wudangquan D",151,IF(Atletas!M209="Outros Estilos D",152,IF(Atletas!M209="Chaquan E",153,IF(Atletas!M209="Emeiquan E",154,IF(Atletas!M209="Fanziquan E",155,IF(Atletas!M209="Huaquan E",156,IF(Atletas!M209="Hongquan E",157,IF(Atletas!M209="Paoquan E",158,IF(Atletas!M209="Piguaquan E",159,IF(Atletas!M209="Shaolinquan E",160,IF(Atletas!M209="Tanglangquan E",161,IF(Atletas!M209="Yingzhaoquan E",162,IF(Atletas!M209="Tongbeiquan E",163,IF(Atletas!M209="Wudangquan E",164,IF(Atletas!M209="Outros Estilos E",165,IF(Atletas!M209="Chaquan F",166,IF(Atletas!M209="Emeiquan F",167,IF(Atletas!M209="Fanziquan F",168,IF(Atletas!M209="Huaquan F",169,IF(Atletas!M209="Hongquan F",170,IF(Atletas!M209="Paoquan F",171,IF(Atletas!M209="Piguaquan F",172,IF(Atletas!M209="Shaolinquan F",173,IF(Atletas!M209="Tanglangquan F",174,IF(Atletas!M209="Yingzhaoquan F",175,IF(Atletas!M209="Tongbeiquan F",176,IF(Atletas!M209="Wudangquan F",177,IF(Atletas!M209="Outros Estilos F",178,0))))))))))))))))))))))))))))))))))))))))))</f>
        <v/>
      </c>
      <c r="BU218" s="50" t="str">
        <f>IF(Atletas!N209="","",IF(Atletas!X209&lt;&gt;"",10000,0)+(IF(Atletas!B209="Feminino",1000,IF(Atletas!B209="Masculino",2000,""))+(IF(Atletas!N209="Ditangquan A",201,IF(Atletas!N209="Houquan A",202,IF(Atletas!N209="Zuiquan A",203,IF(Atletas!N209="Ditangquan B",204,IF(Atletas!N209="Houquan B",205,IF(Atletas!N209="Zuiquan B",206,IF(Atletas!N209="Ditangquan C",207,IF(Atletas!N209="Houquan C",208,IF(Atletas!N209="Zuiquan C",209,IF(Atletas!N209="Ditangquan D",210,IF(Atletas!N209="Houquan D",211,IF(Atletas!N209="Zuiquan D",212,IF(Atletas!N209="Ditangquan E",213,IF(Atletas!N209="Houquan E",214,IF(Atletas!N209="Zuiquan E",215,IF(Atletas!N209="Ditangquan F",216,IF(Atletas!N209="Houquan F",217,IF(Atletas!N209="Zuiquan F",218,"")))))))))))))))))))))</f>
        <v/>
      </c>
      <c r="BV218" s="50" t="str">
        <f>IF(Atletas!O209="","",IF(Atletas!X209&lt;&gt;"",10000,0)+IF(Atletas!B209="Feminino",1000,IF(Atletas!B209="Masculino",2000,""))+IF(Atletas!O209="Yang A",301,IF(Atletas!O209="Chen A",302,IF(Atletas!O209="Sun A",303,IF(Atletas!O209="Wu A",304,IF(Atletas!O209="Wu-Hao A",305,IF(Atletas!O209="Outro Taijiquan A",306,IF(Atletas!O209="Yang B",307,IF(Atletas!O209="Chen B",308,IF(Atletas!O209="Sun B",309,IF(Atletas!O209="Wu B",310,IF(Atletas!O209="Wu-Hao B",311,IF(Atletas!O209="Outro Taijiquan B",312,IF(Atletas!O209="Yang C",313,IF(Atletas!O209="Chen C",314,IF(Atletas!O209="Sun C",315,IF(Atletas!O209="Wu C",316,IF(Atletas!O209="Wu-Hao C",317,IF(Atletas!O209="Outro Taijiquan C",318,IF(Atletas!O209="Yang D",319,IF(Atletas!O209="Chen D",320,IF(Atletas!O209="Sun D",321,IF(Atletas!O209="Wu D",322,IF(Atletas!O209="Wu-Hao D",323,IF(Atletas!O209="Outro Taijiquan D",324,IF(Atletas!O209="Yang E",325,IF(Atletas!O209="Chen E",326,IF(Atletas!O209="Sun E",327,IF(Atletas!O209="Wu E",328,IF(Atletas!O209="Wu-Hao E",329,IF(Atletas!O209="Outro Taijiquan E",330,IF(Atletas!O209="Yang F",331,IF(Atletas!O209="Chen F",332,IF(Atletas!O209="Sun F",333,IF(Atletas!O209="Wu F",334,IF(Atletas!O209="Wu-Hao F",335,IF(Atletas!O209="Outro Taijiquan F",336,"")))))))))))))))))))))))))))))))))))))</f>
        <v/>
      </c>
      <c r="BW218" s="50" t="str">
        <f>IF(Atletas!P209="","",IF(Atletas!X209&lt;&gt;"",10000,0)+IF(Atletas!B209="Feminino",1000,IF(Atletas!B209="Masculino",2000,""))+IF(OR(Atletas!P209="Yang 26 A",Atletas!P209="Yang 40 A"),401,IF(OR(Atletas!P209="Chen 25 A",Atletas!P209="Chen 36 A",Atletas!P209="Chen 56 A"),402,IF(Atletas!P209="Sun 73 A",403,IF(Atletas!P209="Wu 45 A",404,IF(Atletas!P209="Wu-Hao 46 A",405,IF(OR(Atletas!P209="Taijiquan 16 A",Atletas!P209="Taijiquan 24 A",Atletas!P209="Taijiquan 32 A",Atletas!P209="Taijiquan 42 A"),406,IF(OR(Atletas!P209="Yang 26 B",Atletas!P209="Yang 40 B"),407,IF(OR(Atletas!P209="Chen 25 B",Atletas!P209="Chen 36 B",Atletas!P209="Chen 56 B"),408,IF(Atletas!P209="Sun 73 B",409,IF(Atletas!P209="Wu 45 B",410,IF(Atletas!P209="Wu-Hao 46 B",411,IF(OR(Atletas!P209="Taijiquan 16 B",Atletas!P209="Taijiquan 24 B",Atletas!P209="Taijiquan 32 B",Atletas!P209="Taijiquan 42 B"),412,IF(OR(Atletas!P209="Yang 26 C",Atletas!P209="Yang 40 C"),413,IF(OR(Atletas!P209="Chen 25 C",Atletas!P209="Chen 36 C",Atletas!P209="Chen 56 C"),414,IF(Atletas!P209="Sun 73 C",415,IF(Atletas!P209="Wu 45 C",416,IF(Atletas!P209="Wu-Hao 46 C",417,IF(OR(Atletas!P209="Taijiquan 16 C",Atletas!P209="Taijiquan 24 C",Atletas!P209="Taijiquan 32 C",Atletas!P209="Taijiquan 42 C"),418,0)))))))))))))))))))</f>
        <v/>
      </c>
      <c r="BX218" s="50" t="str">
        <f>IF(Atletas!P209="","",IF(Atletas!X209&lt;&gt;"",10000,0)+IF(Atletas!B209="Feminino",1000,IF(Atletas!B209="Masculino",2000,""))+IF(OR(Atletas!P209="Yang 26 D",Atletas!P209="Yang 40 D"),419,IF(OR(Atletas!P209="Chen 25 D",Atletas!P209="Chen 36 D",Atletas!P209="Chen 56 D"),420,IF(Atletas!P209="Sun 73 D",421,IF(Atletas!P209="Wu 45 D",422,IF(Atletas!P209="Wu-Hao 46 D",423,IF(OR(Atletas!P209="Taijiquan 16 D",Atletas!P209="Taijiquan 24 D",Atletas!P209="Taijiquan 32 D",Atletas!P209="Taijiquan 42 D"),424,IF(OR(Atletas!P209="Yang 26 E",Atletas!P209="Yang 40 E"),425,IF(OR(Atletas!P209="Chen 25 E",Atletas!P209="Chen 36 E",Atletas!P209="Chen 56 E"),426,IF(Atletas!P209="Sun 73 E",427,IF(Atletas!P209="Wu 45 E",428,IF(Atletas!P209="Wu-Hao 46 E",429,IF(OR(Atletas!P209="Taijiquan 16 E",Atletas!P209="Taijiquan 24 E",Atletas!P209="Taijiquan 32 E",Atletas!P209="Taijiquan 42 E"),430,IF(OR(Atletas!P209="Yang 26 F",Atletas!P209="Yang 40 F"),431,IF(OR(Atletas!P209="Chen 25 F",Atletas!P209="Chen 36 F",Atletas!P209="Chen 56 F"),432,IF(Atletas!P209="Sun 73 F",433,IF(Atletas!P209="Wu 45 F",434,IF(Atletas!P209="Wu-Hao 46 F",435,IF(OR(Atletas!P209="Taijiquan 16 F",Atletas!P209="Taijiquan 24 F",Atletas!P209="Taijiquan 32 F",Atletas!P209="Taijiquan 42 F"),436,0)))))))))))))))))))</f>
        <v/>
      </c>
      <c r="BY218" s="50" t="str">
        <f>IF(Atletas!Q209="","",IF(Atletas!X209&lt;&gt;"",10000,0)+IF(Atletas!B209="Feminino",1000,IF(Atletas!B209="Masculino",2000,""))+IF(Atletas!Q209="Xingyiquan A",501,IF(Atletas!Q209="Baguazhang A",502,IF(Atletas!Q209="Outro Estilo Interno A",503,IF(Atletas!Q209="Xingyiquan B",504,IF(Atletas!Q209="Baguazhang B",505,IF(Atletas!Q209="Outro Estilo Interno B",506,IF(Atletas!Q209="Xingyiquan C",507,IF(Atletas!Q209="Baguazhang C",508,IF(Atletas!Q209="Outro Estilo Interno C",509,IF(Atletas!Q209="Xingyiquan D",510,IF(Atletas!Q209="Baguazhang D",511,IF(Atletas!Q209="Outro Estilo Interno D",512,IF(Atletas!Q209="Xingyiquan E",513,IF(Atletas!Q209="Baguazhang E",514,IF(Atletas!Q209="Outro Estilo Interno E",515,IF(Atletas!Q209="Xingyiquan F",516,IF(Atletas!Q209="Baguazhang F",517,IF(Atletas!Q209="Outro Estilo Interno F",518, "")))))))))))))))))))</f>
        <v/>
      </c>
      <c r="BZ218" s="50" t="str">
        <f>IF(Atletas!R209="","",IF(Atletas!X209&lt;&gt;"",10000,0)+IF(Atletas!B209="Feminino",1000,IF(Atletas!B209="Masculino",2000,""))+IF(Atletas!R209="Dao A",601,IF(Atletas!R209="Jian A",602,IF(Atletas!R209="Bishou A",603,IF(Atletas!R209="Shanzi A",604,IF(Atletas!R209="Outra Arma Curta A",605,IF(Atletas!R209="Dao B",606,IF(Atletas!R209="Jian B",607,IF(Atletas!R209="Bishou B",608,IF(Atletas!R209="Shanzi B",609,IF(Atletas!R209="Outra Arma Curta B",610,IF(Atletas!R209="Dao C",611,IF(Atletas!R209="Jian C",612,IF(Atletas!R209="Bishou C",613,IF(Atletas!R209="Shanzi C",614,IF(Atletas!R209="Outra Arma Curta C",615,IF(Atletas!R209="Dao D",616,IF(Atletas!R209="Jian D",617,IF(Atletas!R209="Bishou D",618,IF(Atletas!R209="Shanzi D",619,IF(Atletas!R209="Outra Arma Curta D",620,IF(Atletas!R209="Dao E",621,IF(Atletas!R209="Jian E",622,IF(Atletas!R209="Bishou E",623,IF(Atletas!R209="Shanzi E",624,IF(Atletas!R209="Outra Arma Curta E",625,IF(Atletas!R209="Dao F",626,IF(Atletas!R209="Jian F",627,IF(Atletas!R209="Bishou F",628,IF(Atletas!R209="Shanzi F",629,IF(Atletas!R209="Outra Arma Curta F",630, "")))))))))))))))))))))))))))))))</f>
        <v/>
      </c>
      <c r="CA218" s="50" t="str">
        <f>IF(Atletas!S209="","",IF(Atletas!X209&lt;&gt;"",10000,0)+IF(Atletas!B209="Feminino",1000,IF(Atletas!B209="Masculino",2000,""))+IF(Atletas!S209="Gun A",701,IF(Atletas!S209="Qiang A",702,IF(Atletas!S209="Pudao / Guandao A",703,IF(Atletas!S209="Outra Arma Longa A",704,IF(Atletas!S209="Gun B",705,IF(Atletas!S209="Qiang B",706,IF(Atletas!S209="Pudao / Guandao B",707,IF(Atletas!S209="Outra Arma Longa B",708,IF(Atletas!S209="Gun C",709,IF(Atletas!S209="Qiang C",710,IF(Atletas!S209="Pudao / Guandao C",711,IF(Atletas!S209="Outra Arma Longa C",712,IF(Atletas!S209="Gun D",713,IF(Atletas!S209="Qiang D",714,IF(Atletas!S209="Pudao / Guandao D",715,IF(Atletas!S209="Outra Arma Longa D",716,IF(Atletas!S209="Gun E",717,IF(Atletas!S209="Qiang E",718,IF(Atletas!S209="Pudao / Guandao E",719,IF(Atletas!S209="Outra Arma Longa E",720,IF(Atletas!S209="Gun F",721,IF(Atletas!S209="Qiang F",722,IF(Atletas!S209="Pudao / Guandao F",723,IF(Atletas!S209="Outra Arma Longa F",724,"")))))))))))))))))))))))))</f>
        <v/>
      </c>
      <c r="CB218" s="50" t="str">
        <f>IF(Atletas!T209="","",IF(Atletas!X209&lt;&gt;"",10000,0)+IF(Atletas!B209="Feminino",1000,IF(Atletas!B209="Masculino",2000,""))+IF(Atletas!T209="Outra Arma Dupla A",801,IF(Atletas!T209="Arma Maleável A",802,IF(Atletas!T209="Outra Arma Dupla B",803,IF(Atletas!T209="Arma Maleável B",804,IF(Atletas!T209="Outra Arma Dupla C",805,IF(Atletas!T209="Arma Maleável C",806,IF(Atletas!T209="Outra Arma Dupla D",807,IF(Atletas!T209="Arma Maleável D",808,IF(Atletas!T209="Outra Arma Dupla E",809,IF(Atletas!T209="Arma Maleável E",810,IF(Atletas!T209="Outra Arma Dupla F",811,IF(Atletas!T209="Arma Maleável F",812,IF(Atletas!T209="Shuangdao A",813,IF(Atletas!T209="Shuangdao B",814,IF(Atletas!T209="Shuangdao C",815,IF(Atletas!T209="Shuangdao D",816,IF(Atletas!T209="Shuangdao E",817,IF(Atletas!T209="Shuangdao F",818,"")))))))))))))))))))</f>
        <v/>
      </c>
      <c r="CC218" s="50" t="str">
        <f>IF(Atletas!U209="","",IF(Atletas!X209&lt;&gt;"",10000,0)+IF(Atletas!B209="Feminino",1000,IF(Atletas!B209="Masculino",2000,""))+IF(OR(Atletas!U209="Taijijian Yang A",Atletas!U209="Taijijian Yang Standard A"),901,IF(OR(Atletas!U209="Taijijian Chen A", Atletas!U209="Taijijian Chen Standard A"),902,IF(Atletas!U209="Taijijian Sun A",903,IF(Atletas!U209="Taijijian Wu A",904,IF(Atletas!U209="Taijijian Wu-Hao A",905,IF(OR(Atletas!U209="Taijijian 32 A",Atletas!U209="Taijijian 42 A"),906,IF(OR(Atletas!U209="Taijijian Yang B",Atletas!U209="Taijijian Yang Standard B"),907,IF(OR(Atletas!U209="Taijijian Chen B", Atletas!U209="Taijijian Chen Standard B"),908,IF(Atletas!U209="Taijijian Sun B",909,IF(Atletas!U209="Taijijian Wu B",910,IF(Atletas!U209="Taijijian Wu-Hao B",911,IF(OR(Atletas!U209="Taijijian 32 B",Atletas!U209="Taijijian 42 B"),912,IF(OR(Atletas!U209="Taijijian Yang C",Atletas!U209="Taijijian Yang Standard C"),913,IF(OR(Atletas!U209="Taijijian Chen C", Atletas!U209="Taijijian Chen Standard C"),914,IF(Atletas!U209="Taijijian Sun C",915,IF(Atletas!U209="Taijijian Wu C",916,IF(Atletas!U209="Taijijian Wu-Hao C",917,IF(OR(Atletas!U209="Taijijian 32 C",Atletas!U209="Taijijian 42 C"),918,IF(OR(Atletas!U209="Taijijian Yang D",Atletas!U209="Taijijian Yang Standard D"),919,IF(OR(Atletas!U209="Taijijian Chen D", Atletas!U209="Taijijian Chen Standard D"),920,IF(Atletas!U209="Taijijian Sun D",921,IF(Atletas!U209="Taijijian Wu D",922,IF(Atletas!U209="Taijijian Wu-Hao D",923,IF(OR(Atletas!U209="Taijijian 32 D",Atletas!U209="Taijijian 42 D"),924,IF(OR(Atletas!U209="Taijijian Yang E",Atletas!U209="Taijijian Yang Standard E"),925,IF(OR(Atletas!U209="Taijijian Chen E", Atletas!U209="Taijijian Chen Standard E"),926,IF(Atletas!U209="Taijijian Sun E",927,IF(Atletas!U209="Taijijian Wu E",928,IF(Atletas!U209="Taijijian Wu-Hao E",929,IF(OR(Atletas!U209="Taijijian 32 E",Atletas!U209="Taijijian 42 E"),930,IF(OR(Atletas!U209="Taijijian Yang F",Atletas!U209="Taijijian Yang Standard F"),931,IF(OR(Atletas!U209="Taijijian Chen F", Atletas!U209="Taijijian Chen Standard F"),932,IF(Atletas!U209="Taijijian Sun F",933,IF(Atletas!U209="Taijijian Wu F",934,IF(Atletas!U209="Taijijian Wu-Hao F",935,IF(OR(Atletas!U209="Taijijian 32 F",Atletas!U209="Taijijian 42 F"),936,"")))))))))))))))))))))))))))))))))))))</f>
        <v/>
      </c>
      <c r="CD218" s="50" t="str">
        <f>IF(Atletas!V209="","",IF(Atletas!X209&lt;&gt;"",10000,0)+IF(Atletas!B209="Feminino",1000,IF(Atletas!B209="Masculino",2000,""))+IF(Atletas!V209="Taijidao A",937,IF(Atletas!V209="TaijiShanzi A",938,IF(Atletas!V209="Taijiqiang A",939,IF(Atletas!V209="Bagua de Arma A",940,IF(Atletas!V209="Xingyi de Arma A",941,IF(Atletas!V209="Taijidao B",942,IF(Atletas!V209="TaijiShanzi B",943,IF(Atletas!V209="Taijiqiang B",944,IF(Atletas!V209="Bagua de Arma B",945,IF(Atletas!V209="Xingyi de Arma B",946,IF(Atletas!V209="Taijidao C",947,IF(Atletas!V209="TaijiShanzi C",948,IF(Atletas!V209="Taijiqiang C",949,IF(Atletas!V209="Bagua de Arma C",950,IF(Atletas!V209="Xingyi de Arma C",951,IF(Atletas!V209="Taijidao D",952,IF(Atletas!V209="TaijiShanzi D",953,IF(Atletas!V209="Taijiqiang D",954,IF(Atletas!V209="Bagua de Arma D",955,IF(Atletas!V209="Xingyi de Arma D",956,IF(Atletas!V209="Taijidao E",957,IF(Atletas!V209="TaijiShanzi E",958,IF(Atletas!V209="Taijiqiang E",959,IF(Atletas!V209="Bagua de Arma E",960,IF(Atletas!V209="Xingyi de Arma E",961,IF(Atletas!V209="Taijidao F",962,IF(Atletas!V209="TaijiShanzi F",963,IF(Atletas!V209="Taijiqiang F",964,IF(Atletas!V209="Bagua de Arma F",965,IF(Atletas!V209="Xingyi de Arma F",966,"")))))))))))))))))))))))))))))))</f>
        <v/>
      </c>
      <c r="CE218" s="66" t="str">
        <f>IF(CF218&lt;&gt;"","Baguazhang C ","")</f>
        <v/>
      </c>
      <c r="CF218" s="66" t="str">
        <f>IF(COUNTIF(BR:CD,1508)&gt;0,COUNTIF(BR:CD,1508),"")</f>
        <v/>
      </c>
      <c r="CG218" s="66" t="str">
        <f>IF(CH218&lt;&gt;"","Baguazhang C ","")</f>
        <v/>
      </c>
      <c r="CH218" s="66" t="str">
        <f>IF(COUNTIF(BR:CD,2508)&gt;0,COUNTIF(BR:CD,2508),"")</f>
        <v/>
      </c>
      <c r="CI218" s="66" t="str">
        <f>IF(CJ218&lt;&gt;"","Baguazhang E ","")</f>
        <v/>
      </c>
      <c r="CJ218" s="66" t="str">
        <f>IF(COUNTIF(BR:CD,11450)&gt;0,COUNTIF(BR:CD,11450),"")</f>
        <v/>
      </c>
      <c r="CK218" s="66" t="str">
        <f>IF(CL218&lt;&gt;"","Baguazhang E ","")</f>
        <v/>
      </c>
      <c r="CL218" s="66" t="str">
        <f>IF(COUNTIF(BR:CD,12450)&gt;0,COUNTIF(BR:CD,12450),"")</f>
        <v/>
      </c>
      <c r="CM218" s="50" t="str">
        <f xml:space="preserve"> IF(Atletas!W209="","",IF(Atletas!W209="Duilian de Mãos BC - Equipe 1",1,IF(Atletas!W209="Duilian de Mãos BC - Equipe 2",2,IF(Atletas!W209="Duilian de Armas BC - Equipe 1",3,IF(Atletas!W209="Duilian de Armas BC - Equipe 2",4,IF(Atletas!W209="Duilian de Mãos DE - Equipe 1",5,IF(Atletas!W209="Duilian de Mãos DE - Equipe 2",6,IF(Atletas!W209="Duilian de Armas DE - Equipe 1",7,IF(Atletas!W209="Duilian de Armas DE - Equipe 2",8,IF(Atletas!W209="Duilian de Tuishou - Equipe 1",9,IF(Atletas!W209="Duilian de Tuishou - Equipe 2",10,IF(Atletas!W209="Grupo Externo ABC - Equipe 1",11,IF(Atletas!W209="Grupo Externo ABC - Equipe 2",12,IF(Atletas!W209="Grupo Interno ABC - Equipe 1",13,IF(Atletas!W209="Grupo Interno ABC - Equipe 2",14,IF(Atletas!W209="Grupo Externo DEF - Equipe 1",15,IF(Atletas!W209="Grupo Externo DEF - Equipe 2",16,IF(Atletas!W209="Grupo Interno DEF - Equipe 1",17,IF(Atletas!W209="Grupo Interno DEF - Equipe 2",18,"")))))))))))))))))))</f>
        <v/>
      </c>
    </row>
    <row r="219" spans="2:91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 t="str">
        <f t="array" ref="Z219">IFERROR(INDEX(CE$7:CE$348,SMALL(IF(CE$7:CE$348&lt;&gt;"",ROW(CE$7:CE$348)-ROW(CE$7)+1),ROWS(CE$7:CE218))),"")</f>
        <v/>
      </c>
      <c r="AA219" s="3" t="str">
        <f t="array" ref="AA219">IFERROR(INDEX(CF$7:CF$348,SMALL(IF(CF$7:CF$348&lt;&gt;"",ROW(CF$7:CF$348)-ROW(CF$7)+1),ROWS(CF$7:CF218))),"")</f>
        <v/>
      </c>
      <c r="AB219" s="3" t="str">
        <f t="array" ref="AB219">IFERROR(INDEX(CG$7:CG$348,SMALL(IF(CG$7:CG$348&lt;&gt;"",ROW(CG$7:CG$348)-ROW(CG$7)+1),ROWS(CG$7:CG218))),"")</f>
        <v/>
      </c>
      <c r="AC219" s="3" t="str">
        <f t="array" ref="AC219">IFERROR(INDEX(CH$7:CH$348,SMALL(IF(CH$7:CH$348&lt;&gt;"",ROW(CH$7:CH$348)-ROW(CH$7)+1),ROWS(CH$7:CH218))),"")</f>
        <v/>
      </c>
      <c r="AD219" s="3" t="str">
        <f t="array" ref="AD219">IFERROR(INDEX(CI$7:CI$377,SMALL(IF(CI$7:CI$377&lt;&gt;"",ROW(CI$7:CI$377)-ROW(CI$7)+1),ROWS(CI$7:CI218))),"")</f>
        <v/>
      </c>
      <c r="AE219" s="3" t="str">
        <f t="array" ref="AE219">IFERROR(INDEX(CJ$7:CJ$378,SMALL(IF(CJ$7:CJ$378&lt;&gt;"",ROW(CJ$7:CJ$378)-ROW(CJ$7)+1),ROWS(CJ$7:CJ218))),"")</f>
        <v/>
      </c>
      <c r="AF219" s="3" t="str">
        <f t="array" ref="AF219">IFERROR(INDEX(CK$7:CK$378,SMALL(IF(CK$7:CK$378&lt;&gt;"",ROW(CK$7:CK$378)-ROW(CK$7)+1),ROWS(CK$7:CK218))),"")</f>
        <v/>
      </c>
      <c r="AG219" s="3" t="str">
        <f t="array" ref="AG219">IFERROR(INDEX(CL$7:CL$378,SMALL(IF(CL$7:CL$378&lt;&gt;"",ROW(CL$7:CL$378)-ROW(CL$7)+1),ROWS(CL$7:CL218))),"")</f>
        <v/>
      </c>
      <c r="AH219" s="3"/>
      <c r="AI219" s="3"/>
      <c r="AJ219" s="3"/>
      <c r="AK219" s="3"/>
      <c r="AL219" s="3"/>
      <c r="AM219" s="3"/>
      <c r="AN219" s="52" t="str">
        <f>IF(Atletas!D210="","",IF(Atletas!B210="Feminino",100,IF(Atletas!B210="Masculino",200,""))+(IF(Atletas!D210="Kids 30kg",1,IF(Atletas!D210="Kids 32kg",2, IF(Atletas!D210="Kids 34kg",3,IF(Atletas!D210="Kids 36kg",4,IF(Atletas!D210="Kids 39kg",5,IF(Atletas!D210="Kids 42kg",6,IF(Atletas!D210="Kids 45kg",7, IF(Atletas!D210="Infantil 39kg",8,IF(Atletas!D210="Infantil 42kg",9,IF(Atletas!D210="Infantil 45kg",10,IF(Atletas!D210="Infantil 48kg",11,IF(Atletas!D210="Infantil 52kg",12,IF(Atletas!D210="Infantil 56kg",13,IF(Atletas!D210="Infantil 60kg",14,IF(Atletas!D210="Juvenil 48kg",15,IF(Atletas!D210="Juvenil 52kg",16,IF(Atletas!D210="Juvenil 56kg",17,IF(Atletas!D210="Juvenil 60kg",18,IF(Atletas!D210="Juvenil 65kg",19,IF(Atletas!D210="Juvenil 70kg",20,IF(Atletas!D210="Juvenil 75kg",21,IF(Atletas!D210="Juvenil 80kg",22, IF(Atletas!D210="Juvenil 85kg",23,IF(Atletas!D210="Adulto 48kg",24,IF(Atletas!D210="Adulto 52kg",25,IF(Atletas!D210="Adulto 56kg",26,IF(Atletas!D210="Adulto 60kg",27,IF(Atletas!D210="Adulto 65kg",28,IF(Atletas!D210="Adulto 70kg",29,IF(Atletas!D210="Adulto 75kg",30,IF(Atletas!D210="Adulto 80kg",31,IF(Atletas!D210="Adulto 85kg",32,IF(Atletas!D210="Adulto 90kg",33,IF(Atletas!D210="Adulto 100kg",34, IF(Atletas!D210="Adulto +100kg",35,"")))))))))))))))))))))))))))))))))))))</f>
        <v/>
      </c>
      <c r="AS219" s="6" t="str">
        <f>IF(Atletas!E210="","",IF(Atletas!B210="Feminino",100,IF(Atletas!B210="Masculino",200,""))+(IF(Atletas!E210="Juvenil 44kg",1,IF(Atletas!E210="Juvenil 48kg",2,IF(Atletas!E210="Juvenil 52kg",3,IF(Atletas!E210="Juvenil 56kg",4,IF(Atletas!E210="Juvenil 60kg",5,IF(Atletas!E210="Juvenil 65kg",6,IF(Atletas!E210="Juvenil 70kg",7,IF(Atletas!E210="Juvenil 75kg",8,IF(Atletas!E210="Juvenil 82kg",9,IF(Atletas!E210="Juvenil 90kg",10,IF(Atletas!E210="Juvenil 100kg",11,IF(Atletas!E210="Adulto 48kg",12,IF(Atletas!E210="Adulto 52kg",13,IF(Atletas!E210="Adulto 56kg",14,IF(Atletas!E210="Adulto 60kg",15,IF(Atletas!E210="Adulto 65kg",16,IF(Atletas!E210="Adulto 70kg",17,IF(Atletas!E210="Adulto 75kg",18,IF(Atletas!E210="Adulto 82kg",19,IF(Atletas!E210="Adulto 90kg",20,IF(Atletas!E210="Adulto 100kg",21,IF(Atletas!E210="Adulto +100kg",22,""))))))))))))))))))))))))</f>
        <v/>
      </c>
      <c r="AX219" s="6" t="str">
        <f>IF(Atletas!F210="","",IF(Atletas!B210="Feminino",100,IF(Atletas!B210="Masculino",200,""))+(IF(Atletas!F210="Adulto 48kg",1,IF(Atletas!F210="Adulto 56kg",2,IF(Atletas!F210="Adulto 65kg",3,IF(Atletas!F210="Adulto 75kg",4,IF(Atletas!F210="Adulto +75kg",5,IF(Atletas!F210="Adulto 52kg",6,IF(Atletas!F210="Adulto 60kg",7,IF(Atletas!F210="Adulto 70kg",8,IF(Atletas!F210="Adulto 80kg",9,IF(Atletas!F210="Adulto 90kg",10,IF(Atletas!F210="Adulto +90kg",11,"")))))))))))))</f>
        <v/>
      </c>
      <c r="BC219" s="6" t="str">
        <f>IF(Atletas!G210="","",IF(Atletas!B210="Feminino",10,IF(Atletas!B210="Masculino",20,""))+(IF(Atletas!G210="Baduanjin A",1,IF(Atletas!G210="Baduanjin B",2))))</f>
        <v/>
      </c>
      <c r="BF219" s="52" t="str">
        <f>IF(Atletas!H210="","",IF(Atletas!B210="Feminino",100,IF(Atletas!B210="Masculino",200,""))+(IF(Atletas!H210="Changquan Mirim",1,IF(Atletas!H210="Nanquan Mirim",2,IF(Atletas!H210="Taijiquan Mirim",3,IF(Atletas!H210="Changquan Grupo C",4,IF(Atletas!H210="Nanquan Grupo C",5,IF(Atletas!H210="Taijiquan Grupo C",6,IF(Atletas!H210="Changquan Grupo B",7,IF(Atletas!H210="Nanquan Grupo B",8,IF(Atletas!H210="Taijiquan Grupo B",9,IF(Atletas!H210="Changquan Grupo A",10,IF(Atletas!H210="Nanquan Grupo A",11,IF(Atletas!H210="Taijiquan Grupo A",12,IF(Atletas!H210="Changquan Opcional",13,IF(Atletas!H210="Nanquan Opcional",14,IF(Atletas!H210="Taijiquan Opcional",15,IF(Atletas!H210="Changquan Adulto",16,IF(Atletas!H210="Nanquan Adulto",17,IF(Atletas!H210="Taijiquan Adulto",18,""))))))))))))))))))))</f>
        <v/>
      </c>
      <c r="BG219" s="52" t="str">
        <f>IF(Atletas!I210="","",IF(Atletas!B210="Feminino",100,IF(Atletas!B210="Masculino",200,""))+(IF(Atletas!I210="Daoshu Mirim",19,IF(Atletas!I210="Jianshu Mirim",20,IF(Atletas!I210="Nandao Mirim",21,IF(Atletas!I210="Taijijian Mirim",22,IF(Atletas!I210="Daoshu Grupo C",23,IF(Atletas!I210="Jianshu Grupo C",24,IF(Atletas!I210="Nandao Grupo C",25,IF(Atletas!I210="Taijijian Grupo C",26,IF(Atletas!I210="Daoshu Grupo B",27,IF(Atletas!I210="Jianshu Grupo B",28,IF(Atletas!I210="Nandao Grupo B",29,IF(Atletas!I210="Taijijian Grupo B",30,IF(Atletas!I210="Daoshu Grupo A",31,IF(Atletas!I210="Jianshu Grupo A",32,IF(Atletas!I210="Nandao Grupo A",33,IF(Atletas!I210="Taijijian Grupo A",34,IF(Atletas!I210="Daoshu Opcional",35,IF(Atletas!I210="Jianshu Opcional",36,IF(Atletas!I210="Nandao Opcional",37,IF(Atletas!I210="Taijijian Opcional",38,IF(Atletas!I210="Daoshu Adulto",39,IF(Atletas!I210="Jianshu Adulto",40,IF(Atletas!I210="Nandao Adulto",41,IF(Atletas!I210="Taijijian Adulto",42,""))))))))))))))))))))))))))</f>
        <v/>
      </c>
      <c r="BH219" s="52" t="str">
        <f>IF(Atletas!J210="","",IF(Atletas!B210="Feminino",100,IF(Atletas!B210="Masculino",200,""))+(IF(Atletas!J210="Gunshu Mirim",43,IF(Atletas!J210="Qiangshu Mirim",44,IF(Atletas!J210="Nangun Mirim",45,IF(Atletas!J210="Gunshu Grupo C",46,IF(Atletas!J210="Qiangshu Grupo C",47,IF(Atletas!J210="Nangun Grupo C",48,IF(Atletas!J210="Gunshu Grupo B",49,IF(Atletas!J210="Qiangshu Grupo B",50,IF(Atletas!J210="Nangun Grupo B",51,IF(Atletas!J210="Gunshu Grupo A",52,IF(Atletas!J210="Qiangshu Grupo A",53,IF(Atletas!J210="Nangun Grupo A",54,IF(Atletas!J210="Gunshu Opcional",55,IF(Atletas!J210="Qiangshu Opcional",56,IF(Atletas!J210="Nangun Opcional",57,IF(Atletas!J210="Gunshu Adulto",58,IF(Atletas!J210="Qiangshu Adulto",59,IF(Atletas!J210="Nangun Adulto",60,IF(Atletas!J210="Taijishan Grupo B",61,IF(Atletas!J210="Taijishan Grupo A",62,""))))))))))))))))))))))</f>
        <v/>
      </c>
      <c r="BM219" s="50" t="str">
        <f>IF(Atletas!K210="","",IF(Atletas!B210="Feminino",100,IF(Atletas!B210="Masculino",200,""))+(IF(Atletas!K210="Equipe 1 Grupo B",1,IF(Atletas!K210="Equipe 2 Grupo B",2,IF(Atletas!K210="Equipe 1 Grupo A",3,IF(Atletas!K210="Equipe 2 Grupo A",4,IF(Atletas!K210="Equipe 1 Adulto",5,IF(Atletas!K210="Equipe 2 Adulto",6,""))))))))</f>
        <v/>
      </c>
      <c r="BR219" s="50" t="str">
        <f>IF(Atletas!L210="","",IF(Atletas!X210&lt;&gt;"",10000,0)+(IF(Atletas!B210="Feminino",1000,IF(Atletas!B210="Masculino",2000,""))+IF(Atletas!L210="Choylayfut A",1,IF(Atletas!L210="Hunggar A",2,IF(Atletas!L210="Wuzuquan A",3,IF(Atletas!L210="Wingchun A",4,IF(Atletas!L210="Outra Mão de Sul A",5,IF(Atletas!L210="Choylayfut B",6,IF(Atletas!L210="Hunggar B",7,IF(Atletas!L210="Wuzuquan B",8,IF(Atletas!L210="Wingchun B",9,IF(Atletas!L210="Outra Mão de Sul B",10,IF(Atletas!L210="Choylayfut C",11,IF(Atletas!L210="Hunggar C",12,IF(Atletas!L210="Wuzuquan C",13,IF(Atletas!L210="Wingchun C",14,IF(Atletas!L210="Outra Mão de Sul C",15,IF(Atletas!L210="Choylayfut D",16,IF(Atletas!L210="Hunggar D",17,IF(Atletas!L210="Wuzuquan D",18,IF(Atletas!L210="Wingchun D",19,IF(Atletas!L210="Outra Mão de Sul D",20,IF(Atletas!L210="Choylayfut E",21,IF(Atletas!L210="Hunggar E",22,IF(Atletas!L210="Wuzuquan E",23,IF(Atletas!L210="Wingchun E",24,IF(Atletas!L210="Outra Mão de Sul E",25,IF(Atletas!L210="Choylayfut F",26,IF(Atletas!L210="Hunggar F",27,IF(Atletas!L210="Wuzuquan F",28,IF(Atletas!L210="Wingchun F",29,IF(Atletas!L210="Outra Mão de Sul F",30,IF(Atletas!L210="Dishuquan A",31,IF(Atletas!L210="Dishuquan B",32,IF(Atletas!L210="Dishuquan C",33,IF(Atletas!L210="Dishuquan D",34,IF(Atletas!L210="Dishuquan E",35,IF(Atletas!L210="Dishuquan F",36,""))))))))))))))))))))))))))))))))))))))</f>
        <v/>
      </c>
      <c r="BS219" s="50" t="str">
        <f>IF(Atletas!M210="","",IF(Atletas!X210&lt;&gt;"",10000,0)+(IF(Atletas!B210="Feminino",1000,IF(Atletas!B210="Masculino",2000,""))+(IF(Atletas!M210="Chaquan A",101,IF(Atletas!M210="Emeiquan A",102,IF(Atletas!M210="Fanziquan A",103,IF(Atletas!M210="Huaquan A",104,IF(Atletas!M210="Hongquan A",105,IF(Atletas!M210="Paoquan A",106,IF(Atletas!M210="Piguaquan A",107,IF(Atletas!M210="Shaolinquan A",108,IF(Atletas!M210="Tanglangquan A",109,IF(Atletas!M210="Yingzhaoquan A",110,IF(Atletas!M210="Tongbeiquan A",111,IF(Atletas!M210="Wudangquan A",112,IF(Atletas!M210="Outros Estilos A",113,IF(Atletas!M210="Chaquan B",114,IF(Atletas!M210="Emeiquan B",115,IF(Atletas!M210="Fanziquan B",116,IF(Atletas!M210="Huaquan B",117,IF(Atletas!M210="Hongquan B",118,IF(Atletas!M210="Paoquan B",119,IF(Atletas!M210="Piguaquan B",120,IF(Atletas!M210="Shaolinquan B",121,IF(Atletas!M210="Tanglangquan B",122,IF(Atletas!M210="Yingzhaoquan B",123,IF(Atletas!M210="Tongbeiquan B",124,IF(Atletas!M210="Wudangquan B",125,IF(Atletas!M210="Outros Estilos B",126,IF(Atletas!M210="Chaquan C",127,IF(Atletas!M210="Emeiquan C",128,IF(Atletas!M210="Fanziquan C",129,IF(Atletas!M210="Huaquan C",130,IF(Atletas!M210="Hongquan C",131,IF(Atletas!M210="Paoquan C",132,IF(Atletas!M210="Piguaquan C",133,IF(Atletas!M210="Shaolinquan C",134,IF(Atletas!M210="Tanglangquan C",135,IF(Atletas!M210="Yingzhaoquan C",136,IF(Atletas!M210="Tongbeiquan C",137,IF(Atletas!M210="Wudangquan C",138,IF(Atletas!M210="Outros Estilos C",139,0))))))))))))))))))))))))))))))))))))))))))</f>
        <v/>
      </c>
      <c r="BT219" s="50" t="str">
        <f>IF(Atletas!M210="","",IF(Atletas!X210&lt;&gt;"",10000,0)+(IF(Atletas!B210="Feminino",1000,IF(Atletas!B210="Masculino",2000,""))+(IF(Atletas!M210="Chaquan D",140,IF(Atletas!M210="Emeiquan D",141,IF(Atletas!M210="Fanziquan D",142,IF(Atletas!M210="Huaquan D",143,IF(Atletas!M210="Hongquan D",144,IF(Atletas!M210="Paoquan D",145,IF(Atletas!M210="Piguaquan D",146,IF(Atletas!M210="Shaolinquan D",147,IF(Atletas!M210="Tanglangquan D",148,IF(Atletas!M210="Yingzhaoquan D",149,IF(Atletas!M210="Tongbeiquan D",150,IF(Atletas!M210="Wudangquan D",151,IF(Atletas!M210="Outros Estilos D",152,IF(Atletas!M210="Chaquan E",153,IF(Atletas!M210="Emeiquan E",154,IF(Atletas!M210="Fanziquan E",155,IF(Atletas!M210="Huaquan E",156,IF(Atletas!M210="Hongquan E",157,IF(Atletas!M210="Paoquan E",158,IF(Atletas!M210="Piguaquan E",159,IF(Atletas!M210="Shaolinquan E",160,IF(Atletas!M210="Tanglangquan E",161,IF(Atletas!M210="Yingzhaoquan E",162,IF(Atletas!M210="Tongbeiquan E",163,IF(Atletas!M210="Wudangquan E",164,IF(Atletas!M210="Outros Estilos E",165,IF(Atletas!M210="Chaquan F",166,IF(Atletas!M210="Emeiquan F",167,IF(Atletas!M210="Fanziquan F",168,IF(Atletas!M210="Huaquan F",169,IF(Atletas!M210="Hongquan F",170,IF(Atletas!M210="Paoquan F",171,IF(Atletas!M210="Piguaquan F",172,IF(Atletas!M210="Shaolinquan F",173,IF(Atletas!M210="Tanglangquan F",174,IF(Atletas!M210="Yingzhaoquan F",175,IF(Atletas!M210="Tongbeiquan F",176,IF(Atletas!M210="Wudangquan F",177,IF(Atletas!M210="Outros Estilos F",178,0))))))))))))))))))))))))))))))))))))))))))</f>
        <v/>
      </c>
      <c r="BU219" s="50" t="str">
        <f>IF(Atletas!N210="","",IF(Atletas!X210&lt;&gt;"",10000,0)+(IF(Atletas!B210="Feminino",1000,IF(Atletas!B210="Masculino",2000,""))+(IF(Atletas!N210="Ditangquan A",201,IF(Atletas!N210="Houquan A",202,IF(Atletas!N210="Zuiquan A",203,IF(Atletas!N210="Ditangquan B",204,IF(Atletas!N210="Houquan B",205,IF(Atletas!N210="Zuiquan B",206,IF(Atletas!N210="Ditangquan C",207,IF(Atletas!N210="Houquan C",208,IF(Atletas!N210="Zuiquan C",209,IF(Atletas!N210="Ditangquan D",210,IF(Atletas!N210="Houquan D",211,IF(Atletas!N210="Zuiquan D",212,IF(Atletas!N210="Ditangquan E",213,IF(Atletas!N210="Houquan E",214,IF(Atletas!N210="Zuiquan E",215,IF(Atletas!N210="Ditangquan F",216,IF(Atletas!N210="Houquan F",217,IF(Atletas!N210="Zuiquan F",218,"")))))))))))))))))))))</f>
        <v/>
      </c>
      <c r="BV219" s="50" t="str">
        <f>IF(Atletas!O210="","",IF(Atletas!X210&lt;&gt;"",10000,0)+IF(Atletas!B210="Feminino",1000,IF(Atletas!B210="Masculino",2000,""))+IF(Atletas!O210="Yang A",301,IF(Atletas!O210="Chen A",302,IF(Atletas!O210="Sun A",303,IF(Atletas!O210="Wu A",304,IF(Atletas!O210="Wu-Hao A",305,IF(Atletas!O210="Outro Taijiquan A",306,IF(Atletas!O210="Yang B",307,IF(Atletas!O210="Chen B",308,IF(Atletas!O210="Sun B",309,IF(Atletas!O210="Wu B",310,IF(Atletas!O210="Wu-Hao B",311,IF(Atletas!O210="Outro Taijiquan B",312,IF(Atletas!O210="Yang C",313,IF(Atletas!O210="Chen C",314,IF(Atletas!O210="Sun C",315,IF(Atletas!O210="Wu C",316,IF(Atletas!O210="Wu-Hao C",317,IF(Atletas!O210="Outro Taijiquan C",318,IF(Atletas!O210="Yang D",319,IF(Atletas!O210="Chen D",320,IF(Atletas!O210="Sun D",321,IF(Atletas!O210="Wu D",322,IF(Atletas!O210="Wu-Hao D",323,IF(Atletas!O210="Outro Taijiquan D",324,IF(Atletas!O210="Yang E",325,IF(Atletas!O210="Chen E",326,IF(Atletas!O210="Sun E",327,IF(Atletas!O210="Wu E",328,IF(Atletas!O210="Wu-Hao E",329,IF(Atletas!O210="Outro Taijiquan E",330,IF(Atletas!O210="Yang F",331,IF(Atletas!O210="Chen F",332,IF(Atletas!O210="Sun F",333,IF(Atletas!O210="Wu F",334,IF(Atletas!O210="Wu-Hao F",335,IF(Atletas!O210="Outro Taijiquan F",336,"")))))))))))))))))))))))))))))))))))))</f>
        <v/>
      </c>
      <c r="BW219" s="50" t="str">
        <f>IF(Atletas!P210="","",IF(Atletas!X210&lt;&gt;"",10000,0)+IF(Atletas!B210="Feminino",1000,IF(Atletas!B210="Masculino",2000,""))+IF(OR(Atletas!P210="Yang 26 A",Atletas!P210="Yang 40 A"),401,IF(OR(Atletas!P210="Chen 25 A",Atletas!P210="Chen 36 A",Atletas!P210="Chen 56 A"),402,IF(Atletas!P210="Sun 73 A",403,IF(Atletas!P210="Wu 45 A",404,IF(Atletas!P210="Wu-Hao 46 A",405,IF(OR(Atletas!P210="Taijiquan 16 A",Atletas!P210="Taijiquan 24 A",Atletas!P210="Taijiquan 32 A",Atletas!P210="Taijiquan 42 A"),406,IF(OR(Atletas!P210="Yang 26 B",Atletas!P210="Yang 40 B"),407,IF(OR(Atletas!P210="Chen 25 B",Atletas!P210="Chen 36 B",Atletas!P210="Chen 56 B"),408,IF(Atletas!P210="Sun 73 B",409,IF(Atletas!P210="Wu 45 B",410,IF(Atletas!P210="Wu-Hao 46 B",411,IF(OR(Atletas!P210="Taijiquan 16 B",Atletas!P210="Taijiquan 24 B",Atletas!P210="Taijiquan 32 B",Atletas!P210="Taijiquan 42 B"),412,IF(OR(Atletas!P210="Yang 26 C",Atletas!P210="Yang 40 C"),413,IF(OR(Atletas!P210="Chen 25 C",Atletas!P210="Chen 36 C",Atletas!P210="Chen 56 C"),414,IF(Atletas!P210="Sun 73 C",415,IF(Atletas!P210="Wu 45 C",416,IF(Atletas!P210="Wu-Hao 46 C",417,IF(OR(Atletas!P210="Taijiquan 16 C",Atletas!P210="Taijiquan 24 C",Atletas!P210="Taijiquan 32 C",Atletas!P210="Taijiquan 42 C"),418,0)))))))))))))))))))</f>
        <v/>
      </c>
      <c r="BX219" s="50" t="str">
        <f>IF(Atletas!P210="","",IF(Atletas!X210&lt;&gt;"",10000,0)+IF(Atletas!B210="Feminino",1000,IF(Atletas!B210="Masculino",2000,""))+IF(OR(Atletas!P210="Yang 26 D",Atletas!P210="Yang 40 D"),419,IF(OR(Atletas!P210="Chen 25 D",Atletas!P210="Chen 36 D",Atletas!P210="Chen 56 D"),420,IF(Atletas!P210="Sun 73 D",421,IF(Atletas!P210="Wu 45 D",422,IF(Atletas!P210="Wu-Hao 46 D",423,IF(OR(Atletas!P210="Taijiquan 16 D",Atletas!P210="Taijiquan 24 D",Atletas!P210="Taijiquan 32 D",Atletas!P210="Taijiquan 42 D"),424,IF(OR(Atletas!P210="Yang 26 E",Atletas!P210="Yang 40 E"),425,IF(OR(Atletas!P210="Chen 25 E",Atletas!P210="Chen 36 E",Atletas!P210="Chen 56 E"),426,IF(Atletas!P210="Sun 73 E",427,IF(Atletas!P210="Wu 45 E",428,IF(Atletas!P210="Wu-Hao 46 E",429,IF(OR(Atletas!P210="Taijiquan 16 E",Atletas!P210="Taijiquan 24 E",Atletas!P210="Taijiquan 32 E",Atletas!P210="Taijiquan 42 E"),430,IF(OR(Atletas!P210="Yang 26 F",Atletas!P210="Yang 40 F"),431,IF(OR(Atletas!P210="Chen 25 F",Atletas!P210="Chen 36 F",Atletas!P210="Chen 56 F"),432,IF(Atletas!P210="Sun 73 F",433,IF(Atletas!P210="Wu 45 F",434,IF(Atletas!P210="Wu-Hao 46 F",435,IF(OR(Atletas!P210="Taijiquan 16 F",Atletas!P210="Taijiquan 24 F",Atletas!P210="Taijiquan 32 F",Atletas!P210="Taijiquan 42 F"),436,0)))))))))))))))))))</f>
        <v/>
      </c>
      <c r="BY219" s="50" t="str">
        <f>IF(Atletas!Q210="","",IF(Atletas!X210&lt;&gt;"",10000,0)+IF(Atletas!B210="Feminino",1000,IF(Atletas!B210="Masculino",2000,""))+IF(Atletas!Q210="Xingyiquan A",501,IF(Atletas!Q210="Baguazhang A",502,IF(Atletas!Q210="Outro Estilo Interno A",503,IF(Atletas!Q210="Xingyiquan B",504,IF(Atletas!Q210="Baguazhang B",505,IF(Atletas!Q210="Outro Estilo Interno B",506,IF(Atletas!Q210="Xingyiquan C",507,IF(Atletas!Q210="Baguazhang C",508,IF(Atletas!Q210="Outro Estilo Interno C",509,IF(Atletas!Q210="Xingyiquan D",510,IF(Atletas!Q210="Baguazhang D",511,IF(Atletas!Q210="Outro Estilo Interno D",512,IF(Atletas!Q210="Xingyiquan E",513,IF(Atletas!Q210="Baguazhang E",514,IF(Atletas!Q210="Outro Estilo Interno E",515,IF(Atletas!Q210="Xingyiquan F",516,IF(Atletas!Q210="Baguazhang F",517,IF(Atletas!Q210="Outro Estilo Interno F",518, "")))))))))))))))))))</f>
        <v/>
      </c>
      <c r="BZ219" s="50" t="str">
        <f>IF(Atletas!R210="","",IF(Atletas!X210&lt;&gt;"",10000,0)+IF(Atletas!B210="Feminino",1000,IF(Atletas!B210="Masculino",2000,""))+IF(Atletas!R210="Dao A",601,IF(Atletas!R210="Jian A",602,IF(Atletas!R210="Bishou A",603,IF(Atletas!R210="Shanzi A",604,IF(Atletas!R210="Outra Arma Curta A",605,IF(Atletas!R210="Dao B",606,IF(Atletas!R210="Jian B",607,IF(Atletas!R210="Bishou B",608,IF(Atletas!R210="Shanzi B",609,IF(Atletas!R210="Outra Arma Curta B",610,IF(Atletas!R210="Dao C",611,IF(Atletas!R210="Jian C",612,IF(Atletas!R210="Bishou C",613,IF(Atletas!R210="Shanzi C",614,IF(Atletas!R210="Outra Arma Curta C",615,IF(Atletas!R210="Dao D",616,IF(Atletas!R210="Jian D",617,IF(Atletas!R210="Bishou D",618,IF(Atletas!R210="Shanzi D",619,IF(Atletas!R210="Outra Arma Curta D",620,IF(Atletas!R210="Dao E",621,IF(Atletas!R210="Jian E",622,IF(Atletas!R210="Bishou E",623,IF(Atletas!R210="Shanzi E",624,IF(Atletas!R210="Outra Arma Curta E",625,IF(Atletas!R210="Dao F",626,IF(Atletas!R210="Jian F",627,IF(Atletas!R210="Bishou F",628,IF(Atletas!R210="Shanzi F",629,IF(Atletas!R210="Outra Arma Curta F",630, "")))))))))))))))))))))))))))))))</f>
        <v/>
      </c>
      <c r="CA219" s="50" t="str">
        <f>IF(Atletas!S210="","",IF(Atletas!X210&lt;&gt;"",10000,0)+IF(Atletas!B210="Feminino",1000,IF(Atletas!B210="Masculino",2000,""))+IF(Atletas!S210="Gun A",701,IF(Atletas!S210="Qiang A",702,IF(Atletas!S210="Pudao / Guandao A",703,IF(Atletas!S210="Outra Arma Longa A",704,IF(Atletas!S210="Gun B",705,IF(Atletas!S210="Qiang B",706,IF(Atletas!S210="Pudao / Guandao B",707,IF(Atletas!S210="Outra Arma Longa B",708,IF(Atletas!S210="Gun C",709,IF(Atletas!S210="Qiang C",710,IF(Atletas!S210="Pudao / Guandao C",711,IF(Atletas!S210="Outra Arma Longa C",712,IF(Atletas!S210="Gun D",713,IF(Atletas!S210="Qiang D",714,IF(Atletas!S210="Pudao / Guandao D",715,IF(Atletas!S210="Outra Arma Longa D",716,IF(Atletas!S210="Gun E",717,IF(Atletas!S210="Qiang E",718,IF(Atletas!S210="Pudao / Guandao E",719,IF(Atletas!S210="Outra Arma Longa E",720,IF(Atletas!S210="Gun F",721,IF(Atletas!S210="Qiang F",722,IF(Atletas!S210="Pudao / Guandao F",723,IF(Atletas!S210="Outra Arma Longa F",724,"")))))))))))))))))))))))))</f>
        <v/>
      </c>
      <c r="CB219" s="50" t="str">
        <f>IF(Atletas!T210="","",IF(Atletas!X210&lt;&gt;"",10000,0)+IF(Atletas!B210="Feminino",1000,IF(Atletas!B210="Masculino",2000,""))+IF(Atletas!T210="Outra Arma Dupla A",801,IF(Atletas!T210="Arma Maleável A",802,IF(Atletas!T210="Outra Arma Dupla B",803,IF(Atletas!T210="Arma Maleável B",804,IF(Atletas!T210="Outra Arma Dupla C",805,IF(Atletas!T210="Arma Maleável C",806,IF(Atletas!T210="Outra Arma Dupla D",807,IF(Atletas!T210="Arma Maleável D",808,IF(Atletas!T210="Outra Arma Dupla E",809,IF(Atletas!T210="Arma Maleável E",810,IF(Atletas!T210="Outra Arma Dupla F",811,IF(Atletas!T210="Arma Maleável F",812,IF(Atletas!T210="Shuangdao A",813,IF(Atletas!T210="Shuangdao B",814,IF(Atletas!T210="Shuangdao C",815,IF(Atletas!T210="Shuangdao D",816,IF(Atletas!T210="Shuangdao E",817,IF(Atletas!T210="Shuangdao F",818,"")))))))))))))))))))</f>
        <v/>
      </c>
      <c r="CC219" s="50" t="str">
        <f>IF(Atletas!U210="","",IF(Atletas!X210&lt;&gt;"",10000,0)+IF(Atletas!B210="Feminino",1000,IF(Atletas!B210="Masculino",2000,""))+IF(OR(Atletas!U210="Taijijian Yang A",Atletas!U210="Taijijian Yang Standard A"),901,IF(OR(Atletas!U210="Taijijian Chen A", Atletas!U210="Taijijian Chen Standard A"),902,IF(Atletas!U210="Taijijian Sun A",903,IF(Atletas!U210="Taijijian Wu A",904,IF(Atletas!U210="Taijijian Wu-Hao A",905,IF(OR(Atletas!U210="Taijijian 32 A",Atletas!U210="Taijijian 42 A"),906,IF(OR(Atletas!U210="Taijijian Yang B",Atletas!U210="Taijijian Yang Standard B"),907,IF(OR(Atletas!U210="Taijijian Chen B", Atletas!U210="Taijijian Chen Standard B"),908,IF(Atletas!U210="Taijijian Sun B",909,IF(Atletas!U210="Taijijian Wu B",910,IF(Atletas!U210="Taijijian Wu-Hao B",911,IF(OR(Atletas!U210="Taijijian 32 B",Atletas!U210="Taijijian 42 B"),912,IF(OR(Atletas!U210="Taijijian Yang C",Atletas!U210="Taijijian Yang Standard C"),913,IF(OR(Atletas!U210="Taijijian Chen C", Atletas!U210="Taijijian Chen Standard C"),914,IF(Atletas!U210="Taijijian Sun C",915,IF(Atletas!U210="Taijijian Wu C",916,IF(Atletas!U210="Taijijian Wu-Hao C",917,IF(OR(Atletas!U210="Taijijian 32 C",Atletas!U210="Taijijian 42 C"),918,IF(OR(Atletas!U210="Taijijian Yang D",Atletas!U210="Taijijian Yang Standard D"),919,IF(OR(Atletas!U210="Taijijian Chen D", Atletas!U210="Taijijian Chen Standard D"),920,IF(Atletas!U210="Taijijian Sun D",921,IF(Atletas!U210="Taijijian Wu D",922,IF(Atletas!U210="Taijijian Wu-Hao D",923,IF(OR(Atletas!U210="Taijijian 32 D",Atletas!U210="Taijijian 42 D"),924,IF(OR(Atletas!U210="Taijijian Yang E",Atletas!U210="Taijijian Yang Standard E"),925,IF(OR(Atletas!U210="Taijijian Chen E", Atletas!U210="Taijijian Chen Standard E"),926,IF(Atletas!U210="Taijijian Sun E",927,IF(Atletas!U210="Taijijian Wu E",928,IF(Atletas!U210="Taijijian Wu-Hao E",929,IF(OR(Atletas!U210="Taijijian 32 E",Atletas!U210="Taijijian 42 E"),930,IF(OR(Atletas!U210="Taijijian Yang F",Atletas!U210="Taijijian Yang Standard F"),931,IF(OR(Atletas!U210="Taijijian Chen F", Atletas!U210="Taijijian Chen Standard F"),932,IF(Atletas!U210="Taijijian Sun F",933,IF(Atletas!U210="Taijijian Wu F",934,IF(Atletas!U210="Taijijian Wu-Hao F",935,IF(OR(Atletas!U210="Taijijian 32 F",Atletas!U210="Taijijian 42 F"),936,"")))))))))))))))))))))))))))))))))))))</f>
        <v/>
      </c>
      <c r="CD219" s="50" t="str">
        <f>IF(Atletas!V210="","",IF(Atletas!X210&lt;&gt;"",10000,0)+IF(Atletas!B210="Feminino",1000,IF(Atletas!B210="Masculino",2000,""))+IF(Atletas!V210="Taijidao A",937,IF(Atletas!V210="TaijiShanzi A",938,IF(Atletas!V210="Taijiqiang A",939,IF(Atletas!V210="Bagua de Arma A",940,IF(Atletas!V210="Xingyi de Arma A",941,IF(Atletas!V210="Taijidao B",942,IF(Atletas!V210="TaijiShanzi B",943,IF(Atletas!V210="Taijiqiang B",944,IF(Atletas!V210="Bagua de Arma B",945,IF(Atletas!V210="Xingyi de Arma B",946,IF(Atletas!V210="Taijidao C",947,IF(Atletas!V210="TaijiShanzi C",948,IF(Atletas!V210="Taijiqiang C",949,IF(Atletas!V210="Bagua de Arma C",950,IF(Atletas!V210="Xingyi de Arma C",951,IF(Atletas!V210="Taijidao D",952,IF(Atletas!V210="TaijiShanzi D",953,IF(Atletas!V210="Taijiqiang D",954,IF(Atletas!V210="Bagua de Arma D",955,IF(Atletas!V210="Xingyi de Arma D",956,IF(Atletas!V210="Taijidao E",957,IF(Atletas!V210="TaijiShanzi E",958,IF(Atletas!V210="Taijiqiang E",959,IF(Atletas!V210="Bagua de Arma E",960,IF(Atletas!V210="Xingyi de Arma E",961,IF(Atletas!V210="Taijidao F",962,IF(Atletas!V210="TaijiShanzi F",963,IF(Atletas!V210="Taijiqiang F",964,IF(Atletas!V210="Bagua de Arma F",965,IF(Atletas!V210="Xingyi de Arma F",966,"")))))))))))))))))))))))))))))))</f>
        <v/>
      </c>
      <c r="CE219" s="66" t="str">
        <f>IF(CF219&lt;&gt;"","Outro Estilo Interno C","")</f>
        <v/>
      </c>
      <c r="CF219" s="66" t="str">
        <f>IF(COUNTIF(BR:CD,1509)&gt;0,COUNTIF(BR:CD,1509),"")</f>
        <v/>
      </c>
      <c r="CG219" s="66" t="str">
        <f>IF(CH219&lt;&gt;"","Outro Estilo Interno C","")</f>
        <v/>
      </c>
      <c r="CH219" s="66" t="str">
        <f>IF(COUNTIF(BR:CD,2509)&gt;0,COUNTIF(BR:CD,2509),"")</f>
        <v/>
      </c>
      <c r="CI219" s="66" t="str">
        <f>IF(CJ219&lt;&gt;"","Outro Estilo Interno E","")</f>
        <v/>
      </c>
      <c r="CJ219" s="66" t="str">
        <f>IF(COUNTIF(BR:CD,11451)&gt;0,COUNTIF(BR:CD,11451),"")</f>
        <v/>
      </c>
      <c r="CK219" s="66" t="str">
        <f>IF(CL219&lt;&gt;"","Outro Estilo Interno E","")</f>
        <v/>
      </c>
      <c r="CL219" s="66" t="str">
        <f>IF(COUNTIF(BR:CD,12451)&gt;0,COUNTIF(BR:CD,12451),"")</f>
        <v/>
      </c>
      <c r="CM219" s="50" t="str">
        <f xml:space="preserve"> IF(Atletas!W210="","",IF(Atletas!W210="Duilian de Mãos BC - Equipe 1",1,IF(Atletas!W210="Duilian de Mãos BC - Equipe 2",2,IF(Atletas!W210="Duilian de Armas BC - Equipe 1",3,IF(Atletas!W210="Duilian de Armas BC - Equipe 2",4,IF(Atletas!W210="Duilian de Mãos DE - Equipe 1",5,IF(Atletas!W210="Duilian de Mãos DE - Equipe 2",6,IF(Atletas!W210="Duilian de Armas DE - Equipe 1",7,IF(Atletas!W210="Duilian de Armas DE - Equipe 2",8,IF(Atletas!W210="Duilian de Tuishou - Equipe 1",9,IF(Atletas!W210="Duilian de Tuishou - Equipe 2",10,IF(Atletas!W210="Grupo Externo ABC - Equipe 1",11,IF(Atletas!W210="Grupo Externo ABC - Equipe 2",12,IF(Atletas!W210="Grupo Interno ABC - Equipe 1",13,IF(Atletas!W210="Grupo Interno ABC - Equipe 2",14,IF(Atletas!W210="Grupo Externo DEF - Equipe 1",15,IF(Atletas!W210="Grupo Externo DEF - Equipe 2",16,IF(Atletas!W210="Grupo Interno DEF - Equipe 1",17,IF(Atletas!W210="Grupo Interno DEF - Equipe 2",18,"")))))))))))))))))))</f>
        <v/>
      </c>
    </row>
    <row r="220" spans="2:91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 t="str">
        <f t="array" ref="Z220">IFERROR(INDEX(CE$7:CE$348,SMALL(IF(CE$7:CE$348&lt;&gt;"",ROW(CE$7:CE$348)-ROW(CE$7)+1),ROWS(CE$7:CE219))),"")</f>
        <v/>
      </c>
      <c r="AA220" s="3" t="str">
        <f t="array" ref="AA220">IFERROR(INDEX(CF$7:CF$348,SMALL(IF(CF$7:CF$348&lt;&gt;"",ROW(CF$7:CF$348)-ROW(CF$7)+1),ROWS(CF$7:CF219))),"")</f>
        <v/>
      </c>
      <c r="AB220" s="3" t="str">
        <f t="array" ref="AB220">IFERROR(INDEX(CG$7:CG$348,SMALL(IF(CG$7:CG$348&lt;&gt;"",ROW(CG$7:CG$348)-ROW(CG$7)+1),ROWS(CG$7:CG219))),"")</f>
        <v/>
      </c>
      <c r="AC220" s="3" t="str">
        <f t="array" ref="AC220">IFERROR(INDEX(CH$7:CH$348,SMALL(IF(CH$7:CH$348&lt;&gt;"",ROW(CH$7:CH$348)-ROW(CH$7)+1),ROWS(CH$7:CH219))),"")</f>
        <v/>
      </c>
      <c r="AD220" s="3" t="str">
        <f t="array" ref="AD220">IFERROR(INDEX(CI$7:CI$377,SMALL(IF(CI$7:CI$377&lt;&gt;"",ROW(CI$7:CI$377)-ROW(CI$7)+1),ROWS(CI$7:CI219))),"")</f>
        <v/>
      </c>
      <c r="AE220" s="3" t="str">
        <f t="array" ref="AE220">IFERROR(INDEX(CJ$7:CJ$378,SMALL(IF(CJ$7:CJ$378&lt;&gt;"",ROW(CJ$7:CJ$378)-ROW(CJ$7)+1),ROWS(CJ$7:CJ219))),"")</f>
        <v/>
      </c>
      <c r="AF220" s="3" t="str">
        <f t="array" ref="AF220">IFERROR(INDEX(CK$7:CK$378,SMALL(IF(CK$7:CK$378&lt;&gt;"",ROW(CK$7:CK$378)-ROW(CK$7)+1),ROWS(CK$7:CK219))),"")</f>
        <v/>
      </c>
      <c r="AG220" s="3" t="str">
        <f t="array" ref="AG220">IFERROR(INDEX(CL$7:CL$378,SMALL(IF(CL$7:CL$378&lt;&gt;"",ROW(CL$7:CL$378)-ROW(CL$7)+1),ROWS(CL$7:CL219))),"")</f>
        <v/>
      </c>
      <c r="AH220" s="3"/>
      <c r="AI220" s="3"/>
      <c r="AJ220" s="3"/>
      <c r="AK220" s="3"/>
      <c r="AL220" s="3"/>
      <c r="AM220" s="3"/>
      <c r="AN220" s="52" t="str">
        <f>IF(Atletas!D211="","",IF(Atletas!B211="Feminino",100,IF(Atletas!B211="Masculino",200,""))+(IF(Atletas!D211="Kids 30kg",1,IF(Atletas!D211="Kids 32kg",2, IF(Atletas!D211="Kids 34kg",3,IF(Atletas!D211="Kids 36kg",4,IF(Atletas!D211="Kids 39kg",5,IF(Atletas!D211="Kids 42kg",6,IF(Atletas!D211="Kids 45kg",7, IF(Atletas!D211="Infantil 39kg",8,IF(Atletas!D211="Infantil 42kg",9,IF(Atletas!D211="Infantil 45kg",10,IF(Atletas!D211="Infantil 48kg",11,IF(Atletas!D211="Infantil 52kg",12,IF(Atletas!D211="Infantil 56kg",13,IF(Atletas!D211="Infantil 60kg",14,IF(Atletas!D211="Juvenil 48kg",15,IF(Atletas!D211="Juvenil 52kg",16,IF(Atletas!D211="Juvenil 56kg",17,IF(Atletas!D211="Juvenil 60kg",18,IF(Atletas!D211="Juvenil 65kg",19,IF(Atletas!D211="Juvenil 70kg",20,IF(Atletas!D211="Juvenil 75kg",21,IF(Atletas!D211="Juvenil 80kg",22, IF(Atletas!D211="Juvenil 85kg",23,IF(Atletas!D211="Adulto 48kg",24,IF(Atletas!D211="Adulto 52kg",25,IF(Atletas!D211="Adulto 56kg",26,IF(Atletas!D211="Adulto 60kg",27,IF(Atletas!D211="Adulto 65kg",28,IF(Atletas!D211="Adulto 70kg",29,IF(Atletas!D211="Adulto 75kg",30,IF(Atletas!D211="Adulto 80kg",31,IF(Atletas!D211="Adulto 85kg",32,IF(Atletas!D211="Adulto 90kg",33,IF(Atletas!D211="Adulto 100kg",34, IF(Atletas!D211="Adulto +100kg",35,"")))))))))))))))))))))))))))))))))))))</f>
        <v/>
      </c>
      <c r="AS220" s="6" t="str">
        <f>IF(Atletas!E211="","",IF(Atletas!B211="Feminino",100,IF(Atletas!B211="Masculino",200,""))+(IF(Atletas!E211="Juvenil 44kg",1,IF(Atletas!E211="Juvenil 48kg",2,IF(Atletas!E211="Juvenil 52kg",3,IF(Atletas!E211="Juvenil 56kg",4,IF(Atletas!E211="Juvenil 60kg",5,IF(Atletas!E211="Juvenil 65kg",6,IF(Atletas!E211="Juvenil 70kg",7,IF(Atletas!E211="Juvenil 75kg",8,IF(Atletas!E211="Juvenil 82kg",9,IF(Atletas!E211="Juvenil 90kg",10,IF(Atletas!E211="Juvenil 100kg",11,IF(Atletas!E211="Adulto 48kg",12,IF(Atletas!E211="Adulto 52kg",13,IF(Atletas!E211="Adulto 56kg",14,IF(Atletas!E211="Adulto 60kg",15,IF(Atletas!E211="Adulto 65kg",16,IF(Atletas!E211="Adulto 70kg",17,IF(Atletas!E211="Adulto 75kg",18,IF(Atletas!E211="Adulto 82kg",19,IF(Atletas!E211="Adulto 90kg",20,IF(Atletas!E211="Adulto 100kg",21,IF(Atletas!E211="Adulto +100kg",22,""))))))))))))))))))))))))</f>
        <v/>
      </c>
      <c r="AX220" s="6" t="str">
        <f>IF(Atletas!F211="","",IF(Atletas!B211="Feminino",100,IF(Atletas!B211="Masculino",200,""))+(IF(Atletas!F211="Adulto 48kg",1,IF(Atletas!F211="Adulto 56kg",2,IF(Atletas!F211="Adulto 65kg",3,IF(Atletas!F211="Adulto 75kg",4,IF(Atletas!F211="Adulto +75kg",5,IF(Atletas!F211="Adulto 52kg",6,IF(Atletas!F211="Adulto 60kg",7,IF(Atletas!F211="Adulto 70kg",8,IF(Atletas!F211="Adulto 80kg",9,IF(Atletas!F211="Adulto 90kg",10,IF(Atletas!F211="Adulto +90kg",11,"")))))))))))))</f>
        <v/>
      </c>
      <c r="BC220" s="6" t="str">
        <f>IF(Atletas!G211="","",IF(Atletas!B211="Feminino",10,IF(Atletas!B211="Masculino",20,""))+(IF(Atletas!G211="Baduanjin A",1,IF(Atletas!G211="Baduanjin B",2))))</f>
        <v/>
      </c>
      <c r="BF220" s="52" t="str">
        <f>IF(Atletas!H211="","",IF(Atletas!B211="Feminino",100,IF(Atletas!B211="Masculino",200,""))+(IF(Atletas!H211="Changquan Mirim",1,IF(Atletas!H211="Nanquan Mirim",2,IF(Atletas!H211="Taijiquan Mirim",3,IF(Atletas!H211="Changquan Grupo C",4,IF(Atletas!H211="Nanquan Grupo C",5,IF(Atletas!H211="Taijiquan Grupo C",6,IF(Atletas!H211="Changquan Grupo B",7,IF(Atletas!H211="Nanquan Grupo B",8,IF(Atletas!H211="Taijiquan Grupo B",9,IF(Atletas!H211="Changquan Grupo A",10,IF(Atletas!H211="Nanquan Grupo A",11,IF(Atletas!H211="Taijiquan Grupo A",12,IF(Atletas!H211="Changquan Opcional",13,IF(Atletas!H211="Nanquan Opcional",14,IF(Atletas!H211="Taijiquan Opcional",15,IF(Atletas!H211="Changquan Adulto",16,IF(Atletas!H211="Nanquan Adulto",17,IF(Atletas!H211="Taijiquan Adulto",18,""))))))))))))))))))))</f>
        <v/>
      </c>
      <c r="BG220" s="52" t="str">
        <f>IF(Atletas!I211="","",IF(Atletas!B211="Feminino",100,IF(Atletas!B211="Masculino",200,""))+(IF(Atletas!I211="Daoshu Mirim",19,IF(Atletas!I211="Jianshu Mirim",20,IF(Atletas!I211="Nandao Mirim",21,IF(Atletas!I211="Taijijian Mirim",22,IF(Atletas!I211="Daoshu Grupo C",23,IF(Atletas!I211="Jianshu Grupo C",24,IF(Atletas!I211="Nandao Grupo C",25,IF(Atletas!I211="Taijijian Grupo C",26,IF(Atletas!I211="Daoshu Grupo B",27,IF(Atletas!I211="Jianshu Grupo B",28,IF(Atletas!I211="Nandao Grupo B",29,IF(Atletas!I211="Taijijian Grupo B",30,IF(Atletas!I211="Daoshu Grupo A",31,IF(Atletas!I211="Jianshu Grupo A",32,IF(Atletas!I211="Nandao Grupo A",33,IF(Atletas!I211="Taijijian Grupo A",34,IF(Atletas!I211="Daoshu Opcional",35,IF(Atletas!I211="Jianshu Opcional",36,IF(Atletas!I211="Nandao Opcional",37,IF(Atletas!I211="Taijijian Opcional",38,IF(Atletas!I211="Daoshu Adulto",39,IF(Atletas!I211="Jianshu Adulto",40,IF(Atletas!I211="Nandao Adulto",41,IF(Atletas!I211="Taijijian Adulto",42,""))))))))))))))))))))))))))</f>
        <v/>
      </c>
      <c r="BH220" s="52" t="str">
        <f>IF(Atletas!J211="","",IF(Atletas!B211="Feminino",100,IF(Atletas!B211="Masculino",200,""))+(IF(Atletas!J211="Gunshu Mirim",43,IF(Atletas!J211="Qiangshu Mirim",44,IF(Atletas!J211="Nangun Mirim",45,IF(Atletas!J211="Gunshu Grupo C",46,IF(Atletas!J211="Qiangshu Grupo C",47,IF(Atletas!J211="Nangun Grupo C",48,IF(Atletas!J211="Gunshu Grupo B",49,IF(Atletas!J211="Qiangshu Grupo B",50,IF(Atletas!J211="Nangun Grupo B",51,IF(Atletas!J211="Gunshu Grupo A",52,IF(Atletas!J211="Qiangshu Grupo A",53,IF(Atletas!J211="Nangun Grupo A",54,IF(Atletas!J211="Gunshu Opcional",55,IF(Atletas!J211="Qiangshu Opcional",56,IF(Atletas!J211="Nangun Opcional",57,IF(Atletas!J211="Gunshu Adulto",58,IF(Atletas!J211="Qiangshu Adulto",59,IF(Atletas!J211="Nangun Adulto",60,IF(Atletas!J211="Taijishan Grupo B",61,IF(Atletas!J211="Taijishan Grupo A",62,""))))))))))))))))))))))</f>
        <v/>
      </c>
      <c r="BM220" s="50" t="str">
        <f>IF(Atletas!K211="","",IF(Atletas!B211="Feminino",100,IF(Atletas!B211="Masculino",200,""))+(IF(Atletas!K211="Equipe 1 Grupo B",1,IF(Atletas!K211="Equipe 2 Grupo B",2,IF(Atletas!K211="Equipe 1 Grupo A",3,IF(Atletas!K211="Equipe 2 Grupo A",4,IF(Atletas!K211="Equipe 1 Adulto",5,IF(Atletas!K211="Equipe 2 Adulto",6,""))))))))</f>
        <v/>
      </c>
      <c r="BR220" s="50" t="str">
        <f>IF(Atletas!L211="","",IF(Atletas!X211&lt;&gt;"",10000,0)+(IF(Atletas!B211="Feminino",1000,IF(Atletas!B211="Masculino",2000,""))+IF(Atletas!L211="Choylayfut A",1,IF(Atletas!L211="Hunggar A",2,IF(Atletas!L211="Wuzuquan A",3,IF(Atletas!L211="Wingchun A",4,IF(Atletas!L211="Outra Mão de Sul A",5,IF(Atletas!L211="Choylayfut B",6,IF(Atletas!L211="Hunggar B",7,IF(Atletas!L211="Wuzuquan B",8,IF(Atletas!L211="Wingchun B",9,IF(Atletas!L211="Outra Mão de Sul B",10,IF(Atletas!L211="Choylayfut C",11,IF(Atletas!L211="Hunggar C",12,IF(Atletas!L211="Wuzuquan C",13,IF(Atletas!L211="Wingchun C",14,IF(Atletas!L211="Outra Mão de Sul C",15,IF(Atletas!L211="Choylayfut D",16,IF(Atletas!L211="Hunggar D",17,IF(Atletas!L211="Wuzuquan D",18,IF(Atletas!L211="Wingchun D",19,IF(Atletas!L211="Outra Mão de Sul D",20,IF(Atletas!L211="Choylayfut E",21,IF(Atletas!L211="Hunggar E",22,IF(Atletas!L211="Wuzuquan E",23,IF(Atletas!L211="Wingchun E",24,IF(Atletas!L211="Outra Mão de Sul E",25,IF(Atletas!L211="Choylayfut F",26,IF(Atletas!L211="Hunggar F",27,IF(Atletas!L211="Wuzuquan F",28,IF(Atletas!L211="Wingchun F",29,IF(Atletas!L211="Outra Mão de Sul F",30,IF(Atletas!L211="Dishuquan A",31,IF(Atletas!L211="Dishuquan B",32,IF(Atletas!L211="Dishuquan C",33,IF(Atletas!L211="Dishuquan D",34,IF(Atletas!L211="Dishuquan E",35,IF(Atletas!L211="Dishuquan F",36,""))))))))))))))))))))))))))))))))))))))</f>
        <v/>
      </c>
      <c r="BS220" s="50" t="str">
        <f>IF(Atletas!M211="","",IF(Atletas!X211&lt;&gt;"",10000,0)+(IF(Atletas!B211="Feminino",1000,IF(Atletas!B211="Masculino",2000,""))+(IF(Atletas!M211="Chaquan A",101,IF(Atletas!M211="Emeiquan A",102,IF(Atletas!M211="Fanziquan A",103,IF(Atletas!M211="Huaquan A",104,IF(Atletas!M211="Hongquan A",105,IF(Atletas!M211="Paoquan A",106,IF(Atletas!M211="Piguaquan A",107,IF(Atletas!M211="Shaolinquan A",108,IF(Atletas!M211="Tanglangquan A",109,IF(Atletas!M211="Yingzhaoquan A",110,IF(Atletas!M211="Tongbeiquan A",111,IF(Atletas!M211="Wudangquan A",112,IF(Atletas!M211="Outros Estilos A",113,IF(Atletas!M211="Chaquan B",114,IF(Atletas!M211="Emeiquan B",115,IF(Atletas!M211="Fanziquan B",116,IF(Atletas!M211="Huaquan B",117,IF(Atletas!M211="Hongquan B",118,IF(Atletas!M211="Paoquan B",119,IF(Atletas!M211="Piguaquan B",120,IF(Atletas!M211="Shaolinquan B",121,IF(Atletas!M211="Tanglangquan B",122,IF(Atletas!M211="Yingzhaoquan B",123,IF(Atletas!M211="Tongbeiquan B",124,IF(Atletas!M211="Wudangquan B",125,IF(Atletas!M211="Outros Estilos B",126,IF(Atletas!M211="Chaquan C",127,IF(Atletas!M211="Emeiquan C",128,IF(Atletas!M211="Fanziquan C",129,IF(Atletas!M211="Huaquan C",130,IF(Atletas!M211="Hongquan C",131,IF(Atletas!M211="Paoquan C",132,IF(Atletas!M211="Piguaquan C",133,IF(Atletas!M211="Shaolinquan C",134,IF(Atletas!M211="Tanglangquan C",135,IF(Atletas!M211="Yingzhaoquan C",136,IF(Atletas!M211="Tongbeiquan C",137,IF(Atletas!M211="Wudangquan C",138,IF(Atletas!M211="Outros Estilos C",139,0))))))))))))))))))))))))))))))))))))))))))</f>
        <v/>
      </c>
      <c r="BT220" s="50" t="str">
        <f>IF(Atletas!M211="","",IF(Atletas!X211&lt;&gt;"",10000,0)+(IF(Atletas!B211="Feminino",1000,IF(Atletas!B211="Masculino",2000,""))+(IF(Atletas!M211="Chaquan D",140,IF(Atletas!M211="Emeiquan D",141,IF(Atletas!M211="Fanziquan D",142,IF(Atletas!M211="Huaquan D",143,IF(Atletas!M211="Hongquan D",144,IF(Atletas!M211="Paoquan D",145,IF(Atletas!M211="Piguaquan D",146,IF(Atletas!M211="Shaolinquan D",147,IF(Atletas!M211="Tanglangquan D",148,IF(Atletas!M211="Yingzhaoquan D",149,IF(Atletas!M211="Tongbeiquan D",150,IF(Atletas!M211="Wudangquan D",151,IF(Atletas!M211="Outros Estilos D",152,IF(Atletas!M211="Chaquan E",153,IF(Atletas!M211="Emeiquan E",154,IF(Atletas!M211="Fanziquan E",155,IF(Atletas!M211="Huaquan E",156,IF(Atletas!M211="Hongquan E",157,IF(Atletas!M211="Paoquan E",158,IF(Atletas!M211="Piguaquan E",159,IF(Atletas!M211="Shaolinquan E",160,IF(Atletas!M211="Tanglangquan E",161,IF(Atletas!M211="Yingzhaoquan E",162,IF(Atletas!M211="Tongbeiquan E",163,IF(Atletas!M211="Wudangquan E",164,IF(Atletas!M211="Outros Estilos E",165,IF(Atletas!M211="Chaquan F",166,IF(Atletas!M211="Emeiquan F",167,IF(Atletas!M211="Fanziquan F",168,IF(Atletas!M211="Huaquan F",169,IF(Atletas!M211="Hongquan F",170,IF(Atletas!M211="Paoquan F",171,IF(Atletas!M211="Piguaquan F",172,IF(Atletas!M211="Shaolinquan F",173,IF(Atletas!M211="Tanglangquan F",174,IF(Atletas!M211="Yingzhaoquan F",175,IF(Atletas!M211="Tongbeiquan F",176,IF(Atletas!M211="Wudangquan F",177,IF(Atletas!M211="Outros Estilos F",178,0))))))))))))))))))))))))))))))))))))))))))</f>
        <v/>
      </c>
      <c r="BU220" s="50" t="str">
        <f>IF(Atletas!N211="","",IF(Atletas!X211&lt;&gt;"",10000,0)+(IF(Atletas!B211="Feminino",1000,IF(Atletas!B211="Masculino",2000,""))+(IF(Atletas!N211="Ditangquan A",201,IF(Atletas!N211="Houquan A",202,IF(Atletas!N211="Zuiquan A",203,IF(Atletas!N211="Ditangquan B",204,IF(Atletas!N211="Houquan B",205,IF(Atletas!N211="Zuiquan B",206,IF(Atletas!N211="Ditangquan C",207,IF(Atletas!N211="Houquan C",208,IF(Atletas!N211="Zuiquan C",209,IF(Atletas!N211="Ditangquan D",210,IF(Atletas!N211="Houquan D",211,IF(Atletas!N211="Zuiquan D",212,IF(Atletas!N211="Ditangquan E",213,IF(Atletas!N211="Houquan E",214,IF(Atletas!N211="Zuiquan E",215,IF(Atletas!N211="Ditangquan F",216,IF(Atletas!N211="Houquan F",217,IF(Atletas!N211="Zuiquan F",218,"")))))))))))))))))))))</f>
        <v/>
      </c>
      <c r="BV220" s="50" t="str">
        <f>IF(Atletas!O211="","",IF(Atletas!X211&lt;&gt;"",10000,0)+IF(Atletas!B211="Feminino",1000,IF(Atletas!B211="Masculino",2000,""))+IF(Atletas!O211="Yang A",301,IF(Atletas!O211="Chen A",302,IF(Atletas!O211="Sun A",303,IF(Atletas!O211="Wu A",304,IF(Atletas!O211="Wu-Hao A",305,IF(Atletas!O211="Outro Taijiquan A",306,IF(Atletas!O211="Yang B",307,IF(Atletas!O211="Chen B",308,IF(Atletas!O211="Sun B",309,IF(Atletas!O211="Wu B",310,IF(Atletas!O211="Wu-Hao B",311,IF(Atletas!O211="Outro Taijiquan B",312,IF(Atletas!O211="Yang C",313,IF(Atletas!O211="Chen C",314,IF(Atletas!O211="Sun C",315,IF(Atletas!O211="Wu C",316,IF(Atletas!O211="Wu-Hao C",317,IF(Atletas!O211="Outro Taijiquan C",318,IF(Atletas!O211="Yang D",319,IF(Atletas!O211="Chen D",320,IF(Atletas!O211="Sun D",321,IF(Atletas!O211="Wu D",322,IF(Atletas!O211="Wu-Hao D",323,IF(Atletas!O211="Outro Taijiquan D",324,IF(Atletas!O211="Yang E",325,IF(Atletas!O211="Chen E",326,IF(Atletas!O211="Sun E",327,IF(Atletas!O211="Wu E",328,IF(Atletas!O211="Wu-Hao E",329,IF(Atletas!O211="Outro Taijiquan E",330,IF(Atletas!O211="Yang F",331,IF(Atletas!O211="Chen F",332,IF(Atletas!O211="Sun F",333,IF(Atletas!O211="Wu F",334,IF(Atletas!O211="Wu-Hao F",335,IF(Atletas!O211="Outro Taijiquan F",336,"")))))))))))))))))))))))))))))))))))))</f>
        <v/>
      </c>
      <c r="BW220" s="50" t="str">
        <f>IF(Atletas!P211="","",IF(Atletas!X211&lt;&gt;"",10000,0)+IF(Atletas!B211="Feminino",1000,IF(Atletas!B211="Masculino",2000,""))+IF(OR(Atletas!P211="Yang 26 A",Atletas!P211="Yang 40 A"),401,IF(OR(Atletas!P211="Chen 25 A",Atletas!P211="Chen 36 A",Atletas!P211="Chen 56 A"),402,IF(Atletas!P211="Sun 73 A",403,IF(Atletas!P211="Wu 45 A",404,IF(Atletas!P211="Wu-Hao 46 A",405,IF(OR(Atletas!P211="Taijiquan 16 A",Atletas!P211="Taijiquan 24 A",Atletas!P211="Taijiquan 32 A",Atletas!P211="Taijiquan 42 A"),406,IF(OR(Atletas!P211="Yang 26 B",Atletas!P211="Yang 40 B"),407,IF(OR(Atletas!P211="Chen 25 B",Atletas!P211="Chen 36 B",Atletas!P211="Chen 56 B"),408,IF(Atletas!P211="Sun 73 B",409,IF(Atletas!P211="Wu 45 B",410,IF(Atletas!P211="Wu-Hao 46 B",411,IF(OR(Atletas!P211="Taijiquan 16 B",Atletas!P211="Taijiquan 24 B",Atletas!P211="Taijiquan 32 B",Atletas!P211="Taijiquan 42 B"),412,IF(OR(Atletas!P211="Yang 26 C",Atletas!P211="Yang 40 C"),413,IF(OR(Atletas!P211="Chen 25 C",Atletas!P211="Chen 36 C",Atletas!P211="Chen 56 C"),414,IF(Atletas!P211="Sun 73 C",415,IF(Atletas!P211="Wu 45 C",416,IF(Atletas!P211="Wu-Hao 46 C",417,IF(OR(Atletas!P211="Taijiquan 16 C",Atletas!P211="Taijiquan 24 C",Atletas!P211="Taijiquan 32 C",Atletas!P211="Taijiquan 42 C"),418,0)))))))))))))))))))</f>
        <v/>
      </c>
      <c r="BX220" s="50" t="str">
        <f>IF(Atletas!P211="","",IF(Atletas!X211&lt;&gt;"",10000,0)+IF(Atletas!B211="Feminino",1000,IF(Atletas!B211="Masculino",2000,""))+IF(OR(Atletas!P211="Yang 26 D",Atletas!P211="Yang 40 D"),419,IF(OR(Atletas!P211="Chen 25 D",Atletas!P211="Chen 36 D",Atletas!P211="Chen 56 D"),420,IF(Atletas!P211="Sun 73 D",421,IF(Atletas!P211="Wu 45 D",422,IF(Atletas!P211="Wu-Hao 46 D",423,IF(OR(Atletas!P211="Taijiquan 16 D",Atletas!P211="Taijiquan 24 D",Atletas!P211="Taijiquan 32 D",Atletas!P211="Taijiquan 42 D"),424,IF(OR(Atletas!P211="Yang 26 E",Atletas!P211="Yang 40 E"),425,IF(OR(Atletas!P211="Chen 25 E",Atletas!P211="Chen 36 E",Atletas!P211="Chen 56 E"),426,IF(Atletas!P211="Sun 73 E",427,IF(Atletas!P211="Wu 45 E",428,IF(Atletas!P211="Wu-Hao 46 E",429,IF(OR(Atletas!P211="Taijiquan 16 E",Atletas!P211="Taijiquan 24 E",Atletas!P211="Taijiquan 32 E",Atletas!P211="Taijiquan 42 E"),430,IF(OR(Atletas!P211="Yang 26 F",Atletas!P211="Yang 40 F"),431,IF(OR(Atletas!P211="Chen 25 F",Atletas!P211="Chen 36 F",Atletas!P211="Chen 56 F"),432,IF(Atletas!P211="Sun 73 F",433,IF(Atletas!P211="Wu 45 F",434,IF(Atletas!P211="Wu-Hao 46 F",435,IF(OR(Atletas!P211="Taijiquan 16 F",Atletas!P211="Taijiquan 24 F",Atletas!P211="Taijiquan 32 F",Atletas!P211="Taijiquan 42 F"),436,0)))))))))))))))))))</f>
        <v/>
      </c>
      <c r="BY220" s="50" t="str">
        <f>IF(Atletas!Q211="","",IF(Atletas!X211&lt;&gt;"",10000,0)+IF(Atletas!B211="Feminino",1000,IF(Atletas!B211="Masculino",2000,""))+IF(Atletas!Q211="Xingyiquan A",501,IF(Atletas!Q211="Baguazhang A",502,IF(Atletas!Q211="Outro Estilo Interno A",503,IF(Atletas!Q211="Xingyiquan B",504,IF(Atletas!Q211="Baguazhang B",505,IF(Atletas!Q211="Outro Estilo Interno B",506,IF(Atletas!Q211="Xingyiquan C",507,IF(Atletas!Q211="Baguazhang C",508,IF(Atletas!Q211="Outro Estilo Interno C",509,IF(Atletas!Q211="Xingyiquan D",510,IF(Atletas!Q211="Baguazhang D",511,IF(Atletas!Q211="Outro Estilo Interno D",512,IF(Atletas!Q211="Xingyiquan E",513,IF(Atletas!Q211="Baguazhang E",514,IF(Atletas!Q211="Outro Estilo Interno E",515,IF(Atletas!Q211="Xingyiquan F",516,IF(Atletas!Q211="Baguazhang F",517,IF(Atletas!Q211="Outro Estilo Interno F",518, "")))))))))))))))))))</f>
        <v/>
      </c>
      <c r="BZ220" s="50" t="str">
        <f>IF(Atletas!R211="","",IF(Atletas!X211&lt;&gt;"",10000,0)+IF(Atletas!B211="Feminino",1000,IF(Atletas!B211="Masculino",2000,""))+IF(Atletas!R211="Dao A",601,IF(Atletas!R211="Jian A",602,IF(Atletas!R211="Bishou A",603,IF(Atletas!R211="Shanzi A",604,IF(Atletas!R211="Outra Arma Curta A",605,IF(Atletas!R211="Dao B",606,IF(Atletas!R211="Jian B",607,IF(Atletas!R211="Bishou B",608,IF(Atletas!R211="Shanzi B",609,IF(Atletas!R211="Outra Arma Curta B",610,IF(Atletas!R211="Dao C",611,IF(Atletas!R211="Jian C",612,IF(Atletas!R211="Bishou C",613,IF(Atletas!R211="Shanzi C",614,IF(Atletas!R211="Outra Arma Curta C",615,IF(Atletas!R211="Dao D",616,IF(Atletas!R211="Jian D",617,IF(Atletas!R211="Bishou D",618,IF(Atletas!R211="Shanzi D",619,IF(Atletas!R211="Outra Arma Curta D",620,IF(Atletas!R211="Dao E",621,IF(Atletas!R211="Jian E",622,IF(Atletas!R211="Bishou E",623,IF(Atletas!R211="Shanzi E",624,IF(Atletas!R211="Outra Arma Curta E",625,IF(Atletas!R211="Dao F",626,IF(Atletas!R211="Jian F",627,IF(Atletas!R211="Bishou F",628,IF(Atletas!R211="Shanzi F",629,IF(Atletas!R211="Outra Arma Curta F",630, "")))))))))))))))))))))))))))))))</f>
        <v/>
      </c>
      <c r="CA220" s="50" t="str">
        <f>IF(Atletas!S211="","",IF(Atletas!X211&lt;&gt;"",10000,0)+IF(Atletas!B211="Feminino",1000,IF(Atletas!B211="Masculino",2000,""))+IF(Atletas!S211="Gun A",701,IF(Atletas!S211="Qiang A",702,IF(Atletas!S211="Pudao / Guandao A",703,IF(Atletas!S211="Outra Arma Longa A",704,IF(Atletas!S211="Gun B",705,IF(Atletas!S211="Qiang B",706,IF(Atletas!S211="Pudao / Guandao B",707,IF(Atletas!S211="Outra Arma Longa B",708,IF(Atletas!S211="Gun C",709,IF(Atletas!S211="Qiang C",710,IF(Atletas!S211="Pudao / Guandao C",711,IF(Atletas!S211="Outra Arma Longa C",712,IF(Atletas!S211="Gun D",713,IF(Atletas!S211="Qiang D",714,IF(Atletas!S211="Pudao / Guandao D",715,IF(Atletas!S211="Outra Arma Longa D",716,IF(Atletas!S211="Gun E",717,IF(Atletas!S211="Qiang E",718,IF(Atletas!S211="Pudao / Guandao E",719,IF(Atletas!S211="Outra Arma Longa E",720,IF(Atletas!S211="Gun F",721,IF(Atletas!S211="Qiang F",722,IF(Atletas!S211="Pudao / Guandao F",723,IF(Atletas!S211="Outra Arma Longa F",724,"")))))))))))))))))))))))))</f>
        <v/>
      </c>
      <c r="CB220" s="50" t="str">
        <f>IF(Atletas!T211="","",IF(Atletas!X211&lt;&gt;"",10000,0)+IF(Atletas!B211="Feminino",1000,IF(Atletas!B211="Masculino",2000,""))+IF(Atletas!T211="Outra Arma Dupla A",801,IF(Atletas!T211="Arma Maleável A",802,IF(Atletas!T211="Outra Arma Dupla B",803,IF(Atletas!T211="Arma Maleável B",804,IF(Atletas!T211="Outra Arma Dupla C",805,IF(Atletas!T211="Arma Maleável C",806,IF(Atletas!T211="Outra Arma Dupla D",807,IF(Atletas!T211="Arma Maleável D",808,IF(Atletas!T211="Outra Arma Dupla E",809,IF(Atletas!T211="Arma Maleável E",810,IF(Atletas!T211="Outra Arma Dupla F",811,IF(Atletas!T211="Arma Maleável F",812,IF(Atletas!T211="Shuangdao A",813,IF(Atletas!T211="Shuangdao B",814,IF(Atletas!T211="Shuangdao C",815,IF(Atletas!T211="Shuangdao D",816,IF(Atletas!T211="Shuangdao E",817,IF(Atletas!T211="Shuangdao F",818,"")))))))))))))))))))</f>
        <v/>
      </c>
      <c r="CC220" s="50" t="str">
        <f>IF(Atletas!U211="","",IF(Atletas!X211&lt;&gt;"",10000,0)+IF(Atletas!B211="Feminino",1000,IF(Atletas!B211="Masculino",2000,""))+IF(OR(Atletas!U211="Taijijian Yang A",Atletas!U211="Taijijian Yang Standard A"),901,IF(OR(Atletas!U211="Taijijian Chen A", Atletas!U211="Taijijian Chen Standard A"),902,IF(Atletas!U211="Taijijian Sun A",903,IF(Atletas!U211="Taijijian Wu A",904,IF(Atletas!U211="Taijijian Wu-Hao A",905,IF(OR(Atletas!U211="Taijijian 32 A",Atletas!U211="Taijijian 42 A"),906,IF(OR(Atletas!U211="Taijijian Yang B",Atletas!U211="Taijijian Yang Standard B"),907,IF(OR(Atletas!U211="Taijijian Chen B", Atletas!U211="Taijijian Chen Standard B"),908,IF(Atletas!U211="Taijijian Sun B",909,IF(Atletas!U211="Taijijian Wu B",910,IF(Atletas!U211="Taijijian Wu-Hao B",911,IF(OR(Atletas!U211="Taijijian 32 B",Atletas!U211="Taijijian 42 B"),912,IF(OR(Atletas!U211="Taijijian Yang C",Atletas!U211="Taijijian Yang Standard C"),913,IF(OR(Atletas!U211="Taijijian Chen C", Atletas!U211="Taijijian Chen Standard C"),914,IF(Atletas!U211="Taijijian Sun C",915,IF(Atletas!U211="Taijijian Wu C",916,IF(Atletas!U211="Taijijian Wu-Hao C",917,IF(OR(Atletas!U211="Taijijian 32 C",Atletas!U211="Taijijian 42 C"),918,IF(OR(Atletas!U211="Taijijian Yang D",Atletas!U211="Taijijian Yang Standard D"),919,IF(OR(Atletas!U211="Taijijian Chen D", Atletas!U211="Taijijian Chen Standard D"),920,IF(Atletas!U211="Taijijian Sun D",921,IF(Atletas!U211="Taijijian Wu D",922,IF(Atletas!U211="Taijijian Wu-Hao D",923,IF(OR(Atletas!U211="Taijijian 32 D",Atletas!U211="Taijijian 42 D"),924,IF(OR(Atletas!U211="Taijijian Yang E",Atletas!U211="Taijijian Yang Standard E"),925,IF(OR(Atletas!U211="Taijijian Chen E", Atletas!U211="Taijijian Chen Standard E"),926,IF(Atletas!U211="Taijijian Sun E",927,IF(Atletas!U211="Taijijian Wu E",928,IF(Atletas!U211="Taijijian Wu-Hao E",929,IF(OR(Atletas!U211="Taijijian 32 E",Atletas!U211="Taijijian 42 E"),930,IF(OR(Atletas!U211="Taijijian Yang F",Atletas!U211="Taijijian Yang Standard F"),931,IF(OR(Atletas!U211="Taijijian Chen F", Atletas!U211="Taijijian Chen Standard F"),932,IF(Atletas!U211="Taijijian Sun F",933,IF(Atletas!U211="Taijijian Wu F",934,IF(Atletas!U211="Taijijian Wu-Hao F",935,IF(OR(Atletas!U211="Taijijian 32 F",Atletas!U211="Taijijian 42 F"),936,"")))))))))))))))))))))))))))))))))))))</f>
        <v/>
      </c>
      <c r="CD220" s="50" t="str">
        <f>IF(Atletas!V211="","",IF(Atletas!X211&lt;&gt;"",10000,0)+IF(Atletas!B211="Feminino",1000,IF(Atletas!B211="Masculino",2000,""))+IF(Atletas!V211="Taijidao A",937,IF(Atletas!V211="TaijiShanzi A",938,IF(Atletas!V211="Taijiqiang A",939,IF(Atletas!V211="Bagua de Arma A",940,IF(Atletas!V211="Xingyi de Arma A",941,IF(Atletas!V211="Taijidao B",942,IF(Atletas!V211="TaijiShanzi B",943,IF(Atletas!V211="Taijiqiang B",944,IF(Atletas!V211="Bagua de Arma B",945,IF(Atletas!V211="Xingyi de Arma B",946,IF(Atletas!V211="Taijidao C",947,IF(Atletas!V211="TaijiShanzi C",948,IF(Atletas!V211="Taijiqiang C",949,IF(Atletas!V211="Bagua de Arma C",950,IF(Atletas!V211="Xingyi de Arma C",951,IF(Atletas!V211="Taijidao D",952,IF(Atletas!V211="TaijiShanzi D",953,IF(Atletas!V211="Taijiqiang D",954,IF(Atletas!V211="Bagua de Arma D",955,IF(Atletas!V211="Xingyi de Arma D",956,IF(Atletas!V211="Taijidao E",957,IF(Atletas!V211="TaijiShanzi E",958,IF(Atletas!V211="Taijiqiang E",959,IF(Atletas!V211="Bagua de Arma E",960,IF(Atletas!V211="Xingyi de Arma E",961,IF(Atletas!V211="Taijidao F",962,IF(Atletas!V211="TaijiShanzi F",963,IF(Atletas!V211="Taijiqiang F",964,IF(Atletas!V211="Bagua de Arma F",965,IF(Atletas!V211="Xingyi de Arma F",966,"")))))))))))))))))))))))))))))))</f>
        <v/>
      </c>
      <c r="CE220" s="66" t="str">
        <f>IF(CF220&lt;&gt;"","Xingyiquan D","")</f>
        <v/>
      </c>
      <c r="CF220" s="66" t="str">
        <f>IF(COUNTIF(BR:CD,1510)&gt;0,COUNTIF(BR:CD,1510),"")</f>
        <v/>
      </c>
      <c r="CG220" s="66" t="str">
        <f>IF(CH220&lt;&gt;"","Xingyiquan D","")</f>
        <v/>
      </c>
      <c r="CH220" s="66" t="str">
        <f>IF(COUNTIF(BR:CD,2510)&gt;0,COUNTIF(BR:CD,2510),"")</f>
        <v/>
      </c>
      <c r="CI220" s="66" t="str">
        <f>IF(CJ220&lt;&gt;"","Xingyiquan F","")</f>
        <v/>
      </c>
      <c r="CJ220" s="66" t="str">
        <f>IF(COUNTIF(BR:CD,11452)&gt;0,COUNTIF(BR:CD,11452),"")</f>
        <v/>
      </c>
      <c r="CK220" s="66" t="str">
        <f>IF(CL220&lt;&gt;"","Xingyiquan F","")</f>
        <v/>
      </c>
      <c r="CL220" s="66" t="str">
        <f>IF(COUNTIF(BR:CD,12452)&gt;0,COUNTIF(BR:CD,12452),"")</f>
        <v/>
      </c>
      <c r="CM220" s="50" t="str">
        <f xml:space="preserve"> IF(Atletas!W211="","",IF(Atletas!W211="Duilian de Mãos BC - Equipe 1",1,IF(Atletas!W211="Duilian de Mãos BC - Equipe 2",2,IF(Atletas!W211="Duilian de Armas BC - Equipe 1",3,IF(Atletas!W211="Duilian de Armas BC - Equipe 2",4,IF(Atletas!W211="Duilian de Mãos DE - Equipe 1",5,IF(Atletas!W211="Duilian de Mãos DE - Equipe 2",6,IF(Atletas!W211="Duilian de Armas DE - Equipe 1",7,IF(Atletas!W211="Duilian de Armas DE - Equipe 2",8,IF(Atletas!W211="Duilian de Tuishou - Equipe 1",9,IF(Atletas!W211="Duilian de Tuishou - Equipe 2",10,IF(Atletas!W211="Grupo Externo ABC - Equipe 1",11,IF(Atletas!W211="Grupo Externo ABC - Equipe 2",12,IF(Atletas!W211="Grupo Interno ABC - Equipe 1",13,IF(Atletas!W211="Grupo Interno ABC - Equipe 2",14,IF(Atletas!W211="Grupo Externo DEF - Equipe 1",15,IF(Atletas!W211="Grupo Externo DEF - Equipe 2",16,IF(Atletas!W211="Grupo Interno DEF - Equipe 1",17,IF(Atletas!W211="Grupo Interno DEF - Equipe 2",18,"")))))))))))))))))))</f>
        <v/>
      </c>
    </row>
    <row r="221" spans="2:91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 t="str">
        <f t="array" ref="Z221">IFERROR(INDEX(CE$7:CE$348,SMALL(IF(CE$7:CE$348&lt;&gt;"",ROW(CE$7:CE$348)-ROW(CE$7)+1),ROWS(CE$7:CE220))),"")</f>
        <v/>
      </c>
      <c r="AA221" s="3" t="str">
        <f t="array" ref="AA221">IFERROR(INDEX(CF$7:CF$348,SMALL(IF(CF$7:CF$348&lt;&gt;"",ROW(CF$7:CF$348)-ROW(CF$7)+1),ROWS(CF$7:CF220))),"")</f>
        <v/>
      </c>
      <c r="AB221" s="3" t="str">
        <f t="array" ref="AB221">IFERROR(INDEX(CG$7:CG$348,SMALL(IF(CG$7:CG$348&lt;&gt;"",ROW(CG$7:CG$348)-ROW(CG$7)+1),ROWS(CG$7:CG220))),"")</f>
        <v/>
      </c>
      <c r="AC221" s="3" t="str">
        <f t="array" ref="AC221">IFERROR(INDEX(CH$7:CH$348,SMALL(IF(CH$7:CH$348&lt;&gt;"",ROW(CH$7:CH$348)-ROW(CH$7)+1),ROWS(CH$7:CH220))),"")</f>
        <v/>
      </c>
      <c r="AD221" s="3" t="str">
        <f t="array" ref="AD221">IFERROR(INDEX(CI$7:CI$377,SMALL(IF(CI$7:CI$377&lt;&gt;"",ROW(CI$7:CI$377)-ROW(CI$7)+1),ROWS(CI$7:CI220))),"")</f>
        <v/>
      </c>
      <c r="AE221" s="3" t="str">
        <f t="array" ref="AE221">IFERROR(INDEX(CJ$7:CJ$378,SMALL(IF(CJ$7:CJ$378&lt;&gt;"",ROW(CJ$7:CJ$378)-ROW(CJ$7)+1),ROWS(CJ$7:CJ220))),"")</f>
        <v/>
      </c>
      <c r="AF221" s="3" t="str">
        <f t="array" ref="AF221">IFERROR(INDEX(CK$7:CK$378,SMALL(IF(CK$7:CK$378&lt;&gt;"",ROW(CK$7:CK$378)-ROW(CK$7)+1),ROWS(CK$7:CK220))),"")</f>
        <v/>
      </c>
      <c r="AG221" s="3" t="str">
        <f t="array" ref="AG221">IFERROR(INDEX(CL$7:CL$378,SMALL(IF(CL$7:CL$378&lt;&gt;"",ROW(CL$7:CL$378)-ROW(CL$7)+1),ROWS(CL$7:CL220))),"")</f>
        <v/>
      </c>
      <c r="AH221" s="3"/>
      <c r="AI221" s="3"/>
      <c r="AJ221" s="3"/>
      <c r="AK221" s="3"/>
      <c r="AL221" s="3"/>
      <c r="AM221" s="3"/>
      <c r="AN221" s="52" t="str">
        <f>IF(Atletas!D212="","",IF(Atletas!B212="Feminino",100,IF(Atletas!B212="Masculino",200,""))+(IF(Atletas!D212="Kids 30kg",1,IF(Atletas!D212="Kids 32kg",2, IF(Atletas!D212="Kids 34kg",3,IF(Atletas!D212="Kids 36kg",4,IF(Atletas!D212="Kids 39kg",5,IF(Atletas!D212="Kids 42kg",6,IF(Atletas!D212="Kids 45kg",7, IF(Atletas!D212="Infantil 39kg",8,IF(Atletas!D212="Infantil 42kg",9,IF(Atletas!D212="Infantil 45kg",10,IF(Atletas!D212="Infantil 48kg",11,IF(Atletas!D212="Infantil 52kg",12,IF(Atletas!D212="Infantil 56kg",13,IF(Atletas!D212="Infantil 60kg",14,IF(Atletas!D212="Juvenil 48kg",15,IF(Atletas!D212="Juvenil 52kg",16,IF(Atletas!D212="Juvenil 56kg",17,IF(Atletas!D212="Juvenil 60kg",18,IF(Atletas!D212="Juvenil 65kg",19,IF(Atletas!D212="Juvenil 70kg",20,IF(Atletas!D212="Juvenil 75kg",21,IF(Atletas!D212="Juvenil 80kg",22, IF(Atletas!D212="Juvenil 85kg",23,IF(Atletas!D212="Adulto 48kg",24,IF(Atletas!D212="Adulto 52kg",25,IF(Atletas!D212="Adulto 56kg",26,IF(Atletas!D212="Adulto 60kg",27,IF(Atletas!D212="Adulto 65kg",28,IF(Atletas!D212="Adulto 70kg",29,IF(Atletas!D212="Adulto 75kg",30,IF(Atletas!D212="Adulto 80kg",31,IF(Atletas!D212="Adulto 85kg",32,IF(Atletas!D212="Adulto 90kg",33,IF(Atletas!D212="Adulto 100kg",34, IF(Atletas!D212="Adulto +100kg",35,"")))))))))))))))))))))))))))))))))))))</f>
        <v/>
      </c>
      <c r="AS221" s="6" t="str">
        <f>IF(Atletas!E212="","",IF(Atletas!B212="Feminino",100,IF(Atletas!B212="Masculino",200,""))+(IF(Atletas!E212="Juvenil 44kg",1,IF(Atletas!E212="Juvenil 48kg",2,IF(Atletas!E212="Juvenil 52kg",3,IF(Atletas!E212="Juvenil 56kg",4,IF(Atletas!E212="Juvenil 60kg",5,IF(Atletas!E212="Juvenil 65kg",6,IF(Atletas!E212="Juvenil 70kg",7,IF(Atletas!E212="Juvenil 75kg",8,IF(Atletas!E212="Juvenil 82kg",9,IF(Atletas!E212="Juvenil 90kg",10,IF(Atletas!E212="Juvenil 100kg",11,IF(Atletas!E212="Adulto 48kg",12,IF(Atletas!E212="Adulto 52kg",13,IF(Atletas!E212="Adulto 56kg",14,IF(Atletas!E212="Adulto 60kg",15,IF(Atletas!E212="Adulto 65kg",16,IF(Atletas!E212="Adulto 70kg",17,IF(Atletas!E212="Adulto 75kg",18,IF(Atletas!E212="Adulto 82kg",19,IF(Atletas!E212="Adulto 90kg",20,IF(Atletas!E212="Adulto 100kg",21,IF(Atletas!E212="Adulto +100kg",22,""))))))))))))))))))))))))</f>
        <v/>
      </c>
      <c r="AX221" s="6" t="str">
        <f>IF(Atletas!F212="","",IF(Atletas!B212="Feminino",100,IF(Atletas!B212="Masculino",200,""))+(IF(Atletas!F212="Adulto 48kg",1,IF(Atletas!F212="Adulto 56kg",2,IF(Atletas!F212="Adulto 65kg",3,IF(Atletas!F212="Adulto 75kg",4,IF(Atletas!F212="Adulto +75kg",5,IF(Atletas!F212="Adulto 52kg",6,IF(Atletas!F212="Adulto 60kg",7,IF(Atletas!F212="Adulto 70kg",8,IF(Atletas!F212="Adulto 80kg",9,IF(Atletas!F212="Adulto 90kg",10,IF(Atletas!F212="Adulto +90kg",11,"")))))))))))))</f>
        <v/>
      </c>
      <c r="BC221" s="6" t="str">
        <f>IF(Atletas!G212="","",IF(Atletas!B212="Feminino",10,IF(Atletas!B212="Masculino",20,""))+(IF(Atletas!G212="Baduanjin A",1,IF(Atletas!G212="Baduanjin B",2))))</f>
        <v/>
      </c>
      <c r="BF221" s="52" t="str">
        <f>IF(Atletas!H212="","",IF(Atletas!B212="Feminino",100,IF(Atletas!B212="Masculino",200,""))+(IF(Atletas!H212="Changquan Mirim",1,IF(Atletas!H212="Nanquan Mirim",2,IF(Atletas!H212="Taijiquan Mirim",3,IF(Atletas!H212="Changquan Grupo C",4,IF(Atletas!H212="Nanquan Grupo C",5,IF(Atletas!H212="Taijiquan Grupo C",6,IF(Atletas!H212="Changquan Grupo B",7,IF(Atletas!H212="Nanquan Grupo B",8,IF(Atletas!H212="Taijiquan Grupo B",9,IF(Atletas!H212="Changquan Grupo A",10,IF(Atletas!H212="Nanquan Grupo A",11,IF(Atletas!H212="Taijiquan Grupo A",12,IF(Atletas!H212="Changquan Opcional",13,IF(Atletas!H212="Nanquan Opcional",14,IF(Atletas!H212="Taijiquan Opcional",15,IF(Atletas!H212="Changquan Adulto",16,IF(Atletas!H212="Nanquan Adulto",17,IF(Atletas!H212="Taijiquan Adulto",18,""))))))))))))))))))))</f>
        <v/>
      </c>
      <c r="BG221" s="52" t="str">
        <f>IF(Atletas!I212="","",IF(Atletas!B212="Feminino",100,IF(Atletas!B212="Masculino",200,""))+(IF(Atletas!I212="Daoshu Mirim",19,IF(Atletas!I212="Jianshu Mirim",20,IF(Atletas!I212="Nandao Mirim",21,IF(Atletas!I212="Taijijian Mirim",22,IF(Atletas!I212="Daoshu Grupo C",23,IF(Atletas!I212="Jianshu Grupo C",24,IF(Atletas!I212="Nandao Grupo C",25,IF(Atletas!I212="Taijijian Grupo C",26,IF(Atletas!I212="Daoshu Grupo B",27,IF(Atletas!I212="Jianshu Grupo B",28,IF(Atletas!I212="Nandao Grupo B",29,IF(Atletas!I212="Taijijian Grupo B",30,IF(Atletas!I212="Daoshu Grupo A",31,IF(Atletas!I212="Jianshu Grupo A",32,IF(Atletas!I212="Nandao Grupo A",33,IF(Atletas!I212="Taijijian Grupo A",34,IF(Atletas!I212="Daoshu Opcional",35,IF(Atletas!I212="Jianshu Opcional",36,IF(Atletas!I212="Nandao Opcional",37,IF(Atletas!I212="Taijijian Opcional",38,IF(Atletas!I212="Daoshu Adulto",39,IF(Atletas!I212="Jianshu Adulto",40,IF(Atletas!I212="Nandao Adulto",41,IF(Atletas!I212="Taijijian Adulto",42,""))))))))))))))))))))))))))</f>
        <v/>
      </c>
      <c r="BH221" s="52" t="str">
        <f>IF(Atletas!J212="","",IF(Atletas!B212="Feminino",100,IF(Atletas!B212="Masculino",200,""))+(IF(Atletas!J212="Gunshu Mirim",43,IF(Atletas!J212="Qiangshu Mirim",44,IF(Atletas!J212="Nangun Mirim",45,IF(Atletas!J212="Gunshu Grupo C",46,IF(Atletas!J212="Qiangshu Grupo C",47,IF(Atletas!J212="Nangun Grupo C",48,IF(Atletas!J212="Gunshu Grupo B",49,IF(Atletas!J212="Qiangshu Grupo B",50,IF(Atletas!J212="Nangun Grupo B",51,IF(Atletas!J212="Gunshu Grupo A",52,IF(Atletas!J212="Qiangshu Grupo A",53,IF(Atletas!J212="Nangun Grupo A",54,IF(Atletas!J212="Gunshu Opcional",55,IF(Atletas!J212="Qiangshu Opcional",56,IF(Atletas!J212="Nangun Opcional",57,IF(Atletas!J212="Gunshu Adulto",58,IF(Atletas!J212="Qiangshu Adulto",59,IF(Atletas!J212="Nangun Adulto",60,IF(Atletas!J212="Taijishan Grupo B",61,IF(Atletas!J212="Taijishan Grupo A",62,""))))))))))))))))))))))</f>
        <v/>
      </c>
      <c r="BM221" s="50" t="str">
        <f>IF(Atletas!K212="","",IF(Atletas!B212="Feminino",100,IF(Atletas!B212="Masculino",200,""))+(IF(Atletas!K212="Equipe 1 Grupo B",1,IF(Atletas!K212="Equipe 2 Grupo B",2,IF(Atletas!K212="Equipe 1 Grupo A",3,IF(Atletas!K212="Equipe 2 Grupo A",4,IF(Atletas!K212="Equipe 1 Adulto",5,IF(Atletas!K212="Equipe 2 Adulto",6,""))))))))</f>
        <v/>
      </c>
      <c r="BR221" s="50" t="str">
        <f>IF(Atletas!L212="","",IF(Atletas!X212&lt;&gt;"",10000,0)+(IF(Atletas!B212="Feminino",1000,IF(Atletas!B212="Masculino",2000,""))+IF(Atletas!L212="Choylayfut A",1,IF(Atletas!L212="Hunggar A",2,IF(Atletas!L212="Wuzuquan A",3,IF(Atletas!L212="Wingchun A",4,IF(Atletas!L212="Outra Mão de Sul A",5,IF(Atletas!L212="Choylayfut B",6,IF(Atletas!L212="Hunggar B",7,IF(Atletas!L212="Wuzuquan B",8,IF(Atletas!L212="Wingchun B",9,IF(Atletas!L212="Outra Mão de Sul B",10,IF(Atletas!L212="Choylayfut C",11,IF(Atletas!L212="Hunggar C",12,IF(Atletas!L212="Wuzuquan C",13,IF(Atletas!L212="Wingchun C",14,IF(Atletas!L212="Outra Mão de Sul C",15,IF(Atletas!L212="Choylayfut D",16,IF(Atletas!L212="Hunggar D",17,IF(Atletas!L212="Wuzuquan D",18,IF(Atletas!L212="Wingchun D",19,IF(Atletas!L212="Outra Mão de Sul D",20,IF(Atletas!L212="Choylayfut E",21,IF(Atletas!L212="Hunggar E",22,IF(Atletas!L212="Wuzuquan E",23,IF(Atletas!L212="Wingchun E",24,IF(Atletas!L212="Outra Mão de Sul E",25,IF(Atletas!L212="Choylayfut F",26,IF(Atletas!L212="Hunggar F",27,IF(Atletas!L212="Wuzuquan F",28,IF(Atletas!L212="Wingchun F",29,IF(Atletas!L212="Outra Mão de Sul F",30,IF(Atletas!L212="Dishuquan A",31,IF(Atletas!L212="Dishuquan B",32,IF(Atletas!L212="Dishuquan C",33,IF(Atletas!L212="Dishuquan D",34,IF(Atletas!L212="Dishuquan E",35,IF(Atletas!L212="Dishuquan F",36,""))))))))))))))))))))))))))))))))))))))</f>
        <v/>
      </c>
      <c r="BS221" s="50" t="str">
        <f>IF(Atletas!M212="","",IF(Atletas!X212&lt;&gt;"",10000,0)+(IF(Atletas!B212="Feminino",1000,IF(Atletas!B212="Masculino",2000,""))+(IF(Atletas!M212="Chaquan A",101,IF(Atletas!M212="Emeiquan A",102,IF(Atletas!M212="Fanziquan A",103,IF(Atletas!M212="Huaquan A",104,IF(Atletas!M212="Hongquan A",105,IF(Atletas!M212="Paoquan A",106,IF(Atletas!M212="Piguaquan A",107,IF(Atletas!M212="Shaolinquan A",108,IF(Atletas!M212="Tanglangquan A",109,IF(Atletas!M212="Yingzhaoquan A",110,IF(Atletas!M212="Tongbeiquan A",111,IF(Atletas!M212="Wudangquan A",112,IF(Atletas!M212="Outros Estilos A",113,IF(Atletas!M212="Chaquan B",114,IF(Atletas!M212="Emeiquan B",115,IF(Atletas!M212="Fanziquan B",116,IF(Atletas!M212="Huaquan B",117,IF(Atletas!M212="Hongquan B",118,IF(Atletas!M212="Paoquan B",119,IF(Atletas!M212="Piguaquan B",120,IF(Atletas!M212="Shaolinquan B",121,IF(Atletas!M212="Tanglangquan B",122,IF(Atletas!M212="Yingzhaoquan B",123,IF(Atletas!M212="Tongbeiquan B",124,IF(Atletas!M212="Wudangquan B",125,IF(Atletas!M212="Outros Estilos B",126,IF(Atletas!M212="Chaquan C",127,IF(Atletas!M212="Emeiquan C",128,IF(Atletas!M212="Fanziquan C",129,IF(Atletas!M212="Huaquan C",130,IF(Atletas!M212="Hongquan C",131,IF(Atletas!M212="Paoquan C",132,IF(Atletas!M212="Piguaquan C",133,IF(Atletas!M212="Shaolinquan C",134,IF(Atletas!M212="Tanglangquan C",135,IF(Atletas!M212="Yingzhaoquan C",136,IF(Atletas!M212="Tongbeiquan C",137,IF(Atletas!M212="Wudangquan C",138,IF(Atletas!M212="Outros Estilos C",139,0))))))))))))))))))))))))))))))))))))))))))</f>
        <v/>
      </c>
      <c r="BT221" s="50" t="str">
        <f>IF(Atletas!M212="","",IF(Atletas!X212&lt;&gt;"",10000,0)+(IF(Atletas!B212="Feminino",1000,IF(Atletas!B212="Masculino",2000,""))+(IF(Atletas!M212="Chaquan D",140,IF(Atletas!M212="Emeiquan D",141,IF(Atletas!M212="Fanziquan D",142,IF(Atletas!M212="Huaquan D",143,IF(Atletas!M212="Hongquan D",144,IF(Atletas!M212="Paoquan D",145,IF(Atletas!M212="Piguaquan D",146,IF(Atletas!M212="Shaolinquan D",147,IF(Atletas!M212="Tanglangquan D",148,IF(Atletas!M212="Yingzhaoquan D",149,IF(Atletas!M212="Tongbeiquan D",150,IF(Atletas!M212="Wudangquan D",151,IF(Atletas!M212="Outros Estilos D",152,IF(Atletas!M212="Chaquan E",153,IF(Atletas!M212="Emeiquan E",154,IF(Atletas!M212="Fanziquan E",155,IF(Atletas!M212="Huaquan E",156,IF(Atletas!M212="Hongquan E",157,IF(Atletas!M212="Paoquan E",158,IF(Atletas!M212="Piguaquan E",159,IF(Atletas!M212="Shaolinquan E",160,IF(Atletas!M212="Tanglangquan E",161,IF(Atletas!M212="Yingzhaoquan E",162,IF(Atletas!M212="Tongbeiquan E",163,IF(Atletas!M212="Wudangquan E",164,IF(Atletas!M212="Outros Estilos E",165,IF(Atletas!M212="Chaquan F",166,IF(Atletas!M212="Emeiquan F",167,IF(Atletas!M212="Fanziquan F",168,IF(Atletas!M212="Huaquan F",169,IF(Atletas!M212="Hongquan F",170,IF(Atletas!M212="Paoquan F",171,IF(Atletas!M212="Piguaquan F",172,IF(Atletas!M212="Shaolinquan F",173,IF(Atletas!M212="Tanglangquan F",174,IF(Atletas!M212="Yingzhaoquan F",175,IF(Atletas!M212="Tongbeiquan F",176,IF(Atletas!M212="Wudangquan F",177,IF(Atletas!M212="Outros Estilos F",178,0))))))))))))))))))))))))))))))))))))))))))</f>
        <v/>
      </c>
      <c r="BU221" s="50" t="str">
        <f>IF(Atletas!N212="","",IF(Atletas!X212&lt;&gt;"",10000,0)+(IF(Atletas!B212="Feminino",1000,IF(Atletas!B212="Masculino",2000,""))+(IF(Atletas!N212="Ditangquan A",201,IF(Atletas!N212="Houquan A",202,IF(Atletas!N212="Zuiquan A",203,IF(Atletas!N212="Ditangquan B",204,IF(Atletas!N212="Houquan B",205,IF(Atletas!N212="Zuiquan B",206,IF(Atletas!N212="Ditangquan C",207,IF(Atletas!N212="Houquan C",208,IF(Atletas!N212="Zuiquan C",209,IF(Atletas!N212="Ditangquan D",210,IF(Atletas!N212="Houquan D",211,IF(Atletas!N212="Zuiquan D",212,IF(Atletas!N212="Ditangquan E",213,IF(Atletas!N212="Houquan E",214,IF(Atletas!N212="Zuiquan E",215,IF(Atletas!N212="Ditangquan F",216,IF(Atletas!N212="Houquan F",217,IF(Atletas!N212="Zuiquan F",218,"")))))))))))))))))))))</f>
        <v/>
      </c>
      <c r="BV221" s="50" t="str">
        <f>IF(Atletas!O212="","",IF(Atletas!X212&lt;&gt;"",10000,0)+IF(Atletas!B212="Feminino",1000,IF(Atletas!B212="Masculino",2000,""))+IF(Atletas!O212="Yang A",301,IF(Atletas!O212="Chen A",302,IF(Atletas!O212="Sun A",303,IF(Atletas!O212="Wu A",304,IF(Atletas!O212="Wu-Hao A",305,IF(Atletas!O212="Outro Taijiquan A",306,IF(Atletas!O212="Yang B",307,IF(Atletas!O212="Chen B",308,IF(Atletas!O212="Sun B",309,IF(Atletas!O212="Wu B",310,IF(Atletas!O212="Wu-Hao B",311,IF(Atletas!O212="Outro Taijiquan B",312,IF(Atletas!O212="Yang C",313,IF(Atletas!O212="Chen C",314,IF(Atletas!O212="Sun C",315,IF(Atletas!O212="Wu C",316,IF(Atletas!O212="Wu-Hao C",317,IF(Atletas!O212="Outro Taijiquan C",318,IF(Atletas!O212="Yang D",319,IF(Atletas!O212="Chen D",320,IF(Atletas!O212="Sun D",321,IF(Atletas!O212="Wu D",322,IF(Atletas!O212="Wu-Hao D",323,IF(Atletas!O212="Outro Taijiquan D",324,IF(Atletas!O212="Yang E",325,IF(Atletas!O212="Chen E",326,IF(Atletas!O212="Sun E",327,IF(Atletas!O212="Wu E",328,IF(Atletas!O212="Wu-Hao E",329,IF(Atletas!O212="Outro Taijiquan E",330,IF(Atletas!O212="Yang F",331,IF(Atletas!O212="Chen F",332,IF(Atletas!O212="Sun F",333,IF(Atletas!O212="Wu F",334,IF(Atletas!O212="Wu-Hao F",335,IF(Atletas!O212="Outro Taijiquan F",336,"")))))))))))))))))))))))))))))))))))))</f>
        <v/>
      </c>
      <c r="BW221" s="50" t="str">
        <f>IF(Atletas!P212="","",IF(Atletas!X212&lt;&gt;"",10000,0)+IF(Atletas!B212="Feminino",1000,IF(Atletas!B212="Masculino",2000,""))+IF(OR(Atletas!P212="Yang 26 A",Atletas!P212="Yang 40 A"),401,IF(OR(Atletas!P212="Chen 25 A",Atletas!P212="Chen 36 A",Atletas!P212="Chen 56 A"),402,IF(Atletas!P212="Sun 73 A",403,IF(Atletas!P212="Wu 45 A",404,IF(Atletas!P212="Wu-Hao 46 A",405,IF(OR(Atletas!P212="Taijiquan 16 A",Atletas!P212="Taijiquan 24 A",Atletas!P212="Taijiquan 32 A",Atletas!P212="Taijiquan 42 A"),406,IF(OR(Atletas!P212="Yang 26 B",Atletas!P212="Yang 40 B"),407,IF(OR(Atletas!P212="Chen 25 B",Atletas!P212="Chen 36 B",Atletas!P212="Chen 56 B"),408,IF(Atletas!P212="Sun 73 B",409,IF(Atletas!P212="Wu 45 B",410,IF(Atletas!P212="Wu-Hao 46 B",411,IF(OR(Atletas!P212="Taijiquan 16 B",Atletas!P212="Taijiquan 24 B",Atletas!P212="Taijiquan 32 B",Atletas!P212="Taijiquan 42 B"),412,IF(OR(Atletas!P212="Yang 26 C",Atletas!P212="Yang 40 C"),413,IF(OR(Atletas!P212="Chen 25 C",Atletas!P212="Chen 36 C",Atletas!P212="Chen 56 C"),414,IF(Atletas!P212="Sun 73 C",415,IF(Atletas!P212="Wu 45 C",416,IF(Atletas!P212="Wu-Hao 46 C",417,IF(OR(Atletas!P212="Taijiquan 16 C",Atletas!P212="Taijiquan 24 C",Atletas!P212="Taijiquan 32 C",Atletas!P212="Taijiquan 42 C"),418,0)))))))))))))))))))</f>
        <v/>
      </c>
      <c r="BX221" s="50" t="str">
        <f>IF(Atletas!P212="","",IF(Atletas!X212&lt;&gt;"",10000,0)+IF(Atletas!B212="Feminino",1000,IF(Atletas!B212="Masculino",2000,""))+IF(OR(Atletas!P212="Yang 26 D",Atletas!P212="Yang 40 D"),419,IF(OR(Atletas!P212="Chen 25 D",Atletas!P212="Chen 36 D",Atletas!P212="Chen 56 D"),420,IF(Atletas!P212="Sun 73 D",421,IF(Atletas!P212="Wu 45 D",422,IF(Atletas!P212="Wu-Hao 46 D",423,IF(OR(Atletas!P212="Taijiquan 16 D",Atletas!P212="Taijiquan 24 D",Atletas!P212="Taijiquan 32 D",Atletas!P212="Taijiquan 42 D"),424,IF(OR(Atletas!P212="Yang 26 E",Atletas!P212="Yang 40 E"),425,IF(OR(Atletas!P212="Chen 25 E",Atletas!P212="Chen 36 E",Atletas!P212="Chen 56 E"),426,IF(Atletas!P212="Sun 73 E",427,IF(Atletas!P212="Wu 45 E",428,IF(Atletas!P212="Wu-Hao 46 E",429,IF(OR(Atletas!P212="Taijiquan 16 E",Atletas!P212="Taijiquan 24 E",Atletas!P212="Taijiquan 32 E",Atletas!P212="Taijiquan 42 E"),430,IF(OR(Atletas!P212="Yang 26 F",Atletas!P212="Yang 40 F"),431,IF(OR(Atletas!P212="Chen 25 F",Atletas!P212="Chen 36 F",Atletas!P212="Chen 56 F"),432,IF(Atletas!P212="Sun 73 F",433,IF(Atletas!P212="Wu 45 F",434,IF(Atletas!P212="Wu-Hao 46 F",435,IF(OR(Atletas!P212="Taijiquan 16 F",Atletas!P212="Taijiquan 24 F",Atletas!P212="Taijiquan 32 F",Atletas!P212="Taijiquan 42 F"),436,0)))))))))))))))))))</f>
        <v/>
      </c>
      <c r="BY221" s="50" t="str">
        <f>IF(Atletas!Q212="","",IF(Atletas!X212&lt;&gt;"",10000,0)+IF(Atletas!B212="Feminino",1000,IF(Atletas!B212="Masculino",2000,""))+IF(Atletas!Q212="Xingyiquan A",501,IF(Atletas!Q212="Baguazhang A",502,IF(Atletas!Q212="Outro Estilo Interno A",503,IF(Atletas!Q212="Xingyiquan B",504,IF(Atletas!Q212="Baguazhang B",505,IF(Atletas!Q212="Outro Estilo Interno B",506,IF(Atletas!Q212="Xingyiquan C",507,IF(Atletas!Q212="Baguazhang C",508,IF(Atletas!Q212="Outro Estilo Interno C",509,IF(Atletas!Q212="Xingyiquan D",510,IF(Atletas!Q212="Baguazhang D",511,IF(Atletas!Q212="Outro Estilo Interno D",512,IF(Atletas!Q212="Xingyiquan E",513,IF(Atletas!Q212="Baguazhang E",514,IF(Atletas!Q212="Outro Estilo Interno E",515,IF(Atletas!Q212="Xingyiquan F",516,IF(Atletas!Q212="Baguazhang F",517,IF(Atletas!Q212="Outro Estilo Interno F",518, "")))))))))))))))))))</f>
        <v/>
      </c>
      <c r="BZ221" s="50" t="str">
        <f>IF(Atletas!R212="","",IF(Atletas!X212&lt;&gt;"",10000,0)+IF(Atletas!B212="Feminino",1000,IF(Atletas!B212="Masculino",2000,""))+IF(Atletas!R212="Dao A",601,IF(Atletas!R212="Jian A",602,IF(Atletas!R212="Bishou A",603,IF(Atletas!R212="Shanzi A",604,IF(Atletas!R212="Outra Arma Curta A",605,IF(Atletas!R212="Dao B",606,IF(Atletas!R212="Jian B",607,IF(Atletas!R212="Bishou B",608,IF(Atletas!R212="Shanzi B",609,IF(Atletas!R212="Outra Arma Curta B",610,IF(Atletas!R212="Dao C",611,IF(Atletas!R212="Jian C",612,IF(Atletas!R212="Bishou C",613,IF(Atletas!R212="Shanzi C",614,IF(Atletas!R212="Outra Arma Curta C",615,IF(Atletas!R212="Dao D",616,IF(Atletas!R212="Jian D",617,IF(Atletas!R212="Bishou D",618,IF(Atletas!R212="Shanzi D",619,IF(Atletas!R212="Outra Arma Curta D",620,IF(Atletas!R212="Dao E",621,IF(Atletas!R212="Jian E",622,IF(Atletas!R212="Bishou E",623,IF(Atletas!R212="Shanzi E",624,IF(Atletas!R212="Outra Arma Curta E",625,IF(Atletas!R212="Dao F",626,IF(Atletas!R212="Jian F",627,IF(Atletas!R212="Bishou F",628,IF(Atletas!R212="Shanzi F",629,IF(Atletas!R212="Outra Arma Curta F",630, "")))))))))))))))))))))))))))))))</f>
        <v/>
      </c>
      <c r="CA221" s="50" t="str">
        <f>IF(Atletas!S212="","",IF(Atletas!X212&lt;&gt;"",10000,0)+IF(Atletas!B212="Feminino",1000,IF(Atletas!B212="Masculino",2000,""))+IF(Atletas!S212="Gun A",701,IF(Atletas!S212="Qiang A",702,IF(Atletas!S212="Pudao / Guandao A",703,IF(Atletas!S212="Outra Arma Longa A",704,IF(Atletas!S212="Gun B",705,IF(Atletas!S212="Qiang B",706,IF(Atletas!S212="Pudao / Guandao B",707,IF(Atletas!S212="Outra Arma Longa B",708,IF(Atletas!S212="Gun C",709,IF(Atletas!S212="Qiang C",710,IF(Atletas!S212="Pudao / Guandao C",711,IF(Atletas!S212="Outra Arma Longa C",712,IF(Atletas!S212="Gun D",713,IF(Atletas!S212="Qiang D",714,IF(Atletas!S212="Pudao / Guandao D",715,IF(Atletas!S212="Outra Arma Longa D",716,IF(Atletas!S212="Gun E",717,IF(Atletas!S212="Qiang E",718,IF(Atletas!S212="Pudao / Guandao E",719,IF(Atletas!S212="Outra Arma Longa E",720,IF(Atletas!S212="Gun F",721,IF(Atletas!S212="Qiang F",722,IF(Atletas!S212="Pudao / Guandao F",723,IF(Atletas!S212="Outra Arma Longa F",724,"")))))))))))))))))))))))))</f>
        <v/>
      </c>
      <c r="CB221" s="50" t="str">
        <f>IF(Atletas!T212="","",IF(Atletas!X212&lt;&gt;"",10000,0)+IF(Atletas!B212="Feminino",1000,IF(Atletas!B212="Masculino",2000,""))+IF(Atletas!T212="Outra Arma Dupla A",801,IF(Atletas!T212="Arma Maleável A",802,IF(Atletas!T212="Outra Arma Dupla B",803,IF(Atletas!T212="Arma Maleável B",804,IF(Atletas!T212="Outra Arma Dupla C",805,IF(Atletas!T212="Arma Maleável C",806,IF(Atletas!T212="Outra Arma Dupla D",807,IF(Atletas!T212="Arma Maleável D",808,IF(Atletas!T212="Outra Arma Dupla E",809,IF(Atletas!T212="Arma Maleável E",810,IF(Atletas!T212="Outra Arma Dupla F",811,IF(Atletas!T212="Arma Maleável F",812,IF(Atletas!T212="Shuangdao A",813,IF(Atletas!T212="Shuangdao B",814,IF(Atletas!T212="Shuangdao C",815,IF(Atletas!T212="Shuangdao D",816,IF(Atletas!T212="Shuangdao E",817,IF(Atletas!T212="Shuangdao F",818,"")))))))))))))))))))</f>
        <v/>
      </c>
      <c r="CC221" s="50" t="str">
        <f>IF(Atletas!U212="","",IF(Atletas!X212&lt;&gt;"",10000,0)+IF(Atletas!B212="Feminino",1000,IF(Atletas!B212="Masculino",2000,""))+IF(OR(Atletas!U212="Taijijian Yang A",Atletas!U212="Taijijian Yang Standard A"),901,IF(OR(Atletas!U212="Taijijian Chen A", Atletas!U212="Taijijian Chen Standard A"),902,IF(Atletas!U212="Taijijian Sun A",903,IF(Atletas!U212="Taijijian Wu A",904,IF(Atletas!U212="Taijijian Wu-Hao A",905,IF(OR(Atletas!U212="Taijijian 32 A",Atletas!U212="Taijijian 42 A"),906,IF(OR(Atletas!U212="Taijijian Yang B",Atletas!U212="Taijijian Yang Standard B"),907,IF(OR(Atletas!U212="Taijijian Chen B", Atletas!U212="Taijijian Chen Standard B"),908,IF(Atletas!U212="Taijijian Sun B",909,IF(Atletas!U212="Taijijian Wu B",910,IF(Atletas!U212="Taijijian Wu-Hao B",911,IF(OR(Atletas!U212="Taijijian 32 B",Atletas!U212="Taijijian 42 B"),912,IF(OR(Atletas!U212="Taijijian Yang C",Atletas!U212="Taijijian Yang Standard C"),913,IF(OR(Atletas!U212="Taijijian Chen C", Atletas!U212="Taijijian Chen Standard C"),914,IF(Atletas!U212="Taijijian Sun C",915,IF(Atletas!U212="Taijijian Wu C",916,IF(Atletas!U212="Taijijian Wu-Hao C",917,IF(OR(Atletas!U212="Taijijian 32 C",Atletas!U212="Taijijian 42 C"),918,IF(OR(Atletas!U212="Taijijian Yang D",Atletas!U212="Taijijian Yang Standard D"),919,IF(OR(Atletas!U212="Taijijian Chen D", Atletas!U212="Taijijian Chen Standard D"),920,IF(Atletas!U212="Taijijian Sun D",921,IF(Atletas!U212="Taijijian Wu D",922,IF(Atletas!U212="Taijijian Wu-Hao D",923,IF(OR(Atletas!U212="Taijijian 32 D",Atletas!U212="Taijijian 42 D"),924,IF(OR(Atletas!U212="Taijijian Yang E",Atletas!U212="Taijijian Yang Standard E"),925,IF(OR(Atletas!U212="Taijijian Chen E", Atletas!U212="Taijijian Chen Standard E"),926,IF(Atletas!U212="Taijijian Sun E",927,IF(Atletas!U212="Taijijian Wu E",928,IF(Atletas!U212="Taijijian Wu-Hao E",929,IF(OR(Atletas!U212="Taijijian 32 E",Atletas!U212="Taijijian 42 E"),930,IF(OR(Atletas!U212="Taijijian Yang F",Atletas!U212="Taijijian Yang Standard F"),931,IF(OR(Atletas!U212="Taijijian Chen F", Atletas!U212="Taijijian Chen Standard F"),932,IF(Atletas!U212="Taijijian Sun F",933,IF(Atletas!U212="Taijijian Wu F",934,IF(Atletas!U212="Taijijian Wu-Hao F",935,IF(OR(Atletas!U212="Taijijian 32 F",Atletas!U212="Taijijian 42 F"),936,"")))))))))))))))))))))))))))))))))))))</f>
        <v/>
      </c>
      <c r="CD221" s="50" t="str">
        <f>IF(Atletas!V212="","",IF(Atletas!X212&lt;&gt;"",10000,0)+IF(Atletas!B212="Feminino",1000,IF(Atletas!B212="Masculino",2000,""))+IF(Atletas!V212="Taijidao A",937,IF(Atletas!V212="TaijiShanzi A",938,IF(Atletas!V212="Taijiqiang A",939,IF(Atletas!V212="Bagua de Arma A",940,IF(Atletas!V212="Xingyi de Arma A",941,IF(Atletas!V212="Taijidao B",942,IF(Atletas!V212="TaijiShanzi B",943,IF(Atletas!V212="Taijiqiang B",944,IF(Atletas!V212="Bagua de Arma B",945,IF(Atletas!V212="Xingyi de Arma B",946,IF(Atletas!V212="Taijidao C",947,IF(Atletas!V212="TaijiShanzi C",948,IF(Atletas!V212="Taijiqiang C",949,IF(Atletas!V212="Bagua de Arma C",950,IF(Atletas!V212="Xingyi de Arma C",951,IF(Atletas!V212="Taijidao D",952,IF(Atletas!V212="TaijiShanzi D",953,IF(Atletas!V212="Taijiqiang D",954,IF(Atletas!V212="Bagua de Arma D",955,IF(Atletas!V212="Xingyi de Arma D",956,IF(Atletas!V212="Taijidao E",957,IF(Atletas!V212="TaijiShanzi E",958,IF(Atletas!V212="Taijiqiang E",959,IF(Atletas!V212="Bagua de Arma E",960,IF(Atletas!V212="Xingyi de Arma E",961,IF(Atletas!V212="Taijidao F",962,IF(Atletas!V212="TaijiShanzi F",963,IF(Atletas!V212="Taijiqiang F",964,IF(Atletas!V212="Bagua de Arma F",965,IF(Atletas!V212="Xingyi de Arma F",966,"")))))))))))))))))))))))))))))))</f>
        <v/>
      </c>
      <c r="CE221" s="66" t="str">
        <f>IF(CF221&lt;&gt;"","Baguazhang D ","")</f>
        <v/>
      </c>
      <c r="CF221" s="66" t="str">
        <f>IF(COUNTIF(BR:CD,1511)&gt;0,COUNTIF(BR:CD,1511),"")</f>
        <v/>
      </c>
      <c r="CG221" s="66" t="str">
        <f>IF(CH221&lt;&gt;"","Baguazhang D ","")</f>
        <v/>
      </c>
      <c r="CH221" s="66" t="str">
        <f>IF(COUNTIF(BR:CD,2511)&gt;0,COUNTIF(BR:CD,2511),"")</f>
        <v/>
      </c>
      <c r="CI221" s="66" t="str">
        <f>IF(CJ221&lt;&gt;"","Baguazhang F ","")</f>
        <v/>
      </c>
      <c r="CJ221" s="66" t="str">
        <f>IF(COUNTIF(BR:CD,11453)&gt;0,COUNTIF(BR:CD,11453),"")</f>
        <v/>
      </c>
      <c r="CK221" s="66" t="str">
        <f>IF(CL221&lt;&gt;"","Baguazhang F ","")</f>
        <v/>
      </c>
      <c r="CL221" s="66" t="str">
        <f>IF(COUNTIF(BR:CD,12453)&gt;0,COUNTIF(BR:CD,12453),"")</f>
        <v/>
      </c>
      <c r="CM221" s="50" t="str">
        <f xml:space="preserve"> IF(Atletas!W212="","",IF(Atletas!W212="Duilian de Mãos BC - Equipe 1",1,IF(Atletas!W212="Duilian de Mãos BC - Equipe 2",2,IF(Atletas!W212="Duilian de Armas BC - Equipe 1",3,IF(Atletas!W212="Duilian de Armas BC - Equipe 2",4,IF(Atletas!W212="Duilian de Mãos DE - Equipe 1",5,IF(Atletas!W212="Duilian de Mãos DE - Equipe 2",6,IF(Atletas!W212="Duilian de Armas DE - Equipe 1",7,IF(Atletas!W212="Duilian de Armas DE - Equipe 2",8,IF(Atletas!W212="Duilian de Tuishou - Equipe 1",9,IF(Atletas!W212="Duilian de Tuishou - Equipe 2",10,IF(Atletas!W212="Grupo Externo ABC - Equipe 1",11,IF(Atletas!W212="Grupo Externo ABC - Equipe 2",12,IF(Atletas!W212="Grupo Interno ABC - Equipe 1",13,IF(Atletas!W212="Grupo Interno ABC - Equipe 2",14,IF(Atletas!W212="Grupo Externo DEF - Equipe 1",15,IF(Atletas!W212="Grupo Externo DEF - Equipe 2",16,IF(Atletas!W212="Grupo Interno DEF - Equipe 1",17,IF(Atletas!W212="Grupo Interno DEF - Equipe 2",18,"")))))))))))))))))))</f>
        <v/>
      </c>
    </row>
    <row r="222" spans="2:91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 t="str">
        <f t="array" ref="Z222">IFERROR(INDEX(CE$7:CE$348,SMALL(IF(CE$7:CE$348&lt;&gt;"",ROW(CE$7:CE$348)-ROW(CE$7)+1),ROWS(CE$7:CE221))),"")</f>
        <v/>
      </c>
      <c r="AA222" s="3" t="str">
        <f t="array" ref="AA222">IFERROR(INDEX(CF$7:CF$348,SMALL(IF(CF$7:CF$348&lt;&gt;"",ROW(CF$7:CF$348)-ROW(CF$7)+1),ROWS(CF$7:CF221))),"")</f>
        <v/>
      </c>
      <c r="AB222" s="3" t="str">
        <f t="array" ref="AB222">IFERROR(INDEX(CG$7:CG$348,SMALL(IF(CG$7:CG$348&lt;&gt;"",ROW(CG$7:CG$348)-ROW(CG$7)+1),ROWS(CG$7:CG221))),"")</f>
        <v/>
      </c>
      <c r="AC222" s="3" t="str">
        <f t="array" ref="AC222">IFERROR(INDEX(CH$7:CH$348,SMALL(IF(CH$7:CH$348&lt;&gt;"",ROW(CH$7:CH$348)-ROW(CH$7)+1),ROWS(CH$7:CH221))),"")</f>
        <v/>
      </c>
      <c r="AD222" s="3" t="str">
        <f t="array" ref="AD222">IFERROR(INDEX(CI$7:CI$377,SMALL(IF(CI$7:CI$377&lt;&gt;"",ROW(CI$7:CI$377)-ROW(CI$7)+1),ROWS(CI$7:CI221))),"")</f>
        <v/>
      </c>
      <c r="AE222" s="3" t="str">
        <f t="array" ref="AE222">IFERROR(INDEX(CJ$7:CJ$378,SMALL(IF(CJ$7:CJ$378&lt;&gt;"",ROW(CJ$7:CJ$378)-ROW(CJ$7)+1),ROWS(CJ$7:CJ221))),"")</f>
        <v/>
      </c>
      <c r="AF222" s="3" t="str">
        <f t="array" ref="AF222">IFERROR(INDEX(CK$7:CK$378,SMALL(IF(CK$7:CK$378&lt;&gt;"",ROW(CK$7:CK$378)-ROW(CK$7)+1),ROWS(CK$7:CK221))),"")</f>
        <v/>
      </c>
      <c r="AG222" s="3" t="str">
        <f t="array" ref="AG222">IFERROR(INDEX(CL$7:CL$378,SMALL(IF(CL$7:CL$378&lt;&gt;"",ROW(CL$7:CL$378)-ROW(CL$7)+1),ROWS(CL$7:CL221))),"")</f>
        <v/>
      </c>
      <c r="AH222" s="3"/>
      <c r="AI222" s="3"/>
      <c r="AJ222" s="3"/>
      <c r="AK222" s="3"/>
      <c r="AL222" s="3"/>
      <c r="AM222" s="3"/>
      <c r="AN222" s="52" t="str">
        <f>IF(Atletas!D213="","",IF(Atletas!B213="Feminino",100,IF(Atletas!B213="Masculino",200,""))+(IF(Atletas!D213="Kids 30kg",1,IF(Atletas!D213="Kids 32kg",2, IF(Atletas!D213="Kids 34kg",3,IF(Atletas!D213="Kids 36kg",4,IF(Atletas!D213="Kids 39kg",5,IF(Atletas!D213="Kids 42kg",6,IF(Atletas!D213="Kids 45kg",7, IF(Atletas!D213="Infantil 39kg",8,IF(Atletas!D213="Infantil 42kg",9,IF(Atletas!D213="Infantil 45kg",10,IF(Atletas!D213="Infantil 48kg",11,IF(Atletas!D213="Infantil 52kg",12,IF(Atletas!D213="Infantil 56kg",13,IF(Atletas!D213="Infantil 60kg",14,IF(Atletas!D213="Juvenil 48kg",15,IF(Atletas!D213="Juvenil 52kg",16,IF(Atletas!D213="Juvenil 56kg",17,IF(Atletas!D213="Juvenil 60kg",18,IF(Atletas!D213="Juvenil 65kg",19,IF(Atletas!D213="Juvenil 70kg",20,IF(Atletas!D213="Juvenil 75kg",21,IF(Atletas!D213="Juvenil 80kg",22, IF(Atletas!D213="Juvenil 85kg",23,IF(Atletas!D213="Adulto 48kg",24,IF(Atletas!D213="Adulto 52kg",25,IF(Atletas!D213="Adulto 56kg",26,IF(Atletas!D213="Adulto 60kg",27,IF(Atletas!D213="Adulto 65kg",28,IF(Atletas!D213="Adulto 70kg",29,IF(Atletas!D213="Adulto 75kg",30,IF(Atletas!D213="Adulto 80kg",31,IF(Atletas!D213="Adulto 85kg",32,IF(Atletas!D213="Adulto 90kg",33,IF(Atletas!D213="Adulto 100kg",34, IF(Atletas!D213="Adulto +100kg",35,"")))))))))))))))))))))))))))))))))))))</f>
        <v/>
      </c>
      <c r="AS222" s="6" t="str">
        <f>IF(Atletas!E213="","",IF(Atletas!B213="Feminino",100,IF(Atletas!B213="Masculino",200,""))+(IF(Atletas!E213="Juvenil 44kg",1,IF(Atletas!E213="Juvenil 48kg",2,IF(Atletas!E213="Juvenil 52kg",3,IF(Atletas!E213="Juvenil 56kg",4,IF(Atletas!E213="Juvenil 60kg",5,IF(Atletas!E213="Juvenil 65kg",6,IF(Atletas!E213="Juvenil 70kg",7,IF(Atletas!E213="Juvenil 75kg",8,IF(Atletas!E213="Juvenil 82kg",9,IF(Atletas!E213="Juvenil 90kg",10,IF(Atletas!E213="Juvenil 100kg",11,IF(Atletas!E213="Adulto 48kg",12,IF(Atletas!E213="Adulto 52kg",13,IF(Atletas!E213="Adulto 56kg",14,IF(Atletas!E213="Adulto 60kg",15,IF(Atletas!E213="Adulto 65kg",16,IF(Atletas!E213="Adulto 70kg",17,IF(Atletas!E213="Adulto 75kg",18,IF(Atletas!E213="Adulto 82kg",19,IF(Atletas!E213="Adulto 90kg",20,IF(Atletas!E213="Adulto 100kg",21,IF(Atletas!E213="Adulto +100kg",22,""))))))))))))))))))))))))</f>
        <v/>
      </c>
      <c r="AX222" s="6" t="str">
        <f>IF(Atletas!F213="","",IF(Atletas!B213="Feminino",100,IF(Atletas!B213="Masculino",200,""))+(IF(Atletas!F213="Adulto 48kg",1,IF(Atletas!F213="Adulto 56kg",2,IF(Atletas!F213="Adulto 65kg",3,IF(Atletas!F213="Adulto 75kg",4,IF(Atletas!F213="Adulto +75kg",5,IF(Atletas!F213="Adulto 52kg",6,IF(Atletas!F213="Adulto 60kg",7,IF(Atletas!F213="Adulto 70kg",8,IF(Atletas!F213="Adulto 80kg",9,IF(Atletas!F213="Adulto 90kg",10,IF(Atletas!F213="Adulto +90kg",11,"")))))))))))))</f>
        <v/>
      </c>
      <c r="BC222" s="6" t="str">
        <f>IF(Atletas!G213="","",IF(Atletas!B213="Feminino",10,IF(Atletas!B213="Masculino",20,""))+(IF(Atletas!G213="Baduanjin A",1,IF(Atletas!G213="Baduanjin B",2))))</f>
        <v/>
      </c>
      <c r="BF222" s="52" t="str">
        <f>IF(Atletas!H213="","",IF(Atletas!B213="Feminino",100,IF(Atletas!B213="Masculino",200,""))+(IF(Atletas!H213="Changquan Mirim",1,IF(Atletas!H213="Nanquan Mirim",2,IF(Atletas!H213="Taijiquan Mirim",3,IF(Atletas!H213="Changquan Grupo C",4,IF(Atletas!H213="Nanquan Grupo C",5,IF(Atletas!H213="Taijiquan Grupo C",6,IF(Atletas!H213="Changquan Grupo B",7,IF(Atletas!H213="Nanquan Grupo B",8,IF(Atletas!H213="Taijiquan Grupo B",9,IF(Atletas!H213="Changquan Grupo A",10,IF(Atletas!H213="Nanquan Grupo A",11,IF(Atletas!H213="Taijiquan Grupo A",12,IF(Atletas!H213="Changquan Opcional",13,IF(Atletas!H213="Nanquan Opcional",14,IF(Atletas!H213="Taijiquan Opcional",15,IF(Atletas!H213="Changquan Adulto",16,IF(Atletas!H213="Nanquan Adulto",17,IF(Atletas!H213="Taijiquan Adulto",18,""))))))))))))))))))))</f>
        <v/>
      </c>
      <c r="BG222" s="52" t="str">
        <f>IF(Atletas!I213="","",IF(Atletas!B213="Feminino",100,IF(Atletas!B213="Masculino",200,""))+(IF(Atletas!I213="Daoshu Mirim",19,IF(Atletas!I213="Jianshu Mirim",20,IF(Atletas!I213="Nandao Mirim",21,IF(Atletas!I213="Taijijian Mirim",22,IF(Atletas!I213="Daoshu Grupo C",23,IF(Atletas!I213="Jianshu Grupo C",24,IF(Atletas!I213="Nandao Grupo C",25,IF(Atletas!I213="Taijijian Grupo C",26,IF(Atletas!I213="Daoshu Grupo B",27,IF(Atletas!I213="Jianshu Grupo B",28,IF(Atletas!I213="Nandao Grupo B",29,IF(Atletas!I213="Taijijian Grupo B",30,IF(Atletas!I213="Daoshu Grupo A",31,IF(Atletas!I213="Jianshu Grupo A",32,IF(Atletas!I213="Nandao Grupo A",33,IF(Atletas!I213="Taijijian Grupo A",34,IF(Atletas!I213="Daoshu Opcional",35,IF(Atletas!I213="Jianshu Opcional",36,IF(Atletas!I213="Nandao Opcional",37,IF(Atletas!I213="Taijijian Opcional",38,IF(Atletas!I213="Daoshu Adulto",39,IF(Atletas!I213="Jianshu Adulto",40,IF(Atletas!I213="Nandao Adulto",41,IF(Atletas!I213="Taijijian Adulto",42,""))))))))))))))))))))))))))</f>
        <v/>
      </c>
      <c r="BH222" s="52" t="str">
        <f>IF(Atletas!J213="","",IF(Atletas!B213="Feminino",100,IF(Atletas!B213="Masculino",200,""))+(IF(Atletas!J213="Gunshu Mirim",43,IF(Atletas!J213="Qiangshu Mirim",44,IF(Atletas!J213="Nangun Mirim",45,IF(Atletas!J213="Gunshu Grupo C",46,IF(Atletas!J213="Qiangshu Grupo C",47,IF(Atletas!J213="Nangun Grupo C",48,IF(Atletas!J213="Gunshu Grupo B",49,IF(Atletas!J213="Qiangshu Grupo B",50,IF(Atletas!J213="Nangun Grupo B",51,IF(Atletas!J213="Gunshu Grupo A",52,IF(Atletas!J213="Qiangshu Grupo A",53,IF(Atletas!J213="Nangun Grupo A",54,IF(Atletas!J213="Gunshu Opcional",55,IF(Atletas!J213="Qiangshu Opcional",56,IF(Atletas!J213="Nangun Opcional",57,IF(Atletas!J213="Gunshu Adulto",58,IF(Atletas!J213="Qiangshu Adulto",59,IF(Atletas!J213="Nangun Adulto",60,IF(Atletas!J213="Taijishan Grupo B",61,IF(Atletas!J213="Taijishan Grupo A",62,""))))))))))))))))))))))</f>
        <v/>
      </c>
      <c r="BM222" s="50" t="str">
        <f>IF(Atletas!K213="","",IF(Atletas!B213="Feminino",100,IF(Atletas!B213="Masculino",200,""))+(IF(Atletas!K213="Equipe 1 Grupo B",1,IF(Atletas!K213="Equipe 2 Grupo B",2,IF(Atletas!K213="Equipe 1 Grupo A",3,IF(Atletas!K213="Equipe 2 Grupo A",4,IF(Atletas!K213="Equipe 1 Adulto",5,IF(Atletas!K213="Equipe 2 Adulto",6,""))))))))</f>
        <v/>
      </c>
      <c r="BR222" s="50" t="str">
        <f>IF(Atletas!L213="","",IF(Atletas!X213&lt;&gt;"",10000,0)+(IF(Atletas!B213="Feminino",1000,IF(Atletas!B213="Masculino",2000,""))+IF(Atletas!L213="Choylayfut A",1,IF(Atletas!L213="Hunggar A",2,IF(Atletas!L213="Wuzuquan A",3,IF(Atletas!L213="Wingchun A",4,IF(Atletas!L213="Outra Mão de Sul A",5,IF(Atletas!L213="Choylayfut B",6,IF(Atletas!L213="Hunggar B",7,IF(Atletas!L213="Wuzuquan B",8,IF(Atletas!L213="Wingchun B",9,IF(Atletas!L213="Outra Mão de Sul B",10,IF(Atletas!L213="Choylayfut C",11,IF(Atletas!L213="Hunggar C",12,IF(Atletas!L213="Wuzuquan C",13,IF(Atletas!L213="Wingchun C",14,IF(Atletas!L213="Outra Mão de Sul C",15,IF(Atletas!L213="Choylayfut D",16,IF(Atletas!L213="Hunggar D",17,IF(Atletas!L213="Wuzuquan D",18,IF(Atletas!L213="Wingchun D",19,IF(Atletas!L213="Outra Mão de Sul D",20,IF(Atletas!L213="Choylayfut E",21,IF(Atletas!L213="Hunggar E",22,IF(Atletas!L213="Wuzuquan E",23,IF(Atletas!L213="Wingchun E",24,IF(Atletas!L213="Outra Mão de Sul E",25,IF(Atletas!L213="Choylayfut F",26,IF(Atletas!L213="Hunggar F",27,IF(Atletas!L213="Wuzuquan F",28,IF(Atletas!L213="Wingchun F",29,IF(Atletas!L213="Outra Mão de Sul F",30,IF(Atletas!L213="Dishuquan A",31,IF(Atletas!L213="Dishuquan B",32,IF(Atletas!L213="Dishuquan C",33,IF(Atletas!L213="Dishuquan D",34,IF(Atletas!L213="Dishuquan E",35,IF(Atletas!L213="Dishuquan F",36,""))))))))))))))))))))))))))))))))))))))</f>
        <v/>
      </c>
      <c r="BS222" s="50" t="str">
        <f>IF(Atletas!M213="","",IF(Atletas!X213&lt;&gt;"",10000,0)+(IF(Atletas!B213="Feminino",1000,IF(Atletas!B213="Masculino",2000,""))+(IF(Atletas!M213="Chaquan A",101,IF(Atletas!M213="Emeiquan A",102,IF(Atletas!M213="Fanziquan A",103,IF(Atletas!M213="Huaquan A",104,IF(Atletas!M213="Hongquan A",105,IF(Atletas!M213="Paoquan A",106,IF(Atletas!M213="Piguaquan A",107,IF(Atletas!M213="Shaolinquan A",108,IF(Atletas!M213="Tanglangquan A",109,IF(Atletas!M213="Yingzhaoquan A",110,IF(Atletas!M213="Tongbeiquan A",111,IF(Atletas!M213="Wudangquan A",112,IF(Atletas!M213="Outros Estilos A",113,IF(Atletas!M213="Chaquan B",114,IF(Atletas!M213="Emeiquan B",115,IF(Atletas!M213="Fanziquan B",116,IF(Atletas!M213="Huaquan B",117,IF(Atletas!M213="Hongquan B",118,IF(Atletas!M213="Paoquan B",119,IF(Atletas!M213="Piguaquan B",120,IF(Atletas!M213="Shaolinquan B",121,IF(Atletas!M213="Tanglangquan B",122,IF(Atletas!M213="Yingzhaoquan B",123,IF(Atletas!M213="Tongbeiquan B",124,IF(Atletas!M213="Wudangquan B",125,IF(Atletas!M213="Outros Estilos B",126,IF(Atletas!M213="Chaquan C",127,IF(Atletas!M213="Emeiquan C",128,IF(Atletas!M213="Fanziquan C",129,IF(Atletas!M213="Huaquan C",130,IF(Atletas!M213="Hongquan C",131,IF(Atletas!M213="Paoquan C",132,IF(Atletas!M213="Piguaquan C",133,IF(Atletas!M213="Shaolinquan C",134,IF(Atletas!M213="Tanglangquan C",135,IF(Atletas!M213="Yingzhaoquan C",136,IF(Atletas!M213="Tongbeiquan C",137,IF(Atletas!M213="Wudangquan C",138,IF(Atletas!M213="Outros Estilos C",139,0))))))))))))))))))))))))))))))))))))))))))</f>
        <v/>
      </c>
      <c r="BT222" s="50" t="str">
        <f>IF(Atletas!M213="","",IF(Atletas!X213&lt;&gt;"",10000,0)+(IF(Atletas!B213="Feminino",1000,IF(Atletas!B213="Masculino",2000,""))+(IF(Atletas!M213="Chaquan D",140,IF(Atletas!M213="Emeiquan D",141,IF(Atletas!M213="Fanziquan D",142,IF(Atletas!M213="Huaquan D",143,IF(Atletas!M213="Hongquan D",144,IF(Atletas!M213="Paoquan D",145,IF(Atletas!M213="Piguaquan D",146,IF(Atletas!M213="Shaolinquan D",147,IF(Atletas!M213="Tanglangquan D",148,IF(Atletas!M213="Yingzhaoquan D",149,IF(Atletas!M213="Tongbeiquan D",150,IF(Atletas!M213="Wudangquan D",151,IF(Atletas!M213="Outros Estilos D",152,IF(Atletas!M213="Chaquan E",153,IF(Atletas!M213="Emeiquan E",154,IF(Atletas!M213="Fanziquan E",155,IF(Atletas!M213="Huaquan E",156,IF(Atletas!M213="Hongquan E",157,IF(Atletas!M213="Paoquan E",158,IF(Atletas!M213="Piguaquan E",159,IF(Atletas!M213="Shaolinquan E",160,IF(Atletas!M213="Tanglangquan E",161,IF(Atletas!M213="Yingzhaoquan E",162,IF(Atletas!M213="Tongbeiquan E",163,IF(Atletas!M213="Wudangquan E",164,IF(Atletas!M213="Outros Estilos E",165,IF(Atletas!M213="Chaquan F",166,IF(Atletas!M213="Emeiquan F",167,IF(Atletas!M213="Fanziquan F",168,IF(Atletas!M213="Huaquan F",169,IF(Atletas!M213="Hongquan F",170,IF(Atletas!M213="Paoquan F",171,IF(Atletas!M213="Piguaquan F",172,IF(Atletas!M213="Shaolinquan F",173,IF(Atletas!M213="Tanglangquan F",174,IF(Atletas!M213="Yingzhaoquan F",175,IF(Atletas!M213="Tongbeiquan F",176,IF(Atletas!M213="Wudangquan F",177,IF(Atletas!M213="Outros Estilos F",178,0))))))))))))))))))))))))))))))))))))))))))</f>
        <v/>
      </c>
      <c r="BU222" s="50" t="str">
        <f>IF(Atletas!N213="","",IF(Atletas!X213&lt;&gt;"",10000,0)+(IF(Atletas!B213="Feminino",1000,IF(Atletas!B213="Masculino",2000,""))+(IF(Atletas!N213="Ditangquan A",201,IF(Atletas!N213="Houquan A",202,IF(Atletas!N213="Zuiquan A",203,IF(Atletas!N213="Ditangquan B",204,IF(Atletas!N213="Houquan B",205,IF(Atletas!N213="Zuiquan B",206,IF(Atletas!N213="Ditangquan C",207,IF(Atletas!N213="Houquan C",208,IF(Atletas!N213="Zuiquan C",209,IF(Atletas!N213="Ditangquan D",210,IF(Atletas!N213="Houquan D",211,IF(Atletas!N213="Zuiquan D",212,IF(Atletas!N213="Ditangquan E",213,IF(Atletas!N213="Houquan E",214,IF(Atletas!N213="Zuiquan E",215,IF(Atletas!N213="Ditangquan F",216,IF(Atletas!N213="Houquan F",217,IF(Atletas!N213="Zuiquan F",218,"")))))))))))))))))))))</f>
        <v/>
      </c>
      <c r="BV222" s="50" t="str">
        <f>IF(Atletas!O213="","",IF(Atletas!X213&lt;&gt;"",10000,0)+IF(Atletas!B213="Feminino",1000,IF(Atletas!B213="Masculino",2000,""))+IF(Atletas!O213="Yang A",301,IF(Atletas!O213="Chen A",302,IF(Atletas!O213="Sun A",303,IF(Atletas!O213="Wu A",304,IF(Atletas!O213="Wu-Hao A",305,IF(Atletas!O213="Outro Taijiquan A",306,IF(Atletas!O213="Yang B",307,IF(Atletas!O213="Chen B",308,IF(Atletas!O213="Sun B",309,IF(Atletas!O213="Wu B",310,IF(Atletas!O213="Wu-Hao B",311,IF(Atletas!O213="Outro Taijiquan B",312,IF(Atletas!O213="Yang C",313,IF(Atletas!O213="Chen C",314,IF(Atletas!O213="Sun C",315,IF(Atletas!O213="Wu C",316,IF(Atletas!O213="Wu-Hao C",317,IF(Atletas!O213="Outro Taijiquan C",318,IF(Atletas!O213="Yang D",319,IF(Atletas!O213="Chen D",320,IF(Atletas!O213="Sun D",321,IF(Atletas!O213="Wu D",322,IF(Atletas!O213="Wu-Hao D",323,IF(Atletas!O213="Outro Taijiquan D",324,IF(Atletas!O213="Yang E",325,IF(Atletas!O213="Chen E",326,IF(Atletas!O213="Sun E",327,IF(Atletas!O213="Wu E",328,IF(Atletas!O213="Wu-Hao E",329,IF(Atletas!O213="Outro Taijiquan E",330,IF(Atletas!O213="Yang F",331,IF(Atletas!O213="Chen F",332,IF(Atletas!O213="Sun F",333,IF(Atletas!O213="Wu F",334,IF(Atletas!O213="Wu-Hao F",335,IF(Atletas!O213="Outro Taijiquan F",336,"")))))))))))))))))))))))))))))))))))))</f>
        <v/>
      </c>
      <c r="BW222" s="50" t="str">
        <f>IF(Atletas!P213="","",IF(Atletas!X213&lt;&gt;"",10000,0)+IF(Atletas!B213="Feminino",1000,IF(Atletas!B213="Masculino",2000,""))+IF(OR(Atletas!P213="Yang 26 A",Atletas!P213="Yang 40 A"),401,IF(OR(Atletas!P213="Chen 25 A",Atletas!P213="Chen 36 A",Atletas!P213="Chen 56 A"),402,IF(Atletas!P213="Sun 73 A",403,IF(Atletas!P213="Wu 45 A",404,IF(Atletas!P213="Wu-Hao 46 A",405,IF(OR(Atletas!P213="Taijiquan 16 A",Atletas!P213="Taijiquan 24 A",Atletas!P213="Taijiquan 32 A",Atletas!P213="Taijiquan 42 A"),406,IF(OR(Atletas!P213="Yang 26 B",Atletas!P213="Yang 40 B"),407,IF(OR(Atletas!P213="Chen 25 B",Atletas!P213="Chen 36 B",Atletas!P213="Chen 56 B"),408,IF(Atletas!P213="Sun 73 B",409,IF(Atletas!P213="Wu 45 B",410,IF(Atletas!P213="Wu-Hao 46 B",411,IF(OR(Atletas!P213="Taijiquan 16 B",Atletas!P213="Taijiquan 24 B",Atletas!P213="Taijiquan 32 B",Atletas!P213="Taijiquan 42 B"),412,IF(OR(Atletas!P213="Yang 26 C",Atletas!P213="Yang 40 C"),413,IF(OR(Atletas!P213="Chen 25 C",Atletas!P213="Chen 36 C",Atletas!P213="Chen 56 C"),414,IF(Atletas!P213="Sun 73 C",415,IF(Atletas!P213="Wu 45 C",416,IF(Atletas!P213="Wu-Hao 46 C",417,IF(OR(Atletas!P213="Taijiquan 16 C",Atletas!P213="Taijiquan 24 C",Atletas!P213="Taijiquan 32 C",Atletas!P213="Taijiquan 42 C"),418,0)))))))))))))))))))</f>
        <v/>
      </c>
      <c r="BX222" s="50" t="str">
        <f>IF(Atletas!P213="","",IF(Atletas!X213&lt;&gt;"",10000,0)+IF(Atletas!B213="Feminino",1000,IF(Atletas!B213="Masculino",2000,""))+IF(OR(Atletas!P213="Yang 26 D",Atletas!P213="Yang 40 D"),419,IF(OR(Atletas!P213="Chen 25 D",Atletas!P213="Chen 36 D",Atletas!P213="Chen 56 D"),420,IF(Atletas!P213="Sun 73 D",421,IF(Atletas!P213="Wu 45 D",422,IF(Atletas!P213="Wu-Hao 46 D",423,IF(OR(Atletas!P213="Taijiquan 16 D",Atletas!P213="Taijiquan 24 D",Atletas!P213="Taijiquan 32 D",Atletas!P213="Taijiquan 42 D"),424,IF(OR(Atletas!P213="Yang 26 E",Atletas!P213="Yang 40 E"),425,IF(OR(Atletas!P213="Chen 25 E",Atletas!P213="Chen 36 E",Atletas!P213="Chen 56 E"),426,IF(Atletas!P213="Sun 73 E",427,IF(Atletas!P213="Wu 45 E",428,IF(Atletas!P213="Wu-Hao 46 E",429,IF(OR(Atletas!P213="Taijiquan 16 E",Atletas!P213="Taijiquan 24 E",Atletas!P213="Taijiquan 32 E",Atletas!P213="Taijiquan 42 E"),430,IF(OR(Atletas!P213="Yang 26 F",Atletas!P213="Yang 40 F"),431,IF(OR(Atletas!P213="Chen 25 F",Atletas!P213="Chen 36 F",Atletas!P213="Chen 56 F"),432,IF(Atletas!P213="Sun 73 F",433,IF(Atletas!P213="Wu 45 F",434,IF(Atletas!P213="Wu-Hao 46 F",435,IF(OR(Atletas!P213="Taijiquan 16 F",Atletas!P213="Taijiquan 24 F",Atletas!P213="Taijiquan 32 F",Atletas!P213="Taijiquan 42 F"),436,0)))))))))))))))))))</f>
        <v/>
      </c>
      <c r="BY222" s="50" t="str">
        <f>IF(Atletas!Q213="","",IF(Atletas!X213&lt;&gt;"",10000,0)+IF(Atletas!B213="Feminino",1000,IF(Atletas!B213="Masculino",2000,""))+IF(Atletas!Q213="Xingyiquan A",501,IF(Atletas!Q213="Baguazhang A",502,IF(Atletas!Q213="Outro Estilo Interno A",503,IF(Atletas!Q213="Xingyiquan B",504,IF(Atletas!Q213="Baguazhang B",505,IF(Atletas!Q213="Outro Estilo Interno B",506,IF(Atletas!Q213="Xingyiquan C",507,IF(Atletas!Q213="Baguazhang C",508,IF(Atletas!Q213="Outro Estilo Interno C",509,IF(Atletas!Q213="Xingyiquan D",510,IF(Atletas!Q213="Baguazhang D",511,IF(Atletas!Q213="Outro Estilo Interno D",512,IF(Atletas!Q213="Xingyiquan E",513,IF(Atletas!Q213="Baguazhang E",514,IF(Atletas!Q213="Outro Estilo Interno E",515,IF(Atletas!Q213="Xingyiquan F",516,IF(Atletas!Q213="Baguazhang F",517,IF(Atletas!Q213="Outro Estilo Interno F",518, "")))))))))))))))))))</f>
        <v/>
      </c>
      <c r="BZ222" s="50" t="str">
        <f>IF(Atletas!R213="","",IF(Atletas!X213&lt;&gt;"",10000,0)+IF(Atletas!B213="Feminino",1000,IF(Atletas!B213="Masculino",2000,""))+IF(Atletas!R213="Dao A",601,IF(Atletas!R213="Jian A",602,IF(Atletas!R213="Bishou A",603,IF(Atletas!R213="Shanzi A",604,IF(Atletas!R213="Outra Arma Curta A",605,IF(Atletas!R213="Dao B",606,IF(Atletas!R213="Jian B",607,IF(Atletas!R213="Bishou B",608,IF(Atletas!R213="Shanzi B",609,IF(Atletas!R213="Outra Arma Curta B",610,IF(Atletas!R213="Dao C",611,IF(Atletas!R213="Jian C",612,IF(Atletas!R213="Bishou C",613,IF(Atletas!R213="Shanzi C",614,IF(Atletas!R213="Outra Arma Curta C",615,IF(Atletas!R213="Dao D",616,IF(Atletas!R213="Jian D",617,IF(Atletas!R213="Bishou D",618,IF(Atletas!R213="Shanzi D",619,IF(Atletas!R213="Outra Arma Curta D",620,IF(Atletas!R213="Dao E",621,IF(Atletas!R213="Jian E",622,IF(Atletas!R213="Bishou E",623,IF(Atletas!R213="Shanzi E",624,IF(Atletas!R213="Outra Arma Curta E",625,IF(Atletas!R213="Dao F",626,IF(Atletas!R213="Jian F",627,IF(Atletas!R213="Bishou F",628,IF(Atletas!R213="Shanzi F",629,IF(Atletas!R213="Outra Arma Curta F",630, "")))))))))))))))))))))))))))))))</f>
        <v/>
      </c>
      <c r="CA222" s="50" t="str">
        <f>IF(Atletas!S213="","",IF(Atletas!X213&lt;&gt;"",10000,0)+IF(Atletas!B213="Feminino",1000,IF(Atletas!B213="Masculino",2000,""))+IF(Atletas!S213="Gun A",701,IF(Atletas!S213="Qiang A",702,IF(Atletas!S213="Pudao / Guandao A",703,IF(Atletas!S213="Outra Arma Longa A",704,IF(Atletas!S213="Gun B",705,IF(Atletas!S213="Qiang B",706,IF(Atletas!S213="Pudao / Guandao B",707,IF(Atletas!S213="Outra Arma Longa B",708,IF(Atletas!S213="Gun C",709,IF(Atletas!S213="Qiang C",710,IF(Atletas!S213="Pudao / Guandao C",711,IF(Atletas!S213="Outra Arma Longa C",712,IF(Atletas!S213="Gun D",713,IF(Atletas!S213="Qiang D",714,IF(Atletas!S213="Pudao / Guandao D",715,IF(Atletas!S213="Outra Arma Longa D",716,IF(Atletas!S213="Gun E",717,IF(Atletas!S213="Qiang E",718,IF(Atletas!S213="Pudao / Guandao E",719,IF(Atletas!S213="Outra Arma Longa E",720,IF(Atletas!S213="Gun F",721,IF(Atletas!S213="Qiang F",722,IF(Atletas!S213="Pudao / Guandao F",723,IF(Atletas!S213="Outra Arma Longa F",724,"")))))))))))))))))))))))))</f>
        <v/>
      </c>
      <c r="CB222" s="50" t="str">
        <f>IF(Atletas!T213="","",IF(Atletas!X213&lt;&gt;"",10000,0)+IF(Atletas!B213="Feminino",1000,IF(Atletas!B213="Masculino",2000,""))+IF(Atletas!T213="Outra Arma Dupla A",801,IF(Atletas!T213="Arma Maleável A",802,IF(Atletas!T213="Outra Arma Dupla B",803,IF(Atletas!T213="Arma Maleável B",804,IF(Atletas!T213="Outra Arma Dupla C",805,IF(Atletas!T213="Arma Maleável C",806,IF(Atletas!T213="Outra Arma Dupla D",807,IF(Atletas!T213="Arma Maleável D",808,IF(Atletas!T213="Outra Arma Dupla E",809,IF(Atletas!T213="Arma Maleável E",810,IF(Atletas!T213="Outra Arma Dupla F",811,IF(Atletas!T213="Arma Maleável F",812,IF(Atletas!T213="Shuangdao A",813,IF(Atletas!T213="Shuangdao B",814,IF(Atletas!T213="Shuangdao C",815,IF(Atletas!T213="Shuangdao D",816,IF(Atletas!T213="Shuangdao E",817,IF(Atletas!T213="Shuangdao F",818,"")))))))))))))))))))</f>
        <v/>
      </c>
      <c r="CC222" s="50" t="str">
        <f>IF(Atletas!U213="","",IF(Atletas!X213&lt;&gt;"",10000,0)+IF(Atletas!B213="Feminino",1000,IF(Atletas!B213="Masculino",2000,""))+IF(OR(Atletas!U213="Taijijian Yang A",Atletas!U213="Taijijian Yang Standard A"),901,IF(OR(Atletas!U213="Taijijian Chen A", Atletas!U213="Taijijian Chen Standard A"),902,IF(Atletas!U213="Taijijian Sun A",903,IF(Atletas!U213="Taijijian Wu A",904,IF(Atletas!U213="Taijijian Wu-Hao A",905,IF(OR(Atletas!U213="Taijijian 32 A",Atletas!U213="Taijijian 42 A"),906,IF(OR(Atletas!U213="Taijijian Yang B",Atletas!U213="Taijijian Yang Standard B"),907,IF(OR(Atletas!U213="Taijijian Chen B", Atletas!U213="Taijijian Chen Standard B"),908,IF(Atletas!U213="Taijijian Sun B",909,IF(Atletas!U213="Taijijian Wu B",910,IF(Atletas!U213="Taijijian Wu-Hao B",911,IF(OR(Atletas!U213="Taijijian 32 B",Atletas!U213="Taijijian 42 B"),912,IF(OR(Atletas!U213="Taijijian Yang C",Atletas!U213="Taijijian Yang Standard C"),913,IF(OR(Atletas!U213="Taijijian Chen C", Atletas!U213="Taijijian Chen Standard C"),914,IF(Atletas!U213="Taijijian Sun C",915,IF(Atletas!U213="Taijijian Wu C",916,IF(Atletas!U213="Taijijian Wu-Hao C",917,IF(OR(Atletas!U213="Taijijian 32 C",Atletas!U213="Taijijian 42 C"),918,IF(OR(Atletas!U213="Taijijian Yang D",Atletas!U213="Taijijian Yang Standard D"),919,IF(OR(Atletas!U213="Taijijian Chen D", Atletas!U213="Taijijian Chen Standard D"),920,IF(Atletas!U213="Taijijian Sun D",921,IF(Atletas!U213="Taijijian Wu D",922,IF(Atletas!U213="Taijijian Wu-Hao D",923,IF(OR(Atletas!U213="Taijijian 32 D",Atletas!U213="Taijijian 42 D"),924,IF(OR(Atletas!U213="Taijijian Yang E",Atletas!U213="Taijijian Yang Standard E"),925,IF(OR(Atletas!U213="Taijijian Chen E", Atletas!U213="Taijijian Chen Standard E"),926,IF(Atletas!U213="Taijijian Sun E",927,IF(Atletas!U213="Taijijian Wu E",928,IF(Atletas!U213="Taijijian Wu-Hao E",929,IF(OR(Atletas!U213="Taijijian 32 E",Atletas!U213="Taijijian 42 E"),930,IF(OR(Atletas!U213="Taijijian Yang F",Atletas!U213="Taijijian Yang Standard F"),931,IF(OR(Atletas!U213="Taijijian Chen F", Atletas!U213="Taijijian Chen Standard F"),932,IF(Atletas!U213="Taijijian Sun F",933,IF(Atletas!U213="Taijijian Wu F",934,IF(Atletas!U213="Taijijian Wu-Hao F",935,IF(OR(Atletas!U213="Taijijian 32 F",Atletas!U213="Taijijian 42 F"),936,"")))))))))))))))))))))))))))))))))))))</f>
        <v/>
      </c>
      <c r="CD222" s="50" t="str">
        <f>IF(Atletas!V213="","",IF(Atletas!X213&lt;&gt;"",10000,0)+IF(Atletas!B213="Feminino",1000,IF(Atletas!B213="Masculino",2000,""))+IF(Atletas!V213="Taijidao A",937,IF(Atletas!V213="TaijiShanzi A",938,IF(Atletas!V213="Taijiqiang A",939,IF(Atletas!V213="Bagua de Arma A",940,IF(Atletas!V213="Xingyi de Arma A",941,IF(Atletas!V213="Taijidao B",942,IF(Atletas!V213="TaijiShanzi B",943,IF(Atletas!V213="Taijiqiang B",944,IF(Atletas!V213="Bagua de Arma B",945,IF(Atletas!V213="Xingyi de Arma B",946,IF(Atletas!V213="Taijidao C",947,IF(Atletas!V213="TaijiShanzi C",948,IF(Atletas!V213="Taijiqiang C",949,IF(Atletas!V213="Bagua de Arma C",950,IF(Atletas!V213="Xingyi de Arma C",951,IF(Atletas!V213="Taijidao D",952,IF(Atletas!V213="TaijiShanzi D",953,IF(Atletas!V213="Taijiqiang D",954,IF(Atletas!V213="Bagua de Arma D",955,IF(Atletas!V213="Xingyi de Arma D",956,IF(Atletas!V213="Taijidao E",957,IF(Atletas!V213="TaijiShanzi E",958,IF(Atletas!V213="Taijiqiang E",959,IF(Atletas!V213="Bagua de Arma E",960,IF(Atletas!V213="Xingyi de Arma E",961,IF(Atletas!V213="Taijidao F",962,IF(Atletas!V213="TaijiShanzi F",963,IF(Atletas!V213="Taijiqiang F",964,IF(Atletas!V213="Bagua de Arma F",965,IF(Atletas!V213="Xingyi de Arma F",966,"")))))))))))))))))))))))))))))))</f>
        <v/>
      </c>
      <c r="CE222" s="66" t="str">
        <f>IF(CF222&lt;&gt;"","Outro Estilo Interno D","")</f>
        <v/>
      </c>
      <c r="CF222" s="66" t="str">
        <f>IF(COUNTIF(BR:CD,1512)&gt;0,COUNTIF(BR:CD,1512),"")</f>
        <v/>
      </c>
      <c r="CG222" s="66" t="str">
        <f>IF(CH222&lt;&gt;"","Outro Estilo Interno D","")</f>
        <v/>
      </c>
      <c r="CH222" s="66" t="str">
        <f>IF(COUNTIF(BR:CD,2512)&gt;0,COUNTIF(BR:CD,2512),"")</f>
        <v/>
      </c>
      <c r="CI222" s="66" t="str">
        <f>IF(CJ222&lt;&gt;"","Outro Estilo Interno F","")</f>
        <v/>
      </c>
      <c r="CJ222" s="66" t="str">
        <f>IF(COUNTIF(BR:CD,11454)&gt;0,COUNTIF(BR:CD,11454),"")</f>
        <v/>
      </c>
      <c r="CK222" s="66" t="str">
        <f>IF(CL222&lt;&gt;"","Outro Estilo Interno F","")</f>
        <v/>
      </c>
      <c r="CL222" s="66" t="str">
        <f>IF(COUNTIF(BR:CD,12454)&gt;0,COUNTIF(BR:CD,12454),"")</f>
        <v/>
      </c>
      <c r="CM222" s="50" t="str">
        <f xml:space="preserve"> IF(Atletas!W213="","",IF(Atletas!W213="Duilian de Mãos BC - Equipe 1",1,IF(Atletas!W213="Duilian de Mãos BC - Equipe 2",2,IF(Atletas!W213="Duilian de Armas BC - Equipe 1",3,IF(Atletas!W213="Duilian de Armas BC - Equipe 2",4,IF(Atletas!W213="Duilian de Mãos DE - Equipe 1",5,IF(Atletas!W213="Duilian de Mãos DE - Equipe 2",6,IF(Atletas!W213="Duilian de Armas DE - Equipe 1",7,IF(Atletas!W213="Duilian de Armas DE - Equipe 2",8,IF(Atletas!W213="Duilian de Tuishou - Equipe 1",9,IF(Atletas!W213="Duilian de Tuishou - Equipe 2",10,IF(Atletas!W213="Grupo Externo ABC - Equipe 1",11,IF(Atletas!W213="Grupo Externo ABC - Equipe 2",12,IF(Atletas!W213="Grupo Interno ABC - Equipe 1",13,IF(Atletas!W213="Grupo Interno ABC - Equipe 2",14,IF(Atletas!W213="Grupo Externo DEF - Equipe 1",15,IF(Atletas!W213="Grupo Externo DEF - Equipe 2",16,IF(Atletas!W213="Grupo Interno DEF - Equipe 1",17,IF(Atletas!W213="Grupo Interno DEF - Equipe 2",18,"")))))))))))))))))))</f>
        <v/>
      </c>
    </row>
    <row r="223" spans="2:91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 t="str">
        <f t="array" ref="Z223">IFERROR(INDEX(CE$7:CE$348,SMALL(IF(CE$7:CE$348&lt;&gt;"",ROW(CE$7:CE$348)-ROW(CE$7)+1),ROWS(CE$7:CE222))),"")</f>
        <v/>
      </c>
      <c r="AA223" s="3" t="str">
        <f t="array" ref="AA223">IFERROR(INDEX(CF$7:CF$348,SMALL(IF(CF$7:CF$348&lt;&gt;"",ROW(CF$7:CF$348)-ROW(CF$7)+1),ROWS(CF$7:CF222))),"")</f>
        <v/>
      </c>
      <c r="AB223" s="3" t="str">
        <f t="array" ref="AB223">IFERROR(INDEX(CG$7:CG$348,SMALL(IF(CG$7:CG$348&lt;&gt;"",ROW(CG$7:CG$348)-ROW(CG$7)+1),ROWS(CG$7:CG222))),"")</f>
        <v/>
      </c>
      <c r="AC223" s="3" t="str">
        <f t="array" ref="AC223">IFERROR(INDEX(CH$7:CH$348,SMALL(IF(CH$7:CH$348&lt;&gt;"",ROW(CH$7:CH$348)-ROW(CH$7)+1),ROWS(CH$7:CH222))),"")</f>
        <v/>
      </c>
      <c r="AD223" s="3" t="str">
        <f t="array" ref="AD223">IFERROR(INDEX(CI$7:CI$377,SMALL(IF(CI$7:CI$377&lt;&gt;"",ROW(CI$7:CI$377)-ROW(CI$7)+1),ROWS(CI$7:CI222))),"")</f>
        <v/>
      </c>
      <c r="AE223" s="3" t="str">
        <f t="array" ref="AE223">IFERROR(INDEX(CJ$7:CJ$378,SMALL(IF(CJ$7:CJ$378&lt;&gt;"",ROW(CJ$7:CJ$378)-ROW(CJ$7)+1),ROWS(CJ$7:CJ222))),"")</f>
        <v/>
      </c>
      <c r="AF223" s="3" t="str">
        <f t="array" ref="AF223">IFERROR(INDEX(CK$7:CK$378,SMALL(IF(CK$7:CK$378&lt;&gt;"",ROW(CK$7:CK$378)-ROW(CK$7)+1),ROWS(CK$7:CK222))),"")</f>
        <v/>
      </c>
      <c r="AG223" s="3" t="str">
        <f t="array" ref="AG223">IFERROR(INDEX(CL$7:CL$378,SMALL(IF(CL$7:CL$378&lt;&gt;"",ROW(CL$7:CL$378)-ROW(CL$7)+1),ROWS(CL$7:CL222))),"")</f>
        <v/>
      </c>
      <c r="AH223" s="3"/>
      <c r="AI223" s="3"/>
      <c r="AJ223" s="3"/>
      <c r="AK223" s="3"/>
      <c r="AL223" s="3"/>
      <c r="AM223" s="3"/>
      <c r="AN223" s="52" t="str">
        <f>IF(Atletas!D214="","",IF(Atletas!B214="Feminino",100,IF(Atletas!B214="Masculino",200,""))+(IF(Atletas!D214="Kids 30kg",1,IF(Atletas!D214="Kids 32kg",2, IF(Atletas!D214="Kids 34kg",3,IF(Atletas!D214="Kids 36kg",4,IF(Atletas!D214="Kids 39kg",5,IF(Atletas!D214="Kids 42kg",6,IF(Atletas!D214="Kids 45kg",7, IF(Atletas!D214="Infantil 39kg",8,IF(Atletas!D214="Infantil 42kg",9,IF(Atletas!D214="Infantil 45kg",10,IF(Atletas!D214="Infantil 48kg",11,IF(Atletas!D214="Infantil 52kg",12,IF(Atletas!D214="Infantil 56kg",13,IF(Atletas!D214="Infantil 60kg",14,IF(Atletas!D214="Juvenil 48kg",15,IF(Atletas!D214="Juvenil 52kg",16,IF(Atletas!D214="Juvenil 56kg",17,IF(Atletas!D214="Juvenil 60kg",18,IF(Atletas!D214="Juvenil 65kg",19,IF(Atletas!D214="Juvenil 70kg",20,IF(Atletas!D214="Juvenil 75kg",21,IF(Atletas!D214="Juvenil 80kg",22, IF(Atletas!D214="Juvenil 85kg",23,IF(Atletas!D214="Adulto 48kg",24,IF(Atletas!D214="Adulto 52kg",25,IF(Atletas!D214="Adulto 56kg",26,IF(Atletas!D214="Adulto 60kg",27,IF(Atletas!D214="Adulto 65kg",28,IF(Atletas!D214="Adulto 70kg",29,IF(Atletas!D214="Adulto 75kg",30,IF(Atletas!D214="Adulto 80kg",31,IF(Atletas!D214="Adulto 85kg",32,IF(Atletas!D214="Adulto 90kg",33,IF(Atletas!D214="Adulto 100kg",34, IF(Atletas!D214="Adulto +100kg",35,"")))))))))))))))))))))))))))))))))))))</f>
        <v/>
      </c>
      <c r="AS223" s="6" t="str">
        <f>IF(Atletas!E214="","",IF(Atletas!B214="Feminino",100,IF(Atletas!B214="Masculino",200,""))+(IF(Atletas!E214="Juvenil 44kg",1,IF(Atletas!E214="Juvenil 48kg",2,IF(Atletas!E214="Juvenil 52kg",3,IF(Atletas!E214="Juvenil 56kg",4,IF(Atletas!E214="Juvenil 60kg",5,IF(Atletas!E214="Juvenil 65kg",6,IF(Atletas!E214="Juvenil 70kg",7,IF(Atletas!E214="Juvenil 75kg",8,IF(Atletas!E214="Juvenil 82kg",9,IF(Atletas!E214="Juvenil 90kg",10,IF(Atletas!E214="Juvenil 100kg",11,IF(Atletas!E214="Adulto 48kg",12,IF(Atletas!E214="Adulto 52kg",13,IF(Atletas!E214="Adulto 56kg",14,IF(Atletas!E214="Adulto 60kg",15,IF(Atletas!E214="Adulto 65kg",16,IF(Atletas!E214="Adulto 70kg",17,IF(Atletas!E214="Adulto 75kg",18,IF(Atletas!E214="Adulto 82kg",19,IF(Atletas!E214="Adulto 90kg",20,IF(Atletas!E214="Adulto 100kg",21,IF(Atletas!E214="Adulto +100kg",22,""))))))))))))))))))))))))</f>
        <v/>
      </c>
      <c r="AX223" s="6" t="str">
        <f>IF(Atletas!F214="","",IF(Atletas!B214="Feminino",100,IF(Atletas!B214="Masculino",200,""))+(IF(Atletas!F214="Adulto 48kg",1,IF(Atletas!F214="Adulto 56kg",2,IF(Atletas!F214="Adulto 65kg",3,IF(Atletas!F214="Adulto 75kg",4,IF(Atletas!F214="Adulto +75kg",5,IF(Atletas!F214="Adulto 52kg",6,IF(Atletas!F214="Adulto 60kg",7,IF(Atletas!F214="Adulto 70kg",8,IF(Atletas!F214="Adulto 80kg",9,IF(Atletas!F214="Adulto 90kg",10,IF(Atletas!F214="Adulto +90kg",11,"")))))))))))))</f>
        <v/>
      </c>
      <c r="BC223" s="6" t="str">
        <f>IF(Atletas!G214="","",IF(Atletas!B214="Feminino",10,IF(Atletas!B214="Masculino",20,""))+(IF(Atletas!G214="Baduanjin A",1,IF(Atletas!G214="Baduanjin B",2))))</f>
        <v/>
      </c>
      <c r="BF223" s="52" t="str">
        <f>IF(Atletas!H214="","",IF(Atletas!B214="Feminino",100,IF(Atletas!B214="Masculino",200,""))+(IF(Atletas!H214="Changquan Mirim",1,IF(Atletas!H214="Nanquan Mirim",2,IF(Atletas!H214="Taijiquan Mirim",3,IF(Atletas!H214="Changquan Grupo C",4,IF(Atletas!H214="Nanquan Grupo C",5,IF(Atletas!H214="Taijiquan Grupo C",6,IF(Atletas!H214="Changquan Grupo B",7,IF(Atletas!H214="Nanquan Grupo B",8,IF(Atletas!H214="Taijiquan Grupo B",9,IF(Atletas!H214="Changquan Grupo A",10,IF(Atletas!H214="Nanquan Grupo A",11,IF(Atletas!H214="Taijiquan Grupo A",12,IF(Atletas!H214="Changquan Opcional",13,IF(Atletas!H214="Nanquan Opcional",14,IF(Atletas!H214="Taijiquan Opcional",15,IF(Atletas!H214="Changquan Adulto",16,IF(Atletas!H214="Nanquan Adulto",17,IF(Atletas!H214="Taijiquan Adulto",18,""))))))))))))))))))))</f>
        <v/>
      </c>
      <c r="BG223" s="52" t="str">
        <f>IF(Atletas!I214="","",IF(Atletas!B214="Feminino",100,IF(Atletas!B214="Masculino",200,""))+(IF(Atletas!I214="Daoshu Mirim",19,IF(Atletas!I214="Jianshu Mirim",20,IF(Atletas!I214="Nandao Mirim",21,IF(Atletas!I214="Taijijian Mirim",22,IF(Atletas!I214="Daoshu Grupo C",23,IF(Atletas!I214="Jianshu Grupo C",24,IF(Atletas!I214="Nandao Grupo C",25,IF(Atletas!I214="Taijijian Grupo C",26,IF(Atletas!I214="Daoshu Grupo B",27,IF(Atletas!I214="Jianshu Grupo B",28,IF(Atletas!I214="Nandao Grupo B",29,IF(Atletas!I214="Taijijian Grupo B",30,IF(Atletas!I214="Daoshu Grupo A",31,IF(Atletas!I214="Jianshu Grupo A",32,IF(Atletas!I214="Nandao Grupo A",33,IF(Atletas!I214="Taijijian Grupo A",34,IF(Atletas!I214="Daoshu Opcional",35,IF(Atletas!I214="Jianshu Opcional",36,IF(Atletas!I214="Nandao Opcional",37,IF(Atletas!I214="Taijijian Opcional",38,IF(Atletas!I214="Daoshu Adulto",39,IF(Atletas!I214="Jianshu Adulto",40,IF(Atletas!I214="Nandao Adulto",41,IF(Atletas!I214="Taijijian Adulto",42,""))))))))))))))))))))))))))</f>
        <v/>
      </c>
      <c r="BH223" s="52" t="str">
        <f>IF(Atletas!J214="","",IF(Atletas!B214="Feminino",100,IF(Atletas!B214="Masculino",200,""))+(IF(Atletas!J214="Gunshu Mirim",43,IF(Atletas!J214="Qiangshu Mirim",44,IF(Atletas!J214="Nangun Mirim",45,IF(Atletas!J214="Gunshu Grupo C",46,IF(Atletas!J214="Qiangshu Grupo C",47,IF(Atletas!J214="Nangun Grupo C",48,IF(Atletas!J214="Gunshu Grupo B",49,IF(Atletas!J214="Qiangshu Grupo B",50,IF(Atletas!J214="Nangun Grupo B",51,IF(Atletas!J214="Gunshu Grupo A",52,IF(Atletas!J214="Qiangshu Grupo A",53,IF(Atletas!J214="Nangun Grupo A",54,IF(Atletas!J214="Gunshu Opcional",55,IF(Atletas!J214="Qiangshu Opcional",56,IF(Atletas!J214="Nangun Opcional",57,IF(Atletas!J214="Gunshu Adulto",58,IF(Atletas!J214="Qiangshu Adulto",59,IF(Atletas!J214="Nangun Adulto",60,IF(Atletas!J214="Taijishan Grupo B",61,IF(Atletas!J214="Taijishan Grupo A",62,""))))))))))))))))))))))</f>
        <v/>
      </c>
      <c r="BM223" s="50" t="str">
        <f>IF(Atletas!K214="","",IF(Atletas!B214="Feminino",100,IF(Atletas!B214="Masculino",200,""))+(IF(Atletas!K214="Equipe 1 Grupo B",1,IF(Atletas!K214="Equipe 2 Grupo B",2,IF(Atletas!K214="Equipe 1 Grupo A",3,IF(Atletas!K214="Equipe 2 Grupo A",4,IF(Atletas!K214="Equipe 1 Adulto",5,IF(Atletas!K214="Equipe 2 Adulto",6,""))))))))</f>
        <v/>
      </c>
      <c r="BR223" s="50" t="str">
        <f>IF(Atletas!L214="","",IF(Atletas!X214&lt;&gt;"",10000,0)+(IF(Atletas!B214="Feminino",1000,IF(Atletas!B214="Masculino",2000,""))+IF(Atletas!L214="Choylayfut A",1,IF(Atletas!L214="Hunggar A",2,IF(Atletas!L214="Wuzuquan A",3,IF(Atletas!L214="Wingchun A",4,IF(Atletas!L214="Outra Mão de Sul A",5,IF(Atletas!L214="Choylayfut B",6,IF(Atletas!L214="Hunggar B",7,IF(Atletas!L214="Wuzuquan B",8,IF(Atletas!L214="Wingchun B",9,IF(Atletas!L214="Outra Mão de Sul B",10,IF(Atletas!L214="Choylayfut C",11,IF(Atletas!L214="Hunggar C",12,IF(Atletas!L214="Wuzuquan C",13,IF(Atletas!L214="Wingchun C",14,IF(Atletas!L214="Outra Mão de Sul C",15,IF(Atletas!L214="Choylayfut D",16,IF(Atletas!L214="Hunggar D",17,IF(Atletas!L214="Wuzuquan D",18,IF(Atletas!L214="Wingchun D",19,IF(Atletas!L214="Outra Mão de Sul D",20,IF(Atletas!L214="Choylayfut E",21,IF(Atletas!L214="Hunggar E",22,IF(Atletas!L214="Wuzuquan E",23,IF(Atletas!L214="Wingchun E",24,IF(Atletas!L214="Outra Mão de Sul E",25,IF(Atletas!L214="Choylayfut F",26,IF(Atletas!L214="Hunggar F",27,IF(Atletas!L214="Wuzuquan F",28,IF(Atletas!L214="Wingchun F",29,IF(Atletas!L214="Outra Mão de Sul F",30,IF(Atletas!L214="Dishuquan A",31,IF(Atletas!L214="Dishuquan B",32,IF(Atletas!L214="Dishuquan C",33,IF(Atletas!L214="Dishuquan D",34,IF(Atletas!L214="Dishuquan E",35,IF(Atletas!L214="Dishuquan F",36,""))))))))))))))))))))))))))))))))))))))</f>
        <v/>
      </c>
      <c r="BS223" s="50" t="str">
        <f>IF(Atletas!M214="","",IF(Atletas!X214&lt;&gt;"",10000,0)+(IF(Atletas!B214="Feminino",1000,IF(Atletas!B214="Masculino",2000,""))+(IF(Atletas!M214="Chaquan A",101,IF(Atletas!M214="Emeiquan A",102,IF(Atletas!M214="Fanziquan A",103,IF(Atletas!M214="Huaquan A",104,IF(Atletas!M214="Hongquan A",105,IF(Atletas!M214="Paoquan A",106,IF(Atletas!M214="Piguaquan A",107,IF(Atletas!M214="Shaolinquan A",108,IF(Atletas!M214="Tanglangquan A",109,IF(Atletas!M214="Yingzhaoquan A",110,IF(Atletas!M214="Tongbeiquan A",111,IF(Atletas!M214="Wudangquan A",112,IF(Atletas!M214="Outros Estilos A",113,IF(Atletas!M214="Chaquan B",114,IF(Atletas!M214="Emeiquan B",115,IF(Atletas!M214="Fanziquan B",116,IF(Atletas!M214="Huaquan B",117,IF(Atletas!M214="Hongquan B",118,IF(Atletas!M214="Paoquan B",119,IF(Atletas!M214="Piguaquan B",120,IF(Atletas!M214="Shaolinquan B",121,IF(Atletas!M214="Tanglangquan B",122,IF(Atletas!M214="Yingzhaoquan B",123,IF(Atletas!M214="Tongbeiquan B",124,IF(Atletas!M214="Wudangquan B",125,IF(Atletas!M214="Outros Estilos B",126,IF(Atletas!M214="Chaquan C",127,IF(Atletas!M214="Emeiquan C",128,IF(Atletas!M214="Fanziquan C",129,IF(Atletas!M214="Huaquan C",130,IF(Atletas!M214="Hongquan C",131,IF(Atletas!M214="Paoquan C",132,IF(Atletas!M214="Piguaquan C",133,IF(Atletas!M214="Shaolinquan C",134,IF(Atletas!M214="Tanglangquan C",135,IF(Atletas!M214="Yingzhaoquan C",136,IF(Atletas!M214="Tongbeiquan C",137,IF(Atletas!M214="Wudangquan C",138,IF(Atletas!M214="Outros Estilos C",139,0))))))))))))))))))))))))))))))))))))))))))</f>
        <v/>
      </c>
      <c r="BT223" s="50" t="str">
        <f>IF(Atletas!M214="","",IF(Atletas!X214&lt;&gt;"",10000,0)+(IF(Atletas!B214="Feminino",1000,IF(Atletas!B214="Masculino",2000,""))+(IF(Atletas!M214="Chaquan D",140,IF(Atletas!M214="Emeiquan D",141,IF(Atletas!M214="Fanziquan D",142,IF(Atletas!M214="Huaquan D",143,IF(Atletas!M214="Hongquan D",144,IF(Atletas!M214="Paoquan D",145,IF(Atletas!M214="Piguaquan D",146,IF(Atletas!M214="Shaolinquan D",147,IF(Atletas!M214="Tanglangquan D",148,IF(Atletas!M214="Yingzhaoquan D",149,IF(Atletas!M214="Tongbeiquan D",150,IF(Atletas!M214="Wudangquan D",151,IF(Atletas!M214="Outros Estilos D",152,IF(Atletas!M214="Chaquan E",153,IF(Atletas!M214="Emeiquan E",154,IF(Atletas!M214="Fanziquan E",155,IF(Atletas!M214="Huaquan E",156,IF(Atletas!M214="Hongquan E",157,IF(Atletas!M214="Paoquan E",158,IF(Atletas!M214="Piguaquan E",159,IF(Atletas!M214="Shaolinquan E",160,IF(Atletas!M214="Tanglangquan E",161,IF(Atletas!M214="Yingzhaoquan E",162,IF(Atletas!M214="Tongbeiquan E",163,IF(Atletas!M214="Wudangquan E",164,IF(Atletas!M214="Outros Estilos E",165,IF(Atletas!M214="Chaquan F",166,IF(Atletas!M214="Emeiquan F",167,IF(Atletas!M214="Fanziquan F",168,IF(Atletas!M214="Huaquan F",169,IF(Atletas!M214="Hongquan F",170,IF(Atletas!M214="Paoquan F",171,IF(Atletas!M214="Piguaquan F",172,IF(Atletas!M214="Shaolinquan F",173,IF(Atletas!M214="Tanglangquan F",174,IF(Atletas!M214="Yingzhaoquan F",175,IF(Atletas!M214="Tongbeiquan F",176,IF(Atletas!M214="Wudangquan F",177,IF(Atletas!M214="Outros Estilos F",178,0))))))))))))))))))))))))))))))))))))))))))</f>
        <v/>
      </c>
      <c r="BU223" s="50" t="str">
        <f>IF(Atletas!N214="","",IF(Atletas!X214&lt;&gt;"",10000,0)+(IF(Atletas!B214="Feminino",1000,IF(Atletas!B214="Masculino",2000,""))+(IF(Atletas!N214="Ditangquan A",201,IF(Atletas!N214="Houquan A",202,IF(Atletas!N214="Zuiquan A",203,IF(Atletas!N214="Ditangquan B",204,IF(Atletas!N214="Houquan B",205,IF(Atletas!N214="Zuiquan B",206,IF(Atletas!N214="Ditangquan C",207,IF(Atletas!N214="Houquan C",208,IF(Atletas!N214="Zuiquan C",209,IF(Atletas!N214="Ditangquan D",210,IF(Atletas!N214="Houquan D",211,IF(Atletas!N214="Zuiquan D",212,IF(Atletas!N214="Ditangquan E",213,IF(Atletas!N214="Houquan E",214,IF(Atletas!N214="Zuiquan E",215,IF(Atletas!N214="Ditangquan F",216,IF(Atletas!N214="Houquan F",217,IF(Atletas!N214="Zuiquan F",218,"")))))))))))))))))))))</f>
        <v/>
      </c>
      <c r="BV223" s="50" t="str">
        <f>IF(Atletas!O214="","",IF(Atletas!X214&lt;&gt;"",10000,0)+IF(Atletas!B214="Feminino",1000,IF(Atletas!B214="Masculino",2000,""))+IF(Atletas!O214="Yang A",301,IF(Atletas!O214="Chen A",302,IF(Atletas!O214="Sun A",303,IF(Atletas!O214="Wu A",304,IF(Atletas!O214="Wu-Hao A",305,IF(Atletas!O214="Outro Taijiquan A",306,IF(Atletas!O214="Yang B",307,IF(Atletas!O214="Chen B",308,IF(Atletas!O214="Sun B",309,IF(Atletas!O214="Wu B",310,IF(Atletas!O214="Wu-Hao B",311,IF(Atletas!O214="Outro Taijiquan B",312,IF(Atletas!O214="Yang C",313,IF(Atletas!O214="Chen C",314,IF(Atletas!O214="Sun C",315,IF(Atletas!O214="Wu C",316,IF(Atletas!O214="Wu-Hao C",317,IF(Atletas!O214="Outro Taijiquan C",318,IF(Atletas!O214="Yang D",319,IF(Atletas!O214="Chen D",320,IF(Atletas!O214="Sun D",321,IF(Atletas!O214="Wu D",322,IF(Atletas!O214="Wu-Hao D",323,IF(Atletas!O214="Outro Taijiquan D",324,IF(Atletas!O214="Yang E",325,IF(Atletas!O214="Chen E",326,IF(Atletas!O214="Sun E",327,IF(Atletas!O214="Wu E",328,IF(Atletas!O214="Wu-Hao E",329,IF(Atletas!O214="Outro Taijiquan E",330,IF(Atletas!O214="Yang F",331,IF(Atletas!O214="Chen F",332,IF(Atletas!O214="Sun F",333,IF(Atletas!O214="Wu F",334,IF(Atletas!O214="Wu-Hao F",335,IF(Atletas!O214="Outro Taijiquan F",336,"")))))))))))))))))))))))))))))))))))))</f>
        <v/>
      </c>
      <c r="BW223" s="50" t="str">
        <f>IF(Atletas!P214="","",IF(Atletas!X214&lt;&gt;"",10000,0)+IF(Atletas!B214="Feminino",1000,IF(Atletas!B214="Masculino",2000,""))+IF(OR(Atletas!P214="Yang 26 A",Atletas!P214="Yang 40 A"),401,IF(OR(Atletas!P214="Chen 25 A",Atletas!P214="Chen 36 A",Atletas!P214="Chen 56 A"),402,IF(Atletas!P214="Sun 73 A",403,IF(Atletas!P214="Wu 45 A",404,IF(Atletas!P214="Wu-Hao 46 A",405,IF(OR(Atletas!P214="Taijiquan 16 A",Atletas!P214="Taijiquan 24 A",Atletas!P214="Taijiquan 32 A",Atletas!P214="Taijiquan 42 A"),406,IF(OR(Atletas!P214="Yang 26 B",Atletas!P214="Yang 40 B"),407,IF(OR(Atletas!P214="Chen 25 B",Atletas!P214="Chen 36 B",Atletas!P214="Chen 56 B"),408,IF(Atletas!P214="Sun 73 B",409,IF(Atletas!P214="Wu 45 B",410,IF(Atletas!P214="Wu-Hao 46 B",411,IF(OR(Atletas!P214="Taijiquan 16 B",Atletas!P214="Taijiquan 24 B",Atletas!P214="Taijiquan 32 B",Atletas!P214="Taijiquan 42 B"),412,IF(OR(Atletas!P214="Yang 26 C",Atletas!P214="Yang 40 C"),413,IF(OR(Atletas!P214="Chen 25 C",Atletas!P214="Chen 36 C",Atletas!P214="Chen 56 C"),414,IF(Atletas!P214="Sun 73 C",415,IF(Atletas!P214="Wu 45 C",416,IF(Atletas!P214="Wu-Hao 46 C",417,IF(OR(Atletas!P214="Taijiquan 16 C",Atletas!P214="Taijiquan 24 C",Atletas!P214="Taijiquan 32 C",Atletas!P214="Taijiquan 42 C"),418,0)))))))))))))))))))</f>
        <v/>
      </c>
      <c r="BX223" s="50" t="str">
        <f>IF(Atletas!P214="","",IF(Atletas!X214&lt;&gt;"",10000,0)+IF(Atletas!B214="Feminino",1000,IF(Atletas!B214="Masculino",2000,""))+IF(OR(Atletas!P214="Yang 26 D",Atletas!P214="Yang 40 D"),419,IF(OR(Atletas!P214="Chen 25 D",Atletas!P214="Chen 36 D",Atletas!P214="Chen 56 D"),420,IF(Atletas!P214="Sun 73 D",421,IF(Atletas!P214="Wu 45 D",422,IF(Atletas!P214="Wu-Hao 46 D",423,IF(OR(Atletas!P214="Taijiquan 16 D",Atletas!P214="Taijiquan 24 D",Atletas!P214="Taijiquan 32 D",Atletas!P214="Taijiquan 42 D"),424,IF(OR(Atletas!P214="Yang 26 E",Atletas!P214="Yang 40 E"),425,IF(OR(Atletas!P214="Chen 25 E",Atletas!P214="Chen 36 E",Atletas!P214="Chen 56 E"),426,IF(Atletas!P214="Sun 73 E",427,IF(Atletas!P214="Wu 45 E",428,IF(Atletas!P214="Wu-Hao 46 E",429,IF(OR(Atletas!P214="Taijiquan 16 E",Atletas!P214="Taijiquan 24 E",Atletas!P214="Taijiquan 32 E",Atletas!P214="Taijiquan 42 E"),430,IF(OR(Atletas!P214="Yang 26 F",Atletas!P214="Yang 40 F"),431,IF(OR(Atletas!P214="Chen 25 F",Atletas!P214="Chen 36 F",Atletas!P214="Chen 56 F"),432,IF(Atletas!P214="Sun 73 F",433,IF(Atletas!P214="Wu 45 F",434,IF(Atletas!P214="Wu-Hao 46 F",435,IF(OR(Atletas!P214="Taijiquan 16 F",Atletas!P214="Taijiquan 24 F",Atletas!P214="Taijiquan 32 F",Atletas!P214="Taijiquan 42 F"),436,0)))))))))))))))))))</f>
        <v/>
      </c>
      <c r="BY223" s="50" t="str">
        <f>IF(Atletas!Q214="","",IF(Atletas!X214&lt;&gt;"",10000,0)+IF(Atletas!B214="Feminino",1000,IF(Atletas!B214="Masculino",2000,""))+IF(Atletas!Q214="Xingyiquan A",501,IF(Atletas!Q214="Baguazhang A",502,IF(Atletas!Q214="Outro Estilo Interno A",503,IF(Atletas!Q214="Xingyiquan B",504,IF(Atletas!Q214="Baguazhang B",505,IF(Atletas!Q214="Outro Estilo Interno B",506,IF(Atletas!Q214="Xingyiquan C",507,IF(Atletas!Q214="Baguazhang C",508,IF(Atletas!Q214="Outro Estilo Interno C",509,IF(Atletas!Q214="Xingyiquan D",510,IF(Atletas!Q214="Baguazhang D",511,IF(Atletas!Q214="Outro Estilo Interno D",512,IF(Atletas!Q214="Xingyiquan E",513,IF(Atletas!Q214="Baguazhang E",514,IF(Atletas!Q214="Outro Estilo Interno E",515,IF(Atletas!Q214="Xingyiquan F",516,IF(Atletas!Q214="Baguazhang F",517,IF(Atletas!Q214="Outro Estilo Interno F",518, "")))))))))))))))))))</f>
        <v/>
      </c>
      <c r="BZ223" s="50" t="str">
        <f>IF(Atletas!R214="","",IF(Atletas!X214&lt;&gt;"",10000,0)+IF(Atletas!B214="Feminino",1000,IF(Atletas!B214="Masculino",2000,""))+IF(Atletas!R214="Dao A",601,IF(Atletas!R214="Jian A",602,IF(Atletas!R214="Bishou A",603,IF(Atletas!R214="Shanzi A",604,IF(Atletas!R214="Outra Arma Curta A",605,IF(Atletas!R214="Dao B",606,IF(Atletas!R214="Jian B",607,IF(Atletas!R214="Bishou B",608,IF(Atletas!R214="Shanzi B",609,IF(Atletas!R214="Outra Arma Curta B",610,IF(Atletas!R214="Dao C",611,IF(Atletas!R214="Jian C",612,IF(Atletas!R214="Bishou C",613,IF(Atletas!R214="Shanzi C",614,IF(Atletas!R214="Outra Arma Curta C",615,IF(Atletas!R214="Dao D",616,IF(Atletas!R214="Jian D",617,IF(Atletas!R214="Bishou D",618,IF(Atletas!R214="Shanzi D",619,IF(Atletas!R214="Outra Arma Curta D",620,IF(Atletas!R214="Dao E",621,IF(Atletas!R214="Jian E",622,IF(Atletas!R214="Bishou E",623,IF(Atletas!R214="Shanzi E",624,IF(Atletas!R214="Outra Arma Curta E",625,IF(Atletas!R214="Dao F",626,IF(Atletas!R214="Jian F",627,IF(Atletas!R214="Bishou F",628,IF(Atletas!R214="Shanzi F",629,IF(Atletas!R214="Outra Arma Curta F",630, "")))))))))))))))))))))))))))))))</f>
        <v/>
      </c>
      <c r="CA223" s="50" t="str">
        <f>IF(Atletas!S214="","",IF(Atletas!X214&lt;&gt;"",10000,0)+IF(Atletas!B214="Feminino",1000,IF(Atletas!B214="Masculino",2000,""))+IF(Atletas!S214="Gun A",701,IF(Atletas!S214="Qiang A",702,IF(Atletas!S214="Pudao / Guandao A",703,IF(Atletas!S214="Outra Arma Longa A",704,IF(Atletas!S214="Gun B",705,IF(Atletas!S214="Qiang B",706,IF(Atletas!S214="Pudao / Guandao B",707,IF(Atletas!S214="Outra Arma Longa B",708,IF(Atletas!S214="Gun C",709,IF(Atletas!S214="Qiang C",710,IF(Atletas!S214="Pudao / Guandao C",711,IF(Atletas!S214="Outra Arma Longa C",712,IF(Atletas!S214="Gun D",713,IF(Atletas!S214="Qiang D",714,IF(Atletas!S214="Pudao / Guandao D",715,IF(Atletas!S214="Outra Arma Longa D",716,IF(Atletas!S214="Gun E",717,IF(Atletas!S214="Qiang E",718,IF(Atletas!S214="Pudao / Guandao E",719,IF(Atletas!S214="Outra Arma Longa E",720,IF(Atletas!S214="Gun F",721,IF(Atletas!S214="Qiang F",722,IF(Atletas!S214="Pudao / Guandao F",723,IF(Atletas!S214="Outra Arma Longa F",724,"")))))))))))))))))))))))))</f>
        <v/>
      </c>
      <c r="CB223" s="50" t="str">
        <f>IF(Atletas!T214="","",IF(Atletas!X214&lt;&gt;"",10000,0)+IF(Atletas!B214="Feminino",1000,IF(Atletas!B214="Masculino",2000,""))+IF(Atletas!T214="Outra Arma Dupla A",801,IF(Atletas!T214="Arma Maleável A",802,IF(Atletas!T214="Outra Arma Dupla B",803,IF(Atletas!T214="Arma Maleável B",804,IF(Atletas!T214="Outra Arma Dupla C",805,IF(Atletas!T214="Arma Maleável C",806,IF(Atletas!T214="Outra Arma Dupla D",807,IF(Atletas!T214="Arma Maleável D",808,IF(Atletas!T214="Outra Arma Dupla E",809,IF(Atletas!T214="Arma Maleável E",810,IF(Atletas!T214="Outra Arma Dupla F",811,IF(Atletas!T214="Arma Maleável F",812,IF(Atletas!T214="Shuangdao A",813,IF(Atletas!T214="Shuangdao B",814,IF(Atletas!T214="Shuangdao C",815,IF(Atletas!T214="Shuangdao D",816,IF(Atletas!T214="Shuangdao E",817,IF(Atletas!T214="Shuangdao F",818,"")))))))))))))))))))</f>
        <v/>
      </c>
      <c r="CC223" s="50" t="str">
        <f>IF(Atletas!U214="","",IF(Atletas!X214&lt;&gt;"",10000,0)+IF(Atletas!B214="Feminino",1000,IF(Atletas!B214="Masculino",2000,""))+IF(OR(Atletas!U214="Taijijian Yang A",Atletas!U214="Taijijian Yang Standard A"),901,IF(OR(Atletas!U214="Taijijian Chen A", Atletas!U214="Taijijian Chen Standard A"),902,IF(Atletas!U214="Taijijian Sun A",903,IF(Atletas!U214="Taijijian Wu A",904,IF(Atletas!U214="Taijijian Wu-Hao A",905,IF(OR(Atletas!U214="Taijijian 32 A",Atletas!U214="Taijijian 42 A"),906,IF(OR(Atletas!U214="Taijijian Yang B",Atletas!U214="Taijijian Yang Standard B"),907,IF(OR(Atletas!U214="Taijijian Chen B", Atletas!U214="Taijijian Chen Standard B"),908,IF(Atletas!U214="Taijijian Sun B",909,IF(Atletas!U214="Taijijian Wu B",910,IF(Atletas!U214="Taijijian Wu-Hao B",911,IF(OR(Atletas!U214="Taijijian 32 B",Atletas!U214="Taijijian 42 B"),912,IF(OR(Atletas!U214="Taijijian Yang C",Atletas!U214="Taijijian Yang Standard C"),913,IF(OR(Atletas!U214="Taijijian Chen C", Atletas!U214="Taijijian Chen Standard C"),914,IF(Atletas!U214="Taijijian Sun C",915,IF(Atletas!U214="Taijijian Wu C",916,IF(Atletas!U214="Taijijian Wu-Hao C",917,IF(OR(Atletas!U214="Taijijian 32 C",Atletas!U214="Taijijian 42 C"),918,IF(OR(Atletas!U214="Taijijian Yang D",Atletas!U214="Taijijian Yang Standard D"),919,IF(OR(Atletas!U214="Taijijian Chen D", Atletas!U214="Taijijian Chen Standard D"),920,IF(Atletas!U214="Taijijian Sun D",921,IF(Atletas!U214="Taijijian Wu D",922,IF(Atletas!U214="Taijijian Wu-Hao D",923,IF(OR(Atletas!U214="Taijijian 32 D",Atletas!U214="Taijijian 42 D"),924,IF(OR(Atletas!U214="Taijijian Yang E",Atletas!U214="Taijijian Yang Standard E"),925,IF(OR(Atletas!U214="Taijijian Chen E", Atletas!U214="Taijijian Chen Standard E"),926,IF(Atletas!U214="Taijijian Sun E",927,IF(Atletas!U214="Taijijian Wu E",928,IF(Atletas!U214="Taijijian Wu-Hao E",929,IF(OR(Atletas!U214="Taijijian 32 E",Atletas!U214="Taijijian 42 E"),930,IF(OR(Atletas!U214="Taijijian Yang F",Atletas!U214="Taijijian Yang Standard F"),931,IF(OR(Atletas!U214="Taijijian Chen F", Atletas!U214="Taijijian Chen Standard F"),932,IF(Atletas!U214="Taijijian Sun F",933,IF(Atletas!U214="Taijijian Wu F",934,IF(Atletas!U214="Taijijian Wu-Hao F",935,IF(OR(Atletas!U214="Taijijian 32 F",Atletas!U214="Taijijian 42 F"),936,"")))))))))))))))))))))))))))))))))))))</f>
        <v/>
      </c>
      <c r="CD223" s="50" t="str">
        <f>IF(Atletas!V214="","",IF(Atletas!X214&lt;&gt;"",10000,0)+IF(Atletas!B214="Feminino",1000,IF(Atletas!B214="Masculino",2000,""))+IF(Atletas!V214="Taijidao A",937,IF(Atletas!V214="TaijiShanzi A",938,IF(Atletas!V214="Taijiqiang A",939,IF(Atletas!V214="Bagua de Arma A",940,IF(Atletas!V214="Xingyi de Arma A",941,IF(Atletas!V214="Taijidao B",942,IF(Atletas!V214="TaijiShanzi B",943,IF(Atletas!V214="Taijiqiang B",944,IF(Atletas!V214="Bagua de Arma B",945,IF(Atletas!V214="Xingyi de Arma B",946,IF(Atletas!V214="Taijidao C",947,IF(Atletas!V214="TaijiShanzi C",948,IF(Atletas!V214="Taijiqiang C",949,IF(Atletas!V214="Bagua de Arma C",950,IF(Atletas!V214="Xingyi de Arma C",951,IF(Atletas!V214="Taijidao D",952,IF(Atletas!V214="TaijiShanzi D",953,IF(Atletas!V214="Taijiqiang D",954,IF(Atletas!V214="Bagua de Arma D",955,IF(Atletas!V214="Xingyi de Arma D",956,IF(Atletas!V214="Taijidao E",957,IF(Atletas!V214="TaijiShanzi E",958,IF(Atletas!V214="Taijiqiang E",959,IF(Atletas!V214="Bagua de Arma E",960,IF(Atletas!V214="Xingyi de Arma E",961,IF(Atletas!V214="Taijidao F",962,IF(Atletas!V214="TaijiShanzi F",963,IF(Atletas!V214="Taijiqiang F",964,IF(Atletas!V214="Bagua de Arma F",965,IF(Atletas!V214="Xingyi de Arma F",966,"")))))))))))))))))))))))))))))))</f>
        <v/>
      </c>
      <c r="CE223" s="66" t="str">
        <f>IF(CF223&lt;&gt;"","Xingyiquan E","")</f>
        <v/>
      </c>
      <c r="CF223" s="66" t="str">
        <f>IF(COUNTIF(BR:CD,1513)&gt;0,COUNTIF(BR:CD,1513),"")</f>
        <v/>
      </c>
      <c r="CG223" s="66" t="str">
        <f>IF(CH223&lt;&gt;"","Xingyiquan E","")</f>
        <v/>
      </c>
      <c r="CH223" s="66" t="str">
        <f>IF(COUNTIF(BR:CD,2513)&gt;0,COUNTIF(BR:CD,2513),"")</f>
        <v/>
      </c>
      <c r="CI223" s="66" t="str">
        <f>IF(CJ223&lt;&gt;"","Dao A","")</f>
        <v/>
      </c>
      <c r="CJ223" s="66" t="str">
        <f>IF(COUNTIF(BR:CD,11601)&gt;0,COUNTIF(BR:CD,11601),"")</f>
        <v/>
      </c>
      <c r="CK223" s="66" t="str">
        <f>IF(CL223&lt;&gt;"","Dao A","")</f>
        <v/>
      </c>
      <c r="CL223" s="66" t="str">
        <f>IF(COUNTIF(BR:CD,12601)&gt;0,COUNTIF(BR:CD,12601),"")</f>
        <v/>
      </c>
      <c r="CM223" s="50" t="str">
        <f xml:space="preserve"> IF(Atletas!W214="","",IF(Atletas!W214="Duilian de Mãos BC - Equipe 1",1,IF(Atletas!W214="Duilian de Mãos BC - Equipe 2",2,IF(Atletas!W214="Duilian de Armas BC - Equipe 1",3,IF(Atletas!W214="Duilian de Armas BC - Equipe 2",4,IF(Atletas!W214="Duilian de Mãos DE - Equipe 1",5,IF(Atletas!W214="Duilian de Mãos DE - Equipe 2",6,IF(Atletas!W214="Duilian de Armas DE - Equipe 1",7,IF(Atletas!W214="Duilian de Armas DE - Equipe 2",8,IF(Atletas!W214="Duilian de Tuishou - Equipe 1",9,IF(Atletas!W214="Duilian de Tuishou - Equipe 2",10,IF(Atletas!W214="Grupo Externo ABC - Equipe 1",11,IF(Atletas!W214="Grupo Externo ABC - Equipe 2",12,IF(Atletas!W214="Grupo Interno ABC - Equipe 1",13,IF(Atletas!W214="Grupo Interno ABC - Equipe 2",14,IF(Atletas!W214="Grupo Externo DEF - Equipe 1",15,IF(Atletas!W214="Grupo Externo DEF - Equipe 2",16,IF(Atletas!W214="Grupo Interno DEF - Equipe 1",17,IF(Atletas!W214="Grupo Interno DEF - Equipe 2",18,"")))))))))))))))))))</f>
        <v/>
      </c>
    </row>
    <row r="224" spans="2:91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 t="str">
        <f t="array" ref="Z224">IFERROR(INDEX(CE$7:CE$348,SMALL(IF(CE$7:CE$348&lt;&gt;"",ROW(CE$7:CE$348)-ROW(CE$7)+1),ROWS(CE$7:CE223))),"")</f>
        <v/>
      </c>
      <c r="AA224" s="3" t="str">
        <f t="array" ref="AA224">IFERROR(INDEX(CF$7:CF$348,SMALL(IF(CF$7:CF$348&lt;&gt;"",ROW(CF$7:CF$348)-ROW(CF$7)+1),ROWS(CF$7:CF223))),"")</f>
        <v/>
      </c>
      <c r="AB224" s="3" t="str">
        <f t="array" ref="AB224">IFERROR(INDEX(CG$7:CG$348,SMALL(IF(CG$7:CG$348&lt;&gt;"",ROW(CG$7:CG$348)-ROW(CG$7)+1),ROWS(CG$7:CG223))),"")</f>
        <v/>
      </c>
      <c r="AC224" s="3" t="str">
        <f t="array" ref="AC224">IFERROR(INDEX(CH$7:CH$348,SMALL(IF(CH$7:CH$348&lt;&gt;"",ROW(CH$7:CH$348)-ROW(CH$7)+1),ROWS(CH$7:CH223))),"")</f>
        <v/>
      </c>
      <c r="AD224" s="3" t="str">
        <f t="array" ref="AD224">IFERROR(INDEX(CI$7:CI$377,SMALL(IF(CI$7:CI$377&lt;&gt;"",ROW(CI$7:CI$377)-ROW(CI$7)+1),ROWS(CI$7:CI223))),"")</f>
        <v/>
      </c>
      <c r="AE224" s="3" t="str">
        <f t="array" ref="AE224">IFERROR(INDEX(CJ$7:CJ$378,SMALL(IF(CJ$7:CJ$378&lt;&gt;"",ROW(CJ$7:CJ$378)-ROW(CJ$7)+1),ROWS(CJ$7:CJ223))),"")</f>
        <v/>
      </c>
      <c r="AF224" s="3" t="str">
        <f t="array" ref="AF224">IFERROR(INDEX(CK$7:CK$378,SMALL(IF(CK$7:CK$378&lt;&gt;"",ROW(CK$7:CK$378)-ROW(CK$7)+1),ROWS(CK$7:CK223))),"")</f>
        <v/>
      </c>
      <c r="AG224" s="3" t="str">
        <f t="array" ref="AG224">IFERROR(INDEX(CL$7:CL$378,SMALL(IF(CL$7:CL$378&lt;&gt;"",ROW(CL$7:CL$378)-ROW(CL$7)+1),ROWS(CL$7:CL223))),"")</f>
        <v/>
      </c>
      <c r="AH224" s="3"/>
      <c r="AI224" s="3"/>
      <c r="AJ224" s="3"/>
      <c r="AK224" s="3"/>
      <c r="AL224" s="3"/>
      <c r="AM224" s="3"/>
      <c r="AN224" s="52" t="str">
        <f>IF(Atletas!D215="","",IF(Atletas!B215="Feminino",100,IF(Atletas!B215="Masculino",200,""))+(IF(Atletas!D215="Kids 30kg",1,IF(Atletas!D215="Kids 32kg",2, IF(Atletas!D215="Kids 34kg",3,IF(Atletas!D215="Kids 36kg",4,IF(Atletas!D215="Kids 39kg",5,IF(Atletas!D215="Kids 42kg",6,IF(Atletas!D215="Kids 45kg",7, IF(Atletas!D215="Infantil 39kg",8,IF(Atletas!D215="Infantil 42kg",9,IF(Atletas!D215="Infantil 45kg",10,IF(Atletas!D215="Infantil 48kg",11,IF(Atletas!D215="Infantil 52kg",12,IF(Atletas!D215="Infantil 56kg",13,IF(Atletas!D215="Infantil 60kg",14,IF(Atletas!D215="Juvenil 48kg",15,IF(Atletas!D215="Juvenil 52kg",16,IF(Atletas!D215="Juvenil 56kg",17,IF(Atletas!D215="Juvenil 60kg",18,IF(Atletas!D215="Juvenil 65kg",19,IF(Atletas!D215="Juvenil 70kg",20,IF(Atletas!D215="Juvenil 75kg",21,IF(Atletas!D215="Juvenil 80kg",22, IF(Atletas!D215="Juvenil 85kg",23,IF(Atletas!D215="Adulto 48kg",24,IF(Atletas!D215="Adulto 52kg",25,IF(Atletas!D215="Adulto 56kg",26,IF(Atletas!D215="Adulto 60kg",27,IF(Atletas!D215="Adulto 65kg",28,IF(Atletas!D215="Adulto 70kg",29,IF(Atletas!D215="Adulto 75kg",30,IF(Atletas!D215="Adulto 80kg",31,IF(Atletas!D215="Adulto 85kg",32,IF(Atletas!D215="Adulto 90kg",33,IF(Atletas!D215="Adulto 100kg",34, IF(Atletas!D215="Adulto +100kg",35,"")))))))))))))))))))))))))))))))))))))</f>
        <v/>
      </c>
      <c r="AS224" s="6" t="str">
        <f>IF(Atletas!E215="","",IF(Atletas!B215="Feminino",100,IF(Atletas!B215="Masculino",200,""))+(IF(Atletas!E215="Juvenil 44kg",1,IF(Atletas!E215="Juvenil 48kg",2,IF(Atletas!E215="Juvenil 52kg",3,IF(Atletas!E215="Juvenil 56kg",4,IF(Atletas!E215="Juvenil 60kg",5,IF(Atletas!E215="Juvenil 65kg",6,IF(Atletas!E215="Juvenil 70kg",7,IF(Atletas!E215="Juvenil 75kg",8,IF(Atletas!E215="Juvenil 82kg",9,IF(Atletas!E215="Juvenil 90kg",10,IF(Atletas!E215="Juvenil 100kg",11,IF(Atletas!E215="Adulto 48kg",12,IF(Atletas!E215="Adulto 52kg",13,IF(Atletas!E215="Adulto 56kg",14,IF(Atletas!E215="Adulto 60kg",15,IF(Atletas!E215="Adulto 65kg",16,IF(Atletas!E215="Adulto 70kg",17,IF(Atletas!E215="Adulto 75kg",18,IF(Atletas!E215="Adulto 82kg",19,IF(Atletas!E215="Adulto 90kg",20,IF(Atletas!E215="Adulto 100kg",21,IF(Atletas!E215="Adulto +100kg",22,""))))))))))))))))))))))))</f>
        <v/>
      </c>
      <c r="AX224" s="6" t="str">
        <f>IF(Atletas!F215="","",IF(Atletas!B215="Feminino",100,IF(Atletas!B215="Masculino",200,""))+(IF(Atletas!F215="Adulto 48kg",1,IF(Atletas!F215="Adulto 56kg",2,IF(Atletas!F215="Adulto 65kg",3,IF(Atletas!F215="Adulto 75kg",4,IF(Atletas!F215="Adulto +75kg",5,IF(Atletas!F215="Adulto 52kg",6,IF(Atletas!F215="Adulto 60kg",7,IF(Atletas!F215="Adulto 70kg",8,IF(Atletas!F215="Adulto 80kg",9,IF(Atletas!F215="Adulto 90kg",10,IF(Atletas!F215="Adulto +90kg",11,"")))))))))))))</f>
        <v/>
      </c>
      <c r="BC224" s="6" t="str">
        <f>IF(Atletas!G215="","",IF(Atletas!B215="Feminino",10,IF(Atletas!B215="Masculino",20,""))+(IF(Atletas!G215="Baduanjin A",1,IF(Atletas!G215="Baduanjin B",2))))</f>
        <v/>
      </c>
      <c r="BF224" s="52" t="str">
        <f>IF(Atletas!H215="","",IF(Atletas!B215="Feminino",100,IF(Atletas!B215="Masculino",200,""))+(IF(Atletas!H215="Changquan Mirim",1,IF(Atletas!H215="Nanquan Mirim",2,IF(Atletas!H215="Taijiquan Mirim",3,IF(Atletas!H215="Changquan Grupo C",4,IF(Atletas!H215="Nanquan Grupo C",5,IF(Atletas!H215="Taijiquan Grupo C",6,IF(Atletas!H215="Changquan Grupo B",7,IF(Atletas!H215="Nanquan Grupo B",8,IF(Atletas!H215="Taijiquan Grupo B",9,IF(Atletas!H215="Changquan Grupo A",10,IF(Atletas!H215="Nanquan Grupo A",11,IF(Atletas!H215="Taijiquan Grupo A",12,IF(Atletas!H215="Changquan Opcional",13,IF(Atletas!H215="Nanquan Opcional",14,IF(Atletas!H215="Taijiquan Opcional",15,IF(Atletas!H215="Changquan Adulto",16,IF(Atletas!H215="Nanquan Adulto",17,IF(Atletas!H215="Taijiquan Adulto",18,""))))))))))))))))))))</f>
        <v/>
      </c>
      <c r="BG224" s="52" t="str">
        <f>IF(Atletas!I215="","",IF(Atletas!B215="Feminino",100,IF(Atletas!B215="Masculino",200,""))+(IF(Atletas!I215="Daoshu Mirim",19,IF(Atletas!I215="Jianshu Mirim",20,IF(Atletas!I215="Nandao Mirim",21,IF(Atletas!I215="Taijijian Mirim",22,IF(Atletas!I215="Daoshu Grupo C",23,IF(Atletas!I215="Jianshu Grupo C",24,IF(Atletas!I215="Nandao Grupo C",25,IF(Atletas!I215="Taijijian Grupo C",26,IF(Atletas!I215="Daoshu Grupo B",27,IF(Atletas!I215="Jianshu Grupo B",28,IF(Atletas!I215="Nandao Grupo B",29,IF(Atletas!I215="Taijijian Grupo B",30,IF(Atletas!I215="Daoshu Grupo A",31,IF(Atletas!I215="Jianshu Grupo A",32,IF(Atletas!I215="Nandao Grupo A",33,IF(Atletas!I215="Taijijian Grupo A",34,IF(Atletas!I215="Daoshu Opcional",35,IF(Atletas!I215="Jianshu Opcional",36,IF(Atletas!I215="Nandao Opcional",37,IF(Atletas!I215="Taijijian Opcional",38,IF(Atletas!I215="Daoshu Adulto",39,IF(Atletas!I215="Jianshu Adulto",40,IF(Atletas!I215="Nandao Adulto",41,IF(Atletas!I215="Taijijian Adulto",42,""))))))))))))))))))))))))))</f>
        <v/>
      </c>
      <c r="BH224" s="52" t="str">
        <f>IF(Atletas!J215="","",IF(Atletas!B215="Feminino",100,IF(Atletas!B215="Masculino",200,""))+(IF(Atletas!J215="Gunshu Mirim",43,IF(Atletas!J215="Qiangshu Mirim",44,IF(Atletas!J215="Nangun Mirim",45,IF(Atletas!J215="Gunshu Grupo C",46,IF(Atletas!J215="Qiangshu Grupo C",47,IF(Atletas!J215="Nangun Grupo C",48,IF(Atletas!J215="Gunshu Grupo B",49,IF(Atletas!J215="Qiangshu Grupo B",50,IF(Atletas!J215="Nangun Grupo B",51,IF(Atletas!J215="Gunshu Grupo A",52,IF(Atletas!J215="Qiangshu Grupo A",53,IF(Atletas!J215="Nangun Grupo A",54,IF(Atletas!J215="Gunshu Opcional",55,IF(Atletas!J215="Qiangshu Opcional",56,IF(Atletas!J215="Nangun Opcional",57,IF(Atletas!J215="Gunshu Adulto",58,IF(Atletas!J215="Qiangshu Adulto",59,IF(Atletas!J215="Nangun Adulto",60,IF(Atletas!J215="Taijishan Grupo B",61,IF(Atletas!J215="Taijishan Grupo A",62,""))))))))))))))))))))))</f>
        <v/>
      </c>
      <c r="BM224" s="50" t="str">
        <f>IF(Atletas!K215="","",IF(Atletas!B215="Feminino",100,IF(Atletas!B215="Masculino",200,""))+(IF(Atletas!K215="Equipe 1 Grupo B",1,IF(Atletas!K215="Equipe 2 Grupo B",2,IF(Atletas!K215="Equipe 1 Grupo A",3,IF(Atletas!K215="Equipe 2 Grupo A",4,IF(Atletas!K215="Equipe 1 Adulto",5,IF(Atletas!K215="Equipe 2 Adulto",6,""))))))))</f>
        <v/>
      </c>
      <c r="BR224" s="50" t="str">
        <f>IF(Atletas!L215="","",IF(Atletas!X215&lt;&gt;"",10000,0)+(IF(Atletas!B215="Feminino",1000,IF(Atletas!B215="Masculino",2000,""))+IF(Atletas!L215="Choylayfut A",1,IF(Atletas!L215="Hunggar A",2,IF(Atletas!L215="Wuzuquan A",3,IF(Atletas!L215="Wingchun A",4,IF(Atletas!L215="Outra Mão de Sul A",5,IF(Atletas!L215="Choylayfut B",6,IF(Atletas!L215="Hunggar B",7,IF(Atletas!L215="Wuzuquan B",8,IF(Atletas!L215="Wingchun B",9,IF(Atletas!L215="Outra Mão de Sul B",10,IF(Atletas!L215="Choylayfut C",11,IF(Atletas!L215="Hunggar C",12,IF(Atletas!L215="Wuzuquan C",13,IF(Atletas!L215="Wingchun C",14,IF(Atletas!L215="Outra Mão de Sul C",15,IF(Atletas!L215="Choylayfut D",16,IF(Atletas!L215="Hunggar D",17,IF(Atletas!L215="Wuzuquan D",18,IF(Atletas!L215="Wingchun D",19,IF(Atletas!L215="Outra Mão de Sul D",20,IF(Atletas!L215="Choylayfut E",21,IF(Atletas!L215="Hunggar E",22,IF(Atletas!L215="Wuzuquan E",23,IF(Atletas!L215="Wingchun E",24,IF(Atletas!L215="Outra Mão de Sul E",25,IF(Atletas!L215="Choylayfut F",26,IF(Atletas!L215="Hunggar F",27,IF(Atletas!L215="Wuzuquan F",28,IF(Atletas!L215="Wingchun F",29,IF(Atletas!L215="Outra Mão de Sul F",30,IF(Atletas!L215="Dishuquan A",31,IF(Atletas!L215="Dishuquan B",32,IF(Atletas!L215="Dishuquan C",33,IF(Atletas!L215="Dishuquan D",34,IF(Atletas!L215="Dishuquan E",35,IF(Atletas!L215="Dishuquan F",36,""))))))))))))))))))))))))))))))))))))))</f>
        <v/>
      </c>
      <c r="BS224" s="50" t="str">
        <f>IF(Atletas!M215="","",IF(Atletas!X215&lt;&gt;"",10000,0)+(IF(Atletas!B215="Feminino",1000,IF(Atletas!B215="Masculino",2000,""))+(IF(Atletas!M215="Chaquan A",101,IF(Atletas!M215="Emeiquan A",102,IF(Atletas!M215="Fanziquan A",103,IF(Atletas!M215="Huaquan A",104,IF(Atletas!M215="Hongquan A",105,IF(Atletas!M215="Paoquan A",106,IF(Atletas!M215="Piguaquan A",107,IF(Atletas!M215="Shaolinquan A",108,IF(Atletas!M215="Tanglangquan A",109,IF(Atletas!M215="Yingzhaoquan A",110,IF(Atletas!M215="Tongbeiquan A",111,IF(Atletas!M215="Wudangquan A",112,IF(Atletas!M215="Outros Estilos A",113,IF(Atletas!M215="Chaquan B",114,IF(Atletas!M215="Emeiquan B",115,IF(Atletas!M215="Fanziquan B",116,IF(Atletas!M215="Huaquan B",117,IF(Atletas!M215="Hongquan B",118,IF(Atletas!M215="Paoquan B",119,IF(Atletas!M215="Piguaquan B",120,IF(Atletas!M215="Shaolinquan B",121,IF(Atletas!M215="Tanglangquan B",122,IF(Atletas!M215="Yingzhaoquan B",123,IF(Atletas!M215="Tongbeiquan B",124,IF(Atletas!M215="Wudangquan B",125,IF(Atletas!M215="Outros Estilos B",126,IF(Atletas!M215="Chaquan C",127,IF(Atletas!M215="Emeiquan C",128,IF(Atletas!M215="Fanziquan C",129,IF(Atletas!M215="Huaquan C",130,IF(Atletas!M215="Hongquan C",131,IF(Atletas!M215="Paoquan C",132,IF(Atletas!M215="Piguaquan C",133,IF(Atletas!M215="Shaolinquan C",134,IF(Atletas!M215="Tanglangquan C",135,IF(Atletas!M215="Yingzhaoquan C",136,IF(Atletas!M215="Tongbeiquan C",137,IF(Atletas!M215="Wudangquan C",138,IF(Atletas!M215="Outros Estilos C",139,0))))))))))))))))))))))))))))))))))))))))))</f>
        <v/>
      </c>
      <c r="BT224" s="50" t="str">
        <f>IF(Atletas!M215="","",IF(Atletas!X215&lt;&gt;"",10000,0)+(IF(Atletas!B215="Feminino",1000,IF(Atletas!B215="Masculino",2000,""))+(IF(Atletas!M215="Chaquan D",140,IF(Atletas!M215="Emeiquan D",141,IF(Atletas!M215="Fanziquan D",142,IF(Atletas!M215="Huaquan D",143,IF(Atletas!M215="Hongquan D",144,IF(Atletas!M215="Paoquan D",145,IF(Atletas!M215="Piguaquan D",146,IF(Atletas!M215="Shaolinquan D",147,IF(Atletas!M215="Tanglangquan D",148,IF(Atletas!M215="Yingzhaoquan D",149,IF(Atletas!M215="Tongbeiquan D",150,IF(Atletas!M215="Wudangquan D",151,IF(Atletas!M215="Outros Estilos D",152,IF(Atletas!M215="Chaquan E",153,IF(Atletas!M215="Emeiquan E",154,IF(Atletas!M215="Fanziquan E",155,IF(Atletas!M215="Huaquan E",156,IF(Atletas!M215="Hongquan E",157,IF(Atletas!M215="Paoquan E",158,IF(Atletas!M215="Piguaquan E",159,IF(Atletas!M215="Shaolinquan E",160,IF(Atletas!M215="Tanglangquan E",161,IF(Atletas!M215="Yingzhaoquan E",162,IF(Atletas!M215="Tongbeiquan E",163,IF(Atletas!M215="Wudangquan E",164,IF(Atletas!M215="Outros Estilos E",165,IF(Atletas!M215="Chaquan F",166,IF(Atletas!M215="Emeiquan F",167,IF(Atletas!M215="Fanziquan F",168,IF(Atletas!M215="Huaquan F",169,IF(Atletas!M215="Hongquan F",170,IF(Atletas!M215="Paoquan F",171,IF(Atletas!M215="Piguaquan F",172,IF(Atletas!M215="Shaolinquan F",173,IF(Atletas!M215="Tanglangquan F",174,IF(Atletas!M215="Yingzhaoquan F",175,IF(Atletas!M215="Tongbeiquan F",176,IF(Atletas!M215="Wudangquan F",177,IF(Atletas!M215="Outros Estilos F",178,0))))))))))))))))))))))))))))))))))))))))))</f>
        <v/>
      </c>
      <c r="BU224" s="50" t="str">
        <f>IF(Atletas!N215="","",IF(Atletas!X215&lt;&gt;"",10000,0)+(IF(Atletas!B215="Feminino",1000,IF(Atletas!B215="Masculino",2000,""))+(IF(Atletas!N215="Ditangquan A",201,IF(Atletas!N215="Houquan A",202,IF(Atletas!N215="Zuiquan A",203,IF(Atletas!N215="Ditangquan B",204,IF(Atletas!N215="Houquan B",205,IF(Atletas!N215="Zuiquan B",206,IF(Atletas!N215="Ditangquan C",207,IF(Atletas!N215="Houquan C",208,IF(Atletas!N215="Zuiquan C",209,IF(Atletas!N215="Ditangquan D",210,IF(Atletas!N215="Houquan D",211,IF(Atletas!N215="Zuiquan D",212,IF(Atletas!N215="Ditangquan E",213,IF(Atletas!N215="Houquan E",214,IF(Atletas!N215="Zuiquan E",215,IF(Atletas!N215="Ditangquan F",216,IF(Atletas!N215="Houquan F",217,IF(Atletas!N215="Zuiquan F",218,"")))))))))))))))))))))</f>
        <v/>
      </c>
      <c r="BV224" s="50" t="str">
        <f>IF(Atletas!O215="","",IF(Atletas!X215&lt;&gt;"",10000,0)+IF(Atletas!B215="Feminino",1000,IF(Atletas!B215="Masculino",2000,""))+IF(Atletas!O215="Yang A",301,IF(Atletas!O215="Chen A",302,IF(Atletas!O215="Sun A",303,IF(Atletas!O215="Wu A",304,IF(Atletas!O215="Wu-Hao A",305,IF(Atletas!O215="Outro Taijiquan A",306,IF(Atletas!O215="Yang B",307,IF(Atletas!O215="Chen B",308,IF(Atletas!O215="Sun B",309,IF(Atletas!O215="Wu B",310,IF(Atletas!O215="Wu-Hao B",311,IF(Atletas!O215="Outro Taijiquan B",312,IF(Atletas!O215="Yang C",313,IF(Atletas!O215="Chen C",314,IF(Atletas!O215="Sun C",315,IF(Atletas!O215="Wu C",316,IF(Atletas!O215="Wu-Hao C",317,IF(Atletas!O215="Outro Taijiquan C",318,IF(Atletas!O215="Yang D",319,IF(Atletas!O215="Chen D",320,IF(Atletas!O215="Sun D",321,IF(Atletas!O215="Wu D",322,IF(Atletas!O215="Wu-Hao D",323,IF(Atletas!O215="Outro Taijiquan D",324,IF(Atletas!O215="Yang E",325,IF(Atletas!O215="Chen E",326,IF(Atletas!O215="Sun E",327,IF(Atletas!O215="Wu E",328,IF(Atletas!O215="Wu-Hao E",329,IF(Atletas!O215="Outro Taijiquan E",330,IF(Atletas!O215="Yang F",331,IF(Atletas!O215="Chen F",332,IF(Atletas!O215="Sun F",333,IF(Atletas!O215="Wu F",334,IF(Atletas!O215="Wu-Hao F",335,IF(Atletas!O215="Outro Taijiquan F",336,"")))))))))))))))))))))))))))))))))))))</f>
        <v/>
      </c>
      <c r="BW224" s="50" t="str">
        <f>IF(Atletas!P215="","",IF(Atletas!X215&lt;&gt;"",10000,0)+IF(Atletas!B215="Feminino",1000,IF(Atletas!B215="Masculino",2000,""))+IF(OR(Atletas!P215="Yang 26 A",Atletas!P215="Yang 40 A"),401,IF(OR(Atletas!P215="Chen 25 A",Atletas!P215="Chen 36 A",Atletas!P215="Chen 56 A"),402,IF(Atletas!P215="Sun 73 A",403,IF(Atletas!P215="Wu 45 A",404,IF(Atletas!P215="Wu-Hao 46 A",405,IF(OR(Atletas!P215="Taijiquan 16 A",Atletas!P215="Taijiquan 24 A",Atletas!P215="Taijiquan 32 A",Atletas!P215="Taijiquan 42 A"),406,IF(OR(Atletas!P215="Yang 26 B",Atletas!P215="Yang 40 B"),407,IF(OR(Atletas!P215="Chen 25 B",Atletas!P215="Chen 36 B",Atletas!P215="Chen 56 B"),408,IF(Atletas!P215="Sun 73 B",409,IF(Atletas!P215="Wu 45 B",410,IF(Atletas!P215="Wu-Hao 46 B",411,IF(OR(Atletas!P215="Taijiquan 16 B",Atletas!P215="Taijiquan 24 B",Atletas!P215="Taijiquan 32 B",Atletas!P215="Taijiquan 42 B"),412,IF(OR(Atletas!P215="Yang 26 C",Atletas!P215="Yang 40 C"),413,IF(OR(Atletas!P215="Chen 25 C",Atletas!P215="Chen 36 C",Atletas!P215="Chen 56 C"),414,IF(Atletas!P215="Sun 73 C",415,IF(Atletas!P215="Wu 45 C",416,IF(Atletas!P215="Wu-Hao 46 C",417,IF(OR(Atletas!P215="Taijiquan 16 C",Atletas!P215="Taijiquan 24 C",Atletas!P215="Taijiquan 32 C",Atletas!P215="Taijiquan 42 C"),418,0)))))))))))))))))))</f>
        <v/>
      </c>
      <c r="BX224" s="50" t="str">
        <f>IF(Atletas!P215="","",IF(Atletas!X215&lt;&gt;"",10000,0)+IF(Atletas!B215="Feminino",1000,IF(Atletas!B215="Masculino",2000,""))+IF(OR(Atletas!P215="Yang 26 D",Atletas!P215="Yang 40 D"),419,IF(OR(Atletas!P215="Chen 25 D",Atletas!P215="Chen 36 D",Atletas!P215="Chen 56 D"),420,IF(Atletas!P215="Sun 73 D",421,IF(Atletas!P215="Wu 45 D",422,IF(Atletas!P215="Wu-Hao 46 D",423,IF(OR(Atletas!P215="Taijiquan 16 D",Atletas!P215="Taijiquan 24 D",Atletas!P215="Taijiquan 32 D",Atletas!P215="Taijiquan 42 D"),424,IF(OR(Atletas!P215="Yang 26 E",Atletas!P215="Yang 40 E"),425,IF(OR(Atletas!P215="Chen 25 E",Atletas!P215="Chen 36 E",Atletas!P215="Chen 56 E"),426,IF(Atletas!P215="Sun 73 E",427,IF(Atletas!P215="Wu 45 E",428,IF(Atletas!P215="Wu-Hao 46 E",429,IF(OR(Atletas!P215="Taijiquan 16 E",Atletas!P215="Taijiquan 24 E",Atletas!P215="Taijiquan 32 E",Atletas!P215="Taijiquan 42 E"),430,IF(OR(Atletas!P215="Yang 26 F",Atletas!P215="Yang 40 F"),431,IF(OR(Atletas!P215="Chen 25 F",Atletas!P215="Chen 36 F",Atletas!P215="Chen 56 F"),432,IF(Atletas!P215="Sun 73 F",433,IF(Atletas!P215="Wu 45 F",434,IF(Atletas!P215="Wu-Hao 46 F",435,IF(OR(Atletas!P215="Taijiquan 16 F",Atletas!P215="Taijiquan 24 F",Atletas!P215="Taijiquan 32 F",Atletas!P215="Taijiquan 42 F"),436,0)))))))))))))))))))</f>
        <v/>
      </c>
      <c r="BY224" s="50" t="str">
        <f>IF(Atletas!Q215="","",IF(Atletas!X215&lt;&gt;"",10000,0)+IF(Atletas!B215="Feminino",1000,IF(Atletas!B215="Masculino",2000,""))+IF(Atletas!Q215="Xingyiquan A",501,IF(Atletas!Q215="Baguazhang A",502,IF(Atletas!Q215="Outro Estilo Interno A",503,IF(Atletas!Q215="Xingyiquan B",504,IF(Atletas!Q215="Baguazhang B",505,IF(Atletas!Q215="Outro Estilo Interno B",506,IF(Atletas!Q215="Xingyiquan C",507,IF(Atletas!Q215="Baguazhang C",508,IF(Atletas!Q215="Outro Estilo Interno C",509,IF(Atletas!Q215="Xingyiquan D",510,IF(Atletas!Q215="Baguazhang D",511,IF(Atletas!Q215="Outro Estilo Interno D",512,IF(Atletas!Q215="Xingyiquan E",513,IF(Atletas!Q215="Baguazhang E",514,IF(Atletas!Q215="Outro Estilo Interno E",515,IF(Atletas!Q215="Xingyiquan F",516,IF(Atletas!Q215="Baguazhang F",517,IF(Atletas!Q215="Outro Estilo Interno F",518, "")))))))))))))))))))</f>
        <v/>
      </c>
      <c r="BZ224" s="50" t="str">
        <f>IF(Atletas!R215="","",IF(Atletas!X215&lt;&gt;"",10000,0)+IF(Atletas!B215="Feminino",1000,IF(Atletas!B215="Masculino",2000,""))+IF(Atletas!R215="Dao A",601,IF(Atletas!R215="Jian A",602,IF(Atletas!R215="Bishou A",603,IF(Atletas!R215="Shanzi A",604,IF(Atletas!R215="Outra Arma Curta A",605,IF(Atletas!R215="Dao B",606,IF(Atletas!R215="Jian B",607,IF(Atletas!R215="Bishou B",608,IF(Atletas!R215="Shanzi B",609,IF(Atletas!R215="Outra Arma Curta B",610,IF(Atletas!R215="Dao C",611,IF(Atletas!R215="Jian C",612,IF(Atletas!R215="Bishou C",613,IF(Atletas!R215="Shanzi C",614,IF(Atletas!R215="Outra Arma Curta C",615,IF(Atletas!R215="Dao D",616,IF(Atletas!R215="Jian D",617,IF(Atletas!R215="Bishou D",618,IF(Atletas!R215="Shanzi D",619,IF(Atletas!R215="Outra Arma Curta D",620,IF(Atletas!R215="Dao E",621,IF(Atletas!R215="Jian E",622,IF(Atletas!R215="Bishou E",623,IF(Atletas!R215="Shanzi E",624,IF(Atletas!R215="Outra Arma Curta E",625,IF(Atletas!R215="Dao F",626,IF(Atletas!R215="Jian F",627,IF(Atletas!R215="Bishou F",628,IF(Atletas!R215="Shanzi F",629,IF(Atletas!R215="Outra Arma Curta F",630, "")))))))))))))))))))))))))))))))</f>
        <v/>
      </c>
      <c r="CA224" s="50" t="str">
        <f>IF(Atletas!S215="","",IF(Atletas!X215&lt;&gt;"",10000,0)+IF(Atletas!B215="Feminino",1000,IF(Atletas!B215="Masculino",2000,""))+IF(Atletas!S215="Gun A",701,IF(Atletas!S215="Qiang A",702,IF(Atletas!S215="Pudao / Guandao A",703,IF(Atletas!S215="Outra Arma Longa A",704,IF(Atletas!S215="Gun B",705,IF(Atletas!S215="Qiang B",706,IF(Atletas!S215="Pudao / Guandao B",707,IF(Atletas!S215="Outra Arma Longa B",708,IF(Atletas!S215="Gun C",709,IF(Atletas!S215="Qiang C",710,IF(Atletas!S215="Pudao / Guandao C",711,IF(Atletas!S215="Outra Arma Longa C",712,IF(Atletas!S215="Gun D",713,IF(Atletas!S215="Qiang D",714,IF(Atletas!S215="Pudao / Guandao D",715,IF(Atletas!S215="Outra Arma Longa D",716,IF(Atletas!S215="Gun E",717,IF(Atletas!S215="Qiang E",718,IF(Atletas!S215="Pudao / Guandao E",719,IF(Atletas!S215="Outra Arma Longa E",720,IF(Atletas!S215="Gun F",721,IF(Atletas!S215="Qiang F",722,IF(Atletas!S215="Pudao / Guandao F",723,IF(Atletas!S215="Outra Arma Longa F",724,"")))))))))))))))))))))))))</f>
        <v/>
      </c>
      <c r="CB224" s="50" t="str">
        <f>IF(Atletas!T215="","",IF(Atletas!X215&lt;&gt;"",10000,0)+IF(Atletas!B215="Feminino",1000,IF(Atletas!B215="Masculino",2000,""))+IF(Atletas!T215="Outra Arma Dupla A",801,IF(Atletas!T215="Arma Maleável A",802,IF(Atletas!T215="Outra Arma Dupla B",803,IF(Atletas!T215="Arma Maleável B",804,IF(Atletas!T215="Outra Arma Dupla C",805,IF(Atletas!T215="Arma Maleável C",806,IF(Atletas!T215="Outra Arma Dupla D",807,IF(Atletas!T215="Arma Maleável D",808,IF(Atletas!T215="Outra Arma Dupla E",809,IF(Atletas!T215="Arma Maleável E",810,IF(Atletas!T215="Outra Arma Dupla F",811,IF(Atletas!T215="Arma Maleável F",812,IF(Atletas!T215="Shuangdao A",813,IF(Atletas!T215="Shuangdao B",814,IF(Atletas!T215="Shuangdao C",815,IF(Atletas!T215="Shuangdao D",816,IF(Atletas!T215="Shuangdao E",817,IF(Atletas!T215="Shuangdao F",818,"")))))))))))))))))))</f>
        <v/>
      </c>
      <c r="CC224" s="50" t="str">
        <f>IF(Atletas!U215="","",IF(Atletas!X215&lt;&gt;"",10000,0)+IF(Atletas!B215="Feminino",1000,IF(Atletas!B215="Masculino",2000,""))+IF(OR(Atletas!U215="Taijijian Yang A",Atletas!U215="Taijijian Yang Standard A"),901,IF(OR(Atletas!U215="Taijijian Chen A", Atletas!U215="Taijijian Chen Standard A"),902,IF(Atletas!U215="Taijijian Sun A",903,IF(Atletas!U215="Taijijian Wu A",904,IF(Atletas!U215="Taijijian Wu-Hao A",905,IF(OR(Atletas!U215="Taijijian 32 A",Atletas!U215="Taijijian 42 A"),906,IF(OR(Atletas!U215="Taijijian Yang B",Atletas!U215="Taijijian Yang Standard B"),907,IF(OR(Atletas!U215="Taijijian Chen B", Atletas!U215="Taijijian Chen Standard B"),908,IF(Atletas!U215="Taijijian Sun B",909,IF(Atletas!U215="Taijijian Wu B",910,IF(Atletas!U215="Taijijian Wu-Hao B",911,IF(OR(Atletas!U215="Taijijian 32 B",Atletas!U215="Taijijian 42 B"),912,IF(OR(Atletas!U215="Taijijian Yang C",Atletas!U215="Taijijian Yang Standard C"),913,IF(OR(Atletas!U215="Taijijian Chen C", Atletas!U215="Taijijian Chen Standard C"),914,IF(Atletas!U215="Taijijian Sun C",915,IF(Atletas!U215="Taijijian Wu C",916,IF(Atletas!U215="Taijijian Wu-Hao C",917,IF(OR(Atletas!U215="Taijijian 32 C",Atletas!U215="Taijijian 42 C"),918,IF(OR(Atletas!U215="Taijijian Yang D",Atletas!U215="Taijijian Yang Standard D"),919,IF(OR(Atletas!U215="Taijijian Chen D", Atletas!U215="Taijijian Chen Standard D"),920,IF(Atletas!U215="Taijijian Sun D",921,IF(Atletas!U215="Taijijian Wu D",922,IF(Atletas!U215="Taijijian Wu-Hao D",923,IF(OR(Atletas!U215="Taijijian 32 D",Atletas!U215="Taijijian 42 D"),924,IF(OR(Atletas!U215="Taijijian Yang E",Atletas!U215="Taijijian Yang Standard E"),925,IF(OR(Atletas!U215="Taijijian Chen E", Atletas!U215="Taijijian Chen Standard E"),926,IF(Atletas!U215="Taijijian Sun E",927,IF(Atletas!U215="Taijijian Wu E",928,IF(Atletas!U215="Taijijian Wu-Hao E",929,IF(OR(Atletas!U215="Taijijian 32 E",Atletas!U215="Taijijian 42 E"),930,IF(OR(Atletas!U215="Taijijian Yang F",Atletas!U215="Taijijian Yang Standard F"),931,IF(OR(Atletas!U215="Taijijian Chen F", Atletas!U215="Taijijian Chen Standard F"),932,IF(Atletas!U215="Taijijian Sun F",933,IF(Atletas!U215="Taijijian Wu F",934,IF(Atletas!U215="Taijijian Wu-Hao F",935,IF(OR(Atletas!U215="Taijijian 32 F",Atletas!U215="Taijijian 42 F"),936,"")))))))))))))))))))))))))))))))))))))</f>
        <v/>
      </c>
      <c r="CD224" s="50" t="str">
        <f>IF(Atletas!V215="","",IF(Atletas!X215&lt;&gt;"",10000,0)+IF(Atletas!B215="Feminino",1000,IF(Atletas!B215="Masculino",2000,""))+IF(Atletas!V215="Taijidao A",937,IF(Atletas!V215="TaijiShanzi A",938,IF(Atletas!V215="Taijiqiang A",939,IF(Atletas!V215="Bagua de Arma A",940,IF(Atletas!V215="Xingyi de Arma A",941,IF(Atletas!V215="Taijidao B",942,IF(Atletas!V215="TaijiShanzi B",943,IF(Atletas!V215="Taijiqiang B",944,IF(Atletas!V215="Bagua de Arma B",945,IF(Atletas!V215="Xingyi de Arma B",946,IF(Atletas!V215="Taijidao C",947,IF(Atletas!V215="TaijiShanzi C",948,IF(Atletas!V215="Taijiqiang C",949,IF(Atletas!V215="Bagua de Arma C",950,IF(Atletas!V215="Xingyi de Arma C",951,IF(Atletas!V215="Taijidao D",952,IF(Atletas!V215="TaijiShanzi D",953,IF(Atletas!V215="Taijiqiang D",954,IF(Atletas!V215="Bagua de Arma D",955,IF(Atletas!V215="Xingyi de Arma D",956,IF(Atletas!V215="Taijidao E",957,IF(Atletas!V215="TaijiShanzi E",958,IF(Atletas!V215="Taijiqiang E",959,IF(Atletas!V215="Bagua de Arma E",960,IF(Atletas!V215="Xingyi de Arma E",961,IF(Atletas!V215="Taijidao F",962,IF(Atletas!V215="TaijiShanzi F",963,IF(Atletas!V215="Taijiqiang F",964,IF(Atletas!V215="Bagua de Arma F",965,IF(Atletas!V215="Xingyi de Arma F",966,"")))))))))))))))))))))))))))))))</f>
        <v/>
      </c>
      <c r="CE224" s="66" t="str">
        <f>IF(CF224&lt;&gt;"","Baguazhang E ","")</f>
        <v/>
      </c>
      <c r="CF224" s="66" t="str">
        <f>IF(COUNTIF(BR:CD,1514)&gt;0,COUNTIF(BR:CD,1514),"")</f>
        <v/>
      </c>
      <c r="CG224" s="66" t="str">
        <f>IF(CH224&lt;&gt;"","Baguazhang E ","")</f>
        <v/>
      </c>
      <c r="CH224" s="66" t="str">
        <f>IF(COUNTIF(BR:CD,2514)&gt;0,COUNTIF(BR:CD,2514),"")</f>
        <v/>
      </c>
      <c r="CI224" s="66" t="str">
        <f>IF(CJ224&lt;&gt;"","Jian A","")</f>
        <v/>
      </c>
      <c r="CJ224" s="66" t="str">
        <f>IF(COUNTIF(BR:CD,11602)&gt;0,COUNTIF(BR:CD,11602),"")</f>
        <v/>
      </c>
      <c r="CK224" s="66" t="str">
        <f>IF(CL224&lt;&gt;"","Jian A","")</f>
        <v/>
      </c>
      <c r="CL224" s="66" t="str">
        <f>IF(COUNTIF(BR:CD,12602)&gt;0,COUNTIF(BR:CD,12602),"")</f>
        <v/>
      </c>
      <c r="CM224" s="50" t="str">
        <f xml:space="preserve"> IF(Atletas!W215="","",IF(Atletas!W215="Duilian de Mãos BC - Equipe 1",1,IF(Atletas!W215="Duilian de Mãos BC - Equipe 2",2,IF(Atletas!W215="Duilian de Armas BC - Equipe 1",3,IF(Atletas!W215="Duilian de Armas BC - Equipe 2",4,IF(Atletas!W215="Duilian de Mãos DE - Equipe 1",5,IF(Atletas!W215="Duilian de Mãos DE - Equipe 2",6,IF(Atletas!W215="Duilian de Armas DE - Equipe 1",7,IF(Atletas!W215="Duilian de Armas DE - Equipe 2",8,IF(Atletas!W215="Duilian de Tuishou - Equipe 1",9,IF(Atletas!W215="Duilian de Tuishou - Equipe 2",10,IF(Atletas!W215="Grupo Externo ABC - Equipe 1",11,IF(Atletas!W215="Grupo Externo ABC - Equipe 2",12,IF(Atletas!W215="Grupo Interno ABC - Equipe 1",13,IF(Atletas!W215="Grupo Interno ABC - Equipe 2",14,IF(Atletas!W215="Grupo Externo DEF - Equipe 1",15,IF(Atletas!W215="Grupo Externo DEF - Equipe 2",16,IF(Atletas!W215="Grupo Interno DEF - Equipe 1",17,IF(Atletas!W215="Grupo Interno DEF - Equipe 2",18,"")))))))))))))))))))</f>
        <v/>
      </c>
    </row>
    <row r="225" spans="2:91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 t="str">
        <f t="array" ref="Z225">IFERROR(INDEX(CE$7:CE$348,SMALL(IF(CE$7:CE$348&lt;&gt;"",ROW(CE$7:CE$348)-ROW(CE$7)+1),ROWS(CE$7:CE224))),"")</f>
        <v/>
      </c>
      <c r="AA225" s="3" t="str">
        <f t="array" ref="AA225">IFERROR(INDEX(CF$7:CF$348,SMALL(IF(CF$7:CF$348&lt;&gt;"",ROW(CF$7:CF$348)-ROW(CF$7)+1),ROWS(CF$7:CF224))),"")</f>
        <v/>
      </c>
      <c r="AB225" s="3" t="str">
        <f t="array" ref="AB225">IFERROR(INDEX(CG$7:CG$348,SMALL(IF(CG$7:CG$348&lt;&gt;"",ROW(CG$7:CG$348)-ROW(CG$7)+1),ROWS(CG$7:CG224))),"")</f>
        <v/>
      </c>
      <c r="AC225" s="3" t="str">
        <f t="array" ref="AC225">IFERROR(INDEX(CH$7:CH$348,SMALL(IF(CH$7:CH$348&lt;&gt;"",ROW(CH$7:CH$348)-ROW(CH$7)+1),ROWS(CH$7:CH224))),"")</f>
        <v/>
      </c>
      <c r="AD225" s="3" t="str">
        <f t="array" ref="AD225">IFERROR(INDEX(CI$7:CI$377,SMALL(IF(CI$7:CI$377&lt;&gt;"",ROW(CI$7:CI$377)-ROW(CI$7)+1),ROWS(CI$7:CI224))),"")</f>
        <v/>
      </c>
      <c r="AE225" s="3" t="str">
        <f t="array" ref="AE225">IFERROR(INDEX(CJ$7:CJ$378,SMALL(IF(CJ$7:CJ$378&lt;&gt;"",ROW(CJ$7:CJ$378)-ROW(CJ$7)+1),ROWS(CJ$7:CJ224))),"")</f>
        <v/>
      </c>
      <c r="AF225" s="3" t="str">
        <f t="array" ref="AF225">IFERROR(INDEX(CK$7:CK$378,SMALL(IF(CK$7:CK$378&lt;&gt;"",ROW(CK$7:CK$378)-ROW(CK$7)+1),ROWS(CK$7:CK224))),"")</f>
        <v/>
      </c>
      <c r="AG225" s="3" t="str">
        <f t="array" ref="AG225">IFERROR(INDEX(CL$7:CL$378,SMALL(IF(CL$7:CL$378&lt;&gt;"",ROW(CL$7:CL$378)-ROW(CL$7)+1),ROWS(CL$7:CL224))),"")</f>
        <v/>
      </c>
      <c r="AH225" s="3"/>
      <c r="AI225" s="3"/>
      <c r="AJ225" s="3"/>
      <c r="AK225" s="3"/>
      <c r="AL225" s="3"/>
      <c r="AM225" s="3"/>
      <c r="AN225" s="52" t="str">
        <f>IF(Atletas!D216="","",IF(Atletas!B216="Feminino",100,IF(Atletas!B216="Masculino",200,""))+(IF(Atletas!D216="Kids 30kg",1,IF(Atletas!D216="Kids 32kg",2, IF(Atletas!D216="Kids 34kg",3,IF(Atletas!D216="Kids 36kg",4,IF(Atletas!D216="Kids 39kg",5,IF(Atletas!D216="Kids 42kg",6,IF(Atletas!D216="Kids 45kg",7, IF(Atletas!D216="Infantil 39kg",8,IF(Atletas!D216="Infantil 42kg",9,IF(Atletas!D216="Infantil 45kg",10,IF(Atletas!D216="Infantil 48kg",11,IF(Atletas!D216="Infantil 52kg",12,IF(Atletas!D216="Infantil 56kg",13,IF(Atletas!D216="Infantil 60kg",14,IF(Atletas!D216="Juvenil 48kg",15,IF(Atletas!D216="Juvenil 52kg",16,IF(Atletas!D216="Juvenil 56kg",17,IF(Atletas!D216="Juvenil 60kg",18,IF(Atletas!D216="Juvenil 65kg",19,IF(Atletas!D216="Juvenil 70kg",20,IF(Atletas!D216="Juvenil 75kg",21,IF(Atletas!D216="Juvenil 80kg",22, IF(Atletas!D216="Juvenil 85kg",23,IF(Atletas!D216="Adulto 48kg",24,IF(Atletas!D216="Adulto 52kg",25,IF(Atletas!D216="Adulto 56kg",26,IF(Atletas!D216="Adulto 60kg",27,IF(Atletas!D216="Adulto 65kg",28,IF(Atletas!D216="Adulto 70kg",29,IF(Atletas!D216="Adulto 75kg",30,IF(Atletas!D216="Adulto 80kg",31,IF(Atletas!D216="Adulto 85kg",32,IF(Atletas!D216="Adulto 90kg",33,IF(Atletas!D216="Adulto 100kg",34, IF(Atletas!D216="Adulto +100kg",35,"")))))))))))))))))))))))))))))))))))))</f>
        <v/>
      </c>
      <c r="AS225" s="6" t="str">
        <f>IF(Atletas!E216="","",IF(Atletas!B216="Feminino",100,IF(Atletas!B216="Masculino",200,""))+(IF(Atletas!E216="Juvenil 44kg",1,IF(Atletas!E216="Juvenil 48kg",2,IF(Atletas!E216="Juvenil 52kg",3,IF(Atletas!E216="Juvenil 56kg",4,IF(Atletas!E216="Juvenil 60kg",5,IF(Atletas!E216="Juvenil 65kg",6,IF(Atletas!E216="Juvenil 70kg",7,IF(Atletas!E216="Juvenil 75kg",8,IF(Atletas!E216="Juvenil 82kg",9,IF(Atletas!E216="Juvenil 90kg",10,IF(Atletas!E216="Juvenil 100kg",11,IF(Atletas!E216="Adulto 48kg",12,IF(Atletas!E216="Adulto 52kg",13,IF(Atletas!E216="Adulto 56kg",14,IF(Atletas!E216="Adulto 60kg",15,IF(Atletas!E216="Adulto 65kg",16,IF(Atletas!E216="Adulto 70kg",17,IF(Atletas!E216="Adulto 75kg",18,IF(Atletas!E216="Adulto 82kg",19,IF(Atletas!E216="Adulto 90kg",20,IF(Atletas!E216="Adulto 100kg",21,IF(Atletas!E216="Adulto +100kg",22,""))))))))))))))))))))))))</f>
        <v/>
      </c>
      <c r="AX225" s="6" t="str">
        <f>IF(Atletas!F216="","",IF(Atletas!B216="Feminino",100,IF(Atletas!B216="Masculino",200,""))+(IF(Atletas!F216="Adulto 48kg",1,IF(Atletas!F216="Adulto 56kg",2,IF(Atletas!F216="Adulto 65kg",3,IF(Atletas!F216="Adulto 75kg",4,IF(Atletas!F216="Adulto +75kg",5,IF(Atletas!F216="Adulto 52kg",6,IF(Atletas!F216="Adulto 60kg",7,IF(Atletas!F216="Adulto 70kg",8,IF(Atletas!F216="Adulto 80kg",9,IF(Atletas!F216="Adulto 90kg",10,IF(Atletas!F216="Adulto +90kg",11,"")))))))))))))</f>
        <v/>
      </c>
      <c r="BC225" s="6" t="str">
        <f>IF(Atletas!G216="","",IF(Atletas!B216="Feminino",10,IF(Atletas!B216="Masculino",20,""))+(IF(Atletas!G216="Baduanjin A",1,IF(Atletas!G216="Baduanjin B",2))))</f>
        <v/>
      </c>
      <c r="BF225" s="52" t="str">
        <f>IF(Atletas!H216="","",IF(Atletas!B216="Feminino",100,IF(Atletas!B216="Masculino",200,""))+(IF(Atletas!H216="Changquan Mirim",1,IF(Atletas!H216="Nanquan Mirim",2,IF(Atletas!H216="Taijiquan Mirim",3,IF(Atletas!H216="Changquan Grupo C",4,IF(Atletas!H216="Nanquan Grupo C",5,IF(Atletas!H216="Taijiquan Grupo C",6,IF(Atletas!H216="Changquan Grupo B",7,IF(Atletas!H216="Nanquan Grupo B",8,IF(Atletas!H216="Taijiquan Grupo B",9,IF(Atletas!H216="Changquan Grupo A",10,IF(Atletas!H216="Nanquan Grupo A",11,IF(Atletas!H216="Taijiquan Grupo A",12,IF(Atletas!H216="Changquan Opcional",13,IF(Atletas!H216="Nanquan Opcional",14,IF(Atletas!H216="Taijiquan Opcional",15,IF(Atletas!H216="Changquan Adulto",16,IF(Atletas!H216="Nanquan Adulto",17,IF(Atletas!H216="Taijiquan Adulto",18,""))))))))))))))))))))</f>
        <v/>
      </c>
      <c r="BG225" s="52" t="str">
        <f>IF(Atletas!I216="","",IF(Atletas!B216="Feminino",100,IF(Atletas!B216="Masculino",200,""))+(IF(Atletas!I216="Daoshu Mirim",19,IF(Atletas!I216="Jianshu Mirim",20,IF(Atletas!I216="Nandao Mirim",21,IF(Atletas!I216="Taijijian Mirim",22,IF(Atletas!I216="Daoshu Grupo C",23,IF(Atletas!I216="Jianshu Grupo C",24,IF(Atletas!I216="Nandao Grupo C",25,IF(Atletas!I216="Taijijian Grupo C",26,IF(Atletas!I216="Daoshu Grupo B",27,IF(Atletas!I216="Jianshu Grupo B",28,IF(Atletas!I216="Nandao Grupo B",29,IF(Atletas!I216="Taijijian Grupo B",30,IF(Atletas!I216="Daoshu Grupo A",31,IF(Atletas!I216="Jianshu Grupo A",32,IF(Atletas!I216="Nandao Grupo A",33,IF(Atletas!I216="Taijijian Grupo A",34,IF(Atletas!I216="Daoshu Opcional",35,IF(Atletas!I216="Jianshu Opcional",36,IF(Atletas!I216="Nandao Opcional",37,IF(Atletas!I216="Taijijian Opcional",38,IF(Atletas!I216="Daoshu Adulto",39,IF(Atletas!I216="Jianshu Adulto",40,IF(Atletas!I216="Nandao Adulto",41,IF(Atletas!I216="Taijijian Adulto",42,""))))))))))))))))))))))))))</f>
        <v/>
      </c>
      <c r="BH225" s="52" t="str">
        <f>IF(Atletas!J216="","",IF(Atletas!B216="Feminino",100,IF(Atletas!B216="Masculino",200,""))+(IF(Atletas!J216="Gunshu Mirim",43,IF(Atletas!J216="Qiangshu Mirim",44,IF(Atletas!J216="Nangun Mirim",45,IF(Atletas!J216="Gunshu Grupo C",46,IF(Atletas!J216="Qiangshu Grupo C",47,IF(Atletas!J216="Nangun Grupo C",48,IF(Atletas!J216="Gunshu Grupo B",49,IF(Atletas!J216="Qiangshu Grupo B",50,IF(Atletas!J216="Nangun Grupo B",51,IF(Atletas!J216="Gunshu Grupo A",52,IF(Atletas!J216="Qiangshu Grupo A",53,IF(Atletas!J216="Nangun Grupo A",54,IF(Atletas!J216="Gunshu Opcional",55,IF(Atletas!J216="Qiangshu Opcional",56,IF(Atletas!J216="Nangun Opcional",57,IF(Atletas!J216="Gunshu Adulto",58,IF(Atletas!J216="Qiangshu Adulto",59,IF(Atletas!J216="Nangun Adulto",60,IF(Atletas!J216="Taijishan Grupo B",61,IF(Atletas!J216="Taijishan Grupo A",62,""))))))))))))))))))))))</f>
        <v/>
      </c>
      <c r="BM225" s="50" t="str">
        <f>IF(Atletas!K216="","",IF(Atletas!B216="Feminino",100,IF(Atletas!B216="Masculino",200,""))+(IF(Atletas!K216="Equipe 1 Grupo B",1,IF(Atletas!K216="Equipe 2 Grupo B",2,IF(Atletas!K216="Equipe 1 Grupo A",3,IF(Atletas!K216="Equipe 2 Grupo A",4,IF(Atletas!K216="Equipe 1 Adulto",5,IF(Atletas!K216="Equipe 2 Adulto",6,""))))))))</f>
        <v/>
      </c>
      <c r="BR225" s="50" t="str">
        <f>IF(Atletas!L216="","",IF(Atletas!X216&lt;&gt;"",10000,0)+(IF(Atletas!B216="Feminino",1000,IF(Atletas!B216="Masculino",2000,""))+IF(Atletas!L216="Choylayfut A",1,IF(Atletas!L216="Hunggar A",2,IF(Atletas!L216="Wuzuquan A",3,IF(Atletas!L216="Wingchun A",4,IF(Atletas!L216="Outra Mão de Sul A",5,IF(Atletas!L216="Choylayfut B",6,IF(Atletas!L216="Hunggar B",7,IF(Atletas!L216="Wuzuquan B",8,IF(Atletas!L216="Wingchun B",9,IF(Atletas!L216="Outra Mão de Sul B",10,IF(Atletas!L216="Choylayfut C",11,IF(Atletas!L216="Hunggar C",12,IF(Atletas!L216="Wuzuquan C",13,IF(Atletas!L216="Wingchun C",14,IF(Atletas!L216="Outra Mão de Sul C",15,IF(Atletas!L216="Choylayfut D",16,IF(Atletas!L216="Hunggar D",17,IF(Atletas!L216="Wuzuquan D",18,IF(Atletas!L216="Wingchun D",19,IF(Atletas!L216="Outra Mão de Sul D",20,IF(Atletas!L216="Choylayfut E",21,IF(Atletas!L216="Hunggar E",22,IF(Atletas!L216="Wuzuquan E",23,IF(Atletas!L216="Wingchun E",24,IF(Atletas!L216="Outra Mão de Sul E",25,IF(Atletas!L216="Choylayfut F",26,IF(Atletas!L216="Hunggar F",27,IF(Atletas!L216="Wuzuquan F",28,IF(Atletas!L216="Wingchun F",29,IF(Atletas!L216="Outra Mão de Sul F",30,IF(Atletas!L216="Dishuquan A",31,IF(Atletas!L216="Dishuquan B",32,IF(Atletas!L216="Dishuquan C",33,IF(Atletas!L216="Dishuquan D",34,IF(Atletas!L216="Dishuquan E",35,IF(Atletas!L216="Dishuquan F",36,""))))))))))))))))))))))))))))))))))))))</f>
        <v/>
      </c>
      <c r="BS225" s="50" t="str">
        <f>IF(Atletas!M216="","",IF(Atletas!X216&lt;&gt;"",10000,0)+(IF(Atletas!B216="Feminino",1000,IF(Atletas!B216="Masculino",2000,""))+(IF(Atletas!M216="Chaquan A",101,IF(Atletas!M216="Emeiquan A",102,IF(Atletas!M216="Fanziquan A",103,IF(Atletas!M216="Huaquan A",104,IF(Atletas!M216="Hongquan A",105,IF(Atletas!M216="Paoquan A",106,IF(Atletas!M216="Piguaquan A",107,IF(Atletas!M216="Shaolinquan A",108,IF(Atletas!M216="Tanglangquan A",109,IF(Atletas!M216="Yingzhaoquan A",110,IF(Atletas!M216="Tongbeiquan A",111,IF(Atletas!M216="Wudangquan A",112,IF(Atletas!M216="Outros Estilos A",113,IF(Atletas!M216="Chaquan B",114,IF(Atletas!M216="Emeiquan B",115,IF(Atletas!M216="Fanziquan B",116,IF(Atletas!M216="Huaquan B",117,IF(Atletas!M216="Hongquan B",118,IF(Atletas!M216="Paoquan B",119,IF(Atletas!M216="Piguaquan B",120,IF(Atletas!M216="Shaolinquan B",121,IF(Atletas!M216="Tanglangquan B",122,IF(Atletas!M216="Yingzhaoquan B",123,IF(Atletas!M216="Tongbeiquan B",124,IF(Atletas!M216="Wudangquan B",125,IF(Atletas!M216="Outros Estilos B",126,IF(Atletas!M216="Chaquan C",127,IF(Atletas!M216="Emeiquan C",128,IF(Atletas!M216="Fanziquan C",129,IF(Atletas!M216="Huaquan C",130,IF(Atletas!M216="Hongquan C",131,IF(Atletas!M216="Paoquan C",132,IF(Atletas!M216="Piguaquan C",133,IF(Atletas!M216="Shaolinquan C",134,IF(Atletas!M216="Tanglangquan C",135,IF(Atletas!M216="Yingzhaoquan C",136,IF(Atletas!M216="Tongbeiquan C",137,IF(Atletas!M216="Wudangquan C",138,IF(Atletas!M216="Outros Estilos C",139,0))))))))))))))))))))))))))))))))))))))))))</f>
        <v/>
      </c>
      <c r="BT225" s="50" t="str">
        <f>IF(Atletas!M216="","",IF(Atletas!X216&lt;&gt;"",10000,0)+(IF(Atletas!B216="Feminino",1000,IF(Atletas!B216="Masculino",2000,""))+(IF(Atletas!M216="Chaquan D",140,IF(Atletas!M216="Emeiquan D",141,IF(Atletas!M216="Fanziquan D",142,IF(Atletas!M216="Huaquan D",143,IF(Atletas!M216="Hongquan D",144,IF(Atletas!M216="Paoquan D",145,IF(Atletas!M216="Piguaquan D",146,IF(Atletas!M216="Shaolinquan D",147,IF(Atletas!M216="Tanglangquan D",148,IF(Atletas!M216="Yingzhaoquan D",149,IF(Atletas!M216="Tongbeiquan D",150,IF(Atletas!M216="Wudangquan D",151,IF(Atletas!M216="Outros Estilos D",152,IF(Atletas!M216="Chaquan E",153,IF(Atletas!M216="Emeiquan E",154,IF(Atletas!M216="Fanziquan E",155,IF(Atletas!M216="Huaquan E",156,IF(Atletas!M216="Hongquan E",157,IF(Atletas!M216="Paoquan E",158,IF(Atletas!M216="Piguaquan E",159,IF(Atletas!M216="Shaolinquan E",160,IF(Atletas!M216="Tanglangquan E",161,IF(Atletas!M216="Yingzhaoquan E",162,IF(Atletas!M216="Tongbeiquan E",163,IF(Atletas!M216="Wudangquan E",164,IF(Atletas!M216="Outros Estilos E",165,IF(Atletas!M216="Chaquan F",166,IF(Atletas!M216="Emeiquan F",167,IF(Atletas!M216="Fanziquan F",168,IF(Atletas!M216="Huaquan F",169,IF(Atletas!M216="Hongquan F",170,IF(Atletas!M216="Paoquan F",171,IF(Atletas!M216="Piguaquan F",172,IF(Atletas!M216="Shaolinquan F",173,IF(Atletas!M216="Tanglangquan F",174,IF(Atletas!M216="Yingzhaoquan F",175,IF(Atletas!M216="Tongbeiquan F",176,IF(Atletas!M216="Wudangquan F",177,IF(Atletas!M216="Outros Estilos F",178,0))))))))))))))))))))))))))))))))))))))))))</f>
        <v/>
      </c>
      <c r="BU225" s="50" t="str">
        <f>IF(Atletas!N216="","",IF(Atletas!X216&lt;&gt;"",10000,0)+(IF(Atletas!B216="Feminino",1000,IF(Atletas!B216="Masculino",2000,""))+(IF(Atletas!N216="Ditangquan A",201,IF(Atletas!N216="Houquan A",202,IF(Atletas!N216="Zuiquan A",203,IF(Atletas!N216="Ditangquan B",204,IF(Atletas!N216="Houquan B",205,IF(Atletas!N216="Zuiquan B",206,IF(Atletas!N216="Ditangquan C",207,IF(Atletas!N216="Houquan C",208,IF(Atletas!N216="Zuiquan C",209,IF(Atletas!N216="Ditangquan D",210,IF(Atletas!N216="Houquan D",211,IF(Atletas!N216="Zuiquan D",212,IF(Atletas!N216="Ditangquan E",213,IF(Atletas!N216="Houquan E",214,IF(Atletas!N216="Zuiquan E",215,IF(Atletas!N216="Ditangquan F",216,IF(Atletas!N216="Houquan F",217,IF(Atletas!N216="Zuiquan F",218,"")))))))))))))))))))))</f>
        <v/>
      </c>
      <c r="BV225" s="50" t="str">
        <f>IF(Atletas!O216="","",IF(Atletas!X216&lt;&gt;"",10000,0)+IF(Atletas!B216="Feminino",1000,IF(Atletas!B216="Masculino",2000,""))+IF(Atletas!O216="Yang A",301,IF(Atletas!O216="Chen A",302,IF(Atletas!O216="Sun A",303,IF(Atletas!O216="Wu A",304,IF(Atletas!O216="Wu-Hao A",305,IF(Atletas!O216="Outro Taijiquan A",306,IF(Atletas!O216="Yang B",307,IF(Atletas!O216="Chen B",308,IF(Atletas!O216="Sun B",309,IF(Atletas!O216="Wu B",310,IF(Atletas!O216="Wu-Hao B",311,IF(Atletas!O216="Outro Taijiquan B",312,IF(Atletas!O216="Yang C",313,IF(Atletas!O216="Chen C",314,IF(Atletas!O216="Sun C",315,IF(Atletas!O216="Wu C",316,IF(Atletas!O216="Wu-Hao C",317,IF(Atletas!O216="Outro Taijiquan C",318,IF(Atletas!O216="Yang D",319,IF(Atletas!O216="Chen D",320,IF(Atletas!O216="Sun D",321,IF(Atletas!O216="Wu D",322,IF(Atletas!O216="Wu-Hao D",323,IF(Atletas!O216="Outro Taijiquan D",324,IF(Atletas!O216="Yang E",325,IF(Atletas!O216="Chen E",326,IF(Atletas!O216="Sun E",327,IF(Atletas!O216="Wu E",328,IF(Atletas!O216="Wu-Hao E",329,IF(Atletas!O216="Outro Taijiquan E",330,IF(Atletas!O216="Yang F",331,IF(Atletas!O216="Chen F",332,IF(Atletas!O216="Sun F",333,IF(Atletas!O216="Wu F",334,IF(Atletas!O216="Wu-Hao F",335,IF(Atletas!O216="Outro Taijiquan F",336,"")))))))))))))))))))))))))))))))))))))</f>
        <v/>
      </c>
      <c r="BW225" s="50" t="str">
        <f>IF(Atletas!P216="","",IF(Atletas!X216&lt;&gt;"",10000,0)+IF(Atletas!B216="Feminino",1000,IF(Atletas!B216="Masculino",2000,""))+IF(OR(Atletas!P216="Yang 26 A",Atletas!P216="Yang 40 A"),401,IF(OR(Atletas!P216="Chen 25 A",Atletas!P216="Chen 36 A",Atletas!P216="Chen 56 A"),402,IF(Atletas!P216="Sun 73 A",403,IF(Atletas!P216="Wu 45 A",404,IF(Atletas!P216="Wu-Hao 46 A",405,IF(OR(Atletas!P216="Taijiquan 16 A",Atletas!P216="Taijiquan 24 A",Atletas!P216="Taijiquan 32 A",Atletas!P216="Taijiquan 42 A"),406,IF(OR(Atletas!P216="Yang 26 B",Atletas!P216="Yang 40 B"),407,IF(OR(Atletas!P216="Chen 25 B",Atletas!P216="Chen 36 B",Atletas!P216="Chen 56 B"),408,IF(Atletas!P216="Sun 73 B",409,IF(Atletas!P216="Wu 45 B",410,IF(Atletas!P216="Wu-Hao 46 B",411,IF(OR(Atletas!P216="Taijiquan 16 B",Atletas!P216="Taijiquan 24 B",Atletas!P216="Taijiquan 32 B",Atletas!P216="Taijiquan 42 B"),412,IF(OR(Atletas!P216="Yang 26 C",Atletas!P216="Yang 40 C"),413,IF(OR(Atletas!P216="Chen 25 C",Atletas!P216="Chen 36 C",Atletas!P216="Chen 56 C"),414,IF(Atletas!P216="Sun 73 C",415,IF(Atletas!P216="Wu 45 C",416,IF(Atletas!P216="Wu-Hao 46 C",417,IF(OR(Atletas!P216="Taijiquan 16 C",Atletas!P216="Taijiquan 24 C",Atletas!P216="Taijiquan 32 C",Atletas!P216="Taijiquan 42 C"),418,0)))))))))))))))))))</f>
        <v/>
      </c>
      <c r="BX225" s="50" t="str">
        <f>IF(Atletas!P216="","",IF(Atletas!X216&lt;&gt;"",10000,0)+IF(Atletas!B216="Feminino",1000,IF(Atletas!B216="Masculino",2000,""))+IF(OR(Atletas!P216="Yang 26 D",Atletas!P216="Yang 40 D"),419,IF(OR(Atletas!P216="Chen 25 D",Atletas!P216="Chen 36 D",Atletas!P216="Chen 56 D"),420,IF(Atletas!P216="Sun 73 D",421,IF(Atletas!P216="Wu 45 D",422,IF(Atletas!P216="Wu-Hao 46 D",423,IF(OR(Atletas!P216="Taijiquan 16 D",Atletas!P216="Taijiquan 24 D",Atletas!P216="Taijiquan 32 D",Atletas!P216="Taijiquan 42 D"),424,IF(OR(Atletas!P216="Yang 26 E",Atletas!P216="Yang 40 E"),425,IF(OR(Atletas!P216="Chen 25 E",Atletas!P216="Chen 36 E",Atletas!P216="Chen 56 E"),426,IF(Atletas!P216="Sun 73 E",427,IF(Atletas!P216="Wu 45 E",428,IF(Atletas!P216="Wu-Hao 46 E",429,IF(OR(Atletas!P216="Taijiquan 16 E",Atletas!P216="Taijiquan 24 E",Atletas!P216="Taijiquan 32 E",Atletas!P216="Taijiquan 42 E"),430,IF(OR(Atletas!P216="Yang 26 F",Atletas!P216="Yang 40 F"),431,IF(OR(Atletas!P216="Chen 25 F",Atletas!P216="Chen 36 F",Atletas!P216="Chen 56 F"),432,IF(Atletas!P216="Sun 73 F",433,IF(Atletas!P216="Wu 45 F",434,IF(Atletas!P216="Wu-Hao 46 F",435,IF(OR(Atletas!P216="Taijiquan 16 F",Atletas!P216="Taijiquan 24 F",Atletas!P216="Taijiquan 32 F",Atletas!P216="Taijiquan 42 F"),436,0)))))))))))))))))))</f>
        <v/>
      </c>
      <c r="BY225" s="50" t="str">
        <f>IF(Atletas!Q216="","",IF(Atletas!X216&lt;&gt;"",10000,0)+IF(Atletas!B216="Feminino",1000,IF(Atletas!B216="Masculino",2000,""))+IF(Atletas!Q216="Xingyiquan A",501,IF(Atletas!Q216="Baguazhang A",502,IF(Atletas!Q216="Outro Estilo Interno A",503,IF(Atletas!Q216="Xingyiquan B",504,IF(Atletas!Q216="Baguazhang B",505,IF(Atletas!Q216="Outro Estilo Interno B",506,IF(Atletas!Q216="Xingyiquan C",507,IF(Atletas!Q216="Baguazhang C",508,IF(Atletas!Q216="Outro Estilo Interno C",509,IF(Atletas!Q216="Xingyiquan D",510,IF(Atletas!Q216="Baguazhang D",511,IF(Atletas!Q216="Outro Estilo Interno D",512,IF(Atletas!Q216="Xingyiquan E",513,IF(Atletas!Q216="Baguazhang E",514,IF(Atletas!Q216="Outro Estilo Interno E",515,IF(Atletas!Q216="Xingyiquan F",516,IF(Atletas!Q216="Baguazhang F",517,IF(Atletas!Q216="Outro Estilo Interno F",518, "")))))))))))))))))))</f>
        <v/>
      </c>
      <c r="BZ225" s="50" t="str">
        <f>IF(Atletas!R216="","",IF(Atletas!X216&lt;&gt;"",10000,0)+IF(Atletas!B216="Feminino",1000,IF(Atletas!B216="Masculino",2000,""))+IF(Atletas!R216="Dao A",601,IF(Atletas!R216="Jian A",602,IF(Atletas!R216="Bishou A",603,IF(Atletas!R216="Shanzi A",604,IF(Atletas!R216="Outra Arma Curta A",605,IF(Atletas!R216="Dao B",606,IF(Atletas!R216="Jian B",607,IF(Atletas!R216="Bishou B",608,IF(Atletas!R216="Shanzi B",609,IF(Atletas!R216="Outra Arma Curta B",610,IF(Atletas!R216="Dao C",611,IF(Atletas!R216="Jian C",612,IF(Atletas!R216="Bishou C",613,IF(Atletas!R216="Shanzi C",614,IF(Atletas!R216="Outra Arma Curta C",615,IF(Atletas!R216="Dao D",616,IF(Atletas!R216="Jian D",617,IF(Atletas!R216="Bishou D",618,IF(Atletas!R216="Shanzi D",619,IF(Atletas!R216="Outra Arma Curta D",620,IF(Atletas!R216="Dao E",621,IF(Atletas!R216="Jian E",622,IF(Atletas!R216="Bishou E",623,IF(Atletas!R216="Shanzi E",624,IF(Atletas!R216="Outra Arma Curta E",625,IF(Atletas!R216="Dao F",626,IF(Atletas!R216="Jian F",627,IF(Atletas!R216="Bishou F",628,IF(Atletas!R216="Shanzi F",629,IF(Atletas!R216="Outra Arma Curta F",630, "")))))))))))))))))))))))))))))))</f>
        <v/>
      </c>
      <c r="CA225" s="50" t="str">
        <f>IF(Atletas!S216="","",IF(Atletas!X216&lt;&gt;"",10000,0)+IF(Atletas!B216="Feminino",1000,IF(Atletas!B216="Masculino",2000,""))+IF(Atletas!S216="Gun A",701,IF(Atletas!S216="Qiang A",702,IF(Atletas!S216="Pudao / Guandao A",703,IF(Atletas!S216="Outra Arma Longa A",704,IF(Atletas!S216="Gun B",705,IF(Atletas!S216="Qiang B",706,IF(Atletas!S216="Pudao / Guandao B",707,IF(Atletas!S216="Outra Arma Longa B",708,IF(Atletas!S216="Gun C",709,IF(Atletas!S216="Qiang C",710,IF(Atletas!S216="Pudao / Guandao C",711,IF(Atletas!S216="Outra Arma Longa C",712,IF(Atletas!S216="Gun D",713,IF(Atletas!S216="Qiang D",714,IF(Atletas!S216="Pudao / Guandao D",715,IF(Atletas!S216="Outra Arma Longa D",716,IF(Atletas!S216="Gun E",717,IF(Atletas!S216="Qiang E",718,IF(Atletas!S216="Pudao / Guandao E",719,IF(Atletas!S216="Outra Arma Longa E",720,IF(Atletas!S216="Gun F",721,IF(Atletas!S216="Qiang F",722,IF(Atletas!S216="Pudao / Guandao F",723,IF(Atletas!S216="Outra Arma Longa F",724,"")))))))))))))))))))))))))</f>
        <v/>
      </c>
      <c r="CB225" s="50" t="str">
        <f>IF(Atletas!T216="","",IF(Atletas!X216&lt;&gt;"",10000,0)+IF(Atletas!B216="Feminino",1000,IF(Atletas!B216="Masculino",2000,""))+IF(Atletas!T216="Outra Arma Dupla A",801,IF(Atletas!T216="Arma Maleável A",802,IF(Atletas!T216="Outra Arma Dupla B",803,IF(Atletas!T216="Arma Maleável B",804,IF(Atletas!T216="Outra Arma Dupla C",805,IF(Atletas!T216="Arma Maleável C",806,IF(Atletas!T216="Outra Arma Dupla D",807,IF(Atletas!T216="Arma Maleável D",808,IF(Atletas!T216="Outra Arma Dupla E",809,IF(Atletas!T216="Arma Maleável E",810,IF(Atletas!T216="Outra Arma Dupla F",811,IF(Atletas!T216="Arma Maleável F",812,IF(Atletas!T216="Shuangdao A",813,IF(Atletas!T216="Shuangdao B",814,IF(Atletas!T216="Shuangdao C",815,IF(Atletas!T216="Shuangdao D",816,IF(Atletas!T216="Shuangdao E",817,IF(Atletas!T216="Shuangdao F",818,"")))))))))))))))))))</f>
        <v/>
      </c>
      <c r="CC225" s="50" t="str">
        <f>IF(Atletas!U216="","",IF(Atletas!X216&lt;&gt;"",10000,0)+IF(Atletas!B216="Feminino",1000,IF(Atletas!B216="Masculino",2000,""))+IF(OR(Atletas!U216="Taijijian Yang A",Atletas!U216="Taijijian Yang Standard A"),901,IF(OR(Atletas!U216="Taijijian Chen A", Atletas!U216="Taijijian Chen Standard A"),902,IF(Atletas!U216="Taijijian Sun A",903,IF(Atletas!U216="Taijijian Wu A",904,IF(Atletas!U216="Taijijian Wu-Hao A",905,IF(OR(Atletas!U216="Taijijian 32 A",Atletas!U216="Taijijian 42 A"),906,IF(OR(Atletas!U216="Taijijian Yang B",Atletas!U216="Taijijian Yang Standard B"),907,IF(OR(Atletas!U216="Taijijian Chen B", Atletas!U216="Taijijian Chen Standard B"),908,IF(Atletas!U216="Taijijian Sun B",909,IF(Atletas!U216="Taijijian Wu B",910,IF(Atletas!U216="Taijijian Wu-Hao B",911,IF(OR(Atletas!U216="Taijijian 32 B",Atletas!U216="Taijijian 42 B"),912,IF(OR(Atletas!U216="Taijijian Yang C",Atletas!U216="Taijijian Yang Standard C"),913,IF(OR(Atletas!U216="Taijijian Chen C", Atletas!U216="Taijijian Chen Standard C"),914,IF(Atletas!U216="Taijijian Sun C",915,IF(Atletas!U216="Taijijian Wu C",916,IF(Atletas!U216="Taijijian Wu-Hao C",917,IF(OR(Atletas!U216="Taijijian 32 C",Atletas!U216="Taijijian 42 C"),918,IF(OR(Atletas!U216="Taijijian Yang D",Atletas!U216="Taijijian Yang Standard D"),919,IF(OR(Atletas!U216="Taijijian Chen D", Atletas!U216="Taijijian Chen Standard D"),920,IF(Atletas!U216="Taijijian Sun D",921,IF(Atletas!U216="Taijijian Wu D",922,IF(Atletas!U216="Taijijian Wu-Hao D",923,IF(OR(Atletas!U216="Taijijian 32 D",Atletas!U216="Taijijian 42 D"),924,IF(OR(Atletas!U216="Taijijian Yang E",Atletas!U216="Taijijian Yang Standard E"),925,IF(OR(Atletas!U216="Taijijian Chen E", Atletas!U216="Taijijian Chen Standard E"),926,IF(Atletas!U216="Taijijian Sun E",927,IF(Atletas!U216="Taijijian Wu E",928,IF(Atletas!U216="Taijijian Wu-Hao E",929,IF(OR(Atletas!U216="Taijijian 32 E",Atletas!U216="Taijijian 42 E"),930,IF(OR(Atletas!U216="Taijijian Yang F",Atletas!U216="Taijijian Yang Standard F"),931,IF(OR(Atletas!U216="Taijijian Chen F", Atletas!U216="Taijijian Chen Standard F"),932,IF(Atletas!U216="Taijijian Sun F",933,IF(Atletas!U216="Taijijian Wu F",934,IF(Atletas!U216="Taijijian Wu-Hao F",935,IF(OR(Atletas!U216="Taijijian 32 F",Atletas!U216="Taijijian 42 F"),936,"")))))))))))))))))))))))))))))))))))))</f>
        <v/>
      </c>
      <c r="CD225" s="50" t="str">
        <f>IF(Atletas!V216="","",IF(Atletas!X216&lt;&gt;"",10000,0)+IF(Atletas!B216="Feminino",1000,IF(Atletas!B216="Masculino",2000,""))+IF(Atletas!V216="Taijidao A",937,IF(Atletas!V216="TaijiShanzi A",938,IF(Atletas!V216="Taijiqiang A",939,IF(Atletas!V216="Bagua de Arma A",940,IF(Atletas!V216="Xingyi de Arma A",941,IF(Atletas!V216="Taijidao B",942,IF(Atletas!V216="TaijiShanzi B",943,IF(Atletas!V216="Taijiqiang B",944,IF(Atletas!V216="Bagua de Arma B",945,IF(Atletas!V216="Xingyi de Arma B",946,IF(Atletas!V216="Taijidao C",947,IF(Atletas!V216="TaijiShanzi C",948,IF(Atletas!V216="Taijiqiang C",949,IF(Atletas!V216="Bagua de Arma C",950,IF(Atletas!V216="Xingyi de Arma C",951,IF(Atletas!V216="Taijidao D",952,IF(Atletas!V216="TaijiShanzi D",953,IF(Atletas!V216="Taijiqiang D",954,IF(Atletas!V216="Bagua de Arma D",955,IF(Atletas!V216="Xingyi de Arma D",956,IF(Atletas!V216="Taijidao E",957,IF(Atletas!V216="TaijiShanzi E",958,IF(Atletas!V216="Taijiqiang E",959,IF(Atletas!V216="Bagua de Arma E",960,IF(Atletas!V216="Xingyi de Arma E",961,IF(Atletas!V216="Taijidao F",962,IF(Atletas!V216="TaijiShanzi F",963,IF(Atletas!V216="Taijiqiang F",964,IF(Atletas!V216="Bagua de Arma F",965,IF(Atletas!V216="Xingyi de Arma F",966,"")))))))))))))))))))))))))))))))</f>
        <v/>
      </c>
      <c r="CE225" s="66" t="str">
        <f>IF(CF225&lt;&gt;"","Outro Estilo Interno E","")</f>
        <v/>
      </c>
      <c r="CF225" s="66" t="str">
        <f>IF(COUNTIF(BR:CD,1515)&gt;0,COUNTIF(BR:CD,1515),"")</f>
        <v/>
      </c>
      <c r="CG225" s="66" t="str">
        <f>IF(CH225&lt;&gt;"","Outro Estilo Interno E","")</f>
        <v/>
      </c>
      <c r="CH225" s="66" t="str">
        <f>IF(COUNTIF(BR:CD,2515)&gt;0,COUNTIF(BR:CD,2515),"")</f>
        <v/>
      </c>
      <c r="CI225" s="66" t="str">
        <f>IF(CJ225&lt;&gt;"","Bishou A","")</f>
        <v/>
      </c>
      <c r="CJ225" s="66" t="str">
        <f>IF(COUNTIF(BR:CD,11603)&gt;0,COUNTIF(BR:CD,11603),"")</f>
        <v/>
      </c>
      <c r="CK225" s="66" t="str">
        <f>IF(CL225&lt;&gt;"","Bishou A","")</f>
        <v/>
      </c>
      <c r="CL225" s="66" t="str">
        <f>IF(COUNTIF(BR:CD,12603)&gt;0,COUNTIF(BR:CD,12603),"")</f>
        <v/>
      </c>
      <c r="CM225" s="50" t="str">
        <f xml:space="preserve"> IF(Atletas!W216="","",IF(Atletas!W216="Duilian de Mãos BC - Equipe 1",1,IF(Atletas!W216="Duilian de Mãos BC - Equipe 2",2,IF(Atletas!W216="Duilian de Armas BC - Equipe 1",3,IF(Atletas!W216="Duilian de Armas BC - Equipe 2",4,IF(Atletas!W216="Duilian de Mãos DE - Equipe 1",5,IF(Atletas!W216="Duilian de Mãos DE - Equipe 2",6,IF(Atletas!W216="Duilian de Armas DE - Equipe 1",7,IF(Atletas!W216="Duilian de Armas DE - Equipe 2",8,IF(Atletas!W216="Duilian de Tuishou - Equipe 1",9,IF(Atletas!W216="Duilian de Tuishou - Equipe 2",10,IF(Atletas!W216="Grupo Externo ABC - Equipe 1",11,IF(Atletas!W216="Grupo Externo ABC - Equipe 2",12,IF(Atletas!W216="Grupo Interno ABC - Equipe 1",13,IF(Atletas!W216="Grupo Interno ABC - Equipe 2",14,IF(Atletas!W216="Grupo Externo DEF - Equipe 1",15,IF(Atletas!W216="Grupo Externo DEF - Equipe 2",16,IF(Atletas!W216="Grupo Interno DEF - Equipe 1",17,IF(Atletas!W216="Grupo Interno DEF - Equipe 2",18,"")))))))))))))))))))</f>
        <v/>
      </c>
    </row>
    <row r="226" spans="2:91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 t="str">
        <f t="array" ref="Z226">IFERROR(INDEX(CE$7:CE$348,SMALL(IF(CE$7:CE$348&lt;&gt;"",ROW(CE$7:CE$348)-ROW(CE$7)+1),ROWS(CE$7:CE225))),"")</f>
        <v/>
      </c>
      <c r="AA226" s="3" t="str">
        <f t="array" ref="AA226">IFERROR(INDEX(CF$7:CF$348,SMALL(IF(CF$7:CF$348&lt;&gt;"",ROW(CF$7:CF$348)-ROW(CF$7)+1),ROWS(CF$7:CF225))),"")</f>
        <v/>
      </c>
      <c r="AB226" s="3" t="str">
        <f t="array" ref="AB226">IFERROR(INDEX(CG$7:CG$348,SMALL(IF(CG$7:CG$348&lt;&gt;"",ROW(CG$7:CG$348)-ROW(CG$7)+1),ROWS(CG$7:CG225))),"")</f>
        <v/>
      </c>
      <c r="AC226" s="3" t="str">
        <f t="array" ref="AC226">IFERROR(INDEX(CH$7:CH$348,SMALL(IF(CH$7:CH$348&lt;&gt;"",ROW(CH$7:CH$348)-ROW(CH$7)+1),ROWS(CH$7:CH225))),"")</f>
        <v/>
      </c>
      <c r="AD226" s="3" t="str">
        <f t="array" ref="AD226">IFERROR(INDEX(CI$7:CI$377,SMALL(IF(CI$7:CI$377&lt;&gt;"",ROW(CI$7:CI$377)-ROW(CI$7)+1),ROWS(CI$7:CI225))),"")</f>
        <v/>
      </c>
      <c r="AE226" s="3" t="str">
        <f t="array" ref="AE226">IFERROR(INDEX(CJ$7:CJ$378,SMALL(IF(CJ$7:CJ$378&lt;&gt;"",ROW(CJ$7:CJ$378)-ROW(CJ$7)+1),ROWS(CJ$7:CJ225))),"")</f>
        <v/>
      </c>
      <c r="AF226" s="3" t="str">
        <f t="array" ref="AF226">IFERROR(INDEX(CK$7:CK$378,SMALL(IF(CK$7:CK$378&lt;&gt;"",ROW(CK$7:CK$378)-ROW(CK$7)+1),ROWS(CK$7:CK225))),"")</f>
        <v/>
      </c>
      <c r="AG226" s="3" t="str">
        <f t="array" ref="AG226">IFERROR(INDEX(CL$7:CL$378,SMALL(IF(CL$7:CL$378&lt;&gt;"",ROW(CL$7:CL$378)-ROW(CL$7)+1),ROWS(CL$7:CL225))),"")</f>
        <v/>
      </c>
      <c r="AH226" s="3"/>
      <c r="AI226" s="3"/>
      <c r="AJ226" s="3"/>
      <c r="AK226" s="3"/>
      <c r="AL226" s="3"/>
      <c r="AM226" s="3"/>
      <c r="AN226" s="52" t="str">
        <f>IF(Atletas!D217="","",IF(Atletas!B217="Feminino",100,IF(Atletas!B217="Masculino",200,""))+(IF(Atletas!D217="Kids 30kg",1,IF(Atletas!D217="Kids 32kg",2, IF(Atletas!D217="Kids 34kg",3,IF(Atletas!D217="Kids 36kg",4,IF(Atletas!D217="Kids 39kg",5,IF(Atletas!D217="Kids 42kg",6,IF(Atletas!D217="Kids 45kg",7, IF(Atletas!D217="Infantil 39kg",8,IF(Atletas!D217="Infantil 42kg",9,IF(Atletas!D217="Infantil 45kg",10,IF(Atletas!D217="Infantil 48kg",11,IF(Atletas!D217="Infantil 52kg",12,IF(Atletas!D217="Infantil 56kg",13,IF(Atletas!D217="Infantil 60kg",14,IF(Atletas!D217="Juvenil 48kg",15,IF(Atletas!D217="Juvenil 52kg",16,IF(Atletas!D217="Juvenil 56kg",17,IF(Atletas!D217="Juvenil 60kg",18,IF(Atletas!D217="Juvenil 65kg",19,IF(Atletas!D217="Juvenil 70kg",20,IF(Atletas!D217="Juvenil 75kg",21,IF(Atletas!D217="Juvenil 80kg",22, IF(Atletas!D217="Juvenil 85kg",23,IF(Atletas!D217="Adulto 48kg",24,IF(Atletas!D217="Adulto 52kg",25,IF(Atletas!D217="Adulto 56kg",26,IF(Atletas!D217="Adulto 60kg",27,IF(Atletas!D217="Adulto 65kg",28,IF(Atletas!D217="Adulto 70kg",29,IF(Atletas!D217="Adulto 75kg",30,IF(Atletas!D217="Adulto 80kg",31,IF(Atletas!D217="Adulto 85kg",32,IF(Atletas!D217="Adulto 90kg",33,IF(Atletas!D217="Adulto 100kg",34, IF(Atletas!D217="Adulto +100kg",35,"")))))))))))))))))))))))))))))))))))))</f>
        <v/>
      </c>
      <c r="AS226" s="6" t="str">
        <f>IF(Atletas!E217="","",IF(Atletas!B217="Feminino",100,IF(Atletas!B217="Masculino",200,""))+(IF(Atletas!E217="Juvenil 44kg",1,IF(Atletas!E217="Juvenil 48kg",2,IF(Atletas!E217="Juvenil 52kg",3,IF(Atletas!E217="Juvenil 56kg",4,IF(Atletas!E217="Juvenil 60kg",5,IF(Atletas!E217="Juvenil 65kg",6,IF(Atletas!E217="Juvenil 70kg",7,IF(Atletas!E217="Juvenil 75kg",8,IF(Atletas!E217="Juvenil 82kg",9,IF(Atletas!E217="Juvenil 90kg",10,IF(Atletas!E217="Juvenil 100kg",11,IF(Atletas!E217="Adulto 48kg",12,IF(Atletas!E217="Adulto 52kg",13,IF(Atletas!E217="Adulto 56kg",14,IF(Atletas!E217="Adulto 60kg",15,IF(Atletas!E217="Adulto 65kg",16,IF(Atletas!E217="Adulto 70kg",17,IF(Atletas!E217="Adulto 75kg",18,IF(Atletas!E217="Adulto 82kg",19,IF(Atletas!E217="Adulto 90kg",20,IF(Atletas!E217="Adulto 100kg",21,IF(Atletas!E217="Adulto +100kg",22,""))))))))))))))))))))))))</f>
        <v/>
      </c>
      <c r="AX226" s="6" t="str">
        <f>IF(Atletas!F217="","",IF(Atletas!B217="Feminino",100,IF(Atletas!B217="Masculino",200,""))+(IF(Atletas!F217="Adulto 48kg",1,IF(Atletas!F217="Adulto 56kg",2,IF(Atletas!F217="Adulto 65kg",3,IF(Atletas!F217="Adulto 75kg",4,IF(Atletas!F217="Adulto +75kg",5,IF(Atletas!F217="Adulto 52kg",6,IF(Atletas!F217="Adulto 60kg",7,IF(Atletas!F217="Adulto 70kg",8,IF(Atletas!F217="Adulto 80kg",9,IF(Atletas!F217="Adulto 90kg",10,IF(Atletas!F217="Adulto +90kg",11,"")))))))))))))</f>
        <v/>
      </c>
      <c r="BC226" s="6" t="str">
        <f>IF(Atletas!G217="","",IF(Atletas!B217="Feminino",10,IF(Atletas!B217="Masculino",20,""))+(IF(Atletas!G217="Baduanjin A",1,IF(Atletas!G217="Baduanjin B",2))))</f>
        <v/>
      </c>
      <c r="BF226" s="52" t="str">
        <f>IF(Atletas!H217="","",IF(Atletas!B217="Feminino",100,IF(Atletas!B217="Masculino",200,""))+(IF(Atletas!H217="Changquan Mirim",1,IF(Atletas!H217="Nanquan Mirim",2,IF(Atletas!H217="Taijiquan Mirim",3,IF(Atletas!H217="Changquan Grupo C",4,IF(Atletas!H217="Nanquan Grupo C",5,IF(Atletas!H217="Taijiquan Grupo C",6,IF(Atletas!H217="Changquan Grupo B",7,IF(Atletas!H217="Nanquan Grupo B",8,IF(Atletas!H217="Taijiquan Grupo B",9,IF(Atletas!H217="Changquan Grupo A",10,IF(Atletas!H217="Nanquan Grupo A",11,IF(Atletas!H217="Taijiquan Grupo A",12,IF(Atletas!H217="Changquan Opcional",13,IF(Atletas!H217="Nanquan Opcional",14,IF(Atletas!H217="Taijiquan Opcional",15,IF(Atletas!H217="Changquan Adulto",16,IF(Atletas!H217="Nanquan Adulto",17,IF(Atletas!H217="Taijiquan Adulto",18,""))))))))))))))))))))</f>
        <v/>
      </c>
      <c r="BG226" s="52" t="str">
        <f>IF(Atletas!I217="","",IF(Atletas!B217="Feminino",100,IF(Atletas!B217="Masculino",200,""))+(IF(Atletas!I217="Daoshu Mirim",19,IF(Atletas!I217="Jianshu Mirim",20,IF(Atletas!I217="Nandao Mirim",21,IF(Atletas!I217="Taijijian Mirim",22,IF(Atletas!I217="Daoshu Grupo C",23,IF(Atletas!I217="Jianshu Grupo C",24,IF(Atletas!I217="Nandao Grupo C",25,IF(Atletas!I217="Taijijian Grupo C",26,IF(Atletas!I217="Daoshu Grupo B",27,IF(Atletas!I217="Jianshu Grupo B",28,IF(Atletas!I217="Nandao Grupo B",29,IF(Atletas!I217="Taijijian Grupo B",30,IF(Atletas!I217="Daoshu Grupo A",31,IF(Atletas!I217="Jianshu Grupo A",32,IF(Atletas!I217="Nandao Grupo A",33,IF(Atletas!I217="Taijijian Grupo A",34,IF(Atletas!I217="Daoshu Opcional",35,IF(Atletas!I217="Jianshu Opcional",36,IF(Atletas!I217="Nandao Opcional",37,IF(Atletas!I217="Taijijian Opcional",38,IF(Atletas!I217="Daoshu Adulto",39,IF(Atletas!I217="Jianshu Adulto",40,IF(Atletas!I217="Nandao Adulto",41,IF(Atletas!I217="Taijijian Adulto",42,""))))))))))))))))))))))))))</f>
        <v/>
      </c>
      <c r="BH226" s="52" t="str">
        <f>IF(Atletas!J217="","",IF(Atletas!B217="Feminino",100,IF(Atletas!B217="Masculino",200,""))+(IF(Atletas!J217="Gunshu Mirim",43,IF(Atletas!J217="Qiangshu Mirim",44,IF(Atletas!J217="Nangun Mirim",45,IF(Atletas!J217="Gunshu Grupo C",46,IF(Atletas!J217="Qiangshu Grupo C",47,IF(Atletas!J217="Nangun Grupo C",48,IF(Atletas!J217="Gunshu Grupo B",49,IF(Atletas!J217="Qiangshu Grupo B",50,IF(Atletas!J217="Nangun Grupo B",51,IF(Atletas!J217="Gunshu Grupo A",52,IF(Atletas!J217="Qiangshu Grupo A",53,IF(Atletas!J217="Nangun Grupo A",54,IF(Atletas!J217="Gunshu Opcional",55,IF(Atletas!J217="Qiangshu Opcional",56,IF(Atletas!J217="Nangun Opcional",57,IF(Atletas!J217="Gunshu Adulto",58,IF(Atletas!J217="Qiangshu Adulto",59,IF(Atletas!J217="Nangun Adulto",60,IF(Atletas!J217="Taijishan Grupo B",61,IF(Atletas!J217="Taijishan Grupo A",62,""))))))))))))))))))))))</f>
        <v/>
      </c>
      <c r="BM226" s="50" t="str">
        <f>IF(Atletas!K217="","",IF(Atletas!B217="Feminino",100,IF(Atletas!B217="Masculino",200,""))+(IF(Atletas!K217="Equipe 1 Grupo B",1,IF(Atletas!K217="Equipe 2 Grupo B",2,IF(Atletas!K217="Equipe 1 Grupo A",3,IF(Atletas!K217="Equipe 2 Grupo A",4,IF(Atletas!K217="Equipe 1 Adulto",5,IF(Atletas!K217="Equipe 2 Adulto",6,""))))))))</f>
        <v/>
      </c>
      <c r="BR226" s="50" t="str">
        <f>IF(Atletas!L217="","",IF(Atletas!X217&lt;&gt;"",10000,0)+(IF(Atletas!B217="Feminino",1000,IF(Atletas!B217="Masculino",2000,""))+IF(Atletas!L217="Choylayfut A",1,IF(Atletas!L217="Hunggar A",2,IF(Atletas!L217="Wuzuquan A",3,IF(Atletas!L217="Wingchun A",4,IF(Atletas!L217="Outra Mão de Sul A",5,IF(Atletas!L217="Choylayfut B",6,IF(Atletas!L217="Hunggar B",7,IF(Atletas!L217="Wuzuquan B",8,IF(Atletas!L217="Wingchun B",9,IF(Atletas!L217="Outra Mão de Sul B",10,IF(Atletas!L217="Choylayfut C",11,IF(Atletas!L217="Hunggar C",12,IF(Atletas!L217="Wuzuquan C",13,IF(Atletas!L217="Wingchun C",14,IF(Atletas!L217="Outra Mão de Sul C",15,IF(Atletas!L217="Choylayfut D",16,IF(Atletas!L217="Hunggar D",17,IF(Atletas!L217="Wuzuquan D",18,IF(Atletas!L217="Wingchun D",19,IF(Atletas!L217="Outra Mão de Sul D",20,IF(Atletas!L217="Choylayfut E",21,IF(Atletas!L217="Hunggar E",22,IF(Atletas!L217="Wuzuquan E",23,IF(Atletas!L217="Wingchun E",24,IF(Atletas!L217="Outra Mão de Sul E",25,IF(Atletas!L217="Choylayfut F",26,IF(Atletas!L217="Hunggar F",27,IF(Atletas!L217="Wuzuquan F",28,IF(Atletas!L217="Wingchun F",29,IF(Atletas!L217="Outra Mão de Sul F",30,IF(Atletas!L217="Dishuquan A",31,IF(Atletas!L217="Dishuquan B",32,IF(Atletas!L217="Dishuquan C",33,IF(Atletas!L217="Dishuquan D",34,IF(Atletas!L217="Dishuquan E",35,IF(Atletas!L217="Dishuquan F",36,""))))))))))))))))))))))))))))))))))))))</f>
        <v/>
      </c>
      <c r="BS226" s="50" t="str">
        <f>IF(Atletas!M217="","",IF(Atletas!X217&lt;&gt;"",10000,0)+(IF(Atletas!B217="Feminino",1000,IF(Atletas!B217="Masculino",2000,""))+(IF(Atletas!M217="Chaquan A",101,IF(Atletas!M217="Emeiquan A",102,IF(Atletas!M217="Fanziquan A",103,IF(Atletas!M217="Huaquan A",104,IF(Atletas!M217="Hongquan A",105,IF(Atletas!M217="Paoquan A",106,IF(Atletas!M217="Piguaquan A",107,IF(Atletas!M217="Shaolinquan A",108,IF(Atletas!M217="Tanglangquan A",109,IF(Atletas!M217="Yingzhaoquan A",110,IF(Atletas!M217="Tongbeiquan A",111,IF(Atletas!M217="Wudangquan A",112,IF(Atletas!M217="Outros Estilos A",113,IF(Atletas!M217="Chaquan B",114,IF(Atletas!M217="Emeiquan B",115,IF(Atletas!M217="Fanziquan B",116,IF(Atletas!M217="Huaquan B",117,IF(Atletas!M217="Hongquan B",118,IF(Atletas!M217="Paoquan B",119,IF(Atletas!M217="Piguaquan B",120,IF(Atletas!M217="Shaolinquan B",121,IF(Atletas!M217="Tanglangquan B",122,IF(Atletas!M217="Yingzhaoquan B",123,IF(Atletas!M217="Tongbeiquan B",124,IF(Atletas!M217="Wudangquan B",125,IF(Atletas!M217="Outros Estilos B",126,IF(Atletas!M217="Chaquan C",127,IF(Atletas!M217="Emeiquan C",128,IF(Atletas!M217="Fanziquan C",129,IF(Atletas!M217="Huaquan C",130,IF(Atletas!M217="Hongquan C",131,IF(Atletas!M217="Paoquan C",132,IF(Atletas!M217="Piguaquan C",133,IF(Atletas!M217="Shaolinquan C",134,IF(Atletas!M217="Tanglangquan C",135,IF(Atletas!M217="Yingzhaoquan C",136,IF(Atletas!M217="Tongbeiquan C",137,IF(Atletas!M217="Wudangquan C",138,IF(Atletas!M217="Outros Estilos C",139,0))))))))))))))))))))))))))))))))))))))))))</f>
        <v/>
      </c>
      <c r="BT226" s="50" t="str">
        <f>IF(Atletas!M217="","",IF(Atletas!X217&lt;&gt;"",10000,0)+(IF(Atletas!B217="Feminino",1000,IF(Atletas!B217="Masculino",2000,""))+(IF(Atletas!M217="Chaquan D",140,IF(Atletas!M217="Emeiquan D",141,IF(Atletas!M217="Fanziquan D",142,IF(Atletas!M217="Huaquan D",143,IF(Atletas!M217="Hongquan D",144,IF(Atletas!M217="Paoquan D",145,IF(Atletas!M217="Piguaquan D",146,IF(Atletas!M217="Shaolinquan D",147,IF(Atletas!M217="Tanglangquan D",148,IF(Atletas!M217="Yingzhaoquan D",149,IF(Atletas!M217="Tongbeiquan D",150,IF(Atletas!M217="Wudangquan D",151,IF(Atletas!M217="Outros Estilos D",152,IF(Atletas!M217="Chaquan E",153,IF(Atletas!M217="Emeiquan E",154,IF(Atletas!M217="Fanziquan E",155,IF(Atletas!M217="Huaquan E",156,IF(Atletas!M217="Hongquan E",157,IF(Atletas!M217="Paoquan E",158,IF(Atletas!M217="Piguaquan E",159,IF(Atletas!M217="Shaolinquan E",160,IF(Atletas!M217="Tanglangquan E",161,IF(Atletas!M217="Yingzhaoquan E",162,IF(Atletas!M217="Tongbeiquan E",163,IF(Atletas!M217="Wudangquan E",164,IF(Atletas!M217="Outros Estilos E",165,IF(Atletas!M217="Chaquan F",166,IF(Atletas!M217="Emeiquan F",167,IF(Atletas!M217="Fanziquan F",168,IF(Atletas!M217="Huaquan F",169,IF(Atletas!M217="Hongquan F",170,IF(Atletas!M217="Paoquan F",171,IF(Atletas!M217="Piguaquan F",172,IF(Atletas!M217="Shaolinquan F",173,IF(Atletas!M217="Tanglangquan F",174,IF(Atletas!M217="Yingzhaoquan F",175,IF(Atletas!M217="Tongbeiquan F",176,IF(Atletas!M217="Wudangquan F",177,IF(Atletas!M217="Outros Estilos F",178,0))))))))))))))))))))))))))))))))))))))))))</f>
        <v/>
      </c>
      <c r="BU226" s="50" t="str">
        <f>IF(Atletas!N217="","",IF(Atletas!X217&lt;&gt;"",10000,0)+(IF(Atletas!B217="Feminino",1000,IF(Atletas!B217="Masculino",2000,""))+(IF(Atletas!N217="Ditangquan A",201,IF(Atletas!N217="Houquan A",202,IF(Atletas!N217="Zuiquan A",203,IF(Atletas!N217="Ditangquan B",204,IF(Atletas!N217="Houquan B",205,IF(Atletas!N217="Zuiquan B",206,IF(Atletas!N217="Ditangquan C",207,IF(Atletas!N217="Houquan C",208,IF(Atletas!N217="Zuiquan C",209,IF(Atletas!N217="Ditangquan D",210,IF(Atletas!N217="Houquan D",211,IF(Atletas!N217="Zuiquan D",212,IF(Atletas!N217="Ditangquan E",213,IF(Atletas!N217="Houquan E",214,IF(Atletas!N217="Zuiquan E",215,IF(Atletas!N217="Ditangquan F",216,IF(Atletas!N217="Houquan F",217,IF(Atletas!N217="Zuiquan F",218,"")))))))))))))))))))))</f>
        <v/>
      </c>
      <c r="BV226" s="50" t="str">
        <f>IF(Atletas!O217="","",IF(Atletas!X217&lt;&gt;"",10000,0)+IF(Atletas!B217="Feminino",1000,IF(Atletas!B217="Masculino",2000,""))+IF(Atletas!O217="Yang A",301,IF(Atletas!O217="Chen A",302,IF(Atletas!O217="Sun A",303,IF(Atletas!O217="Wu A",304,IF(Atletas!O217="Wu-Hao A",305,IF(Atletas!O217="Outro Taijiquan A",306,IF(Atletas!O217="Yang B",307,IF(Atletas!O217="Chen B",308,IF(Atletas!O217="Sun B",309,IF(Atletas!O217="Wu B",310,IF(Atletas!O217="Wu-Hao B",311,IF(Atletas!O217="Outro Taijiquan B",312,IF(Atletas!O217="Yang C",313,IF(Atletas!O217="Chen C",314,IF(Atletas!O217="Sun C",315,IF(Atletas!O217="Wu C",316,IF(Atletas!O217="Wu-Hao C",317,IF(Atletas!O217="Outro Taijiquan C",318,IF(Atletas!O217="Yang D",319,IF(Atletas!O217="Chen D",320,IF(Atletas!O217="Sun D",321,IF(Atletas!O217="Wu D",322,IF(Atletas!O217="Wu-Hao D",323,IF(Atletas!O217="Outro Taijiquan D",324,IF(Atletas!O217="Yang E",325,IF(Atletas!O217="Chen E",326,IF(Atletas!O217="Sun E",327,IF(Atletas!O217="Wu E",328,IF(Atletas!O217="Wu-Hao E",329,IF(Atletas!O217="Outro Taijiquan E",330,IF(Atletas!O217="Yang F",331,IF(Atletas!O217="Chen F",332,IF(Atletas!O217="Sun F",333,IF(Atletas!O217="Wu F",334,IF(Atletas!O217="Wu-Hao F",335,IF(Atletas!O217="Outro Taijiquan F",336,"")))))))))))))))))))))))))))))))))))))</f>
        <v/>
      </c>
      <c r="BW226" s="50" t="str">
        <f>IF(Atletas!P217="","",IF(Atletas!X217&lt;&gt;"",10000,0)+IF(Atletas!B217="Feminino",1000,IF(Atletas!B217="Masculino",2000,""))+IF(OR(Atletas!P217="Yang 26 A",Atletas!P217="Yang 40 A"),401,IF(OR(Atletas!P217="Chen 25 A",Atletas!P217="Chen 36 A",Atletas!P217="Chen 56 A"),402,IF(Atletas!P217="Sun 73 A",403,IF(Atletas!P217="Wu 45 A",404,IF(Atletas!P217="Wu-Hao 46 A",405,IF(OR(Atletas!P217="Taijiquan 16 A",Atletas!P217="Taijiquan 24 A",Atletas!P217="Taijiquan 32 A",Atletas!P217="Taijiquan 42 A"),406,IF(OR(Atletas!P217="Yang 26 B",Atletas!P217="Yang 40 B"),407,IF(OR(Atletas!P217="Chen 25 B",Atletas!P217="Chen 36 B",Atletas!P217="Chen 56 B"),408,IF(Atletas!P217="Sun 73 B",409,IF(Atletas!P217="Wu 45 B",410,IF(Atletas!P217="Wu-Hao 46 B",411,IF(OR(Atletas!P217="Taijiquan 16 B",Atletas!P217="Taijiquan 24 B",Atletas!P217="Taijiquan 32 B",Atletas!P217="Taijiquan 42 B"),412,IF(OR(Atletas!P217="Yang 26 C",Atletas!P217="Yang 40 C"),413,IF(OR(Atletas!P217="Chen 25 C",Atletas!P217="Chen 36 C",Atletas!P217="Chen 56 C"),414,IF(Atletas!P217="Sun 73 C",415,IF(Atletas!P217="Wu 45 C",416,IF(Atletas!P217="Wu-Hao 46 C",417,IF(OR(Atletas!P217="Taijiquan 16 C",Atletas!P217="Taijiquan 24 C",Atletas!P217="Taijiquan 32 C",Atletas!P217="Taijiquan 42 C"),418,0)))))))))))))))))))</f>
        <v/>
      </c>
      <c r="BX226" s="50" t="str">
        <f>IF(Atletas!P217="","",IF(Atletas!X217&lt;&gt;"",10000,0)+IF(Atletas!B217="Feminino",1000,IF(Atletas!B217="Masculino",2000,""))+IF(OR(Atletas!P217="Yang 26 D",Atletas!P217="Yang 40 D"),419,IF(OR(Atletas!P217="Chen 25 D",Atletas!P217="Chen 36 D",Atletas!P217="Chen 56 D"),420,IF(Atletas!P217="Sun 73 D",421,IF(Atletas!P217="Wu 45 D",422,IF(Atletas!P217="Wu-Hao 46 D",423,IF(OR(Atletas!P217="Taijiquan 16 D",Atletas!P217="Taijiquan 24 D",Atletas!P217="Taijiquan 32 D",Atletas!P217="Taijiquan 42 D"),424,IF(OR(Atletas!P217="Yang 26 E",Atletas!P217="Yang 40 E"),425,IF(OR(Atletas!P217="Chen 25 E",Atletas!P217="Chen 36 E",Atletas!P217="Chen 56 E"),426,IF(Atletas!P217="Sun 73 E",427,IF(Atletas!P217="Wu 45 E",428,IF(Atletas!P217="Wu-Hao 46 E",429,IF(OR(Atletas!P217="Taijiquan 16 E",Atletas!P217="Taijiquan 24 E",Atletas!P217="Taijiquan 32 E",Atletas!P217="Taijiquan 42 E"),430,IF(OR(Atletas!P217="Yang 26 F",Atletas!P217="Yang 40 F"),431,IF(OR(Atletas!P217="Chen 25 F",Atletas!P217="Chen 36 F",Atletas!P217="Chen 56 F"),432,IF(Atletas!P217="Sun 73 F",433,IF(Atletas!P217="Wu 45 F",434,IF(Atletas!P217="Wu-Hao 46 F",435,IF(OR(Atletas!P217="Taijiquan 16 F",Atletas!P217="Taijiquan 24 F",Atletas!P217="Taijiquan 32 F",Atletas!P217="Taijiquan 42 F"),436,0)))))))))))))))))))</f>
        <v/>
      </c>
      <c r="BY226" s="50" t="str">
        <f>IF(Atletas!Q217="","",IF(Atletas!X217&lt;&gt;"",10000,0)+IF(Atletas!B217="Feminino",1000,IF(Atletas!B217="Masculino",2000,""))+IF(Atletas!Q217="Xingyiquan A",501,IF(Atletas!Q217="Baguazhang A",502,IF(Atletas!Q217="Outro Estilo Interno A",503,IF(Atletas!Q217="Xingyiquan B",504,IF(Atletas!Q217="Baguazhang B",505,IF(Atletas!Q217="Outro Estilo Interno B",506,IF(Atletas!Q217="Xingyiquan C",507,IF(Atletas!Q217="Baguazhang C",508,IF(Atletas!Q217="Outro Estilo Interno C",509,IF(Atletas!Q217="Xingyiquan D",510,IF(Atletas!Q217="Baguazhang D",511,IF(Atletas!Q217="Outro Estilo Interno D",512,IF(Atletas!Q217="Xingyiquan E",513,IF(Atletas!Q217="Baguazhang E",514,IF(Atletas!Q217="Outro Estilo Interno E",515,IF(Atletas!Q217="Xingyiquan F",516,IF(Atletas!Q217="Baguazhang F",517,IF(Atletas!Q217="Outro Estilo Interno F",518, "")))))))))))))))))))</f>
        <v/>
      </c>
      <c r="BZ226" s="50" t="str">
        <f>IF(Atletas!R217="","",IF(Atletas!X217&lt;&gt;"",10000,0)+IF(Atletas!B217="Feminino",1000,IF(Atletas!B217="Masculino",2000,""))+IF(Atletas!R217="Dao A",601,IF(Atletas!R217="Jian A",602,IF(Atletas!R217="Bishou A",603,IF(Atletas!R217="Shanzi A",604,IF(Atletas!R217="Outra Arma Curta A",605,IF(Atletas!R217="Dao B",606,IF(Atletas!R217="Jian B",607,IF(Atletas!R217="Bishou B",608,IF(Atletas!R217="Shanzi B",609,IF(Atletas!R217="Outra Arma Curta B",610,IF(Atletas!R217="Dao C",611,IF(Atletas!R217="Jian C",612,IF(Atletas!R217="Bishou C",613,IF(Atletas!R217="Shanzi C",614,IF(Atletas!R217="Outra Arma Curta C",615,IF(Atletas!R217="Dao D",616,IF(Atletas!R217="Jian D",617,IF(Atletas!R217="Bishou D",618,IF(Atletas!R217="Shanzi D",619,IF(Atletas!R217="Outra Arma Curta D",620,IF(Atletas!R217="Dao E",621,IF(Atletas!R217="Jian E",622,IF(Atletas!R217="Bishou E",623,IF(Atletas!R217="Shanzi E",624,IF(Atletas!R217="Outra Arma Curta E",625,IF(Atletas!R217="Dao F",626,IF(Atletas!R217="Jian F",627,IF(Atletas!R217="Bishou F",628,IF(Atletas!R217="Shanzi F",629,IF(Atletas!R217="Outra Arma Curta F",630, "")))))))))))))))))))))))))))))))</f>
        <v/>
      </c>
      <c r="CA226" s="50" t="str">
        <f>IF(Atletas!S217="","",IF(Atletas!X217&lt;&gt;"",10000,0)+IF(Atletas!B217="Feminino",1000,IF(Atletas!B217="Masculino",2000,""))+IF(Atletas!S217="Gun A",701,IF(Atletas!S217="Qiang A",702,IF(Atletas!S217="Pudao / Guandao A",703,IF(Atletas!S217="Outra Arma Longa A",704,IF(Atletas!S217="Gun B",705,IF(Atletas!S217="Qiang B",706,IF(Atletas!S217="Pudao / Guandao B",707,IF(Atletas!S217="Outra Arma Longa B",708,IF(Atletas!S217="Gun C",709,IF(Atletas!S217="Qiang C",710,IF(Atletas!S217="Pudao / Guandao C",711,IF(Atletas!S217="Outra Arma Longa C",712,IF(Atletas!S217="Gun D",713,IF(Atletas!S217="Qiang D",714,IF(Atletas!S217="Pudao / Guandao D",715,IF(Atletas!S217="Outra Arma Longa D",716,IF(Atletas!S217="Gun E",717,IF(Atletas!S217="Qiang E",718,IF(Atletas!S217="Pudao / Guandao E",719,IF(Atletas!S217="Outra Arma Longa E",720,IF(Atletas!S217="Gun F",721,IF(Atletas!S217="Qiang F",722,IF(Atletas!S217="Pudao / Guandao F",723,IF(Atletas!S217="Outra Arma Longa F",724,"")))))))))))))))))))))))))</f>
        <v/>
      </c>
      <c r="CB226" s="50" t="str">
        <f>IF(Atletas!T217="","",IF(Atletas!X217&lt;&gt;"",10000,0)+IF(Atletas!B217="Feminino",1000,IF(Atletas!B217="Masculino",2000,""))+IF(Atletas!T217="Outra Arma Dupla A",801,IF(Atletas!T217="Arma Maleável A",802,IF(Atletas!T217="Outra Arma Dupla B",803,IF(Atletas!T217="Arma Maleável B",804,IF(Atletas!T217="Outra Arma Dupla C",805,IF(Atletas!T217="Arma Maleável C",806,IF(Atletas!T217="Outra Arma Dupla D",807,IF(Atletas!T217="Arma Maleável D",808,IF(Atletas!T217="Outra Arma Dupla E",809,IF(Atletas!T217="Arma Maleável E",810,IF(Atletas!T217="Outra Arma Dupla F",811,IF(Atletas!T217="Arma Maleável F",812,IF(Atletas!T217="Shuangdao A",813,IF(Atletas!T217="Shuangdao B",814,IF(Atletas!T217="Shuangdao C",815,IF(Atletas!T217="Shuangdao D",816,IF(Atletas!T217="Shuangdao E",817,IF(Atletas!T217="Shuangdao F",818,"")))))))))))))))))))</f>
        <v/>
      </c>
      <c r="CC226" s="50" t="str">
        <f>IF(Atletas!U217="","",IF(Atletas!X217&lt;&gt;"",10000,0)+IF(Atletas!B217="Feminino",1000,IF(Atletas!B217="Masculino",2000,""))+IF(OR(Atletas!U217="Taijijian Yang A",Atletas!U217="Taijijian Yang Standard A"),901,IF(OR(Atletas!U217="Taijijian Chen A", Atletas!U217="Taijijian Chen Standard A"),902,IF(Atletas!U217="Taijijian Sun A",903,IF(Atletas!U217="Taijijian Wu A",904,IF(Atletas!U217="Taijijian Wu-Hao A",905,IF(OR(Atletas!U217="Taijijian 32 A",Atletas!U217="Taijijian 42 A"),906,IF(OR(Atletas!U217="Taijijian Yang B",Atletas!U217="Taijijian Yang Standard B"),907,IF(OR(Atletas!U217="Taijijian Chen B", Atletas!U217="Taijijian Chen Standard B"),908,IF(Atletas!U217="Taijijian Sun B",909,IF(Atletas!U217="Taijijian Wu B",910,IF(Atletas!U217="Taijijian Wu-Hao B",911,IF(OR(Atletas!U217="Taijijian 32 B",Atletas!U217="Taijijian 42 B"),912,IF(OR(Atletas!U217="Taijijian Yang C",Atletas!U217="Taijijian Yang Standard C"),913,IF(OR(Atletas!U217="Taijijian Chen C", Atletas!U217="Taijijian Chen Standard C"),914,IF(Atletas!U217="Taijijian Sun C",915,IF(Atletas!U217="Taijijian Wu C",916,IF(Atletas!U217="Taijijian Wu-Hao C",917,IF(OR(Atletas!U217="Taijijian 32 C",Atletas!U217="Taijijian 42 C"),918,IF(OR(Atletas!U217="Taijijian Yang D",Atletas!U217="Taijijian Yang Standard D"),919,IF(OR(Atletas!U217="Taijijian Chen D", Atletas!U217="Taijijian Chen Standard D"),920,IF(Atletas!U217="Taijijian Sun D",921,IF(Atletas!U217="Taijijian Wu D",922,IF(Atletas!U217="Taijijian Wu-Hao D",923,IF(OR(Atletas!U217="Taijijian 32 D",Atletas!U217="Taijijian 42 D"),924,IF(OR(Atletas!U217="Taijijian Yang E",Atletas!U217="Taijijian Yang Standard E"),925,IF(OR(Atletas!U217="Taijijian Chen E", Atletas!U217="Taijijian Chen Standard E"),926,IF(Atletas!U217="Taijijian Sun E",927,IF(Atletas!U217="Taijijian Wu E",928,IF(Atletas!U217="Taijijian Wu-Hao E",929,IF(OR(Atletas!U217="Taijijian 32 E",Atletas!U217="Taijijian 42 E"),930,IF(OR(Atletas!U217="Taijijian Yang F",Atletas!U217="Taijijian Yang Standard F"),931,IF(OR(Atletas!U217="Taijijian Chen F", Atletas!U217="Taijijian Chen Standard F"),932,IF(Atletas!U217="Taijijian Sun F",933,IF(Atletas!U217="Taijijian Wu F",934,IF(Atletas!U217="Taijijian Wu-Hao F",935,IF(OR(Atletas!U217="Taijijian 32 F",Atletas!U217="Taijijian 42 F"),936,"")))))))))))))))))))))))))))))))))))))</f>
        <v/>
      </c>
      <c r="CD226" s="50" t="str">
        <f>IF(Atletas!V217="","",IF(Atletas!X217&lt;&gt;"",10000,0)+IF(Atletas!B217="Feminino",1000,IF(Atletas!B217="Masculino",2000,""))+IF(Atletas!V217="Taijidao A",937,IF(Atletas!V217="TaijiShanzi A",938,IF(Atletas!V217="Taijiqiang A",939,IF(Atletas!V217="Bagua de Arma A",940,IF(Atletas!V217="Xingyi de Arma A",941,IF(Atletas!V217="Taijidao B",942,IF(Atletas!V217="TaijiShanzi B",943,IF(Atletas!V217="Taijiqiang B",944,IF(Atletas!V217="Bagua de Arma B",945,IF(Atletas!V217="Xingyi de Arma B",946,IF(Atletas!V217="Taijidao C",947,IF(Atletas!V217="TaijiShanzi C",948,IF(Atletas!V217="Taijiqiang C",949,IF(Atletas!V217="Bagua de Arma C",950,IF(Atletas!V217="Xingyi de Arma C",951,IF(Atletas!V217="Taijidao D",952,IF(Atletas!V217="TaijiShanzi D",953,IF(Atletas!V217="Taijiqiang D",954,IF(Atletas!V217="Bagua de Arma D",955,IF(Atletas!V217="Xingyi de Arma D",956,IF(Atletas!V217="Taijidao E",957,IF(Atletas!V217="TaijiShanzi E",958,IF(Atletas!V217="Taijiqiang E",959,IF(Atletas!V217="Bagua de Arma E",960,IF(Atletas!V217="Xingyi de Arma E",961,IF(Atletas!V217="Taijidao F",962,IF(Atletas!V217="TaijiShanzi F",963,IF(Atletas!V217="Taijiqiang F",964,IF(Atletas!V217="Bagua de Arma F",965,IF(Atletas!V217="Xingyi de Arma F",966,"")))))))))))))))))))))))))))))))</f>
        <v/>
      </c>
      <c r="CE226" s="66" t="str">
        <f>IF(CF226&lt;&gt;"","Xingyiquan F","")</f>
        <v/>
      </c>
      <c r="CF226" s="66" t="str">
        <f>IF(COUNTIF(BR:CD,1516)&gt;0,COUNTIF(BR:CD,1516),"")</f>
        <v/>
      </c>
      <c r="CG226" s="66" t="str">
        <f>IF(CH226&lt;&gt;"","Xingyiquan F","")</f>
        <v/>
      </c>
      <c r="CH226" s="66" t="str">
        <f>IF(COUNTIF(BR:CD,2516)&gt;0,COUNTIF(BR:CD,2516),"")</f>
        <v/>
      </c>
      <c r="CI226" s="66" t="str">
        <f>IF(CJ226&lt;&gt;"","Shanzi A","")</f>
        <v/>
      </c>
      <c r="CJ226" s="66" t="str">
        <f>IF(COUNTIF(BR:CD,11604)&gt;0,COUNTIF(BR:CD,11604),"")</f>
        <v/>
      </c>
      <c r="CK226" s="66" t="str">
        <f>IF(CL226&lt;&gt;"","Shanzi A","")</f>
        <v/>
      </c>
      <c r="CL226" s="66" t="str">
        <f>IF(COUNTIF(BR:CD,12604)&gt;0,COUNTIF(BR:CD,12604),"")</f>
        <v/>
      </c>
      <c r="CM226" s="50" t="str">
        <f xml:space="preserve"> IF(Atletas!W217="","",IF(Atletas!W217="Duilian de Mãos BC - Equipe 1",1,IF(Atletas!W217="Duilian de Mãos BC - Equipe 2",2,IF(Atletas!W217="Duilian de Armas BC - Equipe 1",3,IF(Atletas!W217="Duilian de Armas BC - Equipe 2",4,IF(Atletas!W217="Duilian de Mãos DE - Equipe 1",5,IF(Atletas!W217="Duilian de Mãos DE - Equipe 2",6,IF(Atletas!W217="Duilian de Armas DE - Equipe 1",7,IF(Atletas!W217="Duilian de Armas DE - Equipe 2",8,IF(Atletas!W217="Duilian de Tuishou - Equipe 1",9,IF(Atletas!W217="Duilian de Tuishou - Equipe 2",10,IF(Atletas!W217="Grupo Externo ABC - Equipe 1",11,IF(Atletas!W217="Grupo Externo ABC - Equipe 2",12,IF(Atletas!W217="Grupo Interno ABC - Equipe 1",13,IF(Atletas!W217="Grupo Interno ABC - Equipe 2",14,IF(Atletas!W217="Grupo Externo DEF - Equipe 1",15,IF(Atletas!W217="Grupo Externo DEF - Equipe 2",16,IF(Atletas!W217="Grupo Interno DEF - Equipe 1",17,IF(Atletas!W217="Grupo Interno DEF - Equipe 2",18,"")))))))))))))))))))</f>
        <v/>
      </c>
    </row>
    <row r="227" spans="2:91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 t="str">
        <f t="array" ref="Z227">IFERROR(INDEX(CE$7:CE$348,SMALL(IF(CE$7:CE$348&lt;&gt;"",ROW(CE$7:CE$348)-ROW(CE$7)+1),ROWS(CE$7:CE226))),"")</f>
        <v/>
      </c>
      <c r="AA227" s="3" t="str">
        <f t="array" ref="AA227">IFERROR(INDEX(CF$7:CF$348,SMALL(IF(CF$7:CF$348&lt;&gt;"",ROW(CF$7:CF$348)-ROW(CF$7)+1),ROWS(CF$7:CF226))),"")</f>
        <v/>
      </c>
      <c r="AB227" s="3" t="str">
        <f t="array" ref="AB227">IFERROR(INDEX(CG$7:CG$348,SMALL(IF(CG$7:CG$348&lt;&gt;"",ROW(CG$7:CG$348)-ROW(CG$7)+1),ROWS(CG$7:CG226))),"")</f>
        <v/>
      </c>
      <c r="AC227" s="3" t="str">
        <f t="array" ref="AC227">IFERROR(INDEX(CH$7:CH$348,SMALL(IF(CH$7:CH$348&lt;&gt;"",ROW(CH$7:CH$348)-ROW(CH$7)+1),ROWS(CH$7:CH226))),"")</f>
        <v/>
      </c>
      <c r="AD227" s="3" t="str">
        <f t="array" ref="AD227">IFERROR(INDEX(CI$7:CI$377,SMALL(IF(CI$7:CI$377&lt;&gt;"",ROW(CI$7:CI$377)-ROW(CI$7)+1),ROWS(CI$7:CI226))),"")</f>
        <v/>
      </c>
      <c r="AE227" s="3" t="str">
        <f t="array" ref="AE227">IFERROR(INDEX(CJ$7:CJ$378,SMALL(IF(CJ$7:CJ$378&lt;&gt;"",ROW(CJ$7:CJ$378)-ROW(CJ$7)+1),ROWS(CJ$7:CJ226))),"")</f>
        <v/>
      </c>
      <c r="AF227" s="3" t="str">
        <f t="array" ref="AF227">IFERROR(INDEX(CK$7:CK$378,SMALL(IF(CK$7:CK$378&lt;&gt;"",ROW(CK$7:CK$378)-ROW(CK$7)+1),ROWS(CK$7:CK226))),"")</f>
        <v/>
      </c>
      <c r="AG227" s="3" t="str">
        <f t="array" ref="AG227">IFERROR(INDEX(CL$7:CL$378,SMALL(IF(CL$7:CL$378&lt;&gt;"",ROW(CL$7:CL$378)-ROW(CL$7)+1),ROWS(CL$7:CL226))),"")</f>
        <v/>
      </c>
      <c r="AH227" s="3"/>
      <c r="AI227" s="3"/>
      <c r="AJ227" s="3"/>
      <c r="AK227" s="3"/>
      <c r="AL227" s="3"/>
      <c r="AM227" s="3"/>
      <c r="AN227" s="52" t="str">
        <f>IF(Atletas!D218="","",IF(Atletas!B218="Feminino",100,IF(Atletas!B218="Masculino",200,""))+(IF(Atletas!D218="Kids 30kg",1,IF(Atletas!D218="Kids 32kg",2, IF(Atletas!D218="Kids 34kg",3,IF(Atletas!D218="Kids 36kg",4,IF(Atletas!D218="Kids 39kg",5,IF(Atletas!D218="Kids 42kg",6,IF(Atletas!D218="Kids 45kg",7, IF(Atletas!D218="Infantil 39kg",8,IF(Atletas!D218="Infantil 42kg",9,IF(Atletas!D218="Infantil 45kg",10,IF(Atletas!D218="Infantil 48kg",11,IF(Atletas!D218="Infantil 52kg",12,IF(Atletas!D218="Infantil 56kg",13,IF(Atletas!D218="Infantil 60kg",14,IF(Atletas!D218="Juvenil 48kg",15,IF(Atletas!D218="Juvenil 52kg",16,IF(Atletas!D218="Juvenil 56kg",17,IF(Atletas!D218="Juvenil 60kg",18,IF(Atletas!D218="Juvenil 65kg",19,IF(Atletas!D218="Juvenil 70kg",20,IF(Atletas!D218="Juvenil 75kg",21,IF(Atletas!D218="Juvenil 80kg",22, IF(Atletas!D218="Juvenil 85kg",23,IF(Atletas!D218="Adulto 48kg",24,IF(Atletas!D218="Adulto 52kg",25,IF(Atletas!D218="Adulto 56kg",26,IF(Atletas!D218="Adulto 60kg",27,IF(Atletas!D218="Adulto 65kg",28,IF(Atletas!D218="Adulto 70kg",29,IF(Atletas!D218="Adulto 75kg",30,IF(Atletas!D218="Adulto 80kg",31,IF(Atletas!D218="Adulto 85kg",32,IF(Atletas!D218="Adulto 90kg",33,IF(Atletas!D218="Adulto 100kg",34, IF(Atletas!D218="Adulto +100kg",35,"")))))))))))))))))))))))))))))))))))))</f>
        <v/>
      </c>
      <c r="AS227" s="6" t="str">
        <f>IF(Atletas!E218="","",IF(Atletas!B218="Feminino",100,IF(Atletas!B218="Masculino",200,""))+(IF(Atletas!E218="Juvenil 44kg",1,IF(Atletas!E218="Juvenil 48kg",2,IF(Atletas!E218="Juvenil 52kg",3,IF(Atletas!E218="Juvenil 56kg",4,IF(Atletas!E218="Juvenil 60kg",5,IF(Atletas!E218="Juvenil 65kg",6,IF(Atletas!E218="Juvenil 70kg",7,IF(Atletas!E218="Juvenil 75kg",8,IF(Atletas!E218="Juvenil 82kg",9,IF(Atletas!E218="Juvenil 90kg",10,IF(Atletas!E218="Juvenil 100kg",11,IF(Atletas!E218="Adulto 48kg",12,IF(Atletas!E218="Adulto 52kg",13,IF(Atletas!E218="Adulto 56kg",14,IF(Atletas!E218="Adulto 60kg",15,IF(Atletas!E218="Adulto 65kg",16,IF(Atletas!E218="Adulto 70kg",17,IF(Atletas!E218="Adulto 75kg",18,IF(Atletas!E218="Adulto 82kg",19,IF(Atletas!E218="Adulto 90kg",20,IF(Atletas!E218="Adulto 100kg",21,IF(Atletas!E218="Adulto +100kg",22,""))))))))))))))))))))))))</f>
        <v/>
      </c>
      <c r="AX227" s="6" t="str">
        <f>IF(Atletas!F218="","",IF(Atletas!B218="Feminino",100,IF(Atletas!B218="Masculino",200,""))+(IF(Atletas!F218="Adulto 48kg",1,IF(Atletas!F218="Adulto 56kg",2,IF(Atletas!F218="Adulto 65kg",3,IF(Atletas!F218="Adulto 75kg",4,IF(Atletas!F218="Adulto +75kg",5,IF(Atletas!F218="Adulto 52kg",6,IF(Atletas!F218="Adulto 60kg",7,IF(Atletas!F218="Adulto 70kg",8,IF(Atletas!F218="Adulto 80kg",9,IF(Atletas!F218="Adulto 90kg",10,IF(Atletas!F218="Adulto +90kg",11,"")))))))))))))</f>
        <v/>
      </c>
      <c r="BC227" s="6" t="str">
        <f>IF(Atletas!G218="","",IF(Atletas!B218="Feminino",10,IF(Atletas!B218="Masculino",20,""))+(IF(Atletas!G218="Baduanjin A",1,IF(Atletas!G218="Baduanjin B",2))))</f>
        <v/>
      </c>
      <c r="BF227" s="52" t="str">
        <f>IF(Atletas!H218="","",IF(Atletas!B218="Feminino",100,IF(Atletas!B218="Masculino",200,""))+(IF(Atletas!H218="Changquan Mirim",1,IF(Atletas!H218="Nanquan Mirim",2,IF(Atletas!H218="Taijiquan Mirim",3,IF(Atletas!H218="Changquan Grupo C",4,IF(Atletas!H218="Nanquan Grupo C",5,IF(Atletas!H218="Taijiquan Grupo C",6,IF(Atletas!H218="Changquan Grupo B",7,IF(Atletas!H218="Nanquan Grupo B",8,IF(Atletas!H218="Taijiquan Grupo B",9,IF(Atletas!H218="Changquan Grupo A",10,IF(Atletas!H218="Nanquan Grupo A",11,IF(Atletas!H218="Taijiquan Grupo A",12,IF(Atletas!H218="Changquan Opcional",13,IF(Atletas!H218="Nanquan Opcional",14,IF(Atletas!H218="Taijiquan Opcional",15,IF(Atletas!H218="Changquan Adulto",16,IF(Atletas!H218="Nanquan Adulto",17,IF(Atletas!H218="Taijiquan Adulto",18,""))))))))))))))))))))</f>
        <v/>
      </c>
      <c r="BG227" s="52" t="str">
        <f>IF(Atletas!I218="","",IF(Atletas!B218="Feminino",100,IF(Atletas!B218="Masculino",200,""))+(IF(Atletas!I218="Daoshu Mirim",19,IF(Atletas!I218="Jianshu Mirim",20,IF(Atletas!I218="Nandao Mirim",21,IF(Atletas!I218="Taijijian Mirim",22,IF(Atletas!I218="Daoshu Grupo C",23,IF(Atletas!I218="Jianshu Grupo C",24,IF(Atletas!I218="Nandao Grupo C",25,IF(Atletas!I218="Taijijian Grupo C",26,IF(Atletas!I218="Daoshu Grupo B",27,IF(Atletas!I218="Jianshu Grupo B",28,IF(Atletas!I218="Nandao Grupo B",29,IF(Atletas!I218="Taijijian Grupo B",30,IF(Atletas!I218="Daoshu Grupo A",31,IF(Atletas!I218="Jianshu Grupo A",32,IF(Atletas!I218="Nandao Grupo A",33,IF(Atletas!I218="Taijijian Grupo A",34,IF(Atletas!I218="Daoshu Opcional",35,IF(Atletas!I218="Jianshu Opcional",36,IF(Atletas!I218="Nandao Opcional",37,IF(Atletas!I218="Taijijian Opcional",38,IF(Atletas!I218="Daoshu Adulto",39,IF(Atletas!I218="Jianshu Adulto",40,IF(Atletas!I218="Nandao Adulto",41,IF(Atletas!I218="Taijijian Adulto",42,""))))))))))))))))))))))))))</f>
        <v/>
      </c>
      <c r="BH227" s="52" t="str">
        <f>IF(Atletas!J218="","",IF(Atletas!B218="Feminino",100,IF(Atletas!B218="Masculino",200,""))+(IF(Atletas!J218="Gunshu Mirim",43,IF(Atletas!J218="Qiangshu Mirim",44,IF(Atletas!J218="Nangun Mirim",45,IF(Atletas!J218="Gunshu Grupo C",46,IF(Atletas!J218="Qiangshu Grupo C",47,IF(Atletas!J218="Nangun Grupo C",48,IF(Atletas!J218="Gunshu Grupo B",49,IF(Atletas!J218="Qiangshu Grupo B",50,IF(Atletas!J218="Nangun Grupo B",51,IF(Atletas!J218="Gunshu Grupo A",52,IF(Atletas!J218="Qiangshu Grupo A",53,IF(Atletas!J218="Nangun Grupo A",54,IF(Atletas!J218="Gunshu Opcional",55,IF(Atletas!J218="Qiangshu Opcional",56,IF(Atletas!J218="Nangun Opcional",57,IF(Atletas!J218="Gunshu Adulto",58,IF(Atletas!J218="Qiangshu Adulto",59,IF(Atletas!J218="Nangun Adulto",60,IF(Atletas!J218="Taijishan Grupo B",61,IF(Atletas!J218="Taijishan Grupo A",62,""))))))))))))))))))))))</f>
        <v/>
      </c>
      <c r="BM227" s="50" t="str">
        <f>IF(Atletas!K218="","",IF(Atletas!B218="Feminino",100,IF(Atletas!B218="Masculino",200,""))+(IF(Atletas!K218="Equipe 1 Grupo B",1,IF(Atletas!K218="Equipe 2 Grupo B",2,IF(Atletas!K218="Equipe 1 Grupo A",3,IF(Atletas!K218="Equipe 2 Grupo A",4,IF(Atletas!K218="Equipe 1 Adulto",5,IF(Atletas!K218="Equipe 2 Adulto",6,""))))))))</f>
        <v/>
      </c>
      <c r="BR227" s="50" t="str">
        <f>IF(Atletas!L218="","",IF(Atletas!X218&lt;&gt;"",10000,0)+(IF(Atletas!B218="Feminino",1000,IF(Atletas!B218="Masculino",2000,""))+IF(Atletas!L218="Choylayfut A",1,IF(Atletas!L218="Hunggar A",2,IF(Atletas!L218="Wuzuquan A",3,IF(Atletas!L218="Wingchun A",4,IF(Atletas!L218="Outra Mão de Sul A",5,IF(Atletas!L218="Choylayfut B",6,IF(Atletas!L218="Hunggar B",7,IF(Atletas!L218="Wuzuquan B",8,IF(Atletas!L218="Wingchun B",9,IF(Atletas!L218="Outra Mão de Sul B",10,IF(Atletas!L218="Choylayfut C",11,IF(Atletas!L218="Hunggar C",12,IF(Atletas!L218="Wuzuquan C",13,IF(Atletas!L218="Wingchun C",14,IF(Atletas!L218="Outra Mão de Sul C",15,IF(Atletas!L218="Choylayfut D",16,IF(Atletas!L218="Hunggar D",17,IF(Atletas!L218="Wuzuquan D",18,IF(Atletas!L218="Wingchun D",19,IF(Atletas!L218="Outra Mão de Sul D",20,IF(Atletas!L218="Choylayfut E",21,IF(Atletas!L218="Hunggar E",22,IF(Atletas!L218="Wuzuquan E",23,IF(Atletas!L218="Wingchun E",24,IF(Atletas!L218="Outra Mão de Sul E",25,IF(Atletas!L218="Choylayfut F",26,IF(Atletas!L218="Hunggar F",27,IF(Atletas!L218="Wuzuquan F",28,IF(Atletas!L218="Wingchun F",29,IF(Atletas!L218="Outra Mão de Sul F",30,IF(Atletas!L218="Dishuquan A",31,IF(Atletas!L218="Dishuquan B",32,IF(Atletas!L218="Dishuquan C",33,IF(Atletas!L218="Dishuquan D",34,IF(Atletas!L218="Dishuquan E",35,IF(Atletas!L218="Dishuquan F",36,""))))))))))))))))))))))))))))))))))))))</f>
        <v/>
      </c>
      <c r="BS227" s="50" t="str">
        <f>IF(Atletas!M218="","",IF(Atletas!X218&lt;&gt;"",10000,0)+(IF(Atletas!B218="Feminino",1000,IF(Atletas!B218="Masculino",2000,""))+(IF(Atletas!M218="Chaquan A",101,IF(Atletas!M218="Emeiquan A",102,IF(Atletas!M218="Fanziquan A",103,IF(Atletas!M218="Huaquan A",104,IF(Atletas!M218="Hongquan A",105,IF(Atletas!M218="Paoquan A",106,IF(Atletas!M218="Piguaquan A",107,IF(Atletas!M218="Shaolinquan A",108,IF(Atletas!M218="Tanglangquan A",109,IF(Atletas!M218="Yingzhaoquan A",110,IF(Atletas!M218="Tongbeiquan A",111,IF(Atletas!M218="Wudangquan A",112,IF(Atletas!M218="Outros Estilos A",113,IF(Atletas!M218="Chaquan B",114,IF(Atletas!M218="Emeiquan B",115,IF(Atletas!M218="Fanziquan B",116,IF(Atletas!M218="Huaquan B",117,IF(Atletas!M218="Hongquan B",118,IF(Atletas!M218="Paoquan B",119,IF(Atletas!M218="Piguaquan B",120,IF(Atletas!M218="Shaolinquan B",121,IF(Atletas!M218="Tanglangquan B",122,IF(Atletas!M218="Yingzhaoquan B",123,IF(Atletas!M218="Tongbeiquan B",124,IF(Atletas!M218="Wudangquan B",125,IF(Atletas!M218="Outros Estilos B",126,IF(Atletas!M218="Chaquan C",127,IF(Atletas!M218="Emeiquan C",128,IF(Atletas!M218="Fanziquan C",129,IF(Atletas!M218="Huaquan C",130,IF(Atletas!M218="Hongquan C",131,IF(Atletas!M218="Paoquan C",132,IF(Atletas!M218="Piguaquan C",133,IF(Atletas!M218="Shaolinquan C",134,IF(Atletas!M218="Tanglangquan C",135,IF(Atletas!M218="Yingzhaoquan C",136,IF(Atletas!M218="Tongbeiquan C",137,IF(Atletas!M218="Wudangquan C",138,IF(Atletas!M218="Outros Estilos C",139,0))))))))))))))))))))))))))))))))))))))))))</f>
        <v/>
      </c>
      <c r="BT227" s="50" t="str">
        <f>IF(Atletas!M218="","",IF(Atletas!X218&lt;&gt;"",10000,0)+(IF(Atletas!B218="Feminino",1000,IF(Atletas!B218="Masculino",2000,""))+(IF(Atletas!M218="Chaquan D",140,IF(Atletas!M218="Emeiquan D",141,IF(Atletas!M218="Fanziquan D",142,IF(Atletas!M218="Huaquan D",143,IF(Atletas!M218="Hongquan D",144,IF(Atletas!M218="Paoquan D",145,IF(Atletas!M218="Piguaquan D",146,IF(Atletas!M218="Shaolinquan D",147,IF(Atletas!M218="Tanglangquan D",148,IF(Atletas!M218="Yingzhaoquan D",149,IF(Atletas!M218="Tongbeiquan D",150,IF(Atletas!M218="Wudangquan D",151,IF(Atletas!M218="Outros Estilos D",152,IF(Atletas!M218="Chaquan E",153,IF(Atletas!M218="Emeiquan E",154,IF(Atletas!M218="Fanziquan E",155,IF(Atletas!M218="Huaquan E",156,IF(Atletas!M218="Hongquan E",157,IF(Atletas!M218="Paoquan E",158,IF(Atletas!M218="Piguaquan E",159,IF(Atletas!M218="Shaolinquan E",160,IF(Atletas!M218="Tanglangquan E",161,IF(Atletas!M218="Yingzhaoquan E",162,IF(Atletas!M218="Tongbeiquan E",163,IF(Atletas!M218="Wudangquan E",164,IF(Atletas!M218="Outros Estilos E",165,IF(Atletas!M218="Chaquan F",166,IF(Atletas!M218="Emeiquan F",167,IF(Atletas!M218="Fanziquan F",168,IF(Atletas!M218="Huaquan F",169,IF(Atletas!M218="Hongquan F",170,IF(Atletas!M218="Paoquan F",171,IF(Atletas!M218="Piguaquan F",172,IF(Atletas!M218="Shaolinquan F",173,IF(Atletas!M218="Tanglangquan F",174,IF(Atletas!M218="Yingzhaoquan F",175,IF(Atletas!M218="Tongbeiquan F",176,IF(Atletas!M218="Wudangquan F",177,IF(Atletas!M218="Outros Estilos F",178,0))))))))))))))))))))))))))))))))))))))))))</f>
        <v/>
      </c>
      <c r="BU227" s="50" t="str">
        <f>IF(Atletas!N218="","",IF(Atletas!X218&lt;&gt;"",10000,0)+(IF(Atletas!B218="Feminino",1000,IF(Atletas!B218="Masculino",2000,""))+(IF(Atletas!N218="Ditangquan A",201,IF(Atletas!N218="Houquan A",202,IF(Atletas!N218="Zuiquan A",203,IF(Atletas!N218="Ditangquan B",204,IF(Atletas!N218="Houquan B",205,IF(Atletas!N218="Zuiquan B",206,IF(Atletas!N218="Ditangquan C",207,IF(Atletas!N218="Houquan C",208,IF(Atletas!N218="Zuiquan C",209,IF(Atletas!N218="Ditangquan D",210,IF(Atletas!N218="Houquan D",211,IF(Atletas!N218="Zuiquan D",212,IF(Atletas!N218="Ditangquan E",213,IF(Atletas!N218="Houquan E",214,IF(Atletas!N218="Zuiquan E",215,IF(Atletas!N218="Ditangquan F",216,IF(Atletas!N218="Houquan F",217,IF(Atletas!N218="Zuiquan F",218,"")))))))))))))))))))))</f>
        <v/>
      </c>
      <c r="BV227" s="50" t="str">
        <f>IF(Atletas!O218="","",IF(Atletas!X218&lt;&gt;"",10000,0)+IF(Atletas!B218="Feminino",1000,IF(Atletas!B218="Masculino",2000,""))+IF(Atletas!O218="Yang A",301,IF(Atletas!O218="Chen A",302,IF(Atletas!O218="Sun A",303,IF(Atletas!O218="Wu A",304,IF(Atletas!O218="Wu-Hao A",305,IF(Atletas!O218="Outro Taijiquan A",306,IF(Atletas!O218="Yang B",307,IF(Atletas!O218="Chen B",308,IF(Atletas!O218="Sun B",309,IF(Atletas!O218="Wu B",310,IF(Atletas!O218="Wu-Hao B",311,IF(Atletas!O218="Outro Taijiquan B",312,IF(Atletas!O218="Yang C",313,IF(Atletas!O218="Chen C",314,IF(Atletas!O218="Sun C",315,IF(Atletas!O218="Wu C",316,IF(Atletas!O218="Wu-Hao C",317,IF(Atletas!O218="Outro Taijiquan C",318,IF(Atletas!O218="Yang D",319,IF(Atletas!O218="Chen D",320,IF(Atletas!O218="Sun D",321,IF(Atletas!O218="Wu D",322,IF(Atletas!O218="Wu-Hao D",323,IF(Atletas!O218="Outro Taijiquan D",324,IF(Atletas!O218="Yang E",325,IF(Atletas!O218="Chen E",326,IF(Atletas!O218="Sun E",327,IF(Atletas!O218="Wu E",328,IF(Atletas!O218="Wu-Hao E",329,IF(Atletas!O218="Outro Taijiquan E",330,IF(Atletas!O218="Yang F",331,IF(Atletas!O218="Chen F",332,IF(Atletas!O218="Sun F",333,IF(Atletas!O218="Wu F",334,IF(Atletas!O218="Wu-Hao F",335,IF(Atletas!O218="Outro Taijiquan F",336,"")))))))))))))))))))))))))))))))))))))</f>
        <v/>
      </c>
      <c r="BW227" s="50" t="str">
        <f>IF(Atletas!P218="","",IF(Atletas!X218&lt;&gt;"",10000,0)+IF(Atletas!B218="Feminino",1000,IF(Atletas!B218="Masculino",2000,""))+IF(OR(Atletas!P218="Yang 26 A",Atletas!P218="Yang 40 A"),401,IF(OR(Atletas!P218="Chen 25 A",Atletas!P218="Chen 36 A",Atletas!P218="Chen 56 A"),402,IF(Atletas!P218="Sun 73 A",403,IF(Atletas!P218="Wu 45 A",404,IF(Atletas!P218="Wu-Hao 46 A",405,IF(OR(Atletas!P218="Taijiquan 16 A",Atletas!P218="Taijiquan 24 A",Atletas!P218="Taijiquan 32 A",Atletas!P218="Taijiquan 42 A"),406,IF(OR(Atletas!P218="Yang 26 B",Atletas!P218="Yang 40 B"),407,IF(OR(Atletas!P218="Chen 25 B",Atletas!P218="Chen 36 B",Atletas!P218="Chen 56 B"),408,IF(Atletas!P218="Sun 73 B",409,IF(Atletas!P218="Wu 45 B",410,IF(Atletas!P218="Wu-Hao 46 B",411,IF(OR(Atletas!P218="Taijiquan 16 B",Atletas!P218="Taijiquan 24 B",Atletas!P218="Taijiquan 32 B",Atletas!P218="Taijiquan 42 B"),412,IF(OR(Atletas!P218="Yang 26 C",Atletas!P218="Yang 40 C"),413,IF(OR(Atletas!P218="Chen 25 C",Atletas!P218="Chen 36 C",Atletas!P218="Chen 56 C"),414,IF(Atletas!P218="Sun 73 C",415,IF(Atletas!P218="Wu 45 C",416,IF(Atletas!P218="Wu-Hao 46 C",417,IF(OR(Atletas!P218="Taijiquan 16 C",Atletas!P218="Taijiquan 24 C",Atletas!P218="Taijiquan 32 C",Atletas!P218="Taijiquan 42 C"),418,0)))))))))))))))))))</f>
        <v/>
      </c>
      <c r="BX227" s="50" t="str">
        <f>IF(Atletas!P218="","",IF(Atletas!X218&lt;&gt;"",10000,0)+IF(Atletas!B218="Feminino",1000,IF(Atletas!B218="Masculino",2000,""))+IF(OR(Atletas!P218="Yang 26 D",Atletas!P218="Yang 40 D"),419,IF(OR(Atletas!P218="Chen 25 D",Atletas!P218="Chen 36 D",Atletas!P218="Chen 56 D"),420,IF(Atletas!P218="Sun 73 D",421,IF(Atletas!P218="Wu 45 D",422,IF(Atletas!P218="Wu-Hao 46 D",423,IF(OR(Atletas!P218="Taijiquan 16 D",Atletas!P218="Taijiquan 24 D",Atletas!P218="Taijiquan 32 D",Atletas!P218="Taijiquan 42 D"),424,IF(OR(Atletas!P218="Yang 26 E",Atletas!P218="Yang 40 E"),425,IF(OR(Atletas!P218="Chen 25 E",Atletas!P218="Chen 36 E",Atletas!P218="Chen 56 E"),426,IF(Atletas!P218="Sun 73 E",427,IF(Atletas!P218="Wu 45 E",428,IF(Atletas!P218="Wu-Hao 46 E",429,IF(OR(Atletas!P218="Taijiquan 16 E",Atletas!P218="Taijiquan 24 E",Atletas!P218="Taijiquan 32 E",Atletas!P218="Taijiquan 42 E"),430,IF(OR(Atletas!P218="Yang 26 F",Atletas!P218="Yang 40 F"),431,IF(OR(Atletas!P218="Chen 25 F",Atletas!P218="Chen 36 F",Atletas!P218="Chen 56 F"),432,IF(Atletas!P218="Sun 73 F",433,IF(Atletas!P218="Wu 45 F",434,IF(Atletas!P218="Wu-Hao 46 F",435,IF(OR(Atletas!P218="Taijiquan 16 F",Atletas!P218="Taijiquan 24 F",Atletas!P218="Taijiquan 32 F",Atletas!P218="Taijiquan 42 F"),436,0)))))))))))))))))))</f>
        <v/>
      </c>
      <c r="BY227" s="50" t="str">
        <f>IF(Atletas!Q218="","",IF(Atletas!X218&lt;&gt;"",10000,0)+IF(Atletas!B218="Feminino",1000,IF(Atletas!B218="Masculino",2000,""))+IF(Atletas!Q218="Xingyiquan A",501,IF(Atletas!Q218="Baguazhang A",502,IF(Atletas!Q218="Outro Estilo Interno A",503,IF(Atletas!Q218="Xingyiquan B",504,IF(Atletas!Q218="Baguazhang B",505,IF(Atletas!Q218="Outro Estilo Interno B",506,IF(Atletas!Q218="Xingyiquan C",507,IF(Atletas!Q218="Baguazhang C",508,IF(Atletas!Q218="Outro Estilo Interno C",509,IF(Atletas!Q218="Xingyiquan D",510,IF(Atletas!Q218="Baguazhang D",511,IF(Atletas!Q218="Outro Estilo Interno D",512,IF(Atletas!Q218="Xingyiquan E",513,IF(Atletas!Q218="Baguazhang E",514,IF(Atletas!Q218="Outro Estilo Interno E",515,IF(Atletas!Q218="Xingyiquan F",516,IF(Atletas!Q218="Baguazhang F",517,IF(Atletas!Q218="Outro Estilo Interno F",518, "")))))))))))))))))))</f>
        <v/>
      </c>
      <c r="BZ227" s="50" t="str">
        <f>IF(Atletas!R218="","",IF(Atletas!X218&lt;&gt;"",10000,0)+IF(Atletas!B218="Feminino",1000,IF(Atletas!B218="Masculino",2000,""))+IF(Atletas!R218="Dao A",601,IF(Atletas!R218="Jian A",602,IF(Atletas!R218="Bishou A",603,IF(Atletas!R218="Shanzi A",604,IF(Atletas!R218="Outra Arma Curta A",605,IF(Atletas!R218="Dao B",606,IF(Atletas!R218="Jian B",607,IF(Atletas!R218="Bishou B",608,IF(Atletas!R218="Shanzi B",609,IF(Atletas!R218="Outra Arma Curta B",610,IF(Atletas!R218="Dao C",611,IF(Atletas!R218="Jian C",612,IF(Atletas!R218="Bishou C",613,IF(Atletas!R218="Shanzi C",614,IF(Atletas!R218="Outra Arma Curta C",615,IF(Atletas!R218="Dao D",616,IF(Atletas!R218="Jian D",617,IF(Atletas!R218="Bishou D",618,IF(Atletas!R218="Shanzi D",619,IF(Atletas!R218="Outra Arma Curta D",620,IF(Atletas!R218="Dao E",621,IF(Atletas!R218="Jian E",622,IF(Atletas!R218="Bishou E",623,IF(Atletas!R218="Shanzi E",624,IF(Atletas!R218="Outra Arma Curta E",625,IF(Atletas!R218="Dao F",626,IF(Atletas!R218="Jian F",627,IF(Atletas!R218="Bishou F",628,IF(Atletas!R218="Shanzi F",629,IF(Atletas!R218="Outra Arma Curta F",630, "")))))))))))))))))))))))))))))))</f>
        <v/>
      </c>
      <c r="CA227" s="50" t="str">
        <f>IF(Atletas!S218="","",IF(Atletas!X218&lt;&gt;"",10000,0)+IF(Atletas!B218="Feminino",1000,IF(Atletas!B218="Masculino",2000,""))+IF(Atletas!S218="Gun A",701,IF(Atletas!S218="Qiang A",702,IF(Atletas!S218="Pudao / Guandao A",703,IF(Atletas!S218="Outra Arma Longa A",704,IF(Atletas!S218="Gun B",705,IF(Atletas!S218="Qiang B",706,IF(Atletas!S218="Pudao / Guandao B",707,IF(Atletas!S218="Outra Arma Longa B",708,IF(Atletas!S218="Gun C",709,IF(Atletas!S218="Qiang C",710,IF(Atletas!S218="Pudao / Guandao C",711,IF(Atletas!S218="Outra Arma Longa C",712,IF(Atletas!S218="Gun D",713,IF(Atletas!S218="Qiang D",714,IF(Atletas!S218="Pudao / Guandao D",715,IF(Atletas!S218="Outra Arma Longa D",716,IF(Atletas!S218="Gun E",717,IF(Atletas!S218="Qiang E",718,IF(Atletas!S218="Pudao / Guandao E",719,IF(Atletas!S218="Outra Arma Longa E",720,IF(Atletas!S218="Gun F",721,IF(Atletas!S218="Qiang F",722,IF(Atletas!S218="Pudao / Guandao F",723,IF(Atletas!S218="Outra Arma Longa F",724,"")))))))))))))))))))))))))</f>
        <v/>
      </c>
      <c r="CB227" s="50" t="str">
        <f>IF(Atletas!T218="","",IF(Atletas!X218&lt;&gt;"",10000,0)+IF(Atletas!B218="Feminino",1000,IF(Atletas!B218="Masculino",2000,""))+IF(Atletas!T218="Outra Arma Dupla A",801,IF(Atletas!T218="Arma Maleável A",802,IF(Atletas!T218="Outra Arma Dupla B",803,IF(Atletas!T218="Arma Maleável B",804,IF(Atletas!T218="Outra Arma Dupla C",805,IF(Atletas!T218="Arma Maleável C",806,IF(Atletas!T218="Outra Arma Dupla D",807,IF(Atletas!T218="Arma Maleável D",808,IF(Atletas!T218="Outra Arma Dupla E",809,IF(Atletas!T218="Arma Maleável E",810,IF(Atletas!T218="Outra Arma Dupla F",811,IF(Atletas!T218="Arma Maleável F",812,IF(Atletas!T218="Shuangdao A",813,IF(Atletas!T218="Shuangdao B",814,IF(Atletas!T218="Shuangdao C",815,IF(Atletas!T218="Shuangdao D",816,IF(Atletas!T218="Shuangdao E",817,IF(Atletas!T218="Shuangdao F",818,"")))))))))))))))))))</f>
        <v/>
      </c>
      <c r="CC227" s="50" t="str">
        <f>IF(Atletas!U218="","",IF(Atletas!X218&lt;&gt;"",10000,0)+IF(Atletas!B218="Feminino",1000,IF(Atletas!B218="Masculino",2000,""))+IF(OR(Atletas!U218="Taijijian Yang A",Atletas!U218="Taijijian Yang Standard A"),901,IF(OR(Atletas!U218="Taijijian Chen A", Atletas!U218="Taijijian Chen Standard A"),902,IF(Atletas!U218="Taijijian Sun A",903,IF(Atletas!U218="Taijijian Wu A",904,IF(Atletas!U218="Taijijian Wu-Hao A",905,IF(OR(Atletas!U218="Taijijian 32 A",Atletas!U218="Taijijian 42 A"),906,IF(OR(Atletas!U218="Taijijian Yang B",Atletas!U218="Taijijian Yang Standard B"),907,IF(OR(Atletas!U218="Taijijian Chen B", Atletas!U218="Taijijian Chen Standard B"),908,IF(Atletas!U218="Taijijian Sun B",909,IF(Atletas!U218="Taijijian Wu B",910,IF(Atletas!U218="Taijijian Wu-Hao B",911,IF(OR(Atletas!U218="Taijijian 32 B",Atletas!U218="Taijijian 42 B"),912,IF(OR(Atletas!U218="Taijijian Yang C",Atletas!U218="Taijijian Yang Standard C"),913,IF(OR(Atletas!U218="Taijijian Chen C", Atletas!U218="Taijijian Chen Standard C"),914,IF(Atletas!U218="Taijijian Sun C",915,IF(Atletas!U218="Taijijian Wu C",916,IF(Atletas!U218="Taijijian Wu-Hao C",917,IF(OR(Atletas!U218="Taijijian 32 C",Atletas!U218="Taijijian 42 C"),918,IF(OR(Atletas!U218="Taijijian Yang D",Atletas!U218="Taijijian Yang Standard D"),919,IF(OR(Atletas!U218="Taijijian Chen D", Atletas!U218="Taijijian Chen Standard D"),920,IF(Atletas!U218="Taijijian Sun D",921,IF(Atletas!U218="Taijijian Wu D",922,IF(Atletas!U218="Taijijian Wu-Hao D",923,IF(OR(Atletas!U218="Taijijian 32 D",Atletas!U218="Taijijian 42 D"),924,IF(OR(Atletas!U218="Taijijian Yang E",Atletas!U218="Taijijian Yang Standard E"),925,IF(OR(Atletas!U218="Taijijian Chen E", Atletas!U218="Taijijian Chen Standard E"),926,IF(Atletas!U218="Taijijian Sun E",927,IF(Atletas!U218="Taijijian Wu E",928,IF(Atletas!U218="Taijijian Wu-Hao E",929,IF(OR(Atletas!U218="Taijijian 32 E",Atletas!U218="Taijijian 42 E"),930,IF(OR(Atletas!U218="Taijijian Yang F",Atletas!U218="Taijijian Yang Standard F"),931,IF(OR(Atletas!U218="Taijijian Chen F", Atletas!U218="Taijijian Chen Standard F"),932,IF(Atletas!U218="Taijijian Sun F",933,IF(Atletas!U218="Taijijian Wu F",934,IF(Atletas!U218="Taijijian Wu-Hao F",935,IF(OR(Atletas!U218="Taijijian 32 F",Atletas!U218="Taijijian 42 F"),936,"")))))))))))))))))))))))))))))))))))))</f>
        <v/>
      </c>
      <c r="CD227" s="50" t="str">
        <f>IF(Atletas!V218="","",IF(Atletas!X218&lt;&gt;"",10000,0)+IF(Atletas!B218="Feminino",1000,IF(Atletas!B218="Masculino",2000,""))+IF(Atletas!V218="Taijidao A",937,IF(Atletas!V218="TaijiShanzi A",938,IF(Atletas!V218="Taijiqiang A",939,IF(Atletas!V218="Bagua de Arma A",940,IF(Atletas!V218="Xingyi de Arma A",941,IF(Atletas!V218="Taijidao B",942,IF(Atletas!V218="TaijiShanzi B",943,IF(Atletas!V218="Taijiqiang B",944,IF(Atletas!V218="Bagua de Arma B",945,IF(Atletas!V218="Xingyi de Arma B",946,IF(Atletas!V218="Taijidao C",947,IF(Atletas!V218="TaijiShanzi C",948,IF(Atletas!V218="Taijiqiang C",949,IF(Atletas!V218="Bagua de Arma C",950,IF(Atletas!V218="Xingyi de Arma C",951,IF(Atletas!V218="Taijidao D",952,IF(Atletas!V218="TaijiShanzi D",953,IF(Atletas!V218="Taijiqiang D",954,IF(Atletas!V218="Bagua de Arma D",955,IF(Atletas!V218="Xingyi de Arma D",956,IF(Atletas!V218="Taijidao E",957,IF(Atletas!V218="TaijiShanzi E",958,IF(Atletas!V218="Taijiqiang E",959,IF(Atletas!V218="Bagua de Arma E",960,IF(Atletas!V218="Xingyi de Arma E",961,IF(Atletas!V218="Taijidao F",962,IF(Atletas!V218="TaijiShanzi F",963,IF(Atletas!V218="Taijiqiang F",964,IF(Atletas!V218="Bagua de Arma F",965,IF(Atletas!V218="Xingyi de Arma F",966,"")))))))))))))))))))))))))))))))</f>
        <v/>
      </c>
      <c r="CE227" s="66" t="str">
        <f>IF(CF227&lt;&gt;"","Baguazhang F ","")</f>
        <v/>
      </c>
      <c r="CF227" s="66" t="str">
        <f>IF(COUNTIF(BR:CD,1517)&gt;0,COUNTIF(BR:CD,1517),"")</f>
        <v/>
      </c>
      <c r="CG227" s="66" t="str">
        <f>IF(CH227&lt;&gt;"","Baguazhang F ","")</f>
        <v/>
      </c>
      <c r="CH227" s="66" t="str">
        <f>IF(COUNTIF(BR:CD,2517)&gt;0,COUNTIF(BR:CD,2517),"")</f>
        <v/>
      </c>
      <c r="CI227" s="66" t="str">
        <f>IF(CJ227&lt;&gt;"","Outra Arma Curta A","")</f>
        <v/>
      </c>
      <c r="CJ227" s="66" t="str">
        <f>IF(COUNTIF(BR:CD,11605)&gt;0,COUNTIF(BR:CD,11605),"")</f>
        <v/>
      </c>
      <c r="CK227" s="66" t="str">
        <f>IF(CL227&lt;&gt;"","Outra Arma Curta A","")</f>
        <v/>
      </c>
      <c r="CL227" s="66" t="str">
        <f>IF(COUNTIF(BR:CD,12605)&gt;0,COUNTIF(BR:CD,12605),"")</f>
        <v/>
      </c>
      <c r="CM227" s="50" t="str">
        <f xml:space="preserve"> IF(Atletas!W218="","",IF(Atletas!W218="Duilian de Mãos BC - Equipe 1",1,IF(Atletas!W218="Duilian de Mãos BC - Equipe 2",2,IF(Atletas!W218="Duilian de Armas BC - Equipe 1",3,IF(Atletas!W218="Duilian de Armas BC - Equipe 2",4,IF(Atletas!W218="Duilian de Mãos DE - Equipe 1",5,IF(Atletas!W218="Duilian de Mãos DE - Equipe 2",6,IF(Atletas!W218="Duilian de Armas DE - Equipe 1",7,IF(Atletas!W218="Duilian de Armas DE - Equipe 2",8,IF(Atletas!W218="Duilian de Tuishou - Equipe 1",9,IF(Atletas!W218="Duilian de Tuishou - Equipe 2",10,IF(Atletas!W218="Grupo Externo ABC - Equipe 1",11,IF(Atletas!W218="Grupo Externo ABC - Equipe 2",12,IF(Atletas!W218="Grupo Interno ABC - Equipe 1",13,IF(Atletas!W218="Grupo Interno ABC - Equipe 2",14,IF(Atletas!W218="Grupo Externo DEF - Equipe 1",15,IF(Atletas!W218="Grupo Externo DEF - Equipe 2",16,IF(Atletas!W218="Grupo Interno DEF - Equipe 1",17,IF(Atletas!W218="Grupo Interno DEF - Equipe 2",18,"")))))))))))))))))))</f>
        <v/>
      </c>
    </row>
    <row r="228" spans="2:91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 t="str">
        <f t="array" ref="Z228">IFERROR(INDEX(CE$7:CE$348,SMALL(IF(CE$7:CE$348&lt;&gt;"",ROW(CE$7:CE$348)-ROW(CE$7)+1),ROWS(CE$7:CE227))),"")</f>
        <v/>
      </c>
      <c r="AA228" s="3" t="str">
        <f t="array" ref="AA228">IFERROR(INDEX(CF$7:CF$348,SMALL(IF(CF$7:CF$348&lt;&gt;"",ROW(CF$7:CF$348)-ROW(CF$7)+1),ROWS(CF$7:CF227))),"")</f>
        <v/>
      </c>
      <c r="AB228" s="3" t="str">
        <f t="array" ref="AB228">IFERROR(INDEX(CG$7:CG$348,SMALL(IF(CG$7:CG$348&lt;&gt;"",ROW(CG$7:CG$348)-ROW(CG$7)+1),ROWS(CG$7:CG227))),"")</f>
        <v/>
      </c>
      <c r="AC228" s="3" t="str">
        <f t="array" ref="AC228">IFERROR(INDEX(CH$7:CH$348,SMALL(IF(CH$7:CH$348&lt;&gt;"",ROW(CH$7:CH$348)-ROW(CH$7)+1),ROWS(CH$7:CH227))),"")</f>
        <v/>
      </c>
      <c r="AD228" s="3" t="str">
        <f t="array" ref="AD228">IFERROR(INDEX(CI$7:CI$377,SMALL(IF(CI$7:CI$377&lt;&gt;"",ROW(CI$7:CI$377)-ROW(CI$7)+1),ROWS(CI$7:CI227))),"")</f>
        <v/>
      </c>
      <c r="AE228" s="3" t="str">
        <f t="array" ref="AE228">IFERROR(INDEX(CJ$7:CJ$378,SMALL(IF(CJ$7:CJ$378&lt;&gt;"",ROW(CJ$7:CJ$378)-ROW(CJ$7)+1),ROWS(CJ$7:CJ227))),"")</f>
        <v/>
      </c>
      <c r="AF228" s="3" t="str">
        <f t="array" ref="AF228">IFERROR(INDEX(CK$7:CK$378,SMALL(IF(CK$7:CK$378&lt;&gt;"",ROW(CK$7:CK$378)-ROW(CK$7)+1),ROWS(CK$7:CK227))),"")</f>
        <v/>
      </c>
      <c r="AG228" s="3" t="str">
        <f t="array" ref="AG228">IFERROR(INDEX(CL$7:CL$378,SMALL(IF(CL$7:CL$378&lt;&gt;"",ROW(CL$7:CL$378)-ROW(CL$7)+1),ROWS(CL$7:CL227))),"")</f>
        <v/>
      </c>
      <c r="AH228" s="3"/>
      <c r="AI228" s="3"/>
      <c r="AJ228" s="3"/>
      <c r="AK228" s="3"/>
      <c r="AL228" s="3"/>
      <c r="AM228" s="3"/>
      <c r="AN228" s="52" t="str">
        <f>IF(Atletas!D219="","",IF(Atletas!B219="Feminino",100,IF(Atletas!B219="Masculino",200,""))+(IF(Atletas!D219="Kids 30kg",1,IF(Atletas!D219="Kids 32kg",2, IF(Atletas!D219="Kids 34kg",3,IF(Atletas!D219="Kids 36kg",4,IF(Atletas!D219="Kids 39kg",5,IF(Atletas!D219="Kids 42kg",6,IF(Atletas!D219="Kids 45kg",7, IF(Atletas!D219="Infantil 39kg",8,IF(Atletas!D219="Infantil 42kg",9,IF(Atletas!D219="Infantil 45kg",10,IF(Atletas!D219="Infantil 48kg",11,IF(Atletas!D219="Infantil 52kg",12,IF(Atletas!D219="Infantil 56kg",13,IF(Atletas!D219="Infantil 60kg",14,IF(Atletas!D219="Juvenil 48kg",15,IF(Atletas!D219="Juvenil 52kg",16,IF(Atletas!D219="Juvenil 56kg",17,IF(Atletas!D219="Juvenil 60kg",18,IF(Atletas!D219="Juvenil 65kg",19,IF(Atletas!D219="Juvenil 70kg",20,IF(Atletas!D219="Juvenil 75kg",21,IF(Atletas!D219="Juvenil 80kg",22, IF(Atletas!D219="Juvenil 85kg",23,IF(Atletas!D219="Adulto 48kg",24,IF(Atletas!D219="Adulto 52kg",25,IF(Atletas!D219="Adulto 56kg",26,IF(Atletas!D219="Adulto 60kg",27,IF(Atletas!D219="Adulto 65kg",28,IF(Atletas!D219="Adulto 70kg",29,IF(Atletas!D219="Adulto 75kg",30,IF(Atletas!D219="Adulto 80kg",31,IF(Atletas!D219="Adulto 85kg",32,IF(Atletas!D219="Adulto 90kg",33,IF(Atletas!D219="Adulto 100kg",34, IF(Atletas!D219="Adulto +100kg",35,"")))))))))))))))))))))))))))))))))))))</f>
        <v/>
      </c>
      <c r="AS228" s="6" t="str">
        <f>IF(Atletas!E219="","",IF(Atletas!B219="Feminino",100,IF(Atletas!B219="Masculino",200,""))+(IF(Atletas!E219="Juvenil 44kg",1,IF(Atletas!E219="Juvenil 48kg",2,IF(Atletas!E219="Juvenil 52kg",3,IF(Atletas!E219="Juvenil 56kg",4,IF(Atletas!E219="Juvenil 60kg",5,IF(Atletas!E219="Juvenil 65kg",6,IF(Atletas!E219="Juvenil 70kg",7,IF(Atletas!E219="Juvenil 75kg",8,IF(Atletas!E219="Juvenil 82kg",9,IF(Atletas!E219="Juvenil 90kg",10,IF(Atletas!E219="Juvenil 100kg",11,IF(Atletas!E219="Adulto 48kg",12,IF(Atletas!E219="Adulto 52kg",13,IF(Atletas!E219="Adulto 56kg",14,IF(Atletas!E219="Adulto 60kg",15,IF(Atletas!E219="Adulto 65kg",16,IF(Atletas!E219="Adulto 70kg",17,IF(Atletas!E219="Adulto 75kg",18,IF(Atletas!E219="Adulto 82kg",19,IF(Atletas!E219="Adulto 90kg",20,IF(Atletas!E219="Adulto 100kg",21,IF(Atletas!E219="Adulto +100kg",22,""))))))))))))))))))))))))</f>
        <v/>
      </c>
      <c r="AX228" s="6" t="str">
        <f>IF(Atletas!F219="","",IF(Atletas!B219="Feminino",100,IF(Atletas!B219="Masculino",200,""))+(IF(Atletas!F219="Adulto 48kg",1,IF(Atletas!F219="Adulto 56kg",2,IF(Atletas!F219="Adulto 65kg",3,IF(Atletas!F219="Adulto 75kg",4,IF(Atletas!F219="Adulto +75kg",5,IF(Atletas!F219="Adulto 52kg",6,IF(Atletas!F219="Adulto 60kg",7,IF(Atletas!F219="Adulto 70kg",8,IF(Atletas!F219="Adulto 80kg",9,IF(Atletas!F219="Adulto 90kg",10,IF(Atletas!F219="Adulto +90kg",11,"")))))))))))))</f>
        <v/>
      </c>
      <c r="BC228" s="6" t="str">
        <f>IF(Atletas!G219="","",IF(Atletas!B219="Feminino",10,IF(Atletas!B219="Masculino",20,""))+(IF(Atletas!G219="Baduanjin A",1,IF(Atletas!G219="Baduanjin B",2))))</f>
        <v/>
      </c>
      <c r="BF228" s="52" t="str">
        <f>IF(Atletas!H219="","",IF(Atletas!B219="Feminino",100,IF(Atletas!B219="Masculino",200,""))+(IF(Atletas!H219="Changquan Mirim",1,IF(Atletas!H219="Nanquan Mirim",2,IF(Atletas!H219="Taijiquan Mirim",3,IF(Atletas!H219="Changquan Grupo C",4,IF(Atletas!H219="Nanquan Grupo C",5,IF(Atletas!H219="Taijiquan Grupo C",6,IF(Atletas!H219="Changquan Grupo B",7,IF(Atletas!H219="Nanquan Grupo B",8,IF(Atletas!H219="Taijiquan Grupo B",9,IF(Atletas!H219="Changquan Grupo A",10,IF(Atletas!H219="Nanquan Grupo A",11,IF(Atletas!H219="Taijiquan Grupo A",12,IF(Atletas!H219="Changquan Opcional",13,IF(Atletas!H219="Nanquan Opcional",14,IF(Atletas!H219="Taijiquan Opcional",15,IF(Atletas!H219="Changquan Adulto",16,IF(Atletas!H219="Nanquan Adulto",17,IF(Atletas!H219="Taijiquan Adulto",18,""))))))))))))))))))))</f>
        <v/>
      </c>
      <c r="BG228" s="52" t="str">
        <f>IF(Atletas!I219="","",IF(Atletas!B219="Feminino",100,IF(Atletas!B219="Masculino",200,""))+(IF(Atletas!I219="Daoshu Mirim",19,IF(Atletas!I219="Jianshu Mirim",20,IF(Atletas!I219="Nandao Mirim",21,IF(Atletas!I219="Taijijian Mirim",22,IF(Atletas!I219="Daoshu Grupo C",23,IF(Atletas!I219="Jianshu Grupo C",24,IF(Atletas!I219="Nandao Grupo C",25,IF(Atletas!I219="Taijijian Grupo C",26,IF(Atletas!I219="Daoshu Grupo B",27,IF(Atletas!I219="Jianshu Grupo B",28,IF(Atletas!I219="Nandao Grupo B",29,IF(Atletas!I219="Taijijian Grupo B",30,IF(Atletas!I219="Daoshu Grupo A",31,IF(Atletas!I219="Jianshu Grupo A",32,IF(Atletas!I219="Nandao Grupo A",33,IF(Atletas!I219="Taijijian Grupo A",34,IF(Atletas!I219="Daoshu Opcional",35,IF(Atletas!I219="Jianshu Opcional",36,IF(Atletas!I219="Nandao Opcional",37,IF(Atletas!I219="Taijijian Opcional",38,IF(Atletas!I219="Daoshu Adulto",39,IF(Atletas!I219="Jianshu Adulto",40,IF(Atletas!I219="Nandao Adulto",41,IF(Atletas!I219="Taijijian Adulto",42,""))))))))))))))))))))))))))</f>
        <v/>
      </c>
      <c r="BH228" s="52" t="str">
        <f>IF(Atletas!J219="","",IF(Atletas!B219="Feminino",100,IF(Atletas!B219="Masculino",200,""))+(IF(Atletas!J219="Gunshu Mirim",43,IF(Atletas!J219="Qiangshu Mirim",44,IF(Atletas!J219="Nangun Mirim",45,IF(Atletas!J219="Gunshu Grupo C",46,IF(Atletas!J219="Qiangshu Grupo C",47,IF(Atletas!J219="Nangun Grupo C",48,IF(Atletas!J219="Gunshu Grupo B",49,IF(Atletas!J219="Qiangshu Grupo B",50,IF(Atletas!J219="Nangun Grupo B",51,IF(Atletas!J219="Gunshu Grupo A",52,IF(Atletas!J219="Qiangshu Grupo A",53,IF(Atletas!J219="Nangun Grupo A",54,IF(Atletas!J219="Gunshu Opcional",55,IF(Atletas!J219="Qiangshu Opcional",56,IF(Atletas!J219="Nangun Opcional",57,IF(Atletas!J219="Gunshu Adulto",58,IF(Atletas!J219="Qiangshu Adulto",59,IF(Atletas!J219="Nangun Adulto",60,IF(Atletas!J219="Taijishan Grupo B",61,IF(Atletas!J219="Taijishan Grupo A",62,""))))))))))))))))))))))</f>
        <v/>
      </c>
      <c r="BM228" s="50" t="str">
        <f>IF(Atletas!K219="","",IF(Atletas!B219="Feminino",100,IF(Atletas!B219="Masculino",200,""))+(IF(Atletas!K219="Equipe 1 Grupo B",1,IF(Atletas!K219="Equipe 2 Grupo B",2,IF(Atletas!K219="Equipe 1 Grupo A",3,IF(Atletas!K219="Equipe 2 Grupo A",4,IF(Atletas!K219="Equipe 1 Adulto",5,IF(Atletas!K219="Equipe 2 Adulto",6,""))))))))</f>
        <v/>
      </c>
      <c r="BR228" s="50" t="str">
        <f>IF(Atletas!L219="","",IF(Atletas!X219&lt;&gt;"",10000,0)+(IF(Atletas!B219="Feminino",1000,IF(Atletas!B219="Masculino",2000,""))+IF(Atletas!L219="Choylayfut A",1,IF(Atletas!L219="Hunggar A",2,IF(Atletas!L219="Wuzuquan A",3,IF(Atletas!L219="Wingchun A",4,IF(Atletas!L219="Outra Mão de Sul A",5,IF(Atletas!L219="Choylayfut B",6,IF(Atletas!L219="Hunggar B",7,IF(Atletas!L219="Wuzuquan B",8,IF(Atletas!L219="Wingchun B",9,IF(Atletas!L219="Outra Mão de Sul B",10,IF(Atletas!L219="Choylayfut C",11,IF(Atletas!L219="Hunggar C",12,IF(Atletas!L219="Wuzuquan C",13,IF(Atletas!L219="Wingchun C",14,IF(Atletas!L219="Outra Mão de Sul C",15,IF(Atletas!L219="Choylayfut D",16,IF(Atletas!L219="Hunggar D",17,IF(Atletas!L219="Wuzuquan D",18,IF(Atletas!L219="Wingchun D",19,IF(Atletas!L219="Outra Mão de Sul D",20,IF(Atletas!L219="Choylayfut E",21,IF(Atletas!L219="Hunggar E",22,IF(Atletas!L219="Wuzuquan E",23,IF(Atletas!L219="Wingchun E",24,IF(Atletas!L219="Outra Mão de Sul E",25,IF(Atletas!L219="Choylayfut F",26,IF(Atletas!L219="Hunggar F",27,IF(Atletas!L219="Wuzuquan F",28,IF(Atletas!L219="Wingchun F",29,IF(Atletas!L219="Outra Mão de Sul F",30,IF(Atletas!L219="Dishuquan A",31,IF(Atletas!L219="Dishuquan B",32,IF(Atletas!L219="Dishuquan C",33,IF(Atletas!L219="Dishuquan D",34,IF(Atletas!L219="Dishuquan E",35,IF(Atletas!L219="Dishuquan F",36,""))))))))))))))))))))))))))))))))))))))</f>
        <v/>
      </c>
      <c r="BS228" s="50" t="str">
        <f>IF(Atletas!M219="","",IF(Atletas!X219&lt;&gt;"",10000,0)+(IF(Atletas!B219="Feminino",1000,IF(Atletas!B219="Masculino",2000,""))+(IF(Atletas!M219="Chaquan A",101,IF(Atletas!M219="Emeiquan A",102,IF(Atletas!M219="Fanziquan A",103,IF(Atletas!M219="Huaquan A",104,IF(Atletas!M219="Hongquan A",105,IF(Atletas!M219="Paoquan A",106,IF(Atletas!M219="Piguaquan A",107,IF(Atletas!M219="Shaolinquan A",108,IF(Atletas!M219="Tanglangquan A",109,IF(Atletas!M219="Yingzhaoquan A",110,IF(Atletas!M219="Tongbeiquan A",111,IF(Atletas!M219="Wudangquan A",112,IF(Atletas!M219="Outros Estilos A",113,IF(Atletas!M219="Chaquan B",114,IF(Atletas!M219="Emeiquan B",115,IF(Atletas!M219="Fanziquan B",116,IF(Atletas!M219="Huaquan B",117,IF(Atletas!M219="Hongquan B",118,IF(Atletas!M219="Paoquan B",119,IF(Atletas!M219="Piguaquan B",120,IF(Atletas!M219="Shaolinquan B",121,IF(Atletas!M219="Tanglangquan B",122,IF(Atletas!M219="Yingzhaoquan B",123,IF(Atletas!M219="Tongbeiquan B",124,IF(Atletas!M219="Wudangquan B",125,IF(Atletas!M219="Outros Estilos B",126,IF(Atletas!M219="Chaquan C",127,IF(Atletas!M219="Emeiquan C",128,IF(Atletas!M219="Fanziquan C",129,IF(Atletas!M219="Huaquan C",130,IF(Atletas!M219="Hongquan C",131,IF(Atletas!M219="Paoquan C",132,IF(Atletas!M219="Piguaquan C",133,IF(Atletas!M219="Shaolinquan C",134,IF(Atletas!M219="Tanglangquan C",135,IF(Atletas!M219="Yingzhaoquan C",136,IF(Atletas!M219="Tongbeiquan C",137,IF(Atletas!M219="Wudangquan C",138,IF(Atletas!M219="Outros Estilos C",139,0))))))))))))))))))))))))))))))))))))))))))</f>
        <v/>
      </c>
      <c r="BT228" s="50" t="str">
        <f>IF(Atletas!M219="","",IF(Atletas!X219&lt;&gt;"",10000,0)+(IF(Atletas!B219="Feminino",1000,IF(Atletas!B219="Masculino",2000,""))+(IF(Atletas!M219="Chaquan D",140,IF(Atletas!M219="Emeiquan D",141,IF(Atletas!M219="Fanziquan D",142,IF(Atletas!M219="Huaquan D",143,IF(Atletas!M219="Hongquan D",144,IF(Atletas!M219="Paoquan D",145,IF(Atletas!M219="Piguaquan D",146,IF(Atletas!M219="Shaolinquan D",147,IF(Atletas!M219="Tanglangquan D",148,IF(Atletas!M219="Yingzhaoquan D",149,IF(Atletas!M219="Tongbeiquan D",150,IF(Atletas!M219="Wudangquan D",151,IF(Atletas!M219="Outros Estilos D",152,IF(Atletas!M219="Chaquan E",153,IF(Atletas!M219="Emeiquan E",154,IF(Atletas!M219="Fanziquan E",155,IF(Atletas!M219="Huaquan E",156,IF(Atletas!M219="Hongquan E",157,IF(Atletas!M219="Paoquan E",158,IF(Atletas!M219="Piguaquan E",159,IF(Atletas!M219="Shaolinquan E",160,IF(Atletas!M219="Tanglangquan E",161,IF(Atletas!M219="Yingzhaoquan E",162,IF(Atletas!M219="Tongbeiquan E",163,IF(Atletas!M219="Wudangquan E",164,IF(Atletas!M219="Outros Estilos E",165,IF(Atletas!M219="Chaquan F",166,IF(Atletas!M219="Emeiquan F",167,IF(Atletas!M219="Fanziquan F",168,IF(Atletas!M219="Huaquan F",169,IF(Atletas!M219="Hongquan F",170,IF(Atletas!M219="Paoquan F",171,IF(Atletas!M219="Piguaquan F",172,IF(Atletas!M219="Shaolinquan F",173,IF(Atletas!M219="Tanglangquan F",174,IF(Atletas!M219="Yingzhaoquan F",175,IF(Atletas!M219="Tongbeiquan F",176,IF(Atletas!M219="Wudangquan F",177,IF(Atletas!M219="Outros Estilos F",178,0))))))))))))))))))))))))))))))))))))))))))</f>
        <v/>
      </c>
      <c r="BU228" s="50" t="str">
        <f>IF(Atletas!N219="","",IF(Atletas!X219&lt;&gt;"",10000,0)+(IF(Atletas!B219="Feminino",1000,IF(Atletas!B219="Masculino",2000,""))+(IF(Atletas!N219="Ditangquan A",201,IF(Atletas!N219="Houquan A",202,IF(Atletas!N219="Zuiquan A",203,IF(Atletas!N219="Ditangquan B",204,IF(Atletas!N219="Houquan B",205,IF(Atletas!N219="Zuiquan B",206,IF(Atletas!N219="Ditangquan C",207,IF(Atletas!N219="Houquan C",208,IF(Atletas!N219="Zuiquan C",209,IF(Atletas!N219="Ditangquan D",210,IF(Atletas!N219="Houquan D",211,IF(Atletas!N219="Zuiquan D",212,IF(Atletas!N219="Ditangquan E",213,IF(Atletas!N219="Houquan E",214,IF(Atletas!N219="Zuiquan E",215,IF(Atletas!N219="Ditangquan F",216,IF(Atletas!N219="Houquan F",217,IF(Atletas!N219="Zuiquan F",218,"")))))))))))))))))))))</f>
        <v/>
      </c>
      <c r="BV228" s="50" t="str">
        <f>IF(Atletas!O219="","",IF(Atletas!X219&lt;&gt;"",10000,0)+IF(Atletas!B219="Feminino",1000,IF(Atletas!B219="Masculino",2000,""))+IF(Atletas!O219="Yang A",301,IF(Atletas!O219="Chen A",302,IF(Atletas!O219="Sun A",303,IF(Atletas!O219="Wu A",304,IF(Atletas!O219="Wu-Hao A",305,IF(Atletas!O219="Outro Taijiquan A",306,IF(Atletas!O219="Yang B",307,IF(Atletas!O219="Chen B",308,IF(Atletas!O219="Sun B",309,IF(Atletas!O219="Wu B",310,IF(Atletas!O219="Wu-Hao B",311,IF(Atletas!O219="Outro Taijiquan B",312,IF(Atletas!O219="Yang C",313,IF(Atletas!O219="Chen C",314,IF(Atletas!O219="Sun C",315,IF(Atletas!O219="Wu C",316,IF(Atletas!O219="Wu-Hao C",317,IF(Atletas!O219="Outro Taijiquan C",318,IF(Atletas!O219="Yang D",319,IF(Atletas!O219="Chen D",320,IF(Atletas!O219="Sun D",321,IF(Atletas!O219="Wu D",322,IF(Atletas!O219="Wu-Hao D",323,IF(Atletas!O219="Outro Taijiquan D",324,IF(Atletas!O219="Yang E",325,IF(Atletas!O219="Chen E",326,IF(Atletas!O219="Sun E",327,IF(Atletas!O219="Wu E",328,IF(Atletas!O219="Wu-Hao E",329,IF(Atletas!O219="Outro Taijiquan E",330,IF(Atletas!O219="Yang F",331,IF(Atletas!O219="Chen F",332,IF(Atletas!O219="Sun F",333,IF(Atletas!O219="Wu F",334,IF(Atletas!O219="Wu-Hao F",335,IF(Atletas!O219="Outro Taijiquan F",336,"")))))))))))))))))))))))))))))))))))))</f>
        <v/>
      </c>
      <c r="BW228" s="50" t="str">
        <f>IF(Atletas!P219="","",IF(Atletas!X219&lt;&gt;"",10000,0)+IF(Atletas!B219="Feminino",1000,IF(Atletas!B219="Masculino",2000,""))+IF(OR(Atletas!P219="Yang 26 A",Atletas!P219="Yang 40 A"),401,IF(OR(Atletas!P219="Chen 25 A",Atletas!P219="Chen 36 A",Atletas!P219="Chen 56 A"),402,IF(Atletas!P219="Sun 73 A",403,IF(Atletas!P219="Wu 45 A",404,IF(Atletas!P219="Wu-Hao 46 A",405,IF(OR(Atletas!P219="Taijiquan 16 A",Atletas!P219="Taijiquan 24 A",Atletas!P219="Taijiquan 32 A",Atletas!P219="Taijiquan 42 A"),406,IF(OR(Atletas!P219="Yang 26 B",Atletas!P219="Yang 40 B"),407,IF(OR(Atletas!P219="Chen 25 B",Atletas!P219="Chen 36 B",Atletas!P219="Chen 56 B"),408,IF(Atletas!P219="Sun 73 B",409,IF(Atletas!P219="Wu 45 B",410,IF(Atletas!P219="Wu-Hao 46 B",411,IF(OR(Atletas!P219="Taijiquan 16 B",Atletas!P219="Taijiquan 24 B",Atletas!P219="Taijiquan 32 B",Atletas!P219="Taijiquan 42 B"),412,IF(OR(Atletas!P219="Yang 26 C",Atletas!P219="Yang 40 C"),413,IF(OR(Atletas!P219="Chen 25 C",Atletas!P219="Chen 36 C",Atletas!P219="Chen 56 C"),414,IF(Atletas!P219="Sun 73 C",415,IF(Atletas!P219="Wu 45 C",416,IF(Atletas!P219="Wu-Hao 46 C",417,IF(OR(Atletas!P219="Taijiquan 16 C",Atletas!P219="Taijiquan 24 C",Atletas!P219="Taijiquan 32 C",Atletas!P219="Taijiquan 42 C"),418,0)))))))))))))))))))</f>
        <v/>
      </c>
      <c r="BX228" s="50" t="str">
        <f>IF(Atletas!P219="","",IF(Atletas!X219&lt;&gt;"",10000,0)+IF(Atletas!B219="Feminino",1000,IF(Atletas!B219="Masculino",2000,""))+IF(OR(Atletas!P219="Yang 26 D",Atletas!P219="Yang 40 D"),419,IF(OR(Atletas!P219="Chen 25 D",Atletas!P219="Chen 36 D",Atletas!P219="Chen 56 D"),420,IF(Atletas!P219="Sun 73 D",421,IF(Atletas!P219="Wu 45 D",422,IF(Atletas!P219="Wu-Hao 46 D",423,IF(OR(Atletas!P219="Taijiquan 16 D",Atletas!P219="Taijiquan 24 D",Atletas!P219="Taijiquan 32 D",Atletas!P219="Taijiquan 42 D"),424,IF(OR(Atletas!P219="Yang 26 E",Atletas!P219="Yang 40 E"),425,IF(OR(Atletas!P219="Chen 25 E",Atletas!P219="Chen 36 E",Atletas!P219="Chen 56 E"),426,IF(Atletas!P219="Sun 73 E",427,IF(Atletas!P219="Wu 45 E",428,IF(Atletas!P219="Wu-Hao 46 E",429,IF(OR(Atletas!P219="Taijiquan 16 E",Atletas!P219="Taijiquan 24 E",Atletas!P219="Taijiquan 32 E",Atletas!P219="Taijiquan 42 E"),430,IF(OR(Atletas!P219="Yang 26 F",Atletas!P219="Yang 40 F"),431,IF(OR(Atletas!P219="Chen 25 F",Atletas!P219="Chen 36 F",Atletas!P219="Chen 56 F"),432,IF(Atletas!P219="Sun 73 F",433,IF(Atletas!P219="Wu 45 F",434,IF(Atletas!P219="Wu-Hao 46 F",435,IF(OR(Atletas!P219="Taijiquan 16 F",Atletas!P219="Taijiquan 24 F",Atletas!P219="Taijiquan 32 F",Atletas!P219="Taijiquan 42 F"),436,0)))))))))))))))))))</f>
        <v/>
      </c>
      <c r="BY228" s="50" t="str">
        <f>IF(Atletas!Q219="","",IF(Atletas!X219&lt;&gt;"",10000,0)+IF(Atletas!B219="Feminino",1000,IF(Atletas!B219="Masculino",2000,""))+IF(Atletas!Q219="Xingyiquan A",501,IF(Atletas!Q219="Baguazhang A",502,IF(Atletas!Q219="Outro Estilo Interno A",503,IF(Atletas!Q219="Xingyiquan B",504,IF(Atletas!Q219="Baguazhang B",505,IF(Atletas!Q219="Outro Estilo Interno B",506,IF(Atletas!Q219="Xingyiquan C",507,IF(Atletas!Q219="Baguazhang C",508,IF(Atletas!Q219="Outro Estilo Interno C",509,IF(Atletas!Q219="Xingyiquan D",510,IF(Atletas!Q219="Baguazhang D",511,IF(Atletas!Q219="Outro Estilo Interno D",512,IF(Atletas!Q219="Xingyiquan E",513,IF(Atletas!Q219="Baguazhang E",514,IF(Atletas!Q219="Outro Estilo Interno E",515,IF(Atletas!Q219="Xingyiquan F",516,IF(Atletas!Q219="Baguazhang F",517,IF(Atletas!Q219="Outro Estilo Interno F",518, "")))))))))))))))))))</f>
        <v/>
      </c>
      <c r="BZ228" s="50" t="str">
        <f>IF(Atletas!R219="","",IF(Atletas!X219&lt;&gt;"",10000,0)+IF(Atletas!B219="Feminino",1000,IF(Atletas!B219="Masculino",2000,""))+IF(Atletas!R219="Dao A",601,IF(Atletas!R219="Jian A",602,IF(Atletas!R219="Bishou A",603,IF(Atletas!R219="Shanzi A",604,IF(Atletas!R219="Outra Arma Curta A",605,IF(Atletas!R219="Dao B",606,IF(Atletas!R219="Jian B",607,IF(Atletas!R219="Bishou B",608,IF(Atletas!R219="Shanzi B",609,IF(Atletas!R219="Outra Arma Curta B",610,IF(Atletas!R219="Dao C",611,IF(Atletas!R219="Jian C",612,IF(Atletas!R219="Bishou C",613,IF(Atletas!R219="Shanzi C",614,IF(Atletas!R219="Outra Arma Curta C",615,IF(Atletas!R219="Dao D",616,IF(Atletas!R219="Jian D",617,IF(Atletas!R219="Bishou D",618,IF(Atletas!R219="Shanzi D",619,IF(Atletas!R219="Outra Arma Curta D",620,IF(Atletas!R219="Dao E",621,IF(Atletas!R219="Jian E",622,IF(Atletas!R219="Bishou E",623,IF(Atletas!R219="Shanzi E",624,IF(Atletas!R219="Outra Arma Curta E",625,IF(Atletas!R219="Dao F",626,IF(Atletas!R219="Jian F",627,IF(Atletas!R219="Bishou F",628,IF(Atletas!R219="Shanzi F",629,IF(Atletas!R219="Outra Arma Curta F",630, "")))))))))))))))))))))))))))))))</f>
        <v/>
      </c>
      <c r="CA228" s="50" t="str">
        <f>IF(Atletas!S219="","",IF(Atletas!X219&lt;&gt;"",10000,0)+IF(Atletas!B219="Feminino",1000,IF(Atletas!B219="Masculino",2000,""))+IF(Atletas!S219="Gun A",701,IF(Atletas!S219="Qiang A",702,IF(Atletas!S219="Pudao / Guandao A",703,IF(Atletas!S219="Outra Arma Longa A",704,IF(Atletas!S219="Gun B",705,IF(Atletas!S219="Qiang B",706,IF(Atletas!S219="Pudao / Guandao B",707,IF(Atletas!S219="Outra Arma Longa B",708,IF(Atletas!S219="Gun C",709,IF(Atletas!S219="Qiang C",710,IF(Atletas!S219="Pudao / Guandao C",711,IF(Atletas!S219="Outra Arma Longa C",712,IF(Atletas!S219="Gun D",713,IF(Atletas!S219="Qiang D",714,IF(Atletas!S219="Pudao / Guandao D",715,IF(Atletas!S219="Outra Arma Longa D",716,IF(Atletas!S219="Gun E",717,IF(Atletas!S219="Qiang E",718,IF(Atletas!S219="Pudao / Guandao E",719,IF(Atletas!S219="Outra Arma Longa E",720,IF(Atletas!S219="Gun F",721,IF(Atletas!S219="Qiang F",722,IF(Atletas!S219="Pudao / Guandao F",723,IF(Atletas!S219="Outra Arma Longa F",724,"")))))))))))))))))))))))))</f>
        <v/>
      </c>
      <c r="CB228" s="50" t="str">
        <f>IF(Atletas!T219="","",IF(Atletas!X219&lt;&gt;"",10000,0)+IF(Atletas!B219="Feminino",1000,IF(Atletas!B219="Masculino",2000,""))+IF(Atletas!T219="Outra Arma Dupla A",801,IF(Atletas!T219="Arma Maleável A",802,IF(Atletas!T219="Outra Arma Dupla B",803,IF(Atletas!T219="Arma Maleável B",804,IF(Atletas!T219="Outra Arma Dupla C",805,IF(Atletas!T219="Arma Maleável C",806,IF(Atletas!T219="Outra Arma Dupla D",807,IF(Atletas!T219="Arma Maleável D",808,IF(Atletas!T219="Outra Arma Dupla E",809,IF(Atletas!T219="Arma Maleável E",810,IF(Atletas!T219="Outra Arma Dupla F",811,IF(Atletas!T219="Arma Maleável F",812,IF(Atletas!T219="Shuangdao A",813,IF(Atletas!T219="Shuangdao B",814,IF(Atletas!T219="Shuangdao C",815,IF(Atletas!T219="Shuangdao D",816,IF(Atletas!T219="Shuangdao E",817,IF(Atletas!T219="Shuangdao F",818,"")))))))))))))))))))</f>
        <v/>
      </c>
      <c r="CC228" s="50" t="str">
        <f>IF(Atletas!U219="","",IF(Atletas!X219&lt;&gt;"",10000,0)+IF(Atletas!B219="Feminino",1000,IF(Atletas!B219="Masculino",2000,""))+IF(OR(Atletas!U219="Taijijian Yang A",Atletas!U219="Taijijian Yang Standard A"),901,IF(OR(Atletas!U219="Taijijian Chen A", Atletas!U219="Taijijian Chen Standard A"),902,IF(Atletas!U219="Taijijian Sun A",903,IF(Atletas!U219="Taijijian Wu A",904,IF(Atletas!U219="Taijijian Wu-Hao A",905,IF(OR(Atletas!U219="Taijijian 32 A",Atletas!U219="Taijijian 42 A"),906,IF(OR(Atletas!U219="Taijijian Yang B",Atletas!U219="Taijijian Yang Standard B"),907,IF(OR(Atletas!U219="Taijijian Chen B", Atletas!U219="Taijijian Chen Standard B"),908,IF(Atletas!U219="Taijijian Sun B",909,IF(Atletas!U219="Taijijian Wu B",910,IF(Atletas!U219="Taijijian Wu-Hao B",911,IF(OR(Atletas!U219="Taijijian 32 B",Atletas!U219="Taijijian 42 B"),912,IF(OR(Atletas!U219="Taijijian Yang C",Atletas!U219="Taijijian Yang Standard C"),913,IF(OR(Atletas!U219="Taijijian Chen C", Atletas!U219="Taijijian Chen Standard C"),914,IF(Atletas!U219="Taijijian Sun C",915,IF(Atletas!U219="Taijijian Wu C",916,IF(Atletas!U219="Taijijian Wu-Hao C",917,IF(OR(Atletas!U219="Taijijian 32 C",Atletas!U219="Taijijian 42 C"),918,IF(OR(Atletas!U219="Taijijian Yang D",Atletas!U219="Taijijian Yang Standard D"),919,IF(OR(Atletas!U219="Taijijian Chen D", Atletas!U219="Taijijian Chen Standard D"),920,IF(Atletas!U219="Taijijian Sun D",921,IF(Atletas!U219="Taijijian Wu D",922,IF(Atletas!U219="Taijijian Wu-Hao D",923,IF(OR(Atletas!U219="Taijijian 32 D",Atletas!U219="Taijijian 42 D"),924,IF(OR(Atletas!U219="Taijijian Yang E",Atletas!U219="Taijijian Yang Standard E"),925,IF(OR(Atletas!U219="Taijijian Chen E", Atletas!U219="Taijijian Chen Standard E"),926,IF(Atletas!U219="Taijijian Sun E",927,IF(Atletas!U219="Taijijian Wu E",928,IF(Atletas!U219="Taijijian Wu-Hao E",929,IF(OR(Atletas!U219="Taijijian 32 E",Atletas!U219="Taijijian 42 E"),930,IF(OR(Atletas!U219="Taijijian Yang F",Atletas!U219="Taijijian Yang Standard F"),931,IF(OR(Atletas!U219="Taijijian Chen F", Atletas!U219="Taijijian Chen Standard F"),932,IF(Atletas!U219="Taijijian Sun F",933,IF(Atletas!U219="Taijijian Wu F",934,IF(Atletas!U219="Taijijian Wu-Hao F",935,IF(OR(Atletas!U219="Taijijian 32 F",Atletas!U219="Taijijian 42 F"),936,"")))))))))))))))))))))))))))))))))))))</f>
        <v/>
      </c>
      <c r="CD228" s="50" t="str">
        <f>IF(Atletas!V219="","",IF(Atletas!X219&lt;&gt;"",10000,0)+IF(Atletas!B219="Feminino",1000,IF(Atletas!B219="Masculino",2000,""))+IF(Atletas!V219="Taijidao A",937,IF(Atletas!V219="TaijiShanzi A",938,IF(Atletas!V219="Taijiqiang A",939,IF(Atletas!V219="Bagua de Arma A",940,IF(Atletas!V219="Xingyi de Arma A",941,IF(Atletas!V219="Taijidao B",942,IF(Atletas!V219="TaijiShanzi B",943,IF(Atletas!V219="Taijiqiang B",944,IF(Atletas!V219="Bagua de Arma B",945,IF(Atletas!V219="Xingyi de Arma B",946,IF(Atletas!V219="Taijidao C",947,IF(Atletas!V219="TaijiShanzi C",948,IF(Atletas!V219="Taijiqiang C",949,IF(Atletas!V219="Bagua de Arma C",950,IF(Atletas!V219="Xingyi de Arma C",951,IF(Atletas!V219="Taijidao D",952,IF(Atletas!V219="TaijiShanzi D",953,IF(Atletas!V219="Taijiqiang D",954,IF(Atletas!V219="Bagua de Arma D",955,IF(Atletas!V219="Xingyi de Arma D",956,IF(Atletas!V219="Taijidao E",957,IF(Atletas!V219="TaijiShanzi E",958,IF(Atletas!V219="Taijiqiang E",959,IF(Atletas!V219="Bagua de Arma E",960,IF(Atletas!V219="Xingyi de Arma E",961,IF(Atletas!V219="Taijidao F",962,IF(Atletas!V219="TaijiShanzi F",963,IF(Atletas!V219="Taijiqiang F",964,IF(Atletas!V219="Bagua de Arma F",965,IF(Atletas!V219="Xingyi de Arma F",966,"")))))))))))))))))))))))))))))))</f>
        <v/>
      </c>
      <c r="CE228" s="66" t="str">
        <f>IF(CF228&lt;&gt;"","Outro Estilo Interno F","")</f>
        <v/>
      </c>
      <c r="CF228" s="66" t="str">
        <f>IF(COUNTIF(BR:CD,1518)&gt;0,COUNTIF(BR:CD,1518),"")</f>
        <v/>
      </c>
      <c r="CG228" s="66" t="str">
        <f>IF(CH228&lt;&gt;"","Outro Estilo Interno F","")</f>
        <v/>
      </c>
      <c r="CH228" s="66" t="str">
        <f>IF(COUNTIF(BR:CD,2518)&gt;0,COUNTIF(BR:CD,2518),"")</f>
        <v/>
      </c>
      <c r="CI228" s="66" t="str">
        <f>IF(CJ228&lt;&gt;"","Dao B","")</f>
        <v/>
      </c>
      <c r="CJ228" s="66" t="str">
        <f>IF(COUNTIF(BR:CD,11606)&gt;0,COUNTIF(BR:CD,11606),"")</f>
        <v/>
      </c>
      <c r="CK228" s="66" t="str">
        <f>IF(CL228&lt;&gt;"","Dao B","")</f>
        <v/>
      </c>
      <c r="CL228" s="66" t="str">
        <f>IF(COUNTIF(BR:CD,12606)&gt;0,COUNTIF(BR:CD,12606),"")</f>
        <v/>
      </c>
      <c r="CM228" s="50" t="str">
        <f xml:space="preserve"> IF(Atletas!W219="","",IF(Atletas!W219="Duilian de Mãos BC - Equipe 1",1,IF(Atletas!W219="Duilian de Mãos BC - Equipe 2",2,IF(Atletas!W219="Duilian de Armas BC - Equipe 1",3,IF(Atletas!W219="Duilian de Armas BC - Equipe 2",4,IF(Atletas!W219="Duilian de Mãos DE - Equipe 1",5,IF(Atletas!W219="Duilian de Mãos DE - Equipe 2",6,IF(Atletas!W219="Duilian de Armas DE - Equipe 1",7,IF(Atletas!W219="Duilian de Armas DE - Equipe 2",8,IF(Atletas!W219="Duilian de Tuishou - Equipe 1",9,IF(Atletas!W219="Duilian de Tuishou - Equipe 2",10,IF(Atletas!W219="Grupo Externo ABC - Equipe 1",11,IF(Atletas!W219="Grupo Externo ABC - Equipe 2",12,IF(Atletas!W219="Grupo Interno ABC - Equipe 1",13,IF(Atletas!W219="Grupo Interno ABC - Equipe 2",14,IF(Atletas!W219="Grupo Externo DEF - Equipe 1",15,IF(Atletas!W219="Grupo Externo DEF - Equipe 2",16,IF(Atletas!W219="Grupo Interno DEF - Equipe 1",17,IF(Atletas!W219="Grupo Interno DEF - Equipe 2",18,"")))))))))))))))))))</f>
        <v/>
      </c>
    </row>
    <row r="229" spans="2:91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 t="str">
        <f t="array" ref="Z229">IFERROR(INDEX(CE$7:CE$348,SMALL(IF(CE$7:CE$348&lt;&gt;"",ROW(CE$7:CE$348)-ROW(CE$7)+1),ROWS(CE$7:CE228))),"")</f>
        <v/>
      </c>
      <c r="AA229" s="3" t="str">
        <f t="array" ref="AA229">IFERROR(INDEX(CF$7:CF$348,SMALL(IF(CF$7:CF$348&lt;&gt;"",ROW(CF$7:CF$348)-ROW(CF$7)+1),ROWS(CF$7:CF228))),"")</f>
        <v/>
      </c>
      <c r="AB229" s="3" t="str">
        <f t="array" ref="AB229">IFERROR(INDEX(CG$7:CG$348,SMALL(IF(CG$7:CG$348&lt;&gt;"",ROW(CG$7:CG$348)-ROW(CG$7)+1),ROWS(CG$7:CG228))),"")</f>
        <v/>
      </c>
      <c r="AC229" s="3" t="str">
        <f t="array" ref="AC229">IFERROR(INDEX(CH$7:CH$348,SMALL(IF(CH$7:CH$348&lt;&gt;"",ROW(CH$7:CH$348)-ROW(CH$7)+1),ROWS(CH$7:CH228))),"")</f>
        <v/>
      </c>
      <c r="AD229" s="3" t="str">
        <f t="array" ref="AD229">IFERROR(INDEX(CI$7:CI$377,SMALL(IF(CI$7:CI$377&lt;&gt;"",ROW(CI$7:CI$377)-ROW(CI$7)+1),ROWS(CI$7:CI228))),"")</f>
        <v/>
      </c>
      <c r="AE229" s="3" t="str">
        <f t="array" ref="AE229">IFERROR(INDEX(CJ$7:CJ$378,SMALL(IF(CJ$7:CJ$378&lt;&gt;"",ROW(CJ$7:CJ$378)-ROW(CJ$7)+1),ROWS(CJ$7:CJ228))),"")</f>
        <v/>
      </c>
      <c r="AF229" s="3" t="str">
        <f t="array" ref="AF229">IFERROR(INDEX(CK$7:CK$378,SMALL(IF(CK$7:CK$378&lt;&gt;"",ROW(CK$7:CK$378)-ROW(CK$7)+1),ROWS(CK$7:CK228))),"")</f>
        <v/>
      </c>
      <c r="AG229" s="3" t="str">
        <f t="array" ref="AG229">IFERROR(INDEX(CL$7:CL$378,SMALL(IF(CL$7:CL$378&lt;&gt;"",ROW(CL$7:CL$378)-ROW(CL$7)+1),ROWS(CL$7:CL228))),"")</f>
        <v/>
      </c>
      <c r="AH229" s="3"/>
      <c r="AI229" s="3"/>
      <c r="AJ229" s="3"/>
      <c r="AK229" s="3"/>
      <c r="AL229" s="3"/>
      <c r="AM229" s="3"/>
      <c r="AN229" s="52" t="str">
        <f>IF(Atletas!D220="","",IF(Atletas!B220="Feminino",100,IF(Atletas!B220="Masculino",200,""))+(IF(Atletas!D220="Kids 30kg",1,IF(Atletas!D220="Kids 32kg",2, IF(Atletas!D220="Kids 34kg",3,IF(Atletas!D220="Kids 36kg",4,IF(Atletas!D220="Kids 39kg",5,IF(Atletas!D220="Kids 42kg",6,IF(Atletas!D220="Kids 45kg",7, IF(Atletas!D220="Infantil 39kg",8,IF(Atletas!D220="Infantil 42kg",9,IF(Atletas!D220="Infantil 45kg",10,IF(Atletas!D220="Infantil 48kg",11,IF(Atletas!D220="Infantil 52kg",12,IF(Atletas!D220="Infantil 56kg",13,IF(Atletas!D220="Infantil 60kg",14,IF(Atletas!D220="Juvenil 48kg",15,IF(Atletas!D220="Juvenil 52kg",16,IF(Atletas!D220="Juvenil 56kg",17,IF(Atletas!D220="Juvenil 60kg",18,IF(Atletas!D220="Juvenil 65kg",19,IF(Atletas!D220="Juvenil 70kg",20,IF(Atletas!D220="Juvenil 75kg",21,IF(Atletas!D220="Juvenil 80kg",22, IF(Atletas!D220="Juvenil 85kg",23,IF(Atletas!D220="Adulto 48kg",24,IF(Atletas!D220="Adulto 52kg",25,IF(Atletas!D220="Adulto 56kg",26,IF(Atletas!D220="Adulto 60kg",27,IF(Atletas!D220="Adulto 65kg",28,IF(Atletas!D220="Adulto 70kg",29,IF(Atletas!D220="Adulto 75kg",30,IF(Atletas!D220="Adulto 80kg",31,IF(Atletas!D220="Adulto 85kg",32,IF(Atletas!D220="Adulto 90kg",33,IF(Atletas!D220="Adulto 100kg",34, IF(Atletas!D220="Adulto +100kg",35,"")))))))))))))))))))))))))))))))))))))</f>
        <v/>
      </c>
      <c r="AS229" s="6" t="str">
        <f>IF(Atletas!E220="","",IF(Atletas!B220="Feminino",100,IF(Atletas!B220="Masculino",200,""))+(IF(Atletas!E220="Juvenil 44kg",1,IF(Atletas!E220="Juvenil 48kg",2,IF(Atletas!E220="Juvenil 52kg",3,IF(Atletas!E220="Juvenil 56kg",4,IF(Atletas!E220="Juvenil 60kg",5,IF(Atletas!E220="Juvenil 65kg",6,IF(Atletas!E220="Juvenil 70kg",7,IF(Atletas!E220="Juvenil 75kg",8,IF(Atletas!E220="Juvenil 82kg",9,IF(Atletas!E220="Juvenil 90kg",10,IF(Atletas!E220="Juvenil 100kg",11,IF(Atletas!E220="Adulto 48kg",12,IF(Atletas!E220="Adulto 52kg",13,IF(Atletas!E220="Adulto 56kg",14,IF(Atletas!E220="Adulto 60kg",15,IF(Atletas!E220="Adulto 65kg",16,IF(Atletas!E220="Adulto 70kg",17,IF(Atletas!E220="Adulto 75kg",18,IF(Atletas!E220="Adulto 82kg",19,IF(Atletas!E220="Adulto 90kg",20,IF(Atletas!E220="Adulto 100kg",21,IF(Atletas!E220="Adulto +100kg",22,""))))))))))))))))))))))))</f>
        <v/>
      </c>
      <c r="AX229" s="6" t="str">
        <f>IF(Atletas!F220="","",IF(Atletas!B220="Feminino",100,IF(Atletas!B220="Masculino",200,""))+(IF(Atletas!F220="Adulto 48kg",1,IF(Atletas!F220="Adulto 56kg",2,IF(Atletas!F220="Adulto 65kg",3,IF(Atletas!F220="Adulto 75kg",4,IF(Atletas!F220="Adulto +75kg",5,IF(Atletas!F220="Adulto 52kg",6,IF(Atletas!F220="Adulto 60kg",7,IF(Atletas!F220="Adulto 70kg",8,IF(Atletas!F220="Adulto 80kg",9,IF(Atletas!F220="Adulto 90kg",10,IF(Atletas!F220="Adulto +90kg",11,"")))))))))))))</f>
        <v/>
      </c>
      <c r="BC229" s="6" t="str">
        <f>IF(Atletas!G220="","",IF(Atletas!B220="Feminino",10,IF(Atletas!B220="Masculino",20,""))+(IF(Atletas!G220="Baduanjin A",1,IF(Atletas!G220="Baduanjin B",2))))</f>
        <v/>
      </c>
      <c r="BF229" s="52" t="str">
        <f>IF(Atletas!H220="","",IF(Atletas!B220="Feminino",100,IF(Atletas!B220="Masculino",200,""))+(IF(Atletas!H220="Changquan Mirim",1,IF(Atletas!H220="Nanquan Mirim",2,IF(Atletas!H220="Taijiquan Mirim",3,IF(Atletas!H220="Changquan Grupo C",4,IF(Atletas!H220="Nanquan Grupo C",5,IF(Atletas!H220="Taijiquan Grupo C",6,IF(Atletas!H220="Changquan Grupo B",7,IF(Atletas!H220="Nanquan Grupo B",8,IF(Atletas!H220="Taijiquan Grupo B",9,IF(Atletas!H220="Changquan Grupo A",10,IF(Atletas!H220="Nanquan Grupo A",11,IF(Atletas!H220="Taijiquan Grupo A",12,IF(Atletas!H220="Changquan Opcional",13,IF(Atletas!H220="Nanquan Opcional",14,IF(Atletas!H220="Taijiquan Opcional",15,IF(Atletas!H220="Changquan Adulto",16,IF(Atletas!H220="Nanquan Adulto",17,IF(Atletas!H220="Taijiquan Adulto",18,""))))))))))))))))))))</f>
        <v/>
      </c>
      <c r="BG229" s="52" t="str">
        <f>IF(Atletas!I220="","",IF(Atletas!B220="Feminino",100,IF(Atletas!B220="Masculino",200,""))+(IF(Atletas!I220="Daoshu Mirim",19,IF(Atletas!I220="Jianshu Mirim",20,IF(Atletas!I220="Nandao Mirim",21,IF(Atletas!I220="Taijijian Mirim",22,IF(Atletas!I220="Daoshu Grupo C",23,IF(Atletas!I220="Jianshu Grupo C",24,IF(Atletas!I220="Nandao Grupo C",25,IF(Atletas!I220="Taijijian Grupo C",26,IF(Atletas!I220="Daoshu Grupo B",27,IF(Atletas!I220="Jianshu Grupo B",28,IF(Atletas!I220="Nandao Grupo B",29,IF(Atletas!I220="Taijijian Grupo B",30,IF(Atletas!I220="Daoshu Grupo A",31,IF(Atletas!I220="Jianshu Grupo A",32,IF(Atletas!I220="Nandao Grupo A",33,IF(Atletas!I220="Taijijian Grupo A",34,IF(Atletas!I220="Daoshu Opcional",35,IF(Atletas!I220="Jianshu Opcional",36,IF(Atletas!I220="Nandao Opcional",37,IF(Atletas!I220="Taijijian Opcional",38,IF(Atletas!I220="Daoshu Adulto",39,IF(Atletas!I220="Jianshu Adulto",40,IF(Atletas!I220="Nandao Adulto",41,IF(Atletas!I220="Taijijian Adulto",42,""))))))))))))))))))))))))))</f>
        <v/>
      </c>
      <c r="BH229" s="52" t="str">
        <f>IF(Atletas!J220="","",IF(Atletas!B220="Feminino",100,IF(Atletas!B220="Masculino",200,""))+(IF(Atletas!J220="Gunshu Mirim",43,IF(Atletas!J220="Qiangshu Mirim",44,IF(Atletas!J220="Nangun Mirim",45,IF(Atletas!J220="Gunshu Grupo C",46,IF(Atletas!J220="Qiangshu Grupo C",47,IF(Atletas!J220="Nangun Grupo C",48,IF(Atletas!J220="Gunshu Grupo B",49,IF(Atletas!J220="Qiangshu Grupo B",50,IF(Atletas!J220="Nangun Grupo B",51,IF(Atletas!J220="Gunshu Grupo A",52,IF(Atletas!J220="Qiangshu Grupo A",53,IF(Atletas!J220="Nangun Grupo A",54,IF(Atletas!J220="Gunshu Opcional",55,IF(Atletas!J220="Qiangshu Opcional",56,IF(Atletas!J220="Nangun Opcional",57,IF(Atletas!J220="Gunshu Adulto",58,IF(Atletas!J220="Qiangshu Adulto",59,IF(Atletas!J220="Nangun Adulto",60,IF(Atletas!J220="Taijishan Grupo B",61,IF(Atletas!J220="Taijishan Grupo A",62,""))))))))))))))))))))))</f>
        <v/>
      </c>
      <c r="BM229" s="50" t="str">
        <f>IF(Atletas!K220="","",IF(Atletas!B220="Feminino",100,IF(Atletas!B220="Masculino",200,""))+(IF(Atletas!K220="Equipe 1 Grupo B",1,IF(Atletas!K220="Equipe 2 Grupo B",2,IF(Atletas!K220="Equipe 1 Grupo A",3,IF(Atletas!K220="Equipe 2 Grupo A",4,IF(Atletas!K220="Equipe 1 Adulto",5,IF(Atletas!K220="Equipe 2 Adulto",6,""))))))))</f>
        <v/>
      </c>
      <c r="BR229" s="50" t="str">
        <f>IF(Atletas!L220="","",IF(Atletas!X220&lt;&gt;"",10000,0)+(IF(Atletas!B220="Feminino",1000,IF(Atletas!B220="Masculino",2000,""))+IF(Atletas!L220="Choylayfut A",1,IF(Atletas!L220="Hunggar A",2,IF(Atletas!L220="Wuzuquan A",3,IF(Atletas!L220="Wingchun A",4,IF(Atletas!L220="Outra Mão de Sul A",5,IF(Atletas!L220="Choylayfut B",6,IF(Atletas!L220="Hunggar B",7,IF(Atletas!L220="Wuzuquan B",8,IF(Atletas!L220="Wingchun B",9,IF(Atletas!L220="Outra Mão de Sul B",10,IF(Atletas!L220="Choylayfut C",11,IF(Atletas!L220="Hunggar C",12,IF(Atletas!L220="Wuzuquan C",13,IF(Atletas!L220="Wingchun C",14,IF(Atletas!L220="Outra Mão de Sul C",15,IF(Atletas!L220="Choylayfut D",16,IF(Atletas!L220="Hunggar D",17,IF(Atletas!L220="Wuzuquan D",18,IF(Atletas!L220="Wingchun D",19,IF(Atletas!L220="Outra Mão de Sul D",20,IF(Atletas!L220="Choylayfut E",21,IF(Atletas!L220="Hunggar E",22,IF(Atletas!L220="Wuzuquan E",23,IF(Atletas!L220="Wingchun E",24,IF(Atletas!L220="Outra Mão de Sul E",25,IF(Atletas!L220="Choylayfut F",26,IF(Atletas!L220="Hunggar F",27,IF(Atletas!L220="Wuzuquan F",28,IF(Atletas!L220="Wingchun F",29,IF(Atletas!L220="Outra Mão de Sul F",30,IF(Atletas!L220="Dishuquan A",31,IF(Atletas!L220="Dishuquan B",32,IF(Atletas!L220="Dishuquan C",33,IF(Atletas!L220="Dishuquan D",34,IF(Atletas!L220="Dishuquan E",35,IF(Atletas!L220="Dishuquan F",36,""))))))))))))))))))))))))))))))))))))))</f>
        <v/>
      </c>
      <c r="BS229" s="50" t="str">
        <f>IF(Atletas!M220="","",IF(Atletas!X220&lt;&gt;"",10000,0)+(IF(Atletas!B220="Feminino",1000,IF(Atletas!B220="Masculino",2000,""))+(IF(Atletas!M220="Chaquan A",101,IF(Atletas!M220="Emeiquan A",102,IF(Atletas!M220="Fanziquan A",103,IF(Atletas!M220="Huaquan A",104,IF(Atletas!M220="Hongquan A",105,IF(Atletas!M220="Paoquan A",106,IF(Atletas!M220="Piguaquan A",107,IF(Atletas!M220="Shaolinquan A",108,IF(Atletas!M220="Tanglangquan A",109,IF(Atletas!M220="Yingzhaoquan A",110,IF(Atletas!M220="Tongbeiquan A",111,IF(Atletas!M220="Wudangquan A",112,IF(Atletas!M220="Outros Estilos A",113,IF(Atletas!M220="Chaquan B",114,IF(Atletas!M220="Emeiquan B",115,IF(Atletas!M220="Fanziquan B",116,IF(Atletas!M220="Huaquan B",117,IF(Atletas!M220="Hongquan B",118,IF(Atletas!M220="Paoquan B",119,IF(Atletas!M220="Piguaquan B",120,IF(Atletas!M220="Shaolinquan B",121,IF(Atletas!M220="Tanglangquan B",122,IF(Atletas!M220="Yingzhaoquan B",123,IF(Atletas!M220="Tongbeiquan B",124,IF(Atletas!M220="Wudangquan B",125,IF(Atletas!M220="Outros Estilos B",126,IF(Atletas!M220="Chaquan C",127,IF(Atletas!M220="Emeiquan C",128,IF(Atletas!M220="Fanziquan C",129,IF(Atletas!M220="Huaquan C",130,IF(Atletas!M220="Hongquan C",131,IF(Atletas!M220="Paoquan C",132,IF(Atletas!M220="Piguaquan C",133,IF(Atletas!M220="Shaolinquan C",134,IF(Atletas!M220="Tanglangquan C",135,IF(Atletas!M220="Yingzhaoquan C",136,IF(Atletas!M220="Tongbeiquan C",137,IF(Atletas!M220="Wudangquan C",138,IF(Atletas!M220="Outros Estilos C",139,0))))))))))))))))))))))))))))))))))))))))))</f>
        <v/>
      </c>
      <c r="BT229" s="50" t="str">
        <f>IF(Atletas!M220="","",IF(Atletas!X220&lt;&gt;"",10000,0)+(IF(Atletas!B220="Feminino",1000,IF(Atletas!B220="Masculino",2000,""))+(IF(Atletas!M220="Chaquan D",140,IF(Atletas!M220="Emeiquan D",141,IF(Atletas!M220="Fanziquan D",142,IF(Atletas!M220="Huaquan D",143,IF(Atletas!M220="Hongquan D",144,IF(Atletas!M220="Paoquan D",145,IF(Atletas!M220="Piguaquan D",146,IF(Atletas!M220="Shaolinquan D",147,IF(Atletas!M220="Tanglangquan D",148,IF(Atletas!M220="Yingzhaoquan D",149,IF(Atletas!M220="Tongbeiquan D",150,IF(Atletas!M220="Wudangquan D",151,IF(Atletas!M220="Outros Estilos D",152,IF(Atletas!M220="Chaquan E",153,IF(Atletas!M220="Emeiquan E",154,IF(Atletas!M220="Fanziquan E",155,IF(Atletas!M220="Huaquan E",156,IF(Atletas!M220="Hongquan E",157,IF(Atletas!M220="Paoquan E",158,IF(Atletas!M220="Piguaquan E",159,IF(Atletas!M220="Shaolinquan E",160,IF(Atletas!M220="Tanglangquan E",161,IF(Atletas!M220="Yingzhaoquan E",162,IF(Atletas!M220="Tongbeiquan E",163,IF(Atletas!M220="Wudangquan E",164,IF(Atletas!M220="Outros Estilos E",165,IF(Atletas!M220="Chaquan F",166,IF(Atletas!M220="Emeiquan F",167,IF(Atletas!M220="Fanziquan F",168,IF(Atletas!M220="Huaquan F",169,IF(Atletas!M220="Hongquan F",170,IF(Atletas!M220="Paoquan F",171,IF(Atletas!M220="Piguaquan F",172,IF(Atletas!M220="Shaolinquan F",173,IF(Atletas!M220="Tanglangquan F",174,IF(Atletas!M220="Yingzhaoquan F",175,IF(Atletas!M220="Tongbeiquan F",176,IF(Atletas!M220="Wudangquan F",177,IF(Atletas!M220="Outros Estilos F",178,0))))))))))))))))))))))))))))))))))))))))))</f>
        <v/>
      </c>
      <c r="BU229" s="50" t="str">
        <f>IF(Atletas!N220="","",IF(Atletas!X220&lt;&gt;"",10000,0)+(IF(Atletas!B220="Feminino",1000,IF(Atletas!B220="Masculino",2000,""))+(IF(Atletas!N220="Ditangquan A",201,IF(Atletas!N220="Houquan A",202,IF(Atletas!N220="Zuiquan A",203,IF(Atletas!N220="Ditangquan B",204,IF(Atletas!N220="Houquan B",205,IF(Atletas!N220="Zuiquan B",206,IF(Atletas!N220="Ditangquan C",207,IF(Atletas!N220="Houquan C",208,IF(Atletas!N220="Zuiquan C",209,IF(Atletas!N220="Ditangquan D",210,IF(Atletas!N220="Houquan D",211,IF(Atletas!N220="Zuiquan D",212,IF(Atletas!N220="Ditangquan E",213,IF(Atletas!N220="Houquan E",214,IF(Atletas!N220="Zuiquan E",215,IF(Atletas!N220="Ditangquan F",216,IF(Atletas!N220="Houquan F",217,IF(Atletas!N220="Zuiquan F",218,"")))))))))))))))))))))</f>
        <v/>
      </c>
      <c r="BV229" s="50" t="str">
        <f>IF(Atletas!O220="","",IF(Atletas!X220&lt;&gt;"",10000,0)+IF(Atletas!B220="Feminino",1000,IF(Atletas!B220="Masculino",2000,""))+IF(Atletas!O220="Yang A",301,IF(Atletas!O220="Chen A",302,IF(Atletas!O220="Sun A",303,IF(Atletas!O220="Wu A",304,IF(Atletas!O220="Wu-Hao A",305,IF(Atletas!O220="Outro Taijiquan A",306,IF(Atletas!O220="Yang B",307,IF(Atletas!O220="Chen B",308,IF(Atletas!O220="Sun B",309,IF(Atletas!O220="Wu B",310,IF(Atletas!O220="Wu-Hao B",311,IF(Atletas!O220="Outro Taijiquan B",312,IF(Atletas!O220="Yang C",313,IF(Atletas!O220="Chen C",314,IF(Atletas!O220="Sun C",315,IF(Atletas!O220="Wu C",316,IF(Atletas!O220="Wu-Hao C",317,IF(Atletas!O220="Outro Taijiquan C",318,IF(Atletas!O220="Yang D",319,IF(Atletas!O220="Chen D",320,IF(Atletas!O220="Sun D",321,IF(Atletas!O220="Wu D",322,IF(Atletas!O220="Wu-Hao D",323,IF(Atletas!O220="Outro Taijiquan D",324,IF(Atletas!O220="Yang E",325,IF(Atletas!O220="Chen E",326,IF(Atletas!O220="Sun E",327,IF(Atletas!O220="Wu E",328,IF(Atletas!O220="Wu-Hao E",329,IF(Atletas!O220="Outro Taijiquan E",330,IF(Atletas!O220="Yang F",331,IF(Atletas!O220="Chen F",332,IF(Atletas!O220="Sun F",333,IF(Atletas!O220="Wu F",334,IF(Atletas!O220="Wu-Hao F",335,IF(Atletas!O220="Outro Taijiquan F",336,"")))))))))))))))))))))))))))))))))))))</f>
        <v/>
      </c>
      <c r="BW229" s="50" t="str">
        <f>IF(Atletas!P220="","",IF(Atletas!X220&lt;&gt;"",10000,0)+IF(Atletas!B220="Feminino",1000,IF(Atletas!B220="Masculino",2000,""))+IF(OR(Atletas!P220="Yang 26 A",Atletas!P220="Yang 40 A"),401,IF(OR(Atletas!P220="Chen 25 A",Atletas!P220="Chen 36 A",Atletas!P220="Chen 56 A"),402,IF(Atletas!P220="Sun 73 A",403,IF(Atletas!P220="Wu 45 A",404,IF(Atletas!P220="Wu-Hao 46 A",405,IF(OR(Atletas!P220="Taijiquan 16 A",Atletas!P220="Taijiquan 24 A",Atletas!P220="Taijiquan 32 A",Atletas!P220="Taijiquan 42 A"),406,IF(OR(Atletas!P220="Yang 26 B",Atletas!P220="Yang 40 B"),407,IF(OR(Atletas!P220="Chen 25 B",Atletas!P220="Chen 36 B",Atletas!P220="Chen 56 B"),408,IF(Atletas!P220="Sun 73 B",409,IF(Atletas!P220="Wu 45 B",410,IF(Atletas!P220="Wu-Hao 46 B",411,IF(OR(Atletas!P220="Taijiquan 16 B",Atletas!P220="Taijiquan 24 B",Atletas!P220="Taijiquan 32 B",Atletas!P220="Taijiquan 42 B"),412,IF(OR(Atletas!P220="Yang 26 C",Atletas!P220="Yang 40 C"),413,IF(OR(Atletas!P220="Chen 25 C",Atletas!P220="Chen 36 C",Atletas!P220="Chen 56 C"),414,IF(Atletas!P220="Sun 73 C",415,IF(Atletas!P220="Wu 45 C",416,IF(Atletas!P220="Wu-Hao 46 C",417,IF(OR(Atletas!P220="Taijiquan 16 C",Atletas!P220="Taijiquan 24 C",Atletas!P220="Taijiquan 32 C",Atletas!P220="Taijiquan 42 C"),418,0)))))))))))))))))))</f>
        <v/>
      </c>
      <c r="BX229" s="50" t="str">
        <f>IF(Atletas!P220="","",IF(Atletas!X220&lt;&gt;"",10000,0)+IF(Atletas!B220="Feminino",1000,IF(Atletas!B220="Masculino",2000,""))+IF(OR(Atletas!P220="Yang 26 D",Atletas!P220="Yang 40 D"),419,IF(OR(Atletas!P220="Chen 25 D",Atletas!P220="Chen 36 D",Atletas!P220="Chen 56 D"),420,IF(Atletas!P220="Sun 73 D",421,IF(Atletas!P220="Wu 45 D",422,IF(Atletas!P220="Wu-Hao 46 D",423,IF(OR(Atletas!P220="Taijiquan 16 D",Atletas!P220="Taijiquan 24 D",Atletas!P220="Taijiquan 32 D",Atletas!P220="Taijiquan 42 D"),424,IF(OR(Atletas!P220="Yang 26 E",Atletas!P220="Yang 40 E"),425,IF(OR(Atletas!P220="Chen 25 E",Atletas!P220="Chen 36 E",Atletas!P220="Chen 56 E"),426,IF(Atletas!P220="Sun 73 E",427,IF(Atletas!P220="Wu 45 E",428,IF(Atletas!P220="Wu-Hao 46 E",429,IF(OR(Atletas!P220="Taijiquan 16 E",Atletas!P220="Taijiquan 24 E",Atletas!P220="Taijiquan 32 E",Atletas!P220="Taijiquan 42 E"),430,IF(OR(Atletas!P220="Yang 26 F",Atletas!P220="Yang 40 F"),431,IF(OR(Atletas!P220="Chen 25 F",Atletas!P220="Chen 36 F",Atletas!P220="Chen 56 F"),432,IF(Atletas!P220="Sun 73 F",433,IF(Atletas!P220="Wu 45 F",434,IF(Atletas!P220="Wu-Hao 46 F",435,IF(OR(Atletas!P220="Taijiquan 16 F",Atletas!P220="Taijiquan 24 F",Atletas!P220="Taijiquan 32 F",Atletas!P220="Taijiquan 42 F"),436,0)))))))))))))))))))</f>
        <v/>
      </c>
      <c r="BY229" s="50" t="str">
        <f>IF(Atletas!Q220="","",IF(Atletas!X220&lt;&gt;"",10000,0)+IF(Atletas!B220="Feminino",1000,IF(Atletas!B220="Masculino",2000,""))+IF(Atletas!Q220="Xingyiquan A",501,IF(Atletas!Q220="Baguazhang A",502,IF(Atletas!Q220="Outro Estilo Interno A",503,IF(Atletas!Q220="Xingyiquan B",504,IF(Atletas!Q220="Baguazhang B",505,IF(Atletas!Q220="Outro Estilo Interno B",506,IF(Atletas!Q220="Xingyiquan C",507,IF(Atletas!Q220="Baguazhang C",508,IF(Atletas!Q220="Outro Estilo Interno C",509,IF(Atletas!Q220="Xingyiquan D",510,IF(Atletas!Q220="Baguazhang D",511,IF(Atletas!Q220="Outro Estilo Interno D",512,IF(Atletas!Q220="Xingyiquan E",513,IF(Atletas!Q220="Baguazhang E",514,IF(Atletas!Q220="Outro Estilo Interno E",515,IF(Atletas!Q220="Xingyiquan F",516,IF(Atletas!Q220="Baguazhang F",517,IF(Atletas!Q220="Outro Estilo Interno F",518, "")))))))))))))))))))</f>
        <v/>
      </c>
      <c r="BZ229" s="50" t="str">
        <f>IF(Atletas!R220="","",IF(Atletas!X220&lt;&gt;"",10000,0)+IF(Atletas!B220="Feminino",1000,IF(Atletas!B220="Masculino",2000,""))+IF(Atletas!R220="Dao A",601,IF(Atletas!R220="Jian A",602,IF(Atletas!R220="Bishou A",603,IF(Atletas!R220="Shanzi A",604,IF(Atletas!R220="Outra Arma Curta A",605,IF(Atletas!R220="Dao B",606,IF(Atletas!R220="Jian B",607,IF(Atletas!R220="Bishou B",608,IF(Atletas!R220="Shanzi B",609,IF(Atletas!R220="Outra Arma Curta B",610,IF(Atletas!R220="Dao C",611,IF(Atletas!R220="Jian C",612,IF(Atletas!R220="Bishou C",613,IF(Atletas!R220="Shanzi C",614,IF(Atletas!R220="Outra Arma Curta C",615,IF(Atletas!R220="Dao D",616,IF(Atletas!R220="Jian D",617,IF(Atletas!R220="Bishou D",618,IF(Atletas!R220="Shanzi D",619,IF(Atletas!R220="Outra Arma Curta D",620,IF(Atletas!R220="Dao E",621,IF(Atletas!R220="Jian E",622,IF(Atletas!R220="Bishou E",623,IF(Atletas!R220="Shanzi E",624,IF(Atletas!R220="Outra Arma Curta E",625,IF(Atletas!R220="Dao F",626,IF(Atletas!R220="Jian F",627,IF(Atletas!R220="Bishou F",628,IF(Atletas!R220="Shanzi F",629,IF(Atletas!R220="Outra Arma Curta F",630, "")))))))))))))))))))))))))))))))</f>
        <v/>
      </c>
      <c r="CA229" s="50" t="str">
        <f>IF(Atletas!S220="","",IF(Atletas!X220&lt;&gt;"",10000,0)+IF(Atletas!B220="Feminino",1000,IF(Atletas!B220="Masculino",2000,""))+IF(Atletas!S220="Gun A",701,IF(Atletas!S220="Qiang A",702,IF(Atletas!S220="Pudao / Guandao A",703,IF(Atletas!S220="Outra Arma Longa A",704,IF(Atletas!S220="Gun B",705,IF(Atletas!S220="Qiang B",706,IF(Atletas!S220="Pudao / Guandao B",707,IF(Atletas!S220="Outra Arma Longa B",708,IF(Atletas!S220="Gun C",709,IF(Atletas!S220="Qiang C",710,IF(Atletas!S220="Pudao / Guandao C",711,IF(Atletas!S220="Outra Arma Longa C",712,IF(Atletas!S220="Gun D",713,IF(Atletas!S220="Qiang D",714,IF(Atletas!S220="Pudao / Guandao D",715,IF(Atletas!S220="Outra Arma Longa D",716,IF(Atletas!S220="Gun E",717,IF(Atletas!S220="Qiang E",718,IF(Atletas!S220="Pudao / Guandao E",719,IF(Atletas!S220="Outra Arma Longa E",720,IF(Atletas!S220="Gun F",721,IF(Atletas!S220="Qiang F",722,IF(Atletas!S220="Pudao / Guandao F",723,IF(Atletas!S220="Outra Arma Longa F",724,"")))))))))))))))))))))))))</f>
        <v/>
      </c>
      <c r="CB229" s="50" t="str">
        <f>IF(Atletas!T220="","",IF(Atletas!X220&lt;&gt;"",10000,0)+IF(Atletas!B220="Feminino",1000,IF(Atletas!B220="Masculino",2000,""))+IF(Atletas!T220="Outra Arma Dupla A",801,IF(Atletas!T220="Arma Maleável A",802,IF(Atletas!T220="Outra Arma Dupla B",803,IF(Atletas!T220="Arma Maleável B",804,IF(Atletas!T220="Outra Arma Dupla C",805,IF(Atletas!T220="Arma Maleável C",806,IF(Atletas!T220="Outra Arma Dupla D",807,IF(Atletas!T220="Arma Maleável D",808,IF(Atletas!T220="Outra Arma Dupla E",809,IF(Atletas!T220="Arma Maleável E",810,IF(Atletas!T220="Outra Arma Dupla F",811,IF(Atletas!T220="Arma Maleável F",812,IF(Atletas!T220="Shuangdao A",813,IF(Atletas!T220="Shuangdao B",814,IF(Atletas!T220="Shuangdao C",815,IF(Atletas!T220="Shuangdao D",816,IF(Atletas!T220="Shuangdao E",817,IF(Atletas!T220="Shuangdao F",818,"")))))))))))))))))))</f>
        <v/>
      </c>
      <c r="CC229" s="50" t="str">
        <f>IF(Atletas!U220="","",IF(Atletas!X220&lt;&gt;"",10000,0)+IF(Atletas!B220="Feminino",1000,IF(Atletas!B220="Masculino",2000,""))+IF(OR(Atletas!U220="Taijijian Yang A",Atletas!U220="Taijijian Yang Standard A"),901,IF(OR(Atletas!U220="Taijijian Chen A", Atletas!U220="Taijijian Chen Standard A"),902,IF(Atletas!U220="Taijijian Sun A",903,IF(Atletas!U220="Taijijian Wu A",904,IF(Atletas!U220="Taijijian Wu-Hao A",905,IF(OR(Atletas!U220="Taijijian 32 A",Atletas!U220="Taijijian 42 A"),906,IF(OR(Atletas!U220="Taijijian Yang B",Atletas!U220="Taijijian Yang Standard B"),907,IF(OR(Atletas!U220="Taijijian Chen B", Atletas!U220="Taijijian Chen Standard B"),908,IF(Atletas!U220="Taijijian Sun B",909,IF(Atletas!U220="Taijijian Wu B",910,IF(Atletas!U220="Taijijian Wu-Hao B",911,IF(OR(Atletas!U220="Taijijian 32 B",Atletas!U220="Taijijian 42 B"),912,IF(OR(Atletas!U220="Taijijian Yang C",Atletas!U220="Taijijian Yang Standard C"),913,IF(OR(Atletas!U220="Taijijian Chen C", Atletas!U220="Taijijian Chen Standard C"),914,IF(Atletas!U220="Taijijian Sun C",915,IF(Atletas!U220="Taijijian Wu C",916,IF(Atletas!U220="Taijijian Wu-Hao C",917,IF(OR(Atletas!U220="Taijijian 32 C",Atletas!U220="Taijijian 42 C"),918,IF(OR(Atletas!U220="Taijijian Yang D",Atletas!U220="Taijijian Yang Standard D"),919,IF(OR(Atletas!U220="Taijijian Chen D", Atletas!U220="Taijijian Chen Standard D"),920,IF(Atletas!U220="Taijijian Sun D",921,IF(Atletas!U220="Taijijian Wu D",922,IF(Atletas!U220="Taijijian Wu-Hao D",923,IF(OR(Atletas!U220="Taijijian 32 D",Atletas!U220="Taijijian 42 D"),924,IF(OR(Atletas!U220="Taijijian Yang E",Atletas!U220="Taijijian Yang Standard E"),925,IF(OR(Atletas!U220="Taijijian Chen E", Atletas!U220="Taijijian Chen Standard E"),926,IF(Atletas!U220="Taijijian Sun E",927,IF(Atletas!U220="Taijijian Wu E",928,IF(Atletas!U220="Taijijian Wu-Hao E",929,IF(OR(Atletas!U220="Taijijian 32 E",Atletas!U220="Taijijian 42 E"),930,IF(OR(Atletas!U220="Taijijian Yang F",Atletas!U220="Taijijian Yang Standard F"),931,IF(OR(Atletas!U220="Taijijian Chen F", Atletas!U220="Taijijian Chen Standard F"),932,IF(Atletas!U220="Taijijian Sun F",933,IF(Atletas!U220="Taijijian Wu F",934,IF(Atletas!U220="Taijijian Wu-Hao F",935,IF(OR(Atletas!U220="Taijijian 32 F",Atletas!U220="Taijijian 42 F"),936,"")))))))))))))))))))))))))))))))))))))</f>
        <v/>
      </c>
      <c r="CD229" s="50" t="str">
        <f>IF(Atletas!V220="","",IF(Atletas!X220&lt;&gt;"",10000,0)+IF(Atletas!B220="Feminino",1000,IF(Atletas!B220="Masculino",2000,""))+IF(Atletas!V220="Taijidao A",937,IF(Atletas!V220="TaijiShanzi A",938,IF(Atletas!V220="Taijiqiang A",939,IF(Atletas!V220="Bagua de Arma A",940,IF(Atletas!V220="Xingyi de Arma A",941,IF(Atletas!V220="Taijidao B",942,IF(Atletas!V220="TaijiShanzi B",943,IF(Atletas!V220="Taijiqiang B",944,IF(Atletas!V220="Bagua de Arma B",945,IF(Atletas!V220="Xingyi de Arma B",946,IF(Atletas!V220="Taijidao C",947,IF(Atletas!V220="TaijiShanzi C",948,IF(Atletas!V220="Taijiqiang C",949,IF(Atletas!V220="Bagua de Arma C",950,IF(Atletas!V220="Xingyi de Arma C",951,IF(Atletas!V220="Taijidao D",952,IF(Atletas!V220="TaijiShanzi D",953,IF(Atletas!V220="Taijiqiang D",954,IF(Atletas!V220="Bagua de Arma D",955,IF(Atletas!V220="Xingyi de Arma D",956,IF(Atletas!V220="Taijidao E",957,IF(Atletas!V220="TaijiShanzi E",958,IF(Atletas!V220="Taijiqiang E",959,IF(Atletas!V220="Bagua de Arma E",960,IF(Atletas!V220="Xingyi de Arma E",961,IF(Atletas!V220="Taijidao F",962,IF(Atletas!V220="TaijiShanzi F",963,IF(Atletas!V220="Taijiqiang F",964,IF(Atletas!V220="Bagua de Arma F",965,IF(Atletas!V220="Xingyi de Arma F",966,"")))))))))))))))))))))))))))))))</f>
        <v/>
      </c>
      <c r="CE229" s="66" t="str">
        <f>IF(CF229&lt;&gt;"","Dao A","")</f>
        <v/>
      </c>
      <c r="CF229" s="66" t="str">
        <f>IF(COUNTIF(BR:CD,1601)&gt;0,COUNTIF(BR:CD,1601),"")</f>
        <v/>
      </c>
      <c r="CG229" s="66" t="str">
        <f>IF(CH229&lt;&gt;"","Dao A","")</f>
        <v/>
      </c>
      <c r="CH229" s="66" t="str">
        <f>IF(COUNTIF(BR:CD,2601)&gt;0,COUNTIF(BR:CD,2601),"")</f>
        <v/>
      </c>
      <c r="CI229" s="66" t="str">
        <f>IF(CJ229&lt;&gt;"","Jian B","")</f>
        <v/>
      </c>
      <c r="CJ229" s="66" t="str">
        <f>IF(COUNTIF(BR:CD,11607)&gt;0,COUNTIF(BR:CD,11607),"")</f>
        <v/>
      </c>
      <c r="CK229" s="66" t="str">
        <f>IF(CL229&lt;&gt;"","Jian B","")</f>
        <v/>
      </c>
      <c r="CL229" s="66" t="str">
        <f>IF(COUNTIF(BR:CD,12607)&gt;0,COUNTIF(BR:CD,12607),"")</f>
        <v/>
      </c>
      <c r="CM229" s="50" t="str">
        <f xml:space="preserve"> IF(Atletas!W220="","",IF(Atletas!W220="Duilian de Mãos BC - Equipe 1",1,IF(Atletas!W220="Duilian de Mãos BC - Equipe 2",2,IF(Atletas!W220="Duilian de Armas BC - Equipe 1",3,IF(Atletas!W220="Duilian de Armas BC - Equipe 2",4,IF(Atletas!W220="Duilian de Mãos DE - Equipe 1",5,IF(Atletas!W220="Duilian de Mãos DE - Equipe 2",6,IF(Atletas!W220="Duilian de Armas DE - Equipe 1",7,IF(Atletas!W220="Duilian de Armas DE - Equipe 2",8,IF(Atletas!W220="Duilian de Tuishou - Equipe 1",9,IF(Atletas!W220="Duilian de Tuishou - Equipe 2",10,IF(Atletas!W220="Grupo Externo ABC - Equipe 1",11,IF(Atletas!W220="Grupo Externo ABC - Equipe 2",12,IF(Atletas!W220="Grupo Interno ABC - Equipe 1",13,IF(Atletas!W220="Grupo Interno ABC - Equipe 2",14,IF(Atletas!W220="Grupo Externo DEF - Equipe 1",15,IF(Atletas!W220="Grupo Externo DEF - Equipe 2",16,IF(Atletas!W220="Grupo Interno DEF - Equipe 1",17,IF(Atletas!W220="Grupo Interno DEF - Equipe 2",18,"")))))))))))))))))))</f>
        <v/>
      </c>
    </row>
    <row r="230" spans="2:91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 t="str">
        <f t="array" ref="Z230">IFERROR(INDEX(CE$7:CE$348,SMALL(IF(CE$7:CE$348&lt;&gt;"",ROW(CE$7:CE$348)-ROW(CE$7)+1),ROWS(CE$7:CE229))),"")</f>
        <v/>
      </c>
      <c r="AA230" s="3" t="str">
        <f t="array" ref="AA230">IFERROR(INDEX(CF$7:CF$348,SMALL(IF(CF$7:CF$348&lt;&gt;"",ROW(CF$7:CF$348)-ROW(CF$7)+1),ROWS(CF$7:CF229))),"")</f>
        <v/>
      </c>
      <c r="AB230" s="3" t="str">
        <f t="array" ref="AB230">IFERROR(INDEX(CG$7:CG$348,SMALL(IF(CG$7:CG$348&lt;&gt;"",ROW(CG$7:CG$348)-ROW(CG$7)+1),ROWS(CG$7:CG229))),"")</f>
        <v/>
      </c>
      <c r="AC230" s="3" t="str">
        <f t="array" ref="AC230">IFERROR(INDEX(CH$7:CH$348,SMALL(IF(CH$7:CH$348&lt;&gt;"",ROW(CH$7:CH$348)-ROW(CH$7)+1),ROWS(CH$7:CH229))),"")</f>
        <v/>
      </c>
      <c r="AD230" s="3" t="str">
        <f t="array" ref="AD230">IFERROR(INDEX(CI$7:CI$377,SMALL(IF(CI$7:CI$377&lt;&gt;"",ROW(CI$7:CI$377)-ROW(CI$7)+1),ROWS(CI$7:CI229))),"")</f>
        <v/>
      </c>
      <c r="AE230" s="3" t="str">
        <f t="array" ref="AE230">IFERROR(INDEX(CJ$7:CJ$378,SMALL(IF(CJ$7:CJ$378&lt;&gt;"",ROW(CJ$7:CJ$378)-ROW(CJ$7)+1),ROWS(CJ$7:CJ229))),"")</f>
        <v/>
      </c>
      <c r="AF230" s="3" t="str">
        <f t="array" ref="AF230">IFERROR(INDEX(CK$7:CK$378,SMALL(IF(CK$7:CK$378&lt;&gt;"",ROW(CK$7:CK$378)-ROW(CK$7)+1),ROWS(CK$7:CK229))),"")</f>
        <v/>
      </c>
      <c r="AG230" s="3" t="str">
        <f t="array" ref="AG230">IFERROR(INDEX(CL$7:CL$378,SMALL(IF(CL$7:CL$378&lt;&gt;"",ROW(CL$7:CL$378)-ROW(CL$7)+1),ROWS(CL$7:CL229))),"")</f>
        <v/>
      </c>
      <c r="AH230" s="3"/>
      <c r="AI230" s="3"/>
      <c r="AJ230" s="3"/>
      <c r="AK230" s="3"/>
      <c r="AL230" s="3"/>
      <c r="AM230" s="3"/>
      <c r="AN230" s="52" t="str">
        <f>IF(Atletas!D221="","",IF(Atletas!B221="Feminino",100,IF(Atletas!B221="Masculino",200,""))+(IF(Atletas!D221="Kids 30kg",1,IF(Atletas!D221="Kids 32kg",2, IF(Atletas!D221="Kids 34kg",3,IF(Atletas!D221="Kids 36kg",4,IF(Atletas!D221="Kids 39kg",5,IF(Atletas!D221="Kids 42kg",6,IF(Atletas!D221="Kids 45kg",7, IF(Atletas!D221="Infantil 39kg",8,IF(Atletas!D221="Infantil 42kg",9,IF(Atletas!D221="Infantil 45kg",10,IF(Atletas!D221="Infantil 48kg",11,IF(Atletas!D221="Infantil 52kg",12,IF(Atletas!D221="Infantil 56kg",13,IF(Atletas!D221="Infantil 60kg",14,IF(Atletas!D221="Juvenil 48kg",15,IF(Atletas!D221="Juvenil 52kg",16,IF(Atletas!D221="Juvenil 56kg",17,IF(Atletas!D221="Juvenil 60kg",18,IF(Atletas!D221="Juvenil 65kg",19,IF(Atletas!D221="Juvenil 70kg",20,IF(Atletas!D221="Juvenil 75kg",21,IF(Atletas!D221="Juvenil 80kg",22, IF(Atletas!D221="Juvenil 85kg",23,IF(Atletas!D221="Adulto 48kg",24,IF(Atletas!D221="Adulto 52kg",25,IF(Atletas!D221="Adulto 56kg",26,IF(Atletas!D221="Adulto 60kg",27,IF(Atletas!D221="Adulto 65kg",28,IF(Atletas!D221="Adulto 70kg",29,IF(Atletas!D221="Adulto 75kg",30,IF(Atletas!D221="Adulto 80kg",31,IF(Atletas!D221="Adulto 85kg",32,IF(Atletas!D221="Adulto 90kg",33,IF(Atletas!D221="Adulto 100kg",34, IF(Atletas!D221="Adulto +100kg",35,"")))))))))))))))))))))))))))))))))))))</f>
        <v/>
      </c>
      <c r="AS230" s="6" t="str">
        <f>IF(Atletas!E221="","",IF(Atletas!B221="Feminino",100,IF(Atletas!B221="Masculino",200,""))+(IF(Atletas!E221="Juvenil 44kg",1,IF(Atletas!E221="Juvenil 48kg",2,IF(Atletas!E221="Juvenil 52kg",3,IF(Atletas!E221="Juvenil 56kg",4,IF(Atletas!E221="Juvenil 60kg",5,IF(Atletas!E221="Juvenil 65kg",6,IF(Atletas!E221="Juvenil 70kg",7,IF(Atletas!E221="Juvenil 75kg",8,IF(Atletas!E221="Juvenil 82kg",9,IF(Atletas!E221="Juvenil 90kg",10,IF(Atletas!E221="Juvenil 100kg",11,IF(Atletas!E221="Adulto 48kg",12,IF(Atletas!E221="Adulto 52kg",13,IF(Atletas!E221="Adulto 56kg",14,IF(Atletas!E221="Adulto 60kg",15,IF(Atletas!E221="Adulto 65kg",16,IF(Atletas!E221="Adulto 70kg",17,IF(Atletas!E221="Adulto 75kg",18,IF(Atletas!E221="Adulto 82kg",19,IF(Atletas!E221="Adulto 90kg",20,IF(Atletas!E221="Adulto 100kg",21,IF(Atletas!E221="Adulto +100kg",22,""))))))))))))))))))))))))</f>
        <v/>
      </c>
      <c r="AX230" s="6" t="str">
        <f>IF(Atletas!F221="","",IF(Atletas!B221="Feminino",100,IF(Atletas!B221="Masculino",200,""))+(IF(Atletas!F221="Adulto 48kg",1,IF(Atletas!F221="Adulto 56kg",2,IF(Atletas!F221="Adulto 65kg",3,IF(Atletas!F221="Adulto 75kg",4,IF(Atletas!F221="Adulto +75kg",5,IF(Atletas!F221="Adulto 52kg",6,IF(Atletas!F221="Adulto 60kg",7,IF(Atletas!F221="Adulto 70kg",8,IF(Atletas!F221="Adulto 80kg",9,IF(Atletas!F221="Adulto 90kg",10,IF(Atletas!F221="Adulto +90kg",11,"")))))))))))))</f>
        <v/>
      </c>
      <c r="BC230" s="6" t="str">
        <f>IF(Atletas!G221="","",IF(Atletas!B221="Feminino",10,IF(Atletas!B221="Masculino",20,""))+(IF(Atletas!G221="Baduanjin A",1,IF(Atletas!G221="Baduanjin B",2))))</f>
        <v/>
      </c>
      <c r="BF230" s="52" t="str">
        <f>IF(Atletas!H221="","",IF(Atletas!B221="Feminino",100,IF(Atletas!B221="Masculino",200,""))+(IF(Atletas!H221="Changquan Mirim",1,IF(Atletas!H221="Nanquan Mirim",2,IF(Atletas!H221="Taijiquan Mirim",3,IF(Atletas!H221="Changquan Grupo C",4,IF(Atletas!H221="Nanquan Grupo C",5,IF(Atletas!H221="Taijiquan Grupo C",6,IF(Atletas!H221="Changquan Grupo B",7,IF(Atletas!H221="Nanquan Grupo B",8,IF(Atletas!H221="Taijiquan Grupo B",9,IF(Atletas!H221="Changquan Grupo A",10,IF(Atletas!H221="Nanquan Grupo A",11,IF(Atletas!H221="Taijiquan Grupo A",12,IF(Atletas!H221="Changquan Opcional",13,IF(Atletas!H221="Nanquan Opcional",14,IF(Atletas!H221="Taijiquan Opcional",15,IF(Atletas!H221="Changquan Adulto",16,IF(Atletas!H221="Nanquan Adulto",17,IF(Atletas!H221="Taijiquan Adulto",18,""))))))))))))))))))))</f>
        <v/>
      </c>
      <c r="BG230" s="52" t="str">
        <f>IF(Atletas!I221="","",IF(Atletas!B221="Feminino",100,IF(Atletas!B221="Masculino",200,""))+(IF(Atletas!I221="Daoshu Mirim",19,IF(Atletas!I221="Jianshu Mirim",20,IF(Atletas!I221="Nandao Mirim",21,IF(Atletas!I221="Taijijian Mirim",22,IF(Atletas!I221="Daoshu Grupo C",23,IF(Atletas!I221="Jianshu Grupo C",24,IF(Atletas!I221="Nandao Grupo C",25,IF(Atletas!I221="Taijijian Grupo C",26,IF(Atletas!I221="Daoshu Grupo B",27,IF(Atletas!I221="Jianshu Grupo B",28,IF(Atletas!I221="Nandao Grupo B",29,IF(Atletas!I221="Taijijian Grupo B",30,IF(Atletas!I221="Daoshu Grupo A",31,IF(Atletas!I221="Jianshu Grupo A",32,IF(Atletas!I221="Nandao Grupo A",33,IF(Atletas!I221="Taijijian Grupo A",34,IF(Atletas!I221="Daoshu Opcional",35,IF(Atletas!I221="Jianshu Opcional",36,IF(Atletas!I221="Nandao Opcional",37,IF(Atletas!I221="Taijijian Opcional",38,IF(Atletas!I221="Daoshu Adulto",39,IF(Atletas!I221="Jianshu Adulto",40,IF(Atletas!I221="Nandao Adulto",41,IF(Atletas!I221="Taijijian Adulto",42,""))))))))))))))))))))))))))</f>
        <v/>
      </c>
      <c r="BH230" s="52" t="str">
        <f>IF(Atletas!J221="","",IF(Atletas!B221="Feminino",100,IF(Atletas!B221="Masculino",200,""))+(IF(Atletas!J221="Gunshu Mirim",43,IF(Atletas!J221="Qiangshu Mirim",44,IF(Atletas!J221="Nangun Mirim",45,IF(Atletas!J221="Gunshu Grupo C",46,IF(Atletas!J221="Qiangshu Grupo C",47,IF(Atletas!J221="Nangun Grupo C",48,IF(Atletas!J221="Gunshu Grupo B",49,IF(Atletas!J221="Qiangshu Grupo B",50,IF(Atletas!J221="Nangun Grupo B",51,IF(Atletas!J221="Gunshu Grupo A",52,IF(Atletas!J221="Qiangshu Grupo A",53,IF(Atletas!J221="Nangun Grupo A",54,IF(Atletas!J221="Gunshu Opcional",55,IF(Atletas!J221="Qiangshu Opcional",56,IF(Atletas!J221="Nangun Opcional",57,IF(Atletas!J221="Gunshu Adulto",58,IF(Atletas!J221="Qiangshu Adulto",59,IF(Atletas!J221="Nangun Adulto",60,IF(Atletas!J221="Taijishan Grupo B",61,IF(Atletas!J221="Taijishan Grupo A",62,""))))))))))))))))))))))</f>
        <v/>
      </c>
      <c r="BM230" s="50" t="str">
        <f>IF(Atletas!K221="","",IF(Atletas!B221="Feminino",100,IF(Atletas!B221="Masculino",200,""))+(IF(Atletas!K221="Equipe 1 Grupo B",1,IF(Atletas!K221="Equipe 2 Grupo B",2,IF(Atletas!K221="Equipe 1 Grupo A",3,IF(Atletas!K221="Equipe 2 Grupo A",4,IF(Atletas!K221="Equipe 1 Adulto",5,IF(Atletas!K221="Equipe 2 Adulto",6,""))))))))</f>
        <v/>
      </c>
      <c r="BR230" s="50" t="str">
        <f>IF(Atletas!L221="","",IF(Atletas!X221&lt;&gt;"",10000,0)+(IF(Atletas!B221="Feminino",1000,IF(Atletas!B221="Masculino",2000,""))+IF(Atletas!L221="Choylayfut A",1,IF(Atletas!L221="Hunggar A",2,IF(Atletas!L221="Wuzuquan A",3,IF(Atletas!L221="Wingchun A",4,IF(Atletas!L221="Outra Mão de Sul A",5,IF(Atletas!L221="Choylayfut B",6,IF(Atletas!L221="Hunggar B",7,IF(Atletas!L221="Wuzuquan B",8,IF(Atletas!L221="Wingchun B",9,IF(Atletas!L221="Outra Mão de Sul B",10,IF(Atletas!L221="Choylayfut C",11,IF(Atletas!L221="Hunggar C",12,IF(Atletas!L221="Wuzuquan C",13,IF(Atletas!L221="Wingchun C",14,IF(Atletas!L221="Outra Mão de Sul C",15,IF(Atletas!L221="Choylayfut D",16,IF(Atletas!L221="Hunggar D",17,IF(Atletas!L221="Wuzuquan D",18,IF(Atletas!L221="Wingchun D",19,IF(Atletas!L221="Outra Mão de Sul D",20,IF(Atletas!L221="Choylayfut E",21,IF(Atletas!L221="Hunggar E",22,IF(Atletas!L221="Wuzuquan E",23,IF(Atletas!L221="Wingchun E",24,IF(Atletas!L221="Outra Mão de Sul E",25,IF(Atletas!L221="Choylayfut F",26,IF(Atletas!L221="Hunggar F",27,IF(Atletas!L221="Wuzuquan F",28,IF(Atletas!L221="Wingchun F",29,IF(Atletas!L221="Outra Mão de Sul F",30,IF(Atletas!L221="Dishuquan A",31,IF(Atletas!L221="Dishuquan B",32,IF(Atletas!L221="Dishuquan C",33,IF(Atletas!L221="Dishuquan D",34,IF(Atletas!L221="Dishuquan E",35,IF(Atletas!L221="Dishuquan F",36,""))))))))))))))))))))))))))))))))))))))</f>
        <v/>
      </c>
      <c r="BS230" s="50" t="str">
        <f>IF(Atletas!M221="","",IF(Atletas!X221&lt;&gt;"",10000,0)+(IF(Atletas!B221="Feminino",1000,IF(Atletas!B221="Masculino",2000,""))+(IF(Atletas!M221="Chaquan A",101,IF(Atletas!M221="Emeiquan A",102,IF(Atletas!M221="Fanziquan A",103,IF(Atletas!M221="Huaquan A",104,IF(Atletas!M221="Hongquan A",105,IF(Atletas!M221="Paoquan A",106,IF(Atletas!M221="Piguaquan A",107,IF(Atletas!M221="Shaolinquan A",108,IF(Atletas!M221="Tanglangquan A",109,IF(Atletas!M221="Yingzhaoquan A",110,IF(Atletas!M221="Tongbeiquan A",111,IF(Atletas!M221="Wudangquan A",112,IF(Atletas!M221="Outros Estilos A",113,IF(Atletas!M221="Chaquan B",114,IF(Atletas!M221="Emeiquan B",115,IF(Atletas!M221="Fanziquan B",116,IF(Atletas!M221="Huaquan B",117,IF(Atletas!M221="Hongquan B",118,IF(Atletas!M221="Paoquan B",119,IF(Atletas!M221="Piguaquan B",120,IF(Atletas!M221="Shaolinquan B",121,IF(Atletas!M221="Tanglangquan B",122,IF(Atletas!M221="Yingzhaoquan B",123,IF(Atletas!M221="Tongbeiquan B",124,IF(Atletas!M221="Wudangquan B",125,IF(Atletas!M221="Outros Estilos B",126,IF(Atletas!M221="Chaquan C",127,IF(Atletas!M221="Emeiquan C",128,IF(Atletas!M221="Fanziquan C",129,IF(Atletas!M221="Huaquan C",130,IF(Atletas!M221="Hongquan C",131,IF(Atletas!M221="Paoquan C",132,IF(Atletas!M221="Piguaquan C",133,IF(Atletas!M221="Shaolinquan C",134,IF(Atletas!M221="Tanglangquan C",135,IF(Atletas!M221="Yingzhaoquan C",136,IF(Atletas!M221="Tongbeiquan C",137,IF(Atletas!M221="Wudangquan C",138,IF(Atletas!M221="Outros Estilos C",139,0))))))))))))))))))))))))))))))))))))))))))</f>
        <v/>
      </c>
      <c r="BT230" s="50" t="str">
        <f>IF(Atletas!M221="","",IF(Atletas!X221&lt;&gt;"",10000,0)+(IF(Atletas!B221="Feminino",1000,IF(Atletas!B221="Masculino",2000,""))+(IF(Atletas!M221="Chaquan D",140,IF(Atletas!M221="Emeiquan D",141,IF(Atletas!M221="Fanziquan D",142,IF(Atletas!M221="Huaquan D",143,IF(Atletas!M221="Hongquan D",144,IF(Atletas!M221="Paoquan D",145,IF(Atletas!M221="Piguaquan D",146,IF(Atletas!M221="Shaolinquan D",147,IF(Atletas!M221="Tanglangquan D",148,IF(Atletas!M221="Yingzhaoquan D",149,IF(Atletas!M221="Tongbeiquan D",150,IF(Atletas!M221="Wudangquan D",151,IF(Atletas!M221="Outros Estilos D",152,IF(Atletas!M221="Chaquan E",153,IF(Atletas!M221="Emeiquan E",154,IF(Atletas!M221="Fanziquan E",155,IF(Atletas!M221="Huaquan E",156,IF(Atletas!M221="Hongquan E",157,IF(Atletas!M221="Paoquan E",158,IF(Atletas!M221="Piguaquan E",159,IF(Atletas!M221="Shaolinquan E",160,IF(Atletas!M221="Tanglangquan E",161,IF(Atletas!M221="Yingzhaoquan E",162,IF(Atletas!M221="Tongbeiquan E",163,IF(Atletas!M221="Wudangquan E",164,IF(Atletas!M221="Outros Estilos E",165,IF(Atletas!M221="Chaquan F",166,IF(Atletas!M221="Emeiquan F",167,IF(Atletas!M221="Fanziquan F",168,IF(Atletas!M221="Huaquan F",169,IF(Atletas!M221="Hongquan F",170,IF(Atletas!M221="Paoquan F",171,IF(Atletas!M221="Piguaquan F",172,IF(Atletas!M221="Shaolinquan F",173,IF(Atletas!M221="Tanglangquan F",174,IF(Atletas!M221="Yingzhaoquan F",175,IF(Atletas!M221="Tongbeiquan F",176,IF(Atletas!M221="Wudangquan F",177,IF(Atletas!M221="Outros Estilos F",178,0))))))))))))))))))))))))))))))))))))))))))</f>
        <v/>
      </c>
      <c r="BU230" s="50" t="str">
        <f>IF(Atletas!N221="","",IF(Atletas!X221&lt;&gt;"",10000,0)+(IF(Atletas!B221="Feminino",1000,IF(Atletas!B221="Masculino",2000,""))+(IF(Atletas!N221="Ditangquan A",201,IF(Atletas!N221="Houquan A",202,IF(Atletas!N221="Zuiquan A",203,IF(Atletas!N221="Ditangquan B",204,IF(Atletas!N221="Houquan B",205,IF(Atletas!N221="Zuiquan B",206,IF(Atletas!N221="Ditangquan C",207,IF(Atletas!N221="Houquan C",208,IF(Atletas!N221="Zuiquan C",209,IF(Atletas!N221="Ditangquan D",210,IF(Atletas!N221="Houquan D",211,IF(Atletas!N221="Zuiquan D",212,IF(Atletas!N221="Ditangquan E",213,IF(Atletas!N221="Houquan E",214,IF(Atletas!N221="Zuiquan E",215,IF(Atletas!N221="Ditangquan F",216,IF(Atletas!N221="Houquan F",217,IF(Atletas!N221="Zuiquan F",218,"")))))))))))))))))))))</f>
        <v/>
      </c>
      <c r="BV230" s="50" t="str">
        <f>IF(Atletas!O221="","",IF(Atletas!X221&lt;&gt;"",10000,0)+IF(Atletas!B221="Feminino",1000,IF(Atletas!B221="Masculino",2000,""))+IF(Atletas!O221="Yang A",301,IF(Atletas!O221="Chen A",302,IF(Atletas!O221="Sun A",303,IF(Atletas!O221="Wu A",304,IF(Atletas!O221="Wu-Hao A",305,IF(Atletas!O221="Outro Taijiquan A",306,IF(Atletas!O221="Yang B",307,IF(Atletas!O221="Chen B",308,IF(Atletas!O221="Sun B",309,IF(Atletas!O221="Wu B",310,IF(Atletas!O221="Wu-Hao B",311,IF(Atletas!O221="Outro Taijiquan B",312,IF(Atletas!O221="Yang C",313,IF(Atletas!O221="Chen C",314,IF(Atletas!O221="Sun C",315,IF(Atletas!O221="Wu C",316,IF(Atletas!O221="Wu-Hao C",317,IF(Atletas!O221="Outro Taijiquan C",318,IF(Atletas!O221="Yang D",319,IF(Atletas!O221="Chen D",320,IF(Atletas!O221="Sun D",321,IF(Atletas!O221="Wu D",322,IF(Atletas!O221="Wu-Hao D",323,IF(Atletas!O221="Outro Taijiquan D",324,IF(Atletas!O221="Yang E",325,IF(Atletas!O221="Chen E",326,IF(Atletas!O221="Sun E",327,IF(Atletas!O221="Wu E",328,IF(Atletas!O221="Wu-Hao E",329,IF(Atletas!O221="Outro Taijiquan E",330,IF(Atletas!O221="Yang F",331,IF(Atletas!O221="Chen F",332,IF(Atletas!O221="Sun F",333,IF(Atletas!O221="Wu F",334,IF(Atletas!O221="Wu-Hao F",335,IF(Atletas!O221="Outro Taijiquan F",336,"")))))))))))))))))))))))))))))))))))))</f>
        <v/>
      </c>
      <c r="BW230" s="50" t="str">
        <f>IF(Atletas!P221="","",IF(Atletas!X221&lt;&gt;"",10000,0)+IF(Atletas!B221="Feminino",1000,IF(Atletas!B221="Masculino",2000,""))+IF(OR(Atletas!P221="Yang 26 A",Atletas!P221="Yang 40 A"),401,IF(OR(Atletas!P221="Chen 25 A",Atletas!P221="Chen 36 A",Atletas!P221="Chen 56 A"),402,IF(Atletas!P221="Sun 73 A",403,IF(Atletas!P221="Wu 45 A",404,IF(Atletas!P221="Wu-Hao 46 A",405,IF(OR(Atletas!P221="Taijiquan 16 A",Atletas!P221="Taijiquan 24 A",Atletas!P221="Taijiquan 32 A",Atletas!P221="Taijiquan 42 A"),406,IF(OR(Atletas!P221="Yang 26 B",Atletas!P221="Yang 40 B"),407,IF(OR(Atletas!P221="Chen 25 B",Atletas!P221="Chen 36 B",Atletas!P221="Chen 56 B"),408,IF(Atletas!P221="Sun 73 B",409,IF(Atletas!P221="Wu 45 B",410,IF(Atletas!P221="Wu-Hao 46 B",411,IF(OR(Atletas!P221="Taijiquan 16 B",Atletas!P221="Taijiquan 24 B",Atletas!P221="Taijiquan 32 B",Atletas!P221="Taijiquan 42 B"),412,IF(OR(Atletas!P221="Yang 26 C",Atletas!P221="Yang 40 C"),413,IF(OR(Atletas!P221="Chen 25 C",Atletas!P221="Chen 36 C",Atletas!P221="Chen 56 C"),414,IF(Atletas!P221="Sun 73 C",415,IF(Atletas!P221="Wu 45 C",416,IF(Atletas!P221="Wu-Hao 46 C",417,IF(OR(Atletas!P221="Taijiquan 16 C",Atletas!P221="Taijiquan 24 C",Atletas!P221="Taijiquan 32 C",Atletas!P221="Taijiquan 42 C"),418,0)))))))))))))))))))</f>
        <v/>
      </c>
      <c r="BX230" s="50" t="str">
        <f>IF(Atletas!P221="","",IF(Atletas!X221&lt;&gt;"",10000,0)+IF(Atletas!B221="Feminino",1000,IF(Atletas!B221="Masculino",2000,""))+IF(OR(Atletas!P221="Yang 26 D",Atletas!P221="Yang 40 D"),419,IF(OR(Atletas!P221="Chen 25 D",Atletas!P221="Chen 36 D",Atletas!P221="Chen 56 D"),420,IF(Atletas!P221="Sun 73 D",421,IF(Atletas!P221="Wu 45 D",422,IF(Atletas!P221="Wu-Hao 46 D",423,IF(OR(Atletas!P221="Taijiquan 16 D",Atletas!P221="Taijiquan 24 D",Atletas!P221="Taijiquan 32 D",Atletas!P221="Taijiquan 42 D"),424,IF(OR(Atletas!P221="Yang 26 E",Atletas!P221="Yang 40 E"),425,IF(OR(Atletas!P221="Chen 25 E",Atletas!P221="Chen 36 E",Atletas!P221="Chen 56 E"),426,IF(Atletas!P221="Sun 73 E",427,IF(Atletas!P221="Wu 45 E",428,IF(Atletas!P221="Wu-Hao 46 E",429,IF(OR(Atletas!P221="Taijiquan 16 E",Atletas!P221="Taijiquan 24 E",Atletas!P221="Taijiquan 32 E",Atletas!P221="Taijiquan 42 E"),430,IF(OR(Atletas!P221="Yang 26 F",Atletas!P221="Yang 40 F"),431,IF(OR(Atletas!P221="Chen 25 F",Atletas!P221="Chen 36 F",Atletas!P221="Chen 56 F"),432,IF(Atletas!P221="Sun 73 F",433,IF(Atletas!P221="Wu 45 F",434,IF(Atletas!P221="Wu-Hao 46 F",435,IF(OR(Atletas!P221="Taijiquan 16 F",Atletas!P221="Taijiquan 24 F",Atletas!P221="Taijiquan 32 F",Atletas!P221="Taijiquan 42 F"),436,0)))))))))))))))))))</f>
        <v/>
      </c>
      <c r="BY230" s="50" t="str">
        <f>IF(Atletas!Q221="","",IF(Atletas!X221&lt;&gt;"",10000,0)+IF(Atletas!B221="Feminino",1000,IF(Atletas!B221="Masculino",2000,""))+IF(Atletas!Q221="Xingyiquan A",501,IF(Atletas!Q221="Baguazhang A",502,IF(Atletas!Q221="Outro Estilo Interno A",503,IF(Atletas!Q221="Xingyiquan B",504,IF(Atletas!Q221="Baguazhang B",505,IF(Atletas!Q221="Outro Estilo Interno B",506,IF(Atletas!Q221="Xingyiquan C",507,IF(Atletas!Q221="Baguazhang C",508,IF(Atletas!Q221="Outro Estilo Interno C",509,IF(Atletas!Q221="Xingyiquan D",510,IF(Atletas!Q221="Baguazhang D",511,IF(Atletas!Q221="Outro Estilo Interno D",512,IF(Atletas!Q221="Xingyiquan E",513,IF(Atletas!Q221="Baguazhang E",514,IF(Atletas!Q221="Outro Estilo Interno E",515,IF(Atletas!Q221="Xingyiquan F",516,IF(Atletas!Q221="Baguazhang F",517,IF(Atletas!Q221="Outro Estilo Interno F",518, "")))))))))))))))))))</f>
        <v/>
      </c>
      <c r="BZ230" s="50" t="str">
        <f>IF(Atletas!R221="","",IF(Atletas!X221&lt;&gt;"",10000,0)+IF(Atletas!B221="Feminino",1000,IF(Atletas!B221="Masculino",2000,""))+IF(Atletas!R221="Dao A",601,IF(Atletas!R221="Jian A",602,IF(Atletas!R221="Bishou A",603,IF(Atletas!R221="Shanzi A",604,IF(Atletas!R221="Outra Arma Curta A",605,IF(Atletas!R221="Dao B",606,IF(Atletas!R221="Jian B",607,IF(Atletas!R221="Bishou B",608,IF(Atletas!R221="Shanzi B",609,IF(Atletas!R221="Outra Arma Curta B",610,IF(Atletas!R221="Dao C",611,IF(Atletas!R221="Jian C",612,IF(Atletas!R221="Bishou C",613,IF(Atletas!R221="Shanzi C",614,IF(Atletas!R221="Outra Arma Curta C",615,IF(Atletas!R221="Dao D",616,IF(Atletas!R221="Jian D",617,IF(Atletas!R221="Bishou D",618,IF(Atletas!R221="Shanzi D",619,IF(Atletas!R221="Outra Arma Curta D",620,IF(Atletas!R221="Dao E",621,IF(Atletas!R221="Jian E",622,IF(Atletas!R221="Bishou E",623,IF(Atletas!R221="Shanzi E",624,IF(Atletas!R221="Outra Arma Curta E",625,IF(Atletas!R221="Dao F",626,IF(Atletas!R221="Jian F",627,IF(Atletas!R221="Bishou F",628,IF(Atletas!R221="Shanzi F",629,IF(Atletas!R221="Outra Arma Curta F",630, "")))))))))))))))))))))))))))))))</f>
        <v/>
      </c>
      <c r="CA230" s="50" t="str">
        <f>IF(Atletas!S221="","",IF(Atletas!X221&lt;&gt;"",10000,0)+IF(Atletas!B221="Feminino",1000,IF(Atletas!B221="Masculino",2000,""))+IF(Atletas!S221="Gun A",701,IF(Atletas!S221="Qiang A",702,IF(Atletas!S221="Pudao / Guandao A",703,IF(Atletas!S221="Outra Arma Longa A",704,IF(Atletas!S221="Gun B",705,IF(Atletas!S221="Qiang B",706,IF(Atletas!S221="Pudao / Guandao B",707,IF(Atletas!S221="Outra Arma Longa B",708,IF(Atletas!S221="Gun C",709,IF(Atletas!S221="Qiang C",710,IF(Atletas!S221="Pudao / Guandao C",711,IF(Atletas!S221="Outra Arma Longa C",712,IF(Atletas!S221="Gun D",713,IF(Atletas!S221="Qiang D",714,IF(Atletas!S221="Pudao / Guandao D",715,IF(Atletas!S221="Outra Arma Longa D",716,IF(Atletas!S221="Gun E",717,IF(Atletas!S221="Qiang E",718,IF(Atletas!S221="Pudao / Guandao E",719,IF(Atletas!S221="Outra Arma Longa E",720,IF(Atletas!S221="Gun F",721,IF(Atletas!S221="Qiang F",722,IF(Atletas!S221="Pudao / Guandao F",723,IF(Atletas!S221="Outra Arma Longa F",724,"")))))))))))))))))))))))))</f>
        <v/>
      </c>
      <c r="CB230" s="50" t="str">
        <f>IF(Atletas!T221="","",IF(Atletas!X221&lt;&gt;"",10000,0)+IF(Atletas!B221="Feminino",1000,IF(Atletas!B221="Masculino",2000,""))+IF(Atletas!T221="Outra Arma Dupla A",801,IF(Atletas!T221="Arma Maleável A",802,IF(Atletas!T221="Outra Arma Dupla B",803,IF(Atletas!T221="Arma Maleável B",804,IF(Atletas!T221="Outra Arma Dupla C",805,IF(Atletas!T221="Arma Maleável C",806,IF(Atletas!T221="Outra Arma Dupla D",807,IF(Atletas!T221="Arma Maleável D",808,IF(Atletas!T221="Outra Arma Dupla E",809,IF(Atletas!T221="Arma Maleável E",810,IF(Atletas!T221="Outra Arma Dupla F",811,IF(Atletas!T221="Arma Maleável F",812,IF(Atletas!T221="Shuangdao A",813,IF(Atletas!T221="Shuangdao B",814,IF(Atletas!T221="Shuangdao C",815,IF(Atletas!T221="Shuangdao D",816,IF(Atletas!T221="Shuangdao E",817,IF(Atletas!T221="Shuangdao F",818,"")))))))))))))))))))</f>
        <v/>
      </c>
      <c r="CC230" s="50" t="str">
        <f>IF(Atletas!U221="","",IF(Atletas!X221&lt;&gt;"",10000,0)+IF(Atletas!B221="Feminino",1000,IF(Atletas!B221="Masculino",2000,""))+IF(OR(Atletas!U221="Taijijian Yang A",Atletas!U221="Taijijian Yang Standard A"),901,IF(OR(Atletas!U221="Taijijian Chen A", Atletas!U221="Taijijian Chen Standard A"),902,IF(Atletas!U221="Taijijian Sun A",903,IF(Atletas!U221="Taijijian Wu A",904,IF(Atletas!U221="Taijijian Wu-Hao A",905,IF(OR(Atletas!U221="Taijijian 32 A",Atletas!U221="Taijijian 42 A"),906,IF(OR(Atletas!U221="Taijijian Yang B",Atletas!U221="Taijijian Yang Standard B"),907,IF(OR(Atletas!U221="Taijijian Chen B", Atletas!U221="Taijijian Chen Standard B"),908,IF(Atletas!U221="Taijijian Sun B",909,IF(Atletas!U221="Taijijian Wu B",910,IF(Atletas!U221="Taijijian Wu-Hao B",911,IF(OR(Atletas!U221="Taijijian 32 B",Atletas!U221="Taijijian 42 B"),912,IF(OR(Atletas!U221="Taijijian Yang C",Atletas!U221="Taijijian Yang Standard C"),913,IF(OR(Atletas!U221="Taijijian Chen C", Atletas!U221="Taijijian Chen Standard C"),914,IF(Atletas!U221="Taijijian Sun C",915,IF(Atletas!U221="Taijijian Wu C",916,IF(Atletas!U221="Taijijian Wu-Hao C",917,IF(OR(Atletas!U221="Taijijian 32 C",Atletas!U221="Taijijian 42 C"),918,IF(OR(Atletas!U221="Taijijian Yang D",Atletas!U221="Taijijian Yang Standard D"),919,IF(OR(Atletas!U221="Taijijian Chen D", Atletas!U221="Taijijian Chen Standard D"),920,IF(Atletas!U221="Taijijian Sun D",921,IF(Atletas!U221="Taijijian Wu D",922,IF(Atletas!U221="Taijijian Wu-Hao D",923,IF(OR(Atletas!U221="Taijijian 32 D",Atletas!U221="Taijijian 42 D"),924,IF(OR(Atletas!U221="Taijijian Yang E",Atletas!U221="Taijijian Yang Standard E"),925,IF(OR(Atletas!U221="Taijijian Chen E", Atletas!U221="Taijijian Chen Standard E"),926,IF(Atletas!U221="Taijijian Sun E",927,IF(Atletas!U221="Taijijian Wu E",928,IF(Atletas!U221="Taijijian Wu-Hao E",929,IF(OR(Atletas!U221="Taijijian 32 E",Atletas!U221="Taijijian 42 E"),930,IF(OR(Atletas!U221="Taijijian Yang F",Atletas!U221="Taijijian Yang Standard F"),931,IF(OR(Atletas!U221="Taijijian Chen F", Atletas!U221="Taijijian Chen Standard F"),932,IF(Atletas!U221="Taijijian Sun F",933,IF(Atletas!U221="Taijijian Wu F",934,IF(Atletas!U221="Taijijian Wu-Hao F",935,IF(OR(Atletas!U221="Taijijian 32 F",Atletas!U221="Taijijian 42 F"),936,"")))))))))))))))))))))))))))))))))))))</f>
        <v/>
      </c>
      <c r="CD230" s="50" t="str">
        <f>IF(Atletas!V221="","",IF(Atletas!X221&lt;&gt;"",10000,0)+IF(Atletas!B221="Feminino",1000,IF(Atletas!B221="Masculino",2000,""))+IF(Atletas!V221="Taijidao A",937,IF(Atletas!V221="TaijiShanzi A",938,IF(Atletas!V221="Taijiqiang A",939,IF(Atletas!V221="Bagua de Arma A",940,IF(Atletas!V221="Xingyi de Arma A",941,IF(Atletas!V221="Taijidao B",942,IF(Atletas!V221="TaijiShanzi B",943,IF(Atletas!V221="Taijiqiang B",944,IF(Atletas!V221="Bagua de Arma B",945,IF(Atletas!V221="Xingyi de Arma B",946,IF(Atletas!V221="Taijidao C",947,IF(Atletas!V221="TaijiShanzi C",948,IF(Atletas!V221="Taijiqiang C",949,IF(Atletas!V221="Bagua de Arma C",950,IF(Atletas!V221="Xingyi de Arma C",951,IF(Atletas!V221="Taijidao D",952,IF(Atletas!V221="TaijiShanzi D",953,IF(Atletas!V221="Taijiqiang D",954,IF(Atletas!V221="Bagua de Arma D",955,IF(Atletas!V221="Xingyi de Arma D",956,IF(Atletas!V221="Taijidao E",957,IF(Atletas!V221="TaijiShanzi E",958,IF(Atletas!V221="Taijiqiang E",959,IF(Atletas!V221="Bagua de Arma E",960,IF(Atletas!V221="Xingyi de Arma E",961,IF(Atletas!V221="Taijidao F",962,IF(Atletas!V221="TaijiShanzi F",963,IF(Atletas!V221="Taijiqiang F",964,IF(Atletas!V221="Bagua de Arma F",965,IF(Atletas!V221="Xingyi de Arma F",966,"")))))))))))))))))))))))))))))))</f>
        <v/>
      </c>
      <c r="CE230" s="66" t="str">
        <f>IF(CF230&lt;&gt;"","Jian A","")</f>
        <v/>
      </c>
      <c r="CF230" s="66" t="str">
        <f>IF(COUNTIF(BR:CD,1602)&gt;0,COUNTIF(BR:CD,1602),"")</f>
        <v/>
      </c>
      <c r="CG230" s="66" t="str">
        <f>IF(CH230&lt;&gt;"","Jian A","")</f>
        <v/>
      </c>
      <c r="CH230" s="66" t="str">
        <f>IF(COUNTIF(BR:CD,2602)&gt;0,COUNTIF(BR:CD,2602),"")</f>
        <v/>
      </c>
      <c r="CI230" s="66" t="str">
        <f>IF(CJ230&lt;&gt;"","Bishou B","")</f>
        <v/>
      </c>
      <c r="CJ230" s="66" t="str">
        <f>IF(COUNTIF(BR:CD,11608)&gt;0,COUNTIF(BR:CD,11608),"")</f>
        <v/>
      </c>
      <c r="CK230" s="66" t="str">
        <f>IF(CL230&lt;&gt;"","Bishou B","")</f>
        <v/>
      </c>
      <c r="CL230" s="66" t="str">
        <f>IF(COUNTIF(BR:CD,12608)&gt;0,COUNTIF(BR:CD,12608),"")</f>
        <v/>
      </c>
      <c r="CM230" s="50" t="str">
        <f xml:space="preserve"> IF(Atletas!W221="","",IF(Atletas!W221="Duilian de Mãos BC - Equipe 1",1,IF(Atletas!W221="Duilian de Mãos BC - Equipe 2",2,IF(Atletas!W221="Duilian de Armas BC - Equipe 1",3,IF(Atletas!W221="Duilian de Armas BC - Equipe 2",4,IF(Atletas!W221="Duilian de Mãos DE - Equipe 1",5,IF(Atletas!W221="Duilian de Mãos DE - Equipe 2",6,IF(Atletas!W221="Duilian de Armas DE - Equipe 1",7,IF(Atletas!W221="Duilian de Armas DE - Equipe 2",8,IF(Atletas!W221="Duilian de Tuishou - Equipe 1",9,IF(Atletas!W221="Duilian de Tuishou - Equipe 2",10,IF(Atletas!W221="Grupo Externo ABC - Equipe 1",11,IF(Atletas!W221="Grupo Externo ABC - Equipe 2",12,IF(Atletas!W221="Grupo Interno ABC - Equipe 1",13,IF(Atletas!W221="Grupo Interno ABC - Equipe 2",14,IF(Atletas!W221="Grupo Externo DEF - Equipe 1",15,IF(Atletas!W221="Grupo Externo DEF - Equipe 2",16,IF(Atletas!W221="Grupo Interno DEF - Equipe 1",17,IF(Atletas!W221="Grupo Interno DEF - Equipe 2",18,"")))))))))))))))))))</f>
        <v/>
      </c>
    </row>
    <row r="231" spans="2:91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 t="str">
        <f t="array" ref="Z231">IFERROR(INDEX(CE$7:CE$348,SMALL(IF(CE$7:CE$348&lt;&gt;"",ROW(CE$7:CE$348)-ROW(CE$7)+1),ROWS(CE$7:CE230))),"")</f>
        <v/>
      </c>
      <c r="AA231" s="3" t="str">
        <f t="array" ref="AA231">IFERROR(INDEX(CF$7:CF$348,SMALL(IF(CF$7:CF$348&lt;&gt;"",ROW(CF$7:CF$348)-ROW(CF$7)+1),ROWS(CF$7:CF230))),"")</f>
        <v/>
      </c>
      <c r="AB231" s="3" t="str">
        <f t="array" ref="AB231">IFERROR(INDEX(CG$7:CG$348,SMALL(IF(CG$7:CG$348&lt;&gt;"",ROW(CG$7:CG$348)-ROW(CG$7)+1),ROWS(CG$7:CG230))),"")</f>
        <v/>
      </c>
      <c r="AC231" s="3" t="str">
        <f t="array" ref="AC231">IFERROR(INDEX(CH$7:CH$348,SMALL(IF(CH$7:CH$348&lt;&gt;"",ROW(CH$7:CH$348)-ROW(CH$7)+1),ROWS(CH$7:CH230))),"")</f>
        <v/>
      </c>
      <c r="AD231" s="3" t="str">
        <f t="array" ref="AD231">IFERROR(INDEX(CI$7:CI$377,SMALL(IF(CI$7:CI$377&lt;&gt;"",ROW(CI$7:CI$377)-ROW(CI$7)+1),ROWS(CI$7:CI230))),"")</f>
        <v/>
      </c>
      <c r="AE231" s="3" t="str">
        <f t="array" ref="AE231">IFERROR(INDEX(CJ$7:CJ$378,SMALL(IF(CJ$7:CJ$378&lt;&gt;"",ROW(CJ$7:CJ$378)-ROW(CJ$7)+1),ROWS(CJ$7:CJ230))),"")</f>
        <v/>
      </c>
      <c r="AF231" s="3" t="str">
        <f t="array" ref="AF231">IFERROR(INDEX(CK$7:CK$378,SMALL(IF(CK$7:CK$378&lt;&gt;"",ROW(CK$7:CK$378)-ROW(CK$7)+1),ROWS(CK$7:CK230))),"")</f>
        <v/>
      </c>
      <c r="AG231" s="3" t="str">
        <f t="array" ref="AG231">IFERROR(INDEX(CL$7:CL$378,SMALL(IF(CL$7:CL$378&lt;&gt;"",ROW(CL$7:CL$378)-ROW(CL$7)+1),ROWS(CL$7:CL230))),"")</f>
        <v/>
      </c>
      <c r="AH231" s="3"/>
      <c r="AI231" s="3"/>
      <c r="AJ231" s="3"/>
      <c r="AK231" s="3"/>
      <c r="AL231" s="3"/>
      <c r="AM231" s="3"/>
      <c r="AN231" s="52" t="str">
        <f>IF(Atletas!D222="","",IF(Atletas!B222="Feminino",100,IF(Atletas!B222="Masculino",200,""))+(IF(Atletas!D222="Kids 30kg",1,IF(Atletas!D222="Kids 32kg",2, IF(Atletas!D222="Kids 34kg",3,IF(Atletas!D222="Kids 36kg",4,IF(Atletas!D222="Kids 39kg",5,IF(Atletas!D222="Kids 42kg",6,IF(Atletas!D222="Kids 45kg",7, IF(Atletas!D222="Infantil 39kg",8,IF(Atletas!D222="Infantil 42kg",9,IF(Atletas!D222="Infantil 45kg",10,IF(Atletas!D222="Infantil 48kg",11,IF(Atletas!D222="Infantil 52kg",12,IF(Atletas!D222="Infantil 56kg",13,IF(Atletas!D222="Infantil 60kg",14,IF(Atletas!D222="Juvenil 48kg",15,IF(Atletas!D222="Juvenil 52kg",16,IF(Atletas!D222="Juvenil 56kg",17,IF(Atletas!D222="Juvenil 60kg",18,IF(Atletas!D222="Juvenil 65kg",19,IF(Atletas!D222="Juvenil 70kg",20,IF(Atletas!D222="Juvenil 75kg",21,IF(Atletas!D222="Juvenil 80kg",22, IF(Atletas!D222="Juvenil 85kg",23,IF(Atletas!D222="Adulto 48kg",24,IF(Atletas!D222="Adulto 52kg",25,IF(Atletas!D222="Adulto 56kg",26,IF(Atletas!D222="Adulto 60kg",27,IF(Atletas!D222="Adulto 65kg",28,IF(Atletas!D222="Adulto 70kg",29,IF(Atletas!D222="Adulto 75kg",30,IF(Atletas!D222="Adulto 80kg",31,IF(Atletas!D222="Adulto 85kg",32,IF(Atletas!D222="Adulto 90kg",33,IF(Atletas!D222="Adulto 100kg",34, IF(Atletas!D222="Adulto +100kg",35,"")))))))))))))))))))))))))))))))))))))</f>
        <v/>
      </c>
      <c r="AS231" s="6" t="str">
        <f>IF(Atletas!E222="","",IF(Atletas!B222="Feminino",100,IF(Atletas!B222="Masculino",200,""))+(IF(Atletas!E222="Juvenil 44kg",1,IF(Atletas!E222="Juvenil 48kg",2,IF(Atletas!E222="Juvenil 52kg",3,IF(Atletas!E222="Juvenil 56kg",4,IF(Atletas!E222="Juvenil 60kg",5,IF(Atletas!E222="Juvenil 65kg",6,IF(Atletas!E222="Juvenil 70kg",7,IF(Atletas!E222="Juvenil 75kg",8,IF(Atletas!E222="Juvenil 82kg",9,IF(Atletas!E222="Juvenil 90kg",10,IF(Atletas!E222="Juvenil 100kg",11,IF(Atletas!E222="Adulto 48kg",12,IF(Atletas!E222="Adulto 52kg",13,IF(Atletas!E222="Adulto 56kg",14,IF(Atletas!E222="Adulto 60kg",15,IF(Atletas!E222="Adulto 65kg",16,IF(Atletas!E222="Adulto 70kg",17,IF(Atletas!E222="Adulto 75kg",18,IF(Atletas!E222="Adulto 82kg",19,IF(Atletas!E222="Adulto 90kg",20,IF(Atletas!E222="Adulto 100kg",21,IF(Atletas!E222="Adulto +100kg",22,""))))))))))))))))))))))))</f>
        <v/>
      </c>
      <c r="AX231" s="6" t="str">
        <f>IF(Atletas!F222="","",IF(Atletas!B222="Feminino",100,IF(Atletas!B222="Masculino",200,""))+(IF(Atletas!F222="Adulto 48kg",1,IF(Atletas!F222="Adulto 56kg",2,IF(Atletas!F222="Adulto 65kg",3,IF(Atletas!F222="Adulto 75kg",4,IF(Atletas!F222="Adulto +75kg",5,IF(Atletas!F222="Adulto 52kg",6,IF(Atletas!F222="Adulto 60kg",7,IF(Atletas!F222="Adulto 70kg",8,IF(Atletas!F222="Adulto 80kg",9,IF(Atletas!F222="Adulto 90kg",10,IF(Atletas!F222="Adulto +90kg",11,"")))))))))))))</f>
        <v/>
      </c>
      <c r="BC231" s="6" t="str">
        <f>IF(Atletas!G222="","",IF(Atletas!B222="Feminino",10,IF(Atletas!B222="Masculino",20,""))+(IF(Atletas!G222="Baduanjin A",1,IF(Atletas!G222="Baduanjin B",2))))</f>
        <v/>
      </c>
      <c r="BF231" s="52" t="str">
        <f>IF(Atletas!H222="","",IF(Atletas!B222="Feminino",100,IF(Atletas!B222="Masculino",200,""))+(IF(Atletas!H222="Changquan Mirim",1,IF(Atletas!H222="Nanquan Mirim",2,IF(Atletas!H222="Taijiquan Mirim",3,IF(Atletas!H222="Changquan Grupo C",4,IF(Atletas!H222="Nanquan Grupo C",5,IF(Atletas!H222="Taijiquan Grupo C",6,IF(Atletas!H222="Changquan Grupo B",7,IF(Atletas!H222="Nanquan Grupo B",8,IF(Atletas!H222="Taijiquan Grupo B",9,IF(Atletas!H222="Changquan Grupo A",10,IF(Atletas!H222="Nanquan Grupo A",11,IF(Atletas!H222="Taijiquan Grupo A",12,IF(Atletas!H222="Changquan Opcional",13,IF(Atletas!H222="Nanquan Opcional",14,IF(Atletas!H222="Taijiquan Opcional",15,IF(Atletas!H222="Changquan Adulto",16,IF(Atletas!H222="Nanquan Adulto",17,IF(Atletas!H222="Taijiquan Adulto",18,""))))))))))))))))))))</f>
        <v/>
      </c>
      <c r="BG231" s="52" t="str">
        <f>IF(Atletas!I222="","",IF(Atletas!B222="Feminino",100,IF(Atletas!B222="Masculino",200,""))+(IF(Atletas!I222="Daoshu Mirim",19,IF(Atletas!I222="Jianshu Mirim",20,IF(Atletas!I222="Nandao Mirim",21,IF(Atletas!I222="Taijijian Mirim",22,IF(Atletas!I222="Daoshu Grupo C",23,IF(Atletas!I222="Jianshu Grupo C",24,IF(Atletas!I222="Nandao Grupo C",25,IF(Atletas!I222="Taijijian Grupo C",26,IF(Atletas!I222="Daoshu Grupo B",27,IF(Atletas!I222="Jianshu Grupo B",28,IF(Atletas!I222="Nandao Grupo B",29,IF(Atletas!I222="Taijijian Grupo B",30,IF(Atletas!I222="Daoshu Grupo A",31,IF(Atletas!I222="Jianshu Grupo A",32,IF(Atletas!I222="Nandao Grupo A",33,IF(Atletas!I222="Taijijian Grupo A",34,IF(Atletas!I222="Daoshu Opcional",35,IF(Atletas!I222="Jianshu Opcional",36,IF(Atletas!I222="Nandao Opcional",37,IF(Atletas!I222="Taijijian Opcional",38,IF(Atletas!I222="Daoshu Adulto",39,IF(Atletas!I222="Jianshu Adulto",40,IF(Atletas!I222="Nandao Adulto",41,IF(Atletas!I222="Taijijian Adulto",42,""))))))))))))))))))))))))))</f>
        <v/>
      </c>
      <c r="BH231" s="52" t="str">
        <f>IF(Atletas!J222="","",IF(Atletas!B222="Feminino",100,IF(Atletas!B222="Masculino",200,""))+(IF(Atletas!J222="Gunshu Mirim",43,IF(Atletas!J222="Qiangshu Mirim",44,IF(Atletas!J222="Nangun Mirim",45,IF(Atletas!J222="Gunshu Grupo C",46,IF(Atletas!J222="Qiangshu Grupo C",47,IF(Atletas!J222="Nangun Grupo C",48,IF(Atletas!J222="Gunshu Grupo B",49,IF(Atletas!J222="Qiangshu Grupo B",50,IF(Atletas!J222="Nangun Grupo B",51,IF(Atletas!J222="Gunshu Grupo A",52,IF(Atletas!J222="Qiangshu Grupo A",53,IF(Atletas!J222="Nangun Grupo A",54,IF(Atletas!J222="Gunshu Opcional",55,IF(Atletas!J222="Qiangshu Opcional",56,IF(Atletas!J222="Nangun Opcional",57,IF(Atletas!J222="Gunshu Adulto",58,IF(Atletas!J222="Qiangshu Adulto",59,IF(Atletas!J222="Nangun Adulto",60,IF(Atletas!J222="Taijishan Grupo B",61,IF(Atletas!J222="Taijishan Grupo A",62,""))))))))))))))))))))))</f>
        <v/>
      </c>
      <c r="BM231" s="50" t="str">
        <f>IF(Atletas!K222="","",IF(Atletas!B222="Feminino",100,IF(Atletas!B222="Masculino",200,""))+(IF(Atletas!K222="Equipe 1 Grupo B",1,IF(Atletas!K222="Equipe 2 Grupo B",2,IF(Atletas!K222="Equipe 1 Grupo A",3,IF(Atletas!K222="Equipe 2 Grupo A",4,IF(Atletas!K222="Equipe 1 Adulto",5,IF(Atletas!K222="Equipe 2 Adulto",6,""))))))))</f>
        <v/>
      </c>
      <c r="BR231" s="50" t="str">
        <f>IF(Atletas!L222="","",IF(Atletas!X222&lt;&gt;"",10000,0)+(IF(Atletas!B222="Feminino",1000,IF(Atletas!B222="Masculino",2000,""))+IF(Atletas!L222="Choylayfut A",1,IF(Atletas!L222="Hunggar A",2,IF(Atletas!L222="Wuzuquan A",3,IF(Atletas!L222="Wingchun A",4,IF(Atletas!L222="Outra Mão de Sul A",5,IF(Atletas!L222="Choylayfut B",6,IF(Atletas!L222="Hunggar B",7,IF(Atletas!L222="Wuzuquan B",8,IF(Atletas!L222="Wingchun B",9,IF(Atletas!L222="Outra Mão de Sul B",10,IF(Atletas!L222="Choylayfut C",11,IF(Atletas!L222="Hunggar C",12,IF(Atletas!L222="Wuzuquan C",13,IF(Atletas!L222="Wingchun C",14,IF(Atletas!L222="Outra Mão de Sul C",15,IF(Atletas!L222="Choylayfut D",16,IF(Atletas!L222="Hunggar D",17,IF(Atletas!L222="Wuzuquan D",18,IF(Atletas!L222="Wingchun D",19,IF(Atletas!L222="Outra Mão de Sul D",20,IF(Atletas!L222="Choylayfut E",21,IF(Atletas!L222="Hunggar E",22,IF(Atletas!L222="Wuzuquan E",23,IF(Atletas!L222="Wingchun E",24,IF(Atletas!L222="Outra Mão de Sul E",25,IF(Atletas!L222="Choylayfut F",26,IF(Atletas!L222="Hunggar F",27,IF(Atletas!L222="Wuzuquan F",28,IF(Atletas!L222="Wingchun F",29,IF(Atletas!L222="Outra Mão de Sul F",30,IF(Atletas!L222="Dishuquan A",31,IF(Atletas!L222="Dishuquan B",32,IF(Atletas!L222="Dishuquan C",33,IF(Atletas!L222="Dishuquan D",34,IF(Atletas!L222="Dishuquan E",35,IF(Atletas!L222="Dishuquan F",36,""))))))))))))))))))))))))))))))))))))))</f>
        <v/>
      </c>
      <c r="BS231" s="50" t="str">
        <f>IF(Atletas!M222="","",IF(Atletas!X222&lt;&gt;"",10000,0)+(IF(Atletas!B222="Feminino",1000,IF(Atletas!B222="Masculino",2000,""))+(IF(Atletas!M222="Chaquan A",101,IF(Atletas!M222="Emeiquan A",102,IF(Atletas!M222="Fanziquan A",103,IF(Atletas!M222="Huaquan A",104,IF(Atletas!M222="Hongquan A",105,IF(Atletas!M222="Paoquan A",106,IF(Atletas!M222="Piguaquan A",107,IF(Atletas!M222="Shaolinquan A",108,IF(Atletas!M222="Tanglangquan A",109,IF(Atletas!M222="Yingzhaoquan A",110,IF(Atletas!M222="Tongbeiquan A",111,IF(Atletas!M222="Wudangquan A",112,IF(Atletas!M222="Outros Estilos A",113,IF(Atletas!M222="Chaquan B",114,IF(Atletas!M222="Emeiquan B",115,IF(Atletas!M222="Fanziquan B",116,IF(Atletas!M222="Huaquan B",117,IF(Atletas!M222="Hongquan B",118,IF(Atletas!M222="Paoquan B",119,IF(Atletas!M222="Piguaquan B",120,IF(Atletas!M222="Shaolinquan B",121,IF(Atletas!M222="Tanglangquan B",122,IF(Atletas!M222="Yingzhaoquan B",123,IF(Atletas!M222="Tongbeiquan B",124,IF(Atletas!M222="Wudangquan B",125,IF(Atletas!M222="Outros Estilos B",126,IF(Atletas!M222="Chaquan C",127,IF(Atletas!M222="Emeiquan C",128,IF(Atletas!M222="Fanziquan C",129,IF(Atletas!M222="Huaquan C",130,IF(Atletas!M222="Hongquan C",131,IF(Atletas!M222="Paoquan C",132,IF(Atletas!M222="Piguaquan C",133,IF(Atletas!M222="Shaolinquan C",134,IF(Atletas!M222="Tanglangquan C",135,IF(Atletas!M222="Yingzhaoquan C",136,IF(Atletas!M222="Tongbeiquan C",137,IF(Atletas!M222="Wudangquan C",138,IF(Atletas!M222="Outros Estilos C",139,0))))))))))))))))))))))))))))))))))))))))))</f>
        <v/>
      </c>
      <c r="BT231" s="50" t="str">
        <f>IF(Atletas!M222="","",IF(Atletas!X222&lt;&gt;"",10000,0)+(IF(Atletas!B222="Feminino",1000,IF(Atletas!B222="Masculino",2000,""))+(IF(Atletas!M222="Chaquan D",140,IF(Atletas!M222="Emeiquan D",141,IF(Atletas!M222="Fanziquan D",142,IF(Atletas!M222="Huaquan D",143,IF(Atletas!M222="Hongquan D",144,IF(Atletas!M222="Paoquan D",145,IF(Atletas!M222="Piguaquan D",146,IF(Atletas!M222="Shaolinquan D",147,IF(Atletas!M222="Tanglangquan D",148,IF(Atletas!M222="Yingzhaoquan D",149,IF(Atletas!M222="Tongbeiquan D",150,IF(Atletas!M222="Wudangquan D",151,IF(Atletas!M222="Outros Estilos D",152,IF(Atletas!M222="Chaquan E",153,IF(Atletas!M222="Emeiquan E",154,IF(Atletas!M222="Fanziquan E",155,IF(Atletas!M222="Huaquan E",156,IF(Atletas!M222="Hongquan E",157,IF(Atletas!M222="Paoquan E",158,IF(Atletas!M222="Piguaquan E",159,IF(Atletas!M222="Shaolinquan E",160,IF(Atletas!M222="Tanglangquan E",161,IF(Atletas!M222="Yingzhaoquan E",162,IF(Atletas!M222="Tongbeiquan E",163,IF(Atletas!M222="Wudangquan E",164,IF(Atletas!M222="Outros Estilos E",165,IF(Atletas!M222="Chaquan F",166,IF(Atletas!M222="Emeiquan F",167,IF(Atletas!M222="Fanziquan F",168,IF(Atletas!M222="Huaquan F",169,IF(Atletas!M222="Hongquan F",170,IF(Atletas!M222="Paoquan F",171,IF(Atletas!M222="Piguaquan F",172,IF(Atletas!M222="Shaolinquan F",173,IF(Atletas!M222="Tanglangquan F",174,IF(Atletas!M222="Yingzhaoquan F",175,IF(Atletas!M222="Tongbeiquan F",176,IF(Atletas!M222="Wudangquan F",177,IF(Atletas!M222="Outros Estilos F",178,0))))))))))))))))))))))))))))))))))))))))))</f>
        <v/>
      </c>
      <c r="BU231" s="50" t="str">
        <f>IF(Atletas!N222="","",IF(Atletas!X222&lt;&gt;"",10000,0)+(IF(Atletas!B222="Feminino",1000,IF(Atletas!B222="Masculino",2000,""))+(IF(Atletas!N222="Ditangquan A",201,IF(Atletas!N222="Houquan A",202,IF(Atletas!N222="Zuiquan A",203,IF(Atletas!N222="Ditangquan B",204,IF(Atletas!N222="Houquan B",205,IF(Atletas!N222="Zuiquan B",206,IF(Atletas!N222="Ditangquan C",207,IF(Atletas!N222="Houquan C",208,IF(Atletas!N222="Zuiquan C",209,IF(Atletas!N222="Ditangquan D",210,IF(Atletas!N222="Houquan D",211,IF(Atletas!N222="Zuiquan D",212,IF(Atletas!N222="Ditangquan E",213,IF(Atletas!N222="Houquan E",214,IF(Atletas!N222="Zuiquan E",215,IF(Atletas!N222="Ditangquan F",216,IF(Atletas!N222="Houquan F",217,IF(Atletas!N222="Zuiquan F",218,"")))))))))))))))))))))</f>
        <v/>
      </c>
      <c r="BV231" s="50" t="str">
        <f>IF(Atletas!O222="","",IF(Atletas!X222&lt;&gt;"",10000,0)+IF(Atletas!B222="Feminino",1000,IF(Atletas!B222="Masculino",2000,""))+IF(Atletas!O222="Yang A",301,IF(Atletas!O222="Chen A",302,IF(Atletas!O222="Sun A",303,IF(Atletas!O222="Wu A",304,IF(Atletas!O222="Wu-Hao A",305,IF(Atletas!O222="Outro Taijiquan A",306,IF(Atletas!O222="Yang B",307,IF(Atletas!O222="Chen B",308,IF(Atletas!O222="Sun B",309,IF(Atletas!O222="Wu B",310,IF(Atletas!O222="Wu-Hao B",311,IF(Atletas!O222="Outro Taijiquan B",312,IF(Atletas!O222="Yang C",313,IF(Atletas!O222="Chen C",314,IF(Atletas!O222="Sun C",315,IF(Atletas!O222="Wu C",316,IF(Atletas!O222="Wu-Hao C",317,IF(Atletas!O222="Outro Taijiquan C",318,IF(Atletas!O222="Yang D",319,IF(Atletas!O222="Chen D",320,IF(Atletas!O222="Sun D",321,IF(Atletas!O222="Wu D",322,IF(Atletas!O222="Wu-Hao D",323,IF(Atletas!O222="Outro Taijiquan D",324,IF(Atletas!O222="Yang E",325,IF(Atletas!O222="Chen E",326,IF(Atletas!O222="Sun E",327,IF(Atletas!O222="Wu E",328,IF(Atletas!O222="Wu-Hao E",329,IF(Atletas!O222="Outro Taijiquan E",330,IF(Atletas!O222="Yang F",331,IF(Atletas!O222="Chen F",332,IF(Atletas!O222="Sun F",333,IF(Atletas!O222="Wu F",334,IF(Atletas!O222="Wu-Hao F",335,IF(Atletas!O222="Outro Taijiquan F",336,"")))))))))))))))))))))))))))))))))))))</f>
        <v/>
      </c>
      <c r="BW231" s="50" t="str">
        <f>IF(Atletas!P222="","",IF(Atletas!X222&lt;&gt;"",10000,0)+IF(Atletas!B222="Feminino",1000,IF(Atletas!B222="Masculino",2000,""))+IF(OR(Atletas!P222="Yang 26 A",Atletas!P222="Yang 40 A"),401,IF(OR(Atletas!P222="Chen 25 A",Atletas!P222="Chen 36 A",Atletas!P222="Chen 56 A"),402,IF(Atletas!P222="Sun 73 A",403,IF(Atletas!P222="Wu 45 A",404,IF(Atletas!P222="Wu-Hao 46 A",405,IF(OR(Atletas!P222="Taijiquan 16 A",Atletas!P222="Taijiquan 24 A",Atletas!P222="Taijiquan 32 A",Atletas!P222="Taijiquan 42 A"),406,IF(OR(Atletas!P222="Yang 26 B",Atletas!P222="Yang 40 B"),407,IF(OR(Atletas!P222="Chen 25 B",Atletas!P222="Chen 36 B",Atletas!P222="Chen 56 B"),408,IF(Atletas!P222="Sun 73 B",409,IF(Atletas!P222="Wu 45 B",410,IF(Atletas!P222="Wu-Hao 46 B",411,IF(OR(Atletas!P222="Taijiquan 16 B",Atletas!P222="Taijiquan 24 B",Atletas!P222="Taijiquan 32 B",Atletas!P222="Taijiquan 42 B"),412,IF(OR(Atletas!P222="Yang 26 C",Atletas!P222="Yang 40 C"),413,IF(OR(Atletas!P222="Chen 25 C",Atletas!P222="Chen 36 C",Atletas!P222="Chen 56 C"),414,IF(Atletas!P222="Sun 73 C",415,IF(Atletas!P222="Wu 45 C",416,IF(Atletas!P222="Wu-Hao 46 C",417,IF(OR(Atletas!P222="Taijiquan 16 C",Atletas!P222="Taijiquan 24 C",Atletas!P222="Taijiquan 32 C",Atletas!P222="Taijiquan 42 C"),418,0)))))))))))))))))))</f>
        <v/>
      </c>
      <c r="BX231" s="50" t="str">
        <f>IF(Atletas!P222="","",IF(Atletas!X222&lt;&gt;"",10000,0)+IF(Atletas!B222="Feminino",1000,IF(Atletas!B222="Masculino",2000,""))+IF(OR(Atletas!P222="Yang 26 D",Atletas!P222="Yang 40 D"),419,IF(OR(Atletas!P222="Chen 25 D",Atletas!P222="Chen 36 D",Atletas!P222="Chen 56 D"),420,IF(Atletas!P222="Sun 73 D",421,IF(Atletas!P222="Wu 45 D",422,IF(Atletas!P222="Wu-Hao 46 D",423,IF(OR(Atletas!P222="Taijiquan 16 D",Atletas!P222="Taijiquan 24 D",Atletas!P222="Taijiquan 32 D",Atletas!P222="Taijiquan 42 D"),424,IF(OR(Atletas!P222="Yang 26 E",Atletas!P222="Yang 40 E"),425,IF(OR(Atletas!P222="Chen 25 E",Atletas!P222="Chen 36 E",Atletas!P222="Chen 56 E"),426,IF(Atletas!P222="Sun 73 E",427,IF(Atletas!P222="Wu 45 E",428,IF(Atletas!P222="Wu-Hao 46 E",429,IF(OR(Atletas!P222="Taijiquan 16 E",Atletas!P222="Taijiquan 24 E",Atletas!P222="Taijiquan 32 E",Atletas!P222="Taijiquan 42 E"),430,IF(OR(Atletas!P222="Yang 26 F",Atletas!P222="Yang 40 F"),431,IF(OR(Atletas!P222="Chen 25 F",Atletas!P222="Chen 36 F",Atletas!P222="Chen 56 F"),432,IF(Atletas!P222="Sun 73 F",433,IF(Atletas!P222="Wu 45 F",434,IF(Atletas!P222="Wu-Hao 46 F",435,IF(OR(Atletas!P222="Taijiquan 16 F",Atletas!P222="Taijiquan 24 F",Atletas!P222="Taijiquan 32 F",Atletas!P222="Taijiquan 42 F"),436,0)))))))))))))))))))</f>
        <v/>
      </c>
      <c r="BY231" s="50" t="str">
        <f>IF(Atletas!Q222="","",IF(Atletas!X222&lt;&gt;"",10000,0)+IF(Atletas!B222="Feminino",1000,IF(Atletas!B222="Masculino",2000,""))+IF(Atletas!Q222="Xingyiquan A",501,IF(Atletas!Q222="Baguazhang A",502,IF(Atletas!Q222="Outro Estilo Interno A",503,IF(Atletas!Q222="Xingyiquan B",504,IF(Atletas!Q222="Baguazhang B",505,IF(Atletas!Q222="Outro Estilo Interno B",506,IF(Atletas!Q222="Xingyiquan C",507,IF(Atletas!Q222="Baguazhang C",508,IF(Atletas!Q222="Outro Estilo Interno C",509,IF(Atletas!Q222="Xingyiquan D",510,IF(Atletas!Q222="Baguazhang D",511,IF(Atletas!Q222="Outro Estilo Interno D",512,IF(Atletas!Q222="Xingyiquan E",513,IF(Atletas!Q222="Baguazhang E",514,IF(Atletas!Q222="Outro Estilo Interno E",515,IF(Atletas!Q222="Xingyiquan F",516,IF(Atletas!Q222="Baguazhang F",517,IF(Atletas!Q222="Outro Estilo Interno F",518, "")))))))))))))))))))</f>
        <v/>
      </c>
      <c r="BZ231" s="50" t="str">
        <f>IF(Atletas!R222="","",IF(Atletas!X222&lt;&gt;"",10000,0)+IF(Atletas!B222="Feminino",1000,IF(Atletas!B222="Masculino",2000,""))+IF(Atletas!R222="Dao A",601,IF(Atletas!R222="Jian A",602,IF(Atletas!R222="Bishou A",603,IF(Atletas!R222="Shanzi A",604,IF(Atletas!R222="Outra Arma Curta A",605,IF(Atletas!R222="Dao B",606,IF(Atletas!R222="Jian B",607,IF(Atletas!R222="Bishou B",608,IF(Atletas!R222="Shanzi B",609,IF(Atletas!R222="Outra Arma Curta B",610,IF(Atletas!R222="Dao C",611,IF(Atletas!R222="Jian C",612,IF(Atletas!R222="Bishou C",613,IF(Atletas!R222="Shanzi C",614,IF(Atletas!R222="Outra Arma Curta C",615,IF(Atletas!R222="Dao D",616,IF(Atletas!R222="Jian D",617,IF(Atletas!R222="Bishou D",618,IF(Atletas!R222="Shanzi D",619,IF(Atletas!R222="Outra Arma Curta D",620,IF(Atletas!R222="Dao E",621,IF(Atletas!R222="Jian E",622,IF(Atletas!R222="Bishou E",623,IF(Atletas!R222="Shanzi E",624,IF(Atletas!R222="Outra Arma Curta E",625,IF(Atletas!R222="Dao F",626,IF(Atletas!R222="Jian F",627,IF(Atletas!R222="Bishou F",628,IF(Atletas!R222="Shanzi F",629,IF(Atletas!R222="Outra Arma Curta F",630, "")))))))))))))))))))))))))))))))</f>
        <v/>
      </c>
      <c r="CA231" s="50" t="str">
        <f>IF(Atletas!S222="","",IF(Atletas!X222&lt;&gt;"",10000,0)+IF(Atletas!B222="Feminino",1000,IF(Atletas!B222="Masculino",2000,""))+IF(Atletas!S222="Gun A",701,IF(Atletas!S222="Qiang A",702,IF(Atletas!S222="Pudao / Guandao A",703,IF(Atletas!S222="Outra Arma Longa A",704,IF(Atletas!S222="Gun B",705,IF(Atletas!S222="Qiang B",706,IF(Atletas!S222="Pudao / Guandao B",707,IF(Atletas!S222="Outra Arma Longa B",708,IF(Atletas!S222="Gun C",709,IF(Atletas!S222="Qiang C",710,IF(Atletas!S222="Pudao / Guandao C",711,IF(Atletas!S222="Outra Arma Longa C",712,IF(Atletas!S222="Gun D",713,IF(Atletas!S222="Qiang D",714,IF(Atletas!S222="Pudao / Guandao D",715,IF(Atletas!S222="Outra Arma Longa D",716,IF(Atletas!S222="Gun E",717,IF(Atletas!S222="Qiang E",718,IF(Atletas!S222="Pudao / Guandao E",719,IF(Atletas!S222="Outra Arma Longa E",720,IF(Atletas!S222="Gun F",721,IF(Atletas!S222="Qiang F",722,IF(Atletas!S222="Pudao / Guandao F",723,IF(Atletas!S222="Outra Arma Longa F",724,"")))))))))))))))))))))))))</f>
        <v/>
      </c>
      <c r="CB231" s="50" t="str">
        <f>IF(Atletas!T222="","",IF(Atletas!X222&lt;&gt;"",10000,0)+IF(Atletas!B222="Feminino",1000,IF(Atletas!B222="Masculino",2000,""))+IF(Atletas!T222="Outra Arma Dupla A",801,IF(Atletas!T222="Arma Maleável A",802,IF(Atletas!T222="Outra Arma Dupla B",803,IF(Atletas!T222="Arma Maleável B",804,IF(Atletas!T222="Outra Arma Dupla C",805,IF(Atletas!T222="Arma Maleável C",806,IF(Atletas!T222="Outra Arma Dupla D",807,IF(Atletas!T222="Arma Maleável D",808,IF(Atletas!T222="Outra Arma Dupla E",809,IF(Atletas!T222="Arma Maleável E",810,IF(Atletas!T222="Outra Arma Dupla F",811,IF(Atletas!T222="Arma Maleável F",812,IF(Atletas!T222="Shuangdao A",813,IF(Atletas!T222="Shuangdao B",814,IF(Atletas!T222="Shuangdao C",815,IF(Atletas!T222="Shuangdao D",816,IF(Atletas!T222="Shuangdao E",817,IF(Atletas!T222="Shuangdao F",818,"")))))))))))))))))))</f>
        <v/>
      </c>
      <c r="CC231" s="50" t="str">
        <f>IF(Atletas!U222="","",IF(Atletas!X222&lt;&gt;"",10000,0)+IF(Atletas!B222="Feminino",1000,IF(Atletas!B222="Masculino",2000,""))+IF(OR(Atletas!U222="Taijijian Yang A",Atletas!U222="Taijijian Yang Standard A"),901,IF(OR(Atletas!U222="Taijijian Chen A", Atletas!U222="Taijijian Chen Standard A"),902,IF(Atletas!U222="Taijijian Sun A",903,IF(Atletas!U222="Taijijian Wu A",904,IF(Atletas!U222="Taijijian Wu-Hao A",905,IF(OR(Atletas!U222="Taijijian 32 A",Atletas!U222="Taijijian 42 A"),906,IF(OR(Atletas!U222="Taijijian Yang B",Atletas!U222="Taijijian Yang Standard B"),907,IF(OR(Atletas!U222="Taijijian Chen B", Atletas!U222="Taijijian Chen Standard B"),908,IF(Atletas!U222="Taijijian Sun B",909,IF(Atletas!U222="Taijijian Wu B",910,IF(Atletas!U222="Taijijian Wu-Hao B",911,IF(OR(Atletas!U222="Taijijian 32 B",Atletas!U222="Taijijian 42 B"),912,IF(OR(Atletas!U222="Taijijian Yang C",Atletas!U222="Taijijian Yang Standard C"),913,IF(OR(Atletas!U222="Taijijian Chen C", Atletas!U222="Taijijian Chen Standard C"),914,IF(Atletas!U222="Taijijian Sun C",915,IF(Atletas!U222="Taijijian Wu C",916,IF(Atletas!U222="Taijijian Wu-Hao C",917,IF(OR(Atletas!U222="Taijijian 32 C",Atletas!U222="Taijijian 42 C"),918,IF(OR(Atletas!U222="Taijijian Yang D",Atletas!U222="Taijijian Yang Standard D"),919,IF(OR(Atletas!U222="Taijijian Chen D", Atletas!U222="Taijijian Chen Standard D"),920,IF(Atletas!U222="Taijijian Sun D",921,IF(Atletas!U222="Taijijian Wu D",922,IF(Atletas!U222="Taijijian Wu-Hao D",923,IF(OR(Atletas!U222="Taijijian 32 D",Atletas!U222="Taijijian 42 D"),924,IF(OR(Atletas!U222="Taijijian Yang E",Atletas!U222="Taijijian Yang Standard E"),925,IF(OR(Atletas!U222="Taijijian Chen E", Atletas!U222="Taijijian Chen Standard E"),926,IF(Atletas!U222="Taijijian Sun E",927,IF(Atletas!U222="Taijijian Wu E",928,IF(Atletas!U222="Taijijian Wu-Hao E",929,IF(OR(Atletas!U222="Taijijian 32 E",Atletas!U222="Taijijian 42 E"),930,IF(OR(Atletas!U222="Taijijian Yang F",Atletas!U222="Taijijian Yang Standard F"),931,IF(OR(Atletas!U222="Taijijian Chen F", Atletas!U222="Taijijian Chen Standard F"),932,IF(Atletas!U222="Taijijian Sun F",933,IF(Atletas!U222="Taijijian Wu F",934,IF(Atletas!U222="Taijijian Wu-Hao F",935,IF(OR(Atletas!U222="Taijijian 32 F",Atletas!U222="Taijijian 42 F"),936,"")))))))))))))))))))))))))))))))))))))</f>
        <v/>
      </c>
      <c r="CD231" s="50" t="str">
        <f>IF(Atletas!V222="","",IF(Atletas!X222&lt;&gt;"",10000,0)+IF(Atletas!B222="Feminino",1000,IF(Atletas!B222="Masculino",2000,""))+IF(Atletas!V222="Taijidao A",937,IF(Atletas!V222="TaijiShanzi A",938,IF(Atletas!V222="Taijiqiang A",939,IF(Atletas!V222="Bagua de Arma A",940,IF(Atletas!V222="Xingyi de Arma A",941,IF(Atletas!V222="Taijidao B",942,IF(Atletas!V222="TaijiShanzi B",943,IF(Atletas!V222="Taijiqiang B",944,IF(Atletas!V222="Bagua de Arma B",945,IF(Atletas!V222="Xingyi de Arma B",946,IF(Atletas!V222="Taijidao C",947,IF(Atletas!V222="TaijiShanzi C",948,IF(Atletas!V222="Taijiqiang C",949,IF(Atletas!V222="Bagua de Arma C",950,IF(Atletas!V222="Xingyi de Arma C",951,IF(Atletas!V222="Taijidao D",952,IF(Atletas!V222="TaijiShanzi D",953,IF(Atletas!V222="Taijiqiang D",954,IF(Atletas!V222="Bagua de Arma D",955,IF(Atletas!V222="Xingyi de Arma D",956,IF(Atletas!V222="Taijidao E",957,IF(Atletas!V222="TaijiShanzi E",958,IF(Atletas!V222="Taijiqiang E",959,IF(Atletas!V222="Bagua de Arma E",960,IF(Atletas!V222="Xingyi de Arma E",961,IF(Atletas!V222="Taijidao F",962,IF(Atletas!V222="TaijiShanzi F",963,IF(Atletas!V222="Taijiqiang F",964,IF(Atletas!V222="Bagua de Arma F",965,IF(Atletas!V222="Xingyi de Arma F",966,"")))))))))))))))))))))))))))))))</f>
        <v/>
      </c>
      <c r="CE231" s="66" t="str">
        <f>IF(CF231&lt;&gt;"","Bishou A","")</f>
        <v/>
      </c>
      <c r="CF231" s="66" t="str">
        <f>IF(COUNTIF(BR:CD,1603)&gt;0,COUNTIF(BR:CD,1603),"")</f>
        <v/>
      </c>
      <c r="CG231" s="66" t="str">
        <f>IF(CH231&lt;&gt;"","Bishou A","")</f>
        <v/>
      </c>
      <c r="CH231" s="66" t="str">
        <f>IF(COUNTIF(BR:CD,2603)&gt;0,COUNTIF(BR:CD,2603),"")</f>
        <v/>
      </c>
      <c r="CI231" s="66" t="str">
        <f>IF(CJ231&lt;&gt;"","Shanzi B","")</f>
        <v/>
      </c>
      <c r="CJ231" s="66" t="str">
        <f>IF(COUNTIF(BR:CD,11609)&gt;0,COUNTIF(BR:CD,11609),"")</f>
        <v/>
      </c>
      <c r="CK231" s="66" t="str">
        <f>IF(CL231&lt;&gt;"","Shanzi B","")</f>
        <v/>
      </c>
      <c r="CL231" s="66" t="str">
        <f>IF(COUNTIF(BR:CD,12609)&gt;0,COUNTIF(BR:CD,12609),"")</f>
        <v/>
      </c>
      <c r="CM231" s="50" t="str">
        <f xml:space="preserve"> IF(Atletas!W222="","",IF(Atletas!W222="Duilian de Mãos BC - Equipe 1",1,IF(Atletas!W222="Duilian de Mãos BC - Equipe 2",2,IF(Atletas!W222="Duilian de Armas BC - Equipe 1",3,IF(Atletas!W222="Duilian de Armas BC - Equipe 2",4,IF(Atletas!W222="Duilian de Mãos DE - Equipe 1",5,IF(Atletas!W222="Duilian de Mãos DE - Equipe 2",6,IF(Atletas!W222="Duilian de Armas DE - Equipe 1",7,IF(Atletas!W222="Duilian de Armas DE - Equipe 2",8,IF(Atletas!W222="Duilian de Tuishou - Equipe 1",9,IF(Atletas!W222="Duilian de Tuishou - Equipe 2",10,IF(Atletas!W222="Grupo Externo ABC - Equipe 1",11,IF(Atletas!W222="Grupo Externo ABC - Equipe 2",12,IF(Atletas!W222="Grupo Interno ABC - Equipe 1",13,IF(Atletas!W222="Grupo Interno ABC - Equipe 2",14,IF(Atletas!W222="Grupo Externo DEF - Equipe 1",15,IF(Atletas!W222="Grupo Externo DEF - Equipe 2",16,IF(Atletas!W222="Grupo Interno DEF - Equipe 1",17,IF(Atletas!W222="Grupo Interno DEF - Equipe 2",18,"")))))))))))))))))))</f>
        <v/>
      </c>
    </row>
    <row r="232" spans="2:91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 t="str">
        <f t="array" ref="Z232">IFERROR(INDEX(CE$7:CE$348,SMALL(IF(CE$7:CE$348&lt;&gt;"",ROW(CE$7:CE$348)-ROW(CE$7)+1),ROWS(CE$7:CE231))),"")</f>
        <v/>
      </c>
      <c r="AA232" s="3" t="str">
        <f t="array" ref="AA232">IFERROR(INDEX(CF$7:CF$348,SMALL(IF(CF$7:CF$348&lt;&gt;"",ROW(CF$7:CF$348)-ROW(CF$7)+1),ROWS(CF$7:CF231))),"")</f>
        <v/>
      </c>
      <c r="AB232" s="3" t="str">
        <f t="array" ref="AB232">IFERROR(INDEX(CG$7:CG$348,SMALL(IF(CG$7:CG$348&lt;&gt;"",ROW(CG$7:CG$348)-ROW(CG$7)+1),ROWS(CG$7:CG231))),"")</f>
        <v/>
      </c>
      <c r="AC232" s="3" t="str">
        <f t="array" ref="AC232">IFERROR(INDEX(CH$7:CH$348,SMALL(IF(CH$7:CH$348&lt;&gt;"",ROW(CH$7:CH$348)-ROW(CH$7)+1),ROWS(CH$7:CH231))),"")</f>
        <v/>
      </c>
      <c r="AD232" s="3" t="str">
        <f t="array" ref="AD232">IFERROR(INDEX(CI$7:CI$377,SMALL(IF(CI$7:CI$377&lt;&gt;"",ROW(CI$7:CI$377)-ROW(CI$7)+1),ROWS(CI$7:CI231))),"")</f>
        <v/>
      </c>
      <c r="AE232" s="3" t="str">
        <f t="array" ref="AE232">IFERROR(INDEX(CJ$7:CJ$378,SMALL(IF(CJ$7:CJ$378&lt;&gt;"",ROW(CJ$7:CJ$378)-ROW(CJ$7)+1),ROWS(CJ$7:CJ231))),"")</f>
        <v/>
      </c>
      <c r="AF232" s="3" t="str">
        <f t="array" ref="AF232">IFERROR(INDEX(CK$7:CK$378,SMALL(IF(CK$7:CK$378&lt;&gt;"",ROW(CK$7:CK$378)-ROW(CK$7)+1),ROWS(CK$7:CK231))),"")</f>
        <v/>
      </c>
      <c r="AG232" s="3" t="str">
        <f t="array" ref="AG232">IFERROR(INDEX(CL$7:CL$378,SMALL(IF(CL$7:CL$378&lt;&gt;"",ROW(CL$7:CL$378)-ROW(CL$7)+1),ROWS(CL$7:CL231))),"")</f>
        <v/>
      </c>
      <c r="AH232" s="3"/>
      <c r="AI232" s="3"/>
      <c r="AJ232" s="3"/>
      <c r="AK232" s="3"/>
      <c r="AL232" s="3"/>
      <c r="AM232" s="3"/>
      <c r="AN232" s="52" t="str">
        <f>IF(Atletas!D223="","",IF(Atletas!B223="Feminino",100,IF(Atletas!B223="Masculino",200,""))+(IF(Atletas!D223="Kids 30kg",1,IF(Atletas!D223="Kids 32kg",2, IF(Atletas!D223="Kids 34kg",3,IF(Atletas!D223="Kids 36kg",4,IF(Atletas!D223="Kids 39kg",5,IF(Atletas!D223="Kids 42kg",6,IF(Atletas!D223="Kids 45kg",7, IF(Atletas!D223="Infantil 39kg",8,IF(Atletas!D223="Infantil 42kg",9,IF(Atletas!D223="Infantil 45kg",10,IF(Atletas!D223="Infantil 48kg",11,IF(Atletas!D223="Infantil 52kg",12,IF(Atletas!D223="Infantil 56kg",13,IF(Atletas!D223="Infantil 60kg",14,IF(Atletas!D223="Juvenil 48kg",15,IF(Atletas!D223="Juvenil 52kg",16,IF(Atletas!D223="Juvenil 56kg",17,IF(Atletas!D223="Juvenil 60kg",18,IF(Atletas!D223="Juvenil 65kg",19,IF(Atletas!D223="Juvenil 70kg",20,IF(Atletas!D223="Juvenil 75kg",21,IF(Atletas!D223="Juvenil 80kg",22, IF(Atletas!D223="Juvenil 85kg",23,IF(Atletas!D223="Adulto 48kg",24,IF(Atletas!D223="Adulto 52kg",25,IF(Atletas!D223="Adulto 56kg",26,IF(Atletas!D223="Adulto 60kg",27,IF(Atletas!D223="Adulto 65kg",28,IF(Atletas!D223="Adulto 70kg",29,IF(Atletas!D223="Adulto 75kg",30,IF(Atletas!D223="Adulto 80kg",31,IF(Atletas!D223="Adulto 85kg",32,IF(Atletas!D223="Adulto 90kg",33,IF(Atletas!D223="Adulto 100kg",34, IF(Atletas!D223="Adulto +100kg",35,"")))))))))))))))))))))))))))))))))))))</f>
        <v/>
      </c>
      <c r="AS232" s="6" t="str">
        <f>IF(Atletas!E223="","",IF(Atletas!B223="Feminino",100,IF(Atletas!B223="Masculino",200,""))+(IF(Atletas!E223="Juvenil 44kg",1,IF(Atletas!E223="Juvenil 48kg",2,IF(Atletas!E223="Juvenil 52kg",3,IF(Atletas!E223="Juvenil 56kg",4,IF(Atletas!E223="Juvenil 60kg",5,IF(Atletas!E223="Juvenil 65kg",6,IF(Atletas!E223="Juvenil 70kg",7,IF(Atletas!E223="Juvenil 75kg",8,IF(Atletas!E223="Juvenil 82kg",9,IF(Atletas!E223="Juvenil 90kg",10,IF(Atletas!E223="Juvenil 100kg",11,IF(Atletas!E223="Adulto 48kg",12,IF(Atletas!E223="Adulto 52kg",13,IF(Atletas!E223="Adulto 56kg",14,IF(Atletas!E223="Adulto 60kg",15,IF(Atletas!E223="Adulto 65kg",16,IF(Atletas!E223="Adulto 70kg",17,IF(Atletas!E223="Adulto 75kg",18,IF(Atletas!E223="Adulto 82kg",19,IF(Atletas!E223="Adulto 90kg",20,IF(Atletas!E223="Adulto 100kg",21,IF(Atletas!E223="Adulto +100kg",22,""))))))))))))))))))))))))</f>
        <v/>
      </c>
      <c r="AX232" s="6" t="str">
        <f>IF(Atletas!F223="","",IF(Atletas!B223="Feminino",100,IF(Atletas!B223="Masculino",200,""))+(IF(Atletas!F223="Adulto 48kg",1,IF(Atletas!F223="Adulto 56kg",2,IF(Atletas!F223="Adulto 65kg",3,IF(Atletas!F223="Adulto 75kg",4,IF(Atletas!F223="Adulto +75kg",5,IF(Atletas!F223="Adulto 52kg",6,IF(Atletas!F223="Adulto 60kg",7,IF(Atletas!F223="Adulto 70kg",8,IF(Atletas!F223="Adulto 80kg",9,IF(Atletas!F223="Adulto 90kg",10,IF(Atletas!F223="Adulto +90kg",11,"")))))))))))))</f>
        <v/>
      </c>
      <c r="BC232" s="6" t="str">
        <f>IF(Atletas!G223="","",IF(Atletas!B223="Feminino",10,IF(Atletas!B223="Masculino",20,""))+(IF(Atletas!G223="Baduanjin A",1,IF(Atletas!G223="Baduanjin B",2))))</f>
        <v/>
      </c>
      <c r="BF232" s="52" t="str">
        <f>IF(Atletas!H223="","",IF(Atletas!B223="Feminino",100,IF(Atletas!B223="Masculino",200,""))+(IF(Atletas!H223="Changquan Mirim",1,IF(Atletas!H223="Nanquan Mirim",2,IF(Atletas!H223="Taijiquan Mirim",3,IF(Atletas!H223="Changquan Grupo C",4,IF(Atletas!H223="Nanquan Grupo C",5,IF(Atletas!H223="Taijiquan Grupo C",6,IF(Atletas!H223="Changquan Grupo B",7,IF(Atletas!H223="Nanquan Grupo B",8,IF(Atletas!H223="Taijiquan Grupo B",9,IF(Atletas!H223="Changquan Grupo A",10,IF(Atletas!H223="Nanquan Grupo A",11,IF(Atletas!H223="Taijiquan Grupo A",12,IF(Atletas!H223="Changquan Opcional",13,IF(Atletas!H223="Nanquan Opcional",14,IF(Atletas!H223="Taijiquan Opcional",15,IF(Atletas!H223="Changquan Adulto",16,IF(Atletas!H223="Nanquan Adulto",17,IF(Atletas!H223="Taijiquan Adulto",18,""))))))))))))))))))))</f>
        <v/>
      </c>
      <c r="BG232" s="52" t="str">
        <f>IF(Atletas!I223="","",IF(Atletas!B223="Feminino",100,IF(Atletas!B223="Masculino",200,""))+(IF(Atletas!I223="Daoshu Mirim",19,IF(Atletas!I223="Jianshu Mirim",20,IF(Atletas!I223="Nandao Mirim",21,IF(Atletas!I223="Taijijian Mirim",22,IF(Atletas!I223="Daoshu Grupo C",23,IF(Atletas!I223="Jianshu Grupo C",24,IF(Atletas!I223="Nandao Grupo C",25,IF(Atletas!I223="Taijijian Grupo C",26,IF(Atletas!I223="Daoshu Grupo B",27,IF(Atletas!I223="Jianshu Grupo B",28,IF(Atletas!I223="Nandao Grupo B",29,IF(Atletas!I223="Taijijian Grupo B",30,IF(Atletas!I223="Daoshu Grupo A",31,IF(Atletas!I223="Jianshu Grupo A",32,IF(Atletas!I223="Nandao Grupo A",33,IF(Atletas!I223="Taijijian Grupo A",34,IF(Atletas!I223="Daoshu Opcional",35,IF(Atletas!I223="Jianshu Opcional",36,IF(Atletas!I223="Nandao Opcional",37,IF(Atletas!I223="Taijijian Opcional",38,IF(Atletas!I223="Daoshu Adulto",39,IF(Atletas!I223="Jianshu Adulto",40,IF(Atletas!I223="Nandao Adulto",41,IF(Atletas!I223="Taijijian Adulto",42,""))))))))))))))))))))))))))</f>
        <v/>
      </c>
      <c r="BH232" s="52" t="str">
        <f>IF(Atletas!J223="","",IF(Atletas!B223="Feminino",100,IF(Atletas!B223="Masculino",200,""))+(IF(Atletas!J223="Gunshu Mirim",43,IF(Atletas!J223="Qiangshu Mirim",44,IF(Atletas!J223="Nangun Mirim",45,IF(Atletas!J223="Gunshu Grupo C",46,IF(Atletas!J223="Qiangshu Grupo C",47,IF(Atletas!J223="Nangun Grupo C",48,IF(Atletas!J223="Gunshu Grupo B",49,IF(Atletas!J223="Qiangshu Grupo B",50,IF(Atletas!J223="Nangun Grupo B",51,IF(Atletas!J223="Gunshu Grupo A",52,IF(Atletas!J223="Qiangshu Grupo A",53,IF(Atletas!J223="Nangun Grupo A",54,IF(Atletas!J223="Gunshu Opcional",55,IF(Atletas!J223="Qiangshu Opcional",56,IF(Atletas!J223="Nangun Opcional",57,IF(Atletas!J223="Gunshu Adulto",58,IF(Atletas!J223="Qiangshu Adulto",59,IF(Atletas!J223="Nangun Adulto",60,IF(Atletas!J223="Taijishan Grupo B",61,IF(Atletas!J223="Taijishan Grupo A",62,""))))))))))))))))))))))</f>
        <v/>
      </c>
      <c r="BM232" s="50" t="str">
        <f>IF(Atletas!K223="","",IF(Atletas!B223="Feminino",100,IF(Atletas!B223="Masculino",200,""))+(IF(Atletas!K223="Equipe 1 Grupo B",1,IF(Atletas!K223="Equipe 2 Grupo B",2,IF(Atletas!K223="Equipe 1 Grupo A",3,IF(Atletas!K223="Equipe 2 Grupo A",4,IF(Atletas!K223="Equipe 1 Adulto",5,IF(Atletas!K223="Equipe 2 Adulto",6,""))))))))</f>
        <v/>
      </c>
      <c r="BR232" s="50" t="str">
        <f>IF(Atletas!L223="","",IF(Atletas!X223&lt;&gt;"",10000,0)+(IF(Atletas!B223="Feminino",1000,IF(Atletas!B223="Masculino",2000,""))+IF(Atletas!L223="Choylayfut A",1,IF(Atletas!L223="Hunggar A",2,IF(Atletas!L223="Wuzuquan A",3,IF(Atletas!L223="Wingchun A",4,IF(Atletas!L223="Outra Mão de Sul A",5,IF(Atletas!L223="Choylayfut B",6,IF(Atletas!L223="Hunggar B",7,IF(Atletas!L223="Wuzuquan B",8,IF(Atletas!L223="Wingchun B",9,IF(Atletas!L223="Outra Mão de Sul B",10,IF(Atletas!L223="Choylayfut C",11,IF(Atletas!L223="Hunggar C",12,IF(Atletas!L223="Wuzuquan C",13,IF(Atletas!L223="Wingchun C",14,IF(Atletas!L223="Outra Mão de Sul C",15,IF(Atletas!L223="Choylayfut D",16,IF(Atletas!L223="Hunggar D",17,IF(Atletas!L223="Wuzuquan D",18,IF(Atletas!L223="Wingchun D",19,IF(Atletas!L223="Outra Mão de Sul D",20,IF(Atletas!L223="Choylayfut E",21,IF(Atletas!L223="Hunggar E",22,IF(Atletas!L223="Wuzuquan E",23,IF(Atletas!L223="Wingchun E",24,IF(Atletas!L223="Outra Mão de Sul E",25,IF(Atletas!L223="Choylayfut F",26,IF(Atletas!L223="Hunggar F",27,IF(Atletas!L223="Wuzuquan F",28,IF(Atletas!L223="Wingchun F",29,IF(Atletas!L223="Outra Mão de Sul F",30,IF(Atletas!L223="Dishuquan A",31,IF(Atletas!L223="Dishuquan B",32,IF(Atletas!L223="Dishuquan C",33,IF(Atletas!L223="Dishuquan D",34,IF(Atletas!L223="Dishuquan E",35,IF(Atletas!L223="Dishuquan F",36,""))))))))))))))))))))))))))))))))))))))</f>
        <v/>
      </c>
      <c r="BS232" s="50" t="str">
        <f>IF(Atletas!M223="","",IF(Atletas!X223&lt;&gt;"",10000,0)+(IF(Atletas!B223="Feminino",1000,IF(Atletas!B223="Masculino",2000,""))+(IF(Atletas!M223="Chaquan A",101,IF(Atletas!M223="Emeiquan A",102,IF(Atletas!M223="Fanziquan A",103,IF(Atletas!M223="Huaquan A",104,IF(Atletas!M223="Hongquan A",105,IF(Atletas!M223="Paoquan A",106,IF(Atletas!M223="Piguaquan A",107,IF(Atletas!M223="Shaolinquan A",108,IF(Atletas!M223="Tanglangquan A",109,IF(Atletas!M223="Yingzhaoquan A",110,IF(Atletas!M223="Tongbeiquan A",111,IF(Atletas!M223="Wudangquan A",112,IF(Atletas!M223="Outros Estilos A",113,IF(Atletas!M223="Chaquan B",114,IF(Atletas!M223="Emeiquan B",115,IF(Atletas!M223="Fanziquan B",116,IF(Atletas!M223="Huaquan B",117,IF(Atletas!M223="Hongquan B",118,IF(Atletas!M223="Paoquan B",119,IF(Atletas!M223="Piguaquan B",120,IF(Atletas!M223="Shaolinquan B",121,IF(Atletas!M223="Tanglangquan B",122,IF(Atletas!M223="Yingzhaoquan B",123,IF(Atletas!M223="Tongbeiquan B",124,IF(Atletas!M223="Wudangquan B",125,IF(Atletas!M223="Outros Estilos B",126,IF(Atletas!M223="Chaquan C",127,IF(Atletas!M223="Emeiquan C",128,IF(Atletas!M223="Fanziquan C",129,IF(Atletas!M223="Huaquan C",130,IF(Atletas!M223="Hongquan C",131,IF(Atletas!M223="Paoquan C",132,IF(Atletas!M223="Piguaquan C",133,IF(Atletas!M223="Shaolinquan C",134,IF(Atletas!M223="Tanglangquan C",135,IF(Atletas!M223="Yingzhaoquan C",136,IF(Atletas!M223="Tongbeiquan C",137,IF(Atletas!M223="Wudangquan C",138,IF(Atletas!M223="Outros Estilos C",139,0))))))))))))))))))))))))))))))))))))))))))</f>
        <v/>
      </c>
      <c r="BT232" s="50" t="str">
        <f>IF(Atletas!M223="","",IF(Atletas!X223&lt;&gt;"",10000,0)+(IF(Atletas!B223="Feminino",1000,IF(Atletas!B223="Masculino",2000,""))+(IF(Atletas!M223="Chaquan D",140,IF(Atletas!M223="Emeiquan D",141,IF(Atletas!M223="Fanziquan D",142,IF(Atletas!M223="Huaquan D",143,IF(Atletas!M223="Hongquan D",144,IF(Atletas!M223="Paoquan D",145,IF(Atletas!M223="Piguaquan D",146,IF(Atletas!M223="Shaolinquan D",147,IF(Atletas!M223="Tanglangquan D",148,IF(Atletas!M223="Yingzhaoquan D",149,IF(Atletas!M223="Tongbeiquan D",150,IF(Atletas!M223="Wudangquan D",151,IF(Atletas!M223="Outros Estilos D",152,IF(Atletas!M223="Chaquan E",153,IF(Atletas!M223="Emeiquan E",154,IF(Atletas!M223="Fanziquan E",155,IF(Atletas!M223="Huaquan E",156,IF(Atletas!M223="Hongquan E",157,IF(Atletas!M223="Paoquan E",158,IF(Atletas!M223="Piguaquan E",159,IF(Atletas!M223="Shaolinquan E",160,IF(Atletas!M223="Tanglangquan E",161,IF(Atletas!M223="Yingzhaoquan E",162,IF(Atletas!M223="Tongbeiquan E",163,IF(Atletas!M223="Wudangquan E",164,IF(Atletas!M223="Outros Estilos E",165,IF(Atletas!M223="Chaquan F",166,IF(Atletas!M223="Emeiquan F",167,IF(Atletas!M223="Fanziquan F",168,IF(Atletas!M223="Huaquan F",169,IF(Atletas!M223="Hongquan F",170,IF(Atletas!M223="Paoquan F",171,IF(Atletas!M223="Piguaquan F",172,IF(Atletas!M223="Shaolinquan F",173,IF(Atletas!M223="Tanglangquan F",174,IF(Atletas!M223="Yingzhaoquan F",175,IF(Atletas!M223="Tongbeiquan F",176,IF(Atletas!M223="Wudangquan F",177,IF(Atletas!M223="Outros Estilos F",178,0))))))))))))))))))))))))))))))))))))))))))</f>
        <v/>
      </c>
      <c r="BU232" s="50" t="str">
        <f>IF(Atletas!N223="","",IF(Atletas!X223&lt;&gt;"",10000,0)+(IF(Atletas!B223="Feminino",1000,IF(Atletas!B223="Masculino",2000,""))+(IF(Atletas!N223="Ditangquan A",201,IF(Atletas!N223="Houquan A",202,IF(Atletas!N223="Zuiquan A",203,IF(Atletas!N223="Ditangquan B",204,IF(Atletas!N223="Houquan B",205,IF(Atletas!N223="Zuiquan B",206,IF(Atletas!N223="Ditangquan C",207,IF(Atletas!N223="Houquan C",208,IF(Atletas!N223="Zuiquan C",209,IF(Atletas!N223="Ditangquan D",210,IF(Atletas!N223="Houquan D",211,IF(Atletas!N223="Zuiquan D",212,IF(Atletas!N223="Ditangquan E",213,IF(Atletas!N223="Houquan E",214,IF(Atletas!N223="Zuiquan E",215,IF(Atletas!N223="Ditangquan F",216,IF(Atletas!N223="Houquan F",217,IF(Atletas!N223="Zuiquan F",218,"")))))))))))))))))))))</f>
        <v/>
      </c>
      <c r="BV232" s="50" t="str">
        <f>IF(Atletas!O223="","",IF(Atletas!X223&lt;&gt;"",10000,0)+IF(Atletas!B223="Feminino",1000,IF(Atletas!B223="Masculino",2000,""))+IF(Atletas!O223="Yang A",301,IF(Atletas!O223="Chen A",302,IF(Atletas!O223="Sun A",303,IF(Atletas!O223="Wu A",304,IF(Atletas!O223="Wu-Hao A",305,IF(Atletas!O223="Outro Taijiquan A",306,IF(Atletas!O223="Yang B",307,IF(Atletas!O223="Chen B",308,IF(Atletas!O223="Sun B",309,IF(Atletas!O223="Wu B",310,IF(Atletas!O223="Wu-Hao B",311,IF(Atletas!O223="Outro Taijiquan B",312,IF(Atletas!O223="Yang C",313,IF(Atletas!O223="Chen C",314,IF(Atletas!O223="Sun C",315,IF(Atletas!O223="Wu C",316,IF(Atletas!O223="Wu-Hao C",317,IF(Atletas!O223="Outro Taijiquan C",318,IF(Atletas!O223="Yang D",319,IF(Atletas!O223="Chen D",320,IF(Atletas!O223="Sun D",321,IF(Atletas!O223="Wu D",322,IF(Atletas!O223="Wu-Hao D",323,IF(Atletas!O223="Outro Taijiquan D",324,IF(Atletas!O223="Yang E",325,IF(Atletas!O223="Chen E",326,IF(Atletas!O223="Sun E",327,IF(Atletas!O223="Wu E",328,IF(Atletas!O223="Wu-Hao E",329,IF(Atletas!O223="Outro Taijiquan E",330,IF(Atletas!O223="Yang F",331,IF(Atletas!O223="Chen F",332,IF(Atletas!O223="Sun F",333,IF(Atletas!O223="Wu F",334,IF(Atletas!O223="Wu-Hao F",335,IF(Atletas!O223="Outro Taijiquan F",336,"")))))))))))))))))))))))))))))))))))))</f>
        <v/>
      </c>
      <c r="BW232" s="50" t="str">
        <f>IF(Atletas!P223="","",IF(Atletas!X223&lt;&gt;"",10000,0)+IF(Atletas!B223="Feminino",1000,IF(Atletas!B223="Masculino",2000,""))+IF(OR(Atletas!P223="Yang 26 A",Atletas!P223="Yang 40 A"),401,IF(OR(Atletas!P223="Chen 25 A",Atletas!P223="Chen 36 A",Atletas!P223="Chen 56 A"),402,IF(Atletas!P223="Sun 73 A",403,IF(Atletas!P223="Wu 45 A",404,IF(Atletas!P223="Wu-Hao 46 A",405,IF(OR(Atletas!P223="Taijiquan 16 A",Atletas!P223="Taijiquan 24 A",Atletas!P223="Taijiquan 32 A",Atletas!P223="Taijiquan 42 A"),406,IF(OR(Atletas!P223="Yang 26 B",Atletas!P223="Yang 40 B"),407,IF(OR(Atletas!P223="Chen 25 B",Atletas!P223="Chen 36 B",Atletas!P223="Chen 56 B"),408,IF(Atletas!P223="Sun 73 B",409,IF(Atletas!P223="Wu 45 B",410,IF(Atletas!P223="Wu-Hao 46 B",411,IF(OR(Atletas!P223="Taijiquan 16 B",Atletas!P223="Taijiquan 24 B",Atletas!P223="Taijiquan 32 B",Atletas!P223="Taijiquan 42 B"),412,IF(OR(Atletas!P223="Yang 26 C",Atletas!P223="Yang 40 C"),413,IF(OR(Atletas!P223="Chen 25 C",Atletas!P223="Chen 36 C",Atletas!P223="Chen 56 C"),414,IF(Atletas!P223="Sun 73 C",415,IF(Atletas!P223="Wu 45 C",416,IF(Atletas!P223="Wu-Hao 46 C",417,IF(OR(Atletas!P223="Taijiquan 16 C",Atletas!P223="Taijiquan 24 C",Atletas!P223="Taijiquan 32 C",Atletas!P223="Taijiquan 42 C"),418,0)))))))))))))))))))</f>
        <v/>
      </c>
      <c r="BX232" s="50" t="str">
        <f>IF(Atletas!P223="","",IF(Atletas!X223&lt;&gt;"",10000,0)+IF(Atletas!B223="Feminino",1000,IF(Atletas!B223="Masculino",2000,""))+IF(OR(Atletas!P223="Yang 26 D",Atletas!P223="Yang 40 D"),419,IF(OR(Atletas!P223="Chen 25 D",Atletas!P223="Chen 36 D",Atletas!P223="Chen 56 D"),420,IF(Atletas!P223="Sun 73 D",421,IF(Atletas!P223="Wu 45 D",422,IF(Atletas!P223="Wu-Hao 46 D",423,IF(OR(Atletas!P223="Taijiquan 16 D",Atletas!P223="Taijiquan 24 D",Atletas!P223="Taijiquan 32 D",Atletas!P223="Taijiquan 42 D"),424,IF(OR(Atletas!P223="Yang 26 E",Atletas!P223="Yang 40 E"),425,IF(OR(Atletas!P223="Chen 25 E",Atletas!P223="Chen 36 E",Atletas!P223="Chen 56 E"),426,IF(Atletas!P223="Sun 73 E",427,IF(Atletas!P223="Wu 45 E",428,IF(Atletas!P223="Wu-Hao 46 E",429,IF(OR(Atletas!P223="Taijiquan 16 E",Atletas!P223="Taijiquan 24 E",Atletas!P223="Taijiquan 32 E",Atletas!P223="Taijiquan 42 E"),430,IF(OR(Atletas!P223="Yang 26 F",Atletas!P223="Yang 40 F"),431,IF(OR(Atletas!P223="Chen 25 F",Atletas!P223="Chen 36 F",Atletas!P223="Chen 56 F"),432,IF(Atletas!P223="Sun 73 F",433,IF(Atletas!P223="Wu 45 F",434,IF(Atletas!P223="Wu-Hao 46 F",435,IF(OR(Atletas!P223="Taijiquan 16 F",Atletas!P223="Taijiquan 24 F",Atletas!P223="Taijiquan 32 F",Atletas!P223="Taijiquan 42 F"),436,0)))))))))))))))))))</f>
        <v/>
      </c>
      <c r="BY232" s="50" t="str">
        <f>IF(Atletas!Q223="","",IF(Atletas!X223&lt;&gt;"",10000,0)+IF(Atletas!B223="Feminino",1000,IF(Atletas!B223="Masculino",2000,""))+IF(Atletas!Q223="Xingyiquan A",501,IF(Atletas!Q223="Baguazhang A",502,IF(Atletas!Q223="Outro Estilo Interno A",503,IF(Atletas!Q223="Xingyiquan B",504,IF(Atletas!Q223="Baguazhang B",505,IF(Atletas!Q223="Outro Estilo Interno B",506,IF(Atletas!Q223="Xingyiquan C",507,IF(Atletas!Q223="Baguazhang C",508,IF(Atletas!Q223="Outro Estilo Interno C",509,IF(Atletas!Q223="Xingyiquan D",510,IF(Atletas!Q223="Baguazhang D",511,IF(Atletas!Q223="Outro Estilo Interno D",512,IF(Atletas!Q223="Xingyiquan E",513,IF(Atletas!Q223="Baguazhang E",514,IF(Atletas!Q223="Outro Estilo Interno E",515,IF(Atletas!Q223="Xingyiquan F",516,IF(Atletas!Q223="Baguazhang F",517,IF(Atletas!Q223="Outro Estilo Interno F",518, "")))))))))))))))))))</f>
        <v/>
      </c>
      <c r="BZ232" s="50" t="str">
        <f>IF(Atletas!R223="","",IF(Atletas!X223&lt;&gt;"",10000,0)+IF(Atletas!B223="Feminino",1000,IF(Atletas!B223="Masculino",2000,""))+IF(Atletas!R223="Dao A",601,IF(Atletas!R223="Jian A",602,IF(Atletas!R223="Bishou A",603,IF(Atletas!R223="Shanzi A",604,IF(Atletas!R223="Outra Arma Curta A",605,IF(Atletas!R223="Dao B",606,IF(Atletas!R223="Jian B",607,IF(Atletas!R223="Bishou B",608,IF(Atletas!R223="Shanzi B",609,IF(Atletas!R223="Outra Arma Curta B",610,IF(Atletas!R223="Dao C",611,IF(Atletas!R223="Jian C",612,IF(Atletas!R223="Bishou C",613,IF(Atletas!R223="Shanzi C",614,IF(Atletas!R223="Outra Arma Curta C",615,IF(Atletas!R223="Dao D",616,IF(Atletas!R223="Jian D",617,IF(Atletas!R223="Bishou D",618,IF(Atletas!R223="Shanzi D",619,IF(Atletas!R223="Outra Arma Curta D",620,IF(Atletas!R223="Dao E",621,IF(Atletas!R223="Jian E",622,IF(Atletas!R223="Bishou E",623,IF(Atletas!R223="Shanzi E",624,IF(Atletas!R223="Outra Arma Curta E",625,IF(Atletas!R223="Dao F",626,IF(Atletas!R223="Jian F",627,IF(Atletas!R223="Bishou F",628,IF(Atletas!R223="Shanzi F",629,IF(Atletas!R223="Outra Arma Curta F",630, "")))))))))))))))))))))))))))))))</f>
        <v/>
      </c>
      <c r="CA232" s="50" t="str">
        <f>IF(Atletas!S223="","",IF(Atletas!X223&lt;&gt;"",10000,0)+IF(Atletas!B223="Feminino",1000,IF(Atletas!B223="Masculino",2000,""))+IF(Atletas!S223="Gun A",701,IF(Atletas!S223="Qiang A",702,IF(Atletas!S223="Pudao / Guandao A",703,IF(Atletas!S223="Outra Arma Longa A",704,IF(Atletas!S223="Gun B",705,IF(Atletas!S223="Qiang B",706,IF(Atletas!S223="Pudao / Guandao B",707,IF(Atletas!S223="Outra Arma Longa B",708,IF(Atletas!S223="Gun C",709,IF(Atletas!S223="Qiang C",710,IF(Atletas!S223="Pudao / Guandao C",711,IF(Atletas!S223="Outra Arma Longa C",712,IF(Atletas!S223="Gun D",713,IF(Atletas!S223="Qiang D",714,IF(Atletas!S223="Pudao / Guandao D",715,IF(Atletas!S223="Outra Arma Longa D",716,IF(Atletas!S223="Gun E",717,IF(Atletas!S223="Qiang E",718,IF(Atletas!S223="Pudao / Guandao E",719,IF(Atletas!S223="Outra Arma Longa E",720,IF(Atletas!S223="Gun F",721,IF(Atletas!S223="Qiang F",722,IF(Atletas!S223="Pudao / Guandao F",723,IF(Atletas!S223="Outra Arma Longa F",724,"")))))))))))))))))))))))))</f>
        <v/>
      </c>
      <c r="CB232" s="50" t="str">
        <f>IF(Atletas!T223="","",IF(Atletas!X223&lt;&gt;"",10000,0)+IF(Atletas!B223="Feminino",1000,IF(Atletas!B223="Masculino",2000,""))+IF(Atletas!T223="Outra Arma Dupla A",801,IF(Atletas!T223="Arma Maleável A",802,IF(Atletas!T223="Outra Arma Dupla B",803,IF(Atletas!T223="Arma Maleável B",804,IF(Atletas!T223="Outra Arma Dupla C",805,IF(Atletas!T223="Arma Maleável C",806,IF(Atletas!T223="Outra Arma Dupla D",807,IF(Atletas!T223="Arma Maleável D",808,IF(Atletas!T223="Outra Arma Dupla E",809,IF(Atletas!T223="Arma Maleável E",810,IF(Atletas!T223="Outra Arma Dupla F",811,IF(Atletas!T223="Arma Maleável F",812,IF(Atletas!T223="Shuangdao A",813,IF(Atletas!T223="Shuangdao B",814,IF(Atletas!T223="Shuangdao C",815,IF(Atletas!T223="Shuangdao D",816,IF(Atletas!T223="Shuangdao E",817,IF(Atletas!T223="Shuangdao F",818,"")))))))))))))))))))</f>
        <v/>
      </c>
      <c r="CC232" s="50" t="str">
        <f>IF(Atletas!U223="","",IF(Atletas!X223&lt;&gt;"",10000,0)+IF(Atletas!B223="Feminino",1000,IF(Atletas!B223="Masculino",2000,""))+IF(OR(Atletas!U223="Taijijian Yang A",Atletas!U223="Taijijian Yang Standard A"),901,IF(OR(Atletas!U223="Taijijian Chen A", Atletas!U223="Taijijian Chen Standard A"),902,IF(Atletas!U223="Taijijian Sun A",903,IF(Atletas!U223="Taijijian Wu A",904,IF(Atletas!U223="Taijijian Wu-Hao A",905,IF(OR(Atletas!U223="Taijijian 32 A",Atletas!U223="Taijijian 42 A"),906,IF(OR(Atletas!U223="Taijijian Yang B",Atletas!U223="Taijijian Yang Standard B"),907,IF(OR(Atletas!U223="Taijijian Chen B", Atletas!U223="Taijijian Chen Standard B"),908,IF(Atletas!U223="Taijijian Sun B",909,IF(Atletas!U223="Taijijian Wu B",910,IF(Atletas!U223="Taijijian Wu-Hao B",911,IF(OR(Atletas!U223="Taijijian 32 B",Atletas!U223="Taijijian 42 B"),912,IF(OR(Atletas!U223="Taijijian Yang C",Atletas!U223="Taijijian Yang Standard C"),913,IF(OR(Atletas!U223="Taijijian Chen C", Atletas!U223="Taijijian Chen Standard C"),914,IF(Atletas!U223="Taijijian Sun C",915,IF(Atletas!U223="Taijijian Wu C",916,IF(Atletas!U223="Taijijian Wu-Hao C",917,IF(OR(Atletas!U223="Taijijian 32 C",Atletas!U223="Taijijian 42 C"),918,IF(OR(Atletas!U223="Taijijian Yang D",Atletas!U223="Taijijian Yang Standard D"),919,IF(OR(Atletas!U223="Taijijian Chen D", Atletas!U223="Taijijian Chen Standard D"),920,IF(Atletas!U223="Taijijian Sun D",921,IF(Atletas!U223="Taijijian Wu D",922,IF(Atletas!U223="Taijijian Wu-Hao D",923,IF(OR(Atletas!U223="Taijijian 32 D",Atletas!U223="Taijijian 42 D"),924,IF(OR(Atletas!U223="Taijijian Yang E",Atletas!U223="Taijijian Yang Standard E"),925,IF(OR(Atletas!U223="Taijijian Chen E", Atletas!U223="Taijijian Chen Standard E"),926,IF(Atletas!U223="Taijijian Sun E",927,IF(Atletas!U223="Taijijian Wu E",928,IF(Atletas!U223="Taijijian Wu-Hao E",929,IF(OR(Atletas!U223="Taijijian 32 E",Atletas!U223="Taijijian 42 E"),930,IF(OR(Atletas!U223="Taijijian Yang F",Atletas!U223="Taijijian Yang Standard F"),931,IF(OR(Atletas!U223="Taijijian Chen F", Atletas!U223="Taijijian Chen Standard F"),932,IF(Atletas!U223="Taijijian Sun F",933,IF(Atletas!U223="Taijijian Wu F",934,IF(Atletas!U223="Taijijian Wu-Hao F",935,IF(OR(Atletas!U223="Taijijian 32 F",Atletas!U223="Taijijian 42 F"),936,"")))))))))))))))))))))))))))))))))))))</f>
        <v/>
      </c>
      <c r="CD232" s="50" t="str">
        <f>IF(Atletas!V223="","",IF(Atletas!X223&lt;&gt;"",10000,0)+IF(Atletas!B223="Feminino",1000,IF(Atletas!B223="Masculino",2000,""))+IF(Atletas!V223="Taijidao A",937,IF(Atletas!V223="TaijiShanzi A",938,IF(Atletas!V223="Taijiqiang A",939,IF(Atletas!V223="Bagua de Arma A",940,IF(Atletas!V223="Xingyi de Arma A",941,IF(Atletas!V223="Taijidao B",942,IF(Atletas!V223="TaijiShanzi B",943,IF(Atletas!V223="Taijiqiang B",944,IF(Atletas!V223="Bagua de Arma B",945,IF(Atletas!V223="Xingyi de Arma B",946,IF(Atletas!V223="Taijidao C",947,IF(Atletas!V223="TaijiShanzi C",948,IF(Atletas!V223="Taijiqiang C",949,IF(Atletas!V223="Bagua de Arma C",950,IF(Atletas!V223="Xingyi de Arma C",951,IF(Atletas!V223="Taijidao D",952,IF(Atletas!V223="TaijiShanzi D",953,IF(Atletas!V223="Taijiqiang D",954,IF(Atletas!V223="Bagua de Arma D",955,IF(Atletas!V223="Xingyi de Arma D",956,IF(Atletas!V223="Taijidao E",957,IF(Atletas!V223="TaijiShanzi E",958,IF(Atletas!V223="Taijiqiang E",959,IF(Atletas!V223="Bagua de Arma E",960,IF(Atletas!V223="Xingyi de Arma E",961,IF(Atletas!V223="Taijidao F",962,IF(Atletas!V223="TaijiShanzi F",963,IF(Atletas!V223="Taijiqiang F",964,IF(Atletas!V223="Bagua de Arma F",965,IF(Atletas!V223="Xingyi de Arma F",966,"")))))))))))))))))))))))))))))))</f>
        <v/>
      </c>
      <c r="CE232" s="66" t="str">
        <f>IF(CF232&lt;&gt;"","Shanzi A","")</f>
        <v/>
      </c>
      <c r="CF232" s="66" t="str">
        <f>IF(COUNTIF(BR:CD,1604)&gt;0,COUNTIF(BR:CD,1604),"")</f>
        <v/>
      </c>
      <c r="CG232" s="66" t="str">
        <f>IF(CH232&lt;&gt;"","Shanzi A","")</f>
        <v/>
      </c>
      <c r="CH232" s="66" t="str">
        <f>IF(COUNTIF(BR:CD,2604)&gt;0,COUNTIF(BR:CD,2604),"")</f>
        <v/>
      </c>
      <c r="CI232" s="66" t="str">
        <f>IF(CJ232&lt;&gt;"","Outra Arma Curta B","")</f>
        <v/>
      </c>
      <c r="CJ232" s="66" t="str">
        <f>IF(COUNTIF(BR:CD,11610)&gt;0,COUNTIF(BR:CD,11610),"")</f>
        <v/>
      </c>
      <c r="CK232" s="66" t="str">
        <f>IF(CL232&lt;&gt;"","Outra Arma Curta B","")</f>
        <v/>
      </c>
      <c r="CL232" s="66" t="str">
        <f>IF(COUNTIF(BR:CD,12610)&gt;0,COUNTIF(BR:CD,12610),"")</f>
        <v/>
      </c>
      <c r="CM232" s="50" t="str">
        <f xml:space="preserve"> IF(Atletas!W223="","",IF(Atletas!W223="Duilian de Mãos BC - Equipe 1",1,IF(Atletas!W223="Duilian de Mãos BC - Equipe 2",2,IF(Atletas!W223="Duilian de Armas BC - Equipe 1",3,IF(Atletas!W223="Duilian de Armas BC - Equipe 2",4,IF(Atletas!W223="Duilian de Mãos DE - Equipe 1",5,IF(Atletas!W223="Duilian de Mãos DE - Equipe 2",6,IF(Atletas!W223="Duilian de Armas DE - Equipe 1",7,IF(Atletas!W223="Duilian de Armas DE - Equipe 2",8,IF(Atletas!W223="Duilian de Tuishou - Equipe 1",9,IF(Atletas!W223="Duilian de Tuishou - Equipe 2",10,IF(Atletas!W223="Grupo Externo ABC - Equipe 1",11,IF(Atletas!W223="Grupo Externo ABC - Equipe 2",12,IF(Atletas!W223="Grupo Interno ABC - Equipe 1",13,IF(Atletas!W223="Grupo Interno ABC - Equipe 2",14,IF(Atletas!W223="Grupo Externo DEF - Equipe 1",15,IF(Atletas!W223="Grupo Externo DEF - Equipe 2",16,IF(Atletas!W223="Grupo Interno DEF - Equipe 1",17,IF(Atletas!W223="Grupo Interno DEF - Equipe 2",18,"")))))))))))))))))))</f>
        <v/>
      </c>
    </row>
    <row r="233" spans="2:91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 t="str">
        <f t="array" ref="Z233">IFERROR(INDEX(CE$7:CE$348,SMALL(IF(CE$7:CE$348&lt;&gt;"",ROW(CE$7:CE$348)-ROW(CE$7)+1),ROWS(CE$7:CE232))),"")</f>
        <v/>
      </c>
      <c r="AA233" s="3" t="str">
        <f t="array" ref="AA233">IFERROR(INDEX(CF$7:CF$348,SMALL(IF(CF$7:CF$348&lt;&gt;"",ROW(CF$7:CF$348)-ROW(CF$7)+1),ROWS(CF$7:CF232))),"")</f>
        <v/>
      </c>
      <c r="AB233" s="3" t="str">
        <f t="array" ref="AB233">IFERROR(INDEX(CG$7:CG$348,SMALL(IF(CG$7:CG$348&lt;&gt;"",ROW(CG$7:CG$348)-ROW(CG$7)+1),ROWS(CG$7:CG232))),"")</f>
        <v/>
      </c>
      <c r="AC233" s="3" t="str">
        <f t="array" ref="AC233">IFERROR(INDEX(CH$7:CH$348,SMALL(IF(CH$7:CH$348&lt;&gt;"",ROW(CH$7:CH$348)-ROW(CH$7)+1),ROWS(CH$7:CH232))),"")</f>
        <v/>
      </c>
      <c r="AD233" s="3" t="str">
        <f t="array" ref="AD233">IFERROR(INDEX(CI$7:CI$377,SMALL(IF(CI$7:CI$377&lt;&gt;"",ROW(CI$7:CI$377)-ROW(CI$7)+1),ROWS(CI$7:CI232))),"")</f>
        <v/>
      </c>
      <c r="AE233" s="3" t="str">
        <f t="array" ref="AE233">IFERROR(INDEX(CJ$7:CJ$378,SMALL(IF(CJ$7:CJ$378&lt;&gt;"",ROW(CJ$7:CJ$378)-ROW(CJ$7)+1),ROWS(CJ$7:CJ232))),"")</f>
        <v/>
      </c>
      <c r="AF233" s="3" t="str">
        <f t="array" ref="AF233">IFERROR(INDEX(CK$7:CK$378,SMALL(IF(CK$7:CK$378&lt;&gt;"",ROW(CK$7:CK$378)-ROW(CK$7)+1),ROWS(CK$7:CK232))),"")</f>
        <v/>
      </c>
      <c r="AG233" s="3" t="str">
        <f t="array" ref="AG233">IFERROR(INDEX(CL$7:CL$378,SMALL(IF(CL$7:CL$378&lt;&gt;"",ROW(CL$7:CL$378)-ROW(CL$7)+1),ROWS(CL$7:CL232))),"")</f>
        <v/>
      </c>
      <c r="AH233" s="3"/>
      <c r="AI233" s="3"/>
      <c r="AJ233" s="3"/>
      <c r="AK233" s="3"/>
      <c r="AL233" s="3"/>
      <c r="AM233" s="3"/>
      <c r="AN233" s="52" t="str">
        <f>IF(Atletas!D224="","",IF(Atletas!B224="Feminino",100,IF(Atletas!B224="Masculino",200,""))+(IF(Atletas!D224="Kids 30kg",1,IF(Atletas!D224="Kids 32kg",2, IF(Atletas!D224="Kids 34kg",3,IF(Atletas!D224="Kids 36kg",4,IF(Atletas!D224="Kids 39kg",5,IF(Atletas!D224="Kids 42kg",6,IF(Atletas!D224="Kids 45kg",7, IF(Atletas!D224="Infantil 39kg",8,IF(Atletas!D224="Infantil 42kg",9,IF(Atletas!D224="Infantil 45kg",10,IF(Atletas!D224="Infantil 48kg",11,IF(Atletas!D224="Infantil 52kg",12,IF(Atletas!D224="Infantil 56kg",13,IF(Atletas!D224="Infantil 60kg",14,IF(Atletas!D224="Juvenil 48kg",15,IF(Atletas!D224="Juvenil 52kg",16,IF(Atletas!D224="Juvenil 56kg",17,IF(Atletas!D224="Juvenil 60kg",18,IF(Atletas!D224="Juvenil 65kg",19,IF(Atletas!D224="Juvenil 70kg",20,IF(Atletas!D224="Juvenil 75kg",21,IF(Atletas!D224="Juvenil 80kg",22, IF(Atletas!D224="Juvenil 85kg",23,IF(Atletas!D224="Adulto 48kg",24,IF(Atletas!D224="Adulto 52kg",25,IF(Atletas!D224="Adulto 56kg",26,IF(Atletas!D224="Adulto 60kg",27,IF(Atletas!D224="Adulto 65kg",28,IF(Atletas!D224="Adulto 70kg",29,IF(Atletas!D224="Adulto 75kg",30,IF(Atletas!D224="Adulto 80kg",31,IF(Atletas!D224="Adulto 85kg",32,IF(Atletas!D224="Adulto 90kg",33,IF(Atletas!D224="Adulto 100kg",34, IF(Atletas!D224="Adulto +100kg",35,"")))))))))))))))))))))))))))))))))))))</f>
        <v/>
      </c>
      <c r="AS233" s="6" t="str">
        <f>IF(Atletas!E224="","",IF(Atletas!B224="Feminino",100,IF(Atletas!B224="Masculino",200,""))+(IF(Atletas!E224="Juvenil 44kg",1,IF(Atletas!E224="Juvenil 48kg",2,IF(Atletas!E224="Juvenil 52kg",3,IF(Atletas!E224="Juvenil 56kg",4,IF(Atletas!E224="Juvenil 60kg",5,IF(Atletas!E224="Juvenil 65kg",6,IF(Atletas!E224="Juvenil 70kg",7,IF(Atletas!E224="Juvenil 75kg",8,IF(Atletas!E224="Juvenil 82kg",9,IF(Atletas!E224="Juvenil 90kg",10,IF(Atletas!E224="Juvenil 100kg",11,IF(Atletas!E224="Adulto 48kg",12,IF(Atletas!E224="Adulto 52kg",13,IF(Atletas!E224="Adulto 56kg",14,IF(Atletas!E224="Adulto 60kg",15,IF(Atletas!E224="Adulto 65kg",16,IF(Atletas!E224="Adulto 70kg",17,IF(Atletas!E224="Adulto 75kg",18,IF(Atletas!E224="Adulto 82kg",19,IF(Atletas!E224="Adulto 90kg",20,IF(Atletas!E224="Adulto 100kg",21,IF(Atletas!E224="Adulto +100kg",22,""))))))))))))))))))))))))</f>
        <v/>
      </c>
      <c r="AX233" s="6" t="str">
        <f>IF(Atletas!F224="","",IF(Atletas!B224="Feminino",100,IF(Atletas!B224="Masculino",200,""))+(IF(Atletas!F224="Adulto 48kg",1,IF(Atletas!F224="Adulto 56kg",2,IF(Atletas!F224="Adulto 65kg",3,IF(Atletas!F224="Adulto 75kg",4,IF(Atletas!F224="Adulto +75kg",5,IF(Atletas!F224="Adulto 52kg",6,IF(Atletas!F224="Adulto 60kg",7,IF(Atletas!F224="Adulto 70kg",8,IF(Atletas!F224="Adulto 80kg",9,IF(Atletas!F224="Adulto 90kg",10,IF(Atletas!F224="Adulto +90kg",11,"")))))))))))))</f>
        <v/>
      </c>
      <c r="BC233" s="6" t="str">
        <f>IF(Atletas!G224="","",IF(Atletas!B224="Feminino",10,IF(Atletas!B224="Masculino",20,""))+(IF(Atletas!G224="Baduanjin A",1,IF(Atletas!G224="Baduanjin B",2))))</f>
        <v/>
      </c>
      <c r="BF233" s="52" t="str">
        <f>IF(Atletas!H224="","",IF(Atletas!B224="Feminino",100,IF(Atletas!B224="Masculino",200,""))+(IF(Atletas!H224="Changquan Mirim",1,IF(Atletas!H224="Nanquan Mirim",2,IF(Atletas!H224="Taijiquan Mirim",3,IF(Atletas!H224="Changquan Grupo C",4,IF(Atletas!H224="Nanquan Grupo C",5,IF(Atletas!H224="Taijiquan Grupo C",6,IF(Atletas!H224="Changquan Grupo B",7,IF(Atletas!H224="Nanquan Grupo B",8,IF(Atletas!H224="Taijiquan Grupo B",9,IF(Atletas!H224="Changquan Grupo A",10,IF(Atletas!H224="Nanquan Grupo A",11,IF(Atletas!H224="Taijiquan Grupo A",12,IF(Atletas!H224="Changquan Opcional",13,IF(Atletas!H224="Nanquan Opcional",14,IF(Atletas!H224="Taijiquan Opcional",15,IF(Atletas!H224="Changquan Adulto",16,IF(Atletas!H224="Nanquan Adulto",17,IF(Atletas!H224="Taijiquan Adulto",18,""))))))))))))))))))))</f>
        <v/>
      </c>
      <c r="BG233" s="52" t="str">
        <f>IF(Atletas!I224="","",IF(Atletas!B224="Feminino",100,IF(Atletas!B224="Masculino",200,""))+(IF(Atletas!I224="Daoshu Mirim",19,IF(Atletas!I224="Jianshu Mirim",20,IF(Atletas!I224="Nandao Mirim",21,IF(Atletas!I224="Taijijian Mirim",22,IF(Atletas!I224="Daoshu Grupo C",23,IF(Atletas!I224="Jianshu Grupo C",24,IF(Atletas!I224="Nandao Grupo C",25,IF(Atletas!I224="Taijijian Grupo C",26,IF(Atletas!I224="Daoshu Grupo B",27,IF(Atletas!I224="Jianshu Grupo B",28,IF(Atletas!I224="Nandao Grupo B",29,IF(Atletas!I224="Taijijian Grupo B",30,IF(Atletas!I224="Daoshu Grupo A",31,IF(Atletas!I224="Jianshu Grupo A",32,IF(Atletas!I224="Nandao Grupo A",33,IF(Atletas!I224="Taijijian Grupo A",34,IF(Atletas!I224="Daoshu Opcional",35,IF(Atletas!I224="Jianshu Opcional",36,IF(Atletas!I224="Nandao Opcional",37,IF(Atletas!I224="Taijijian Opcional",38,IF(Atletas!I224="Daoshu Adulto",39,IF(Atletas!I224="Jianshu Adulto",40,IF(Atletas!I224="Nandao Adulto",41,IF(Atletas!I224="Taijijian Adulto",42,""))))))))))))))))))))))))))</f>
        <v/>
      </c>
      <c r="BH233" s="52" t="str">
        <f>IF(Atletas!J224="","",IF(Atletas!B224="Feminino",100,IF(Atletas!B224="Masculino",200,""))+(IF(Atletas!J224="Gunshu Mirim",43,IF(Atletas!J224="Qiangshu Mirim",44,IF(Atletas!J224="Nangun Mirim",45,IF(Atletas!J224="Gunshu Grupo C",46,IF(Atletas!J224="Qiangshu Grupo C",47,IF(Atletas!J224="Nangun Grupo C",48,IF(Atletas!J224="Gunshu Grupo B",49,IF(Atletas!J224="Qiangshu Grupo B",50,IF(Atletas!J224="Nangun Grupo B",51,IF(Atletas!J224="Gunshu Grupo A",52,IF(Atletas!J224="Qiangshu Grupo A",53,IF(Atletas!J224="Nangun Grupo A",54,IF(Atletas!J224="Gunshu Opcional",55,IF(Atletas!J224="Qiangshu Opcional",56,IF(Atletas!J224="Nangun Opcional",57,IF(Atletas!J224="Gunshu Adulto",58,IF(Atletas!J224="Qiangshu Adulto",59,IF(Atletas!J224="Nangun Adulto",60,IF(Atletas!J224="Taijishan Grupo B",61,IF(Atletas!J224="Taijishan Grupo A",62,""))))))))))))))))))))))</f>
        <v/>
      </c>
      <c r="BM233" s="50" t="str">
        <f>IF(Atletas!K224="","",IF(Atletas!B224="Feminino",100,IF(Atletas!B224="Masculino",200,""))+(IF(Atletas!K224="Equipe 1 Grupo B",1,IF(Atletas!K224="Equipe 2 Grupo B",2,IF(Atletas!K224="Equipe 1 Grupo A",3,IF(Atletas!K224="Equipe 2 Grupo A",4,IF(Atletas!K224="Equipe 1 Adulto",5,IF(Atletas!K224="Equipe 2 Adulto",6,""))))))))</f>
        <v/>
      </c>
      <c r="BR233" s="50" t="str">
        <f>IF(Atletas!L224="","",IF(Atletas!X224&lt;&gt;"",10000,0)+(IF(Atletas!B224="Feminino",1000,IF(Atletas!B224="Masculino",2000,""))+IF(Atletas!L224="Choylayfut A",1,IF(Atletas!L224="Hunggar A",2,IF(Atletas!L224="Wuzuquan A",3,IF(Atletas!L224="Wingchun A",4,IF(Atletas!L224="Outra Mão de Sul A",5,IF(Atletas!L224="Choylayfut B",6,IF(Atletas!L224="Hunggar B",7,IF(Atletas!L224="Wuzuquan B",8,IF(Atletas!L224="Wingchun B",9,IF(Atletas!L224="Outra Mão de Sul B",10,IF(Atletas!L224="Choylayfut C",11,IF(Atletas!L224="Hunggar C",12,IF(Atletas!L224="Wuzuquan C",13,IF(Atletas!L224="Wingchun C",14,IF(Atletas!L224="Outra Mão de Sul C",15,IF(Atletas!L224="Choylayfut D",16,IF(Atletas!L224="Hunggar D",17,IF(Atletas!L224="Wuzuquan D",18,IF(Atletas!L224="Wingchun D",19,IF(Atletas!L224="Outra Mão de Sul D",20,IF(Atletas!L224="Choylayfut E",21,IF(Atletas!L224="Hunggar E",22,IF(Atletas!L224="Wuzuquan E",23,IF(Atletas!L224="Wingchun E",24,IF(Atletas!L224="Outra Mão de Sul E",25,IF(Atletas!L224="Choylayfut F",26,IF(Atletas!L224="Hunggar F",27,IF(Atletas!L224="Wuzuquan F",28,IF(Atletas!L224="Wingchun F",29,IF(Atletas!L224="Outra Mão de Sul F",30,IF(Atletas!L224="Dishuquan A",31,IF(Atletas!L224="Dishuquan B",32,IF(Atletas!L224="Dishuquan C",33,IF(Atletas!L224="Dishuquan D",34,IF(Atletas!L224="Dishuquan E",35,IF(Atletas!L224="Dishuquan F",36,""))))))))))))))))))))))))))))))))))))))</f>
        <v/>
      </c>
      <c r="BS233" s="50" t="str">
        <f>IF(Atletas!M224="","",IF(Atletas!X224&lt;&gt;"",10000,0)+(IF(Atletas!B224="Feminino",1000,IF(Atletas!B224="Masculino",2000,""))+(IF(Atletas!M224="Chaquan A",101,IF(Atletas!M224="Emeiquan A",102,IF(Atletas!M224="Fanziquan A",103,IF(Atletas!M224="Huaquan A",104,IF(Atletas!M224="Hongquan A",105,IF(Atletas!M224="Paoquan A",106,IF(Atletas!M224="Piguaquan A",107,IF(Atletas!M224="Shaolinquan A",108,IF(Atletas!M224="Tanglangquan A",109,IF(Atletas!M224="Yingzhaoquan A",110,IF(Atletas!M224="Tongbeiquan A",111,IF(Atletas!M224="Wudangquan A",112,IF(Atletas!M224="Outros Estilos A",113,IF(Atletas!M224="Chaquan B",114,IF(Atletas!M224="Emeiquan B",115,IF(Atletas!M224="Fanziquan B",116,IF(Atletas!M224="Huaquan B",117,IF(Atletas!M224="Hongquan B",118,IF(Atletas!M224="Paoquan B",119,IF(Atletas!M224="Piguaquan B",120,IF(Atletas!M224="Shaolinquan B",121,IF(Atletas!M224="Tanglangquan B",122,IF(Atletas!M224="Yingzhaoquan B",123,IF(Atletas!M224="Tongbeiquan B",124,IF(Atletas!M224="Wudangquan B",125,IF(Atletas!M224="Outros Estilos B",126,IF(Atletas!M224="Chaquan C",127,IF(Atletas!M224="Emeiquan C",128,IF(Atletas!M224="Fanziquan C",129,IF(Atletas!M224="Huaquan C",130,IF(Atletas!M224="Hongquan C",131,IF(Atletas!M224="Paoquan C",132,IF(Atletas!M224="Piguaquan C",133,IF(Atletas!M224="Shaolinquan C",134,IF(Atletas!M224="Tanglangquan C",135,IF(Atletas!M224="Yingzhaoquan C",136,IF(Atletas!M224="Tongbeiquan C",137,IF(Atletas!M224="Wudangquan C",138,IF(Atletas!M224="Outros Estilos C",139,0))))))))))))))))))))))))))))))))))))))))))</f>
        <v/>
      </c>
      <c r="BT233" s="50" t="str">
        <f>IF(Atletas!M224="","",IF(Atletas!X224&lt;&gt;"",10000,0)+(IF(Atletas!B224="Feminino",1000,IF(Atletas!B224="Masculino",2000,""))+(IF(Atletas!M224="Chaquan D",140,IF(Atletas!M224="Emeiquan D",141,IF(Atletas!M224="Fanziquan D",142,IF(Atletas!M224="Huaquan D",143,IF(Atletas!M224="Hongquan D",144,IF(Atletas!M224="Paoquan D",145,IF(Atletas!M224="Piguaquan D",146,IF(Atletas!M224="Shaolinquan D",147,IF(Atletas!M224="Tanglangquan D",148,IF(Atletas!M224="Yingzhaoquan D",149,IF(Atletas!M224="Tongbeiquan D",150,IF(Atletas!M224="Wudangquan D",151,IF(Atletas!M224="Outros Estilos D",152,IF(Atletas!M224="Chaquan E",153,IF(Atletas!M224="Emeiquan E",154,IF(Atletas!M224="Fanziquan E",155,IF(Atletas!M224="Huaquan E",156,IF(Atletas!M224="Hongquan E",157,IF(Atletas!M224="Paoquan E",158,IF(Atletas!M224="Piguaquan E",159,IF(Atletas!M224="Shaolinquan E",160,IF(Atletas!M224="Tanglangquan E",161,IF(Atletas!M224="Yingzhaoquan E",162,IF(Atletas!M224="Tongbeiquan E",163,IF(Atletas!M224="Wudangquan E",164,IF(Atletas!M224="Outros Estilos E",165,IF(Atletas!M224="Chaquan F",166,IF(Atletas!M224="Emeiquan F",167,IF(Atletas!M224="Fanziquan F",168,IF(Atletas!M224="Huaquan F",169,IF(Atletas!M224="Hongquan F",170,IF(Atletas!M224="Paoquan F",171,IF(Atletas!M224="Piguaquan F",172,IF(Atletas!M224="Shaolinquan F",173,IF(Atletas!M224="Tanglangquan F",174,IF(Atletas!M224="Yingzhaoquan F",175,IF(Atletas!M224="Tongbeiquan F",176,IF(Atletas!M224="Wudangquan F",177,IF(Atletas!M224="Outros Estilos F",178,0))))))))))))))))))))))))))))))))))))))))))</f>
        <v/>
      </c>
      <c r="BU233" s="50" t="str">
        <f>IF(Atletas!N224="","",IF(Atletas!X224&lt;&gt;"",10000,0)+(IF(Atletas!B224="Feminino",1000,IF(Atletas!B224="Masculino",2000,""))+(IF(Atletas!N224="Ditangquan A",201,IF(Atletas!N224="Houquan A",202,IF(Atletas!N224="Zuiquan A",203,IF(Atletas!N224="Ditangquan B",204,IF(Atletas!N224="Houquan B",205,IF(Atletas!N224="Zuiquan B",206,IF(Atletas!N224="Ditangquan C",207,IF(Atletas!N224="Houquan C",208,IF(Atletas!N224="Zuiquan C",209,IF(Atletas!N224="Ditangquan D",210,IF(Atletas!N224="Houquan D",211,IF(Atletas!N224="Zuiquan D",212,IF(Atletas!N224="Ditangquan E",213,IF(Atletas!N224="Houquan E",214,IF(Atletas!N224="Zuiquan E",215,IF(Atletas!N224="Ditangquan F",216,IF(Atletas!N224="Houquan F",217,IF(Atletas!N224="Zuiquan F",218,"")))))))))))))))))))))</f>
        <v/>
      </c>
      <c r="BV233" s="50" t="str">
        <f>IF(Atletas!O224="","",IF(Atletas!X224&lt;&gt;"",10000,0)+IF(Atletas!B224="Feminino",1000,IF(Atletas!B224="Masculino",2000,""))+IF(Atletas!O224="Yang A",301,IF(Atletas!O224="Chen A",302,IF(Atletas!O224="Sun A",303,IF(Atletas!O224="Wu A",304,IF(Atletas!O224="Wu-Hao A",305,IF(Atletas!O224="Outro Taijiquan A",306,IF(Atletas!O224="Yang B",307,IF(Atletas!O224="Chen B",308,IF(Atletas!O224="Sun B",309,IF(Atletas!O224="Wu B",310,IF(Atletas!O224="Wu-Hao B",311,IF(Atletas!O224="Outro Taijiquan B",312,IF(Atletas!O224="Yang C",313,IF(Atletas!O224="Chen C",314,IF(Atletas!O224="Sun C",315,IF(Atletas!O224="Wu C",316,IF(Atletas!O224="Wu-Hao C",317,IF(Atletas!O224="Outro Taijiquan C",318,IF(Atletas!O224="Yang D",319,IF(Atletas!O224="Chen D",320,IF(Atletas!O224="Sun D",321,IF(Atletas!O224="Wu D",322,IF(Atletas!O224="Wu-Hao D",323,IF(Atletas!O224="Outro Taijiquan D",324,IF(Atletas!O224="Yang E",325,IF(Atletas!O224="Chen E",326,IF(Atletas!O224="Sun E",327,IF(Atletas!O224="Wu E",328,IF(Atletas!O224="Wu-Hao E",329,IF(Atletas!O224="Outro Taijiquan E",330,IF(Atletas!O224="Yang F",331,IF(Atletas!O224="Chen F",332,IF(Atletas!O224="Sun F",333,IF(Atletas!O224="Wu F",334,IF(Atletas!O224="Wu-Hao F",335,IF(Atletas!O224="Outro Taijiquan F",336,"")))))))))))))))))))))))))))))))))))))</f>
        <v/>
      </c>
      <c r="BW233" s="50" t="str">
        <f>IF(Atletas!P224="","",IF(Atletas!X224&lt;&gt;"",10000,0)+IF(Atletas!B224="Feminino",1000,IF(Atletas!B224="Masculino",2000,""))+IF(OR(Atletas!P224="Yang 26 A",Atletas!P224="Yang 40 A"),401,IF(OR(Atletas!P224="Chen 25 A",Atletas!P224="Chen 36 A",Atletas!P224="Chen 56 A"),402,IF(Atletas!P224="Sun 73 A",403,IF(Atletas!P224="Wu 45 A",404,IF(Atletas!P224="Wu-Hao 46 A",405,IF(OR(Atletas!P224="Taijiquan 16 A",Atletas!P224="Taijiquan 24 A",Atletas!P224="Taijiquan 32 A",Atletas!P224="Taijiquan 42 A"),406,IF(OR(Atletas!P224="Yang 26 B",Atletas!P224="Yang 40 B"),407,IF(OR(Atletas!P224="Chen 25 B",Atletas!P224="Chen 36 B",Atletas!P224="Chen 56 B"),408,IF(Atletas!P224="Sun 73 B",409,IF(Atletas!P224="Wu 45 B",410,IF(Atletas!P224="Wu-Hao 46 B",411,IF(OR(Atletas!P224="Taijiquan 16 B",Atletas!P224="Taijiquan 24 B",Atletas!P224="Taijiquan 32 B",Atletas!P224="Taijiquan 42 B"),412,IF(OR(Atletas!P224="Yang 26 C",Atletas!P224="Yang 40 C"),413,IF(OR(Atletas!P224="Chen 25 C",Atletas!P224="Chen 36 C",Atletas!P224="Chen 56 C"),414,IF(Atletas!P224="Sun 73 C",415,IF(Atletas!P224="Wu 45 C",416,IF(Atletas!P224="Wu-Hao 46 C",417,IF(OR(Atletas!P224="Taijiquan 16 C",Atletas!P224="Taijiquan 24 C",Atletas!P224="Taijiquan 32 C",Atletas!P224="Taijiquan 42 C"),418,0)))))))))))))))))))</f>
        <v/>
      </c>
      <c r="BX233" s="50" t="str">
        <f>IF(Atletas!P224="","",IF(Atletas!X224&lt;&gt;"",10000,0)+IF(Atletas!B224="Feminino",1000,IF(Atletas!B224="Masculino",2000,""))+IF(OR(Atletas!P224="Yang 26 D",Atletas!P224="Yang 40 D"),419,IF(OR(Atletas!P224="Chen 25 D",Atletas!P224="Chen 36 D",Atletas!P224="Chen 56 D"),420,IF(Atletas!P224="Sun 73 D",421,IF(Atletas!P224="Wu 45 D",422,IF(Atletas!P224="Wu-Hao 46 D",423,IF(OR(Atletas!P224="Taijiquan 16 D",Atletas!P224="Taijiquan 24 D",Atletas!P224="Taijiquan 32 D",Atletas!P224="Taijiquan 42 D"),424,IF(OR(Atletas!P224="Yang 26 E",Atletas!P224="Yang 40 E"),425,IF(OR(Atletas!P224="Chen 25 E",Atletas!P224="Chen 36 E",Atletas!P224="Chen 56 E"),426,IF(Atletas!P224="Sun 73 E",427,IF(Atletas!P224="Wu 45 E",428,IF(Atletas!P224="Wu-Hao 46 E",429,IF(OR(Atletas!P224="Taijiquan 16 E",Atletas!P224="Taijiquan 24 E",Atletas!P224="Taijiquan 32 E",Atletas!P224="Taijiquan 42 E"),430,IF(OR(Atletas!P224="Yang 26 F",Atletas!P224="Yang 40 F"),431,IF(OR(Atletas!P224="Chen 25 F",Atletas!P224="Chen 36 F",Atletas!P224="Chen 56 F"),432,IF(Atletas!P224="Sun 73 F",433,IF(Atletas!P224="Wu 45 F",434,IF(Atletas!P224="Wu-Hao 46 F",435,IF(OR(Atletas!P224="Taijiquan 16 F",Atletas!P224="Taijiquan 24 F",Atletas!P224="Taijiquan 32 F",Atletas!P224="Taijiquan 42 F"),436,0)))))))))))))))))))</f>
        <v/>
      </c>
      <c r="BY233" s="50" t="str">
        <f>IF(Atletas!Q224="","",IF(Atletas!X224&lt;&gt;"",10000,0)+IF(Atletas!B224="Feminino",1000,IF(Atletas!B224="Masculino",2000,""))+IF(Atletas!Q224="Xingyiquan A",501,IF(Atletas!Q224="Baguazhang A",502,IF(Atletas!Q224="Outro Estilo Interno A",503,IF(Atletas!Q224="Xingyiquan B",504,IF(Atletas!Q224="Baguazhang B",505,IF(Atletas!Q224="Outro Estilo Interno B",506,IF(Atletas!Q224="Xingyiquan C",507,IF(Atletas!Q224="Baguazhang C",508,IF(Atletas!Q224="Outro Estilo Interno C",509,IF(Atletas!Q224="Xingyiquan D",510,IF(Atletas!Q224="Baguazhang D",511,IF(Atletas!Q224="Outro Estilo Interno D",512,IF(Atletas!Q224="Xingyiquan E",513,IF(Atletas!Q224="Baguazhang E",514,IF(Atletas!Q224="Outro Estilo Interno E",515,IF(Atletas!Q224="Xingyiquan F",516,IF(Atletas!Q224="Baguazhang F",517,IF(Atletas!Q224="Outro Estilo Interno F",518, "")))))))))))))))))))</f>
        <v/>
      </c>
      <c r="BZ233" s="50" t="str">
        <f>IF(Atletas!R224="","",IF(Atletas!X224&lt;&gt;"",10000,0)+IF(Atletas!B224="Feminino",1000,IF(Atletas!B224="Masculino",2000,""))+IF(Atletas!R224="Dao A",601,IF(Atletas!R224="Jian A",602,IF(Atletas!R224="Bishou A",603,IF(Atletas!R224="Shanzi A",604,IF(Atletas!R224="Outra Arma Curta A",605,IF(Atletas!R224="Dao B",606,IF(Atletas!R224="Jian B",607,IF(Atletas!R224="Bishou B",608,IF(Atletas!R224="Shanzi B",609,IF(Atletas!R224="Outra Arma Curta B",610,IF(Atletas!R224="Dao C",611,IF(Atletas!R224="Jian C",612,IF(Atletas!R224="Bishou C",613,IF(Atletas!R224="Shanzi C",614,IF(Atletas!R224="Outra Arma Curta C",615,IF(Atletas!R224="Dao D",616,IF(Atletas!R224="Jian D",617,IF(Atletas!R224="Bishou D",618,IF(Atletas!R224="Shanzi D",619,IF(Atletas!R224="Outra Arma Curta D",620,IF(Atletas!R224="Dao E",621,IF(Atletas!R224="Jian E",622,IF(Atletas!R224="Bishou E",623,IF(Atletas!R224="Shanzi E",624,IF(Atletas!R224="Outra Arma Curta E",625,IF(Atletas!R224="Dao F",626,IF(Atletas!R224="Jian F",627,IF(Atletas!R224="Bishou F",628,IF(Atletas!R224="Shanzi F",629,IF(Atletas!R224="Outra Arma Curta F",630, "")))))))))))))))))))))))))))))))</f>
        <v/>
      </c>
      <c r="CA233" s="50" t="str">
        <f>IF(Atletas!S224="","",IF(Atletas!X224&lt;&gt;"",10000,0)+IF(Atletas!B224="Feminino",1000,IF(Atletas!B224="Masculino",2000,""))+IF(Atletas!S224="Gun A",701,IF(Atletas!S224="Qiang A",702,IF(Atletas!S224="Pudao / Guandao A",703,IF(Atletas!S224="Outra Arma Longa A",704,IF(Atletas!S224="Gun B",705,IF(Atletas!S224="Qiang B",706,IF(Atletas!S224="Pudao / Guandao B",707,IF(Atletas!S224="Outra Arma Longa B",708,IF(Atletas!S224="Gun C",709,IF(Atletas!S224="Qiang C",710,IF(Atletas!S224="Pudao / Guandao C",711,IF(Atletas!S224="Outra Arma Longa C",712,IF(Atletas!S224="Gun D",713,IF(Atletas!S224="Qiang D",714,IF(Atletas!S224="Pudao / Guandao D",715,IF(Atletas!S224="Outra Arma Longa D",716,IF(Atletas!S224="Gun E",717,IF(Atletas!S224="Qiang E",718,IF(Atletas!S224="Pudao / Guandao E",719,IF(Atletas!S224="Outra Arma Longa E",720,IF(Atletas!S224="Gun F",721,IF(Atletas!S224="Qiang F",722,IF(Atletas!S224="Pudao / Guandao F",723,IF(Atletas!S224="Outra Arma Longa F",724,"")))))))))))))))))))))))))</f>
        <v/>
      </c>
      <c r="CB233" s="50" t="str">
        <f>IF(Atletas!T224="","",IF(Atletas!X224&lt;&gt;"",10000,0)+IF(Atletas!B224="Feminino",1000,IF(Atletas!B224="Masculino",2000,""))+IF(Atletas!T224="Outra Arma Dupla A",801,IF(Atletas!T224="Arma Maleável A",802,IF(Atletas!T224="Outra Arma Dupla B",803,IF(Atletas!T224="Arma Maleável B",804,IF(Atletas!T224="Outra Arma Dupla C",805,IF(Atletas!T224="Arma Maleável C",806,IF(Atletas!T224="Outra Arma Dupla D",807,IF(Atletas!T224="Arma Maleável D",808,IF(Atletas!T224="Outra Arma Dupla E",809,IF(Atletas!T224="Arma Maleável E",810,IF(Atletas!T224="Outra Arma Dupla F",811,IF(Atletas!T224="Arma Maleável F",812,IF(Atletas!T224="Shuangdao A",813,IF(Atletas!T224="Shuangdao B",814,IF(Atletas!T224="Shuangdao C",815,IF(Atletas!T224="Shuangdao D",816,IF(Atletas!T224="Shuangdao E",817,IF(Atletas!T224="Shuangdao F",818,"")))))))))))))))))))</f>
        <v/>
      </c>
      <c r="CC233" s="50" t="str">
        <f>IF(Atletas!U224="","",IF(Atletas!X224&lt;&gt;"",10000,0)+IF(Atletas!B224="Feminino",1000,IF(Atletas!B224="Masculino",2000,""))+IF(OR(Atletas!U224="Taijijian Yang A",Atletas!U224="Taijijian Yang Standard A"),901,IF(OR(Atletas!U224="Taijijian Chen A", Atletas!U224="Taijijian Chen Standard A"),902,IF(Atletas!U224="Taijijian Sun A",903,IF(Atletas!U224="Taijijian Wu A",904,IF(Atletas!U224="Taijijian Wu-Hao A",905,IF(OR(Atletas!U224="Taijijian 32 A",Atletas!U224="Taijijian 42 A"),906,IF(OR(Atletas!U224="Taijijian Yang B",Atletas!U224="Taijijian Yang Standard B"),907,IF(OR(Atletas!U224="Taijijian Chen B", Atletas!U224="Taijijian Chen Standard B"),908,IF(Atletas!U224="Taijijian Sun B",909,IF(Atletas!U224="Taijijian Wu B",910,IF(Atletas!U224="Taijijian Wu-Hao B",911,IF(OR(Atletas!U224="Taijijian 32 B",Atletas!U224="Taijijian 42 B"),912,IF(OR(Atletas!U224="Taijijian Yang C",Atletas!U224="Taijijian Yang Standard C"),913,IF(OR(Atletas!U224="Taijijian Chen C", Atletas!U224="Taijijian Chen Standard C"),914,IF(Atletas!U224="Taijijian Sun C",915,IF(Atletas!U224="Taijijian Wu C",916,IF(Atletas!U224="Taijijian Wu-Hao C",917,IF(OR(Atletas!U224="Taijijian 32 C",Atletas!U224="Taijijian 42 C"),918,IF(OR(Atletas!U224="Taijijian Yang D",Atletas!U224="Taijijian Yang Standard D"),919,IF(OR(Atletas!U224="Taijijian Chen D", Atletas!U224="Taijijian Chen Standard D"),920,IF(Atletas!U224="Taijijian Sun D",921,IF(Atletas!U224="Taijijian Wu D",922,IF(Atletas!U224="Taijijian Wu-Hao D",923,IF(OR(Atletas!U224="Taijijian 32 D",Atletas!U224="Taijijian 42 D"),924,IF(OR(Atletas!U224="Taijijian Yang E",Atletas!U224="Taijijian Yang Standard E"),925,IF(OR(Atletas!U224="Taijijian Chen E", Atletas!U224="Taijijian Chen Standard E"),926,IF(Atletas!U224="Taijijian Sun E",927,IF(Atletas!U224="Taijijian Wu E",928,IF(Atletas!U224="Taijijian Wu-Hao E",929,IF(OR(Atletas!U224="Taijijian 32 E",Atletas!U224="Taijijian 42 E"),930,IF(OR(Atletas!U224="Taijijian Yang F",Atletas!U224="Taijijian Yang Standard F"),931,IF(OR(Atletas!U224="Taijijian Chen F", Atletas!U224="Taijijian Chen Standard F"),932,IF(Atletas!U224="Taijijian Sun F",933,IF(Atletas!U224="Taijijian Wu F",934,IF(Atletas!U224="Taijijian Wu-Hao F",935,IF(OR(Atletas!U224="Taijijian 32 F",Atletas!U224="Taijijian 42 F"),936,"")))))))))))))))))))))))))))))))))))))</f>
        <v/>
      </c>
      <c r="CD233" s="50" t="str">
        <f>IF(Atletas!V224="","",IF(Atletas!X224&lt;&gt;"",10000,0)+IF(Atletas!B224="Feminino",1000,IF(Atletas!B224="Masculino",2000,""))+IF(Atletas!V224="Taijidao A",937,IF(Atletas!V224="TaijiShanzi A",938,IF(Atletas!V224="Taijiqiang A",939,IF(Atletas!V224="Bagua de Arma A",940,IF(Atletas!V224="Xingyi de Arma A",941,IF(Atletas!V224="Taijidao B",942,IF(Atletas!V224="TaijiShanzi B",943,IF(Atletas!V224="Taijiqiang B",944,IF(Atletas!V224="Bagua de Arma B",945,IF(Atletas!V224="Xingyi de Arma B",946,IF(Atletas!V224="Taijidao C",947,IF(Atletas!V224="TaijiShanzi C",948,IF(Atletas!V224="Taijiqiang C",949,IF(Atletas!V224="Bagua de Arma C",950,IF(Atletas!V224="Xingyi de Arma C",951,IF(Atletas!V224="Taijidao D",952,IF(Atletas!V224="TaijiShanzi D",953,IF(Atletas!V224="Taijiqiang D",954,IF(Atletas!V224="Bagua de Arma D",955,IF(Atletas!V224="Xingyi de Arma D",956,IF(Atletas!V224="Taijidao E",957,IF(Atletas!V224="TaijiShanzi E",958,IF(Atletas!V224="Taijiqiang E",959,IF(Atletas!V224="Bagua de Arma E",960,IF(Atletas!V224="Xingyi de Arma E",961,IF(Atletas!V224="Taijidao F",962,IF(Atletas!V224="TaijiShanzi F",963,IF(Atletas!V224="Taijiqiang F",964,IF(Atletas!V224="Bagua de Arma F",965,IF(Atletas!V224="Xingyi de Arma F",966,"")))))))))))))))))))))))))))))))</f>
        <v/>
      </c>
      <c r="CE233" s="66" t="str">
        <f>IF(CF233&lt;&gt;"","Outra Arma Curta A","")</f>
        <v/>
      </c>
      <c r="CF233" s="66" t="str">
        <f>IF(COUNTIF(BR:CD,1605)&gt;0,COUNTIF(BR:CD,1605),"")</f>
        <v/>
      </c>
      <c r="CG233" s="66" t="str">
        <f>IF(CH233&lt;&gt;"","Outra Arma Curta A","")</f>
        <v/>
      </c>
      <c r="CH233" s="66" t="str">
        <f>IF(COUNTIF(BR:CD,2605)&gt;0,COUNTIF(BR:CD,2605),"")</f>
        <v/>
      </c>
      <c r="CI233" s="66" t="str">
        <f>IF(CJ233&lt;&gt;"","Dao C","")</f>
        <v/>
      </c>
      <c r="CJ233" s="66" t="str">
        <f>IF(COUNTIF(BR:CD,11611)&gt;0,COUNTIF(BR:CD,11611),"")</f>
        <v/>
      </c>
      <c r="CK233" s="66" t="str">
        <f>IF(CL233&lt;&gt;"","Dao C","")</f>
        <v/>
      </c>
      <c r="CL233" s="66" t="str">
        <f>IF(COUNTIF(BR:CD,12611)&gt;0,COUNTIF(BR:CD,12611),"")</f>
        <v/>
      </c>
      <c r="CM233" s="50" t="str">
        <f xml:space="preserve"> IF(Atletas!W224="","",IF(Atletas!W224="Duilian de Mãos BC - Equipe 1",1,IF(Atletas!W224="Duilian de Mãos BC - Equipe 2",2,IF(Atletas!W224="Duilian de Armas BC - Equipe 1",3,IF(Atletas!W224="Duilian de Armas BC - Equipe 2",4,IF(Atletas!W224="Duilian de Mãos DE - Equipe 1",5,IF(Atletas!W224="Duilian de Mãos DE - Equipe 2",6,IF(Atletas!W224="Duilian de Armas DE - Equipe 1",7,IF(Atletas!W224="Duilian de Armas DE - Equipe 2",8,IF(Atletas!W224="Duilian de Tuishou - Equipe 1",9,IF(Atletas!W224="Duilian de Tuishou - Equipe 2",10,IF(Atletas!W224="Grupo Externo ABC - Equipe 1",11,IF(Atletas!W224="Grupo Externo ABC - Equipe 2",12,IF(Atletas!W224="Grupo Interno ABC - Equipe 1",13,IF(Atletas!W224="Grupo Interno ABC - Equipe 2",14,IF(Atletas!W224="Grupo Externo DEF - Equipe 1",15,IF(Atletas!W224="Grupo Externo DEF - Equipe 2",16,IF(Atletas!W224="Grupo Interno DEF - Equipe 1",17,IF(Atletas!W224="Grupo Interno DEF - Equipe 2",18,"")))))))))))))))))))</f>
        <v/>
      </c>
    </row>
    <row r="234" spans="2:91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 t="str">
        <f t="array" ref="Z234">IFERROR(INDEX(CE$7:CE$348,SMALL(IF(CE$7:CE$348&lt;&gt;"",ROW(CE$7:CE$348)-ROW(CE$7)+1),ROWS(CE$7:CE233))),"")</f>
        <v/>
      </c>
      <c r="AA234" s="3" t="str">
        <f t="array" ref="AA234">IFERROR(INDEX(CF$7:CF$348,SMALL(IF(CF$7:CF$348&lt;&gt;"",ROW(CF$7:CF$348)-ROW(CF$7)+1),ROWS(CF$7:CF233))),"")</f>
        <v/>
      </c>
      <c r="AB234" s="3" t="str">
        <f t="array" ref="AB234">IFERROR(INDEX(CG$7:CG$348,SMALL(IF(CG$7:CG$348&lt;&gt;"",ROW(CG$7:CG$348)-ROW(CG$7)+1),ROWS(CG$7:CG233))),"")</f>
        <v/>
      </c>
      <c r="AC234" s="3" t="str">
        <f t="array" ref="AC234">IFERROR(INDEX(CH$7:CH$348,SMALL(IF(CH$7:CH$348&lt;&gt;"",ROW(CH$7:CH$348)-ROW(CH$7)+1),ROWS(CH$7:CH233))),"")</f>
        <v/>
      </c>
      <c r="AD234" s="3" t="str">
        <f t="array" ref="AD234">IFERROR(INDEX(CI$7:CI$377,SMALL(IF(CI$7:CI$377&lt;&gt;"",ROW(CI$7:CI$377)-ROW(CI$7)+1),ROWS(CI$7:CI233))),"")</f>
        <v/>
      </c>
      <c r="AE234" s="3" t="str">
        <f t="array" ref="AE234">IFERROR(INDEX(CJ$7:CJ$378,SMALL(IF(CJ$7:CJ$378&lt;&gt;"",ROW(CJ$7:CJ$378)-ROW(CJ$7)+1),ROWS(CJ$7:CJ233))),"")</f>
        <v/>
      </c>
      <c r="AF234" s="3" t="str">
        <f t="array" ref="AF234">IFERROR(INDEX(CK$7:CK$378,SMALL(IF(CK$7:CK$378&lt;&gt;"",ROW(CK$7:CK$378)-ROW(CK$7)+1),ROWS(CK$7:CK233))),"")</f>
        <v/>
      </c>
      <c r="AG234" s="3" t="str">
        <f t="array" ref="AG234">IFERROR(INDEX(CL$7:CL$378,SMALL(IF(CL$7:CL$378&lt;&gt;"",ROW(CL$7:CL$378)-ROW(CL$7)+1),ROWS(CL$7:CL233))),"")</f>
        <v/>
      </c>
      <c r="AH234" s="3"/>
      <c r="AI234" s="3"/>
      <c r="AJ234" s="3"/>
      <c r="AK234" s="3"/>
      <c r="AL234" s="3"/>
      <c r="AM234" s="3"/>
      <c r="AN234" s="52" t="str">
        <f>IF(Atletas!D225="","",IF(Atletas!B225="Feminino",100,IF(Atletas!B225="Masculino",200,""))+(IF(Atletas!D225="Kids 30kg",1,IF(Atletas!D225="Kids 32kg",2, IF(Atletas!D225="Kids 34kg",3,IF(Atletas!D225="Kids 36kg",4,IF(Atletas!D225="Kids 39kg",5,IF(Atletas!D225="Kids 42kg",6,IF(Atletas!D225="Kids 45kg",7, IF(Atletas!D225="Infantil 39kg",8,IF(Atletas!D225="Infantil 42kg",9,IF(Atletas!D225="Infantil 45kg",10,IF(Atletas!D225="Infantil 48kg",11,IF(Atletas!D225="Infantil 52kg",12,IF(Atletas!D225="Infantil 56kg",13,IF(Atletas!D225="Infantil 60kg",14,IF(Atletas!D225="Juvenil 48kg",15,IF(Atletas!D225="Juvenil 52kg",16,IF(Atletas!D225="Juvenil 56kg",17,IF(Atletas!D225="Juvenil 60kg",18,IF(Atletas!D225="Juvenil 65kg",19,IF(Atletas!D225="Juvenil 70kg",20,IF(Atletas!D225="Juvenil 75kg",21,IF(Atletas!D225="Juvenil 80kg",22, IF(Atletas!D225="Juvenil 85kg",23,IF(Atletas!D225="Adulto 48kg",24,IF(Atletas!D225="Adulto 52kg",25,IF(Atletas!D225="Adulto 56kg",26,IF(Atletas!D225="Adulto 60kg",27,IF(Atletas!D225="Adulto 65kg",28,IF(Atletas!D225="Adulto 70kg",29,IF(Atletas!D225="Adulto 75kg",30,IF(Atletas!D225="Adulto 80kg",31,IF(Atletas!D225="Adulto 85kg",32,IF(Atletas!D225="Adulto 90kg",33,IF(Atletas!D225="Adulto 100kg",34, IF(Atletas!D225="Adulto +100kg",35,"")))))))))))))))))))))))))))))))))))))</f>
        <v/>
      </c>
      <c r="AS234" s="6" t="str">
        <f>IF(Atletas!E225="","",IF(Atletas!B225="Feminino",100,IF(Atletas!B225="Masculino",200,""))+(IF(Atletas!E225="Juvenil 44kg",1,IF(Atletas!E225="Juvenil 48kg",2,IF(Atletas!E225="Juvenil 52kg",3,IF(Atletas!E225="Juvenil 56kg",4,IF(Atletas!E225="Juvenil 60kg",5,IF(Atletas!E225="Juvenil 65kg",6,IF(Atletas!E225="Juvenil 70kg",7,IF(Atletas!E225="Juvenil 75kg",8,IF(Atletas!E225="Juvenil 82kg",9,IF(Atletas!E225="Juvenil 90kg",10,IF(Atletas!E225="Juvenil 100kg",11,IF(Atletas!E225="Adulto 48kg",12,IF(Atletas!E225="Adulto 52kg",13,IF(Atletas!E225="Adulto 56kg",14,IF(Atletas!E225="Adulto 60kg",15,IF(Atletas!E225="Adulto 65kg",16,IF(Atletas!E225="Adulto 70kg",17,IF(Atletas!E225="Adulto 75kg",18,IF(Atletas!E225="Adulto 82kg",19,IF(Atletas!E225="Adulto 90kg",20,IF(Atletas!E225="Adulto 100kg",21,IF(Atletas!E225="Adulto +100kg",22,""))))))))))))))))))))))))</f>
        <v/>
      </c>
      <c r="AX234" s="6" t="str">
        <f>IF(Atletas!F225="","",IF(Atletas!B225="Feminino",100,IF(Atletas!B225="Masculino",200,""))+(IF(Atletas!F225="Adulto 48kg",1,IF(Atletas!F225="Adulto 56kg",2,IF(Atletas!F225="Adulto 65kg",3,IF(Atletas!F225="Adulto 75kg",4,IF(Atletas!F225="Adulto +75kg",5,IF(Atletas!F225="Adulto 52kg",6,IF(Atletas!F225="Adulto 60kg",7,IF(Atletas!F225="Adulto 70kg",8,IF(Atletas!F225="Adulto 80kg",9,IF(Atletas!F225="Adulto 90kg",10,IF(Atletas!F225="Adulto +90kg",11,"")))))))))))))</f>
        <v/>
      </c>
      <c r="BC234" s="6" t="str">
        <f>IF(Atletas!G225="","",IF(Atletas!B225="Feminino",10,IF(Atletas!B225="Masculino",20,""))+(IF(Atletas!G225="Baduanjin A",1,IF(Atletas!G225="Baduanjin B",2))))</f>
        <v/>
      </c>
      <c r="BF234" s="52" t="str">
        <f>IF(Atletas!H225="","",IF(Atletas!B225="Feminino",100,IF(Atletas!B225="Masculino",200,""))+(IF(Atletas!H225="Changquan Mirim",1,IF(Atletas!H225="Nanquan Mirim",2,IF(Atletas!H225="Taijiquan Mirim",3,IF(Atletas!H225="Changquan Grupo C",4,IF(Atletas!H225="Nanquan Grupo C",5,IF(Atletas!H225="Taijiquan Grupo C",6,IF(Atletas!H225="Changquan Grupo B",7,IF(Atletas!H225="Nanquan Grupo B",8,IF(Atletas!H225="Taijiquan Grupo B",9,IF(Atletas!H225="Changquan Grupo A",10,IF(Atletas!H225="Nanquan Grupo A",11,IF(Atletas!H225="Taijiquan Grupo A",12,IF(Atletas!H225="Changquan Opcional",13,IF(Atletas!H225="Nanquan Opcional",14,IF(Atletas!H225="Taijiquan Opcional",15,IF(Atletas!H225="Changquan Adulto",16,IF(Atletas!H225="Nanquan Adulto",17,IF(Atletas!H225="Taijiquan Adulto",18,""))))))))))))))))))))</f>
        <v/>
      </c>
      <c r="BG234" s="52" t="str">
        <f>IF(Atletas!I225="","",IF(Atletas!B225="Feminino",100,IF(Atletas!B225="Masculino",200,""))+(IF(Atletas!I225="Daoshu Mirim",19,IF(Atletas!I225="Jianshu Mirim",20,IF(Atletas!I225="Nandao Mirim",21,IF(Atletas!I225="Taijijian Mirim",22,IF(Atletas!I225="Daoshu Grupo C",23,IF(Atletas!I225="Jianshu Grupo C",24,IF(Atletas!I225="Nandao Grupo C",25,IF(Atletas!I225="Taijijian Grupo C",26,IF(Atletas!I225="Daoshu Grupo B",27,IF(Atletas!I225="Jianshu Grupo B",28,IF(Atletas!I225="Nandao Grupo B",29,IF(Atletas!I225="Taijijian Grupo B",30,IF(Atletas!I225="Daoshu Grupo A",31,IF(Atletas!I225="Jianshu Grupo A",32,IF(Atletas!I225="Nandao Grupo A",33,IF(Atletas!I225="Taijijian Grupo A",34,IF(Atletas!I225="Daoshu Opcional",35,IF(Atletas!I225="Jianshu Opcional",36,IF(Atletas!I225="Nandao Opcional",37,IF(Atletas!I225="Taijijian Opcional",38,IF(Atletas!I225="Daoshu Adulto",39,IF(Atletas!I225="Jianshu Adulto",40,IF(Atletas!I225="Nandao Adulto",41,IF(Atletas!I225="Taijijian Adulto",42,""))))))))))))))))))))))))))</f>
        <v/>
      </c>
      <c r="BH234" s="52" t="str">
        <f>IF(Atletas!J225="","",IF(Atletas!B225="Feminino",100,IF(Atletas!B225="Masculino",200,""))+(IF(Atletas!J225="Gunshu Mirim",43,IF(Atletas!J225="Qiangshu Mirim",44,IF(Atletas!J225="Nangun Mirim",45,IF(Atletas!J225="Gunshu Grupo C",46,IF(Atletas!J225="Qiangshu Grupo C",47,IF(Atletas!J225="Nangun Grupo C",48,IF(Atletas!J225="Gunshu Grupo B",49,IF(Atletas!J225="Qiangshu Grupo B",50,IF(Atletas!J225="Nangun Grupo B",51,IF(Atletas!J225="Gunshu Grupo A",52,IF(Atletas!J225="Qiangshu Grupo A",53,IF(Atletas!J225="Nangun Grupo A",54,IF(Atletas!J225="Gunshu Opcional",55,IF(Atletas!J225="Qiangshu Opcional",56,IF(Atletas!J225="Nangun Opcional",57,IF(Atletas!J225="Gunshu Adulto",58,IF(Atletas!J225="Qiangshu Adulto",59,IF(Atletas!J225="Nangun Adulto",60,IF(Atletas!J225="Taijishan Grupo B",61,IF(Atletas!J225="Taijishan Grupo A",62,""))))))))))))))))))))))</f>
        <v/>
      </c>
      <c r="BM234" s="50" t="str">
        <f>IF(Atletas!K225="","",IF(Atletas!B225="Feminino",100,IF(Atletas!B225="Masculino",200,""))+(IF(Atletas!K225="Equipe 1 Grupo B",1,IF(Atletas!K225="Equipe 2 Grupo B",2,IF(Atletas!K225="Equipe 1 Grupo A",3,IF(Atletas!K225="Equipe 2 Grupo A",4,IF(Atletas!K225="Equipe 1 Adulto",5,IF(Atletas!K225="Equipe 2 Adulto",6,""))))))))</f>
        <v/>
      </c>
      <c r="BR234" s="50" t="str">
        <f>IF(Atletas!L225="","",IF(Atletas!X225&lt;&gt;"",10000,0)+(IF(Atletas!B225="Feminino",1000,IF(Atletas!B225="Masculino",2000,""))+IF(Atletas!L225="Choylayfut A",1,IF(Atletas!L225="Hunggar A",2,IF(Atletas!L225="Wuzuquan A",3,IF(Atletas!L225="Wingchun A",4,IF(Atletas!L225="Outra Mão de Sul A",5,IF(Atletas!L225="Choylayfut B",6,IF(Atletas!L225="Hunggar B",7,IF(Atletas!L225="Wuzuquan B",8,IF(Atletas!L225="Wingchun B",9,IF(Atletas!L225="Outra Mão de Sul B",10,IF(Atletas!L225="Choylayfut C",11,IF(Atletas!L225="Hunggar C",12,IF(Atletas!L225="Wuzuquan C",13,IF(Atletas!L225="Wingchun C",14,IF(Atletas!L225="Outra Mão de Sul C",15,IF(Atletas!L225="Choylayfut D",16,IF(Atletas!L225="Hunggar D",17,IF(Atletas!L225="Wuzuquan D",18,IF(Atletas!L225="Wingchun D",19,IF(Atletas!L225="Outra Mão de Sul D",20,IF(Atletas!L225="Choylayfut E",21,IF(Atletas!L225="Hunggar E",22,IF(Atletas!L225="Wuzuquan E",23,IF(Atletas!L225="Wingchun E",24,IF(Atletas!L225="Outra Mão de Sul E",25,IF(Atletas!L225="Choylayfut F",26,IF(Atletas!L225="Hunggar F",27,IF(Atletas!L225="Wuzuquan F",28,IF(Atletas!L225="Wingchun F",29,IF(Atletas!L225="Outra Mão de Sul F",30,IF(Atletas!L225="Dishuquan A",31,IF(Atletas!L225="Dishuquan B",32,IF(Atletas!L225="Dishuquan C",33,IF(Atletas!L225="Dishuquan D",34,IF(Atletas!L225="Dishuquan E",35,IF(Atletas!L225="Dishuquan F",36,""))))))))))))))))))))))))))))))))))))))</f>
        <v/>
      </c>
      <c r="BS234" s="50" t="str">
        <f>IF(Atletas!M225="","",IF(Atletas!X225&lt;&gt;"",10000,0)+(IF(Atletas!B225="Feminino",1000,IF(Atletas!B225="Masculino",2000,""))+(IF(Atletas!M225="Chaquan A",101,IF(Atletas!M225="Emeiquan A",102,IF(Atletas!M225="Fanziquan A",103,IF(Atletas!M225="Huaquan A",104,IF(Atletas!M225="Hongquan A",105,IF(Atletas!M225="Paoquan A",106,IF(Atletas!M225="Piguaquan A",107,IF(Atletas!M225="Shaolinquan A",108,IF(Atletas!M225="Tanglangquan A",109,IF(Atletas!M225="Yingzhaoquan A",110,IF(Atletas!M225="Tongbeiquan A",111,IF(Atletas!M225="Wudangquan A",112,IF(Atletas!M225="Outros Estilos A",113,IF(Atletas!M225="Chaquan B",114,IF(Atletas!M225="Emeiquan B",115,IF(Atletas!M225="Fanziquan B",116,IF(Atletas!M225="Huaquan B",117,IF(Atletas!M225="Hongquan B",118,IF(Atletas!M225="Paoquan B",119,IF(Atletas!M225="Piguaquan B",120,IF(Atletas!M225="Shaolinquan B",121,IF(Atletas!M225="Tanglangquan B",122,IF(Atletas!M225="Yingzhaoquan B",123,IF(Atletas!M225="Tongbeiquan B",124,IF(Atletas!M225="Wudangquan B",125,IF(Atletas!M225="Outros Estilos B",126,IF(Atletas!M225="Chaquan C",127,IF(Atletas!M225="Emeiquan C",128,IF(Atletas!M225="Fanziquan C",129,IF(Atletas!M225="Huaquan C",130,IF(Atletas!M225="Hongquan C",131,IF(Atletas!M225="Paoquan C",132,IF(Atletas!M225="Piguaquan C",133,IF(Atletas!M225="Shaolinquan C",134,IF(Atletas!M225="Tanglangquan C",135,IF(Atletas!M225="Yingzhaoquan C",136,IF(Atletas!M225="Tongbeiquan C",137,IF(Atletas!M225="Wudangquan C",138,IF(Atletas!M225="Outros Estilos C",139,0))))))))))))))))))))))))))))))))))))))))))</f>
        <v/>
      </c>
      <c r="BT234" s="50" t="str">
        <f>IF(Atletas!M225="","",IF(Atletas!X225&lt;&gt;"",10000,0)+(IF(Atletas!B225="Feminino",1000,IF(Atletas!B225="Masculino",2000,""))+(IF(Atletas!M225="Chaquan D",140,IF(Atletas!M225="Emeiquan D",141,IF(Atletas!M225="Fanziquan D",142,IF(Atletas!M225="Huaquan D",143,IF(Atletas!M225="Hongquan D",144,IF(Atletas!M225="Paoquan D",145,IF(Atletas!M225="Piguaquan D",146,IF(Atletas!M225="Shaolinquan D",147,IF(Atletas!M225="Tanglangquan D",148,IF(Atletas!M225="Yingzhaoquan D",149,IF(Atletas!M225="Tongbeiquan D",150,IF(Atletas!M225="Wudangquan D",151,IF(Atletas!M225="Outros Estilos D",152,IF(Atletas!M225="Chaquan E",153,IF(Atletas!M225="Emeiquan E",154,IF(Atletas!M225="Fanziquan E",155,IF(Atletas!M225="Huaquan E",156,IF(Atletas!M225="Hongquan E",157,IF(Atletas!M225="Paoquan E",158,IF(Atletas!M225="Piguaquan E",159,IF(Atletas!M225="Shaolinquan E",160,IF(Atletas!M225="Tanglangquan E",161,IF(Atletas!M225="Yingzhaoquan E",162,IF(Atletas!M225="Tongbeiquan E",163,IF(Atletas!M225="Wudangquan E",164,IF(Atletas!M225="Outros Estilos E",165,IF(Atletas!M225="Chaquan F",166,IF(Atletas!M225="Emeiquan F",167,IF(Atletas!M225="Fanziquan F",168,IF(Atletas!M225="Huaquan F",169,IF(Atletas!M225="Hongquan F",170,IF(Atletas!M225="Paoquan F",171,IF(Atletas!M225="Piguaquan F",172,IF(Atletas!M225="Shaolinquan F",173,IF(Atletas!M225="Tanglangquan F",174,IF(Atletas!M225="Yingzhaoquan F",175,IF(Atletas!M225="Tongbeiquan F",176,IF(Atletas!M225="Wudangquan F",177,IF(Atletas!M225="Outros Estilos F",178,0))))))))))))))))))))))))))))))))))))))))))</f>
        <v/>
      </c>
      <c r="BU234" s="50" t="str">
        <f>IF(Atletas!N225="","",IF(Atletas!X225&lt;&gt;"",10000,0)+(IF(Atletas!B225="Feminino",1000,IF(Atletas!B225="Masculino",2000,""))+(IF(Atletas!N225="Ditangquan A",201,IF(Atletas!N225="Houquan A",202,IF(Atletas!N225="Zuiquan A",203,IF(Atletas!N225="Ditangquan B",204,IF(Atletas!N225="Houquan B",205,IF(Atletas!N225="Zuiquan B",206,IF(Atletas!N225="Ditangquan C",207,IF(Atletas!N225="Houquan C",208,IF(Atletas!N225="Zuiquan C",209,IF(Atletas!N225="Ditangquan D",210,IF(Atletas!N225="Houquan D",211,IF(Atletas!N225="Zuiquan D",212,IF(Atletas!N225="Ditangquan E",213,IF(Atletas!N225="Houquan E",214,IF(Atletas!N225="Zuiquan E",215,IF(Atletas!N225="Ditangquan F",216,IF(Atletas!N225="Houquan F",217,IF(Atletas!N225="Zuiquan F",218,"")))))))))))))))))))))</f>
        <v/>
      </c>
      <c r="BV234" s="50" t="str">
        <f>IF(Atletas!O225="","",IF(Atletas!X225&lt;&gt;"",10000,0)+IF(Atletas!B225="Feminino",1000,IF(Atletas!B225="Masculino",2000,""))+IF(Atletas!O225="Yang A",301,IF(Atletas!O225="Chen A",302,IF(Atletas!O225="Sun A",303,IF(Atletas!O225="Wu A",304,IF(Atletas!O225="Wu-Hao A",305,IF(Atletas!O225="Outro Taijiquan A",306,IF(Atletas!O225="Yang B",307,IF(Atletas!O225="Chen B",308,IF(Atletas!O225="Sun B",309,IF(Atletas!O225="Wu B",310,IF(Atletas!O225="Wu-Hao B",311,IF(Atletas!O225="Outro Taijiquan B",312,IF(Atletas!O225="Yang C",313,IF(Atletas!O225="Chen C",314,IF(Atletas!O225="Sun C",315,IF(Atletas!O225="Wu C",316,IF(Atletas!O225="Wu-Hao C",317,IF(Atletas!O225="Outro Taijiquan C",318,IF(Atletas!O225="Yang D",319,IF(Atletas!O225="Chen D",320,IF(Atletas!O225="Sun D",321,IF(Atletas!O225="Wu D",322,IF(Atletas!O225="Wu-Hao D",323,IF(Atletas!O225="Outro Taijiquan D",324,IF(Atletas!O225="Yang E",325,IF(Atletas!O225="Chen E",326,IF(Atletas!O225="Sun E",327,IF(Atletas!O225="Wu E",328,IF(Atletas!O225="Wu-Hao E",329,IF(Atletas!O225="Outro Taijiquan E",330,IF(Atletas!O225="Yang F",331,IF(Atletas!O225="Chen F",332,IF(Atletas!O225="Sun F",333,IF(Atletas!O225="Wu F",334,IF(Atletas!O225="Wu-Hao F",335,IF(Atletas!O225="Outro Taijiquan F",336,"")))))))))))))))))))))))))))))))))))))</f>
        <v/>
      </c>
      <c r="BW234" s="50" t="str">
        <f>IF(Atletas!P225="","",IF(Atletas!X225&lt;&gt;"",10000,0)+IF(Atletas!B225="Feminino",1000,IF(Atletas!B225="Masculino",2000,""))+IF(OR(Atletas!P225="Yang 26 A",Atletas!P225="Yang 40 A"),401,IF(OR(Atletas!P225="Chen 25 A",Atletas!P225="Chen 36 A",Atletas!P225="Chen 56 A"),402,IF(Atletas!P225="Sun 73 A",403,IF(Atletas!P225="Wu 45 A",404,IF(Atletas!P225="Wu-Hao 46 A",405,IF(OR(Atletas!P225="Taijiquan 16 A",Atletas!P225="Taijiquan 24 A",Atletas!P225="Taijiquan 32 A",Atletas!P225="Taijiquan 42 A"),406,IF(OR(Atletas!P225="Yang 26 B",Atletas!P225="Yang 40 B"),407,IF(OR(Atletas!P225="Chen 25 B",Atletas!P225="Chen 36 B",Atletas!P225="Chen 56 B"),408,IF(Atletas!P225="Sun 73 B",409,IF(Atletas!P225="Wu 45 B",410,IF(Atletas!P225="Wu-Hao 46 B",411,IF(OR(Atletas!P225="Taijiquan 16 B",Atletas!P225="Taijiquan 24 B",Atletas!P225="Taijiquan 32 B",Atletas!P225="Taijiquan 42 B"),412,IF(OR(Atletas!P225="Yang 26 C",Atletas!P225="Yang 40 C"),413,IF(OR(Atletas!P225="Chen 25 C",Atletas!P225="Chen 36 C",Atletas!P225="Chen 56 C"),414,IF(Atletas!P225="Sun 73 C",415,IF(Atletas!P225="Wu 45 C",416,IF(Atletas!P225="Wu-Hao 46 C",417,IF(OR(Atletas!P225="Taijiquan 16 C",Atletas!P225="Taijiquan 24 C",Atletas!P225="Taijiquan 32 C",Atletas!P225="Taijiquan 42 C"),418,0)))))))))))))))))))</f>
        <v/>
      </c>
      <c r="BX234" s="50" t="str">
        <f>IF(Atletas!P225="","",IF(Atletas!X225&lt;&gt;"",10000,0)+IF(Atletas!B225="Feminino",1000,IF(Atletas!B225="Masculino",2000,""))+IF(OR(Atletas!P225="Yang 26 D",Atletas!P225="Yang 40 D"),419,IF(OR(Atletas!P225="Chen 25 D",Atletas!P225="Chen 36 D",Atletas!P225="Chen 56 D"),420,IF(Atletas!P225="Sun 73 D",421,IF(Atletas!P225="Wu 45 D",422,IF(Atletas!P225="Wu-Hao 46 D",423,IF(OR(Atletas!P225="Taijiquan 16 D",Atletas!P225="Taijiquan 24 D",Atletas!P225="Taijiquan 32 D",Atletas!P225="Taijiquan 42 D"),424,IF(OR(Atletas!P225="Yang 26 E",Atletas!P225="Yang 40 E"),425,IF(OR(Atletas!P225="Chen 25 E",Atletas!P225="Chen 36 E",Atletas!P225="Chen 56 E"),426,IF(Atletas!P225="Sun 73 E",427,IF(Atletas!P225="Wu 45 E",428,IF(Atletas!P225="Wu-Hao 46 E",429,IF(OR(Atletas!P225="Taijiquan 16 E",Atletas!P225="Taijiquan 24 E",Atletas!P225="Taijiquan 32 E",Atletas!P225="Taijiquan 42 E"),430,IF(OR(Atletas!P225="Yang 26 F",Atletas!P225="Yang 40 F"),431,IF(OR(Atletas!P225="Chen 25 F",Atletas!P225="Chen 36 F",Atletas!P225="Chen 56 F"),432,IF(Atletas!P225="Sun 73 F",433,IF(Atletas!P225="Wu 45 F",434,IF(Atletas!P225="Wu-Hao 46 F",435,IF(OR(Atletas!P225="Taijiquan 16 F",Atletas!P225="Taijiquan 24 F",Atletas!P225="Taijiquan 32 F",Atletas!P225="Taijiquan 42 F"),436,0)))))))))))))))))))</f>
        <v/>
      </c>
      <c r="BY234" s="50" t="str">
        <f>IF(Atletas!Q225="","",IF(Atletas!X225&lt;&gt;"",10000,0)+IF(Atletas!B225="Feminino",1000,IF(Atletas!B225="Masculino",2000,""))+IF(Atletas!Q225="Xingyiquan A",501,IF(Atletas!Q225="Baguazhang A",502,IF(Atletas!Q225="Outro Estilo Interno A",503,IF(Atletas!Q225="Xingyiquan B",504,IF(Atletas!Q225="Baguazhang B",505,IF(Atletas!Q225="Outro Estilo Interno B",506,IF(Atletas!Q225="Xingyiquan C",507,IF(Atletas!Q225="Baguazhang C",508,IF(Atletas!Q225="Outro Estilo Interno C",509,IF(Atletas!Q225="Xingyiquan D",510,IF(Atletas!Q225="Baguazhang D",511,IF(Atletas!Q225="Outro Estilo Interno D",512,IF(Atletas!Q225="Xingyiquan E",513,IF(Atletas!Q225="Baguazhang E",514,IF(Atletas!Q225="Outro Estilo Interno E",515,IF(Atletas!Q225="Xingyiquan F",516,IF(Atletas!Q225="Baguazhang F",517,IF(Atletas!Q225="Outro Estilo Interno F",518, "")))))))))))))))))))</f>
        <v/>
      </c>
      <c r="BZ234" s="50" t="str">
        <f>IF(Atletas!R225="","",IF(Atletas!X225&lt;&gt;"",10000,0)+IF(Atletas!B225="Feminino",1000,IF(Atletas!B225="Masculino",2000,""))+IF(Atletas!R225="Dao A",601,IF(Atletas!R225="Jian A",602,IF(Atletas!R225="Bishou A",603,IF(Atletas!R225="Shanzi A",604,IF(Atletas!R225="Outra Arma Curta A",605,IF(Atletas!R225="Dao B",606,IF(Atletas!R225="Jian B",607,IF(Atletas!R225="Bishou B",608,IF(Atletas!R225="Shanzi B",609,IF(Atletas!R225="Outra Arma Curta B",610,IF(Atletas!R225="Dao C",611,IF(Atletas!R225="Jian C",612,IF(Atletas!R225="Bishou C",613,IF(Atletas!R225="Shanzi C",614,IF(Atletas!R225="Outra Arma Curta C",615,IF(Atletas!R225="Dao D",616,IF(Atletas!R225="Jian D",617,IF(Atletas!R225="Bishou D",618,IF(Atletas!R225="Shanzi D",619,IF(Atletas!R225="Outra Arma Curta D",620,IF(Atletas!R225="Dao E",621,IF(Atletas!R225="Jian E",622,IF(Atletas!R225="Bishou E",623,IF(Atletas!R225="Shanzi E",624,IF(Atletas!R225="Outra Arma Curta E",625,IF(Atletas!R225="Dao F",626,IF(Atletas!R225="Jian F",627,IF(Atletas!R225="Bishou F",628,IF(Atletas!R225="Shanzi F",629,IF(Atletas!R225="Outra Arma Curta F",630, "")))))))))))))))))))))))))))))))</f>
        <v/>
      </c>
      <c r="CA234" s="50" t="str">
        <f>IF(Atletas!S225="","",IF(Atletas!X225&lt;&gt;"",10000,0)+IF(Atletas!B225="Feminino",1000,IF(Atletas!B225="Masculino",2000,""))+IF(Atletas!S225="Gun A",701,IF(Atletas!S225="Qiang A",702,IF(Atletas!S225="Pudao / Guandao A",703,IF(Atletas!S225="Outra Arma Longa A",704,IF(Atletas!S225="Gun B",705,IF(Atletas!S225="Qiang B",706,IF(Atletas!S225="Pudao / Guandao B",707,IF(Atletas!S225="Outra Arma Longa B",708,IF(Atletas!S225="Gun C",709,IF(Atletas!S225="Qiang C",710,IF(Atletas!S225="Pudao / Guandao C",711,IF(Atletas!S225="Outra Arma Longa C",712,IF(Atletas!S225="Gun D",713,IF(Atletas!S225="Qiang D",714,IF(Atletas!S225="Pudao / Guandao D",715,IF(Atletas!S225="Outra Arma Longa D",716,IF(Atletas!S225="Gun E",717,IF(Atletas!S225="Qiang E",718,IF(Atletas!S225="Pudao / Guandao E",719,IF(Atletas!S225="Outra Arma Longa E",720,IF(Atletas!S225="Gun F",721,IF(Atletas!S225="Qiang F",722,IF(Atletas!S225="Pudao / Guandao F",723,IF(Atletas!S225="Outra Arma Longa F",724,"")))))))))))))))))))))))))</f>
        <v/>
      </c>
      <c r="CB234" s="50" t="str">
        <f>IF(Atletas!T225="","",IF(Atletas!X225&lt;&gt;"",10000,0)+IF(Atletas!B225="Feminino",1000,IF(Atletas!B225="Masculino",2000,""))+IF(Atletas!T225="Outra Arma Dupla A",801,IF(Atletas!T225="Arma Maleável A",802,IF(Atletas!T225="Outra Arma Dupla B",803,IF(Atletas!T225="Arma Maleável B",804,IF(Atletas!T225="Outra Arma Dupla C",805,IF(Atletas!T225="Arma Maleável C",806,IF(Atletas!T225="Outra Arma Dupla D",807,IF(Atletas!T225="Arma Maleável D",808,IF(Atletas!T225="Outra Arma Dupla E",809,IF(Atletas!T225="Arma Maleável E",810,IF(Atletas!T225="Outra Arma Dupla F",811,IF(Atletas!T225="Arma Maleável F",812,IF(Atletas!T225="Shuangdao A",813,IF(Atletas!T225="Shuangdao B",814,IF(Atletas!T225="Shuangdao C",815,IF(Atletas!T225="Shuangdao D",816,IF(Atletas!T225="Shuangdao E",817,IF(Atletas!T225="Shuangdao F",818,"")))))))))))))))))))</f>
        <v/>
      </c>
      <c r="CC234" s="50" t="str">
        <f>IF(Atletas!U225="","",IF(Atletas!X225&lt;&gt;"",10000,0)+IF(Atletas!B225="Feminino",1000,IF(Atletas!B225="Masculino",2000,""))+IF(OR(Atletas!U225="Taijijian Yang A",Atletas!U225="Taijijian Yang Standard A"),901,IF(OR(Atletas!U225="Taijijian Chen A", Atletas!U225="Taijijian Chen Standard A"),902,IF(Atletas!U225="Taijijian Sun A",903,IF(Atletas!U225="Taijijian Wu A",904,IF(Atletas!U225="Taijijian Wu-Hao A",905,IF(OR(Atletas!U225="Taijijian 32 A",Atletas!U225="Taijijian 42 A"),906,IF(OR(Atletas!U225="Taijijian Yang B",Atletas!U225="Taijijian Yang Standard B"),907,IF(OR(Atletas!U225="Taijijian Chen B", Atletas!U225="Taijijian Chen Standard B"),908,IF(Atletas!U225="Taijijian Sun B",909,IF(Atletas!U225="Taijijian Wu B",910,IF(Atletas!U225="Taijijian Wu-Hao B",911,IF(OR(Atletas!U225="Taijijian 32 B",Atletas!U225="Taijijian 42 B"),912,IF(OR(Atletas!U225="Taijijian Yang C",Atletas!U225="Taijijian Yang Standard C"),913,IF(OR(Atletas!U225="Taijijian Chen C", Atletas!U225="Taijijian Chen Standard C"),914,IF(Atletas!U225="Taijijian Sun C",915,IF(Atletas!U225="Taijijian Wu C",916,IF(Atletas!U225="Taijijian Wu-Hao C",917,IF(OR(Atletas!U225="Taijijian 32 C",Atletas!U225="Taijijian 42 C"),918,IF(OR(Atletas!U225="Taijijian Yang D",Atletas!U225="Taijijian Yang Standard D"),919,IF(OR(Atletas!U225="Taijijian Chen D", Atletas!U225="Taijijian Chen Standard D"),920,IF(Atletas!U225="Taijijian Sun D",921,IF(Atletas!U225="Taijijian Wu D",922,IF(Atletas!U225="Taijijian Wu-Hao D",923,IF(OR(Atletas!U225="Taijijian 32 D",Atletas!U225="Taijijian 42 D"),924,IF(OR(Atletas!U225="Taijijian Yang E",Atletas!U225="Taijijian Yang Standard E"),925,IF(OR(Atletas!U225="Taijijian Chen E", Atletas!U225="Taijijian Chen Standard E"),926,IF(Atletas!U225="Taijijian Sun E",927,IF(Atletas!U225="Taijijian Wu E",928,IF(Atletas!U225="Taijijian Wu-Hao E",929,IF(OR(Atletas!U225="Taijijian 32 E",Atletas!U225="Taijijian 42 E"),930,IF(OR(Atletas!U225="Taijijian Yang F",Atletas!U225="Taijijian Yang Standard F"),931,IF(OR(Atletas!U225="Taijijian Chen F", Atletas!U225="Taijijian Chen Standard F"),932,IF(Atletas!U225="Taijijian Sun F",933,IF(Atletas!U225="Taijijian Wu F",934,IF(Atletas!U225="Taijijian Wu-Hao F",935,IF(OR(Atletas!U225="Taijijian 32 F",Atletas!U225="Taijijian 42 F"),936,"")))))))))))))))))))))))))))))))))))))</f>
        <v/>
      </c>
      <c r="CD234" s="50" t="str">
        <f>IF(Atletas!V225="","",IF(Atletas!X225&lt;&gt;"",10000,0)+IF(Atletas!B225="Feminino",1000,IF(Atletas!B225="Masculino",2000,""))+IF(Atletas!V225="Taijidao A",937,IF(Atletas!V225="TaijiShanzi A",938,IF(Atletas!V225="Taijiqiang A",939,IF(Atletas!V225="Bagua de Arma A",940,IF(Atletas!V225="Xingyi de Arma A",941,IF(Atletas!V225="Taijidao B",942,IF(Atletas!V225="TaijiShanzi B",943,IF(Atletas!V225="Taijiqiang B",944,IF(Atletas!V225="Bagua de Arma B",945,IF(Atletas!V225="Xingyi de Arma B",946,IF(Atletas!V225="Taijidao C",947,IF(Atletas!V225="TaijiShanzi C",948,IF(Atletas!V225="Taijiqiang C",949,IF(Atletas!V225="Bagua de Arma C",950,IF(Atletas!V225="Xingyi de Arma C",951,IF(Atletas!V225="Taijidao D",952,IF(Atletas!V225="TaijiShanzi D",953,IF(Atletas!V225="Taijiqiang D",954,IF(Atletas!V225="Bagua de Arma D",955,IF(Atletas!V225="Xingyi de Arma D",956,IF(Atletas!V225="Taijidao E",957,IF(Atletas!V225="TaijiShanzi E",958,IF(Atletas!V225="Taijiqiang E",959,IF(Atletas!V225="Bagua de Arma E",960,IF(Atletas!V225="Xingyi de Arma E",961,IF(Atletas!V225="Taijidao F",962,IF(Atletas!V225="TaijiShanzi F",963,IF(Atletas!V225="Taijiqiang F",964,IF(Atletas!V225="Bagua de Arma F",965,IF(Atletas!V225="Xingyi de Arma F",966,"")))))))))))))))))))))))))))))))</f>
        <v/>
      </c>
      <c r="CE234" s="66" t="str">
        <f>IF(CF234&lt;&gt;"","Dao B","")</f>
        <v/>
      </c>
      <c r="CF234" s="66" t="str">
        <f>IF(COUNTIF(BR:CD,1606)&gt;0,COUNTIF(BR:CD,1606),"")</f>
        <v/>
      </c>
      <c r="CG234" s="66" t="str">
        <f>IF(CH234&lt;&gt;"","Dao B","")</f>
        <v/>
      </c>
      <c r="CH234" s="66" t="str">
        <f>IF(COUNTIF(BR:CD,2606)&gt;0,COUNTIF(BR:CD,2606),"")</f>
        <v/>
      </c>
      <c r="CI234" s="66" t="str">
        <f>IF(CJ234&lt;&gt;"","Jian C","")</f>
        <v/>
      </c>
      <c r="CJ234" s="66" t="str">
        <f>IF(COUNTIF(BR:CD,11612)&gt;0,COUNTIF(BR:CD,11612),"")</f>
        <v/>
      </c>
      <c r="CK234" s="66" t="str">
        <f>IF(CL234&lt;&gt;"","Jian C","")</f>
        <v/>
      </c>
      <c r="CL234" s="66" t="str">
        <f>IF(COUNTIF(BR:CD,12612)&gt;0,COUNTIF(BR:CD,12612),"")</f>
        <v/>
      </c>
      <c r="CM234" s="50" t="str">
        <f xml:space="preserve"> IF(Atletas!W225="","",IF(Atletas!W225="Duilian de Mãos BC - Equipe 1",1,IF(Atletas!W225="Duilian de Mãos BC - Equipe 2",2,IF(Atletas!W225="Duilian de Armas BC - Equipe 1",3,IF(Atletas!W225="Duilian de Armas BC - Equipe 2",4,IF(Atletas!W225="Duilian de Mãos DE - Equipe 1",5,IF(Atletas!W225="Duilian de Mãos DE - Equipe 2",6,IF(Atletas!W225="Duilian de Armas DE - Equipe 1",7,IF(Atletas!W225="Duilian de Armas DE - Equipe 2",8,IF(Atletas!W225="Duilian de Tuishou - Equipe 1",9,IF(Atletas!W225="Duilian de Tuishou - Equipe 2",10,IF(Atletas!W225="Grupo Externo ABC - Equipe 1",11,IF(Atletas!W225="Grupo Externo ABC - Equipe 2",12,IF(Atletas!W225="Grupo Interno ABC - Equipe 1",13,IF(Atletas!W225="Grupo Interno ABC - Equipe 2",14,IF(Atletas!W225="Grupo Externo DEF - Equipe 1",15,IF(Atletas!W225="Grupo Externo DEF - Equipe 2",16,IF(Atletas!W225="Grupo Interno DEF - Equipe 1",17,IF(Atletas!W225="Grupo Interno DEF - Equipe 2",18,"")))))))))))))))))))</f>
        <v/>
      </c>
    </row>
    <row r="235" spans="2:91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 t="str">
        <f t="array" ref="Z235">IFERROR(INDEX(CE$7:CE$348,SMALL(IF(CE$7:CE$348&lt;&gt;"",ROW(CE$7:CE$348)-ROW(CE$7)+1),ROWS(CE$7:CE234))),"")</f>
        <v/>
      </c>
      <c r="AA235" s="3" t="str">
        <f t="array" ref="AA235">IFERROR(INDEX(CF$7:CF$348,SMALL(IF(CF$7:CF$348&lt;&gt;"",ROW(CF$7:CF$348)-ROW(CF$7)+1),ROWS(CF$7:CF234))),"")</f>
        <v/>
      </c>
      <c r="AB235" s="3" t="str">
        <f t="array" ref="AB235">IFERROR(INDEX(CG$7:CG$348,SMALL(IF(CG$7:CG$348&lt;&gt;"",ROW(CG$7:CG$348)-ROW(CG$7)+1),ROWS(CG$7:CG234))),"")</f>
        <v/>
      </c>
      <c r="AC235" s="3" t="str">
        <f t="array" ref="AC235">IFERROR(INDEX(CH$7:CH$348,SMALL(IF(CH$7:CH$348&lt;&gt;"",ROW(CH$7:CH$348)-ROW(CH$7)+1),ROWS(CH$7:CH234))),"")</f>
        <v/>
      </c>
      <c r="AD235" s="3" t="str">
        <f t="array" ref="AD235">IFERROR(INDEX(CI$7:CI$377,SMALL(IF(CI$7:CI$377&lt;&gt;"",ROW(CI$7:CI$377)-ROW(CI$7)+1),ROWS(CI$7:CI234))),"")</f>
        <v/>
      </c>
      <c r="AE235" s="3" t="str">
        <f t="array" ref="AE235">IFERROR(INDEX(CJ$7:CJ$378,SMALL(IF(CJ$7:CJ$378&lt;&gt;"",ROW(CJ$7:CJ$378)-ROW(CJ$7)+1),ROWS(CJ$7:CJ234))),"")</f>
        <v/>
      </c>
      <c r="AF235" s="3" t="str">
        <f t="array" ref="AF235">IFERROR(INDEX(CK$7:CK$378,SMALL(IF(CK$7:CK$378&lt;&gt;"",ROW(CK$7:CK$378)-ROW(CK$7)+1),ROWS(CK$7:CK234))),"")</f>
        <v/>
      </c>
      <c r="AG235" s="3" t="str">
        <f t="array" ref="AG235">IFERROR(INDEX(CL$7:CL$378,SMALL(IF(CL$7:CL$378&lt;&gt;"",ROW(CL$7:CL$378)-ROW(CL$7)+1),ROWS(CL$7:CL234))),"")</f>
        <v/>
      </c>
      <c r="AH235" s="3"/>
      <c r="AI235" s="3"/>
      <c r="AJ235" s="3"/>
      <c r="AK235" s="3"/>
      <c r="AL235" s="3"/>
      <c r="AM235" s="3"/>
      <c r="AN235" s="52" t="str">
        <f>IF(Atletas!D226="","",IF(Atletas!B226="Feminino",100,IF(Atletas!B226="Masculino",200,""))+(IF(Atletas!D226="Kids 30kg",1,IF(Atletas!D226="Kids 32kg",2, IF(Atletas!D226="Kids 34kg",3,IF(Atletas!D226="Kids 36kg",4,IF(Atletas!D226="Kids 39kg",5,IF(Atletas!D226="Kids 42kg",6,IF(Atletas!D226="Kids 45kg",7, IF(Atletas!D226="Infantil 39kg",8,IF(Atletas!D226="Infantil 42kg",9,IF(Atletas!D226="Infantil 45kg",10,IF(Atletas!D226="Infantil 48kg",11,IF(Atletas!D226="Infantil 52kg",12,IF(Atletas!D226="Infantil 56kg",13,IF(Atletas!D226="Infantil 60kg",14,IF(Atletas!D226="Juvenil 48kg",15,IF(Atletas!D226="Juvenil 52kg",16,IF(Atletas!D226="Juvenil 56kg",17,IF(Atletas!D226="Juvenil 60kg",18,IF(Atletas!D226="Juvenil 65kg",19,IF(Atletas!D226="Juvenil 70kg",20,IF(Atletas!D226="Juvenil 75kg",21,IF(Atletas!D226="Juvenil 80kg",22, IF(Atletas!D226="Juvenil 85kg",23,IF(Atletas!D226="Adulto 48kg",24,IF(Atletas!D226="Adulto 52kg",25,IF(Atletas!D226="Adulto 56kg",26,IF(Atletas!D226="Adulto 60kg",27,IF(Atletas!D226="Adulto 65kg",28,IF(Atletas!D226="Adulto 70kg",29,IF(Atletas!D226="Adulto 75kg",30,IF(Atletas!D226="Adulto 80kg",31,IF(Atletas!D226="Adulto 85kg",32,IF(Atletas!D226="Adulto 90kg",33,IF(Atletas!D226="Adulto 100kg",34, IF(Atletas!D226="Adulto +100kg",35,"")))))))))))))))))))))))))))))))))))))</f>
        <v/>
      </c>
      <c r="AS235" s="6" t="str">
        <f>IF(Atletas!E226="","",IF(Atletas!B226="Feminino",100,IF(Atletas!B226="Masculino",200,""))+(IF(Atletas!E226="Juvenil 44kg",1,IF(Atletas!E226="Juvenil 48kg",2,IF(Atletas!E226="Juvenil 52kg",3,IF(Atletas!E226="Juvenil 56kg",4,IF(Atletas!E226="Juvenil 60kg",5,IF(Atletas!E226="Juvenil 65kg",6,IF(Atletas!E226="Juvenil 70kg",7,IF(Atletas!E226="Juvenil 75kg",8,IF(Atletas!E226="Juvenil 82kg",9,IF(Atletas!E226="Juvenil 90kg",10,IF(Atletas!E226="Juvenil 100kg",11,IF(Atletas!E226="Adulto 48kg",12,IF(Atletas!E226="Adulto 52kg",13,IF(Atletas!E226="Adulto 56kg",14,IF(Atletas!E226="Adulto 60kg",15,IF(Atletas!E226="Adulto 65kg",16,IF(Atletas!E226="Adulto 70kg",17,IF(Atletas!E226="Adulto 75kg",18,IF(Atletas!E226="Adulto 82kg",19,IF(Atletas!E226="Adulto 90kg",20,IF(Atletas!E226="Adulto 100kg",21,IF(Atletas!E226="Adulto +100kg",22,""))))))))))))))))))))))))</f>
        <v/>
      </c>
      <c r="AX235" s="6" t="str">
        <f>IF(Atletas!F226="","",IF(Atletas!B226="Feminino",100,IF(Atletas!B226="Masculino",200,""))+(IF(Atletas!F226="Adulto 48kg",1,IF(Atletas!F226="Adulto 56kg",2,IF(Atletas!F226="Adulto 65kg",3,IF(Atletas!F226="Adulto 75kg",4,IF(Atletas!F226="Adulto +75kg",5,IF(Atletas!F226="Adulto 52kg",6,IF(Atletas!F226="Adulto 60kg",7,IF(Atletas!F226="Adulto 70kg",8,IF(Atletas!F226="Adulto 80kg",9,IF(Atletas!F226="Adulto 90kg",10,IF(Atletas!F226="Adulto +90kg",11,"")))))))))))))</f>
        <v/>
      </c>
      <c r="BC235" s="6" t="str">
        <f>IF(Atletas!G226="","",IF(Atletas!B226="Feminino",10,IF(Atletas!B226="Masculino",20,""))+(IF(Atletas!G226="Baduanjin A",1,IF(Atletas!G226="Baduanjin B",2))))</f>
        <v/>
      </c>
      <c r="BF235" s="52" t="str">
        <f>IF(Atletas!H226="","",IF(Atletas!B226="Feminino",100,IF(Atletas!B226="Masculino",200,""))+(IF(Atletas!H226="Changquan Mirim",1,IF(Atletas!H226="Nanquan Mirim",2,IF(Atletas!H226="Taijiquan Mirim",3,IF(Atletas!H226="Changquan Grupo C",4,IF(Atletas!H226="Nanquan Grupo C",5,IF(Atletas!H226="Taijiquan Grupo C",6,IF(Atletas!H226="Changquan Grupo B",7,IF(Atletas!H226="Nanquan Grupo B",8,IF(Atletas!H226="Taijiquan Grupo B",9,IF(Atletas!H226="Changquan Grupo A",10,IF(Atletas!H226="Nanquan Grupo A",11,IF(Atletas!H226="Taijiquan Grupo A",12,IF(Atletas!H226="Changquan Opcional",13,IF(Atletas!H226="Nanquan Opcional",14,IF(Atletas!H226="Taijiquan Opcional",15,IF(Atletas!H226="Changquan Adulto",16,IF(Atletas!H226="Nanquan Adulto",17,IF(Atletas!H226="Taijiquan Adulto",18,""))))))))))))))))))))</f>
        <v/>
      </c>
      <c r="BG235" s="52" t="str">
        <f>IF(Atletas!I226="","",IF(Atletas!B226="Feminino",100,IF(Atletas!B226="Masculino",200,""))+(IF(Atletas!I226="Daoshu Mirim",19,IF(Atletas!I226="Jianshu Mirim",20,IF(Atletas!I226="Nandao Mirim",21,IF(Atletas!I226="Taijijian Mirim",22,IF(Atletas!I226="Daoshu Grupo C",23,IF(Atletas!I226="Jianshu Grupo C",24,IF(Atletas!I226="Nandao Grupo C",25,IF(Atletas!I226="Taijijian Grupo C",26,IF(Atletas!I226="Daoshu Grupo B",27,IF(Atletas!I226="Jianshu Grupo B",28,IF(Atletas!I226="Nandao Grupo B",29,IF(Atletas!I226="Taijijian Grupo B",30,IF(Atletas!I226="Daoshu Grupo A",31,IF(Atletas!I226="Jianshu Grupo A",32,IF(Atletas!I226="Nandao Grupo A",33,IF(Atletas!I226="Taijijian Grupo A",34,IF(Atletas!I226="Daoshu Opcional",35,IF(Atletas!I226="Jianshu Opcional",36,IF(Atletas!I226="Nandao Opcional",37,IF(Atletas!I226="Taijijian Opcional",38,IF(Atletas!I226="Daoshu Adulto",39,IF(Atletas!I226="Jianshu Adulto",40,IF(Atletas!I226="Nandao Adulto",41,IF(Atletas!I226="Taijijian Adulto",42,""))))))))))))))))))))))))))</f>
        <v/>
      </c>
      <c r="BH235" s="52" t="str">
        <f>IF(Atletas!J226="","",IF(Atletas!B226="Feminino",100,IF(Atletas!B226="Masculino",200,""))+(IF(Atletas!J226="Gunshu Mirim",43,IF(Atletas!J226="Qiangshu Mirim",44,IF(Atletas!J226="Nangun Mirim",45,IF(Atletas!J226="Gunshu Grupo C",46,IF(Atletas!J226="Qiangshu Grupo C",47,IF(Atletas!J226="Nangun Grupo C",48,IF(Atletas!J226="Gunshu Grupo B",49,IF(Atletas!J226="Qiangshu Grupo B",50,IF(Atletas!J226="Nangun Grupo B",51,IF(Atletas!J226="Gunshu Grupo A",52,IF(Atletas!J226="Qiangshu Grupo A",53,IF(Atletas!J226="Nangun Grupo A",54,IF(Atletas!J226="Gunshu Opcional",55,IF(Atletas!J226="Qiangshu Opcional",56,IF(Atletas!J226="Nangun Opcional",57,IF(Atletas!J226="Gunshu Adulto",58,IF(Atletas!J226="Qiangshu Adulto",59,IF(Atletas!J226="Nangun Adulto",60,IF(Atletas!J226="Taijishan Grupo B",61,IF(Atletas!J226="Taijishan Grupo A",62,""))))))))))))))))))))))</f>
        <v/>
      </c>
      <c r="BM235" s="50" t="str">
        <f>IF(Atletas!K226="","",IF(Atletas!B226="Feminino",100,IF(Atletas!B226="Masculino",200,""))+(IF(Atletas!K226="Equipe 1 Grupo B",1,IF(Atletas!K226="Equipe 2 Grupo B",2,IF(Atletas!K226="Equipe 1 Grupo A",3,IF(Atletas!K226="Equipe 2 Grupo A",4,IF(Atletas!K226="Equipe 1 Adulto",5,IF(Atletas!K226="Equipe 2 Adulto",6,""))))))))</f>
        <v/>
      </c>
      <c r="BR235" s="50" t="str">
        <f>IF(Atletas!L226="","",IF(Atletas!X226&lt;&gt;"",10000,0)+(IF(Atletas!B226="Feminino",1000,IF(Atletas!B226="Masculino",2000,""))+IF(Atletas!L226="Choylayfut A",1,IF(Atletas!L226="Hunggar A",2,IF(Atletas!L226="Wuzuquan A",3,IF(Atletas!L226="Wingchun A",4,IF(Atletas!L226="Outra Mão de Sul A",5,IF(Atletas!L226="Choylayfut B",6,IF(Atletas!L226="Hunggar B",7,IF(Atletas!L226="Wuzuquan B",8,IF(Atletas!L226="Wingchun B",9,IF(Atletas!L226="Outra Mão de Sul B",10,IF(Atletas!L226="Choylayfut C",11,IF(Atletas!L226="Hunggar C",12,IF(Atletas!L226="Wuzuquan C",13,IF(Atletas!L226="Wingchun C",14,IF(Atletas!L226="Outra Mão de Sul C",15,IF(Atletas!L226="Choylayfut D",16,IF(Atletas!L226="Hunggar D",17,IF(Atletas!L226="Wuzuquan D",18,IF(Atletas!L226="Wingchun D",19,IF(Atletas!L226="Outra Mão de Sul D",20,IF(Atletas!L226="Choylayfut E",21,IF(Atletas!L226="Hunggar E",22,IF(Atletas!L226="Wuzuquan E",23,IF(Atletas!L226="Wingchun E",24,IF(Atletas!L226="Outra Mão de Sul E",25,IF(Atletas!L226="Choylayfut F",26,IF(Atletas!L226="Hunggar F",27,IF(Atletas!L226="Wuzuquan F",28,IF(Atletas!L226="Wingchun F",29,IF(Atletas!L226="Outra Mão de Sul F",30,IF(Atletas!L226="Dishuquan A",31,IF(Atletas!L226="Dishuquan B",32,IF(Atletas!L226="Dishuquan C",33,IF(Atletas!L226="Dishuquan D",34,IF(Atletas!L226="Dishuquan E",35,IF(Atletas!L226="Dishuquan F",36,""))))))))))))))))))))))))))))))))))))))</f>
        <v/>
      </c>
      <c r="BS235" s="50" t="str">
        <f>IF(Atletas!M226="","",IF(Atletas!X226&lt;&gt;"",10000,0)+(IF(Atletas!B226="Feminino",1000,IF(Atletas!B226="Masculino",2000,""))+(IF(Atletas!M226="Chaquan A",101,IF(Atletas!M226="Emeiquan A",102,IF(Atletas!M226="Fanziquan A",103,IF(Atletas!M226="Huaquan A",104,IF(Atletas!M226="Hongquan A",105,IF(Atletas!M226="Paoquan A",106,IF(Atletas!M226="Piguaquan A",107,IF(Atletas!M226="Shaolinquan A",108,IF(Atletas!M226="Tanglangquan A",109,IF(Atletas!M226="Yingzhaoquan A",110,IF(Atletas!M226="Tongbeiquan A",111,IF(Atletas!M226="Wudangquan A",112,IF(Atletas!M226="Outros Estilos A",113,IF(Atletas!M226="Chaquan B",114,IF(Atletas!M226="Emeiquan B",115,IF(Atletas!M226="Fanziquan B",116,IF(Atletas!M226="Huaquan B",117,IF(Atletas!M226="Hongquan B",118,IF(Atletas!M226="Paoquan B",119,IF(Atletas!M226="Piguaquan B",120,IF(Atletas!M226="Shaolinquan B",121,IF(Atletas!M226="Tanglangquan B",122,IF(Atletas!M226="Yingzhaoquan B",123,IF(Atletas!M226="Tongbeiquan B",124,IF(Atletas!M226="Wudangquan B",125,IF(Atletas!M226="Outros Estilos B",126,IF(Atletas!M226="Chaquan C",127,IF(Atletas!M226="Emeiquan C",128,IF(Atletas!M226="Fanziquan C",129,IF(Atletas!M226="Huaquan C",130,IF(Atletas!M226="Hongquan C",131,IF(Atletas!M226="Paoquan C",132,IF(Atletas!M226="Piguaquan C",133,IF(Atletas!M226="Shaolinquan C",134,IF(Atletas!M226="Tanglangquan C",135,IF(Atletas!M226="Yingzhaoquan C",136,IF(Atletas!M226="Tongbeiquan C",137,IF(Atletas!M226="Wudangquan C",138,IF(Atletas!M226="Outros Estilos C",139,0))))))))))))))))))))))))))))))))))))))))))</f>
        <v/>
      </c>
      <c r="BT235" s="50" t="str">
        <f>IF(Atletas!M226="","",IF(Atletas!X226&lt;&gt;"",10000,0)+(IF(Atletas!B226="Feminino",1000,IF(Atletas!B226="Masculino",2000,""))+(IF(Atletas!M226="Chaquan D",140,IF(Atletas!M226="Emeiquan D",141,IF(Atletas!M226="Fanziquan D",142,IF(Atletas!M226="Huaquan D",143,IF(Atletas!M226="Hongquan D",144,IF(Atletas!M226="Paoquan D",145,IF(Atletas!M226="Piguaquan D",146,IF(Atletas!M226="Shaolinquan D",147,IF(Atletas!M226="Tanglangquan D",148,IF(Atletas!M226="Yingzhaoquan D",149,IF(Atletas!M226="Tongbeiquan D",150,IF(Atletas!M226="Wudangquan D",151,IF(Atletas!M226="Outros Estilos D",152,IF(Atletas!M226="Chaquan E",153,IF(Atletas!M226="Emeiquan E",154,IF(Atletas!M226="Fanziquan E",155,IF(Atletas!M226="Huaquan E",156,IF(Atletas!M226="Hongquan E",157,IF(Atletas!M226="Paoquan E",158,IF(Atletas!M226="Piguaquan E",159,IF(Atletas!M226="Shaolinquan E",160,IF(Atletas!M226="Tanglangquan E",161,IF(Atletas!M226="Yingzhaoquan E",162,IF(Atletas!M226="Tongbeiquan E",163,IF(Atletas!M226="Wudangquan E",164,IF(Atletas!M226="Outros Estilos E",165,IF(Atletas!M226="Chaquan F",166,IF(Atletas!M226="Emeiquan F",167,IF(Atletas!M226="Fanziquan F",168,IF(Atletas!M226="Huaquan F",169,IF(Atletas!M226="Hongquan F",170,IF(Atletas!M226="Paoquan F",171,IF(Atletas!M226="Piguaquan F",172,IF(Atletas!M226="Shaolinquan F",173,IF(Atletas!M226="Tanglangquan F",174,IF(Atletas!M226="Yingzhaoquan F",175,IF(Atletas!M226="Tongbeiquan F",176,IF(Atletas!M226="Wudangquan F",177,IF(Atletas!M226="Outros Estilos F",178,0))))))))))))))))))))))))))))))))))))))))))</f>
        <v/>
      </c>
      <c r="BU235" s="50" t="str">
        <f>IF(Atletas!N226="","",IF(Atletas!X226&lt;&gt;"",10000,0)+(IF(Atletas!B226="Feminino",1000,IF(Atletas!B226="Masculino",2000,""))+(IF(Atletas!N226="Ditangquan A",201,IF(Atletas!N226="Houquan A",202,IF(Atletas!N226="Zuiquan A",203,IF(Atletas!N226="Ditangquan B",204,IF(Atletas!N226="Houquan B",205,IF(Atletas!N226="Zuiquan B",206,IF(Atletas!N226="Ditangquan C",207,IF(Atletas!N226="Houquan C",208,IF(Atletas!N226="Zuiquan C",209,IF(Atletas!N226="Ditangquan D",210,IF(Atletas!N226="Houquan D",211,IF(Atletas!N226="Zuiquan D",212,IF(Atletas!N226="Ditangquan E",213,IF(Atletas!N226="Houquan E",214,IF(Atletas!N226="Zuiquan E",215,IF(Atletas!N226="Ditangquan F",216,IF(Atletas!N226="Houquan F",217,IF(Atletas!N226="Zuiquan F",218,"")))))))))))))))))))))</f>
        <v/>
      </c>
      <c r="BV235" s="50" t="str">
        <f>IF(Atletas!O226="","",IF(Atletas!X226&lt;&gt;"",10000,0)+IF(Atletas!B226="Feminino",1000,IF(Atletas!B226="Masculino",2000,""))+IF(Atletas!O226="Yang A",301,IF(Atletas!O226="Chen A",302,IF(Atletas!O226="Sun A",303,IF(Atletas!O226="Wu A",304,IF(Atletas!O226="Wu-Hao A",305,IF(Atletas!O226="Outro Taijiquan A",306,IF(Atletas!O226="Yang B",307,IF(Atletas!O226="Chen B",308,IF(Atletas!O226="Sun B",309,IF(Atletas!O226="Wu B",310,IF(Atletas!O226="Wu-Hao B",311,IF(Atletas!O226="Outro Taijiquan B",312,IF(Atletas!O226="Yang C",313,IF(Atletas!O226="Chen C",314,IF(Atletas!O226="Sun C",315,IF(Atletas!O226="Wu C",316,IF(Atletas!O226="Wu-Hao C",317,IF(Atletas!O226="Outro Taijiquan C",318,IF(Atletas!O226="Yang D",319,IF(Atletas!O226="Chen D",320,IF(Atletas!O226="Sun D",321,IF(Atletas!O226="Wu D",322,IF(Atletas!O226="Wu-Hao D",323,IF(Atletas!O226="Outro Taijiquan D",324,IF(Atletas!O226="Yang E",325,IF(Atletas!O226="Chen E",326,IF(Atletas!O226="Sun E",327,IF(Atletas!O226="Wu E",328,IF(Atletas!O226="Wu-Hao E",329,IF(Atletas!O226="Outro Taijiquan E",330,IF(Atletas!O226="Yang F",331,IF(Atletas!O226="Chen F",332,IF(Atletas!O226="Sun F",333,IF(Atletas!O226="Wu F",334,IF(Atletas!O226="Wu-Hao F",335,IF(Atletas!O226="Outro Taijiquan F",336,"")))))))))))))))))))))))))))))))))))))</f>
        <v/>
      </c>
      <c r="BW235" s="50" t="str">
        <f>IF(Atletas!P226="","",IF(Atletas!X226&lt;&gt;"",10000,0)+IF(Atletas!B226="Feminino",1000,IF(Atletas!B226="Masculino",2000,""))+IF(OR(Atletas!P226="Yang 26 A",Atletas!P226="Yang 40 A"),401,IF(OR(Atletas!P226="Chen 25 A",Atletas!P226="Chen 36 A",Atletas!P226="Chen 56 A"),402,IF(Atletas!P226="Sun 73 A",403,IF(Atletas!P226="Wu 45 A",404,IF(Atletas!P226="Wu-Hao 46 A",405,IF(OR(Atletas!P226="Taijiquan 16 A",Atletas!P226="Taijiquan 24 A",Atletas!P226="Taijiquan 32 A",Atletas!P226="Taijiquan 42 A"),406,IF(OR(Atletas!P226="Yang 26 B",Atletas!P226="Yang 40 B"),407,IF(OR(Atletas!P226="Chen 25 B",Atletas!P226="Chen 36 B",Atletas!P226="Chen 56 B"),408,IF(Atletas!P226="Sun 73 B",409,IF(Atletas!P226="Wu 45 B",410,IF(Atletas!P226="Wu-Hao 46 B",411,IF(OR(Atletas!P226="Taijiquan 16 B",Atletas!P226="Taijiquan 24 B",Atletas!P226="Taijiquan 32 B",Atletas!P226="Taijiquan 42 B"),412,IF(OR(Atletas!P226="Yang 26 C",Atletas!P226="Yang 40 C"),413,IF(OR(Atletas!P226="Chen 25 C",Atletas!P226="Chen 36 C",Atletas!P226="Chen 56 C"),414,IF(Atletas!P226="Sun 73 C",415,IF(Atletas!P226="Wu 45 C",416,IF(Atletas!P226="Wu-Hao 46 C",417,IF(OR(Atletas!P226="Taijiquan 16 C",Atletas!P226="Taijiquan 24 C",Atletas!P226="Taijiquan 32 C",Atletas!P226="Taijiquan 42 C"),418,0)))))))))))))))))))</f>
        <v/>
      </c>
      <c r="BX235" s="50" t="str">
        <f>IF(Atletas!P226="","",IF(Atletas!X226&lt;&gt;"",10000,0)+IF(Atletas!B226="Feminino",1000,IF(Atletas!B226="Masculino",2000,""))+IF(OR(Atletas!P226="Yang 26 D",Atletas!P226="Yang 40 D"),419,IF(OR(Atletas!P226="Chen 25 D",Atletas!P226="Chen 36 D",Atletas!P226="Chen 56 D"),420,IF(Atletas!P226="Sun 73 D",421,IF(Atletas!P226="Wu 45 D",422,IF(Atletas!P226="Wu-Hao 46 D",423,IF(OR(Atletas!P226="Taijiquan 16 D",Atletas!P226="Taijiquan 24 D",Atletas!P226="Taijiquan 32 D",Atletas!P226="Taijiquan 42 D"),424,IF(OR(Atletas!P226="Yang 26 E",Atletas!P226="Yang 40 E"),425,IF(OR(Atletas!P226="Chen 25 E",Atletas!P226="Chen 36 E",Atletas!P226="Chen 56 E"),426,IF(Atletas!P226="Sun 73 E",427,IF(Atletas!P226="Wu 45 E",428,IF(Atletas!P226="Wu-Hao 46 E",429,IF(OR(Atletas!P226="Taijiquan 16 E",Atletas!P226="Taijiquan 24 E",Atletas!P226="Taijiquan 32 E",Atletas!P226="Taijiquan 42 E"),430,IF(OR(Atletas!P226="Yang 26 F",Atletas!P226="Yang 40 F"),431,IF(OR(Atletas!P226="Chen 25 F",Atletas!P226="Chen 36 F",Atletas!P226="Chen 56 F"),432,IF(Atletas!P226="Sun 73 F",433,IF(Atletas!P226="Wu 45 F",434,IF(Atletas!P226="Wu-Hao 46 F",435,IF(OR(Atletas!P226="Taijiquan 16 F",Atletas!P226="Taijiquan 24 F",Atletas!P226="Taijiquan 32 F",Atletas!P226="Taijiquan 42 F"),436,0)))))))))))))))))))</f>
        <v/>
      </c>
      <c r="BY235" s="50" t="str">
        <f>IF(Atletas!Q226="","",IF(Atletas!X226&lt;&gt;"",10000,0)+IF(Atletas!B226="Feminino",1000,IF(Atletas!B226="Masculino",2000,""))+IF(Atletas!Q226="Xingyiquan A",501,IF(Atletas!Q226="Baguazhang A",502,IF(Atletas!Q226="Outro Estilo Interno A",503,IF(Atletas!Q226="Xingyiquan B",504,IF(Atletas!Q226="Baguazhang B",505,IF(Atletas!Q226="Outro Estilo Interno B",506,IF(Atletas!Q226="Xingyiquan C",507,IF(Atletas!Q226="Baguazhang C",508,IF(Atletas!Q226="Outro Estilo Interno C",509,IF(Atletas!Q226="Xingyiquan D",510,IF(Atletas!Q226="Baguazhang D",511,IF(Atletas!Q226="Outro Estilo Interno D",512,IF(Atletas!Q226="Xingyiquan E",513,IF(Atletas!Q226="Baguazhang E",514,IF(Atletas!Q226="Outro Estilo Interno E",515,IF(Atletas!Q226="Xingyiquan F",516,IF(Atletas!Q226="Baguazhang F",517,IF(Atletas!Q226="Outro Estilo Interno F",518, "")))))))))))))))))))</f>
        <v/>
      </c>
      <c r="BZ235" s="50" t="str">
        <f>IF(Atletas!R226="","",IF(Atletas!X226&lt;&gt;"",10000,0)+IF(Atletas!B226="Feminino",1000,IF(Atletas!B226="Masculino",2000,""))+IF(Atletas!R226="Dao A",601,IF(Atletas!R226="Jian A",602,IF(Atletas!R226="Bishou A",603,IF(Atletas!R226="Shanzi A",604,IF(Atletas!R226="Outra Arma Curta A",605,IF(Atletas!R226="Dao B",606,IF(Atletas!R226="Jian B",607,IF(Atletas!R226="Bishou B",608,IF(Atletas!R226="Shanzi B",609,IF(Atletas!R226="Outra Arma Curta B",610,IF(Atletas!R226="Dao C",611,IF(Atletas!R226="Jian C",612,IF(Atletas!R226="Bishou C",613,IF(Atletas!R226="Shanzi C",614,IF(Atletas!R226="Outra Arma Curta C",615,IF(Atletas!R226="Dao D",616,IF(Atletas!R226="Jian D",617,IF(Atletas!R226="Bishou D",618,IF(Atletas!R226="Shanzi D",619,IF(Atletas!R226="Outra Arma Curta D",620,IF(Atletas!R226="Dao E",621,IF(Atletas!R226="Jian E",622,IF(Atletas!R226="Bishou E",623,IF(Atletas!R226="Shanzi E",624,IF(Atletas!R226="Outra Arma Curta E",625,IF(Atletas!R226="Dao F",626,IF(Atletas!R226="Jian F",627,IF(Atletas!R226="Bishou F",628,IF(Atletas!R226="Shanzi F",629,IF(Atletas!R226="Outra Arma Curta F",630, "")))))))))))))))))))))))))))))))</f>
        <v/>
      </c>
      <c r="CA235" s="50" t="str">
        <f>IF(Atletas!S226="","",IF(Atletas!X226&lt;&gt;"",10000,0)+IF(Atletas!B226="Feminino",1000,IF(Atletas!B226="Masculino",2000,""))+IF(Atletas!S226="Gun A",701,IF(Atletas!S226="Qiang A",702,IF(Atletas!S226="Pudao / Guandao A",703,IF(Atletas!S226="Outra Arma Longa A",704,IF(Atletas!S226="Gun B",705,IF(Atletas!S226="Qiang B",706,IF(Atletas!S226="Pudao / Guandao B",707,IF(Atletas!S226="Outra Arma Longa B",708,IF(Atletas!S226="Gun C",709,IF(Atletas!S226="Qiang C",710,IF(Atletas!S226="Pudao / Guandao C",711,IF(Atletas!S226="Outra Arma Longa C",712,IF(Atletas!S226="Gun D",713,IF(Atletas!S226="Qiang D",714,IF(Atletas!S226="Pudao / Guandao D",715,IF(Atletas!S226="Outra Arma Longa D",716,IF(Atletas!S226="Gun E",717,IF(Atletas!S226="Qiang E",718,IF(Atletas!S226="Pudao / Guandao E",719,IF(Atletas!S226="Outra Arma Longa E",720,IF(Atletas!S226="Gun F",721,IF(Atletas!S226="Qiang F",722,IF(Atletas!S226="Pudao / Guandao F",723,IF(Atletas!S226="Outra Arma Longa F",724,"")))))))))))))))))))))))))</f>
        <v/>
      </c>
      <c r="CB235" s="50" t="str">
        <f>IF(Atletas!T226="","",IF(Atletas!X226&lt;&gt;"",10000,0)+IF(Atletas!B226="Feminino",1000,IF(Atletas!B226="Masculino",2000,""))+IF(Atletas!T226="Outra Arma Dupla A",801,IF(Atletas!T226="Arma Maleável A",802,IF(Atletas!T226="Outra Arma Dupla B",803,IF(Atletas!T226="Arma Maleável B",804,IF(Atletas!T226="Outra Arma Dupla C",805,IF(Atletas!T226="Arma Maleável C",806,IF(Atletas!T226="Outra Arma Dupla D",807,IF(Atletas!T226="Arma Maleável D",808,IF(Atletas!T226="Outra Arma Dupla E",809,IF(Atletas!T226="Arma Maleável E",810,IF(Atletas!T226="Outra Arma Dupla F",811,IF(Atletas!T226="Arma Maleável F",812,IF(Atletas!T226="Shuangdao A",813,IF(Atletas!T226="Shuangdao B",814,IF(Atletas!T226="Shuangdao C",815,IF(Atletas!T226="Shuangdao D",816,IF(Atletas!T226="Shuangdao E",817,IF(Atletas!T226="Shuangdao F",818,"")))))))))))))))))))</f>
        <v/>
      </c>
      <c r="CC235" s="50" t="str">
        <f>IF(Atletas!U226="","",IF(Atletas!X226&lt;&gt;"",10000,0)+IF(Atletas!B226="Feminino",1000,IF(Atletas!B226="Masculino",2000,""))+IF(OR(Atletas!U226="Taijijian Yang A",Atletas!U226="Taijijian Yang Standard A"),901,IF(OR(Atletas!U226="Taijijian Chen A", Atletas!U226="Taijijian Chen Standard A"),902,IF(Atletas!U226="Taijijian Sun A",903,IF(Atletas!U226="Taijijian Wu A",904,IF(Atletas!U226="Taijijian Wu-Hao A",905,IF(OR(Atletas!U226="Taijijian 32 A",Atletas!U226="Taijijian 42 A"),906,IF(OR(Atletas!U226="Taijijian Yang B",Atletas!U226="Taijijian Yang Standard B"),907,IF(OR(Atletas!U226="Taijijian Chen B", Atletas!U226="Taijijian Chen Standard B"),908,IF(Atletas!U226="Taijijian Sun B",909,IF(Atletas!U226="Taijijian Wu B",910,IF(Atletas!U226="Taijijian Wu-Hao B",911,IF(OR(Atletas!U226="Taijijian 32 B",Atletas!U226="Taijijian 42 B"),912,IF(OR(Atletas!U226="Taijijian Yang C",Atletas!U226="Taijijian Yang Standard C"),913,IF(OR(Atletas!U226="Taijijian Chen C", Atletas!U226="Taijijian Chen Standard C"),914,IF(Atletas!U226="Taijijian Sun C",915,IF(Atletas!U226="Taijijian Wu C",916,IF(Atletas!U226="Taijijian Wu-Hao C",917,IF(OR(Atletas!U226="Taijijian 32 C",Atletas!U226="Taijijian 42 C"),918,IF(OR(Atletas!U226="Taijijian Yang D",Atletas!U226="Taijijian Yang Standard D"),919,IF(OR(Atletas!U226="Taijijian Chen D", Atletas!U226="Taijijian Chen Standard D"),920,IF(Atletas!U226="Taijijian Sun D",921,IF(Atletas!U226="Taijijian Wu D",922,IF(Atletas!U226="Taijijian Wu-Hao D",923,IF(OR(Atletas!U226="Taijijian 32 D",Atletas!U226="Taijijian 42 D"),924,IF(OR(Atletas!U226="Taijijian Yang E",Atletas!U226="Taijijian Yang Standard E"),925,IF(OR(Atletas!U226="Taijijian Chen E", Atletas!U226="Taijijian Chen Standard E"),926,IF(Atletas!U226="Taijijian Sun E",927,IF(Atletas!U226="Taijijian Wu E",928,IF(Atletas!U226="Taijijian Wu-Hao E",929,IF(OR(Atletas!U226="Taijijian 32 E",Atletas!U226="Taijijian 42 E"),930,IF(OR(Atletas!U226="Taijijian Yang F",Atletas!U226="Taijijian Yang Standard F"),931,IF(OR(Atletas!U226="Taijijian Chen F", Atletas!U226="Taijijian Chen Standard F"),932,IF(Atletas!U226="Taijijian Sun F",933,IF(Atletas!U226="Taijijian Wu F",934,IF(Atletas!U226="Taijijian Wu-Hao F",935,IF(OR(Atletas!U226="Taijijian 32 F",Atletas!U226="Taijijian 42 F"),936,"")))))))))))))))))))))))))))))))))))))</f>
        <v/>
      </c>
      <c r="CD235" s="50" t="str">
        <f>IF(Atletas!V226="","",IF(Atletas!X226&lt;&gt;"",10000,0)+IF(Atletas!B226="Feminino",1000,IF(Atletas!B226="Masculino",2000,""))+IF(Atletas!V226="Taijidao A",937,IF(Atletas!V226="TaijiShanzi A",938,IF(Atletas!V226="Taijiqiang A",939,IF(Atletas!V226="Bagua de Arma A",940,IF(Atletas!V226="Xingyi de Arma A",941,IF(Atletas!V226="Taijidao B",942,IF(Atletas!V226="TaijiShanzi B",943,IF(Atletas!V226="Taijiqiang B",944,IF(Atletas!V226="Bagua de Arma B",945,IF(Atletas!V226="Xingyi de Arma B",946,IF(Atletas!V226="Taijidao C",947,IF(Atletas!V226="TaijiShanzi C",948,IF(Atletas!V226="Taijiqiang C",949,IF(Atletas!V226="Bagua de Arma C",950,IF(Atletas!V226="Xingyi de Arma C",951,IF(Atletas!V226="Taijidao D",952,IF(Atletas!V226="TaijiShanzi D",953,IF(Atletas!V226="Taijiqiang D",954,IF(Atletas!V226="Bagua de Arma D",955,IF(Atletas!V226="Xingyi de Arma D",956,IF(Atletas!V226="Taijidao E",957,IF(Atletas!V226="TaijiShanzi E",958,IF(Atletas!V226="Taijiqiang E",959,IF(Atletas!V226="Bagua de Arma E",960,IF(Atletas!V226="Xingyi de Arma E",961,IF(Atletas!V226="Taijidao F",962,IF(Atletas!V226="TaijiShanzi F",963,IF(Atletas!V226="Taijiqiang F",964,IF(Atletas!V226="Bagua de Arma F",965,IF(Atletas!V226="Xingyi de Arma F",966,"")))))))))))))))))))))))))))))))</f>
        <v/>
      </c>
      <c r="CE235" s="66" t="str">
        <f>IF(CF235&lt;&gt;"","Jian B","")</f>
        <v/>
      </c>
      <c r="CF235" s="66" t="str">
        <f>IF(COUNTIF(BR:CD,1607)&gt;0,COUNTIF(BR:CD,1607),"")</f>
        <v/>
      </c>
      <c r="CG235" s="66" t="str">
        <f>IF(CH235&lt;&gt;"","Jian B","")</f>
        <v/>
      </c>
      <c r="CH235" s="66" t="str">
        <f>IF(COUNTIF(BR:CD,2607)&gt;0,COUNTIF(BR:CD,2607),"")</f>
        <v/>
      </c>
      <c r="CI235" s="66" t="str">
        <f>IF(CJ235&lt;&gt;"","Bishou C","")</f>
        <v/>
      </c>
      <c r="CJ235" s="66" t="str">
        <f>IF(COUNTIF(BR:CD,11613)&gt;0,COUNTIF(BR:CD,11613),"")</f>
        <v/>
      </c>
      <c r="CK235" s="66" t="str">
        <f>IF(CL235&lt;&gt;"","Bishou C","")</f>
        <v/>
      </c>
      <c r="CL235" s="66" t="str">
        <f>IF(COUNTIF(BR:CD,12613)&gt;0,COUNTIF(BR:CD,12613),"")</f>
        <v/>
      </c>
      <c r="CM235" s="50" t="str">
        <f xml:space="preserve"> IF(Atletas!W226="","",IF(Atletas!W226="Duilian de Mãos BC - Equipe 1",1,IF(Atletas!W226="Duilian de Mãos BC - Equipe 2",2,IF(Atletas!W226="Duilian de Armas BC - Equipe 1",3,IF(Atletas!W226="Duilian de Armas BC - Equipe 2",4,IF(Atletas!W226="Duilian de Mãos DE - Equipe 1",5,IF(Atletas!W226="Duilian de Mãos DE - Equipe 2",6,IF(Atletas!W226="Duilian de Armas DE - Equipe 1",7,IF(Atletas!W226="Duilian de Armas DE - Equipe 2",8,IF(Atletas!W226="Duilian de Tuishou - Equipe 1",9,IF(Atletas!W226="Duilian de Tuishou - Equipe 2",10,IF(Atletas!W226="Grupo Externo ABC - Equipe 1",11,IF(Atletas!W226="Grupo Externo ABC - Equipe 2",12,IF(Atletas!W226="Grupo Interno ABC - Equipe 1",13,IF(Atletas!W226="Grupo Interno ABC - Equipe 2",14,IF(Atletas!W226="Grupo Externo DEF - Equipe 1",15,IF(Atletas!W226="Grupo Externo DEF - Equipe 2",16,IF(Atletas!W226="Grupo Interno DEF - Equipe 1",17,IF(Atletas!W226="Grupo Interno DEF - Equipe 2",18,"")))))))))))))))))))</f>
        <v/>
      </c>
    </row>
    <row r="236" spans="2:91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 t="str">
        <f t="array" ref="Z236">IFERROR(INDEX(CE$7:CE$348,SMALL(IF(CE$7:CE$348&lt;&gt;"",ROW(CE$7:CE$348)-ROW(CE$7)+1),ROWS(CE$7:CE235))),"")</f>
        <v/>
      </c>
      <c r="AA236" s="3" t="str">
        <f t="array" ref="AA236">IFERROR(INDEX(CF$7:CF$348,SMALL(IF(CF$7:CF$348&lt;&gt;"",ROW(CF$7:CF$348)-ROW(CF$7)+1),ROWS(CF$7:CF235))),"")</f>
        <v/>
      </c>
      <c r="AB236" s="3" t="str">
        <f t="array" ref="AB236">IFERROR(INDEX(CG$7:CG$348,SMALL(IF(CG$7:CG$348&lt;&gt;"",ROW(CG$7:CG$348)-ROW(CG$7)+1),ROWS(CG$7:CG235))),"")</f>
        <v/>
      </c>
      <c r="AC236" s="3" t="str">
        <f t="array" ref="AC236">IFERROR(INDEX(CH$7:CH$348,SMALL(IF(CH$7:CH$348&lt;&gt;"",ROW(CH$7:CH$348)-ROW(CH$7)+1),ROWS(CH$7:CH235))),"")</f>
        <v/>
      </c>
      <c r="AD236" s="3" t="str">
        <f t="array" ref="AD236">IFERROR(INDEX(CI$7:CI$377,SMALL(IF(CI$7:CI$377&lt;&gt;"",ROW(CI$7:CI$377)-ROW(CI$7)+1),ROWS(CI$7:CI235))),"")</f>
        <v/>
      </c>
      <c r="AE236" s="3" t="str">
        <f t="array" ref="AE236">IFERROR(INDEX(CJ$7:CJ$378,SMALL(IF(CJ$7:CJ$378&lt;&gt;"",ROW(CJ$7:CJ$378)-ROW(CJ$7)+1),ROWS(CJ$7:CJ235))),"")</f>
        <v/>
      </c>
      <c r="AF236" s="3" t="str">
        <f t="array" ref="AF236">IFERROR(INDEX(CK$7:CK$378,SMALL(IF(CK$7:CK$378&lt;&gt;"",ROW(CK$7:CK$378)-ROW(CK$7)+1),ROWS(CK$7:CK235))),"")</f>
        <v/>
      </c>
      <c r="AG236" s="3" t="str">
        <f t="array" ref="AG236">IFERROR(INDEX(CL$7:CL$378,SMALL(IF(CL$7:CL$378&lt;&gt;"",ROW(CL$7:CL$378)-ROW(CL$7)+1),ROWS(CL$7:CL235))),"")</f>
        <v/>
      </c>
      <c r="AH236" s="3"/>
      <c r="AI236" s="3"/>
      <c r="AJ236" s="3"/>
      <c r="AK236" s="3"/>
      <c r="AL236" s="3"/>
      <c r="AM236" s="3"/>
      <c r="AN236" s="52" t="str">
        <f>IF(Atletas!D227="","",IF(Atletas!B227="Feminino",100,IF(Atletas!B227="Masculino",200,""))+(IF(Atletas!D227="Kids 30kg",1,IF(Atletas!D227="Kids 32kg",2, IF(Atletas!D227="Kids 34kg",3,IF(Atletas!D227="Kids 36kg",4,IF(Atletas!D227="Kids 39kg",5,IF(Atletas!D227="Kids 42kg",6,IF(Atletas!D227="Kids 45kg",7, IF(Atletas!D227="Infantil 39kg",8,IF(Atletas!D227="Infantil 42kg",9,IF(Atletas!D227="Infantil 45kg",10,IF(Atletas!D227="Infantil 48kg",11,IF(Atletas!D227="Infantil 52kg",12,IF(Atletas!D227="Infantil 56kg",13,IF(Atletas!D227="Infantil 60kg",14,IF(Atletas!D227="Juvenil 48kg",15,IF(Atletas!D227="Juvenil 52kg",16,IF(Atletas!D227="Juvenil 56kg",17,IF(Atletas!D227="Juvenil 60kg",18,IF(Atletas!D227="Juvenil 65kg",19,IF(Atletas!D227="Juvenil 70kg",20,IF(Atletas!D227="Juvenil 75kg",21,IF(Atletas!D227="Juvenil 80kg",22, IF(Atletas!D227="Juvenil 85kg",23,IF(Atletas!D227="Adulto 48kg",24,IF(Atletas!D227="Adulto 52kg",25,IF(Atletas!D227="Adulto 56kg",26,IF(Atletas!D227="Adulto 60kg",27,IF(Atletas!D227="Adulto 65kg",28,IF(Atletas!D227="Adulto 70kg",29,IF(Atletas!D227="Adulto 75kg",30,IF(Atletas!D227="Adulto 80kg",31,IF(Atletas!D227="Adulto 85kg",32,IF(Atletas!D227="Adulto 90kg",33,IF(Atletas!D227="Adulto 100kg",34, IF(Atletas!D227="Adulto +100kg",35,"")))))))))))))))))))))))))))))))))))))</f>
        <v/>
      </c>
      <c r="AS236" s="6" t="str">
        <f>IF(Atletas!E227="","",IF(Atletas!B227="Feminino",100,IF(Atletas!B227="Masculino",200,""))+(IF(Atletas!E227="Juvenil 44kg",1,IF(Atletas!E227="Juvenil 48kg",2,IF(Atletas!E227="Juvenil 52kg",3,IF(Atletas!E227="Juvenil 56kg",4,IF(Atletas!E227="Juvenil 60kg",5,IF(Atletas!E227="Juvenil 65kg",6,IF(Atletas!E227="Juvenil 70kg",7,IF(Atletas!E227="Juvenil 75kg",8,IF(Atletas!E227="Juvenil 82kg",9,IF(Atletas!E227="Juvenil 90kg",10,IF(Atletas!E227="Juvenil 100kg",11,IF(Atletas!E227="Adulto 48kg",12,IF(Atletas!E227="Adulto 52kg",13,IF(Atletas!E227="Adulto 56kg",14,IF(Atletas!E227="Adulto 60kg",15,IF(Atletas!E227="Adulto 65kg",16,IF(Atletas!E227="Adulto 70kg",17,IF(Atletas!E227="Adulto 75kg",18,IF(Atletas!E227="Adulto 82kg",19,IF(Atletas!E227="Adulto 90kg",20,IF(Atletas!E227="Adulto 100kg",21,IF(Atletas!E227="Adulto +100kg",22,""))))))))))))))))))))))))</f>
        <v/>
      </c>
      <c r="AX236" s="6" t="str">
        <f>IF(Atletas!F227="","",IF(Atletas!B227="Feminino",100,IF(Atletas!B227="Masculino",200,""))+(IF(Atletas!F227="Adulto 48kg",1,IF(Atletas!F227="Adulto 56kg",2,IF(Atletas!F227="Adulto 65kg",3,IF(Atletas!F227="Adulto 75kg",4,IF(Atletas!F227="Adulto +75kg",5,IF(Atletas!F227="Adulto 52kg",6,IF(Atletas!F227="Adulto 60kg",7,IF(Atletas!F227="Adulto 70kg",8,IF(Atletas!F227="Adulto 80kg",9,IF(Atletas!F227="Adulto 90kg",10,IF(Atletas!F227="Adulto +90kg",11,"")))))))))))))</f>
        <v/>
      </c>
      <c r="BC236" s="6" t="str">
        <f>IF(Atletas!G227="","",IF(Atletas!B227="Feminino",10,IF(Atletas!B227="Masculino",20,""))+(IF(Atletas!G227="Baduanjin A",1,IF(Atletas!G227="Baduanjin B",2))))</f>
        <v/>
      </c>
      <c r="BF236" s="52" t="str">
        <f>IF(Atletas!H227="","",IF(Atletas!B227="Feminino",100,IF(Atletas!B227="Masculino",200,""))+(IF(Atletas!H227="Changquan Mirim",1,IF(Atletas!H227="Nanquan Mirim",2,IF(Atletas!H227="Taijiquan Mirim",3,IF(Atletas!H227="Changquan Grupo C",4,IF(Atletas!H227="Nanquan Grupo C",5,IF(Atletas!H227="Taijiquan Grupo C",6,IF(Atletas!H227="Changquan Grupo B",7,IF(Atletas!H227="Nanquan Grupo B",8,IF(Atletas!H227="Taijiquan Grupo B",9,IF(Atletas!H227="Changquan Grupo A",10,IF(Atletas!H227="Nanquan Grupo A",11,IF(Atletas!H227="Taijiquan Grupo A",12,IF(Atletas!H227="Changquan Opcional",13,IF(Atletas!H227="Nanquan Opcional",14,IF(Atletas!H227="Taijiquan Opcional",15,IF(Atletas!H227="Changquan Adulto",16,IF(Atletas!H227="Nanquan Adulto",17,IF(Atletas!H227="Taijiquan Adulto",18,""))))))))))))))))))))</f>
        <v/>
      </c>
      <c r="BG236" s="52" t="str">
        <f>IF(Atletas!I227="","",IF(Atletas!B227="Feminino",100,IF(Atletas!B227="Masculino",200,""))+(IF(Atletas!I227="Daoshu Mirim",19,IF(Atletas!I227="Jianshu Mirim",20,IF(Atletas!I227="Nandao Mirim",21,IF(Atletas!I227="Taijijian Mirim",22,IF(Atletas!I227="Daoshu Grupo C",23,IF(Atletas!I227="Jianshu Grupo C",24,IF(Atletas!I227="Nandao Grupo C",25,IF(Atletas!I227="Taijijian Grupo C",26,IF(Atletas!I227="Daoshu Grupo B",27,IF(Atletas!I227="Jianshu Grupo B",28,IF(Atletas!I227="Nandao Grupo B",29,IF(Atletas!I227="Taijijian Grupo B",30,IF(Atletas!I227="Daoshu Grupo A",31,IF(Atletas!I227="Jianshu Grupo A",32,IF(Atletas!I227="Nandao Grupo A",33,IF(Atletas!I227="Taijijian Grupo A",34,IF(Atletas!I227="Daoshu Opcional",35,IF(Atletas!I227="Jianshu Opcional",36,IF(Atletas!I227="Nandao Opcional",37,IF(Atletas!I227="Taijijian Opcional",38,IF(Atletas!I227="Daoshu Adulto",39,IF(Atletas!I227="Jianshu Adulto",40,IF(Atletas!I227="Nandao Adulto",41,IF(Atletas!I227="Taijijian Adulto",42,""))))))))))))))))))))))))))</f>
        <v/>
      </c>
      <c r="BH236" s="52" t="str">
        <f>IF(Atletas!J227="","",IF(Atletas!B227="Feminino",100,IF(Atletas!B227="Masculino",200,""))+(IF(Atletas!J227="Gunshu Mirim",43,IF(Atletas!J227="Qiangshu Mirim",44,IF(Atletas!J227="Nangun Mirim",45,IF(Atletas!J227="Gunshu Grupo C",46,IF(Atletas!J227="Qiangshu Grupo C",47,IF(Atletas!J227="Nangun Grupo C",48,IF(Atletas!J227="Gunshu Grupo B",49,IF(Atletas!J227="Qiangshu Grupo B",50,IF(Atletas!J227="Nangun Grupo B",51,IF(Atletas!J227="Gunshu Grupo A",52,IF(Atletas!J227="Qiangshu Grupo A",53,IF(Atletas!J227="Nangun Grupo A",54,IF(Atletas!J227="Gunshu Opcional",55,IF(Atletas!J227="Qiangshu Opcional",56,IF(Atletas!J227="Nangun Opcional",57,IF(Atletas!J227="Gunshu Adulto",58,IF(Atletas!J227="Qiangshu Adulto",59,IF(Atletas!J227="Nangun Adulto",60,IF(Atletas!J227="Taijishan Grupo B",61,IF(Atletas!J227="Taijishan Grupo A",62,""))))))))))))))))))))))</f>
        <v/>
      </c>
      <c r="BM236" s="50" t="str">
        <f>IF(Atletas!K227="","",IF(Atletas!B227="Feminino",100,IF(Atletas!B227="Masculino",200,""))+(IF(Atletas!K227="Equipe 1 Grupo B",1,IF(Atletas!K227="Equipe 2 Grupo B",2,IF(Atletas!K227="Equipe 1 Grupo A",3,IF(Atletas!K227="Equipe 2 Grupo A",4,IF(Atletas!K227="Equipe 1 Adulto",5,IF(Atletas!K227="Equipe 2 Adulto",6,""))))))))</f>
        <v/>
      </c>
      <c r="BR236" s="50" t="str">
        <f>IF(Atletas!L227="","",IF(Atletas!X227&lt;&gt;"",10000,0)+(IF(Atletas!B227="Feminino",1000,IF(Atletas!B227="Masculino",2000,""))+IF(Atletas!L227="Choylayfut A",1,IF(Atletas!L227="Hunggar A",2,IF(Atletas!L227="Wuzuquan A",3,IF(Atletas!L227="Wingchun A",4,IF(Atletas!L227="Outra Mão de Sul A",5,IF(Atletas!L227="Choylayfut B",6,IF(Atletas!L227="Hunggar B",7,IF(Atletas!L227="Wuzuquan B",8,IF(Atletas!L227="Wingchun B",9,IF(Atletas!L227="Outra Mão de Sul B",10,IF(Atletas!L227="Choylayfut C",11,IF(Atletas!L227="Hunggar C",12,IF(Atletas!L227="Wuzuquan C",13,IF(Atletas!L227="Wingchun C",14,IF(Atletas!L227="Outra Mão de Sul C",15,IF(Atletas!L227="Choylayfut D",16,IF(Atletas!L227="Hunggar D",17,IF(Atletas!L227="Wuzuquan D",18,IF(Atletas!L227="Wingchun D",19,IF(Atletas!L227="Outra Mão de Sul D",20,IF(Atletas!L227="Choylayfut E",21,IF(Atletas!L227="Hunggar E",22,IF(Atletas!L227="Wuzuquan E",23,IF(Atletas!L227="Wingchun E",24,IF(Atletas!L227="Outra Mão de Sul E",25,IF(Atletas!L227="Choylayfut F",26,IF(Atletas!L227="Hunggar F",27,IF(Atletas!L227="Wuzuquan F",28,IF(Atletas!L227="Wingchun F",29,IF(Atletas!L227="Outra Mão de Sul F",30,IF(Atletas!L227="Dishuquan A",31,IF(Atletas!L227="Dishuquan B",32,IF(Atletas!L227="Dishuquan C",33,IF(Atletas!L227="Dishuquan D",34,IF(Atletas!L227="Dishuquan E",35,IF(Atletas!L227="Dishuquan F",36,""))))))))))))))))))))))))))))))))))))))</f>
        <v/>
      </c>
      <c r="BS236" s="50" t="str">
        <f>IF(Atletas!M227="","",IF(Atletas!X227&lt;&gt;"",10000,0)+(IF(Atletas!B227="Feminino",1000,IF(Atletas!B227="Masculino",2000,""))+(IF(Atletas!M227="Chaquan A",101,IF(Atletas!M227="Emeiquan A",102,IF(Atletas!M227="Fanziquan A",103,IF(Atletas!M227="Huaquan A",104,IF(Atletas!M227="Hongquan A",105,IF(Atletas!M227="Paoquan A",106,IF(Atletas!M227="Piguaquan A",107,IF(Atletas!M227="Shaolinquan A",108,IF(Atletas!M227="Tanglangquan A",109,IF(Atletas!M227="Yingzhaoquan A",110,IF(Atletas!M227="Tongbeiquan A",111,IF(Atletas!M227="Wudangquan A",112,IF(Atletas!M227="Outros Estilos A",113,IF(Atletas!M227="Chaquan B",114,IF(Atletas!M227="Emeiquan B",115,IF(Atletas!M227="Fanziquan B",116,IF(Atletas!M227="Huaquan B",117,IF(Atletas!M227="Hongquan B",118,IF(Atletas!M227="Paoquan B",119,IF(Atletas!M227="Piguaquan B",120,IF(Atletas!M227="Shaolinquan B",121,IF(Atletas!M227="Tanglangquan B",122,IF(Atletas!M227="Yingzhaoquan B",123,IF(Atletas!M227="Tongbeiquan B",124,IF(Atletas!M227="Wudangquan B",125,IF(Atletas!M227="Outros Estilos B",126,IF(Atletas!M227="Chaquan C",127,IF(Atletas!M227="Emeiquan C",128,IF(Atletas!M227="Fanziquan C",129,IF(Atletas!M227="Huaquan C",130,IF(Atletas!M227="Hongquan C",131,IF(Atletas!M227="Paoquan C",132,IF(Atletas!M227="Piguaquan C",133,IF(Atletas!M227="Shaolinquan C",134,IF(Atletas!M227="Tanglangquan C",135,IF(Atletas!M227="Yingzhaoquan C",136,IF(Atletas!M227="Tongbeiquan C",137,IF(Atletas!M227="Wudangquan C",138,IF(Atletas!M227="Outros Estilos C",139,0))))))))))))))))))))))))))))))))))))))))))</f>
        <v/>
      </c>
      <c r="BT236" s="50" t="str">
        <f>IF(Atletas!M227="","",IF(Atletas!X227&lt;&gt;"",10000,0)+(IF(Atletas!B227="Feminino",1000,IF(Atletas!B227="Masculino",2000,""))+(IF(Atletas!M227="Chaquan D",140,IF(Atletas!M227="Emeiquan D",141,IF(Atletas!M227="Fanziquan D",142,IF(Atletas!M227="Huaquan D",143,IF(Atletas!M227="Hongquan D",144,IF(Atletas!M227="Paoquan D",145,IF(Atletas!M227="Piguaquan D",146,IF(Atletas!M227="Shaolinquan D",147,IF(Atletas!M227="Tanglangquan D",148,IF(Atletas!M227="Yingzhaoquan D",149,IF(Atletas!M227="Tongbeiquan D",150,IF(Atletas!M227="Wudangquan D",151,IF(Atletas!M227="Outros Estilos D",152,IF(Atletas!M227="Chaquan E",153,IF(Atletas!M227="Emeiquan E",154,IF(Atletas!M227="Fanziquan E",155,IF(Atletas!M227="Huaquan E",156,IF(Atletas!M227="Hongquan E",157,IF(Atletas!M227="Paoquan E",158,IF(Atletas!M227="Piguaquan E",159,IF(Atletas!M227="Shaolinquan E",160,IF(Atletas!M227="Tanglangquan E",161,IF(Atletas!M227="Yingzhaoquan E",162,IF(Atletas!M227="Tongbeiquan E",163,IF(Atletas!M227="Wudangquan E",164,IF(Atletas!M227="Outros Estilos E",165,IF(Atletas!M227="Chaquan F",166,IF(Atletas!M227="Emeiquan F",167,IF(Atletas!M227="Fanziquan F",168,IF(Atletas!M227="Huaquan F",169,IF(Atletas!M227="Hongquan F",170,IF(Atletas!M227="Paoquan F",171,IF(Atletas!M227="Piguaquan F",172,IF(Atletas!M227="Shaolinquan F",173,IF(Atletas!M227="Tanglangquan F",174,IF(Atletas!M227="Yingzhaoquan F",175,IF(Atletas!M227="Tongbeiquan F",176,IF(Atletas!M227="Wudangquan F",177,IF(Atletas!M227="Outros Estilos F",178,0))))))))))))))))))))))))))))))))))))))))))</f>
        <v/>
      </c>
      <c r="BU236" s="50" t="str">
        <f>IF(Atletas!N227="","",IF(Atletas!X227&lt;&gt;"",10000,0)+(IF(Atletas!B227="Feminino",1000,IF(Atletas!B227="Masculino",2000,""))+(IF(Atletas!N227="Ditangquan A",201,IF(Atletas!N227="Houquan A",202,IF(Atletas!N227="Zuiquan A",203,IF(Atletas!N227="Ditangquan B",204,IF(Atletas!N227="Houquan B",205,IF(Atletas!N227="Zuiquan B",206,IF(Atletas!N227="Ditangquan C",207,IF(Atletas!N227="Houquan C",208,IF(Atletas!N227="Zuiquan C",209,IF(Atletas!N227="Ditangquan D",210,IF(Atletas!N227="Houquan D",211,IF(Atletas!N227="Zuiquan D",212,IF(Atletas!N227="Ditangquan E",213,IF(Atletas!N227="Houquan E",214,IF(Atletas!N227="Zuiquan E",215,IF(Atletas!N227="Ditangquan F",216,IF(Atletas!N227="Houquan F",217,IF(Atletas!N227="Zuiquan F",218,"")))))))))))))))))))))</f>
        <v/>
      </c>
      <c r="BV236" s="50" t="str">
        <f>IF(Atletas!O227="","",IF(Atletas!X227&lt;&gt;"",10000,0)+IF(Atletas!B227="Feminino",1000,IF(Atletas!B227="Masculino",2000,""))+IF(Atletas!O227="Yang A",301,IF(Atletas!O227="Chen A",302,IF(Atletas!O227="Sun A",303,IF(Atletas!O227="Wu A",304,IF(Atletas!O227="Wu-Hao A",305,IF(Atletas!O227="Outro Taijiquan A",306,IF(Atletas!O227="Yang B",307,IF(Atletas!O227="Chen B",308,IF(Atletas!O227="Sun B",309,IF(Atletas!O227="Wu B",310,IF(Atletas!O227="Wu-Hao B",311,IF(Atletas!O227="Outro Taijiquan B",312,IF(Atletas!O227="Yang C",313,IF(Atletas!O227="Chen C",314,IF(Atletas!O227="Sun C",315,IF(Atletas!O227="Wu C",316,IF(Atletas!O227="Wu-Hao C",317,IF(Atletas!O227="Outro Taijiquan C",318,IF(Atletas!O227="Yang D",319,IF(Atletas!O227="Chen D",320,IF(Atletas!O227="Sun D",321,IF(Atletas!O227="Wu D",322,IF(Atletas!O227="Wu-Hao D",323,IF(Atletas!O227="Outro Taijiquan D",324,IF(Atletas!O227="Yang E",325,IF(Atletas!O227="Chen E",326,IF(Atletas!O227="Sun E",327,IF(Atletas!O227="Wu E",328,IF(Atletas!O227="Wu-Hao E",329,IF(Atletas!O227="Outro Taijiquan E",330,IF(Atletas!O227="Yang F",331,IF(Atletas!O227="Chen F",332,IF(Atletas!O227="Sun F",333,IF(Atletas!O227="Wu F",334,IF(Atletas!O227="Wu-Hao F",335,IF(Atletas!O227="Outro Taijiquan F",336,"")))))))))))))))))))))))))))))))))))))</f>
        <v/>
      </c>
      <c r="BW236" s="50" t="str">
        <f>IF(Atletas!P227="","",IF(Atletas!X227&lt;&gt;"",10000,0)+IF(Atletas!B227="Feminino",1000,IF(Atletas!B227="Masculino",2000,""))+IF(OR(Atletas!P227="Yang 26 A",Atletas!P227="Yang 40 A"),401,IF(OR(Atletas!P227="Chen 25 A",Atletas!P227="Chen 36 A",Atletas!P227="Chen 56 A"),402,IF(Atletas!P227="Sun 73 A",403,IF(Atletas!P227="Wu 45 A",404,IF(Atletas!P227="Wu-Hao 46 A",405,IF(OR(Atletas!P227="Taijiquan 16 A",Atletas!P227="Taijiquan 24 A",Atletas!P227="Taijiquan 32 A",Atletas!P227="Taijiquan 42 A"),406,IF(OR(Atletas!P227="Yang 26 B",Atletas!P227="Yang 40 B"),407,IF(OR(Atletas!P227="Chen 25 B",Atletas!P227="Chen 36 B",Atletas!P227="Chen 56 B"),408,IF(Atletas!P227="Sun 73 B",409,IF(Atletas!P227="Wu 45 B",410,IF(Atletas!P227="Wu-Hao 46 B",411,IF(OR(Atletas!P227="Taijiquan 16 B",Atletas!P227="Taijiquan 24 B",Atletas!P227="Taijiquan 32 B",Atletas!P227="Taijiquan 42 B"),412,IF(OR(Atletas!P227="Yang 26 C",Atletas!P227="Yang 40 C"),413,IF(OR(Atletas!P227="Chen 25 C",Atletas!P227="Chen 36 C",Atletas!P227="Chen 56 C"),414,IF(Atletas!P227="Sun 73 C",415,IF(Atletas!P227="Wu 45 C",416,IF(Atletas!P227="Wu-Hao 46 C",417,IF(OR(Atletas!P227="Taijiquan 16 C",Atletas!P227="Taijiquan 24 C",Atletas!P227="Taijiquan 32 C",Atletas!P227="Taijiquan 42 C"),418,0)))))))))))))))))))</f>
        <v/>
      </c>
      <c r="BX236" s="50" t="str">
        <f>IF(Atletas!P227="","",IF(Atletas!X227&lt;&gt;"",10000,0)+IF(Atletas!B227="Feminino",1000,IF(Atletas!B227="Masculino",2000,""))+IF(OR(Atletas!P227="Yang 26 D",Atletas!P227="Yang 40 D"),419,IF(OR(Atletas!P227="Chen 25 D",Atletas!P227="Chen 36 D",Atletas!P227="Chen 56 D"),420,IF(Atletas!P227="Sun 73 D",421,IF(Atletas!P227="Wu 45 D",422,IF(Atletas!P227="Wu-Hao 46 D",423,IF(OR(Atletas!P227="Taijiquan 16 D",Atletas!P227="Taijiquan 24 D",Atletas!P227="Taijiquan 32 D",Atletas!P227="Taijiquan 42 D"),424,IF(OR(Atletas!P227="Yang 26 E",Atletas!P227="Yang 40 E"),425,IF(OR(Atletas!P227="Chen 25 E",Atletas!P227="Chen 36 E",Atletas!P227="Chen 56 E"),426,IF(Atletas!P227="Sun 73 E",427,IF(Atletas!P227="Wu 45 E",428,IF(Atletas!P227="Wu-Hao 46 E",429,IF(OR(Atletas!P227="Taijiquan 16 E",Atletas!P227="Taijiquan 24 E",Atletas!P227="Taijiquan 32 E",Atletas!P227="Taijiquan 42 E"),430,IF(OR(Atletas!P227="Yang 26 F",Atletas!P227="Yang 40 F"),431,IF(OR(Atletas!P227="Chen 25 F",Atletas!P227="Chen 36 F",Atletas!P227="Chen 56 F"),432,IF(Atletas!P227="Sun 73 F",433,IF(Atletas!P227="Wu 45 F",434,IF(Atletas!P227="Wu-Hao 46 F",435,IF(OR(Atletas!P227="Taijiquan 16 F",Atletas!P227="Taijiquan 24 F",Atletas!P227="Taijiquan 32 F",Atletas!P227="Taijiquan 42 F"),436,0)))))))))))))))))))</f>
        <v/>
      </c>
      <c r="BY236" s="50" t="str">
        <f>IF(Atletas!Q227="","",IF(Atletas!X227&lt;&gt;"",10000,0)+IF(Atletas!B227="Feminino",1000,IF(Atletas!B227="Masculino",2000,""))+IF(Atletas!Q227="Xingyiquan A",501,IF(Atletas!Q227="Baguazhang A",502,IF(Atletas!Q227="Outro Estilo Interno A",503,IF(Atletas!Q227="Xingyiquan B",504,IF(Atletas!Q227="Baguazhang B",505,IF(Atletas!Q227="Outro Estilo Interno B",506,IF(Atletas!Q227="Xingyiquan C",507,IF(Atletas!Q227="Baguazhang C",508,IF(Atletas!Q227="Outro Estilo Interno C",509,IF(Atletas!Q227="Xingyiquan D",510,IF(Atletas!Q227="Baguazhang D",511,IF(Atletas!Q227="Outro Estilo Interno D",512,IF(Atletas!Q227="Xingyiquan E",513,IF(Atletas!Q227="Baguazhang E",514,IF(Atletas!Q227="Outro Estilo Interno E",515,IF(Atletas!Q227="Xingyiquan F",516,IF(Atletas!Q227="Baguazhang F",517,IF(Atletas!Q227="Outro Estilo Interno F",518, "")))))))))))))))))))</f>
        <v/>
      </c>
      <c r="BZ236" s="50" t="str">
        <f>IF(Atletas!R227="","",IF(Atletas!X227&lt;&gt;"",10000,0)+IF(Atletas!B227="Feminino",1000,IF(Atletas!B227="Masculino",2000,""))+IF(Atletas!R227="Dao A",601,IF(Atletas!R227="Jian A",602,IF(Atletas!R227="Bishou A",603,IF(Atletas!R227="Shanzi A",604,IF(Atletas!R227="Outra Arma Curta A",605,IF(Atletas!R227="Dao B",606,IF(Atletas!R227="Jian B",607,IF(Atletas!R227="Bishou B",608,IF(Atletas!R227="Shanzi B",609,IF(Atletas!R227="Outra Arma Curta B",610,IF(Atletas!R227="Dao C",611,IF(Atletas!R227="Jian C",612,IF(Atletas!R227="Bishou C",613,IF(Atletas!R227="Shanzi C",614,IF(Atletas!R227="Outra Arma Curta C",615,IF(Atletas!R227="Dao D",616,IF(Atletas!R227="Jian D",617,IF(Atletas!R227="Bishou D",618,IF(Atletas!R227="Shanzi D",619,IF(Atletas!R227="Outra Arma Curta D",620,IF(Atletas!R227="Dao E",621,IF(Atletas!R227="Jian E",622,IF(Atletas!R227="Bishou E",623,IF(Atletas!R227="Shanzi E",624,IF(Atletas!R227="Outra Arma Curta E",625,IF(Atletas!R227="Dao F",626,IF(Atletas!R227="Jian F",627,IF(Atletas!R227="Bishou F",628,IF(Atletas!R227="Shanzi F",629,IF(Atletas!R227="Outra Arma Curta F",630, "")))))))))))))))))))))))))))))))</f>
        <v/>
      </c>
      <c r="CA236" s="50" t="str">
        <f>IF(Atletas!S227="","",IF(Atletas!X227&lt;&gt;"",10000,0)+IF(Atletas!B227="Feminino",1000,IF(Atletas!B227="Masculino",2000,""))+IF(Atletas!S227="Gun A",701,IF(Atletas!S227="Qiang A",702,IF(Atletas!S227="Pudao / Guandao A",703,IF(Atletas!S227="Outra Arma Longa A",704,IF(Atletas!S227="Gun B",705,IF(Atletas!S227="Qiang B",706,IF(Atletas!S227="Pudao / Guandao B",707,IF(Atletas!S227="Outra Arma Longa B",708,IF(Atletas!S227="Gun C",709,IF(Atletas!S227="Qiang C",710,IF(Atletas!S227="Pudao / Guandao C",711,IF(Atletas!S227="Outra Arma Longa C",712,IF(Atletas!S227="Gun D",713,IF(Atletas!S227="Qiang D",714,IF(Atletas!S227="Pudao / Guandao D",715,IF(Atletas!S227="Outra Arma Longa D",716,IF(Atletas!S227="Gun E",717,IF(Atletas!S227="Qiang E",718,IF(Atletas!S227="Pudao / Guandao E",719,IF(Atletas!S227="Outra Arma Longa E",720,IF(Atletas!S227="Gun F",721,IF(Atletas!S227="Qiang F",722,IF(Atletas!S227="Pudao / Guandao F",723,IF(Atletas!S227="Outra Arma Longa F",724,"")))))))))))))))))))))))))</f>
        <v/>
      </c>
      <c r="CB236" s="50" t="str">
        <f>IF(Atletas!T227="","",IF(Atletas!X227&lt;&gt;"",10000,0)+IF(Atletas!B227="Feminino",1000,IF(Atletas!B227="Masculino",2000,""))+IF(Atletas!T227="Outra Arma Dupla A",801,IF(Atletas!T227="Arma Maleável A",802,IF(Atletas!T227="Outra Arma Dupla B",803,IF(Atletas!T227="Arma Maleável B",804,IF(Atletas!T227="Outra Arma Dupla C",805,IF(Atletas!T227="Arma Maleável C",806,IF(Atletas!T227="Outra Arma Dupla D",807,IF(Atletas!T227="Arma Maleável D",808,IF(Atletas!T227="Outra Arma Dupla E",809,IF(Atletas!T227="Arma Maleável E",810,IF(Atletas!T227="Outra Arma Dupla F",811,IF(Atletas!T227="Arma Maleável F",812,IF(Atletas!T227="Shuangdao A",813,IF(Atletas!T227="Shuangdao B",814,IF(Atletas!T227="Shuangdao C",815,IF(Atletas!T227="Shuangdao D",816,IF(Atletas!T227="Shuangdao E",817,IF(Atletas!T227="Shuangdao F",818,"")))))))))))))))))))</f>
        <v/>
      </c>
      <c r="CC236" s="50" t="str">
        <f>IF(Atletas!U227="","",IF(Atletas!X227&lt;&gt;"",10000,0)+IF(Atletas!B227="Feminino",1000,IF(Atletas!B227="Masculino",2000,""))+IF(OR(Atletas!U227="Taijijian Yang A",Atletas!U227="Taijijian Yang Standard A"),901,IF(OR(Atletas!U227="Taijijian Chen A", Atletas!U227="Taijijian Chen Standard A"),902,IF(Atletas!U227="Taijijian Sun A",903,IF(Atletas!U227="Taijijian Wu A",904,IF(Atletas!U227="Taijijian Wu-Hao A",905,IF(OR(Atletas!U227="Taijijian 32 A",Atletas!U227="Taijijian 42 A"),906,IF(OR(Atletas!U227="Taijijian Yang B",Atletas!U227="Taijijian Yang Standard B"),907,IF(OR(Atletas!U227="Taijijian Chen B", Atletas!U227="Taijijian Chen Standard B"),908,IF(Atletas!U227="Taijijian Sun B",909,IF(Atletas!U227="Taijijian Wu B",910,IF(Atletas!U227="Taijijian Wu-Hao B",911,IF(OR(Atletas!U227="Taijijian 32 B",Atletas!U227="Taijijian 42 B"),912,IF(OR(Atletas!U227="Taijijian Yang C",Atletas!U227="Taijijian Yang Standard C"),913,IF(OR(Atletas!U227="Taijijian Chen C", Atletas!U227="Taijijian Chen Standard C"),914,IF(Atletas!U227="Taijijian Sun C",915,IF(Atletas!U227="Taijijian Wu C",916,IF(Atletas!U227="Taijijian Wu-Hao C",917,IF(OR(Atletas!U227="Taijijian 32 C",Atletas!U227="Taijijian 42 C"),918,IF(OR(Atletas!U227="Taijijian Yang D",Atletas!U227="Taijijian Yang Standard D"),919,IF(OR(Atletas!U227="Taijijian Chen D", Atletas!U227="Taijijian Chen Standard D"),920,IF(Atletas!U227="Taijijian Sun D",921,IF(Atletas!U227="Taijijian Wu D",922,IF(Atletas!U227="Taijijian Wu-Hao D",923,IF(OR(Atletas!U227="Taijijian 32 D",Atletas!U227="Taijijian 42 D"),924,IF(OR(Atletas!U227="Taijijian Yang E",Atletas!U227="Taijijian Yang Standard E"),925,IF(OR(Atletas!U227="Taijijian Chen E", Atletas!U227="Taijijian Chen Standard E"),926,IF(Atletas!U227="Taijijian Sun E",927,IF(Atletas!U227="Taijijian Wu E",928,IF(Atletas!U227="Taijijian Wu-Hao E",929,IF(OR(Atletas!U227="Taijijian 32 E",Atletas!U227="Taijijian 42 E"),930,IF(OR(Atletas!U227="Taijijian Yang F",Atletas!U227="Taijijian Yang Standard F"),931,IF(OR(Atletas!U227="Taijijian Chen F", Atletas!U227="Taijijian Chen Standard F"),932,IF(Atletas!U227="Taijijian Sun F",933,IF(Atletas!U227="Taijijian Wu F",934,IF(Atletas!U227="Taijijian Wu-Hao F",935,IF(OR(Atletas!U227="Taijijian 32 F",Atletas!U227="Taijijian 42 F"),936,"")))))))))))))))))))))))))))))))))))))</f>
        <v/>
      </c>
      <c r="CD236" s="50" t="str">
        <f>IF(Atletas!V227="","",IF(Atletas!X227&lt;&gt;"",10000,0)+IF(Atletas!B227="Feminino",1000,IF(Atletas!B227="Masculino",2000,""))+IF(Atletas!V227="Taijidao A",937,IF(Atletas!V227="TaijiShanzi A",938,IF(Atletas!V227="Taijiqiang A",939,IF(Atletas!V227="Bagua de Arma A",940,IF(Atletas!V227="Xingyi de Arma A",941,IF(Atletas!V227="Taijidao B",942,IF(Atletas!V227="TaijiShanzi B",943,IF(Atletas!V227="Taijiqiang B",944,IF(Atletas!V227="Bagua de Arma B",945,IF(Atletas!V227="Xingyi de Arma B",946,IF(Atletas!V227="Taijidao C",947,IF(Atletas!V227="TaijiShanzi C",948,IF(Atletas!V227="Taijiqiang C",949,IF(Atletas!V227="Bagua de Arma C",950,IF(Atletas!V227="Xingyi de Arma C",951,IF(Atletas!V227="Taijidao D",952,IF(Atletas!V227="TaijiShanzi D",953,IF(Atletas!V227="Taijiqiang D",954,IF(Atletas!V227="Bagua de Arma D",955,IF(Atletas!V227="Xingyi de Arma D",956,IF(Atletas!V227="Taijidao E",957,IF(Atletas!V227="TaijiShanzi E",958,IF(Atletas!V227="Taijiqiang E",959,IF(Atletas!V227="Bagua de Arma E",960,IF(Atletas!V227="Xingyi de Arma E",961,IF(Atletas!V227="Taijidao F",962,IF(Atletas!V227="TaijiShanzi F",963,IF(Atletas!V227="Taijiqiang F",964,IF(Atletas!V227="Bagua de Arma F",965,IF(Atletas!V227="Xingyi de Arma F",966,"")))))))))))))))))))))))))))))))</f>
        <v/>
      </c>
      <c r="CE236" s="66" t="str">
        <f>IF(CF236&lt;&gt;"","Bishou B","")</f>
        <v/>
      </c>
      <c r="CF236" s="66" t="str">
        <f>IF(COUNTIF(BR:CD,1608)&gt;0,COUNTIF(BR:CD,1608),"")</f>
        <v/>
      </c>
      <c r="CG236" s="66" t="str">
        <f>IF(CH236&lt;&gt;"","Bishou B","")</f>
        <v/>
      </c>
      <c r="CH236" s="66" t="str">
        <f>IF(COUNTIF(BR:CD,2608)&gt;0,COUNTIF(BR:CD,2608),"")</f>
        <v/>
      </c>
      <c r="CI236" s="66" t="str">
        <f>IF(CJ236&lt;&gt;"","Shanzi C","")</f>
        <v/>
      </c>
      <c r="CJ236" s="66" t="str">
        <f>IF(COUNTIF(BR:CD,11614)&gt;0,COUNTIF(BR:CD,11614),"")</f>
        <v/>
      </c>
      <c r="CK236" s="66" t="str">
        <f>IF(CL236&lt;&gt;"","Shanzi C","")</f>
        <v/>
      </c>
      <c r="CL236" s="66" t="str">
        <f>IF(COUNTIF(BR:CD,12614)&gt;0,COUNTIF(BR:CD,12614),"")</f>
        <v/>
      </c>
      <c r="CM236" s="50" t="str">
        <f xml:space="preserve"> IF(Atletas!W227="","",IF(Atletas!W227="Duilian de Mãos BC - Equipe 1",1,IF(Atletas!W227="Duilian de Mãos BC - Equipe 2",2,IF(Atletas!W227="Duilian de Armas BC - Equipe 1",3,IF(Atletas!W227="Duilian de Armas BC - Equipe 2",4,IF(Atletas!W227="Duilian de Mãos DE - Equipe 1",5,IF(Atletas!W227="Duilian de Mãos DE - Equipe 2",6,IF(Atletas!W227="Duilian de Armas DE - Equipe 1",7,IF(Atletas!W227="Duilian de Armas DE - Equipe 2",8,IF(Atletas!W227="Duilian de Tuishou - Equipe 1",9,IF(Atletas!W227="Duilian de Tuishou - Equipe 2",10,IF(Atletas!W227="Grupo Externo ABC - Equipe 1",11,IF(Atletas!W227="Grupo Externo ABC - Equipe 2",12,IF(Atletas!W227="Grupo Interno ABC - Equipe 1",13,IF(Atletas!W227="Grupo Interno ABC - Equipe 2",14,IF(Atletas!W227="Grupo Externo DEF - Equipe 1",15,IF(Atletas!W227="Grupo Externo DEF - Equipe 2",16,IF(Atletas!W227="Grupo Interno DEF - Equipe 1",17,IF(Atletas!W227="Grupo Interno DEF - Equipe 2",18,"")))))))))))))))))))</f>
        <v/>
      </c>
    </row>
    <row r="237" spans="2:91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 t="str">
        <f t="array" ref="Z237">IFERROR(INDEX(CE$7:CE$348,SMALL(IF(CE$7:CE$348&lt;&gt;"",ROW(CE$7:CE$348)-ROW(CE$7)+1),ROWS(CE$7:CE236))),"")</f>
        <v/>
      </c>
      <c r="AA237" s="3" t="str">
        <f t="array" ref="AA237">IFERROR(INDEX(CF$7:CF$348,SMALL(IF(CF$7:CF$348&lt;&gt;"",ROW(CF$7:CF$348)-ROW(CF$7)+1),ROWS(CF$7:CF236))),"")</f>
        <v/>
      </c>
      <c r="AB237" s="3" t="str">
        <f t="array" ref="AB237">IFERROR(INDEX(CG$7:CG$348,SMALL(IF(CG$7:CG$348&lt;&gt;"",ROW(CG$7:CG$348)-ROW(CG$7)+1),ROWS(CG$7:CG236))),"")</f>
        <v/>
      </c>
      <c r="AC237" s="3" t="str">
        <f t="array" ref="AC237">IFERROR(INDEX(CH$7:CH$348,SMALL(IF(CH$7:CH$348&lt;&gt;"",ROW(CH$7:CH$348)-ROW(CH$7)+1),ROWS(CH$7:CH236))),"")</f>
        <v/>
      </c>
      <c r="AD237" s="3" t="str">
        <f t="array" ref="AD237">IFERROR(INDEX(CI$7:CI$377,SMALL(IF(CI$7:CI$377&lt;&gt;"",ROW(CI$7:CI$377)-ROW(CI$7)+1),ROWS(CI$7:CI236))),"")</f>
        <v/>
      </c>
      <c r="AE237" s="3" t="str">
        <f t="array" ref="AE237">IFERROR(INDEX(CJ$7:CJ$378,SMALL(IF(CJ$7:CJ$378&lt;&gt;"",ROW(CJ$7:CJ$378)-ROW(CJ$7)+1),ROWS(CJ$7:CJ236))),"")</f>
        <v/>
      </c>
      <c r="AF237" s="3" t="str">
        <f t="array" ref="AF237">IFERROR(INDEX(CK$7:CK$378,SMALL(IF(CK$7:CK$378&lt;&gt;"",ROW(CK$7:CK$378)-ROW(CK$7)+1),ROWS(CK$7:CK236))),"")</f>
        <v/>
      </c>
      <c r="AG237" s="3" t="str">
        <f t="array" ref="AG237">IFERROR(INDEX(CL$7:CL$378,SMALL(IF(CL$7:CL$378&lt;&gt;"",ROW(CL$7:CL$378)-ROW(CL$7)+1),ROWS(CL$7:CL236))),"")</f>
        <v/>
      </c>
      <c r="AH237" s="3"/>
      <c r="AI237" s="3"/>
      <c r="AJ237" s="3"/>
      <c r="AK237" s="3"/>
      <c r="AL237" s="3"/>
      <c r="AM237" s="3"/>
      <c r="AN237" s="52" t="str">
        <f>IF(Atletas!D228="","",IF(Atletas!B228="Feminino",100,IF(Atletas!B228="Masculino",200,""))+(IF(Atletas!D228="Kids 30kg",1,IF(Atletas!D228="Kids 32kg",2, IF(Atletas!D228="Kids 34kg",3,IF(Atletas!D228="Kids 36kg",4,IF(Atletas!D228="Kids 39kg",5,IF(Atletas!D228="Kids 42kg",6,IF(Atletas!D228="Kids 45kg",7, IF(Atletas!D228="Infantil 39kg",8,IF(Atletas!D228="Infantil 42kg",9,IF(Atletas!D228="Infantil 45kg",10,IF(Atletas!D228="Infantil 48kg",11,IF(Atletas!D228="Infantil 52kg",12,IF(Atletas!D228="Infantil 56kg",13,IF(Atletas!D228="Infantil 60kg",14,IF(Atletas!D228="Juvenil 48kg",15,IF(Atletas!D228="Juvenil 52kg",16,IF(Atletas!D228="Juvenil 56kg",17,IF(Atletas!D228="Juvenil 60kg",18,IF(Atletas!D228="Juvenil 65kg",19,IF(Atletas!D228="Juvenil 70kg",20,IF(Atletas!D228="Juvenil 75kg",21,IF(Atletas!D228="Juvenil 80kg",22, IF(Atletas!D228="Juvenil 85kg",23,IF(Atletas!D228="Adulto 48kg",24,IF(Atletas!D228="Adulto 52kg",25,IF(Atletas!D228="Adulto 56kg",26,IF(Atletas!D228="Adulto 60kg",27,IF(Atletas!D228="Adulto 65kg",28,IF(Atletas!D228="Adulto 70kg",29,IF(Atletas!D228="Adulto 75kg",30,IF(Atletas!D228="Adulto 80kg",31,IF(Atletas!D228="Adulto 85kg",32,IF(Atletas!D228="Adulto 90kg",33,IF(Atletas!D228="Adulto 100kg",34, IF(Atletas!D228="Adulto +100kg",35,"")))))))))))))))))))))))))))))))))))))</f>
        <v/>
      </c>
      <c r="AS237" s="6" t="str">
        <f>IF(Atletas!E228="","",IF(Atletas!B228="Feminino",100,IF(Atletas!B228="Masculino",200,""))+(IF(Atletas!E228="Juvenil 44kg",1,IF(Atletas!E228="Juvenil 48kg",2,IF(Atletas!E228="Juvenil 52kg",3,IF(Atletas!E228="Juvenil 56kg",4,IF(Atletas!E228="Juvenil 60kg",5,IF(Atletas!E228="Juvenil 65kg",6,IF(Atletas!E228="Juvenil 70kg",7,IF(Atletas!E228="Juvenil 75kg",8,IF(Atletas!E228="Juvenil 82kg",9,IF(Atletas!E228="Juvenil 90kg",10,IF(Atletas!E228="Juvenil 100kg",11,IF(Atletas!E228="Adulto 48kg",12,IF(Atletas!E228="Adulto 52kg",13,IF(Atletas!E228="Adulto 56kg",14,IF(Atletas!E228="Adulto 60kg",15,IF(Atletas!E228="Adulto 65kg",16,IF(Atletas!E228="Adulto 70kg",17,IF(Atletas!E228="Adulto 75kg",18,IF(Atletas!E228="Adulto 82kg",19,IF(Atletas!E228="Adulto 90kg",20,IF(Atletas!E228="Adulto 100kg",21,IF(Atletas!E228="Adulto +100kg",22,""))))))))))))))))))))))))</f>
        <v/>
      </c>
      <c r="AX237" s="6" t="str">
        <f>IF(Atletas!F228="","",IF(Atletas!B228="Feminino",100,IF(Atletas!B228="Masculino",200,""))+(IF(Atletas!F228="Adulto 48kg",1,IF(Atletas!F228="Adulto 56kg",2,IF(Atletas!F228="Adulto 65kg",3,IF(Atletas!F228="Adulto 75kg",4,IF(Atletas!F228="Adulto +75kg",5,IF(Atletas!F228="Adulto 52kg",6,IF(Atletas!F228="Adulto 60kg",7,IF(Atletas!F228="Adulto 70kg",8,IF(Atletas!F228="Adulto 80kg",9,IF(Atletas!F228="Adulto 90kg",10,IF(Atletas!F228="Adulto +90kg",11,"")))))))))))))</f>
        <v/>
      </c>
      <c r="BC237" s="6" t="str">
        <f>IF(Atletas!G228="","",IF(Atletas!B228="Feminino",10,IF(Atletas!B228="Masculino",20,""))+(IF(Atletas!G228="Baduanjin A",1,IF(Atletas!G228="Baduanjin B",2))))</f>
        <v/>
      </c>
      <c r="BF237" s="52" t="str">
        <f>IF(Atletas!H228="","",IF(Atletas!B228="Feminino",100,IF(Atletas!B228="Masculino",200,""))+(IF(Atletas!H228="Changquan Mirim",1,IF(Atletas!H228="Nanquan Mirim",2,IF(Atletas!H228="Taijiquan Mirim",3,IF(Atletas!H228="Changquan Grupo C",4,IF(Atletas!H228="Nanquan Grupo C",5,IF(Atletas!H228="Taijiquan Grupo C",6,IF(Atletas!H228="Changquan Grupo B",7,IF(Atletas!H228="Nanquan Grupo B",8,IF(Atletas!H228="Taijiquan Grupo B",9,IF(Atletas!H228="Changquan Grupo A",10,IF(Atletas!H228="Nanquan Grupo A",11,IF(Atletas!H228="Taijiquan Grupo A",12,IF(Atletas!H228="Changquan Opcional",13,IF(Atletas!H228="Nanquan Opcional",14,IF(Atletas!H228="Taijiquan Opcional",15,IF(Atletas!H228="Changquan Adulto",16,IF(Atletas!H228="Nanquan Adulto",17,IF(Atletas!H228="Taijiquan Adulto",18,""))))))))))))))))))))</f>
        <v/>
      </c>
      <c r="BG237" s="52" t="str">
        <f>IF(Atletas!I228="","",IF(Atletas!B228="Feminino",100,IF(Atletas!B228="Masculino",200,""))+(IF(Atletas!I228="Daoshu Mirim",19,IF(Atletas!I228="Jianshu Mirim",20,IF(Atletas!I228="Nandao Mirim",21,IF(Atletas!I228="Taijijian Mirim",22,IF(Atletas!I228="Daoshu Grupo C",23,IF(Atletas!I228="Jianshu Grupo C",24,IF(Atletas!I228="Nandao Grupo C",25,IF(Atletas!I228="Taijijian Grupo C",26,IF(Atletas!I228="Daoshu Grupo B",27,IF(Atletas!I228="Jianshu Grupo B",28,IF(Atletas!I228="Nandao Grupo B",29,IF(Atletas!I228="Taijijian Grupo B",30,IF(Atletas!I228="Daoshu Grupo A",31,IF(Atletas!I228="Jianshu Grupo A",32,IF(Atletas!I228="Nandao Grupo A",33,IF(Atletas!I228="Taijijian Grupo A",34,IF(Atletas!I228="Daoshu Opcional",35,IF(Atletas!I228="Jianshu Opcional",36,IF(Atletas!I228="Nandao Opcional",37,IF(Atletas!I228="Taijijian Opcional",38,IF(Atletas!I228="Daoshu Adulto",39,IF(Atletas!I228="Jianshu Adulto",40,IF(Atletas!I228="Nandao Adulto",41,IF(Atletas!I228="Taijijian Adulto",42,""))))))))))))))))))))))))))</f>
        <v/>
      </c>
      <c r="BH237" s="52" t="str">
        <f>IF(Atletas!J228="","",IF(Atletas!B228="Feminino",100,IF(Atletas!B228="Masculino",200,""))+(IF(Atletas!J228="Gunshu Mirim",43,IF(Atletas!J228="Qiangshu Mirim",44,IF(Atletas!J228="Nangun Mirim",45,IF(Atletas!J228="Gunshu Grupo C",46,IF(Atletas!J228="Qiangshu Grupo C",47,IF(Atletas!J228="Nangun Grupo C",48,IF(Atletas!J228="Gunshu Grupo B",49,IF(Atletas!J228="Qiangshu Grupo B",50,IF(Atletas!J228="Nangun Grupo B",51,IF(Atletas!J228="Gunshu Grupo A",52,IF(Atletas!J228="Qiangshu Grupo A",53,IF(Atletas!J228="Nangun Grupo A",54,IF(Atletas!J228="Gunshu Opcional",55,IF(Atletas!J228="Qiangshu Opcional",56,IF(Atletas!J228="Nangun Opcional",57,IF(Atletas!J228="Gunshu Adulto",58,IF(Atletas!J228="Qiangshu Adulto",59,IF(Atletas!J228="Nangun Adulto",60,IF(Atletas!J228="Taijishan Grupo B",61,IF(Atletas!J228="Taijishan Grupo A",62,""))))))))))))))))))))))</f>
        <v/>
      </c>
      <c r="BM237" s="50" t="str">
        <f>IF(Atletas!K228="","",IF(Atletas!B228="Feminino",100,IF(Atletas!B228="Masculino",200,""))+(IF(Atletas!K228="Equipe 1 Grupo B",1,IF(Atletas!K228="Equipe 2 Grupo B",2,IF(Atletas!K228="Equipe 1 Grupo A",3,IF(Atletas!K228="Equipe 2 Grupo A",4,IF(Atletas!K228="Equipe 1 Adulto",5,IF(Atletas!K228="Equipe 2 Adulto",6,""))))))))</f>
        <v/>
      </c>
      <c r="BR237" s="50" t="str">
        <f>IF(Atletas!L228="","",IF(Atletas!X228&lt;&gt;"",10000,0)+(IF(Atletas!B228="Feminino",1000,IF(Atletas!B228="Masculino",2000,""))+IF(Atletas!L228="Choylayfut A",1,IF(Atletas!L228="Hunggar A",2,IF(Atletas!L228="Wuzuquan A",3,IF(Atletas!L228="Wingchun A",4,IF(Atletas!L228="Outra Mão de Sul A",5,IF(Atletas!L228="Choylayfut B",6,IF(Atletas!L228="Hunggar B",7,IF(Atletas!L228="Wuzuquan B",8,IF(Atletas!L228="Wingchun B",9,IF(Atletas!L228="Outra Mão de Sul B",10,IF(Atletas!L228="Choylayfut C",11,IF(Atletas!L228="Hunggar C",12,IF(Atletas!L228="Wuzuquan C",13,IF(Atletas!L228="Wingchun C",14,IF(Atletas!L228="Outra Mão de Sul C",15,IF(Atletas!L228="Choylayfut D",16,IF(Atletas!L228="Hunggar D",17,IF(Atletas!L228="Wuzuquan D",18,IF(Atletas!L228="Wingchun D",19,IF(Atletas!L228="Outra Mão de Sul D",20,IF(Atletas!L228="Choylayfut E",21,IF(Atletas!L228="Hunggar E",22,IF(Atletas!L228="Wuzuquan E",23,IF(Atletas!L228="Wingchun E",24,IF(Atletas!L228="Outra Mão de Sul E",25,IF(Atletas!L228="Choylayfut F",26,IF(Atletas!L228="Hunggar F",27,IF(Atletas!L228="Wuzuquan F",28,IF(Atletas!L228="Wingchun F",29,IF(Atletas!L228="Outra Mão de Sul F",30,IF(Atletas!L228="Dishuquan A",31,IF(Atletas!L228="Dishuquan B",32,IF(Atletas!L228="Dishuquan C",33,IF(Atletas!L228="Dishuquan D",34,IF(Atletas!L228="Dishuquan E",35,IF(Atletas!L228="Dishuquan F",36,""))))))))))))))))))))))))))))))))))))))</f>
        <v/>
      </c>
      <c r="BS237" s="50" t="str">
        <f>IF(Atletas!M228="","",IF(Atletas!X228&lt;&gt;"",10000,0)+(IF(Atletas!B228="Feminino",1000,IF(Atletas!B228="Masculino",2000,""))+(IF(Atletas!M228="Chaquan A",101,IF(Atletas!M228="Emeiquan A",102,IF(Atletas!M228="Fanziquan A",103,IF(Atletas!M228="Huaquan A",104,IF(Atletas!M228="Hongquan A",105,IF(Atletas!M228="Paoquan A",106,IF(Atletas!M228="Piguaquan A",107,IF(Atletas!M228="Shaolinquan A",108,IF(Atletas!M228="Tanglangquan A",109,IF(Atletas!M228="Yingzhaoquan A",110,IF(Atletas!M228="Tongbeiquan A",111,IF(Atletas!M228="Wudangquan A",112,IF(Atletas!M228="Outros Estilos A",113,IF(Atletas!M228="Chaquan B",114,IF(Atletas!M228="Emeiquan B",115,IF(Atletas!M228="Fanziquan B",116,IF(Atletas!M228="Huaquan B",117,IF(Atletas!M228="Hongquan B",118,IF(Atletas!M228="Paoquan B",119,IF(Atletas!M228="Piguaquan B",120,IF(Atletas!M228="Shaolinquan B",121,IF(Atletas!M228="Tanglangquan B",122,IF(Atletas!M228="Yingzhaoquan B",123,IF(Atletas!M228="Tongbeiquan B",124,IF(Atletas!M228="Wudangquan B",125,IF(Atletas!M228="Outros Estilos B",126,IF(Atletas!M228="Chaquan C",127,IF(Atletas!M228="Emeiquan C",128,IF(Atletas!M228="Fanziquan C",129,IF(Atletas!M228="Huaquan C",130,IF(Atletas!M228="Hongquan C",131,IF(Atletas!M228="Paoquan C",132,IF(Atletas!M228="Piguaquan C",133,IF(Atletas!M228="Shaolinquan C",134,IF(Atletas!M228="Tanglangquan C",135,IF(Atletas!M228="Yingzhaoquan C",136,IF(Atletas!M228="Tongbeiquan C",137,IF(Atletas!M228="Wudangquan C",138,IF(Atletas!M228="Outros Estilos C",139,0))))))))))))))))))))))))))))))))))))))))))</f>
        <v/>
      </c>
      <c r="BT237" s="50" t="str">
        <f>IF(Atletas!M228="","",IF(Atletas!X228&lt;&gt;"",10000,0)+(IF(Atletas!B228="Feminino",1000,IF(Atletas!B228="Masculino",2000,""))+(IF(Atletas!M228="Chaquan D",140,IF(Atletas!M228="Emeiquan D",141,IF(Atletas!M228="Fanziquan D",142,IF(Atletas!M228="Huaquan D",143,IF(Atletas!M228="Hongquan D",144,IF(Atletas!M228="Paoquan D",145,IF(Atletas!M228="Piguaquan D",146,IF(Atletas!M228="Shaolinquan D",147,IF(Atletas!M228="Tanglangquan D",148,IF(Atletas!M228="Yingzhaoquan D",149,IF(Atletas!M228="Tongbeiquan D",150,IF(Atletas!M228="Wudangquan D",151,IF(Atletas!M228="Outros Estilos D",152,IF(Atletas!M228="Chaquan E",153,IF(Atletas!M228="Emeiquan E",154,IF(Atletas!M228="Fanziquan E",155,IF(Atletas!M228="Huaquan E",156,IF(Atletas!M228="Hongquan E",157,IF(Atletas!M228="Paoquan E",158,IF(Atletas!M228="Piguaquan E",159,IF(Atletas!M228="Shaolinquan E",160,IF(Atletas!M228="Tanglangquan E",161,IF(Atletas!M228="Yingzhaoquan E",162,IF(Atletas!M228="Tongbeiquan E",163,IF(Atletas!M228="Wudangquan E",164,IF(Atletas!M228="Outros Estilos E",165,IF(Atletas!M228="Chaquan F",166,IF(Atletas!M228="Emeiquan F",167,IF(Atletas!M228="Fanziquan F",168,IF(Atletas!M228="Huaquan F",169,IF(Atletas!M228="Hongquan F",170,IF(Atletas!M228="Paoquan F",171,IF(Atletas!M228="Piguaquan F",172,IF(Atletas!M228="Shaolinquan F",173,IF(Atletas!M228="Tanglangquan F",174,IF(Atletas!M228="Yingzhaoquan F",175,IF(Atletas!M228="Tongbeiquan F",176,IF(Atletas!M228="Wudangquan F",177,IF(Atletas!M228="Outros Estilos F",178,0))))))))))))))))))))))))))))))))))))))))))</f>
        <v/>
      </c>
      <c r="BU237" s="50" t="str">
        <f>IF(Atletas!N228="","",IF(Atletas!X228&lt;&gt;"",10000,0)+(IF(Atletas!B228="Feminino",1000,IF(Atletas!B228="Masculino",2000,""))+(IF(Atletas!N228="Ditangquan A",201,IF(Atletas!N228="Houquan A",202,IF(Atletas!N228="Zuiquan A",203,IF(Atletas!N228="Ditangquan B",204,IF(Atletas!N228="Houquan B",205,IF(Atletas!N228="Zuiquan B",206,IF(Atletas!N228="Ditangquan C",207,IF(Atletas!N228="Houquan C",208,IF(Atletas!N228="Zuiquan C",209,IF(Atletas!N228="Ditangquan D",210,IF(Atletas!N228="Houquan D",211,IF(Atletas!N228="Zuiquan D",212,IF(Atletas!N228="Ditangquan E",213,IF(Atletas!N228="Houquan E",214,IF(Atletas!N228="Zuiquan E",215,IF(Atletas!N228="Ditangquan F",216,IF(Atletas!N228="Houquan F",217,IF(Atletas!N228="Zuiquan F",218,"")))))))))))))))))))))</f>
        <v/>
      </c>
      <c r="BV237" s="50" t="str">
        <f>IF(Atletas!O228="","",IF(Atletas!X228&lt;&gt;"",10000,0)+IF(Atletas!B228="Feminino",1000,IF(Atletas!B228="Masculino",2000,""))+IF(Atletas!O228="Yang A",301,IF(Atletas!O228="Chen A",302,IF(Atletas!O228="Sun A",303,IF(Atletas!O228="Wu A",304,IF(Atletas!O228="Wu-Hao A",305,IF(Atletas!O228="Outro Taijiquan A",306,IF(Atletas!O228="Yang B",307,IF(Atletas!O228="Chen B",308,IF(Atletas!O228="Sun B",309,IF(Atletas!O228="Wu B",310,IF(Atletas!O228="Wu-Hao B",311,IF(Atletas!O228="Outro Taijiquan B",312,IF(Atletas!O228="Yang C",313,IF(Atletas!O228="Chen C",314,IF(Atletas!O228="Sun C",315,IF(Atletas!O228="Wu C",316,IF(Atletas!O228="Wu-Hao C",317,IF(Atletas!O228="Outro Taijiquan C",318,IF(Atletas!O228="Yang D",319,IF(Atletas!O228="Chen D",320,IF(Atletas!O228="Sun D",321,IF(Atletas!O228="Wu D",322,IF(Atletas!O228="Wu-Hao D",323,IF(Atletas!O228="Outro Taijiquan D",324,IF(Atletas!O228="Yang E",325,IF(Atletas!O228="Chen E",326,IF(Atletas!O228="Sun E",327,IF(Atletas!O228="Wu E",328,IF(Atletas!O228="Wu-Hao E",329,IF(Atletas!O228="Outro Taijiquan E",330,IF(Atletas!O228="Yang F",331,IF(Atletas!O228="Chen F",332,IF(Atletas!O228="Sun F",333,IF(Atletas!O228="Wu F",334,IF(Atletas!O228="Wu-Hao F",335,IF(Atletas!O228="Outro Taijiquan F",336,"")))))))))))))))))))))))))))))))))))))</f>
        <v/>
      </c>
      <c r="BW237" s="50" t="str">
        <f>IF(Atletas!P228="","",IF(Atletas!X228&lt;&gt;"",10000,0)+IF(Atletas!B228="Feminino",1000,IF(Atletas!B228="Masculino",2000,""))+IF(OR(Atletas!P228="Yang 26 A",Atletas!P228="Yang 40 A"),401,IF(OR(Atletas!P228="Chen 25 A",Atletas!P228="Chen 36 A",Atletas!P228="Chen 56 A"),402,IF(Atletas!P228="Sun 73 A",403,IF(Atletas!P228="Wu 45 A",404,IF(Atletas!P228="Wu-Hao 46 A",405,IF(OR(Atletas!P228="Taijiquan 16 A",Atletas!P228="Taijiquan 24 A",Atletas!P228="Taijiquan 32 A",Atletas!P228="Taijiquan 42 A"),406,IF(OR(Atletas!P228="Yang 26 B",Atletas!P228="Yang 40 B"),407,IF(OR(Atletas!P228="Chen 25 B",Atletas!P228="Chen 36 B",Atletas!P228="Chen 56 B"),408,IF(Atletas!P228="Sun 73 B",409,IF(Atletas!P228="Wu 45 B",410,IF(Atletas!P228="Wu-Hao 46 B",411,IF(OR(Atletas!P228="Taijiquan 16 B",Atletas!P228="Taijiquan 24 B",Atletas!P228="Taijiquan 32 B",Atletas!P228="Taijiquan 42 B"),412,IF(OR(Atletas!P228="Yang 26 C",Atletas!P228="Yang 40 C"),413,IF(OR(Atletas!P228="Chen 25 C",Atletas!P228="Chen 36 C",Atletas!P228="Chen 56 C"),414,IF(Atletas!P228="Sun 73 C",415,IF(Atletas!P228="Wu 45 C",416,IF(Atletas!P228="Wu-Hao 46 C",417,IF(OR(Atletas!P228="Taijiquan 16 C",Atletas!P228="Taijiquan 24 C",Atletas!P228="Taijiquan 32 C",Atletas!P228="Taijiquan 42 C"),418,0)))))))))))))))))))</f>
        <v/>
      </c>
      <c r="BX237" s="50" t="str">
        <f>IF(Atletas!P228="","",IF(Atletas!X228&lt;&gt;"",10000,0)+IF(Atletas!B228="Feminino",1000,IF(Atletas!B228="Masculino",2000,""))+IF(OR(Atletas!P228="Yang 26 D",Atletas!P228="Yang 40 D"),419,IF(OR(Atletas!P228="Chen 25 D",Atletas!P228="Chen 36 D",Atletas!P228="Chen 56 D"),420,IF(Atletas!P228="Sun 73 D",421,IF(Atletas!P228="Wu 45 D",422,IF(Atletas!P228="Wu-Hao 46 D",423,IF(OR(Atletas!P228="Taijiquan 16 D",Atletas!P228="Taijiquan 24 D",Atletas!P228="Taijiquan 32 D",Atletas!P228="Taijiquan 42 D"),424,IF(OR(Atletas!P228="Yang 26 E",Atletas!P228="Yang 40 E"),425,IF(OR(Atletas!P228="Chen 25 E",Atletas!P228="Chen 36 E",Atletas!P228="Chen 56 E"),426,IF(Atletas!P228="Sun 73 E",427,IF(Atletas!P228="Wu 45 E",428,IF(Atletas!P228="Wu-Hao 46 E",429,IF(OR(Atletas!P228="Taijiquan 16 E",Atletas!P228="Taijiquan 24 E",Atletas!P228="Taijiquan 32 E",Atletas!P228="Taijiquan 42 E"),430,IF(OR(Atletas!P228="Yang 26 F",Atletas!P228="Yang 40 F"),431,IF(OR(Atletas!P228="Chen 25 F",Atletas!P228="Chen 36 F",Atletas!P228="Chen 56 F"),432,IF(Atletas!P228="Sun 73 F",433,IF(Atletas!P228="Wu 45 F",434,IF(Atletas!P228="Wu-Hao 46 F",435,IF(OR(Atletas!P228="Taijiquan 16 F",Atletas!P228="Taijiquan 24 F",Atletas!P228="Taijiquan 32 F",Atletas!P228="Taijiquan 42 F"),436,0)))))))))))))))))))</f>
        <v/>
      </c>
      <c r="BY237" s="50" t="str">
        <f>IF(Atletas!Q228="","",IF(Atletas!X228&lt;&gt;"",10000,0)+IF(Atletas!B228="Feminino",1000,IF(Atletas!B228="Masculino",2000,""))+IF(Atletas!Q228="Xingyiquan A",501,IF(Atletas!Q228="Baguazhang A",502,IF(Atletas!Q228="Outro Estilo Interno A",503,IF(Atletas!Q228="Xingyiquan B",504,IF(Atletas!Q228="Baguazhang B",505,IF(Atletas!Q228="Outro Estilo Interno B",506,IF(Atletas!Q228="Xingyiquan C",507,IF(Atletas!Q228="Baguazhang C",508,IF(Atletas!Q228="Outro Estilo Interno C",509,IF(Atletas!Q228="Xingyiquan D",510,IF(Atletas!Q228="Baguazhang D",511,IF(Atletas!Q228="Outro Estilo Interno D",512,IF(Atletas!Q228="Xingyiquan E",513,IF(Atletas!Q228="Baguazhang E",514,IF(Atletas!Q228="Outro Estilo Interno E",515,IF(Atletas!Q228="Xingyiquan F",516,IF(Atletas!Q228="Baguazhang F",517,IF(Atletas!Q228="Outro Estilo Interno F",518, "")))))))))))))))))))</f>
        <v/>
      </c>
      <c r="BZ237" s="50" t="str">
        <f>IF(Atletas!R228="","",IF(Atletas!X228&lt;&gt;"",10000,0)+IF(Atletas!B228="Feminino",1000,IF(Atletas!B228="Masculino",2000,""))+IF(Atletas!R228="Dao A",601,IF(Atletas!R228="Jian A",602,IF(Atletas!R228="Bishou A",603,IF(Atletas!R228="Shanzi A",604,IF(Atletas!R228="Outra Arma Curta A",605,IF(Atletas!R228="Dao B",606,IF(Atletas!R228="Jian B",607,IF(Atletas!R228="Bishou B",608,IF(Atletas!R228="Shanzi B",609,IF(Atletas!R228="Outra Arma Curta B",610,IF(Atletas!R228="Dao C",611,IF(Atletas!R228="Jian C",612,IF(Atletas!R228="Bishou C",613,IF(Atletas!R228="Shanzi C",614,IF(Atletas!R228="Outra Arma Curta C",615,IF(Atletas!R228="Dao D",616,IF(Atletas!R228="Jian D",617,IF(Atletas!R228="Bishou D",618,IF(Atletas!R228="Shanzi D",619,IF(Atletas!R228="Outra Arma Curta D",620,IF(Atletas!R228="Dao E",621,IF(Atletas!R228="Jian E",622,IF(Atletas!R228="Bishou E",623,IF(Atletas!R228="Shanzi E",624,IF(Atletas!R228="Outra Arma Curta E",625,IF(Atletas!R228="Dao F",626,IF(Atletas!R228="Jian F",627,IF(Atletas!R228="Bishou F",628,IF(Atletas!R228="Shanzi F",629,IF(Atletas!R228="Outra Arma Curta F",630, "")))))))))))))))))))))))))))))))</f>
        <v/>
      </c>
      <c r="CA237" s="50" t="str">
        <f>IF(Atletas!S228="","",IF(Atletas!X228&lt;&gt;"",10000,0)+IF(Atletas!B228="Feminino",1000,IF(Atletas!B228="Masculino",2000,""))+IF(Atletas!S228="Gun A",701,IF(Atletas!S228="Qiang A",702,IF(Atletas!S228="Pudao / Guandao A",703,IF(Atletas!S228="Outra Arma Longa A",704,IF(Atletas!S228="Gun B",705,IF(Atletas!S228="Qiang B",706,IF(Atletas!S228="Pudao / Guandao B",707,IF(Atletas!S228="Outra Arma Longa B",708,IF(Atletas!S228="Gun C",709,IF(Atletas!S228="Qiang C",710,IF(Atletas!S228="Pudao / Guandao C",711,IF(Atletas!S228="Outra Arma Longa C",712,IF(Atletas!S228="Gun D",713,IF(Atletas!S228="Qiang D",714,IF(Atletas!S228="Pudao / Guandao D",715,IF(Atletas!S228="Outra Arma Longa D",716,IF(Atletas!S228="Gun E",717,IF(Atletas!S228="Qiang E",718,IF(Atletas!S228="Pudao / Guandao E",719,IF(Atletas!S228="Outra Arma Longa E",720,IF(Atletas!S228="Gun F",721,IF(Atletas!S228="Qiang F",722,IF(Atletas!S228="Pudao / Guandao F",723,IF(Atletas!S228="Outra Arma Longa F",724,"")))))))))))))))))))))))))</f>
        <v/>
      </c>
      <c r="CB237" s="50" t="str">
        <f>IF(Atletas!T228="","",IF(Atletas!X228&lt;&gt;"",10000,0)+IF(Atletas!B228="Feminino",1000,IF(Atletas!B228="Masculino",2000,""))+IF(Atletas!T228="Outra Arma Dupla A",801,IF(Atletas!T228="Arma Maleável A",802,IF(Atletas!T228="Outra Arma Dupla B",803,IF(Atletas!T228="Arma Maleável B",804,IF(Atletas!T228="Outra Arma Dupla C",805,IF(Atletas!T228="Arma Maleável C",806,IF(Atletas!T228="Outra Arma Dupla D",807,IF(Atletas!T228="Arma Maleável D",808,IF(Atletas!T228="Outra Arma Dupla E",809,IF(Atletas!T228="Arma Maleável E",810,IF(Atletas!T228="Outra Arma Dupla F",811,IF(Atletas!T228="Arma Maleável F",812,IF(Atletas!T228="Shuangdao A",813,IF(Atletas!T228="Shuangdao B",814,IF(Atletas!T228="Shuangdao C",815,IF(Atletas!T228="Shuangdao D",816,IF(Atletas!T228="Shuangdao E",817,IF(Atletas!T228="Shuangdao F",818,"")))))))))))))))))))</f>
        <v/>
      </c>
      <c r="CC237" s="50" t="str">
        <f>IF(Atletas!U228="","",IF(Atletas!X228&lt;&gt;"",10000,0)+IF(Atletas!B228="Feminino",1000,IF(Atletas!B228="Masculino",2000,""))+IF(OR(Atletas!U228="Taijijian Yang A",Atletas!U228="Taijijian Yang Standard A"),901,IF(OR(Atletas!U228="Taijijian Chen A", Atletas!U228="Taijijian Chen Standard A"),902,IF(Atletas!U228="Taijijian Sun A",903,IF(Atletas!U228="Taijijian Wu A",904,IF(Atletas!U228="Taijijian Wu-Hao A",905,IF(OR(Atletas!U228="Taijijian 32 A",Atletas!U228="Taijijian 42 A"),906,IF(OR(Atletas!U228="Taijijian Yang B",Atletas!U228="Taijijian Yang Standard B"),907,IF(OR(Atletas!U228="Taijijian Chen B", Atletas!U228="Taijijian Chen Standard B"),908,IF(Atletas!U228="Taijijian Sun B",909,IF(Atletas!U228="Taijijian Wu B",910,IF(Atletas!U228="Taijijian Wu-Hao B",911,IF(OR(Atletas!U228="Taijijian 32 B",Atletas!U228="Taijijian 42 B"),912,IF(OR(Atletas!U228="Taijijian Yang C",Atletas!U228="Taijijian Yang Standard C"),913,IF(OR(Atletas!U228="Taijijian Chen C", Atletas!U228="Taijijian Chen Standard C"),914,IF(Atletas!U228="Taijijian Sun C",915,IF(Atletas!U228="Taijijian Wu C",916,IF(Atletas!U228="Taijijian Wu-Hao C",917,IF(OR(Atletas!U228="Taijijian 32 C",Atletas!U228="Taijijian 42 C"),918,IF(OR(Atletas!U228="Taijijian Yang D",Atletas!U228="Taijijian Yang Standard D"),919,IF(OR(Atletas!U228="Taijijian Chen D", Atletas!U228="Taijijian Chen Standard D"),920,IF(Atletas!U228="Taijijian Sun D",921,IF(Atletas!U228="Taijijian Wu D",922,IF(Atletas!U228="Taijijian Wu-Hao D",923,IF(OR(Atletas!U228="Taijijian 32 D",Atletas!U228="Taijijian 42 D"),924,IF(OR(Atletas!U228="Taijijian Yang E",Atletas!U228="Taijijian Yang Standard E"),925,IF(OR(Atletas!U228="Taijijian Chen E", Atletas!U228="Taijijian Chen Standard E"),926,IF(Atletas!U228="Taijijian Sun E",927,IF(Atletas!U228="Taijijian Wu E",928,IF(Atletas!U228="Taijijian Wu-Hao E",929,IF(OR(Atletas!U228="Taijijian 32 E",Atletas!U228="Taijijian 42 E"),930,IF(OR(Atletas!U228="Taijijian Yang F",Atletas!U228="Taijijian Yang Standard F"),931,IF(OR(Atletas!U228="Taijijian Chen F", Atletas!U228="Taijijian Chen Standard F"),932,IF(Atletas!U228="Taijijian Sun F",933,IF(Atletas!U228="Taijijian Wu F",934,IF(Atletas!U228="Taijijian Wu-Hao F",935,IF(OR(Atletas!U228="Taijijian 32 F",Atletas!U228="Taijijian 42 F"),936,"")))))))))))))))))))))))))))))))))))))</f>
        <v/>
      </c>
      <c r="CD237" s="50" t="str">
        <f>IF(Atletas!V228="","",IF(Atletas!X228&lt;&gt;"",10000,0)+IF(Atletas!B228="Feminino",1000,IF(Atletas!B228="Masculino",2000,""))+IF(Atletas!V228="Taijidao A",937,IF(Atletas!V228="TaijiShanzi A",938,IF(Atletas!V228="Taijiqiang A",939,IF(Atletas!V228="Bagua de Arma A",940,IF(Atletas!V228="Xingyi de Arma A",941,IF(Atletas!V228="Taijidao B",942,IF(Atletas!V228="TaijiShanzi B",943,IF(Atletas!V228="Taijiqiang B",944,IF(Atletas!V228="Bagua de Arma B",945,IF(Atletas!V228="Xingyi de Arma B",946,IF(Atletas!V228="Taijidao C",947,IF(Atletas!V228="TaijiShanzi C",948,IF(Atletas!V228="Taijiqiang C",949,IF(Atletas!V228="Bagua de Arma C",950,IF(Atletas!V228="Xingyi de Arma C",951,IF(Atletas!V228="Taijidao D",952,IF(Atletas!V228="TaijiShanzi D",953,IF(Atletas!V228="Taijiqiang D",954,IF(Atletas!V228="Bagua de Arma D",955,IF(Atletas!V228="Xingyi de Arma D",956,IF(Atletas!V228="Taijidao E",957,IF(Atletas!V228="TaijiShanzi E",958,IF(Atletas!V228="Taijiqiang E",959,IF(Atletas!V228="Bagua de Arma E",960,IF(Atletas!V228="Xingyi de Arma E",961,IF(Atletas!V228="Taijidao F",962,IF(Atletas!V228="TaijiShanzi F",963,IF(Atletas!V228="Taijiqiang F",964,IF(Atletas!V228="Bagua de Arma F",965,IF(Atletas!V228="Xingyi de Arma F",966,"")))))))))))))))))))))))))))))))</f>
        <v/>
      </c>
      <c r="CE237" s="66" t="str">
        <f>IF(CF237&lt;&gt;"","Shanzi B","")</f>
        <v/>
      </c>
      <c r="CF237" s="66" t="str">
        <f>IF(COUNTIF(BR:CD,1609)&gt;0,COUNTIF(BR:CD,1609),"")</f>
        <v/>
      </c>
      <c r="CG237" s="66" t="str">
        <f>IF(CH237&lt;&gt;"","Shanzi B","")</f>
        <v/>
      </c>
      <c r="CH237" s="66" t="str">
        <f>IF(COUNTIF(BR:CD,2609)&gt;0,COUNTIF(BR:CD,2609),"")</f>
        <v/>
      </c>
      <c r="CI237" s="66" t="str">
        <f>IF(CJ237&lt;&gt;"","Outra Arma Curta C","")</f>
        <v/>
      </c>
      <c r="CJ237" s="66" t="str">
        <f>IF(COUNTIF(BR:CD,11615)&gt;0,COUNTIF(BR:CD,11615),"")</f>
        <v/>
      </c>
      <c r="CK237" s="66" t="str">
        <f>IF(CL237&lt;&gt;"","Outra Arma Curta C","")</f>
        <v/>
      </c>
      <c r="CL237" s="66" t="str">
        <f>IF(COUNTIF(BR:CD,12615)&gt;0,COUNTIF(BR:CD,12615),"")</f>
        <v/>
      </c>
      <c r="CM237" s="50" t="str">
        <f xml:space="preserve"> IF(Atletas!W228="","",IF(Atletas!W228="Duilian de Mãos BC - Equipe 1",1,IF(Atletas!W228="Duilian de Mãos BC - Equipe 2",2,IF(Atletas!W228="Duilian de Armas BC - Equipe 1",3,IF(Atletas!W228="Duilian de Armas BC - Equipe 2",4,IF(Atletas!W228="Duilian de Mãos DE - Equipe 1",5,IF(Atletas!W228="Duilian de Mãos DE - Equipe 2",6,IF(Atletas!W228="Duilian de Armas DE - Equipe 1",7,IF(Atletas!W228="Duilian de Armas DE - Equipe 2",8,IF(Atletas!W228="Duilian de Tuishou - Equipe 1",9,IF(Atletas!W228="Duilian de Tuishou - Equipe 2",10,IF(Atletas!W228="Grupo Externo ABC - Equipe 1",11,IF(Atletas!W228="Grupo Externo ABC - Equipe 2",12,IF(Atletas!W228="Grupo Interno ABC - Equipe 1",13,IF(Atletas!W228="Grupo Interno ABC - Equipe 2",14,IF(Atletas!W228="Grupo Externo DEF - Equipe 1",15,IF(Atletas!W228="Grupo Externo DEF - Equipe 2",16,IF(Atletas!W228="Grupo Interno DEF - Equipe 1",17,IF(Atletas!W228="Grupo Interno DEF - Equipe 2",18,"")))))))))))))))))))</f>
        <v/>
      </c>
    </row>
    <row r="238" spans="2:91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 t="str">
        <f t="array" ref="Z238">IFERROR(INDEX(CE$7:CE$348,SMALL(IF(CE$7:CE$348&lt;&gt;"",ROW(CE$7:CE$348)-ROW(CE$7)+1),ROWS(CE$7:CE237))),"")</f>
        <v/>
      </c>
      <c r="AA238" s="3" t="str">
        <f t="array" ref="AA238">IFERROR(INDEX(CF$7:CF$348,SMALL(IF(CF$7:CF$348&lt;&gt;"",ROW(CF$7:CF$348)-ROW(CF$7)+1),ROWS(CF$7:CF237))),"")</f>
        <v/>
      </c>
      <c r="AB238" s="3" t="str">
        <f t="array" ref="AB238">IFERROR(INDEX(CG$7:CG$348,SMALL(IF(CG$7:CG$348&lt;&gt;"",ROW(CG$7:CG$348)-ROW(CG$7)+1),ROWS(CG$7:CG237))),"")</f>
        <v/>
      </c>
      <c r="AC238" s="3" t="str">
        <f t="array" ref="AC238">IFERROR(INDEX(CH$7:CH$348,SMALL(IF(CH$7:CH$348&lt;&gt;"",ROW(CH$7:CH$348)-ROW(CH$7)+1),ROWS(CH$7:CH237))),"")</f>
        <v/>
      </c>
      <c r="AD238" s="3" t="str">
        <f t="array" ref="AD238">IFERROR(INDEX(CI$7:CI$377,SMALL(IF(CI$7:CI$377&lt;&gt;"",ROW(CI$7:CI$377)-ROW(CI$7)+1),ROWS(CI$7:CI237))),"")</f>
        <v/>
      </c>
      <c r="AE238" s="3" t="str">
        <f t="array" ref="AE238">IFERROR(INDEX(CJ$7:CJ$378,SMALL(IF(CJ$7:CJ$378&lt;&gt;"",ROW(CJ$7:CJ$378)-ROW(CJ$7)+1),ROWS(CJ$7:CJ237))),"")</f>
        <v/>
      </c>
      <c r="AF238" s="3" t="str">
        <f t="array" ref="AF238">IFERROR(INDEX(CK$7:CK$378,SMALL(IF(CK$7:CK$378&lt;&gt;"",ROW(CK$7:CK$378)-ROW(CK$7)+1),ROWS(CK$7:CK237))),"")</f>
        <v/>
      </c>
      <c r="AG238" s="3" t="str">
        <f t="array" ref="AG238">IFERROR(INDEX(CL$7:CL$378,SMALL(IF(CL$7:CL$378&lt;&gt;"",ROW(CL$7:CL$378)-ROW(CL$7)+1),ROWS(CL$7:CL237))),"")</f>
        <v/>
      </c>
      <c r="AH238" s="3"/>
      <c r="AI238" s="3"/>
      <c r="AJ238" s="3"/>
      <c r="AK238" s="3"/>
      <c r="AL238" s="3"/>
      <c r="AM238" s="3"/>
      <c r="AN238" s="52" t="str">
        <f>IF(Atletas!D229="","",IF(Atletas!B229="Feminino",100,IF(Atletas!B229="Masculino",200,""))+(IF(Atletas!D229="Kids 30kg",1,IF(Atletas!D229="Kids 32kg",2, IF(Atletas!D229="Kids 34kg",3,IF(Atletas!D229="Kids 36kg",4,IF(Atletas!D229="Kids 39kg",5,IF(Atletas!D229="Kids 42kg",6,IF(Atletas!D229="Kids 45kg",7, IF(Atletas!D229="Infantil 39kg",8,IF(Atletas!D229="Infantil 42kg",9,IF(Atletas!D229="Infantil 45kg",10,IF(Atletas!D229="Infantil 48kg",11,IF(Atletas!D229="Infantil 52kg",12,IF(Atletas!D229="Infantil 56kg",13,IF(Atletas!D229="Infantil 60kg",14,IF(Atletas!D229="Juvenil 48kg",15,IF(Atletas!D229="Juvenil 52kg",16,IF(Atletas!D229="Juvenil 56kg",17,IF(Atletas!D229="Juvenil 60kg",18,IF(Atletas!D229="Juvenil 65kg",19,IF(Atletas!D229="Juvenil 70kg",20,IF(Atletas!D229="Juvenil 75kg",21,IF(Atletas!D229="Juvenil 80kg",22, IF(Atletas!D229="Juvenil 85kg",23,IF(Atletas!D229="Adulto 48kg",24,IF(Atletas!D229="Adulto 52kg",25,IF(Atletas!D229="Adulto 56kg",26,IF(Atletas!D229="Adulto 60kg",27,IF(Atletas!D229="Adulto 65kg",28,IF(Atletas!D229="Adulto 70kg",29,IF(Atletas!D229="Adulto 75kg",30,IF(Atletas!D229="Adulto 80kg",31,IF(Atletas!D229="Adulto 85kg",32,IF(Atletas!D229="Adulto 90kg",33,IF(Atletas!D229="Adulto 100kg",34, IF(Atletas!D229="Adulto +100kg",35,"")))))))))))))))))))))))))))))))))))))</f>
        <v/>
      </c>
      <c r="AS238" s="6" t="str">
        <f>IF(Atletas!E229="","",IF(Atletas!B229="Feminino",100,IF(Atletas!B229="Masculino",200,""))+(IF(Atletas!E229="Juvenil 44kg",1,IF(Atletas!E229="Juvenil 48kg",2,IF(Atletas!E229="Juvenil 52kg",3,IF(Atletas!E229="Juvenil 56kg",4,IF(Atletas!E229="Juvenil 60kg",5,IF(Atletas!E229="Juvenil 65kg",6,IF(Atletas!E229="Juvenil 70kg",7,IF(Atletas!E229="Juvenil 75kg",8,IF(Atletas!E229="Juvenil 82kg",9,IF(Atletas!E229="Juvenil 90kg",10,IF(Atletas!E229="Juvenil 100kg",11,IF(Atletas!E229="Adulto 48kg",12,IF(Atletas!E229="Adulto 52kg",13,IF(Atletas!E229="Adulto 56kg",14,IF(Atletas!E229="Adulto 60kg",15,IF(Atletas!E229="Adulto 65kg",16,IF(Atletas!E229="Adulto 70kg",17,IF(Atletas!E229="Adulto 75kg",18,IF(Atletas!E229="Adulto 82kg",19,IF(Atletas!E229="Adulto 90kg",20,IF(Atletas!E229="Adulto 100kg",21,IF(Atletas!E229="Adulto +100kg",22,""))))))))))))))))))))))))</f>
        <v/>
      </c>
      <c r="AX238" s="6" t="str">
        <f>IF(Atletas!F229="","",IF(Atletas!B229="Feminino",100,IF(Atletas!B229="Masculino",200,""))+(IF(Atletas!F229="Adulto 48kg",1,IF(Atletas!F229="Adulto 56kg",2,IF(Atletas!F229="Adulto 65kg",3,IF(Atletas!F229="Adulto 75kg",4,IF(Atletas!F229="Adulto +75kg",5,IF(Atletas!F229="Adulto 52kg",6,IF(Atletas!F229="Adulto 60kg",7,IF(Atletas!F229="Adulto 70kg",8,IF(Atletas!F229="Adulto 80kg",9,IF(Atletas!F229="Adulto 90kg",10,IF(Atletas!F229="Adulto +90kg",11,"")))))))))))))</f>
        <v/>
      </c>
      <c r="BC238" s="6" t="str">
        <f>IF(Atletas!G229="","",IF(Atletas!B229="Feminino",10,IF(Atletas!B229="Masculino",20,""))+(IF(Atletas!G229="Baduanjin A",1,IF(Atletas!G229="Baduanjin B",2))))</f>
        <v/>
      </c>
      <c r="BF238" s="52" t="str">
        <f>IF(Atletas!H229="","",IF(Atletas!B229="Feminino",100,IF(Atletas!B229="Masculino",200,""))+(IF(Atletas!H229="Changquan Mirim",1,IF(Atletas!H229="Nanquan Mirim",2,IF(Atletas!H229="Taijiquan Mirim",3,IF(Atletas!H229="Changquan Grupo C",4,IF(Atletas!H229="Nanquan Grupo C",5,IF(Atletas!H229="Taijiquan Grupo C",6,IF(Atletas!H229="Changquan Grupo B",7,IF(Atletas!H229="Nanquan Grupo B",8,IF(Atletas!H229="Taijiquan Grupo B",9,IF(Atletas!H229="Changquan Grupo A",10,IF(Atletas!H229="Nanquan Grupo A",11,IF(Atletas!H229="Taijiquan Grupo A",12,IF(Atletas!H229="Changquan Opcional",13,IF(Atletas!H229="Nanquan Opcional",14,IF(Atletas!H229="Taijiquan Opcional",15,IF(Atletas!H229="Changquan Adulto",16,IF(Atletas!H229="Nanquan Adulto",17,IF(Atletas!H229="Taijiquan Adulto",18,""))))))))))))))))))))</f>
        <v/>
      </c>
      <c r="BG238" s="52" t="str">
        <f>IF(Atletas!I229="","",IF(Atletas!B229="Feminino",100,IF(Atletas!B229="Masculino",200,""))+(IF(Atletas!I229="Daoshu Mirim",19,IF(Atletas!I229="Jianshu Mirim",20,IF(Atletas!I229="Nandao Mirim",21,IF(Atletas!I229="Taijijian Mirim",22,IF(Atletas!I229="Daoshu Grupo C",23,IF(Atletas!I229="Jianshu Grupo C",24,IF(Atletas!I229="Nandao Grupo C",25,IF(Atletas!I229="Taijijian Grupo C",26,IF(Atletas!I229="Daoshu Grupo B",27,IF(Atletas!I229="Jianshu Grupo B",28,IF(Atletas!I229="Nandao Grupo B",29,IF(Atletas!I229="Taijijian Grupo B",30,IF(Atletas!I229="Daoshu Grupo A",31,IF(Atletas!I229="Jianshu Grupo A",32,IF(Atletas!I229="Nandao Grupo A",33,IF(Atletas!I229="Taijijian Grupo A",34,IF(Atletas!I229="Daoshu Opcional",35,IF(Atletas!I229="Jianshu Opcional",36,IF(Atletas!I229="Nandao Opcional",37,IF(Atletas!I229="Taijijian Opcional",38,IF(Atletas!I229="Daoshu Adulto",39,IF(Atletas!I229="Jianshu Adulto",40,IF(Atletas!I229="Nandao Adulto",41,IF(Atletas!I229="Taijijian Adulto",42,""))))))))))))))))))))))))))</f>
        <v/>
      </c>
      <c r="BH238" s="52" t="str">
        <f>IF(Atletas!J229="","",IF(Atletas!B229="Feminino",100,IF(Atletas!B229="Masculino",200,""))+(IF(Atletas!J229="Gunshu Mirim",43,IF(Atletas!J229="Qiangshu Mirim",44,IF(Atletas!J229="Nangun Mirim",45,IF(Atletas!J229="Gunshu Grupo C",46,IF(Atletas!J229="Qiangshu Grupo C",47,IF(Atletas!J229="Nangun Grupo C",48,IF(Atletas!J229="Gunshu Grupo B",49,IF(Atletas!J229="Qiangshu Grupo B",50,IF(Atletas!J229="Nangun Grupo B",51,IF(Atletas!J229="Gunshu Grupo A",52,IF(Atletas!J229="Qiangshu Grupo A",53,IF(Atletas!J229="Nangun Grupo A",54,IF(Atletas!J229="Gunshu Opcional",55,IF(Atletas!J229="Qiangshu Opcional",56,IF(Atletas!J229="Nangun Opcional",57,IF(Atletas!J229="Gunshu Adulto",58,IF(Atletas!J229="Qiangshu Adulto",59,IF(Atletas!J229="Nangun Adulto",60,IF(Atletas!J229="Taijishan Grupo B",61,IF(Atletas!J229="Taijishan Grupo A",62,""))))))))))))))))))))))</f>
        <v/>
      </c>
      <c r="BM238" s="50" t="str">
        <f>IF(Atletas!K229="","",IF(Atletas!B229="Feminino",100,IF(Atletas!B229="Masculino",200,""))+(IF(Atletas!K229="Equipe 1 Grupo B",1,IF(Atletas!K229="Equipe 2 Grupo B",2,IF(Atletas!K229="Equipe 1 Grupo A",3,IF(Atletas!K229="Equipe 2 Grupo A",4,IF(Atletas!K229="Equipe 1 Adulto",5,IF(Atletas!K229="Equipe 2 Adulto",6,""))))))))</f>
        <v/>
      </c>
      <c r="BR238" s="50" t="str">
        <f>IF(Atletas!L229="","",IF(Atletas!X229&lt;&gt;"",10000,0)+(IF(Atletas!B229="Feminino",1000,IF(Atletas!B229="Masculino",2000,""))+IF(Atletas!L229="Choylayfut A",1,IF(Atletas!L229="Hunggar A",2,IF(Atletas!L229="Wuzuquan A",3,IF(Atletas!L229="Wingchun A",4,IF(Atletas!L229="Outra Mão de Sul A",5,IF(Atletas!L229="Choylayfut B",6,IF(Atletas!L229="Hunggar B",7,IF(Atletas!L229="Wuzuquan B",8,IF(Atletas!L229="Wingchun B",9,IF(Atletas!L229="Outra Mão de Sul B",10,IF(Atletas!L229="Choylayfut C",11,IF(Atletas!L229="Hunggar C",12,IF(Atletas!L229="Wuzuquan C",13,IF(Atletas!L229="Wingchun C",14,IF(Atletas!L229="Outra Mão de Sul C",15,IF(Atletas!L229="Choylayfut D",16,IF(Atletas!L229="Hunggar D",17,IF(Atletas!L229="Wuzuquan D",18,IF(Atletas!L229="Wingchun D",19,IF(Atletas!L229="Outra Mão de Sul D",20,IF(Atletas!L229="Choylayfut E",21,IF(Atletas!L229="Hunggar E",22,IF(Atletas!L229="Wuzuquan E",23,IF(Atletas!L229="Wingchun E",24,IF(Atletas!L229="Outra Mão de Sul E",25,IF(Atletas!L229="Choylayfut F",26,IF(Atletas!L229="Hunggar F",27,IF(Atletas!L229="Wuzuquan F",28,IF(Atletas!L229="Wingchun F",29,IF(Atletas!L229="Outra Mão de Sul F",30,IF(Atletas!L229="Dishuquan A",31,IF(Atletas!L229="Dishuquan B",32,IF(Atletas!L229="Dishuquan C",33,IF(Atletas!L229="Dishuquan D",34,IF(Atletas!L229="Dishuquan E",35,IF(Atletas!L229="Dishuquan F",36,""))))))))))))))))))))))))))))))))))))))</f>
        <v/>
      </c>
      <c r="BS238" s="50" t="str">
        <f>IF(Atletas!M229="","",IF(Atletas!X229&lt;&gt;"",10000,0)+(IF(Atletas!B229="Feminino",1000,IF(Atletas!B229="Masculino",2000,""))+(IF(Atletas!M229="Chaquan A",101,IF(Atletas!M229="Emeiquan A",102,IF(Atletas!M229="Fanziquan A",103,IF(Atletas!M229="Huaquan A",104,IF(Atletas!M229="Hongquan A",105,IF(Atletas!M229="Paoquan A",106,IF(Atletas!M229="Piguaquan A",107,IF(Atletas!M229="Shaolinquan A",108,IF(Atletas!M229="Tanglangquan A",109,IF(Atletas!M229="Yingzhaoquan A",110,IF(Atletas!M229="Tongbeiquan A",111,IF(Atletas!M229="Wudangquan A",112,IF(Atletas!M229="Outros Estilos A",113,IF(Atletas!M229="Chaquan B",114,IF(Atletas!M229="Emeiquan B",115,IF(Atletas!M229="Fanziquan B",116,IF(Atletas!M229="Huaquan B",117,IF(Atletas!M229="Hongquan B",118,IF(Atletas!M229="Paoquan B",119,IF(Atletas!M229="Piguaquan B",120,IF(Atletas!M229="Shaolinquan B",121,IF(Atletas!M229="Tanglangquan B",122,IF(Atletas!M229="Yingzhaoquan B",123,IF(Atletas!M229="Tongbeiquan B",124,IF(Atletas!M229="Wudangquan B",125,IF(Atletas!M229="Outros Estilos B",126,IF(Atletas!M229="Chaquan C",127,IF(Atletas!M229="Emeiquan C",128,IF(Atletas!M229="Fanziquan C",129,IF(Atletas!M229="Huaquan C",130,IF(Atletas!M229="Hongquan C",131,IF(Atletas!M229="Paoquan C",132,IF(Atletas!M229="Piguaquan C",133,IF(Atletas!M229="Shaolinquan C",134,IF(Atletas!M229="Tanglangquan C",135,IF(Atletas!M229="Yingzhaoquan C",136,IF(Atletas!M229="Tongbeiquan C",137,IF(Atletas!M229="Wudangquan C",138,IF(Atletas!M229="Outros Estilos C",139,0))))))))))))))))))))))))))))))))))))))))))</f>
        <v/>
      </c>
      <c r="BT238" s="50" t="str">
        <f>IF(Atletas!M229="","",IF(Atletas!X229&lt;&gt;"",10000,0)+(IF(Atletas!B229="Feminino",1000,IF(Atletas!B229="Masculino",2000,""))+(IF(Atletas!M229="Chaquan D",140,IF(Atletas!M229="Emeiquan D",141,IF(Atletas!M229="Fanziquan D",142,IF(Atletas!M229="Huaquan D",143,IF(Atletas!M229="Hongquan D",144,IF(Atletas!M229="Paoquan D",145,IF(Atletas!M229="Piguaquan D",146,IF(Atletas!M229="Shaolinquan D",147,IF(Atletas!M229="Tanglangquan D",148,IF(Atletas!M229="Yingzhaoquan D",149,IF(Atletas!M229="Tongbeiquan D",150,IF(Atletas!M229="Wudangquan D",151,IF(Atletas!M229="Outros Estilos D",152,IF(Atletas!M229="Chaquan E",153,IF(Atletas!M229="Emeiquan E",154,IF(Atletas!M229="Fanziquan E",155,IF(Atletas!M229="Huaquan E",156,IF(Atletas!M229="Hongquan E",157,IF(Atletas!M229="Paoquan E",158,IF(Atletas!M229="Piguaquan E",159,IF(Atletas!M229="Shaolinquan E",160,IF(Atletas!M229="Tanglangquan E",161,IF(Atletas!M229="Yingzhaoquan E",162,IF(Atletas!M229="Tongbeiquan E",163,IF(Atletas!M229="Wudangquan E",164,IF(Atletas!M229="Outros Estilos E",165,IF(Atletas!M229="Chaquan F",166,IF(Atletas!M229="Emeiquan F",167,IF(Atletas!M229="Fanziquan F",168,IF(Atletas!M229="Huaquan F",169,IF(Atletas!M229="Hongquan F",170,IF(Atletas!M229="Paoquan F",171,IF(Atletas!M229="Piguaquan F",172,IF(Atletas!M229="Shaolinquan F",173,IF(Atletas!M229="Tanglangquan F",174,IF(Atletas!M229="Yingzhaoquan F",175,IF(Atletas!M229="Tongbeiquan F",176,IF(Atletas!M229="Wudangquan F",177,IF(Atletas!M229="Outros Estilos F",178,0))))))))))))))))))))))))))))))))))))))))))</f>
        <v/>
      </c>
      <c r="BU238" s="50" t="str">
        <f>IF(Atletas!N229="","",IF(Atletas!X229&lt;&gt;"",10000,0)+(IF(Atletas!B229="Feminino",1000,IF(Atletas!B229="Masculino",2000,""))+(IF(Atletas!N229="Ditangquan A",201,IF(Atletas!N229="Houquan A",202,IF(Atletas!N229="Zuiquan A",203,IF(Atletas!N229="Ditangquan B",204,IF(Atletas!N229="Houquan B",205,IF(Atletas!N229="Zuiquan B",206,IF(Atletas!N229="Ditangquan C",207,IF(Atletas!N229="Houquan C",208,IF(Atletas!N229="Zuiquan C",209,IF(Atletas!N229="Ditangquan D",210,IF(Atletas!N229="Houquan D",211,IF(Atletas!N229="Zuiquan D",212,IF(Atletas!N229="Ditangquan E",213,IF(Atletas!N229="Houquan E",214,IF(Atletas!N229="Zuiquan E",215,IF(Atletas!N229="Ditangquan F",216,IF(Atletas!N229="Houquan F",217,IF(Atletas!N229="Zuiquan F",218,"")))))))))))))))))))))</f>
        <v/>
      </c>
      <c r="BV238" s="50" t="str">
        <f>IF(Atletas!O229="","",IF(Atletas!X229&lt;&gt;"",10000,0)+IF(Atletas!B229="Feminino",1000,IF(Atletas!B229="Masculino",2000,""))+IF(Atletas!O229="Yang A",301,IF(Atletas!O229="Chen A",302,IF(Atletas!O229="Sun A",303,IF(Atletas!O229="Wu A",304,IF(Atletas!O229="Wu-Hao A",305,IF(Atletas!O229="Outro Taijiquan A",306,IF(Atletas!O229="Yang B",307,IF(Atletas!O229="Chen B",308,IF(Atletas!O229="Sun B",309,IF(Atletas!O229="Wu B",310,IF(Atletas!O229="Wu-Hao B",311,IF(Atletas!O229="Outro Taijiquan B",312,IF(Atletas!O229="Yang C",313,IF(Atletas!O229="Chen C",314,IF(Atletas!O229="Sun C",315,IF(Atletas!O229="Wu C",316,IF(Atletas!O229="Wu-Hao C",317,IF(Atletas!O229="Outro Taijiquan C",318,IF(Atletas!O229="Yang D",319,IF(Atletas!O229="Chen D",320,IF(Atletas!O229="Sun D",321,IF(Atletas!O229="Wu D",322,IF(Atletas!O229="Wu-Hao D",323,IF(Atletas!O229="Outro Taijiquan D",324,IF(Atletas!O229="Yang E",325,IF(Atletas!O229="Chen E",326,IF(Atletas!O229="Sun E",327,IF(Atletas!O229="Wu E",328,IF(Atletas!O229="Wu-Hao E",329,IF(Atletas!O229="Outro Taijiquan E",330,IF(Atletas!O229="Yang F",331,IF(Atletas!O229="Chen F",332,IF(Atletas!O229="Sun F",333,IF(Atletas!O229="Wu F",334,IF(Atletas!O229="Wu-Hao F",335,IF(Atletas!O229="Outro Taijiquan F",336,"")))))))))))))))))))))))))))))))))))))</f>
        <v/>
      </c>
      <c r="BW238" s="50" t="str">
        <f>IF(Atletas!P229="","",IF(Atletas!X229&lt;&gt;"",10000,0)+IF(Atletas!B229="Feminino",1000,IF(Atletas!B229="Masculino",2000,""))+IF(OR(Atletas!P229="Yang 26 A",Atletas!P229="Yang 40 A"),401,IF(OR(Atletas!P229="Chen 25 A",Atletas!P229="Chen 36 A",Atletas!P229="Chen 56 A"),402,IF(Atletas!P229="Sun 73 A",403,IF(Atletas!P229="Wu 45 A",404,IF(Atletas!P229="Wu-Hao 46 A",405,IF(OR(Atletas!P229="Taijiquan 16 A",Atletas!P229="Taijiquan 24 A",Atletas!P229="Taijiquan 32 A",Atletas!P229="Taijiquan 42 A"),406,IF(OR(Atletas!P229="Yang 26 B",Atletas!P229="Yang 40 B"),407,IF(OR(Atletas!P229="Chen 25 B",Atletas!P229="Chen 36 B",Atletas!P229="Chen 56 B"),408,IF(Atletas!P229="Sun 73 B",409,IF(Atletas!P229="Wu 45 B",410,IF(Atletas!P229="Wu-Hao 46 B",411,IF(OR(Atletas!P229="Taijiquan 16 B",Atletas!P229="Taijiquan 24 B",Atletas!P229="Taijiquan 32 B",Atletas!P229="Taijiquan 42 B"),412,IF(OR(Atletas!P229="Yang 26 C",Atletas!P229="Yang 40 C"),413,IF(OR(Atletas!P229="Chen 25 C",Atletas!P229="Chen 36 C",Atletas!P229="Chen 56 C"),414,IF(Atletas!P229="Sun 73 C",415,IF(Atletas!P229="Wu 45 C",416,IF(Atletas!P229="Wu-Hao 46 C",417,IF(OR(Atletas!P229="Taijiquan 16 C",Atletas!P229="Taijiquan 24 C",Atletas!P229="Taijiquan 32 C",Atletas!P229="Taijiquan 42 C"),418,0)))))))))))))))))))</f>
        <v/>
      </c>
      <c r="BX238" s="50" t="str">
        <f>IF(Atletas!P229="","",IF(Atletas!X229&lt;&gt;"",10000,0)+IF(Atletas!B229="Feminino",1000,IF(Atletas!B229="Masculino",2000,""))+IF(OR(Atletas!P229="Yang 26 D",Atletas!P229="Yang 40 D"),419,IF(OR(Atletas!P229="Chen 25 D",Atletas!P229="Chen 36 D",Atletas!P229="Chen 56 D"),420,IF(Atletas!P229="Sun 73 D",421,IF(Atletas!P229="Wu 45 D",422,IF(Atletas!P229="Wu-Hao 46 D",423,IF(OR(Atletas!P229="Taijiquan 16 D",Atletas!P229="Taijiquan 24 D",Atletas!P229="Taijiquan 32 D",Atletas!P229="Taijiquan 42 D"),424,IF(OR(Atletas!P229="Yang 26 E",Atletas!P229="Yang 40 E"),425,IF(OR(Atletas!P229="Chen 25 E",Atletas!P229="Chen 36 E",Atletas!P229="Chen 56 E"),426,IF(Atletas!P229="Sun 73 E",427,IF(Atletas!P229="Wu 45 E",428,IF(Atletas!P229="Wu-Hao 46 E",429,IF(OR(Atletas!P229="Taijiquan 16 E",Atletas!P229="Taijiquan 24 E",Atletas!P229="Taijiquan 32 E",Atletas!P229="Taijiquan 42 E"),430,IF(OR(Atletas!P229="Yang 26 F",Atletas!P229="Yang 40 F"),431,IF(OR(Atletas!P229="Chen 25 F",Atletas!P229="Chen 36 F",Atletas!P229="Chen 56 F"),432,IF(Atletas!P229="Sun 73 F",433,IF(Atletas!P229="Wu 45 F",434,IF(Atletas!P229="Wu-Hao 46 F",435,IF(OR(Atletas!P229="Taijiquan 16 F",Atletas!P229="Taijiquan 24 F",Atletas!P229="Taijiquan 32 F",Atletas!P229="Taijiquan 42 F"),436,0)))))))))))))))))))</f>
        <v/>
      </c>
      <c r="BY238" s="50" t="str">
        <f>IF(Atletas!Q229="","",IF(Atletas!X229&lt;&gt;"",10000,0)+IF(Atletas!B229="Feminino",1000,IF(Atletas!B229="Masculino",2000,""))+IF(Atletas!Q229="Xingyiquan A",501,IF(Atletas!Q229="Baguazhang A",502,IF(Atletas!Q229="Outro Estilo Interno A",503,IF(Atletas!Q229="Xingyiquan B",504,IF(Atletas!Q229="Baguazhang B",505,IF(Atletas!Q229="Outro Estilo Interno B",506,IF(Atletas!Q229="Xingyiquan C",507,IF(Atletas!Q229="Baguazhang C",508,IF(Atletas!Q229="Outro Estilo Interno C",509,IF(Atletas!Q229="Xingyiquan D",510,IF(Atletas!Q229="Baguazhang D",511,IF(Atletas!Q229="Outro Estilo Interno D",512,IF(Atletas!Q229="Xingyiquan E",513,IF(Atletas!Q229="Baguazhang E",514,IF(Atletas!Q229="Outro Estilo Interno E",515,IF(Atletas!Q229="Xingyiquan F",516,IF(Atletas!Q229="Baguazhang F",517,IF(Atletas!Q229="Outro Estilo Interno F",518, "")))))))))))))))))))</f>
        <v/>
      </c>
      <c r="BZ238" s="50" t="str">
        <f>IF(Atletas!R229="","",IF(Atletas!X229&lt;&gt;"",10000,0)+IF(Atletas!B229="Feminino",1000,IF(Atletas!B229="Masculino",2000,""))+IF(Atletas!R229="Dao A",601,IF(Atletas!R229="Jian A",602,IF(Atletas!R229="Bishou A",603,IF(Atletas!R229="Shanzi A",604,IF(Atletas!R229="Outra Arma Curta A",605,IF(Atletas!R229="Dao B",606,IF(Atletas!R229="Jian B",607,IF(Atletas!R229="Bishou B",608,IF(Atletas!R229="Shanzi B",609,IF(Atletas!R229="Outra Arma Curta B",610,IF(Atletas!R229="Dao C",611,IF(Atletas!R229="Jian C",612,IF(Atletas!R229="Bishou C",613,IF(Atletas!R229="Shanzi C",614,IF(Atletas!R229="Outra Arma Curta C",615,IF(Atletas!R229="Dao D",616,IF(Atletas!R229="Jian D",617,IF(Atletas!R229="Bishou D",618,IF(Atletas!R229="Shanzi D",619,IF(Atletas!R229="Outra Arma Curta D",620,IF(Atletas!R229="Dao E",621,IF(Atletas!R229="Jian E",622,IF(Atletas!R229="Bishou E",623,IF(Atletas!R229="Shanzi E",624,IF(Atletas!R229="Outra Arma Curta E",625,IF(Atletas!R229="Dao F",626,IF(Atletas!R229="Jian F",627,IF(Atletas!R229="Bishou F",628,IF(Atletas!R229="Shanzi F",629,IF(Atletas!R229="Outra Arma Curta F",630, "")))))))))))))))))))))))))))))))</f>
        <v/>
      </c>
      <c r="CA238" s="50" t="str">
        <f>IF(Atletas!S229="","",IF(Atletas!X229&lt;&gt;"",10000,0)+IF(Atletas!B229="Feminino",1000,IF(Atletas!B229="Masculino",2000,""))+IF(Atletas!S229="Gun A",701,IF(Atletas!S229="Qiang A",702,IF(Atletas!S229="Pudao / Guandao A",703,IF(Atletas!S229="Outra Arma Longa A",704,IF(Atletas!S229="Gun B",705,IF(Atletas!S229="Qiang B",706,IF(Atletas!S229="Pudao / Guandao B",707,IF(Atletas!S229="Outra Arma Longa B",708,IF(Atletas!S229="Gun C",709,IF(Atletas!S229="Qiang C",710,IF(Atletas!S229="Pudao / Guandao C",711,IF(Atletas!S229="Outra Arma Longa C",712,IF(Atletas!S229="Gun D",713,IF(Atletas!S229="Qiang D",714,IF(Atletas!S229="Pudao / Guandao D",715,IF(Atletas!S229="Outra Arma Longa D",716,IF(Atletas!S229="Gun E",717,IF(Atletas!S229="Qiang E",718,IF(Atletas!S229="Pudao / Guandao E",719,IF(Atletas!S229="Outra Arma Longa E",720,IF(Atletas!S229="Gun F",721,IF(Atletas!S229="Qiang F",722,IF(Atletas!S229="Pudao / Guandao F",723,IF(Atletas!S229="Outra Arma Longa F",724,"")))))))))))))))))))))))))</f>
        <v/>
      </c>
      <c r="CB238" s="50" t="str">
        <f>IF(Atletas!T229="","",IF(Atletas!X229&lt;&gt;"",10000,0)+IF(Atletas!B229="Feminino",1000,IF(Atletas!B229="Masculino",2000,""))+IF(Atletas!T229="Outra Arma Dupla A",801,IF(Atletas!T229="Arma Maleável A",802,IF(Atletas!T229="Outra Arma Dupla B",803,IF(Atletas!T229="Arma Maleável B",804,IF(Atletas!T229="Outra Arma Dupla C",805,IF(Atletas!T229="Arma Maleável C",806,IF(Atletas!T229="Outra Arma Dupla D",807,IF(Atletas!T229="Arma Maleável D",808,IF(Atletas!T229="Outra Arma Dupla E",809,IF(Atletas!T229="Arma Maleável E",810,IF(Atletas!T229="Outra Arma Dupla F",811,IF(Atletas!T229="Arma Maleável F",812,IF(Atletas!T229="Shuangdao A",813,IF(Atletas!T229="Shuangdao B",814,IF(Atletas!T229="Shuangdao C",815,IF(Atletas!T229="Shuangdao D",816,IF(Atletas!T229="Shuangdao E",817,IF(Atletas!T229="Shuangdao F",818,"")))))))))))))))))))</f>
        <v/>
      </c>
      <c r="CC238" s="50" t="str">
        <f>IF(Atletas!U229="","",IF(Atletas!X229&lt;&gt;"",10000,0)+IF(Atletas!B229="Feminino",1000,IF(Atletas!B229="Masculino",2000,""))+IF(OR(Atletas!U229="Taijijian Yang A",Atletas!U229="Taijijian Yang Standard A"),901,IF(OR(Atletas!U229="Taijijian Chen A", Atletas!U229="Taijijian Chen Standard A"),902,IF(Atletas!U229="Taijijian Sun A",903,IF(Atletas!U229="Taijijian Wu A",904,IF(Atletas!U229="Taijijian Wu-Hao A",905,IF(OR(Atletas!U229="Taijijian 32 A",Atletas!U229="Taijijian 42 A"),906,IF(OR(Atletas!U229="Taijijian Yang B",Atletas!U229="Taijijian Yang Standard B"),907,IF(OR(Atletas!U229="Taijijian Chen B", Atletas!U229="Taijijian Chen Standard B"),908,IF(Atletas!U229="Taijijian Sun B",909,IF(Atletas!U229="Taijijian Wu B",910,IF(Atletas!U229="Taijijian Wu-Hao B",911,IF(OR(Atletas!U229="Taijijian 32 B",Atletas!U229="Taijijian 42 B"),912,IF(OR(Atletas!U229="Taijijian Yang C",Atletas!U229="Taijijian Yang Standard C"),913,IF(OR(Atletas!U229="Taijijian Chen C", Atletas!U229="Taijijian Chen Standard C"),914,IF(Atletas!U229="Taijijian Sun C",915,IF(Atletas!U229="Taijijian Wu C",916,IF(Atletas!U229="Taijijian Wu-Hao C",917,IF(OR(Atletas!U229="Taijijian 32 C",Atletas!U229="Taijijian 42 C"),918,IF(OR(Atletas!U229="Taijijian Yang D",Atletas!U229="Taijijian Yang Standard D"),919,IF(OR(Atletas!U229="Taijijian Chen D", Atletas!U229="Taijijian Chen Standard D"),920,IF(Atletas!U229="Taijijian Sun D",921,IF(Atletas!U229="Taijijian Wu D",922,IF(Atletas!U229="Taijijian Wu-Hao D",923,IF(OR(Atletas!U229="Taijijian 32 D",Atletas!U229="Taijijian 42 D"),924,IF(OR(Atletas!U229="Taijijian Yang E",Atletas!U229="Taijijian Yang Standard E"),925,IF(OR(Atletas!U229="Taijijian Chen E", Atletas!U229="Taijijian Chen Standard E"),926,IF(Atletas!U229="Taijijian Sun E",927,IF(Atletas!U229="Taijijian Wu E",928,IF(Atletas!U229="Taijijian Wu-Hao E",929,IF(OR(Atletas!U229="Taijijian 32 E",Atletas!U229="Taijijian 42 E"),930,IF(OR(Atletas!U229="Taijijian Yang F",Atletas!U229="Taijijian Yang Standard F"),931,IF(OR(Atletas!U229="Taijijian Chen F", Atletas!U229="Taijijian Chen Standard F"),932,IF(Atletas!U229="Taijijian Sun F",933,IF(Atletas!U229="Taijijian Wu F",934,IF(Atletas!U229="Taijijian Wu-Hao F",935,IF(OR(Atletas!U229="Taijijian 32 F",Atletas!U229="Taijijian 42 F"),936,"")))))))))))))))))))))))))))))))))))))</f>
        <v/>
      </c>
      <c r="CD238" s="50" t="str">
        <f>IF(Atletas!V229="","",IF(Atletas!X229&lt;&gt;"",10000,0)+IF(Atletas!B229="Feminino",1000,IF(Atletas!B229="Masculino",2000,""))+IF(Atletas!V229="Taijidao A",937,IF(Atletas!V229="TaijiShanzi A",938,IF(Atletas!V229="Taijiqiang A",939,IF(Atletas!V229="Bagua de Arma A",940,IF(Atletas!V229="Xingyi de Arma A",941,IF(Atletas!V229="Taijidao B",942,IF(Atletas!V229="TaijiShanzi B",943,IF(Atletas!V229="Taijiqiang B",944,IF(Atletas!V229="Bagua de Arma B",945,IF(Atletas!V229="Xingyi de Arma B",946,IF(Atletas!V229="Taijidao C",947,IF(Atletas!V229="TaijiShanzi C",948,IF(Atletas!V229="Taijiqiang C",949,IF(Atletas!V229="Bagua de Arma C",950,IF(Atletas!V229="Xingyi de Arma C",951,IF(Atletas!V229="Taijidao D",952,IF(Atletas!V229="TaijiShanzi D",953,IF(Atletas!V229="Taijiqiang D",954,IF(Atletas!V229="Bagua de Arma D",955,IF(Atletas!V229="Xingyi de Arma D",956,IF(Atletas!V229="Taijidao E",957,IF(Atletas!V229="TaijiShanzi E",958,IF(Atletas!V229="Taijiqiang E",959,IF(Atletas!V229="Bagua de Arma E",960,IF(Atletas!V229="Xingyi de Arma E",961,IF(Atletas!V229="Taijidao F",962,IF(Atletas!V229="TaijiShanzi F",963,IF(Atletas!V229="Taijiqiang F",964,IF(Atletas!V229="Bagua de Arma F",965,IF(Atletas!V229="Xingyi de Arma F",966,"")))))))))))))))))))))))))))))))</f>
        <v/>
      </c>
      <c r="CE238" s="66" t="str">
        <f>IF(CF238&lt;&gt;"","Outra Arma Curta B","")</f>
        <v/>
      </c>
      <c r="CF238" s="66" t="str">
        <f>IF(COUNTIF(BR:CD,1610)&gt;0,COUNTIF(BR:CD,1610),"")</f>
        <v/>
      </c>
      <c r="CG238" s="66" t="str">
        <f>IF(CH238&lt;&gt;"","Outra Arma Curta B","")</f>
        <v/>
      </c>
      <c r="CH238" s="66" t="str">
        <f>IF(COUNTIF(BR:CD,2610)&gt;0,COUNTIF(BR:CD,2610),"")</f>
        <v/>
      </c>
      <c r="CI238" s="66" t="str">
        <f>IF(CJ238&lt;&gt;"","Dao D","")</f>
        <v/>
      </c>
      <c r="CJ238" s="66" t="str">
        <f>IF(COUNTIF(BR:CD,11616)&gt;0,COUNTIF(BR:CD,11616),"")</f>
        <v/>
      </c>
      <c r="CK238" s="66" t="str">
        <f>IF(CL238&lt;&gt;"","Dao D","")</f>
        <v/>
      </c>
      <c r="CL238" s="66" t="str">
        <f>IF(COUNTIF(BR:CD,12616)&gt;0,COUNTIF(BR:CD,12616),"")</f>
        <v/>
      </c>
      <c r="CM238" s="50" t="str">
        <f xml:space="preserve"> IF(Atletas!W229="","",IF(Atletas!W229="Duilian de Mãos BC - Equipe 1",1,IF(Atletas!W229="Duilian de Mãos BC - Equipe 2",2,IF(Atletas!W229="Duilian de Armas BC - Equipe 1",3,IF(Atletas!W229="Duilian de Armas BC - Equipe 2",4,IF(Atletas!W229="Duilian de Mãos DE - Equipe 1",5,IF(Atletas!W229="Duilian de Mãos DE - Equipe 2",6,IF(Atletas!W229="Duilian de Armas DE - Equipe 1",7,IF(Atletas!W229="Duilian de Armas DE - Equipe 2",8,IF(Atletas!W229="Duilian de Tuishou - Equipe 1",9,IF(Atletas!W229="Duilian de Tuishou - Equipe 2",10,IF(Atletas!W229="Grupo Externo ABC - Equipe 1",11,IF(Atletas!W229="Grupo Externo ABC - Equipe 2",12,IF(Atletas!W229="Grupo Interno ABC - Equipe 1",13,IF(Atletas!W229="Grupo Interno ABC - Equipe 2",14,IF(Atletas!W229="Grupo Externo DEF - Equipe 1",15,IF(Atletas!W229="Grupo Externo DEF - Equipe 2",16,IF(Atletas!W229="Grupo Interno DEF - Equipe 1",17,IF(Atletas!W229="Grupo Interno DEF - Equipe 2",18,"")))))))))))))))))))</f>
        <v/>
      </c>
    </row>
    <row r="239" spans="2:91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 t="str">
        <f t="array" ref="Z239">IFERROR(INDEX(CE$7:CE$348,SMALL(IF(CE$7:CE$348&lt;&gt;"",ROW(CE$7:CE$348)-ROW(CE$7)+1),ROWS(CE$7:CE238))),"")</f>
        <v/>
      </c>
      <c r="AA239" s="3" t="str">
        <f t="array" ref="AA239">IFERROR(INDEX(CF$7:CF$348,SMALL(IF(CF$7:CF$348&lt;&gt;"",ROW(CF$7:CF$348)-ROW(CF$7)+1),ROWS(CF$7:CF238))),"")</f>
        <v/>
      </c>
      <c r="AB239" s="3" t="str">
        <f t="array" ref="AB239">IFERROR(INDEX(CG$7:CG$348,SMALL(IF(CG$7:CG$348&lt;&gt;"",ROW(CG$7:CG$348)-ROW(CG$7)+1),ROWS(CG$7:CG238))),"")</f>
        <v/>
      </c>
      <c r="AC239" s="3" t="str">
        <f t="array" ref="AC239">IFERROR(INDEX(CH$7:CH$348,SMALL(IF(CH$7:CH$348&lt;&gt;"",ROW(CH$7:CH$348)-ROW(CH$7)+1),ROWS(CH$7:CH238))),"")</f>
        <v/>
      </c>
      <c r="AD239" s="3" t="str">
        <f t="array" ref="AD239">IFERROR(INDEX(CI$7:CI$377,SMALL(IF(CI$7:CI$377&lt;&gt;"",ROW(CI$7:CI$377)-ROW(CI$7)+1),ROWS(CI$7:CI238))),"")</f>
        <v/>
      </c>
      <c r="AE239" s="3" t="str">
        <f t="array" ref="AE239">IFERROR(INDEX(CJ$7:CJ$378,SMALL(IF(CJ$7:CJ$378&lt;&gt;"",ROW(CJ$7:CJ$378)-ROW(CJ$7)+1),ROWS(CJ$7:CJ238))),"")</f>
        <v/>
      </c>
      <c r="AF239" s="3" t="str">
        <f t="array" ref="AF239">IFERROR(INDEX(CK$7:CK$378,SMALL(IF(CK$7:CK$378&lt;&gt;"",ROW(CK$7:CK$378)-ROW(CK$7)+1),ROWS(CK$7:CK238))),"")</f>
        <v/>
      </c>
      <c r="AG239" s="3" t="str">
        <f t="array" ref="AG239">IFERROR(INDEX(CL$7:CL$378,SMALL(IF(CL$7:CL$378&lt;&gt;"",ROW(CL$7:CL$378)-ROW(CL$7)+1),ROWS(CL$7:CL238))),"")</f>
        <v/>
      </c>
      <c r="AH239" s="3"/>
      <c r="AI239" s="3"/>
      <c r="AJ239" s="3"/>
      <c r="AK239" s="3"/>
      <c r="AL239" s="3"/>
      <c r="AM239" s="3"/>
      <c r="AN239" s="52" t="str">
        <f>IF(Atletas!D230="","",IF(Atletas!B230="Feminino",100,IF(Atletas!B230="Masculino",200,""))+(IF(Atletas!D230="Kids 30kg",1,IF(Atletas!D230="Kids 32kg",2, IF(Atletas!D230="Kids 34kg",3,IF(Atletas!D230="Kids 36kg",4,IF(Atletas!D230="Kids 39kg",5,IF(Atletas!D230="Kids 42kg",6,IF(Atletas!D230="Kids 45kg",7, IF(Atletas!D230="Infantil 39kg",8,IF(Atletas!D230="Infantil 42kg",9,IF(Atletas!D230="Infantil 45kg",10,IF(Atletas!D230="Infantil 48kg",11,IF(Atletas!D230="Infantil 52kg",12,IF(Atletas!D230="Infantil 56kg",13,IF(Atletas!D230="Infantil 60kg",14,IF(Atletas!D230="Juvenil 48kg",15,IF(Atletas!D230="Juvenil 52kg",16,IF(Atletas!D230="Juvenil 56kg",17,IF(Atletas!D230="Juvenil 60kg",18,IF(Atletas!D230="Juvenil 65kg",19,IF(Atletas!D230="Juvenil 70kg",20,IF(Atletas!D230="Juvenil 75kg",21,IF(Atletas!D230="Juvenil 80kg",22, IF(Atletas!D230="Juvenil 85kg",23,IF(Atletas!D230="Adulto 48kg",24,IF(Atletas!D230="Adulto 52kg",25,IF(Atletas!D230="Adulto 56kg",26,IF(Atletas!D230="Adulto 60kg",27,IF(Atletas!D230="Adulto 65kg",28,IF(Atletas!D230="Adulto 70kg",29,IF(Atletas!D230="Adulto 75kg",30,IF(Atletas!D230="Adulto 80kg",31,IF(Atletas!D230="Adulto 85kg",32,IF(Atletas!D230="Adulto 90kg",33,IF(Atletas!D230="Adulto 100kg",34, IF(Atletas!D230="Adulto +100kg",35,"")))))))))))))))))))))))))))))))))))))</f>
        <v/>
      </c>
      <c r="AS239" s="6" t="str">
        <f>IF(Atletas!E230="","",IF(Atletas!B230="Feminino",100,IF(Atletas!B230="Masculino",200,""))+(IF(Atletas!E230="Juvenil 44kg",1,IF(Atletas!E230="Juvenil 48kg",2,IF(Atletas!E230="Juvenil 52kg",3,IF(Atletas!E230="Juvenil 56kg",4,IF(Atletas!E230="Juvenil 60kg",5,IF(Atletas!E230="Juvenil 65kg",6,IF(Atletas!E230="Juvenil 70kg",7,IF(Atletas!E230="Juvenil 75kg",8,IF(Atletas!E230="Juvenil 82kg",9,IF(Atletas!E230="Juvenil 90kg",10,IF(Atletas!E230="Juvenil 100kg",11,IF(Atletas!E230="Adulto 48kg",12,IF(Atletas!E230="Adulto 52kg",13,IF(Atletas!E230="Adulto 56kg",14,IF(Atletas!E230="Adulto 60kg",15,IF(Atletas!E230="Adulto 65kg",16,IF(Atletas!E230="Adulto 70kg",17,IF(Atletas!E230="Adulto 75kg",18,IF(Atletas!E230="Adulto 82kg",19,IF(Atletas!E230="Adulto 90kg",20,IF(Atletas!E230="Adulto 100kg",21,IF(Atletas!E230="Adulto +100kg",22,""))))))))))))))))))))))))</f>
        <v/>
      </c>
      <c r="AX239" s="6" t="str">
        <f>IF(Atletas!F230="","",IF(Atletas!B230="Feminino",100,IF(Atletas!B230="Masculino",200,""))+(IF(Atletas!F230="Adulto 48kg",1,IF(Atletas!F230="Adulto 56kg",2,IF(Atletas!F230="Adulto 65kg",3,IF(Atletas!F230="Adulto 75kg",4,IF(Atletas!F230="Adulto +75kg",5,IF(Atletas!F230="Adulto 52kg",6,IF(Atletas!F230="Adulto 60kg",7,IF(Atletas!F230="Adulto 70kg",8,IF(Atletas!F230="Adulto 80kg",9,IF(Atletas!F230="Adulto 90kg",10,IF(Atletas!F230="Adulto +90kg",11,"")))))))))))))</f>
        <v/>
      </c>
      <c r="BC239" s="6" t="str">
        <f>IF(Atletas!G230="","",IF(Atletas!B230="Feminino",10,IF(Atletas!B230="Masculino",20,""))+(IF(Atletas!G230="Baduanjin A",1,IF(Atletas!G230="Baduanjin B",2))))</f>
        <v/>
      </c>
      <c r="BF239" s="52" t="str">
        <f>IF(Atletas!H230="","",IF(Atletas!B230="Feminino",100,IF(Atletas!B230="Masculino",200,""))+(IF(Atletas!H230="Changquan Mirim",1,IF(Atletas!H230="Nanquan Mirim",2,IF(Atletas!H230="Taijiquan Mirim",3,IF(Atletas!H230="Changquan Grupo C",4,IF(Atletas!H230="Nanquan Grupo C",5,IF(Atletas!H230="Taijiquan Grupo C",6,IF(Atletas!H230="Changquan Grupo B",7,IF(Atletas!H230="Nanquan Grupo B",8,IF(Atletas!H230="Taijiquan Grupo B",9,IF(Atletas!H230="Changquan Grupo A",10,IF(Atletas!H230="Nanquan Grupo A",11,IF(Atletas!H230="Taijiquan Grupo A",12,IF(Atletas!H230="Changquan Opcional",13,IF(Atletas!H230="Nanquan Opcional",14,IF(Atletas!H230="Taijiquan Opcional",15,IF(Atletas!H230="Changquan Adulto",16,IF(Atletas!H230="Nanquan Adulto",17,IF(Atletas!H230="Taijiquan Adulto",18,""))))))))))))))))))))</f>
        <v/>
      </c>
      <c r="BG239" s="52" t="str">
        <f>IF(Atletas!I230="","",IF(Atletas!B230="Feminino",100,IF(Atletas!B230="Masculino",200,""))+(IF(Atletas!I230="Daoshu Mirim",19,IF(Atletas!I230="Jianshu Mirim",20,IF(Atletas!I230="Nandao Mirim",21,IF(Atletas!I230="Taijijian Mirim",22,IF(Atletas!I230="Daoshu Grupo C",23,IF(Atletas!I230="Jianshu Grupo C",24,IF(Atletas!I230="Nandao Grupo C",25,IF(Atletas!I230="Taijijian Grupo C",26,IF(Atletas!I230="Daoshu Grupo B",27,IF(Atletas!I230="Jianshu Grupo B",28,IF(Atletas!I230="Nandao Grupo B",29,IF(Atletas!I230="Taijijian Grupo B",30,IF(Atletas!I230="Daoshu Grupo A",31,IF(Atletas!I230="Jianshu Grupo A",32,IF(Atletas!I230="Nandao Grupo A",33,IF(Atletas!I230="Taijijian Grupo A",34,IF(Atletas!I230="Daoshu Opcional",35,IF(Atletas!I230="Jianshu Opcional",36,IF(Atletas!I230="Nandao Opcional",37,IF(Atletas!I230="Taijijian Opcional",38,IF(Atletas!I230="Daoshu Adulto",39,IF(Atletas!I230="Jianshu Adulto",40,IF(Atletas!I230="Nandao Adulto",41,IF(Atletas!I230="Taijijian Adulto",42,""))))))))))))))))))))))))))</f>
        <v/>
      </c>
      <c r="BH239" s="52" t="str">
        <f>IF(Atletas!J230="","",IF(Atletas!B230="Feminino",100,IF(Atletas!B230="Masculino",200,""))+(IF(Atletas!J230="Gunshu Mirim",43,IF(Atletas!J230="Qiangshu Mirim",44,IF(Atletas!J230="Nangun Mirim",45,IF(Atletas!J230="Gunshu Grupo C",46,IF(Atletas!J230="Qiangshu Grupo C",47,IF(Atletas!J230="Nangun Grupo C",48,IF(Atletas!J230="Gunshu Grupo B",49,IF(Atletas!J230="Qiangshu Grupo B",50,IF(Atletas!J230="Nangun Grupo B",51,IF(Atletas!J230="Gunshu Grupo A",52,IF(Atletas!J230="Qiangshu Grupo A",53,IF(Atletas!J230="Nangun Grupo A",54,IF(Atletas!J230="Gunshu Opcional",55,IF(Atletas!J230="Qiangshu Opcional",56,IF(Atletas!J230="Nangun Opcional",57,IF(Atletas!J230="Gunshu Adulto",58,IF(Atletas!J230="Qiangshu Adulto",59,IF(Atletas!J230="Nangun Adulto",60,IF(Atletas!J230="Taijishan Grupo B",61,IF(Atletas!J230="Taijishan Grupo A",62,""))))))))))))))))))))))</f>
        <v/>
      </c>
      <c r="BM239" s="50" t="str">
        <f>IF(Atletas!K230="","",IF(Atletas!B230="Feminino",100,IF(Atletas!B230="Masculino",200,""))+(IF(Atletas!K230="Equipe 1 Grupo B",1,IF(Atletas!K230="Equipe 2 Grupo B",2,IF(Atletas!K230="Equipe 1 Grupo A",3,IF(Atletas!K230="Equipe 2 Grupo A",4,IF(Atletas!K230="Equipe 1 Adulto",5,IF(Atletas!K230="Equipe 2 Adulto",6,""))))))))</f>
        <v/>
      </c>
      <c r="BR239" s="50" t="str">
        <f>IF(Atletas!L230="","",IF(Atletas!X230&lt;&gt;"",10000,0)+(IF(Atletas!B230="Feminino",1000,IF(Atletas!B230="Masculino",2000,""))+IF(Atletas!L230="Choylayfut A",1,IF(Atletas!L230="Hunggar A",2,IF(Atletas!L230="Wuzuquan A",3,IF(Atletas!L230="Wingchun A",4,IF(Atletas!L230="Outra Mão de Sul A",5,IF(Atletas!L230="Choylayfut B",6,IF(Atletas!L230="Hunggar B",7,IF(Atletas!L230="Wuzuquan B",8,IF(Atletas!L230="Wingchun B",9,IF(Atletas!L230="Outra Mão de Sul B",10,IF(Atletas!L230="Choylayfut C",11,IF(Atletas!L230="Hunggar C",12,IF(Atletas!L230="Wuzuquan C",13,IF(Atletas!L230="Wingchun C",14,IF(Atletas!L230="Outra Mão de Sul C",15,IF(Atletas!L230="Choylayfut D",16,IF(Atletas!L230="Hunggar D",17,IF(Atletas!L230="Wuzuquan D",18,IF(Atletas!L230="Wingchun D",19,IF(Atletas!L230="Outra Mão de Sul D",20,IF(Atletas!L230="Choylayfut E",21,IF(Atletas!L230="Hunggar E",22,IF(Atletas!L230="Wuzuquan E",23,IF(Atletas!L230="Wingchun E",24,IF(Atletas!L230="Outra Mão de Sul E",25,IF(Atletas!L230="Choylayfut F",26,IF(Atletas!L230="Hunggar F",27,IF(Atletas!L230="Wuzuquan F",28,IF(Atletas!L230="Wingchun F",29,IF(Atletas!L230="Outra Mão de Sul F",30,IF(Atletas!L230="Dishuquan A",31,IF(Atletas!L230="Dishuquan B",32,IF(Atletas!L230="Dishuquan C",33,IF(Atletas!L230="Dishuquan D",34,IF(Atletas!L230="Dishuquan E",35,IF(Atletas!L230="Dishuquan F",36,""))))))))))))))))))))))))))))))))))))))</f>
        <v/>
      </c>
      <c r="BS239" s="50" t="str">
        <f>IF(Atletas!M230="","",IF(Atletas!X230&lt;&gt;"",10000,0)+(IF(Atletas!B230="Feminino",1000,IF(Atletas!B230="Masculino",2000,""))+(IF(Atletas!M230="Chaquan A",101,IF(Atletas!M230="Emeiquan A",102,IF(Atletas!M230="Fanziquan A",103,IF(Atletas!M230="Huaquan A",104,IF(Atletas!M230="Hongquan A",105,IF(Atletas!M230="Paoquan A",106,IF(Atletas!M230="Piguaquan A",107,IF(Atletas!M230="Shaolinquan A",108,IF(Atletas!M230="Tanglangquan A",109,IF(Atletas!M230="Yingzhaoquan A",110,IF(Atletas!M230="Tongbeiquan A",111,IF(Atletas!M230="Wudangquan A",112,IF(Atletas!M230="Outros Estilos A",113,IF(Atletas!M230="Chaquan B",114,IF(Atletas!M230="Emeiquan B",115,IF(Atletas!M230="Fanziquan B",116,IF(Atletas!M230="Huaquan B",117,IF(Atletas!M230="Hongquan B",118,IF(Atletas!M230="Paoquan B",119,IF(Atletas!M230="Piguaquan B",120,IF(Atletas!M230="Shaolinquan B",121,IF(Atletas!M230="Tanglangquan B",122,IF(Atletas!M230="Yingzhaoquan B",123,IF(Atletas!M230="Tongbeiquan B",124,IF(Atletas!M230="Wudangquan B",125,IF(Atletas!M230="Outros Estilos B",126,IF(Atletas!M230="Chaquan C",127,IF(Atletas!M230="Emeiquan C",128,IF(Atletas!M230="Fanziquan C",129,IF(Atletas!M230="Huaquan C",130,IF(Atletas!M230="Hongquan C",131,IF(Atletas!M230="Paoquan C",132,IF(Atletas!M230="Piguaquan C",133,IF(Atletas!M230="Shaolinquan C",134,IF(Atletas!M230="Tanglangquan C",135,IF(Atletas!M230="Yingzhaoquan C",136,IF(Atletas!M230="Tongbeiquan C",137,IF(Atletas!M230="Wudangquan C",138,IF(Atletas!M230="Outros Estilos C",139,0))))))))))))))))))))))))))))))))))))))))))</f>
        <v/>
      </c>
      <c r="BT239" s="50" t="str">
        <f>IF(Atletas!M230="","",IF(Atletas!X230&lt;&gt;"",10000,0)+(IF(Atletas!B230="Feminino",1000,IF(Atletas!B230="Masculino",2000,""))+(IF(Atletas!M230="Chaquan D",140,IF(Atletas!M230="Emeiquan D",141,IF(Atletas!M230="Fanziquan D",142,IF(Atletas!M230="Huaquan D",143,IF(Atletas!M230="Hongquan D",144,IF(Atletas!M230="Paoquan D",145,IF(Atletas!M230="Piguaquan D",146,IF(Atletas!M230="Shaolinquan D",147,IF(Atletas!M230="Tanglangquan D",148,IF(Atletas!M230="Yingzhaoquan D",149,IF(Atletas!M230="Tongbeiquan D",150,IF(Atletas!M230="Wudangquan D",151,IF(Atletas!M230="Outros Estilos D",152,IF(Atletas!M230="Chaquan E",153,IF(Atletas!M230="Emeiquan E",154,IF(Atletas!M230="Fanziquan E",155,IF(Atletas!M230="Huaquan E",156,IF(Atletas!M230="Hongquan E",157,IF(Atletas!M230="Paoquan E",158,IF(Atletas!M230="Piguaquan E",159,IF(Atletas!M230="Shaolinquan E",160,IF(Atletas!M230="Tanglangquan E",161,IF(Atletas!M230="Yingzhaoquan E",162,IF(Atletas!M230="Tongbeiquan E",163,IF(Atletas!M230="Wudangquan E",164,IF(Atletas!M230="Outros Estilos E",165,IF(Atletas!M230="Chaquan F",166,IF(Atletas!M230="Emeiquan F",167,IF(Atletas!M230="Fanziquan F",168,IF(Atletas!M230="Huaquan F",169,IF(Atletas!M230="Hongquan F",170,IF(Atletas!M230="Paoquan F",171,IF(Atletas!M230="Piguaquan F",172,IF(Atletas!M230="Shaolinquan F",173,IF(Atletas!M230="Tanglangquan F",174,IF(Atletas!M230="Yingzhaoquan F",175,IF(Atletas!M230="Tongbeiquan F",176,IF(Atletas!M230="Wudangquan F",177,IF(Atletas!M230="Outros Estilos F",178,0))))))))))))))))))))))))))))))))))))))))))</f>
        <v/>
      </c>
      <c r="BU239" s="50" t="str">
        <f>IF(Atletas!N230="","",IF(Atletas!X230&lt;&gt;"",10000,0)+(IF(Atletas!B230="Feminino",1000,IF(Atletas!B230="Masculino",2000,""))+(IF(Atletas!N230="Ditangquan A",201,IF(Atletas!N230="Houquan A",202,IF(Atletas!N230="Zuiquan A",203,IF(Atletas!N230="Ditangquan B",204,IF(Atletas!N230="Houquan B",205,IF(Atletas!N230="Zuiquan B",206,IF(Atletas!N230="Ditangquan C",207,IF(Atletas!N230="Houquan C",208,IF(Atletas!N230="Zuiquan C",209,IF(Atletas!N230="Ditangquan D",210,IF(Atletas!N230="Houquan D",211,IF(Atletas!N230="Zuiquan D",212,IF(Atletas!N230="Ditangquan E",213,IF(Atletas!N230="Houquan E",214,IF(Atletas!N230="Zuiquan E",215,IF(Atletas!N230="Ditangquan F",216,IF(Atletas!N230="Houquan F",217,IF(Atletas!N230="Zuiquan F",218,"")))))))))))))))))))))</f>
        <v/>
      </c>
      <c r="BV239" s="50" t="str">
        <f>IF(Atletas!O230="","",IF(Atletas!X230&lt;&gt;"",10000,0)+IF(Atletas!B230="Feminino",1000,IF(Atletas!B230="Masculino",2000,""))+IF(Atletas!O230="Yang A",301,IF(Atletas!O230="Chen A",302,IF(Atletas!O230="Sun A",303,IF(Atletas!O230="Wu A",304,IF(Atletas!O230="Wu-Hao A",305,IF(Atletas!O230="Outro Taijiquan A",306,IF(Atletas!O230="Yang B",307,IF(Atletas!O230="Chen B",308,IF(Atletas!O230="Sun B",309,IF(Atletas!O230="Wu B",310,IF(Atletas!O230="Wu-Hao B",311,IF(Atletas!O230="Outro Taijiquan B",312,IF(Atletas!O230="Yang C",313,IF(Atletas!O230="Chen C",314,IF(Atletas!O230="Sun C",315,IF(Atletas!O230="Wu C",316,IF(Atletas!O230="Wu-Hao C",317,IF(Atletas!O230="Outro Taijiquan C",318,IF(Atletas!O230="Yang D",319,IF(Atletas!O230="Chen D",320,IF(Atletas!O230="Sun D",321,IF(Atletas!O230="Wu D",322,IF(Atletas!O230="Wu-Hao D",323,IF(Atletas!O230="Outro Taijiquan D",324,IF(Atletas!O230="Yang E",325,IF(Atletas!O230="Chen E",326,IF(Atletas!O230="Sun E",327,IF(Atletas!O230="Wu E",328,IF(Atletas!O230="Wu-Hao E",329,IF(Atletas!O230="Outro Taijiquan E",330,IF(Atletas!O230="Yang F",331,IF(Atletas!O230="Chen F",332,IF(Atletas!O230="Sun F",333,IF(Atletas!O230="Wu F",334,IF(Atletas!O230="Wu-Hao F",335,IF(Atletas!O230="Outro Taijiquan F",336,"")))))))))))))))))))))))))))))))))))))</f>
        <v/>
      </c>
      <c r="BW239" s="50" t="str">
        <f>IF(Atletas!P230="","",IF(Atletas!X230&lt;&gt;"",10000,0)+IF(Atletas!B230="Feminino",1000,IF(Atletas!B230="Masculino",2000,""))+IF(OR(Atletas!P230="Yang 26 A",Atletas!P230="Yang 40 A"),401,IF(OR(Atletas!P230="Chen 25 A",Atletas!P230="Chen 36 A",Atletas!P230="Chen 56 A"),402,IF(Atletas!P230="Sun 73 A",403,IF(Atletas!P230="Wu 45 A",404,IF(Atletas!P230="Wu-Hao 46 A",405,IF(OR(Atletas!P230="Taijiquan 16 A",Atletas!P230="Taijiquan 24 A",Atletas!P230="Taijiquan 32 A",Atletas!P230="Taijiquan 42 A"),406,IF(OR(Atletas!P230="Yang 26 B",Atletas!P230="Yang 40 B"),407,IF(OR(Atletas!P230="Chen 25 B",Atletas!P230="Chen 36 B",Atletas!P230="Chen 56 B"),408,IF(Atletas!P230="Sun 73 B",409,IF(Atletas!P230="Wu 45 B",410,IF(Atletas!P230="Wu-Hao 46 B",411,IF(OR(Atletas!P230="Taijiquan 16 B",Atletas!P230="Taijiquan 24 B",Atletas!P230="Taijiquan 32 B",Atletas!P230="Taijiquan 42 B"),412,IF(OR(Atletas!P230="Yang 26 C",Atletas!P230="Yang 40 C"),413,IF(OR(Atletas!P230="Chen 25 C",Atletas!P230="Chen 36 C",Atletas!P230="Chen 56 C"),414,IF(Atletas!P230="Sun 73 C",415,IF(Atletas!P230="Wu 45 C",416,IF(Atletas!P230="Wu-Hao 46 C",417,IF(OR(Atletas!P230="Taijiquan 16 C",Atletas!P230="Taijiquan 24 C",Atletas!P230="Taijiquan 32 C",Atletas!P230="Taijiquan 42 C"),418,0)))))))))))))))))))</f>
        <v/>
      </c>
      <c r="BX239" s="50" t="str">
        <f>IF(Atletas!P230="","",IF(Atletas!X230&lt;&gt;"",10000,0)+IF(Atletas!B230="Feminino",1000,IF(Atletas!B230="Masculino",2000,""))+IF(OR(Atletas!P230="Yang 26 D",Atletas!P230="Yang 40 D"),419,IF(OR(Atletas!P230="Chen 25 D",Atletas!P230="Chen 36 D",Atletas!P230="Chen 56 D"),420,IF(Atletas!P230="Sun 73 D",421,IF(Atletas!P230="Wu 45 D",422,IF(Atletas!P230="Wu-Hao 46 D",423,IF(OR(Atletas!P230="Taijiquan 16 D",Atletas!P230="Taijiquan 24 D",Atletas!P230="Taijiquan 32 D",Atletas!P230="Taijiquan 42 D"),424,IF(OR(Atletas!P230="Yang 26 E",Atletas!P230="Yang 40 E"),425,IF(OR(Atletas!P230="Chen 25 E",Atletas!P230="Chen 36 E",Atletas!P230="Chen 56 E"),426,IF(Atletas!P230="Sun 73 E",427,IF(Atletas!P230="Wu 45 E",428,IF(Atletas!P230="Wu-Hao 46 E",429,IF(OR(Atletas!P230="Taijiquan 16 E",Atletas!P230="Taijiquan 24 E",Atletas!P230="Taijiquan 32 E",Atletas!P230="Taijiquan 42 E"),430,IF(OR(Atletas!P230="Yang 26 F",Atletas!P230="Yang 40 F"),431,IF(OR(Atletas!P230="Chen 25 F",Atletas!P230="Chen 36 F",Atletas!P230="Chen 56 F"),432,IF(Atletas!P230="Sun 73 F",433,IF(Atletas!P230="Wu 45 F",434,IF(Atletas!P230="Wu-Hao 46 F",435,IF(OR(Atletas!P230="Taijiquan 16 F",Atletas!P230="Taijiquan 24 F",Atletas!P230="Taijiquan 32 F",Atletas!P230="Taijiquan 42 F"),436,0)))))))))))))))))))</f>
        <v/>
      </c>
      <c r="BY239" s="50" t="str">
        <f>IF(Atletas!Q230="","",IF(Atletas!X230&lt;&gt;"",10000,0)+IF(Atletas!B230="Feminino",1000,IF(Atletas!B230="Masculino",2000,""))+IF(Atletas!Q230="Xingyiquan A",501,IF(Atletas!Q230="Baguazhang A",502,IF(Atletas!Q230="Outro Estilo Interno A",503,IF(Atletas!Q230="Xingyiquan B",504,IF(Atletas!Q230="Baguazhang B",505,IF(Atletas!Q230="Outro Estilo Interno B",506,IF(Atletas!Q230="Xingyiquan C",507,IF(Atletas!Q230="Baguazhang C",508,IF(Atletas!Q230="Outro Estilo Interno C",509,IF(Atletas!Q230="Xingyiquan D",510,IF(Atletas!Q230="Baguazhang D",511,IF(Atletas!Q230="Outro Estilo Interno D",512,IF(Atletas!Q230="Xingyiquan E",513,IF(Atletas!Q230="Baguazhang E",514,IF(Atletas!Q230="Outro Estilo Interno E",515,IF(Atletas!Q230="Xingyiquan F",516,IF(Atletas!Q230="Baguazhang F",517,IF(Atletas!Q230="Outro Estilo Interno F",518, "")))))))))))))))))))</f>
        <v/>
      </c>
      <c r="BZ239" s="50" t="str">
        <f>IF(Atletas!R230="","",IF(Atletas!X230&lt;&gt;"",10000,0)+IF(Atletas!B230="Feminino",1000,IF(Atletas!B230="Masculino",2000,""))+IF(Atletas!R230="Dao A",601,IF(Atletas!R230="Jian A",602,IF(Atletas!R230="Bishou A",603,IF(Atletas!R230="Shanzi A",604,IF(Atletas!R230="Outra Arma Curta A",605,IF(Atletas!R230="Dao B",606,IF(Atletas!R230="Jian B",607,IF(Atletas!R230="Bishou B",608,IF(Atletas!R230="Shanzi B",609,IF(Atletas!R230="Outra Arma Curta B",610,IF(Atletas!R230="Dao C",611,IF(Atletas!R230="Jian C",612,IF(Atletas!R230="Bishou C",613,IF(Atletas!R230="Shanzi C",614,IF(Atletas!R230="Outra Arma Curta C",615,IF(Atletas!R230="Dao D",616,IF(Atletas!R230="Jian D",617,IF(Atletas!R230="Bishou D",618,IF(Atletas!R230="Shanzi D",619,IF(Atletas!R230="Outra Arma Curta D",620,IF(Atletas!R230="Dao E",621,IF(Atletas!R230="Jian E",622,IF(Atletas!R230="Bishou E",623,IF(Atletas!R230="Shanzi E",624,IF(Atletas!R230="Outra Arma Curta E",625,IF(Atletas!R230="Dao F",626,IF(Atletas!R230="Jian F",627,IF(Atletas!R230="Bishou F",628,IF(Atletas!R230="Shanzi F",629,IF(Atletas!R230="Outra Arma Curta F",630, "")))))))))))))))))))))))))))))))</f>
        <v/>
      </c>
      <c r="CA239" s="50" t="str">
        <f>IF(Atletas!S230="","",IF(Atletas!X230&lt;&gt;"",10000,0)+IF(Atletas!B230="Feminino",1000,IF(Atletas!B230="Masculino",2000,""))+IF(Atletas!S230="Gun A",701,IF(Atletas!S230="Qiang A",702,IF(Atletas!S230="Pudao / Guandao A",703,IF(Atletas!S230="Outra Arma Longa A",704,IF(Atletas!S230="Gun B",705,IF(Atletas!S230="Qiang B",706,IF(Atletas!S230="Pudao / Guandao B",707,IF(Atletas!S230="Outra Arma Longa B",708,IF(Atletas!S230="Gun C",709,IF(Atletas!S230="Qiang C",710,IF(Atletas!S230="Pudao / Guandao C",711,IF(Atletas!S230="Outra Arma Longa C",712,IF(Atletas!S230="Gun D",713,IF(Atletas!S230="Qiang D",714,IF(Atletas!S230="Pudao / Guandao D",715,IF(Atletas!S230="Outra Arma Longa D",716,IF(Atletas!S230="Gun E",717,IF(Atletas!S230="Qiang E",718,IF(Atletas!S230="Pudao / Guandao E",719,IF(Atletas!S230="Outra Arma Longa E",720,IF(Atletas!S230="Gun F",721,IF(Atletas!S230="Qiang F",722,IF(Atletas!S230="Pudao / Guandao F",723,IF(Atletas!S230="Outra Arma Longa F",724,"")))))))))))))))))))))))))</f>
        <v/>
      </c>
      <c r="CB239" s="50" t="str">
        <f>IF(Atletas!T230="","",IF(Atletas!X230&lt;&gt;"",10000,0)+IF(Atletas!B230="Feminino",1000,IF(Atletas!B230="Masculino",2000,""))+IF(Atletas!T230="Outra Arma Dupla A",801,IF(Atletas!T230="Arma Maleável A",802,IF(Atletas!T230="Outra Arma Dupla B",803,IF(Atletas!T230="Arma Maleável B",804,IF(Atletas!T230="Outra Arma Dupla C",805,IF(Atletas!T230="Arma Maleável C",806,IF(Atletas!T230="Outra Arma Dupla D",807,IF(Atletas!T230="Arma Maleável D",808,IF(Atletas!T230="Outra Arma Dupla E",809,IF(Atletas!T230="Arma Maleável E",810,IF(Atletas!T230="Outra Arma Dupla F",811,IF(Atletas!T230="Arma Maleável F",812,IF(Atletas!T230="Shuangdao A",813,IF(Atletas!T230="Shuangdao B",814,IF(Atletas!T230="Shuangdao C",815,IF(Atletas!T230="Shuangdao D",816,IF(Atletas!T230="Shuangdao E",817,IF(Atletas!T230="Shuangdao F",818,"")))))))))))))))))))</f>
        <v/>
      </c>
      <c r="CC239" s="50" t="str">
        <f>IF(Atletas!U230="","",IF(Atletas!X230&lt;&gt;"",10000,0)+IF(Atletas!B230="Feminino",1000,IF(Atletas!B230="Masculino",2000,""))+IF(OR(Atletas!U230="Taijijian Yang A",Atletas!U230="Taijijian Yang Standard A"),901,IF(OR(Atletas!U230="Taijijian Chen A", Atletas!U230="Taijijian Chen Standard A"),902,IF(Atletas!U230="Taijijian Sun A",903,IF(Atletas!U230="Taijijian Wu A",904,IF(Atletas!U230="Taijijian Wu-Hao A",905,IF(OR(Atletas!U230="Taijijian 32 A",Atletas!U230="Taijijian 42 A"),906,IF(OR(Atletas!U230="Taijijian Yang B",Atletas!U230="Taijijian Yang Standard B"),907,IF(OR(Atletas!U230="Taijijian Chen B", Atletas!U230="Taijijian Chen Standard B"),908,IF(Atletas!U230="Taijijian Sun B",909,IF(Atletas!U230="Taijijian Wu B",910,IF(Atletas!U230="Taijijian Wu-Hao B",911,IF(OR(Atletas!U230="Taijijian 32 B",Atletas!U230="Taijijian 42 B"),912,IF(OR(Atletas!U230="Taijijian Yang C",Atletas!U230="Taijijian Yang Standard C"),913,IF(OR(Atletas!U230="Taijijian Chen C", Atletas!U230="Taijijian Chen Standard C"),914,IF(Atletas!U230="Taijijian Sun C",915,IF(Atletas!U230="Taijijian Wu C",916,IF(Atletas!U230="Taijijian Wu-Hao C",917,IF(OR(Atletas!U230="Taijijian 32 C",Atletas!U230="Taijijian 42 C"),918,IF(OR(Atletas!U230="Taijijian Yang D",Atletas!U230="Taijijian Yang Standard D"),919,IF(OR(Atletas!U230="Taijijian Chen D", Atletas!U230="Taijijian Chen Standard D"),920,IF(Atletas!U230="Taijijian Sun D",921,IF(Atletas!U230="Taijijian Wu D",922,IF(Atletas!U230="Taijijian Wu-Hao D",923,IF(OR(Atletas!U230="Taijijian 32 D",Atletas!U230="Taijijian 42 D"),924,IF(OR(Atletas!U230="Taijijian Yang E",Atletas!U230="Taijijian Yang Standard E"),925,IF(OR(Atletas!U230="Taijijian Chen E", Atletas!U230="Taijijian Chen Standard E"),926,IF(Atletas!U230="Taijijian Sun E",927,IF(Atletas!U230="Taijijian Wu E",928,IF(Atletas!U230="Taijijian Wu-Hao E",929,IF(OR(Atletas!U230="Taijijian 32 E",Atletas!U230="Taijijian 42 E"),930,IF(OR(Atletas!U230="Taijijian Yang F",Atletas!U230="Taijijian Yang Standard F"),931,IF(OR(Atletas!U230="Taijijian Chen F", Atletas!U230="Taijijian Chen Standard F"),932,IF(Atletas!U230="Taijijian Sun F",933,IF(Atletas!U230="Taijijian Wu F",934,IF(Atletas!U230="Taijijian Wu-Hao F",935,IF(OR(Atletas!U230="Taijijian 32 F",Atletas!U230="Taijijian 42 F"),936,"")))))))))))))))))))))))))))))))))))))</f>
        <v/>
      </c>
      <c r="CD239" s="50" t="str">
        <f>IF(Atletas!V230="","",IF(Atletas!X230&lt;&gt;"",10000,0)+IF(Atletas!B230="Feminino",1000,IF(Atletas!B230="Masculino",2000,""))+IF(Atletas!V230="Taijidao A",937,IF(Atletas!V230="TaijiShanzi A",938,IF(Atletas!V230="Taijiqiang A",939,IF(Atletas!V230="Bagua de Arma A",940,IF(Atletas!V230="Xingyi de Arma A",941,IF(Atletas!V230="Taijidao B",942,IF(Atletas!V230="TaijiShanzi B",943,IF(Atletas!V230="Taijiqiang B",944,IF(Atletas!V230="Bagua de Arma B",945,IF(Atletas!V230="Xingyi de Arma B",946,IF(Atletas!V230="Taijidao C",947,IF(Atletas!V230="TaijiShanzi C",948,IF(Atletas!V230="Taijiqiang C",949,IF(Atletas!V230="Bagua de Arma C",950,IF(Atletas!V230="Xingyi de Arma C",951,IF(Atletas!V230="Taijidao D",952,IF(Atletas!V230="TaijiShanzi D",953,IF(Atletas!V230="Taijiqiang D",954,IF(Atletas!V230="Bagua de Arma D",955,IF(Atletas!V230="Xingyi de Arma D",956,IF(Atletas!V230="Taijidao E",957,IF(Atletas!V230="TaijiShanzi E",958,IF(Atletas!V230="Taijiqiang E",959,IF(Atletas!V230="Bagua de Arma E",960,IF(Atletas!V230="Xingyi de Arma E",961,IF(Atletas!V230="Taijidao F",962,IF(Atletas!V230="TaijiShanzi F",963,IF(Atletas!V230="Taijiqiang F",964,IF(Atletas!V230="Bagua de Arma F",965,IF(Atletas!V230="Xingyi de Arma F",966,"")))))))))))))))))))))))))))))))</f>
        <v/>
      </c>
      <c r="CE239" s="66" t="str">
        <f>IF(CF239&lt;&gt;"","Dao C","")</f>
        <v/>
      </c>
      <c r="CF239" s="66" t="str">
        <f>IF(COUNTIF(BR:CD,1611)&gt;0,COUNTIF(BR:CD,1611),"")</f>
        <v/>
      </c>
      <c r="CG239" s="66" t="str">
        <f>IF(CH239&lt;&gt;"","Dao C","")</f>
        <v/>
      </c>
      <c r="CH239" s="66" t="str">
        <f>IF(COUNTIF(BR:CD,2611)&gt;0,COUNTIF(BR:CD,2611),"")</f>
        <v/>
      </c>
      <c r="CI239" s="66" t="str">
        <f>IF(CJ239&lt;&gt;"","Jian D","")</f>
        <v/>
      </c>
      <c r="CJ239" s="66" t="str">
        <f>IF(COUNTIF(BR:CD,11617)&gt;0,COUNTIF(BR:CD,11617),"")</f>
        <v/>
      </c>
      <c r="CK239" s="66" t="str">
        <f>IF(CL239&lt;&gt;"","Jian D","")</f>
        <v/>
      </c>
      <c r="CL239" s="66" t="str">
        <f>IF(COUNTIF(BR:CD,12617)&gt;0,COUNTIF(BR:CD,12617),"")</f>
        <v/>
      </c>
      <c r="CM239" s="50" t="str">
        <f xml:space="preserve"> IF(Atletas!W230="","",IF(Atletas!W230="Duilian de Mãos BC - Equipe 1",1,IF(Atletas!W230="Duilian de Mãos BC - Equipe 2",2,IF(Atletas!W230="Duilian de Armas BC - Equipe 1",3,IF(Atletas!W230="Duilian de Armas BC - Equipe 2",4,IF(Atletas!W230="Duilian de Mãos DE - Equipe 1",5,IF(Atletas!W230="Duilian de Mãos DE - Equipe 2",6,IF(Atletas!W230="Duilian de Armas DE - Equipe 1",7,IF(Atletas!W230="Duilian de Armas DE - Equipe 2",8,IF(Atletas!W230="Duilian de Tuishou - Equipe 1",9,IF(Atletas!W230="Duilian de Tuishou - Equipe 2",10,IF(Atletas!W230="Grupo Externo ABC - Equipe 1",11,IF(Atletas!W230="Grupo Externo ABC - Equipe 2",12,IF(Atletas!W230="Grupo Interno ABC - Equipe 1",13,IF(Atletas!W230="Grupo Interno ABC - Equipe 2",14,IF(Atletas!W230="Grupo Externo DEF - Equipe 1",15,IF(Atletas!W230="Grupo Externo DEF - Equipe 2",16,IF(Atletas!W230="Grupo Interno DEF - Equipe 1",17,IF(Atletas!W230="Grupo Interno DEF - Equipe 2",18,"")))))))))))))))))))</f>
        <v/>
      </c>
    </row>
    <row r="240" spans="2:91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 t="str">
        <f t="array" ref="Z240">IFERROR(INDEX(CE$7:CE$348,SMALL(IF(CE$7:CE$348&lt;&gt;"",ROW(CE$7:CE$348)-ROW(CE$7)+1),ROWS(CE$7:CE239))),"")</f>
        <v/>
      </c>
      <c r="AA240" s="3" t="str">
        <f t="array" ref="AA240">IFERROR(INDEX(CF$7:CF$348,SMALL(IF(CF$7:CF$348&lt;&gt;"",ROW(CF$7:CF$348)-ROW(CF$7)+1),ROWS(CF$7:CF239))),"")</f>
        <v/>
      </c>
      <c r="AB240" s="3" t="str">
        <f t="array" ref="AB240">IFERROR(INDEX(CG$7:CG$348,SMALL(IF(CG$7:CG$348&lt;&gt;"",ROW(CG$7:CG$348)-ROW(CG$7)+1),ROWS(CG$7:CG239))),"")</f>
        <v/>
      </c>
      <c r="AC240" s="3" t="str">
        <f t="array" ref="AC240">IFERROR(INDEX(CH$7:CH$348,SMALL(IF(CH$7:CH$348&lt;&gt;"",ROW(CH$7:CH$348)-ROW(CH$7)+1),ROWS(CH$7:CH239))),"")</f>
        <v/>
      </c>
      <c r="AD240" s="3" t="str">
        <f t="array" ref="AD240">IFERROR(INDEX(CI$7:CI$377,SMALL(IF(CI$7:CI$377&lt;&gt;"",ROW(CI$7:CI$377)-ROW(CI$7)+1),ROWS(CI$7:CI239))),"")</f>
        <v/>
      </c>
      <c r="AE240" s="3" t="str">
        <f t="array" ref="AE240">IFERROR(INDEX(CJ$7:CJ$378,SMALL(IF(CJ$7:CJ$378&lt;&gt;"",ROW(CJ$7:CJ$378)-ROW(CJ$7)+1),ROWS(CJ$7:CJ239))),"")</f>
        <v/>
      </c>
      <c r="AF240" s="3" t="str">
        <f t="array" ref="AF240">IFERROR(INDEX(CK$7:CK$378,SMALL(IF(CK$7:CK$378&lt;&gt;"",ROW(CK$7:CK$378)-ROW(CK$7)+1),ROWS(CK$7:CK239))),"")</f>
        <v/>
      </c>
      <c r="AG240" s="3" t="str">
        <f t="array" ref="AG240">IFERROR(INDEX(CL$7:CL$378,SMALL(IF(CL$7:CL$378&lt;&gt;"",ROW(CL$7:CL$378)-ROW(CL$7)+1),ROWS(CL$7:CL239))),"")</f>
        <v/>
      </c>
      <c r="AH240" s="3"/>
      <c r="AI240" s="3"/>
      <c r="AJ240" s="3"/>
      <c r="AK240" s="3"/>
      <c r="AL240" s="3"/>
      <c r="AM240" s="3"/>
      <c r="AN240" s="52" t="str">
        <f>IF(Atletas!D231="","",IF(Atletas!B231="Feminino",100,IF(Atletas!B231="Masculino",200,""))+(IF(Atletas!D231="Kids 30kg",1,IF(Atletas!D231="Kids 32kg",2, IF(Atletas!D231="Kids 34kg",3,IF(Atletas!D231="Kids 36kg",4,IF(Atletas!D231="Kids 39kg",5,IF(Atletas!D231="Kids 42kg",6,IF(Atletas!D231="Kids 45kg",7, IF(Atletas!D231="Infantil 39kg",8,IF(Atletas!D231="Infantil 42kg",9,IF(Atletas!D231="Infantil 45kg",10,IF(Atletas!D231="Infantil 48kg",11,IF(Atletas!D231="Infantil 52kg",12,IF(Atletas!D231="Infantil 56kg",13,IF(Atletas!D231="Infantil 60kg",14,IF(Atletas!D231="Juvenil 48kg",15,IF(Atletas!D231="Juvenil 52kg",16,IF(Atletas!D231="Juvenil 56kg",17,IF(Atletas!D231="Juvenil 60kg",18,IF(Atletas!D231="Juvenil 65kg",19,IF(Atletas!D231="Juvenil 70kg",20,IF(Atletas!D231="Juvenil 75kg",21,IF(Atletas!D231="Juvenil 80kg",22, IF(Atletas!D231="Juvenil 85kg",23,IF(Atletas!D231="Adulto 48kg",24,IF(Atletas!D231="Adulto 52kg",25,IF(Atletas!D231="Adulto 56kg",26,IF(Atletas!D231="Adulto 60kg",27,IF(Atletas!D231="Adulto 65kg",28,IF(Atletas!D231="Adulto 70kg",29,IF(Atletas!D231="Adulto 75kg",30,IF(Atletas!D231="Adulto 80kg",31,IF(Atletas!D231="Adulto 85kg",32,IF(Atletas!D231="Adulto 90kg",33,IF(Atletas!D231="Adulto 100kg",34, IF(Atletas!D231="Adulto +100kg",35,"")))))))))))))))))))))))))))))))))))))</f>
        <v/>
      </c>
      <c r="AS240" s="6" t="str">
        <f>IF(Atletas!E231="","",IF(Atletas!B231="Feminino",100,IF(Atletas!B231="Masculino",200,""))+(IF(Atletas!E231="Juvenil 44kg",1,IF(Atletas!E231="Juvenil 48kg",2,IF(Atletas!E231="Juvenil 52kg",3,IF(Atletas!E231="Juvenil 56kg",4,IF(Atletas!E231="Juvenil 60kg",5,IF(Atletas!E231="Juvenil 65kg",6,IF(Atletas!E231="Juvenil 70kg",7,IF(Atletas!E231="Juvenil 75kg",8,IF(Atletas!E231="Juvenil 82kg",9,IF(Atletas!E231="Juvenil 90kg",10,IF(Atletas!E231="Juvenil 100kg",11,IF(Atletas!E231="Adulto 48kg",12,IF(Atletas!E231="Adulto 52kg",13,IF(Atletas!E231="Adulto 56kg",14,IF(Atletas!E231="Adulto 60kg",15,IF(Atletas!E231="Adulto 65kg",16,IF(Atletas!E231="Adulto 70kg",17,IF(Atletas!E231="Adulto 75kg",18,IF(Atletas!E231="Adulto 82kg",19,IF(Atletas!E231="Adulto 90kg",20,IF(Atletas!E231="Adulto 100kg",21,IF(Atletas!E231="Adulto +100kg",22,""))))))))))))))))))))))))</f>
        <v/>
      </c>
      <c r="AX240" s="6" t="str">
        <f>IF(Atletas!F231="","",IF(Atletas!B231="Feminino",100,IF(Atletas!B231="Masculino",200,""))+(IF(Atletas!F231="Adulto 48kg",1,IF(Atletas!F231="Adulto 56kg",2,IF(Atletas!F231="Adulto 65kg",3,IF(Atletas!F231="Adulto 75kg",4,IF(Atletas!F231="Adulto +75kg",5,IF(Atletas!F231="Adulto 52kg",6,IF(Atletas!F231="Adulto 60kg",7,IF(Atletas!F231="Adulto 70kg",8,IF(Atletas!F231="Adulto 80kg",9,IF(Atletas!F231="Adulto 90kg",10,IF(Atletas!F231="Adulto +90kg",11,"")))))))))))))</f>
        <v/>
      </c>
      <c r="BC240" s="6" t="str">
        <f>IF(Atletas!G231="","",IF(Atletas!B231="Feminino",10,IF(Atletas!B231="Masculino",20,""))+(IF(Atletas!G231="Baduanjin A",1,IF(Atletas!G231="Baduanjin B",2))))</f>
        <v/>
      </c>
      <c r="BF240" s="52" t="str">
        <f>IF(Atletas!H231="","",IF(Atletas!B231="Feminino",100,IF(Atletas!B231="Masculino",200,""))+(IF(Atletas!H231="Changquan Mirim",1,IF(Atletas!H231="Nanquan Mirim",2,IF(Atletas!H231="Taijiquan Mirim",3,IF(Atletas!H231="Changquan Grupo C",4,IF(Atletas!H231="Nanquan Grupo C",5,IF(Atletas!H231="Taijiquan Grupo C",6,IF(Atletas!H231="Changquan Grupo B",7,IF(Atletas!H231="Nanquan Grupo B",8,IF(Atletas!H231="Taijiquan Grupo B",9,IF(Atletas!H231="Changquan Grupo A",10,IF(Atletas!H231="Nanquan Grupo A",11,IF(Atletas!H231="Taijiquan Grupo A",12,IF(Atletas!H231="Changquan Opcional",13,IF(Atletas!H231="Nanquan Opcional",14,IF(Atletas!H231="Taijiquan Opcional",15,IF(Atletas!H231="Changquan Adulto",16,IF(Atletas!H231="Nanquan Adulto",17,IF(Atletas!H231="Taijiquan Adulto",18,""))))))))))))))))))))</f>
        <v/>
      </c>
      <c r="BG240" s="52" t="str">
        <f>IF(Atletas!I231="","",IF(Atletas!B231="Feminino",100,IF(Atletas!B231="Masculino",200,""))+(IF(Atletas!I231="Daoshu Mirim",19,IF(Atletas!I231="Jianshu Mirim",20,IF(Atletas!I231="Nandao Mirim",21,IF(Atletas!I231="Taijijian Mirim",22,IF(Atletas!I231="Daoshu Grupo C",23,IF(Atletas!I231="Jianshu Grupo C",24,IF(Atletas!I231="Nandao Grupo C",25,IF(Atletas!I231="Taijijian Grupo C",26,IF(Atletas!I231="Daoshu Grupo B",27,IF(Atletas!I231="Jianshu Grupo B",28,IF(Atletas!I231="Nandao Grupo B",29,IF(Atletas!I231="Taijijian Grupo B",30,IF(Atletas!I231="Daoshu Grupo A",31,IF(Atletas!I231="Jianshu Grupo A",32,IF(Atletas!I231="Nandao Grupo A",33,IF(Atletas!I231="Taijijian Grupo A",34,IF(Atletas!I231="Daoshu Opcional",35,IF(Atletas!I231="Jianshu Opcional",36,IF(Atletas!I231="Nandao Opcional",37,IF(Atletas!I231="Taijijian Opcional",38,IF(Atletas!I231="Daoshu Adulto",39,IF(Atletas!I231="Jianshu Adulto",40,IF(Atletas!I231="Nandao Adulto",41,IF(Atletas!I231="Taijijian Adulto",42,""))))))))))))))))))))))))))</f>
        <v/>
      </c>
      <c r="BH240" s="52" t="str">
        <f>IF(Atletas!J231="","",IF(Atletas!B231="Feminino",100,IF(Atletas!B231="Masculino",200,""))+(IF(Atletas!J231="Gunshu Mirim",43,IF(Atletas!J231="Qiangshu Mirim",44,IF(Atletas!J231="Nangun Mirim",45,IF(Atletas!J231="Gunshu Grupo C",46,IF(Atletas!J231="Qiangshu Grupo C",47,IF(Atletas!J231="Nangun Grupo C",48,IF(Atletas!J231="Gunshu Grupo B",49,IF(Atletas!J231="Qiangshu Grupo B",50,IF(Atletas!J231="Nangun Grupo B",51,IF(Atletas!J231="Gunshu Grupo A",52,IF(Atletas!J231="Qiangshu Grupo A",53,IF(Atletas!J231="Nangun Grupo A",54,IF(Atletas!J231="Gunshu Opcional",55,IF(Atletas!J231="Qiangshu Opcional",56,IF(Atletas!J231="Nangun Opcional",57,IF(Atletas!J231="Gunshu Adulto",58,IF(Atletas!J231="Qiangshu Adulto",59,IF(Atletas!J231="Nangun Adulto",60,IF(Atletas!J231="Taijishan Grupo B",61,IF(Atletas!J231="Taijishan Grupo A",62,""))))))))))))))))))))))</f>
        <v/>
      </c>
      <c r="BM240" s="50" t="str">
        <f>IF(Atletas!K231="","",IF(Atletas!B231="Feminino",100,IF(Atletas!B231="Masculino",200,""))+(IF(Atletas!K231="Equipe 1 Grupo B",1,IF(Atletas!K231="Equipe 2 Grupo B",2,IF(Atletas!K231="Equipe 1 Grupo A",3,IF(Atletas!K231="Equipe 2 Grupo A",4,IF(Atletas!K231="Equipe 1 Adulto",5,IF(Atletas!K231="Equipe 2 Adulto",6,""))))))))</f>
        <v/>
      </c>
      <c r="BR240" s="50" t="str">
        <f>IF(Atletas!L231="","",IF(Atletas!X231&lt;&gt;"",10000,0)+(IF(Atletas!B231="Feminino",1000,IF(Atletas!B231="Masculino",2000,""))+IF(Atletas!L231="Choylayfut A",1,IF(Atletas!L231="Hunggar A",2,IF(Atletas!L231="Wuzuquan A",3,IF(Atletas!L231="Wingchun A",4,IF(Atletas!L231="Outra Mão de Sul A",5,IF(Atletas!L231="Choylayfut B",6,IF(Atletas!L231="Hunggar B",7,IF(Atletas!L231="Wuzuquan B",8,IF(Atletas!L231="Wingchun B",9,IF(Atletas!L231="Outra Mão de Sul B",10,IF(Atletas!L231="Choylayfut C",11,IF(Atletas!L231="Hunggar C",12,IF(Atletas!L231="Wuzuquan C",13,IF(Atletas!L231="Wingchun C",14,IF(Atletas!L231="Outra Mão de Sul C",15,IF(Atletas!L231="Choylayfut D",16,IF(Atletas!L231="Hunggar D",17,IF(Atletas!L231="Wuzuquan D",18,IF(Atletas!L231="Wingchun D",19,IF(Atletas!L231="Outra Mão de Sul D",20,IF(Atletas!L231="Choylayfut E",21,IF(Atletas!L231="Hunggar E",22,IF(Atletas!L231="Wuzuquan E",23,IF(Atletas!L231="Wingchun E",24,IF(Atletas!L231="Outra Mão de Sul E",25,IF(Atletas!L231="Choylayfut F",26,IF(Atletas!L231="Hunggar F",27,IF(Atletas!L231="Wuzuquan F",28,IF(Atletas!L231="Wingchun F",29,IF(Atletas!L231="Outra Mão de Sul F",30,IF(Atletas!L231="Dishuquan A",31,IF(Atletas!L231="Dishuquan B",32,IF(Atletas!L231="Dishuquan C",33,IF(Atletas!L231="Dishuquan D",34,IF(Atletas!L231="Dishuquan E",35,IF(Atletas!L231="Dishuquan F",36,""))))))))))))))))))))))))))))))))))))))</f>
        <v/>
      </c>
      <c r="BS240" s="50" t="str">
        <f>IF(Atletas!M231="","",IF(Atletas!X231&lt;&gt;"",10000,0)+(IF(Atletas!B231="Feminino",1000,IF(Atletas!B231="Masculino",2000,""))+(IF(Atletas!M231="Chaquan A",101,IF(Atletas!M231="Emeiquan A",102,IF(Atletas!M231="Fanziquan A",103,IF(Atletas!M231="Huaquan A",104,IF(Atletas!M231="Hongquan A",105,IF(Atletas!M231="Paoquan A",106,IF(Atletas!M231="Piguaquan A",107,IF(Atletas!M231="Shaolinquan A",108,IF(Atletas!M231="Tanglangquan A",109,IF(Atletas!M231="Yingzhaoquan A",110,IF(Atletas!M231="Tongbeiquan A",111,IF(Atletas!M231="Wudangquan A",112,IF(Atletas!M231="Outros Estilos A",113,IF(Atletas!M231="Chaquan B",114,IF(Atletas!M231="Emeiquan B",115,IF(Atletas!M231="Fanziquan B",116,IF(Atletas!M231="Huaquan B",117,IF(Atletas!M231="Hongquan B",118,IF(Atletas!M231="Paoquan B",119,IF(Atletas!M231="Piguaquan B",120,IF(Atletas!M231="Shaolinquan B",121,IF(Atletas!M231="Tanglangquan B",122,IF(Atletas!M231="Yingzhaoquan B",123,IF(Atletas!M231="Tongbeiquan B",124,IF(Atletas!M231="Wudangquan B",125,IF(Atletas!M231="Outros Estilos B",126,IF(Atletas!M231="Chaquan C",127,IF(Atletas!M231="Emeiquan C",128,IF(Atletas!M231="Fanziquan C",129,IF(Atletas!M231="Huaquan C",130,IF(Atletas!M231="Hongquan C",131,IF(Atletas!M231="Paoquan C",132,IF(Atletas!M231="Piguaquan C",133,IF(Atletas!M231="Shaolinquan C",134,IF(Atletas!M231="Tanglangquan C",135,IF(Atletas!M231="Yingzhaoquan C",136,IF(Atletas!M231="Tongbeiquan C",137,IF(Atletas!M231="Wudangquan C",138,IF(Atletas!M231="Outros Estilos C",139,0))))))))))))))))))))))))))))))))))))))))))</f>
        <v/>
      </c>
      <c r="BT240" s="50" t="str">
        <f>IF(Atletas!M231="","",IF(Atletas!X231&lt;&gt;"",10000,0)+(IF(Atletas!B231="Feminino",1000,IF(Atletas!B231="Masculino",2000,""))+(IF(Atletas!M231="Chaquan D",140,IF(Atletas!M231="Emeiquan D",141,IF(Atletas!M231="Fanziquan D",142,IF(Atletas!M231="Huaquan D",143,IF(Atletas!M231="Hongquan D",144,IF(Atletas!M231="Paoquan D",145,IF(Atletas!M231="Piguaquan D",146,IF(Atletas!M231="Shaolinquan D",147,IF(Atletas!M231="Tanglangquan D",148,IF(Atletas!M231="Yingzhaoquan D",149,IF(Atletas!M231="Tongbeiquan D",150,IF(Atletas!M231="Wudangquan D",151,IF(Atletas!M231="Outros Estilos D",152,IF(Atletas!M231="Chaquan E",153,IF(Atletas!M231="Emeiquan E",154,IF(Atletas!M231="Fanziquan E",155,IF(Atletas!M231="Huaquan E",156,IF(Atletas!M231="Hongquan E",157,IF(Atletas!M231="Paoquan E",158,IF(Atletas!M231="Piguaquan E",159,IF(Atletas!M231="Shaolinquan E",160,IF(Atletas!M231="Tanglangquan E",161,IF(Atletas!M231="Yingzhaoquan E",162,IF(Atletas!M231="Tongbeiquan E",163,IF(Atletas!M231="Wudangquan E",164,IF(Atletas!M231="Outros Estilos E",165,IF(Atletas!M231="Chaquan F",166,IF(Atletas!M231="Emeiquan F",167,IF(Atletas!M231="Fanziquan F",168,IF(Atletas!M231="Huaquan F",169,IF(Atletas!M231="Hongquan F",170,IF(Atletas!M231="Paoquan F",171,IF(Atletas!M231="Piguaquan F",172,IF(Atletas!M231="Shaolinquan F",173,IF(Atletas!M231="Tanglangquan F",174,IF(Atletas!M231="Yingzhaoquan F",175,IF(Atletas!M231="Tongbeiquan F",176,IF(Atletas!M231="Wudangquan F",177,IF(Atletas!M231="Outros Estilos F",178,0))))))))))))))))))))))))))))))))))))))))))</f>
        <v/>
      </c>
      <c r="BU240" s="50" t="str">
        <f>IF(Atletas!N231="","",IF(Atletas!X231&lt;&gt;"",10000,0)+(IF(Atletas!B231="Feminino",1000,IF(Atletas!B231="Masculino",2000,""))+(IF(Atletas!N231="Ditangquan A",201,IF(Atletas!N231="Houquan A",202,IF(Atletas!N231="Zuiquan A",203,IF(Atletas!N231="Ditangquan B",204,IF(Atletas!N231="Houquan B",205,IF(Atletas!N231="Zuiquan B",206,IF(Atletas!N231="Ditangquan C",207,IF(Atletas!N231="Houquan C",208,IF(Atletas!N231="Zuiquan C",209,IF(Atletas!N231="Ditangquan D",210,IF(Atletas!N231="Houquan D",211,IF(Atletas!N231="Zuiquan D",212,IF(Atletas!N231="Ditangquan E",213,IF(Atletas!N231="Houquan E",214,IF(Atletas!N231="Zuiquan E",215,IF(Atletas!N231="Ditangquan F",216,IF(Atletas!N231="Houquan F",217,IF(Atletas!N231="Zuiquan F",218,"")))))))))))))))))))))</f>
        <v/>
      </c>
      <c r="BV240" s="50" t="str">
        <f>IF(Atletas!O231="","",IF(Atletas!X231&lt;&gt;"",10000,0)+IF(Atletas!B231="Feminino",1000,IF(Atletas!B231="Masculino",2000,""))+IF(Atletas!O231="Yang A",301,IF(Atletas!O231="Chen A",302,IF(Atletas!O231="Sun A",303,IF(Atletas!O231="Wu A",304,IF(Atletas!O231="Wu-Hao A",305,IF(Atletas!O231="Outro Taijiquan A",306,IF(Atletas!O231="Yang B",307,IF(Atletas!O231="Chen B",308,IF(Atletas!O231="Sun B",309,IF(Atletas!O231="Wu B",310,IF(Atletas!O231="Wu-Hao B",311,IF(Atletas!O231="Outro Taijiquan B",312,IF(Atletas!O231="Yang C",313,IF(Atletas!O231="Chen C",314,IF(Atletas!O231="Sun C",315,IF(Atletas!O231="Wu C",316,IF(Atletas!O231="Wu-Hao C",317,IF(Atletas!O231="Outro Taijiquan C",318,IF(Atletas!O231="Yang D",319,IF(Atletas!O231="Chen D",320,IF(Atletas!O231="Sun D",321,IF(Atletas!O231="Wu D",322,IF(Atletas!O231="Wu-Hao D",323,IF(Atletas!O231="Outro Taijiquan D",324,IF(Atletas!O231="Yang E",325,IF(Atletas!O231="Chen E",326,IF(Atletas!O231="Sun E",327,IF(Atletas!O231="Wu E",328,IF(Atletas!O231="Wu-Hao E",329,IF(Atletas!O231="Outro Taijiquan E",330,IF(Atletas!O231="Yang F",331,IF(Atletas!O231="Chen F",332,IF(Atletas!O231="Sun F",333,IF(Atletas!O231="Wu F",334,IF(Atletas!O231="Wu-Hao F",335,IF(Atletas!O231="Outro Taijiquan F",336,"")))))))))))))))))))))))))))))))))))))</f>
        <v/>
      </c>
      <c r="BW240" s="50" t="str">
        <f>IF(Atletas!P231="","",IF(Atletas!X231&lt;&gt;"",10000,0)+IF(Atletas!B231="Feminino",1000,IF(Atletas!B231="Masculino",2000,""))+IF(OR(Atletas!P231="Yang 26 A",Atletas!P231="Yang 40 A"),401,IF(OR(Atletas!P231="Chen 25 A",Atletas!P231="Chen 36 A",Atletas!P231="Chen 56 A"),402,IF(Atletas!P231="Sun 73 A",403,IF(Atletas!P231="Wu 45 A",404,IF(Atletas!P231="Wu-Hao 46 A",405,IF(OR(Atletas!P231="Taijiquan 16 A",Atletas!P231="Taijiquan 24 A",Atletas!P231="Taijiquan 32 A",Atletas!P231="Taijiquan 42 A"),406,IF(OR(Atletas!P231="Yang 26 B",Atletas!P231="Yang 40 B"),407,IF(OR(Atletas!P231="Chen 25 B",Atletas!P231="Chen 36 B",Atletas!P231="Chen 56 B"),408,IF(Atletas!P231="Sun 73 B",409,IF(Atletas!P231="Wu 45 B",410,IF(Atletas!P231="Wu-Hao 46 B",411,IF(OR(Atletas!P231="Taijiquan 16 B",Atletas!P231="Taijiquan 24 B",Atletas!P231="Taijiquan 32 B",Atletas!P231="Taijiquan 42 B"),412,IF(OR(Atletas!P231="Yang 26 C",Atletas!P231="Yang 40 C"),413,IF(OR(Atletas!P231="Chen 25 C",Atletas!P231="Chen 36 C",Atletas!P231="Chen 56 C"),414,IF(Atletas!P231="Sun 73 C",415,IF(Atletas!P231="Wu 45 C",416,IF(Atletas!P231="Wu-Hao 46 C",417,IF(OR(Atletas!P231="Taijiquan 16 C",Atletas!P231="Taijiquan 24 C",Atletas!P231="Taijiquan 32 C",Atletas!P231="Taijiquan 42 C"),418,0)))))))))))))))))))</f>
        <v/>
      </c>
      <c r="BX240" s="50" t="str">
        <f>IF(Atletas!P231="","",IF(Atletas!X231&lt;&gt;"",10000,0)+IF(Atletas!B231="Feminino",1000,IF(Atletas!B231="Masculino",2000,""))+IF(OR(Atletas!P231="Yang 26 D",Atletas!P231="Yang 40 D"),419,IF(OR(Atletas!P231="Chen 25 D",Atletas!P231="Chen 36 D",Atletas!P231="Chen 56 D"),420,IF(Atletas!P231="Sun 73 D",421,IF(Atletas!P231="Wu 45 D",422,IF(Atletas!P231="Wu-Hao 46 D",423,IF(OR(Atletas!P231="Taijiquan 16 D",Atletas!P231="Taijiquan 24 D",Atletas!P231="Taijiquan 32 D",Atletas!P231="Taijiquan 42 D"),424,IF(OR(Atletas!P231="Yang 26 E",Atletas!P231="Yang 40 E"),425,IF(OR(Atletas!P231="Chen 25 E",Atletas!P231="Chen 36 E",Atletas!P231="Chen 56 E"),426,IF(Atletas!P231="Sun 73 E",427,IF(Atletas!P231="Wu 45 E",428,IF(Atletas!P231="Wu-Hao 46 E",429,IF(OR(Atletas!P231="Taijiquan 16 E",Atletas!P231="Taijiquan 24 E",Atletas!P231="Taijiquan 32 E",Atletas!P231="Taijiquan 42 E"),430,IF(OR(Atletas!P231="Yang 26 F",Atletas!P231="Yang 40 F"),431,IF(OR(Atletas!P231="Chen 25 F",Atletas!P231="Chen 36 F",Atletas!P231="Chen 56 F"),432,IF(Atletas!P231="Sun 73 F",433,IF(Atletas!P231="Wu 45 F",434,IF(Atletas!P231="Wu-Hao 46 F",435,IF(OR(Atletas!P231="Taijiquan 16 F",Atletas!P231="Taijiquan 24 F",Atletas!P231="Taijiquan 32 F",Atletas!P231="Taijiquan 42 F"),436,0)))))))))))))))))))</f>
        <v/>
      </c>
      <c r="BY240" s="50" t="str">
        <f>IF(Atletas!Q231="","",IF(Atletas!X231&lt;&gt;"",10000,0)+IF(Atletas!B231="Feminino",1000,IF(Atletas!B231="Masculino",2000,""))+IF(Atletas!Q231="Xingyiquan A",501,IF(Atletas!Q231="Baguazhang A",502,IF(Atletas!Q231="Outro Estilo Interno A",503,IF(Atletas!Q231="Xingyiquan B",504,IF(Atletas!Q231="Baguazhang B",505,IF(Atletas!Q231="Outro Estilo Interno B",506,IF(Atletas!Q231="Xingyiquan C",507,IF(Atletas!Q231="Baguazhang C",508,IF(Atletas!Q231="Outro Estilo Interno C",509,IF(Atletas!Q231="Xingyiquan D",510,IF(Atletas!Q231="Baguazhang D",511,IF(Atletas!Q231="Outro Estilo Interno D",512,IF(Atletas!Q231="Xingyiquan E",513,IF(Atletas!Q231="Baguazhang E",514,IF(Atletas!Q231="Outro Estilo Interno E",515,IF(Atletas!Q231="Xingyiquan F",516,IF(Atletas!Q231="Baguazhang F",517,IF(Atletas!Q231="Outro Estilo Interno F",518, "")))))))))))))))))))</f>
        <v/>
      </c>
      <c r="BZ240" s="50" t="str">
        <f>IF(Atletas!R231="","",IF(Atletas!X231&lt;&gt;"",10000,0)+IF(Atletas!B231="Feminino",1000,IF(Atletas!B231="Masculino",2000,""))+IF(Atletas!R231="Dao A",601,IF(Atletas!R231="Jian A",602,IF(Atletas!R231="Bishou A",603,IF(Atletas!R231="Shanzi A",604,IF(Atletas!R231="Outra Arma Curta A",605,IF(Atletas!R231="Dao B",606,IF(Atletas!R231="Jian B",607,IF(Atletas!R231="Bishou B",608,IF(Atletas!R231="Shanzi B",609,IF(Atletas!R231="Outra Arma Curta B",610,IF(Atletas!R231="Dao C",611,IF(Atletas!R231="Jian C",612,IF(Atletas!R231="Bishou C",613,IF(Atletas!R231="Shanzi C",614,IF(Atletas!R231="Outra Arma Curta C",615,IF(Atletas!R231="Dao D",616,IF(Atletas!R231="Jian D",617,IF(Atletas!R231="Bishou D",618,IF(Atletas!R231="Shanzi D",619,IF(Atletas!R231="Outra Arma Curta D",620,IF(Atletas!R231="Dao E",621,IF(Atletas!R231="Jian E",622,IF(Atletas!R231="Bishou E",623,IF(Atletas!R231="Shanzi E",624,IF(Atletas!R231="Outra Arma Curta E",625,IF(Atletas!R231="Dao F",626,IF(Atletas!R231="Jian F",627,IF(Atletas!R231="Bishou F",628,IF(Atletas!R231="Shanzi F",629,IF(Atletas!R231="Outra Arma Curta F",630, "")))))))))))))))))))))))))))))))</f>
        <v/>
      </c>
      <c r="CA240" s="50" t="str">
        <f>IF(Atletas!S231="","",IF(Atletas!X231&lt;&gt;"",10000,0)+IF(Atletas!B231="Feminino",1000,IF(Atletas!B231="Masculino",2000,""))+IF(Atletas!S231="Gun A",701,IF(Atletas!S231="Qiang A",702,IF(Atletas!S231="Pudao / Guandao A",703,IF(Atletas!S231="Outra Arma Longa A",704,IF(Atletas!S231="Gun B",705,IF(Atletas!S231="Qiang B",706,IF(Atletas!S231="Pudao / Guandao B",707,IF(Atletas!S231="Outra Arma Longa B",708,IF(Atletas!S231="Gun C",709,IF(Atletas!S231="Qiang C",710,IF(Atletas!S231="Pudao / Guandao C",711,IF(Atletas!S231="Outra Arma Longa C",712,IF(Atletas!S231="Gun D",713,IF(Atletas!S231="Qiang D",714,IF(Atletas!S231="Pudao / Guandao D",715,IF(Atletas!S231="Outra Arma Longa D",716,IF(Atletas!S231="Gun E",717,IF(Atletas!S231="Qiang E",718,IF(Atletas!S231="Pudao / Guandao E",719,IF(Atletas!S231="Outra Arma Longa E",720,IF(Atletas!S231="Gun F",721,IF(Atletas!S231="Qiang F",722,IF(Atletas!S231="Pudao / Guandao F",723,IF(Atletas!S231="Outra Arma Longa F",724,"")))))))))))))))))))))))))</f>
        <v/>
      </c>
      <c r="CB240" s="50" t="str">
        <f>IF(Atletas!T231="","",IF(Atletas!X231&lt;&gt;"",10000,0)+IF(Atletas!B231="Feminino",1000,IF(Atletas!B231="Masculino",2000,""))+IF(Atletas!T231="Outra Arma Dupla A",801,IF(Atletas!T231="Arma Maleável A",802,IF(Atletas!T231="Outra Arma Dupla B",803,IF(Atletas!T231="Arma Maleável B",804,IF(Atletas!T231="Outra Arma Dupla C",805,IF(Atletas!T231="Arma Maleável C",806,IF(Atletas!T231="Outra Arma Dupla D",807,IF(Atletas!T231="Arma Maleável D",808,IF(Atletas!T231="Outra Arma Dupla E",809,IF(Atletas!T231="Arma Maleável E",810,IF(Atletas!T231="Outra Arma Dupla F",811,IF(Atletas!T231="Arma Maleável F",812,IF(Atletas!T231="Shuangdao A",813,IF(Atletas!T231="Shuangdao B",814,IF(Atletas!T231="Shuangdao C",815,IF(Atletas!T231="Shuangdao D",816,IF(Atletas!T231="Shuangdao E",817,IF(Atletas!T231="Shuangdao F",818,"")))))))))))))))))))</f>
        <v/>
      </c>
      <c r="CC240" s="50" t="str">
        <f>IF(Atletas!U231="","",IF(Atletas!X231&lt;&gt;"",10000,0)+IF(Atletas!B231="Feminino",1000,IF(Atletas!B231="Masculino",2000,""))+IF(OR(Atletas!U231="Taijijian Yang A",Atletas!U231="Taijijian Yang Standard A"),901,IF(OR(Atletas!U231="Taijijian Chen A", Atletas!U231="Taijijian Chen Standard A"),902,IF(Atletas!U231="Taijijian Sun A",903,IF(Atletas!U231="Taijijian Wu A",904,IF(Atletas!U231="Taijijian Wu-Hao A",905,IF(OR(Atletas!U231="Taijijian 32 A",Atletas!U231="Taijijian 42 A"),906,IF(OR(Atletas!U231="Taijijian Yang B",Atletas!U231="Taijijian Yang Standard B"),907,IF(OR(Atletas!U231="Taijijian Chen B", Atletas!U231="Taijijian Chen Standard B"),908,IF(Atletas!U231="Taijijian Sun B",909,IF(Atletas!U231="Taijijian Wu B",910,IF(Atletas!U231="Taijijian Wu-Hao B",911,IF(OR(Atletas!U231="Taijijian 32 B",Atletas!U231="Taijijian 42 B"),912,IF(OR(Atletas!U231="Taijijian Yang C",Atletas!U231="Taijijian Yang Standard C"),913,IF(OR(Atletas!U231="Taijijian Chen C", Atletas!U231="Taijijian Chen Standard C"),914,IF(Atletas!U231="Taijijian Sun C",915,IF(Atletas!U231="Taijijian Wu C",916,IF(Atletas!U231="Taijijian Wu-Hao C",917,IF(OR(Atletas!U231="Taijijian 32 C",Atletas!U231="Taijijian 42 C"),918,IF(OR(Atletas!U231="Taijijian Yang D",Atletas!U231="Taijijian Yang Standard D"),919,IF(OR(Atletas!U231="Taijijian Chen D", Atletas!U231="Taijijian Chen Standard D"),920,IF(Atletas!U231="Taijijian Sun D",921,IF(Atletas!U231="Taijijian Wu D",922,IF(Atletas!U231="Taijijian Wu-Hao D",923,IF(OR(Atletas!U231="Taijijian 32 D",Atletas!U231="Taijijian 42 D"),924,IF(OR(Atletas!U231="Taijijian Yang E",Atletas!U231="Taijijian Yang Standard E"),925,IF(OR(Atletas!U231="Taijijian Chen E", Atletas!U231="Taijijian Chen Standard E"),926,IF(Atletas!U231="Taijijian Sun E",927,IF(Atletas!U231="Taijijian Wu E",928,IF(Atletas!U231="Taijijian Wu-Hao E",929,IF(OR(Atletas!U231="Taijijian 32 E",Atletas!U231="Taijijian 42 E"),930,IF(OR(Atletas!U231="Taijijian Yang F",Atletas!U231="Taijijian Yang Standard F"),931,IF(OR(Atletas!U231="Taijijian Chen F", Atletas!U231="Taijijian Chen Standard F"),932,IF(Atletas!U231="Taijijian Sun F",933,IF(Atletas!U231="Taijijian Wu F",934,IF(Atletas!U231="Taijijian Wu-Hao F",935,IF(OR(Atletas!U231="Taijijian 32 F",Atletas!U231="Taijijian 42 F"),936,"")))))))))))))))))))))))))))))))))))))</f>
        <v/>
      </c>
      <c r="CD240" s="50" t="str">
        <f>IF(Atletas!V231="","",IF(Atletas!X231&lt;&gt;"",10000,0)+IF(Atletas!B231="Feminino",1000,IF(Atletas!B231="Masculino",2000,""))+IF(Atletas!V231="Taijidao A",937,IF(Atletas!V231="TaijiShanzi A",938,IF(Atletas!V231="Taijiqiang A",939,IF(Atletas!V231="Bagua de Arma A",940,IF(Atletas!V231="Xingyi de Arma A",941,IF(Atletas!V231="Taijidao B",942,IF(Atletas!V231="TaijiShanzi B",943,IF(Atletas!V231="Taijiqiang B",944,IF(Atletas!V231="Bagua de Arma B",945,IF(Atletas!V231="Xingyi de Arma B",946,IF(Atletas!V231="Taijidao C",947,IF(Atletas!V231="TaijiShanzi C",948,IF(Atletas!V231="Taijiqiang C",949,IF(Atletas!V231="Bagua de Arma C",950,IF(Atletas!V231="Xingyi de Arma C",951,IF(Atletas!V231="Taijidao D",952,IF(Atletas!V231="TaijiShanzi D",953,IF(Atletas!V231="Taijiqiang D",954,IF(Atletas!V231="Bagua de Arma D",955,IF(Atletas!V231="Xingyi de Arma D",956,IF(Atletas!V231="Taijidao E",957,IF(Atletas!V231="TaijiShanzi E",958,IF(Atletas!V231="Taijiqiang E",959,IF(Atletas!V231="Bagua de Arma E",960,IF(Atletas!V231="Xingyi de Arma E",961,IF(Atletas!V231="Taijidao F",962,IF(Atletas!V231="TaijiShanzi F",963,IF(Atletas!V231="Taijiqiang F",964,IF(Atletas!V231="Bagua de Arma F",965,IF(Atletas!V231="Xingyi de Arma F",966,"")))))))))))))))))))))))))))))))</f>
        <v/>
      </c>
      <c r="CE240" s="66" t="str">
        <f>IF(CF240&lt;&gt;"","Jian C","")</f>
        <v/>
      </c>
      <c r="CF240" s="66" t="str">
        <f>IF(COUNTIF(BR:CD,1612)&gt;0,COUNTIF(BR:CD,1612),"")</f>
        <v/>
      </c>
      <c r="CG240" s="66" t="str">
        <f>IF(CH240&lt;&gt;"","Jian C","")</f>
        <v/>
      </c>
      <c r="CH240" s="66" t="str">
        <f>IF(COUNTIF(BR:CD,2612)&gt;0,COUNTIF(BR:CD,2612),"")</f>
        <v/>
      </c>
      <c r="CI240" s="66" t="str">
        <f>IF(CJ240&lt;&gt;"","Bishou D","")</f>
        <v/>
      </c>
      <c r="CJ240" s="66" t="str">
        <f>IF(COUNTIF(BR:CD,11618)&gt;0,COUNTIF(BR:CD,11618),"")</f>
        <v/>
      </c>
      <c r="CK240" s="66" t="str">
        <f>IF(CL240&lt;&gt;"","Bishou D","")</f>
        <v/>
      </c>
      <c r="CL240" s="66" t="str">
        <f>IF(COUNTIF(BR:CD,12618)&gt;0,COUNTIF(BR:CD,12618),"")</f>
        <v/>
      </c>
      <c r="CM240" s="50" t="str">
        <f xml:space="preserve"> IF(Atletas!W231="","",IF(Atletas!W231="Duilian de Mãos BC - Equipe 1",1,IF(Atletas!W231="Duilian de Mãos BC - Equipe 2",2,IF(Atletas!W231="Duilian de Armas BC - Equipe 1",3,IF(Atletas!W231="Duilian de Armas BC - Equipe 2",4,IF(Atletas!W231="Duilian de Mãos DE - Equipe 1",5,IF(Atletas!W231="Duilian de Mãos DE - Equipe 2",6,IF(Atletas!W231="Duilian de Armas DE - Equipe 1",7,IF(Atletas!W231="Duilian de Armas DE - Equipe 2",8,IF(Atletas!W231="Duilian de Tuishou - Equipe 1",9,IF(Atletas!W231="Duilian de Tuishou - Equipe 2",10,IF(Atletas!W231="Grupo Externo ABC - Equipe 1",11,IF(Atletas!W231="Grupo Externo ABC - Equipe 2",12,IF(Atletas!W231="Grupo Interno ABC - Equipe 1",13,IF(Atletas!W231="Grupo Interno ABC - Equipe 2",14,IF(Atletas!W231="Grupo Externo DEF - Equipe 1",15,IF(Atletas!W231="Grupo Externo DEF - Equipe 2",16,IF(Atletas!W231="Grupo Interno DEF - Equipe 1",17,IF(Atletas!W231="Grupo Interno DEF - Equipe 2",18,"")))))))))))))))))))</f>
        <v/>
      </c>
    </row>
    <row r="241" spans="2:91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 t="str">
        <f t="array" ref="Z241">IFERROR(INDEX(CE$7:CE$348,SMALL(IF(CE$7:CE$348&lt;&gt;"",ROW(CE$7:CE$348)-ROW(CE$7)+1),ROWS(CE$7:CE240))),"")</f>
        <v/>
      </c>
      <c r="AA241" s="3" t="str">
        <f t="array" ref="AA241">IFERROR(INDEX(CF$7:CF$348,SMALL(IF(CF$7:CF$348&lt;&gt;"",ROW(CF$7:CF$348)-ROW(CF$7)+1),ROWS(CF$7:CF240))),"")</f>
        <v/>
      </c>
      <c r="AB241" s="3" t="str">
        <f t="array" ref="AB241">IFERROR(INDEX(CG$7:CG$348,SMALL(IF(CG$7:CG$348&lt;&gt;"",ROW(CG$7:CG$348)-ROW(CG$7)+1),ROWS(CG$7:CG240))),"")</f>
        <v/>
      </c>
      <c r="AC241" s="3" t="str">
        <f t="array" ref="AC241">IFERROR(INDEX(CH$7:CH$348,SMALL(IF(CH$7:CH$348&lt;&gt;"",ROW(CH$7:CH$348)-ROW(CH$7)+1),ROWS(CH$7:CH240))),"")</f>
        <v/>
      </c>
      <c r="AD241" s="3" t="str">
        <f t="array" ref="AD241">IFERROR(INDEX(CI$7:CI$377,SMALL(IF(CI$7:CI$377&lt;&gt;"",ROW(CI$7:CI$377)-ROW(CI$7)+1),ROWS(CI$7:CI240))),"")</f>
        <v/>
      </c>
      <c r="AE241" s="3" t="str">
        <f t="array" ref="AE241">IFERROR(INDEX(CJ$7:CJ$378,SMALL(IF(CJ$7:CJ$378&lt;&gt;"",ROW(CJ$7:CJ$378)-ROW(CJ$7)+1),ROWS(CJ$7:CJ240))),"")</f>
        <v/>
      </c>
      <c r="AF241" s="3" t="str">
        <f t="array" ref="AF241">IFERROR(INDEX(CK$7:CK$378,SMALL(IF(CK$7:CK$378&lt;&gt;"",ROW(CK$7:CK$378)-ROW(CK$7)+1),ROWS(CK$7:CK240))),"")</f>
        <v/>
      </c>
      <c r="AG241" s="3" t="str">
        <f t="array" ref="AG241">IFERROR(INDEX(CL$7:CL$378,SMALL(IF(CL$7:CL$378&lt;&gt;"",ROW(CL$7:CL$378)-ROW(CL$7)+1),ROWS(CL$7:CL240))),"")</f>
        <v/>
      </c>
      <c r="AH241" s="3"/>
      <c r="AI241" s="3"/>
      <c r="AJ241" s="3"/>
      <c r="AK241" s="3"/>
      <c r="AL241" s="3"/>
      <c r="AM241" s="3"/>
      <c r="AN241" s="52" t="str">
        <f>IF(Atletas!D232="","",IF(Atletas!B232="Feminino",100,IF(Atletas!B232="Masculino",200,""))+(IF(Atletas!D232="Kids 30kg",1,IF(Atletas!D232="Kids 32kg",2, IF(Atletas!D232="Kids 34kg",3,IF(Atletas!D232="Kids 36kg",4,IF(Atletas!D232="Kids 39kg",5,IF(Atletas!D232="Kids 42kg",6,IF(Atletas!D232="Kids 45kg",7, IF(Atletas!D232="Infantil 39kg",8,IF(Atletas!D232="Infantil 42kg",9,IF(Atletas!D232="Infantil 45kg",10,IF(Atletas!D232="Infantil 48kg",11,IF(Atletas!D232="Infantil 52kg",12,IF(Atletas!D232="Infantil 56kg",13,IF(Atletas!D232="Infantil 60kg",14,IF(Atletas!D232="Juvenil 48kg",15,IF(Atletas!D232="Juvenil 52kg",16,IF(Atletas!D232="Juvenil 56kg",17,IF(Atletas!D232="Juvenil 60kg",18,IF(Atletas!D232="Juvenil 65kg",19,IF(Atletas!D232="Juvenil 70kg",20,IF(Atletas!D232="Juvenil 75kg",21,IF(Atletas!D232="Juvenil 80kg",22, IF(Atletas!D232="Juvenil 85kg",23,IF(Atletas!D232="Adulto 48kg",24,IF(Atletas!D232="Adulto 52kg",25,IF(Atletas!D232="Adulto 56kg",26,IF(Atletas!D232="Adulto 60kg",27,IF(Atletas!D232="Adulto 65kg",28,IF(Atletas!D232="Adulto 70kg",29,IF(Atletas!D232="Adulto 75kg",30,IF(Atletas!D232="Adulto 80kg",31,IF(Atletas!D232="Adulto 85kg",32,IF(Atletas!D232="Adulto 90kg",33,IF(Atletas!D232="Adulto 100kg",34, IF(Atletas!D232="Adulto +100kg",35,"")))))))))))))))))))))))))))))))))))))</f>
        <v/>
      </c>
      <c r="AS241" s="6" t="str">
        <f>IF(Atletas!E232="","",IF(Atletas!B232="Feminino",100,IF(Atletas!B232="Masculino",200,""))+(IF(Atletas!E232="Juvenil 44kg",1,IF(Atletas!E232="Juvenil 48kg",2,IF(Atletas!E232="Juvenil 52kg",3,IF(Atletas!E232="Juvenil 56kg",4,IF(Atletas!E232="Juvenil 60kg",5,IF(Atletas!E232="Juvenil 65kg",6,IF(Atletas!E232="Juvenil 70kg",7,IF(Atletas!E232="Juvenil 75kg",8,IF(Atletas!E232="Juvenil 82kg",9,IF(Atletas!E232="Juvenil 90kg",10,IF(Atletas!E232="Juvenil 100kg",11,IF(Atletas!E232="Adulto 48kg",12,IF(Atletas!E232="Adulto 52kg",13,IF(Atletas!E232="Adulto 56kg",14,IF(Atletas!E232="Adulto 60kg",15,IF(Atletas!E232="Adulto 65kg",16,IF(Atletas!E232="Adulto 70kg",17,IF(Atletas!E232="Adulto 75kg",18,IF(Atletas!E232="Adulto 82kg",19,IF(Atletas!E232="Adulto 90kg",20,IF(Atletas!E232="Adulto 100kg",21,IF(Atletas!E232="Adulto +100kg",22,""))))))))))))))))))))))))</f>
        <v/>
      </c>
      <c r="AX241" s="6" t="str">
        <f>IF(Atletas!F232="","",IF(Atletas!B232="Feminino",100,IF(Atletas!B232="Masculino",200,""))+(IF(Atletas!F232="Adulto 48kg",1,IF(Atletas!F232="Adulto 56kg",2,IF(Atletas!F232="Adulto 65kg",3,IF(Atletas!F232="Adulto 75kg",4,IF(Atletas!F232="Adulto +75kg",5,IF(Atletas!F232="Adulto 52kg",6,IF(Atletas!F232="Adulto 60kg",7,IF(Atletas!F232="Adulto 70kg",8,IF(Atletas!F232="Adulto 80kg",9,IF(Atletas!F232="Adulto 90kg",10,IF(Atletas!F232="Adulto +90kg",11,"")))))))))))))</f>
        <v/>
      </c>
      <c r="BC241" s="6" t="str">
        <f>IF(Atletas!G232="","",IF(Atletas!B232="Feminino",10,IF(Atletas!B232="Masculino",20,""))+(IF(Atletas!G232="Baduanjin A",1,IF(Atletas!G232="Baduanjin B",2))))</f>
        <v/>
      </c>
      <c r="BF241" s="52" t="str">
        <f>IF(Atletas!H232="","",IF(Atletas!B232="Feminino",100,IF(Atletas!B232="Masculino",200,""))+(IF(Atletas!H232="Changquan Mirim",1,IF(Atletas!H232="Nanquan Mirim",2,IF(Atletas!H232="Taijiquan Mirim",3,IF(Atletas!H232="Changquan Grupo C",4,IF(Atletas!H232="Nanquan Grupo C",5,IF(Atletas!H232="Taijiquan Grupo C",6,IF(Atletas!H232="Changquan Grupo B",7,IF(Atletas!H232="Nanquan Grupo B",8,IF(Atletas!H232="Taijiquan Grupo B",9,IF(Atletas!H232="Changquan Grupo A",10,IF(Atletas!H232="Nanquan Grupo A",11,IF(Atletas!H232="Taijiquan Grupo A",12,IF(Atletas!H232="Changquan Opcional",13,IF(Atletas!H232="Nanquan Opcional",14,IF(Atletas!H232="Taijiquan Opcional",15,IF(Atletas!H232="Changquan Adulto",16,IF(Atletas!H232="Nanquan Adulto",17,IF(Atletas!H232="Taijiquan Adulto",18,""))))))))))))))))))))</f>
        <v/>
      </c>
      <c r="BG241" s="52" t="str">
        <f>IF(Atletas!I232="","",IF(Atletas!B232="Feminino",100,IF(Atletas!B232="Masculino",200,""))+(IF(Atletas!I232="Daoshu Mirim",19,IF(Atletas!I232="Jianshu Mirim",20,IF(Atletas!I232="Nandao Mirim",21,IF(Atletas!I232="Taijijian Mirim",22,IF(Atletas!I232="Daoshu Grupo C",23,IF(Atletas!I232="Jianshu Grupo C",24,IF(Atletas!I232="Nandao Grupo C",25,IF(Atletas!I232="Taijijian Grupo C",26,IF(Atletas!I232="Daoshu Grupo B",27,IF(Atletas!I232="Jianshu Grupo B",28,IF(Atletas!I232="Nandao Grupo B",29,IF(Atletas!I232="Taijijian Grupo B",30,IF(Atletas!I232="Daoshu Grupo A",31,IF(Atletas!I232="Jianshu Grupo A",32,IF(Atletas!I232="Nandao Grupo A",33,IF(Atletas!I232="Taijijian Grupo A",34,IF(Atletas!I232="Daoshu Opcional",35,IF(Atletas!I232="Jianshu Opcional",36,IF(Atletas!I232="Nandao Opcional",37,IF(Atletas!I232="Taijijian Opcional",38,IF(Atletas!I232="Daoshu Adulto",39,IF(Atletas!I232="Jianshu Adulto",40,IF(Atletas!I232="Nandao Adulto",41,IF(Atletas!I232="Taijijian Adulto",42,""))))))))))))))))))))))))))</f>
        <v/>
      </c>
      <c r="BH241" s="52" t="str">
        <f>IF(Atletas!J232="","",IF(Atletas!B232="Feminino",100,IF(Atletas!B232="Masculino",200,""))+(IF(Atletas!J232="Gunshu Mirim",43,IF(Atletas!J232="Qiangshu Mirim",44,IF(Atletas!J232="Nangun Mirim",45,IF(Atletas!J232="Gunshu Grupo C",46,IF(Atletas!J232="Qiangshu Grupo C",47,IF(Atletas!J232="Nangun Grupo C",48,IF(Atletas!J232="Gunshu Grupo B",49,IF(Atletas!J232="Qiangshu Grupo B",50,IF(Atletas!J232="Nangun Grupo B",51,IF(Atletas!J232="Gunshu Grupo A",52,IF(Atletas!J232="Qiangshu Grupo A",53,IF(Atletas!J232="Nangun Grupo A",54,IF(Atletas!J232="Gunshu Opcional",55,IF(Atletas!J232="Qiangshu Opcional",56,IF(Atletas!J232="Nangun Opcional",57,IF(Atletas!J232="Gunshu Adulto",58,IF(Atletas!J232="Qiangshu Adulto",59,IF(Atletas!J232="Nangun Adulto",60,IF(Atletas!J232="Taijishan Grupo B",61,IF(Atletas!J232="Taijishan Grupo A",62,""))))))))))))))))))))))</f>
        <v/>
      </c>
      <c r="BM241" s="50" t="str">
        <f>IF(Atletas!K232="","",IF(Atletas!B232="Feminino",100,IF(Atletas!B232="Masculino",200,""))+(IF(Atletas!K232="Equipe 1 Grupo B",1,IF(Atletas!K232="Equipe 2 Grupo B",2,IF(Atletas!K232="Equipe 1 Grupo A",3,IF(Atletas!K232="Equipe 2 Grupo A",4,IF(Atletas!K232="Equipe 1 Adulto",5,IF(Atletas!K232="Equipe 2 Adulto",6,""))))))))</f>
        <v/>
      </c>
      <c r="BR241" s="50" t="str">
        <f>IF(Atletas!L232="","",IF(Atletas!X232&lt;&gt;"",10000,0)+(IF(Atletas!B232="Feminino",1000,IF(Atletas!B232="Masculino",2000,""))+IF(Atletas!L232="Choylayfut A",1,IF(Atletas!L232="Hunggar A",2,IF(Atletas!L232="Wuzuquan A",3,IF(Atletas!L232="Wingchun A",4,IF(Atletas!L232="Outra Mão de Sul A",5,IF(Atletas!L232="Choylayfut B",6,IF(Atletas!L232="Hunggar B",7,IF(Atletas!L232="Wuzuquan B",8,IF(Atletas!L232="Wingchun B",9,IF(Atletas!L232="Outra Mão de Sul B",10,IF(Atletas!L232="Choylayfut C",11,IF(Atletas!L232="Hunggar C",12,IF(Atletas!L232="Wuzuquan C",13,IF(Atletas!L232="Wingchun C",14,IF(Atletas!L232="Outra Mão de Sul C",15,IF(Atletas!L232="Choylayfut D",16,IF(Atletas!L232="Hunggar D",17,IF(Atletas!L232="Wuzuquan D",18,IF(Atletas!L232="Wingchun D",19,IF(Atletas!L232="Outra Mão de Sul D",20,IF(Atletas!L232="Choylayfut E",21,IF(Atletas!L232="Hunggar E",22,IF(Atletas!L232="Wuzuquan E",23,IF(Atletas!L232="Wingchun E",24,IF(Atletas!L232="Outra Mão de Sul E",25,IF(Atletas!L232="Choylayfut F",26,IF(Atletas!L232="Hunggar F",27,IF(Atletas!L232="Wuzuquan F",28,IF(Atletas!L232="Wingchun F",29,IF(Atletas!L232="Outra Mão de Sul F",30,IF(Atletas!L232="Dishuquan A",31,IF(Atletas!L232="Dishuquan B",32,IF(Atletas!L232="Dishuquan C",33,IF(Atletas!L232="Dishuquan D",34,IF(Atletas!L232="Dishuquan E",35,IF(Atletas!L232="Dishuquan F",36,""))))))))))))))))))))))))))))))))))))))</f>
        <v/>
      </c>
      <c r="BS241" s="50" t="str">
        <f>IF(Atletas!M232="","",IF(Atletas!X232&lt;&gt;"",10000,0)+(IF(Atletas!B232="Feminino",1000,IF(Atletas!B232="Masculino",2000,""))+(IF(Atletas!M232="Chaquan A",101,IF(Atletas!M232="Emeiquan A",102,IF(Atletas!M232="Fanziquan A",103,IF(Atletas!M232="Huaquan A",104,IF(Atletas!M232="Hongquan A",105,IF(Atletas!M232="Paoquan A",106,IF(Atletas!M232="Piguaquan A",107,IF(Atletas!M232="Shaolinquan A",108,IF(Atletas!M232="Tanglangquan A",109,IF(Atletas!M232="Yingzhaoquan A",110,IF(Atletas!M232="Tongbeiquan A",111,IF(Atletas!M232="Wudangquan A",112,IF(Atletas!M232="Outros Estilos A",113,IF(Atletas!M232="Chaquan B",114,IF(Atletas!M232="Emeiquan B",115,IF(Atletas!M232="Fanziquan B",116,IF(Atletas!M232="Huaquan B",117,IF(Atletas!M232="Hongquan B",118,IF(Atletas!M232="Paoquan B",119,IF(Atletas!M232="Piguaquan B",120,IF(Atletas!M232="Shaolinquan B",121,IF(Atletas!M232="Tanglangquan B",122,IF(Atletas!M232="Yingzhaoquan B",123,IF(Atletas!M232="Tongbeiquan B",124,IF(Atletas!M232="Wudangquan B",125,IF(Atletas!M232="Outros Estilos B",126,IF(Atletas!M232="Chaquan C",127,IF(Atletas!M232="Emeiquan C",128,IF(Atletas!M232="Fanziquan C",129,IF(Atletas!M232="Huaquan C",130,IF(Atletas!M232="Hongquan C",131,IF(Atletas!M232="Paoquan C",132,IF(Atletas!M232="Piguaquan C",133,IF(Atletas!M232="Shaolinquan C",134,IF(Atletas!M232="Tanglangquan C",135,IF(Atletas!M232="Yingzhaoquan C",136,IF(Atletas!M232="Tongbeiquan C",137,IF(Atletas!M232="Wudangquan C",138,IF(Atletas!M232="Outros Estilos C",139,0))))))))))))))))))))))))))))))))))))))))))</f>
        <v/>
      </c>
      <c r="BT241" s="50" t="str">
        <f>IF(Atletas!M232="","",IF(Atletas!X232&lt;&gt;"",10000,0)+(IF(Atletas!B232="Feminino",1000,IF(Atletas!B232="Masculino",2000,""))+(IF(Atletas!M232="Chaquan D",140,IF(Atletas!M232="Emeiquan D",141,IF(Atletas!M232="Fanziquan D",142,IF(Atletas!M232="Huaquan D",143,IF(Atletas!M232="Hongquan D",144,IF(Atletas!M232="Paoquan D",145,IF(Atletas!M232="Piguaquan D",146,IF(Atletas!M232="Shaolinquan D",147,IF(Atletas!M232="Tanglangquan D",148,IF(Atletas!M232="Yingzhaoquan D",149,IF(Atletas!M232="Tongbeiquan D",150,IF(Atletas!M232="Wudangquan D",151,IF(Atletas!M232="Outros Estilos D",152,IF(Atletas!M232="Chaquan E",153,IF(Atletas!M232="Emeiquan E",154,IF(Atletas!M232="Fanziquan E",155,IF(Atletas!M232="Huaquan E",156,IF(Atletas!M232="Hongquan E",157,IF(Atletas!M232="Paoquan E",158,IF(Atletas!M232="Piguaquan E",159,IF(Atletas!M232="Shaolinquan E",160,IF(Atletas!M232="Tanglangquan E",161,IF(Atletas!M232="Yingzhaoquan E",162,IF(Atletas!M232="Tongbeiquan E",163,IF(Atletas!M232="Wudangquan E",164,IF(Atletas!M232="Outros Estilos E",165,IF(Atletas!M232="Chaquan F",166,IF(Atletas!M232="Emeiquan F",167,IF(Atletas!M232="Fanziquan F",168,IF(Atletas!M232="Huaquan F",169,IF(Atletas!M232="Hongquan F",170,IF(Atletas!M232="Paoquan F",171,IF(Atletas!M232="Piguaquan F",172,IF(Atletas!M232="Shaolinquan F",173,IF(Atletas!M232="Tanglangquan F",174,IF(Atletas!M232="Yingzhaoquan F",175,IF(Atletas!M232="Tongbeiquan F",176,IF(Atletas!M232="Wudangquan F",177,IF(Atletas!M232="Outros Estilos F",178,0))))))))))))))))))))))))))))))))))))))))))</f>
        <v/>
      </c>
      <c r="BU241" s="50" t="str">
        <f>IF(Atletas!N232="","",IF(Atletas!X232&lt;&gt;"",10000,0)+(IF(Atletas!B232="Feminino",1000,IF(Atletas!B232="Masculino",2000,""))+(IF(Atletas!N232="Ditangquan A",201,IF(Atletas!N232="Houquan A",202,IF(Atletas!N232="Zuiquan A",203,IF(Atletas!N232="Ditangquan B",204,IF(Atletas!N232="Houquan B",205,IF(Atletas!N232="Zuiquan B",206,IF(Atletas!N232="Ditangquan C",207,IF(Atletas!N232="Houquan C",208,IF(Atletas!N232="Zuiquan C",209,IF(Atletas!N232="Ditangquan D",210,IF(Atletas!N232="Houquan D",211,IF(Atletas!N232="Zuiquan D",212,IF(Atletas!N232="Ditangquan E",213,IF(Atletas!N232="Houquan E",214,IF(Atletas!N232="Zuiquan E",215,IF(Atletas!N232="Ditangquan F",216,IF(Atletas!N232="Houquan F",217,IF(Atletas!N232="Zuiquan F",218,"")))))))))))))))))))))</f>
        <v/>
      </c>
      <c r="BV241" s="50" t="str">
        <f>IF(Atletas!O232="","",IF(Atletas!X232&lt;&gt;"",10000,0)+IF(Atletas!B232="Feminino",1000,IF(Atletas!B232="Masculino",2000,""))+IF(Atletas!O232="Yang A",301,IF(Atletas!O232="Chen A",302,IF(Atletas!O232="Sun A",303,IF(Atletas!O232="Wu A",304,IF(Atletas!O232="Wu-Hao A",305,IF(Atletas!O232="Outro Taijiquan A",306,IF(Atletas!O232="Yang B",307,IF(Atletas!O232="Chen B",308,IF(Atletas!O232="Sun B",309,IF(Atletas!O232="Wu B",310,IF(Atletas!O232="Wu-Hao B",311,IF(Atletas!O232="Outro Taijiquan B",312,IF(Atletas!O232="Yang C",313,IF(Atletas!O232="Chen C",314,IF(Atletas!O232="Sun C",315,IF(Atletas!O232="Wu C",316,IF(Atletas!O232="Wu-Hao C",317,IF(Atletas!O232="Outro Taijiquan C",318,IF(Atletas!O232="Yang D",319,IF(Atletas!O232="Chen D",320,IF(Atletas!O232="Sun D",321,IF(Atletas!O232="Wu D",322,IF(Atletas!O232="Wu-Hao D",323,IF(Atletas!O232="Outro Taijiquan D",324,IF(Atletas!O232="Yang E",325,IF(Atletas!O232="Chen E",326,IF(Atletas!O232="Sun E",327,IF(Atletas!O232="Wu E",328,IF(Atletas!O232="Wu-Hao E",329,IF(Atletas!O232="Outro Taijiquan E",330,IF(Atletas!O232="Yang F",331,IF(Atletas!O232="Chen F",332,IF(Atletas!O232="Sun F",333,IF(Atletas!O232="Wu F",334,IF(Atletas!O232="Wu-Hao F",335,IF(Atletas!O232="Outro Taijiquan F",336,"")))))))))))))))))))))))))))))))))))))</f>
        <v/>
      </c>
      <c r="BW241" s="50" t="str">
        <f>IF(Atletas!P232="","",IF(Atletas!X232&lt;&gt;"",10000,0)+IF(Atletas!B232="Feminino",1000,IF(Atletas!B232="Masculino",2000,""))+IF(OR(Atletas!P232="Yang 26 A",Atletas!P232="Yang 40 A"),401,IF(OR(Atletas!P232="Chen 25 A",Atletas!P232="Chen 36 A",Atletas!P232="Chen 56 A"),402,IF(Atletas!P232="Sun 73 A",403,IF(Atletas!P232="Wu 45 A",404,IF(Atletas!P232="Wu-Hao 46 A",405,IF(OR(Atletas!P232="Taijiquan 16 A",Atletas!P232="Taijiquan 24 A",Atletas!P232="Taijiquan 32 A",Atletas!P232="Taijiquan 42 A"),406,IF(OR(Atletas!P232="Yang 26 B",Atletas!P232="Yang 40 B"),407,IF(OR(Atletas!P232="Chen 25 B",Atletas!P232="Chen 36 B",Atletas!P232="Chen 56 B"),408,IF(Atletas!P232="Sun 73 B",409,IF(Atletas!P232="Wu 45 B",410,IF(Atletas!P232="Wu-Hao 46 B",411,IF(OR(Atletas!P232="Taijiquan 16 B",Atletas!P232="Taijiquan 24 B",Atletas!P232="Taijiquan 32 B",Atletas!P232="Taijiquan 42 B"),412,IF(OR(Atletas!P232="Yang 26 C",Atletas!P232="Yang 40 C"),413,IF(OR(Atletas!P232="Chen 25 C",Atletas!P232="Chen 36 C",Atletas!P232="Chen 56 C"),414,IF(Atletas!P232="Sun 73 C",415,IF(Atletas!P232="Wu 45 C",416,IF(Atletas!P232="Wu-Hao 46 C",417,IF(OR(Atletas!P232="Taijiquan 16 C",Atletas!P232="Taijiquan 24 C",Atletas!P232="Taijiquan 32 C",Atletas!P232="Taijiquan 42 C"),418,0)))))))))))))))))))</f>
        <v/>
      </c>
      <c r="BX241" s="50" t="str">
        <f>IF(Atletas!P232="","",IF(Atletas!X232&lt;&gt;"",10000,0)+IF(Atletas!B232="Feminino",1000,IF(Atletas!B232="Masculino",2000,""))+IF(OR(Atletas!P232="Yang 26 D",Atletas!P232="Yang 40 D"),419,IF(OR(Atletas!P232="Chen 25 D",Atletas!P232="Chen 36 D",Atletas!P232="Chen 56 D"),420,IF(Atletas!P232="Sun 73 D",421,IF(Atletas!P232="Wu 45 D",422,IF(Atletas!P232="Wu-Hao 46 D",423,IF(OR(Atletas!P232="Taijiquan 16 D",Atletas!P232="Taijiquan 24 D",Atletas!P232="Taijiquan 32 D",Atletas!P232="Taijiquan 42 D"),424,IF(OR(Atletas!P232="Yang 26 E",Atletas!P232="Yang 40 E"),425,IF(OR(Atletas!P232="Chen 25 E",Atletas!P232="Chen 36 E",Atletas!P232="Chen 56 E"),426,IF(Atletas!P232="Sun 73 E",427,IF(Atletas!P232="Wu 45 E",428,IF(Atletas!P232="Wu-Hao 46 E",429,IF(OR(Atletas!P232="Taijiquan 16 E",Atletas!P232="Taijiquan 24 E",Atletas!P232="Taijiquan 32 E",Atletas!P232="Taijiquan 42 E"),430,IF(OR(Atletas!P232="Yang 26 F",Atletas!P232="Yang 40 F"),431,IF(OR(Atletas!P232="Chen 25 F",Atletas!P232="Chen 36 F",Atletas!P232="Chen 56 F"),432,IF(Atletas!P232="Sun 73 F",433,IF(Atletas!P232="Wu 45 F",434,IF(Atletas!P232="Wu-Hao 46 F",435,IF(OR(Atletas!P232="Taijiquan 16 F",Atletas!P232="Taijiquan 24 F",Atletas!P232="Taijiquan 32 F",Atletas!P232="Taijiquan 42 F"),436,0)))))))))))))))))))</f>
        <v/>
      </c>
      <c r="BY241" s="50" t="str">
        <f>IF(Atletas!Q232="","",IF(Atletas!X232&lt;&gt;"",10000,0)+IF(Atletas!B232="Feminino",1000,IF(Atletas!B232="Masculino",2000,""))+IF(Atletas!Q232="Xingyiquan A",501,IF(Atletas!Q232="Baguazhang A",502,IF(Atletas!Q232="Outro Estilo Interno A",503,IF(Atletas!Q232="Xingyiquan B",504,IF(Atletas!Q232="Baguazhang B",505,IF(Atletas!Q232="Outro Estilo Interno B",506,IF(Atletas!Q232="Xingyiquan C",507,IF(Atletas!Q232="Baguazhang C",508,IF(Atletas!Q232="Outro Estilo Interno C",509,IF(Atletas!Q232="Xingyiquan D",510,IF(Atletas!Q232="Baguazhang D",511,IF(Atletas!Q232="Outro Estilo Interno D",512,IF(Atletas!Q232="Xingyiquan E",513,IF(Atletas!Q232="Baguazhang E",514,IF(Atletas!Q232="Outro Estilo Interno E",515,IF(Atletas!Q232="Xingyiquan F",516,IF(Atletas!Q232="Baguazhang F",517,IF(Atletas!Q232="Outro Estilo Interno F",518, "")))))))))))))))))))</f>
        <v/>
      </c>
      <c r="BZ241" s="50" t="str">
        <f>IF(Atletas!R232="","",IF(Atletas!X232&lt;&gt;"",10000,0)+IF(Atletas!B232="Feminino",1000,IF(Atletas!B232="Masculino",2000,""))+IF(Atletas!R232="Dao A",601,IF(Atletas!R232="Jian A",602,IF(Atletas!R232="Bishou A",603,IF(Atletas!R232="Shanzi A",604,IF(Atletas!R232="Outra Arma Curta A",605,IF(Atletas!R232="Dao B",606,IF(Atletas!R232="Jian B",607,IF(Atletas!R232="Bishou B",608,IF(Atletas!R232="Shanzi B",609,IF(Atletas!R232="Outra Arma Curta B",610,IF(Atletas!R232="Dao C",611,IF(Atletas!R232="Jian C",612,IF(Atletas!R232="Bishou C",613,IF(Atletas!R232="Shanzi C",614,IF(Atletas!R232="Outra Arma Curta C",615,IF(Atletas!R232="Dao D",616,IF(Atletas!R232="Jian D",617,IF(Atletas!R232="Bishou D",618,IF(Atletas!R232="Shanzi D",619,IF(Atletas!R232="Outra Arma Curta D",620,IF(Atletas!R232="Dao E",621,IF(Atletas!R232="Jian E",622,IF(Atletas!R232="Bishou E",623,IF(Atletas!R232="Shanzi E",624,IF(Atletas!R232="Outra Arma Curta E",625,IF(Atletas!R232="Dao F",626,IF(Atletas!R232="Jian F",627,IF(Atletas!R232="Bishou F",628,IF(Atletas!R232="Shanzi F",629,IF(Atletas!R232="Outra Arma Curta F",630, "")))))))))))))))))))))))))))))))</f>
        <v/>
      </c>
      <c r="CA241" s="50" t="str">
        <f>IF(Atletas!S232="","",IF(Atletas!X232&lt;&gt;"",10000,0)+IF(Atletas!B232="Feminino",1000,IF(Atletas!B232="Masculino",2000,""))+IF(Atletas!S232="Gun A",701,IF(Atletas!S232="Qiang A",702,IF(Atletas!S232="Pudao / Guandao A",703,IF(Atletas!S232="Outra Arma Longa A",704,IF(Atletas!S232="Gun B",705,IF(Atletas!S232="Qiang B",706,IF(Atletas!S232="Pudao / Guandao B",707,IF(Atletas!S232="Outra Arma Longa B",708,IF(Atletas!S232="Gun C",709,IF(Atletas!S232="Qiang C",710,IF(Atletas!S232="Pudao / Guandao C",711,IF(Atletas!S232="Outra Arma Longa C",712,IF(Atletas!S232="Gun D",713,IF(Atletas!S232="Qiang D",714,IF(Atletas!S232="Pudao / Guandao D",715,IF(Atletas!S232="Outra Arma Longa D",716,IF(Atletas!S232="Gun E",717,IF(Atletas!S232="Qiang E",718,IF(Atletas!S232="Pudao / Guandao E",719,IF(Atletas!S232="Outra Arma Longa E",720,IF(Atletas!S232="Gun F",721,IF(Atletas!S232="Qiang F",722,IF(Atletas!S232="Pudao / Guandao F",723,IF(Atletas!S232="Outra Arma Longa F",724,"")))))))))))))))))))))))))</f>
        <v/>
      </c>
      <c r="CB241" s="50" t="str">
        <f>IF(Atletas!T232="","",IF(Atletas!X232&lt;&gt;"",10000,0)+IF(Atletas!B232="Feminino",1000,IF(Atletas!B232="Masculino",2000,""))+IF(Atletas!T232="Outra Arma Dupla A",801,IF(Atletas!T232="Arma Maleável A",802,IF(Atletas!T232="Outra Arma Dupla B",803,IF(Atletas!T232="Arma Maleável B",804,IF(Atletas!T232="Outra Arma Dupla C",805,IF(Atletas!T232="Arma Maleável C",806,IF(Atletas!T232="Outra Arma Dupla D",807,IF(Atletas!T232="Arma Maleável D",808,IF(Atletas!T232="Outra Arma Dupla E",809,IF(Atletas!T232="Arma Maleável E",810,IF(Atletas!T232="Outra Arma Dupla F",811,IF(Atletas!T232="Arma Maleável F",812,IF(Atletas!T232="Shuangdao A",813,IF(Atletas!T232="Shuangdao B",814,IF(Atletas!T232="Shuangdao C",815,IF(Atletas!T232="Shuangdao D",816,IF(Atletas!T232="Shuangdao E",817,IF(Atletas!T232="Shuangdao F",818,"")))))))))))))))))))</f>
        <v/>
      </c>
      <c r="CC241" s="50" t="str">
        <f>IF(Atletas!U232="","",IF(Atletas!X232&lt;&gt;"",10000,0)+IF(Atletas!B232="Feminino",1000,IF(Atletas!B232="Masculino",2000,""))+IF(OR(Atletas!U232="Taijijian Yang A",Atletas!U232="Taijijian Yang Standard A"),901,IF(OR(Atletas!U232="Taijijian Chen A", Atletas!U232="Taijijian Chen Standard A"),902,IF(Atletas!U232="Taijijian Sun A",903,IF(Atletas!U232="Taijijian Wu A",904,IF(Atletas!U232="Taijijian Wu-Hao A",905,IF(OR(Atletas!U232="Taijijian 32 A",Atletas!U232="Taijijian 42 A"),906,IF(OR(Atletas!U232="Taijijian Yang B",Atletas!U232="Taijijian Yang Standard B"),907,IF(OR(Atletas!U232="Taijijian Chen B", Atletas!U232="Taijijian Chen Standard B"),908,IF(Atletas!U232="Taijijian Sun B",909,IF(Atletas!U232="Taijijian Wu B",910,IF(Atletas!U232="Taijijian Wu-Hao B",911,IF(OR(Atletas!U232="Taijijian 32 B",Atletas!U232="Taijijian 42 B"),912,IF(OR(Atletas!U232="Taijijian Yang C",Atletas!U232="Taijijian Yang Standard C"),913,IF(OR(Atletas!U232="Taijijian Chen C", Atletas!U232="Taijijian Chen Standard C"),914,IF(Atletas!U232="Taijijian Sun C",915,IF(Atletas!U232="Taijijian Wu C",916,IF(Atletas!U232="Taijijian Wu-Hao C",917,IF(OR(Atletas!U232="Taijijian 32 C",Atletas!U232="Taijijian 42 C"),918,IF(OR(Atletas!U232="Taijijian Yang D",Atletas!U232="Taijijian Yang Standard D"),919,IF(OR(Atletas!U232="Taijijian Chen D", Atletas!U232="Taijijian Chen Standard D"),920,IF(Atletas!U232="Taijijian Sun D",921,IF(Atletas!U232="Taijijian Wu D",922,IF(Atletas!U232="Taijijian Wu-Hao D",923,IF(OR(Atletas!U232="Taijijian 32 D",Atletas!U232="Taijijian 42 D"),924,IF(OR(Atletas!U232="Taijijian Yang E",Atletas!U232="Taijijian Yang Standard E"),925,IF(OR(Atletas!U232="Taijijian Chen E", Atletas!U232="Taijijian Chen Standard E"),926,IF(Atletas!U232="Taijijian Sun E",927,IF(Atletas!U232="Taijijian Wu E",928,IF(Atletas!U232="Taijijian Wu-Hao E",929,IF(OR(Atletas!U232="Taijijian 32 E",Atletas!U232="Taijijian 42 E"),930,IF(OR(Atletas!U232="Taijijian Yang F",Atletas!U232="Taijijian Yang Standard F"),931,IF(OR(Atletas!U232="Taijijian Chen F", Atletas!U232="Taijijian Chen Standard F"),932,IF(Atletas!U232="Taijijian Sun F",933,IF(Atletas!U232="Taijijian Wu F",934,IF(Atletas!U232="Taijijian Wu-Hao F",935,IF(OR(Atletas!U232="Taijijian 32 F",Atletas!U232="Taijijian 42 F"),936,"")))))))))))))))))))))))))))))))))))))</f>
        <v/>
      </c>
      <c r="CD241" s="50" t="str">
        <f>IF(Atletas!V232="","",IF(Atletas!X232&lt;&gt;"",10000,0)+IF(Atletas!B232="Feminino",1000,IF(Atletas!B232="Masculino",2000,""))+IF(Atletas!V232="Taijidao A",937,IF(Atletas!V232="TaijiShanzi A",938,IF(Atletas!V232="Taijiqiang A",939,IF(Atletas!V232="Bagua de Arma A",940,IF(Atletas!V232="Xingyi de Arma A",941,IF(Atletas!V232="Taijidao B",942,IF(Atletas!V232="TaijiShanzi B",943,IF(Atletas!V232="Taijiqiang B",944,IF(Atletas!V232="Bagua de Arma B",945,IF(Atletas!V232="Xingyi de Arma B",946,IF(Atletas!V232="Taijidao C",947,IF(Atletas!V232="TaijiShanzi C",948,IF(Atletas!V232="Taijiqiang C",949,IF(Atletas!V232="Bagua de Arma C",950,IF(Atletas!V232="Xingyi de Arma C",951,IF(Atletas!V232="Taijidao D",952,IF(Atletas!V232="TaijiShanzi D",953,IF(Atletas!V232="Taijiqiang D",954,IF(Atletas!V232="Bagua de Arma D",955,IF(Atletas!V232="Xingyi de Arma D",956,IF(Atletas!V232="Taijidao E",957,IF(Atletas!V232="TaijiShanzi E",958,IF(Atletas!V232="Taijiqiang E",959,IF(Atletas!V232="Bagua de Arma E",960,IF(Atletas!V232="Xingyi de Arma E",961,IF(Atletas!V232="Taijidao F",962,IF(Atletas!V232="TaijiShanzi F",963,IF(Atletas!V232="Taijiqiang F",964,IF(Atletas!V232="Bagua de Arma F",965,IF(Atletas!V232="Xingyi de Arma F",966,"")))))))))))))))))))))))))))))))</f>
        <v/>
      </c>
      <c r="CE241" s="66" t="str">
        <f>IF(CF241&lt;&gt;"","Bishou C","")</f>
        <v/>
      </c>
      <c r="CF241" s="66" t="str">
        <f>IF(COUNTIF(BR:CD,1613)&gt;0,COUNTIF(BR:CD,1613),"")</f>
        <v/>
      </c>
      <c r="CG241" s="66" t="str">
        <f>IF(CH241&lt;&gt;"","Bishou C","")</f>
        <v/>
      </c>
      <c r="CH241" s="66" t="str">
        <f>IF(COUNTIF(BR:CD,2613)&gt;0,COUNTIF(BR:CD,2613),"")</f>
        <v/>
      </c>
      <c r="CI241" s="66" t="str">
        <f>IF(CJ241&lt;&gt;"","Shanzi D","")</f>
        <v/>
      </c>
      <c r="CJ241" s="66" t="str">
        <f>IF(COUNTIF(BR:CD,11619)&gt;0,COUNTIF(BR:CD,11619),"")</f>
        <v/>
      </c>
      <c r="CK241" s="66" t="str">
        <f>IF(CL241&lt;&gt;"","Shanzi D","")</f>
        <v/>
      </c>
      <c r="CL241" s="66" t="str">
        <f>IF(COUNTIF(BR:CD,12619)&gt;0,COUNTIF(BR:CD,12619),"")</f>
        <v/>
      </c>
      <c r="CM241" s="50" t="str">
        <f xml:space="preserve"> IF(Atletas!W232="","",IF(Atletas!W232="Duilian de Mãos BC - Equipe 1",1,IF(Atletas!W232="Duilian de Mãos BC - Equipe 2",2,IF(Atletas!W232="Duilian de Armas BC - Equipe 1",3,IF(Atletas!W232="Duilian de Armas BC - Equipe 2",4,IF(Atletas!W232="Duilian de Mãos DE - Equipe 1",5,IF(Atletas!W232="Duilian de Mãos DE - Equipe 2",6,IF(Atletas!W232="Duilian de Armas DE - Equipe 1",7,IF(Atletas!W232="Duilian de Armas DE - Equipe 2",8,IF(Atletas!W232="Duilian de Tuishou - Equipe 1",9,IF(Atletas!W232="Duilian de Tuishou - Equipe 2",10,IF(Atletas!W232="Grupo Externo ABC - Equipe 1",11,IF(Atletas!W232="Grupo Externo ABC - Equipe 2",12,IF(Atletas!W232="Grupo Interno ABC - Equipe 1",13,IF(Atletas!W232="Grupo Interno ABC - Equipe 2",14,IF(Atletas!W232="Grupo Externo DEF - Equipe 1",15,IF(Atletas!W232="Grupo Externo DEF - Equipe 2",16,IF(Atletas!W232="Grupo Interno DEF - Equipe 1",17,IF(Atletas!W232="Grupo Interno DEF - Equipe 2",18,"")))))))))))))))))))</f>
        <v/>
      </c>
    </row>
    <row r="242" spans="2:91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 t="str">
        <f t="array" ref="Z242">IFERROR(INDEX(CE$7:CE$348,SMALL(IF(CE$7:CE$348&lt;&gt;"",ROW(CE$7:CE$348)-ROW(CE$7)+1),ROWS(CE$7:CE241))),"")</f>
        <v/>
      </c>
      <c r="AA242" s="3" t="str">
        <f t="array" ref="AA242">IFERROR(INDEX(CF$7:CF$348,SMALL(IF(CF$7:CF$348&lt;&gt;"",ROW(CF$7:CF$348)-ROW(CF$7)+1),ROWS(CF$7:CF241))),"")</f>
        <v/>
      </c>
      <c r="AB242" s="3" t="str">
        <f t="array" ref="AB242">IFERROR(INDEX(CG$7:CG$348,SMALL(IF(CG$7:CG$348&lt;&gt;"",ROW(CG$7:CG$348)-ROW(CG$7)+1),ROWS(CG$7:CG241))),"")</f>
        <v/>
      </c>
      <c r="AC242" s="3" t="str">
        <f t="array" ref="AC242">IFERROR(INDEX(CH$7:CH$348,SMALL(IF(CH$7:CH$348&lt;&gt;"",ROW(CH$7:CH$348)-ROW(CH$7)+1),ROWS(CH$7:CH241))),"")</f>
        <v/>
      </c>
      <c r="AD242" s="3" t="str">
        <f t="array" ref="AD242">IFERROR(INDEX(CI$7:CI$377,SMALL(IF(CI$7:CI$377&lt;&gt;"",ROW(CI$7:CI$377)-ROW(CI$7)+1),ROWS(CI$7:CI241))),"")</f>
        <v/>
      </c>
      <c r="AE242" s="3" t="str">
        <f t="array" ref="AE242">IFERROR(INDEX(CJ$7:CJ$378,SMALL(IF(CJ$7:CJ$378&lt;&gt;"",ROW(CJ$7:CJ$378)-ROW(CJ$7)+1),ROWS(CJ$7:CJ241))),"")</f>
        <v/>
      </c>
      <c r="AF242" s="3" t="str">
        <f t="array" ref="AF242">IFERROR(INDEX(CK$7:CK$378,SMALL(IF(CK$7:CK$378&lt;&gt;"",ROW(CK$7:CK$378)-ROW(CK$7)+1),ROWS(CK$7:CK241))),"")</f>
        <v/>
      </c>
      <c r="AG242" s="3" t="str">
        <f t="array" ref="AG242">IFERROR(INDEX(CL$7:CL$378,SMALL(IF(CL$7:CL$378&lt;&gt;"",ROW(CL$7:CL$378)-ROW(CL$7)+1),ROWS(CL$7:CL241))),"")</f>
        <v/>
      </c>
      <c r="AH242" s="3"/>
      <c r="AI242" s="3"/>
      <c r="AJ242" s="3"/>
      <c r="AK242" s="3"/>
      <c r="AL242" s="3"/>
      <c r="AM242" s="3"/>
      <c r="AN242" s="52" t="str">
        <f>IF(Atletas!D233="","",IF(Atletas!B233="Feminino",100,IF(Atletas!B233="Masculino",200,""))+(IF(Atletas!D233="Kids 30kg",1,IF(Atletas!D233="Kids 32kg",2, IF(Atletas!D233="Kids 34kg",3,IF(Atletas!D233="Kids 36kg",4,IF(Atletas!D233="Kids 39kg",5,IF(Atletas!D233="Kids 42kg",6,IF(Atletas!D233="Kids 45kg",7, IF(Atletas!D233="Infantil 39kg",8,IF(Atletas!D233="Infantil 42kg",9,IF(Atletas!D233="Infantil 45kg",10,IF(Atletas!D233="Infantil 48kg",11,IF(Atletas!D233="Infantil 52kg",12,IF(Atletas!D233="Infantil 56kg",13,IF(Atletas!D233="Infantil 60kg",14,IF(Atletas!D233="Juvenil 48kg",15,IF(Atletas!D233="Juvenil 52kg",16,IF(Atletas!D233="Juvenil 56kg",17,IF(Atletas!D233="Juvenil 60kg",18,IF(Atletas!D233="Juvenil 65kg",19,IF(Atletas!D233="Juvenil 70kg",20,IF(Atletas!D233="Juvenil 75kg",21,IF(Atletas!D233="Juvenil 80kg",22, IF(Atletas!D233="Juvenil 85kg",23,IF(Atletas!D233="Adulto 48kg",24,IF(Atletas!D233="Adulto 52kg",25,IF(Atletas!D233="Adulto 56kg",26,IF(Atletas!D233="Adulto 60kg",27,IF(Atletas!D233="Adulto 65kg",28,IF(Atletas!D233="Adulto 70kg",29,IF(Atletas!D233="Adulto 75kg",30,IF(Atletas!D233="Adulto 80kg",31,IF(Atletas!D233="Adulto 85kg",32,IF(Atletas!D233="Adulto 90kg",33,IF(Atletas!D233="Adulto 100kg",34, IF(Atletas!D233="Adulto +100kg",35,"")))))))))))))))))))))))))))))))))))))</f>
        <v/>
      </c>
      <c r="AS242" s="6" t="str">
        <f>IF(Atletas!E233="","",IF(Atletas!B233="Feminino",100,IF(Atletas!B233="Masculino",200,""))+(IF(Atletas!E233="Juvenil 44kg",1,IF(Atletas!E233="Juvenil 48kg",2,IF(Atletas!E233="Juvenil 52kg",3,IF(Atletas!E233="Juvenil 56kg",4,IF(Atletas!E233="Juvenil 60kg",5,IF(Atletas!E233="Juvenil 65kg",6,IF(Atletas!E233="Juvenil 70kg",7,IF(Atletas!E233="Juvenil 75kg",8,IF(Atletas!E233="Juvenil 82kg",9,IF(Atletas!E233="Juvenil 90kg",10,IF(Atletas!E233="Juvenil 100kg",11,IF(Atletas!E233="Adulto 48kg",12,IF(Atletas!E233="Adulto 52kg",13,IF(Atletas!E233="Adulto 56kg",14,IF(Atletas!E233="Adulto 60kg",15,IF(Atletas!E233="Adulto 65kg",16,IF(Atletas!E233="Adulto 70kg",17,IF(Atletas!E233="Adulto 75kg",18,IF(Atletas!E233="Adulto 82kg",19,IF(Atletas!E233="Adulto 90kg",20,IF(Atletas!E233="Adulto 100kg",21,IF(Atletas!E233="Adulto +100kg",22,""))))))))))))))))))))))))</f>
        <v/>
      </c>
      <c r="AX242" s="6" t="str">
        <f>IF(Atletas!F233="","",IF(Atletas!B233="Feminino",100,IF(Atletas!B233="Masculino",200,""))+(IF(Atletas!F233="Adulto 48kg",1,IF(Atletas!F233="Adulto 56kg",2,IF(Atletas!F233="Adulto 65kg",3,IF(Atletas!F233="Adulto 75kg",4,IF(Atletas!F233="Adulto +75kg",5,IF(Atletas!F233="Adulto 52kg",6,IF(Atletas!F233="Adulto 60kg",7,IF(Atletas!F233="Adulto 70kg",8,IF(Atletas!F233="Adulto 80kg",9,IF(Atletas!F233="Adulto 90kg",10,IF(Atletas!F233="Adulto +90kg",11,"")))))))))))))</f>
        <v/>
      </c>
      <c r="BC242" s="6" t="str">
        <f>IF(Atletas!G233="","",IF(Atletas!B233="Feminino",10,IF(Atletas!B233="Masculino",20,""))+(IF(Atletas!G233="Baduanjin A",1,IF(Atletas!G233="Baduanjin B",2))))</f>
        <v/>
      </c>
      <c r="BF242" s="52" t="str">
        <f>IF(Atletas!H233="","",IF(Atletas!B233="Feminino",100,IF(Atletas!B233="Masculino",200,""))+(IF(Atletas!H233="Changquan Mirim",1,IF(Atletas!H233="Nanquan Mirim",2,IF(Atletas!H233="Taijiquan Mirim",3,IF(Atletas!H233="Changquan Grupo C",4,IF(Atletas!H233="Nanquan Grupo C",5,IF(Atletas!H233="Taijiquan Grupo C",6,IF(Atletas!H233="Changquan Grupo B",7,IF(Atletas!H233="Nanquan Grupo B",8,IF(Atletas!H233="Taijiquan Grupo B",9,IF(Atletas!H233="Changquan Grupo A",10,IF(Atletas!H233="Nanquan Grupo A",11,IF(Atletas!H233="Taijiquan Grupo A",12,IF(Atletas!H233="Changquan Opcional",13,IF(Atletas!H233="Nanquan Opcional",14,IF(Atletas!H233="Taijiquan Opcional",15,IF(Atletas!H233="Changquan Adulto",16,IF(Atletas!H233="Nanquan Adulto",17,IF(Atletas!H233="Taijiquan Adulto",18,""))))))))))))))))))))</f>
        <v/>
      </c>
      <c r="BG242" s="52" t="str">
        <f>IF(Atletas!I233="","",IF(Atletas!B233="Feminino",100,IF(Atletas!B233="Masculino",200,""))+(IF(Atletas!I233="Daoshu Mirim",19,IF(Atletas!I233="Jianshu Mirim",20,IF(Atletas!I233="Nandao Mirim",21,IF(Atletas!I233="Taijijian Mirim",22,IF(Atletas!I233="Daoshu Grupo C",23,IF(Atletas!I233="Jianshu Grupo C",24,IF(Atletas!I233="Nandao Grupo C",25,IF(Atletas!I233="Taijijian Grupo C",26,IF(Atletas!I233="Daoshu Grupo B",27,IF(Atletas!I233="Jianshu Grupo B",28,IF(Atletas!I233="Nandao Grupo B",29,IF(Atletas!I233="Taijijian Grupo B",30,IF(Atletas!I233="Daoshu Grupo A",31,IF(Atletas!I233="Jianshu Grupo A",32,IF(Atletas!I233="Nandao Grupo A",33,IF(Atletas!I233="Taijijian Grupo A",34,IF(Atletas!I233="Daoshu Opcional",35,IF(Atletas!I233="Jianshu Opcional",36,IF(Atletas!I233="Nandao Opcional",37,IF(Atletas!I233="Taijijian Opcional",38,IF(Atletas!I233="Daoshu Adulto",39,IF(Atletas!I233="Jianshu Adulto",40,IF(Atletas!I233="Nandao Adulto",41,IF(Atletas!I233="Taijijian Adulto",42,""))))))))))))))))))))))))))</f>
        <v/>
      </c>
      <c r="BH242" s="52" t="str">
        <f>IF(Atletas!J233="","",IF(Atletas!B233="Feminino",100,IF(Atletas!B233="Masculino",200,""))+(IF(Atletas!J233="Gunshu Mirim",43,IF(Atletas!J233="Qiangshu Mirim",44,IF(Atletas!J233="Nangun Mirim",45,IF(Atletas!J233="Gunshu Grupo C",46,IF(Atletas!J233="Qiangshu Grupo C",47,IF(Atletas!J233="Nangun Grupo C",48,IF(Atletas!J233="Gunshu Grupo B",49,IF(Atletas!J233="Qiangshu Grupo B",50,IF(Atletas!J233="Nangun Grupo B",51,IF(Atletas!J233="Gunshu Grupo A",52,IF(Atletas!J233="Qiangshu Grupo A",53,IF(Atletas!J233="Nangun Grupo A",54,IF(Atletas!J233="Gunshu Opcional",55,IF(Atletas!J233="Qiangshu Opcional",56,IF(Atletas!J233="Nangun Opcional",57,IF(Atletas!J233="Gunshu Adulto",58,IF(Atletas!J233="Qiangshu Adulto",59,IF(Atletas!J233="Nangun Adulto",60,IF(Atletas!J233="Taijishan Grupo B",61,IF(Atletas!J233="Taijishan Grupo A",62,""))))))))))))))))))))))</f>
        <v/>
      </c>
      <c r="BM242" s="50" t="str">
        <f>IF(Atletas!K233="","",IF(Atletas!B233="Feminino",100,IF(Atletas!B233="Masculino",200,""))+(IF(Atletas!K233="Equipe 1 Grupo B",1,IF(Atletas!K233="Equipe 2 Grupo B",2,IF(Atletas!K233="Equipe 1 Grupo A",3,IF(Atletas!K233="Equipe 2 Grupo A",4,IF(Atletas!K233="Equipe 1 Adulto",5,IF(Atletas!K233="Equipe 2 Adulto",6,""))))))))</f>
        <v/>
      </c>
      <c r="BR242" s="50" t="str">
        <f>IF(Atletas!L233="","",IF(Atletas!X233&lt;&gt;"",10000,0)+(IF(Atletas!B233="Feminino",1000,IF(Atletas!B233="Masculino",2000,""))+IF(Atletas!L233="Choylayfut A",1,IF(Atletas!L233="Hunggar A",2,IF(Atletas!L233="Wuzuquan A",3,IF(Atletas!L233="Wingchun A",4,IF(Atletas!L233="Outra Mão de Sul A",5,IF(Atletas!L233="Choylayfut B",6,IF(Atletas!L233="Hunggar B",7,IF(Atletas!L233="Wuzuquan B",8,IF(Atletas!L233="Wingchun B",9,IF(Atletas!L233="Outra Mão de Sul B",10,IF(Atletas!L233="Choylayfut C",11,IF(Atletas!L233="Hunggar C",12,IF(Atletas!L233="Wuzuquan C",13,IF(Atletas!L233="Wingchun C",14,IF(Atletas!L233="Outra Mão de Sul C",15,IF(Atletas!L233="Choylayfut D",16,IF(Atletas!L233="Hunggar D",17,IF(Atletas!L233="Wuzuquan D",18,IF(Atletas!L233="Wingchun D",19,IF(Atletas!L233="Outra Mão de Sul D",20,IF(Atletas!L233="Choylayfut E",21,IF(Atletas!L233="Hunggar E",22,IF(Atletas!L233="Wuzuquan E",23,IF(Atletas!L233="Wingchun E",24,IF(Atletas!L233="Outra Mão de Sul E",25,IF(Atletas!L233="Choylayfut F",26,IF(Atletas!L233="Hunggar F",27,IF(Atletas!L233="Wuzuquan F",28,IF(Atletas!L233="Wingchun F",29,IF(Atletas!L233="Outra Mão de Sul F",30,IF(Atletas!L233="Dishuquan A",31,IF(Atletas!L233="Dishuquan B",32,IF(Atletas!L233="Dishuquan C",33,IF(Atletas!L233="Dishuquan D",34,IF(Atletas!L233="Dishuquan E",35,IF(Atletas!L233="Dishuquan F",36,""))))))))))))))))))))))))))))))))))))))</f>
        <v/>
      </c>
      <c r="BS242" s="50" t="str">
        <f>IF(Atletas!M233="","",IF(Atletas!X233&lt;&gt;"",10000,0)+(IF(Atletas!B233="Feminino",1000,IF(Atletas!B233="Masculino",2000,""))+(IF(Atletas!M233="Chaquan A",101,IF(Atletas!M233="Emeiquan A",102,IF(Atletas!M233="Fanziquan A",103,IF(Atletas!M233="Huaquan A",104,IF(Atletas!M233="Hongquan A",105,IF(Atletas!M233="Paoquan A",106,IF(Atletas!M233="Piguaquan A",107,IF(Atletas!M233="Shaolinquan A",108,IF(Atletas!M233="Tanglangquan A",109,IF(Atletas!M233="Yingzhaoquan A",110,IF(Atletas!M233="Tongbeiquan A",111,IF(Atletas!M233="Wudangquan A",112,IF(Atletas!M233="Outros Estilos A",113,IF(Atletas!M233="Chaquan B",114,IF(Atletas!M233="Emeiquan B",115,IF(Atletas!M233="Fanziquan B",116,IF(Atletas!M233="Huaquan B",117,IF(Atletas!M233="Hongquan B",118,IF(Atletas!M233="Paoquan B",119,IF(Atletas!M233="Piguaquan B",120,IF(Atletas!M233="Shaolinquan B",121,IF(Atletas!M233="Tanglangquan B",122,IF(Atletas!M233="Yingzhaoquan B",123,IF(Atletas!M233="Tongbeiquan B",124,IF(Atletas!M233="Wudangquan B",125,IF(Atletas!M233="Outros Estilos B",126,IF(Atletas!M233="Chaquan C",127,IF(Atletas!M233="Emeiquan C",128,IF(Atletas!M233="Fanziquan C",129,IF(Atletas!M233="Huaquan C",130,IF(Atletas!M233="Hongquan C",131,IF(Atletas!M233="Paoquan C",132,IF(Atletas!M233="Piguaquan C",133,IF(Atletas!M233="Shaolinquan C",134,IF(Atletas!M233="Tanglangquan C",135,IF(Atletas!M233="Yingzhaoquan C",136,IF(Atletas!M233="Tongbeiquan C",137,IF(Atletas!M233="Wudangquan C",138,IF(Atletas!M233="Outros Estilos C",139,0))))))))))))))))))))))))))))))))))))))))))</f>
        <v/>
      </c>
      <c r="BT242" s="50" t="str">
        <f>IF(Atletas!M233="","",IF(Atletas!X233&lt;&gt;"",10000,0)+(IF(Atletas!B233="Feminino",1000,IF(Atletas!B233="Masculino",2000,""))+(IF(Atletas!M233="Chaquan D",140,IF(Atletas!M233="Emeiquan D",141,IF(Atletas!M233="Fanziquan D",142,IF(Atletas!M233="Huaquan D",143,IF(Atletas!M233="Hongquan D",144,IF(Atletas!M233="Paoquan D",145,IF(Atletas!M233="Piguaquan D",146,IF(Atletas!M233="Shaolinquan D",147,IF(Atletas!M233="Tanglangquan D",148,IF(Atletas!M233="Yingzhaoquan D",149,IF(Atletas!M233="Tongbeiquan D",150,IF(Atletas!M233="Wudangquan D",151,IF(Atletas!M233="Outros Estilos D",152,IF(Atletas!M233="Chaquan E",153,IF(Atletas!M233="Emeiquan E",154,IF(Atletas!M233="Fanziquan E",155,IF(Atletas!M233="Huaquan E",156,IF(Atletas!M233="Hongquan E",157,IF(Atletas!M233="Paoquan E",158,IF(Atletas!M233="Piguaquan E",159,IF(Atletas!M233="Shaolinquan E",160,IF(Atletas!M233="Tanglangquan E",161,IF(Atletas!M233="Yingzhaoquan E",162,IF(Atletas!M233="Tongbeiquan E",163,IF(Atletas!M233="Wudangquan E",164,IF(Atletas!M233="Outros Estilos E",165,IF(Atletas!M233="Chaquan F",166,IF(Atletas!M233="Emeiquan F",167,IF(Atletas!M233="Fanziquan F",168,IF(Atletas!M233="Huaquan F",169,IF(Atletas!M233="Hongquan F",170,IF(Atletas!M233="Paoquan F",171,IF(Atletas!M233="Piguaquan F",172,IF(Atletas!M233="Shaolinquan F",173,IF(Atletas!M233="Tanglangquan F",174,IF(Atletas!M233="Yingzhaoquan F",175,IF(Atletas!M233="Tongbeiquan F",176,IF(Atletas!M233="Wudangquan F",177,IF(Atletas!M233="Outros Estilos F",178,0))))))))))))))))))))))))))))))))))))))))))</f>
        <v/>
      </c>
      <c r="BU242" s="50" t="str">
        <f>IF(Atletas!N233="","",IF(Atletas!X233&lt;&gt;"",10000,0)+(IF(Atletas!B233="Feminino",1000,IF(Atletas!B233="Masculino",2000,""))+(IF(Atletas!N233="Ditangquan A",201,IF(Atletas!N233="Houquan A",202,IF(Atletas!N233="Zuiquan A",203,IF(Atletas!N233="Ditangquan B",204,IF(Atletas!N233="Houquan B",205,IF(Atletas!N233="Zuiquan B",206,IF(Atletas!N233="Ditangquan C",207,IF(Atletas!N233="Houquan C",208,IF(Atletas!N233="Zuiquan C",209,IF(Atletas!N233="Ditangquan D",210,IF(Atletas!N233="Houquan D",211,IF(Atletas!N233="Zuiquan D",212,IF(Atletas!N233="Ditangquan E",213,IF(Atletas!N233="Houquan E",214,IF(Atletas!N233="Zuiquan E",215,IF(Atletas!N233="Ditangquan F",216,IF(Atletas!N233="Houquan F",217,IF(Atletas!N233="Zuiquan F",218,"")))))))))))))))))))))</f>
        <v/>
      </c>
      <c r="BV242" s="50" t="str">
        <f>IF(Atletas!O233="","",IF(Atletas!X233&lt;&gt;"",10000,0)+IF(Atletas!B233="Feminino",1000,IF(Atletas!B233="Masculino",2000,""))+IF(Atletas!O233="Yang A",301,IF(Atletas!O233="Chen A",302,IF(Atletas!O233="Sun A",303,IF(Atletas!O233="Wu A",304,IF(Atletas!O233="Wu-Hao A",305,IF(Atletas!O233="Outro Taijiquan A",306,IF(Atletas!O233="Yang B",307,IF(Atletas!O233="Chen B",308,IF(Atletas!O233="Sun B",309,IF(Atletas!O233="Wu B",310,IF(Atletas!O233="Wu-Hao B",311,IF(Atletas!O233="Outro Taijiquan B",312,IF(Atletas!O233="Yang C",313,IF(Atletas!O233="Chen C",314,IF(Atletas!O233="Sun C",315,IF(Atletas!O233="Wu C",316,IF(Atletas!O233="Wu-Hao C",317,IF(Atletas!O233="Outro Taijiquan C",318,IF(Atletas!O233="Yang D",319,IF(Atletas!O233="Chen D",320,IF(Atletas!O233="Sun D",321,IF(Atletas!O233="Wu D",322,IF(Atletas!O233="Wu-Hao D",323,IF(Atletas!O233="Outro Taijiquan D",324,IF(Atletas!O233="Yang E",325,IF(Atletas!O233="Chen E",326,IF(Atletas!O233="Sun E",327,IF(Atletas!O233="Wu E",328,IF(Atletas!O233="Wu-Hao E",329,IF(Atletas!O233="Outro Taijiquan E",330,IF(Atletas!O233="Yang F",331,IF(Atletas!O233="Chen F",332,IF(Atletas!O233="Sun F",333,IF(Atletas!O233="Wu F",334,IF(Atletas!O233="Wu-Hao F",335,IF(Atletas!O233="Outro Taijiquan F",336,"")))))))))))))))))))))))))))))))))))))</f>
        <v/>
      </c>
      <c r="BW242" s="50" t="str">
        <f>IF(Atletas!P233="","",IF(Atletas!X233&lt;&gt;"",10000,0)+IF(Atletas!B233="Feminino",1000,IF(Atletas!B233="Masculino",2000,""))+IF(OR(Atletas!P233="Yang 26 A",Atletas!P233="Yang 40 A"),401,IF(OR(Atletas!P233="Chen 25 A",Atletas!P233="Chen 36 A",Atletas!P233="Chen 56 A"),402,IF(Atletas!P233="Sun 73 A",403,IF(Atletas!P233="Wu 45 A",404,IF(Atletas!P233="Wu-Hao 46 A",405,IF(OR(Atletas!P233="Taijiquan 16 A",Atletas!P233="Taijiquan 24 A",Atletas!P233="Taijiquan 32 A",Atletas!P233="Taijiquan 42 A"),406,IF(OR(Atletas!P233="Yang 26 B",Atletas!P233="Yang 40 B"),407,IF(OR(Atletas!P233="Chen 25 B",Atletas!P233="Chen 36 B",Atletas!P233="Chen 56 B"),408,IF(Atletas!P233="Sun 73 B",409,IF(Atletas!P233="Wu 45 B",410,IF(Atletas!P233="Wu-Hao 46 B",411,IF(OR(Atletas!P233="Taijiquan 16 B",Atletas!P233="Taijiquan 24 B",Atletas!P233="Taijiquan 32 B",Atletas!P233="Taijiquan 42 B"),412,IF(OR(Atletas!P233="Yang 26 C",Atletas!P233="Yang 40 C"),413,IF(OR(Atletas!P233="Chen 25 C",Atletas!P233="Chen 36 C",Atletas!P233="Chen 56 C"),414,IF(Atletas!P233="Sun 73 C",415,IF(Atletas!P233="Wu 45 C",416,IF(Atletas!P233="Wu-Hao 46 C",417,IF(OR(Atletas!P233="Taijiquan 16 C",Atletas!P233="Taijiquan 24 C",Atletas!P233="Taijiquan 32 C",Atletas!P233="Taijiquan 42 C"),418,0)))))))))))))))))))</f>
        <v/>
      </c>
      <c r="BX242" s="50" t="str">
        <f>IF(Atletas!P233="","",IF(Atletas!X233&lt;&gt;"",10000,0)+IF(Atletas!B233="Feminino",1000,IF(Atletas!B233="Masculino",2000,""))+IF(OR(Atletas!P233="Yang 26 D",Atletas!P233="Yang 40 D"),419,IF(OR(Atletas!P233="Chen 25 D",Atletas!P233="Chen 36 D",Atletas!P233="Chen 56 D"),420,IF(Atletas!P233="Sun 73 D",421,IF(Atletas!P233="Wu 45 D",422,IF(Atletas!P233="Wu-Hao 46 D",423,IF(OR(Atletas!P233="Taijiquan 16 D",Atletas!P233="Taijiquan 24 D",Atletas!P233="Taijiquan 32 D",Atletas!P233="Taijiquan 42 D"),424,IF(OR(Atletas!P233="Yang 26 E",Atletas!P233="Yang 40 E"),425,IF(OR(Atletas!P233="Chen 25 E",Atletas!P233="Chen 36 E",Atletas!P233="Chen 56 E"),426,IF(Atletas!P233="Sun 73 E",427,IF(Atletas!P233="Wu 45 E",428,IF(Atletas!P233="Wu-Hao 46 E",429,IF(OR(Atletas!P233="Taijiquan 16 E",Atletas!P233="Taijiquan 24 E",Atletas!P233="Taijiquan 32 E",Atletas!P233="Taijiquan 42 E"),430,IF(OR(Atletas!P233="Yang 26 F",Atletas!P233="Yang 40 F"),431,IF(OR(Atletas!P233="Chen 25 F",Atletas!P233="Chen 36 F",Atletas!P233="Chen 56 F"),432,IF(Atletas!P233="Sun 73 F",433,IF(Atletas!P233="Wu 45 F",434,IF(Atletas!P233="Wu-Hao 46 F",435,IF(OR(Atletas!P233="Taijiquan 16 F",Atletas!P233="Taijiquan 24 F",Atletas!P233="Taijiquan 32 F",Atletas!P233="Taijiquan 42 F"),436,0)))))))))))))))))))</f>
        <v/>
      </c>
      <c r="BY242" s="50" t="str">
        <f>IF(Atletas!Q233="","",IF(Atletas!X233&lt;&gt;"",10000,0)+IF(Atletas!B233="Feminino",1000,IF(Atletas!B233="Masculino",2000,""))+IF(Atletas!Q233="Xingyiquan A",501,IF(Atletas!Q233="Baguazhang A",502,IF(Atletas!Q233="Outro Estilo Interno A",503,IF(Atletas!Q233="Xingyiquan B",504,IF(Atletas!Q233="Baguazhang B",505,IF(Atletas!Q233="Outro Estilo Interno B",506,IF(Atletas!Q233="Xingyiquan C",507,IF(Atletas!Q233="Baguazhang C",508,IF(Atletas!Q233="Outro Estilo Interno C",509,IF(Atletas!Q233="Xingyiquan D",510,IF(Atletas!Q233="Baguazhang D",511,IF(Atletas!Q233="Outro Estilo Interno D",512,IF(Atletas!Q233="Xingyiquan E",513,IF(Atletas!Q233="Baguazhang E",514,IF(Atletas!Q233="Outro Estilo Interno E",515,IF(Atletas!Q233="Xingyiquan F",516,IF(Atletas!Q233="Baguazhang F",517,IF(Atletas!Q233="Outro Estilo Interno F",518, "")))))))))))))))))))</f>
        <v/>
      </c>
      <c r="BZ242" s="50" t="str">
        <f>IF(Atletas!R233="","",IF(Atletas!X233&lt;&gt;"",10000,0)+IF(Atletas!B233="Feminino",1000,IF(Atletas!B233="Masculino",2000,""))+IF(Atletas!R233="Dao A",601,IF(Atletas!R233="Jian A",602,IF(Atletas!R233="Bishou A",603,IF(Atletas!R233="Shanzi A",604,IF(Atletas!R233="Outra Arma Curta A",605,IF(Atletas!R233="Dao B",606,IF(Atletas!R233="Jian B",607,IF(Atletas!R233="Bishou B",608,IF(Atletas!R233="Shanzi B",609,IF(Atletas!R233="Outra Arma Curta B",610,IF(Atletas!R233="Dao C",611,IF(Atletas!R233="Jian C",612,IF(Atletas!R233="Bishou C",613,IF(Atletas!R233="Shanzi C",614,IF(Atletas!R233="Outra Arma Curta C",615,IF(Atletas!R233="Dao D",616,IF(Atletas!R233="Jian D",617,IF(Atletas!R233="Bishou D",618,IF(Atletas!R233="Shanzi D",619,IF(Atletas!R233="Outra Arma Curta D",620,IF(Atletas!R233="Dao E",621,IF(Atletas!R233="Jian E",622,IF(Atletas!R233="Bishou E",623,IF(Atletas!R233="Shanzi E",624,IF(Atletas!R233="Outra Arma Curta E",625,IF(Atletas!R233="Dao F",626,IF(Atletas!R233="Jian F",627,IF(Atletas!R233="Bishou F",628,IF(Atletas!R233="Shanzi F",629,IF(Atletas!R233="Outra Arma Curta F",630, "")))))))))))))))))))))))))))))))</f>
        <v/>
      </c>
      <c r="CA242" s="50" t="str">
        <f>IF(Atletas!S233="","",IF(Atletas!X233&lt;&gt;"",10000,0)+IF(Atletas!B233="Feminino",1000,IF(Atletas!B233="Masculino",2000,""))+IF(Atletas!S233="Gun A",701,IF(Atletas!S233="Qiang A",702,IF(Atletas!S233="Pudao / Guandao A",703,IF(Atletas!S233="Outra Arma Longa A",704,IF(Atletas!S233="Gun B",705,IF(Atletas!S233="Qiang B",706,IF(Atletas!S233="Pudao / Guandao B",707,IF(Atletas!S233="Outra Arma Longa B",708,IF(Atletas!S233="Gun C",709,IF(Atletas!S233="Qiang C",710,IF(Atletas!S233="Pudao / Guandao C",711,IF(Atletas!S233="Outra Arma Longa C",712,IF(Atletas!S233="Gun D",713,IF(Atletas!S233="Qiang D",714,IF(Atletas!S233="Pudao / Guandao D",715,IF(Atletas!S233="Outra Arma Longa D",716,IF(Atletas!S233="Gun E",717,IF(Atletas!S233="Qiang E",718,IF(Atletas!S233="Pudao / Guandao E",719,IF(Atletas!S233="Outra Arma Longa E",720,IF(Atletas!S233="Gun F",721,IF(Atletas!S233="Qiang F",722,IF(Atletas!S233="Pudao / Guandao F",723,IF(Atletas!S233="Outra Arma Longa F",724,"")))))))))))))))))))))))))</f>
        <v/>
      </c>
      <c r="CB242" s="50" t="str">
        <f>IF(Atletas!T233="","",IF(Atletas!X233&lt;&gt;"",10000,0)+IF(Atletas!B233="Feminino",1000,IF(Atletas!B233="Masculino",2000,""))+IF(Atletas!T233="Outra Arma Dupla A",801,IF(Atletas!T233="Arma Maleável A",802,IF(Atletas!T233="Outra Arma Dupla B",803,IF(Atletas!T233="Arma Maleável B",804,IF(Atletas!T233="Outra Arma Dupla C",805,IF(Atletas!T233="Arma Maleável C",806,IF(Atletas!T233="Outra Arma Dupla D",807,IF(Atletas!T233="Arma Maleável D",808,IF(Atletas!T233="Outra Arma Dupla E",809,IF(Atletas!T233="Arma Maleável E",810,IF(Atletas!T233="Outra Arma Dupla F",811,IF(Atletas!T233="Arma Maleável F",812,IF(Atletas!T233="Shuangdao A",813,IF(Atletas!T233="Shuangdao B",814,IF(Atletas!T233="Shuangdao C",815,IF(Atletas!T233="Shuangdao D",816,IF(Atletas!T233="Shuangdao E",817,IF(Atletas!T233="Shuangdao F",818,"")))))))))))))))))))</f>
        <v/>
      </c>
      <c r="CC242" s="50" t="str">
        <f>IF(Atletas!U233="","",IF(Atletas!X233&lt;&gt;"",10000,0)+IF(Atletas!B233="Feminino",1000,IF(Atletas!B233="Masculino",2000,""))+IF(OR(Atletas!U233="Taijijian Yang A",Atletas!U233="Taijijian Yang Standard A"),901,IF(OR(Atletas!U233="Taijijian Chen A", Atletas!U233="Taijijian Chen Standard A"),902,IF(Atletas!U233="Taijijian Sun A",903,IF(Atletas!U233="Taijijian Wu A",904,IF(Atletas!U233="Taijijian Wu-Hao A",905,IF(OR(Atletas!U233="Taijijian 32 A",Atletas!U233="Taijijian 42 A"),906,IF(OR(Atletas!U233="Taijijian Yang B",Atletas!U233="Taijijian Yang Standard B"),907,IF(OR(Atletas!U233="Taijijian Chen B", Atletas!U233="Taijijian Chen Standard B"),908,IF(Atletas!U233="Taijijian Sun B",909,IF(Atletas!U233="Taijijian Wu B",910,IF(Atletas!U233="Taijijian Wu-Hao B",911,IF(OR(Atletas!U233="Taijijian 32 B",Atletas!U233="Taijijian 42 B"),912,IF(OR(Atletas!U233="Taijijian Yang C",Atletas!U233="Taijijian Yang Standard C"),913,IF(OR(Atletas!U233="Taijijian Chen C", Atletas!U233="Taijijian Chen Standard C"),914,IF(Atletas!U233="Taijijian Sun C",915,IF(Atletas!U233="Taijijian Wu C",916,IF(Atletas!U233="Taijijian Wu-Hao C",917,IF(OR(Atletas!U233="Taijijian 32 C",Atletas!U233="Taijijian 42 C"),918,IF(OR(Atletas!U233="Taijijian Yang D",Atletas!U233="Taijijian Yang Standard D"),919,IF(OR(Atletas!U233="Taijijian Chen D", Atletas!U233="Taijijian Chen Standard D"),920,IF(Atletas!U233="Taijijian Sun D",921,IF(Atletas!U233="Taijijian Wu D",922,IF(Atletas!U233="Taijijian Wu-Hao D",923,IF(OR(Atletas!U233="Taijijian 32 D",Atletas!U233="Taijijian 42 D"),924,IF(OR(Atletas!U233="Taijijian Yang E",Atletas!U233="Taijijian Yang Standard E"),925,IF(OR(Atletas!U233="Taijijian Chen E", Atletas!U233="Taijijian Chen Standard E"),926,IF(Atletas!U233="Taijijian Sun E",927,IF(Atletas!U233="Taijijian Wu E",928,IF(Atletas!U233="Taijijian Wu-Hao E",929,IF(OR(Atletas!U233="Taijijian 32 E",Atletas!U233="Taijijian 42 E"),930,IF(OR(Atletas!U233="Taijijian Yang F",Atletas!U233="Taijijian Yang Standard F"),931,IF(OR(Atletas!U233="Taijijian Chen F", Atletas!U233="Taijijian Chen Standard F"),932,IF(Atletas!U233="Taijijian Sun F",933,IF(Atletas!U233="Taijijian Wu F",934,IF(Atletas!U233="Taijijian Wu-Hao F",935,IF(OR(Atletas!U233="Taijijian 32 F",Atletas!U233="Taijijian 42 F"),936,"")))))))))))))))))))))))))))))))))))))</f>
        <v/>
      </c>
      <c r="CD242" s="50" t="str">
        <f>IF(Atletas!V233="","",IF(Atletas!X233&lt;&gt;"",10000,0)+IF(Atletas!B233="Feminino",1000,IF(Atletas!B233="Masculino",2000,""))+IF(Atletas!V233="Taijidao A",937,IF(Atletas!V233="TaijiShanzi A",938,IF(Atletas!V233="Taijiqiang A",939,IF(Atletas!V233="Bagua de Arma A",940,IF(Atletas!V233="Xingyi de Arma A",941,IF(Atletas!V233="Taijidao B",942,IF(Atletas!V233="TaijiShanzi B",943,IF(Atletas!V233="Taijiqiang B",944,IF(Atletas!V233="Bagua de Arma B",945,IF(Atletas!V233="Xingyi de Arma B",946,IF(Atletas!V233="Taijidao C",947,IF(Atletas!V233="TaijiShanzi C",948,IF(Atletas!V233="Taijiqiang C",949,IF(Atletas!V233="Bagua de Arma C",950,IF(Atletas!V233="Xingyi de Arma C",951,IF(Atletas!V233="Taijidao D",952,IF(Atletas!V233="TaijiShanzi D",953,IF(Atletas!V233="Taijiqiang D",954,IF(Atletas!V233="Bagua de Arma D",955,IF(Atletas!V233="Xingyi de Arma D",956,IF(Atletas!V233="Taijidao E",957,IF(Atletas!V233="TaijiShanzi E",958,IF(Atletas!V233="Taijiqiang E",959,IF(Atletas!V233="Bagua de Arma E",960,IF(Atletas!V233="Xingyi de Arma E",961,IF(Atletas!V233="Taijidao F",962,IF(Atletas!V233="TaijiShanzi F",963,IF(Atletas!V233="Taijiqiang F",964,IF(Atletas!V233="Bagua de Arma F",965,IF(Atletas!V233="Xingyi de Arma F",966,"")))))))))))))))))))))))))))))))</f>
        <v/>
      </c>
      <c r="CE242" s="66" t="str">
        <f>IF(CF242&lt;&gt;"","Shanzi C","")</f>
        <v/>
      </c>
      <c r="CF242" s="66" t="str">
        <f>IF(COUNTIF(BR:CD,1614)&gt;0,COUNTIF(BR:CD,1614),"")</f>
        <v/>
      </c>
      <c r="CG242" s="66" t="str">
        <f>IF(CH242&lt;&gt;"","Shanzi C","")</f>
        <v/>
      </c>
      <c r="CH242" s="66" t="str">
        <f>IF(COUNTIF(BR:CD,2614)&gt;0,COUNTIF(BR:CD,2614),"")</f>
        <v/>
      </c>
      <c r="CI242" s="66" t="str">
        <f>IF(CJ242&lt;&gt;"","Outra Arma Curta D","")</f>
        <v/>
      </c>
      <c r="CJ242" s="66" t="str">
        <f>IF(COUNTIF(BR:CD,11620)&gt;0,COUNTIF(BR:CD,11620),"")</f>
        <v/>
      </c>
      <c r="CK242" s="66" t="str">
        <f>IF(CL242&lt;&gt;"","Outra Arma Curta D","")</f>
        <v/>
      </c>
      <c r="CL242" s="66" t="str">
        <f>IF(COUNTIF(BR:CD,12620)&gt;0,COUNTIF(BR:CD,12620),"")</f>
        <v/>
      </c>
      <c r="CM242" s="50" t="str">
        <f xml:space="preserve"> IF(Atletas!W233="","",IF(Atletas!W233="Duilian de Mãos BC - Equipe 1",1,IF(Atletas!W233="Duilian de Mãos BC - Equipe 2",2,IF(Atletas!W233="Duilian de Armas BC - Equipe 1",3,IF(Atletas!W233="Duilian de Armas BC - Equipe 2",4,IF(Atletas!W233="Duilian de Mãos DE - Equipe 1",5,IF(Atletas!W233="Duilian de Mãos DE - Equipe 2",6,IF(Atletas!W233="Duilian de Armas DE - Equipe 1",7,IF(Atletas!W233="Duilian de Armas DE - Equipe 2",8,IF(Atletas!W233="Duilian de Tuishou - Equipe 1",9,IF(Atletas!W233="Duilian de Tuishou - Equipe 2",10,IF(Atletas!W233="Grupo Externo ABC - Equipe 1",11,IF(Atletas!W233="Grupo Externo ABC - Equipe 2",12,IF(Atletas!W233="Grupo Interno ABC - Equipe 1",13,IF(Atletas!W233="Grupo Interno ABC - Equipe 2",14,IF(Atletas!W233="Grupo Externo DEF - Equipe 1",15,IF(Atletas!W233="Grupo Externo DEF - Equipe 2",16,IF(Atletas!W233="Grupo Interno DEF - Equipe 1",17,IF(Atletas!W233="Grupo Interno DEF - Equipe 2",18,"")))))))))))))))))))</f>
        <v/>
      </c>
    </row>
    <row r="243" spans="2:91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 t="str">
        <f t="array" ref="Z243">IFERROR(INDEX(CE$7:CE$348,SMALL(IF(CE$7:CE$348&lt;&gt;"",ROW(CE$7:CE$348)-ROW(CE$7)+1),ROWS(CE$7:CE242))),"")</f>
        <v/>
      </c>
      <c r="AA243" s="3" t="str">
        <f t="array" ref="AA243">IFERROR(INDEX(CF$7:CF$348,SMALL(IF(CF$7:CF$348&lt;&gt;"",ROW(CF$7:CF$348)-ROW(CF$7)+1),ROWS(CF$7:CF242))),"")</f>
        <v/>
      </c>
      <c r="AB243" s="3" t="str">
        <f t="array" ref="AB243">IFERROR(INDEX(CG$7:CG$348,SMALL(IF(CG$7:CG$348&lt;&gt;"",ROW(CG$7:CG$348)-ROW(CG$7)+1),ROWS(CG$7:CG242))),"")</f>
        <v/>
      </c>
      <c r="AC243" s="3" t="str">
        <f t="array" ref="AC243">IFERROR(INDEX(CH$7:CH$348,SMALL(IF(CH$7:CH$348&lt;&gt;"",ROW(CH$7:CH$348)-ROW(CH$7)+1),ROWS(CH$7:CH242))),"")</f>
        <v/>
      </c>
      <c r="AD243" s="3" t="str">
        <f t="array" ref="AD243">IFERROR(INDEX(CI$7:CI$377,SMALL(IF(CI$7:CI$377&lt;&gt;"",ROW(CI$7:CI$377)-ROW(CI$7)+1),ROWS(CI$7:CI242))),"")</f>
        <v/>
      </c>
      <c r="AE243" s="3" t="str">
        <f t="array" ref="AE243">IFERROR(INDEX(CJ$7:CJ$378,SMALL(IF(CJ$7:CJ$378&lt;&gt;"",ROW(CJ$7:CJ$378)-ROW(CJ$7)+1),ROWS(CJ$7:CJ242))),"")</f>
        <v/>
      </c>
      <c r="AF243" s="3" t="str">
        <f t="array" ref="AF243">IFERROR(INDEX(CK$7:CK$378,SMALL(IF(CK$7:CK$378&lt;&gt;"",ROW(CK$7:CK$378)-ROW(CK$7)+1),ROWS(CK$7:CK242))),"")</f>
        <v/>
      </c>
      <c r="AG243" s="3" t="str">
        <f t="array" ref="AG243">IFERROR(INDEX(CL$7:CL$378,SMALL(IF(CL$7:CL$378&lt;&gt;"",ROW(CL$7:CL$378)-ROW(CL$7)+1),ROWS(CL$7:CL242))),"")</f>
        <v/>
      </c>
      <c r="AH243" s="3"/>
      <c r="AI243" s="3"/>
      <c r="AJ243" s="3"/>
      <c r="AK243" s="3"/>
      <c r="AL243" s="3"/>
      <c r="AM243" s="3"/>
      <c r="AN243" s="52" t="str">
        <f>IF(Atletas!D234="","",IF(Atletas!B234="Feminino",100,IF(Atletas!B234="Masculino",200,""))+(IF(Atletas!D234="Kids 30kg",1,IF(Atletas!D234="Kids 32kg",2, IF(Atletas!D234="Kids 34kg",3,IF(Atletas!D234="Kids 36kg",4,IF(Atletas!D234="Kids 39kg",5,IF(Atletas!D234="Kids 42kg",6,IF(Atletas!D234="Kids 45kg",7, IF(Atletas!D234="Infantil 39kg",8,IF(Atletas!D234="Infantil 42kg",9,IF(Atletas!D234="Infantil 45kg",10,IF(Atletas!D234="Infantil 48kg",11,IF(Atletas!D234="Infantil 52kg",12,IF(Atletas!D234="Infantil 56kg",13,IF(Atletas!D234="Infantil 60kg",14,IF(Atletas!D234="Juvenil 48kg",15,IF(Atletas!D234="Juvenil 52kg",16,IF(Atletas!D234="Juvenil 56kg",17,IF(Atletas!D234="Juvenil 60kg",18,IF(Atletas!D234="Juvenil 65kg",19,IF(Atletas!D234="Juvenil 70kg",20,IF(Atletas!D234="Juvenil 75kg",21,IF(Atletas!D234="Juvenil 80kg",22, IF(Atletas!D234="Juvenil 85kg",23,IF(Atletas!D234="Adulto 48kg",24,IF(Atletas!D234="Adulto 52kg",25,IF(Atletas!D234="Adulto 56kg",26,IF(Atletas!D234="Adulto 60kg",27,IF(Atletas!D234="Adulto 65kg",28,IF(Atletas!D234="Adulto 70kg",29,IF(Atletas!D234="Adulto 75kg",30,IF(Atletas!D234="Adulto 80kg",31,IF(Atletas!D234="Adulto 85kg",32,IF(Atletas!D234="Adulto 90kg",33,IF(Atletas!D234="Adulto 100kg",34, IF(Atletas!D234="Adulto +100kg",35,"")))))))))))))))))))))))))))))))))))))</f>
        <v/>
      </c>
      <c r="AS243" s="6" t="str">
        <f>IF(Atletas!E234="","",IF(Atletas!B234="Feminino",100,IF(Atletas!B234="Masculino",200,""))+(IF(Atletas!E234="Juvenil 44kg",1,IF(Atletas!E234="Juvenil 48kg",2,IF(Atletas!E234="Juvenil 52kg",3,IF(Atletas!E234="Juvenil 56kg",4,IF(Atletas!E234="Juvenil 60kg",5,IF(Atletas!E234="Juvenil 65kg",6,IF(Atletas!E234="Juvenil 70kg",7,IF(Atletas!E234="Juvenil 75kg",8,IF(Atletas!E234="Juvenil 82kg",9,IF(Atletas!E234="Juvenil 90kg",10,IF(Atletas!E234="Juvenil 100kg",11,IF(Atletas!E234="Adulto 48kg",12,IF(Atletas!E234="Adulto 52kg",13,IF(Atletas!E234="Adulto 56kg",14,IF(Atletas!E234="Adulto 60kg",15,IF(Atletas!E234="Adulto 65kg",16,IF(Atletas!E234="Adulto 70kg",17,IF(Atletas!E234="Adulto 75kg",18,IF(Atletas!E234="Adulto 82kg",19,IF(Atletas!E234="Adulto 90kg",20,IF(Atletas!E234="Adulto 100kg",21,IF(Atletas!E234="Adulto +100kg",22,""))))))))))))))))))))))))</f>
        <v/>
      </c>
      <c r="AX243" s="6" t="str">
        <f>IF(Atletas!F234="","",IF(Atletas!B234="Feminino",100,IF(Atletas!B234="Masculino",200,""))+(IF(Atletas!F234="Adulto 48kg",1,IF(Atletas!F234="Adulto 56kg",2,IF(Atletas!F234="Adulto 65kg",3,IF(Atletas!F234="Adulto 75kg",4,IF(Atletas!F234="Adulto +75kg",5,IF(Atletas!F234="Adulto 52kg",6,IF(Atletas!F234="Adulto 60kg",7,IF(Atletas!F234="Adulto 70kg",8,IF(Atletas!F234="Adulto 80kg",9,IF(Atletas!F234="Adulto 90kg",10,IF(Atletas!F234="Adulto +90kg",11,"")))))))))))))</f>
        <v/>
      </c>
      <c r="BC243" s="6" t="str">
        <f>IF(Atletas!G234="","",IF(Atletas!B234="Feminino",10,IF(Atletas!B234="Masculino",20,""))+(IF(Atletas!G234="Baduanjin A",1,IF(Atletas!G234="Baduanjin B",2))))</f>
        <v/>
      </c>
      <c r="BF243" s="52" t="str">
        <f>IF(Atletas!H234="","",IF(Atletas!B234="Feminino",100,IF(Atletas!B234="Masculino",200,""))+(IF(Atletas!H234="Changquan Mirim",1,IF(Atletas!H234="Nanquan Mirim",2,IF(Atletas!H234="Taijiquan Mirim",3,IF(Atletas!H234="Changquan Grupo C",4,IF(Atletas!H234="Nanquan Grupo C",5,IF(Atletas!H234="Taijiquan Grupo C",6,IF(Atletas!H234="Changquan Grupo B",7,IF(Atletas!H234="Nanquan Grupo B",8,IF(Atletas!H234="Taijiquan Grupo B",9,IF(Atletas!H234="Changquan Grupo A",10,IF(Atletas!H234="Nanquan Grupo A",11,IF(Atletas!H234="Taijiquan Grupo A",12,IF(Atletas!H234="Changquan Opcional",13,IF(Atletas!H234="Nanquan Opcional",14,IF(Atletas!H234="Taijiquan Opcional",15,IF(Atletas!H234="Changquan Adulto",16,IF(Atletas!H234="Nanquan Adulto",17,IF(Atletas!H234="Taijiquan Adulto",18,""))))))))))))))))))))</f>
        <v/>
      </c>
      <c r="BG243" s="52" t="str">
        <f>IF(Atletas!I234="","",IF(Atletas!B234="Feminino",100,IF(Atletas!B234="Masculino",200,""))+(IF(Atletas!I234="Daoshu Mirim",19,IF(Atletas!I234="Jianshu Mirim",20,IF(Atletas!I234="Nandao Mirim",21,IF(Atletas!I234="Taijijian Mirim",22,IF(Atletas!I234="Daoshu Grupo C",23,IF(Atletas!I234="Jianshu Grupo C",24,IF(Atletas!I234="Nandao Grupo C",25,IF(Atletas!I234="Taijijian Grupo C",26,IF(Atletas!I234="Daoshu Grupo B",27,IF(Atletas!I234="Jianshu Grupo B",28,IF(Atletas!I234="Nandao Grupo B",29,IF(Atletas!I234="Taijijian Grupo B",30,IF(Atletas!I234="Daoshu Grupo A",31,IF(Atletas!I234="Jianshu Grupo A",32,IF(Atletas!I234="Nandao Grupo A",33,IF(Atletas!I234="Taijijian Grupo A",34,IF(Atletas!I234="Daoshu Opcional",35,IF(Atletas!I234="Jianshu Opcional",36,IF(Atletas!I234="Nandao Opcional",37,IF(Atletas!I234="Taijijian Opcional",38,IF(Atletas!I234="Daoshu Adulto",39,IF(Atletas!I234="Jianshu Adulto",40,IF(Atletas!I234="Nandao Adulto",41,IF(Atletas!I234="Taijijian Adulto",42,""))))))))))))))))))))))))))</f>
        <v/>
      </c>
      <c r="BH243" s="52" t="str">
        <f>IF(Atletas!J234="","",IF(Atletas!B234="Feminino",100,IF(Atletas!B234="Masculino",200,""))+(IF(Atletas!J234="Gunshu Mirim",43,IF(Atletas!J234="Qiangshu Mirim",44,IF(Atletas!J234="Nangun Mirim",45,IF(Atletas!J234="Gunshu Grupo C",46,IF(Atletas!J234="Qiangshu Grupo C",47,IF(Atletas!J234="Nangun Grupo C",48,IF(Atletas!J234="Gunshu Grupo B",49,IF(Atletas!J234="Qiangshu Grupo B",50,IF(Atletas!J234="Nangun Grupo B",51,IF(Atletas!J234="Gunshu Grupo A",52,IF(Atletas!J234="Qiangshu Grupo A",53,IF(Atletas!J234="Nangun Grupo A",54,IF(Atletas!J234="Gunshu Opcional",55,IF(Atletas!J234="Qiangshu Opcional",56,IF(Atletas!J234="Nangun Opcional",57,IF(Atletas!J234="Gunshu Adulto",58,IF(Atletas!J234="Qiangshu Adulto",59,IF(Atletas!J234="Nangun Adulto",60,IF(Atletas!J234="Taijishan Grupo B",61,IF(Atletas!J234="Taijishan Grupo A",62,""))))))))))))))))))))))</f>
        <v/>
      </c>
      <c r="BM243" s="50" t="str">
        <f>IF(Atletas!K234="","",IF(Atletas!B234="Feminino",100,IF(Atletas!B234="Masculino",200,""))+(IF(Atletas!K234="Equipe 1 Grupo B",1,IF(Atletas!K234="Equipe 2 Grupo B",2,IF(Atletas!K234="Equipe 1 Grupo A",3,IF(Atletas!K234="Equipe 2 Grupo A",4,IF(Atletas!K234="Equipe 1 Adulto",5,IF(Atletas!K234="Equipe 2 Adulto",6,""))))))))</f>
        <v/>
      </c>
      <c r="BR243" s="50" t="str">
        <f>IF(Atletas!L234="","",IF(Atletas!X234&lt;&gt;"",10000,0)+(IF(Atletas!B234="Feminino",1000,IF(Atletas!B234="Masculino",2000,""))+IF(Atletas!L234="Choylayfut A",1,IF(Atletas!L234="Hunggar A",2,IF(Atletas!L234="Wuzuquan A",3,IF(Atletas!L234="Wingchun A",4,IF(Atletas!L234="Outra Mão de Sul A",5,IF(Atletas!L234="Choylayfut B",6,IF(Atletas!L234="Hunggar B",7,IF(Atletas!L234="Wuzuquan B",8,IF(Atletas!L234="Wingchun B",9,IF(Atletas!L234="Outra Mão de Sul B",10,IF(Atletas!L234="Choylayfut C",11,IF(Atletas!L234="Hunggar C",12,IF(Atletas!L234="Wuzuquan C",13,IF(Atletas!L234="Wingchun C",14,IF(Atletas!L234="Outra Mão de Sul C",15,IF(Atletas!L234="Choylayfut D",16,IF(Atletas!L234="Hunggar D",17,IF(Atletas!L234="Wuzuquan D",18,IF(Atletas!L234="Wingchun D",19,IF(Atletas!L234="Outra Mão de Sul D",20,IF(Atletas!L234="Choylayfut E",21,IF(Atletas!L234="Hunggar E",22,IF(Atletas!L234="Wuzuquan E",23,IF(Atletas!L234="Wingchun E",24,IF(Atletas!L234="Outra Mão de Sul E",25,IF(Atletas!L234="Choylayfut F",26,IF(Atletas!L234="Hunggar F",27,IF(Atletas!L234="Wuzuquan F",28,IF(Atletas!L234="Wingchun F",29,IF(Atletas!L234="Outra Mão de Sul F",30,IF(Atletas!L234="Dishuquan A",31,IF(Atletas!L234="Dishuquan B",32,IF(Atletas!L234="Dishuquan C",33,IF(Atletas!L234="Dishuquan D",34,IF(Atletas!L234="Dishuquan E",35,IF(Atletas!L234="Dishuquan F",36,""))))))))))))))))))))))))))))))))))))))</f>
        <v/>
      </c>
      <c r="BS243" s="50" t="str">
        <f>IF(Atletas!M234="","",IF(Atletas!X234&lt;&gt;"",10000,0)+(IF(Atletas!B234="Feminino",1000,IF(Atletas!B234="Masculino",2000,""))+(IF(Atletas!M234="Chaquan A",101,IF(Atletas!M234="Emeiquan A",102,IF(Atletas!M234="Fanziquan A",103,IF(Atletas!M234="Huaquan A",104,IF(Atletas!M234="Hongquan A",105,IF(Atletas!M234="Paoquan A",106,IF(Atletas!M234="Piguaquan A",107,IF(Atletas!M234="Shaolinquan A",108,IF(Atletas!M234="Tanglangquan A",109,IF(Atletas!M234="Yingzhaoquan A",110,IF(Atletas!M234="Tongbeiquan A",111,IF(Atletas!M234="Wudangquan A",112,IF(Atletas!M234="Outros Estilos A",113,IF(Atletas!M234="Chaquan B",114,IF(Atletas!M234="Emeiquan B",115,IF(Atletas!M234="Fanziquan B",116,IF(Atletas!M234="Huaquan B",117,IF(Atletas!M234="Hongquan B",118,IF(Atletas!M234="Paoquan B",119,IF(Atletas!M234="Piguaquan B",120,IF(Atletas!M234="Shaolinquan B",121,IF(Atletas!M234="Tanglangquan B",122,IF(Atletas!M234="Yingzhaoquan B",123,IF(Atletas!M234="Tongbeiquan B",124,IF(Atletas!M234="Wudangquan B",125,IF(Atletas!M234="Outros Estilos B",126,IF(Atletas!M234="Chaquan C",127,IF(Atletas!M234="Emeiquan C",128,IF(Atletas!M234="Fanziquan C",129,IF(Atletas!M234="Huaquan C",130,IF(Atletas!M234="Hongquan C",131,IF(Atletas!M234="Paoquan C",132,IF(Atletas!M234="Piguaquan C",133,IF(Atletas!M234="Shaolinquan C",134,IF(Atletas!M234="Tanglangquan C",135,IF(Atletas!M234="Yingzhaoquan C",136,IF(Atletas!M234="Tongbeiquan C",137,IF(Atletas!M234="Wudangquan C",138,IF(Atletas!M234="Outros Estilos C",139,0))))))))))))))))))))))))))))))))))))))))))</f>
        <v/>
      </c>
      <c r="BT243" s="50" t="str">
        <f>IF(Atletas!M234="","",IF(Atletas!X234&lt;&gt;"",10000,0)+(IF(Atletas!B234="Feminino",1000,IF(Atletas!B234="Masculino",2000,""))+(IF(Atletas!M234="Chaquan D",140,IF(Atletas!M234="Emeiquan D",141,IF(Atletas!M234="Fanziquan D",142,IF(Atletas!M234="Huaquan D",143,IF(Atletas!M234="Hongquan D",144,IF(Atletas!M234="Paoquan D",145,IF(Atletas!M234="Piguaquan D",146,IF(Atletas!M234="Shaolinquan D",147,IF(Atletas!M234="Tanglangquan D",148,IF(Atletas!M234="Yingzhaoquan D",149,IF(Atletas!M234="Tongbeiquan D",150,IF(Atletas!M234="Wudangquan D",151,IF(Atletas!M234="Outros Estilos D",152,IF(Atletas!M234="Chaquan E",153,IF(Atletas!M234="Emeiquan E",154,IF(Atletas!M234="Fanziquan E",155,IF(Atletas!M234="Huaquan E",156,IF(Atletas!M234="Hongquan E",157,IF(Atletas!M234="Paoquan E",158,IF(Atletas!M234="Piguaquan E",159,IF(Atletas!M234="Shaolinquan E",160,IF(Atletas!M234="Tanglangquan E",161,IF(Atletas!M234="Yingzhaoquan E",162,IF(Atletas!M234="Tongbeiquan E",163,IF(Atletas!M234="Wudangquan E",164,IF(Atletas!M234="Outros Estilos E",165,IF(Atletas!M234="Chaquan F",166,IF(Atletas!M234="Emeiquan F",167,IF(Atletas!M234="Fanziquan F",168,IF(Atletas!M234="Huaquan F",169,IF(Atletas!M234="Hongquan F",170,IF(Atletas!M234="Paoquan F",171,IF(Atletas!M234="Piguaquan F",172,IF(Atletas!M234="Shaolinquan F",173,IF(Atletas!M234="Tanglangquan F",174,IF(Atletas!M234="Yingzhaoquan F",175,IF(Atletas!M234="Tongbeiquan F",176,IF(Atletas!M234="Wudangquan F",177,IF(Atletas!M234="Outros Estilos F",178,0))))))))))))))))))))))))))))))))))))))))))</f>
        <v/>
      </c>
      <c r="BU243" s="50" t="str">
        <f>IF(Atletas!N234="","",IF(Atletas!X234&lt;&gt;"",10000,0)+(IF(Atletas!B234="Feminino",1000,IF(Atletas!B234="Masculino",2000,""))+(IF(Atletas!N234="Ditangquan A",201,IF(Atletas!N234="Houquan A",202,IF(Atletas!N234="Zuiquan A",203,IF(Atletas!N234="Ditangquan B",204,IF(Atletas!N234="Houquan B",205,IF(Atletas!N234="Zuiquan B",206,IF(Atletas!N234="Ditangquan C",207,IF(Atletas!N234="Houquan C",208,IF(Atletas!N234="Zuiquan C",209,IF(Atletas!N234="Ditangquan D",210,IF(Atletas!N234="Houquan D",211,IF(Atletas!N234="Zuiquan D",212,IF(Atletas!N234="Ditangquan E",213,IF(Atletas!N234="Houquan E",214,IF(Atletas!N234="Zuiquan E",215,IF(Atletas!N234="Ditangquan F",216,IF(Atletas!N234="Houquan F",217,IF(Atletas!N234="Zuiquan F",218,"")))))))))))))))))))))</f>
        <v/>
      </c>
      <c r="BV243" s="50" t="str">
        <f>IF(Atletas!O234="","",IF(Atletas!X234&lt;&gt;"",10000,0)+IF(Atletas!B234="Feminino",1000,IF(Atletas!B234="Masculino",2000,""))+IF(Atletas!O234="Yang A",301,IF(Atletas!O234="Chen A",302,IF(Atletas!O234="Sun A",303,IF(Atletas!O234="Wu A",304,IF(Atletas!O234="Wu-Hao A",305,IF(Atletas!O234="Outro Taijiquan A",306,IF(Atletas!O234="Yang B",307,IF(Atletas!O234="Chen B",308,IF(Atletas!O234="Sun B",309,IF(Atletas!O234="Wu B",310,IF(Atletas!O234="Wu-Hao B",311,IF(Atletas!O234="Outro Taijiquan B",312,IF(Atletas!O234="Yang C",313,IF(Atletas!O234="Chen C",314,IF(Atletas!O234="Sun C",315,IF(Atletas!O234="Wu C",316,IF(Atletas!O234="Wu-Hao C",317,IF(Atletas!O234="Outro Taijiquan C",318,IF(Atletas!O234="Yang D",319,IF(Atletas!O234="Chen D",320,IF(Atletas!O234="Sun D",321,IF(Atletas!O234="Wu D",322,IF(Atletas!O234="Wu-Hao D",323,IF(Atletas!O234="Outro Taijiquan D",324,IF(Atletas!O234="Yang E",325,IF(Atletas!O234="Chen E",326,IF(Atletas!O234="Sun E",327,IF(Atletas!O234="Wu E",328,IF(Atletas!O234="Wu-Hao E",329,IF(Atletas!O234="Outro Taijiquan E",330,IF(Atletas!O234="Yang F",331,IF(Atletas!O234="Chen F",332,IF(Atletas!O234="Sun F",333,IF(Atletas!O234="Wu F",334,IF(Atletas!O234="Wu-Hao F",335,IF(Atletas!O234="Outro Taijiquan F",336,"")))))))))))))))))))))))))))))))))))))</f>
        <v/>
      </c>
      <c r="BW243" s="50" t="str">
        <f>IF(Atletas!P234="","",IF(Atletas!X234&lt;&gt;"",10000,0)+IF(Atletas!B234="Feminino",1000,IF(Atletas!B234="Masculino",2000,""))+IF(OR(Atletas!P234="Yang 26 A",Atletas!P234="Yang 40 A"),401,IF(OR(Atletas!P234="Chen 25 A",Atletas!P234="Chen 36 A",Atletas!P234="Chen 56 A"),402,IF(Atletas!P234="Sun 73 A",403,IF(Atletas!P234="Wu 45 A",404,IF(Atletas!P234="Wu-Hao 46 A",405,IF(OR(Atletas!P234="Taijiquan 16 A",Atletas!P234="Taijiquan 24 A",Atletas!P234="Taijiquan 32 A",Atletas!P234="Taijiquan 42 A"),406,IF(OR(Atletas!P234="Yang 26 B",Atletas!P234="Yang 40 B"),407,IF(OR(Atletas!P234="Chen 25 B",Atletas!P234="Chen 36 B",Atletas!P234="Chen 56 B"),408,IF(Atletas!P234="Sun 73 B",409,IF(Atletas!P234="Wu 45 B",410,IF(Atletas!P234="Wu-Hao 46 B",411,IF(OR(Atletas!P234="Taijiquan 16 B",Atletas!P234="Taijiquan 24 B",Atletas!P234="Taijiquan 32 B",Atletas!P234="Taijiquan 42 B"),412,IF(OR(Atletas!P234="Yang 26 C",Atletas!P234="Yang 40 C"),413,IF(OR(Atletas!P234="Chen 25 C",Atletas!P234="Chen 36 C",Atletas!P234="Chen 56 C"),414,IF(Atletas!P234="Sun 73 C",415,IF(Atletas!P234="Wu 45 C",416,IF(Atletas!P234="Wu-Hao 46 C",417,IF(OR(Atletas!P234="Taijiquan 16 C",Atletas!P234="Taijiquan 24 C",Atletas!P234="Taijiquan 32 C",Atletas!P234="Taijiquan 42 C"),418,0)))))))))))))))))))</f>
        <v/>
      </c>
      <c r="BX243" s="50" t="str">
        <f>IF(Atletas!P234="","",IF(Atletas!X234&lt;&gt;"",10000,0)+IF(Atletas!B234="Feminino",1000,IF(Atletas!B234="Masculino",2000,""))+IF(OR(Atletas!P234="Yang 26 D",Atletas!P234="Yang 40 D"),419,IF(OR(Atletas!P234="Chen 25 D",Atletas!P234="Chen 36 D",Atletas!P234="Chen 56 D"),420,IF(Atletas!P234="Sun 73 D",421,IF(Atletas!P234="Wu 45 D",422,IF(Atletas!P234="Wu-Hao 46 D",423,IF(OR(Atletas!P234="Taijiquan 16 D",Atletas!P234="Taijiquan 24 D",Atletas!P234="Taijiquan 32 D",Atletas!P234="Taijiquan 42 D"),424,IF(OR(Atletas!P234="Yang 26 E",Atletas!P234="Yang 40 E"),425,IF(OR(Atletas!P234="Chen 25 E",Atletas!P234="Chen 36 E",Atletas!P234="Chen 56 E"),426,IF(Atletas!P234="Sun 73 E",427,IF(Atletas!P234="Wu 45 E",428,IF(Atletas!P234="Wu-Hao 46 E",429,IF(OR(Atletas!P234="Taijiquan 16 E",Atletas!P234="Taijiquan 24 E",Atletas!P234="Taijiquan 32 E",Atletas!P234="Taijiquan 42 E"),430,IF(OR(Atletas!P234="Yang 26 F",Atletas!P234="Yang 40 F"),431,IF(OR(Atletas!P234="Chen 25 F",Atletas!P234="Chen 36 F",Atletas!P234="Chen 56 F"),432,IF(Atletas!P234="Sun 73 F",433,IF(Atletas!P234="Wu 45 F",434,IF(Atletas!P234="Wu-Hao 46 F",435,IF(OR(Atletas!P234="Taijiquan 16 F",Atletas!P234="Taijiquan 24 F",Atletas!P234="Taijiquan 32 F",Atletas!P234="Taijiquan 42 F"),436,0)))))))))))))))))))</f>
        <v/>
      </c>
      <c r="BY243" s="50" t="str">
        <f>IF(Atletas!Q234="","",IF(Atletas!X234&lt;&gt;"",10000,0)+IF(Atletas!B234="Feminino",1000,IF(Atletas!B234="Masculino",2000,""))+IF(Atletas!Q234="Xingyiquan A",501,IF(Atletas!Q234="Baguazhang A",502,IF(Atletas!Q234="Outro Estilo Interno A",503,IF(Atletas!Q234="Xingyiquan B",504,IF(Atletas!Q234="Baguazhang B",505,IF(Atletas!Q234="Outro Estilo Interno B",506,IF(Atletas!Q234="Xingyiquan C",507,IF(Atletas!Q234="Baguazhang C",508,IF(Atletas!Q234="Outro Estilo Interno C",509,IF(Atletas!Q234="Xingyiquan D",510,IF(Atletas!Q234="Baguazhang D",511,IF(Atletas!Q234="Outro Estilo Interno D",512,IF(Atletas!Q234="Xingyiquan E",513,IF(Atletas!Q234="Baguazhang E",514,IF(Atletas!Q234="Outro Estilo Interno E",515,IF(Atletas!Q234="Xingyiquan F",516,IF(Atletas!Q234="Baguazhang F",517,IF(Atletas!Q234="Outro Estilo Interno F",518, "")))))))))))))))))))</f>
        <v/>
      </c>
      <c r="BZ243" s="50" t="str">
        <f>IF(Atletas!R234="","",IF(Atletas!X234&lt;&gt;"",10000,0)+IF(Atletas!B234="Feminino",1000,IF(Atletas!B234="Masculino",2000,""))+IF(Atletas!R234="Dao A",601,IF(Atletas!R234="Jian A",602,IF(Atletas!R234="Bishou A",603,IF(Atletas!R234="Shanzi A",604,IF(Atletas!R234="Outra Arma Curta A",605,IF(Atletas!R234="Dao B",606,IF(Atletas!R234="Jian B",607,IF(Atletas!R234="Bishou B",608,IF(Atletas!R234="Shanzi B",609,IF(Atletas!R234="Outra Arma Curta B",610,IF(Atletas!R234="Dao C",611,IF(Atletas!R234="Jian C",612,IF(Atletas!R234="Bishou C",613,IF(Atletas!R234="Shanzi C",614,IF(Atletas!R234="Outra Arma Curta C",615,IF(Atletas!R234="Dao D",616,IF(Atletas!R234="Jian D",617,IF(Atletas!R234="Bishou D",618,IF(Atletas!R234="Shanzi D",619,IF(Atletas!R234="Outra Arma Curta D",620,IF(Atletas!R234="Dao E",621,IF(Atletas!R234="Jian E",622,IF(Atletas!R234="Bishou E",623,IF(Atletas!R234="Shanzi E",624,IF(Atletas!R234="Outra Arma Curta E",625,IF(Atletas!R234="Dao F",626,IF(Atletas!R234="Jian F",627,IF(Atletas!R234="Bishou F",628,IF(Atletas!R234="Shanzi F",629,IF(Atletas!R234="Outra Arma Curta F",630, "")))))))))))))))))))))))))))))))</f>
        <v/>
      </c>
      <c r="CA243" s="50" t="str">
        <f>IF(Atletas!S234="","",IF(Atletas!X234&lt;&gt;"",10000,0)+IF(Atletas!B234="Feminino",1000,IF(Atletas!B234="Masculino",2000,""))+IF(Atletas!S234="Gun A",701,IF(Atletas!S234="Qiang A",702,IF(Atletas!S234="Pudao / Guandao A",703,IF(Atletas!S234="Outra Arma Longa A",704,IF(Atletas!S234="Gun B",705,IF(Atletas!S234="Qiang B",706,IF(Atletas!S234="Pudao / Guandao B",707,IF(Atletas!S234="Outra Arma Longa B",708,IF(Atletas!S234="Gun C",709,IF(Atletas!S234="Qiang C",710,IF(Atletas!S234="Pudao / Guandao C",711,IF(Atletas!S234="Outra Arma Longa C",712,IF(Atletas!S234="Gun D",713,IF(Atletas!S234="Qiang D",714,IF(Atletas!S234="Pudao / Guandao D",715,IF(Atletas!S234="Outra Arma Longa D",716,IF(Atletas!S234="Gun E",717,IF(Atletas!S234="Qiang E",718,IF(Atletas!S234="Pudao / Guandao E",719,IF(Atletas!S234="Outra Arma Longa E",720,IF(Atletas!S234="Gun F",721,IF(Atletas!S234="Qiang F",722,IF(Atletas!S234="Pudao / Guandao F",723,IF(Atletas!S234="Outra Arma Longa F",724,"")))))))))))))))))))))))))</f>
        <v/>
      </c>
      <c r="CB243" s="50" t="str">
        <f>IF(Atletas!T234="","",IF(Atletas!X234&lt;&gt;"",10000,0)+IF(Atletas!B234="Feminino",1000,IF(Atletas!B234="Masculino",2000,""))+IF(Atletas!T234="Outra Arma Dupla A",801,IF(Atletas!T234="Arma Maleável A",802,IF(Atletas!T234="Outra Arma Dupla B",803,IF(Atletas!T234="Arma Maleável B",804,IF(Atletas!T234="Outra Arma Dupla C",805,IF(Atletas!T234="Arma Maleável C",806,IF(Atletas!T234="Outra Arma Dupla D",807,IF(Atletas!T234="Arma Maleável D",808,IF(Atletas!T234="Outra Arma Dupla E",809,IF(Atletas!T234="Arma Maleável E",810,IF(Atletas!T234="Outra Arma Dupla F",811,IF(Atletas!T234="Arma Maleável F",812,IF(Atletas!T234="Shuangdao A",813,IF(Atletas!T234="Shuangdao B",814,IF(Atletas!T234="Shuangdao C",815,IF(Atletas!T234="Shuangdao D",816,IF(Atletas!T234="Shuangdao E",817,IF(Atletas!T234="Shuangdao F",818,"")))))))))))))))))))</f>
        <v/>
      </c>
      <c r="CC243" s="50" t="str">
        <f>IF(Atletas!U234="","",IF(Atletas!X234&lt;&gt;"",10000,0)+IF(Atletas!B234="Feminino",1000,IF(Atletas!B234="Masculino",2000,""))+IF(OR(Atletas!U234="Taijijian Yang A",Atletas!U234="Taijijian Yang Standard A"),901,IF(OR(Atletas!U234="Taijijian Chen A", Atletas!U234="Taijijian Chen Standard A"),902,IF(Atletas!U234="Taijijian Sun A",903,IF(Atletas!U234="Taijijian Wu A",904,IF(Atletas!U234="Taijijian Wu-Hao A",905,IF(OR(Atletas!U234="Taijijian 32 A",Atletas!U234="Taijijian 42 A"),906,IF(OR(Atletas!U234="Taijijian Yang B",Atletas!U234="Taijijian Yang Standard B"),907,IF(OR(Atletas!U234="Taijijian Chen B", Atletas!U234="Taijijian Chen Standard B"),908,IF(Atletas!U234="Taijijian Sun B",909,IF(Atletas!U234="Taijijian Wu B",910,IF(Atletas!U234="Taijijian Wu-Hao B",911,IF(OR(Atletas!U234="Taijijian 32 B",Atletas!U234="Taijijian 42 B"),912,IF(OR(Atletas!U234="Taijijian Yang C",Atletas!U234="Taijijian Yang Standard C"),913,IF(OR(Atletas!U234="Taijijian Chen C", Atletas!U234="Taijijian Chen Standard C"),914,IF(Atletas!U234="Taijijian Sun C",915,IF(Atletas!U234="Taijijian Wu C",916,IF(Atletas!U234="Taijijian Wu-Hao C",917,IF(OR(Atletas!U234="Taijijian 32 C",Atletas!U234="Taijijian 42 C"),918,IF(OR(Atletas!U234="Taijijian Yang D",Atletas!U234="Taijijian Yang Standard D"),919,IF(OR(Atletas!U234="Taijijian Chen D", Atletas!U234="Taijijian Chen Standard D"),920,IF(Atletas!U234="Taijijian Sun D",921,IF(Atletas!U234="Taijijian Wu D",922,IF(Atletas!U234="Taijijian Wu-Hao D",923,IF(OR(Atletas!U234="Taijijian 32 D",Atletas!U234="Taijijian 42 D"),924,IF(OR(Atletas!U234="Taijijian Yang E",Atletas!U234="Taijijian Yang Standard E"),925,IF(OR(Atletas!U234="Taijijian Chen E", Atletas!U234="Taijijian Chen Standard E"),926,IF(Atletas!U234="Taijijian Sun E",927,IF(Atletas!U234="Taijijian Wu E",928,IF(Atletas!U234="Taijijian Wu-Hao E",929,IF(OR(Atletas!U234="Taijijian 32 E",Atletas!U234="Taijijian 42 E"),930,IF(OR(Atletas!U234="Taijijian Yang F",Atletas!U234="Taijijian Yang Standard F"),931,IF(OR(Atletas!U234="Taijijian Chen F", Atletas!U234="Taijijian Chen Standard F"),932,IF(Atletas!U234="Taijijian Sun F",933,IF(Atletas!U234="Taijijian Wu F",934,IF(Atletas!U234="Taijijian Wu-Hao F",935,IF(OR(Atletas!U234="Taijijian 32 F",Atletas!U234="Taijijian 42 F"),936,"")))))))))))))))))))))))))))))))))))))</f>
        <v/>
      </c>
      <c r="CD243" s="50" t="str">
        <f>IF(Atletas!V234="","",IF(Atletas!X234&lt;&gt;"",10000,0)+IF(Atletas!B234="Feminino",1000,IF(Atletas!B234="Masculino",2000,""))+IF(Atletas!V234="Taijidao A",937,IF(Atletas!V234="TaijiShanzi A",938,IF(Atletas!V234="Taijiqiang A",939,IF(Atletas!V234="Bagua de Arma A",940,IF(Atletas!V234="Xingyi de Arma A",941,IF(Atletas!V234="Taijidao B",942,IF(Atletas!V234="TaijiShanzi B",943,IF(Atletas!V234="Taijiqiang B",944,IF(Atletas!V234="Bagua de Arma B",945,IF(Atletas!V234="Xingyi de Arma B",946,IF(Atletas!V234="Taijidao C",947,IF(Atletas!V234="TaijiShanzi C",948,IF(Atletas!V234="Taijiqiang C",949,IF(Atletas!V234="Bagua de Arma C",950,IF(Atletas!V234="Xingyi de Arma C",951,IF(Atletas!V234="Taijidao D",952,IF(Atletas!V234="TaijiShanzi D",953,IF(Atletas!V234="Taijiqiang D",954,IF(Atletas!V234="Bagua de Arma D",955,IF(Atletas!V234="Xingyi de Arma D",956,IF(Atletas!V234="Taijidao E",957,IF(Atletas!V234="TaijiShanzi E",958,IF(Atletas!V234="Taijiqiang E",959,IF(Atletas!V234="Bagua de Arma E",960,IF(Atletas!V234="Xingyi de Arma E",961,IF(Atletas!V234="Taijidao F",962,IF(Atletas!V234="TaijiShanzi F",963,IF(Atletas!V234="Taijiqiang F",964,IF(Atletas!V234="Bagua de Arma F",965,IF(Atletas!V234="Xingyi de Arma F",966,"")))))))))))))))))))))))))))))))</f>
        <v/>
      </c>
      <c r="CE243" s="66" t="str">
        <f>IF(CF243&lt;&gt;"","Outra Arma Curta C","")</f>
        <v/>
      </c>
      <c r="CF243" s="66" t="str">
        <f>IF(COUNTIF(BR:CD,1615)&gt;0,COUNTIF(BR:CD,1615),"")</f>
        <v/>
      </c>
      <c r="CG243" s="66" t="str">
        <f>IF(CH243&lt;&gt;"","Outra Arma Curta C","")</f>
        <v/>
      </c>
      <c r="CH243" s="66" t="str">
        <f>IF(COUNTIF(BR:CD,2615)&gt;0,COUNTIF(BR:CD,2615),"")</f>
        <v/>
      </c>
      <c r="CI243" s="66" t="str">
        <f>IF(CJ243&lt;&gt;"","Dao E","")</f>
        <v/>
      </c>
      <c r="CJ243" s="66" t="str">
        <f>IF(COUNTIF(BR:CD,11621)&gt;0,COUNTIF(BR:CD,11621),"")</f>
        <v/>
      </c>
      <c r="CK243" s="66" t="str">
        <f>IF(CL243&lt;&gt;"","Dao E","")</f>
        <v/>
      </c>
      <c r="CL243" s="66" t="str">
        <f>IF(COUNTIF(BR:CD,12621)&gt;0,COUNTIF(BR:CD,12621),"")</f>
        <v/>
      </c>
      <c r="CM243" s="50" t="str">
        <f xml:space="preserve"> IF(Atletas!W234="","",IF(Atletas!W234="Duilian de Mãos BC - Equipe 1",1,IF(Atletas!W234="Duilian de Mãos BC - Equipe 2",2,IF(Atletas!W234="Duilian de Armas BC - Equipe 1",3,IF(Atletas!W234="Duilian de Armas BC - Equipe 2",4,IF(Atletas!W234="Duilian de Mãos DE - Equipe 1",5,IF(Atletas!W234="Duilian de Mãos DE - Equipe 2",6,IF(Atletas!W234="Duilian de Armas DE - Equipe 1",7,IF(Atletas!W234="Duilian de Armas DE - Equipe 2",8,IF(Atletas!W234="Duilian de Tuishou - Equipe 1",9,IF(Atletas!W234="Duilian de Tuishou - Equipe 2",10,IF(Atletas!W234="Grupo Externo ABC - Equipe 1",11,IF(Atletas!W234="Grupo Externo ABC - Equipe 2",12,IF(Atletas!W234="Grupo Interno ABC - Equipe 1",13,IF(Atletas!W234="Grupo Interno ABC - Equipe 2",14,IF(Atletas!W234="Grupo Externo DEF - Equipe 1",15,IF(Atletas!W234="Grupo Externo DEF - Equipe 2",16,IF(Atletas!W234="Grupo Interno DEF - Equipe 1",17,IF(Atletas!W234="Grupo Interno DEF - Equipe 2",18,"")))))))))))))))))))</f>
        <v/>
      </c>
    </row>
    <row r="244" spans="2:91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 t="str">
        <f t="array" ref="Z244">IFERROR(INDEX(CE$7:CE$348,SMALL(IF(CE$7:CE$348&lt;&gt;"",ROW(CE$7:CE$348)-ROW(CE$7)+1),ROWS(CE$7:CE243))),"")</f>
        <v/>
      </c>
      <c r="AA244" s="3" t="str">
        <f t="array" ref="AA244">IFERROR(INDEX(CF$7:CF$348,SMALL(IF(CF$7:CF$348&lt;&gt;"",ROW(CF$7:CF$348)-ROW(CF$7)+1),ROWS(CF$7:CF243))),"")</f>
        <v/>
      </c>
      <c r="AB244" s="3" t="str">
        <f t="array" ref="AB244">IFERROR(INDEX(CG$7:CG$348,SMALL(IF(CG$7:CG$348&lt;&gt;"",ROW(CG$7:CG$348)-ROW(CG$7)+1),ROWS(CG$7:CG243))),"")</f>
        <v/>
      </c>
      <c r="AC244" s="3" t="str">
        <f t="array" ref="AC244">IFERROR(INDEX(CH$7:CH$348,SMALL(IF(CH$7:CH$348&lt;&gt;"",ROW(CH$7:CH$348)-ROW(CH$7)+1),ROWS(CH$7:CH243))),"")</f>
        <v/>
      </c>
      <c r="AD244" s="3" t="str">
        <f t="array" ref="AD244">IFERROR(INDEX(CI$7:CI$377,SMALL(IF(CI$7:CI$377&lt;&gt;"",ROW(CI$7:CI$377)-ROW(CI$7)+1),ROWS(CI$7:CI243))),"")</f>
        <v/>
      </c>
      <c r="AE244" s="3" t="str">
        <f t="array" ref="AE244">IFERROR(INDEX(CJ$7:CJ$378,SMALL(IF(CJ$7:CJ$378&lt;&gt;"",ROW(CJ$7:CJ$378)-ROW(CJ$7)+1),ROWS(CJ$7:CJ243))),"")</f>
        <v/>
      </c>
      <c r="AF244" s="3" t="str">
        <f t="array" ref="AF244">IFERROR(INDEX(CK$7:CK$378,SMALL(IF(CK$7:CK$378&lt;&gt;"",ROW(CK$7:CK$378)-ROW(CK$7)+1),ROWS(CK$7:CK243))),"")</f>
        <v/>
      </c>
      <c r="AG244" s="3" t="str">
        <f t="array" ref="AG244">IFERROR(INDEX(CL$7:CL$378,SMALL(IF(CL$7:CL$378&lt;&gt;"",ROW(CL$7:CL$378)-ROW(CL$7)+1),ROWS(CL$7:CL243))),"")</f>
        <v/>
      </c>
      <c r="AH244" s="3"/>
      <c r="AI244" s="3"/>
      <c r="AJ244" s="3"/>
      <c r="AK244" s="3"/>
      <c r="AL244" s="3"/>
      <c r="AM244" s="3"/>
      <c r="AN244" s="52" t="str">
        <f>IF(Atletas!D235="","",IF(Atletas!B235="Feminino",100,IF(Atletas!B235="Masculino",200,""))+(IF(Atletas!D235="Kids 30kg",1,IF(Atletas!D235="Kids 32kg",2, IF(Atletas!D235="Kids 34kg",3,IF(Atletas!D235="Kids 36kg",4,IF(Atletas!D235="Kids 39kg",5,IF(Atletas!D235="Kids 42kg",6,IF(Atletas!D235="Kids 45kg",7, IF(Atletas!D235="Infantil 39kg",8,IF(Atletas!D235="Infantil 42kg",9,IF(Atletas!D235="Infantil 45kg",10,IF(Atletas!D235="Infantil 48kg",11,IF(Atletas!D235="Infantil 52kg",12,IF(Atletas!D235="Infantil 56kg",13,IF(Atletas!D235="Infantil 60kg",14,IF(Atletas!D235="Juvenil 48kg",15,IF(Atletas!D235="Juvenil 52kg",16,IF(Atletas!D235="Juvenil 56kg",17,IF(Atletas!D235="Juvenil 60kg",18,IF(Atletas!D235="Juvenil 65kg",19,IF(Atletas!D235="Juvenil 70kg",20,IF(Atletas!D235="Juvenil 75kg",21,IF(Atletas!D235="Juvenil 80kg",22, IF(Atletas!D235="Juvenil 85kg",23,IF(Atletas!D235="Adulto 48kg",24,IF(Atletas!D235="Adulto 52kg",25,IF(Atletas!D235="Adulto 56kg",26,IF(Atletas!D235="Adulto 60kg",27,IF(Atletas!D235="Adulto 65kg",28,IF(Atletas!D235="Adulto 70kg",29,IF(Atletas!D235="Adulto 75kg",30,IF(Atletas!D235="Adulto 80kg",31,IF(Atletas!D235="Adulto 85kg",32,IF(Atletas!D235="Adulto 90kg",33,IF(Atletas!D235="Adulto 100kg",34, IF(Atletas!D235="Adulto +100kg",35,"")))))))))))))))))))))))))))))))))))))</f>
        <v/>
      </c>
      <c r="AS244" s="6" t="str">
        <f>IF(Atletas!E235="","",IF(Atletas!B235="Feminino",100,IF(Atletas!B235="Masculino",200,""))+(IF(Atletas!E235="Juvenil 44kg",1,IF(Atletas!E235="Juvenil 48kg",2,IF(Atletas!E235="Juvenil 52kg",3,IF(Atletas!E235="Juvenil 56kg",4,IF(Atletas!E235="Juvenil 60kg",5,IF(Atletas!E235="Juvenil 65kg",6,IF(Atletas!E235="Juvenil 70kg",7,IF(Atletas!E235="Juvenil 75kg",8,IF(Atletas!E235="Juvenil 82kg",9,IF(Atletas!E235="Juvenil 90kg",10,IF(Atletas!E235="Juvenil 100kg",11,IF(Atletas!E235="Adulto 48kg",12,IF(Atletas!E235="Adulto 52kg",13,IF(Atletas!E235="Adulto 56kg",14,IF(Atletas!E235="Adulto 60kg",15,IF(Atletas!E235="Adulto 65kg",16,IF(Atletas!E235="Adulto 70kg",17,IF(Atletas!E235="Adulto 75kg",18,IF(Atletas!E235="Adulto 82kg",19,IF(Atletas!E235="Adulto 90kg",20,IF(Atletas!E235="Adulto 100kg",21,IF(Atletas!E235="Adulto +100kg",22,""))))))))))))))))))))))))</f>
        <v/>
      </c>
      <c r="AX244" s="6" t="str">
        <f>IF(Atletas!F235="","",IF(Atletas!B235="Feminino",100,IF(Atletas!B235="Masculino",200,""))+(IF(Atletas!F235="Adulto 48kg",1,IF(Atletas!F235="Adulto 56kg",2,IF(Atletas!F235="Adulto 65kg",3,IF(Atletas!F235="Adulto 75kg",4,IF(Atletas!F235="Adulto +75kg",5,IF(Atletas!F235="Adulto 52kg",6,IF(Atletas!F235="Adulto 60kg",7,IF(Atletas!F235="Adulto 70kg",8,IF(Atletas!F235="Adulto 80kg",9,IF(Atletas!F235="Adulto 90kg",10,IF(Atletas!F235="Adulto +90kg",11,"")))))))))))))</f>
        <v/>
      </c>
      <c r="BC244" s="6" t="str">
        <f>IF(Atletas!G235="","",IF(Atletas!B235="Feminino",10,IF(Atletas!B235="Masculino",20,""))+(IF(Atletas!G235="Baduanjin A",1,IF(Atletas!G235="Baduanjin B",2))))</f>
        <v/>
      </c>
      <c r="BF244" s="52" t="str">
        <f>IF(Atletas!H235="","",IF(Atletas!B235="Feminino",100,IF(Atletas!B235="Masculino",200,""))+(IF(Atletas!H235="Changquan Mirim",1,IF(Atletas!H235="Nanquan Mirim",2,IF(Atletas!H235="Taijiquan Mirim",3,IF(Atletas!H235="Changquan Grupo C",4,IF(Atletas!H235="Nanquan Grupo C",5,IF(Atletas!H235="Taijiquan Grupo C",6,IF(Atletas!H235="Changquan Grupo B",7,IF(Atletas!H235="Nanquan Grupo B",8,IF(Atletas!H235="Taijiquan Grupo B",9,IF(Atletas!H235="Changquan Grupo A",10,IF(Atletas!H235="Nanquan Grupo A",11,IF(Atletas!H235="Taijiquan Grupo A",12,IF(Atletas!H235="Changquan Opcional",13,IF(Atletas!H235="Nanquan Opcional",14,IF(Atletas!H235="Taijiquan Opcional",15,IF(Atletas!H235="Changquan Adulto",16,IF(Atletas!H235="Nanquan Adulto",17,IF(Atletas!H235="Taijiquan Adulto",18,""))))))))))))))))))))</f>
        <v/>
      </c>
      <c r="BG244" s="52" t="str">
        <f>IF(Atletas!I235="","",IF(Atletas!B235="Feminino",100,IF(Atletas!B235="Masculino",200,""))+(IF(Atletas!I235="Daoshu Mirim",19,IF(Atletas!I235="Jianshu Mirim",20,IF(Atletas!I235="Nandao Mirim",21,IF(Atletas!I235="Taijijian Mirim",22,IF(Atletas!I235="Daoshu Grupo C",23,IF(Atletas!I235="Jianshu Grupo C",24,IF(Atletas!I235="Nandao Grupo C",25,IF(Atletas!I235="Taijijian Grupo C",26,IF(Atletas!I235="Daoshu Grupo B",27,IF(Atletas!I235="Jianshu Grupo B",28,IF(Atletas!I235="Nandao Grupo B",29,IF(Atletas!I235="Taijijian Grupo B",30,IF(Atletas!I235="Daoshu Grupo A",31,IF(Atletas!I235="Jianshu Grupo A",32,IF(Atletas!I235="Nandao Grupo A",33,IF(Atletas!I235="Taijijian Grupo A",34,IF(Atletas!I235="Daoshu Opcional",35,IF(Atletas!I235="Jianshu Opcional",36,IF(Atletas!I235="Nandao Opcional",37,IF(Atletas!I235="Taijijian Opcional",38,IF(Atletas!I235="Daoshu Adulto",39,IF(Atletas!I235="Jianshu Adulto",40,IF(Atletas!I235="Nandao Adulto",41,IF(Atletas!I235="Taijijian Adulto",42,""))))))))))))))))))))))))))</f>
        <v/>
      </c>
      <c r="BH244" s="52" t="str">
        <f>IF(Atletas!J235="","",IF(Atletas!B235="Feminino",100,IF(Atletas!B235="Masculino",200,""))+(IF(Atletas!J235="Gunshu Mirim",43,IF(Atletas!J235="Qiangshu Mirim",44,IF(Atletas!J235="Nangun Mirim",45,IF(Atletas!J235="Gunshu Grupo C",46,IF(Atletas!J235="Qiangshu Grupo C",47,IF(Atletas!J235="Nangun Grupo C",48,IF(Atletas!J235="Gunshu Grupo B",49,IF(Atletas!J235="Qiangshu Grupo B",50,IF(Atletas!J235="Nangun Grupo B",51,IF(Atletas!J235="Gunshu Grupo A",52,IF(Atletas!J235="Qiangshu Grupo A",53,IF(Atletas!J235="Nangun Grupo A",54,IF(Atletas!J235="Gunshu Opcional",55,IF(Atletas!J235="Qiangshu Opcional",56,IF(Atletas!J235="Nangun Opcional",57,IF(Atletas!J235="Gunshu Adulto",58,IF(Atletas!J235="Qiangshu Adulto",59,IF(Atletas!J235="Nangun Adulto",60,IF(Atletas!J235="Taijishan Grupo B",61,IF(Atletas!J235="Taijishan Grupo A",62,""))))))))))))))))))))))</f>
        <v/>
      </c>
      <c r="BM244" s="50" t="str">
        <f>IF(Atletas!K235="","",IF(Atletas!B235="Feminino",100,IF(Atletas!B235="Masculino",200,""))+(IF(Atletas!K235="Equipe 1 Grupo B",1,IF(Atletas!K235="Equipe 2 Grupo B",2,IF(Atletas!K235="Equipe 1 Grupo A",3,IF(Atletas!K235="Equipe 2 Grupo A",4,IF(Atletas!K235="Equipe 1 Adulto",5,IF(Atletas!K235="Equipe 2 Adulto",6,""))))))))</f>
        <v/>
      </c>
      <c r="BR244" s="50" t="str">
        <f>IF(Atletas!L235="","",IF(Atletas!X235&lt;&gt;"",10000,0)+(IF(Atletas!B235="Feminino",1000,IF(Atletas!B235="Masculino",2000,""))+IF(Atletas!L235="Choylayfut A",1,IF(Atletas!L235="Hunggar A",2,IF(Atletas!L235="Wuzuquan A",3,IF(Atletas!L235="Wingchun A",4,IF(Atletas!L235="Outra Mão de Sul A",5,IF(Atletas!L235="Choylayfut B",6,IF(Atletas!L235="Hunggar B",7,IF(Atletas!L235="Wuzuquan B",8,IF(Atletas!L235="Wingchun B",9,IF(Atletas!L235="Outra Mão de Sul B",10,IF(Atletas!L235="Choylayfut C",11,IF(Atletas!L235="Hunggar C",12,IF(Atletas!L235="Wuzuquan C",13,IF(Atletas!L235="Wingchun C",14,IF(Atletas!L235="Outra Mão de Sul C",15,IF(Atletas!L235="Choylayfut D",16,IF(Atletas!L235="Hunggar D",17,IF(Atletas!L235="Wuzuquan D",18,IF(Atletas!L235="Wingchun D",19,IF(Atletas!L235="Outra Mão de Sul D",20,IF(Atletas!L235="Choylayfut E",21,IF(Atletas!L235="Hunggar E",22,IF(Atletas!L235="Wuzuquan E",23,IF(Atletas!L235="Wingchun E",24,IF(Atletas!L235="Outra Mão de Sul E",25,IF(Atletas!L235="Choylayfut F",26,IF(Atletas!L235="Hunggar F",27,IF(Atletas!L235="Wuzuquan F",28,IF(Atletas!L235="Wingchun F",29,IF(Atletas!L235="Outra Mão de Sul F",30,IF(Atletas!L235="Dishuquan A",31,IF(Atletas!L235="Dishuquan B",32,IF(Atletas!L235="Dishuquan C",33,IF(Atletas!L235="Dishuquan D",34,IF(Atletas!L235="Dishuquan E",35,IF(Atletas!L235="Dishuquan F",36,""))))))))))))))))))))))))))))))))))))))</f>
        <v/>
      </c>
      <c r="BS244" s="50" t="str">
        <f>IF(Atletas!M235="","",IF(Atletas!X235&lt;&gt;"",10000,0)+(IF(Atletas!B235="Feminino",1000,IF(Atletas!B235="Masculino",2000,""))+(IF(Atletas!M235="Chaquan A",101,IF(Atletas!M235="Emeiquan A",102,IF(Atletas!M235="Fanziquan A",103,IF(Atletas!M235="Huaquan A",104,IF(Atletas!M235="Hongquan A",105,IF(Atletas!M235="Paoquan A",106,IF(Atletas!M235="Piguaquan A",107,IF(Atletas!M235="Shaolinquan A",108,IF(Atletas!M235="Tanglangquan A",109,IF(Atletas!M235="Yingzhaoquan A",110,IF(Atletas!M235="Tongbeiquan A",111,IF(Atletas!M235="Wudangquan A",112,IF(Atletas!M235="Outros Estilos A",113,IF(Atletas!M235="Chaquan B",114,IF(Atletas!M235="Emeiquan B",115,IF(Atletas!M235="Fanziquan B",116,IF(Atletas!M235="Huaquan B",117,IF(Atletas!M235="Hongquan B",118,IF(Atletas!M235="Paoquan B",119,IF(Atletas!M235="Piguaquan B",120,IF(Atletas!M235="Shaolinquan B",121,IF(Atletas!M235="Tanglangquan B",122,IF(Atletas!M235="Yingzhaoquan B",123,IF(Atletas!M235="Tongbeiquan B",124,IF(Atletas!M235="Wudangquan B",125,IF(Atletas!M235="Outros Estilos B",126,IF(Atletas!M235="Chaquan C",127,IF(Atletas!M235="Emeiquan C",128,IF(Atletas!M235="Fanziquan C",129,IF(Atletas!M235="Huaquan C",130,IF(Atletas!M235="Hongquan C",131,IF(Atletas!M235="Paoquan C",132,IF(Atletas!M235="Piguaquan C",133,IF(Atletas!M235="Shaolinquan C",134,IF(Atletas!M235="Tanglangquan C",135,IF(Atletas!M235="Yingzhaoquan C",136,IF(Atletas!M235="Tongbeiquan C",137,IF(Atletas!M235="Wudangquan C",138,IF(Atletas!M235="Outros Estilos C",139,0))))))))))))))))))))))))))))))))))))))))))</f>
        <v/>
      </c>
      <c r="BT244" s="50" t="str">
        <f>IF(Atletas!M235="","",IF(Atletas!X235&lt;&gt;"",10000,0)+(IF(Atletas!B235="Feminino",1000,IF(Atletas!B235="Masculino",2000,""))+(IF(Atletas!M235="Chaquan D",140,IF(Atletas!M235="Emeiquan D",141,IF(Atletas!M235="Fanziquan D",142,IF(Atletas!M235="Huaquan D",143,IF(Atletas!M235="Hongquan D",144,IF(Atletas!M235="Paoquan D",145,IF(Atletas!M235="Piguaquan D",146,IF(Atletas!M235="Shaolinquan D",147,IF(Atletas!M235="Tanglangquan D",148,IF(Atletas!M235="Yingzhaoquan D",149,IF(Atletas!M235="Tongbeiquan D",150,IF(Atletas!M235="Wudangquan D",151,IF(Atletas!M235="Outros Estilos D",152,IF(Atletas!M235="Chaquan E",153,IF(Atletas!M235="Emeiquan E",154,IF(Atletas!M235="Fanziquan E",155,IF(Atletas!M235="Huaquan E",156,IF(Atletas!M235="Hongquan E",157,IF(Atletas!M235="Paoquan E",158,IF(Atletas!M235="Piguaquan E",159,IF(Atletas!M235="Shaolinquan E",160,IF(Atletas!M235="Tanglangquan E",161,IF(Atletas!M235="Yingzhaoquan E",162,IF(Atletas!M235="Tongbeiquan E",163,IF(Atletas!M235="Wudangquan E",164,IF(Atletas!M235="Outros Estilos E",165,IF(Atletas!M235="Chaquan F",166,IF(Atletas!M235="Emeiquan F",167,IF(Atletas!M235="Fanziquan F",168,IF(Atletas!M235="Huaquan F",169,IF(Atletas!M235="Hongquan F",170,IF(Atletas!M235="Paoquan F",171,IF(Atletas!M235="Piguaquan F",172,IF(Atletas!M235="Shaolinquan F",173,IF(Atletas!M235="Tanglangquan F",174,IF(Atletas!M235="Yingzhaoquan F",175,IF(Atletas!M235="Tongbeiquan F",176,IF(Atletas!M235="Wudangquan F",177,IF(Atletas!M235="Outros Estilos F",178,0))))))))))))))))))))))))))))))))))))))))))</f>
        <v/>
      </c>
      <c r="BU244" s="50" t="str">
        <f>IF(Atletas!N235="","",IF(Atletas!X235&lt;&gt;"",10000,0)+(IF(Atletas!B235="Feminino",1000,IF(Atletas!B235="Masculino",2000,""))+(IF(Atletas!N235="Ditangquan A",201,IF(Atletas!N235="Houquan A",202,IF(Atletas!N235="Zuiquan A",203,IF(Atletas!N235="Ditangquan B",204,IF(Atletas!N235="Houquan B",205,IF(Atletas!N235="Zuiquan B",206,IF(Atletas!N235="Ditangquan C",207,IF(Atletas!N235="Houquan C",208,IF(Atletas!N235="Zuiquan C",209,IF(Atletas!N235="Ditangquan D",210,IF(Atletas!N235="Houquan D",211,IF(Atletas!N235="Zuiquan D",212,IF(Atletas!N235="Ditangquan E",213,IF(Atletas!N235="Houquan E",214,IF(Atletas!N235="Zuiquan E",215,IF(Atletas!N235="Ditangquan F",216,IF(Atletas!N235="Houquan F",217,IF(Atletas!N235="Zuiquan F",218,"")))))))))))))))))))))</f>
        <v/>
      </c>
      <c r="BV244" s="50" t="str">
        <f>IF(Atletas!O235="","",IF(Atletas!X235&lt;&gt;"",10000,0)+IF(Atletas!B235="Feminino",1000,IF(Atletas!B235="Masculino",2000,""))+IF(Atletas!O235="Yang A",301,IF(Atletas!O235="Chen A",302,IF(Atletas!O235="Sun A",303,IF(Atletas!O235="Wu A",304,IF(Atletas!O235="Wu-Hao A",305,IF(Atletas!O235="Outro Taijiquan A",306,IF(Atletas!O235="Yang B",307,IF(Atletas!O235="Chen B",308,IF(Atletas!O235="Sun B",309,IF(Atletas!O235="Wu B",310,IF(Atletas!O235="Wu-Hao B",311,IF(Atletas!O235="Outro Taijiquan B",312,IF(Atletas!O235="Yang C",313,IF(Atletas!O235="Chen C",314,IF(Atletas!O235="Sun C",315,IF(Atletas!O235="Wu C",316,IF(Atletas!O235="Wu-Hao C",317,IF(Atletas!O235="Outro Taijiquan C",318,IF(Atletas!O235="Yang D",319,IF(Atletas!O235="Chen D",320,IF(Atletas!O235="Sun D",321,IF(Atletas!O235="Wu D",322,IF(Atletas!O235="Wu-Hao D",323,IF(Atletas!O235="Outro Taijiquan D",324,IF(Atletas!O235="Yang E",325,IF(Atletas!O235="Chen E",326,IF(Atletas!O235="Sun E",327,IF(Atletas!O235="Wu E",328,IF(Atletas!O235="Wu-Hao E",329,IF(Atletas!O235="Outro Taijiquan E",330,IF(Atletas!O235="Yang F",331,IF(Atletas!O235="Chen F",332,IF(Atletas!O235="Sun F",333,IF(Atletas!O235="Wu F",334,IF(Atletas!O235="Wu-Hao F",335,IF(Atletas!O235="Outro Taijiquan F",336,"")))))))))))))))))))))))))))))))))))))</f>
        <v/>
      </c>
      <c r="BW244" s="50" t="str">
        <f>IF(Atletas!P235="","",IF(Atletas!X235&lt;&gt;"",10000,0)+IF(Atletas!B235="Feminino",1000,IF(Atletas!B235="Masculino",2000,""))+IF(OR(Atletas!P235="Yang 26 A",Atletas!P235="Yang 40 A"),401,IF(OR(Atletas!P235="Chen 25 A",Atletas!P235="Chen 36 A",Atletas!P235="Chen 56 A"),402,IF(Atletas!P235="Sun 73 A",403,IF(Atletas!P235="Wu 45 A",404,IF(Atletas!P235="Wu-Hao 46 A",405,IF(OR(Atletas!P235="Taijiquan 16 A",Atletas!P235="Taijiquan 24 A",Atletas!P235="Taijiquan 32 A",Atletas!P235="Taijiquan 42 A"),406,IF(OR(Atletas!P235="Yang 26 B",Atletas!P235="Yang 40 B"),407,IF(OR(Atletas!P235="Chen 25 B",Atletas!P235="Chen 36 B",Atletas!P235="Chen 56 B"),408,IF(Atletas!P235="Sun 73 B",409,IF(Atletas!P235="Wu 45 B",410,IF(Atletas!P235="Wu-Hao 46 B",411,IF(OR(Atletas!P235="Taijiquan 16 B",Atletas!P235="Taijiquan 24 B",Atletas!P235="Taijiquan 32 B",Atletas!P235="Taijiquan 42 B"),412,IF(OR(Atletas!P235="Yang 26 C",Atletas!P235="Yang 40 C"),413,IF(OR(Atletas!P235="Chen 25 C",Atletas!P235="Chen 36 C",Atletas!P235="Chen 56 C"),414,IF(Atletas!P235="Sun 73 C",415,IF(Atletas!P235="Wu 45 C",416,IF(Atletas!P235="Wu-Hao 46 C",417,IF(OR(Atletas!P235="Taijiquan 16 C",Atletas!P235="Taijiquan 24 C",Atletas!P235="Taijiquan 32 C",Atletas!P235="Taijiquan 42 C"),418,0)))))))))))))))))))</f>
        <v/>
      </c>
      <c r="BX244" s="50" t="str">
        <f>IF(Atletas!P235="","",IF(Atletas!X235&lt;&gt;"",10000,0)+IF(Atletas!B235="Feminino",1000,IF(Atletas!B235="Masculino",2000,""))+IF(OR(Atletas!P235="Yang 26 D",Atletas!P235="Yang 40 D"),419,IF(OR(Atletas!P235="Chen 25 D",Atletas!P235="Chen 36 D",Atletas!P235="Chen 56 D"),420,IF(Atletas!P235="Sun 73 D",421,IF(Atletas!P235="Wu 45 D",422,IF(Atletas!P235="Wu-Hao 46 D",423,IF(OR(Atletas!P235="Taijiquan 16 D",Atletas!P235="Taijiquan 24 D",Atletas!P235="Taijiquan 32 D",Atletas!P235="Taijiquan 42 D"),424,IF(OR(Atletas!P235="Yang 26 E",Atletas!P235="Yang 40 E"),425,IF(OR(Atletas!P235="Chen 25 E",Atletas!P235="Chen 36 E",Atletas!P235="Chen 56 E"),426,IF(Atletas!P235="Sun 73 E",427,IF(Atletas!P235="Wu 45 E",428,IF(Atletas!P235="Wu-Hao 46 E",429,IF(OR(Atletas!P235="Taijiquan 16 E",Atletas!P235="Taijiquan 24 E",Atletas!P235="Taijiquan 32 E",Atletas!P235="Taijiquan 42 E"),430,IF(OR(Atletas!P235="Yang 26 F",Atletas!P235="Yang 40 F"),431,IF(OR(Atletas!P235="Chen 25 F",Atletas!P235="Chen 36 F",Atletas!P235="Chen 56 F"),432,IF(Atletas!P235="Sun 73 F",433,IF(Atletas!P235="Wu 45 F",434,IF(Atletas!P235="Wu-Hao 46 F",435,IF(OR(Atletas!P235="Taijiquan 16 F",Atletas!P235="Taijiquan 24 F",Atletas!P235="Taijiquan 32 F",Atletas!P235="Taijiquan 42 F"),436,0)))))))))))))))))))</f>
        <v/>
      </c>
      <c r="BY244" s="50" t="str">
        <f>IF(Atletas!Q235="","",IF(Atletas!X235&lt;&gt;"",10000,0)+IF(Atletas!B235="Feminino",1000,IF(Atletas!B235="Masculino",2000,""))+IF(Atletas!Q235="Xingyiquan A",501,IF(Atletas!Q235="Baguazhang A",502,IF(Atletas!Q235="Outro Estilo Interno A",503,IF(Atletas!Q235="Xingyiquan B",504,IF(Atletas!Q235="Baguazhang B",505,IF(Atletas!Q235="Outro Estilo Interno B",506,IF(Atletas!Q235="Xingyiquan C",507,IF(Atletas!Q235="Baguazhang C",508,IF(Atletas!Q235="Outro Estilo Interno C",509,IF(Atletas!Q235="Xingyiquan D",510,IF(Atletas!Q235="Baguazhang D",511,IF(Atletas!Q235="Outro Estilo Interno D",512,IF(Atletas!Q235="Xingyiquan E",513,IF(Atletas!Q235="Baguazhang E",514,IF(Atletas!Q235="Outro Estilo Interno E",515,IF(Atletas!Q235="Xingyiquan F",516,IF(Atletas!Q235="Baguazhang F",517,IF(Atletas!Q235="Outro Estilo Interno F",518, "")))))))))))))))))))</f>
        <v/>
      </c>
      <c r="BZ244" s="50" t="str">
        <f>IF(Atletas!R235="","",IF(Atletas!X235&lt;&gt;"",10000,0)+IF(Atletas!B235="Feminino",1000,IF(Atletas!B235="Masculino",2000,""))+IF(Atletas!R235="Dao A",601,IF(Atletas!R235="Jian A",602,IF(Atletas!R235="Bishou A",603,IF(Atletas!R235="Shanzi A",604,IF(Atletas!R235="Outra Arma Curta A",605,IF(Atletas!R235="Dao B",606,IF(Atletas!R235="Jian B",607,IF(Atletas!R235="Bishou B",608,IF(Atletas!R235="Shanzi B",609,IF(Atletas!R235="Outra Arma Curta B",610,IF(Atletas!R235="Dao C",611,IF(Atletas!R235="Jian C",612,IF(Atletas!R235="Bishou C",613,IF(Atletas!R235="Shanzi C",614,IF(Atletas!R235="Outra Arma Curta C",615,IF(Atletas!R235="Dao D",616,IF(Atletas!R235="Jian D",617,IF(Atletas!R235="Bishou D",618,IF(Atletas!R235="Shanzi D",619,IF(Atletas!R235="Outra Arma Curta D",620,IF(Atletas!R235="Dao E",621,IF(Atletas!R235="Jian E",622,IF(Atletas!R235="Bishou E",623,IF(Atletas!R235="Shanzi E",624,IF(Atletas!R235="Outra Arma Curta E",625,IF(Atletas!R235="Dao F",626,IF(Atletas!R235="Jian F",627,IF(Atletas!R235="Bishou F",628,IF(Atletas!R235="Shanzi F",629,IF(Atletas!R235="Outra Arma Curta F",630, "")))))))))))))))))))))))))))))))</f>
        <v/>
      </c>
      <c r="CA244" s="50" t="str">
        <f>IF(Atletas!S235="","",IF(Atletas!X235&lt;&gt;"",10000,0)+IF(Atletas!B235="Feminino",1000,IF(Atletas!B235="Masculino",2000,""))+IF(Atletas!S235="Gun A",701,IF(Atletas!S235="Qiang A",702,IF(Atletas!S235="Pudao / Guandao A",703,IF(Atletas!S235="Outra Arma Longa A",704,IF(Atletas!S235="Gun B",705,IF(Atletas!S235="Qiang B",706,IF(Atletas!S235="Pudao / Guandao B",707,IF(Atletas!S235="Outra Arma Longa B",708,IF(Atletas!S235="Gun C",709,IF(Atletas!S235="Qiang C",710,IF(Atletas!S235="Pudao / Guandao C",711,IF(Atletas!S235="Outra Arma Longa C",712,IF(Atletas!S235="Gun D",713,IF(Atletas!S235="Qiang D",714,IF(Atletas!S235="Pudao / Guandao D",715,IF(Atletas!S235="Outra Arma Longa D",716,IF(Atletas!S235="Gun E",717,IF(Atletas!S235="Qiang E",718,IF(Atletas!S235="Pudao / Guandao E",719,IF(Atletas!S235="Outra Arma Longa E",720,IF(Atletas!S235="Gun F",721,IF(Atletas!S235="Qiang F",722,IF(Atletas!S235="Pudao / Guandao F",723,IF(Atletas!S235="Outra Arma Longa F",724,"")))))))))))))))))))))))))</f>
        <v/>
      </c>
      <c r="CB244" s="50" t="str">
        <f>IF(Atletas!T235="","",IF(Atletas!X235&lt;&gt;"",10000,0)+IF(Atletas!B235="Feminino",1000,IF(Atletas!B235="Masculino",2000,""))+IF(Atletas!T235="Outra Arma Dupla A",801,IF(Atletas!T235="Arma Maleável A",802,IF(Atletas!T235="Outra Arma Dupla B",803,IF(Atletas!T235="Arma Maleável B",804,IF(Atletas!T235="Outra Arma Dupla C",805,IF(Atletas!T235="Arma Maleável C",806,IF(Atletas!T235="Outra Arma Dupla D",807,IF(Atletas!T235="Arma Maleável D",808,IF(Atletas!T235="Outra Arma Dupla E",809,IF(Atletas!T235="Arma Maleável E",810,IF(Atletas!T235="Outra Arma Dupla F",811,IF(Atletas!T235="Arma Maleável F",812,IF(Atletas!T235="Shuangdao A",813,IF(Atletas!T235="Shuangdao B",814,IF(Atletas!T235="Shuangdao C",815,IF(Atletas!T235="Shuangdao D",816,IF(Atletas!T235="Shuangdao E",817,IF(Atletas!T235="Shuangdao F",818,"")))))))))))))))))))</f>
        <v/>
      </c>
      <c r="CC244" s="50" t="str">
        <f>IF(Atletas!U235="","",IF(Atletas!X235&lt;&gt;"",10000,0)+IF(Atletas!B235="Feminino",1000,IF(Atletas!B235="Masculino",2000,""))+IF(OR(Atletas!U235="Taijijian Yang A",Atletas!U235="Taijijian Yang Standard A"),901,IF(OR(Atletas!U235="Taijijian Chen A", Atletas!U235="Taijijian Chen Standard A"),902,IF(Atletas!U235="Taijijian Sun A",903,IF(Atletas!U235="Taijijian Wu A",904,IF(Atletas!U235="Taijijian Wu-Hao A",905,IF(OR(Atletas!U235="Taijijian 32 A",Atletas!U235="Taijijian 42 A"),906,IF(OR(Atletas!U235="Taijijian Yang B",Atletas!U235="Taijijian Yang Standard B"),907,IF(OR(Atletas!U235="Taijijian Chen B", Atletas!U235="Taijijian Chen Standard B"),908,IF(Atletas!U235="Taijijian Sun B",909,IF(Atletas!U235="Taijijian Wu B",910,IF(Atletas!U235="Taijijian Wu-Hao B",911,IF(OR(Atletas!U235="Taijijian 32 B",Atletas!U235="Taijijian 42 B"),912,IF(OR(Atletas!U235="Taijijian Yang C",Atletas!U235="Taijijian Yang Standard C"),913,IF(OR(Atletas!U235="Taijijian Chen C", Atletas!U235="Taijijian Chen Standard C"),914,IF(Atletas!U235="Taijijian Sun C",915,IF(Atletas!U235="Taijijian Wu C",916,IF(Atletas!U235="Taijijian Wu-Hao C",917,IF(OR(Atletas!U235="Taijijian 32 C",Atletas!U235="Taijijian 42 C"),918,IF(OR(Atletas!U235="Taijijian Yang D",Atletas!U235="Taijijian Yang Standard D"),919,IF(OR(Atletas!U235="Taijijian Chen D", Atletas!U235="Taijijian Chen Standard D"),920,IF(Atletas!U235="Taijijian Sun D",921,IF(Atletas!U235="Taijijian Wu D",922,IF(Atletas!U235="Taijijian Wu-Hao D",923,IF(OR(Atletas!U235="Taijijian 32 D",Atletas!U235="Taijijian 42 D"),924,IF(OR(Atletas!U235="Taijijian Yang E",Atletas!U235="Taijijian Yang Standard E"),925,IF(OR(Atletas!U235="Taijijian Chen E", Atletas!U235="Taijijian Chen Standard E"),926,IF(Atletas!U235="Taijijian Sun E",927,IF(Atletas!U235="Taijijian Wu E",928,IF(Atletas!U235="Taijijian Wu-Hao E",929,IF(OR(Atletas!U235="Taijijian 32 E",Atletas!U235="Taijijian 42 E"),930,IF(OR(Atletas!U235="Taijijian Yang F",Atletas!U235="Taijijian Yang Standard F"),931,IF(OR(Atletas!U235="Taijijian Chen F", Atletas!U235="Taijijian Chen Standard F"),932,IF(Atletas!U235="Taijijian Sun F",933,IF(Atletas!U235="Taijijian Wu F",934,IF(Atletas!U235="Taijijian Wu-Hao F",935,IF(OR(Atletas!U235="Taijijian 32 F",Atletas!U235="Taijijian 42 F"),936,"")))))))))))))))))))))))))))))))))))))</f>
        <v/>
      </c>
      <c r="CD244" s="50" t="str">
        <f>IF(Atletas!V235="","",IF(Atletas!X235&lt;&gt;"",10000,0)+IF(Atletas!B235="Feminino",1000,IF(Atletas!B235="Masculino",2000,""))+IF(Atletas!V235="Taijidao A",937,IF(Atletas!V235="TaijiShanzi A",938,IF(Atletas!V235="Taijiqiang A",939,IF(Atletas!V235="Bagua de Arma A",940,IF(Atletas!V235="Xingyi de Arma A",941,IF(Atletas!V235="Taijidao B",942,IF(Atletas!V235="TaijiShanzi B",943,IF(Atletas!V235="Taijiqiang B",944,IF(Atletas!V235="Bagua de Arma B",945,IF(Atletas!V235="Xingyi de Arma B",946,IF(Atletas!V235="Taijidao C",947,IF(Atletas!V235="TaijiShanzi C",948,IF(Atletas!V235="Taijiqiang C",949,IF(Atletas!V235="Bagua de Arma C",950,IF(Atletas!V235="Xingyi de Arma C",951,IF(Atletas!V235="Taijidao D",952,IF(Atletas!V235="TaijiShanzi D",953,IF(Atletas!V235="Taijiqiang D",954,IF(Atletas!V235="Bagua de Arma D",955,IF(Atletas!V235="Xingyi de Arma D",956,IF(Atletas!V235="Taijidao E",957,IF(Atletas!V235="TaijiShanzi E",958,IF(Atletas!V235="Taijiqiang E",959,IF(Atletas!V235="Bagua de Arma E",960,IF(Atletas!V235="Xingyi de Arma E",961,IF(Atletas!V235="Taijidao F",962,IF(Atletas!V235="TaijiShanzi F",963,IF(Atletas!V235="Taijiqiang F",964,IF(Atletas!V235="Bagua de Arma F",965,IF(Atletas!V235="Xingyi de Arma F",966,"")))))))))))))))))))))))))))))))</f>
        <v/>
      </c>
      <c r="CE244" s="66" t="str">
        <f>IF(CF244&lt;&gt;"","Dao D","")</f>
        <v/>
      </c>
      <c r="CF244" s="66" t="str">
        <f>IF(COUNTIF(BR:CD,1616)&gt;0,COUNTIF(BR:CD,1616),"")</f>
        <v/>
      </c>
      <c r="CG244" s="66" t="str">
        <f>IF(CH244&lt;&gt;"","Dao D","")</f>
        <v/>
      </c>
      <c r="CH244" s="66" t="str">
        <f>IF(COUNTIF(BR:CD,2616)&gt;0,COUNTIF(BR:CD,2616),"")</f>
        <v/>
      </c>
      <c r="CI244" s="66" t="str">
        <f>IF(CJ244&lt;&gt;"","Jian E","")</f>
        <v/>
      </c>
      <c r="CJ244" s="66" t="str">
        <f>IF(COUNTIF(BR:CD,11622)&gt;0,COUNTIF(BR:CD,11622),"")</f>
        <v/>
      </c>
      <c r="CK244" s="66" t="str">
        <f>IF(CL244&lt;&gt;"","Jian E","")</f>
        <v/>
      </c>
      <c r="CL244" s="66" t="str">
        <f>IF(COUNTIF(BR:CD,12622)&gt;0,COUNTIF(BR:CD,12622),"")</f>
        <v/>
      </c>
      <c r="CM244" s="50" t="str">
        <f xml:space="preserve"> IF(Atletas!W235="","",IF(Atletas!W235="Duilian de Mãos BC - Equipe 1",1,IF(Atletas!W235="Duilian de Mãos BC - Equipe 2",2,IF(Atletas!W235="Duilian de Armas BC - Equipe 1",3,IF(Atletas!W235="Duilian de Armas BC - Equipe 2",4,IF(Atletas!W235="Duilian de Mãos DE - Equipe 1",5,IF(Atletas!W235="Duilian de Mãos DE - Equipe 2",6,IF(Atletas!W235="Duilian de Armas DE - Equipe 1",7,IF(Atletas!W235="Duilian de Armas DE - Equipe 2",8,IF(Atletas!W235="Duilian de Tuishou - Equipe 1",9,IF(Atletas!W235="Duilian de Tuishou - Equipe 2",10,IF(Atletas!W235="Grupo Externo ABC - Equipe 1",11,IF(Atletas!W235="Grupo Externo ABC - Equipe 2",12,IF(Atletas!W235="Grupo Interno ABC - Equipe 1",13,IF(Atletas!W235="Grupo Interno ABC - Equipe 2",14,IF(Atletas!W235="Grupo Externo DEF - Equipe 1",15,IF(Atletas!W235="Grupo Externo DEF - Equipe 2",16,IF(Atletas!W235="Grupo Interno DEF - Equipe 1",17,IF(Atletas!W235="Grupo Interno DEF - Equipe 2",18,"")))))))))))))))))))</f>
        <v/>
      </c>
    </row>
    <row r="245" spans="2:91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 t="str">
        <f t="array" ref="Z245">IFERROR(INDEX(CE$7:CE$348,SMALL(IF(CE$7:CE$348&lt;&gt;"",ROW(CE$7:CE$348)-ROW(CE$7)+1),ROWS(CE$7:CE244))),"")</f>
        <v/>
      </c>
      <c r="AA245" s="3" t="str">
        <f t="array" ref="AA245">IFERROR(INDEX(CF$7:CF$348,SMALL(IF(CF$7:CF$348&lt;&gt;"",ROW(CF$7:CF$348)-ROW(CF$7)+1),ROWS(CF$7:CF244))),"")</f>
        <v/>
      </c>
      <c r="AB245" s="3" t="str">
        <f t="array" ref="AB245">IFERROR(INDEX(CG$7:CG$348,SMALL(IF(CG$7:CG$348&lt;&gt;"",ROW(CG$7:CG$348)-ROW(CG$7)+1),ROWS(CG$7:CG244))),"")</f>
        <v/>
      </c>
      <c r="AC245" s="3" t="str">
        <f t="array" ref="AC245">IFERROR(INDEX(CH$7:CH$348,SMALL(IF(CH$7:CH$348&lt;&gt;"",ROW(CH$7:CH$348)-ROW(CH$7)+1),ROWS(CH$7:CH244))),"")</f>
        <v/>
      </c>
      <c r="AD245" s="3" t="str">
        <f t="array" ref="AD245">IFERROR(INDEX(CI$7:CI$377,SMALL(IF(CI$7:CI$377&lt;&gt;"",ROW(CI$7:CI$377)-ROW(CI$7)+1),ROWS(CI$7:CI244))),"")</f>
        <v/>
      </c>
      <c r="AE245" s="3" t="str">
        <f t="array" ref="AE245">IFERROR(INDEX(CJ$7:CJ$378,SMALL(IF(CJ$7:CJ$378&lt;&gt;"",ROW(CJ$7:CJ$378)-ROW(CJ$7)+1),ROWS(CJ$7:CJ244))),"")</f>
        <v/>
      </c>
      <c r="AF245" s="3" t="str">
        <f t="array" ref="AF245">IFERROR(INDEX(CK$7:CK$378,SMALL(IF(CK$7:CK$378&lt;&gt;"",ROW(CK$7:CK$378)-ROW(CK$7)+1),ROWS(CK$7:CK244))),"")</f>
        <v/>
      </c>
      <c r="AG245" s="3" t="str">
        <f t="array" ref="AG245">IFERROR(INDEX(CL$7:CL$378,SMALL(IF(CL$7:CL$378&lt;&gt;"",ROW(CL$7:CL$378)-ROW(CL$7)+1),ROWS(CL$7:CL244))),"")</f>
        <v/>
      </c>
      <c r="AH245" s="3"/>
      <c r="AI245" s="3"/>
      <c r="AJ245" s="3"/>
      <c r="AK245" s="3"/>
      <c r="AL245" s="3"/>
      <c r="AM245" s="3"/>
      <c r="AN245" s="52" t="str">
        <f>IF(Atletas!D236="","",IF(Atletas!B236="Feminino",100,IF(Atletas!B236="Masculino",200,""))+(IF(Atletas!D236="Kids 30kg",1,IF(Atletas!D236="Kids 32kg",2, IF(Atletas!D236="Kids 34kg",3,IF(Atletas!D236="Kids 36kg",4,IF(Atletas!D236="Kids 39kg",5,IF(Atletas!D236="Kids 42kg",6,IF(Atletas!D236="Kids 45kg",7, IF(Atletas!D236="Infantil 39kg",8,IF(Atletas!D236="Infantil 42kg",9,IF(Atletas!D236="Infantil 45kg",10,IF(Atletas!D236="Infantil 48kg",11,IF(Atletas!D236="Infantil 52kg",12,IF(Atletas!D236="Infantil 56kg",13,IF(Atletas!D236="Infantil 60kg",14,IF(Atletas!D236="Juvenil 48kg",15,IF(Atletas!D236="Juvenil 52kg",16,IF(Atletas!D236="Juvenil 56kg",17,IF(Atletas!D236="Juvenil 60kg",18,IF(Atletas!D236="Juvenil 65kg",19,IF(Atletas!D236="Juvenil 70kg",20,IF(Atletas!D236="Juvenil 75kg",21,IF(Atletas!D236="Juvenil 80kg",22, IF(Atletas!D236="Juvenil 85kg",23,IF(Atletas!D236="Adulto 48kg",24,IF(Atletas!D236="Adulto 52kg",25,IF(Atletas!D236="Adulto 56kg",26,IF(Atletas!D236="Adulto 60kg",27,IF(Atletas!D236="Adulto 65kg",28,IF(Atletas!D236="Adulto 70kg",29,IF(Atletas!D236="Adulto 75kg",30,IF(Atletas!D236="Adulto 80kg",31,IF(Atletas!D236="Adulto 85kg",32,IF(Atletas!D236="Adulto 90kg",33,IF(Atletas!D236="Adulto 100kg",34, IF(Atletas!D236="Adulto +100kg",35,"")))))))))))))))))))))))))))))))))))))</f>
        <v/>
      </c>
      <c r="AS245" s="6" t="str">
        <f>IF(Atletas!E236="","",IF(Atletas!B236="Feminino",100,IF(Atletas!B236="Masculino",200,""))+(IF(Atletas!E236="Juvenil 44kg",1,IF(Atletas!E236="Juvenil 48kg",2,IF(Atletas!E236="Juvenil 52kg",3,IF(Atletas!E236="Juvenil 56kg",4,IF(Atletas!E236="Juvenil 60kg",5,IF(Atletas!E236="Juvenil 65kg",6,IF(Atletas!E236="Juvenil 70kg",7,IF(Atletas!E236="Juvenil 75kg",8,IF(Atletas!E236="Juvenil 82kg",9,IF(Atletas!E236="Juvenil 90kg",10,IF(Atletas!E236="Juvenil 100kg",11,IF(Atletas!E236="Adulto 48kg",12,IF(Atletas!E236="Adulto 52kg",13,IF(Atletas!E236="Adulto 56kg",14,IF(Atletas!E236="Adulto 60kg",15,IF(Atletas!E236="Adulto 65kg",16,IF(Atletas!E236="Adulto 70kg",17,IF(Atletas!E236="Adulto 75kg",18,IF(Atletas!E236="Adulto 82kg",19,IF(Atletas!E236="Adulto 90kg",20,IF(Atletas!E236="Adulto 100kg",21,IF(Atletas!E236="Adulto +100kg",22,""))))))))))))))))))))))))</f>
        <v/>
      </c>
      <c r="AX245" s="6" t="str">
        <f>IF(Atletas!F236="","",IF(Atletas!B236="Feminino",100,IF(Atletas!B236="Masculino",200,""))+(IF(Atletas!F236="Adulto 48kg",1,IF(Atletas!F236="Adulto 56kg",2,IF(Atletas!F236="Adulto 65kg",3,IF(Atletas!F236="Adulto 75kg",4,IF(Atletas!F236="Adulto +75kg",5,IF(Atletas!F236="Adulto 52kg",6,IF(Atletas!F236="Adulto 60kg",7,IF(Atletas!F236="Adulto 70kg",8,IF(Atletas!F236="Adulto 80kg",9,IF(Atletas!F236="Adulto 90kg",10,IF(Atletas!F236="Adulto +90kg",11,"")))))))))))))</f>
        <v/>
      </c>
      <c r="BC245" s="6" t="str">
        <f>IF(Atletas!G236="","",IF(Atletas!B236="Feminino",10,IF(Atletas!B236="Masculino",20,""))+(IF(Atletas!G236="Baduanjin A",1,IF(Atletas!G236="Baduanjin B",2))))</f>
        <v/>
      </c>
      <c r="BF245" s="52" t="str">
        <f>IF(Atletas!H236="","",IF(Atletas!B236="Feminino",100,IF(Atletas!B236="Masculino",200,""))+(IF(Atletas!H236="Changquan Mirim",1,IF(Atletas!H236="Nanquan Mirim",2,IF(Atletas!H236="Taijiquan Mirim",3,IF(Atletas!H236="Changquan Grupo C",4,IF(Atletas!H236="Nanquan Grupo C",5,IF(Atletas!H236="Taijiquan Grupo C",6,IF(Atletas!H236="Changquan Grupo B",7,IF(Atletas!H236="Nanquan Grupo B",8,IF(Atletas!H236="Taijiquan Grupo B",9,IF(Atletas!H236="Changquan Grupo A",10,IF(Atletas!H236="Nanquan Grupo A",11,IF(Atletas!H236="Taijiquan Grupo A",12,IF(Atletas!H236="Changquan Opcional",13,IF(Atletas!H236="Nanquan Opcional",14,IF(Atletas!H236="Taijiquan Opcional",15,IF(Atletas!H236="Changquan Adulto",16,IF(Atletas!H236="Nanquan Adulto",17,IF(Atletas!H236="Taijiquan Adulto",18,""))))))))))))))))))))</f>
        <v/>
      </c>
      <c r="BG245" s="52" t="str">
        <f>IF(Atletas!I236="","",IF(Atletas!B236="Feminino",100,IF(Atletas!B236="Masculino",200,""))+(IF(Atletas!I236="Daoshu Mirim",19,IF(Atletas!I236="Jianshu Mirim",20,IF(Atletas!I236="Nandao Mirim",21,IF(Atletas!I236="Taijijian Mirim",22,IF(Atletas!I236="Daoshu Grupo C",23,IF(Atletas!I236="Jianshu Grupo C",24,IF(Atletas!I236="Nandao Grupo C",25,IF(Atletas!I236="Taijijian Grupo C",26,IF(Atletas!I236="Daoshu Grupo B",27,IF(Atletas!I236="Jianshu Grupo B",28,IF(Atletas!I236="Nandao Grupo B",29,IF(Atletas!I236="Taijijian Grupo B",30,IF(Atletas!I236="Daoshu Grupo A",31,IF(Atletas!I236="Jianshu Grupo A",32,IF(Atletas!I236="Nandao Grupo A",33,IF(Atletas!I236="Taijijian Grupo A",34,IF(Atletas!I236="Daoshu Opcional",35,IF(Atletas!I236="Jianshu Opcional",36,IF(Atletas!I236="Nandao Opcional",37,IF(Atletas!I236="Taijijian Opcional",38,IF(Atletas!I236="Daoshu Adulto",39,IF(Atletas!I236="Jianshu Adulto",40,IF(Atletas!I236="Nandao Adulto",41,IF(Atletas!I236="Taijijian Adulto",42,""))))))))))))))))))))))))))</f>
        <v/>
      </c>
      <c r="BH245" s="52" t="str">
        <f>IF(Atletas!J236="","",IF(Atletas!B236="Feminino",100,IF(Atletas!B236="Masculino",200,""))+(IF(Atletas!J236="Gunshu Mirim",43,IF(Atletas!J236="Qiangshu Mirim",44,IF(Atletas!J236="Nangun Mirim",45,IF(Atletas!J236="Gunshu Grupo C",46,IF(Atletas!J236="Qiangshu Grupo C",47,IF(Atletas!J236="Nangun Grupo C",48,IF(Atletas!J236="Gunshu Grupo B",49,IF(Atletas!J236="Qiangshu Grupo B",50,IF(Atletas!J236="Nangun Grupo B",51,IF(Atletas!J236="Gunshu Grupo A",52,IF(Atletas!J236="Qiangshu Grupo A",53,IF(Atletas!J236="Nangun Grupo A",54,IF(Atletas!J236="Gunshu Opcional",55,IF(Atletas!J236="Qiangshu Opcional",56,IF(Atletas!J236="Nangun Opcional",57,IF(Atletas!J236="Gunshu Adulto",58,IF(Atletas!J236="Qiangshu Adulto",59,IF(Atletas!J236="Nangun Adulto",60,IF(Atletas!J236="Taijishan Grupo B",61,IF(Atletas!J236="Taijishan Grupo A",62,""))))))))))))))))))))))</f>
        <v/>
      </c>
      <c r="BM245" s="50" t="str">
        <f>IF(Atletas!K236="","",IF(Atletas!B236="Feminino",100,IF(Atletas!B236="Masculino",200,""))+(IF(Atletas!K236="Equipe 1 Grupo B",1,IF(Atletas!K236="Equipe 2 Grupo B",2,IF(Atletas!K236="Equipe 1 Grupo A",3,IF(Atletas!K236="Equipe 2 Grupo A",4,IF(Atletas!K236="Equipe 1 Adulto",5,IF(Atletas!K236="Equipe 2 Adulto",6,""))))))))</f>
        <v/>
      </c>
      <c r="BR245" s="50" t="str">
        <f>IF(Atletas!L236="","",IF(Atletas!X236&lt;&gt;"",10000,0)+(IF(Atletas!B236="Feminino",1000,IF(Atletas!B236="Masculino",2000,""))+IF(Atletas!L236="Choylayfut A",1,IF(Atletas!L236="Hunggar A",2,IF(Atletas!L236="Wuzuquan A",3,IF(Atletas!L236="Wingchun A",4,IF(Atletas!L236="Outra Mão de Sul A",5,IF(Atletas!L236="Choylayfut B",6,IF(Atletas!L236="Hunggar B",7,IF(Atletas!L236="Wuzuquan B",8,IF(Atletas!L236="Wingchun B",9,IF(Atletas!L236="Outra Mão de Sul B",10,IF(Atletas!L236="Choylayfut C",11,IF(Atletas!L236="Hunggar C",12,IF(Atletas!L236="Wuzuquan C",13,IF(Atletas!L236="Wingchun C",14,IF(Atletas!L236="Outra Mão de Sul C",15,IF(Atletas!L236="Choylayfut D",16,IF(Atletas!L236="Hunggar D",17,IF(Atletas!L236="Wuzuquan D",18,IF(Atletas!L236="Wingchun D",19,IF(Atletas!L236="Outra Mão de Sul D",20,IF(Atletas!L236="Choylayfut E",21,IF(Atletas!L236="Hunggar E",22,IF(Atletas!L236="Wuzuquan E",23,IF(Atletas!L236="Wingchun E",24,IF(Atletas!L236="Outra Mão de Sul E",25,IF(Atletas!L236="Choylayfut F",26,IF(Atletas!L236="Hunggar F",27,IF(Atletas!L236="Wuzuquan F",28,IF(Atletas!L236="Wingchun F",29,IF(Atletas!L236="Outra Mão de Sul F",30,IF(Atletas!L236="Dishuquan A",31,IF(Atletas!L236="Dishuquan B",32,IF(Atletas!L236="Dishuquan C",33,IF(Atletas!L236="Dishuquan D",34,IF(Atletas!L236="Dishuquan E",35,IF(Atletas!L236="Dishuquan F",36,""))))))))))))))))))))))))))))))))))))))</f>
        <v/>
      </c>
      <c r="BS245" s="50" t="str">
        <f>IF(Atletas!M236="","",IF(Atletas!X236&lt;&gt;"",10000,0)+(IF(Atletas!B236="Feminino",1000,IF(Atletas!B236="Masculino",2000,""))+(IF(Atletas!M236="Chaquan A",101,IF(Atletas!M236="Emeiquan A",102,IF(Atletas!M236="Fanziquan A",103,IF(Atletas!M236="Huaquan A",104,IF(Atletas!M236="Hongquan A",105,IF(Atletas!M236="Paoquan A",106,IF(Atletas!M236="Piguaquan A",107,IF(Atletas!M236="Shaolinquan A",108,IF(Atletas!M236="Tanglangquan A",109,IF(Atletas!M236="Yingzhaoquan A",110,IF(Atletas!M236="Tongbeiquan A",111,IF(Atletas!M236="Wudangquan A",112,IF(Atletas!M236="Outros Estilos A",113,IF(Atletas!M236="Chaquan B",114,IF(Atletas!M236="Emeiquan B",115,IF(Atletas!M236="Fanziquan B",116,IF(Atletas!M236="Huaquan B",117,IF(Atletas!M236="Hongquan B",118,IF(Atletas!M236="Paoquan B",119,IF(Atletas!M236="Piguaquan B",120,IF(Atletas!M236="Shaolinquan B",121,IF(Atletas!M236="Tanglangquan B",122,IF(Atletas!M236="Yingzhaoquan B",123,IF(Atletas!M236="Tongbeiquan B",124,IF(Atletas!M236="Wudangquan B",125,IF(Atletas!M236="Outros Estilos B",126,IF(Atletas!M236="Chaquan C",127,IF(Atletas!M236="Emeiquan C",128,IF(Atletas!M236="Fanziquan C",129,IF(Atletas!M236="Huaquan C",130,IF(Atletas!M236="Hongquan C",131,IF(Atletas!M236="Paoquan C",132,IF(Atletas!M236="Piguaquan C",133,IF(Atletas!M236="Shaolinquan C",134,IF(Atletas!M236="Tanglangquan C",135,IF(Atletas!M236="Yingzhaoquan C",136,IF(Atletas!M236="Tongbeiquan C",137,IF(Atletas!M236="Wudangquan C",138,IF(Atletas!M236="Outros Estilos C",139,0))))))))))))))))))))))))))))))))))))))))))</f>
        <v/>
      </c>
      <c r="BT245" s="50" t="str">
        <f>IF(Atletas!M236="","",IF(Atletas!X236&lt;&gt;"",10000,0)+(IF(Atletas!B236="Feminino",1000,IF(Atletas!B236="Masculino",2000,""))+(IF(Atletas!M236="Chaquan D",140,IF(Atletas!M236="Emeiquan D",141,IF(Atletas!M236="Fanziquan D",142,IF(Atletas!M236="Huaquan D",143,IF(Atletas!M236="Hongquan D",144,IF(Atletas!M236="Paoquan D",145,IF(Atletas!M236="Piguaquan D",146,IF(Atletas!M236="Shaolinquan D",147,IF(Atletas!M236="Tanglangquan D",148,IF(Atletas!M236="Yingzhaoquan D",149,IF(Atletas!M236="Tongbeiquan D",150,IF(Atletas!M236="Wudangquan D",151,IF(Atletas!M236="Outros Estilos D",152,IF(Atletas!M236="Chaquan E",153,IF(Atletas!M236="Emeiquan E",154,IF(Atletas!M236="Fanziquan E",155,IF(Atletas!M236="Huaquan E",156,IF(Atletas!M236="Hongquan E",157,IF(Atletas!M236="Paoquan E",158,IF(Atletas!M236="Piguaquan E",159,IF(Atletas!M236="Shaolinquan E",160,IF(Atletas!M236="Tanglangquan E",161,IF(Atletas!M236="Yingzhaoquan E",162,IF(Atletas!M236="Tongbeiquan E",163,IF(Atletas!M236="Wudangquan E",164,IF(Atletas!M236="Outros Estilos E",165,IF(Atletas!M236="Chaquan F",166,IF(Atletas!M236="Emeiquan F",167,IF(Atletas!M236="Fanziquan F",168,IF(Atletas!M236="Huaquan F",169,IF(Atletas!M236="Hongquan F",170,IF(Atletas!M236="Paoquan F",171,IF(Atletas!M236="Piguaquan F",172,IF(Atletas!M236="Shaolinquan F",173,IF(Atletas!M236="Tanglangquan F",174,IF(Atletas!M236="Yingzhaoquan F",175,IF(Atletas!M236="Tongbeiquan F",176,IF(Atletas!M236="Wudangquan F",177,IF(Atletas!M236="Outros Estilos F",178,0))))))))))))))))))))))))))))))))))))))))))</f>
        <v/>
      </c>
      <c r="BU245" s="50" t="str">
        <f>IF(Atletas!N236="","",IF(Atletas!X236&lt;&gt;"",10000,0)+(IF(Atletas!B236="Feminino",1000,IF(Atletas!B236="Masculino",2000,""))+(IF(Atletas!N236="Ditangquan A",201,IF(Atletas!N236="Houquan A",202,IF(Atletas!N236="Zuiquan A",203,IF(Atletas!N236="Ditangquan B",204,IF(Atletas!N236="Houquan B",205,IF(Atletas!N236="Zuiquan B",206,IF(Atletas!N236="Ditangquan C",207,IF(Atletas!N236="Houquan C",208,IF(Atletas!N236="Zuiquan C",209,IF(Atletas!N236="Ditangquan D",210,IF(Atletas!N236="Houquan D",211,IF(Atletas!N236="Zuiquan D",212,IF(Atletas!N236="Ditangquan E",213,IF(Atletas!N236="Houquan E",214,IF(Atletas!N236="Zuiquan E",215,IF(Atletas!N236="Ditangquan F",216,IF(Atletas!N236="Houquan F",217,IF(Atletas!N236="Zuiquan F",218,"")))))))))))))))))))))</f>
        <v/>
      </c>
      <c r="BV245" s="50" t="str">
        <f>IF(Atletas!O236="","",IF(Atletas!X236&lt;&gt;"",10000,0)+IF(Atletas!B236="Feminino",1000,IF(Atletas!B236="Masculino",2000,""))+IF(Atletas!O236="Yang A",301,IF(Atletas!O236="Chen A",302,IF(Atletas!O236="Sun A",303,IF(Atletas!O236="Wu A",304,IF(Atletas!O236="Wu-Hao A",305,IF(Atletas!O236="Outro Taijiquan A",306,IF(Atletas!O236="Yang B",307,IF(Atletas!O236="Chen B",308,IF(Atletas!O236="Sun B",309,IF(Atletas!O236="Wu B",310,IF(Atletas!O236="Wu-Hao B",311,IF(Atletas!O236="Outro Taijiquan B",312,IF(Atletas!O236="Yang C",313,IF(Atletas!O236="Chen C",314,IF(Atletas!O236="Sun C",315,IF(Atletas!O236="Wu C",316,IF(Atletas!O236="Wu-Hao C",317,IF(Atletas!O236="Outro Taijiquan C",318,IF(Atletas!O236="Yang D",319,IF(Atletas!O236="Chen D",320,IF(Atletas!O236="Sun D",321,IF(Atletas!O236="Wu D",322,IF(Atletas!O236="Wu-Hao D",323,IF(Atletas!O236="Outro Taijiquan D",324,IF(Atletas!O236="Yang E",325,IF(Atletas!O236="Chen E",326,IF(Atletas!O236="Sun E",327,IF(Atletas!O236="Wu E",328,IF(Atletas!O236="Wu-Hao E",329,IF(Atletas!O236="Outro Taijiquan E",330,IF(Atletas!O236="Yang F",331,IF(Atletas!O236="Chen F",332,IF(Atletas!O236="Sun F",333,IF(Atletas!O236="Wu F",334,IF(Atletas!O236="Wu-Hao F",335,IF(Atletas!O236="Outro Taijiquan F",336,"")))))))))))))))))))))))))))))))))))))</f>
        <v/>
      </c>
      <c r="BW245" s="50" t="str">
        <f>IF(Atletas!P236="","",IF(Atletas!X236&lt;&gt;"",10000,0)+IF(Atletas!B236="Feminino",1000,IF(Atletas!B236="Masculino",2000,""))+IF(OR(Atletas!P236="Yang 26 A",Atletas!P236="Yang 40 A"),401,IF(OR(Atletas!P236="Chen 25 A",Atletas!P236="Chen 36 A",Atletas!P236="Chen 56 A"),402,IF(Atletas!P236="Sun 73 A",403,IF(Atletas!P236="Wu 45 A",404,IF(Atletas!P236="Wu-Hao 46 A",405,IF(OR(Atletas!P236="Taijiquan 16 A",Atletas!P236="Taijiquan 24 A",Atletas!P236="Taijiquan 32 A",Atletas!P236="Taijiquan 42 A"),406,IF(OR(Atletas!P236="Yang 26 B",Atletas!P236="Yang 40 B"),407,IF(OR(Atletas!P236="Chen 25 B",Atletas!P236="Chen 36 B",Atletas!P236="Chen 56 B"),408,IF(Atletas!P236="Sun 73 B",409,IF(Atletas!P236="Wu 45 B",410,IF(Atletas!P236="Wu-Hao 46 B",411,IF(OR(Atletas!P236="Taijiquan 16 B",Atletas!P236="Taijiquan 24 B",Atletas!P236="Taijiquan 32 B",Atletas!P236="Taijiquan 42 B"),412,IF(OR(Atletas!P236="Yang 26 C",Atletas!P236="Yang 40 C"),413,IF(OR(Atletas!P236="Chen 25 C",Atletas!P236="Chen 36 C",Atletas!P236="Chen 56 C"),414,IF(Atletas!P236="Sun 73 C",415,IF(Atletas!P236="Wu 45 C",416,IF(Atletas!P236="Wu-Hao 46 C",417,IF(OR(Atletas!P236="Taijiquan 16 C",Atletas!P236="Taijiquan 24 C",Atletas!P236="Taijiquan 32 C",Atletas!P236="Taijiquan 42 C"),418,0)))))))))))))))))))</f>
        <v/>
      </c>
      <c r="BX245" s="50" t="str">
        <f>IF(Atletas!P236="","",IF(Atletas!X236&lt;&gt;"",10000,0)+IF(Atletas!B236="Feminino",1000,IF(Atletas!B236="Masculino",2000,""))+IF(OR(Atletas!P236="Yang 26 D",Atletas!P236="Yang 40 D"),419,IF(OR(Atletas!P236="Chen 25 D",Atletas!P236="Chen 36 D",Atletas!P236="Chen 56 D"),420,IF(Atletas!P236="Sun 73 D",421,IF(Atletas!P236="Wu 45 D",422,IF(Atletas!P236="Wu-Hao 46 D",423,IF(OR(Atletas!P236="Taijiquan 16 D",Atletas!P236="Taijiquan 24 D",Atletas!P236="Taijiquan 32 D",Atletas!P236="Taijiquan 42 D"),424,IF(OR(Atletas!P236="Yang 26 E",Atletas!P236="Yang 40 E"),425,IF(OR(Atletas!P236="Chen 25 E",Atletas!P236="Chen 36 E",Atletas!P236="Chen 56 E"),426,IF(Atletas!P236="Sun 73 E",427,IF(Atletas!P236="Wu 45 E",428,IF(Atletas!P236="Wu-Hao 46 E",429,IF(OR(Atletas!P236="Taijiquan 16 E",Atletas!P236="Taijiquan 24 E",Atletas!P236="Taijiquan 32 E",Atletas!P236="Taijiquan 42 E"),430,IF(OR(Atletas!P236="Yang 26 F",Atletas!P236="Yang 40 F"),431,IF(OR(Atletas!P236="Chen 25 F",Atletas!P236="Chen 36 F",Atletas!P236="Chen 56 F"),432,IF(Atletas!P236="Sun 73 F",433,IF(Atletas!P236="Wu 45 F",434,IF(Atletas!P236="Wu-Hao 46 F",435,IF(OR(Atletas!P236="Taijiquan 16 F",Atletas!P236="Taijiquan 24 F",Atletas!P236="Taijiquan 32 F",Atletas!P236="Taijiquan 42 F"),436,0)))))))))))))))))))</f>
        <v/>
      </c>
      <c r="BY245" s="50" t="str">
        <f>IF(Atletas!Q236="","",IF(Atletas!X236&lt;&gt;"",10000,0)+IF(Atletas!B236="Feminino",1000,IF(Atletas!B236="Masculino",2000,""))+IF(Atletas!Q236="Xingyiquan A",501,IF(Atletas!Q236="Baguazhang A",502,IF(Atletas!Q236="Outro Estilo Interno A",503,IF(Atletas!Q236="Xingyiquan B",504,IF(Atletas!Q236="Baguazhang B",505,IF(Atletas!Q236="Outro Estilo Interno B",506,IF(Atletas!Q236="Xingyiquan C",507,IF(Atletas!Q236="Baguazhang C",508,IF(Atletas!Q236="Outro Estilo Interno C",509,IF(Atletas!Q236="Xingyiquan D",510,IF(Atletas!Q236="Baguazhang D",511,IF(Atletas!Q236="Outro Estilo Interno D",512,IF(Atletas!Q236="Xingyiquan E",513,IF(Atletas!Q236="Baguazhang E",514,IF(Atletas!Q236="Outro Estilo Interno E",515,IF(Atletas!Q236="Xingyiquan F",516,IF(Atletas!Q236="Baguazhang F",517,IF(Atletas!Q236="Outro Estilo Interno F",518, "")))))))))))))))))))</f>
        <v/>
      </c>
      <c r="BZ245" s="50" t="str">
        <f>IF(Atletas!R236="","",IF(Atletas!X236&lt;&gt;"",10000,0)+IF(Atletas!B236="Feminino",1000,IF(Atletas!B236="Masculino",2000,""))+IF(Atletas!R236="Dao A",601,IF(Atletas!R236="Jian A",602,IF(Atletas!R236="Bishou A",603,IF(Atletas!R236="Shanzi A",604,IF(Atletas!R236="Outra Arma Curta A",605,IF(Atletas!R236="Dao B",606,IF(Atletas!R236="Jian B",607,IF(Atletas!R236="Bishou B",608,IF(Atletas!R236="Shanzi B",609,IF(Atletas!R236="Outra Arma Curta B",610,IF(Atletas!R236="Dao C",611,IF(Atletas!R236="Jian C",612,IF(Atletas!R236="Bishou C",613,IF(Atletas!R236="Shanzi C",614,IF(Atletas!R236="Outra Arma Curta C",615,IF(Atletas!R236="Dao D",616,IF(Atletas!R236="Jian D",617,IF(Atletas!R236="Bishou D",618,IF(Atletas!R236="Shanzi D",619,IF(Atletas!R236="Outra Arma Curta D",620,IF(Atletas!R236="Dao E",621,IF(Atletas!R236="Jian E",622,IF(Atletas!R236="Bishou E",623,IF(Atletas!R236="Shanzi E",624,IF(Atletas!R236="Outra Arma Curta E",625,IF(Atletas!R236="Dao F",626,IF(Atletas!R236="Jian F",627,IF(Atletas!R236="Bishou F",628,IF(Atletas!R236="Shanzi F",629,IF(Atletas!R236="Outra Arma Curta F",630, "")))))))))))))))))))))))))))))))</f>
        <v/>
      </c>
      <c r="CA245" s="50" t="str">
        <f>IF(Atletas!S236="","",IF(Atletas!X236&lt;&gt;"",10000,0)+IF(Atletas!B236="Feminino",1000,IF(Atletas!B236="Masculino",2000,""))+IF(Atletas!S236="Gun A",701,IF(Atletas!S236="Qiang A",702,IF(Atletas!S236="Pudao / Guandao A",703,IF(Atletas!S236="Outra Arma Longa A",704,IF(Atletas!S236="Gun B",705,IF(Atletas!S236="Qiang B",706,IF(Atletas!S236="Pudao / Guandao B",707,IF(Atletas!S236="Outra Arma Longa B",708,IF(Atletas!S236="Gun C",709,IF(Atletas!S236="Qiang C",710,IF(Atletas!S236="Pudao / Guandao C",711,IF(Atletas!S236="Outra Arma Longa C",712,IF(Atletas!S236="Gun D",713,IF(Atletas!S236="Qiang D",714,IF(Atletas!S236="Pudao / Guandao D",715,IF(Atletas!S236="Outra Arma Longa D",716,IF(Atletas!S236="Gun E",717,IF(Atletas!S236="Qiang E",718,IF(Atletas!S236="Pudao / Guandao E",719,IF(Atletas!S236="Outra Arma Longa E",720,IF(Atletas!S236="Gun F",721,IF(Atletas!S236="Qiang F",722,IF(Atletas!S236="Pudao / Guandao F",723,IF(Atletas!S236="Outra Arma Longa F",724,"")))))))))))))))))))))))))</f>
        <v/>
      </c>
      <c r="CB245" s="50" t="str">
        <f>IF(Atletas!T236="","",IF(Atletas!X236&lt;&gt;"",10000,0)+IF(Atletas!B236="Feminino",1000,IF(Atletas!B236="Masculino",2000,""))+IF(Atletas!T236="Outra Arma Dupla A",801,IF(Atletas!T236="Arma Maleável A",802,IF(Atletas!T236="Outra Arma Dupla B",803,IF(Atletas!T236="Arma Maleável B",804,IF(Atletas!T236="Outra Arma Dupla C",805,IF(Atletas!T236="Arma Maleável C",806,IF(Atletas!T236="Outra Arma Dupla D",807,IF(Atletas!T236="Arma Maleável D",808,IF(Atletas!T236="Outra Arma Dupla E",809,IF(Atletas!T236="Arma Maleável E",810,IF(Atletas!T236="Outra Arma Dupla F",811,IF(Atletas!T236="Arma Maleável F",812,IF(Atletas!T236="Shuangdao A",813,IF(Atletas!T236="Shuangdao B",814,IF(Atletas!T236="Shuangdao C",815,IF(Atletas!T236="Shuangdao D",816,IF(Atletas!T236="Shuangdao E",817,IF(Atletas!T236="Shuangdao F",818,"")))))))))))))))))))</f>
        <v/>
      </c>
      <c r="CC245" s="50" t="str">
        <f>IF(Atletas!U236="","",IF(Atletas!X236&lt;&gt;"",10000,0)+IF(Atletas!B236="Feminino",1000,IF(Atletas!B236="Masculino",2000,""))+IF(OR(Atletas!U236="Taijijian Yang A",Atletas!U236="Taijijian Yang Standard A"),901,IF(OR(Atletas!U236="Taijijian Chen A", Atletas!U236="Taijijian Chen Standard A"),902,IF(Atletas!U236="Taijijian Sun A",903,IF(Atletas!U236="Taijijian Wu A",904,IF(Atletas!U236="Taijijian Wu-Hao A",905,IF(OR(Atletas!U236="Taijijian 32 A",Atletas!U236="Taijijian 42 A"),906,IF(OR(Atletas!U236="Taijijian Yang B",Atletas!U236="Taijijian Yang Standard B"),907,IF(OR(Atletas!U236="Taijijian Chen B", Atletas!U236="Taijijian Chen Standard B"),908,IF(Atletas!U236="Taijijian Sun B",909,IF(Atletas!U236="Taijijian Wu B",910,IF(Atletas!U236="Taijijian Wu-Hao B",911,IF(OR(Atletas!U236="Taijijian 32 B",Atletas!U236="Taijijian 42 B"),912,IF(OR(Atletas!U236="Taijijian Yang C",Atletas!U236="Taijijian Yang Standard C"),913,IF(OR(Atletas!U236="Taijijian Chen C", Atletas!U236="Taijijian Chen Standard C"),914,IF(Atletas!U236="Taijijian Sun C",915,IF(Atletas!U236="Taijijian Wu C",916,IF(Atletas!U236="Taijijian Wu-Hao C",917,IF(OR(Atletas!U236="Taijijian 32 C",Atletas!U236="Taijijian 42 C"),918,IF(OR(Atletas!U236="Taijijian Yang D",Atletas!U236="Taijijian Yang Standard D"),919,IF(OR(Atletas!U236="Taijijian Chen D", Atletas!U236="Taijijian Chen Standard D"),920,IF(Atletas!U236="Taijijian Sun D",921,IF(Atletas!U236="Taijijian Wu D",922,IF(Atletas!U236="Taijijian Wu-Hao D",923,IF(OR(Atletas!U236="Taijijian 32 D",Atletas!U236="Taijijian 42 D"),924,IF(OR(Atletas!U236="Taijijian Yang E",Atletas!U236="Taijijian Yang Standard E"),925,IF(OR(Atletas!U236="Taijijian Chen E", Atletas!U236="Taijijian Chen Standard E"),926,IF(Atletas!U236="Taijijian Sun E",927,IF(Atletas!U236="Taijijian Wu E",928,IF(Atletas!U236="Taijijian Wu-Hao E",929,IF(OR(Atletas!U236="Taijijian 32 E",Atletas!U236="Taijijian 42 E"),930,IF(OR(Atletas!U236="Taijijian Yang F",Atletas!U236="Taijijian Yang Standard F"),931,IF(OR(Atletas!U236="Taijijian Chen F", Atletas!U236="Taijijian Chen Standard F"),932,IF(Atletas!U236="Taijijian Sun F",933,IF(Atletas!U236="Taijijian Wu F",934,IF(Atletas!U236="Taijijian Wu-Hao F",935,IF(OR(Atletas!U236="Taijijian 32 F",Atletas!U236="Taijijian 42 F"),936,"")))))))))))))))))))))))))))))))))))))</f>
        <v/>
      </c>
      <c r="CD245" s="50" t="str">
        <f>IF(Atletas!V236="","",IF(Atletas!X236&lt;&gt;"",10000,0)+IF(Atletas!B236="Feminino",1000,IF(Atletas!B236="Masculino",2000,""))+IF(Atletas!V236="Taijidao A",937,IF(Atletas!V236="TaijiShanzi A",938,IF(Atletas!V236="Taijiqiang A",939,IF(Atletas!V236="Bagua de Arma A",940,IF(Atletas!V236="Xingyi de Arma A",941,IF(Atletas!V236="Taijidao B",942,IF(Atletas!V236="TaijiShanzi B",943,IF(Atletas!V236="Taijiqiang B",944,IF(Atletas!V236="Bagua de Arma B",945,IF(Atletas!V236="Xingyi de Arma B",946,IF(Atletas!V236="Taijidao C",947,IF(Atletas!V236="TaijiShanzi C",948,IF(Atletas!V236="Taijiqiang C",949,IF(Atletas!V236="Bagua de Arma C",950,IF(Atletas!V236="Xingyi de Arma C",951,IF(Atletas!V236="Taijidao D",952,IF(Atletas!V236="TaijiShanzi D",953,IF(Atletas!V236="Taijiqiang D",954,IF(Atletas!V236="Bagua de Arma D",955,IF(Atletas!V236="Xingyi de Arma D",956,IF(Atletas!V236="Taijidao E",957,IF(Atletas!V236="TaijiShanzi E",958,IF(Atletas!V236="Taijiqiang E",959,IF(Atletas!V236="Bagua de Arma E",960,IF(Atletas!V236="Xingyi de Arma E",961,IF(Atletas!V236="Taijidao F",962,IF(Atletas!V236="TaijiShanzi F",963,IF(Atletas!V236="Taijiqiang F",964,IF(Atletas!V236="Bagua de Arma F",965,IF(Atletas!V236="Xingyi de Arma F",966,"")))))))))))))))))))))))))))))))</f>
        <v/>
      </c>
      <c r="CE245" s="66" t="str">
        <f>IF(CF245&lt;&gt;"","Jian D","")</f>
        <v/>
      </c>
      <c r="CF245" s="66" t="str">
        <f>IF(COUNTIF(BR:CD,1617)&gt;0,COUNTIF(BR:CD,1617),"")</f>
        <v/>
      </c>
      <c r="CG245" s="66" t="str">
        <f>IF(CH245&lt;&gt;"","Jian D","")</f>
        <v/>
      </c>
      <c r="CH245" s="66" t="str">
        <f>IF(COUNTIF(BR:CD,2617)&gt;0,COUNTIF(BR:CD,2617),"")</f>
        <v/>
      </c>
      <c r="CI245" s="66" t="str">
        <f>IF(CJ245&lt;&gt;"","Bishou E","")</f>
        <v/>
      </c>
      <c r="CJ245" s="66" t="str">
        <f>IF(COUNTIF(BR:CD,11623)&gt;0,COUNTIF(BR:CD,11623),"")</f>
        <v/>
      </c>
      <c r="CK245" s="66" t="str">
        <f>IF(CL245&lt;&gt;"","Bishou E","")</f>
        <v/>
      </c>
      <c r="CL245" s="66" t="str">
        <f>IF(COUNTIF(BR:CD,12623)&gt;0,COUNTIF(BR:CD,12623),"")</f>
        <v/>
      </c>
      <c r="CM245" s="50" t="str">
        <f xml:space="preserve"> IF(Atletas!W236="","",IF(Atletas!W236="Duilian de Mãos BC - Equipe 1",1,IF(Atletas!W236="Duilian de Mãos BC - Equipe 2",2,IF(Atletas!W236="Duilian de Armas BC - Equipe 1",3,IF(Atletas!W236="Duilian de Armas BC - Equipe 2",4,IF(Atletas!W236="Duilian de Mãos DE - Equipe 1",5,IF(Atletas!W236="Duilian de Mãos DE - Equipe 2",6,IF(Atletas!W236="Duilian de Armas DE - Equipe 1",7,IF(Atletas!W236="Duilian de Armas DE - Equipe 2",8,IF(Atletas!W236="Duilian de Tuishou - Equipe 1",9,IF(Atletas!W236="Duilian de Tuishou - Equipe 2",10,IF(Atletas!W236="Grupo Externo ABC - Equipe 1",11,IF(Atletas!W236="Grupo Externo ABC - Equipe 2",12,IF(Atletas!W236="Grupo Interno ABC - Equipe 1",13,IF(Atletas!W236="Grupo Interno ABC - Equipe 2",14,IF(Atletas!W236="Grupo Externo DEF - Equipe 1",15,IF(Atletas!W236="Grupo Externo DEF - Equipe 2",16,IF(Atletas!W236="Grupo Interno DEF - Equipe 1",17,IF(Atletas!W236="Grupo Interno DEF - Equipe 2",18,"")))))))))))))))))))</f>
        <v/>
      </c>
    </row>
    <row r="246" spans="2:91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 t="str">
        <f t="array" ref="Z246">IFERROR(INDEX(CE$7:CE$348,SMALL(IF(CE$7:CE$348&lt;&gt;"",ROW(CE$7:CE$348)-ROW(CE$7)+1),ROWS(CE$7:CE245))),"")</f>
        <v/>
      </c>
      <c r="AA246" s="3" t="str">
        <f t="array" ref="AA246">IFERROR(INDEX(CF$7:CF$348,SMALL(IF(CF$7:CF$348&lt;&gt;"",ROW(CF$7:CF$348)-ROW(CF$7)+1),ROWS(CF$7:CF245))),"")</f>
        <v/>
      </c>
      <c r="AB246" s="3" t="str">
        <f t="array" ref="AB246">IFERROR(INDEX(CG$7:CG$348,SMALL(IF(CG$7:CG$348&lt;&gt;"",ROW(CG$7:CG$348)-ROW(CG$7)+1),ROWS(CG$7:CG245))),"")</f>
        <v/>
      </c>
      <c r="AC246" s="3" t="str">
        <f t="array" ref="AC246">IFERROR(INDEX(CH$7:CH$348,SMALL(IF(CH$7:CH$348&lt;&gt;"",ROW(CH$7:CH$348)-ROW(CH$7)+1),ROWS(CH$7:CH245))),"")</f>
        <v/>
      </c>
      <c r="AD246" s="3" t="str">
        <f t="array" ref="AD246">IFERROR(INDEX(CI$7:CI$377,SMALL(IF(CI$7:CI$377&lt;&gt;"",ROW(CI$7:CI$377)-ROW(CI$7)+1),ROWS(CI$7:CI245))),"")</f>
        <v/>
      </c>
      <c r="AE246" s="3" t="str">
        <f t="array" ref="AE246">IFERROR(INDEX(CJ$7:CJ$378,SMALL(IF(CJ$7:CJ$378&lt;&gt;"",ROW(CJ$7:CJ$378)-ROW(CJ$7)+1),ROWS(CJ$7:CJ245))),"")</f>
        <v/>
      </c>
      <c r="AF246" s="3" t="str">
        <f t="array" ref="AF246">IFERROR(INDEX(CK$7:CK$378,SMALL(IF(CK$7:CK$378&lt;&gt;"",ROW(CK$7:CK$378)-ROW(CK$7)+1),ROWS(CK$7:CK245))),"")</f>
        <v/>
      </c>
      <c r="AG246" s="3" t="str">
        <f t="array" ref="AG246">IFERROR(INDEX(CL$7:CL$378,SMALL(IF(CL$7:CL$378&lt;&gt;"",ROW(CL$7:CL$378)-ROW(CL$7)+1),ROWS(CL$7:CL245))),"")</f>
        <v/>
      </c>
      <c r="AH246" s="3"/>
      <c r="AI246" s="3"/>
      <c r="AJ246" s="3"/>
      <c r="AK246" s="3"/>
      <c r="AL246" s="3"/>
      <c r="AM246" s="3"/>
      <c r="AN246" s="52" t="str">
        <f>IF(Atletas!D237="","",IF(Atletas!B237="Feminino",100,IF(Atletas!B237="Masculino",200,""))+(IF(Atletas!D237="Kids 30kg",1,IF(Atletas!D237="Kids 32kg",2, IF(Atletas!D237="Kids 34kg",3,IF(Atletas!D237="Kids 36kg",4,IF(Atletas!D237="Kids 39kg",5,IF(Atletas!D237="Kids 42kg",6,IF(Atletas!D237="Kids 45kg",7, IF(Atletas!D237="Infantil 39kg",8,IF(Atletas!D237="Infantil 42kg",9,IF(Atletas!D237="Infantil 45kg",10,IF(Atletas!D237="Infantil 48kg",11,IF(Atletas!D237="Infantil 52kg",12,IF(Atletas!D237="Infantil 56kg",13,IF(Atletas!D237="Infantil 60kg",14,IF(Atletas!D237="Juvenil 48kg",15,IF(Atletas!D237="Juvenil 52kg",16,IF(Atletas!D237="Juvenil 56kg",17,IF(Atletas!D237="Juvenil 60kg",18,IF(Atletas!D237="Juvenil 65kg",19,IF(Atletas!D237="Juvenil 70kg",20,IF(Atletas!D237="Juvenil 75kg",21,IF(Atletas!D237="Juvenil 80kg",22, IF(Atletas!D237="Juvenil 85kg",23,IF(Atletas!D237="Adulto 48kg",24,IF(Atletas!D237="Adulto 52kg",25,IF(Atletas!D237="Adulto 56kg",26,IF(Atletas!D237="Adulto 60kg",27,IF(Atletas!D237="Adulto 65kg",28,IF(Atletas!D237="Adulto 70kg",29,IF(Atletas!D237="Adulto 75kg",30,IF(Atletas!D237="Adulto 80kg",31,IF(Atletas!D237="Adulto 85kg",32,IF(Atletas!D237="Adulto 90kg",33,IF(Atletas!D237="Adulto 100kg",34, IF(Atletas!D237="Adulto +100kg",35,"")))))))))))))))))))))))))))))))))))))</f>
        <v/>
      </c>
      <c r="AS246" s="6" t="str">
        <f>IF(Atletas!E237="","",IF(Atletas!B237="Feminino",100,IF(Atletas!B237="Masculino",200,""))+(IF(Atletas!E237="Juvenil 44kg",1,IF(Atletas!E237="Juvenil 48kg",2,IF(Atletas!E237="Juvenil 52kg",3,IF(Atletas!E237="Juvenil 56kg",4,IF(Atletas!E237="Juvenil 60kg",5,IF(Atletas!E237="Juvenil 65kg",6,IF(Atletas!E237="Juvenil 70kg",7,IF(Atletas!E237="Juvenil 75kg",8,IF(Atletas!E237="Juvenil 82kg",9,IF(Atletas!E237="Juvenil 90kg",10,IF(Atletas!E237="Juvenil 100kg",11,IF(Atletas!E237="Adulto 48kg",12,IF(Atletas!E237="Adulto 52kg",13,IF(Atletas!E237="Adulto 56kg",14,IF(Atletas!E237="Adulto 60kg",15,IF(Atletas!E237="Adulto 65kg",16,IF(Atletas!E237="Adulto 70kg",17,IF(Atletas!E237="Adulto 75kg",18,IF(Atletas!E237="Adulto 82kg",19,IF(Atletas!E237="Adulto 90kg",20,IF(Atletas!E237="Adulto 100kg",21,IF(Atletas!E237="Adulto +100kg",22,""))))))))))))))))))))))))</f>
        <v/>
      </c>
      <c r="AX246" s="6" t="str">
        <f>IF(Atletas!F237="","",IF(Atletas!B237="Feminino",100,IF(Atletas!B237="Masculino",200,""))+(IF(Atletas!F237="Adulto 48kg",1,IF(Atletas!F237="Adulto 56kg",2,IF(Atletas!F237="Adulto 65kg",3,IF(Atletas!F237="Adulto 75kg",4,IF(Atletas!F237="Adulto +75kg",5,IF(Atletas!F237="Adulto 52kg",6,IF(Atletas!F237="Adulto 60kg",7,IF(Atletas!F237="Adulto 70kg",8,IF(Atletas!F237="Adulto 80kg",9,IF(Atletas!F237="Adulto 90kg",10,IF(Atletas!F237="Adulto +90kg",11,"")))))))))))))</f>
        <v/>
      </c>
      <c r="BC246" s="6" t="str">
        <f>IF(Atletas!G237="","",IF(Atletas!B237="Feminino",10,IF(Atletas!B237="Masculino",20,""))+(IF(Atletas!G237="Baduanjin A",1,IF(Atletas!G237="Baduanjin B",2))))</f>
        <v/>
      </c>
      <c r="BF246" s="52" t="str">
        <f>IF(Atletas!H237="","",IF(Atletas!B237="Feminino",100,IF(Atletas!B237="Masculino",200,""))+(IF(Atletas!H237="Changquan Mirim",1,IF(Atletas!H237="Nanquan Mirim",2,IF(Atletas!H237="Taijiquan Mirim",3,IF(Atletas!H237="Changquan Grupo C",4,IF(Atletas!H237="Nanquan Grupo C",5,IF(Atletas!H237="Taijiquan Grupo C",6,IF(Atletas!H237="Changquan Grupo B",7,IF(Atletas!H237="Nanquan Grupo B",8,IF(Atletas!H237="Taijiquan Grupo B",9,IF(Atletas!H237="Changquan Grupo A",10,IF(Atletas!H237="Nanquan Grupo A",11,IF(Atletas!H237="Taijiquan Grupo A",12,IF(Atletas!H237="Changquan Opcional",13,IF(Atletas!H237="Nanquan Opcional",14,IF(Atletas!H237="Taijiquan Opcional",15,IF(Atletas!H237="Changquan Adulto",16,IF(Atletas!H237="Nanquan Adulto",17,IF(Atletas!H237="Taijiquan Adulto",18,""))))))))))))))))))))</f>
        <v/>
      </c>
      <c r="BG246" s="52" t="str">
        <f>IF(Atletas!I237="","",IF(Atletas!B237="Feminino",100,IF(Atletas!B237="Masculino",200,""))+(IF(Atletas!I237="Daoshu Mirim",19,IF(Atletas!I237="Jianshu Mirim",20,IF(Atletas!I237="Nandao Mirim",21,IF(Atletas!I237="Taijijian Mirim",22,IF(Atletas!I237="Daoshu Grupo C",23,IF(Atletas!I237="Jianshu Grupo C",24,IF(Atletas!I237="Nandao Grupo C",25,IF(Atletas!I237="Taijijian Grupo C",26,IF(Atletas!I237="Daoshu Grupo B",27,IF(Atletas!I237="Jianshu Grupo B",28,IF(Atletas!I237="Nandao Grupo B",29,IF(Atletas!I237="Taijijian Grupo B",30,IF(Atletas!I237="Daoshu Grupo A",31,IF(Atletas!I237="Jianshu Grupo A",32,IF(Atletas!I237="Nandao Grupo A",33,IF(Atletas!I237="Taijijian Grupo A",34,IF(Atletas!I237="Daoshu Opcional",35,IF(Atletas!I237="Jianshu Opcional",36,IF(Atletas!I237="Nandao Opcional",37,IF(Atletas!I237="Taijijian Opcional",38,IF(Atletas!I237="Daoshu Adulto",39,IF(Atletas!I237="Jianshu Adulto",40,IF(Atletas!I237="Nandao Adulto",41,IF(Atletas!I237="Taijijian Adulto",42,""))))))))))))))))))))))))))</f>
        <v/>
      </c>
      <c r="BH246" s="52" t="str">
        <f>IF(Atletas!J237="","",IF(Atletas!B237="Feminino",100,IF(Atletas!B237="Masculino",200,""))+(IF(Atletas!J237="Gunshu Mirim",43,IF(Atletas!J237="Qiangshu Mirim",44,IF(Atletas!J237="Nangun Mirim",45,IF(Atletas!J237="Gunshu Grupo C",46,IF(Atletas!J237="Qiangshu Grupo C",47,IF(Atletas!J237="Nangun Grupo C",48,IF(Atletas!J237="Gunshu Grupo B",49,IF(Atletas!J237="Qiangshu Grupo B",50,IF(Atletas!J237="Nangun Grupo B",51,IF(Atletas!J237="Gunshu Grupo A",52,IF(Atletas!J237="Qiangshu Grupo A",53,IF(Atletas!J237="Nangun Grupo A",54,IF(Atletas!J237="Gunshu Opcional",55,IF(Atletas!J237="Qiangshu Opcional",56,IF(Atletas!J237="Nangun Opcional",57,IF(Atletas!J237="Gunshu Adulto",58,IF(Atletas!J237="Qiangshu Adulto",59,IF(Atletas!J237="Nangun Adulto",60,IF(Atletas!J237="Taijishan Grupo B",61,IF(Atletas!J237="Taijishan Grupo A",62,""))))))))))))))))))))))</f>
        <v/>
      </c>
      <c r="BM246" s="50" t="str">
        <f>IF(Atletas!K237="","",IF(Atletas!B237="Feminino",100,IF(Atletas!B237="Masculino",200,""))+(IF(Atletas!K237="Equipe 1 Grupo B",1,IF(Atletas!K237="Equipe 2 Grupo B",2,IF(Atletas!K237="Equipe 1 Grupo A",3,IF(Atletas!K237="Equipe 2 Grupo A",4,IF(Atletas!K237="Equipe 1 Adulto",5,IF(Atletas!K237="Equipe 2 Adulto",6,""))))))))</f>
        <v/>
      </c>
      <c r="BR246" s="50" t="str">
        <f>IF(Atletas!L237="","",IF(Atletas!X237&lt;&gt;"",10000,0)+(IF(Atletas!B237="Feminino",1000,IF(Atletas!B237="Masculino",2000,""))+IF(Atletas!L237="Choylayfut A",1,IF(Atletas!L237="Hunggar A",2,IF(Atletas!L237="Wuzuquan A",3,IF(Atletas!L237="Wingchun A",4,IF(Atletas!L237="Outra Mão de Sul A",5,IF(Atletas!L237="Choylayfut B",6,IF(Atletas!L237="Hunggar B",7,IF(Atletas!L237="Wuzuquan B",8,IF(Atletas!L237="Wingchun B",9,IF(Atletas!L237="Outra Mão de Sul B",10,IF(Atletas!L237="Choylayfut C",11,IF(Atletas!L237="Hunggar C",12,IF(Atletas!L237="Wuzuquan C",13,IF(Atletas!L237="Wingchun C",14,IF(Atletas!L237="Outra Mão de Sul C",15,IF(Atletas!L237="Choylayfut D",16,IF(Atletas!L237="Hunggar D",17,IF(Atletas!L237="Wuzuquan D",18,IF(Atletas!L237="Wingchun D",19,IF(Atletas!L237="Outra Mão de Sul D",20,IF(Atletas!L237="Choylayfut E",21,IF(Atletas!L237="Hunggar E",22,IF(Atletas!L237="Wuzuquan E",23,IF(Atletas!L237="Wingchun E",24,IF(Atletas!L237="Outra Mão de Sul E",25,IF(Atletas!L237="Choylayfut F",26,IF(Atletas!L237="Hunggar F",27,IF(Atletas!L237="Wuzuquan F",28,IF(Atletas!L237="Wingchun F",29,IF(Atletas!L237="Outra Mão de Sul F",30,IF(Atletas!L237="Dishuquan A",31,IF(Atletas!L237="Dishuquan B",32,IF(Atletas!L237="Dishuquan C",33,IF(Atletas!L237="Dishuquan D",34,IF(Atletas!L237="Dishuquan E",35,IF(Atletas!L237="Dishuquan F",36,""))))))))))))))))))))))))))))))))))))))</f>
        <v/>
      </c>
      <c r="BS246" s="50" t="str">
        <f>IF(Atletas!M237="","",IF(Atletas!X237&lt;&gt;"",10000,0)+(IF(Atletas!B237="Feminino",1000,IF(Atletas!B237="Masculino",2000,""))+(IF(Atletas!M237="Chaquan A",101,IF(Atletas!M237="Emeiquan A",102,IF(Atletas!M237="Fanziquan A",103,IF(Atletas!M237="Huaquan A",104,IF(Atletas!M237="Hongquan A",105,IF(Atletas!M237="Paoquan A",106,IF(Atletas!M237="Piguaquan A",107,IF(Atletas!M237="Shaolinquan A",108,IF(Atletas!M237="Tanglangquan A",109,IF(Atletas!M237="Yingzhaoquan A",110,IF(Atletas!M237="Tongbeiquan A",111,IF(Atletas!M237="Wudangquan A",112,IF(Atletas!M237="Outros Estilos A",113,IF(Atletas!M237="Chaquan B",114,IF(Atletas!M237="Emeiquan B",115,IF(Atletas!M237="Fanziquan B",116,IF(Atletas!M237="Huaquan B",117,IF(Atletas!M237="Hongquan B",118,IF(Atletas!M237="Paoquan B",119,IF(Atletas!M237="Piguaquan B",120,IF(Atletas!M237="Shaolinquan B",121,IF(Atletas!M237="Tanglangquan B",122,IF(Atletas!M237="Yingzhaoquan B",123,IF(Atletas!M237="Tongbeiquan B",124,IF(Atletas!M237="Wudangquan B",125,IF(Atletas!M237="Outros Estilos B",126,IF(Atletas!M237="Chaquan C",127,IF(Atletas!M237="Emeiquan C",128,IF(Atletas!M237="Fanziquan C",129,IF(Atletas!M237="Huaquan C",130,IF(Atletas!M237="Hongquan C",131,IF(Atletas!M237="Paoquan C",132,IF(Atletas!M237="Piguaquan C",133,IF(Atletas!M237="Shaolinquan C",134,IF(Atletas!M237="Tanglangquan C",135,IF(Atletas!M237="Yingzhaoquan C",136,IF(Atletas!M237="Tongbeiquan C",137,IF(Atletas!M237="Wudangquan C",138,IF(Atletas!M237="Outros Estilos C",139,0))))))))))))))))))))))))))))))))))))))))))</f>
        <v/>
      </c>
      <c r="BT246" s="50" t="str">
        <f>IF(Atletas!M237="","",IF(Atletas!X237&lt;&gt;"",10000,0)+(IF(Atletas!B237="Feminino",1000,IF(Atletas!B237="Masculino",2000,""))+(IF(Atletas!M237="Chaquan D",140,IF(Atletas!M237="Emeiquan D",141,IF(Atletas!M237="Fanziquan D",142,IF(Atletas!M237="Huaquan D",143,IF(Atletas!M237="Hongquan D",144,IF(Atletas!M237="Paoquan D",145,IF(Atletas!M237="Piguaquan D",146,IF(Atletas!M237="Shaolinquan D",147,IF(Atletas!M237="Tanglangquan D",148,IF(Atletas!M237="Yingzhaoquan D",149,IF(Atletas!M237="Tongbeiquan D",150,IF(Atletas!M237="Wudangquan D",151,IF(Atletas!M237="Outros Estilos D",152,IF(Atletas!M237="Chaquan E",153,IF(Atletas!M237="Emeiquan E",154,IF(Atletas!M237="Fanziquan E",155,IF(Atletas!M237="Huaquan E",156,IF(Atletas!M237="Hongquan E",157,IF(Atletas!M237="Paoquan E",158,IF(Atletas!M237="Piguaquan E",159,IF(Atletas!M237="Shaolinquan E",160,IF(Atletas!M237="Tanglangquan E",161,IF(Atletas!M237="Yingzhaoquan E",162,IF(Atletas!M237="Tongbeiquan E",163,IF(Atletas!M237="Wudangquan E",164,IF(Atletas!M237="Outros Estilos E",165,IF(Atletas!M237="Chaquan F",166,IF(Atletas!M237="Emeiquan F",167,IF(Atletas!M237="Fanziquan F",168,IF(Atletas!M237="Huaquan F",169,IF(Atletas!M237="Hongquan F",170,IF(Atletas!M237="Paoquan F",171,IF(Atletas!M237="Piguaquan F",172,IF(Atletas!M237="Shaolinquan F",173,IF(Atletas!M237="Tanglangquan F",174,IF(Atletas!M237="Yingzhaoquan F",175,IF(Atletas!M237="Tongbeiquan F",176,IF(Atletas!M237="Wudangquan F",177,IF(Atletas!M237="Outros Estilos F",178,0))))))))))))))))))))))))))))))))))))))))))</f>
        <v/>
      </c>
      <c r="BU246" s="50" t="str">
        <f>IF(Atletas!N237="","",IF(Atletas!X237&lt;&gt;"",10000,0)+(IF(Atletas!B237="Feminino",1000,IF(Atletas!B237="Masculino",2000,""))+(IF(Atletas!N237="Ditangquan A",201,IF(Atletas!N237="Houquan A",202,IF(Atletas!N237="Zuiquan A",203,IF(Atletas!N237="Ditangquan B",204,IF(Atletas!N237="Houquan B",205,IF(Atletas!N237="Zuiquan B",206,IF(Atletas!N237="Ditangquan C",207,IF(Atletas!N237="Houquan C",208,IF(Atletas!N237="Zuiquan C",209,IF(Atletas!N237="Ditangquan D",210,IF(Atletas!N237="Houquan D",211,IF(Atletas!N237="Zuiquan D",212,IF(Atletas!N237="Ditangquan E",213,IF(Atletas!N237="Houquan E",214,IF(Atletas!N237="Zuiquan E",215,IF(Atletas!N237="Ditangquan F",216,IF(Atletas!N237="Houquan F",217,IF(Atletas!N237="Zuiquan F",218,"")))))))))))))))))))))</f>
        <v/>
      </c>
      <c r="BV246" s="50" t="str">
        <f>IF(Atletas!O237="","",IF(Atletas!X237&lt;&gt;"",10000,0)+IF(Atletas!B237="Feminino",1000,IF(Atletas!B237="Masculino",2000,""))+IF(Atletas!O237="Yang A",301,IF(Atletas!O237="Chen A",302,IF(Atletas!O237="Sun A",303,IF(Atletas!O237="Wu A",304,IF(Atletas!O237="Wu-Hao A",305,IF(Atletas!O237="Outro Taijiquan A",306,IF(Atletas!O237="Yang B",307,IF(Atletas!O237="Chen B",308,IF(Atletas!O237="Sun B",309,IF(Atletas!O237="Wu B",310,IF(Atletas!O237="Wu-Hao B",311,IF(Atletas!O237="Outro Taijiquan B",312,IF(Atletas!O237="Yang C",313,IF(Atletas!O237="Chen C",314,IF(Atletas!O237="Sun C",315,IF(Atletas!O237="Wu C",316,IF(Atletas!O237="Wu-Hao C",317,IF(Atletas!O237="Outro Taijiquan C",318,IF(Atletas!O237="Yang D",319,IF(Atletas!O237="Chen D",320,IF(Atletas!O237="Sun D",321,IF(Atletas!O237="Wu D",322,IF(Atletas!O237="Wu-Hao D",323,IF(Atletas!O237="Outro Taijiquan D",324,IF(Atletas!O237="Yang E",325,IF(Atletas!O237="Chen E",326,IF(Atletas!O237="Sun E",327,IF(Atletas!O237="Wu E",328,IF(Atletas!O237="Wu-Hao E",329,IF(Atletas!O237="Outro Taijiquan E",330,IF(Atletas!O237="Yang F",331,IF(Atletas!O237="Chen F",332,IF(Atletas!O237="Sun F",333,IF(Atletas!O237="Wu F",334,IF(Atletas!O237="Wu-Hao F",335,IF(Atletas!O237="Outro Taijiquan F",336,"")))))))))))))))))))))))))))))))))))))</f>
        <v/>
      </c>
      <c r="BW246" s="50" t="str">
        <f>IF(Atletas!P237="","",IF(Atletas!X237&lt;&gt;"",10000,0)+IF(Atletas!B237="Feminino",1000,IF(Atletas!B237="Masculino",2000,""))+IF(OR(Atletas!P237="Yang 26 A",Atletas!P237="Yang 40 A"),401,IF(OR(Atletas!P237="Chen 25 A",Atletas!P237="Chen 36 A",Atletas!P237="Chen 56 A"),402,IF(Atletas!P237="Sun 73 A",403,IF(Atletas!P237="Wu 45 A",404,IF(Atletas!P237="Wu-Hao 46 A",405,IF(OR(Atletas!P237="Taijiquan 16 A",Atletas!P237="Taijiquan 24 A",Atletas!P237="Taijiquan 32 A",Atletas!P237="Taijiquan 42 A"),406,IF(OR(Atletas!P237="Yang 26 B",Atletas!P237="Yang 40 B"),407,IF(OR(Atletas!P237="Chen 25 B",Atletas!P237="Chen 36 B",Atletas!P237="Chen 56 B"),408,IF(Atletas!P237="Sun 73 B",409,IF(Atletas!P237="Wu 45 B",410,IF(Atletas!P237="Wu-Hao 46 B",411,IF(OR(Atletas!P237="Taijiquan 16 B",Atletas!P237="Taijiquan 24 B",Atletas!P237="Taijiquan 32 B",Atletas!P237="Taijiquan 42 B"),412,IF(OR(Atletas!P237="Yang 26 C",Atletas!P237="Yang 40 C"),413,IF(OR(Atletas!P237="Chen 25 C",Atletas!P237="Chen 36 C",Atletas!P237="Chen 56 C"),414,IF(Atletas!P237="Sun 73 C",415,IF(Atletas!P237="Wu 45 C",416,IF(Atletas!P237="Wu-Hao 46 C",417,IF(OR(Atletas!P237="Taijiquan 16 C",Atletas!P237="Taijiquan 24 C",Atletas!P237="Taijiquan 32 C",Atletas!P237="Taijiquan 42 C"),418,0)))))))))))))))))))</f>
        <v/>
      </c>
      <c r="BX246" s="50" t="str">
        <f>IF(Atletas!P237="","",IF(Atletas!X237&lt;&gt;"",10000,0)+IF(Atletas!B237="Feminino",1000,IF(Atletas!B237="Masculino",2000,""))+IF(OR(Atletas!P237="Yang 26 D",Atletas!P237="Yang 40 D"),419,IF(OR(Atletas!P237="Chen 25 D",Atletas!P237="Chen 36 D",Atletas!P237="Chen 56 D"),420,IF(Atletas!P237="Sun 73 D",421,IF(Atletas!P237="Wu 45 D",422,IF(Atletas!P237="Wu-Hao 46 D",423,IF(OR(Atletas!P237="Taijiquan 16 D",Atletas!P237="Taijiquan 24 D",Atletas!P237="Taijiquan 32 D",Atletas!P237="Taijiquan 42 D"),424,IF(OR(Atletas!P237="Yang 26 E",Atletas!P237="Yang 40 E"),425,IF(OR(Atletas!P237="Chen 25 E",Atletas!P237="Chen 36 E",Atletas!P237="Chen 56 E"),426,IF(Atletas!P237="Sun 73 E",427,IF(Atletas!P237="Wu 45 E",428,IF(Atletas!P237="Wu-Hao 46 E",429,IF(OR(Atletas!P237="Taijiquan 16 E",Atletas!P237="Taijiquan 24 E",Atletas!P237="Taijiquan 32 E",Atletas!P237="Taijiquan 42 E"),430,IF(OR(Atletas!P237="Yang 26 F",Atletas!P237="Yang 40 F"),431,IF(OR(Atletas!P237="Chen 25 F",Atletas!P237="Chen 36 F",Atletas!P237="Chen 56 F"),432,IF(Atletas!P237="Sun 73 F",433,IF(Atletas!P237="Wu 45 F",434,IF(Atletas!P237="Wu-Hao 46 F",435,IF(OR(Atletas!P237="Taijiquan 16 F",Atletas!P237="Taijiquan 24 F",Atletas!P237="Taijiquan 32 F",Atletas!P237="Taijiquan 42 F"),436,0)))))))))))))))))))</f>
        <v/>
      </c>
      <c r="BY246" s="50" t="str">
        <f>IF(Atletas!Q237="","",IF(Atletas!X237&lt;&gt;"",10000,0)+IF(Atletas!B237="Feminino",1000,IF(Atletas!B237="Masculino",2000,""))+IF(Atletas!Q237="Xingyiquan A",501,IF(Atletas!Q237="Baguazhang A",502,IF(Atletas!Q237="Outro Estilo Interno A",503,IF(Atletas!Q237="Xingyiquan B",504,IF(Atletas!Q237="Baguazhang B",505,IF(Atletas!Q237="Outro Estilo Interno B",506,IF(Atletas!Q237="Xingyiquan C",507,IF(Atletas!Q237="Baguazhang C",508,IF(Atletas!Q237="Outro Estilo Interno C",509,IF(Atletas!Q237="Xingyiquan D",510,IF(Atletas!Q237="Baguazhang D",511,IF(Atletas!Q237="Outro Estilo Interno D",512,IF(Atletas!Q237="Xingyiquan E",513,IF(Atletas!Q237="Baguazhang E",514,IF(Atletas!Q237="Outro Estilo Interno E",515,IF(Atletas!Q237="Xingyiquan F",516,IF(Atletas!Q237="Baguazhang F",517,IF(Atletas!Q237="Outro Estilo Interno F",518, "")))))))))))))))))))</f>
        <v/>
      </c>
      <c r="BZ246" s="50" t="str">
        <f>IF(Atletas!R237="","",IF(Atletas!X237&lt;&gt;"",10000,0)+IF(Atletas!B237="Feminino",1000,IF(Atletas!B237="Masculino",2000,""))+IF(Atletas!R237="Dao A",601,IF(Atletas!R237="Jian A",602,IF(Atletas!R237="Bishou A",603,IF(Atletas!R237="Shanzi A",604,IF(Atletas!R237="Outra Arma Curta A",605,IF(Atletas!R237="Dao B",606,IF(Atletas!R237="Jian B",607,IF(Atletas!R237="Bishou B",608,IF(Atletas!R237="Shanzi B",609,IF(Atletas!R237="Outra Arma Curta B",610,IF(Atletas!R237="Dao C",611,IF(Atletas!R237="Jian C",612,IF(Atletas!R237="Bishou C",613,IF(Atletas!R237="Shanzi C",614,IF(Atletas!R237="Outra Arma Curta C",615,IF(Atletas!R237="Dao D",616,IF(Atletas!R237="Jian D",617,IF(Atletas!R237="Bishou D",618,IF(Atletas!R237="Shanzi D",619,IF(Atletas!R237="Outra Arma Curta D",620,IF(Atletas!R237="Dao E",621,IF(Atletas!R237="Jian E",622,IF(Atletas!R237="Bishou E",623,IF(Atletas!R237="Shanzi E",624,IF(Atletas!R237="Outra Arma Curta E",625,IF(Atletas!R237="Dao F",626,IF(Atletas!R237="Jian F",627,IF(Atletas!R237="Bishou F",628,IF(Atletas!R237="Shanzi F",629,IF(Atletas!R237="Outra Arma Curta F",630, "")))))))))))))))))))))))))))))))</f>
        <v/>
      </c>
      <c r="CA246" s="50" t="str">
        <f>IF(Atletas!S237="","",IF(Atletas!X237&lt;&gt;"",10000,0)+IF(Atletas!B237="Feminino",1000,IF(Atletas!B237="Masculino",2000,""))+IF(Atletas!S237="Gun A",701,IF(Atletas!S237="Qiang A",702,IF(Atletas!S237="Pudao / Guandao A",703,IF(Atletas!S237="Outra Arma Longa A",704,IF(Atletas!S237="Gun B",705,IF(Atletas!S237="Qiang B",706,IF(Atletas!S237="Pudao / Guandao B",707,IF(Atletas!S237="Outra Arma Longa B",708,IF(Atletas!S237="Gun C",709,IF(Atletas!S237="Qiang C",710,IF(Atletas!S237="Pudao / Guandao C",711,IF(Atletas!S237="Outra Arma Longa C",712,IF(Atletas!S237="Gun D",713,IF(Atletas!S237="Qiang D",714,IF(Atletas!S237="Pudao / Guandao D",715,IF(Atletas!S237="Outra Arma Longa D",716,IF(Atletas!S237="Gun E",717,IF(Atletas!S237="Qiang E",718,IF(Atletas!S237="Pudao / Guandao E",719,IF(Atletas!S237="Outra Arma Longa E",720,IF(Atletas!S237="Gun F",721,IF(Atletas!S237="Qiang F",722,IF(Atletas!S237="Pudao / Guandao F",723,IF(Atletas!S237="Outra Arma Longa F",724,"")))))))))))))))))))))))))</f>
        <v/>
      </c>
      <c r="CB246" s="50" t="str">
        <f>IF(Atletas!T237="","",IF(Atletas!X237&lt;&gt;"",10000,0)+IF(Atletas!B237="Feminino",1000,IF(Atletas!B237="Masculino",2000,""))+IF(Atletas!T237="Outra Arma Dupla A",801,IF(Atletas!T237="Arma Maleável A",802,IF(Atletas!T237="Outra Arma Dupla B",803,IF(Atletas!T237="Arma Maleável B",804,IF(Atletas!T237="Outra Arma Dupla C",805,IF(Atletas!T237="Arma Maleável C",806,IF(Atletas!T237="Outra Arma Dupla D",807,IF(Atletas!T237="Arma Maleável D",808,IF(Atletas!T237="Outra Arma Dupla E",809,IF(Atletas!T237="Arma Maleável E",810,IF(Atletas!T237="Outra Arma Dupla F",811,IF(Atletas!T237="Arma Maleável F",812,IF(Atletas!T237="Shuangdao A",813,IF(Atletas!T237="Shuangdao B",814,IF(Atletas!T237="Shuangdao C",815,IF(Atletas!T237="Shuangdao D",816,IF(Atletas!T237="Shuangdao E",817,IF(Atletas!T237="Shuangdao F",818,"")))))))))))))))))))</f>
        <v/>
      </c>
      <c r="CC246" s="50" t="str">
        <f>IF(Atletas!U237="","",IF(Atletas!X237&lt;&gt;"",10000,0)+IF(Atletas!B237="Feminino",1000,IF(Atletas!B237="Masculino",2000,""))+IF(OR(Atletas!U237="Taijijian Yang A",Atletas!U237="Taijijian Yang Standard A"),901,IF(OR(Atletas!U237="Taijijian Chen A", Atletas!U237="Taijijian Chen Standard A"),902,IF(Atletas!U237="Taijijian Sun A",903,IF(Atletas!U237="Taijijian Wu A",904,IF(Atletas!U237="Taijijian Wu-Hao A",905,IF(OR(Atletas!U237="Taijijian 32 A",Atletas!U237="Taijijian 42 A"),906,IF(OR(Atletas!U237="Taijijian Yang B",Atletas!U237="Taijijian Yang Standard B"),907,IF(OR(Atletas!U237="Taijijian Chen B", Atletas!U237="Taijijian Chen Standard B"),908,IF(Atletas!U237="Taijijian Sun B",909,IF(Atletas!U237="Taijijian Wu B",910,IF(Atletas!U237="Taijijian Wu-Hao B",911,IF(OR(Atletas!U237="Taijijian 32 B",Atletas!U237="Taijijian 42 B"),912,IF(OR(Atletas!U237="Taijijian Yang C",Atletas!U237="Taijijian Yang Standard C"),913,IF(OR(Atletas!U237="Taijijian Chen C", Atletas!U237="Taijijian Chen Standard C"),914,IF(Atletas!U237="Taijijian Sun C",915,IF(Atletas!U237="Taijijian Wu C",916,IF(Atletas!U237="Taijijian Wu-Hao C",917,IF(OR(Atletas!U237="Taijijian 32 C",Atletas!U237="Taijijian 42 C"),918,IF(OR(Atletas!U237="Taijijian Yang D",Atletas!U237="Taijijian Yang Standard D"),919,IF(OR(Atletas!U237="Taijijian Chen D", Atletas!U237="Taijijian Chen Standard D"),920,IF(Atletas!U237="Taijijian Sun D",921,IF(Atletas!U237="Taijijian Wu D",922,IF(Atletas!U237="Taijijian Wu-Hao D",923,IF(OR(Atletas!U237="Taijijian 32 D",Atletas!U237="Taijijian 42 D"),924,IF(OR(Atletas!U237="Taijijian Yang E",Atletas!U237="Taijijian Yang Standard E"),925,IF(OR(Atletas!U237="Taijijian Chen E", Atletas!U237="Taijijian Chen Standard E"),926,IF(Atletas!U237="Taijijian Sun E",927,IF(Atletas!U237="Taijijian Wu E",928,IF(Atletas!U237="Taijijian Wu-Hao E",929,IF(OR(Atletas!U237="Taijijian 32 E",Atletas!U237="Taijijian 42 E"),930,IF(OR(Atletas!U237="Taijijian Yang F",Atletas!U237="Taijijian Yang Standard F"),931,IF(OR(Atletas!U237="Taijijian Chen F", Atletas!U237="Taijijian Chen Standard F"),932,IF(Atletas!U237="Taijijian Sun F",933,IF(Atletas!U237="Taijijian Wu F",934,IF(Atletas!U237="Taijijian Wu-Hao F",935,IF(OR(Atletas!U237="Taijijian 32 F",Atletas!U237="Taijijian 42 F"),936,"")))))))))))))))))))))))))))))))))))))</f>
        <v/>
      </c>
      <c r="CD246" s="50" t="str">
        <f>IF(Atletas!V237="","",IF(Atletas!X237&lt;&gt;"",10000,0)+IF(Atletas!B237="Feminino",1000,IF(Atletas!B237="Masculino",2000,""))+IF(Atletas!V237="Taijidao A",937,IF(Atletas!V237="TaijiShanzi A",938,IF(Atletas!V237="Taijiqiang A",939,IF(Atletas!V237="Bagua de Arma A",940,IF(Atletas!V237="Xingyi de Arma A",941,IF(Atletas!V237="Taijidao B",942,IF(Atletas!V237="TaijiShanzi B",943,IF(Atletas!V237="Taijiqiang B",944,IF(Atletas!V237="Bagua de Arma B",945,IF(Atletas!V237="Xingyi de Arma B",946,IF(Atletas!V237="Taijidao C",947,IF(Atletas!V237="TaijiShanzi C",948,IF(Atletas!V237="Taijiqiang C",949,IF(Atletas!V237="Bagua de Arma C",950,IF(Atletas!V237="Xingyi de Arma C",951,IF(Atletas!V237="Taijidao D",952,IF(Atletas!V237="TaijiShanzi D",953,IF(Atletas!V237="Taijiqiang D",954,IF(Atletas!V237="Bagua de Arma D",955,IF(Atletas!V237="Xingyi de Arma D",956,IF(Atletas!V237="Taijidao E",957,IF(Atletas!V237="TaijiShanzi E",958,IF(Atletas!V237="Taijiqiang E",959,IF(Atletas!V237="Bagua de Arma E",960,IF(Atletas!V237="Xingyi de Arma E",961,IF(Atletas!V237="Taijidao F",962,IF(Atletas!V237="TaijiShanzi F",963,IF(Atletas!V237="Taijiqiang F",964,IF(Atletas!V237="Bagua de Arma F",965,IF(Atletas!V237="Xingyi de Arma F",966,"")))))))))))))))))))))))))))))))</f>
        <v/>
      </c>
      <c r="CE246" s="66" t="str">
        <f>IF(CF246&lt;&gt;"","Bishou D","")</f>
        <v/>
      </c>
      <c r="CF246" s="66" t="str">
        <f>IF(COUNTIF(BR:CD,1618)&gt;0,COUNTIF(BR:CD,1618),"")</f>
        <v/>
      </c>
      <c r="CG246" s="66" t="str">
        <f>IF(CH246&lt;&gt;"","Bishou D","")</f>
        <v/>
      </c>
      <c r="CH246" s="66" t="str">
        <f>IF(COUNTIF(BR:CD,2618)&gt;0,COUNTIF(BR:CD,2618),"")</f>
        <v/>
      </c>
      <c r="CI246" s="66" t="str">
        <f>IF(CJ246&lt;&gt;"","Shanzi E","")</f>
        <v/>
      </c>
      <c r="CJ246" s="66" t="str">
        <f>IF(COUNTIF(BR:CD,11624)&gt;0,COUNTIF(BR:CD,11624),"")</f>
        <v/>
      </c>
      <c r="CK246" s="66" t="str">
        <f>IF(CL246&lt;&gt;"","Shanzi E","")</f>
        <v/>
      </c>
      <c r="CL246" s="66" t="str">
        <f>IF(COUNTIF(BR:CD,12624)&gt;0,COUNTIF(BR:CD,12624),"")</f>
        <v/>
      </c>
      <c r="CM246" s="50" t="str">
        <f xml:space="preserve"> IF(Atletas!W237="","",IF(Atletas!W237="Duilian de Mãos BC - Equipe 1",1,IF(Atletas!W237="Duilian de Mãos BC - Equipe 2",2,IF(Atletas!W237="Duilian de Armas BC - Equipe 1",3,IF(Atletas!W237="Duilian de Armas BC - Equipe 2",4,IF(Atletas!W237="Duilian de Mãos DE - Equipe 1",5,IF(Atletas!W237="Duilian de Mãos DE - Equipe 2",6,IF(Atletas!W237="Duilian de Armas DE - Equipe 1",7,IF(Atletas!W237="Duilian de Armas DE - Equipe 2",8,IF(Atletas!W237="Duilian de Tuishou - Equipe 1",9,IF(Atletas!W237="Duilian de Tuishou - Equipe 2",10,IF(Atletas!W237="Grupo Externo ABC - Equipe 1",11,IF(Atletas!W237="Grupo Externo ABC - Equipe 2",12,IF(Atletas!W237="Grupo Interno ABC - Equipe 1",13,IF(Atletas!W237="Grupo Interno ABC - Equipe 2",14,IF(Atletas!W237="Grupo Externo DEF - Equipe 1",15,IF(Atletas!W237="Grupo Externo DEF - Equipe 2",16,IF(Atletas!W237="Grupo Interno DEF - Equipe 1",17,IF(Atletas!W237="Grupo Interno DEF - Equipe 2",18,"")))))))))))))))))))</f>
        <v/>
      </c>
    </row>
    <row r="247" spans="2:91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 t="str">
        <f t="array" ref="Z247">IFERROR(INDEX(CE$7:CE$348,SMALL(IF(CE$7:CE$348&lt;&gt;"",ROW(CE$7:CE$348)-ROW(CE$7)+1),ROWS(CE$7:CE246))),"")</f>
        <v/>
      </c>
      <c r="AA247" s="3" t="str">
        <f t="array" ref="AA247">IFERROR(INDEX(CF$7:CF$348,SMALL(IF(CF$7:CF$348&lt;&gt;"",ROW(CF$7:CF$348)-ROW(CF$7)+1),ROWS(CF$7:CF246))),"")</f>
        <v/>
      </c>
      <c r="AB247" s="3" t="str">
        <f t="array" ref="AB247">IFERROR(INDEX(CG$7:CG$348,SMALL(IF(CG$7:CG$348&lt;&gt;"",ROW(CG$7:CG$348)-ROW(CG$7)+1),ROWS(CG$7:CG246))),"")</f>
        <v/>
      </c>
      <c r="AC247" s="3" t="str">
        <f t="array" ref="AC247">IFERROR(INDEX(CH$7:CH$348,SMALL(IF(CH$7:CH$348&lt;&gt;"",ROW(CH$7:CH$348)-ROW(CH$7)+1),ROWS(CH$7:CH246))),"")</f>
        <v/>
      </c>
      <c r="AD247" s="3" t="str">
        <f t="array" ref="AD247">IFERROR(INDEX(CI$7:CI$377,SMALL(IF(CI$7:CI$377&lt;&gt;"",ROW(CI$7:CI$377)-ROW(CI$7)+1),ROWS(CI$7:CI246))),"")</f>
        <v/>
      </c>
      <c r="AE247" s="3" t="str">
        <f t="array" ref="AE247">IFERROR(INDEX(CJ$7:CJ$378,SMALL(IF(CJ$7:CJ$378&lt;&gt;"",ROW(CJ$7:CJ$378)-ROW(CJ$7)+1),ROWS(CJ$7:CJ246))),"")</f>
        <v/>
      </c>
      <c r="AF247" s="3" t="str">
        <f t="array" ref="AF247">IFERROR(INDEX(CK$7:CK$378,SMALL(IF(CK$7:CK$378&lt;&gt;"",ROW(CK$7:CK$378)-ROW(CK$7)+1),ROWS(CK$7:CK246))),"")</f>
        <v/>
      </c>
      <c r="AG247" s="3" t="str">
        <f t="array" ref="AG247">IFERROR(INDEX(CL$7:CL$378,SMALL(IF(CL$7:CL$378&lt;&gt;"",ROW(CL$7:CL$378)-ROW(CL$7)+1),ROWS(CL$7:CL246))),"")</f>
        <v/>
      </c>
      <c r="AH247" s="3"/>
      <c r="AI247" s="3"/>
      <c r="AJ247" s="3"/>
      <c r="AK247" s="3"/>
      <c r="AL247" s="3"/>
      <c r="AM247" s="3"/>
      <c r="AN247" s="52" t="str">
        <f>IF(Atletas!D238="","",IF(Atletas!B238="Feminino",100,IF(Atletas!B238="Masculino",200,""))+(IF(Atletas!D238="Kids 30kg",1,IF(Atletas!D238="Kids 32kg",2, IF(Atletas!D238="Kids 34kg",3,IF(Atletas!D238="Kids 36kg",4,IF(Atletas!D238="Kids 39kg",5,IF(Atletas!D238="Kids 42kg",6,IF(Atletas!D238="Kids 45kg",7, IF(Atletas!D238="Infantil 39kg",8,IF(Atletas!D238="Infantil 42kg",9,IF(Atletas!D238="Infantil 45kg",10,IF(Atletas!D238="Infantil 48kg",11,IF(Atletas!D238="Infantil 52kg",12,IF(Atletas!D238="Infantil 56kg",13,IF(Atletas!D238="Infantil 60kg",14,IF(Atletas!D238="Juvenil 48kg",15,IF(Atletas!D238="Juvenil 52kg",16,IF(Atletas!D238="Juvenil 56kg",17,IF(Atletas!D238="Juvenil 60kg",18,IF(Atletas!D238="Juvenil 65kg",19,IF(Atletas!D238="Juvenil 70kg",20,IF(Atletas!D238="Juvenil 75kg",21,IF(Atletas!D238="Juvenil 80kg",22, IF(Atletas!D238="Juvenil 85kg",23,IF(Atletas!D238="Adulto 48kg",24,IF(Atletas!D238="Adulto 52kg",25,IF(Atletas!D238="Adulto 56kg",26,IF(Atletas!D238="Adulto 60kg",27,IF(Atletas!D238="Adulto 65kg",28,IF(Atletas!D238="Adulto 70kg",29,IF(Atletas!D238="Adulto 75kg",30,IF(Atletas!D238="Adulto 80kg",31,IF(Atletas!D238="Adulto 85kg",32,IF(Atletas!D238="Adulto 90kg",33,IF(Atletas!D238="Adulto 100kg",34, IF(Atletas!D238="Adulto +100kg",35,"")))))))))))))))))))))))))))))))))))))</f>
        <v/>
      </c>
      <c r="AS247" s="6" t="str">
        <f>IF(Atletas!E238="","",IF(Atletas!B238="Feminino",100,IF(Atletas!B238="Masculino",200,""))+(IF(Atletas!E238="Juvenil 44kg",1,IF(Atletas!E238="Juvenil 48kg",2,IF(Atletas!E238="Juvenil 52kg",3,IF(Atletas!E238="Juvenil 56kg",4,IF(Atletas!E238="Juvenil 60kg",5,IF(Atletas!E238="Juvenil 65kg",6,IF(Atletas!E238="Juvenil 70kg",7,IF(Atletas!E238="Juvenil 75kg",8,IF(Atletas!E238="Juvenil 82kg",9,IF(Atletas!E238="Juvenil 90kg",10,IF(Atletas!E238="Juvenil 100kg",11,IF(Atletas!E238="Adulto 48kg",12,IF(Atletas!E238="Adulto 52kg",13,IF(Atletas!E238="Adulto 56kg",14,IF(Atletas!E238="Adulto 60kg",15,IF(Atletas!E238="Adulto 65kg",16,IF(Atletas!E238="Adulto 70kg",17,IF(Atletas!E238="Adulto 75kg",18,IF(Atletas!E238="Adulto 82kg",19,IF(Atletas!E238="Adulto 90kg",20,IF(Atletas!E238="Adulto 100kg",21,IF(Atletas!E238="Adulto +100kg",22,""))))))))))))))))))))))))</f>
        <v/>
      </c>
      <c r="AX247" s="6" t="str">
        <f>IF(Atletas!F238="","",IF(Atletas!B238="Feminino",100,IF(Atletas!B238="Masculino",200,""))+(IF(Atletas!F238="Adulto 48kg",1,IF(Atletas!F238="Adulto 56kg",2,IF(Atletas!F238="Adulto 65kg",3,IF(Atletas!F238="Adulto 75kg",4,IF(Atletas!F238="Adulto +75kg",5,IF(Atletas!F238="Adulto 52kg",6,IF(Atletas!F238="Adulto 60kg",7,IF(Atletas!F238="Adulto 70kg",8,IF(Atletas!F238="Adulto 80kg",9,IF(Atletas!F238="Adulto 90kg",10,IF(Atletas!F238="Adulto +90kg",11,"")))))))))))))</f>
        <v/>
      </c>
      <c r="BC247" s="6" t="str">
        <f>IF(Atletas!G238="","",IF(Atletas!B238="Feminino",10,IF(Atletas!B238="Masculino",20,""))+(IF(Atletas!G238="Baduanjin A",1,IF(Atletas!G238="Baduanjin B",2))))</f>
        <v/>
      </c>
      <c r="BF247" s="52" t="str">
        <f>IF(Atletas!H238="","",IF(Atletas!B238="Feminino",100,IF(Atletas!B238="Masculino",200,""))+(IF(Atletas!H238="Changquan Mirim",1,IF(Atletas!H238="Nanquan Mirim",2,IF(Atletas!H238="Taijiquan Mirim",3,IF(Atletas!H238="Changquan Grupo C",4,IF(Atletas!H238="Nanquan Grupo C",5,IF(Atletas!H238="Taijiquan Grupo C",6,IF(Atletas!H238="Changquan Grupo B",7,IF(Atletas!H238="Nanquan Grupo B",8,IF(Atletas!H238="Taijiquan Grupo B",9,IF(Atletas!H238="Changquan Grupo A",10,IF(Atletas!H238="Nanquan Grupo A",11,IF(Atletas!H238="Taijiquan Grupo A",12,IF(Atletas!H238="Changquan Opcional",13,IF(Atletas!H238="Nanquan Opcional",14,IF(Atletas!H238="Taijiquan Opcional",15,IF(Atletas!H238="Changquan Adulto",16,IF(Atletas!H238="Nanquan Adulto",17,IF(Atletas!H238="Taijiquan Adulto",18,""))))))))))))))))))))</f>
        <v/>
      </c>
      <c r="BG247" s="52" t="str">
        <f>IF(Atletas!I238="","",IF(Atletas!B238="Feminino",100,IF(Atletas!B238="Masculino",200,""))+(IF(Atletas!I238="Daoshu Mirim",19,IF(Atletas!I238="Jianshu Mirim",20,IF(Atletas!I238="Nandao Mirim",21,IF(Atletas!I238="Taijijian Mirim",22,IF(Atletas!I238="Daoshu Grupo C",23,IF(Atletas!I238="Jianshu Grupo C",24,IF(Atletas!I238="Nandao Grupo C",25,IF(Atletas!I238="Taijijian Grupo C",26,IF(Atletas!I238="Daoshu Grupo B",27,IF(Atletas!I238="Jianshu Grupo B",28,IF(Atletas!I238="Nandao Grupo B",29,IF(Atletas!I238="Taijijian Grupo B",30,IF(Atletas!I238="Daoshu Grupo A",31,IF(Atletas!I238="Jianshu Grupo A",32,IF(Atletas!I238="Nandao Grupo A",33,IF(Atletas!I238="Taijijian Grupo A",34,IF(Atletas!I238="Daoshu Opcional",35,IF(Atletas!I238="Jianshu Opcional",36,IF(Atletas!I238="Nandao Opcional",37,IF(Atletas!I238="Taijijian Opcional",38,IF(Atletas!I238="Daoshu Adulto",39,IF(Atletas!I238="Jianshu Adulto",40,IF(Atletas!I238="Nandao Adulto",41,IF(Atletas!I238="Taijijian Adulto",42,""))))))))))))))))))))))))))</f>
        <v/>
      </c>
      <c r="BH247" s="52" t="str">
        <f>IF(Atletas!J238="","",IF(Atletas!B238="Feminino",100,IF(Atletas!B238="Masculino",200,""))+(IF(Atletas!J238="Gunshu Mirim",43,IF(Atletas!J238="Qiangshu Mirim",44,IF(Atletas!J238="Nangun Mirim",45,IF(Atletas!J238="Gunshu Grupo C",46,IF(Atletas!J238="Qiangshu Grupo C",47,IF(Atletas!J238="Nangun Grupo C",48,IF(Atletas!J238="Gunshu Grupo B",49,IF(Atletas!J238="Qiangshu Grupo B",50,IF(Atletas!J238="Nangun Grupo B",51,IF(Atletas!J238="Gunshu Grupo A",52,IF(Atletas!J238="Qiangshu Grupo A",53,IF(Atletas!J238="Nangun Grupo A",54,IF(Atletas!J238="Gunshu Opcional",55,IF(Atletas!J238="Qiangshu Opcional",56,IF(Atletas!J238="Nangun Opcional",57,IF(Atletas!J238="Gunshu Adulto",58,IF(Atletas!J238="Qiangshu Adulto",59,IF(Atletas!J238="Nangun Adulto",60,IF(Atletas!J238="Taijishan Grupo B",61,IF(Atletas!J238="Taijishan Grupo A",62,""))))))))))))))))))))))</f>
        <v/>
      </c>
      <c r="BM247" s="50" t="str">
        <f>IF(Atletas!K238="","",IF(Atletas!B238="Feminino",100,IF(Atletas!B238="Masculino",200,""))+(IF(Atletas!K238="Equipe 1 Grupo B",1,IF(Atletas!K238="Equipe 2 Grupo B",2,IF(Atletas!K238="Equipe 1 Grupo A",3,IF(Atletas!K238="Equipe 2 Grupo A",4,IF(Atletas!K238="Equipe 1 Adulto",5,IF(Atletas!K238="Equipe 2 Adulto",6,""))))))))</f>
        <v/>
      </c>
      <c r="BR247" s="50" t="str">
        <f>IF(Atletas!L238="","",IF(Atletas!X238&lt;&gt;"",10000,0)+(IF(Atletas!B238="Feminino",1000,IF(Atletas!B238="Masculino",2000,""))+IF(Atletas!L238="Choylayfut A",1,IF(Atletas!L238="Hunggar A",2,IF(Atletas!L238="Wuzuquan A",3,IF(Atletas!L238="Wingchun A",4,IF(Atletas!L238="Outra Mão de Sul A",5,IF(Atletas!L238="Choylayfut B",6,IF(Atletas!L238="Hunggar B",7,IF(Atletas!L238="Wuzuquan B",8,IF(Atletas!L238="Wingchun B",9,IF(Atletas!L238="Outra Mão de Sul B",10,IF(Atletas!L238="Choylayfut C",11,IF(Atletas!L238="Hunggar C",12,IF(Atletas!L238="Wuzuquan C",13,IF(Atletas!L238="Wingchun C",14,IF(Atletas!L238="Outra Mão de Sul C",15,IF(Atletas!L238="Choylayfut D",16,IF(Atletas!L238="Hunggar D",17,IF(Atletas!L238="Wuzuquan D",18,IF(Atletas!L238="Wingchun D",19,IF(Atletas!L238="Outra Mão de Sul D",20,IF(Atletas!L238="Choylayfut E",21,IF(Atletas!L238="Hunggar E",22,IF(Atletas!L238="Wuzuquan E",23,IF(Atletas!L238="Wingchun E",24,IF(Atletas!L238="Outra Mão de Sul E",25,IF(Atletas!L238="Choylayfut F",26,IF(Atletas!L238="Hunggar F",27,IF(Atletas!L238="Wuzuquan F",28,IF(Atletas!L238="Wingchun F",29,IF(Atletas!L238="Outra Mão de Sul F",30,IF(Atletas!L238="Dishuquan A",31,IF(Atletas!L238="Dishuquan B",32,IF(Atletas!L238="Dishuquan C",33,IF(Atletas!L238="Dishuquan D",34,IF(Atletas!L238="Dishuquan E",35,IF(Atletas!L238="Dishuquan F",36,""))))))))))))))))))))))))))))))))))))))</f>
        <v/>
      </c>
      <c r="BS247" s="50" t="str">
        <f>IF(Atletas!M238="","",IF(Atletas!X238&lt;&gt;"",10000,0)+(IF(Atletas!B238="Feminino",1000,IF(Atletas!B238="Masculino",2000,""))+(IF(Atletas!M238="Chaquan A",101,IF(Atletas!M238="Emeiquan A",102,IF(Atletas!M238="Fanziquan A",103,IF(Atletas!M238="Huaquan A",104,IF(Atletas!M238="Hongquan A",105,IF(Atletas!M238="Paoquan A",106,IF(Atletas!M238="Piguaquan A",107,IF(Atletas!M238="Shaolinquan A",108,IF(Atletas!M238="Tanglangquan A",109,IF(Atletas!M238="Yingzhaoquan A",110,IF(Atletas!M238="Tongbeiquan A",111,IF(Atletas!M238="Wudangquan A",112,IF(Atletas!M238="Outros Estilos A",113,IF(Atletas!M238="Chaquan B",114,IF(Atletas!M238="Emeiquan B",115,IF(Atletas!M238="Fanziquan B",116,IF(Atletas!M238="Huaquan B",117,IF(Atletas!M238="Hongquan B",118,IF(Atletas!M238="Paoquan B",119,IF(Atletas!M238="Piguaquan B",120,IF(Atletas!M238="Shaolinquan B",121,IF(Atletas!M238="Tanglangquan B",122,IF(Atletas!M238="Yingzhaoquan B",123,IF(Atletas!M238="Tongbeiquan B",124,IF(Atletas!M238="Wudangquan B",125,IF(Atletas!M238="Outros Estilos B",126,IF(Atletas!M238="Chaquan C",127,IF(Atletas!M238="Emeiquan C",128,IF(Atletas!M238="Fanziquan C",129,IF(Atletas!M238="Huaquan C",130,IF(Atletas!M238="Hongquan C",131,IF(Atletas!M238="Paoquan C",132,IF(Atletas!M238="Piguaquan C",133,IF(Atletas!M238="Shaolinquan C",134,IF(Atletas!M238="Tanglangquan C",135,IF(Atletas!M238="Yingzhaoquan C",136,IF(Atletas!M238="Tongbeiquan C",137,IF(Atletas!M238="Wudangquan C",138,IF(Atletas!M238="Outros Estilos C",139,0))))))))))))))))))))))))))))))))))))))))))</f>
        <v/>
      </c>
      <c r="BT247" s="50" t="str">
        <f>IF(Atletas!M238="","",IF(Atletas!X238&lt;&gt;"",10000,0)+(IF(Atletas!B238="Feminino",1000,IF(Atletas!B238="Masculino",2000,""))+(IF(Atletas!M238="Chaquan D",140,IF(Atletas!M238="Emeiquan D",141,IF(Atletas!M238="Fanziquan D",142,IF(Atletas!M238="Huaquan D",143,IF(Atletas!M238="Hongquan D",144,IF(Atletas!M238="Paoquan D",145,IF(Atletas!M238="Piguaquan D",146,IF(Atletas!M238="Shaolinquan D",147,IF(Atletas!M238="Tanglangquan D",148,IF(Atletas!M238="Yingzhaoquan D",149,IF(Atletas!M238="Tongbeiquan D",150,IF(Atletas!M238="Wudangquan D",151,IF(Atletas!M238="Outros Estilos D",152,IF(Atletas!M238="Chaquan E",153,IF(Atletas!M238="Emeiquan E",154,IF(Atletas!M238="Fanziquan E",155,IF(Atletas!M238="Huaquan E",156,IF(Atletas!M238="Hongquan E",157,IF(Atletas!M238="Paoquan E",158,IF(Atletas!M238="Piguaquan E",159,IF(Atletas!M238="Shaolinquan E",160,IF(Atletas!M238="Tanglangquan E",161,IF(Atletas!M238="Yingzhaoquan E",162,IF(Atletas!M238="Tongbeiquan E",163,IF(Atletas!M238="Wudangquan E",164,IF(Atletas!M238="Outros Estilos E",165,IF(Atletas!M238="Chaquan F",166,IF(Atletas!M238="Emeiquan F",167,IF(Atletas!M238="Fanziquan F",168,IF(Atletas!M238="Huaquan F",169,IF(Atletas!M238="Hongquan F",170,IF(Atletas!M238="Paoquan F",171,IF(Atletas!M238="Piguaquan F",172,IF(Atletas!M238="Shaolinquan F",173,IF(Atletas!M238="Tanglangquan F",174,IF(Atletas!M238="Yingzhaoquan F",175,IF(Atletas!M238="Tongbeiquan F",176,IF(Atletas!M238="Wudangquan F",177,IF(Atletas!M238="Outros Estilos F",178,0))))))))))))))))))))))))))))))))))))))))))</f>
        <v/>
      </c>
      <c r="BU247" s="50" t="str">
        <f>IF(Atletas!N238="","",IF(Atletas!X238&lt;&gt;"",10000,0)+(IF(Atletas!B238="Feminino",1000,IF(Atletas!B238="Masculino",2000,""))+(IF(Atletas!N238="Ditangquan A",201,IF(Atletas!N238="Houquan A",202,IF(Atletas!N238="Zuiquan A",203,IF(Atletas!N238="Ditangquan B",204,IF(Atletas!N238="Houquan B",205,IF(Atletas!N238="Zuiquan B",206,IF(Atletas!N238="Ditangquan C",207,IF(Atletas!N238="Houquan C",208,IF(Atletas!N238="Zuiquan C",209,IF(Atletas!N238="Ditangquan D",210,IF(Atletas!N238="Houquan D",211,IF(Atletas!N238="Zuiquan D",212,IF(Atletas!N238="Ditangquan E",213,IF(Atletas!N238="Houquan E",214,IF(Atletas!N238="Zuiquan E",215,IF(Atletas!N238="Ditangquan F",216,IF(Atletas!N238="Houquan F",217,IF(Atletas!N238="Zuiquan F",218,"")))))))))))))))))))))</f>
        <v/>
      </c>
      <c r="BV247" s="50" t="str">
        <f>IF(Atletas!O238="","",IF(Atletas!X238&lt;&gt;"",10000,0)+IF(Atletas!B238="Feminino",1000,IF(Atletas!B238="Masculino",2000,""))+IF(Atletas!O238="Yang A",301,IF(Atletas!O238="Chen A",302,IF(Atletas!O238="Sun A",303,IF(Atletas!O238="Wu A",304,IF(Atletas!O238="Wu-Hao A",305,IF(Atletas!O238="Outro Taijiquan A",306,IF(Atletas!O238="Yang B",307,IF(Atletas!O238="Chen B",308,IF(Atletas!O238="Sun B",309,IF(Atletas!O238="Wu B",310,IF(Atletas!O238="Wu-Hao B",311,IF(Atletas!O238="Outro Taijiquan B",312,IF(Atletas!O238="Yang C",313,IF(Atletas!O238="Chen C",314,IF(Atletas!O238="Sun C",315,IF(Atletas!O238="Wu C",316,IF(Atletas!O238="Wu-Hao C",317,IF(Atletas!O238="Outro Taijiquan C",318,IF(Atletas!O238="Yang D",319,IF(Atletas!O238="Chen D",320,IF(Atletas!O238="Sun D",321,IF(Atletas!O238="Wu D",322,IF(Atletas!O238="Wu-Hao D",323,IF(Atletas!O238="Outro Taijiquan D",324,IF(Atletas!O238="Yang E",325,IF(Atletas!O238="Chen E",326,IF(Atletas!O238="Sun E",327,IF(Atletas!O238="Wu E",328,IF(Atletas!O238="Wu-Hao E",329,IF(Atletas!O238="Outro Taijiquan E",330,IF(Atletas!O238="Yang F",331,IF(Atletas!O238="Chen F",332,IF(Atletas!O238="Sun F",333,IF(Atletas!O238="Wu F",334,IF(Atletas!O238="Wu-Hao F",335,IF(Atletas!O238="Outro Taijiquan F",336,"")))))))))))))))))))))))))))))))))))))</f>
        <v/>
      </c>
      <c r="BW247" s="50" t="str">
        <f>IF(Atletas!P238="","",IF(Atletas!X238&lt;&gt;"",10000,0)+IF(Atletas!B238="Feminino",1000,IF(Atletas!B238="Masculino",2000,""))+IF(OR(Atletas!P238="Yang 26 A",Atletas!P238="Yang 40 A"),401,IF(OR(Atletas!P238="Chen 25 A",Atletas!P238="Chen 36 A",Atletas!P238="Chen 56 A"),402,IF(Atletas!P238="Sun 73 A",403,IF(Atletas!P238="Wu 45 A",404,IF(Atletas!P238="Wu-Hao 46 A",405,IF(OR(Atletas!P238="Taijiquan 16 A",Atletas!P238="Taijiquan 24 A",Atletas!P238="Taijiquan 32 A",Atletas!P238="Taijiquan 42 A"),406,IF(OR(Atletas!P238="Yang 26 B",Atletas!P238="Yang 40 B"),407,IF(OR(Atletas!P238="Chen 25 B",Atletas!P238="Chen 36 B",Atletas!P238="Chen 56 B"),408,IF(Atletas!P238="Sun 73 B",409,IF(Atletas!P238="Wu 45 B",410,IF(Atletas!P238="Wu-Hao 46 B",411,IF(OR(Atletas!P238="Taijiquan 16 B",Atletas!P238="Taijiquan 24 B",Atletas!P238="Taijiquan 32 B",Atletas!P238="Taijiquan 42 B"),412,IF(OR(Atletas!P238="Yang 26 C",Atletas!P238="Yang 40 C"),413,IF(OR(Atletas!P238="Chen 25 C",Atletas!P238="Chen 36 C",Atletas!P238="Chen 56 C"),414,IF(Atletas!P238="Sun 73 C",415,IF(Atletas!P238="Wu 45 C",416,IF(Atletas!P238="Wu-Hao 46 C",417,IF(OR(Atletas!P238="Taijiquan 16 C",Atletas!P238="Taijiquan 24 C",Atletas!P238="Taijiquan 32 C",Atletas!P238="Taijiquan 42 C"),418,0)))))))))))))))))))</f>
        <v/>
      </c>
      <c r="BX247" s="50" t="str">
        <f>IF(Atletas!P238="","",IF(Atletas!X238&lt;&gt;"",10000,0)+IF(Atletas!B238="Feminino",1000,IF(Atletas!B238="Masculino",2000,""))+IF(OR(Atletas!P238="Yang 26 D",Atletas!P238="Yang 40 D"),419,IF(OR(Atletas!P238="Chen 25 D",Atletas!P238="Chen 36 D",Atletas!P238="Chen 56 D"),420,IF(Atletas!P238="Sun 73 D",421,IF(Atletas!P238="Wu 45 D",422,IF(Atletas!P238="Wu-Hao 46 D",423,IF(OR(Atletas!P238="Taijiquan 16 D",Atletas!P238="Taijiquan 24 D",Atletas!P238="Taijiquan 32 D",Atletas!P238="Taijiquan 42 D"),424,IF(OR(Atletas!P238="Yang 26 E",Atletas!P238="Yang 40 E"),425,IF(OR(Atletas!P238="Chen 25 E",Atletas!P238="Chen 36 E",Atletas!P238="Chen 56 E"),426,IF(Atletas!P238="Sun 73 E",427,IF(Atletas!P238="Wu 45 E",428,IF(Atletas!P238="Wu-Hao 46 E",429,IF(OR(Atletas!P238="Taijiquan 16 E",Atletas!P238="Taijiquan 24 E",Atletas!P238="Taijiquan 32 E",Atletas!P238="Taijiquan 42 E"),430,IF(OR(Atletas!P238="Yang 26 F",Atletas!P238="Yang 40 F"),431,IF(OR(Atletas!P238="Chen 25 F",Atletas!P238="Chen 36 F",Atletas!P238="Chen 56 F"),432,IF(Atletas!P238="Sun 73 F",433,IF(Atletas!P238="Wu 45 F",434,IF(Atletas!P238="Wu-Hao 46 F",435,IF(OR(Atletas!P238="Taijiquan 16 F",Atletas!P238="Taijiquan 24 F",Atletas!P238="Taijiquan 32 F",Atletas!P238="Taijiquan 42 F"),436,0)))))))))))))))))))</f>
        <v/>
      </c>
      <c r="BY247" s="50" t="str">
        <f>IF(Atletas!Q238="","",IF(Atletas!X238&lt;&gt;"",10000,0)+IF(Atletas!B238="Feminino",1000,IF(Atletas!B238="Masculino",2000,""))+IF(Atletas!Q238="Xingyiquan A",501,IF(Atletas!Q238="Baguazhang A",502,IF(Atletas!Q238="Outro Estilo Interno A",503,IF(Atletas!Q238="Xingyiquan B",504,IF(Atletas!Q238="Baguazhang B",505,IF(Atletas!Q238="Outro Estilo Interno B",506,IF(Atletas!Q238="Xingyiquan C",507,IF(Atletas!Q238="Baguazhang C",508,IF(Atletas!Q238="Outro Estilo Interno C",509,IF(Atletas!Q238="Xingyiquan D",510,IF(Atletas!Q238="Baguazhang D",511,IF(Atletas!Q238="Outro Estilo Interno D",512,IF(Atletas!Q238="Xingyiquan E",513,IF(Atletas!Q238="Baguazhang E",514,IF(Atletas!Q238="Outro Estilo Interno E",515,IF(Atletas!Q238="Xingyiquan F",516,IF(Atletas!Q238="Baguazhang F",517,IF(Atletas!Q238="Outro Estilo Interno F",518, "")))))))))))))))))))</f>
        <v/>
      </c>
      <c r="BZ247" s="50" t="str">
        <f>IF(Atletas!R238="","",IF(Atletas!X238&lt;&gt;"",10000,0)+IF(Atletas!B238="Feminino",1000,IF(Atletas!B238="Masculino",2000,""))+IF(Atletas!R238="Dao A",601,IF(Atletas!R238="Jian A",602,IF(Atletas!R238="Bishou A",603,IF(Atletas!R238="Shanzi A",604,IF(Atletas!R238="Outra Arma Curta A",605,IF(Atletas!R238="Dao B",606,IF(Atletas!R238="Jian B",607,IF(Atletas!R238="Bishou B",608,IF(Atletas!R238="Shanzi B",609,IF(Atletas!R238="Outra Arma Curta B",610,IF(Atletas!R238="Dao C",611,IF(Atletas!R238="Jian C",612,IF(Atletas!R238="Bishou C",613,IF(Atletas!R238="Shanzi C",614,IF(Atletas!R238="Outra Arma Curta C",615,IF(Atletas!R238="Dao D",616,IF(Atletas!R238="Jian D",617,IF(Atletas!R238="Bishou D",618,IF(Atletas!R238="Shanzi D",619,IF(Atletas!R238="Outra Arma Curta D",620,IF(Atletas!R238="Dao E",621,IF(Atletas!R238="Jian E",622,IF(Atletas!R238="Bishou E",623,IF(Atletas!R238="Shanzi E",624,IF(Atletas!R238="Outra Arma Curta E",625,IF(Atletas!R238="Dao F",626,IF(Atletas!R238="Jian F",627,IF(Atletas!R238="Bishou F",628,IF(Atletas!R238="Shanzi F",629,IF(Atletas!R238="Outra Arma Curta F",630, "")))))))))))))))))))))))))))))))</f>
        <v/>
      </c>
      <c r="CA247" s="50" t="str">
        <f>IF(Atletas!S238="","",IF(Atletas!X238&lt;&gt;"",10000,0)+IF(Atletas!B238="Feminino",1000,IF(Atletas!B238="Masculino",2000,""))+IF(Atletas!S238="Gun A",701,IF(Atletas!S238="Qiang A",702,IF(Atletas!S238="Pudao / Guandao A",703,IF(Atletas!S238="Outra Arma Longa A",704,IF(Atletas!S238="Gun B",705,IF(Atletas!S238="Qiang B",706,IF(Atletas!S238="Pudao / Guandao B",707,IF(Atletas!S238="Outra Arma Longa B",708,IF(Atletas!S238="Gun C",709,IF(Atletas!S238="Qiang C",710,IF(Atletas!S238="Pudao / Guandao C",711,IF(Atletas!S238="Outra Arma Longa C",712,IF(Atletas!S238="Gun D",713,IF(Atletas!S238="Qiang D",714,IF(Atletas!S238="Pudao / Guandao D",715,IF(Atletas!S238="Outra Arma Longa D",716,IF(Atletas!S238="Gun E",717,IF(Atletas!S238="Qiang E",718,IF(Atletas!S238="Pudao / Guandao E",719,IF(Atletas!S238="Outra Arma Longa E",720,IF(Atletas!S238="Gun F",721,IF(Atletas!S238="Qiang F",722,IF(Atletas!S238="Pudao / Guandao F",723,IF(Atletas!S238="Outra Arma Longa F",724,"")))))))))))))))))))))))))</f>
        <v/>
      </c>
      <c r="CB247" s="50" t="str">
        <f>IF(Atletas!T238="","",IF(Atletas!X238&lt;&gt;"",10000,0)+IF(Atletas!B238="Feminino",1000,IF(Atletas!B238="Masculino",2000,""))+IF(Atletas!T238="Outra Arma Dupla A",801,IF(Atletas!T238="Arma Maleável A",802,IF(Atletas!T238="Outra Arma Dupla B",803,IF(Atletas!T238="Arma Maleável B",804,IF(Atletas!T238="Outra Arma Dupla C",805,IF(Atletas!T238="Arma Maleável C",806,IF(Atletas!T238="Outra Arma Dupla D",807,IF(Atletas!T238="Arma Maleável D",808,IF(Atletas!T238="Outra Arma Dupla E",809,IF(Atletas!T238="Arma Maleável E",810,IF(Atletas!T238="Outra Arma Dupla F",811,IF(Atletas!T238="Arma Maleável F",812,IF(Atletas!T238="Shuangdao A",813,IF(Atletas!T238="Shuangdao B",814,IF(Atletas!T238="Shuangdao C",815,IF(Atletas!T238="Shuangdao D",816,IF(Atletas!T238="Shuangdao E",817,IF(Atletas!T238="Shuangdao F",818,"")))))))))))))))))))</f>
        <v/>
      </c>
      <c r="CC247" s="50" t="str">
        <f>IF(Atletas!U238="","",IF(Atletas!X238&lt;&gt;"",10000,0)+IF(Atletas!B238="Feminino",1000,IF(Atletas!B238="Masculino",2000,""))+IF(OR(Atletas!U238="Taijijian Yang A",Atletas!U238="Taijijian Yang Standard A"),901,IF(OR(Atletas!U238="Taijijian Chen A", Atletas!U238="Taijijian Chen Standard A"),902,IF(Atletas!U238="Taijijian Sun A",903,IF(Atletas!U238="Taijijian Wu A",904,IF(Atletas!U238="Taijijian Wu-Hao A",905,IF(OR(Atletas!U238="Taijijian 32 A",Atletas!U238="Taijijian 42 A"),906,IF(OR(Atletas!U238="Taijijian Yang B",Atletas!U238="Taijijian Yang Standard B"),907,IF(OR(Atletas!U238="Taijijian Chen B", Atletas!U238="Taijijian Chen Standard B"),908,IF(Atletas!U238="Taijijian Sun B",909,IF(Atletas!U238="Taijijian Wu B",910,IF(Atletas!U238="Taijijian Wu-Hao B",911,IF(OR(Atletas!U238="Taijijian 32 B",Atletas!U238="Taijijian 42 B"),912,IF(OR(Atletas!U238="Taijijian Yang C",Atletas!U238="Taijijian Yang Standard C"),913,IF(OR(Atletas!U238="Taijijian Chen C", Atletas!U238="Taijijian Chen Standard C"),914,IF(Atletas!U238="Taijijian Sun C",915,IF(Atletas!U238="Taijijian Wu C",916,IF(Atletas!U238="Taijijian Wu-Hao C",917,IF(OR(Atletas!U238="Taijijian 32 C",Atletas!U238="Taijijian 42 C"),918,IF(OR(Atletas!U238="Taijijian Yang D",Atletas!U238="Taijijian Yang Standard D"),919,IF(OR(Atletas!U238="Taijijian Chen D", Atletas!U238="Taijijian Chen Standard D"),920,IF(Atletas!U238="Taijijian Sun D",921,IF(Atletas!U238="Taijijian Wu D",922,IF(Atletas!U238="Taijijian Wu-Hao D",923,IF(OR(Atletas!U238="Taijijian 32 D",Atletas!U238="Taijijian 42 D"),924,IF(OR(Atletas!U238="Taijijian Yang E",Atletas!U238="Taijijian Yang Standard E"),925,IF(OR(Atletas!U238="Taijijian Chen E", Atletas!U238="Taijijian Chen Standard E"),926,IF(Atletas!U238="Taijijian Sun E",927,IF(Atletas!U238="Taijijian Wu E",928,IF(Atletas!U238="Taijijian Wu-Hao E",929,IF(OR(Atletas!U238="Taijijian 32 E",Atletas!U238="Taijijian 42 E"),930,IF(OR(Atletas!U238="Taijijian Yang F",Atletas!U238="Taijijian Yang Standard F"),931,IF(OR(Atletas!U238="Taijijian Chen F", Atletas!U238="Taijijian Chen Standard F"),932,IF(Atletas!U238="Taijijian Sun F",933,IF(Atletas!U238="Taijijian Wu F",934,IF(Atletas!U238="Taijijian Wu-Hao F",935,IF(OR(Atletas!U238="Taijijian 32 F",Atletas!U238="Taijijian 42 F"),936,"")))))))))))))))))))))))))))))))))))))</f>
        <v/>
      </c>
      <c r="CD247" s="50" t="str">
        <f>IF(Atletas!V238="","",IF(Atletas!X238&lt;&gt;"",10000,0)+IF(Atletas!B238="Feminino",1000,IF(Atletas!B238="Masculino",2000,""))+IF(Atletas!V238="Taijidao A",937,IF(Atletas!V238="TaijiShanzi A",938,IF(Atletas!V238="Taijiqiang A",939,IF(Atletas!V238="Bagua de Arma A",940,IF(Atletas!V238="Xingyi de Arma A",941,IF(Atletas!V238="Taijidao B",942,IF(Atletas!V238="TaijiShanzi B",943,IF(Atletas!V238="Taijiqiang B",944,IF(Atletas!V238="Bagua de Arma B",945,IF(Atletas!V238="Xingyi de Arma B",946,IF(Atletas!V238="Taijidao C",947,IF(Atletas!V238="TaijiShanzi C",948,IF(Atletas!V238="Taijiqiang C",949,IF(Atletas!V238="Bagua de Arma C",950,IF(Atletas!V238="Xingyi de Arma C",951,IF(Atletas!V238="Taijidao D",952,IF(Atletas!V238="TaijiShanzi D",953,IF(Atletas!V238="Taijiqiang D",954,IF(Atletas!V238="Bagua de Arma D",955,IF(Atletas!V238="Xingyi de Arma D",956,IF(Atletas!V238="Taijidao E",957,IF(Atletas!V238="TaijiShanzi E",958,IF(Atletas!V238="Taijiqiang E",959,IF(Atletas!V238="Bagua de Arma E",960,IF(Atletas!V238="Xingyi de Arma E",961,IF(Atletas!V238="Taijidao F",962,IF(Atletas!V238="TaijiShanzi F",963,IF(Atletas!V238="Taijiqiang F",964,IF(Atletas!V238="Bagua de Arma F",965,IF(Atletas!V238="Xingyi de Arma F",966,"")))))))))))))))))))))))))))))))</f>
        <v/>
      </c>
      <c r="CE247" s="66" t="str">
        <f>IF(CF247&lt;&gt;"","Shanzi D","")</f>
        <v/>
      </c>
      <c r="CF247" s="66" t="str">
        <f>IF(COUNTIF(BR:CD,1619)&gt;0,COUNTIF(BR:CD,1619),"")</f>
        <v/>
      </c>
      <c r="CG247" s="66" t="str">
        <f>IF(CH247&lt;&gt;"","Shanzi D","")</f>
        <v/>
      </c>
      <c r="CH247" s="66" t="str">
        <f>IF(COUNTIF(BR:CD,2619)&gt;0,COUNTIF(BR:CD,2619),"")</f>
        <v/>
      </c>
      <c r="CI247" s="66" t="str">
        <f>IF(CJ247&lt;&gt;"","Outra Arma Curta E","")</f>
        <v/>
      </c>
      <c r="CJ247" s="66" t="str">
        <f>IF(COUNTIF(BR:CD,11625)&gt;0,COUNTIF(BR:CD,11625),"")</f>
        <v/>
      </c>
      <c r="CK247" s="66" t="str">
        <f>IF(CL247&lt;&gt;"","Outra Arma Curta E","")</f>
        <v/>
      </c>
      <c r="CL247" s="66" t="str">
        <f>IF(COUNTIF(BR:CD,12625)&gt;0,COUNTIF(BR:CD,12625),"")</f>
        <v/>
      </c>
      <c r="CM247" s="50" t="str">
        <f xml:space="preserve"> IF(Atletas!W238="","",IF(Atletas!W238="Duilian de Mãos BC - Equipe 1",1,IF(Atletas!W238="Duilian de Mãos BC - Equipe 2",2,IF(Atletas!W238="Duilian de Armas BC - Equipe 1",3,IF(Atletas!W238="Duilian de Armas BC - Equipe 2",4,IF(Atletas!W238="Duilian de Mãos DE - Equipe 1",5,IF(Atletas!W238="Duilian de Mãos DE - Equipe 2",6,IF(Atletas!W238="Duilian de Armas DE - Equipe 1",7,IF(Atletas!W238="Duilian de Armas DE - Equipe 2",8,IF(Atletas!W238="Duilian de Tuishou - Equipe 1",9,IF(Atletas!W238="Duilian de Tuishou - Equipe 2",10,IF(Atletas!W238="Grupo Externo ABC - Equipe 1",11,IF(Atletas!W238="Grupo Externo ABC - Equipe 2",12,IF(Atletas!W238="Grupo Interno ABC - Equipe 1",13,IF(Atletas!W238="Grupo Interno ABC - Equipe 2",14,IF(Atletas!W238="Grupo Externo DEF - Equipe 1",15,IF(Atletas!W238="Grupo Externo DEF - Equipe 2",16,IF(Atletas!W238="Grupo Interno DEF - Equipe 1",17,IF(Atletas!W238="Grupo Interno DEF - Equipe 2",18,"")))))))))))))))))))</f>
        <v/>
      </c>
    </row>
    <row r="248" spans="2:91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 t="str">
        <f t="array" ref="Z248">IFERROR(INDEX(CE$7:CE$348,SMALL(IF(CE$7:CE$348&lt;&gt;"",ROW(CE$7:CE$348)-ROW(CE$7)+1),ROWS(CE$7:CE247))),"")</f>
        <v/>
      </c>
      <c r="AA248" s="3" t="str">
        <f t="array" ref="AA248">IFERROR(INDEX(CF$7:CF$348,SMALL(IF(CF$7:CF$348&lt;&gt;"",ROW(CF$7:CF$348)-ROW(CF$7)+1),ROWS(CF$7:CF247))),"")</f>
        <v/>
      </c>
      <c r="AB248" s="3" t="str">
        <f t="array" ref="AB248">IFERROR(INDEX(CG$7:CG$348,SMALL(IF(CG$7:CG$348&lt;&gt;"",ROW(CG$7:CG$348)-ROW(CG$7)+1),ROWS(CG$7:CG247))),"")</f>
        <v/>
      </c>
      <c r="AC248" s="3" t="str">
        <f t="array" ref="AC248">IFERROR(INDEX(CH$7:CH$348,SMALL(IF(CH$7:CH$348&lt;&gt;"",ROW(CH$7:CH$348)-ROW(CH$7)+1),ROWS(CH$7:CH247))),"")</f>
        <v/>
      </c>
      <c r="AD248" s="3" t="str">
        <f t="array" ref="AD248">IFERROR(INDEX(CI$7:CI$377,SMALL(IF(CI$7:CI$377&lt;&gt;"",ROW(CI$7:CI$377)-ROW(CI$7)+1),ROWS(CI$7:CI247))),"")</f>
        <v/>
      </c>
      <c r="AE248" s="3" t="str">
        <f t="array" ref="AE248">IFERROR(INDEX(CJ$7:CJ$378,SMALL(IF(CJ$7:CJ$378&lt;&gt;"",ROW(CJ$7:CJ$378)-ROW(CJ$7)+1),ROWS(CJ$7:CJ247))),"")</f>
        <v/>
      </c>
      <c r="AF248" s="3" t="str">
        <f t="array" ref="AF248">IFERROR(INDEX(CK$7:CK$378,SMALL(IF(CK$7:CK$378&lt;&gt;"",ROW(CK$7:CK$378)-ROW(CK$7)+1),ROWS(CK$7:CK247))),"")</f>
        <v/>
      </c>
      <c r="AG248" s="3" t="str">
        <f t="array" ref="AG248">IFERROR(INDEX(CL$7:CL$378,SMALL(IF(CL$7:CL$378&lt;&gt;"",ROW(CL$7:CL$378)-ROW(CL$7)+1),ROWS(CL$7:CL247))),"")</f>
        <v/>
      </c>
      <c r="AH248" s="3"/>
      <c r="AI248" s="3"/>
      <c r="AJ248" s="3"/>
      <c r="AK248" s="3"/>
      <c r="AL248" s="3"/>
      <c r="AM248" s="3"/>
      <c r="AN248" s="52" t="str">
        <f>IF(Atletas!D239="","",IF(Atletas!B239="Feminino",100,IF(Atletas!B239="Masculino",200,""))+(IF(Atletas!D239="Kids 30kg",1,IF(Atletas!D239="Kids 32kg",2, IF(Atletas!D239="Kids 34kg",3,IF(Atletas!D239="Kids 36kg",4,IF(Atletas!D239="Kids 39kg",5,IF(Atletas!D239="Kids 42kg",6,IF(Atletas!D239="Kids 45kg",7, IF(Atletas!D239="Infantil 39kg",8,IF(Atletas!D239="Infantil 42kg",9,IF(Atletas!D239="Infantil 45kg",10,IF(Atletas!D239="Infantil 48kg",11,IF(Atletas!D239="Infantil 52kg",12,IF(Atletas!D239="Infantil 56kg",13,IF(Atletas!D239="Infantil 60kg",14,IF(Atletas!D239="Juvenil 48kg",15,IF(Atletas!D239="Juvenil 52kg",16,IF(Atletas!D239="Juvenil 56kg",17,IF(Atletas!D239="Juvenil 60kg",18,IF(Atletas!D239="Juvenil 65kg",19,IF(Atletas!D239="Juvenil 70kg",20,IF(Atletas!D239="Juvenil 75kg",21,IF(Atletas!D239="Juvenil 80kg",22, IF(Atletas!D239="Juvenil 85kg",23,IF(Atletas!D239="Adulto 48kg",24,IF(Atletas!D239="Adulto 52kg",25,IF(Atletas!D239="Adulto 56kg",26,IF(Atletas!D239="Adulto 60kg",27,IF(Atletas!D239="Adulto 65kg",28,IF(Atletas!D239="Adulto 70kg",29,IF(Atletas!D239="Adulto 75kg",30,IF(Atletas!D239="Adulto 80kg",31,IF(Atletas!D239="Adulto 85kg",32,IF(Atletas!D239="Adulto 90kg",33,IF(Atletas!D239="Adulto 100kg",34, IF(Atletas!D239="Adulto +100kg",35,"")))))))))))))))))))))))))))))))))))))</f>
        <v/>
      </c>
      <c r="AS248" s="6" t="str">
        <f>IF(Atletas!E239="","",IF(Atletas!B239="Feminino",100,IF(Atletas!B239="Masculino",200,""))+(IF(Atletas!E239="Juvenil 44kg",1,IF(Atletas!E239="Juvenil 48kg",2,IF(Atletas!E239="Juvenil 52kg",3,IF(Atletas!E239="Juvenil 56kg",4,IF(Atletas!E239="Juvenil 60kg",5,IF(Atletas!E239="Juvenil 65kg",6,IF(Atletas!E239="Juvenil 70kg",7,IF(Atletas!E239="Juvenil 75kg",8,IF(Atletas!E239="Juvenil 82kg",9,IF(Atletas!E239="Juvenil 90kg",10,IF(Atletas!E239="Juvenil 100kg",11,IF(Atletas!E239="Adulto 48kg",12,IF(Atletas!E239="Adulto 52kg",13,IF(Atletas!E239="Adulto 56kg",14,IF(Atletas!E239="Adulto 60kg",15,IF(Atletas!E239="Adulto 65kg",16,IF(Atletas!E239="Adulto 70kg",17,IF(Atletas!E239="Adulto 75kg",18,IF(Atletas!E239="Adulto 82kg",19,IF(Atletas!E239="Adulto 90kg",20,IF(Atletas!E239="Adulto 100kg",21,IF(Atletas!E239="Adulto +100kg",22,""))))))))))))))))))))))))</f>
        <v/>
      </c>
      <c r="AX248" s="6" t="str">
        <f>IF(Atletas!F239="","",IF(Atletas!B239="Feminino",100,IF(Atletas!B239="Masculino",200,""))+(IF(Atletas!F239="Adulto 48kg",1,IF(Atletas!F239="Adulto 56kg",2,IF(Atletas!F239="Adulto 65kg",3,IF(Atletas!F239="Adulto 75kg",4,IF(Atletas!F239="Adulto +75kg",5,IF(Atletas!F239="Adulto 52kg",6,IF(Atletas!F239="Adulto 60kg",7,IF(Atletas!F239="Adulto 70kg",8,IF(Atletas!F239="Adulto 80kg",9,IF(Atletas!F239="Adulto 90kg",10,IF(Atletas!F239="Adulto +90kg",11,"")))))))))))))</f>
        <v/>
      </c>
      <c r="BC248" s="6" t="str">
        <f>IF(Atletas!G239="","",IF(Atletas!B239="Feminino",10,IF(Atletas!B239="Masculino",20,""))+(IF(Atletas!G239="Baduanjin A",1,IF(Atletas!G239="Baduanjin B",2))))</f>
        <v/>
      </c>
      <c r="BF248" s="52" t="str">
        <f>IF(Atletas!H239="","",IF(Atletas!B239="Feminino",100,IF(Atletas!B239="Masculino",200,""))+(IF(Atletas!H239="Changquan Mirim",1,IF(Atletas!H239="Nanquan Mirim",2,IF(Atletas!H239="Taijiquan Mirim",3,IF(Atletas!H239="Changquan Grupo C",4,IF(Atletas!H239="Nanquan Grupo C",5,IF(Atletas!H239="Taijiquan Grupo C",6,IF(Atletas!H239="Changquan Grupo B",7,IF(Atletas!H239="Nanquan Grupo B",8,IF(Atletas!H239="Taijiquan Grupo B",9,IF(Atletas!H239="Changquan Grupo A",10,IF(Atletas!H239="Nanquan Grupo A",11,IF(Atletas!H239="Taijiquan Grupo A",12,IF(Atletas!H239="Changquan Opcional",13,IF(Atletas!H239="Nanquan Opcional",14,IF(Atletas!H239="Taijiquan Opcional",15,IF(Atletas!H239="Changquan Adulto",16,IF(Atletas!H239="Nanquan Adulto",17,IF(Atletas!H239="Taijiquan Adulto",18,""))))))))))))))))))))</f>
        <v/>
      </c>
      <c r="BG248" s="52" t="str">
        <f>IF(Atletas!I239="","",IF(Atletas!B239="Feminino",100,IF(Atletas!B239="Masculino",200,""))+(IF(Atletas!I239="Daoshu Mirim",19,IF(Atletas!I239="Jianshu Mirim",20,IF(Atletas!I239="Nandao Mirim",21,IF(Atletas!I239="Taijijian Mirim",22,IF(Atletas!I239="Daoshu Grupo C",23,IF(Atletas!I239="Jianshu Grupo C",24,IF(Atletas!I239="Nandao Grupo C",25,IF(Atletas!I239="Taijijian Grupo C",26,IF(Atletas!I239="Daoshu Grupo B",27,IF(Atletas!I239="Jianshu Grupo B",28,IF(Atletas!I239="Nandao Grupo B",29,IF(Atletas!I239="Taijijian Grupo B",30,IF(Atletas!I239="Daoshu Grupo A",31,IF(Atletas!I239="Jianshu Grupo A",32,IF(Atletas!I239="Nandao Grupo A",33,IF(Atletas!I239="Taijijian Grupo A",34,IF(Atletas!I239="Daoshu Opcional",35,IF(Atletas!I239="Jianshu Opcional",36,IF(Atletas!I239="Nandao Opcional",37,IF(Atletas!I239="Taijijian Opcional",38,IF(Atletas!I239="Daoshu Adulto",39,IF(Atletas!I239="Jianshu Adulto",40,IF(Atletas!I239="Nandao Adulto",41,IF(Atletas!I239="Taijijian Adulto",42,""))))))))))))))))))))))))))</f>
        <v/>
      </c>
      <c r="BH248" s="52" t="str">
        <f>IF(Atletas!J239="","",IF(Atletas!B239="Feminino",100,IF(Atletas!B239="Masculino",200,""))+(IF(Atletas!J239="Gunshu Mirim",43,IF(Atletas!J239="Qiangshu Mirim",44,IF(Atletas!J239="Nangun Mirim",45,IF(Atletas!J239="Gunshu Grupo C",46,IF(Atletas!J239="Qiangshu Grupo C",47,IF(Atletas!J239="Nangun Grupo C",48,IF(Atletas!J239="Gunshu Grupo B",49,IF(Atletas!J239="Qiangshu Grupo B",50,IF(Atletas!J239="Nangun Grupo B",51,IF(Atletas!J239="Gunshu Grupo A",52,IF(Atletas!J239="Qiangshu Grupo A",53,IF(Atletas!J239="Nangun Grupo A",54,IF(Atletas!J239="Gunshu Opcional",55,IF(Atletas!J239="Qiangshu Opcional",56,IF(Atletas!J239="Nangun Opcional",57,IF(Atletas!J239="Gunshu Adulto",58,IF(Atletas!J239="Qiangshu Adulto",59,IF(Atletas!J239="Nangun Adulto",60,IF(Atletas!J239="Taijishan Grupo B",61,IF(Atletas!J239="Taijishan Grupo A",62,""))))))))))))))))))))))</f>
        <v/>
      </c>
      <c r="BM248" s="50" t="str">
        <f>IF(Atletas!K239="","",IF(Atletas!B239="Feminino",100,IF(Atletas!B239="Masculino",200,""))+(IF(Atletas!K239="Equipe 1 Grupo B",1,IF(Atletas!K239="Equipe 2 Grupo B",2,IF(Atletas!K239="Equipe 1 Grupo A",3,IF(Atletas!K239="Equipe 2 Grupo A",4,IF(Atletas!K239="Equipe 1 Adulto",5,IF(Atletas!K239="Equipe 2 Adulto",6,""))))))))</f>
        <v/>
      </c>
      <c r="BR248" s="50" t="str">
        <f>IF(Atletas!L239="","",IF(Atletas!X239&lt;&gt;"",10000,0)+(IF(Atletas!B239="Feminino",1000,IF(Atletas!B239="Masculino",2000,""))+IF(Atletas!L239="Choylayfut A",1,IF(Atletas!L239="Hunggar A",2,IF(Atletas!L239="Wuzuquan A",3,IF(Atletas!L239="Wingchun A",4,IF(Atletas!L239="Outra Mão de Sul A",5,IF(Atletas!L239="Choylayfut B",6,IF(Atletas!L239="Hunggar B",7,IF(Atletas!L239="Wuzuquan B",8,IF(Atletas!L239="Wingchun B",9,IF(Atletas!L239="Outra Mão de Sul B",10,IF(Atletas!L239="Choylayfut C",11,IF(Atletas!L239="Hunggar C",12,IF(Atletas!L239="Wuzuquan C",13,IF(Atletas!L239="Wingchun C",14,IF(Atletas!L239="Outra Mão de Sul C",15,IF(Atletas!L239="Choylayfut D",16,IF(Atletas!L239="Hunggar D",17,IF(Atletas!L239="Wuzuquan D",18,IF(Atletas!L239="Wingchun D",19,IF(Atletas!L239="Outra Mão de Sul D",20,IF(Atletas!L239="Choylayfut E",21,IF(Atletas!L239="Hunggar E",22,IF(Atletas!L239="Wuzuquan E",23,IF(Atletas!L239="Wingchun E",24,IF(Atletas!L239="Outra Mão de Sul E",25,IF(Atletas!L239="Choylayfut F",26,IF(Atletas!L239="Hunggar F",27,IF(Atletas!L239="Wuzuquan F",28,IF(Atletas!L239="Wingchun F",29,IF(Atletas!L239="Outra Mão de Sul F",30,IF(Atletas!L239="Dishuquan A",31,IF(Atletas!L239="Dishuquan B",32,IF(Atletas!L239="Dishuquan C",33,IF(Atletas!L239="Dishuquan D",34,IF(Atletas!L239="Dishuquan E",35,IF(Atletas!L239="Dishuquan F",36,""))))))))))))))))))))))))))))))))))))))</f>
        <v/>
      </c>
      <c r="BS248" s="50" t="str">
        <f>IF(Atletas!M239="","",IF(Atletas!X239&lt;&gt;"",10000,0)+(IF(Atletas!B239="Feminino",1000,IF(Atletas!B239="Masculino",2000,""))+(IF(Atletas!M239="Chaquan A",101,IF(Atletas!M239="Emeiquan A",102,IF(Atletas!M239="Fanziquan A",103,IF(Atletas!M239="Huaquan A",104,IF(Atletas!M239="Hongquan A",105,IF(Atletas!M239="Paoquan A",106,IF(Atletas!M239="Piguaquan A",107,IF(Atletas!M239="Shaolinquan A",108,IF(Atletas!M239="Tanglangquan A",109,IF(Atletas!M239="Yingzhaoquan A",110,IF(Atletas!M239="Tongbeiquan A",111,IF(Atletas!M239="Wudangquan A",112,IF(Atletas!M239="Outros Estilos A",113,IF(Atletas!M239="Chaquan B",114,IF(Atletas!M239="Emeiquan B",115,IF(Atletas!M239="Fanziquan B",116,IF(Atletas!M239="Huaquan B",117,IF(Atletas!M239="Hongquan B",118,IF(Atletas!M239="Paoquan B",119,IF(Atletas!M239="Piguaquan B",120,IF(Atletas!M239="Shaolinquan B",121,IF(Atletas!M239="Tanglangquan B",122,IF(Atletas!M239="Yingzhaoquan B",123,IF(Atletas!M239="Tongbeiquan B",124,IF(Atletas!M239="Wudangquan B",125,IF(Atletas!M239="Outros Estilos B",126,IF(Atletas!M239="Chaquan C",127,IF(Atletas!M239="Emeiquan C",128,IF(Atletas!M239="Fanziquan C",129,IF(Atletas!M239="Huaquan C",130,IF(Atletas!M239="Hongquan C",131,IF(Atletas!M239="Paoquan C",132,IF(Atletas!M239="Piguaquan C",133,IF(Atletas!M239="Shaolinquan C",134,IF(Atletas!M239="Tanglangquan C",135,IF(Atletas!M239="Yingzhaoquan C",136,IF(Atletas!M239="Tongbeiquan C",137,IF(Atletas!M239="Wudangquan C",138,IF(Atletas!M239="Outros Estilos C",139,0))))))))))))))))))))))))))))))))))))))))))</f>
        <v/>
      </c>
      <c r="BT248" s="50" t="str">
        <f>IF(Atletas!M239="","",IF(Atletas!X239&lt;&gt;"",10000,0)+(IF(Atletas!B239="Feminino",1000,IF(Atletas!B239="Masculino",2000,""))+(IF(Atletas!M239="Chaquan D",140,IF(Atletas!M239="Emeiquan D",141,IF(Atletas!M239="Fanziquan D",142,IF(Atletas!M239="Huaquan D",143,IF(Atletas!M239="Hongquan D",144,IF(Atletas!M239="Paoquan D",145,IF(Atletas!M239="Piguaquan D",146,IF(Atletas!M239="Shaolinquan D",147,IF(Atletas!M239="Tanglangquan D",148,IF(Atletas!M239="Yingzhaoquan D",149,IF(Atletas!M239="Tongbeiquan D",150,IF(Atletas!M239="Wudangquan D",151,IF(Atletas!M239="Outros Estilos D",152,IF(Atletas!M239="Chaquan E",153,IF(Atletas!M239="Emeiquan E",154,IF(Atletas!M239="Fanziquan E",155,IF(Atletas!M239="Huaquan E",156,IF(Atletas!M239="Hongquan E",157,IF(Atletas!M239="Paoquan E",158,IF(Atletas!M239="Piguaquan E",159,IF(Atletas!M239="Shaolinquan E",160,IF(Atletas!M239="Tanglangquan E",161,IF(Atletas!M239="Yingzhaoquan E",162,IF(Atletas!M239="Tongbeiquan E",163,IF(Atletas!M239="Wudangquan E",164,IF(Atletas!M239="Outros Estilos E",165,IF(Atletas!M239="Chaquan F",166,IF(Atletas!M239="Emeiquan F",167,IF(Atletas!M239="Fanziquan F",168,IF(Atletas!M239="Huaquan F",169,IF(Atletas!M239="Hongquan F",170,IF(Atletas!M239="Paoquan F",171,IF(Atletas!M239="Piguaquan F",172,IF(Atletas!M239="Shaolinquan F",173,IF(Atletas!M239="Tanglangquan F",174,IF(Atletas!M239="Yingzhaoquan F",175,IF(Atletas!M239="Tongbeiquan F",176,IF(Atletas!M239="Wudangquan F",177,IF(Atletas!M239="Outros Estilos F",178,0))))))))))))))))))))))))))))))))))))))))))</f>
        <v/>
      </c>
      <c r="BU248" s="50" t="str">
        <f>IF(Atletas!N239="","",IF(Atletas!X239&lt;&gt;"",10000,0)+(IF(Atletas!B239="Feminino",1000,IF(Atletas!B239="Masculino",2000,""))+(IF(Atletas!N239="Ditangquan A",201,IF(Atletas!N239="Houquan A",202,IF(Atletas!N239="Zuiquan A",203,IF(Atletas!N239="Ditangquan B",204,IF(Atletas!N239="Houquan B",205,IF(Atletas!N239="Zuiquan B",206,IF(Atletas!N239="Ditangquan C",207,IF(Atletas!N239="Houquan C",208,IF(Atletas!N239="Zuiquan C",209,IF(Atletas!N239="Ditangquan D",210,IF(Atletas!N239="Houquan D",211,IF(Atletas!N239="Zuiquan D",212,IF(Atletas!N239="Ditangquan E",213,IF(Atletas!N239="Houquan E",214,IF(Atletas!N239="Zuiquan E",215,IF(Atletas!N239="Ditangquan F",216,IF(Atletas!N239="Houquan F",217,IF(Atletas!N239="Zuiquan F",218,"")))))))))))))))))))))</f>
        <v/>
      </c>
      <c r="BV248" s="50" t="str">
        <f>IF(Atletas!O239="","",IF(Atletas!X239&lt;&gt;"",10000,0)+IF(Atletas!B239="Feminino",1000,IF(Atletas!B239="Masculino",2000,""))+IF(Atletas!O239="Yang A",301,IF(Atletas!O239="Chen A",302,IF(Atletas!O239="Sun A",303,IF(Atletas!O239="Wu A",304,IF(Atletas!O239="Wu-Hao A",305,IF(Atletas!O239="Outro Taijiquan A",306,IF(Atletas!O239="Yang B",307,IF(Atletas!O239="Chen B",308,IF(Atletas!O239="Sun B",309,IF(Atletas!O239="Wu B",310,IF(Atletas!O239="Wu-Hao B",311,IF(Atletas!O239="Outro Taijiquan B",312,IF(Atletas!O239="Yang C",313,IF(Atletas!O239="Chen C",314,IF(Atletas!O239="Sun C",315,IF(Atletas!O239="Wu C",316,IF(Atletas!O239="Wu-Hao C",317,IF(Atletas!O239="Outro Taijiquan C",318,IF(Atletas!O239="Yang D",319,IF(Atletas!O239="Chen D",320,IF(Atletas!O239="Sun D",321,IF(Atletas!O239="Wu D",322,IF(Atletas!O239="Wu-Hao D",323,IF(Atletas!O239="Outro Taijiquan D",324,IF(Atletas!O239="Yang E",325,IF(Atletas!O239="Chen E",326,IF(Atletas!O239="Sun E",327,IF(Atletas!O239="Wu E",328,IF(Atletas!O239="Wu-Hao E",329,IF(Atletas!O239="Outro Taijiquan E",330,IF(Atletas!O239="Yang F",331,IF(Atletas!O239="Chen F",332,IF(Atletas!O239="Sun F",333,IF(Atletas!O239="Wu F",334,IF(Atletas!O239="Wu-Hao F",335,IF(Atletas!O239="Outro Taijiquan F",336,"")))))))))))))))))))))))))))))))))))))</f>
        <v/>
      </c>
      <c r="BW248" s="50" t="str">
        <f>IF(Atletas!P239="","",IF(Atletas!X239&lt;&gt;"",10000,0)+IF(Atletas!B239="Feminino",1000,IF(Atletas!B239="Masculino",2000,""))+IF(OR(Atletas!P239="Yang 26 A",Atletas!P239="Yang 40 A"),401,IF(OR(Atletas!P239="Chen 25 A",Atletas!P239="Chen 36 A",Atletas!P239="Chen 56 A"),402,IF(Atletas!P239="Sun 73 A",403,IF(Atletas!P239="Wu 45 A",404,IF(Atletas!P239="Wu-Hao 46 A",405,IF(OR(Atletas!P239="Taijiquan 16 A",Atletas!P239="Taijiquan 24 A",Atletas!P239="Taijiquan 32 A",Atletas!P239="Taijiquan 42 A"),406,IF(OR(Atletas!P239="Yang 26 B",Atletas!P239="Yang 40 B"),407,IF(OR(Atletas!P239="Chen 25 B",Atletas!P239="Chen 36 B",Atletas!P239="Chen 56 B"),408,IF(Atletas!P239="Sun 73 B",409,IF(Atletas!P239="Wu 45 B",410,IF(Atletas!P239="Wu-Hao 46 B",411,IF(OR(Atletas!P239="Taijiquan 16 B",Atletas!P239="Taijiquan 24 B",Atletas!P239="Taijiquan 32 B",Atletas!P239="Taijiquan 42 B"),412,IF(OR(Atletas!P239="Yang 26 C",Atletas!P239="Yang 40 C"),413,IF(OR(Atletas!P239="Chen 25 C",Atletas!P239="Chen 36 C",Atletas!P239="Chen 56 C"),414,IF(Atletas!P239="Sun 73 C",415,IF(Atletas!P239="Wu 45 C",416,IF(Atletas!P239="Wu-Hao 46 C",417,IF(OR(Atletas!P239="Taijiquan 16 C",Atletas!P239="Taijiquan 24 C",Atletas!P239="Taijiquan 32 C",Atletas!P239="Taijiquan 42 C"),418,0)))))))))))))))))))</f>
        <v/>
      </c>
      <c r="BX248" s="50" t="str">
        <f>IF(Atletas!P239="","",IF(Atletas!X239&lt;&gt;"",10000,0)+IF(Atletas!B239="Feminino",1000,IF(Atletas!B239="Masculino",2000,""))+IF(OR(Atletas!P239="Yang 26 D",Atletas!P239="Yang 40 D"),419,IF(OR(Atletas!P239="Chen 25 D",Atletas!P239="Chen 36 D",Atletas!P239="Chen 56 D"),420,IF(Atletas!P239="Sun 73 D",421,IF(Atletas!P239="Wu 45 D",422,IF(Atletas!P239="Wu-Hao 46 D",423,IF(OR(Atletas!P239="Taijiquan 16 D",Atletas!P239="Taijiquan 24 D",Atletas!P239="Taijiquan 32 D",Atletas!P239="Taijiquan 42 D"),424,IF(OR(Atletas!P239="Yang 26 E",Atletas!P239="Yang 40 E"),425,IF(OR(Atletas!P239="Chen 25 E",Atletas!P239="Chen 36 E",Atletas!P239="Chen 56 E"),426,IF(Atletas!P239="Sun 73 E",427,IF(Atletas!P239="Wu 45 E",428,IF(Atletas!P239="Wu-Hao 46 E",429,IF(OR(Atletas!P239="Taijiquan 16 E",Atletas!P239="Taijiquan 24 E",Atletas!P239="Taijiquan 32 E",Atletas!P239="Taijiquan 42 E"),430,IF(OR(Atletas!P239="Yang 26 F",Atletas!P239="Yang 40 F"),431,IF(OR(Atletas!P239="Chen 25 F",Atletas!P239="Chen 36 F",Atletas!P239="Chen 56 F"),432,IF(Atletas!P239="Sun 73 F",433,IF(Atletas!P239="Wu 45 F",434,IF(Atletas!P239="Wu-Hao 46 F",435,IF(OR(Atletas!P239="Taijiquan 16 F",Atletas!P239="Taijiquan 24 F",Atletas!P239="Taijiquan 32 F",Atletas!P239="Taijiquan 42 F"),436,0)))))))))))))))))))</f>
        <v/>
      </c>
      <c r="BY248" s="50" t="str">
        <f>IF(Atletas!Q239="","",IF(Atletas!X239&lt;&gt;"",10000,0)+IF(Atletas!B239="Feminino",1000,IF(Atletas!B239="Masculino",2000,""))+IF(Atletas!Q239="Xingyiquan A",501,IF(Atletas!Q239="Baguazhang A",502,IF(Atletas!Q239="Outro Estilo Interno A",503,IF(Atletas!Q239="Xingyiquan B",504,IF(Atletas!Q239="Baguazhang B",505,IF(Atletas!Q239="Outro Estilo Interno B",506,IF(Atletas!Q239="Xingyiquan C",507,IF(Atletas!Q239="Baguazhang C",508,IF(Atletas!Q239="Outro Estilo Interno C",509,IF(Atletas!Q239="Xingyiquan D",510,IF(Atletas!Q239="Baguazhang D",511,IF(Atletas!Q239="Outro Estilo Interno D",512,IF(Atletas!Q239="Xingyiquan E",513,IF(Atletas!Q239="Baguazhang E",514,IF(Atletas!Q239="Outro Estilo Interno E",515,IF(Atletas!Q239="Xingyiquan F",516,IF(Atletas!Q239="Baguazhang F",517,IF(Atletas!Q239="Outro Estilo Interno F",518, "")))))))))))))))))))</f>
        <v/>
      </c>
      <c r="BZ248" s="50" t="str">
        <f>IF(Atletas!R239="","",IF(Atletas!X239&lt;&gt;"",10000,0)+IF(Atletas!B239="Feminino",1000,IF(Atletas!B239="Masculino",2000,""))+IF(Atletas!R239="Dao A",601,IF(Atletas!R239="Jian A",602,IF(Atletas!R239="Bishou A",603,IF(Atletas!R239="Shanzi A",604,IF(Atletas!R239="Outra Arma Curta A",605,IF(Atletas!R239="Dao B",606,IF(Atletas!R239="Jian B",607,IF(Atletas!R239="Bishou B",608,IF(Atletas!R239="Shanzi B",609,IF(Atletas!R239="Outra Arma Curta B",610,IF(Atletas!R239="Dao C",611,IF(Atletas!R239="Jian C",612,IF(Atletas!R239="Bishou C",613,IF(Atletas!R239="Shanzi C",614,IF(Atletas!R239="Outra Arma Curta C",615,IF(Atletas!R239="Dao D",616,IF(Atletas!R239="Jian D",617,IF(Atletas!R239="Bishou D",618,IF(Atletas!R239="Shanzi D",619,IF(Atletas!R239="Outra Arma Curta D",620,IF(Atletas!R239="Dao E",621,IF(Atletas!R239="Jian E",622,IF(Atletas!R239="Bishou E",623,IF(Atletas!R239="Shanzi E",624,IF(Atletas!R239="Outra Arma Curta E",625,IF(Atletas!R239="Dao F",626,IF(Atletas!R239="Jian F",627,IF(Atletas!R239="Bishou F",628,IF(Atletas!R239="Shanzi F",629,IF(Atletas!R239="Outra Arma Curta F",630, "")))))))))))))))))))))))))))))))</f>
        <v/>
      </c>
      <c r="CA248" s="50" t="str">
        <f>IF(Atletas!S239="","",IF(Atletas!X239&lt;&gt;"",10000,0)+IF(Atletas!B239="Feminino",1000,IF(Atletas!B239="Masculino",2000,""))+IF(Atletas!S239="Gun A",701,IF(Atletas!S239="Qiang A",702,IF(Atletas!S239="Pudao / Guandao A",703,IF(Atletas!S239="Outra Arma Longa A",704,IF(Atletas!S239="Gun B",705,IF(Atletas!S239="Qiang B",706,IF(Atletas!S239="Pudao / Guandao B",707,IF(Atletas!S239="Outra Arma Longa B",708,IF(Atletas!S239="Gun C",709,IF(Atletas!S239="Qiang C",710,IF(Atletas!S239="Pudao / Guandao C",711,IF(Atletas!S239="Outra Arma Longa C",712,IF(Atletas!S239="Gun D",713,IF(Atletas!S239="Qiang D",714,IF(Atletas!S239="Pudao / Guandao D",715,IF(Atletas!S239="Outra Arma Longa D",716,IF(Atletas!S239="Gun E",717,IF(Atletas!S239="Qiang E",718,IF(Atletas!S239="Pudao / Guandao E",719,IF(Atletas!S239="Outra Arma Longa E",720,IF(Atletas!S239="Gun F",721,IF(Atletas!S239="Qiang F",722,IF(Atletas!S239="Pudao / Guandao F",723,IF(Atletas!S239="Outra Arma Longa F",724,"")))))))))))))))))))))))))</f>
        <v/>
      </c>
      <c r="CB248" s="50" t="str">
        <f>IF(Atletas!T239="","",IF(Atletas!X239&lt;&gt;"",10000,0)+IF(Atletas!B239="Feminino",1000,IF(Atletas!B239="Masculino",2000,""))+IF(Atletas!T239="Outra Arma Dupla A",801,IF(Atletas!T239="Arma Maleável A",802,IF(Atletas!T239="Outra Arma Dupla B",803,IF(Atletas!T239="Arma Maleável B",804,IF(Atletas!T239="Outra Arma Dupla C",805,IF(Atletas!T239="Arma Maleável C",806,IF(Atletas!T239="Outra Arma Dupla D",807,IF(Atletas!T239="Arma Maleável D",808,IF(Atletas!T239="Outra Arma Dupla E",809,IF(Atletas!T239="Arma Maleável E",810,IF(Atletas!T239="Outra Arma Dupla F",811,IF(Atletas!T239="Arma Maleável F",812,IF(Atletas!T239="Shuangdao A",813,IF(Atletas!T239="Shuangdao B",814,IF(Atletas!T239="Shuangdao C",815,IF(Atletas!T239="Shuangdao D",816,IF(Atletas!T239="Shuangdao E",817,IF(Atletas!T239="Shuangdao F",818,"")))))))))))))))))))</f>
        <v/>
      </c>
      <c r="CC248" s="50" t="str">
        <f>IF(Atletas!U239="","",IF(Atletas!X239&lt;&gt;"",10000,0)+IF(Atletas!B239="Feminino",1000,IF(Atletas!B239="Masculino",2000,""))+IF(OR(Atletas!U239="Taijijian Yang A",Atletas!U239="Taijijian Yang Standard A"),901,IF(OR(Atletas!U239="Taijijian Chen A", Atletas!U239="Taijijian Chen Standard A"),902,IF(Atletas!U239="Taijijian Sun A",903,IF(Atletas!U239="Taijijian Wu A",904,IF(Atletas!U239="Taijijian Wu-Hao A",905,IF(OR(Atletas!U239="Taijijian 32 A",Atletas!U239="Taijijian 42 A"),906,IF(OR(Atletas!U239="Taijijian Yang B",Atletas!U239="Taijijian Yang Standard B"),907,IF(OR(Atletas!U239="Taijijian Chen B", Atletas!U239="Taijijian Chen Standard B"),908,IF(Atletas!U239="Taijijian Sun B",909,IF(Atletas!U239="Taijijian Wu B",910,IF(Atletas!U239="Taijijian Wu-Hao B",911,IF(OR(Atletas!U239="Taijijian 32 B",Atletas!U239="Taijijian 42 B"),912,IF(OR(Atletas!U239="Taijijian Yang C",Atletas!U239="Taijijian Yang Standard C"),913,IF(OR(Atletas!U239="Taijijian Chen C", Atletas!U239="Taijijian Chen Standard C"),914,IF(Atletas!U239="Taijijian Sun C",915,IF(Atletas!U239="Taijijian Wu C",916,IF(Atletas!U239="Taijijian Wu-Hao C",917,IF(OR(Atletas!U239="Taijijian 32 C",Atletas!U239="Taijijian 42 C"),918,IF(OR(Atletas!U239="Taijijian Yang D",Atletas!U239="Taijijian Yang Standard D"),919,IF(OR(Atletas!U239="Taijijian Chen D", Atletas!U239="Taijijian Chen Standard D"),920,IF(Atletas!U239="Taijijian Sun D",921,IF(Atletas!U239="Taijijian Wu D",922,IF(Atletas!U239="Taijijian Wu-Hao D",923,IF(OR(Atletas!U239="Taijijian 32 D",Atletas!U239="Taijijian 42 D"),924,IF(OR(Atletas!U239="Taijijian Yang E",Atletas!U239="Taijijian Yang Standard E"),925,IF(OR(Atletas!U239="Taijijian Chen E", Atletas!U239="Taijijian Chen Standard E"),926,IF(Atletas!U239="Taijijian Sun E",927,IF(Atletas!U239="Taijijian Wu E",928,IF(Atletas!U239="Taijijian Wu-Hao E",929,IF(OR(Atletas!U239="Taijijian 32 E",Atletas!U239="Taijijian 42 E"),930,IF(OR(Atletas!U239="Taijijian Yang F",Atletas!U239="Taijijian Yang Standard F"),931,IF(OR(Atletas!U239="Taijijian Chen F", Atletas!U239="Taijijian Chen Standard F"),932,IF(Atletas!U239="Taijijian Sun F",933,IF(Atletas!U239="Taijijian Wu F",934,IF(Atletas!U239="Taijijian Wu-Hao F",935,IF(OR(Atletas!U239="Taijijian 32 F",Atletas!U239="Taijijian 42 F"),936,"")))))))))))))))))))))))))))))))))))))</f>
        <v/>
      </c>
      <c r="CD248" s="50" t="str">
        <f>IF(Atletas!V239="","",IF(Atletas!X239&lt;&gt;"",10000,0)+IF(Atletas!B239="Feminino",1000,IF(Atletas!B239="Masculino",2000,""))+IF(Atletas!V239="Taijidao A",937,IF(Atletas!V239="TaijiShanzi A",938,IF(Atletas!V239="Taijiqiang A",939,IF(Atletas!V239="Bagua de Arma A",940,IF(Atletas!V239="Xingyi de Arma A",941,IF(Atletas!V239="Taijidao B",942,IF(Atletas!V239="TaijiShanzi B",943,IF(Atletas!V239="Taijiqiang B",944,IF(Atletas!V239="Bagua de Arma B",945,IF(Atletas!V239="Xingyi de Arma B",946,IF(Atletas!V239="Taijidao C",947,IF(Atletas!V239="TaijiShanzi C",948,IF(Atletas!V239="Taijiqiang C",949,IF(Atletas!V239="Bagua de Arma C",950,IF(Atletas!V239="Xingyi de Arma C",951,IF(Atletas!V239="Taijidao D",952,IF(Atletas!V239="TaijiShanzi D",953,IF(Atletas!V239="Taijiqiang D",954,IF(Atletas!V239="Bagua de Arma D",955,IF(Atletas!V239="Xingyi de Arma D",956,IF(Atletas!V239="Taijidao E",957,IF(Atletas!V239="TaijiShanzi E",958,IF(Atletas!V239="Taijiqiang E",959,IF(Atletas!V239="Bagua de Arma E",960,IF(Atletas!V239="Xingyi de Arma E",961,IF(Atletas!V239="Taijidao F",962,IF(Atletas!V239="TaijiShanzi F",963,IF(Atletas!V239="Taijiqiang F",964,IF(Atletas!V239="Bagua de Arma F",965,IF(Atletas!V239="Xingyi de Arma F",966,"")))))))))))))))))))))))))))))))</f>
        <v/>
      </c>
      <c r="CE248" s="66" t="str">
        <f>IF(CF248&lt;&gt;"","Outra Arma Curta D","")</f>
        <v/>
      </c>
      <c r="CF248" s="66" t="str">
        <f>IF(COUNTIF(BR:CD,1620)&gt;0,COUNTIF(BR:CD,1620),"")</f>
        <v/>
      </c>
      <c r="CG248" s="66" t="str">
        <f>IF(CH248&lt;&gt;"","Outra Arma Curta D","")</f>
        <v/>
      </c>
      <c r="CH248" s="66" t="str">
        <f>IF(COUNTIF(BR:CD,2620)&gt;0,COUNTIF(BR:CD,2620),"")</f>
        <v/>
      </c>
      <c r="CI248" s="66" t="str">
        <f>IF(CJ248&lt;&gt;"","Dao F","")</f>
        <v/>
      </c>
      <c r="CJ248" s="66" t="str">
        <f>IF(COUNTIF(BR:CD,11626)&gt;0,COUNTIF(BR:CD,11626),"")</f>
        <v/>
      </c>
      <c r="CK248" s="66" t="str">
        <f>IF(CL248&lt;&gt;"","Dao F","")</f>
        <v/>
      </c>
      <c r="CL248" s="66" t="str">
        <f>IF(COUNTIF(BR:CD,12626)&gt;0,COUNTIF(BR:CD,12626),"")</f>
        <v/>
      </c>
      <c r="CM248" s="50" t="str">
        <f xml:space="preserve"> IF(Atletas!W239="","",IF(Atletas!W239="Duilian de Mãos BC - Equipe 1",1,IF(Atletas!W239="Duilian de Mãos BC - Equipe 2",2,IF(Atletas!W239="Duilian de Armas BC - Equipe 1",3,IF(Atletas!W239="Duilian de Armas BC - Equipe 2",4,IF(Atletas!W239="Duilian de Mãos DE - Equipe 1",5,IF(Atletas!W239="Duilian de Mãos DE - Equipe 2",6,IF(Atletas!W239="Duilian de Armas DE - Equipe 1",7,IF(Atletas!W239="Duilian de Armas DE - Equipe 2",8,IF(Atletas!W239="Duilian de Tuishou - Equipe 1",9,IF(Atletas!W239="Duilian de Tuishou - Equipe 2",10,IF(Atletas!W239="Grupo Externo ABC - Equipe 1",11,IF(Atletas!W239="Grupo Externo ABC - Equipe 2",12,IF(Atletas!W239="Grupo Interno ABC - Equipe 1",13,IF(Atletas!W239="Grupo Interno ABC - Equipe 2",14,IF(Atletas!W239="Grupo Externo DEF - Equipe 1",15,IF(Atletas!W239="Grupo Externo DEF - Equipe 2",16,IF(Atletas!W239="Grupo Interno DEF - Equipe 1",17,IF(Atletas!W239="Grupo Interno DEF - Equipe 2",18,"")))))))))))))))))))</f>
        <v/>
      </c>
    </row>
    <row r="249" spans="2:91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 t="str">
        <f t="array" ref="Z249">IFERROR(INDEX(CE$7:CE$348,SMALL(IF(CE$7:CE$348&lt;&gt;"",ROW(CE$7:CE$348)-ROW(CE$7)+1),ROWS(CE$7:CE248))),"")</f>
        <v/>
      </c>
      <c r="AA249" s="3" t="str">
        <f t="array" ref="AA249">IFERROR(INDEX(CF$7:CF$348,SMALL(IF(CF$7:CF$348&lt;&gt;"",ROW(CF$7:CF$348)-ROW(CF$7)+1),ROWS(CF$7:CF248))),"")</f>
        <v/>
      </c>
      <c r="AB249" s="3" t="str">
        <f t="array" ref="AB249">IFERROR(INDEX(CG$7:CG$348,SMALL(IF(CG$7:CG$348&lt;&gt;"",ROW(CG$7:CG$348)-ROW(CG$7)+1),ROWS(CG$7:CG248))),"")</f>
        <v/>
      </c>
      <c r="AC249" s="3" t="str">
        <f t="array" ref="AC249">IFERROR(INDEX(CH$7:CH$348,SMALL(IF(CH$7:CH$348&lt;&gt;"",ROW(CH$7:CH$348)-ROW(CH$7)+1),ROWS(CH$7:CH248))),"")</f>
        <v/>
      </c>
      <c r="AD249" s="3" t="str">
        <f t="array" ref="AD249">IFERROR(INDEX(CI$7:CI$377,SMALL(IF(CI$7:CI$377&lt;&gt;"",ROW(CI$7:CI$377)-ROW(CI$7)+1),ROWS(CI$7:CI248))),"")</f>
        <v/>
      </c>
      <c r="AE249" s="3" t="str">
        <f t="array" ref="AE249">IFERROR(INDEX(CJ$7:CJ$378,SMALL(IF(CJ$7:CJ$378&lt;&gt;"",ROW(CJ$7:CJ$378)-ROW(CJ$7)+1),ROWS(CJ$7:CJ248))),"")</f>
        <v/>
      </c>
      <c r="AF249" s="3" t="str">
        <f t="array" ref="AF249">IFERROR(INDEX(CK$7:CK$378,SMALL(IF(CK$7:CK$378&lt;&gt;"",ROW(CK$7:CK$378)-ROW(CK$7)+1),ROWS(CK$7:CK248))),"")</f>
        <v/>
      </c>
      <c r="AG249" s="3" t="str">
        <f t="array" ref="AG249">IFERROR(INDEX(CL$7:CL$378,SMALL(IF(CL$7:CL$378&lt;&gt;"",ROW(CL$7:CL$378)-ROW(CL$7)+1),ROWS(CL$7:CL248))),"")</f>
        <v/>
      </c>
      <c r="AH249" s="3"/>
      <c r="AI249" s="3"/>
      <c r="AJ249" s="3"/>
      <c r="AK249" s="3"/>
      <c r="AL249" s="3"/>
      <c r="AM249" s="3"/>
      <c r="AN249" s="52" t="str">
        <f>IF(Atletas!D240="","",IF(Atletas!B240="Feminino",100,IF(Atletas!B240="Masculino",200,""))+(IF(Atletas!D240="Kids 30kg",1,IF(Atletas!D240="Kids 32kg",2, IF(Atletas!D240="Kids 34kg",3,IF(Atletas!D240="Kids 36kg",4,IF(Atletas!D240="Kids 39kg",5,IF(Atletas!D240="Kids 42kg",6,IF(Atletas!D240="Kids 45kg",7, IF(Atletas!D240="Infantil 39kg",8,IF(Atletas!D240="Infantil 42kg",9,IF(Atletas!D240="Infantil 45kg",10,IF(Atletas!D240="Infantil 48kg",11,IF(Atletas!D240="Infantil 52kg",12,IF(Atletas!D240="Infantil 56kg",13,IF(Atletas!D240="Infantil 60kg",14,IF(Atletas!D240="Juvenil 48kg",15,IF(Atletas!D240="Juvenil 52kg",16,IF(Atletas!D240="Juvenil 56kg",17,IF(Atletas!D240="Juvenil 60kg",18,IF(Atletas!D240="Juvenil 65kg",19,IF(Atletas!D240="Juvenil 70kg",20,IF(Atletas!D240="Juvenil 75kg",21,IF(Atletas!D240="Juvenil 80kg",22, IF(Atletas!D240="Juvenil 85kg",23,IF(Atletas!D240="Adulto 48kg",24,IF(Atletas!D240="Adulto 52kg",25,IF(Atletas!D240="Adulto 56kg",26,IF(Atletas!D240="Adulto 60kg",27,IF(Atletas!D240="Adulto 65kg",28,IF(Atletas!D240="Adulto 70kg",29,IF(Atletas!D240="Adulto 75kg",30,IF(Atletas!D240="Adulto 80kg",31,IF(Atletas!D240="Adulto 85kg",32,IF(Atletas!D240="Adulto 90kg",33,IF(Atletas!D240="Adulto 100kg",34, IF(Atletas!D240="Adulto +100kg",35,"")))))))))))))))))))))))))))))))))))))</f>
        <v/>
      </c>
      <c r="AS249" s="6" t="str">
        <f>IF(Atletas!E240="","",IF(Atletas!B240="Feminino",100,IF(Atletas!B240="Masculino",200,""))+(IF(Atletas!E240="Juvenil 44kg",1,IF(Atletas!E240="Juvenil 48kg",2,IF(Atletas!E240="Juvenil 52kg",3,IF(Atletas!E240="Juvenil 56kg",4,IF(Atletas!E240="Juvenil 60kg",5,IF(Atletas!E240="Juvenil 65kg",6,IF(Atletas!E240="Juvenil 70kg",7,IF(Atletas!E240="Juvenil 75kg",8,IF(Atletas!E240="Juvenil 82kg",9,IF(Atletas!E240="Juvenil 90kg",10,IF(Atletas!E240="Juvenil 100kg",11,IF(Atletas!E240="Adulto 48kg",12,IF(Atletas!E240="Adulto 52kg",13,IF(Atletas!E240="Adulto 56kg",14,IF(Atletas!E240="Adulto 60kg",15,IF(Atletas!E240="Adulto 65kg",16,IF(Atletas!E240="Adulto 70kg",17,IF(Atletas!E240="Adulto 75kg",18,IF(Atletas!E240="Adulto 82kg",19,IF(Atletas!E240="Adulto 90kg",20,IF(Atletas!E240="Adulto 100kg",21,IF(Atletas!E240="Adulto +100kg",22,""))))))))))))))))))))))))</f>
        <v/>
      </c>
      <c r="AX249" s="6" t="str">
        <f>IF(Atletas!F240="","",IF(Atletas!B240="Feminino",100,IF(Atletas!B240="Masculino",200,""))+(IF(Atletas!F240="Adulto 48kg",1,IF(Atletas!F240="Adulto 56kg",2,IF(Atletas!F240="Adulto 65kg",3,IF(Atletas!F240="Adulto 75kg",4,IF(Atletas!F240="Adulto +75kg",5,IF(Atletas!F240="Adulto 52kg",6,IF(Atletas!F240="Adulto 60kg",7,IF(Atletas!F240="Adulto 70kg",8,IF(Atletas!F240="Adulto 80kg",9,IF(Atletas!F240="Adulto 90kg",10,IF(Atletas!F240="Adulto +90kg",11,"")))))))))))))</f>
        <v/>
      </c>
      <c r="BC249" s="6" t="str">
        <f>IF(Atletas!G240="","",IF(Atletas!B240="Feminino",10,IF(Atletas!B240="Masculino",20,""))+(IF(Atletas!G240="Baduanjin A",1,IF(Atletas!G240="Baduanjin B",2))))</f>
        <v/>
      </c>
      <c r="BF249" s="52" t="str">
        <f>IF(Atletas!H240="","",IF(Atletas!B240="Feminino",100,IF(Atletas!B240="Masculino",200,""))+(IF(Atletas!H240="Changquan Mirim",1,IF(Atletas!H240="Nanquan Mirim",2,IF(Atletas!H240="Taijiquan Mirim",3,IF(Atletas!H240="Changquan Grupo C",4,IF(Atletas!H240="Nanquan Grupo C",5,IF(Atletas!H240="Taijiquan Grupo C",6,IF(Atletas!H240="Changquan Grupo B",7,IF(Atletas!H240="Nanquan Grupo B",8,IF(Atletas!H240="Taijiquan Grupo B",9,IF(Atletas!H240="Changquan Grupo A",10,IF(Atletas!H240="Nanquan Grupo A",11,IF(Atletas!H240="Taijiquan Grupo A",12,IF(Atletas!H240="Changquan Opcional",13,IF(Atletas!H240="Nanquan Opcional",14,IF(Atletas!H240="Taijiquan Opcional",15,IF(Atletas!H240="Changquan Adulto",16,IF(Atletas!H240="Nanquan Adulto",17,IF(Atletas!H240="Taijiquan Adulto",18,""))))))))))))))))))))</f>
        <v/>
      </c>
      <c r="BG249" s="52" t="str">
        <f>IF(Atletas!I240="","",IF(Atletas!B240="Feminino",100,IF(Atletas!B240="Masculino",200,""))+(IF(Atletas!I240="Daoshu Mirim",19,IF(Atletas!I240="Jianshu Mirim",20,IF(Atletas!I240="Nandao Mirim",21,IF(Atletas!I240="Taijijian Mirim",22,IF(Atletas!I240="Daoshu Grupo C",23,IF(Atletas!I240="Jianshu Grupo C",24,IF(Atletas!I240="Nandao Grupo C",25,IF(Atletas!I240="Taijijian Grupo C",26,IF(Atletas!I240="Daoshu Grupo B",27,IF(Atletas!I240="Jianshu Grupo B",28,IF(Atletas!I240="Nandao Grupo B",29,IF(Atletas!I240="Taijijian Grupo B",30,IF(Atletas!I240="Daoshu Grupo A",31,IF(Atletas!I240="Jianshu Grupo A",32,IF(Atletas!I240="Nandao Grupo A",33,IF(Atletas!I240="Taijijian Grupo A",34,IF(Atletas!I240="Daoshu Opcional",35,IF(Atletas!I240="Jianshu Opcional",36,IF(Atletas!I240="Nandao Opcional",37,IF(Atletas!I240="Taijijian Opcional",38,IF(Atletas!I240="Daoshu Adulto",39,IF(Atletas!I240="Jianshu Adulto",40,IF(Atletas!I240="Nandao Adulto",41,IF(Atletas!I240="Taijijian Adulto",42,""))))))))))))))))))))))))))</f>
        <v/>
      </c>
      <c r="BH249" s="52" t="str">
        <f>IF(Atletas!J240="","",IF(Atletas!B240="Feminino",100,IF(Atletas!B240="Masculino",200,""))+(IF(Atletas!J240="Gunshu Mirim",43,IF(Atletas!J240="Qiangshu Mirim",44,IF(Atletas!J240="Nangun Mirim",45,IF(Atletas!J240="Gunshu Grupo C",46,IF(Atletas!J240="Qiangshu Grupo C",47,IF(Atletas!J240="Nangun Grupo C",48,IF(Atletas!J240="Gunshu Grupo B",49,IF(Atletas!J240="Qiangshu Grupo B",50,IF(Atletas!J240="Nangun Grupo B",51,IF(Atletas!J240="Gunshu Grupo A",52,IF(Atletas!J240="Qiangshu Grupo A",53,IF(Atletas!J240="Nangun Grupo A",54,IF(Atletas!J240="Gunshu Opcional",55,IF(Atletas!J240="Qiangshu Opcional",56,IF(Atletas!J240="Nangun Opcional",57,IF(Atletas!J240="Gunshu Adulto",58,IF(Atletas!J240="Qiangshu Adulto",59,IF(Atletas!J240="Nangun Adulto",60,IF(Atletas!J240="Taijishan Grupo B",61,IF(Atletas!J240="Taijishan Grupo A",62,""))))))))))))))))))))))</f>
        <v/>
      </c>
      <c r="BM249" s="50" t="str">
        <f>IF(Atletas!K240="","",IF(Atletas!B240="Feminino",100,IF(Atletas!B240="Masculino",200,""))+(IF(Atletas!K240="Equipe 1 Grupo B",1,IF(Atletas!K240="Equipe 2 Grupo B",2,IF(Atletas!K240="Equipe 1 Grupo A",3,IF(Atletas!K240="Equipe 2 Grupo A",4,IF(Atletas!K240="Equipe 1 Adulto",5,IF(Atletas!K240="Equipe 2 Adulto",6,""))))))))</f>
        <v/>
      </c>
      <c r="BR249" s="50" t="str">
        <f>IF(Atletas!L240="","",IF(Atletas!X240&lt;&gt;"",10000,0)+(IF(Atletas!B240="Feminino",1000,IF(Atletas!B240="Masculino",2000,""))+IF(Atletas!L240="Choylayfut A",1,IF(Atletas!L240="Hunggar A",2,IF(Atletas!L240="Wuzuquan A",3,IF(Atletas!L240="Wingchun A",4,IF(Atletas!L240="Outra Mão de Sul A",5,IF(Atletas!L240="Choylayfut B",6,IF(Atletas!L240="Hunggar B",7,IF(Atletas!L240="Wuzuquan B",8,IF(Atletas!L240="Wingchun B",9,IF(Atletas!L240="Outra Mão de Sul B",10,IF(Atletas!L240="Choylayfut C",11,IF(Atletas!L240="Hunggar C",12,IF(Atletas!L240="Wuzuquan C",13,IF(Atletas!L240="Wingchun C",14,IF(Atletas!L240="Outra Mão de Sul C",15,IF(Atletas!L240="Choylayfut D",16,IF(Atletas!L240="Hunggar D",17,IF(Atletas!L240="Wuzuquan D",18,IF(Atletas!L240="Wingchun D",19,IF(Atletas!L240="Outra Mão de Sul D",20,IF(Atletas!L240="Choylayfut E",21,IF(Atletas!L240="Hunggar E",22,IF(Atletas!L240="Wuzuquan E",23,IF(Atletas!L240="Wingchun E",24,IF(Atletas!L240="Outra Mão de Sul E",25,IF(Atletas!L240="Choylayfut F",26,IF(Atletas!L240="Hunggar F",27,IF(Atletas!L240="Wuzuquan F",28,IF(Atletas!L240="Wingchun F",29,IF(Atletas!L240="Outra Mão de Sul F",30,IF(Atletas!L240="Dishuquan A",31,IF(Atletas!L240="Dishuquan B",32,IF(Atletas!L240="Dishuquan C",33,IF(Atletas!L240="Dishuquan D",34,IF(Atletas!L240="Dishuquan E",35,IF(Atletas!L240="Dishuquan F",36,""))))))))))))))))))))))))))))))))))))))</f>
        <v/>
      </c>
      <c r="BS249" s="50" t="str">
        <f>IF(Atletas!M240="","",IF(Atletas!X240&lt;&gt;"",10000,0)+(IF(Atletas!B240="Feminino",1000,IF(Atletas!B240="Masculino",2000,""))+(IF(Atletas!M240="Chaquan A",101,IF(Atletas!M240="Emeiquan A",102,IF(Atletas!M240="Fanziquan A",103,IF(Atletas!M240="Huaquan A",104,IF(Atletas!M240="Hongquan A",105,IF(Atletas!M240="Paoquan A",106,IF(Atletas!M240="Piguaquan A",107,IF(Atletas!M240="Shaolinquan A",108,IF(Atletas!M240="Tanglangquan A",109,IF(Atletas!M240="Yingzhaoquan A",110,IF(Atletas!M240="Tongbeiquan A",111,IF(Atletas!M240="Wudangquan A",112,IF(Atletas!M240="Outros Estilos A",113,IF(Atletas!M240="Chaquan B",114,IF(Atletas!M240="Emeiquan B",115,IF(Atletas!M240="Fanziquan B",116,IF(Atletas!M240="Huaquan B",117,IF(Atletas!M240="Hongquan B",118,IF(Atletas!M240="Paoquan B",119,IF(Atletas!M240="Piguaquan B",120,IF(Atletas!M240="Shaolinquan B",121,IF(Atletas!M240="Tanglangquan B",122,IF(Atletas!M240="Yingzhaoquan B",123,IF(Atletas!M240="Tongbeiquan B",124,IF(Atletas!M240="Wudangquan B",125,IF(Atletas!M240="Outros Estilos B",126,IF(Atletas!M240="Chaquan C",127,IF(Atletas!M240="Emeiquan C",128,IF(Atletas!M240="Fanziquan C",129,IF(Atletas!M240="Huaquan C",130,IF(Atletas!M240="Hongquan C",131,IF(Atletas!M240="Paoquan C",132,IF(Atletas!M240="Piguaquan C",133,IF(Atletas!M240="Shaolinquan C",134,IF(Atletas!M240="Tanglangquan C",135,IF(Atletas!M240="Yingzhaoquan C",136,IF(Atletas!M240="Tongbeiquan C",137,IF(Atletas!M240="Wudangquan C",138,IF(Atletas!M240="Outros Estilos C",139,0))))))))))))))))))))))))))))))))))))))))))</f>
        <v/>
      </c>
      <c r="BT249" s="50" t="str">
        <f>IF(Atletas!M240="","",IF(Atletas!X240&lt;&gt;"",10000,0)+(IF(Atletas!B240="Feminino",1000,IF(Atletas!B240="Masculino",2000,""))+(IF(Atletas!M240="Chaquan D",140,IF(Atletas!M240="Emeiquan D",141,IF(Atletas!M240="Fanziquan D",142,IF(Atletas!M240="Huaquan D",143,IF(Atletas!M240="Hongquan D",144,IF(Atletas!M240="Paoquan D",145,IF(Atletas!M240="Piguaquan D",146,IF(Atletas!M240="Shaolinquan D",147,IF(Atletas!M240="Tanglangquan D",148,IF(Atletas!M240="Yingzhaoquan D",149,IF(Atletas!M240="Tongbeiquan D",150,IF(Atletas!M240="Wudangquan D",151,IF(Atletas!M240="Outros Estilos D",152,IF(Atletas!M240="Chaquan E",153,IF(Atletas!M240="Emeiquan E",154,IF(Atletas!M240="Fanziquan E",155,IF(Atletas!M240="Huaquan E",156,IF(Atletas!M240="Hongquan E",157,IF(Atletas!M240="Paoquan E",158,IF(Atletas!M240="Piguaquan E",159,IF(Atletas!M240="Shaolinquan E",160,IF(Atletas!M240="Tanglangquan E",161,IF(Atletas!M240="Yingzhaoquan E",162,IF(Atletas!M240="Tongbeiquan E",163,IF(Atletas!M240="Wudangquan E",164,IF(Atletas!M240="Outros Estilos E",165,IF(Atletas!M240="Chaquan F",166,IF(Atletas!M240="Emeiquan F",167,IF(Atletas!M240="Fanziquan F",168,IF(Atletas!M240="Huaquan F",169,IF(Atletas!M240="Hongquan F",170,IF(Atletas!M240="Paoquan F",171,IF(Atletas!M240="Piguaquan F",172,IF(Atletas!M240="Shaolinquan F",173,IF(Atletas!M240="Tanglangquan F",174,IF(Atletas!M240="Yingzhaoquan F",175,IF(Atletas!M240="Tongbeiquan F",176,IF(Atletas!M240="Wudangquan F",177,IF(Atletas!M240="Outros Estilos F",178,0))))))))))))))))))))))))))))))))))))))))))</f>
        <v/>
      </c>
      <c r="BU249" s="50" t="str">
        <f>IF(Atletas!N240="","",IF(Atletas!X240&lt;&gt;"",10000,0)+(IF(Atletas!B240="Feminino",1000,IF(Atletas!B240="Masculino",2000,""))+(IF(Atletas!N240="Ditangquan A",201,IF(Atletas!N240="Houquan A",202,IF(Atletas!N240="Zuiquan A",203,IF(Atletas!N240="Ditangquan B",204,IF(Atletas!N240="Houquan B",205,IF(Atletas!N240="Zuiquan B",206,IF(Atletas!N240="Ditangquan C",207,IF(Atletas!N240="Houquan C",208,IF(Atletas!N240="Zuiquan C",209,IF(Atletas!N240="Ditangquan D",210,IF(Atletas!N240="Houquan D",211,IF(Atletas!N240="Zuiquan D",212,IF(Atletas!N240="Ditangquan E",213,IF(Atletas!N240="Houquan E",214,IF(Atletas!N240="Zuiquan E",215,IF(Atletas!N240="Ditangquan F",216,IF(Atletas!N240="Houquan F",217,IF(Atletas!N240="Zuiquan F",218,"")))))))))))))))))))))</f>
        <v/>
      </c>
      <c r="BV249" s="50" t="str">
        <f>IF(Atletas!O240="","",IF(Atletas!X240&lt;&gt;"",10000,0)+IF(Atletas!B240="Feminino",1000,IF(Atletas!B240="Masculino",2000,""))+IF(Atletas!O240="Yang A",301,IF(Atletas!O240="Chen A",302,IF(Atletas!O240="Sun A",303,IF(Atletas!O240="Wu A",304,IF(Atletas!O240="Wu-Hao A",305,IF(Atletas!O240="Outro Taijiquan A",306,IF(Atletas!O240="Yang B",307,IF(Atletas!O240="Chen B",308,IF(Atletas!O240="Sun B",309,IF(Atletas!O240="Wu B",310,IF(Atletas!O240="Wu-Hao B",311,IF(Atletas!O240="Outro Taijiquan B",312,IF(Atletas!O240="Yang C",313,IF(Atletas!O240="Chen C",314,IF(Atletas!O240="Sun C",315,IF(Atletas!O240="Wu C",316,IF(Atletas!O240="Wu-Hao C",317,IF(Atletas!O240="Outro Taijiquan C",318,IF(Atletas!O240="Yang D",319,IF(Atletas!O240="Chen D",320,IF(Atletas!O240="Sun D",321,IF(Atletas!O240="Wu D",322,IF(Atletas!O240="Wu-Hao D",323,IF(Atletas!O240="Outro Taijiquan D",324,IF(Atletas!O240="Yang E",325,IF(Atletas!O240="Chen E",326,IF(Atletas!O240="Sun E",327,IF(Atletas!O240="Wu E",328,IF(Atletas!O240="Wu-Hao E",329,IF(Atletas!O240="Outro Taijiquan E",330,IF(Atletas!O240="Yang F",331,IF(Atletas!O240="Chen F",332,IF(Atletas!O240="Sun F",333,IF(Atletas!O240="Wu F",334,IF(Atletas!O240="Wu-Hao F",335,IF(Atletas!O240="Outro Taijiquan F",336,"")))))))))))))))))))))))))))))))))))))</f>
        <v/>
      </c>
      <c r="BW249" s="50" t="str">
        <f>IF(Atletas!P240="","",IF(Atletas!X240&lt;&gt;"",10000,0)+IF(Atletas!B240="Feminino",1000,IF(Atletas!B240="Masculino",2000,""))+IF(OR(Atletas!P240="Yang 26 A",Atletas!P240="Yang 40 A"),401,IF(OR(Atletas!P240="Chen 25 A",Atletas!P240="Chen 36 A",Atletas!P240="Chen 56 A"),402,IF(Atletas!P240="Sun 73 A",403,IF(Atletas!P240="Wu 45 A",404,IF(Atletas!P240="Wu-Hao 46 A",405,IF(OR(Atletas!P240="Taijiquan 16 A",Atletas!P240="Taijiquan 24 A",Atletas!P240="Taijiquan 32 A",Atletas!P240="Taijiquan 42 A"),406,IF(OR(Atletas!P240="Yang 26 B",Atletas!P240="Yang 40 B"),407,IF(OR(Atletas!P240="Chen 25 B",Atletas!P240="Chen 36 B",Atletas!P240="Chen 56 B"),408,IF(Atletas!P240="Sun 73 B",409,IF(Atletas!P240="Wu 45 B",410,IF(Atletas!P240="Wu-Hao 46 B",411,IF(OR(Atletas!P240="Taijiquan 16 B",Atletas!P240="Taijiquan 24 B",Atletas!P240="Taijiquan 32 B",Atletas!P240="Taijiquan 42 B"),412,IF(OR(Atletas!P240="Yang 26 C",Atletas!P240="Yang 40 C"),413,IF(OR(Atletas!P240="Chen 25 C",Atletas!P240="Chen 36 C",Atletas!P240="Chen 56 C"),414,IF(Atletas!P240="Sun 73 C",415,IF(Atletas!P240="Wu 45 C",416,IF(Atletas!P240="Wu-Hao 46 C",417,IF(OR(Atletas!P240="Taijiquan 16 C",Atletas!P240="Taijiquan 24 C",Atletas!P240="Taijiquan 32 C",Atletas!P240="Taijiquan 42 C"),418,0)))))))))))))))))))</f>
        <v/>
      </c>
      <c r="BX249" s="50" t="str">
        <f>IF(Atletas!P240="","",IF(Atletas!X240&lt;&gt;"",10000,0)+IF(Atletas!B240="Feminino",1000,IF(Atletas!B240="Masculino",2000,""))+IF(OR(Atletas!P240="Yang 26 D",Atletas!P240="Yang 40 D"),419,IF(OR(Atletas!P240="Chen 25 D",Atletas!P240="Chen 36 D",Atletas!P240="Chen 56 D"),420,IF(Atletas!P240="Sun 73 D",421,IF(Atletas!P240="Wu 45 D",422,IF(Atletas!P240="Wu-Hao 46 D",423,IF(OR(Atletas!P240="Taijiquan 16 D",Atletas!P240="Taijiquan 24 D",Atletas!P240="Taijiquan 32 D",Atletas!P240="Taijiquan 42 D"),424,IF(OR(Atletas!P240="Yang 26 E",Atletas!P240="Yang 40 E"),425,IF(OR(Atletas!P240="Chen 25 E",Atletas!P240="Chen 36 E",Atletas!P240="Chen 56 E"),426,IF(Atletas!P240="Sun 73 E",427,IF(Atletas!P240="Wu 45 E",428,IF(Atletas!P240="Wu-Hao 46 E",429,IF(OR(Atletas!P240="Taijiquan 16 E",Atletas!P240="Taijiquan 24 E",Atletas!P240="Taijiquan 32 E",Atletas!P240="Taijiquan 42 E"),430,IF(OR(Atletas!P240="Yang 26 F",Atletas!P240="Yang 40 F"),431,IF(OR(Atletas!P240="Chen 25 F",Atletas!P240="Chen 36 F",Atletas!P240="Chen 56 F"),432,IF(Atletas!P240="Sun 73 F",433,IF(Atletas!P240="Wu 45 F",434,IF(Atletas!P240="Wu-Hao 46 F",435,IF(OR(Atletas!P240="Taijiquan 16 F",Atletas!P240="Taijiquan 24 F",Atletas!P240="Taijiquan 32 F",Atletas!P240="Taijiquan 42 F"),436,0)))))))))))))))))))</f>
        <v/>
      </c>
      <c r="BY249" s="50" t="str">
        <f>IF(Atletas!Q240="","",IF(Atletas!X240&lt;&gt;"",10000,0)+IF(Atletas!B240="Feminino",1000,IF(Atletas!B240="Masculino",2000,""))+IF(Atletas!Q240="Xingyiquan A",501,IF(Atletas!Q240="Baguazhang A",502,IF(Atletas!Q240="Outro Estilo Interno A",503,IF(Atletas!Q240="Xingyiquan B",504,IF(Atletas!Q240="Baguazhang B",505,IF(Atletas!Q240="Outro Estilo Interno B",506,IF(Atletas!Q240="Xingyiquan C",507,IF(Atletas!Q240="Baguazhang C",508,IF(Atletas!Q240="Outro Estilo Interno C",509,IF(Atletas!Q240="Xingyiquan D",510,IF(Atletas!Q240="Baguazhang D",511,IF(Atletas!Q240="Outro Estilo Interno D",512,IF(Atletas!Q240="Xingyiquan E",513,IF(Atletas!Q240="Baguazhang E",514,IF(Atletas!Q240="Outro Estilo Interno E",515,IF(Atletas!Q240="Xingyiquan F",516,IF(Atletas!Q240="Baguazhang F",517,IF(Atletas!Q240="Outro Estilo Interno F",518, "")))))))))))))))))))</f>
        <v/>
      </c>
      <c r="BZ249" s="50" t="str">
        <f>IF(Atletas!R240="","",IF(Atletas!X240&lt;&gt;"",10000,0)+IF(Atletas!B240="Feminino",1000,IF(Atletas!B240="Masculino",2000,""))+IF(Atletas!R240="Dao A",601,IF(Atletas!R240="Jian A",602,IF(Atletas!R240="Bishou A",603,IF(Atletas!R240="Shanzi A",604,IF(Atletas!R240="Outra Arma Curta A",605,IF(Atletas!R240="Dao B",606,IF(Atletas!R240="Jian B",607,IF(Atletas!R240="Bishou B",608,IF(Atletas!R240="Shanzi B",609,IF(Atletas!R240="Outra Arma Curta B",610,IF(Atletas!R240="Dao C",611,IF(Atletas!R240="Jian C",612,IF(Atletas!R240="Bishou C",613,IF(Atletas!R240="Shanzi C",614,IF(Atletas!R240="Outra Arma Curta C",615,IF(Atletas!R240="Dao D",616,IF(Atletas!R240="Jian D",617,IF(Atletas!R240="Bishou D",618,IF(Atletas!R240="Shanzi D",619,IF(Atletas!R240="Outra Arma Curta D",620,IF(Atletas!R240="Dao E",621,IF(Atletas!R240="Jian E",622,IF(Atletas!R240="Bishou E",623,IF(Atletas!R240="Shanzi E",624,IF(Atletas!R240="Outra Arma Curta E",625,IF(Atletas!R240="Dao F",626,IF(Atletas!R240="Jian F",627,IF(Atletas!R240="Bishou F",628,IF(Atletas!R240="Shanzi F",629,IF(Atletas!R240="Outra Arma Curta F",630, "")))))))))))))))))))))))))))))))</f>
        <v/>
      </c>
      <c r="CA249" s="50" t="str">
        <f>IF(Atletas!S240="","",IF(Atletas!X240&lt;&gt;"",10000,0)+IF(Atletas!B240="Feminino",1000,IF(Atletas!B240="Masculino",2000,""))+IF(Atletas!S240="Gun A",701,IF(Atletas!S240="Qiang A",702,IF(Atletas!S240="Pudao / Guandao A",703,IF(Atletas!S240="Outra Arma Longa A",704,IF(Atletas!S240="Gun B",705,IF(Atletas!S240="Qiang B",706,IF(Atletas!S240="Pudao / Guandao B",707,IF(Atletas!S240="Outra Arma Longa B",708,IF(Atletas!S240="Gun C",709,IF(Atletas!S240="Qiang C",710,IF(Atletas!S240="Pudao / Guandao C",711,IF(Atletas!S240="Outra Arma Longa C",712,IF(Atletas!S240="Gun D",713,IF(Atletas!S240="Qiang D",714,IF(Atletas!S240="Pudao / Guandao D",715,IF(Atletas!S240="Outra Arma Longa D",716,IF(Atletas!S240="Gun E",717,IF(Atletas!S240="Qiang E",718,IF(Atletas!S240="Pudao / Guandao E",719,IF(Atletas!S240="Outra Arma Longa E",720,IF(Atletas!S240="Gun F",721,IF(Atletas!S240="Qiang F",722,IF(Atletas!S240="Pudao / Guandao F",723,IF(Atletas!S240="Outra Arma Longa F",724,"")))))))))))))))))))))))))</f>
        <v/>
      </c>
      <c r="CB249" s="50" t="str">
        <f>IF(Atletas!T240="","",IF(Atletas!X240&lt;&gt;"",10000,0)+IF(Atletas!B240="Feminino",1000,IF(Atletas!B240="Masculino",2000,""))+IF(Atletas!T240="Outra Arma Dupla A",801,IF(Atletas!T240="Arma Maleável A",802,IF(Atletas!T240="Outra Arma Dupla B",803,IF(Atletas!T240="Arma Maleável B",804,IF(Atletas!T240="Outra Arma Dupla C",805,IF(Atletas!T240="Arma Maleável C",806,IF(Atletas!T240="Outra Arma Dupla D",807,IF(Atletas!T240="Arma Maleável D",808,IF(Atletas!T240="Outra Arma Dupla E",809,IF(Atletas!T240="Arma Maleável E",810,IF(Atletas!T240="Outra Arma Dupla F",811,IF(Atletas!T240="Arma Maleável F",812,IF(Atletas!T240="Shuangdao A",813,IF(Atletas!T240="Shuangdao B",814,IF(Atletas!T240="Shuangdao C",815,IF(Atletas!T240="Shuangdao D",816,IF(Atletas!T240="Shuangdao E",817,IF(Atletas!T240="Shuangdao F",818,"")))))))))))))))))))</f>
        <v/>
      </c>
      <c r="CC249" s="50" t="str">
        <f>IF(Atletas!U240="","",IF(Atletas!X240&lt;&gt;"",10000,0)+IF(Atletas!B240="Feminino",1000,IF(Atletas!B240="Masculino",2000,""))+IF(OR(Atletas!U240="Taijijian Yang A",Atletas!U240="Taijijian Yang Standard A"),901,IF(OR(Atletas!U240="Taijijian Chen A", Atletas!U240="Taijijian Chen Standard A"),902,IF(Atletas!U240="Taijijian Sun A",903,IF(Atletas!U240="Taijijian Wu A",904,IF(Atletas!U240="Taijijian Wu-Hao A",905,IF(OR(Atletas!U240="Taijijian 32 A",Atletas!U240="Taijijian 42 A"),906,IF(OR(Atletas!U240="Taijijian Yang B",Atletas!U240="Taijijian Yang Standard B"),907,IF(OR(Atletas!U240="Taijijian Chen B", Atletas!U240="Taijijian Chen Standard B"),908,IF(Atletas!U240="Taijijian Sun B",909,IF(Atletas!U240="Taijijian Wu B",910,IF(Atletas!U240="Taijijian Wu-Hao B",911,IF(OR(Atletas!U240="Taijijian 32 B",Atletas!U240="Taijijian 42 B"),912,IF(OR(Atletas!U240="Taijijian Yang C",Atletas!U240="Taijijian Yang Standard C"),913,IF(OR(Atletas!U240="Taijijian Chen C", Atletas!U240="Taijijian Chen Standard C"),914,IF(Atletas!U240="Taijijian Sun C",915,IF(Atletas!U240="Taijijian Wu C",916,IF(Atletas!U240="Taijijian Wu-Hao C",917,IF(OR(Atletas!U240="Taijijian 32 C",Atletas!U240="Taijijian 42 C"),918,IF(OR(Atletas!U240="Taijijian Yang D",Atletas!U240="Taijijian Yang Standard D"),919,IF(OR(Atletas!U240="Taijijian Chen D", Atletas!U240="Taijijian Chen Standard D"),920,IF(Atletas!U240="Taijijian Sun D",921,IF(Atletas!U240="Taijijian Wu D",922,IF(Atletas!U240="Taijijian Wu-Hao D",923,IF(OR(Atletas!U240="Taijijian 32 D",Atletas!U240="Taijijian 42 D"),924,IF(OR(Atletas!U240="Taijijian Yang E",Atletas!U240="Taijijian Yang Standard E"),925,IF(OR(Atletas!U240="Taijijian Chen E", Atletas!U240="Taijijian Chen Standard E"),926,IF(Atletas!U240="Taijijian Sun E",927,IF(Atletas!U240="Taijijian Wu E",928,IF(Atletas!U240="Taijijian Wu-Hao E",929,IF(OR(Atletas!U240="Taijijian 32 E",Atletas!U240="Taijijian 42 E"),930,IF(OR(Atletas!U240="Taijijian Yang F",Atletas!U240="Taijijian Yang Standard F"),931,IF(OR(Atletas!U240="Taijijian Chen F", Atletas!U240="Taijijian Chen Standard F"),932,IF(Atletas!U240="Taijijian Sun F",933,IF(Atletas!U240="Taijijian Wu F",934,IF(Atletas!U240="Taijijian Wu-Hao F",935,IF(OR(Atletas!U240="Taijijian 32 F",Atletas!U240="Taijijian 42 F"),936,"")))))))))))))))))))))))))))))))))))))</f>
        <v/>
      </c>
      <c r="CD249" s="50" t="str">
        <f>IF(Atletas!V240="","",IF(Atletas!X240&lt;&gt;"",10000,0)+IF(Atletas!B240="Feminino",1000,IF(Atletas!B240="Masculino",2000,""))+IF(Atletas!V240="Taijidao A",937,IF(Atletas!V240="TaijiShanzi A",938,IF(Atletas!V240="Taijiqiang A",939,IF(Atletas!V240="Bagua de Arma A",940,IF(Atletas!V240="Xingyi de Arma A",941,IF(Atletas!V240="Taijidao B",942,IF(Atletas!V240="TaijiShanzi B",943,IF(Atletas!V240="Taijiqiang B",944,IF(Atletas!V240="Bagua de Arma B",945,IF(Atletas!V240="Xingyi de Arma B",946,IF(Atletas!V240="Taijidao C",947,IF(Atletas!V240="TaijiShanzi C",948,IF(Atletas!V240="Taijiqiang C",949,IF(Atletas!V240="Bagua de Arma C",950,IF(Atletas!V240="Xingyi de Arma C",951,IF(Atletas!V240="Taijidao D",952,IF(Atletas!V240="TaijiShanzi D",953,IF(Atletas!V240="Taijiqiang D",954,IF(Atletas!V240="Bagua de Arma D",955,IF(Atletas!V240="Xingyi de Arma D",956,IF(Atletas!V240="Taijidao E",957,IF(Atletas!V240="TaijiShanzi E",958,IF(Atletas!V240="Taijiqiang E",959,IF(Atletas!V240="Bagua de Arma E",960,IF(Atletas!V240="Xingyi de Arma E",961,IF(Atletas!V240="Taijidao F",962,IF(Atletas!V240="TaijiShanzi F",963,IF(Atletas!V240="Taijiqiang F",964,IF(Atletas!V240="Bagua de Arma F",965,IF(Atletas!V240="Xingyi de Arma F",966,"")))))))))))))))))))))))))))))))</f>
        <v/>
      </c>
      <c r="CE249" s="66" t="str">
        <f>IF(CF249&lt;&gt;"","Dao E","")</f>
        <v/>
      </c>
      <c r="CF249" s="66" t="str">
        <f>IF(COUNTIF(BR:CD,1621)&gt;0,COUNTIF(BR:CD,1621),"")</f>
        <v/>
      </c>
      <c r="CG249" s="66" t="str">
        <f>IF(CH249&lt;&gt;"","Dao E","")</f>
        <v/>
      </c>
      <c r="CH249" s="66" t="str">
        <f>IF(COUNTIF(BR:CD,2621)&gt;0,COUNTIF(BR:CD,2621),"")</f>
        <v/>
      </c>
      <c r="CI249" s="66" t="str">
        <f>IF(CJ249&lt;&gt;"","Jian F","")</f>
        <v/>
      </c>
      <c r="CJ249" s="66" t="str">
        <f>IF(COUNTIF(BR:CD,11627)&gt;0,COUNTIF(BR:CD,11627),"")</f>
        <v/>
      </c>
      <c r="CK249" s="66" t="str">
        <f>IF(CL249&lt;&gt;"","Jian F","")</f>
        <v/>
      </c>
      <c r="CL249" s="66" t="str">
        <f>IF(COUNTIF(BR:CD,12627)&gt;0,COUNTIF(BR:CD,12627),"")</f>
        <v/>
      </c>
      <c r="CM249" s="50" t="str">
        <f xml:space="preserve"> IF(Atletas!W240="","",IF(Atletas!W240="Duilian de Mãos BC - Equipe 1",1,IF(Atletas!W240="Duilian de Mãos BC - Equipe 2",2,IF(Atletas!W240="Duilian de Armas BC - Equipe 1",3,IF(Atletas!W240="Duilian de Armas BC - Equipe 2",4,IF(Atletas!W240="Duilian de Mãos DE - Equipe 1",5,IF(Atletas!W240="Duilian de Mãos DE - Equipe 2",6,IF(Atletas!W240="Duilian de Armas DE - Equipe 1",7,IF(Atletas!W240="Duilian de Armas DE - Equipe 2",8,IF(Atletas!W240="Duilian de Tuishou - Equipe 1",9,IF(Atletas!W240="Duilian de Tuishou - Equipe 2",10,IF(Atletas!W240="Grupo Externo ABC - Equipe 1",11,IF(Atletas!W240="Grupo Externo ABC - Equipe 2",12,IF(Atletas!W240="Grupo Interno ABC - Equipe 1",13,IF(Atletas!W240="Grupo Interno ABC - Equipe 2",14,IF(Atletas!W240="Grupo Externo DEF - Equipe 1",15,IF(Atletas!W240="Grupo Externo DEF - Equipe 2",16,IF(Atletas!W240="Grupo Interno DEF - Equipe 1",17,IF(Atletas!W240="Grupo Interno DEF - Equipe 2",18,"")))))))))))))))))))</f>
        <v/>
      </c>
    </row>
    <row r="250" spans="2:91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 t="str">
        <f t="array" ref="Z250">IFERROR(INDEX(CE$7:CE$348,SMALL(IF(CE$7:CE$348&lt;&gt;"",ROW(CE$7:CE$348)-ROW(CE$7)+1),ROWS(CE$7:CE249))),"")</f>
        <v/>
      </c>
      <c r="AA250" s="3" t="str">
        <f t="array" ref="AA250">IFERROR(INDEX(CF$7:CF$348,SMALL(IF(CF$7:CF$348&lt;&gt;"",ROW(CF$7:CF$348)-ROW(CF$7)+1),ROWS(CF$7:CF249))),"")</f>
        <v/>
      </c>
      <c r="AB250" s="3" t="str">
        <f t="array" ref="AB250">IFERROR(INDEX(CG$7:CG$348,SMALL(IF(CG$7:CG$348&lt;&gt;"",ROW(CG$7:CG$348)-ROW(CG$7)+1),ROWS(CG$7:CG249))),"")</f>
        <v/>
      </c>
      <c r="AC250" s="3" t="str">
        <f t="array" ref="AC250">IFERROR(INDEX(CH$7:CH$348,SMALL(IF(CH$7:CH$348&lt;&gt;"",ROW(CH$7:CH$348)-ROW(CH$7)+1),ROWS(CH$7:CH249))),"")</f>
        <v/>
      </c>
      <c r="AD250" s="3" t="str">
        <f t="array" ref="AD250">IFERROR(INDEX(CI$7:CI$377,SMALL(IF(CI$7:CI$377&lt;&gt;"",ROW(CI$7:CI$377)-ROW(CI$7)+1),ROWS(CI$7:CI249))),"")</f>
        <v/>
      </c>
      <c r="AE250" s="3" t="str">
        <f t="array" ref="AE250">IFERROR(INDEX(CJ$7:CJ$378,SMALL(IF(CJ$7:CJ$378&lt;&gt;"",ROW(CJ$7:CJ$378)-ROW(CJ$7)+1),ROWS(CJ$7:CJ249))),"")</f>
        <v/>
      </c>
      <c r="AF250" s="3" t="str">
        <f t="array" ref="AF250">IFERROR(INDEX(CK$7:CK$378,SMALL(IF(CK$7:CK$378&lt;&gt;"",ROW(CK$7:CK$378)-ROW(CK$7)+1),ROWS(CK$7:CK249))),"")</f>
        <v/>
      </c>
      <c r="AG250" s="3" t="str">
        <f t="array" ref="AG250">IFERROR(INDEX(CL$7:CL$378,SMALL(IF(CL$7:CL$378&lt;&gt;"",ROW(CL$7:CL$378)-ROW(CL$7)+1),ROWS(CL$7:CL249))),"")</f>
        <v/>
      </c>
      <c r="AH250" s="3"/>
      <c r="AI250" s="3"/>
      <c r="AJ250" s="3"/>
      <c r="AK250" s="3"/>
      <c r="AL250" s="3"/>
      <c r="AM250" s="3"/>
      <c r="AN250" s="52" t="str">
        <f>IF(Atletas!D241="","",IF(Atletas!B241="Feminino",100,IF(Atletas!B241="Masculino",200,""))+(IF(Atletas!D241="Kids 30kg",1,IF(Atletas!D241="Kids 32kg",2, IF(Atletas!D241="Kids 34kg",3,IF(Atletas!D241="Kids 36kg",4,IF(Atletas!D241="Kids 39kg",5,IF(Atletas!D241="Kids 42kg",6,IF(Atletas!D241="Kids 45kg",7, IF(Atletas!D241="Infantil 39kg",8,IF(Atletas!D241="Infantil 42kg",9,IF(Atletas!D241="Infantil 45kg",10,IF(Atletas!D241="Infantil 48kg",11,IF(Atletas!D241="Infantil 52kg",12,IF(Atletas!D241="Infantil 56kg",13,IF(Atletas!D241="Infantil 60kg",14,IF(Atletas!D241="Juvenil 48kg",15,IF(Atletas!D241="Juvenil 52kg",16,IF(Atletas!D241="Juvenil 56kg",17,IF(Atletas!D241="Juvenil 60kg",18,IF(Atletas!D241="Juvenil 65kg",19,IF(Atletas!D241="Juvenil 70kg",20,IF(Atletas!D241="Juvenil 75kg",21,IF(Atletas!D241="Juvenil 80kg",22, IF(Atletas!D241="Juvenil 85kg",23,IF(Atletas!D241="Adulto 48kg",24,IF(Atletas!D241="Adulto 52kg",25,IF(Atletas!D241="Adulto 56kg",26,IF(Atletas!D241="Adulto 60kg",27,IF(Atletas!D241="Adulto 65kg",28,IF(Atletas!D241="Adulto 70kg",29,IF(Atletas!D241="Adulto 75kg",30,IF(Atletas!D241="Adulto 80kg",31,IF(Atletas!D241="Adulto 85kg",32,IF(Atletas!D241="Adulto 90kg",33,IF(Atletas!D241="Adulto 100kg",34, IF(Atletas!D241="Adulto +100kg",35,"")))))))))))))))))))))))))))))))))))))</f>
        <v/>
      </c>
      <c r="AS250" s="6" t="str">
        <f>IF(Atletas!E241="","",IF(Atletas!B241="Feminino",100,IF(Atletas!B241="Masculino",200,""))+(IF(Atletas!E241="Juvenil 44kg",1,IF(Atletas!E241="Juvenil 48kg",2,IF(Atletas!E241="Juvenil 52kg",3,IF(Atletas!E241="Juvenil 56kg",4,IF(Atletas!E241="Juvenil 60kg",5,IF(Atletas!E241="Juvenil 65kg",6,IF(Atletas!E241="Juvenil 70kg",7,IF(Atletas!E241="Juvenil 75kg",8,IF(Atletas!E241="Juvenil 82kg",9,IF(Atletas!E241="Juvenil 90kg",10,IF(Atletas!E241="Juvenil 100kg",11,IF(Atletas!E241="Adulto 48kg",12,IF(Atletas!E241="Adulto 52kg",13,IF(Atletas!E241="Adulto 56kg",14,IF(Atletas!E241="Adulto 60kg",15,IF(Atletas!E241="Adulto 65kg",16,IF(Atletas!E241="Adulto 70kg",17,IF(Atletas!E241="Adulto 75kg",18,IF(Atletas!E241="Adulto 82kg",19,IF(Atletas!E241="Adulto 90kg",20,IF(Atletas!E241="Adulto 100kg",21,IF(Atletas!E241="Adulto +100kg",22,""))))))))))))))))))))))))</f>
        <v/>
      </c>
      <c r="AX250" s="6" t="str">
        <f>IF(Atletas!F241="","",IF(Atletas!B241="Feminino",100,IF(Atletas!B241="Masculino",200,""))+(IF(Atletas!F241="Adulto 48kg",1,IF(Atletas!F241="Adulto 56kg",2,IF(Atletas!F241="Adulto 65kg",3,IF(Atletas!F241="Adulto 75kg",4,IF(Atletas!F241="Adulto +75kg",5,IF(Atletas!F241="Adulto 52kg",6,IF(Atletas!F241="Adulto 60kg",7,IF(Atletas!F241="Adulto 70kg",8,IF(Atletas!F241="Adulto 80kg",9,IF(Atletas!F241="Adulto 90kg",10,IF(Atletas!F241="Adulto +90kg",11,"")))))))))))))</f>
        <v/>
      </c>
      <c r="BC250" s="6" t="str">
        <f>IF(Atletas!G241="","",IF(Atletas!B241="Feminino",10,IF(Atletas!B241="Masculino",20,""))+(IF(Atletas!G241="Baduanjin A",1,IF(Atletas!G241="Baduanjin B",2))))</f>
        <v/>
      </c>
      <c r="BF250" s="52" t="str">
        <f>IF(Atletas!H241="","",IF(Atletas!B241="Feminino",100,IF(Atletas!B241="Masculino",200,""))+(IF(Atletas!H241="Changquan Mirim",1,IF(Atletas!H241="Nanquan Mirim",2,IF(Atletas!H241="Taijiquan Mirim",3,IF(Atletas!H241="Changquan Grupo C",4,IF(Atletas!H241="Nanquan Grupo C",5,IF(Atletas!H241="Taijiquan Grupo C",6,IF(Atletas!H241="Changquan Grupo B",7,IF(Atletas!H241="Nanquan Grupo B",8,IF(Atletas!H241="Taijiquan Grupo B",9,IF(Atletas!H241="Changquan Grupo A",10,IF(Atletas!H241="Nanquan Grupo A",11,IF(Atletas!H241="Taijiquan Grupo A",12,IF(Atletas!H241="Changquan Opcional",13,IF(Atletas!H241="Nanquan Opcional",14,IF(Atletas!H241="Taijiquan Opcional",15,IF(Atletas!H241="Changquan Adulto",16,IF(Atletas!H241="Nanquan Adulto",17,IF(Atletas!H241="Taijiquan Adulto",18,""))))))))))))))))))))</f>
        <v/>
      </c>
      <c r="BG250" s="52" t="str">
        <f>IF(Atletas!I241="","",IF(Atletas!B241="Feminino",100,IF(Atletas!B241="Masculino",200,""))+(IF(Atletas!I241="Daoshu Mirim",19,IF(Atletas!I241="Jianshu Mirim",20,IF(Atletas!I241="Nandao Mirim",21,IF(Atletas!I241="Taijijian Mirim",22,IF(Atletas!I241="Daoshu Grupo C",23,IF(Atletas!I241="Jianshu Grupo C",24,IF(Atletas!I241="Nandao Grupo C",25,IF(Atletas!I241="Taijijian Grupo C",26,IF(Atletas!I241="Daoshu Grupo B",27,IF(Atletas!I241="Jianshu Grupo B",28,IF(Atletas!I241="Nandao Grupo B",29,IF(Atletas!I241="Taijijian Grupo B",30,IF(Atletas!I241="Daoshu Grupo A",31,IF(Atletas!I241="Jianshu Grupo A",32,IF(Atletas!I241="Nandao Grupo A",33,IF(Atletas!I241="Taijijian Grupo A",34,IF(Atletas!I241="Daoshu Opcional",35,IF(Atletas!I241="Jianshu Opcional",36,IF(Atletas!I241="Nandao Opcional",37,IF(Atletas!I241="Taijijian Opcional",38,IF(Atletas!I241="Daoshu Adulto",39,IF(Atletas!I241="Jianshu Adulto",40,IF(Atletas!I241="Nandao Adulto",41,IF(Atletas!I241="Taijijian Adulto",42,""))))))))))))))))))))))))))</f>
        <v/>
      </c>
      <c r="BH250" s="52" t="str">
        <f>IF(Atletas!J241="","",IF(Atletas!B241="Feminino",100,IF(Atletas!B241="Masculino",200,""))+(IF(Atletas!J241="Gunshu Mirim",43,IF(Atletas!J241="Qiangshu Mirim",44,IF(Atletas!J241="Nangun Mirim",45,IF(Atletas!J241="Gunshu Grupo C",46,IF(Atletas!J241="Qiangshu Grupo C",47,IF(Atletas!J241="Nangun Grupo C",48,IF(Atletas!J241="Gunshu Grupo B",49,IF(Atletas!J241="Qiangshu Grupo B",50,IF(Atletas!J241="Nangun Grupo B",51,IF(Atletas!J241="Gunshu Grupo A",52,IF(Atletas!J241="Qiangshu Grupo A",53,IF(Atletas!J241="Nangun Grupo A",54,IF(Atletas!J241="Gunshu Opcional",55,IF(Atletas!J241="Qiangshu Opcional",56,IF(Atletas!J241="Nangun Opcional",57,IF(Atletas!J241="Gunshu Adulto",58,IF(Atletas!J241="Qiangshu Adulto",59,IF(Atletas!J241="Nangun Adulto",60,IF(Atletas!J241="Taijishan Grupo B",61,IF(Atletas!J241="Taijishan Grupo A",62,""))))))))))))))))))))))</f>
        <v/>
      </c>
      <c r="BM250" s="50" t="str">
        <f>IF(Atletas!K241="","",IF(Atletas!B241="Feminino",100,IF(Atletas!B241="Masculino",200,""))+(IF(Atletas!K241="Equipe 1 Grupo B",1,IF(Atletas!K241="Equipe 2 Grupo B",2,IF(Atletas!K241="Equipe 1 Grupo A",3,IF(Atletas!K241="Equipe 2 Grupo A",4,IF(Atletas!K241="Equipe 1 Adulto",5,IF(Atletas!K241="Equipe 2 Adulto",6,""))))))))</f>
        <v/>
      </c>
      <c r="BR250" s="50" t="str">
        <f>IF(Atletas!L241="","",IF(Atletas!X241&lt;&gt;"",10000,0)+(IF(Atletas!B241="Feminino",1000,IF(Atletas!B241="Masculino",2000,""))+IF(Atletas!L241="Choylayfut A",1,IF(Atletas!L241="Hunggar A",2,IF(Atletas!L241="Wuzuquan A",3,IF(Atletas!L241="Wingchun A",4,IF(Atletas!L241="Outra Mão de Sul A",5,IF(Atletas!L241="Choylayfut B",6,IF(Atletas!L241="Hunggar B",7,IF(Atletas!L241="Wuzuquan B",8,IF(Atletas!L241="Wingchun B",9,IF(Atletas!L241="Outra Mão de Sul B",10,IF(Atletas!L241="Choylayfut C",11,IF(Atletas!L241="Hunggar C",12,IF(Atletas!L241="Wuzuquan C",13,IF(Atletas!L241="Wingchun C",14,IF(Atletas!L241="Outra Mão de Sul C",15,IF(Atletas!L241="Choylayfut D",16,IF(Atletas!L241="Hunggar D",17,IF(Atletas!L241="Wuzuquan D",18,IF(Atletas!L241="Wingchun D",19,IF(Atletas!L241="Outra Mão de Sul D",20,IF(Atletas!L241="Choylayfut E",21,IF(Atletas!L241="Hunggar E",22,IF(Atletas!L241="Wuzuquan E",23,IF(Atletas!L241="Wingchun E",24,IF(Atletas!L241="Outra Mão de Sul E",25,IF(Atletas!L241="Choylayfut F",26,IF(Atletas!L241="Hunggar F",27,IF(Atletas!L241="Wuzuquan F",28,IF(Atletas!L241="Wingchun F",29,IF(Atletas!L241="Outra Mão de Sul F",30,IF(Atletas!L241="Dishuquan A",31,IF(Atletas!L241="Dishuquan B",32,IF(Atletas!L241="Dishuquan C",33,IF(Atletas!L241="Dishuquan D",34,IF(Atletas!L241="Dishuquan E",35,IF(Atletas!L241="Dishuquan F",36,""))))))))))))))))))))))))))))))))))))))</f>
        <v/>
      </c>
      <c r="BS250" s="50" t="str">
        <f>IF(Atletas!M241="","",IF(Atletas!X241&lt;&gt;"",10000,0)+(IF(Atletas!B241="Feminino",1000,IF(Atletas!B241="Masculino",2000,""))+(IF(Atletas!M241="Chaquan A",101,IF(Atletas!M241="Emeiquan A",102,IF(Atletas!M241="Fanziquan A",103,IF(Atletas!M241="Huaquan A",104,IF(Atletas!M241="Hongquan A",105,IF(Atletas!M241="Paoquan A",106,IF(Atletas!M241="Piguaquan A",107,IF(Atletas!M241="Shaolinquan A",108,IF(Atletas!M241="Tanglangquan A",109,IF(Atletas!M241="Yingzhaoquan A",110,IF(Atletas!M241="Tongbeiquan A",111,IF(Atletas!M241="Wudangquan A",112,IF(Atletas!M241="Outros Estilos A",113,IF(Atletas!M241="Chaquan B",114,IF(Atletas!M241="Emeiquan B",115,IF(Atletas!M241="Fanziquan B",116,IF(Atletas!M241="Huaquan B",117,IF(Atletas!M241="Hongquan B",118,IF(Atletas!M241="Paoquan B",119,IF(Atletas!M241="Piguaquan B",120,IF(Atletas!M241="Shaolinquan B",121,IF(Atletas!M241="Tanglangquan B",122,IF(Atletas!M241="Yingzhaoquan B",123,IF(Atletas!M241="Tongbeiquan B",124,IF(Atletas!M241="Wudangquan B",125,IF(Atletas!M241="Outros Estilos B",126,IF(Atletas!M241="Chaquan C",127,IF(Atletas!M241="Emeiquan C",128,IF(Atletas!M241="Fanziquan C",129,IF(Atletas!M241="Huaquan C",130,IF(Atletas!M241="Hongquan C",131,IF(Atletas!M241="Paoquan C",132,IF(Atletas!M241="Piguaquan C",133,IF(Atletas!M241="Shaolinquan C",134,IF(Atletas!M241="Tanglangquan C",135,IF(Atletas!M241="Yingzhaoquan C",136,IF(Atletas!M241="Tongbeiquan C",137,IF(Atletas!M241="Wudangquan C",138,IF(Atletas!M241="Outros Estilos C",139,0))))))))))))))))))))))))))))))))))))))))))</f>
        <v/>
      </c>
      <c r="BT250" s="50" t="str">
        <f>IF(Atletas!M241="","",IF(Atletas!X241&lt;&gt;"",10000,0)+(IF(Atletas!B241="Feminino",1000,IF(Atletas!B241="Masculino",2000,""))+(IF(Atletas!M241="Chaquan D",140,IF(Atletas!M241="Emeiquan D",141,IF(Atletas!M241="Fanziquan D",142,IF(Atletas!M241="Huaquan D",143,IF(Atletas!M241="Hongquan D",144,IF(Atletas!M241="Paoquan D",145,IF(Atletas!M241="Piguaquan D",146,IF(Atletas!M241="Shaolinquan D",147,IF(Atletas!M241="Tanglangquan D",148,IF(Atletas!M241="Yingzhaoquan D",149,IF(Atletas!M241="Tongbeiquan D",150,IF(Atletas!M241="Wudangquan D",151,IF(Atletas!M241="Outros Estilos D",152,IF(Atletas!M241="Chaquan E",153,IF(Atletas!M241="Emeiquan E",154,IF(Atletas!M241="Fanziquan E",155,IF(Atletas!M241="Huaquan E",156,IF(Atletas!M241="Hongquan E",157,IF(Atletas!M241="Paoquan E",158,IF(Atletas!M241="Piguaquan E",159,IF(Atletas!M241="Shaolinquan E",160,IF(Atletas!M241="Tanglangquan E",161,IF(Atletas!M241="Yingzhaoquan E",162,IF(Atletas!M241="Tongbeiquan E",163,IF(Atletas!M241="Wudangquan E",164,IF(Atletas!M241="Outros Estilos E",165,IF(Atletas!M241="Chaquan F",166,IF(Atletas!M241="Emeiquan F",167,IF(Atletas!M241="Fanziquan F",168,IF(Atletas!M241="Huaquan F",169,IF(Atletas!M241="Hongquan F",170,IF(Atletas!M241="Paoquan F",171,IF(Atletas!M241="Piguaquan F",172,IF(Atletas!M241="Shaolinquan F",173,IF(Atletas!M241="Tanglangquan F",174,IF(Atletas!M241="Yingzhaoquan F",175,IF(Atletas!M241="Tongbeiquan F",176,IF(Atletas!M241="Wudangquan F",177,IF(Atletas!M241="Outros Estilos F",178,0))))))))))))))))))))))))))))))))))))))))))</f>
        <v/>
      </c>
      <c r="BU250" s="50" t="str">
        <f>IF(Atletas!N241="","",IF(Atletas!X241&lt;&gt;"",10000,0)+(IF(Atletas!B241="Feminino",1000,IF(Atletas!B241="Masculino",2000,""))+(IF(Atletas!N241="Ditangquan A",201,IF(Atletas!N241="Houquan A",202,IF(Atletas!N241="Zuiquan A",203,IF(Atletas!N241="Ditangquan B",204,IF(Atletas!N241="Houquan B",205,IF(Atletas!N241="Zuiquan B",206,IF(Atletas!N241="Ditangquan C",207,IF(Atletas!N241="Houquan C",208,IF(Atletas!N241="Zuiquan C",209,IF(Atletas!N241="Ditangquan D",210,IF(Atletas!N241="Houquan D",211,IF(Atletas!N241="Zuiquan D",212,IF(Atletas!N241="Ditangquan E",213,IF(Atletas!N241="Houquan E",214,IF(Atletas!N241="Zuiquan E",215,IF(Atletas!N241="Ditangquan F",216,IF(Atletas!N241="Houquan F",217,IF(Atletas!N241="Zuiquan F",218,"")))))))))))))))))))))</f>
        <v/>
      </c>
      <c r="BV250" s="50" t="str">
        <f>IF(Atletas!O241="","",IF(Atletas!X241&lt;&gt;"",10000,0)+IF(Atletas!B241="Feminino",1000,IF(Atletas!B241="Masculino",2000,""))+IF(Atletas!O241="Yang A",301,IF(Atletas!O241="Chen A",302,IF(Atletas!O241="Sun A",303,IF(Atletas!O241="Wu A",304,IF(Atletas!O241="Wu-Hao A",305,IF(Atletas!O241="Outro Taijiquan A",306,IF(Atletas!O241="Yang B",307,IF(Atletas!O241="Chen B",308,IF(Atletas!O241="Sun B",309,IF(Atletas!O241="Wu B",310,IF(Atletas!O241="Wu-Hao B",311,IF(Atletas!O241="Outro Taijiquan B",312,IF(Atletas!O241="Yang C",313,IF(Atletas!O241="Chen C",314,IF(Atletas!O241="Sun C",315,IF(Atletas!O241="Wu C",316,IF(Atletas!O241="Wu-Hao C",317,IF(Atletas!O241="Outro Taijiquan C",318,IF(Atletas!O241="Yang D",319,IF(Atletas!O241="Chen D",320,IF(Atletas!O241="Sun D",321,IF(Atletas!O241="Wu D",322,IF(Atletas!O241="Wu-Hao D",323,IF(Atletas!O241="Outro Taijiquan D",324,IF(Atletas!O241="Yang E",325,IF(Atletas!O241="Chen E",326,IF(Atletas!O241="Sun E",327,IF(Atletas!O241="Wu E",328,IF(Atletas!O241="Wu-Hao E",329,IF(Atletas!O241="Outro Taijiquan E",330,IF(Atletas!O241="Yang F",331,IF(Atletas!O241="Chen F",332,IF(Atletas!O241="Sun F",333,IF(Atletas!O241="Wu F",334,IF(Atletas!O241="Wu-Hao F",335,IF(Atletas!O241="Outro Taijiquan F",336,"")))))))))))))))))))))))))))))))))))))</f>
        <v/>
      </c>
      <c r="BW250" s="50" t="str">
        <f>IF(Atletas!P241="","",IF(Atletas!X241&lt;&gt;"",10000,0)+IF(Atletas!B241="Feminino",1000,IF(Atletas!B241="Masculino",2000,""))+IF(OR(Atletas!P241="Yang 26 A",Atletas!P241="Yang 40 A"),401,IF(OR(Atletas!P241="Chen 25 A",Atletas!P241="Chen 36 A",Atletas!P241="Chen 56 A"),402,IF(Atletas!P241="Sun 73 A",403,IF(Atletas!P241="Wu 45 A",404,IF(Atletas!P241="Wu-Hao 46 A",405,IF(OR(Atletas!P241="Taijiquan 16 A",Atletas!P241="Taijiquan 24 A",Atletas!P241="Taijiquan 32 A",Atletas!P241="Taijiquan 42 A"),406,IF(OR(Atletas!P241="Yang 26 B",Atletas!P241="Yang 40 B"),407,IF(OR(Atletas!P241="Chen 25 B",Atletas!P241="Chen 36 B",Atletas!P241="Chen 56 B"),408,IF(Atletas!P241="Sun 73 B",409,IF(Atletas!P241="Wu 45 B",410,IF(Atletas!P241="Wu-Hao 46 B",411,IF(OR(Atletas!P241="Taijiquan 16 B",Atletas!P241="Taijiquan 24 B",Atletas!P241="Taijiquan 32 B",Atletas!P241="Taijiquan 42 B"),412,IF(OR(Atletas!P241="Yang 26 C",Atletas!P241="Yang 40 C"),413,IF(OR(Atletas!P241="Chen 25 C",Atletas!P241="Chen 36 C",Atletas!P241="Chen 56 C"),414,IF(Atletas!P241="Sun 73 C",415,IF(Atletas!P241="Wu 45 C",416,IF(Atletas!P241="Wu-Hao 46 C",417,IF(OR(Atletas!P241="Taijiquan 16 C",Atletas!P241="Taijiquan 24 C",Atletas!P241="Taijiquan 32 C",Atletas!P241="Taijiquan 42 C"),418,0)))))))))))))))))))</f>
        <v/>
      </c>
      <c r="BX250" s="50" t="str">
        <f>IF(Atletas!P241="","",IF(Atletas!X241&lt;&gt;"",10000,0)+IF(Atletas!B241="Feminino",1000,IF(Atletas!B241="Masculino",2000,""))+IF(OR(Atletas!P241="Yang 26 D",Atletas!P241="Yang 40 D"),419,IF(OR(Atletas!P241="Chen 25 D",Atletas!P241="Chen 36 D",Atletas!P241="Chen 56 D"),420,IF(Atletas!P241="Sun 73 D",421,IF(Atletas!P241="Wu 45 D",422,IF(Atletas!P241="Wu-Hao 46 D",423,IF(OR(Atletas!P241="Taijiquan 16 D",Atletas!P241="Taijiquan 24 D",Atletas!P241="Taijiquan 32 D",Atletas!P241="Taijiquan 42 D"),424,IF(OR(Atletas!P241="Yang 26 E",Atletas!P241="Yang 40 E"),425,IF(OR(Atletas!P241="Chen 25 E",Atletas!P241="Chen 36 E",Atletas!P241="Chen 56 E"),426,IF(Atletas!P241="Sun 73 E",427,IF(Atletas!P241="Wu 45 E",428,IF(Atletas!P241="Wu-Hao 46 E",429,IF(OR(Atletas!P241="Taijiquan 16 E",Atletas!P241="Taijiquan 24 E",Atletas!P241="Taijiquan 32 E",Atletas!P241="Taijiquan 42 E"),430,IF(OR(Atletas!P241="Yang 26 F",Atletas!P241="Yang 40 F"),431,IF(OR(Atletas!P241="Chen 25 F",Atletas!P241="Chen 36 F",Atletas!P241="Chen 56 F"),432,IF(Atletas!P241="Sun 73 F",433,IF(Atletas!P241="Wu 45 F",434,IF(Atletas!P241="Wu-Hao 46 F",435,IF(OR(Atletas!P241="Taijiquan 16 F",Atletas!P241="Taijiquan 24 F",Atletas!P241="Taijiquan 32 F",Atletas!P241="Taijiquan 42 F"),436,0)))))))))))))))))))</f>
        <v/>
      </c>
      <c r="BY250" s="50" t="str">
        <f>IF(Atletas!Q241="","",IF(Atletas!X241&lt;&gt;"",10000,0)+IF(Atletas!B241="Feminino",1000,IF(Atletas!B241="Masculino",2000,""))+IF(Atletas!Q241="Xingyiquan A",501,IF(Atletas!Q241="Baguazhang A",502,IF(Atletas!Q241="Outro Estilo Interno A",503,IF(Atletas!Q241="Xingyiquan B",504,IF(Atletas!Q241="Baguazhang B",505,IF(Atletas!Q241="Outro Estilo Interno B",506,IF(Atletas!Q241="Xingyiquan C",507,IF(Atletas!Q241="Baguazhang C",508,IF(Atletas!Q241="Outro Estilo Interno C",509,IF(Atletas!Q241="Xingyiquan D",510,IF(Atletas!Q241="Baguazhang D",511,IF(Atletas!Q241="Outro Estilo Interno D",512,IF(Atletas!Q241="Xingyiquan E",513,IF(Atletas!Q241="Baguazhang E",514,IF(Atletas!Q241="Outro Estilo Interno E",515,IF(Atletas!Q241="Xingyiquan F",516,IF(Atletas!Q241="Baguazhang F",517,IF(Atletas!Q241="Outro Estilo Interno F",518, "")))))))))))))))))))</f>
        <v/>
      </c>
      <c r="BZ250" s="50" t="str">
        <f>IF(Atletas!R241="","",IF(Atletas!X241&lt;&gt;"",10000,0)+IF(Atletas!B241="Feminino",1000,IF(Atletas!B241="Masculino",2000,""))+IF(Atletas!R241="Dao A",601,IF(Atletas!R241="Jian A",602,IF(Atletas!R241="Bishou A",603,IF(Atletas!R241="Shanzi A",604,IF(Atletas!R241="Outra Arma Curta A",605,IF(Atletas!R241="Dao B",606,IF(Atletas!R241="Jian B",607,IF(Atletas!R241="Bishou B",608,IF(Atletas!R241="Shanzi B",609,IF(Atletas!R241="Outra Arma Curta B",610,IF(Atletas!R241="Dao C",611,IF(Atletas!R241="Jian C",612,IF(Atletas!R241="Bishou C",613,IF(Atletas!R241="Shanzi C",614,IF(Atletas!R241="Outra Arma Curta C",615,IF(Atletas!R241="Dao D",616,IF(Atletas!R241="Jian D",617,IF(Atletas!R241="Bishou D",618,IF(Atletas!R241="Shanzi D",619,IF(Atletas!R241="Outra Arma Curta D",620,IF(Atletas!R241="Dao E",621,IF(Atletas!R241="Jian E",622,IF(Atletas!R241="Bishou E",623,IF(Atletas!R241="Shanzi E",624,IF(Atletas!R241="Outra Arma Curta E",625,IF(Atletas!R241="Dao F",626,IF(Atletas!R241="Jian F",627,IF(Atletas!R241="Bishou F",628,IF(Atletas!R241="Shanzi F",629,IF(Atletas!R241="Outra Arma Curta F",630, "")))))))))))))))))))))))))))))))</f>
        <v/>
      </c>
      <c r="CA250" s="50" t="str">
        <f>IF(Atletas!S241="","",IF(Atletas!X241&lt;&gt;"",10000,0)+IF(Atletas!B241="Feminino",1000,IF(Atletas!B241="Masculino",2000,""))+IF(Atletas!S241="Gun A",701,IF(Atletas!S241="Qiang A",702,IF(Atletas!S241="Pudao / Guandao A",703,IF(Atletas!S241="Outra Arma Longa A",704,IF(Atletas!S241="Gun B",705,IF(Atletas!S241="Qiang B",706,IF(Atletas!S241="Pudao / Guandao B",707,IF(Atletas!S241="Outra Arma Longa B",708,IF(Atletas!S241="Gun C",709,IF(Atletas!S241="Qiang C",710,IF(Atletas!S241="Pudao / Guandao C",711,IF(Atletas!S241="Outra Arma Longa C",712,IF(Atletas!S241="Gun D",713,IF(Atletas!S241="Qiang D",714,IF(Atletas!S241="Pudao / Guandao D",715,IF(Atletas!S241="Outra Arma Longa D",716,IF(Atletas!S241="Gun E",717,IF(Atletas!S241="Qiang E",718,IF(Atletas!S241="Pudao / Guandao E",719,IF(Atletas!S241="Outra Arma Longa E",720,IF(Atletas!S241="Gun F",721,IF(Atletas!S241="Qiang F",722,IF(Atletas!S241="Pudao / Guandao F",723,IF(Atletas!S241="Outra Arma Longa F",724,"")))))))))))))))))))))))))</f>
        <v/>
      </c>
      <c r="CB250" s="50" t="str">
        <f>IF(Atletas!T241="","",IF(Atletas!X241&lt;&gt;"",10000,0)+IF(Atletas!B241="Feminino",1000,IF(Atletas!B241="Masculino",2000,""))+IF(Atletas!T241="Outra Arma Dupla A",801,IF(Atletas!T241="Arma Maleável A",802,IF(Atletas!T241="Outra Arma Dupla B",803,IF(Atletas!T241="Arma Maleável B",804,IF(Atletas!T241="Outra Arma Dupla C",805,IF(Atletas!T241="Arma Maleável C",806,IF(Atletas!T241="Outra Arma Dupla D",807,IF(Atletas!T241="Arma Maleável D",808,IF(Atletas!T241="Outra Arma Dupla E",809,IF(Atletas!T241="Arma Maleável E",810,IF(Atletas!T241="Outra Arma Dupla F",811,IF(Atletas!T241="Arma Maleável F",812,IF(Atletas!T241="Shuangdao A",813,IF(Atletas!T241="Shuangdao B",814,IF(Atletas!T241="Shuangdao C",815,IF(Atletas!T241="Shuangdao D",816,IF(Atletas!T241="Shuangdao E",817,IF(Atletas!T241="Shuangdao F",818,"")))))))))))))))))))</f>
        <v/>
      </c>
      <c r="CC250" s="50" t="str">
        <f>IF(Atletas!U241="","",IF(Atletas!X241&lt;&gt;"",10000,0)+IF(Atletas!B241="Feminino",1000,IF(Atletas!B241="Masculino",2000,""))+IF(OR(Atletas!U241="Taijijian Yang A",Atletas!U241="Taijijian Yang Standard A"),901,IF(OR(Atletas!U241="Taijijian Chen A", Atletas!U241="Taijijian Chen Standard A"),902,IF(Atletas!U241="Taijijian Sun A",903,IF(Atletas!U241="Taijijian Wu A",904,IF(Atletas!U241="Taijijian Wu-Hao A",905,IF(OR(Atletas!U241="Taijijian 32 A",Atletas!U241="Taijijian 42 A"),906,IF(OR(Atletas!U241="Taijijian Yang B",Atletas!U241="Taijijian Yang Standard B"),907,IF(OR(Atletas!U241="Taijijian Chen B", Atletas!U241="Taijijian Chen Standard B"),908,IF(Atletas!U241="Taijijian Sun B",909,IF(Atletas!U241="Taijijian Wu B",910,IF(Atletas!U241="Taijijian Wu-Hao B",911,IF(OR(Atletas!U241="Taijijian 32 B",Atletas!U241="Taijijian 42 B"),912,IF(OR(Atletas!U241="Taijijian Yang C",Atletas!U241="Taijijian Yang Standard C"),913,IF(OR(Atletas!U241="Taijijian Chen C", Atletas!U241="Taijijian Chen Standard C"),914,IF(Atletas!U241="Taijijian Sun C",915,IF(Atletas!U241="Taijijian Wu C",916,IF(Atletas!U241="Taijijian Wu-Hao C",917,IF(OR(Atletas!U241="Taijijian 32 C",Atletas!U241="Taijijian 42 C"),918,IF(OR(Atletas!U241="Taijijian Yang D",Atletas!U241="Taijijian Yang Standard D"),919,IF(OR(Atletas!U241="Taijijian Chen D", Atletas!U241="Taijijian Chen Standard D"),920,IF(Atletas!U241="Taijijian Sun D",921,IF(Atletas!U241="Taijijian Wu D",922,IF(Atletas!U241="Taijijian Wu-Hao D",923,IF(OR(Atletas!U241="Taijijian 32 D",Atletas!U241="Taijijian 42 D"),924,IF(OR(Atletas!U241="Taijijian Yang E",Atletas!U241="Taijijian Yang Standard E"),925,IF(OR(Atletas!U241="Taijijian Chen E", Atletas!U241="Taijijian Chen Standard E"),926,IF(Atletas!U241="Taijijian Sun E",927,IF(Atletas!U241="Taijijian Wu E",928,IF(Atletas!U241="Taijijian Wu-Hao E",929,IF(OR(Atletas!U241="Taijijian 32 E",Atletas!U241="Taijijian 42 E"),930,IF(OR(Atletas!U241="Taijijian Yang F",Atletas!U241="Taijijian Yang Standard F"),931,IF(OR(Atletas!U241="Taijijian Chen F", Atletas!U241="Taijijian Chen Standard F"),932,IF(Atletas!U241="Taijijian Sun F",933,IF(Atletas!U241="Taijijian Wu F",934,IF(Atletas!U241="Taijijian Wu-Hao F",935,IF(OR(Atletas!U241="Taijijian 32 F",Atletas!U241="Taijijian 42 F"),936,"")))))))))))))))))))))))))))))))))))))</f>
        <v/>
      </c>
      <c r="CD250" s="50" t="str">
        <f>IF(Atletas!V241="","",IF(Atletas!X241&lt;&gt;"",10000,0)+IF(Atletas!B241="Feminino",1000,IF(Atletas!B241="Masculino",2000,""))+IF(Atletas!V241="Taijidao A",937,IF(Atletas!V241="TaijiShanzi A",938,IF(Atletas!V241="Taijiqiang A",939,IF(Atletas!V241="Bagua de Arma A",940,IF(Atletas!V241="Xingyi de Arma A",941,IF(Atletas!V241="Taijidao B",942,IF(Atletas!V241="TaijiShanzi B",943,IF(Atletas!V241="Taijiqiang B",944,IF(Atletas!V241="Bagua de Arma B",945,IF(Atletas!V241="Xingyi de Arma B",946,IF(Atletas!V241="Taijidao C",947,IF(Atletas!V241="TaijiShanzi C",948,IF(Atletas!V241="Taijiqiang C",949,IF(Atletas!V241="Bagua de Arma C",950,IF(Atletas!V241="Xingyi de Arma C",951,IF(Atletas!V241="Taijidao D",952,IF(Atletas!V241="TaijiShanzi D",953,IF(Atletas!V241="Taijiqiang D",954,IF(Atletas!V241="Bagua de Arma D",955,IF(Atletas!V241="Xingyi de Arma D",956,IF(Atletas!V241="Taijidao E",957,IF(Atletas!V241="TaijiShanzi E",958,IF(Atletas!V241="Taijiqiang E",959,IF(Atletas!V241="Bagua de Arma E",960,IF(Atletas!V241="Xingyi de Arma E",961,IF(Atletas!V241="Taijidao F",962,IF(Atletas!V241="TaijiShanzi F",963,IF(Atletas!V241="Taijiqiang F",964,IF(Atletas!V241="Bagua de Arma F",965,IF(Atletas!V241="Xingyi de Arma F",966,"")))))))))))))))))))))))))))))))</f>
        <v/>
      </c>
      <c r="CE250" s="66" t="str">
        <f>IF(CF250&lt;&gt;"","Jian E","")</f>
        <v/>
      </c>
      <c r="CF250" s="66" t="str">
        <f>IF(COUNTIF(BR:CD,1622)&gt;0,COUNTIF(BR:CD,1622),"")</f>
        <v/>
      </c>
      <c r="CG250" s="66" t="str">
        <f>IF(CH250&lt;&gt;"","Jian E","")</f>
        <v/>
      </c>
      <c r="CH250" s="66" t="str">
        <f>IF(COUNTIF(BR:CD,2622)&gt;0,COUNTIF(BR:CD,2622),"")</f>
        <v/>
      </c>
      <c r="CI250" s="66" t="str">
        <f>IF(CJ250&lt;&gt;"","Bishou F","")</f>
        <v/>
      </c>
      <c r="CJ250" s="66" t="str">
        <f>IF(COUNTIF(BR:CD,11628)&gt;0,COUNTIF(BR:CD,11628),"")</f>
        <v/>
      </c>
      <c r="CK250" s="66" t="str">
        <f>IF(CL250&lt;&gt;"","Bishou F","")</f>
        <v/>
      </c>
      <c r="CL250" s="66" t="str">
        <f>IF(COUNTIF(BR:CD,12628)&gt;0,COUNTIF(BR:CD,12628),"")</f>
        <v/>
      </c>
      <c r="CM250" s="50" t="str">
        <f xml:space="preserve"> IF(Atletas!W241="","",IF(Atletas!W241="Duilian de Mãos BC - Equipe 1",1,IF(Atletas!W241="Duilian de Mãos BC - Equipe 2",2,IF(Atletas!W241="Duilian de Armas BC - Equipe 1",3,IF(Atletas!W241="Duilian de Armas BC - Equipe 2",4,IF(Atletas!W241="Duilian de Mãos DE - Equipe 1",5,IF(Atletas!W241="Duilian de Mãos DE - Equipe 2",6,IF(Atletas!W241="Duilian de Armas DE - Equipe 1",7,IF(Atletas!W241="Duilian de Armas DE - Equipe 2",8,IF(Atletas!W241="Duilian de Tuishou - Equipe 1",9,IF(Atletas!W241="Duilian de Tuishou - Equipe 2",10,IF(Atletas!W241="Grupo Externo ABC - Equipe 1",11,IF(Atletas!W241="Grupo Externo ABC - Equipe 2",12,IF(Atletas!W241="Grupo Interno ABC - Equipe 1",13,IF(Atletas!W241="Grupo Interno ABC - Equipe 2",14,IF(Atletas!W241="Grupo Externo DEF - Equipe 1",15,IF(Atletas!W241="Grupo Externo DEF - Equipe 2",16,IF(Atletas!W241="Grupo Interno DEF - Equipe 1",17,IF(Atletas!W241="Grupo Interno DEF - Equipe 2",18,"")))))))))))))))))))</f>
        <v/>
      </c>
    </row>
    <row r="251" spans="2:91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 t="str">
        <f t="array" ref="Z251">IFERROR(INDEX(CE$7:CE$348,SMALL(IF(CE$7:CE$348&lt;&gt;"",ROW(CE$7:CE$348)-ROW(CE$7)+1),ROWS(CE$7:CE250))),"")</f>
        <v/>
      </c>
      <c r="AA251" s="3" t="str">
        <f t="array" ref="AA251">IFERROR(INDEX(CF$7:CF$348,SMALL(IF(CF$7:CF$348&lt;&gt;"",ROW(CF$7:CF$348)-ROW(CF$7)+1),ROWS(CF$7:CF250))),"")</f>
        <v/>
      </c>
      <c r="AB251" s="3" t="str">
        <f t="array" ref="AB251">IFERROR(INDEX(CG$7:CG$348,SMALL(IF(CG$7:CG$348&lt;&gt;"",ROW(CG$7:CG$348)-ROW(CG$7)+1),ROWS(CG$7:CG250))),"")</f>
        <v/>
      </c>
      <c r="AC251" s="3" t="str">
        <f t="array" ref="AC251">IFERROR(INDEX(CH$7:CH$348,SMALL(IF(CH$7:CH$348&lt;&gt;"",ROW(CH$7:CH$348)-ROW(CH$7)+1),ROWS(CH$7:CH250))),"")</f>
        <v/>
      </c>
      <c r="AD251" s="3" t="str">
        <f t="array" ref="AD251">IFERROR(INDEX(CI$7:CI$377,SMALL(IF(CI$7:CI$377&lt;&gt;"",ROW(CI$7:CI$377)-ROW(CI$7)+1),ROWS(CI$7:CI250))),"")</f>
        <v/>
      </c>
      <c r="AE251" s="3" t="str">
        <f t="array" ref="AE251">IFERROR(INDEX(CJ$7:CJ$378,SMALL(IF(CJ$7:CJ$378&lt;&gt;"",ROW(CJ$7:CJ$378)-ROW(CJ$7)+1),ROWS(CJ$7:CJ250))),"")</f>
        <v/>
      </c>
      <c r="AF251" s="3" t="str">
        <f t="array" ref="AF251">IFERROR(INDEX(CK$7:CK$378,SMALL(IF(CK$7:CK$378&lt;&gt;"",ROW(CK$7:CK$378)-ROW(CK$7)+1),ROWS(CK$7:CK250))),"")</f>
        <v/>
      </c>
      <c r="AG251" s="3" t="str">
        <f t="array" ref="AG251">IFERROR(INDEX(CL$7:CL$378,SMALL(IF(CL$7:CL$378&lt;&gt;"",ROW(CL$7:CL$378)-ROW(CL$7)+1),ROWS(CL$7:CL250))),"")</f>
        <v/>
      </c>
      <c r="AH251" s="3"/>
      <c r="AI251" s="3"/>
      <c r="AJ251" s="3"/>
      <c r="AK251" s="3"/>
      <c r="AL251" s="3"/>
      <c r="AM251" s="3"/>
      <c r="AN251" s="52" t="str">
        <f>IF(Atletas!D242="","",IF(Atletas!B242="Feminino",100,IF(Atletas!B242="Masculino",200,""))+(IF(Atletas!D242="Kids 30kg",1,IF(Atletas!D242="Kids 32kg",2, IF(Atletas!D242="Kids 34kg",3,IF(Atletas!D242="Kids 36kg",4,IF(Atletas!D242="Kids 39kg",5,IF(Atletas!D242="Kids 42kg",6,IF(Atletas!D242="Kids 45kg",7, IF(Atletas!D242="Infantil 39kg",8,IF(Atletas!D242="Infantil 42kg",9,IF(Atletas!D242="Infantil 45kg",10,IF(Atletas!D242="Infantil 48kg",11,IF(Atletas!D242="Infantil 52kg",12,IF(Atletas!D242="Infantil 56kg",13,IF(Atletas!D242="Infantil 60kg",14,IF(Atletas!D242="Juvenil 48kg",15,IF(Atletas!D242="Juvenil 52kg",16,IF(Atletas!D242="Juvenil 56kg",17,IF(Atletas!D242="Juvenil 60kg",18,IF(Atletas!D242="Juvenil 65kg",19,IF(Atletas!D242="Juvenil 70kg",20,IF(Atletas!D242="Juvenil 75kg",21,IF(Atletas!D242="Juvenil 80kg",22, IF(Atletas!D242="Juvenil 85kg",23,IF(Atletas!D242="Adulto 48kg",24,IF(Atletas!D242="Adulto 52kg",25,IF(Atletas!D242="Adulto 56kg",26,IF(Atletas!D242="Adulto 60kg",27,IF(Atletas!D242="Adulto 65kg",28,IF(Atletas!D242="Adulto 70kg",29,IF(Atletas!D242="Adulto 75kg",30,IF(Atletas!D242="Adulto 80kg",31,IF(Atletas!D242="Adulto 85kg",32,IF(Atletas!D242="Adulto 90kg",33,IF(Atletas!D242="Adulto 100kg",34, IF(Atletas!D242="Adulto +100kg",35,"")))))))))))))))))))))))))))))))))))))</f>
        <v/>
      </c>
      <c r="AS251" s="6" t="str">
        <f>IF(Atletas!E242="","",IF(Atletas!B242="Feminino",100,IF(Atletas!B242="Masculino",200,""))+(IF(Atletas!E242="Juvenil 44kg",1,IF(Atletas!E242="Juvenil 48kg",2,IF(Atletas!E242="Juvenil 52kg",3,IF(Atletas!E242="Juvenil 56kg",4,IF(Atletas!E242="Juvenil 60kg",5,IF(Atletas!E242="Juvenil 65kg",6,IF(Atletas!E242="Juvenil 70kg",7,IF(Atletas!E242="Juvenil 75kg",8,IF(Atletas!E242="Juvenil 82kg",9,IF(Atletas!E242="Juvenil 90kg",10,IF(Atletas!E242="Juvenil 100kg",11,IF(Atletas!E242="Adulto 48kg",12,IF(Atletas!E242="Adulto 52kg",13,IF(Atletas!E242="Adulto 56kg",14,IF(Atletas!E242="Adulto 60kg",15,IF(Atletas!E242="Adulto 65kg",16,IF(Atletas!E242="Adulto 70kg",17,IF(Atletas!E242="Adulto 75kg",18,IF(Atletas!E242="Adulto 82kg",19,IF(Atletas!E242="Adulto 90kg",20,IF(Atletas!E242="Adulto 100kg",21,IF(Atletas!E242="Adulto +100kg",22,""))))))))))))))))))))))))</f>
        <v/>
      </c>
      <c r="AX251" s="6" t="str">
        <f>IF(Atletas!F242="","",IF(Atletas!B242="Feminino",100,IF(Atletas!B242="Masculino",200,""))+(IF(Atletas!F242="Adulto 48kg",1,IF(Atletas!F242="Adulto 56kg",2,IF(Atletas!F242="Adulto 65kg",3,IF(Atletas!F242="Adulto 75kg",4,IF(Atletas!F242="Adulto +75kg",5,IF(Atletas!F242="Adulto 52kg",6,IF(Atletas!F242="Adulto 60kg",7,IF(Atletas!F242="Adulto 70kg",8,IF(Atletas!F242="Adulto 80kg",9,IF(Atletas!F242="Adulto 90kg",10,IF(Atletas!F242="Adulto +90kg",11,"")))))))))))))</f>
        <v/>
      </c>
      <c r="BC251" s="6" t="str">
        <f>IF(Atletas!G242="","",IF(Atletas!B242="Feminino",10,IF(Atletas!B242="Masculino",20,""))+(IF(Atletas!G242="Baduanjin A",1,IF(Atletas!G242="Baduanjin B",2))))</f>
        <v/>
      </c>
      <c r="BF251" s="52" t="str">
        <f>IF(Atletas!H242="","",IF(Atletas!B242="Feminino",100,IF(Atletas!B242="Masculino",200,""))+(IF(Atletas!H242="Changquan Mirim",1,IF(Atletas!H242="Nanquan Mirim",2,IF(Atletas!H242="Taijiquan Mirim",3,IF(Atletas!H242="Changquan Grupo C",4,IF(Atletas!H242="Nanquan Grupo C",5,IF(Atletas!H242="Taijiquan Grupo C",6,IF(Atletas!H242="Changquan Grupo B",7,IF(Atletas!H242="Nanquan Grupo B",8,IF(Atletas!H242="Taijiquan Grupo B",9,IF(Atletas!H242="Changquan Grupo A",10,IF(Atletas!H242="Nanquan Grupo A",11,IF(Atletas!H242="Taijiquan Grupo A",12,IF(Atletas!H242="Changquan Opcional",13,IF(Atletas!H242="Nanquan Opcional",14,IF(Atletas!H242="Taijiquan Opcional",15,IF(Atletas!H242="Changquan Adulto",16,IF(Atletas!H242="Nanquan Adulto",17,IF(Atletas!H242="Taijiquan Adulto",18,""))))))))))))))))))))</f>
        <v/>
      </c>
      <c r="BG251" s="52" t="str">
        <f>IF(Atletas!I242="","",IF(Atletas!B242="Feminino",100,IF(Atletas!B242="Masculino",200,""))+(IF(Atletas!I242="Daoshu Mirim",19,IF(Atletas!I242="Jianshu Mirim",20,IF(Atletas!I242="Nandao Mirim",21,IF(Atletas!I242="Taijijian Mirim",22,IF(Atletas!I242="Daoshu Grupo C",23,IF(Atletas!I242="Jianshu Grupo C",24,IF(Atletas!I242="Nandao Grupo C",25,IF(Atletas!I242="Taijijian Grupo C",26,IF(Atletas!I242="Daoshu Grupo B",27,IF(Atletas!I242="Jianshu Grupo B",28,IF(Atletas!I242="Nandao Grupo B",29,IF(Atletas!I242="Taijijian Grupo B",30,IF(Atletas!I242="Daoshu Grupo A",31,IF(Atletas!I242="Jianshu Grupo A",32,IF(Atletas!I242="Nandao Grupo A",33,IF(Atletas!I242="Taijijian Grupo A",34,IF(Atletas!I242="Daoshu Opcional",35,IF(Atletas!I242="Jianshu Opcional",36,IF(Atletas!I242="Nandao Opcional",37,IF(Atletas!I242="Taijijian Opcional",38,IF(Atletas!I242="Daoshu Adulto",39,IF(Atletas!I242="Jianshu Adulto",40,IF(Atletas!I242="Nandao Adulto",41,IF(Atletas!I242="Taijijian Adulto",42,""))))))))))))))))))))))))))</f>
        <v/>
      </c>
      <c r="BH251" s="52" t="str">
        <f>IF(Atletas!J242="","",IF(Atletas!B242="Feminino",100,IF(Atletas!B242="Masculino",200,""))+(IF(Atletas!J242="Gunshu Mirim",43,IF(Atletas!J242="Qiangshu Mirim",44,IF(Atletas!J242="Nangun Mirim",45,IF(Atletas!J242="Gunshu Grupo C",46,IF(Atletas!J242="Qiangshu Grupo C",47,IF(Atletas!J242="Nangun Grupo C",48,IF(Atletas!J242="Gunshu Grupo B",49,IF(Atletas!J242="Qiangshu Grupo B",50,IF(Atletas!J242="Nangun Grupo B",51,IF(Atletas!J242="Gunshu Grupo A",52,IF(Atletas!J242="Qiangshu Grupo A",53,IF(Atletas!J242="Nangun Grupo A",54,IF(Atletas!J242="Gunshu Opcional",55,IF(Atletas!J242="Qiangshu Opcional",56,IF(Atletas!J242="Nangun Opcional",57,IF(Atletas!J242="Gunshu Adulto",58,IF(Atletas!J242="Qiangshu Adulto",59,IF(Atletas!J242="Nangun Adulto",60,IF(Atletas!J242="Taijishan Grupo B",61,IF(Atletas!J242="Taijishan Grupo A",62,""))))))))))))))))))))))</f>
        <v/>
      </c>
      <c r="BM251" s="50" t="str">
        <f>IF(Atletas!K242="","",IF(Atletas!B242="Feminino",100,IF(Atletas!B242="Masculino",200,""))+(IF(Atletas!K242="Equipe 1 Grupo B",1,IF(Atletas!K242="Equipe 2 Grupo B",2,IF(Atletas!K242="Equipe 1 Grupo A",3,IF(Atletas!K242="Equipe 2 Grupo A",4,IF(Atletas!K242="Equipe 1 Adulto",5,IF(Atletas!K242="Equipe 2 Adulto",6,""))))))))</f>
        <v/>
      </c>
      <c r="BR251" s="50" t="str">
        <f>IF(Atletas!L242="","",IF(Atletas!X242&lt;&gt;"",10000,0)+(IF(Atletas!B242="Feminino",1000,IF(Atletas!B242="Masculino",2000,""))+IF(Atletas!L242="Choylayfut A",1,IF(Atletas!L242="Hunggar A",2,IF(Atletas!L242="Wuzuquan A",3,IF(Atletas!L242="Wingchun A",4,IF(Atletas!L242="Outra Mão de Sul A",5,IF(Atletas!L242="Choylayfut B",6,IF(Atletas!L242="Hunggar B",7,IF(Atletas!L242="Wuzuquan B",8,IF(Atletas!L242="Wingchun B",9,IF(Atletas!L242="Outra Mão de Sul B",10,IF(Atletas!L242="Choylayfut C",11,IF(Atletas!L242="Hunggar C",12,IF(Atletas!L242="Wuzuquan C",13,IF(Atletas!L242="Wingchun C",14,IF(Atletas!L242="Outra Mão de Sul C",15,IF(Atletas!L242="Choylayfut D",16,IF(Atletas!L242="Hunggar D",17,IF(Atletas!L242="Wuzuquan D",18,IF(Atletas!L242="Wingchun D",19,IF(Atletas!L242="Outra Mão de Sul D",20,IF(Atletas!L242="Choylayfut E",21,IF(Atletas!L242="Hunggar E",22,IF(Atletas!L242="Wuzuquan E",23,IF(Atletas!L242="Wingchun E",24,IF(Atletas!L242="Outra Mão de Sul E",25,IF(Atletas!L242="Choylayfut F",26,IF(Atletas!L242="Hunggar F",27,IF(Atletas!L242="Wuzuquan F",28,IF(Atletas!L242="Wingchun F",29,IF(Atletas!L242="Outra Mão de Sul F",30,IF(Atletas!L242="Dishuquan A",31,IF(Atletas!L242="Dishuquan B",32,IF(Atletas!L242="Dishuquan C",33,IF(Atletas!L242="Dishuquan D",34,IF(Atletas!L242="Dishuquan E",35,IF(Atletas!L242="Dishuquan F",36,""))))))))))))))))))))))))))))))))))))))</f>
        <v/>
      </c>
      <c r="BS251" s="50" t="str">
        <f>IF(Atletas!M242="","",IF(Atletas!X242&lt;&gt;"",10000,0)+(IF(Atletas!B242="Feminino",1000,IF(Atletas!B242="Masculino",2000,""))+(IF(Atletas!M242="Chaquan A",101,IF(Atletas!M242="Emeiquan A",102,IF(Atletas!M242="Fanziquan A",103,IF(Atletas!M242="Huaquan A",104,IF(Atletas!M242="Hongquan A",105,IF(Atletas!M242="Paoquan A",106,IF(Atletas!M242="Piguaquan A",107,IF(Atletas!M242="Shaolinquan A",108,IF(Atletas!M242="Tanglangquan A",109,IF(Atletas!M242="Yingzhaoquan A",110,IF(Atletas!M242="Tongbeiquan A",111,IF(Atletas!M242="Wudangquan A",112,IF(Atletas!M242="Outros Estilos A",113,IF(Atletas!M242="Chaquan B",114,IF(Atletas!M242="Emeiquan B",115,IF(Atletas!M242="Fanziquan B",116,IF(Atletas!M242="Huaquan B",117,IF(Atletas!M242="Hongquan B",118,IF(Atletas!M242="Paoquan B",119,IF(Atletas!M242="Piguaquan B",120,IF(Atletas!M242="Shaolinquan B",121,IF(Atletas!M242="Tanglangquan B",122,IF(Atletas!M242="Yingzhaoquan B",123,IF(Atletas!M242="Tongbeiquan B",124,IF(Atletas!M242="Wudangquan B",125,IF(Atletas!M242="Outros Estilos B",126,IF(Atletas!M242="Chaquan C",127,IF(Atletas!M242="Emeiquan C",128,IF(Atletas!M242="Fanziquan C",129,IF(Atletas!M242="Huaquan C",130,IF(Atletas!M242="Hongquan C",131,IF(Atletas!M242="Paoquan C",132,IF(Atletas!M242="Piguaquan C",133,IF(Atletas!M242="Shaolinquan C",134,IF(Atletas!M242="Tanglangquan C",135,IF(Atletas!M242="Yingzhaoquan C",136,IF(Atletas!M242="Tongbeiquan C",137,IF(Atletas!M242="Wudangquan C",138,IF(Atletas!M242="Outros Estilos C",139,0))))))))))))))))))))))))))))))))))))))))))</f>
        <v/>
      </c>
      <c r="BT251" s="50" t="str">
        <f>IF(Atletas!M242="","",IF(Atletas!X242&lt;&gt;"",10000,0)+(IF(Atletas!B242="Feminino",1000,IF(Atletas!B242="Masculino",2000,""))+(IF(Atletas!M242="Chaquan D",140,IF(Atletas!M242="Emeiquan D",141,IF(Atletas!M242="Fanziquan D",142,IF(Atletas!M242="Huaquan D",143,IF(Atletas!M242="Hongquan D",144,IF(Atletas!M242="Paoquan D",145,IF(Atletas!M242="Piguaquan D",146,IF(Atletas!M242="Shaolinquan D",147,IF(Atletas!M242="Tanglangquan D",148,IF(Atletas!M242="Yingzhaoquan D",149,IF(Atletas!M242="Tongbeiquan D",150,IF(Atletas!M242="Wudangquan D",151,IF(Atletas!M242="Outros Estilos D",152,IF(Atletas!M242="Chaquan E",153,IF(Atletas!M242="Emeiquan E",154,IF(Atletas!M242="Fanziquan E",155,IF(Atletas!M242="Huaquan E",156,IF(Atletas!M242="Hongquan E",157,IF(Atletas!M242="Paoquan E",158,IF(Atletas!M242="Piguaquan E",159,IF(Atletas!M242="Shaolinquan E",160,IF(Atletas!M242="Tanglangquan E",161,IF(Atletas!M242="Yingzhaoquan E",162,IF(Atletas!M242="Tongbeiquan E",163,IF(Atletas!M242="Wudangquan E",164,IF(Atletas!M242="Outros Estilos E",165,IF(Atletas!M242="Chaquan F",166,IF(Atletas!M242="Emeiquan F",167,IF(Atletas!M242="Fanziquan F",168,IF(Atletas!M242="Huaquan F",169,IF(Atletas!M242="Hongquan F",170,IF(Atletas!M242="Paoquan F",171,IF(Atletas!M242="Piguaquan F",172,IF(Atletas!M242="Shaolinquan F",173,IF(Atletas!M242="Tanglangquan F",174,IF(Atletas!M242="Yingzhaoquan F",175,IF(Atletas!M242="Tongbeiquan F",176,IF(Atletas!M242="Wudangquan F",177,IF(Atletas!M242="Outros Estilos F",178,0))))))))))))))))))))))))))))))))))))))))))</f>
        <v/>
      </c>
      <c r="BU251" s="50" t="str">
        <f>IF(Atletas!N242="","",IF(Atletas!X242&lt;&gt;"",10000,0)+(IF(Atletas!B242="Feminino",1000,IF(Atletas!B242="Masculino",2000,""))+(IF(Atletas!N242="Ditangquan A",201,IF(Atletas!N242="Houquan A",202,IF(Atletas!N242="Zuiquan A",203,IF(Atletas!N242="Ditangquan B",204,IF(Atletas!N242="Houquan B",205,IF(Atletas!N242="Zuiquan B",206,IF(Atletas!N242="Ditangquan C",207,IF(Atletas!N242="Houquan C",208,IF(Atletas!N242="Zuiquan C",209,IF(Atletas!N242="Ditangquan D",210,IF(Atletas!N242="Houquan D",211,IF(Atletas!N242="Zuiquan D",212,IF(Atletas!N242="Ditangquan E",213,IF(Atletas!N242="Houquan E",214,IF(Atletas!N242="Zuiquan E",215,IF(Atletas!N242="Ditangquan F",216,IF(Atletas!N242="Houquan F",217,IF(Atletas!N242="Zuiquan F",218,"")))))))))))))))))))))</f>
        <v/>
      </c>
      <c r="BV251" s="50" t="str">
        <f>IF(Atletas!O242="","",IF(Atletas!X242&lt;&gt;"",10000,0)+IF(Atletas!B242="Feminino",1000,IF(Atletas!B242="Masculino",2000,""))+IF(Atletas!O242="Yang A",301,IF(Atletas!O242="Chen A",302,IF(Atletas!O242="Sun A",303,IF(Atletas!O242="Wu A",304,IF(Atletas!O242="Wu-Hao A",305,IF(Atletas!O242="Outro Taijiquan A",306,IF(Atletas!O242="Yang B",307,IF(Atletas!O242="Chen B",308,IF(Atletas!O242="Sun B",309,IF(Atletas!O242="Wu B",310,IF(Atletas!O242="Wu-Hao B",311,IF(Atletas!O242="Outro Taijiquan B",312,IF(Atletas!O242="Yang C",313,IF(Atletas!O242="Chen C",314,IF(Atletas!O242="Sun C",315,IF(Atletas!O242="Wu C",316,IF(Atletas!O242="Wu-Hao C",317,IF(Atletas!O242="Outro Taijiquan C",318,IF(Atletas!O242="Yang D",319,IF(Atletas!O242="Chen D",320,IF(Atletas!O242="Sun D",321,IF(Atletas!O242="Wu D",322,IF(Atletas!O242="Wu-Hao D",323,IF(Atletas!O242="Outro Taijiquan D",324,IF(Atletas!O242="Yang E",325,IF(Atletas!O242="Chen E",326,IF(Atletas!O242="Sun E",327,IF(Atletas!O242="Wu E",328,IF(Atletas!O242="Wu-Hao E",329,IF(Atletas!O242="Outro Taijiquan E",330,IF(Atletas!O242="Yang F",331,IF(Atletas!O242="Chen F",332,IF(Atletas!O242="Sun F",333,IF(Atletas!O242="Wu F",334,IF(Atletas!O242="Wu-Hao F",335,IF(Atletas!O242="Outro Taijiquan F",336,"")))))))))))))))))))))))))))))))))))))</f>
        <v/>
      </c>
      <c r="BW251" s="50" t="str">
        <f>IF(Atletas!P242="","",IF(Atletas!X242&lt;&gt;"",10000,0)+IF(Atletas!B242="Feminino",1000,IF(Atletas!B242="Masculino",2000,""))+IF(OR(Atletas!P242="Yang 26 A",Atletas!P242="Yang 40 A"),401,IF(OR(Atletas!P242="Chen 25 A",Atletas!P242="Chen 36 A",Atletas!P242="Chen 56 A"),402,IF(Atletas!P242="Sun 73 A",403,IF(Atletas!P242="Wu 45 A",404,IF(Atletas!P242="Wu-Hao 46 A",405,IF(OR(Atletas!P242="Taijiquan 16 A",Atletas!P242="Taijiquan 24 A",Atletas!P242="Taijiquan 32 A",Atletas!P242="Taijiquan 42 A"),406,IF(OR(Atletas!P242="Yang 26 B",Atletas!P242="Yang 40 B"),407,IF(OR(Atletas!P242="Chen 25 B",Atletas!P242="Chen 36 B",Atletas!P242="Chen 56 B"),408,IF(Atletas!P242="Sun 73 B",409,IF(Atletas!P242="Wu 45 B",410,IF(Atletas!P242="Wu-Hao 46 B",411,IF(OR(Atletas!P242="Taijiquan 16 B",Atletas!P242="Taijiquan 24 B",Atletas!P242="Taijiquan 32 B",Atletas!P242="Taijiquan 42 B"),412,IF(OR(Atletas!P242="Yang 26 C",Atletas!P242="Yang 40 C"),413,IF(OR(Atletas!P242="Chen 25 C",Atletas!P242="Chen 36 C",Atletas!P242="Chen 56 C"),414,IF(Atletas!P242="Sun 73 C",415,IF(Atletas!P242="Wu 45 C",416,IF(Atletas!P242="Wu-Hao 46 C",417,IF(OR(Atletas!P242="Taijiquan 16 C",Atletas!P242="Taijiquan 24 C",Atletas!P242="Taijiquan 32 C",Atletas!P242="Taijiquan 42 C"),418,0)))))))))))))))))))</f>
        <v/>
      </c>
      <c r="BX251" s="50" t="str">
        <f>IF(Atletas!P242="","",IF(Atletas!X242&lt;&gt;"",10000,0)+IF(Atletas!B242="Feminino",1000,IF(Atletas!B242="Masculino",2000,""))+IF(OR(Atletas!P242="Yang 26 D",Atletas!P242="Yang 40 D"),419,IF(OR(Atletas!P242="Chen 25 D",Atletas!P242="Chen 36 D",Atletas!P242="Chen 56 D"),420,IF(Atletas!P242="Sun 73 D",421,IF(Atletas!P242="Wu 45 D",422,IF(Atletas!P242="Wu-Hao 46 D",423,IF(OR(Atletas!P242="Taijiquan 16 D",Atletas!P242="Taijiquan 24 D",Atletas!P242="Taijiquan 32 D",Atletas!P242="Taijiquan 42 D"),424,IF(OR(Atletas!P242="Yang 26 E",Atletas!P242="Yang 40 E"),425,IF(OR(Atletas!P242="Chen 25 E",Atletas!P242="Chen 36 E",Atletas!P242="Chen 56 E"),426,IF(Atletas!P242="Sun 73 E",427,IF(Atletas!P242="Wu 45 E",428,IF(Atletas!P242="Wu-Hao 46 E",429,IF(OR(Atletas!P242="Taijiquan 16 E",Atletas!P242="Taijiquan 24 E",Atletas!P242="Taijiquan 32 E",Atletas!P242="Taijiquan 42 E"),430,IF(OR(Atletas!P242="Yang 26 F",Atletas!P242="Yang 40 F"),431,IF(OR(Atletas!P242="Chen 25 F",Atletas!P242="Chen 36 F",Atletas!P242="Chen 56 F"),432,IF(Atletas!P242="Sun 73 F",433,IF(Atletas!P242="Wu 45 F",434,IF(Atletas!P242="Wu-Hao 46 F",435,IF(OR(Atletas!P242="Taijiquan 16 F",Atletas!P242="Taijiquan 24 F",Atletas!P242="Taijiquan 32 F",Atletas!P242="Taijiquan 42 F"),436,0)))))))))))))))))))</f>
        <v/>
      </c>
      <c r="BY251" s="50" t="str">
        <f>IF(Atletas!Q242="","",IF(Atletas!X242&lt;&gt;"",10000,0)+IF(Atletas!B242="Feminino",1000,IF(Atletas!B242="Masculino",2000,""))+IF(Atletas!Q242="Xingyiquan A",501,IF(Atletas!Q242="Baguazhang A",502,IF(Atletas!Q242="Outro Estilo Interno A",503,IF(Atletas!Q242="Xingyiquan B",504,IF(Atletas!Q242="Baguazhang B",505,IF(Atletas!Q242="Outro Estilo Interno B",506,IF(Atletas!Q242="Xingyiquan C",507,IF(Atletas!Q242="Baguazhang C",508,IF(Atletas!Q242="Outro Estilo Interno C",509,IF(Atletas!Q242="Xingyiquan D",510,IF(Atletas!Q242="Baguazhang D",511,IF(Atletas!Q242="Outro Estilo Interno D",512,IF(Atletas!Q242="Xingyiquan E",513,IF(Atletas!Q242="Baguazhang E",514,IF(Atletas!Q242="Outro Estilo Interno E",515,IF(Atletas!Q242="Xingyiquan F",516,IF(Atletas!Q242="Baguazhang F",517,IF(Atletas!Q242="Outro Estilo Interno F",518, "")))))))))))))))))))</f>
        <v/>
      </c>
      <c r="BZ251" s="50" t="str">
        <f>IF(Atletas!R242="","",IF(Atletas!X242&lt;&gt;"",10000,0)+IF(Atletas!B242="Feminino",1000,IF(Atletas!B242="Masculino",2000,""))+IF(Atletas!R242="Dao A",601,IF(Atletas!R242="Jian A",602,IF(Atletas!R242="Bishou A",603,IF(Atletas!R242="Shanzi A",604,IF(Atletas!R242="Outra Arma Curta A",605,IF(Atletas!R242="Dao B",606,IF(Atletas!R242="Jian B",607,IF(Atletas!R242="Bishou B",608,IF(Atletas!R242="Shanzi B",609,IF(Atletas!R242="Outra Arma Curta B",610,IF(Atletas!R242="Dao C",611,IF(Atletas!R242="Jian C",612,IF(Atletas!R242="Bishou C",613,IF(Atletas!R242="Shanzi C",614,IF(Atletas!R242="Outra Arma Curta C",615,IF(Atletas!R242="Dao D",616,IF(Atletas!R242="Jian D",617,IF(Atletas!R242="Bishou D",618,IF(Atletas!R242="Shanzi D",619,IF(Atletas!R242="Outra Arma Curta D",620,IF(Atletas!R242="Dao E",621,IF(Atletas!R242="Jian E",622,IF(Atletas!R242="Bishou E",623,IF(Atletas!R242="Shanzi E",624,IF(Atletas!R242="Outra Arma Curta E",625,IF(Atletas!R242="Dao F",626,IF(Atletas!R242="Jian F",627,IF(Atletas!R242="Bishou F",628,IF(Atletas!R242="Shanzi F",629,IF(Atletas!R242="Outra Arma Curta F",630, "")))))))))))))))))))))))))))))))</f>
        <v/>
      </c>
      <c r="CA251" s="50" t="str">
        <f>IF(Atletas!S242="","",IF(Atletas!X242&lt;&gt;"",10000,0)+IF(Atletas!B242="Feminino",1000,IF(Atletas!B242="Masculino",2000,""))+IF(Atletas!S242="Gun A",701,IF(Atletas!S242="Qiang A",702,IF(Atletas!S242="Pudao / Guandao A",703,IF(Atletas!S242="Outra Arma Longa A",704,IF(Atletas!S242="Gun B",705,IF(Atletas!S242="Qiang B",706,IF(Atletas!S242="Pudao / Guandao B",707,IF(Atletas!S242="Outra Arma Longa B",708,IF(Atletas!S242="Gun C",709,IF(Atletas!S242="Qiang C",710,IF(Atletas!S242="Pudao / Guandao C",711,IF(Atletas!S242="Outra Arma Longa C",712,IF(Atletas!S242="Gun D",713,IF(Atletas!S242="Qiang D",714,IF(Atletas!S242="Pudao / Guandao D",715,IF(Atletas!S242="Outra Arma Longa D",716,IF(Atletas!S242="Gun E",717,IF(Atletas!S242="Qiang E",718,IF(Atletas!S242="Pudao / Guandao E",719,IF(Atletas!S242="Outra Arma Longa E",720,IF(Atletas!S242="Gun F",721,IF(Atletas!S242="Qiang F",722,IF(Atletas!S242="Pudao / Guandao F",723,IF(Atletas!S242="Outra Arma Longa F",724,"")))))))))))))))))))))))))</f>
        <v/>
      </c>
      <c r="CB251" s="50" t="str">
        <f>IF(Atletas!T242="","",IF(Atletas!X242&lt;&gt;"",10000,0)+IF(Atletas!B242="Feminino",1000,IF(Atletas!B242="Masculino",2000,""))+IF(Atletas!T242="Outra Arma Dupla A",801,IF(Atletas!T242="Arma Maleável A",802,IF(Atletas!T242="Outra Arma Dupla B",803,IF(Atletas!T242="Arma Maleável B",804,IF(Atletas!T242="Outra Arma Dupla C",805,IF(Atletas!T242="Arma Maleável C",806,IF(Atletas!T242="Outra Arma Dupla D",807,IF(Atletas!T242="Arma Maleável D",808,IF(Atletas!T242="Outra Arma Dupla E",809,IF(Atletas!T242="Arma Maleável E",810,IF(Atletas!T242="Outra Arma Dupla F",811,IF(Atletas!T242="Arma Maleável F",812,IF(Atletas!T242="Shuangdao A",813,IF(Atletas!T242="Shuangdao B",814,IF(Atletas!T242="Shuangdao C",815,IF(Atletas!T242="Shuangdao D",816,IF(Atletas!T242="Shuangdao E",817,IF(Atletas!T242="Shuangdao F",818,"")))))))))))))))))))</f>
        <v/>
      </c>
      <c r="CC251" s="50" t="str">
        <f>IF(Atletas!U242="","",IF(Atletas!X242&lt;&gt;"",10000,0)+IF(Atletas!B242="Feminino",1000,IF(Atletas!B242="Masculino",2000,""))+IF(OR(Atletas!U242="Taijijian Yang A",Atletas!U242="Taijijian Yang Standard A"),901,IF(OR(Atletas!U242="Taijijian Chen A", Atletas!U242="Taijijian Chen Standard A"),902,IF(Atletas!U242="Taijijian Sun A",903,IF(Atletas!U242="Taijijian Wu A",904,IF(Atletas!U242="Taijijian Wu-Hao A",905,IF(OR(Atletas!U242="Taijijian 32 A",Atletas!U242="Taijijian 42 A"),906,IF(OR(Atletas!U242="Taijijian Yang B",Atletas!U242="Taijijian Yang Standard B"),907,IF(OR(Atletas!U242="Taijijian Chen B", Atletas!U242="Taijijian Chen Standard B"),908,IF(Atletas!U242="Taijijian Sun B",909,IF(Atletas!U242="Taijijian Wu B",910,IF(Atletas!U242="Taijijian Wu-Hao B",911,IF(OR(Atletas!U242="Taijijian 32 B",Atletas!U242="Taijijian 42 B"),912,IF(OR(Atletas!U242="Taijijian Yang C",Atletas!U242="Taijijian Yang Standard C"),913,IF(OR(Atletas!U242="Taijijian Chen C", Atletas!U242="Taijijian Chen Standard C"),914,IF(Atletas!U242="Taijijian Sun C",915,IF(Atletas!U242="Taijijian Wu C",916,IF(Atletas!U242="Taijijian Wu-Hao C",917,IF(OR(Atletas!U242="Taijijian 32 C",Atletas!U242="Taijijian 42 C"),918,IF(OR(Atletas!U242="Taijijian Yang D",Atletas!U242="Taijijian Yang Standard D"),919,IF(OR(Atletas!U242="Taijijian Chen D", Atletas!U242="Taijijian Chen Standard D"),920,IF(Atletas!U242="Taijijian Sun D",921,IF(Atletas!U242="Taijijian Wu D",922,IF(Atletas!U242="Taijijian Wu-Hao D",923,IF(OR(Atletas!U242="Taijijian 32 D",Atletas!U242="Taijijian 42 D"),924,IF(OR(Atletas!U242="Taijijian Yang E",Atletas!U242="Taijijian Yang Standard E"),925,IF(OR(Atletas!U242="Taijijian Chen E", Atletas!U242="Taijijian Chen Standard E"),926,IF(Atletas!U242="Taijijian Sun E",927,IF(Atletas!U242="Taijijian Wu E",928,IF(Atletas!U242="Taijijian Wu-Hao E",929,IF(OR(Atletas!U242="Taijijian 32 E",Atletas!U242="Taijijian 42 E"),930,IF(OR(Atletas!U242="Taijijian Yang F",Atletas!U242="Taijijian Yang Standard F"),931,IF(OR(Atletas!U242="Taijijian Chen F", Atletas!U242="Taijijian Chen Standard F"),932,IF(Atletas!U242="Taijijian Sun F",933,IF(Atletas!U242="Taijijian Wu F",934,IF(Atletas!U242="Taijijian Wu-Hao F",935,IF(OR(Atletas!U242="Taijijian 32 F",Atletas!U242="Taijijian 42 F"),936,"")))))))))))))))))))))))))))))))))))))</f>
        <v/>
      </c>
      <c r="CD251" s="50" t="str">
        <f>IF(Atletas!V242="","",IF(Atletas!X242&lt;&gt;"",10000,0)+IF(Atletas!B242="Feminino",1000,IF(Atletas!B242="Masculino",2000,""))+IF(Atletas!V242="Taijidao A",937,IF(Atletas!V242="TaijiShanzi A",938,IF(Atletas!V242="Taijiqiang A",939,IF(Atletas!V242="Bagua de Arma A",940,IF(Atletas!V242="Xingyi de Arma A",941,IF(Atletas!V242="Taijidao B",942,IF(Atletas!V242="TaijiShanzi B",943,IF(Atletas!V242="Taijiqiang B",944,IF(Atletas!V242="Bagua de Arma B",945,IF(Atletas!V242="Xingyi de Arma B",946,IF(Atletas!V242="Taijidao C",947,IF(Atletas!V242="TaijiShanzi C",948,IF(Atletas!V242="Taijiqiang C",949,IF(Atletas!V242="Bagua de Arma C",950,IF(Atletas!V242="Xingyi de Arma C",951,IF(Atletas!V242="Taijidao D",952,IF(Atletas!V242="TaijiShanzi D",953,IF(Atletas!V242="Taijiqiang D",954,IF(Atletas!V242="Bagua de Arma D",955,IF(Atletas!V242="Xingyi de Arma D",956,IF(Atletas!V242="Taijidao E",957,IF(Atletas!V242="TaijiShanzi E",958,IF(Atletas!V242="Taijiqiang E",959,IF(Atletas!V242="Bagua de Arma E",960,IF(Atletas!V242="Xingyi de Arma E",961,IF(Atletas!V242="Taijidao F",962,IF(Atletas!V242="TaijiShanzi F",963,IF(Atletas!V242="Taijiqiang F",964,IF(Atletas!V242="Bagua de Arma F",965,IF(Atletas!V242="Xingyi de Arma F",966,"")))))))))))))))))))))))))))))))</f>
        <v/>
      </c>
      <c r="CE251" s="66" t="str">
        <f>IF(CF251&lt;&gt;"","Bishou E","")</f>
        <v/>
      </c>
      <c r="CF251" s="66" t="str">
        <f>IF(COUNTIF(BR:CD,1623)&gt;0,COUNTIF(BR:CD,1623),"")</f>
        <v/>
      </c>
      <c r="CG251" s="66" t="str">
        <f>IF(CH251&lt;&gt;"","Bishou E","")</f>
        <v/>
      </c>
      <c r="CH251" s="66" t="str">
        <f>IF(COUNTIF(BR:CD,2623)&gt;0,COUNTIF(BR:CD,2623),"")</f>
        <v/>
      </c>
      <c r="CI251" s="66" t="str">
        <f>IF(CJ251&lt;&gt;"","Shanzi F","")</f>
        <v/>
      </c>
      <c r="CJ251" s="66" t="str">
        <f>IF(COUNTIF(BR:CD,11629)&gt;0,COUNTIF(BR:CD,11629),"")</f>
        <v/>
      </c>
      <c r="CK251" s="66" t="str">
        <f>IF(CL251&lt;&gt;"","Shanzi F","")</f>
        <v/>
      </c>
      <c r="CL251" s="66" t="str">
        <f>IF(COUNTIF(BR:CD,12629)&gt;0,COUNTIF(BR:CD,12629),"")</f>
        <v/>
      </c>
      <c r="CM251" s="50" t="str">
        <f xml:space="preserve"> IF(Atletas!W242="","",IF(Atletas!W242="Duilian de Mãos BC - Equipe 1",1,IF(Atletas!W242="Duilian de Mãos BC - Equipe 2",2,IF(Atletas!W242="Duilian de Armas BC - Equipe 1",3,IF(Atletas!W242="Duilian de Armas BC - Equipe 2",4,IF(Atletas!W242="Duilian de Mãos DE - Equipe 1",5,IF(Atletas!W242="Duilian de Mãos DE - Equipe 2",6,IF(Atletas!W242="Duilian de Armas DE - Equipe 1",7,IF(Atletas!W242="Duilian de Armas DE - Equipe 2",8,IF(Atletas!W242="Duilian de Tuishou - Equipe 1",9,IF(Atletas!W242="Duilian de Tuishou - Equipe 2",10,IF(Atletas!W242="Grupo Externo ABC - Equipe 1",11,IF(Atletas!W242="Grupo Externo ABC - Equipe 2",12,IF(Atletas!W242="Grupo Interno ABC - Equipe 1",13,IF(Atletas!W242="Grupo Interno ABC - Equipe 2",14,IF(Atletas!W242="Grupo Externo DEF - Equipe 1",15,IF(Atletas!W242="Grupo Externo DEF - Equipe 2",16,IF(Atletas!W242="Grupo Interno DEF - Equipe 1",17,IF(Atletas!W242="Grupo Interno DEF - Equipe 2",18,"")))))))))))))))))))</f>
        <v/>
      </c>
    </row>
    <row r="252" spans="2:91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 t="str">
        <f t="array" ref="Z252">IFERROR(INDEX(CE$7:CE$348,SMALL(IF(CE$7:CE$348&lt;&gt;"",ROW(CE$7:CE$348)-ROW(CE$7)+1),ROWS(CE$7:CE251))),"")</f>
        <v/>
      </c>
      <c r="AA252" s="3" t="str">
        <f t="array" ref="AA252">IFERROR(INDEX(CF$7:CF$348,SMALL(IF(CF$7:CF$348&lt;&gt;"",ROW(CF$7:CF$348)-ROW(CF$7)+1),ROWS(CF$7:CF251))),"")</f>
        <v/>
      </c>
      <c r="AB252" s="3" t="str">
        <f t="array" ref="AB252">IFERROR(INDEX(CG$7:CG$348,SMALL(IF(CG$7:CG$348&lt;&gt;"",ROW(CG$7:CG$348)-ROW(CG$7)+1),ROWS(CG$7:CG251))),"")</f>
        <v/>
      </c>
      <c r="AC252" s="3" t="str">
        <f t="array" ref="AC252">IFERROR(INDEX(CH$7:CH$348,SMALL(IF(CH$7:CH$348&lt;&gt;"",ROW(CH$7:CH$348)-ROW(CH$7)+1),ROWS(CH$7:CH251))),"")</f>
        <v/>
      </c>
      <c r="AD252" s="3" t="str">
        <f t="array" ref="AD252">IFERROR(INDEX(CI$7:CI$377,SMALL(IF(CI$7:CI$377&lt;&gt;"",ROW(CI$7:CI$377)-ROW(CI$7)+1),ROWS(CI$7:CI251))),"")</f>
        <v/>
      </c>
      <c r="AE252" s="3" t="str">
        <f t="array" ref="AE252">IFERROR(INDEX(CJ$7:CJ$378,SMALL(IF(CJ$7:CJ$378&lt;&gt;"",ROW(CJ$7:CJ$378)-ROW(CJ$7)+1),ROWS(CJ$7:CJ251))),"")</f>
        <v/>
      </c>
      <c r="AF252" s="3" t="str">
        <f t="array" ref="AF252">IFERROR(INDEX(CK$7:CK$378,SMALL(IF(CK$7:CK$378&lt;&gt;"",ROW(CK$7:CK$378)-ROW(CK$7)+1),ROWS(CK$7:CK251))),"")</f>
        <v/>
      </c>
      <c r="AG252" s="3" t="str">
        <f t="array" ref="AG252">IFERROR(INDEX(CL$7:CL$378,SMALL(IF(CL$7:CL$378&lt;&gt;"",ROW(CL$7:CL$378)-ROW(CL$7)+1),ROWS(CL$7:CL251))),"")</f>
        <v/>
      </c>
      <c r="AH252" s="3"/>
      <c r="AI252" s="3"/>
      <c r="AJ252" s="3"/>
      <c r="AK252" s="3"/>
      <c r="AL252" s="3"/>
      <c r="AM252" s="3"/>
      <c r="AN252" s="52" t="str">
        <f>IF(Atletas!D243="","",IF(Atletas!B243="Feminino",100,IF(Atletas!B243="Masculino",200,""))+(IF(Atletas!D243="Kids 30kg",1,IF(Atletas!D243="Kids 32kg",2, IF(Atletas!D243="Kids 34kg",3,IF(Atletas!D243="Kids 36kg",4,IF(Atletas!D243="Kids 39kg",5,IF(Atletas!D243="Kids 42kg",6,IF(Atletas!D243="Kids 45kg",7, IF(Atletas!D243="Infantil 39kg",8,IF(Atletas!D243="Infantil 42kg",9,IF(Atletas!D243="Infantil 45kg",10,IF(Atletas!D243="Infantil 48kg",11,IF(Atletas!D243="Infantil 52kg",12,IF(Atletas!D243="Infantil 56kg",13,IF(Atletas!D243="Infantil 60kg",14,IF(Atletas!D243="Juvenil 48kg",15,IF(Atletas!D243="Juvenil 52kg",16,IF(Atletas!D243="Juvenil 56kg",17,IF(Atletas!D243="Juvenil 60kg",18,IF(Atletas!D243="Juvenil 65kg",19,IF(Atletas!D243="Juvenil 70kg",20,IF(Atletas!D243="Juvenil 75kg",21,IF(Atletas!D243="Juvenil 80kg",22, IF(Atletas!D243="Juvenil 85kg",23,IF(Atletas!D243="Adulto 48kg",24,IF(Atletas!D243="Adulto 52kg",25,IF(Atletas!D243="Adulto 56kg",26,IF(Atletas!D243="Adulto 60kg",27,IF(Atletas!D243="Adulto 65kg",28,IF(Atletas!D243="Adulto 70kg",29,IF(Atletas!D243="Adulto 75kg",30,IF(Atletas!D243="Adulto 80kg",31,IF(Atletas!D243="Adulto 85kg",32,IF(Atletas!D243="Adulto 90kg",33,IF(Atletas!D243="Adulto 100kg",34, IF(Atletas!D243="Adulto +100kg",35,"")))))))))))))))))))))))))))))))))))))</f>
        <v/>
      </c>
      <c r="AS252" s="6" t="str">
        <f>IF(Atletas!E243="","",IF(Atletas!B243="Feminino",100,IF(Atletas!B243="Masculino",200,""))+(IF(Atletas!E243="Juvenil 44kg",1,IF(Atletas!E243="Juvenil 48kg",2,IF(Atletas!E243="Juvenil 52kg",3,IF(Atletas!E243="Juvenil 56kg",4,IF(Atletas!E243="Juvenil 60kg",5,IF(Atletas!E243="Juvenil 65kg",6,IF(Atletas!E243="Juvenil 70kg",7,IF(Atletas!E243="Juvenil 75kg",8,IF(Atletas!E243="Juvenil 82kg",9,IF(Atletas!E243="Juvenil 90kg",10,IF(Atletas!E243="Juvenil 100kg",11,IF(Atletas!E243="Adulto 48kg",12,IF(Atletas!E243="Adulto 52kg",13,IF(Atletas!E243="Adulto 56kg",14,IF(Atletas!E243="Adulto 60kg",15,IF(Atletas!E243="Adulto 65kg",16,IF(Atletas!E243="Adulto 70kg",17,IF(Atletas!E243="Adulto 75kg",18,IF(Atletas!E243="Adulto 82kg",19,IF(Atletas!E243="Adulto 90kg",20,IF(Atletas!E243="Adulto 100kg",21,IF(Atletas!E243="Adulto +100kg",22,""))))))))))))))))))))))))</f>
        <v/>
      </c>
      <c r="AX252" s="6" t="str">
        <f>IF(Atletas!F243="","",IF(Atletas!B243="Feminino",100,IF(Atletas!B243="Masculino",200,""))+(IF(Atletas!F243="Adulto 48kg",1,IF(Atletas!F243="Adulto 56kg",2,IF(Atletas!F243="Adulto 65kg",3,IF(Atletas!F243="Adulto 75kg",4,IF(Atletas!F243="Adulto +75kg",5,IF(Atletas!F243="Adulto 52kg",6,IF(Atletas!F243="Adulto 60kg",7,IF(Atletas!F243="Adulto 70kg",8,IF(Atletas!F243="Adulto 80kg",9,IF(Atletas!F243="Adulto 90kg",10,IF(Atletas!F243="Adulto +90kg",11,"")))))))))))))</f>
        <v/>
      </c>
      <c r="BC252" s="6" t="str">
        <f>IF(Atletas!G243="","",IF(Atletas!B243="Feminino",10,IF(Atletas!B243="Masculino",20,""))+(IF(Atletas!G243="Baduanjin A",1,IF(Atletas!G243="Baduanjin B",2))))</f>
        <v/>
      </c>
      <c r="BF252" s="52" t="str">
        <f>IF(Atletas!H243="","",IF(Atletas!B243="Feminino",100,IF(Atletas!B243="Masculino",200,""))+(IF(Atletas!H243="Changquan Mirim",1,IF(Atletas!H243="Nanquan Mirim",2,IF(Atletas!H243="Taijiquan Mirim",3,IF(Atletas!H243="Changquan Grupo C",4,IF(Atletas!H243="Nanquan Grupo C",5,IF(Atletas!H243="Taijiquan Grupo C",6,IF(Atletas!H243="Changquan Grupo B",7,IF(Atletas!H243="Nanquan Grupo B",8,IF(Atletas!H243="Taijiquan Grupo B",9,IF(Atletas!H243="Changquan Grupo A",10,IF(Atletas!H243="Nanquan Grupo A",11,IF(Atletas!H243="Taijiquan Grupo A",12,IF(Atletas!H243="Changquan Opcional",13,IF(Atletas!H243="Nanquan Opcional",14,IF(Atletas!H243="Taijiquan Opcional",15,IF(Atletas!H243="Changquan Adulto",16,IF(Atletas!H243="Nanquan Adulto",17,IF(Atletas!H243="Taijiquan Adulto",18,""))))))))))))))))))))</f>
        <v/>
      </c>
      <c r="BG252" s="52" t="str">
        <f>IF(Atletas!I243="","",IF(Atletas!B243="Feminino",100,IF(Atletas!B243="Masculino",200,""))+(IF(Atletas!I243="Daoshu Mirim",19,IF(Atletas!I243="Jianshu Mirim",20,IF(Atletas!I243="Nandao Mirim",21,IF(Atletas!I243="Taijijian Mirim",22,IF(Atletas!I243="Daoshu Grupo C",23,IF(Atletas!I243="Jianshu Grupo C",24,IF(Atletas!I243="Nandao Grupo C",25,IF(Atletas!I243="Taijijian Grupo C",26,IF(Atletas!I243="Daoshu Grupo B",27,IF(Atletas!I243="Jianshu Grupo B",28,IF(Atletas!I243="Nandao Grupo B",29,IF(Atletas!I243="Taijijian Grupo B",30,IF(Atletas!I243="Daoshu Grupo A",31,IF(Atletas!I243="Jianshu Grupo A",32,IF(Atletas!I243="Nandao Grupo A",33,IF(Atletas!I243="Taijijian Grupo A",34,IF(Atletas!I243="Daoshu Opcional",35,IF(Atletas!I243="Jianshu Opcional",36,IF(Atletas!I243="Nandao Opcional",37,IF(Atletas!I243="Taijijian Opcional",38,IF(Atletas!I243="Daoshu Adulto",39,IF(Atletas!I243="Jianshu Adulto",40,IF(Atletas!I243="Nandao Adulto",41,IF(Atletas!I243="Taijijian Adulto",42,""))))))))))))))))))))))))))</f>
        <v/>
      </c>
      <c r="BH252" s="52" t="str">
        <f>IF(Atletas!J243="","",IF(Atletas!B243="Feminino",100,IF(Atletas!B243="Masculino",200,""))+(IF(Atletas!J243="Gunshu Mirim",43,IF(Atletas!J243="Qiangshu Mirim",44,IF(Atletas!J243="Nangun Mirim",45,IF(Atletas!J243="Gunshu Grupo C",46,IF(Atletas!J243="Qiangshu Grupo C",47,IF(Atletas!J243="Nangun Grupo C",48,IF(Atletas!J243="Gunshu Grupo B",49,IF(Atletas!J243="Qiangshu Grupo B",50,IF(Atletas!J243="Nangun Grupo B",51,IF(Atletas!J243="Gunshu Grupo A",52,IF(Atletas!J243="Qiangshu Grupo A",53,IF(Atletas!J243="Nangun Grupo A",54,IF(Atletas!J243="Gunshu Opcional",55,IF(Atletas!J243="Qiangshu Opcional",56,IF(Atletas!J243="Nangun Opcional",57,IF(Atletas!J243="Gunshu Adulto",58,IF(Atletas!J243="Qiangshu Adulto",59,IF(Atletas!J243="Nangun Adulto",60,IF(Atletas!J243="Taijishan Grupo B",61,IF(Atletas!J243="Taijishan Grupo A",62,""))))))))))))))))))))))</f>
        <v/>
      </c>
      <c r="BM252" s="50" t="str">
        <f>IF(Atletas!K243="","",IF(Atletas!B243="Feminino",100,IF(Atletas!B243="Masculino",200,""))+(IF(Atletas!K243="Equipe 1 Grupo B",1,IF(Atletas!K243="Equipe 2 Grupo B",2,IF(Atletas!K243="Equipe 1 Grupo A",3,IF(Atletas!K243="Equipe 2 Grupo A",4,IF(Atletas!K243="Equipe 1 Adulto",5,IF(Atletas!K243="Equipe 2 Adulto",6,""))))))))</f>
        <v/>
      </c>
      <c r="BR252" s="50" t="str">
        <f>IF(Atletas!L243="","",IF(Atletas!X243&lt;&gt;"",10000,0)+(IF(Atletas!B243="Feminino",1000,IF(Atletas!B243="Masculino",2000,""))+IF(Atletas!L243="Choylayfut A",1,IF(Atletas!L243="Hunggar A",2,IF(Atletas!L243="Wuzuquan A",3,IF(Atletas!L243="Wingchun A",4,IF(Atletas!L243="Outra Mão de Sul A",5,IF(Atletas!L243="Choylayfut B",6,IF(Atletas!L243="Hunggar B",7,IF(Atletas!L243="Wuzuquan B",8,IF(Atletas!L243="Wingchun B",9,IF(Atletas!L243="Outra Mão de Sul B",10,IF(Atletas!L243="Choylayfut C",11,IF(Atletas!L243="Hunggar C",12,IF(Atletas!L243="Wuzuquan C",13,IF(Atletas!L243="Wingchun C",14,IF(Atletas!L243="Outra Mão de Sul C",15,IF(Atletas!L243="Choylayfut D",16,IF(Atletas!L243="Hunggar D",17,IF(Atletas!L243="Wuzuquan D",18,IF(Atletas!L243="Wingchun D",19,IF(Atletas!L243="Outra Mão de Sul D",20,IF(Atletas!L243="Choylayfut E",21,IF(Atletas!L243="Hunggar E",22,IF(Atletas!L243="Wuzuquan E",23,IF(Atletas!L243="Wingchun E",24,IF(Atletas!L243="Outra Mão de Sul E",25,IF(Atletas!L243="Choylayfut F",26,IF(Atletas!L243="Hunggar F",27,IF(Atletas!L243="Wuzuquan F",28,IF(Atletas!L243="Wingchun F",29,IF(Atletas!L243="Outra Mão de Sul F",30,IF(Atletas!L243="Dishuquan A",31,IF(Atletas!L243="Dishuquan B",32,IF(Atletas!L243="Dishuquan C",33,IF(Atletas!L243="Dishuquan D",34,IF(Atletas!L243="Dishuquan E",35,IF(Atletas!L243="Dishuquan F",36,""))))))))))))))))))))))))))))))))))))))</f>
        <v/>
      </c>
      <c r="BS252" s="50" t="str">
        <f>IF(Atletas!M243="","",IF(Atletas!X243&lt;&gt;"",10000,0)+(IF(Atletas!B243="Feminino",1000,IF(Atletas!B243="Masculino",2000,""))+(IF(Atletas!M243="Chaquan A",101,IF(Atletas!M243="Emeiquan A",102,IF(Atletas!M243="Fanziquan A",103,IF(Atletas!M243="Huaquan A",104,IF(Atletas!M243="Hongquan A",105,IF(Atletas!M243="Paoquan A",106,IF(Atletas!M243="Piguaquan A",107,IF(Atletas!M243="Shaolinquan A",108,IF(Atletas!M243="Tanglangquan A",109,IF(Atletas!M243="Yingzhaoquan A",110,IF(Atletas!M243="Tongbeiquan A",111,IF(Atletas!M243="Wudangquan A",112,IF(Atletas!M243="Outros Estilos A",113,IF(Atletas!M243="Chaquan B",114,IF(Atletas!M243="Emeiquan B",115,IF(Atletas!M243="Fanziquan B",116,IF(Atletas!M243="Huaquan B",117,IF(Atletas!M243="Hongquan B",118,IF(Atletas!M243="Paoquan B",119,IF(Atletas!M243="Piguaquan B",120,IF(Atletas!M243="Shaolinquan B",121,IF(Atletas!M243="Tanglangquan B",122,IF(Atletas!M243="Yingzhaoquan B",123,IF(Atletas!M243="Tongbeiquan B",124,IF(Atletas!M243="Wudangquan B",125,IF(Atletas!M243="Outros Estilos B",126,IF(Atletas!M243="Chaquan C",127,IF(Atletas!M243="Emeiquan C",128,IF(Atletas!M243="Fanziquan C",129,IF(Atletas!M243="Huaquan C",130,IF(Atletas!M243="Hongquan C",131,IF(Atletas!M243="Paoquan C",132,IF(Atletas!M243="Piguaquan C",133,IF(Atletas!M243="Shaolinquan C",134,IF(Atletas!M243="Tanglangquan C",135,IF(Atletas!M243="Yingzhaoquan C",136,IF(Atletas!M243="Tongbeiquan C",137,IF(Atletas!M243="Wudangquan C",138,IF(Atletas!M243="Outros Estilos C",139,0))))))))))))))))))))))))))))))))))))))))))</f>
        <v/>
      </c>
      <c r="BT252" s="50" t="str">
        <f>IF(Atletas!M243="","",IF(Atletas!X243&lt;&gt;"",10000,0)+(IF(Atletas!B243="Feminino",1000,IF(Atletas!B243="Masculino",2000,""))+(IF(Atletas!M243="Chaquan D",140,IF(Atletas!M243="Emeiquan D",141,IF(Atletas!M243="Fanziquan D",142,IF(Atletas!M243="Huaquan D",143,IF(Atletas!M243="Hongquan D",144,IF(Atletas!M243="Paoquan D",145,IF(Atletas!M243="Piguaquan D",146,IF(Atletas!M243="Shaolinquan D",147,IF(Atletas!M243="Tanglangquan D",148,IF(Atletas!M243="Yingzhaoquan D",149,IF(Atletas!M243="Tongbeiquan D",150,IF(Atletas!M243="Wudangquan D",151,IF(Atletas!M243="Outros Estilos D",152,IF(Atletas!M243="Chaquan E",153,IF(Atletas!M243="Emeiquan E",154,IF(Atletas!M243="Fanziquan E",155,IF(Atletas!M243="Huaquan E",156,IF(Atletas!M243="Hongquan E",157,IF(Atletas!M243="Paoquan E",158,IF(Atletas!M243="Piguaquan E",159,IF(Atletas!M243="Shaolinquan E",160,IF(Atletas!M243="Tanglangquan E",161,IF(Atletas!M243="Yingzhaoquan E",162,IF(Atletas!M243="Tongbeiquan E",163,IF(Atletas!M243="Wudangquan E",164,IF(Atletas!M243="Outros Estilos E",165,IF(Atletas!M243="Chaquan F",166,IF(Atletas!M243="Emeiquan F",167,IF(Atletas!M243="Fanziquan F",168,IF(Atletas!M243="Huaquan F",169,IF(Atletas!M243="Hongquan F",170,IF(Atletas!M243="Paoquan F",171,IF(Atletas!M243="Piguaquan F",172,IF(Atletas!M243="Shaolinquan F",173,IF(Atletas!M243="Tanglangquan F",174,IF(Atletas!M243="Yingzhaoquan F",175,IF(Atletas!M243="Tongbeiquan F",176,IF(Atletas!M243="Wudangquan F",177,IF(Atletas!M243="Outros Estilos F",178,0))))))))))))))))))))))))))))))))))))))))))</f>
        <v/>
      </c>
      <c r="BU252" s="50" t="str">
        <f>IF(Atletas!N243="","",IF(Atletas!X243&lt;&gt;"",10000,0)+(IF(Atletas!B243="Feminino",1000,IF(Atletas!B243="Masculino",2000,""))+(IF(Atletas!N243="Ditangquan A",201,IF(Atletas!N243="Houquan A",202,IF(Atletas!N243="Zuiquan A",203,IF(Atletas!N243="Ditangquan B",204,IF(Atletas!N243="Houquan B",205,IF(Atletas!N243="Zuiquan B",206,IF(Atletas!N243="Ditangquan C",207,IF(Atletas!N243="Houquan C",208,IF(Atletas!N243="Zuiquan C",209,IF(Atletas!N243="Ditangquan D",210,IF(Atletas!N243="Houquan D",211,IF(Atletas!N243="Zuiquan D",212,IF(Atletas!N243="Ditangquan E",213,IF(Atletas!N243="Houquan E",214,IF(Atletas!N243="Zuiquan E",215,IF(Atletas!N243="Ditangquan F",216,IF(Atletas!N243="Houquan F",217,IF(Atletas!N243="Zuiquan F",218,"")))))))))))))))))))))</f>
        <v/>
      </c>
      <c r="BV252" s="50" t="str">
        <f>IF(Atletas!O243="","",IF(Atletas!X243&lt;&gt;"",10000,0)+IF(Atletas!B243="Feminino",1000,IF(Atletas!B243="Masculino",2000,""))+IF(Atletas!O243="Yang A",301,IF(Atletas!O243="Chen A",302,IF(Atletas!O243="Sun A",303,IF(Atletas!O243="Wu A",304,IF(Atletas!O243="Wu-Hao A",305,IF(Atletas!O243="Outro Taijiquan A",306,IF(Atletas!O243="Yang B",307,IF(Atletas!O243="Chen B",308,IF(Atletas!O243="Sun B",309,IF(Atletas!O243="Wu B",310,IF(Atletas!O243="Wu-Hao B",311,IF(Atletas!O243="Outro Taijiquan B",312,IF(Atletas!O243="Yang C",313,IF(Atletas!O243="Chen C",314,IF(Atletas!O243="Sun C",315,IF(Atletas!O243="Wu C",316,IF(Atletas!O243="Wu-Hao C",317,IF(Atletas!O243="Outro Taijiquan C",318,IF(Atletas!O243="Yang D",319,IF(Atletas!O243="Chen D",320,IF(Atletas!O243="Sun D",321,IF(Atletas!O243="Wu D",322,IF(Atletas!O243="Wu-Hao D",323,IF(Atletas!O243="Outro Taijiquan D",324,IF(Atletas!O243="Yang E",325,IF(Atletas!O243="Chen E",326,IF(Atletas!O243="Sun E",327,IF(Atletas!O243="Wu E",328,IF(Atletas!O243="Wu-Hao E",329,IF(Atletas!O243="Outro Taijiquan E",330,IF(Atletas!O243="Yang F",331,IF(Atletas!O243="Chen F",332,IF(Atletas!O243="Sun F",333,IF(Atletas!O243="Wu F",334,IF(Atletas!O243="Wu-Hao F",335,IF(Atletas!O243="Outro Taijiquan F",336,"")))))))))))))))))))))))))))))))))))))</f>
        <v/>
      </c>
      <c r="BW252" s="50" t="str">
        <f>IF(Atletas!P243="","",IF(Atletas!X243&lt;&gt;"",10000,0)+IF(Atletas!B243="Feminino",1000,IF(Atletas!B243="Masculino",2000,""))+IF(OR(Atletas!P243="Yang 26 A",Atletas!P243="Yang 40 A"),401,IF(OR(Atletas!P243="Chen 25 A",Atletas!P243="Chen 36 A",Atletas!P243="Chen 56 A"),402,IF(Atletas!P243="Sun 73 A",403,IF(Atletas!P243="Wu 45 A",404,IF(Atletas!P243="Wu-Hao 46 A",405,IF(OR(Atletas!P243="Taijiquan 16 A",Atletas!P243="Taijiquan 24 A",Atletas!P243="Taijiquan 32 A",Atletas!P243="Taijiquan 42 A"),406,IF(OR(Atletas!P243="Yang 26 B",Atletas!P243="Yang 40 B"),407,IF(OR(Atletas!P243="Chen 25 B",Atletas!P243="Chen 36 B",Atletas!P243="Chen 56 B"),408,IF(Atletas!P243="Sun 73 B",409,IF(Atletas!P243="Wu 45 B",410,IF(Atletas!P243="Wu-Hao 46 B",411,IF(OR(Atletas!P243="Taijiquan 16 B",Atletas!P243="Taijiquan 24 B",Atletas!P243="Taijiquan 32 B",Atletas!P243="Taijiquan 42 B"),412,IF(OR(Atletas!P243="Yang 26 C",Atletas!P243="Yang 40 C"),413,IF(OR(Atletas!P243="Chen 25 C",Atletas!P243="Chen 36 C",Atletas!P243="Chen 56 C"),414,IF(Atletas!P243="Sun 73 C",415,IF(Atletas!P243="Wu 45 C",416,IF(Atletas!P243="Wu-Hao 46 C",417,IF(OR(Atletas!P243="Taijiquan 16 C",Atletas!P243="Taijiquan 24 C",Atletas!P243="Taijiquan 32 C",Atletas!P243="Taijiquan 42 C"),418,0)))))))))))))))))))</f>
        <v/>
      </c>
      <c r="BX252" s="50" t="str">
        <f>IF(Atletas!P243="","",IF(Atletas!X243&lt;&gt;"",10000,0)+IF(Atletas!B243="Feminino",1000,IF(Atletas!B243="Masculino",2000,""))+IF(OR(Atletas!P243="Yang 26 D",Atletas!P243="Yang 40 D"),419,IF(OR(Atletas!P243="Chen 25 D",Atletas!P243="Chen 36 D",Atletas!P243="Chen 56 D"),420,IF(Atletas!P243="Sun 73 D",421,IF(Atletas!P243="Wu 45 D",422,IF(Atletas!P243="Wu-Hao 46 D",423,IF(OR(Atletas!P243="Taijiquan 16 D",Atletas!P243="Taijiquan 24 D",Atletas!P243="Taijiquan 32 D",Atletas!P243="Taijiquan 42 D"),424,IF(OR(Atletas!P243="Yang 26 E",Atletas!P243="Yang 40 E"),425,IF(OR(Atletas!P243="Chen 25 E",Atletas!P243="Chen 36 E",Atletas!P243="Chen 56 E"),426,IF(Atletas!P243="Sun 73 E",427,IF(Atletas!P243="Wu 45 E",428,IF(Atletas!P243="Wu-Hao 46 E",429,IF(OR(Atletas!P243="Taijiquan 16 E",Atletas!P243="Taijiquan 24 E",Atletas!P243="Taijiquan 32 E",Atletas!P243="Taijiquan 42 E"),430,IF(OR(Atletas!P243="Yang 26 F",Atletas!P243="Yang 40 F"),431,IF(OR(Atletas!P243="Chen 25 F",Atletas!P243="Chen 36 F",Atletas!P243="Chen 56 F"),432,IF(Atletas!P243="Sun 73 F",433,IF(Atletas!P243="Wu 45 F",434,IF(Atletas!P243="Wu-Hao 46 F",435,IF(OR(Atletas!P243="Taijiquan 16 F",Atletas!P243="Taijiquan 24 F",Atletas!P243="Taijiquan 32 F",Atletas!P243="Taijiquan 42 F"),436,0)))))))))))))))))))</f>
        <v/>
      </c>
      <c r="BY252" s="50" t="str">
        <f>IF(Atletas!Q243="","",IF(Atletas!X243&lt;&gt;"",10000,0)+IF(Atletas!B243="Feminino",1000,IF(Atletas!B243="Masculino",2000,""))+IF(Atletas!Q243="Xingyiquan A",501,IF(Atletas!Q243="Baguazhang A",502,IF(Atletas!Q243="Outro Estilo Interno A",503,IF(Atletas!Q243="Xingyiquan B",504,IF(Atletas!Q243="Baguazhang B",505,IF(Atletas!Q243="Outro Estilo Interno B",506,IF(Atletas!Q243="Xingyiquan C",507,IF(Atletas!Q243="Baguazhang C",508,IF(Atletas!Q243="Outro Estilo Interno C",509,IF(Atletas!Q243="Xingyiquan D",510,IF(Atletas!Q243="Baguazhang D",511,IF(Atletas!Q243="Outro Estilo Interno D",512,IF(Atletas!Q243="Xingyiquan E",513,IF(Atletas!Q243="Baguazhang E",514,IF(Atletas!Q243="Outro Estilo Interno E",515,IF(Atletas!Q243="Xingyiquan F",516,IF(Atletas!Q243="Baguazhang F",517,IF(Atletas!Q243="Outro Estilo Interno F",518, "")))))))))))))))))))</f>
        <v/>
      </c>
      <c r="BZ252" s="50" t="str">
        <f>IF(Atletas!R243="","",IF(Atletas!X243&lt;&gt;"",10000,0)+IF(Atletas!B243="Feminino",1000,IF(Atletas!B243="Masculino",2000,""))+IF(Atletas!R243="Dao A",601,IF(Atletas!R243="Jian A",602,IF(Atletas!R243="Bishou A",603,IF(Atletas!R243="Shanzi A",604,IF(Atletas!R243="Outra Arma Curta A",605,IF(Atletas!R243="Dao B",606,IF(Atletas!R243="Jian B",607,IF(Atletas!R243="Bishou B",608,IF(Atletas!R243="Shanzi B",609,IF(Atletas!R243="Outra Arma Curta B",610,IF(Atletas!R243="Dao C",611,IF(Atletas!R243="Jian C",612,IF(Atletas!R243="Bishou C",613,IF(Atletas!R243="Shanzi C",614,IF(Atletas!R243="Outra Arma Curta C",615,IF(Atletas!R243="Dao D",616,IF(Atletas!R243="Jian D",617,IF(Atletas!R243="Bishou D",618,IF(Atletas!R243="Shanzi D",619,IF(Atletas!R243="Outra Arma Curta D",620,IF(Atletas!R243="Dao E",621,IF(Atletas!R243="Jian E",622,IF(Atletas!R243="Bishou E",623,IF(Atletas!R243="Shanzi E",624,IF(Atletas!R243="Outra Arma Curta E",625,IF(Atletas!R243="Dao F",626,IF(Atletas!R243="Jian F",627,IF(Atletas!R243="Bishou F",628,IF(Atletas!R243="Shanzi F",629,IF(Atletas!R243="Outra Arma Curta F",630, "")))))))))))))))))))))))))))))))</f>
        <v/>
      </c>
      <c r="CA252" s="50" t="str">
        <f>IF(Atletas!S243="","",IF(Atletas!X243&lt;&gt;"",10000,0)+IF(Atletas!B243="Feminino",1000,IF(Atletas!B243="Masculino",2000,""))+IF(Atletas!S243="Gun A",701,IF(Atletas!S243="Qiang A",702,IF(Atletas!S243="Pudao / Guandao A",703,IF(Atletas!S243="Outra Arma Longa A",704,IF(Atletas!S243="Gun B",705,IF(Atletas!S243="Qiang B",706,IF(Atletas!S243="Pudao / Guandao B",707,IF(Atletas!S243="Outra Arma Longa B",708,IF(Atletas!S243="Gun C",709,IF(Atletas!S243="Qiang C",710,IF(Atletas!S243="Pudao / Guandao C",711,IF(Atletas!S243="Outra Arma Longa C",712,IF(Atletas!S243="Gun D",713,IF(Atletas!S243="Qiang D",714,IF(Atletas!S243="Pudao / Guandao D",715,IF(Atletas!S243="Outra Arma Longa D",716,IF(Atletas!S243="Gun E",717,IF(Atletas!S243="Qiang E",718,IF(Atletas!S243="Pudao / Guandao E",719,IF(Atletas!S243="Outra Arma Longa E",720,IF(Atletas!S243="Gun F",721,IF(Atletas!S243="Qiang F",722,IF(Atletas!S243="Pudao / Guandao F",723,IF(Atletas!S243="Outra Arma Longa F",724,"")))))))))))))))))))))))))</f>
        <v/>
      </c>
      <c r="CB252" s="50" t="str">
        <f>IF(Atletas!T243="","",IF(Atletas!X243&lt;&gt;"",10000,0)+IF(Atletas!B243="Feminino",1000,IF(Atletas!B243="Masculino",2000,""))+IF(Atletas!T243="Outra Arma Dupla A",801,IF(Atletas!T243="Arma Maleável A",802,IF(Atletas!T243="Outra Arma Dupla B",803,IF(Atletas!T243="Arma Maleável B",804,IF(Atletas!T243="Outra Arma Dupla C",805,IF(Atletas!T243="Arma Maleável C",806,IF(Atletas!T243="Outra Arma Dupla D",807,IF(Atletas!T243="Arma Maleável D",808,IF(Atletas!T243="Outra Arma Dupla E",809,IF(Atletas!T243="Arma Maleável E",810,IF(Atletas!T243="Outra Arma Dupla F",811,IF(Atletas!T243="Arma Maleável F",812,IF(Atletas!T243="Shuangdao A",813,IF(Atletas!T243="Shuangdao B",814,IF(Atletas!T243="Shuangdao C",815,IF(Atletas!T243="Shuangdao D",816,IF(Atletas!T243="Shuangdao E",817,IF(Atletas!T243="Shuangdao F",818,"")))))))))))))))))))</f>
        <v/>
      </c>
      <c r="CC252" s="50" t="str">
        <f>IF(Atletas!U243="","",IF(Atletas!X243&lt;&gt;"",10000,0)+IF(Atletas!B243="Feminino",1000,IF(Atletas!B243="Masculino",2000,""))+IF(OR(Atletas!U243="Taijijian Yang A",Atletas!U243="Taijijian Yang Standard A"),901,IF(OR(Atletas!U243="Taijijian Chen A", Atletas!U243="Taijijian Chen Standard A"),902,IF(Atletas!U243="Taijijian Sun A",903,IF(Atletas!U243="Taijijian Wu A",904,IF(Atletas!U243="Taijijian Wu-Hao A",905,IF(OR(Atletas!U243="Taijijian 32 A",Atletas!U243="Taijijian 42 A"),906,IF(OR(Atletas!U243="Taijijian Yang B",Atletas!U243="Taijijian Yang Standard B"),907,IF(OR(Atletas!U243="Taijijian Chen B", Atletas!U243="Taijijian Chen Standard B"),908,IF(Atletas!U243="Taijijian Sun B",909,IF(Atletas!U243="Taijijian Wu B",910,IF(Atletas!U243="Taijijian Wu-Hao B",911,IF(OR(Atletas!U243="Taijijian 32 B",Atletas!U243="Taijijian 42 B"),912,IF(OR(Atletas!U243="Taijijian Yang C",Atletas!U243="Taijijian Yang Standard C"),913,IF(OR(Atletas!U243="Taijijian Chen C", Atletas!U243="Taijijian Chen Standard C"),914,IF(Atletas!U243="Taijijian Sun C",915,IF(Atletas!U243="Taijijian Wu C",916,IF(Atletas!U243="Taijijian Wu-Hao C",917,IF(OR(Atletas!U243="Taijijian 32 C",Atletas!U243="Taijijian 42 C"),918,IF(OR(Atletas!U243="Taijijian Yang D",Atletas!U243="Taijijian Yang Standard D"),919,IF(OR(Atletas!U243="Taijijian Chen D", Atletas!U243="Taijijian Chen Standard D"),920,IF(Atletas!U243="Taijijian Sun D",921,IF(Atletas!U243="Taijijian Wu D",922,IF(Atletas!U243="Taijijian Wu-Hao D",923,IF(OR(Atletas!U243="Taijijian 32 D",Atletas!U243="Taijijian 42 D"),924,IF(OR(Atletas!U243="Taijijian Yang E",Atletas!U243="Taijijian Yang Standard E"),925,IF(OR(Atletas!U243="Taijijian Chen E", Atletas!U243="Taijijian Chen Standard E"),926,IF(Atletas!U243="Taijijian Sun E",927,IF(Atletas!U243="Taijijian Wu E",928,IF(Atletas!U243="Taijijian Wu-Hao E",929,IF(OR(Atletas!U243="Taijijian 32 E",Atletas!U243="Taijijian 42 E"),930,IF(OR(Atletas!U243="Taijijian Yang F",Atletas!U243="Taijijian Yang Standard F"),931,IF(OR(Atletas!U243="Taijijian Chen F", Atletas!U243="Taijijian Chen Standard F"),932,IF(Atletas!U243="Taijijian Sun F",933,IF(Atletas!U243="Taijijian Wu F",934,IF(Atletas!U243="Taijijian Wu-Hao F",935,IF(OR(Atletas!U243="Taijijian 32 F",Atletas!U243="Taijijian 42 F"),936,"")))))))))))))))))))))))))))))))))))))</f>
        <v/>
      </c>
      <c r="CD252" s="50" t="str">
        <f>IF(Atletas!V243="","",IF(Atletas!X243&lt;&gt;"",10000,0)+IF(Atletas!B243="Feminino",1000,IF(Atletas!B243="Masculino",2000,""))+IF(Atletas!V243="Taijidao A",937,IF(Atletas!V243="TaijiShanzi A",938,IF(Atletas!V243="Taijiqiang A",939,IF(Atletas!V243="Bagua de Arma A",940,IF(Atletas!V243="Xingyi de Arma A",941,IF(Atletas!V243="Taijidao B",942,IF(Atletas!V243="TaijiShanzi B",943,IF(Atletas!V243="Taijiqiang B",944,IF(Atletas!V243="Bagua de Arma B",945,IF(Atletas!V243="Xingyi de Arma B",946,IF(Atletas!V243="Taijidao C",947,IF(Atletas!V243="TaijiShanzi C",948,IF(Atletas!V243="Taijiqiang C",949,IF(Atletas!V243="Bagua de Arma C",950,IF(Atletas!V243="Xingyi de Arma C",951,IF(Atletas!V243="Taijidao D",952,IF(Atletas!V243="TaijiShanzi D",953,IF(Atletas!V243="Taijiqiang D",954,IF(Atletas!V243="Bagua de Arma D",955,IF(Atletas!V243="Xingyi de Arma D",956,IF(Atletas!V243="Taijidao E",957,IF(Atletas!V243="TaijiShanzi E",958,IF(Atletas!V243="Taijiqiang E",959,IF(Atletas!V243="Bagua de Arma E",960,IF(Atletas!V243="Xingyi de Arma E",961,IF(Atletas!V243="Taijidao F",962,IF(Atletas!V243="TaijiShanzi F",963,IF(Atletas!V243="Taijiqiang F",964,IF(Atletas!V243="Bagua de Arma F",965,IF(Atletas!V243="Xingyi de Arma F",966,"")))))))))))))))))))))))))))))))</f>
        <v/>
      </c>
      <c r="CE252" s="66" t="str">
        <f>IF(CF252&lt;&gt;"","Shanzi E","")</f>
        <v/>
      </c>
      <c r="CF252" s="66" t="str">
        <f>IF(COUNTIF(BR:CD,1624)&gt;0,COUNTIF(BR:CD,1624),"")</f>
        <v/>
      </c>
      <c r="CG252" s="66" t="str">
        <f>IF(CH252&lt;&gt;"","Shanzi E","")</f>
        <v/>
      </c>
      <c r="CH252" s="66" t="str">
        <f>IF(COUNTIF(BR:CD,2624)&gt;0,COUNTIF(BR:CD,2624),"")</f>
        <v/>
      </c>
      <c r="CI252" s="66" t="str">
        <f>IF(CJ252&lt;&gt;"","Outra Arma Curta F","")</f>
        <v/>
      </c>
      <c r="CJ252" s="66" t="str">
        <f>IF(COUNTIF(BR:CD,11630)&gt;0,COUNTIF(BR:CD,11630),"")</f>
        <v/>
      </c>
      <c r="CK252" s="66" t="str">
        <f>IF(CL252&lt;&gt;"","Outra Arma Curta F","")</f>
        <v/>
      </c>
      <c r="CL252" s="66" t="str">
        <f>IF(COUNTIF(BR:CD,12630)&gt;0,COUNTIF(BR:CD,12630),"")</f>
        <v/>
      </c>
      <c r="CM252" s="50" t="str">
        <f xml:space="preserve"> IF(Atletas!W243="","",IF(Atletas!W243="Duilian de Mãos BC - Equipe 1",1,IF(Atletas!W243="Duilian de Mãos BC - Equipe 2",2,IF(Atletas!W243="Duilian de Armas BC - Equipe 1",3,IF(Atletas!W243="Duilian de Armas BC - Equipe 2",4,IF(Atletas!W243="Duilian de Mãos DE - Equipe 1",5,IF(Atletas!W243="Duilian de Mãos DE - Equipe 2",6,IF(Atletas!W243="Duilian de Armas DE - Equipe 1",7,IF(Atletas!W243="Duilian de Armas DE - Equipe 2",8,IF(Atletas!W243="Duilian de Tuishou - Equipe 1",9,IF(Atletas!W243="Duilian de Tuishou - Equipe 2",10,IF(Atletas!W243="Grupo Externo ABC - Equipe 1",11,IF(Atletas!W243="Grupo Externo ABC - Equipe 2",12,IF(Atletas!W243="Grupo Interno ABC - Equipe 1",13,IF(Atletas!W243="Grupo Interno ABC - Equipe 2",14,IF(Atletas!W243="Grupo Externo DEF - Equipe 1",15,IF(Atletas!W243="Grupo Externo DEF - Equipe 2",16,IF(Atletas!W243="Grupo Interno DEF - Equipe 1",17,IF(Atletas!W243="Grupo Interno DEF - Equipe 2",18,"")))))))))))))))))))</f>
        <v/>
      </c>
    </row>
    <row r="253" spans="2:91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 t="str">
        <f t="array" ref="Z253">IFERROR(INDEX(CE$7:CE$348,SMALL(IF(CE$7:CE$348&lt;&gt;"",ROW(CE$7:CE$348)-ROW(CE$7)+1),ROWS(CE$7:CE252))),"")</f>
        <v/>
      </c>
      <c r="AA253" s="3" t="str">
        <f t="array" ref="AA253">IFERROR(INDEX(CF$7:CF$348,SMALL(IF(CF$7:CF$348&lt;&gt;"",ROW(CF$7:CF$348)-ROW(CF$7)+1),ROWS(CF$7:CF252))),"")</f>
        <v/>
      </c>
      <c r="AB253" s="3" t="str">
        <f t="array" ref="AB253">IFERROR(INDEX(CG$7:CG$348,SMALL(IF(CG$7:CG$348&lt;&gt;"",ROW(CG$7:CG$348)-ROW(CG$7)+1),ROWS(CG$7:CG252))),"")</f>
        <v/>
      </c>
      <c r="AC253" s="3" t="str">
        <f t="array" ref="AC253">IFERROR(INDEX(CH$7:CH$348,SMALL(IF(CH$7:CH$348&lt;&gt;"",ROW(CH$7:CH$348)-ROW(CH$7)+1),ROWS(CH$7:CH252))),"")</f>
        <v/>
      </c>
      <c r="AD253" s="3" t="str">
        <f t="array" ref="AD253">IFERROR(INDEX(CI$7:CI$377,SMALL(IF(CI$7:CI$377&lt;&gt;"",ROW(CI$7:CI$377)-ROW(CI$7)+1),ROWS(CI$7:CI252))),"")</f>
        <v/>
      </c>
      <c r="AE253" s="3" t="str">
        <f t="array" ref="AE253">IFERROR(INDEX(CJ$7:CJ$378,SMALL(IF(CJ$7:CJ$378&lt;&gt;"",ROW(CJ$7:CJ$378)-ROW(CJ$7)+1),ROWS(CJ$7:CJ252))),"")</f>
        <v/>
      </c>
      <c r="AF253" s="3" t="str">
        <f t="array" ref="AF253">IFERROR(INDEX(CK$7:CK$378,SMALL(IF(CK$7:CK$378&lt;&gt;"",ROW(CK$7:CK$378)-ROW(CK$7)+1),ROWS(CK$7:CK252))),"")</f>
        <v/>
      </c>
      <c r="AG253" s="3" t="str">
        <f t="array" ref="AG253">IFERROR(INDEX(CL$7:CL$378,SMALL(IF(CL$7:CL$378&lt;&gt;"",ROW(CL$7:CL$378)-ROW(CL$7)+1),ROWS(CL$7:CL252))),"")</f>
        <v/>
      </c>
      <c r="AH253" s="3"/>
      <c r="AI253" s="3"/>
      <c r="AJ253" s="3"/>
      <c r="AK253" s="3"/>
      <c r="AL253" s="3"/>
      <c r="AM253" s="3"/>
      <c r="AN253" s="52" t="str">
        <f>IF(Atletas!D244="","",IF(Atletas!B244="Feminino",100,IF(Atletas!B244="Masculino",200,""))+(IF(Atletas!D244="Kids 30kg",1,IF(Atletas!D244="Kids 32kg",2, IF(Atletas!D244="Kids 34kg",3,IF(Atletas!D244="Kids 36kg",4,IF(Atletas!D244="Kids 39kg",5,IF(Atletas!D244="Kids 42kg",6,IF(Atletas!D244="Kids 45kg",7, IF(Atletas!D244="Infantil 39kg",8,IF(Atletas!D244="Infantil 42kg",9,IF(Atletas!D244="Infantil 45kg",10,IF(Atletas!D244="Infantil 48kg",11,IF(Atletas!D244="Infantil 52kg",12,IF(Atletas!D244="Infantil 56kg",13,IF(Atletas!D244="Infantil 60kg",14,IF(Atletas!D244="Juvenil 48kg",15,IF(Atletas!D244="Juvenil 52kg",16,IF(Atletas!D244="Juvenil 56kg",17,IF(Atletas!D244="Juvenil 60kg",18,IF(Atletas!D244="Juvenil 65kg",19,IF(Atletas!D244="Juvenil 70kg",20,IF(Atletas!D244="Juvenil 75kg",21,IF(Atletas!D244="Juvenil 80kg",22, IF(Atletas!D244="Juvenil 85kg",23,IF(Atletas!D244="Adulto 48kg",24,IF(Atletas!D244="Adulto 52kg",25,IF(Atletas!D244="Adulto 56kg",26,IF(Atletas!D244="Adulto 60kg",27,IF(Atletas!D244="Adulto 65kg",28,IF(Atletas!D244="Adulto 70kg",29,IF(Atletas!D244="Adulto 75kg",30,IF(Atletas!D244="Adulto 80kg",31,IF(Atletas!D244="Adulto 85kg",32,IF(Atletas!D244="Adulto 90kg",33,IF(Atletas!D244="Adulto 100kg",34, IF(Atletas!D244="Adulto +100kg",35,"")))))))))))))))))))))))))))))))))))))</f>
        <v/>
      </c>
      <c r="AS253" s="6" t="str">
        <f>IF(Atletas!E244="","",IF(Atletas!B244="Feminino",100,IF(Atletas!B244="Masculino",200,""))+(IF(Atletas!E244="Juvenil 44kg",1,IF(Atletas!E244="Juvenil 48kg",2,IF(Atletas!E244="Juvenil 52kg",3,IF(Atletas!E244="Juvenil 56kg",4,IF(Atletas!E244="Juvenil 60kg",5,IF(Atletas!E244="Juvenil 65kg",6,IF(Atletas!E244="Juvenil 70kg",7,IF(Atletas!E244="Juvenil 75kg",8,IF(Atletas!E244="Juvenil 82kg",9,IF(Atletas!E244="Juvenil 90kg",10,IF(Atletas!E244="Juvenil 100kg",11,IF(Atletas!E244="Adulto 48kg",12,IF(Atletas!E244="Adulto 52kg",13,IF(Atletas!E244="Adulto 56kg",14,IF(Atletas!E244="Adulto 60kg",15,IF(Atletas!E244="Adulto 65kg",16,IF(Atletas!E244="Adulto 70kg",17,IF(Atletas!E244="Adulto 75kg",18,IF(Atletas!E244="Adulto 82kg",19,IF(Atletas!E244="Adulto 90kg",20,IF(Atletas!E244="Adulto 100kg",21,IF(Atletas!E244="Adulto +100kg",22,""))))))))))))))))))))))))</f>
        <v/>
      </c>
      <c r="AX253" s="6" t="str">
        <f>IF(Atletas!F244="","",IF(Atletas!B244="Feminino",100,IF(Atletas!B244="Masculino",200,""))+(IF(Atletas!F244="Adulto 48kg",1,IF(Atletas!F244="Adulto 56kg",2,IF(Atletas!F244="Adulto 65kg",3,IF(Atletas!F244="Adulto 75kg",4,IF(Atletas!F244="Adulto +75kg",5,IF(Atletas!F244="Adulto 52kg",6,IF(Atletas!F244="Adulto 60kg",7,IF(Atletas!F244="Adulto 70kg",8,IF(Atletas!F244="Adulto 80kg",9,IF(Atletas!F244="Adulto 90kg",10,IF(Atletas!F244="Adulto +90kg",11,"")))))))))))))</f>
        <v/>
      </c>
      <c r="BC253" s="6" t="str">
        <f>IF(Atletas!G244="","",IF(Atletas!B244="Feminino",10,IF(Atletas!B244="Masculino",20,""))+(IF(Atletas!G244="Baduanjin A",1,IF(Atletas!G244="Baduanjin B",2))))</f>
        <v/>
      </c>
      <c r="BF253" s="52" t="str">
        <f>IF(Atletas!H244="","",IF(Atletas!B244="Feminino",100,IF(Atletas!B244="Masculino",200,""))+(IF(Atletas!H244="Changquan Mirim",1,IF(Atletas!H244="Nanquan Mirim",2,IF(Atletas!H244="Taijiquan Mirim",3,IF(Atletas!H244="Changquan Grupo C",4,IF(Atletas!H244="Nanquan Grupo C",5,IF(Atletas!H244="Taijiquan Grupo C",6,IF(Atletas!H244="Changquan Grupo B",7,IF(Atletas!H244="Nanquan Grupo B",8,IF(Atletas!H244="Taijiquan Grupo B",9,IF(Atletas!H244="Changquan Grupo A",10,IF(Atletas!H244="Nanquan Grupo A",11,IF(Atletas!H244="Taijiquan Grupo A",12,IF(Atletas!H244="Changquan Opcional",13,IF(Atletas!H244="Nanquan Opcional",14,IF(Atletas!H244="Taijiquan Opcional",15,IF(Atletas!H244="Changquan Adulto",16,IF(Atletas!H244="Nanquan Adulto",17,IF(Atletas!H244="Taijiquan Adulto",18,""))))))))))))))))))))</f>
        <v/>
      </c>
      <c r="BG253" s="52" t="str">
        <f>IF(Atletas!I244="","",IF(Atletas!B244="Feminino",100,IF(Atletas!B244="Masculino",200,""))+(IF(Atletas!I244="Daoshu Mirim",19,IF(Atletas!I244="Jianshu Mirim",20,IF(Atletas!I244="Nandao Mirim",21,IF(Atletas!I244="Taijijian Mirim",22,IF(Atletas!I244="Daoshu Grupo C",23,IF(Atletas!I244="Jianshu Grupo C",24,IF(Atletas!I244="Nandao Grupo C",25,IF(Atletas!I244="Taijijian Grupo C",26,IF(Atletas!I244="Daoshu Grupo B",27,IF(Atletas!I244="Jianshu Grupo B",28,IF(Atletas!I244="Nandao Grupo B",29,IF(Atletas!I244="Taijijian Grupo B",30,IF(Atletas!I244="Daoshu Grupo A",31,IF(Atletas!I244="Jianshu Grupo A",32,IF(Atletas!I244="Nandao Grupo A",33,IF(Atletas!I244="Taijijian Grupo A",34,IF(Atletas!I244="Daoshu Opcional",35,IF(Atletas!I244="Jianshu Opcional",36,IF(Atletas!I244="Nandao Opcional",37,IF(Atletas!I244="Taijijian Opcional",38,IF(Atletas!I244="Daoshu Adulto",39,IF(Atletas!I244="Jianshu Adulto",40,IF(Atletas!I244="Nandao Adulto",41,IF(Atletas!I244="Taijijian Adulto",42,""))))))))))))))))))))))))))</f>
        <v/>
      </c>
      <c r="BH253" s="52" t="str">
        <f>IF(Atletas!J244="","",IF(Atletas!B244="Feminino",100,IF(Atletas!B244="Masculino",200,""))+(IF(Atletas!J244="Gunshu Mirim",43,IF(Atletas!J244="Qiangshu Mirim",44,IF(Atletas!J244="Nangun Mirim",45,IF(Atletas!J244="Gunshu Grupo C",46,IF(Atletas!J244="Qiangshu Grupo C",47,IF(Atletas!J244="Nangun Grupo C",48,IF(Atletas!J244="Gunshu Grupo B",49,IF(Atletas!J244="Qiangshu Grupo B",50,IF(Atletas!J244="Nangun Grupo B",51,IF(Atletas!J244="Gunshu Grupo A",52,IF(Atletas!J244="Qiangshu Grupo A",53,IF(Atletas!J244="Nangun Grupo A",54,IF(Atletas!J244="Gunshu Opcional",55,IF(Atletas!J244="Qiangshu Opcional",56,IF(Atletas!J244="Nangun Opcional",57,IF(Atletas!J244="Gunshu Adulto",58,IF(Atletas!J244="Qiangshu Adulto",59,IF(Atletas!J244="Nangun Adulto",60,IF(Atletas!J244="Taijishan Grupo B",61,IF(Atletas!J244="Taijishan Grupo A",62,""))))))))))))))))))))))</f>
        <v/>
      </c>
      <c r="BM253" s="50" t="str">
        <f>IF(Atletas!K244="","",IF(Atletas!B244="Feminino",100,IF(Atletas!B244="Masculino",200,""))+(IF(Atletas!K244="Equipe 1 Grupo B",1,IF(Atletas!K244="Equipe 2 Grupo B",2,IF(Atletas!K244="Equipe 1 Grupo A",3,IF(Atletas!K244="Equipe 2 Grupo A",4,IF(Atletas!K244="Equipe 1 Adulto",5,IF(Atletas!K244="Equipe 2 Adulto",6,""))))))))</f>
        <v/>
      </c>
      <c r="BR253" s="50" t="str">
        <f>IF(Atletas!L244="","",IF(Atletas!X244&lt;&gt;"",10000,0)+(IF(Atletas!B244="Feminino",1000,IF(Atletas!B244="Masculino",2000,""))+IF(Atletas!L244="Choylayfut A",1,IF(Atletas!L244="Hunggar A",2,IF(Atletas!L244="Wuzuquan A",3,IF(Atletas!L244="Wingchun A",4,IF(Atletas!L244="Outra Mão de Sul A",5,IF(Atletas!L244="Choylayfut B",6,IF(Atletas!L244="Hunggar B",7,IF(Atletas!L244="Wuzuquan B",8,IF(Atletas!L244="Wingchun B",9,IF(Atletas!L244="Outra Mão de Sul B",10,IF(Atletas!L244="Choylayfut C",11,IF(Atletas!L244="Hunggar C",12,IF(Atletas!L244="Wuzuquan C",13,IF(Atletas!L244="Wingchun C",14,IF(Atletas!L244="Outra Mão de Sul C",15,IF(Atletas!L244="Choylayfut D",16,IF(Atletas!L244="Hunggar D",17,IF(Atletas!L244="Wuzuquan D",18,IF(Atletas!L244="Wingchun D",19,IF(Atletas!L244="Outra Mão de Sul D",20,IF(Atletas!L244="Choylayfut E",21,IF(Atletas!L244="Hunggar E",22,IF(Atletas!L244="Wuzuquan E",23,IF(Atletas!L244="Wingchun E",24,IF(Atletas!L244="Outra Mão de Sul E",25,IF(Atletas!L244="Choylayfut F",26,IF(Atletas!L244="Hunggar F",27,IF(Atletas!L244="Wuzuquan F",28,IF(Atletas!L244="Wingchun F",29,IF(Atletas!L244="Outra Mão de Sul F",30,IF(Atletas!L244="Dishuquan A",31,IF(Atletas!L244="Dishuquan B",32,IF(Atletas!L244="Dishuquan C",33,IF(Atletas!L244="Dishuquan D",34,IF(Atletas!L244="Dishuquan E",35,IF(Atletas!L244="Dishuquan F",36,""))))))))))))))))))))))))))))))))))))))</f>
        <v/>
      </c>
      <c r="BS253" s="50" t="str">
        <f>IF(Atletas!M244="","",IF(Atletas!X244&lt;&gt;"",10000,0)+(IF(Atletas!B244="Feminino",1000,IF(Atletas!B244="Masculino",2000,""))+(IF(Atletas!M244="Chaquan A",101,IF(Atletas!M244="Emeiquan A",102,IF(Atletas!M244="Fanziquan A",103,IF(Atletas!M244="Huaquan A",104,IF(Atletas!M244="Hongquan A",105,IF(Atletas!M244="Paoquan A",106,IF(Atletas!M244="Piguaquan A",107,IF(Atletas!M244="Shaolinquan A",108,IF(Atletas!M244="Tanglangquan A",109,IF(Atletas!M244="Yingzhaoquan A",110,IF(Atletas!M244="Tongbeiquan A",111,IF(Atletas!M244="Wudangquan A",112,IF(Atletas!M244="Outros Estilos A",113,IF(Atletas!M244="Chaquan B",114,IF(Atletas!M244="Emeiquan B",115,IF(Atletas!M244="Fanziquan B",116,IF(Atletas!M244="Huaquan B",117,IF(Atletas!M244="Hongquan B",118,IF(Atletas!M244="Paoquan B",119,IF(Atletas!M244="Piguaquan B",120,IF(Atletas!M244="Shaolinquan B",121,IF(Atletas!M244="Tanglangquan B",122,IF(Atletas!M244="Yingzhaoquan B",123,IF(Atletas!M244="Tongbeiquan B",124,IF(Atletas!M244="Wudangquan B",125,IF(Atletas!M244="Outros Estilos B",126,IF(Atletas!M244="Chaquan C",127,IF(Atletas!M244="Emeiquan C",128,IF(Atletas!M244="Fanziquan C",129,IF(Atletas!M244="Huaquan C",130,IF(Atletas!M244="Hongquan C",131,IF(Atletas!M244="Paoquan C",132,IF(Atletas!M244="Piguaquan C",133,IF(Atletas!M244="Shaolinquan C",134,IF(Atletas!M244="Tanglangquan C",135,IF(Atletas!M244="Yingzhaoquan C",136,IF(Atletas!M244="Tongbeiquan C",137,IF(Atletas!M244="Wudangquan C",138,IF(Atletas!M244="Outros Estilos C",139,0))))))))))))))))))))))))))))))))))))))))))</f>
        <v/>
      </c>
      <c r="BT253" s="50" t="str">
        <f>IF(Atletas!M244="","",IF(Atletas!X244&lt;&gt;"",10000,0)+(IF(Atletas!B244="Feminino",1000,IF(Atletas!B244="Masculino",2000,""))+(IF(Atletas!M244="Chaquan D",140,IF(Atletas!M244="Emeiquan D",141,IF(Atletas!M244="Fanziquan D",142,IF(Atletas!M244="Huaquan D",143,IF(Atletas!M244="Hongquan D",144,IF(Atletas!M244="Paoquan D",145,IF(Atletas!M244="Piguaquan D",146,IF(Atletas!M244="Shaolinquan D",147,IF(Atletas!M244="Tanglangquan D",148,IF(Atletas!M244="Yingzhaoquan D",149,IF(Atletas!M244="Tongbeiquan D",150,IF(Atletas!M244="Wudangquan D",151,IF(Atletas!M244="Outros Estilos D",152,IF(Atletas!M244="Chaquan E",153,IF(Atletas!M244="Emeiquan E",154,IF(Atletas!M244="Fanziquan E",155,IF(Atletas!M244="Huaquan E",156,IF(Atletas!M244="Hongquan E",157,IF(Atletas!M244="Paoquan E",158,IF(Atletas!M244="Piguaquan E",159,IF(Atletas!M244="Shaolinquan E",160,IF(Atletas!M244="Tanglangquan E",161,IF(Atletas!M244="Yingzhaoquan E",162,IF(Atletas!M244="Tongbeiquan E",163,IF(Atletas!M244="Wudangquan E",164,IF(Atletas!M244="Outros Estilos E",165,IF(Atletas!M244="Chaquan F",166,IF(Atletas!M244="Emeiquan F",167,IF(Atletas!M244="Fanziquan F",168,IF(Atletas!M244="Huaquan F",169,IF(Atletas!M244="Hongquan F",170,IF(Atletas!M244="Paoquan F",171,IF(Atletas!M244="Piguaquan F",172,IF(Atletas!M244="Shaolinquan F",173,IF(Atletas!M244="Tanglangquan F",174,IF(Atletas!M244="Yingzhaoquan F",175,IF(Atletas!M244="Tongbeiquan F",176,IF(Atletas!M244="Wudangquan F",177,IF(Atletas!M244="Outros Estilos F",178,0))))))))))))))))))))))))))))))))))))))))))</f>
        <v/>
      </c>
      <c r="BU253" s="50" t="str">
        <f>IF(Atletas!N244="","",IF(Atletas!X244&lt;&gt;"",10000,0)+(IF(Atletas!B244="Feminino",1000,IF(Atletas!B244="Masculino",2000,""))+(IF(Atletas!N244="Ditangquan A",201,IF(Atletas!N244="Houquan A",202,IF(Atletas!N244="Zuiquan A",203,IF(Atletas!N244="Ditangquan B",204,IF(Atletas!N244="Houquan B",205,IF(Atletas!N244="Zuiquan B",206,IF(Atletas!N244="Ditangquan C",207,IF(Atletas!N244="Houquan C",208,IF(Atletas!N244="Zuiquan C",209,IF(Atletas!N244="Ditangquan D",210,IF(Atletas!N244="Houquan D",211,IF(Atletas!N244="Zuiquan D",212,IF(Atletas!N244="Ditangquan E",213,IF(Atletas!N244="Houquan E",214,IF(Atletas!N244="Zuiquan E",215,IF(Atletas!N244="Ditangquan F",216,IF(Atletas!N244="Houquan F",217,IF(Atletas!N244="Zuiquan F",218,"")))))))))))))))))))))</f>
        <v/>
      </c>
      <c r="BV253" s="50" t="str">
        <f>IF(Atletas!O244="","",IF(Atletas!X244&lt;&gt;"",10000,0)+IF(Atletas!B244="Feminino",1000,IF(Atletas!B244="Masculino",2000,""))+IF(Atletas!O244="Yang A",301,IF(Atletas!O244="Chen A",302,IF(Atletas!O244="Sun A",303,IF(Atletas!O244="Wu A",304,IF(Atletas!O244="Wu-Hao A",305,IF(Atletas!O244="Outro Taijiquan A",306,IF(Atletas!O244="Yang B",307,IF(Atletas!O244="Chen B",308,IF(Atletas!O244="Sun B",309,IF(Atletas!O244="Wu B",310,IF(Atletas!O244="Wu-Hao B",311,IF(Atletas!O244="Outro Taijiquan B",312,IF(Atletas!O244="Yang C",313,IF(Atletas!O244="Chen C",314,IF(Atletas!O244="Sun C",315,IF(Atletas!O244="Wu C",316,IF(Atletas!O244="Wu-Hao C",317,IF(Atletas!O244="Outro Taijiquan C",318,IF(Atletas!O244="Yang D",319,IF(Atletas!O244="Chen D",320,IF(Atletas!O244="Sun D",321,IF(Atletas!O244="Wu D",322,IF(Atletas!O244="Wu-Hao D",323,IF(Atletas!O244="Outro Taijiquan D",324,IF(Atletas!O244="Yang E",325,IF(Atletas!O244="Chen E",326,IF(Atletas!O244="Sun E",327,IF(Atletas!O244="Wu E",328,IF(Atletas!O244="Wu-Hao E",329,IF(Atletas!O244="Outro Taijiquan E",330,IF(Atletas!O244="Yang F",331,IF(Atletas!O244="Chen F",332,IF(Atletas!O244="Sun F",333,IF(Atletas!O244="Wu F",334,IF(Atletas!O244="Wu-Hao F",335,IF(Atletas!O244="Outro Taijiquan F",336,"")))))))))))))))))))))))))))))))))))))</f>
        <v/>
      </c>
      <c r="BW253" s="50" t="str">
        <f>IF(Atletas!P244="","",IF(Atletas!X244&lt;&gt;"",10000,0)+IF(Atletas!B244="Feminino",1000,IF(Atletas!B244="Masculino",2000,""))+IF(OR(Atletas!P244="Yang 26 A",Atletas!P244="Yang 40 A"),401,IF(OR(Atletas!P244="Chen 25 A",Atletas!P244="Chen 36 A",Atletas!P244="Chen 56 A"),402,IF(Atletas!P244="Sun 73 A",403,IF(Atletas!P244="Wu 45 A",404,IF(Atletas!P244="Wu-Hao 46 A",405,IF(OR(Atletas!P244="Taijiquan 16 A",Atletas!P244="Taijiquan 24 A",Atletas!P244="Taijiquan 32 A",Atletas!P244="Taijiquan 42 A"),406,IF(OR(Atletas!P244="Yang 26 B",Atletas!P244="Yang 40 B"),407,IF(OR(Atletas!P244="Chen 25 B",Atletas!P244="Chen 36 B",Atletas!P244="Chen 56 B"),408,IF(Atletas!P244="Sun 73 B",409,IF(Atletas!P244="Wu 45 B",410,IF(Atletas!P244="Wu-Hao 46 B",411,IF(OR(Atletas!P244="Taijiquan 16 B",Atletas!P244="Taijiquan 24 B",Atletas!P244="Taijiquan 32 B",Atletas!P244="Taijiquan 42 B"),412,IF(OR(Atletas!P244="Yang 26 C",Atletas!P244="Yang 40 C"),413,IF(OR(Atletas!P244="Chen 25 C",Atletas!P244="Chen 36 C",Atletas!P244="Chen 56 C"),414,IF(Atletas!P244="Sun 73 C",415,IF(Atletas!P244="Wu 45 C",416,IF(Atletas!P244="Wu-Hao 46 C",417,IF(OR(Atletas!P244="Taijiquan 16 C",Atletas!P244="Taijiquan 24 C",Atletas!P244="Taijiquan 32 C",Atletas!P244="Taijiquan 42 C"),418,0)))))))))))))))))))</f>
        <v/>
      </c>
      <c r="BX253" s="50" t="str">
        <f>IF(Atletas!P244="","",IF(Atletas!X244&lt;&gt;"",10000,0)+IF(Atletas!B244="Feminino",1000,IF(Atletas!B244="Masculino",2000,""))+IF(OR(Atletas!P244="Yang 26 D",Atletas!P244="Yang 40 D"),419,IF(OR(Atletas!P244="Chen 25 D",Atletas!P244="Chen 36 D",Atletas!P244="Chen 56 D"),420,IF(Atletas!P244="Sun 73 D",421,IF(Atletas!P244="Wu 45 D",422,IF(Atletas!P244="Wu-Hao 46 D",423,IF(OR(Atletas!P244="Taijiquan 16 D",Atletas!P244="Taijiquan 24 D",Atletas!P244="Taijiquan 32 D",Atletas!P244="Taijiquan 42 D"),424,IF(OR(Atletas!P244="Yang 26 E",Atletas!P244="Yang 40 E"),425,IF(OR(Atletas!P244="Chen 25 E",Atletas!P244="Chen 36 E",Atletas!P244="Chen 56 E"),426,IF(Atletas!P244="Sun 73 E",427,IF(Atletas!P244="Wu 45 E",428,IF(Atletas!P244="Wu-Hao 46 E",429,IF(OR(Atletas!P244="Taijiquan 16 E",Atletas!P244="Taijiquan 24 E",Atletas!P244="Taijiquan 32 E",Atletas!P244="Taijiquan 42 E"),430,IF(OR(Atletas!P244="Yang 26 F",Atletas!P244="Yang 40 F"),431,IF(OR(Atletas!P244="Chen 25 F",Atletas!P244="Chen 36 F",Atletas!P244="Chen 56 F"),432,IF(Atletas!P244="Sun 73 F",433,IF(Atletas!P244="Wu 45 F",434,IF(Atletas!P244="Wu-Hao 46 F",435,IF(OR(Atletas!P244="Taijiquan 16 F",Atletas!P244="Taijiquan 24 F",Atletas!P244="Taijiquan 32 F",Atletas!P244="Taijiquan 42 F"),436,0)))))))))))))))))))</f>
        <v/>
      </c>
      <c r="BY253" s="50" t="str">
        <f>IF(Atletas!Q244="","",IF(Atletas!X244&lt;&gt;"",10000,0)+IF(Atletas!B244="Feminino",1000,IF(Atletas!B244="Masculino",2000,""))+IF(Atletas!Q244="Xingyiquan A",501,IF(Atletas!Q244="Baguazhang A",502,IF(Atletas!Q244="Outro Estilo Interno A",503,IF(Atletas!Q244="Xingyiquan B",504,IF(Atletas!Q244="Baguazhang B",505,IF(Atletas!Q244="Outro Estilo Interno B",506,IF(Atletas!Q244="Xingyiquan C",507,IF(Atletas!Q244="Baguazhang C",508,IF(Atletas!Q244="Outro Estilo Interno C",509,IF(Atletas!Q244="Xingyiquan D",510,IF(Atletas!Q244="Baguazhang D",511,IF(Atletas!Q244="Outro Estilo Interno D",512,IF(Atletas!Q244="Xingyiquan E",513,IF(Atletas!Q244="Baguazhang E",514,IF(Atletas!Q244="Outro Estilo Interno E",515,IF(Atletas!Q244="Xingyiquan F",516,IF(Atletas!Q244="Baguazhang F",517,IF(Atletas!Q244="Outro Estilo Interno F",518, "")))))))))))))))))))</f>
        <v/>
      </c>
      <c r="BZ253" s="50" t="str">
        <f>IF(Atletas!R244="","",IF(Atletas!X244&lt;&gt;"",10000,0)+IF(Atletas!B244="Feminino",1000,IF(Atletas!B244="Masculino",2000,""))+IF(Atletas!R244="Dao A",601,IF(Atletas!R244="Jian A",602,IF(Atletas!R244="Bishou A",603,IF(Atletas!R244="Shanzi A",604,IF(Atletas!R244="Outra Arma Curta A",605,IF(Atletas!R244="Dao B",606,IF(Atletas!R244="Jian B",607,IF(Atletas!R244="Bishou B",608,IF(Atletas!R244="Shanzi B",609,IF(Atletas!R244="Outra Arma Curta B",610,IF(Atletas!R244="Dao C",611,IF(Atletas!R244="Jian C",612,IF(Atletas!R244="Bishou C",613,IF(Atletas!R244="Shanzi C",614,IF(Atletas!R244="Outra Arma Curta C",615,IF(Atletas!R244="Dao D",616,IF(Atletas!R244="Jian D",617,IF(Atletas!R244="Bishou D",618,IF(Atletas!R244="Shanzi D",619,IF(Atletas!R244="Outra Arma Curta D",620,IF(Atletas!R244="Dao E",621,IF(Atletas!R244="Jian E",622,IF(Atletas!R244="Bishou E",623,IF(Atletas!R244="Shanzi E",624,IF(Atletas!R244="Outra Arma Curta E",625,IF(Atletas!R244="Dao F",626,IF(Atletas!R244="Jian F",627,IF(Atletas!R244="Bishou F",628,IF(Atletas!R244="Shanzi F",629,IF(Atletas!R244="Outra Arma Curta F",630, "")))))))))))))))))))))))))))))))</f>
        <v/>
      </c>
      <c r="CA253" s="50" t="str">
        <f>IF(Atletas!S244="","",IF(Atletas!X244&lt;&gt;"",10000,0)+IF(Atletas!B244="Feminino",1000,IF(Atletas!B244="Masculino",2000,""))+IF(Atletas!S244="Gun A",701,IF(Atletas!S244="Qiang A",702,IF(Atletas!S244="Pudao / Guandao A",703,IF(Atletas!S244="Outra Arma Longa A",704,IF(Atletas!S244="Gun B",705,IF(Atletas!S244="Qiang B",706,IF(Atletas!S244="Pudao / Guandao B",707,IF(Atletas!S244="Outra Arma Longa B",708,IF(Atletas!S244="Gun C",709,IF(Atletas!S244="Qiang C",710,IF(Atletas!S244="Pudao / Guandao C",711,IF(Atletas!S244="Outra Arma Longa C",712,IF(Atletas!S244="Gun D",713,IF(Atletas!S244="Qiang D",714,IF(Atletas!S244="Pudao / Guandao D",715,IF(Atletas!S244="Outra Arma Longa D",716,IF(Atletas!S244="Gun E",717,IF(Atletas!S244="Qiang E",718,IF(Atletas!S244="Pudao / Guandao E",719,IF(Atletas!S244="Outra Arma Longa E",720,IF(Atletas!S244="Gun F",721,IF(Atletas!S244="Qiang F",722,IF(Atletas!S244="Pudao / Guandao F",723,IF(Atletas!S244="Outra Arma Longa F",724,"")))))))))))))))))))))))))</f>
        <v/>
      </c>
      <c r="CB253" s="50" t="str">
        <f>IF(Atletas!T244="","",IF(Atletas!X244&lt;&gt;"",10000,0)+IF(Atletas!B244="Feminino",1000,IF(Atletas!B244="Masculino",2000,""))+IF(Atletas!T244="Outra Arma Dupla A",801,IF(Atletas!T244="Arma Maleável A",802,IF(Atletas!T244="Outra Arma Dupla B",803,IF(Atletas!T244="Arma Maleável B",804,IF(Atletas!T244="Outra Arma Dupla C",805,IF(Atletas!T244="Arma Maleável C",806,IF(Atletas!T244="Outra Arma Dupla D",807,IF(Atletas!T244="Arma Maleável D",808,IF(Atletas!T244="Outra Arma Dupla E",809,IF(Atletas!T244="Arma Maleável E",810,IF(Atletas!T244="Outra Arma Dupla F",811,IF(Atletas!T244="Arma Maleável F",812,IF(Atletas!T244="Shuangdao A",813,IF(Atletas!T244="Shuangdao B",814,IF(Atletas!T244="Shuangdao C",815,IF(Atletas!T244="Shuangdao D",816,IF(Atletas!T244="Shuangdao E",817,IF(Atletas!T244="Shuangdao F",818,"")))))))))))))))))))</f>
        <v/>
      </c>
      <c r="CC253" s="50" t="str">
        <f>IF(Atletas!U244="","",IF(Atletas!X244&lt;&gt;"",10000,0)+IF(Atletas!B244="Feminino",1000,IF(Atletas!B244="Masculino",2000,""))+IF(OR(Atletas!U244="Taijijian Yang A",Atletas!U244="Taijijian Yang Standard A"),901,IF(OR(Atletas!U244="Taijijian Chen A", Atletas!U244="Taijijian Chen Standard A"),902,IF(Atletas!U244="Taijijian Sun A",903,IF(Atletas!U244="Taijijian Wu A",904,IF(Atletas!U244="Taijijian Wu-Hao A",905,IF(OR(Atletas!U244="Taijijian 32 A",Atletas!U244="Taijijian 42 A"),906,IF(OR(Atletas!U244="Taijijian Yang B",Atletas!U244="Taijijian Yang Standard B"),907,IF(OR(Atletas!U244="Taijijian Chen B", Atletas!U244="Taijijian Chen Standard B"),908,IF(Atletas!U244="Taijijian Sun B",909,IF(Atletas!U244="Taijijian Wu B",910,IF(Atletas!U244="Taijijian Wu-Hao B",911,IF(OR(Atletas!U244="Taijijian 32 B",Atletas!U244="Taijijian 42 B"),912,IF(OR(Atletas!U244="Taijijian Yang C",Atletas!U244="Taijijian Yang Standard C"),913,IF(OR(Atletas!U244="Taijijian Chen C", Atletas!U244="Taijijian Chen Standard C"),914,IF(Atletas!U244="Taijijian Sun C",915,IF(Atletas!U244="Taijijian Wu C",916,IF(Atletas!U244="Taijijian Wu-Hao C",917,IF(OR(Atletas!U244="Taijijian 32 C",Atletas!U244="Taijijian 42 C"),918,IF(OR(Atletas!U244="Taijijian Yang D",Atletas!U244="Taijijian Yang Standard D"),919,IF(OR(Atletas!U244="Taijijian Chen D", Atletas!U244="Taijijian Chen Standard D"),920,IF(Atletas!U244="Taijijian Sun D",921,IF(Atletas!U244="Taijijian Wu D",922,IF(Atletas!U244="Taijijian Wu-Hao D",923,IF(OR(Atletas!U244="Taijijian 32 D",Atletas!U244="Taijijian 42 D"),924,IF(OR(Atletas!U244="Taijijian Yang E",Atletas!U244="Taijijian Yang Standard E"),925,IF(OR(Atletas!U244="Taijijian Chen E", Atletas!U244="Taijijian Chen Standard E"),926,IF(Atletas!U244="Taijijian Sun E",927,IF(Atletas!U244="Taijijian Wu E",928,IF(Atletas!U244="Taijijian Wu-Hao E",929,IF(OR(Atletas!U244="Taijijian 32 E",Atletas!U244="Taijijian 42 E"),930,IF(OR(Atletas!U244="Taijijian Yang F",Atletas!U244="Taijijian Yang Standard F"),931,IF(OR(Atletas!U244="Taijijian Chen F", Atletas!U244="Taijijian Chen Standard F"),932,IF(Atletas!U244="Taijijian Sun F",933,IF(Atletas!U244="Taijijian Wu F",934,IF(Atletas!U244="Taijijian Wu-Hao F",935,IF(OR(Atletas!U244="Taijijian 32 F",Atletas!U244="Taijijian 42 F"),936,"")))))))))))))))))))))))))))))))))))))</f>
        <v/>
      </c>
      <c r="CD253" s="50" t="str">
        <f>IF(Atletas!V244="","",IF(Atletas!X244&lt;&gt;"",10000,0)+IF(Atletas!B244="Feminino",1000,IF(Atletas!B244="Masculino",2000,""))+IF(Atletas!V244="Taijidao A",937,IF(Atletas!V244="TaijiShanzi A",938,IF(Atletas!V244="Taijiqiang A",939,IF(Atletas!V244="Bagua de Arma A",940,IF(Atletas!V244="Xingyi de Arma A",941,IF(Atletas!V244="Taijidao B",942,IF(Atletas!V244="TaijiShanzi B",943,IF(Atletas!V244="Taijiqiang B",944,IF(Atletas!V244="Bagua de Arma B",945,IF(Atletas!V244="Xingyi de Arma B",946,IF(Atletas!V244="Taijidao C",947,IF(Atletas!V244="TaijiShanzi C",948,IF(Atletas!V244="Taijiqiang C",949,IF(Atletas!V244="Bagua de Arma C",950,IF(Atletas!V244="Xingyi de Arma C",951,IF(Atletas!V244="Taijidao D",952,IF(Atletas!V244="TaijiShanzi D",953,IF(Atletas!V244="Taijiqiang D",954,IF(Atletas!V244="Bagua de Arma D",955,IF(Atletas!V244="Xingyi de Arma D",956,IF(Atletas!V244="Taijidao E",957,IF(Atletas!V244="TaijiShanzi E",958,IF(Atletas!V244="Taijiqiang E",959,IF(Atletas!V244="Bagua de Arma E",960,IF(Atletas!V244="Xingyi de Arma E",961,IF(Atletas!V244="Taijidao F",962,IF(Atletas!V244="TaijiShanzi F",963,IF(Atletas!V244="Taijiqiang F",964,IF(Atletas!V244="Bagua de Arma F",965,IF(Atletas!V244="Xingyi de Arma F",966,"")))))))))))))))))))))))))))))))</f>
        <v/>
      </c>
      <c r="CE253" s="66" t="str">
        <f>IF(CF253&lt;&gt;"","Outra Arma Curta E","")</f>
        <v/>
      </c>
      <c r="CF253" s="66" t="str">
        <f>IF(COUNTIF(BR:CD,1625)&gt;0,COUNTIF(BR:CD,1625),"")</f>
        <v/>
      </c>
      <c r="CG253" s="66" t="str">
        <f>IF(CH253&lt;&gt;"","Outra Arma Curta E","")</f>
        <v/>
      </c>
      <c r="CH253" s="66" t="str">
        <f>IF(COUNTIF(BR:CD,2625)&gt;0,COUNTIF(BR:CD,2625),"")</f>
        <v/>
      </c>
      <c r="CI253" s="66" t="str">
        <f>IF(CJ253&lt;&gt;"","Gun A","")</f>
        <v/>
      </c>
      <c r="CJ253" s="66" t="str">
        <f>IF(COUNTIF(BR:CD,11701)&gt;0,COUNTIF(BR:CD,11701),"")</f>
        <v/>
      </c>
      <c r="CK253" s="66" t="str">
        <f>IF(CL253&lt;&gt;"","Gun A","")</f>
        <v/>
      </c>
      <c r="CL253" s="6" t="str">
        <f>IF(COUNTIF(BR:CD,12701)&gt;0,COUNTIF(BR:CD,12701),"")</f>
        <v/>
      </c>
      <c r="CM253" s="50" t="str">
        <f xml:space="preserve"> IF(Atletas!W244="","",IF(Atletas!W244="Duilian de Mãos BC - Equipe 1",1,IF(Atletas!W244="Duilian de Mãos BC - Equipe 2",2,IF(Atletas!W244="Duilian de Armas BC - Equipe 1",3,IF(Atletas!W244="Duilian de Armas BC - Equipe 2",4,IF(Atletas!W244="Duilian de Mãos DE - Equipe 1",5,IF(Atletas!W244="Duilian de Mãos DE - Equipe 2",6,IF(Atletas!W244="Duilian de Armas DE - Equipe 1",7,IF(Atletas!W244="Duilian de Armas DE - Equipe 2",8,IF(Atletas!W244="Duilian de Tuishou - Equipe 1",9,IF(Atletas!W244="Duilian de Tuishou - Equipe 2",10,IF(Atletas!W244="Grupo Externo ABC - Equipe 1",11,IF(Atletas!W244="Grupo Externo ABC - Equipe 2",12,IF(Atletas!W244="Grupo Interno ABC - Equipe 1",13,IF(Atletas!W244="Grupo Interno ABC - Equipe 2",14,IF(Atletas!W244="Grupo Externo DEF - Equipe 1",15,IF(Atletas!W244="Grupo Externo DEF - Equipe 2",16,IF(Atletas!W244="Grupo Interno DEF - Equipe 1",17,IF(Atletas!W244="Grupo Interno DEF - Equipe 2",18,"")))))))))))))))))))</f>
        <v/>
      </c>
    </row>
    <row r="254" spans="2:91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 t="str">
        <f t="array" ref="Z254">IFERROR(INDEX(CE$7:CE$348,SMALL(IF(CE$7:CE$348&lt;&gt;"",ROW(CE$7:CE$348)-ROW(CE$7)+1),ROWS(CE$7:CE253))),"")</f>
        <v/>
      </c>
      <c r="AA254" s="3" t="str">
        <f t="array" ref="AA254">IFERROR(INDEX(CF$7:CF$348,SMALL(IF(CF$7:CF$348&lt;&gt;"",ROW(CF$7:CF$348)-ROW(CF$7)+1),ROWS(CF$7:CF253))),"")</f>
        <v/>
      </c>
      <c r="AB254" s="3" t="str">
        <f t="array" ref="AB254">IFERROR(INDEX(CG$7:CG$348,SMALL(IF(CG$7:CG$348&lt;&gt;"",ROW(CG$7:CG$348)-ROW(CG$7)+1),ROWS(CG$7:CG253))),"")</f>
        <v/>
      </c>
      <c r="AC254" s="3" t="str">
        <f t="array" ref="AC254">IFERROR(INDEX(CH$7:CH$348,SMALL(IF(CH$7:CH$348&lt;&gt;"",ROW(CH$7:CH$348)-ROW(CH$7)+1),ROWS(CH$7:CH253))),"")</f>
        <v/>
      </c>
      <c r="AD254" s="3" t="str">
        <f t="array" ref="AD254">IFERROR(INDEX(CI$7:CI$377,SMALL(IF(CI$7:CI$377&lt;&gt;"",ROW(CI$7:CI$377)-ROW(CI$7)+1),ROWS(CI$7:CI253))),"")</f>
        <v/>
      </c>
      <c r="AE254" s="3" t="str">
        <f t="array" ref="AE254">IFERROR(INDEX(CJ$7:CJ$378,SMALL(IF(CJ$7:CJ$378&lt;&gt;"",ROW(CJ$7:CJ$378)-ROW(CJ$7)+1),ROWS(CJ$7:CJ253))),"")</f>
        <v/>
      </c>
      <c r="AF254" s="3" t="str">
        <f t="array" ref="AF254">IFERROR(INDEX(CK$7:CK$378,SMALL(IF(CK$7:CK$378&lt;&gt;"",ROW(CK$7:CK$378)-ROW(CK$7)+1),ROWS(CK$7:CK253))),"")</f>
        <v/>
      </c>
      <c r="AG254" s="3" t="str">
        <f t="array" ref="AG254">IFERROR(INDEX(CL$7:CL$378,SMALL(IF(CL$7:CL$378&lt;&gt;"",ROW(CL$7:CL$378)-ROW(CL$7)+1),ROWS(CL$7:CL253))),"")</f>
        <v/>
      </c>
      <c r="AH254" s="3"/>
      <c r="AI254" s="3"/>
      <c r="AJ254" s="3"/>
      <c r="AK254" s="3"/>
      <c r="AL254" s="3"/>
      <c r="AM254" s="3"/>
      <c r="AN254" s="52" t="str">
        <f>IF(Atletas!D245="","",IF(Atletas!B245="Feminino",100,IF(Atletas!B245="Masculino",200,""))+(IF(Atletas!D245="Kids 30kg",1,IF(Atletas!D245="Kids 32kg",2, IF(Atletas!D245="Kids 34kg",3,IF(Atletas!D245="Kids 36kg",4,IF(Atletas!D245="Kids 39kg",5,IF(Atletas!D245="Kids 42kg",6,IF(Atletas!D245="Kids 45kg",7, IF(Atletas!D245="Infantil 39kg",8,IF(Atletas!D245="Infantil 42kg",9,IF(Atletas!D245="Infantil 45kg",10,IF(Atletas!D245="Infantil 48kg",11,IF(Atletas!D245="Infantil 52kg",12,IF(Atletas!D245="Infantil 56kg",13,IF(Atletas!D245="Infantil 60kg",14,IF(Atletas!D245="Juvenil 48kg",15,IF(Atletas!D245="Juvenil 52kg",16,IF(Atletas!D245="Juvenil 56kg",17,IF(Atletas!D245="Juvenil 60kg",18,IF(Atletas!D245="Juvenil 65kg",19,IF(Atletas!D245="Juvenil 70kg",20,IF(Atletas!D245="Juvenil 75kg",21,IF(Atletas!D245="Juvenil 80kg",22, IF(Atletas!D245="Juvenil 85kg",23,IF(Atletas!D245="Adulto 48kg",24,IF(Atletas!D245="Adulto 52kg",25,IF(Atletas!D245="Adulto 56kg",26,IF(Atletas!D245="Adulto 60kg",27,IF(Atletas!D245="Adulto 65kg",28,IF(Atletas!D245="Adulto 70kg",29,IF(Atletas!D245="Adulto 75kg",30,IF(Atletas!D245="Adulto 80kg",31,IF(Atletas!D245="Adulto 85kg",32,IF(Atletas!D245="Adulto 90kg",33,IF(Atletas!D245="Adulto 100kg",34, IF(Atletas!D245="Adulto +100kg",35,"")))))))))))))))))))))))))))))))))))))</f>
        <v/>
      </c>
      <c r="AS254" s="6" t="str">
        <f>IF(Atletas!E245="","",IF(Atletas!B245="Feminino",100,IF(Atletas!B245="Masculino",200,""))+(IF(Atletas!E245="Juvenil 44kg",1,IF(Atletas!E245="Juvenil 48kg",2,IF(Atletas!E245="Juvenil 52kg",3,IF(Atletas!E245="Juvenil 56kg",4,IF(Atletas!E245="Juvenil 60kg",5,IF(Atletas!E245="Juvenil 65kg",6,IF(Atletas!E245="Juvenil 70kg",7,IF(Atletas!E245="Juvenil 75kg",8,IF(Atletas!E245="Juvenil 82kg",9,IF(Atletas!E245="Juvenil 90kg",10,IF(Atletas!E245="Juvenil 100kg",11,IF(Atletas!E245="Adulto 48kg",12,IF(Atletas!E245="Adulto 52kg",13,IF(Atletas!E245="Adulto 56kg",14,IF(Atletas!E245="Adulto 60kg",15,IF(Atletas!E245="Adulto 65kg",16,IF(Atletas!E245="Adulto 70kg",17,IF(Atletas!E245="Adulto 75kg",18,IF(Atletas!E245="Adulto 82kg",19,IF(Atletas!E245="Adulto 90kg",20,IF(Atletas!E245="Adulto 100kg",21,IF(Atletas!E245="Adulto +100kg",22,""))))))))))))))))))))))))</f>
        <v/>
      </c>
      <c r="AX254" s="6" t="str">
        <f>IF(Atletas!F245="","",IF(Atletas!B245="Feminino",100,IF(Atletas!B245="Masculino",200,""))+(IF(Atletas!F245="Adulto 48kg",1,IF(Atletas!F245="Adulto 56kg",2,IF(Atletas!F245="Adulto 65kg",3,IF(Atletas!F245="Adulto 75kg",4,IF(Atletas!F245="Adulto +75kg",5,IF(Atletas!F245="Adulto 52kg",6,IF(Atletas!F245="Adulto 60kg",7,IF(Atletas!F245="Adulto 70kg",8,IF(Atletas!F245="Adulto 80kg",9,IF(Atletas!F245="Adulto 90kg",10,IF(Atletas!F245="Adulto +90kg",11,"")))))))))))))</f>
        <v/>
      </c>
      <c r="BC254" s="6" t="str">
        <f>IF(Atletas!G245="","",IF(Atletas!B245="Feminino",10,IF(Atletas!B245="Masculino",20,""))+(IF(Atletas!G245="Baduanjin A",1,IF(Atletas!G245="Baduanjin B",2))))</f>
        <v/>
      </c>
      <c r="BF254" s="52" t="str">
        <f>IF(Atletas!H245="","",IF(Atletas!B245="Feminino",100,IF(Atletas!B245="Masculino",200,""))+(IF(Atletas!H245="Changquan Mirim",1,IF(Atletas!H245="Nanquan Mirim",2,IF(Atletas!H245="Taijiquan Mirim",3,IF(Atletas!H245="Changquan Grupo C",4,IF(Atletas!H245="Nanquan Grupo C",5,IF(Atletas!H245="Taijiquan Grupo C",6,IF(Atletas!H245="Changquan Grupo B",7,IF(Atletas!H245="Nanquan Grupo B",8,IF(Atletas!H245="Taijiquan Grupo B",9,IF(Atletas!H245="Changquan Grupo A",10,IF(Atletas!H245="Nanquan Grupo A",11,IF(Atletas!H245="Taijiquan Grupo A",12,IF(Atletas!H245="Changquan Opcional",13,IF(Atletas!H245="Nanquan Opcional",14,IF(Atletas!H245="Taijiquan Opcional",15,IF(Atletas!H245="Changquan Adulto",16,IF(Atletas!H245="Nanquan Adulto",17,IF(Atletas!H245="Taijiquan Adulto",18,""))))))))))))))))))))</f>
        <v/>
      </c>
      <c r="BG254" s="52" t="str">
        <f>IF(Atletas!I245="","",IF(Atletas!B245="Feminino",100,IF(Atletas!B245="Masculino",200,""))+(IF(Atletas!I245="Daoshu Mirim",19,IF(Atletas!I245="Jianshu Mirim",20,IF(Atletas!I245="Nandao Mirim",21,IF(Atletas!I245="Taijijian Mirim",22,IF(Atletas!I245="Daoshu Grupo C",23,IF(Atletas!I245="Jianshu Grupo C",24,IF(Atletas!I245="Nandao Grupo C",25,IF(Atletas!I245="Taijijian Grupo C",26,IF(Atletas!I245="Daoshu Grupo B",27,IF(Atletas!I245="Jianshu Grupo B",28,IF(Atletas!I245="Nandao Grupo B",29,IF(Atletas!I245="Taijijian Grupo B",30,IF(Atletas!I245="Daoshu Grupo A",31,IF(Atletas!I245="Jianshu Grupo A",32,IF(Atletas!I245="Nandao Grupo A",33,IF(Atletas!I245="Taijijian Grupo A",34,IF(Atletas!I245="Daoshu Opcional",35,IF(Atletas!I245="Jianshu Opcional",36,IF(Atletas!I245="Nandao Opcional",37,IF(Atletas!I245="Taijijian Opcional",38,IF(Atletas!I245="Daoshu Adulto",39,IF(Atletas!I245="Jianshu Adulto",40,IF(Atletas!I245="Nandao Adulto",41,IF(Atletas!I245="Taijijian Adulto",42,""))))))))))))))))))))))))))</f>
        <v/>
      </c>
      <c r="BH254" s="52" t="str">
        <f>IF(Atletas!J245="","",IF(Atletas!B245="Feminino",100,IF(Atletas!B245="Masculino",200,""))+(IF(Atletas!J245="Gunshu Mirim",43,IF(Atletas!J245="Qiangshu Mirim",44,IF(Atletas!J245="Nangun Mirim",45,IF(Atletas!J245="Gunshu Grupo C",46,IF(Atletas!J245="Qiangshu Grupo C",47,IF(Atletas!J245="Nangun Grupo C",48,IF(Atletas!J245="Gunshu Grupo B",49,IF(Atletas!J245="Qiangshu Grupo B",50,IF(Atletas!J245="Nangun Grupo B",51,IF(Atletas!J245="Gunshu Grupo A",52,IF(Atletas!J245="Qiangshu Grupo A",53,IF(Atletas!J245="Nangun Grupo A",54,IF(Atletas!J245="Gunshu Opcional",55,IF(Atletas!J245="Qiangshu Opcional",56,IF(Atletas!J245="Nangun Opcional",57,IF(Atletas!J245="Gunshu Adulto",58,IF(Atletas!J245="Qiangshu Adulto",59,IF(Atletas!J245="Nangun Adulto",60,IF(Atletas!J245="Taijishan Grupo B",61,IF(Atletas!J245="Taijishan Grupo A",62,""))))))))))))))))))))))</f>
        <v/>
      </c>
      <c r="BM254" s="50" t="str">
        <f>IF(Atletas!K245="","",IF(Atletas!B245="Feminino",100,IF(Atletas!B245="Masculino",200,""))+(IF(Atletas!K245="Equipe 1 Grupo B",1,IF(Atletas!K245="Equipe 2 Grupo B",2,IF(Atletas!K245="Equipe 1 Grupo A",3,IF(Atletas!K245="Equipe 2 Grupo A",4,IF(Atletas!K245="Equipe 1 Adulto",5,IF(Atletas!K245="Equipe 2 Adulto",6,""))))))))</f>
        <v/>
      </c>
      <c r="BR254" s="50" t="str">
        <f>IF(Atletas!L245="","",IF(Atletas!X245&lt;&gt;"",10000,0)+(IF(Atletas!B245="Feminino",1000,IF(Atletas!B245="Masculino",2000,""))+IF(Atletas!L245="Choylayfut A",1,IF(Atletas!L245="Hunggar A",2,IF(Atletas!L245="Wuzuquan A",3,IF(Atletas!L245="Wingchun A",4,IF(Atletas!L245="Outra Mão de Sul A",5,IF(Atletas!L245="Choylayfut B",6,IF(Atletas!L245="Hunggar B",7,IF(Atletas!L245="Wuzuquan B",8,IF(Atletas!L245="Wingchun B",9,IF(Atletas!L245="Outra Mão de Sul B",10,IF(Atletas!L245="Choylayfut C",11,IF(Atletas!L245="Hunggar C",12,IF(Atletas!L245="Wuzuquan C",13,IF(Atletas!L245="Wingchun C",14,IF(Atletas!L245="Outra Mão de Sul C",15,IF(Atletas!L245="Choylayfut D",16,IF(Atletas!L245="Hunggar D",17,IF(Atletas!L245="Wuzuquan D",18,IF(Atletas!L245="Wingchun D",19,IF(Atletas!L245="Outra Mão de Sul D",20,IF(Atletas!L245="Choylayfut E",21,IF(Atletas!L245="Hunggar E",22,IF(Atletas!L245="Wuzuquan E",23,IF(Atletas!L245="Wingchun E",24,IF(Atletas!L245="Outra Mão de Sul E",25,IF(Atletas!L245="Choylayfut F",26,IF(Atletas!L245="Hunggar F",27,IF(Atletas!L245="Wuzuquan F",28,IF(Atletas!L245="Wingchun F",29,IF(Atletas!L245="Outra Mão de Sul F",30,IF(Atletas!L245="Dishuquan A",31,IF(Atletas!L245="Dishuquan B",32,IF(Atletas!L245="Dishuquan C",33,IF(Atletas!L245="Dishuquan D",34,IF(Atletas!L245="Dishuquan E",35,IF(Atletas!L245="Dishuquan F",36,""))))))))))))))))))))))))))))))))))))))</f>
        <v/>
      </c>
      <c r="BS254" s="50" t="str">
        <f>IF(Atletas!M245="","",IF(Atletas!X245&lt;&gt;"",10000,0)+(IF(Atletas!B245="Feminino",1000,IF(Atletas!B245="Masculino",2000,""))+(IF(Atletas!M245="Chaquan A",101,IF(Atletas!M245="Emeiquan A",102,IF(Atletas!M245="Fanziquan A",103,IF(Atletas!M245="Huaquan A",104,IF(Atletas!M245="Hongquan A",105,IF(Atletas!M245="Paoquan A",106,IF(Atletas!M245="Piguaquan A",107,IF(Atletas!M245="Shaolinquan A",108,IF(Atletas!M245="Tanglangquan A",109,IF(Atletas!M245="Yingzhaoquan A",110,IF(Atletas!M245="Tongbeiquan A",111,IF(Atletas!M245="Wudangquan A",112,IF(Atletas!M245="Outros Estilos A",113,IF(Atletas!M245="Chaquan B",114,IF(Atletas!M245="Emeiquan B",115,IF(Atletas!M245="Fanziquan B",116,IF(Atletas!M245="Huaquan B",117,IF(Atletas!M245="Hongquan B",118,IF(Atletas!M245="Paoquan B",119,IF(Atletas!M245="Piguaquan B",120,IF(Atletas!M245="Shaolinquan B",121,IF(Atletas!M245="Tanglangquan B",122,IF(Atletas!M245="Yingzhaoquan B",123,IF(Atletas!M245="Tongbeiquan B",124,IF(Atletas!M245="Wudangquan B",125,IF(Atletas!M245="Outros Estilos B",126,IF(Atletas!M245="Chaquan C",127,IF(Atletas!M245="Emeiquan C",128,IF(Atletas!M245="Fanziquan C",129,IF(Atletas!M245="Huaquan C",130,IF(Atletas!M245="Hongquan C",131,IF(Atletas!M245="Paoquan C",132,IF(Atletas!M245="Piguaquan C",133,IF(Atletas!M245="Shaolinquan C",134,IF(Atletas!M245="Tanglangquan C",135,IF(Atletas!M245="Yingzhaoquan C",136,IF(Atletas!M245="Tongbeiquan C",137,IF(Atletas!M245="Wudangquan C",138,IF(Atletas!M245="Outros Estilos C",139,0))))))))))))))))))))))))))))))))))))))))))</f>
        <v/>
      </c>
      <c r="BT254" s="50" t="str">
        <f>IF(Atletas!M245="","",IF(Atletas!X245&lt;&gt;"",10000,0)+(IF(Atletas!B245="Feminino",1000,IF(Atletas!B245="Masculino",2000,""))+(IF(Atletas!M245="Chaquan D",140,IF(Atletas!M245="Emeiquan D",141,IF(Atletas!M245="Fanziquan D",142,IF(Atletas!M245="Huaquan D",143,IF(Atletas!M245="Hongquan D",144,IF(Atletas!M245="Paoquan D",145,IF(Atletas!M245="Piguaquan D",146,IF(Atletas!M245="Shaolinquan D",147,IF(Atletas!M245="Tanglangquan D",148,IF(Atletas!M245="Yingzhaoquan D",149,IF(Atletas!M245="Tongbeiquan D",150,IF(Atletas!M245="Wudangquan D",151,IF(Atletas!M245="Outros Estilos D",152,IF(Atletas!M245="Chaquan E",153,IF(Atletas!M245="Emeiquan E",154,IF(Atletas!M245="Fanziquan E",155,IF(Atletas!M245="Huaquan E",156,IF(Atletas!M245="Hongquan E",157,IF(Atletas!M245="Paoquan E",158,IF(Atletas!M245="Piguaquan E",159,IF(Atletas!M245="Shaolinquan E",160,IF(Atletas!M245="Tanglangquan E",161,IF(Atletas!M245="Yingzhaoquan E",162,IF(Atletas!M245="Tongbeiquan E",163,IF(Atletas!M245="Wudangquan E",164,IF(Atletas!M245="Outros Estilos E",165,IF(Atletas!M245="Chaquan F",166,IF(Atletas!M245="Emeiquan F",167,IF(Atletas!M245="Fanziquan F",168,IF(Atletas!M245="Huaquan F",169,IF(Atletas!M245="Hongquan F",170,IF(Atletas!M245="Paoquan F",171,IF(Atletas!M245="Piguaquan F",172,IF(Atletas!M245="Shaolinquan F",173,IF(Atletas!M245="Tanglangquan F",174,IF(Atletas!M245="Yingzhaoquan F",175,IF(Atletas!M245="Tongbeiquan F",176,IF(Atletas!M245="Wudangquan F",177,IF(Atletas!M245="Outros Estilos F",178,0))))))))))))))))))))))))))))))))))))))))))</f>
        <v/>
      </c>
      <c r="BU254" s="50" t="str">
        <f>IF(Atletas!N245="","",IF(Atletas!X245&lt;&gt;"",10000,0)+(IF(Atletas!B245="Feminino",1000,IF(Atletas!B245="Masculino",2000,""))+(IF(Atletas!N245="Ditangquan A",201,IF(Atletas!N245="Houquan A",202,IF(Atletas!N245="Zuiquan A",203,IF(Atletas!N245="Ditangquan B",204,IF(Atletas!N245="Houquan B",205,IF(Atletas!N245="Zuiquan B",206,IF(Atletas!N245="Ditangquan C",207,IF(Atletas!N245="Houquan C",208,IF(Atletas!N245="Zuiquan C",209,IF(Atletas!N245="Ditangquan D",210,IF(Atletas!N245="Houquan D",211,IF(Atletas!N245="Zuiquan D",212,IF(Atletas!N245="Ditangquan E",213,IF(Atletas!N245="Houquan E",214,IF(Atletas!N245="Zuiquan E",215,IF(Atletas!N245="Ditangquan F",216,IF(Atletas!N245="Houquan F",217,IF(Atletas!N245="Zuiquan F",218,"")))))))))))))))))))))</f>
        <v/>
      </c>
      <c r="BV254" s="50" t="str">
        <f>IF(Atletas!O245="","",IF(Atletas!X245&lt;&gt;"",10000,0)+IF(Atletas!B245="Feminino",1000,IF(Atletas!B245="Masculino",2000,""))+IF(Atletas!O245="Yang A",301,IF(Atletas!O245="Chen A",302,IF(Atletas!O245="Sun A",303,IF(Atletas!O245="Wu A",304,IF(Atletas!O245="Wu-Hao A",305,IF(Atletas!O245="Outro Taijiquan A",306,IF(Atletas!O245="Yang B",307,IF(Atletas!O245="Chen B",308,IF(Atletas!O245="Sun B",309,IF(Atletas!O245="Wu B",310,IF(Atletas!O245="Wu-Hao B",311,IF(Atletas!O245="Outro Taijiquan B",312,IF(Atletas!O245="Yang C",313,IF(Atletas!O245="Chen C",314,IF(Atletas!O245="Sun C",315,IF(Atletas!O245="Wu C",316,IF(Atletas!O245="Wu-Hao C",317,IF(Atletas!O245="Outro Taijiquan C",318,IF(Atletas!O245="Yang D",319,IF(Atletas!O245="Chen D",320,IF(Atletas!O245="Sun D",321,IF(Atletas!O245="Wu D",322,IF(Atletas!O245="Wu-Hao D",323,IF(Atletas!O245="Outro Taijiquan D",324,IF(Atletas!O245="Yang E",325,IF(Atletas!O245="Chen E",326,IF(Atletas!O245="Sun E",327,IF(Atletas!O245="Wu E",328,IF(Atletas!O245="Wu-Hao E",329,IF(Atletas!O245="Outro Taijiquan E",330,IF(Atletas!O245="Yang F",331,IF(Atletas!O245="Chen F",332,IF(Atletas!O245="Sun F",333,IF(Atletas!O245="Wu F",334,IF(Atletas!O245="Wu-Hao F",335,IF(Atletas!O245="Outro Taijiquan F",336,"")))))))))))))))))))))))))))))))))))))</f>
        <v/>
      </c>
      <c r="BW254" s="50" t="str">
        <f>IF(Atletas!P245="","",IF(Atletas!X245&lt;&gt;"",10000,0)+IF(Atletas!B245="Feminino",1000,IF(Atletas!B245="Masculino",2000,""))+IF(OR(Atletas!P245="Yang 26 A",Atletas!P245="Yang 40 A"),401,IF(OR(Atletas!P245="Chen 25 A",Atletas!P245="Chen 36 A",Atletas!P245="Chen 56 A"),402,IF(Atletas!P245="Sun 73 A",403,IF(Atletas!P245="Wu 45 A",404,IF(Atletas!P245="Wu-Hao 46 A",405,IF(OR(Atletas!P245="Taijiquan 16 A",Atletas!P245="Taijiquan 24 A",Atletas!P245="Taijiquan 32 A",Atletas!P245="Taijiquan 42 A"),406,IF(OR(Atletas!P245="Yang 26 B",Atletas!P245="Yang 40 B"),407,IF(OR(Atletas!P245="Chen 25 B",Atletas!P245="Chen 36 B",Atletas!P245="Chen 56 B"),408,IF(Atletas!P245="Sun 73 B",409,IF(Atletas!P245="Wu 45 B",410,IF(Atletas!P245="Wu-Hao 46 B",411,IF(OR(Atletas!P245="Taijiquan 16 B",Atletas!P245="Taijiquan 24 B",Atletas!P245="Taijiquan 32 B",Atletas!P245="Taijiquan 42 B"),412,IF(OR(Atletas!P245="Yang 26 C",Atletas!P245="Yang 40 C"),413,IF(OR(Atletas!P245="Chen 25 C",Atletas!P245="Chen 36 C",Atletas!P245="Chen 56 C"),414,IF(Atletas!P245="Sun 73 C",415,IF(Atletas!P245="Wu 45 C",416,IF(Atletas!P245="Wu-Hao 46 C",417,IF(OR(Atletas!P245="Taijiquan 16 C",Atletas!P245="Taijiquan 24 C",Atletas!P245="Taijiquan 32 C",Atletas!P245="Taijiquan 42 C"),418,0)))))))))))))))))))</f>
        <v/>
      </c>
      <c r="BX254" s="50" t="str">
        <f>IF(Atletas!P245="","",IF(Atletas!X245&lt;&gt;"",10000,0)+IF(Atletas!B245="Feminino",1000,IF(Atletas!B245="Masculino",2000,""))+IF(OR(Atletas!P245="Yang 26 D",Atletas!P245="Yang 40 D"),419,IF(OR(Atletas!P245="Chen 25 D",Atletas!P245="Chen 36 D",Atletas!P245="Chen 56 D"),420,IF(Atletas!P245="Sun 73 D",421,IF(Atletas!P245="Wu 45 D",422,IF(Atletas!P245="Wu-Hao 46 D",423,IF(OR(Atletas!P245="Taijiquan 16 D",Atletas!P245="Taijiquan 24 D",Atletas!P245="Taijiquan 32 D",Atletas!P245="Taijiquan 42 D"),424,IF(OR(Atletas!P245="Yang 26 E",Atletas!P245="Yang 40 E"),425,IF(OR(Atletas!P245="Chen 25 E",Atletas!P245="Chen 36 E",Atletas!P245="Chen 56 E"),426,IF(Atletas!P245="Sun 73 E",427,IF(Atletas!P245="Wu 45 E",428,IF(Atletas!P245="Wu-Hao 46 E",429,IF(OR(Atletas!P245="Taijiquan 16 E",Atletas!P245="Taijiquan 24 E",Atletas!P245="Taijiquan 32 E",Atletas!P245="Taijiquan 42 E"),430,IF(OR(Atletas!P245="Yang 26 F",Atletas!P245="Yang 40 F"),431,IF(OR(Atletas!P245="Chen 25 F",Atletas!P245="Chen 36 F",Atletas!P245="Chen 56 F"),432,IF(Atletas!P245="Sun 73 F",433,IF(Atletas!P245="Wu 45 F",434,IF(Atletas!P245="Wu-Hao 46 F",435,IF(OR(Atletas!P245="Taijiquan 16 F",Atletas!P245="Taijiquan 24 F",Atletas!P245="Taijiquan 32 F",Atletas!P245="Taijiquan 42 F"),436,0)))))))))))))))))))</f>
        <v/>
      </c>
      <c r="BY254" s="50" t="str">
        <f>IF(Atletas!Q245="","",IF(Atletas!X245&lt;&gt;"",10000,0)+IF(Atletas!B245="Feminino",1000,IF(Atletas!B245="Masculino",2000,""))+IF(Atletas!Q245="Xingyiquan A",501,IF(Atletas!Q245="Baguazhang A",502,IF(Atletas!Q245="Outro Estilo Interno A",503,IF(Atletas!Q245="Xingyiquan B",504,IF(Atletas!Q245="Baguazhang B",505,IF(Atletas!Q245="Outro Estilo Interno B",506,IF(Atletas!Q245="Xingyiquan C",507,IF(Atletas!Q245="Baguazhang C",508,IF(Atletas!Q245="Outro Estilo Interno C",509,IF(Atletas!Q245="Xingyiquan D",510,IF(Atletas!Q245="Baguazhang D",511,IF(Atletas!Q245="Outro Estilo Interno D",512,IF(Atletas!Q245="Xingyiquan E",513,IF(Atletas!Q245="Baguazhang E",514,IF(Atletas!Q245="Outro Estilo Interno E",515,IF(Atletas!Q245="Xingyiquan F",516,IF(Atletas!Q245="Baguazhang F",517,IF(Atletas!Q245="Outro Estilo Interno F",518, "")))))))))))))))))))</f>
        <v/>
      </c>
      <c r="BZ254" s="50" t="str">
        <f>IF(Atletas!R245="","",IF(Atletas!X245&lt;&gt;"",10000,0)+IF(Atletas!B245="Feminino",1000,IF(Atletas!B245="Masculino",2000,""))+IF(Atletas!R245="Dao A",601,IF(Atletas!R245="Jian A",602,IF(Atletas!R245="Bishou A",603,IF(Atletas!R245="Shanzi A",604,IF(Atletas!R245="Outra Arma Curta A",605,IF(Atletas!R245="Dao B",606,IF(Atletas!R245="Jian B",607,IF(Atletas!R245="Bishou B",608,IF(Atletas!R245="Shanzi B",609,IF(Atletas!R245="Outra Arma Curta B",610,IF(Atletas!R245="Dao C",611,IF(Atletas!R245="Jian C",612,IF(Atletas!R245="Bishou C",613,IF(Atletas!R245="Shanzi C",614,IF(Atletas!R245="Outra Arma Curta C",615,IF(Atletas!R245="Dao D",616,IF(Atletas!R245="Jian D",617,IF(Atletas!R245="Bishou D",618,IF(Atletas!R245="Shanzi D",619,IF(Atletas!R245="Outra Arma Curta D",620,IF(Atletas!R245="Dao E",621,IF(Atletas!R245="Jian E",622,IF(Atletas!R245="Bishou E",623,IF(Atletas!R245="Shanzi E",624,IF(Atletas!R245="Outra Arma Curta E",625,IF(Atletas!R245="Dao F",626,IF(Atletas!R245="Jian F",627,IF(Atletas!R245="Bishou F",628,IF(Atletas!R245="Shanzi F",629,IF(Atletas!R245="Outra Arma Curta F",630, "")))))))))))))))))))))))))))))))</f>
        <v/>
      </c>
      <c r="CA254" s="50" t="str">
        <f>IF(Atletas!S245="","",IF(Atletas!X245&lt;&gt;"",10000,0)+IF(Atletas!B245="Feminino",1000,IF(Atletas!B245="Masculino",2000,""))+IF(Atletas!S245="Gun A",701,IF(Atletas!S245="Qiang A",702,IF(Atletas!S245="Pudao / Guandao A",703,IF(Atletas!S245="Outra Arma Longa A",704,IF(Atletas!S245="Gun B",705,IF(Atletas!S245="Qiang B",706,IF(Atletas!S245="Pudao / Guandao B",707,IF(Atletas!S245="Outra Arma Longa B",708,IF(Atletas!S245="Gun C",709,IF(Atletas!S245="Qiang C",710,IF(Atletas!S245="Pudao / Guandao C",711,IF(Atletas!S245="Outra Arma Longa C",712,IF(Atletas!S245="Gun D",713,IF(Atletas!S245="Qiang D",714,IF(Atletas!S245="Pudao / Guandao D",715,IF(Atletas!S245="Outra Arma Longa D",716,IF(Atletas!S245="Gun E",717,IF(Atletas!S245="Qiang E",718,IF(Atletas!S245="Pudao / Guandao E",719,IF(Atletas!S245="Outra Arma Longa E",720,IF(Atletas!S245="Gun F",721,IF(Atletas!S245="Qiang F",722,IF(Atletas!S245="Pudao / Guandao F",723,IF(Atletas!S245="Outra Arma Longa F",724,"")))))))))))))))))))))))))</f>
        <v/>
      </c>
      <c r="CB254" s="50" t="str">
        <f>IF(Atletas!T245="","",IF(Atletas!X245&lt;&gt;"",10000,0)+IF(Atletas!B245="Feminino",1000,IF(Atletas!B245="Masculino",2000,""))+IF(Atletas!T245="Outra Arma Dupla A",801,IF(Atletas!T245="Arma Maleável A",802,IF(Atletas!T245="Outra Arma Dupla B",803,IF(Atletas!T245="Arma Maleável B",804,IF(Atletas!T245="Outra Arma Dupla C",805,IF(Atletas!T245="Arma Maleável C",806,IF(Atletas!T245="Outra Arma Dupla D",807,IF(Atletas!T245="Arma Maleável D",808,IF(Atletas!T245="Outra Arma Dupla E",809,IF(Atletas!T245="Arma Maleável E",810,IF(Atletas!T245="Outra Arma Dupla F",811,IF(Atletas!T245="Arma Maleável F",812,IF(Atletas!T245="Shuangdao A",813,IF(Atletas!T245="Shuangdao B",814,IF(Atletas!T245="Shuangdao C",815,IF(Atletas!T245="Shuangdao D",816,IF(Atletas!T245="Shuangdao E",817,IF(Atletas!T245="Shuangdao F",818,"")))))))))))))))))))</f>
        <v/>
      </c>
      <c r="CC254" s="50" t="str">
        <f>IF(Atletas!U245="","",IF(Atletas!X245&lt;&gt;"",10000,0)+IF(Atletas!B245="Feminino",1000,IF(Atletas!B245="Masculino",2000,""))+IF(OR(Atletas!U245="Taijijian Yang A",Atletas!U245="Taijijian Yang Standard A"),901,IF(OR(Atletas!U245="Taijijian Chen A", Atletas!U245="Taijijian Chen Standard A"),902,IF(Atletas!U245="Taijijian Sun A",903,IF(Atletas!U245="Taijijian Wu A",904,IF(Atletas!U245="Taijijian Wu-Hao A",905,IF(OR(Atletas!U245="Taijijian 32 A",Atletas!U245="Taijijian 42 A"),906,IF(OR(Atletas!U245="Taijijian Yang B",Atletas!U245="Taijijian Yang Standard B"),907,IF(OR(Atletas!U245="Taijijian Chen B", Atletas!U245="Taijijian Chen Standard B"),908,IF(Atletas!U245="Taijijian Sun B",909,IF(Atletas!U245="Taijijian Wu B",910,IF(Atletas!U245="Taijijian Wu-Hao B",911,IF(OR(Atletas!U245="Taijijian 32 B",Atletas!U245="Taijijian 42 B"),912,IF(OR(Atletas!U245="Taijijian Yang C",Atletas!U245="Taijijian Yang Standard C"),913,IF(OR(Atletas!U245="Taijijian Chen C", Atletas!U245="Taijijian Chen Standard C"),914,IF(Atletas!U245="Taijijian Sun C",915,IF(Atletas!U245="Taijijian Wu C",916,IF(Atletas!U245="Taijijian Wu-Hao C",917,IF(OR(Atletas!U245="Taijijian 32 C",Atletas!U245="Taijijian 42 C"),918,IF(OR(Atletas!U245="Taijijian Yang D",Atletas!U245="Taijijian Yang Standard D"),919,IF(OR(Atletas!U245="Taijijian Chen D", Atletas!U245="Taijijian Chen Standard D"),920,IF(Atletas!U245="Taijijian Sun D",921,IF(Atletas!U245="Taijijian Wu D",922,IF(Atletas!U245="Taijijian Wu-Hao D",923,IF(OR(Atletas!U245="Taijijian 32 D",Atletas!U245="Taijijian 42 D"),924,IF(OR(Atletas!U245="Taijijian Yang E",Atletas!U245="Taijijian Yang Standard E"),925,IF(OR(Atletas!U245="Taijijian Chen E", Atletas!U245="Taijijian Chen Standard E"),926,IF(Atletas!U245="Taijijian Sun E",927,IF(Atletas!U245="Taijijian Wu E",928,IF(Atletas!U245="Taijijian Wu-Hao E",929,IF(OR(Atletas!U245="Taijijian 32 E",Atletas!U245="Taijijian 42 E"),930,IF(OR(Atletas!U245="Taijijian Yang F",Atletas!U245="Taijijian Yang Standard F"),931,IF(OR(Atletas!U245="Taijijian Chen F", Atletas!U245="Taijijian Chen Standard F"),932,IF(Atletas!U245="Taijijian Sun F",933,IF(Atletas!U245="Taijijian Wu F",934,IF(Atletas!U245="Taijijian Wu-Hao F",935,IF(OR(Atletas!U245="Taijijian 32 F",Atletas!U245="Taijijian 42 F"),936,"")))))))))))))))))))))))))))))))))))))</f>
        <v/>
      </c>
      <c r="CD254" s="50" t="str">
        <f>IF(Atletas!V245="","",IF(Atletas!X245&lt;&gt;"",10000,0)+IF(Atletas!B245="Feminino",1000,IF(Atletas!B245="Masculino",2000,""))+IF(Atletas!V245="Taijidao A",937,IF(Atletas!V245="TaijiShanzi A",938,IF(Atletas!V245="Taijiqiang A",939,IF(Atletas!V245="Bagua de Arma A",940,IF(Atletas!V245="Xingyi de Arma A",941,IF(Atletas!V245="Taijidao B",942,IF(Atletas!V245="TaijiShanzi B",943,IF(Atletas!V245="Taijiqiang B",944,IF(Atletas!V245="Bagua de Arma B",945,IF(Atletas!V245="Xingyi de Arma B",946,IF(Atletas!V245="Taijidao C",947,IF(Atletas!V245="TaijiShanzi C",948,IF(Atletas!V245="Taijiqiang C",949,IF(Atletas!V245="Bagua de Arma C",950,IF(Atletas!V245="Xingyi de Arma C",951,IF(Atletas!V245="Taijidao D",952,IF(Atletas!V245="TaijiShanzi D",953,IF(Atletas!V245="Taijiqiang D",954,IF(Atletas!V245="Bagua de Arma D",955,IF(Atletas!V245="Xingyi de Arma D",956,IF(Atletas!V245="Taijidao E",957,IF(Atletas!V245="TaijiShanzi E",958,IF(Atletas!V245="Taijiqiang E",959,IF(Atletas!V245="Bagua de Arma E",960,IF(Atletas!V245="Xingyi de Arma E",961,IF(Atletas!V245="Taijidao F",962,IF(Atletas!V245="TaijiShanzi F",963,IF(Atletas!V245="Taijiqiang F",964,IF(Atletas!V245="Bagua de Arma F",965,IF(Atletas!V245="Xingyi de Arma F",966,"")))))))))))))))))))))))))))))))</f>
        <v/>
      </c>
      <c r="CE254" s="66" t="str">
        <f>IF(CF254&lt;&gt;"","Dao F","")</f>
        <v/>
      </c>
      <c r="CF254" s="66" t="str">
        <f>IF(COUNTIF(BR:CD,1626)&gt;0,COUNTIF(BR:CD,1626),"")</f>
        <v/>
      </c>
      <c r="CG254" s="66" t="str">
        <f>IF(CH254&lt;&gt;"","Dao F","")</f>
        <v/>
      </c>
      <c r="CH254" s="66" t="str">
        <f>IF(COUNTIF(BR:CD,2626)&gt;0,COUNTIF(BR:CD,2626),"")</f>
        <v/>
      </c>
      <c r="CI254" s="66" t="str">
        <f>IF(CJ254&lt;&gt;"","Qiang A","")</f>
        <v/>
      </c>
      <c r="CJ254" s="66" t="str">
        <f>IF(COUNTIF(BR:CD,11702)&gt;0,COUNTIF(BR:CD,11702),"")</f>
        <v/>
      </c>
      <c r="CK254" s="66" t="str">
        <f>IF(CL254&lt;&gt;"","Qiang A","")</f>
        <v/>
      </c>
      <c r="CL254" s="6" t="str">
        <f>IF(COUNTIF(BR:CD,12702)&gt;0,COUNTIF(BR:CD,12702),"")</f>
        <v/>
      </c>
      <c r="CM254" s="50" t="str">
        <f xml:space="preserve"> IF(Atletas!W245="","",IF(Atletas!W245="Duilian de Mãos BC - Equipe 1",1,IF(Atletas!W245="Duilian de Mãos BC - Equipe 2",2,IF(Atletas!W245="Duilian de Armas BC - Equipe 1",3,IF(Atletas!W245="Duilian de Armas BC - Equipe 2",4,IF(Atletas!W245="Duilian de Mãos DE - Equipe 1",5,IF(Atletas!W245="Duilian de Mãos DE - Equipe 2",6,IF(Atletas!W245="Duilian de Armas DE - Equipe 1",7,IF(Atletas!W245="Duilian de Armas DE - Equipe 2",8,IF(Atletas!W245="Duilian de Tuishou - Equipe 1",9,IF(Atletas!W245="Duilian de Tuishou - Equipe 2",10,IF(Atletas!W245="Grupo Externo ABC - Equipe 1",11,IF(Atletas!W245="Grupo Externo ABC - Equipe 2",12,IF(Atletas!W245="Grupo Interno ABC - Equipe 1",13,IF(Atletas!W245="Grupo Interno ABC - Equipe 2",14,IF(Atletas!W245="Grupo Externo DEF - Equipe 1",15,IF(Atletas!W245="Grupo Externo DEF - Equipe 2",16,IF(Atletas!W245="Grupo Interno DEF - Equipe 1",17,IF(Atletas!W245="Grupo Interno DEF - Equipe 2",18,"")))))))))))))))))))</f>
        <v/>
      </c>
    </row>
    <row r="255" spans="2:91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 t="str">
        <f t="array" ref="Z255">IFERROR(INDEX(CE$7:CE$348,SMALL(IF(CE$7:CE$348&lt;&gt;"",ROW(CE$7:CE$348)-ROW(CE$7)+1),ROWS(CE$7:CE254))),"")</f>
        <v/>
      </c>
      <c r="AA255" s="3" t="str">
        <f t="array" ref="AA255">IFERROR(INDEX(CF$7:CF$348,SMALL(IF(CF$7:CF$348&lt;&gt;"",ROW(CF$7:CF$348)-ROW(CF$7)+1),ROWS(CF$7:CF254))),"")</f>
        <v/>
      </c>
      <c r="AB255" s="3" t="str">
        <f t="array" ref="AB255">IFERROR(INDEX(CG$7:CG$348,SMALL(IF(CG$7:CG$348&lt;&gt;"",ROW(CG$7:CG$348)-ROW(CG$7)+1),ROWS(CG$7:CG254))),"")</f>
        <v/>
      </c>
      <c r="AC255" s="3" t="str">
        <f t="array" ref="AC255">IFERROR(INDEX(CH$7:CH$348,SMALL(IF(CH$7:CH$348&lt;&gt;"",ROW(CH$7:CH$348)-ROW(CH$7)+1),ROWS(CH$7:CH254))),"")</f>
        <v/>
      </c>
      <c r="AD255" s="3" t="str">
        <f t="array" ref="AD255">IFERROR(INDEX(CI$7:CI$377,SMALL(IF(CI$7:CI$377&lt;&gt;"",ROW(CI$7:CI$377)-ROW(CI$7)+1),ROWS(CI$7:CI254))),"")</f>
        <v/>
      </c>
      <c r="AE255" s="3" t="str">
        <f t="array" ref="AE255">IFERROR(INDEX(CJ$7:CJ$378,SMALL(IF(CJ$7:CJ$378&lt;&gt;"",ROW(CJ$7:CJ$378)-ROW(CJ$7)+1),ROWS(CJ$7:CJ254))),"")</f>
        <v/>
      </c>
      <c r="AF255" s="3" t="str">
        <f t="array" ref="AF255">IFERROR(INDEX(CK$7:CK$378,SMALL(IF(CK$7:CK$378&lt;&gt;"",ROW(CK$7:CK$378)-ROW(CK$7)+1),ROWS(CK$7:CK254))),"")</f>
        <v/>
      </c>
      <c r="AG255" s="3" t="str">
        <f t="array" ref="AG255">IFERROR(INDEX(CL$7:CL$378,SMALL(IF(CL$7:CL$378&lt;&gt;"",ROW(CL$7:CL$378)-ROW(CL$7)+1),ROWS(CL$7:CL254))),"")</f>
        <v/>
      </c>
      <c r="AH255" s="3"/>
      <c r="AI255" s="3"/>
      <c r="AJ255" s="3"/>
      <c r="AK255" s="3"/>
      <c r="AL255" s="3"/>
      <c r="AM255" s="3"/>
      <c r="AN255" s="52" t="str">
        <f>IF(Atletas!D246="","",IF(Atletas!B246="Feminino",100,IF(Atletas!B246="Masculino",200,""))+(IF(Atletas!D246="Kids 30kg",1,IF(Atletas!D246="Kids 32kg",2, IF(Atletas!D246="Kids 34kg",3,IF(Atletas!D246="Kids 36kg",4,IF(Atletas!D246="Kids 39kg",5,IF(Atletas!D246="Kids 42kg",6,IF(Atletas!D246="Kids 45kg",7, IF(Atletas!D246="Infantil 39kg",8,IF(Atletas!D246="Infantil 42kg",9,IF(Atletas!D246="Infantil 45kg",10,IF(Atletas!D246="Infantil 48kg",11,IF(Atletas!D246="Infantil 52kg",12,IF(Atletas!D246="Infantil 56kg",13,IF(Atletas!D246="Infantil 60kg",14,IF(Atletas!D246="Juvenil 48kg",15,IF(Atletas!D246="Juvenil 52kg",16,IF(Atletas!D246="Juvenil 56kg",17,IF(Atletas!D246="Juvenil 60kg",18,IF(Atletas!D246="Juvenil 65kg",19,IF(Atletas!D246="Juvenil 70kg",20,IF(Atletas!D246="Juvenil 75kg",21,IF(Atletas!D246="Juvenil 80kg",22, IF(Atletas!D246="Juvenil 85kg",23,IF(Atletas!D246="Adulto 48kg",24,IF(Atletas!D246="Adulto 52kg",25,IF(Atletas!D246="Adulto 56kg",26,IF(Atletas!D246="Adulto 60kg",27,IF(Atletas!D246="Adulto 65kg",28,IF(Atletas!D246="Adulto 70kg",29,IF(Atletas!D246="Adulto 75kg",30,IF(Atletas!D246="Adulto 80kg",31,IF(Atletas!D246="Adulto 85kg",32,IF(Atletas!D246="Adulto 90kg",33,IF(Atletas!D246="Adulto 100kg",34, IF(Atletas!D246="Adulto +100kg",35,"")))))))))))))))))))))))))))))))))))))</f>
        <v/>
      </c>
      <c r="AS255" s="6" t="str">
        <f>IF(Atletas!E246="","",IF(Atletas!B246="Feminino",100,IF(Atletas!B246="Masculino",200,""))+(IF(Atletas!E246="Juvenil 44kg",1,IF(Atletas!E246="Juvenil 48kg",2,IF(Atletas!E246="Juvenil 52kg",3,IF(Atletas!E246="Juvenil 56kg",4,IF(Atletas!E246="Juvenil 60kg",5,IF(Atletas!E246="Juvenil 65kg",6,IF(Atletas!E246="Juvenil 70kg",7,IF(Atletas!E246="Juvenil 75kg",8,IF(Atletas!E246="Juvenil 82kg",9,IF(Atletas!E246="Juvenil 90kg",10,IF(Atletas!E246="Juvenil 100kg",11,IF(Atletas!E246="Adulto 48kg",12,IF(Atletas!E246="Adulto 52kg",13,IF(Atletas!E246="Adulto 56kg",14,IF(Atletas!E246="Adulto 60kg",15,IF(Atletas!E246="Adulto 65kg",16,IF(Atletas!E246="Adulto 70kg",17,IF(Atletas!E246="Adulto 75kg",18,IF(Atletas!E246="Adulto 82kg",19,IF(Atletas!E246="Adulto 90kg",20,IF(Atletas!E246="Adulto 100kg",21,IF(Atletas!E246="Adulto +100kg",22,""))))))))))))))))))))))))</f>
        <v/>
      </c>
      <c r="AX255" s="6" t="str">
        <f>IF(Atletas!F246="","",IF(Atletas!B246="Feminino",100,IF(Atletas!B246="Masculino",200,""))+(IF(Atletas!F246="Adulto 48kg",1,IF(Atletas!F246="Adulto 56kg",2,IF(Atletas!F246="Adulto 65kg",3,IF(Atletas!F246="Adulto 75kg",4,IF(Atletas!F246="Adulto +75kg",5,IF(Atletas!F246="Adulto 52kg",6,IF(Atletas!F246="Adulto 60kg",7,IF(Atletas!F246="Adulto 70kg",8,IF(Atletas!F246="Adulto 80kg",9,IF(Atletas!F246="Adulto 90kg",10,IF(Atletas!F246="Adulto +90kg",11,"")))))))))))))</f>
        <v/>
      </c>
      <c r="BC255" s="6" t="str">
        <f>IF(Atletas!G246="","",IF(Atletas!B246="Feminino",10,IF(Atletas!B246="Masculino",20,""))+(IF(Atletas!G246="Baduanjin A",1,IF(Atletas!G246="Baduanjin B",2))))</f>
        <v/>
      </c>
      <c r="BF255" s="52" t="str">
        <f>IF(Atletas!H246="","",IF(Atletas!B246="Feminino",100,IF(Atletas!B246="Masculino",200,""))+(IF(Atletas!H246="Changquan Mirim",1,IF(Atletas!H246="Nanquan Mirim",2,IF(Atletas!H246="Taijiquan Mirim",3,IF(Atletas!H246="Changquan Grupo C",4,IF(Atletas!H246="Nanquan Grupo C",5,IF(Atletas!H246="Taijiquan Grupo C",6,IF(Atletas!H246="Changquan Grupo B",7,IF(Atletas!H246="Nanquan Grupo B",8,IF(Atletas!H246="Taijiquan Grupo B",9,IF(Atletas!H246="Changquan Grupo A",10,IF(Atletas!H246="Nanquan Grupo A",11,IF(Atletas!H246="Taijiquan Grupo A",12,IF(Atletas!H246="Changquan Opcional",13,IF(Atletas!H246="Nanquan Opcional",14,IF(Atletas!H246="Taijiquan Opcional",15,IF(Atletas!H246="Changquan Adulto",16,IF(Atletas!H246="Nanquan Adulto",17,IF(Atletas!H246="Taijiquan Adulto",18,""))))))))))))))))))))</f>
        <v/>
      </c>
      <c r="BG255" s="52" t="str">
        <f>IF(Atletas!I246="","",IF(Atletas!B246="Feminino",100,IF(Atletas!B246="Masculino",200,""))+(IF(Atletas!I246="Daoshu Mirim",19,IF(Atletas!I246="Jianshu Mirim",20,IF(Atletas!I246="Nandao Mirim",21,IF(Atletas!I246="Taijijian Mirim",22,IF(Atletas!I246="Daoshu Grupo C",23,IF(Atletas!I246="Jianshu Grupo C",24,IF(Atletas!I246="Nandao Grupo C",25,IF(Atletas!I246="Taijijian Grupo C",26,IF(Atletas!I246="Daoshu Grupo B",27,IF(Atletas!I246="Jianshu Grupo B",28,IF(Atletas!I246="Nandao Grupo B",29,IF(Atletas!I246="Taijijian Grupo B",30,IF(Atletas!I246="Daoshu Grupo A",31,IF(Atletas!I246="Jianshu Grupo A",32,IF(Atletas!I246="Nandao Grupo A",33,IF(Atletas!I246="Taijijian Grupo A",34,IF(Atletas!I246="Daoshu Opcional",35,IF(Atletas!I246="Jianshu Opcional",36,IF(Atletas!I246="Nandao Opcional",37,IF(Atletas!I246="Taijijian Opcional",38,IF(Atletas!I246="Daoshu Adulto",39,IF(Atletas!I246="Jianshu Adulto",40,IF(Atletas!I246="Nandao Adulto",41,IF(Atletas!I246="Taijijian Adulto",42,""))))))))))))))))))))))))))</f>
        <v/>
      </c>
      <c r="BH255" s="52" t="str">
        <f>IF(Atletas!J246="","",IF(Atletas!B246="Feminino",100,IF(Atletas!B246="Masculino",200,""))+(IF(Atletas!J246="Gunshu Mirim",43,IF(Atletas!J246="Qiangshu Mirim",44,IF(Atletas!J246="Nangun Mirim",45,IF(Atletas!J246="Gunshu Grupo C",46,IF(Atletas!J246="Qiangshu Grupo C",47,IF(Atletas!J246="Nangun Grupo C",48,IF(Atletas!J246="Gunshu Grupo B",49,IF(Atletas!J246="Qiangshu Grupo B",50,IF(Atletas!J246="Nangun Grupo B",51,IF(Atletas!J246="Gunshu Grupo A",52,IF(Atletas!J246="Qiangshu Grupo A",53,IF(Atletas!J246="Nangun Grupo A",54,IF(Atletas!J246="Gunshu Opcional",55,IF(Atletas!J246="Qiangshu Opcional",56,IF(Atletas!J246="Nangun Opcional",57,IF(Atletas!J246="Gunshu Adulto",58,IF(Atletas!J246="Qiangshu Adulto",59,IF(Atletas!J246="Nangun Adulto",60,IF(Atletas!J246="Taijishan Grupo B",61,IF(Atletas!J246="Taijishan Grupo A",62,""))))))))))))))))))))))</f>
        <v/>
      </c>
      <c r="BM255" s="50" t="str">
        <f>IF(Atletas!K246="","",IF(Atletas!B246="Feminino",100,IF(Atletas!B246="Masculino",200,""))+(IF(Atletas!K246="Equipe 1 Grupo B",1,IF(Atletas!K246="Equipe 2 Grupo B",2,IF(Atletas!K246="Equipe 1 Grupo A",3,IF(Atletas!K246="Equipe 2 Grupo A",4,IF(Atletas!K246="Equipe 1 Adulto",5,IF(Atletas!K246="Equipe 2 Adulto",6,""))))))))</f>
        <v/>
      </c>
      <c r="BR255" s="50" t="str">
        <f>IF(Atletas!L246="","",IF(Atletas!X246&lt;&gt;"",10000,0)+(IF(Atletas!B246="Feminino",1000,IF(Atletas!B246="Masculino",2000,""))+IF(Atletas!L246="Choylayfut A",1,IF(Atletas!L246="Hunggar A",2,IF(Atletas!L246="Wuzuquan A",3,IF(Atletas!L246="Wingchun A",4,IF(Atletas!L246="Outra Mão de Sul A",5,IF(Atletas!L246="Choylayfut B",6,IF(Atletas!L246="Hunggar B",7,IF(Atletas!L246="Wuzuquan B",8,IF(Atletas!L246="Wingchun B",9,IF(Atletas!L246="Outra Mão de Sul B",10,IF(Atletas!L246="Choylayfut C",11,IF(Atletas!L246="Hunggar C",12,IF(Atletas!L246="Wuzuquan C",13,IF(Atletas!L246="Wingchun C",14,IF(Atletas!L246="Outra Mão de Sul C",15,IF(Atletas!L246="Choylayfut D",16,IF(Atletas!L246="Hunggar D",17,IF(Atletas!L246="Wuzuquan D",18,IF(Atletas!L246="Wingchun D",19,IF(Atletas!L246="Outra Mão de Sul D",20,IF(Atletas!L246="Choylayfut E",21,IF(Atletas!L246="Hunggar E",22,IF(Atletas!L246="Wuzuquan E",23,IF(Atletas!L246="Wingchun E",24,IF(Atletas!L246="Outra Mão de Sul E",25,IF(Atletas!L246="Choylayfut F",26,IF(Atletas!L246="Hunggar F",27,IF(Atletas!L246="Wuzuquan F",28,IF(Atletas!L246="Wingchun F",29,IF(Atletas!L246="Outra Mão de Sul F",30,IF(Atletas!L246="Dishuquan A",31,IF(Atletas!L246="Dishuquan B",32,IF(Atletas!L246="Dishuquan C",33,IF(Atletas!L246="Dishuquan D",34,IF(Atletas!L246="Dishuquan E",35,IF(Atletas!L246="Dishuquan F",36,""))))))))))))))))))))))))))))))))))))))</f>
        <v/>
      </c>
      <c r="BS255" s="50" t="str">
        <f>IF(Atletas!M246="","",IF(Atletas!X246&lt;&gt;"",10000,0)+(IF(Atletas!B246="Feminino",1000,IF(Atletas!B246="Masculino",2000,""))+(IF(Atletas!M246="Chaquan A",101,IF(Atletas!M246="Emeiquan A",102,IF(Atletas!M246="Fanziquan A",103,IF(Atletas!M246="Huaquan A",104,IF(Atletas!M246="Hongquan A",105,IF(Atletas!M246="Paoquan A",106,IF(Atletas!M246="Piguaquan A",107,IF(Atletas!M246="Shaolinquan A",108,IF(Atletas!M246="Tanglangquan A",109,IF(Atletas!M246="Yingzhaoquan A",110,IF(Atletas!M246="Tongbeiquan A",111,IF(Atletas!M246="Wudangquan A",112,IF(Atletas!M246="Outros Estilos A",113,IF(Atletas!M246="Chaquan B",114,IF(Atletas!M246="Emeiquan B",115,IF(Atletas!M246="Fanziquan B",116,IF(Atletas!M246="Huaquan B",117,IF(Atletas!M246="Hongquan B",118,IF(Atletas!M246="Paoquan B",119,IF(Atletas!M246="Piguaquan B",120,IF(Atletas!M246="Shaolinquan B",121,IF(Atletas!M246="Tanglangquan B",122,IF(Atletas!M246="Yingzhaoquan B",123,IF(Atletas!M246="Tongbeiquan B",124,IF(Atletas!M246="Wudangquan B",125,IF(Atletas!M246="Outros Estilos B",126,IF(Atletas!M246="Chaquan C",127,IF(Atletas!M246="Emeiquan C",128,IF(Atletas!M246="Fanziquan C",129,IF(Atletas!M246="Huaquan C",130,IF(Atletas!M246="Hongquan C",131,IF(Atletas!M246="Paoquan C",132,IF(Atletas!M246="Piguaquan C",133,IF(Atletas!M246="Shaolinquan C",134,IF(Atletas!M246="Tanglangquan C",135,IF(Atletas!M246="Yingzhaoquan C",136,IF(Atletas!M246="Tongbeiquan C",137,IF(Atletas!M246="Wudangquan C",138,IF(Atletas!M246="Outros Estilos C",139,0))))))))))))))))))))))))))))))))))))))))))</f>
        <v/>
      </c>
      <c r="BT255" s="50" t="str">
        <f>IF(Atletas!M246="","",IF(Atletas!X246&lt;&gt;"",10000,0)+(IF(Atletas!B246="Feminino",1000,IF(Atletas!B246="Masculino",2000,""))+(IF(Atletas!M246="Chaquan D",140,IF(Atletas!M246="Emeiquan D",141,IF(Atletas!M246="Fanziquan D",142,IF(Atletas!M246="Huaquan D",143,IF(Atletas!M246="Hongquan D",144,IF(Atletas!M246="Paoquan D",145,IF(Atletas!M246="Piguaquan D",146,IF(Atletas!M246="Shaolinquan D",147,IF(Atletas!M246="Tanglangquan D",148,IF(Atletas!M246="Yingzhaoquan D",149,IF(Atletas!M246="Tongbeiquan D",150,IF(Atletas!M246="Wudangquan D",151,IF(Atletas!M246="Outros Estilos D",152,IF(Atletas!M246="Chaquan E",153,IF(Atletas!M246="Emeiquan E",154,IF(Atletas!M246="Fanziquan E",155,IF(Atletas!M246="Huaquan E",156,IF(Atletas!M246="Hongquan E",157,IF(Atletas!M246="Paoquan E",158,IF(Atletas!M246="Piguaquan E",159,IF(Atletas!M246="Shaolinquan E",160,IF(Atletas!M246="Tanglangquan E",161,IF(Atletas!M246="Yingzhaoquan E",162,IF(Atletas!M246="Tongbeiquan E",163,IF(Atletas!M246="Wudangquan E",164,IF(Atletas!M246="Outros Estilos E",165,IF(Atletas!M246="Chaquan F",166,IF(Atletas!M246="Emeiquan F",167,IF(Atletas!M246="Fanziquan F",168,IF(Atletas!M246="Huaquan F",169,IF(Atletas!M246="Hongquan F",170,IF(Atletas!M246="Paoquan F",171,IF(Atletas!M246="Piguaquan F",172,IF(Atletas!M246="Shaolinquan F",173,IF(Atletas!M246="Tanglangquan F",174,IF(Atletas!M246="Yingzhaoquan F",175,IF(Atletas!M246="Tongbeiquan F",176,IF(Atletas!M246="Wudangquan F",177,IF(Atletas!M246="Outros Estilos F",178,0))))))))))))))))))))))))))))))))))))))))))</f>
        <v/>
      </c>
      <c r="BU255" s="50" t="str">
        <f>IF(Atletas!N246="","",IF(Atletas!X246&lt;&gt;"",10000,0)+(IF(Atletas!B246="Feminino",1000,IF(Atletas!B246="Masculino",2000,""))+(IF(Atletas!N246="Ditangquan A",201,IF(Atletas!N246="Houquan A",202,IF(Atletas!N246="Zuiquan A",203,IF(Atletas!N246="Ditangquan B",204,IF(Atletas!N246="Houquan B",205,IF(Atletas!N246="Zuiquan B",206,IF(Atletas!N246="Ditangquan C",207,IF(Atletas!N246="Houquan C",208,IF(Atletas!N246="Zuiquan C",209,IF(Atletas!N246="Ditangquan D",210,IF(Atletas!N246="Houquan D",211,IF(Atletas!N246="Zuiquan D",212,IF(Atletas!N246="Ditangquan E",213,IF(Atletas!N246="Houquan E",214,IF(Atletas!N246="Zuiquan E",215,IF(Atletas!N246="Ditangquan F",216,IF(Atletas!N246="Houquan F",217,IF(Atletas!N246="Zuiquan F",218,"")))))))))))))))))))))</f>
        <v/>
      </c>
      <c r="BV255" s="50" t="str">
        <f>IF(Atletas!O246="","",IF(Atletas!X246&lt;&gt;"",10000,0)+IF(Atletas!B246="Feminino",1000,IF(Atletas!B246="Masculino",2000,""))+IF(Atletas!O246="Yang A",301,IF(Atletas!O246="Chen A",302,IF(Atletas!O246="Sun A",303,IF(Atletas!O246="Wu A",304,IF(Atletas!O246="Wu-Hao A",305,IF(Atletas!O246="Outro Taijiquan A",306,IF(Atletas!O246="Yang B",307,IF(Atletas!O246="Chen B",308,IF(Atletas!O246="Sun B",309,IF(Atletas!O246="Wu B",310,IF(Atletas!O246="Wu-Hao B",311,IF(Atletas!O246="Outro Taijiquan B",312,IF(Atletas!O246="Yang C",313,IF(Atletas!O246="Chen C",314,IF(Atletas!O246="Sun C",315,IF(Atletas!O246="Wu C",316,IF(Atletas!O246="Wu-Hao C",317,IF(Atletas!O246="Outro Taijiquan C",318,IF(Atletas!O246="Yang D",319,IF(Atletas!O246="Chen D",320,IF(Atletas!O246="Sun D",321,IF(Atletas!O246="Wu D",322,IF(Atletas!O246="Wu-Hao D",323,IF(Atletas!O246="Outro Taijiquan D",324,IF(Atletas!O246="Yang E",325,IF(Atletas!O246="Chen E",326,IF(Atletas!O246="Sun E",327,IF(Atletas!O246="Wu E",328,IF(Atletas!O246="Wu-Hao E",329,IF(Atletas!O246="Outro Taijiquan E",330,IF(Atletas!O246="Yang F",331,IF(Atletas!O246="Chen F",332,IF(Atletas!O246="Sun F",333,IF(Atletas!O246="Wu F",334,IF(Atletas!O246="Wu-Hao F",335,IF(Atletas!O246="Outro Taijiquan F",336,"")))))))))))))))))))))))))))))))))))))</f>
        <v/>
      </c>
      <c r="BW255" s="50" t="str">
        <f>IF(Atletas!P246="","",IF(Atletas!X246&lt;&gt;"",10000,0)+IF(Atletas!B246="Feminino",1000,IF(Atletas!B246="Masculino",2000,""))+IF(OR(Atletas!P246="Yang 26 A",Atletas!P246="Yang 40 A"),401,IF(OR(Atletas!P246="Chen 25 A",Atletas!P246="Chen 36 A",Atletas!P246="Chen 56 A"),402,IF(Atletas!P246="Sun 73 A",403,IF(Atletas!P246="Wu 45 A",404,IF(Atletas!P246="Wu-Hao 46 A",405,IF(OR(Atletas!P246="Taijiquan 16 A",Atletas!P246="Taijiquan 24 A",Atletas!P246="Taijiquan 32 A",Atletas!P246="Taijiquan 42 A"),406,IF(OR(Atletas!P246="Yang 26 B",Atletas!P246="Yang 40 B"),407,IF(OR(Atletas!P246="Chen 25 B",Atletas!P246="Chen 36 B",Atletas!P246="Chen 56 B"),408,IF(Atletas!P246="Sun 73 B",409,IF(Atletas!P246="Wu 45 B",410,IF(Atletas!P246="Wu-Hao 46 B",411,IF(OR(Atletas!P246="Taijiquan 16 B",Atletas!P246="Taijiquan 24 B",Atletas!P246="Taijiquan 32 B",Atletas!P246="Taijiquan 42 B"),412,IF(OR(Atletas!P246="Yang 26 C",Atletas!P246="Yang 40 C"),413,IF(OR(Atletas!P246="Chen 25 C",Atletas!P246="Chen 36 C",Atletas!P246="Chen 56 C"),414,IF(Atletas!P246="Sun 73 C",415,IF(Atletas!P246="Wu 45 C",416,IF(Atletas!P246="Wu-Hao 46 C",417,IF(OR(Atletas!P246="Taijiquan 16 C",Atletas!P246="Taijiquan 24 C",Atletas!P246="Taijiquan 32 C",Atletas!P246="Taijiquan 42 C"),418,0)))))))))))))))))))</f>
        <v/>
      </c>
      <c r="BX255" s="50" t="str">
        <f>IF(Atletas!P246="","",IF(Atletas!X246&lt;&gt;"",10000,0)+IF(Atletas!B246="Feminino",1000,IF(Atletas!B246="Masculino",2000,""))+IF(OR(Atletas!P246="Yang 26 D",Atletas!P246="Yang 40 D"),419,IF(OR(Atletas!P246="Chen 25 D",Atletas!P246="Chen 36 D",Atletas!P246="Chen 56 D"),420,IF(Atletas!P246="Sun 73 D",421,IF(Atletas!P246="Wu 45 D",422,IF(Atletas!P246="Wu-Hao 46 D",423,IF(OR(Atletas!P246="Taijiquan 16 D",Atletas!P246="Taijiquan 24 D",Atletas!P246="Taijiquan 32 D",Atletas!P246="Taijiquan 42 D"),424,IF(OR(Atletas!P246="Yang 26 E",Atletas!P246="Yang 40 E"),425,IF(OR(Atletas!P246="Chen 25 E",Atletas!P246="Chen 36 E",Atletas!P246="Chen 56 E"),426,IF(Atletas!P246="Sun 73 E",427,IF(Atletas!P246="Wu 45 E",428,IF(Atletas!P246="Wu-Hao 46 E",429,IF(OR(Atletas!P246="Taijiquan 16 E",Atletas!P246="Taijiquan 24 E",Atletas!P246="Taijiquan 32 E",Atletas!P246="Taijiquan 42 E"),430,IF(OR(Atletas!P246="Yang 26 F",Atletas!P246="Yang 40 F"),431,IF(OR(Atletas!P246="Chen 25 F",Atletas!P246="Chen 36 F",Atletas!P246="Chen 56 F"),432,IF(Atletas!P246="Sun 73 F",433,IF(Atletas!P246="Wu 45 F",434,IF(Atletas!P246="Wu-Hao 46 F",435,IF(OR(Atletas!P246="Taijiquan 16 F",Atletas!P246="Taijiquan 24 F",Atletas!P246="Taijiquan 32 F",Atletas!P246="Taijiquan 42 F"),436,0)))))))))))))))))))</f>
        <v/>
      </c>
      <c r="BY255" s="50" t="str">
        <f>IF(Atletas!Q246="","",IF(Atletas!X246&lt;&gt;"",10000,0)+IF(Atletas!B246="Feminino",1000,IF(Atletas!B246="Masculino",2000,""))+IF(Atletas!Q246="Xingyiquan A",501,IF(Atletas!Q246="Baguazhang A",502,IF(Atletas!Q246="Outro Estilo Interno A",503,IF(Atletas!Q246="Xingyiquan B",504,IF(Atletas!Q246="Baguazhang B",505,IF(Atletas!Q246="Outro Estilo Interno B",506,IF(Atletas!Q246="Xingyiquan C",507,IF(Atletas!Q246="Baguazhang C",508,IF(Atletas!Q246="Outro Estilo Interno C",509,IF(Atletas!Q246="Xingyiquan D",510,IF(Atletas!Q246="Baguazhang D",511,IF(Atletas!Q246="Outro Estilo Interno D",512,IF(Atletas!Q246="Xingyiquan E",513,IF(Atletas!Q246="Baguazhang E",514,IF(Atletas!Q246="Outro Estilo Interno E",515,IF(Atletas!Q246="Xingyiquan F",516,IF(Atletas!Q246="Baguazhang F",517,IF(Atletas!Q246="Outro Estilo Interno F",518, "")))))))))))))))))))</f>
        <v/>
      </c>
      <c r="BZ255" s="50" t="str">
        <f>IF(Atletas!R246="","",IF(Atletas!X246&lt;&gt;"",10000,0)+IF(Atletas!B246="Feminino",1000,IF(Atletas!B246="Masculino",2000,""))+IF(Atletas!R246="Dao A",601,IF(Atletas!R246="Jian A",602,IF(Atletas!R246="Bishou A",603,IF(Atletas!R246="Shanzi A",604,IF(Atletas!R246="Outra Arma Curta A",605,IF(Atletas!R246="Dao B",606,IF(Atletas!R246="Jian B",607,IF(Atletas!R246="Bishou B",608,IF(Atletas!R246="Shanzi B",609,IF(Atletas!R246="Outra Arma Curta B",610,IF(Atletas!R246="Dao C",611,IF(Atletas!R246="Jian C",612,IF(Atletas!R246="Bishou C",613,IF(Atletas!R246="Shanzi C",614,IF(Atletas!R246="Outra Arma Curta C",615,IF(Atletas!R246="Dao D",616,IF(Atletas!R246="Jian D",617,IF(Atletas!R246="Bishou D",618,IF(Atletas!R246="Shanzi D",619,IF(Atletas!R246="Outra Arma Curta D",620,IF(Atletas!R246="Dao E",621,IF(Atletas!R246="Jian E",622,IF(Atletas!R246="Bishou E",623,IF(Atletas!R246="Shanzi E",624,IF(Atletas!R246="Outra Arma Curta E",625,IF(Atletas!R246="Dao F",626,IF(Atletas!R246="Jian F",627,IF(Atletas!R246="Bishou F",628,IF(Atletas!R246="Shanzi F",629,IF(Atletas!R246="Outra Arma Curta F",630, "")))))))))))))))))))))))))))))))</f>
        <v/>
      </c>
      <c r="CA255" s="50" t="str">
        <f>IF(Atletas!S246="","",IF(Atletas!X246&lt;&gt;"",10000,0)+IF(Atletas!B246="Feminino",1000,IF(Atletas!B246="Masculino",2000,""))+IF(Atletas!S246="Gun A",701,IF(Atletas!S246="Qiang A",702,IF(Atletas!S246="Pudao / Guandao A",703,IF(Atletas!S246="Outra Arma Longa A",704,IF(Atletas!S246="Gun B",705,IF(Atletas!S246="Qiang B",706,IF(Atletas!S246="Pudao / Guandao B",707,IF(Atletas!S246="Outra Arma Longa B",708,IF(Atletas!S246="Gun C",709,IF(Atletas!S246="Qiang C",710,IF(Atletas!S246="Pudao / Guandao C",711,IF(Atletas!S246="Outra Arma Longa C",712,IF(Atletas!S246="Gun D",713,IF(Atletas!S246="Qiang D",714,IF(Atletas!S246="Pudao / Guandao D",715,IF(Atletas!S246="Outra Arma Longa D",716,IF(Atletas!S246="Gun E",717,IF(Atletas!S246="Qiang E",718,IF(Atletas!S246="Pudao / Guandao E",719,IF(Atletas!S246="Outra Arma Longa E",720,IF(Atletas!S246="Gun F",721,IF(Atletas!S246="Qiang F",722,IF(Atletas!S246="Pudao / Guandao F",723,IF(Atletas!S246="Outra Arma Longa F",724,"")))))))))))))))))))))))))</f>
        <v/>
      </c>
      <c r="CB255" s="50" t="str">
        <f>IF(Atletas!T246="","",IF(Atletas!X246&lt;&gt;"",10000,0)+IF(Atletas!B246="Feminino",1000,IF(Atletas!B246="Masculino",2000,""))+IF(Atletas!T246="Outra Arma Dupla A",801,IF(Atletas!T246="Arma Maleável A",802,IF(Atletas!T246="Outra Arma Dupla B",803,IF(Atletas!T246="Arma Maleável B",804,IF(Atletas!T246="Outra Arma Dupla C",805,IF(Atletas!T246="Arma Maleável C",806,IF(Atletas!T246="Outra Arma Dupla D",807,IF(Atletas!T246="Arma Maleável D",808,IF(Atletas!T246="Outra Arma Dupla E",809,IF(Atletas!T246="Arma Maleável E",810,IF(Atletas!T246="Outra Arma Dupla F",811,IF(Atletas!T246="Arma Maleável F",812,IF(Atletas!T246="Shuangdao A",813,IF(Atletas!T246="Shuangdao B",814,IF(Atletas!T246="Shuangdao C",815,IF(Atletas!T246="Shuangdao D",816,IF(Atletas!T246="Shuangdao E",817,IF(Atletas!T246="Shuangdao F",818,"")))))))))))))))))))</f>
        <v/>
      </c>
      <c r="CC255" s="50" t="str">
        <f>IF(Atletas!U246="","",IF(Atletas!X246&lt;&gt;"",10000,0)+IF(Atletas!B246="Feminino",1000,IF(Atletas!B246="Masculino",2000,""))+IF(OR(Atletas!U246="Taijijian Yang A",Atletas!U246="Taijijian Yang Standard A"),901,IF(OR(Atletas!U246="Taijijian Chen A", Atletas!U246="Taijijian Chen Standard A"),902,IF(Atletas!U246="Taijijian Sun A",903,IF(Atletas!U246="Taijijian Wu A",904,IF(Atletas!U246="Taijijian Wu-Hao A",905,IF(OR(Atletas!U246="Taijijian 32 A",Atletas!U246="Taijijian 42 A"),906,IF(OR(Atletas!U246="Taijijian Yang B",Atletas!U246="Taijijian Yang Standard B"),907,IF(OR(Atletas!U246="Taijijian Chen B", Atletas!U246="Taijijian Chen Standard B"),908,IF(Atletas!U246="Taijijian Sun B",909,IF(Atletas!U246="Taijijian Wu B",910,IF(Atletas!U246="Taijijian Wu-Hao B",911,IF(OR(Atletas!U246="Taijijian 32 B",Atletas!U246="Taijijian 42 B"),912,IF(OR(Atletas!U246="Taijijian Yang C",Atletas!U246="Taijijian Yang Standard C"),913,IF(OR(Atletas!U246="Taijijian Chen C", Atletas!U246="Taijijian Chen Standard C"),914,IF(Atletas!U246="Taijijian Sun C",915,IF(Atletas!U246="Taijijian Wu C",916,IF(Atletas!U246="Taijijian Wu-Hao C",917,IF(OR(Atletas!U246="Taijijian 32 C",Atletas!U246="Taijijian 42 C"),918,IF(OR(Atletas!U246="Taijijian Yang D",Atletas!U246="Taijijian Yang Standard D"),919,IF(OR(Atletas!U246="Taijijian Chen D", Atletas!U246="Taijijian Chen Standard D"),920,IF(Atletas!U246="Taijijian Sun D",921,IF(Atletas!U246="Taijijian Wu D",922,IF(Atletas!U246="Taijijian Wu-Hao D",923,IF(OR(Atletas!U246="Taijijian 32 D",Atletas!U246="Taijijian 42 D"),924,IF(OR(Atletas!U246="Taijijian Yang E",Atletas!U246="Taijijian Yang Standard E"),925,IF(OR(Atletas!U246="Taijijian Chen E", Atletas!U246="Taijijian Chen Standard E"),926,IF(Atletas!U246="Taijijian Sun E",927,IF(Atletas!U246="Taijijian Wu E",928,IF(Atletas!U246="Taijijian Wu-Hao E",929,IF(OR(Atletas!U246="Taijijian 32 E",Atletas!U246="Taijijian 42 E"),930,IF(OR(Atletas!U246="Taijijian Yang F",Atletas!U246="Taijijian Yang Standard F"),931,IF(OR(Atletas!U246="Taijijian Chen F", Atletas!U246="Taijijian Chen Standard F"),932,IF(Atletas!U246="Taijijian Sun F",933,IF(Atletas!U246="Taijijian Wu F",934,IF(Atletas!U246="Taijijian Wu-Hao F",935,IF(OR(Atletas!U246="Taijijian 32 F",Atletas!U246="Taijijian 42 F"),936,"")))))))))))))))))))))))))))))))))))))</f>
        <v/>
      </c>
      <c r="CD255" s="50" t="str">
        <f>IF(Atletas!V246="","",IF(Atletas!X246&lt;&gt;"",10000,0)+IF(Atletas!B246="Feminino",1000,IF(Atletas!B246="Masculino",2000,""))+IF(Atletas!V246="Taijidao A",937,IF(Atletas!V246="TaijiShanzi A",938,IF(Atletas!V246="Taijiqiang A",939,IF(Atletas!V246="Bagua de Arma A",940,IF(Atletas!V246="Xingyi de Arma A",941,IF(Atletas!V246="Taijidao B",942,IF(Atletas!V246="TaijiShanzi B",943,IF(Atletas!V246="Taijiqiang B",944,IF(Atletas!V246="Bagua de Arma B",945,IF(Atletas!V246="Xingyi de Arma B",946,IF(Atletas!V246="Taijidao C",947,IF(Atletas!V246="TaijiShanzi C",948,IF(Atletas!V246="Taijiqiang C",949,IF(Atletas!V246="Bagua de Arma C",950,IF(Atletas!V246="Xingyi de Arma C",951,IF(Atletas!V246="Taijidao D",952,IF(Atletas!V246="TaijiShanzi D",953,IF(Atletas!V246="Taijiqiang D",954,IF(Atletas!V246="Bagua de Arma D",955,IF(Atletas!V246="Xingyi de Arma D",956,IF(Atletas!V246="Taijidao E",957,IF(Atletas!V246="TaijiShanzi E",958,IF(Atletas!V246="Taijiqiang E",959,IF(Atletas!V246="Bagua de Arma E",960,IF(Atletas!V246="Xingyi de Arma E",961,IF(Atletas!V246="Taijidao F",962,IF(Atletas!V246="TaijiShanzi F",963,IF(Atletas!V246="Taijiqiang F",964,IF(Atletas!V246="Bagua de Arma F",965,IF(Atletas!V246="Xingyi de Arma F",966,"")))))))))))))))))))))))))))))))</f>
        <v/>
      </c>
      <c r="CE255" s="66" t="str">
        <f>IF(CF255&lt;&gt;"","Jian F","")</f>
        <v/>
      </c>
      <c r="CF255" s="66" t="str">
        <f>IF(COUNTIF(BR:CD,1627)&gt;0,COUNTIF(BR:CD,1627),"")</f>
        <v/>
      </c>
      <c r="CG255" s="66" t="str">
        <f>IF(CH255&lt;&gt;"","Jian F","")</f>
        <v/>
      </c>
      <c r="CH255" s="66" t="str">
        <f>IF(COUNTIF(BR:CD,2627)&gt;0,COUNTIF(BR:CD,2627),"")</f>
        <v/>
      </c>
      <c r="CI255" s="66" t="str">
        <f>IF(CJ255&lt;&gt;"","Pudao / Gaundao A","")</f>
        <v/>
      </c>
      <c r="CJ255" s="66" t="str">
        <f>IF(COUNTIF(BR:CD,11703)&gt;0,COUNTIF(BR:CD,11703),"")</f>
        <v/>
      </c>
      <c r="CK255" s="66" t="str">
        <f>IF(CL255&lt;&gt;"","Pudao / Gaundao A","")</f>
        <v/>
      </c>
      <c r="CL255" s="6" t="str">
        <f>IF(COUNTIF(BR:CD,12703)&gt;0,COUNTIF(BR:CD,12703),"")</f>
        <v/>
      </c>
      <c r="CM255" s="50" t="str">
        <f xml:space="preserve"> IF(Atletas!W246="","",IF(Atletas!W246="Duilian de Mãos BC - Equipe 1",1,IF(Atletas!W246="Duilian de Mãos BC - Equipe 2",2,IF(Atletas!W246="Duilian de Armas BC - Equipe 1",3,IF(Atletas!W246="Duilian de Armas BC - Equipe 2",4,IF(Atletas!W246="Duilian de Mãos DE - Equipe 1",5,IF(Atletas!W246="Duilian de Mãos DE - Equipe 2",6,IF(Atletas!W246="Duilian de Armas DE - Equipe 1",7,IF(Atletas!W246="Duilian de Armas DE - Equipe 2",8,IF(Atletas!W246="Duilian de Tuishou - Equipe 1",9,IF(Atletas!W246="Duilian de Tuishou - Equipe 2",10,IF(Atletas!W246="Grupo Externo ABC - Equipe 1",11,IF(Atletas!W246="Grupo Externo ABC - Equipe 2",12,IF(Atletas!W246="Grupo Interno ABC - Equipe 1",13,IF(Atletas!W246="Grupo Interno ABC - Equipe 2",14,IF(Atletas!W246="Grupo Externo DEF - Equipe 1",15,IF(Atletas!W246="Grupo Externo DEF - Equipe 2",16,IF(Atletas!W246="Grupo Interno DEF - Equipe 1",17,IF(Atletas!W246="Grupo Interno DEF - Equipe 2",18,"")))))))))))))))))))</f>
        <v/>
      </c>
    </row>
    <row r="256" spans="2:91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 t="str">
        <f t="array" ref="Z256">IFERROR(INDEX(CE$7:CE$348,SMALL(IF(CE$7:CE$348&lt;&gt;"",ROW(CE$7:CE$348)-ROW(CE$7)+1),ROWS(CE$7:CE255))),"")</f>
        <v/>
      </c>
      <c r="AA256" s="3" t="str">
        <f t="array" ref="AA256">IFERROR(INDEX(CF$7:CF$348,SMALL(IF(CF$7:CF$348&lt;&gt;"",ROW(CF$7:CF$348)-ROW(CF$7)+1),ROWS(CF$7:CF255))),"")</f>
        <v/>
      </c>
      <c r="AB256" s="3" t="str">
        <f t="array" ref="AB256">IFERROR(INDEX(CG$7:CG$348,SMALL(IF(CG$7:CG$348&lt;&gt;"",ROW(CG$7:CG$348)-ROW(CG$7)+1),ROWS(CG$7:CG255))),"")</f>
        <v/>
      </c>
      <c r="AC256" s="3" t="str">
        <f t="array" ref="AC256">IFERROR(INDEX(CH$7:CH$348,SMALL(IF(CH$7:CH$348&lt;&gt;"",ROW(CH$7:CH$348)-ROW(CH$7)+1),ROWS(CH$7:CH255))),"")</f>
        <v/>
      </c>
      <c r="AD256" s="3" t="str">
        <f t="array" ref="AD256">IFERROR(INDEX(CI$7:CI$377,SMALL(IF(CI$7:CI$377&lt;&gt;"",ROW(CI$7:CI$377)-ROW(CI$7)+1),ROWS(CI$7:CI255))),"")</f>
        <v/>
      </c>
      <c r="AE256" s="3" t="str">
        <f t="array" ref="AE256">IFERROR(INDEX(CJ$7:CJ$378,SMALL(IF(CJ$7:CJ$378&lt;&gt;"",ROW(CJ$7:CJ$378)-ROW(CJ$7)+1),ROWS(CJ$7:CJ255))),"")</f>
        <v/>
      </c>
      <c r="AF256" s="3" t="str">
        <f t="array" ref="AF256">IFERROR(INDEX(CK$7:CK$378,SMALL(IF(CK$7:CK$378&lt;&gt;"",ROW(CK$7:CK$378)-ROW(CK$7)+1),ROWS(CK$7:CK255))),"")</f>
        <v/>
      </c>
      <c r="AG256" s="3" t="str">
        <f t="array" ref="AG256">IFERROR(INDEX(CL$7:CL$378,SMALL(IF(CL$7:CL$378&lt;&gt;"",ROW(CL$7:CL$378)-ROW(CL$7)+1),ROWS(CL$7:CL255))),"")</f>
        <v/>
      </c>
      <c r="AH256" s="3"/>
      <c r="AI256" s="3"/>
      <c r="AJ256" s="3"/>
      <c r="AK256" s="3"/>
      <c r="AL256" s="3"/>
      <c r="AM256" s="3"/>
      <c r="AN256" s="52" t="str">
        <f>IF(Atletas!D247="","",IF(Atletas!B247="Feminino",100,IF(Atletas!B247="Masculino",200,""))+(IF(Atletas!D247="Kids 30kg",1,IF(Atletas!D247="Kids 32kg",2, IF(Atletas!D247="Kids 34kg",3,IF(Atletas!D247="Kids 36kg",4,IF(Atletas!D247="Kids 39kg",5,IF(Atletas!D247="Kids 42kg",6,IF(Atletas!D247="Kids 45kg",7, IF(Atletas!D247="Infantil 39kg",8,IF(Atletas!D247="Infantil 42kg",9,IF(Atletas!D247="Infantil 45kg",10,IF(Atletas!D247="Infantil 48kg",11,IF(Atletas!D247="Infantil 52kg",12,IF(Atletas!D247="Infantil 56kg",13,IF(Atletas!D247="Infantil 60kg",14,IF(Atletas!D247="Juvenil 48kg",15,IF(Atletas!D247="Juvenil 52kg",16,IF(Atletas!D247="Juvenil 56kg",17,IF(Atletas!D247="Juvenil 60kg",18,IF(Atletas!D247="Juvenil 65kg",19,IF(Atletas!D247="Juvenil 70kg",20,IF(Atletas!D247="Juvenil 75kg",21,IF(Atletas!D247="Juvenil 80kg",22, IF(Atletas!D247="Juvenil 85kg",23,IF(Atletas!D247="Adulto 48kg",24,IF(Atletas!D247="Adulto 52kg",25,IF(Atletas!D247="Adulto 56kg",26,IF(Atletas!D247="Adulto 60kg",27,IF(Atletas!D247="Adulto 65kg",28,IF(Atletas!D247="Adulto 70kg",29,IF(Atletas!D247="Adulto 75kg",30,IF(Atletas!D247="Adulto 80kg",31,IF(Atletas!D247="Adulto 85kg",32,IF(Atletas!D247="Adulto 90kg",33,IF(Atletas!D247="Adulto 100kg",34, IF(Atletas!D247="Adulto +100kg",35,"")))))))))))))))))))))))))))))))))))))</f>
        <v/>
      </c>
      <c r="AS256" s="6" t="str">
        <f>IF(Atletas!E247="","",IF(Atletas!B247="Feminino",100,IF(Atletas!B247="Masculino",200,""))+(IF(Atletas!E247="Juvenil 44kg",1,IF(Atletas!E247="Juvenil 48kg",2,IF(Atletas!E247="Juvenil 52kg",3,IF(Atletas!E247="Juvenil 56kg",4,IF(Atletas!E247="Juvenil 60kg",5,IF(Atletas!E247="Juvenil 65kg",6,IF(Atletas!E247="Juvenil 70kg",7,IF(Atletas!E247="Juvenil 75kg",8,IF(Atletas!E247="Juvenil 82kg",9,IF(Atletas!E247="Juvenil 90kg",10,IF(Atletas!E247="Juvenil 100kg",11,IF(Atletas!E247="Adulto 48kg",12,IF(Atletas!E247="Adulto 52kg",13,IF(Atletas!E247="Adulto 56kg",14,IF(Atletas!E247="Adulto 60kg",15,IF(Atletas!E247="Adulto 65kg",16,IF(Atletas!E247="Adulto 70kg",17,IF(Atletas!E247="Adulto 75kg",18,IF(Atletas!E247="Adulto 82kg",19,IF(Atletas!E247="Adulto 90kg",20,IF(Atletas!E247="Adulto 100kg",21,IF(Atletas!E247="Adulto +100kg",22,""))))))))))))))))))))))))</f>
        <v/>
      </c>
      <c r="AX256" s="6" t="str">
        <f>IF(Atletas!F247="","",IF(Atletas!B247="Feminino",100,IF(Atletas!B247="Masculino",200,""))+(IF(Atletas!F247="Adulto 48kg",1,IF(Atletas!F247="Adulto 56kg",2,IF(Atletas!F247="Adulto 65kg",3,IF(Atletas!F247="Adulto 75kg",4,IF(Atletas!F247="Adulto +75kg",5,IF(Atletas!F247="Adulto 52kg",6,IF(Atletas!F247="Adulto 60kg",7,IF(Atletas!F247="Adulto 70kg",8,IF(Atletas!F247="Adulto 80kg",9,IF(Atletas!F247="Adulto 90kg",10,IF(Atletas!F247="Adulto +90kg",11,"")))))))))))))</f>
        <v/>
      </c>
      <c r="BC256" s="6" t="str">
        <f>IF(Atletas!G247="","",IF(Atletas!B247="Feminino",10,IF(Atletas!B247="Masculino",20,""))+(IF(Atletas!G247="Baduanjin A",1,IF(Atletas!G247="Baduanjin B",2))))</f>
        <v/>
      </c>
      <c r="BF256" s="52" t="str">
        <f>IF(Atletas!H247="","",IF(Atletas!B247="Feminino",100,IF(Atletas!B247="Masculino",200,""))+(IF(Atletas!H247="Changquan Mirim",1,IF(Atletas!H247="Nanquan Mirim",2,IF(Atletas!H247="Taijiquan Mirim",3,IF(Atletas!H247="Changquan Grupo C",4,IF(Atletas!H247="Nanquan Grupo C",5,IF(Atletas!H247="Taijiquan Grupo C",6,IF(Atletas!H247="Changquan Grupo B",7,IF(Atletas!H247="Nanquan Grupo B",8,IF(Atletas!H247="Taijiquan Grupo B",9,IF(Atletas!H247="Changquan Grupo A",10,IF(Atletas!H247="Nanquan Grupo A",11,IF(Atletas!H247="Taijiquan Grupo A",12,IF(Atletas!H247="Changquan Opcional",13,IF(Atletas!H247="Nanquan Opcional",14,IF(Atletas!H247="Taijiquan Opcional",15,IF(Atletas!H247="Changquan Adulto",16,IF(Atletas!H247="Nanquan Adulto",17,IF(Atletas!H247="Taijiquan Adulto",18,""))))))))))))))))))))</f>
        <v/>
      </c>
      <c r="BG256" s="52" t="str">
        <f>IF(Atletas!I247="","",IF(Atletas!B247="Feminino",100,IF(Atletas!B247="Masculino",200,""))+(IF(Atletas!I247="Daoshu Mirim",19,IF(Atletas!I247="Jianshu Mirim",20,IF(Atletas!I247="Nandao Mirim",21,IF(Atletas!I247="Taijijian Mirim",22,IF(Atletas!I247="Daoshu Grupo C",23,IF(Atletas!I247="Jianshu Grupo C",24,IF(Atletas!I247="Nandao Grupo C",25,IF(Atletas!I247="Taijijian Grupo C",26,IF(Atletas!I247="Daoshu Grupo B",27,IF(Atletas!I247="Jianshu Grupo B",28,IF(Atletas!I247="Nandao Grupo B",29,IF(Atletas!I247="Taijijian Grupo B",30,IF(Atletas!I247="Daoshu Grupo A",31,IF(Atletas!I247="Jianshu Grupo A",32,IF(Atletas!I247="Nandao Grupo A",33,IF(Atletas!I247="Taijijian Grupo A",34,IF(Atletas!I247="Daoshu Opcional",35,IF(Atletas!I247="Jianshu Opcional",36,IF(Atletas!I247="Nandao Opcional",37,IF(Atletas!I247="Taijijian Opcional",38,IF(Atletas!I247="Daoshu Adulto",39,IF(Atletas!I247="Jianshu Adulto",40,IF(Atletas!I247="Nandao Adulto",41,IF(Atletas!I247="Taijijian Adulto",42,""))))))))))))))))))))))))))</f>
        <v/>
      </c>
      <c r="BH256" s="52" t="str">
        <f>IF(Atletas!J247="","",IF(Atletas!B247="Feminino",100,IF(Atletas!B247="Masculino",200,""))+(IF(Atletas!J247="Gunshu Mirim",43,IF(Atletas!J247="Qiangshu Mirim",44,IF(Atletas!J247="Nangun Mirim",45,IF(Atletas!J247="Gunshu Grupo C",46,IF(Atletas!J247="Qiangshu Grupo C",47,IF(Atletas!J247="Nangun Grupo C",48,IF(Atletas!J247="Gunshu Grupo B",49,IF(Atletas!J247="Qiangshu Grupo B",50,IF(Atletas!J247="Nangun Grupo B",51,IF(Atletas!J247="Gunshu Grupo A",52,IF(Atletas!J247="Qiangshu Grupo A",53,IF(Atletas!J247="Nangun Grupo A",54,IF(Atletas!J247="Gunshu Opcional",55,IF(Atletas!J247="Qiangshu Opcional",56,IF(Atletas!J247="Nangun Opcional",57,IF(Atletas!J247="Gunshu Adulto",58,IF(Atletas!J247="Qiangshu Adulto",59,IF(Atletas!J247="Nangun Adulto",60,IF(Atletas!J247="Taijishan Grupo B",61,IF(Atletas!J247="Taijishan Grupo A",62,""))))))))))))))))))))))</f>
        <v/>
      </c>
      <c r="BM256" s="50" t="str">
        <f>IF(Atletas!K247="","",IF(Atletas!B247="Feminino",100,IF(Atletas!B247="Masculino",200,""))+(IF(Atletas!K247="Equipe 1 Grupo B",1,IF(Atletas!K247="Equipe 2 Grupo B",2,IF(Atletas!K247="Equipe 1 Grupo A",3,IF(Atletas!K247="Equipe 2 Grupo A",4,IF(Atletas!K247="Equipe 1 Adulto",5,IF(Atletas!K247="Equipe 2 Adulto",6,""))))))))</f>
        <v/>
      </c>
      <c r="BR256" s="50" t="str">
        <f>IF(Atletas!L247="","",IF(Atletas!X247&lt;&gt;"",10000,0)+(IF(Atletas!B247="Feminino",1000,IF(Atletas!B247="Masculino",2000,""))+IF(Atletas!L247="Choylayfut A",1,IF(Atletas!L247="Hunggar A",2,IF(Atletas!L247="Wuzuquan A",3,IF(Atletas!L247="Wingchun A",4,IF(Atletas!L247="Outra Mão de Sul A",5,IF(Atletas!L247="Choylayfut B",6,IF(Atletas!L247="Hunggar B",7,IF(Atletas!L247="Wuzuquan B",8,IF(Atletas!L247="Wingchun B",9,IF(Atletas!L247="Outra Mão de Sul B",10,IF(Atletas!L247="Choylayfut C",11,IF(Atletas!L247="Hunggar C",12,IF(Atletas!L247="Wuzuquan C",13,IF(Atletas!L247="Wingchun C",14,IF(Atletas!L247="Outra Mão de Sul C",15,IF(Atletas!L247="Choylayfut D",16,IF(Atletas!L247="Hunggar D",17,IF(Atletas!L247="Wuzuquan D",18,IF(Atletas!L247="Wingchun D",19,IF(Atletas!L247="Outra Mão de Sul D",20,IF(Atletas!L247="Choylayfut E",21,IF(Atletas!L247="Hunggar E",22,IF(Atletas!L247="Wuzuquan E",23,IF(Atletas!L247="Wingchun E",24,IF(Atletas!L247="Outra Mão de Sul E",25,IF(Atletas!L247="Choylayfut F",26,IF(Atletas!L247="Hunggar F",27,IF(Atletas!L247="Wuzuquan F",28,IF(Atletas!L247="Wingchun F",29,IF(Atletas!L247="Outra Mão de Sul F",30,IF(Atletas!L247="Dishuquan A",31,IF(Atletas!L247="Dishuquan B",32,IF(Atletas!L247="Dishuquan C",33,IF(Atletas!L247="Dishuquan D",34,IF(Atletas!L247="Dishuquan E",35,IF(Atletas!L247="Dishuquan F",36,""))))))))))))))))))))))))))))))))))))))</f>
        <v/>
      </c>
      <c r="BS256" s="50" t="str">
        <f>IF(Atletas!M247="","",IF(Atletas!X247&lt;&gt;"",10000,0)+(IF(Atletas!B247="Feminino",1000,IF(Atletas!B247="Masculino",2000,""))+(IF(Atletas!M247="Chaquan A",101,IF(Atletas!M247="Emeiquan A",102,IF(Atletas!M247="Fanziquan A",103,IF(Atletas!M247="Huaquan A",104,IF(Atletas!M247="Hongquan A",105,IF(Atletas!M247="Paoquan A",106,IF(Atletas!M247="Piguaquan A",107,IF(Atletas!M247="Shaolinquan A",108,IF(Atletas!M247="Tanglangquan A",109,IF(Atletas!M247="Yingzhaoquan A",110,IF(Atletas!M247="Tongbeiquan A",111,IF(Atletas!M247="Wudangquan A",112,IF(Atletas!M247="Outros Estilos A",113,IF(Atletas!M247="Chaquan B",114,IF(Atletas!M247="Emeiquan B",115,IF(Atletas!M247="Fanziquan B",116,IF(Atletas!M247="Huaquan B",117,IF(Atletas!M247="Hongquan B",118,IF(Atletas!M247="Paoquan B",119,IF(Atletas!M247="Piguaquan B",120,IF(Atletas!M247="Shaolinquan B",121,IF(Atletas!M247="Tanglangquan B",122,IF(Atletas!M247="Yingzhaoquan B",123,IF(Atletas!M247="Tongbeiquan B",124,IF(Atletas!M247="Wudangquan B",125,IF(Atletas!M247="Outros Estilos B",126,IF(Atletas!M247="Chaquan C",127,IF(Atletas!M247="Emeiquan C",128,IF(Atletas!M247="Fanziquan C",129,IF(Atletas!M247="Huaquan C",130,IF(Atletas!M247="Hongquan C",131,IF(Atletas!M247="Paoquan C",132,IF(Atletas!M247="Piguaquan C",133,IF(Atletas!M247="Shaolinquan C",134,IF(Atletas!M247="Tanglangquan C",135,IF(Atletas!M247="Yingzhaoquan C",136,IF(Atletas!M247="Tongbeiquan C",137,IF(Atletas!M247="Wudangquan C",138,IF(Atletas!M247="Outros Estilos C",139,0))))))))))))))))))))))))))))))))))))))))))</f>
        <v/>
      </c>
      <c r="BT256" s="50" t="str">
        <f>IF(Atletas!M247="","",IF(Atletas!X247&lt;&gt;"",10000,0)+(IF(Atletas!B247="Feminino",1000,IF(Atletas!B247="Masculino",2000,""))+(IF(Atletas!M247="Chaquan D",140,IF(Atletas!M247="Emeiquan D",141,IF(Atletas!M247="Fanziquan D",142,IF(Atletas!M247="Huaquan D",143,IF(Atletas!M247="Hongquan D",144,IF(Atletas!M247="Paoquan D",145,IF(Atletas!M247="Piguaquan D",146,IF(Atletas!M247="Shaolinquan D",147,IF(Atletas!M247="Tanglangquan D",148,IF(Atletas!M247="Yingzhaoquan D",149,IF(Atletas!M247="Tongbeiquan D",150,IF(Atletas!M247="Wudangquan D",151,IF(Atletas!M247="Outros Estilos D",152,IF(Atletas!M247="Chaquan E",153,IF(Atletas!M247="Emeiquan E",154,IF(Atletas!M247="Fanziquan E",155,IF(Atletas!M247="Huaquan E",156,IF(Atletas!M247="Hongquan E",157,IF(Atletas!M247="Paoquan E",158,IF(Atletas!M247="Piguaquan E",159,IF(Atletas!M247="Shaolinquan E",160,IF(Atletas!M247="Tanglangquan E",161,IF(Atletas!M247="Yingzhaoquan E",162,IF(Atletas!M247="Tongbeiquan E",163,IF(Atletas!M247="Wudangquan E",164,IF(Atletas!M247="Outros Estilos E",165,IF(Atletas!M247="Chaquan F",166,IF(Atletas!M247="Emeiquan F",167,IF(Atletas!M247="Fanziquan F",168,IF(Atletas!M247="Huaquan F",169,IF(Atletas!M247="Hongquan F",170,IF(Atletas!M247="Paoquan F",171,IF(Atletas!M247="Piguaquan F",172,IF(Atletas!M247="Shaolinquan F",173,IF(Atletas!M247="Tanglangquan F",174,IF(Atletas!M247="Yingzhaoquan F",175,IF(Atletas!M247="Tongbeiquan F",176,IF(Atletas!M247="Wudangquan F",177,IF(Atletas!M247="Outros Estilos F",178,0))))))))))))))))))))))))))))))))))))))))))</f>
        <v/>
      </c>
      <c r="BU256" s="50" t="str">
        <f>IF(Atletas!N247="","",IF(Atletas!X247&lt;&gt;"",10000,0)+(IF(Atletas!B247="Feminino",1000,IF(Atletas!B247="Masculino",2000,""))+(IF(Atletas!N247="Ditangquan A",201,IF(Atletas!N247="Houquan A",202,IF(Atletas!N247="Zuiquan A",203,IF(Atletas!N247="Ditangquan B",204,IF(Atletas!N247="Houquan B",205,IF(Atletas!N247="Zuiquan B",206,IF(Atletas!N247="Ditangquan C",207,IF(Atletas!N247="Houquan C",208,IF(Atletas!N247="Zuiquan C",209,IF(Atletas!N247="Ditangquan D",210,IF(Atletas!N247="Houquan D",211,IF(Atletas!N247="Zuiquan D",212,IF(Atletas!N247="Ditangquan E",213,IF(Atletas!N247="Houquan E",214,IF(Atletas!N247="Zuiquan E",215,IF(Atletas!N247="Ditangquan F",216,IF(Atletas!N247="Houquan F",217,IF(Atletas!N247="Zuiquan F",218,"")))))))))))))))))))))</f>
        <v/>
      </c>
      <c r="BV256" s="50" t="str">
        <f>IF(Atletas!O247="","",IF(Atletas!X247&lt;&gt;"",10000,0)+IF(Atletas!B247="Feminino",1000,IF(Atletas!B247="Masculino",2000,""))+IF(Atletas!O247="Yang A",301,IF(Atletas!O247="Chen A",302,IF(Atletas!O247="Sun A",303,IF(Atletas!O247="Wu A",304,IF(Atletas!O247="Wu-Hao A",305,IF(Atletas!O247="Outro Taijiquan A",306,IF(Atletas!O247="Yang B",307,IF(Atletas!O247="Chen B",308,IF(Atletas!O247="Sun B",309,IF(Atletas!O247="Wu B",310,IF(Atletas!O247="Wu-Hao B",311,IF(Atletas!O247="Outro Taijiquan B",312,IF(Atletas!O247="Yang C",313,IF(Atletas!O247="Chen C",314,IF(Atletas!O247="Sun C",315,IF(Atletas!O247="Wu C",316,IF(Atletas!O247="Wu-Hao C",317,IF(Atletas!O247="Outro Taijiquan C",318,IF(Atletas!O247="Yang D",319,IF(Atletas!O247="Chen D",320,IF(Atletas!O247="Sun D",321,IF(Atletas!O247="Wu D",322,IF(Atletas!O247="Wu-Hao D",323,IF(Atletas!O247="Outro Taijiquan D",324,IF(Atletas!O247="Yang E",325,IF(Atletas!O247="Chen E",326,IF(Atletas!O247="Sun E",327,IF(Atletas!O247="Wu E",328,IF(Atletas!O247="Wu-Hao E",329,IF(Atletas!O247="Outro Taijiquan E",330,IF(Atletas!O247="Yang F",331,IF(Atletas!O247="Chen F",332,IF(Atletas!O247="Sun F",333,IF(Atletas!O247="Wu F",334,IF(Atletas!O247="Wu-Hao F",335,IF(Atletas!O247="Outro Taijiquan F",336,"")))))))))))))))))))))))))))))))))))))</f>
        <v/>
      </c>
      <c r="BW256" s="50" t="str">
        <f>IF(Atletas!P247="","",IF(Atletas!X247&lt;&gt;"",10000,0)+IF(Atletas!B247="Feminino",1000,IF(Atletas!B247="Masculino",2000,""))+IF(OR(Atletas!P247="Yang 26 A",Atletas!P247="Yang 40 A"),401,IF(OR(Atletas!P247="Chen 25 A",Atletas!P247="Chen 36 A",Atletas!P247="Chen 56 A"),402,IF(Atletas!P247="Sun 73 A",403,IF(Atletas!P247="Wu 45 A",404,IF(Atletas!P247="Wu-Hao 46 A",405,IF(OR(Atletas!P247="Taijiquan 16 A",Atletas!P247="Taijiquan 24 A",Atletas!P247="Taijiquan 32 A",Atletas!P247="Taijiquan 42 A"),406,IF(OR(Atletas!P247="Yang 26 B",Atletas!P247="Yang 40 B"),407,IF(OR(Atletas!P247="Chen 25 B",Atletas!P247="Chen 36 B",Atletas!P247="Chen 56 B"),408,IF(Atletas!P247="Sun 73 B",409,IF(Atletas!P247="Wu 45 B",410,IF(Atletas!P247="Wu-Hao 46 B",411,IF(OR(Atletas!P247="Taijiquan 16 B",Atletas!P247="Taijiquan 24 B",Atletas!P247="Taijiquan 32 B",Atletas!P247="Taijiquan 42 B"),412,IF(OR(Atletas!P247="Yang 26 C",Atletas!P247="Yang 40 C"),413,IF(OR(Atletas!P247="Chen 25 C",Atletas!P247="Chen 36 C",Atletas!P247="Chen 56 C"),414,IF(Atletas!P247="Sun 73 C",415,IF(Atletas!P247="Wu 45 C",416,IF(Atletas!P247="Wu-Hao 46 C",417,IF(OR(Atletas!P247="Taijiquan 16 C",Atletas!P247="Taijiquan 24 C",Atletas!P247="Taijiquan 32 C",Atletas!P247="Taijiquan 42 C"),418,0)))))))))))))))))))</f>
        <v/>
      </c>
      <c r="BX256" s="50" t="str">
        <f>IF(Atletas!P247="","",IF(Atletas!X247&lt;&gt;"",10000,0)+IF(Atletas!B247="Feminino",1000,IF(Atletas!B247="Masculino",2000,""))+IF(OR(Atletas!P247="Yang 26 D",Atletas!P247="Yang 40 D"),419,IF(OR(Atletas!P247="Chen 25 D",Atletas!P247="Chen 36 D",Atletas!P247="Chen 56 D"),420,IF(Atletas!P247="Sun 73 D",421,IF(Atletas!P247="Wu 45 D",422,IF(Atletas!P247="Wu-Hao 46 D",423,IF(OR(Atletas!P247="Taijiquan 16 D",Atletas!P247="Taijiquan 24 D",Atletas!P247="Taijiquan 32 D",Atletas!P247="Taijiquan 42 D"),424,IF(OR(Atletas!P247="Yang 26 E",Atletas!P247="Yang 40 E"),425,IF(OR(Atletas!P247="Chen 25 E",Atletas!P247="Chen 36 E",Atletas!P247="Chen 56 E"),426,IF(Atletas!P247="Sun 73 E",427,IF(Atletas!P247="Wu 45 E",428,IF(Atletas!P247="Wu-Hao 46 E",429,IF(OR(Atletas!P247="Taijiquan 16 E",Atletas!P247="Taijiquan 24 E",Atletas!P247="Taijiquan 32 E",Atletas!P247="Taijiquan 42 E"),430,IF(OR(Atletas!P247="Yang 26 F",Atletas!P247="Yang 40 F"),431,IF(OR(Atletas!P247="Chen 25 F",Atletas!P247="Chen 36 F",Atletas!P247="Chen 56 F"),432,IF(Atletas!P247="Sun 73 F",433,IF(Atletas!P247="Wu 45 F",434,IF(Atletas!P247="Wu-Hao 46 F",435,IF(OR(Atletas!P247="Taijiquan 16 F",Atletas!P247="Taijiquan 24 F",Atletas!P247="Taijiquan 32 F",Atletas!P247="Taijiquan 42 F"),436,0)))))))))))))))))))</f>
        <v/>
      </c>
      <c r="BY256" s="50" t="str">
        <f>IF(Atletas!Q247="","",IF(Atletas!X247&lt;&gt;"",10000,0)+IF(Atletas!B247="Feminino",1000,IF(Atletas!B247="Masculino",2000,""))+IF(Atletas!Q247="Xingyiquan A",501,IF(Atletas!Q247="Baguazhang A",502,IF(Atletas!Q247="Outro Estilo Interno A",503,IF(Atletas!Q247="Xingyiquan B",504,IF(Atletas!Q247="Baguazhang B",505,IF(Atletas!Q247="Outro Estilo Interno B",506,IF(Atletas!Q247="Xingyiquan C",507,IF(Atletas!Q247="Baguazhang C",508,IF(Atletas!Q247="Outro Estilo Interno C",509,IF(Atletas!Q247="Xingyiquan D",510,IF(Atletas!Q247="Baguazhang D",511,IF(Atletas!Q247="Outro Estilo Interno D",512,IF(Atletas!Q247="Xingyiquan E",513,IF(Atletas!Q247="Baguazhang E",514,IF(Atletas!Q247="Outro Estilo Interno E",515,IF(Atletas!Q247="Xingyiquan F",516,IF(Atletas!Q247="Baguazhang F",517,IF(Atletas!Q247="Outro Estilo Interno F",518, "")))))))))))))))))))</f>
        <v/>
      </c>
      <c r="BZ256" s="50" t="str">
        <f>IF(Atletas!R247="","",IF(Atletas!X247&lt;&gt;"",10000,0)+IF(Atletas!B247="Feminino",1000,IF(Atletas!B247="Masculino",2000,""))+IF(Atletas!R247="Dao A",601,IF(Atletas!R247="Jian A",602,IF(Atletas!R247="Bishou A",603,IF(Atletas!R247="Shanzi A",604,IF(Atletas!R247="Outra Arma Curta A",605,IF(Atletas!R247="Dao B",606,IF(Atletas!R247="Jian B",607,IF(Atletas!R247="Bishou B",608,IF(Atletas!R247="Shanzi B",609,IF(Atletas!R247="Outra Arma Curta B",610,IF(Atletas!R247="Dao C",611,IF(Atletas!R247="Jian C",612,IF(Atletas!R247="Bishou C",613,IF(Atletas!R247="Shanzi C",614,IF(Atletas!R247="Outra Arma Curta C",615,IF(Atletas!R247="Dao D",616,IF(Atletas!R247="Jian D",617,IF(Atletas!R247="Bishou D",618,IF(Atletas!R247="Shanzi D",619,IF(Atletas!R247="Outra Arma Curta D",620,IF(Atletas!R247="Dao E",621,IF(Atletas!R247="Jian E",622,IF(Atletas!R247="Bishou E",623,IF(Atletas!R247="Shanzi E",624,IF(Atletas!R247="Outra Arma Curta E",625,IF(Atletas!R247="Dao F",626,IF(Atletas!R247="Jian F",627,IF(Atletas!R247="Bishou F",628,IF(Atletas!R247="Shanzi F",629,IF(Atletas!R247="Outra Arma Curta F",630, "")))))))))))))))))))))))))))))))</f>
        <v/>
      </c>
      <c r="CA256" s="50" t="str">
        <f>IF(Atletas!S247="","",IF(Atletas!X247&lt;&gt;"",10000,0)+IF(Atletas!B247="Feminino",1000,IF(Atletas!B247="Masculino",2000,""))+IF(Atletas!S247="Gun A",701,IF(Atletas!S247="Qiang A",702,IF(Atletas!S247="Pudao / Guandao A",703,IF(Atletas!S247="Outra Arma Longa A",704,IF(Atletas!S247="Gun B",705,IF(Atletas!S247="Qiang B",706,IF(Atletas!S247="Pudao / Guandao B",707,IF(Atletas!S247="Outra Arma Longa B",708,IF(Atletas!S247="Gun C",709,IF(Atletas!S247="Qiang C",710,IF(Atletas!S247="Pudao / Guandao C",711,IF(Atletas!S247="Outra Arma Longa C",712,IF(Atletas!S247="Gun D",713,IF(Atletas!S247="Qiang D",714,IF(Atletas!S247="Pudao / Guandao D",715,IF(Atletas!S247="Outra Arma Longa D",716,IF(Atletas!S247="Gun E",717,IF(Atletas!S247="Qiang E",718,IF(Atletas!S247="Pudao / Guandao E",719,IF(Atletas!S247="Outra Arma Longa E",720,IF(Atletas!S247="Gun F",721,IF(Atletas!S247="Qiang F",722,IF(Atletas!S247="Pudao / Guandao F",723,IF(Atletas!S247="Outra Arma Longa F",724,"")))))))))))))))))))))))))</f>
        <v/>
      </c>
      <c r="CB256" s="50" t="str">
        <f>IF(Atletas!T247="","",IF(Atletas!X247&lt;&gt;"",10000,0)+IF(Atletas!B247="Feminino",1000,IF(Atletas!B247="Masculino",2000,""))+IF(Atletas!T247="Outra Arma Dupla A",801,IF(Atletas!T247="Arma Maleável A",802,IF(Atletas!T247="Outra Arma Dupla B",803,IF(Atletas!T247="Arma Maleável B",804,IF(Atletas!T247="Outra Arma Dupla C",805,IF(Atletas!T247="Arma Maleável C",806,IF(Atletas!T247="Outra Arma Dupla D",807,IF(Atletas!T247="Arma Maleável D",808,IF(Atletas!T247="Outra Arma Dupla E",809,IF(Atletas!T247="Arma Maleável E",810,IF(Atletas!T247="Outra Arma Dupla F",811,IF(Atletas!T247="Arma Maleável F",812,IF(Atletas!T247="Shuangdao A",813,IF(Atletas!T247="Shuangdao B",814,IF(Atletas!T247="Shuangdao C",815,IF(Atletas!T247="Shuangdao D",816,IF(Atletas!T247="Shuangdao E",817,IF(Atletas!T247="Shuangdao F",818,"")))))))))))))))))))</f>
        <v/>
      </c>
      <c r="CC256" s="50" t="str">
        <f>IF(Atletas!U247="","",IF(Atletas!X247&lt;&gt;"",10000,0)+IF(Atletas!B247="Feminino",1000,IF(Atletas!B247="Masculino",2000,""))+IF(OR(Atletas!U247="Taijijian Yang A",Atletas!U247="Taijijian Yang Standard A"),901,IF(OR(Atletas!U247="Taijijian Chen A", Atletas!U247="Taijijian Chen Standard A"),902,IF(Atletas!U247="Taijijian Sun A",903,IF(Atletas!U247="Taijijian Wu A",904,IF(Atletas!U247="Taijijian Wu-Hao A",905,IF(OR(Atletas!U247="Taijijian 32 A",Atletas!U247="Taijijian 42 A"),906,IF(OR(Atletas!U247="Taijijian Yang B",Atletas!U247="Taijijian Yang Standard B"),907,IF(OR(Atletas!U247="Taijijian Chen B", Atletas!U247="Taijijian Chen Standard B"),908,IF(Atletas!U247="Taijijian Sun B",909,IF(Atletas!U247="Taijijian Wu B",910,IF(Atletas!U247="Taijijian Wu-Hao B",911,IF(OR(Atletas!U247="Taijijian 32 B",Atletas!U247="Taijijian 42 B"),912,IF(OR(Atletas!U247="Taijijian Yang C",Atletas!U247="Taijijian Yang Standard C"),913,IF(OR(Atletas!U247="Taijijian Chen C", Atletas!U247="Taijijian Chen Standard C"),914,IF(Atletas!U247="Taijijian Sun C",915,IF(Atletas!U247="Taijijian Wu C",916,IF(Atletas!U247="Taijijian Wu-Hao C",917,IF(OR(Atletas!U247="Taijijian 32 C",Atletas!U247="Taijijian 42 C"),918,IF(OR(Atletas!U247="Taijijian Yang D",Atletas!U247="Taijijian Yang Standard D"),919,IF(OR(Atletas!U247="Taijijian Chen D", Atletas!U247="Taijijian Chen Standard D"),920,IF(Atletas!U247="Taijijian Sun D",921,IF(Atletas!U247="Taijijian Wu D",922,IF(Atletas!U247="Taijijian Wu-Hao D",923,IF(OR(Atletas!U247="Taijijian 32 D",Atletas!U247="Taijijian 42 D"),924,IF(OR(Atletas!U247="Taijijian Yang E",Atletas!U247="Taijijian Yang Standard E"),925,IF(OR(Atletas!U247="Taijijian Chen E", Atletas!U247="Taijijian Chen Standard E"),926,IF(Atletas!U247="Taijijian Sun E",927,IF(Atletas!U247="Taijijian Wu E",928,IF(Atletas!U247="Taijijian Wu-Hao E",929,IF(OR(Atletas!U247="Taijijian 32 E",Atletas!U247="Taijijian 42 E"),930,IF(OR(Atletas!U247="Taijijian Yang F",Atletas!U247="Taijijian Yang Standard F"),931,IF(OR(Atletas!U247="Taijijian Chen F", Atletas!U247="Taijijian Chen Standard F"),932,IF(Atletas!U247="Taijijian Sun F",933,IF(Atletas!U247="Taijijian Wu F",934,IF(Atletas!U247="Taijijian Wu-Hao F",935,IF(OR(Atletas!U247="Taijijian 32 F",Atletas!U247="Taijijian 42 F"),936,"")))))))))))))))))))))))))))))))))))))</f>
        <v/>
      </c>
      <c r="CD256" s="50" t="str">
        <f>IF(Atletas!V247="","",IF(Atletas!X247&lt;&gt;"",10000,0)+IF(Atletas!B247="Feminino",1000,IF(Atletas!B247="Masculino",2000,""))+IF(Atletas!V247="Taijidao A",937,IF(Atletas!V247="TaijiShanzi A",938,IF(Atletas!V247="Taijiqiang A",939,IF(Atletas!V247="Bagua de Arma A",940,IF(Atletas!V247="Xingyi de Arma A",941,IF(Atletas!V247="Taijidao B",942,IF(Atletas!V247="TaijiShanzi B",943,IF(Atletas!V247="Taijiqiang B",944,IF(Atletas!V247="Bagua de Arma B",945,IF(Atletas!V247="Xingyi de Arma B",946,IF(Atletas!V247="Taijidao C",947,IF(Atletas!V247="TaijiShanzi C",948,IF(Atletas!V247="Taijiqiang C",949,IF(Atletas!V247="Bagua de Arma C",950,IF(Atletas!V247="Xingyi de Arma C",951,IF(Atletas!V247="Taijidao D",952,IF(Atletas!V247="TaijiShanzi D",953,IF(Atletas!V247="Taijiqiang D",954,IF(Atletas!V247="Bagua de Arma D",955,IF(Atletas!V247="Xingyi de Arma D",956,IF(Atletas!V247="Taijidao E",957,IF(Atletas!V247="TaijiShanzi E",958,IF(Atletas!V247="Taijiqiang E",959,IF(Atletas!V247="Bagua de Arma E",960,IF(Atletas!V247="Xingyi de Arma E",961,IF(Atletas!V247="Taijidao F",962,IF(Atletas!V247="TaijiShanzi F",963,IF(Atletas!V247="Taijiqiang F",964,IF(Atletas!V247="Bagua de Arma F",965,IF(Atletas!V247="Xingyi de Arma F",966,"")))))))))))))))))))))))))))))))</f>
        <v/>
      </c>
      <c r="CE256" s="66" t="str">
        <f>IF(CF256&lt;&gt;"","Bishou F","")</f>
        <v/>
      </c>
      <c r="CF256" s="66" t="str">
        <f>IF(COUNTIF(BR:CD,1628)&gt;0,COUNTIF(BR:CD,1628),"")</f>
        <v/>
      </c>
      <c r="CG256" s="66" t="str">
        <f>IF(CH256&lt;&gt;"","Bishou F","")</f>
        <v/>
      </c>
      <c r="CH256" s="66" t="str">
        <f>IF(COUNTIF(BR:CD,2628)&gt;0,COUNTIF(BR:CD,2628),"")</f>
        <v/>
      </c>
      <c r="CI256" s="66" t="str">
        <f>IF(CJ256&lt;&gt;"","Outra Arma Longa A","")</f>
        <v/>
      </c>
      <c r="CJ256" s="66" t="str">
        <f>IF(COUNTIF(BR:CD,11704)&gt;0,COUNTIF(BR:CD,11704),"")</f>
        <v/>
      </c>
      <c r="CK256" s="66" t="str">
        <f>IF(CL256&lt;&gt;"","Outra Arma Longa A","")</f>
        <v/>
      </c>
      <c r="CL256" s="6" t="str">
        <f>IF(COUNTIF(BR:CD,12704)&gt;0,COUNTIF(BR:CD,12704),"")</f>
        <v/>
      </c>
      <c r="CM256" s="50" t="str">
        <f xml:space="preserve"> IF(Atletas!W247="","",IF(Atletas!W247="Duilian de Mãos BC - Equipe 1",1,IF(Atletas!W247="Duilian de Mãos BC - Equipe 2",2,IF(Atletas!W247="Duilian de Armas BC - Equipe 1",3,IF(Atletas!W247="Duilian de Armas BC - Equipe 2",4,IF(Atletas!W247="Duilian de Mãos DE - Equipe 1",5,IF(Atletas!W247="Duilian de Mãos DE - Equipe 2",6,IF(Atletas!W247="Duilian de Armas DE - Equipe 1",7,IF(Atletas!W247="Duilian de Armas DE - Equipe 2",8,IF(Atletas!W247="Duilian de Tuishou - Equipe 1",9,IF(Atletas!W247="Duilian de Tuishou - Equipe 2",10,IF(Atletas!W247="Grupo Externo ABC - Equipe 1",11,IF(Atletas!W247="Grupo Externo ABC - Equipe 2",12,IF(Atletas!W247="Grupo Interno ABC - Equipe 1",13,IF(Atletas!W247="Grupo Interno ABC - Equipe 2",14,IF(Atletas!W247="Grupo Externo DEF - Equipe 1",15,IF(Atletas!W247="Grupo Externo DEF - Equipe 2",16,IF(Atletas!W247="Grupo Interno DEF - Equipe 1",17,IF(Atletas!W247="Grupo Interno DEF - Equipe 2",18,"")))))))))))))))))))</f>
        <v/>
      </c>
    </row>
    <row r="257" spans="2:91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 t="str">
        <f t="array" ref="Z257">IFERROR(INDEX(CE$7:CE$348,SMALL(IF(CE$7:CE$348&lt;&gt;"",ROW(CE$7:CE$348)-ROW(CE$7)+1),ROWS(CE$7:CE256))),"")</f>
        <v/>
      </c>
      <c r="AA257" s="3" t="str">
        <f t="array" ref="AA257">IFERROR(INDEX(CF$7:CF$348,SMALL(IF(CF$7:CF$348&lt;&gt;"",ROW(CF$7:CF$348)-ROW(CF$7)+1),ROWS(CF$7:CF256))),"")</f>
        <v/>
      </c>
      <c r="AB257" s="3" t="str">
        <f t="array" ref="AB257">IFERROR(INDEX(CG$7:CG$348,SMALL(IF(CG$7:CG$348&lt;&gt;"",ROW(CG$7:CG$348)-ROW(CG$7)+1),ROWS(CG$7:CG256))),"")</f>
        <v/>
      </c>
      <c r="AC257" s="3" t="str">
        <f t="array" ref="AC257">IFERROR(INDEX(CH$7:CH$348,SMALL(IF(CH$7:CH$348&lt;&gt;"",ROW(CH$7:CH$348)-ROW(CH$7)+1),ROWS(CH$7:CH256))),"")</f>
        <v/>
      </c>
      <c r="AD257" s="3" t="str">
        <f t="array" ref="AD257">IFERROR(INDEX(CI$7:CI$377,SMALL(IF(CI$7:CI$377&lt;&gt;"",ROW(CI$7:CI$377)-ROW(CI$7)+1),ROWS(CI$7:CI256))),"")</f>
        <v/>
      </c>
      <c r="AE257" s="3" t="str">
        <f t="array" ref="AE257">IFERROR(INDEX(CJ$7:CJ$378,SMALL(IF(CJ$7:CJ$378&lt;&gt;"",ROW(CJ$7:CJ$378)-ROW(CJ$7)+1),ROWS(CJ$7:CJ256))),"")</f>
        <v/>
      </c>
      <c r="AF257" s="3" t="str">
        <f t="array" ref="AF257">IFERROR(INDEX(CK$7:CK$378,SMALL(IF(CK$7:CK$378&lt;&gt;"",ROW(CK$7:CK$378)-ROW(CK$7)+1),ROWS(CK$7:CK256))),"")</f>
        <v/>
      </c>
      <c r="AG257" s="3" t="str">
        <f t="array" ref="AG257">IFERROR(INDEX(CL$7:CL$378,SMALL(IF(CL$7:CL$378&lt;&gt;"",ROW(CL$7:CL$378)-ROW(CL$7)+1),ROWS(CL$7:CL256))),"")</f>
        <v/>
      </c>
      <c r="AH257" s="3"/>
      <c r="AI257" s="3"/>
      <c r="AJ257" s="3"/>
      <c r="AK257" s="3"/>
      <c r="AL257" s="3"/>
      <c r="AM257" s="3"/>
      <c r="AN257" s="52" t="str">
        <f>IF(Atletas!D248="","",IF(Atletas!B248="Feminino",100,IF(Atletas!B248="Masculino",200,""))+(IF(Atletas!D248="Kids 30kg",1,IF(Atletas!D248="Kids 32kg",2, IF(Atletas!D248="Kids 34kg",3,IF(Atletas!D248="Kids 36kg",4,IF(Atletas!D248="Kids 39kg",5,IF(Atletas!D248="Kids 42kg",6,IF(Atletas!D248="Kids 45kg",7, IF(Atletas!D248="Infantil 39kg",8,IF(Atletas!D248="Infantil 42kg",9,IF(Atletas!D248="Infantil 45kg",10,IF(Atletas!D248="Infantil 48kg",11,IF(Atletas!D248="Infantil 52kg",12,IF(Atletas!D248="Infantil 56kg",13,IF(Atletas!D248="Infantil 60kg",14,IF(Atletas!D248="Juvenil 48kg",15,IF(Atletas!D248="Juvenil 52kg",16,IF(Atletas!D248="Juvenil 56kg",17,IF(Atletas!D248="Juvenil 60kg",18,IF(Atletas!D248="Juvenil 65kg",19,IF(Atletas!D248="Juvenil 70kg",20,IF(Atletas!D248="Juvenil 75kg",21,IF(Atletas!D248="Juvenil 80kg",22, IF(Atletas!D248="Juvenil 85kg",23,IF(Atletas!D248="Adulto 48kg",24,IF(Atletas!D248="Adulto 52kg",25,IF(Atletas!D248="Adulto 56kg",26,IF(Atletas!D248="Adulto 60kg",27,IF(Atletas!D248="Adulto 65kg",28,IF(Atletas!D248="Adulto 70kg",29,IF(Atletas!D248="Adulto 75kg",30,IF(Atletas!D248="Adulto 80kg",31,IF(Atletas!D248="Adulto 85kg",32,IF(Atletas!D248="Adulto 90kg",33,IF(Atletas!D248="Adulto 100kg",34, IF(Atletas!D248="Adulto +100kg",35,"")))))))))))))))))))))))))))))))))))))</f>
        <v/>
      </c>
      <c r="AS257" s="6" t="str">
        <f>IF(Atletas!E248="","",IF(Atletas!B248="Feminino",100,IF(Atletas!B248="Masculino",200,""))+(IF(Atletas!E248="Juvenil 44kg",1,IF(Atletas!E248="Juvenil 48kg",2,IF(Atletas!E248="Juvenil 52kg",3,IF(Atletas!E248="Juvenil 56kg",4,IF(Atletas!E248="Juvenil 60kg",5,IF(Atletas!E248="Juvenil 65kg",6,IF(Atletas!E248="Juvenil 70kg",7,IF(Atletas!E248="Juvenil 75kg",8,IF(Atletas!E248="Juvenil 82kg",9,IF(Atletas!E248="Juvenil 90kg",10,IF(Atletas!E248="Juvenil 100kg",11,IF(Atletas!E248="Adulto 48kg",12,IF(Atletas!E248="Adulto 52kg",13,IF(Atletas!E248="Adulto 56kg",14,IF(Atletas!E248="Adulto 60kg",15,IF(Atletas!E248="Adulto 65kg",16,IF(Atletas!E248="Adulto 70kg",17,IF(Atletas!E248="Adulto 75kg",18,IF(Atletas!E248="Adulto 82kg",19,IF(Atletas!E248="Adulto 90kg",20,IF(Atletas!E248="Adulto 100kg",21,IF(Atletas!E248="Adulto +100kg",22,""))))))))))))))))))))))))</f>
        <v/>
      </c>
      <c r="AX257" s="6" t="str">
        <f>IF(Atletas!F248="","",IF(Atletas!B248="Feminino",100,IF(Atletas!B248="Masculino",200,""))+(IF(Atletas!F248="Adulto 48kg",1,IF(Atletas!F248="Adulto 56kg",2,IF(Atletas!F248="Adulto 65kg",3,IF(Atletas!F248="Adulto 75kg",4,IF(Atletas!F248="Adulto +75kg",5,IF(Atletas!F248="Adulto 52kg",6,IF(Atletas!F248="Adulto 60kg",7,IF(Atletas!F248="Adulto 70kg",8,IF(Atletas!F248="Adulto 80kg",9,IF(Atletas!F248="Adulto 90kg",10,IF(Atletas!F248="Adulto +90kg",11,"")))))))))))))</f>
        <v/>
      </c>
      <c r="BC257" s="6" t="str">
        <f>IF(Atletas!G248="","",IF(Atletas!B248="Feminino",10,IF(Atletas!B248="Masculino",20,""))+(IF(Atletas!G248="Baduanjin A",1,IF(Atletas!G248="Baduanjin B",2))))</f>
        <v/>
      </c>
      <c r="BF257" s="52" t="str">
        <f>IF(Atletas!H248="","",IF(Atletas!B248="Feminino",100,IF(Atletas!B248="Masculino",200,""))+(IF(Atletas!H248="Changquan Mirim",1,IF(Atletas!H248="Nanquan Mirim",2,IF(Atletas!H248="Taijiquan Mirim",3,IF(Atletas!H248="Changquan Grupo C",4,IF(Atletas!H248="Nanquan Grupo C",5,IF(Atletas!H248="Taijiquan Grupo C",6,IF(Atletas!H248="Changquan Grupo B",7,IF(Atletas!H248="Nanquan Grupo B",8,IF(Atletas!H248="Taijiquan Grupo B",9,IF(Atletas!H248="Changquan Grupo A",10,IF(Atletas!H248="Nanquan Grupo A",11,IF(Atletas!H248="Taijiquan Grupo A",12,IF(Atletas!H248="Changquan Opcional",13,IF(Atletas!H248="Nanquan Opcional",14,IF(Atletas!H248="Taijiquan Opcional",15,IF(Atletas!H248="Changquan Adulto",16,IF(Atletas!H248="Nanquan Adulto",17,IF(Atletas!H248="Taijiquan Adulto",18,""))))))))))))))))))))</f>
        <v/>
      </c>
      <c r="BG257" s="52" t="str">
        <f>IF(Atletas!I248="","",IF(Atletas!B248="Feminino",100,IF(Atletas!B248="Masculino",200,""))+(IF(Atletas!I248="Daoshu Mirim",19,IF(Atletas!I248="Jianshu Mirim",20,IF(Atletas!I248="Nandao Mirim",21,IF(Atletas!I248="Taijijian Mirim",22,IF(Atletas!I248="Daoshu Grupo C",23,IF(Atletas!I248="Jianshu Grupo C",24,IF(Atletas!I248="Nandao Grupo C",25,IF(Atletas!I248="Taijijian Grupo C",26,IF(Atletas!I248="Daoshu Grupo B",27,IF(Atletas!I248="Jianshu Grupo B",28,IF(Atletas!I248="Nandao Grupo B",29,IF(Atletas!I248="Taijijian Grupo B",30,IF(Atletas!I248="Daoshu Grupo A",31,IF(Atletas!I248="Jianshu Grupo A",32,IF(Atletas!I248="Nandao Grupo A",33,IF(Atletas!I248="Taijijian Grupo A",34,IF(Atletas!I248="Daoshu Opcional",35,IF(Atletas!I248="Jianshu Opcional",36,IF(Atletas!I248="Nandao Opcional",37,IF(Atletas!I248="Taijijian Opcional",38,IF(Atletas!I248="Daoshu Adulto",39,IF(Atletas!I248="Jianshu Adulto",40,IF(Atletas!I248="Nandao Adulto",41,IF(Atletas!I248="Taijijian Adulto",42,""))))))))))))))))))))))))))</f>
        <v/>
      </c>
      <c r="BH257" s="52" t="str">
        <f>IF(Atletas!J248="","",IF(Atletas!B248="Feminino",100,IF(Atletas!B248="Masculino",200,""))+(IF(Atletas!J248="Gunshu Mirim",43,IF(Atletas!J248="Qiangshu Mirim",44,IF(Atletas!J248="Nangun Mirim",45,IF(Atletas!J248="Gunshu Grupo C",46,IF(Atletas!J248="Qiangshu Grupo C",47,IF(Atletas!J248="Nangun Grupo C",48,IF(Atletas!J248="Gunshu Grupo B",49,IF(Atletas!J248="Qiangshu Grupo B",50,IF(Atletas!J248="Nangun Grupo B",51,IF(Atletas!J248="Gunshu Grupo A",52,IF(Atletas!J248="Qiangshu Grupo A",53,IF(Atletas!J248="Nangun Grupo A",54,IF(Atletas!J248="Gunshu Opcional",55,IF(Atletas!J248="Qiangshu Opcional",56,IF(Atletas!J248="Nangun Opcional",57,IF(Atletas!J248="Gunshu Adulto",58,IF(Atletas!J248="Qiangshu Adulto",59,IF(Atletas!J248="Nangun Adulto",60,IF(Atletas!J248="Taijishan Grupo B",61,IF(Atletas!J248="Taijishan Grupo A",62,""))))))))))))))))))))))</f>
        <v/>
      </c>
      <c r="BM257" s="50" t="str">
        <f>IF(Atletas!K248="","",IF(Atletas!B248="Feminino",100,IF(Atletas!B248="Masculino",200,""))+(IF(Atletas!K248="Equipe 1 Grupo B",1,IF(Atletas!K248="Equipe 2 Grupo B",2,IF(Atletas!K248="Equipe 1 Grupo A",3,IF(Atletas!K248="Equipe 2 Grupo A",4,IF(Atletas!K248="Equipe 1 Adulto",5,IF(Atletas!K248="Equipe 2 Adulto",6,""))))))))</f>
        <v/>
      </c>
      <c r="BR257" s="50" t="str">
        <f>IF(Atletas!L248="","",IF(Atletas!X248&lt;&gt;"",10000,0)+(IF(Atletas!B248="Feminino",1000,IF(Atletas!B248="Masculino",2000,""))+IF(Atletas!L248="Choylayfut A",1,IF(Atletas!L248="Hunggar A",2,IF(Atletas!L248="Wuzuquan A",3,IF(Atletas!L248="Wingchun A",4,IF(Atletas!L248="Outra Mão de Sul A",5,IF(Atletas!L248="Choylayfut B",6,IF(Atletas!L248="Hunggar B",7,IF(Atletas!L248="Wuzuquan B",8,IF(Atletas!L248="Wingchun B",9,IF(Atletas!L248="Outra Mão de Sul B",10,IF(Atletas!L248="Choylayfut C",11,IF(Atletas!L248="Hunggar C",12,IF(Atletas!L248="Wuzuquan C",13,IF(Atletas!L248="Wingchun C",14,IF(Atletas!L248="Outra Mão de Sul C",15,IF(Atletas!L248="Choylayfut D",16,IF(Atletas!L248="Hunggar D",17,IF(Atletas!L248="Wuzuquan D",18,IF(Atletas!L248="Wingchun D",19,IF(Atletas!L248="Outra Mão de Sul D",20,IF(Atletas!L248="Choylayfut E",21,IF(Atletas!L248="Hunggar E",22,IF(Atletas!L248="Wuzuquan E",23,IF(Atletas!L248="Wingchun E",24,IF(Atletas!L248="Outra Mão de Sul E",25,IF(Atletas!L248="Choylayfut F",26,IF(Atletas!L248="Hunggar F",27,IF(Atletas!L248="Wuzuquan F",28,IF(Atletas!L248="Wingchun F",29,IF(Atletas!L248="Outra Mão de Sul F",30,IF(Atletas!L248="Dishuquan A",31,IF(Atletas!L248="Dishuquan B",32,IF(Atletas!L248="Dishuquan C",33,IF(Atletas!L248="Dishuquan D",34,IF(Atletas!L248="Dishuquan E",35,IF(Atletas!L248="Dishuquan F",36,""))))))))))))))))))))))))))))))))))))))</f>
        <v/>
      </c>
      <c r="BS257" s="50" t="str">
        <f>IF(Atletas!M248="","",IF(Atletas!X248&lt;&gt;"",10000,0)+(IF(Atletas!B248="Feminino",1000,IF(Atletas!B248="Masculino",2000,""))+(IF(Atletas!M248="Chaquan A",101,IF(Atletas!M248="Emeiquan A",102,IF(Atletas!M248="Fanziquan A",103,IF(Atletas!M248="Huaquan A",104,IF(Atletas!M248="Hongquan A",105,IF(Atletas!M248="Paoquan A",106,IF(Atletas!M248="Piguaquan A",107,IF(Atletas!M248="Shaolinquan A",108,IF(Atletas!M248="Tanglangquan A",109,IF(Atletas!M248="Yingzhaoquan A",110,IF(Atletas!M248="Tongbeiquan A",111,IF(Atletas!M248="Wudangquan A",112,IF(Atletas!M248="Outros Estilos A",113,IF(Atletas!M248="Chaquan B",114,IF(Atletas!M248="Emeiquan B",115,IF(Atletas!M248="Fanziquan B",116,IF(Atletas!M248="Huaquan B",117,IF(Atletas!M248="Hongquan B",118,IF(Atletas!M248="Paoquan B",119,IF(Atletas!M248="Piguaquan B",120,IF(Atletas!M248="Shaolinquan B",121,IF(Atletas!M248="Tanglangquan B",122,IF(Atletas!M248="Yingzhaoquan B",123,IF(Atletas!M248="Tongbeiquan B",124,IF(Atletas!M248="Wudangquan B",125,IF(Atletas!M248="Outros Estilos B",126,IF(Atletas!M248="Chaquan C",127,IF(Atletas!M248="Emeiquan C",128,IF(Atletas!M248="Fanziquan C",129,IF(Atletas!M248="Huaquan C",130,IF(Atletas!M248="Hongquan C",131,IF(Atletas!M248="Paoquan C",132,IF(Atletas!M248="Piguaquan C",133,IF(Atletas!M248="Shaolinquan C",134,IF(Atletas!M248="Tanglangquan C",135,IF(Atletas!M248="Yingzhaoquan C",136,IF(Atletas!M248="Tongbeiquan C",137,IF(Atletas!M248="Wudangquan C",138,IF(Atletas!M248="Outros Estilos C",139,0))))))))))))))))))))))))))))))))))))))))))</f>
        <v/>
      </c>
      <c r="BT257" s="50" t="str">
        <f>IF(Atletas!M248="","",IF(Atletas!X248&lt;&gt;"",10000,0)+(IF(Atletas!B248="Feminino",1000,IF(Atletas!B248="Masculino",2000,""))+(IF(Atletas!M248="Chaquan D",140,IF(Atletas!M248="Emeiquan D",141,IF(Atletas!M248="Fanziquan D",142,IF(Atletas!M248="Huaquan D",143,IF(Atletas!M248="Hongquan D",144,IF(Atletas!M248="Paoquan D",145,IF(Atletas!M248="Piguaquan D",146,IF(Atletas!M248="Shaolinquan D",147,IF(Atletas!M248="Tanglangquan D",148,IF(Atletas!M248="Yingzhaoquan D",149,IF(Atletas!M248="Tongbeiquan D",150,IF(Atletas!M248="Wudangquan D",151,IF(Atletas!M248="Outros Estilos D",152,IF(Atletas!M248="Chaquan E",153,IF(Atletas!M248="Emeiquan E",154,IF(Atletas!M248="Fanziquan E",155,IF(Atletas!M248="Huaquan E",156,IF(Atletas!M248="Hongquan E",157,IF(Atletas!M248="Paoquan E",158,IF(Atletas!M248="Piguaquan E",159,IF(Atletas!M248="Shaolinquan E",160,IF(Atletas!M248="Tanglangquan E",161,IF(Atletas!M248="Yingzhaoquan E",162,IF(Atletas!M248="Tongbeiquan E",163,IF(Atletas!M248="Wudangquan E",164,IF(Atletas!M248="Outros Estilos E",165,IF(Atletas!M248="Chaquan F",166,IF(Atletas!M248="Emeiquan F",167,IF(Atletas!M248="Fanziquan F",168,IF(Atletas!M248="Huaquan F",169,IF(Atletas!M248="Hongquan F",170,IF(Atletas!M248="Paoquan F",171,IF(Atletas!M248="Piguaquan F",172,IF(Atletas!M248="Shaolinquan F",173,IF(Atletas!M248="Tanglangquan F",174,IF(Atletas!M248="Yingzhaoquan F",175,IF(Atletas!M248="Tongbeiquan F",176,IF(Atletas!M248="Wudangquan F",177,IF(Atletas!M248="Outros Estilos F",178,0))))))))))))))))))))))))))))))))))))))))))</f>
        <v/>
      </c>
      <c r="BU257" s="50" t="str">
        <f>IF(Atletas!N248="","",IF(Atletas!X248&lt;&gt;"",10000,0)+(IF(Atletas!B248="Feminino",1000,IF(Atletas!B248="Masculino",2000,""))+(IF(Atletas!N248="Ditangquan A",201,IF(Atletas!N248="Houquan A",202,IF(Atletas!N248="Zuiquan A",203,IF(Atletas!N248="Ditangquan B",204,IF(Atletas!N248="Houquan B",205,IF(Atletas!N248="Zuiquan B",206,IF(Atletas!N248="Ditangquan C",207,IF(Atletas!N248="Houquan C",208,IF(Atletas!N248="Zuiquan C",209,IF(Atletas!N248="Ditangquan D",210,IF(Atletas!N248="Houquan D",211,IF(Atletas!N248="Zuiquan D",212,IF(Atletas!N248="Ditangquan E",213,IF(Atletas!N248="Houquan E",214,IF(Atletas!N248="Zuiquan E",215,IF(Atletas!N248="Ditangquan F",216,IF(Atletas!N248="Houquan F",217,IF(Atletas!N248="Zuiquan F",218,"")))))))))))))))))))))</f>
        <v/>
      </c>
      <c r="BV257" s="50" t="str">
        <f>IF(Atletas!O248="","",IF(Atletas!X248&lt;&gt;"",10000,0)+IF(Atletas!B248="Feminino",1000,IF(Atletas!B248="Masculino",2000,""))+IF(Atletas!O248="Yang A",301,IF(Atletas!O248="Chen A",302,IF(Atletas!O248="Sun A",303,IF(Atletas!O248="Wu A",304,IF(Atletas!O248="Wu-Hao A",305,IF(Atletas!O248="Outro Taijiquan A",306,IF(Atletas!O248="Yang B",307,IF(Atletas!O248="Chen B",308,IF(Atletas!O248="Sun B",309,IF(Atletas!O248="Wu B",310,IF(Atletas!O248="Wu-Hao B",311,IF(Atletas!O248="Outro Taijiquan B",312,IF(Atletas!O248="Yang C",313,IF(Atletas!O248="Chen C",314,IF(Atletas!O248="Sun C",315,IF(Atletas!O248="Wu C",316,IF(Atletas!O248="Wu-Hao C",317,IF(Atletas!O248="Outro Taijiquan C",318,IF(Atletas!O248="Yang D",319,IF(Atletas!O248="Chen D",320,IF(Atletas!O248="Sun D",321,IF(Atletas!O248="Wu D",322,IF(Atletas!O248="Wu-Hao D",323,IF(Atletas!O248="Outro Taijiquan D",324,IF(Atletas!O248="Yang E",325,IF(Atletas!O248="Chen E",326,IF(Atletas!O248="Sun E",327,IF(Atletas!O248="Wu E",328,IF(Atletas!O248="Wu-Hao E",329,IF(Atletas!O248="Outro Taijiquan E",330,IF(Atletas!O248="Yang F",331,IF(Atletas!O248="Chen F",332,IF(Atletas!O248="Sun F",333,IF(Atletas!O248="Wu F",334,IF(Atletas!O248="Wu-Hao F",335,IF(Atletas!O248="Outro Taijiquan F",336,"")))))))))))))))))))))))))))))))))))))</f>
        <v/>
      </c>
      <c r="BW257" s="50" t="str">
        <f>IF(Atletas!P248="","",IF(Atletas!X248&lt;&gt;"",10000,0)+IF(Atletas!B248="Feminino",1000,IF(Atletas!B248="Masculino",2000,""))+IF(OR(Atletas!P248="Yang 26 A",Atletas!P248="Yang 40 A"),401,IF(OR(Atletas!P248="Chen 25 A",Atletas!P248="Chen 36 A",Atletas!P248="Chen 56 A"),402,IF(Atletas!P248="Sun 73 A",403,IF(Atletas!P248="Wu 45 A",404,IF(Atletas!P248="Wu-Hao 46 A",405,IF(OR(Atletas!P248="Taijiquan 16 A",Atletas!P248="Taijiquan 24 A",Atletas!P248="Taijiquan 32 A",Atletas!P248="Taijiquan 42 A"),406,IF(OR(Atletas!P248="Yang 26 B",Atletas!P248="Yang 40 B"),407,IF(OR(Atletas!P248="Chen 25 B",Atletas!P248="Chen 36 B",Atletas!P248="Chen 56 B"),408,IF(Atletas!P248="Sun 73 B",409,IF(Atletas!P248="Wu 45 B",410,IF(Atletas!P248="Wu-Hao 46 B",411,IF(OR(Atletas!P248="Taijiquan 16 B",Atletas!P248="Taijiquan 24 B",Atletas!P248="Taijiquan 32 B",Atletas!P248="Taijiquan 42 B"),412,IF(OR(Atletas!P248="Yang 26 C",Atletas!P248="Yang 40 C"),413,IF(OR(Atletas!P248="Chen 25 C",Atletas!P248="Chen 36 C",Atletas!P248="Chen 56 C"),414,IF(Atletas!P248="Sun 73 C",415,IF(Atletas!P248="Wu 45 C",416,IF(Atletas!P248="Wu-Hao 46 C",417,IF(OR(Atletas!P248="Taijiquan 16 C",Atletas!P248="Taijiquan 24 C",Atletas!P248="Taijiquan 32 C",Atletas!P248="Taijiquan 42 C"),418,0)))))))))))))))))))</f>
        <v/>
      </c>
      <c r="BX257" s="50" t="str">
        <f>IF(Atletas!P248="","",IF(Atletas!X248&lt;&gt;"",10000,0)+IF(Atletas!B248="Feminino",1000,IF(Atletas!B248="Masculino",2000,""))+IF(OR(Atletas!P248="Yang 26 D",Atletas!P248="Yang 40 D"),419,IF(OR(Atletas!P248="Chen 25 D",Atletas!P248="Chen 36 D",Atletas!P248="Chen 56 D"),420,IF(Atletas!P248="Sun 73 D",421,IF(Atletas!P248="Wu 45 D",422,IF(Atletas!P248="Wu-Hao 46 D",423,IF(OR(Atletas!P248="Taijiquan 16 D",Atletas!P248="Taijiquan 24 D",Atletas!P248="Taijiquan 32 D",Atletas!P248="Taijiquan 42 D"),424,IF(OR(Atletas!P248="Yang 26 E",Atletas!P248="Yang 40 E"),425,IF(OR(Atletas!P248="Chen 25 E",Atletas!P248="Chen 36 E",Atletas!P248="Chen 56 E"),426,IF(Atletas!P248="Sun 73 E",427,IF(Atletas!P248="Wu 45 E",428,IF(Atletas!P248="Wu-Hao 46 E",429,IF(OR(Atletas!P248="Taijiquan 16 E",Atletas!P248="Taijiquan 24 E",Atletas!P248="Taijiquan 32 E",Atletas!P248="Taijiquan 42 E"),430,IF(OR(Atletas!P248="Yang 26 F",Atletas!P248="Yang 40 F"),431,IF(OR(Atletas!P248="Chen 25 F",Atletas!P248="Chen 36 F",Atletas!P248="Chen 56 F"),432,IF(Atletas!P248="Sun 73 F",433,IF(Atletas!P248="Wu 45 F",434,IF(Atletas!P248="Wu-Hao 46 F",435,IF(OR(Atletas!P248="Taijiquan 16 F",Atletas!P248="Taijiquan 24 F",Atletas!P248="Taijiquan 32 F",Atletas!P248="Taijiquan 42 F"),436,0)))))))))))))))))))</f>
        <v/>
      </c>
      <c r="BY257" s="50" t="str">
        <f>IF(Atletas!Q248="","",IF(Atletas!X248&lt;&gt;"",10000,0)+IF(Atletas!B248="Feminino",1000,IF(Atletas!B248="Masculino",2000,""))+IF(Atletas!Q248="Xingyiquan A",501,IF(Atletas!Q248="Baguazhang A",502,IF(Atletas!Q248="Outro Estilo Interno A",503,IF(Atletas!Q248="Xingyiquan B",504,IF(Atletas!Q248="Baguazhang B",505,IF(Atletas!Q248="Outro Estilo Interno B",506,IF(Atletas!Q248="Xingyiquan C",507,IF(Atletas!Q248="Baguazhang C",508,IF(Atletas!Q248="Outro Estilo Interno C",509,IF(Atletas!Q248="Xingyiquan D",510,IF(Atletas!Q248="Baguazhang D",511,IF(Atletas!Q248="Outro Estilo Interno D",512,IF(Atletas!Q248="Xingyiquan E",513,IF(Atletas!Q248="Baguazhang E",514,IF(Atletas!Q248="Outro Estilo Interno E",515,IF(Atletas!Q248="Xingyiquan F",516,IF(Atletas!Q248="Baguazhang F",517,IF(Atletas!Q248="Outro Estilo Interno F",518, "")))))))))))))))))))</f>
        <v/>
      </c>
      <c r="BZ257" s="50" t="str">
        <f>IF(Atletas!R248="","",IF(Atletas!X248&lt;&gt;"",10000,0)+IF(Atletas!B248="Feminino",1000,IF(Atletas!B248="Masculino",2000,""))+IF(Atletas!R248="Dao A",601,IF(Atletas!R248="Jian A",602,IF(Atletas!R248="Bishou A",603,IF(Atletas!R248="Shanzi A",604,IF(Atletas!R248="Outra Arma Curta A",605,IF(Atletas!R248="Dao B",606,IF(Atletas!R248="Jian B",607,IF(Atletas!R248="Bishou B",608,IF(Atletas!R248="Shanzi B",609,IF(Atletas!R248="Outra Arma Curta B",610,IF(Atletas!R248="Dao C",611,IF(Atletas!R248="Jian C",612,IF(Atletas!R248="Bishou C",613,IF(Atletas!R248="Shanzi C",614,IF(Atletas!R248="Outra Arma Curta C",615,IF(Atletas!R248="Dao D",616,IF(Atletas!R248="Jian D",617,IF(Atletas!R248="Bishou D",618,IF(Atletas!R248="Shanzi D",619,IF(Atletas!R248="Outra Arma Curta D",620,IF(Atletas!R248="Dao E",621,IF(Atletas!R248="Jian E",622,IF(Atletas!R248="Bishou E",623,IF(Atletas!R248="Shanzi E",624,IF(Atletas!R248="Outra Arma Curta E",625,IF(Atletas!R248="Dao F",626,IF(Atletas!R248="Jian F",627,IF(Atletas!R248="Bishou F",628,IF(Atletas!R248="Shanzi F",629,IF(Atletas!R248="Outra Arma Curta F",630, "")))))))))))))))))))))))))))))))</f>
        <v/>
      </c>
      <c r="CA257" s="50" t="str">
        <f>IF(Atletas!S248="","",IF(Atletas!X248&lt;&gt;"",10000,0)+IF(Atletas!B248="Feminino",1000,IF(Atletas!B248="Masculino",2000,""))+IF(Atletas!S248="Gun A",701,IF(Atletas!S248="Qiang A",702,IF(Atletas!S248="Pudao / Guandao A",703,IF(Atletas!S248="Outra Arma Longa A",704,IF(Atletas!S248="Gun B",705,IF(Atletas!S248="Qiang B",706,IF(Atletas!S248="Pudao / Guandao B",707,IF(Atletas!S248="Outra Arma Longa B",708,IF(Atletas!S248="Gun C",709,IF(Atletas!S248="Qiang C",710,IF(Atletas!S248="Pudao / Guandao C",711,IF(Atletas!S248="Outra Arma Longa C",712,IF(Atletas!S248="Gun D",713,IF(Atletas!S248="Qiang D",714,IF(Atletas!S248="Pudao / Guandao D",715,IF(Atletas!S248="Outra Arma Longa D",716,IF(Atletas!S248="Gun E",717,IF(Atletas!S248="Qiang E",718,IF(Atletas!S248="Pudao / Guandao E",719,IF(Atletas!S248="Outra Arma Longa E",720,IF(Atletas!S248="Gun F",721,IF(Atletas!S248="Qiang F",722,IF(Atletas!S248="Pudao / Guandao F",723,IF(Atletas!S248="Outra Arma Longa F",724,"")))))))))))))))))))))))))</f>
        <v/>
      </c>
      <c r="CB257" s="50" t="str">
        <f>IF(Atletas!T248="","",IF(Atletas!X248&lt;&gt;"",10000,0)+IF(Atletas!B248="Feminino",1000,IF(Atletas!B248="Masculino",2000,""))+IF(Atletas!T248="Outra Arma Dupla A",801,IF(Atletas!T248="Arma Maleável A",802,IF(Atletas!T248="Outra Arma Dupla B",803,IF(Atletas!T248="Arma Maleável B",804,IF(Atletas!T248="Outra Arma Dupla C",805,IF(Atletas!T248="Arma Maleável C",806,IF(Atletas!T248="Outra Arma Dupla D",807,IF(Atletas!T248="Arma Maleável D",808,IF(Atletas!T248="Outra Arma Dupla E",809,IF(Atletas!T248="Arma Maleável E",810,IF(Atletas!T248="Outra Arma Dupla F",811,IF(Atletas!T248="Arma Maleável F",812,IF(Atletas!T248="Shuangdao A",813,IF(Atletas!T248="Shuangdao B",814,IF(Atletas!T248="Shuangdao C",815,IF(Atletas!T248="Shuangdao D",816,IF(Atletas!T248="Shuangdao E",817,IF(Atletas!T248="Shuangdao F",818,"")))))))))))))))))))</f>
        <v/>
      </c>
      <c r="CC257" s="50" t="str">
        <f>IF(Atletas!U248="","",IF(Atletas!X248&lt;&gt;"",10000,0)+IF(Atletas!B248="Feminino",1000,IF(Atletas!B248="Masculino",2000,""))+IF(OR(Atletas!U248="Taijijian Yang A",Atletas!U248="Taijijian Yang Standard A"),901,IF(OR(Atletas!U248="Taijijian Chen A", Atletas!U248="Taijijian Chen Standard A"),902,IF(Atletas!U248="Taijijian Sun A",903,IF(Atletas!U248="Taijijian Wu A",904,IF(Atletas!U248="Taijijian Wu-Hao A",905,IF(OR(Atletas!U248="Taijijian 32 A",Atletas!U248="Taijijian 42 A"),906,IF(OR(Atletas!U248="Taijijian Yang B",Atletas!U248="Taijijian Yang Standard B"),907,IF(OR(Atletas!U248="Taijijian Chen B", Atletas!U248="Taijijian Chen Standard B"),908,IF(Atletas!U248="Taijijian Sun B",909,IF(Atletas!U248="Taijijian Wu B",910,IF(Atletas!U248="Taijijian Wu-Hao B",911,IF(OR(Atletas!U248="Taijijian 32 B",Atletas!U248="Taijijian 42 B"),912,IF(OR(Atletas!U248="Taijijian Yang C",Atletas!U248="Taijijian Yang Standard C"),913,IF(OR(Atletas!U248="Taijijian Chen C", Atletas!U248="Taijijian Chen Standard C"),914,IF(Atletas!U248="Taijijian Sun C",915,IF(Atletas!U248="Taijijian Wu C",916,IF(Atletas!U248="Taijijian Wu-Hao C",917,IF(OR(Atletas!U248="Taijijian 32 C",Atletas!U248="Taijijian 42 C"),918,IF(OR(Atletas!U248="Taijijian Yang D",Atletas!U248="Taijijian Yang Standard D"),919,IF(OR(Atletas!U248="Taijijian Chen D", Atletas!U248="Taijijian Chen Standard D"),920,IF(Atletas!U248="Taijijian Sun D",921,IF(Atletas!U248="Taijijian Wu D",922,IF(Atletas!U248="Taijijian Wu-Hao D",923,IF(OR(Atletas!U248="Taijijian 32 D",Atletas!U248="Taijijian 42 D"),924,IF(OR(Atletas!U248="Taijijian Yang E",Atletas!U248="Taijijian Yang Standard E"),925,IF(OR(Atletas!U248="Taijijian Chen E", Atletas!U248="Taijijian Chen Standard E"),926,IF(Atletas!U248="Taijijian Sun E",927,IF(Atletas!U248="Taijijian Wu E",928,IF(Atletas!U248="Taijijian Wu-Hao E",929,IF(OR(Atletas!U248="Taijijian 32 E",Atletas!U248="Taijijian 42 E"),930,IF(OR(Atletas!U248="Taijijian Yang F",Atletas!U248="Taijijian Yang Standard F"),931,IF(OR(Atletas!U248="Taijijian Chen F", Atletas!U248="Taijijian Chen Standard F"),932,IF(Atletas!U248="Taijijian Sun F",933,IF(Atletas!U248="Taijijian Wu F",934,IF(Atletas!U248="Taijijian Wu-Hao F",935,IF(OR(Atletas!U248="Taijijian 32 F",Atletas!U248="Taijijian 42 F"),936,"")))))))))))))))))))))))))))))))))))))</f>
        <v/>
      </c>
      <c r="CD257" s="50" t="str">
        <f>IF(Atletas!V248="","",IF(Atletas!X248&lt;&gt;"",10000,0)+IF(Atletas!B248="Feminino",1000,IF(Atletas!B248="Masculino",2000,""))+IF(Atletas!V248="Taijidao A",937,IF(Atletas!V248="TaijiShanzi A",938,IF(Atletas!V248="Taijiqiang A",939,IF(Atletas!V248="Bagua de Arma A",940,IF(Atletas!V248="Xingyi de Arma A",941,IF(Atletas!V248="Taijidao B",942,IF(Atletas!V248="TaijiShanzi B",943,IF(Atletas!V248="Taijiqiang B",944,IF(Atletas!V248="Bagua de Arma B",945,IF(Atletas!V248="Xingyi de Arma B",946,IF(Atletas!V248="Taijidao C",947,IF(Atletas!V248="TaijiShanzi C",948,IF(Atletas!V248="Taijiqiang C",949,IF(Atletas!V248="Bagua de Arma C",950,IF(Atletas!V248="Xingyi de Arma C",951,IF(Atletas!V248="Taijidao D",952,IF(Atletas!V248="TaijiShanzi D",953,IF(Atletas!V248="Taijiqiang D",954,IF(Atletas!V248="Bagua de Arma D",955,IF(Atletas!V248="Xingyi de Arma D",956,IF(Atletas!V248="Taijidao E",957,IF(Atletas!V248="TaijiShanzi E",958,IF(Atletas!V248="Taijiqiang E",959,IF(Atletas!V248="Bagua de Arma E",960,IF(Atletas!V248="Xingyi de Arma E",961,IF(Atletas!V248="Taijidao F",962,IF(Atletas!V248="TaijiShanzi F",963,IF(Atletas!V248="Taijiqiang F",964,IF(Atletas!V248="Bagua de Arma F",965,IF(Atletas!V248="Xingyi de Arma F",966,"")))))))))))))))))))))))))))))))</f>
        <v/>
      </c>
      <c r="CE257" s="66" t="str">
        <f>IF(CF257&lt;&gt;"","Shanzi F","")</f>
        <v/>
      </c>
      <c r="CF257" s="66" t="str">
        <f>IF(COUNTIF(BR:CD,1629)&gt;0,COUNTIF(BR:CD,1629),"")</f>
        <v/>
      </c>
      <c r="CG257" s="66" t="str">
        <f>IF(CH257&lt;&gt;"","Shanzi F","")</f>
        <v/>
      </c>
      <c r="CH257" s="66" t="str">
        <f>IF(COUNTIF(BR:CD,2629)&gt;0,COUNTIF(BR:CD,2629),"")</f>
        <v/>
      </c>
      <c r="CI257" s="66" t="str">
        <f>IF(CJ257&lt;&gt;"","Gun B","")</f>
        <v/>
      </c>
      <c r="CJ257" s="66" t="str">
        <f>IF(COUNTIF(BR:CD,11705)&gt;0,COUNTIF(BR:CD,11705),"")</f>
        <v/>
      </c>
      <c r="CK257" s="66" t="str">
        <f>IF(CL257&lt;&gt;"","Gun B","")</f>
        <v/>
      </c>
      <c r="CL257" s="6" t="str">
        <f>IF(COUNTIF(BR:CD,12705)&gt;0,COUNTIF(BR:CD,12705),"")</f>
        <v/>
      </c>
      <c r="CM257" s="50" t="str">
        <f xml:space="preserve"> IF(Atletas!W248="","",IF(Atletas!W248="Duilian de Mãos BC - Equipe 1",1,IF(Atletas!W248="Duilian de Mãos BC - Equipe 2",2,IF(Atletas!W248="Duilian de Armas BC - Equipe 1",3,IF(Atletas!W248="Duilian de Armas BC - Equipe 2",4,IF(Atletas!W248="Duilian de Mãos DE - Equipe 1",5,IF(Atletas!W248="Duilian de Mãos DE - Equipe 2",6,IF(Atletas!W248="Duilian de Armas DE - Equipe 1",7,IF(Atletas!W248="Duilian de Armas DE - Equipe 2",8,IF(Atletas!W248="Duilian de Tuishou - Equipe 1",9,IF(Atletas!W248="Duilian de Tuishou - Equipe 2",10,IF(Atletas!W248="Grupo Externo ABC - Equipe 1",11,IF(Atletas!W248="Grupo Externo ABC - Equipe 2",12,IF(Atletas!W248="Grupo Interno ABC - Equipe 1",13,IF(Atletas!W248="Grupo Interno ABC - Equipe 2",14,IF(Atletas!W248="Grupo Externo DEF - Equipe 1",15,IF(Atletas!W248="Grupo Externo DEF - Equipe 2",16,IF(Atletas!W248="Grupo Interno DEF - Equipe 1",17,IF(Atletas!W248="Grupo Interno DEF - Equipe 2",18,"")))))))))))))))))))</f>
        <v/>
      </c>
    </row>
    <row r="258" spans="2:91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 t="str">
        <f t="array" ref="Z258">IFERROR(INDEX(CE$7:CE$348,SMALL(IF(CE$7:CE$348&lt;&gt;"",ROW(CE$7:CE$348)-ROW(CE$7)+1),ROWS(CE$7:CE257))),"")</f>
        <v/>
      </c>
      <c r="AA258" s="3" t="str">
        <f t="array" ref="AA258">IFERROR(INDEX(CF$7:CF$348,SMALL(IF(CF$7:CF$348&lt;&gt;"",ROW(CF$7:CF$348)-ROW(CF$7)+1),ROWS(CF$7:CF257))),"")</f>
        <v/>
      </c>
      <c r="AB258" s="3" t="str">
        <f t="array" ref="AB258">IFERROR(INDEX(CG$7:CG$348,SMALL(IF(CG$7:CG$348&lt;&gt;"",ROW(CG$7:CG$348)-ROW(CG$7)+1),ROWS(CG$7:CG257))),"")</f>
        <v/>
      </c>
      <c r="AC258" s="3" t="str">
        <f t="array" ref="AC258">IFERROR(INDEX(CH$7:CH$348,SMALL(IF(CH$7:CH$348&lt;&gt;"",ROW(CH$7:CH$348)-ROW(CH$7)+1),ROWS(CH$7:CH257))),"")</f>
        <v/>
      </c>
      <c r="AD258" s="3" t="str">
        <f t="array" ref="AD258">IFERROR(INDEX(CI$7:CI$377,SMALL(IF(CI$7:CI$377&lt;&gt;"",ROW(CI$7:CI$377)-ROW(CI$7)+1),ROWS(CI$7:CI257))),"")</f>
        <v/>
      </c>
      <c r="AE258" s="3" t="str">
        <f t="array" ref="AE258">IFERROR(INDEX(CJ$7:CJ$378,SMALL(IF(CJ$7:CJ$378&lt;&gt;"",ROW(CJ$7:CJ$378)-ROW(CJ$7)+1),ROWS(CJ$7:CJ257))),"")</f>
        <v/>
      </c>
      <c r="AF258" s="3" t="str">
        <f t="array" ref="AF258">IFERROR(INDEX(CK$7:CK$378,SMALL(IF(CK$7:CK$378&lt;&gt;"",ROW(CK$7:CK$378)-ROW(CK$7)+1),ROWS(CK$7:CK257))),"")</f>
        <v/>
      </c>
      <c r="AG258" s="3" t="str">
        <f t="array" ref="AG258">IFERROR(INDEX(CL$7:CL$378,SMALL(IF(CL$7:CL$378&lt;&gt;"",ROW(CL$7:CL$378)-ROW(CL$7)+1),ROWS(CL$7:CL257))),"")</f>
        <v/>
      </c>
      <c r="AH258" s="3"/>
      <c r="AI258" s="3"/>
      <c r="AJ258" s="3"/>
      <c r="AK258" s="3"/>
      <c r="AL258" s="3"/>
      <c r="AM258" s="3"/>
      <c r="AN258" s="52" t="str">
        <f>IF(Atletas!D249="","",IF(Atletas!B249="Feminino",100,IF(Atletas!B249="Masculino",200,""))+(IF(Atletas!D249="Kids 30kg",1,IF(Atletas!D249="Kids 32kg",2, IF(Atletas!D249="Kids 34kg",3,IF(Atletas!D249="Kids 36kg",4,IF(Atletas!D249="Kids 39kg",5,IF(Atletas!D249="Kids 42kg",6,IF(Atletas!D249="Kids 45kg",7, IF(Atletas!D249="Infantil 39kg",8,IF(Atletas!D249="Infantil 42kg",9,IF(Atletas!D249="Infantil 45kg",10,IF(Atletas!D249="Infantil 48kg",11,IF(Atletas!D249="Infantil 52kg",12,IF(Atletas!D249="Infantil 56kg",13,IF(Atletas!D249="Infantil 60kg",14,IF(Atletas!D249="Juvenil 48kg",15,IF(Atletas!D249="Juvenil 52kg",16,IF(Atletas!D249="Juvenil 56kg",17,IF(Atletas!D249="Juvenil 60kg",18,IF(Atletas!D249="Juvenil 65kg",19,IF(Atletas!D249="Juvenil 70kg",20,IF(Atletas!D249="Juvenil 75kg",21,IF(Atletas!D249="Juvenil 80kg",22, IF(Atletas!D249="Juvenil 85kg",23,IF(Atletas!D249="Adulto 48kg",24,IF(Atletas!D249="Adulto 52kg",25,IF(Atletas!D249="Adulto 56kg",26,IF(Atletas!D249="Adulto 60kg",27,IF(Atletas!D249="Adulto 65kg",28,IF(Atletas!D249="Adulto 70kg",29,IF(Atletas!D249="Adulto 75kg",30,IF(Atletas!D249="Adulto 80kg",31,IF(Atletas!D249="Adulto 85kg",32,IF(Atletas!D249="Adulto 90kg",33,IF(Atletas!D249="Adulto 100kg",34, IF(Atletas!D249="Adulto +100kg",35,"")))))))))))))))))))))))))))))))))))))</f>
        <v/>
      </c>
      <c r="AS258" s="6" t="str">
        <f>IF(Atletas!E249="","",IF(Atletas!B249="Feminino",100,IF(Atletas!B249="Masculino",200,""))+(IF(Atletas!E249="Juvenil 44kg",1,IF(Atletas!E249="Juvenil 48kg",2,IF(Atletas!E249="Juvenil 52kg",3,IF(Atletas!E249="Juvenil 56kg",4,IF(Atletas!E249="Juvenil 60kg",5,IF(Atletas!E249="Juvenil 65kg",6,IF(Atletas!E249="Juvenil 70kg",7,IF(Atletas!E249="Juvenil 75kg",8,IF(Atletas!E249="Juvenil 82kg",9,IF(Atletas!E249="Juvenil 90kg",10,IF(Atletas!E249="Juvenil 100kg",11,IF(Atletas!E249="Adulto 48kg",12,IF(Atletas!E249="Adulto 52kg",13,IF(Atletas!E249="Adulto 56kg",14,IF(Atletas!E249="Adulto 60kg",15,IF(Atletas!E249="Adulto 65kg",16,IF(Atletas!E249="Adulto 70kg",17,IF(Atletas!E249="Adulto 75kg",18,IF(Atletas!E249="Adulto 82kg",19,IF(Atletas!E249="Adulto 90kg",20,IF(Atletas!E249="Adulto 100kg",21,IF(Atletas!E249="Adulto +100kg",22,""))))))))))))))))))))))))</f>
        <v/>
      </c>
      <c r="AX258" s="6" t="str">
        <f>IF(Atletas!F249="","",IF(Atletas!B249="Feminino",100,IF(Atletas!B249="Masculino",200,""))+(IF(Atletas!F249="Adulto 48kg",1,IF(Atletas!F249="Adulto 56kg",2,IF(Atletas!F249="Adulto 65kg",3,IF(Atletas!F249="Adulto 75kg",4,IF(Atletas!F249="Adulto +75kg",5,IF(Atletas!F249="Adulto 52kg",6,IF(Atletas!F249="Adulto 60kg",7,IF(Atletas!F249="Adulto 70kg",8,IF(Atletas!F249="Adulto 80kg",9,IF(Atletas!F249="Adulto 90kg",10,IF(Atletas!F249="Adulto +90kg",11,"")))))))))))))</f>
        <v/>
      </c>
      <c r="BC258" s="6" t="str">
        <f>IF(Atletas!G249="","",IF(Atletas!B249="Feminino",10,IF(Atletas!B249="Masculino",20,""))+(IF(Atletas!G249="Baduanjin A",1,IF(Atletas!G249="Baduanjin B",2))))</f>
        <v/>
      </c>
      <c r="BF258" s="52" t="str">
        <f>IF(Atletas!H249="","",IF(Atletas!B249="Feminino",100,IF(Atletas!B249="Masculino",200,""))+(IF(Atletas!H249="Changquan Mirim",1,IF(Atletas!H249="Nanquan Mirim",2,IF(Atletas!H249="Taijiquan Mirim",3,IF(Atletas!H249="Changquan Grupo C",4,IF(Atletas!H249="Nanquan Grupo C",5,IF(Atletas!H249="Taijiquan Grupo C",6,IF(Atletas!H249="Changquan Grupo B",7,IF(Atletas!H249="Nanquan Grupo B",8,IF(Atletas!H249="Taijiquan Grupo B",9,IF(Atletas!H249="Changquan Grupo A",10,IF(Atletas!H249="Nanquan Grupo A",11,IF(Atletas!H249="Taijiquan Grupo A",12,IF(Atletas!H249="Changquan Opcional",13,IF(Atletas!H249="Nanquan Opcional",14,IF(Atletas!H249="Taijiquan Opcional",15,IF(Atletas!H249="Changquan Adulto",16,IF(Atletas!H249="Nanquan Adulto",17,IF(Atletas!H249="Taijiquan Adulto",18,""))))))))))))))))))))</f>
        <v/>
      </c>
      <c r="BG258" s="52" t="str">
        <f>IF(Atletas!I249="","",IF(Atletas!B249="Feminino",100,IF(Atletas!B249="Masculino",200,""))+(IF(Atletas!I249="Daoshu Mirim",19,IF(Atletas!I249="Jianshu Mirim",20,IF(Atletas!I249="Nandao Mirim",21,IF(Atletas!I249="Taijijian Mirim",22,IF(Atletas!I249="Daoshu Grupo C",23,IF(Atletas!I249="Jianshu Grupo C",24,IF(Atletas!I249="Nandao Grupo C",25,IF(Atletas!I249="Taijijian Grupo C",26,IF(Atletas!I249="Daoshu Grupo B",27,IF(Atletas!I249="Jianshu Grupo B",28,IF(Atletas!I249="Nandao Grupo B",29,IF(Atletas!I249="Taijijian Grupo B",30,IF(Atletas!I249="Daoshu Grupo A",31,IF(Atletas!I249="Jianshu Grupo A",32,IF(Atletas!I249="Nandao Grupo A",33,IF(Atletas!I249="Taijijian Grupo A",34,IF(Atletas!I249="Daoshu Opcional",35,IF(Atletas!I249="Jianshu Opcional",36,IF(Atletas!I249="Nandao Opcional",37,IF(Atletas!I249="Taijijian Opcional",38,IF(Atletas!I249="Daoshu Adulto",39,IF(Atletas!I249="Jianshu Adulto",40,IF(Atletas!I249="Nandao Adulto",41,IF(Atletas!I249="Taijijian Adulto",42,""))))))))))))))))))))))))))</f>
        <v/>
      </c>
      <c r="BH258" s="52" t="str">
        <f>IF(Atletas!J249="","",IF(Atletas!B249="Feminino",100,IF(Atletas!B249="Masculino",200,""))+(IF(Atletas!J249="Gunshu Mirim",43,IF(Atletas!J249="Qiangshu Mirim",44,IF(Atletas!J249="Nangun Mirim",45,IF(Atletas!J249="Gunshu Grupo C",46,IF(Atletas!J249="Qiangshu Grupo C",47,IF(Atletas!J249="Nangun Grupo C",48,IF(Atletas!J249="Gunshu Grupo B",49,IF(Atletas!J249="Qiangshu Grupo B",50,IF(Atletas!J249="Nangun Grupo B",51,IF(Atletas!J249="Gunshu Grupo A",52,IF(Atletas!J249="Qiangshu Grupo A",53,IF(Atletas!J249="Nangun Grupo A",54,IF(Atletas!J249="Gunshu Opcional",55,IF(Atletas!J249="Qiangshu Opcional",56,IF(Atletas!J249="Nangun Opcional",57,IF(Atletas!J249="Gunshu Adulto",58,IF(Atletas!J249="Qiangshu Adulto",59,IF(Atletas!J249="Nangun Adulto",60,IF(Atletas!J249="Taijishan Grupo B",61,IF(Atletas!J249="Taijishan Grupo A",62,""))))))))))))))))))))))</f>
        <v/>
      </c>
      <c r="BM258" s="50" t="str">
        <f>IF(Atletas!K249="","",IF(Atletas!B249="Feminino",100,IF(Atletas!B249="Masculino",200,""))+(IF(Atletas!K249="Equipe 1 Grupo B",1,IF(Atletas!K249="Equipe 2 Grupo B",2,IF(Atletas!K249="Equipe 1 Grupo A",3,IF(Atletas!K249="Equipe 2 Grupo A",4,IF(Atletas!K249="Equipe 1 Adulto",5,IF(Atletas!K249="Equipe 2 Adulto",6,""))))))))</f>
        <v/>
      </c>
      <c r="BR258" s="50" t="str">
        <f>IF(Atletas!L249="","",IF(Atletas!X249&lt;&gt;"",10000,0)+(IF(Atletas!B249="Feminino",1000,IF(Atletas!B249="Masculino",2000,""))+IF(Atletas!L249="Choylayfut A",1,IF(Atletas!L249="Hunggar A",2,IF(Atletas!L249="Wuzuquan A",3,IF(Atletas!L249="Wingchun A",4,IF(Atletas!L249="Outra Mão de Sul A",5,IF(Atletas!L249="Choylayfut B",6,IF(Atletas!L249="Hunggar B",7,IF(Atletas!L249="Wuzuquan B",8,IF(Atletas!L249="Wingchun B",9,IF(Atletas!L249="Outra Mão de Sul B",10,IF(Atletas!L249="Choylayfut C",11,IF(Atletas!L249="Hunggar C",12,IF(Atletas!L249="Wuzuquan C",13,IF(Atletas!L249="Wingchun C",14,IF(Atletas!L249="Outra Mão de Sul C",15,IF(Atletas!L249="Choylayfut D",16,IF(Atletas!L249="Hunggar D",17,IF(Atletas!L249="Wuzuquan D",18,IF(Atletas!L249="Wingchun D",19,IF(Atletas!L249="Outra Mão de Sul D",20,IF(Atletas!L249="Choylayfut E",21,IF(Atletas!L249="Hunggar E",22,IF(Atletas!L249="Wuzuquan E",23,IF(Atletas!L249="Wingchun E",24,IF(Atletas!L249="Outra Mão de Sul E",25,IF(Atletas!L249="Choylayfut F",26,IF(Atletas!L249="Hunggar F",27,IF(Atletas!L249="Wuzuquan F",28,IF(Atletas!L249="Wingchun F",29,IF(Atletas!L249="Outra Mão de Sul F",30,IF(Atletas!L249="Dishuquan A",31,IF(Atletas!L249="Dishuquan B",32,IF(Atletas!L249="Dishuquan C",33,IF(Atletas!L249="Dishuquan D",34,IF(Atletas!L249="Dishuquan E",35,IF(Atletas!L249="Dishuquan F",36,""))))))))))))))))))))))))))))))))))))))</f>
        <v/>
      </c>
      <c r="BS258" s="50" t="str">
        <f>IF(Atletas!M249="","",IF(Atletas!X249&lt;&gt;"",10000,0)+(IF(Atletas!B249="Feminino",1000,IF(Atletas!B249="Masculino",2000,""))+(IF(Atletas!M249="Chaquan A",101,IF(Atletas!M249="Emeiquan A",102,IF(Atletas!M249="Fanziquan A",103,IF(Atletas!M249="Huaquan A",104,IF(Atletas!M249="Hongquan A",105,IF(Atletas!M249="Paoquan A",106,IF(Atletas!M249="Piguaquan A",107,IF(Atletas!M249="Shaolinquan A",108,IF(Atletas!M249="Tanglangquan A",109,IF(Atletas!M249="Yingzhaoquan A",110,IF(Atletas!M249="Tongbeiquan A",111,IF(Atletas!M249="Wudangquan A",112,IF(Atletas!M249="Outros Estilos A",113,IF(Atletas!M249="Chaquan B",114,IF(Atletas!M249="Emeiquan B",115,IF(Atletas!M249="Fanziquan B",116,IF(Atletas!M249="Huaquan B",117,IF(Atletas!M249="Hongquan B",118,IF(Atletas!M249="Paoquan B",119,IF(Atletas!M249="Piguaquan B",120,IF(Atletas!M249="Shaolinquan B",121,IF(Atletas!M249="Tanglangquan B",122,IF(Atletas!M249="Yingzhaoquan B",123,IF(Atletas!M249="Tongbeiquan B",124,IF(Atletas!M249="Wudangquan B",125,IF(Atletas!M249="Outros Estilos B",126,IF(Atletas!M249="Chaquan C",127,IF(Atletas!M249="Emeiquan C",128,IF(Atletas!M249="Fanziquan C",129,IF(Atletas!M249="Huaquan C",130,IF(Atletas!M249="Hongquan C",131,IF(Atletas!M249="Paoquan C",132,IF(Atletas!M249="Piguaquan C",133,IF(Atletas!M249="Shaolinquan C",134,IF(Atletas!M249="Tanglangquan C",135,IF(Atletas!M249="Yingzhaoquan C",136,IF(Atletas!M249="Tongbeiquan C",137,IF(Atletas!M249="Wudangquan C",138,IF(Atletas!M249="Outros Estilos C",139,0))))))))))))))))))))))))))))))))))))))))))</f>
        <v/>
      </c>
      <c r="BT258" s="50" t="str">
        <f>IF(Atletas!M249="","",IF(Atletas!X249&lt;&gt;"",10000,0)+(IF(Atletas!B249="Feminino",1000,IF(Atletas!B249="Masculino",2000,""))+(IF(Atletas!M249="Chaquan D",140,IF(Atletas!M249="Emeiquan D",141,IF(Atletas!M249="Fanziquan D",142,IF(Atletas!M249="Huaquan D",143,IF(Atletas!M249="Hongquan D",144,IF(Atletas!M249="Paoquan D",145,IF(Atletas!M249="Piguaquan D",146,IF(Atletas!M249="Shaolinquan D",147,IF(Atletas!M249="Tanglangquan D",148,IF(Atletas!M249="Yingzhaoquan D",149,IF(Atletas!M249="Tongbeiquan D",150,IF(Atletas!M249="Wudangquan D",151,IF(Atletas!M249="Outros Estilos D",152,IF(Atletas!M249="Chaquan E",153,IF(Atletas!M249="Emeiquan E",154,IF(Atletas!M249="Fanziquan E",155,IF(Atletas!M249="Huaquan E",156,IF(Atletas!M249="Hongquan E",157,IF(Atletas!M249="Paoquan E",158,IF(Atletas!M249="Piguaquan E",159,IF(Atletas!M249="Shaolinquan E",160,IF(Atletas!M249="Tanglangquan E",161,IF(Atletas!M249="Yingzhaoquan E",162,IF(Atletas!M249="Tongbeiquan E",163,IF(Atletas!M249="Wudangquan E",164,IF(Atletas!M249="Outros Estilos E",165,IF(Atletas!M249="Chaquan F",166,IF(Atletas!M249="Emeiquan F",167,IF(Atletas!M249="Fanziquan F",168,IF(Atletas!M249="Huaquan F",169,IF(Atletas!M249="Hongquan F",170,IF(Atletas!M249="Paoquan F",171,IF(Atletas!M249="Piguaquan F",172,IF(Atletas!M249="Shaolinquan F",173,IF(Atletas!M249="Tanglangquan F",174,IF(Atletas!M249="Yingzhaoquan F",175,IF(Atletas!M249="Tongbeiquan F",176,IF(Atletas!M249="Wudangquan F",177,IF(Atletas!M249="Outros Estilos F",178,0))))))))))))))))))))))))))))))))))))))))))</f>
        <v/>
      </c>
      <c r="BU258" s="50" t="str">
        <f>IF(Atletas!N249="","",IF(Atletas!X249&lt;&gt;"",10000,0)+(IF(Atletas!B249="Feminino",1000,IF(Atletas!B249="Masculino",2000,""))+(IF(Atletas!N249="Ditangquan A",201,IF(Atletas!N249="Houquan A",202,IF(Atletas!N249="Zuiquan A",203,IF(Atletas!N249="Ditangquan B",204,IF(Atletas!N249="Houquan B",205,IF(Atletas!N249="Zuiquan B",206,IF(Atletas!N249="Ditangquan C",207,IF(Atletas!N249="Houquan C",208,IF(Atletas!N249="Zuiquan C",209,IF(Atletas!N249="Ditangquan D",210,IF(Atletas!N249="Houquan D",211,IF(Atletas!N249="Zuiquan D",212,IF(Atletas!N249="Ditangquan E",213,IF(Atletas!N249="Houquan E",214,IF(Atletas!N249="Zuiquan E",215,IF(Atletas!N249="Ditangquan F",216,IF(Atletas!N249="Houquan F",217,IF(Atletas!N249="Zuiquan F",218,"")))))))))))))))))))))</f>
        <v/>
      </c>
      <c r="BV258" s="50" t="str">
        <f>IF(Atletas!O249="","",IF(Atletas!X249&lt;&gt;"",10000,0)+IF(Atletas!B249="Feminino",1000,IF(Atletas!B249="Masculino",2000,""))+IF(Atletas!O249="Yang A",301,IF(Atletas!O249="Chen A",302,IF(Atletas!O249="Sun A",303,IF(Atletas!O249="Wu A",304,IF(Atletas!O249="Wu-Hao A",305,IF(Atletas!O249="Outro Taijiquan A",306,IF(Atletas!O249="Yang B",307,IF(Atletas!O249="Chen B",308,IF(Atletas!O249="Sun B",309,IF(Atletas!O249="Wu B",310,IF(Atletas!O249="Wu-Hao B",311,IF(Atletas!O249="Outro Taijiquan B",312,IF(Atletas!O249="Yang C",313,IF(Atletas!O249="Chen C",314,IF(Atletas!O249="Sun C",315,IF(Atletas!O249="Wu C",316,IF(Atletas!O249="Wu-Hao C",317,IF(Atletas!O249="Outro Taijiquan C",318,IF(Atletas!O249="Yang D",319,IF(Atletas!O249="Chen D",320,IF(Atletas!O249="Sun D",321,IF(Atletas!O249="Wu D",322,IF(Atletas!O249="Wu-Hao D",323,IF(Atletas!O249="Outro Taijiquan D",324,IF(Atletas!O249="Yang E",325,IF(Atletas!O249="Chen E",326,IF(Atletas!O249="Sun E",327,IF(Atletas!O249="Wu E",328,IF(Atletas!O249="Wu-Hao E",329,IF(Atletas!O249="Outro Taijiquan E",330,IF(Atletas!O249="Yang F",331,IF(Atletas!O249="Chen F",332,IF(Atletas!O249="Sun F",333,IF(Atletas!O249="Wu F",334,IF(Atletas!O249="Wu-Hao F",335,IF(Atletas!O249="Outro Taijiquan F",336,"")))))))))))))))))))))))))))))))))))))</f>
        <v/>
      </c>
      <c r="BW258" s="50" t="str">
        <f>IF(Atletas!P249="","",IF(Atletas!X249&lt;&gt;"",10000,0)+IF(Atletas!B249="Feminino",1000,IF(Atletas!B249="Masculino",2000,""))+IF(OR(Atletas!P249="Yang 26 A",Atletas!P249="Yang 40 A"),401,IF(OR(Atletas!P249="Chen 25 A",Atletas!P249="Chen 36 A",Atletas!P249="Chen 56 A"),402,IF(Atletas!P249="Sun 73 A",403,IF(Atletas!P249="Wu 45 A",404,IF(Atletas!P249="Wu-Hao 46 A",405,IF(OR(Atletas!P249="Taijiquan 16 A",Atletas!P249="Taijiquan 24 A",Atletas!P249="Taijiquan 32 A",Atletas!P249="Taijiquan 42 A"),406,IF(OR(Atletas!P249="Yang 26 B",Atletas!P249="Yang 40 B"),407,IF(OR(Atletas!P249="Chen 25 B",Atletas!P249="Chen 36 B",Atletas!P249="Chen 56 B"),408,IF(Atletas!P249="Sun 73 B",409,IF(Atletas!P249="Wu 45 B",410,IF(Atletas!P249="Wu-Hao 46 B",411,IF(OR(Atletas!P249="Taijiquan 16 B",Atletas!P249="Taijiquan 24 B",Atletas!P249="Taijiquan 32 B",Atletas!P249="Taijiquan 42 B"),412,IF(OR(Atletas!P249="Yang 26 C",Atletas!P249="Yang 40 C"),413,IF(OR(Atletas!P249="Chen 25 C",Atletas!P249="Chen 36 C",Atletas!P249="Chen 56 C"),414,IF(Atletas!P249="Sun 73 C",415,IF(Atletas!P249="Wu 45 C",416,IF(Atletas!P249="Wu-Hao 46 C",417,IF(OR(Atletas!P249="Taijiquan 16 C",Atletas!P249="Taijiquan 24 C",Atletas!P249="Taijiquan 32 C",Atletas!P249="Taijiquan 42 C"),418,0)))))))))))))))))))</f>
        <v/>
      </c>
      <c r="BX258" s="50" t="str">
        <f>IF(Atletas!P249="","",IF(Atletas!X249&lt;&gt;"",10000,0)+IF(Atletas!B249="Feminino",1000,IF(Atletas!B249="Masculino",2000,""))+IF(OR(Atletas!P249="Yang 26 D",Atletas!P249="Yang 40 D"),419,IF(OR(Atletas!P249="Chen 25 D",Atletas!P249="Chen 36 D",Atletas!P249="Chen 56 D"),420,IF(Atletas!P249="Sun 73 D",421,IF(Atletas!P249="Wu 45 D",422,IF(Atletas!P249="Wu-Hao 46 D",423,IF(OR(Atletas!P249="Taijiquan 16 D",Atletas!P249="Taijiquan 24 D",Atletas!P249="Taijiquan 32 D",Atletas!P249="Taijiquan 42 D"),424,IF(OR(Atletas!P249="Yang 26 E",Atletas!P249="Yang 40 E"),425,IF(OR(Atletas!P249="Chen 25 E",Atletas!P249="Chen 36 E",Atletas!P249="Chen 56 E"),426,IF(Atletas!P249="Sun 73 E",427,IF(Atletas!P249="Wu 45 E",428,IF(Atletas!P249="Wu-Hao 46 E",429,IF(OR(Atletas!P249="Taijiquan 16 E",Atletas!P249="Taijiquan 24 E",Atletas!P249="Taijiquan 32 E",Atletas!P249="Taijiquan 42 E"),430,IF(OR(Atletas!P249="Yang 26 F",Atletas!P249="Yang 40 F"),431,IF(OR(Atletas!P249="Chen 25 F",Atletas!P249="Chen 36 F",Atletas!P249="Chen 56 F"),432,IF(Atletas!P249="Sun 73 F",433,IF(Atletas!P249="Wu 45 F",434,IF(Atletas!P249="Wu-Hao 46 F",435,IF(OR(Atletas!P249="Taijiquan 16 F",Atletas!P249="Taijiquan 24 F",Atletas!P249="Taijiquan 32 F",Atletas!P249="Taijiquan 42 F"),436,0)))))))))))))))))))</f>
        <v/>
      </c>
      <c r="BY258" s="50" t="str">
        <f>IF(Atletas!Q249="","",IF(Atletas!X249&lt;&gt;"",10000,0)+IF(Atletas!B249="Feminino",1000,IF(Atletas!B249="Masculino",2000,""))+IF(Atletas!Q249="Xingyiquan A",501,IF(Atletas!Q249="Baguazhang A",502,IF(Atletas!Q249="Outro Estilo Interno A",503,IF(Atletas!Q249="Xingyiquan B",504,IF(Atletas!Q249="Baguazhang B",505,IF(Atletas!Q249="Outro Estilo Interno B",506,IF(Atletas!Q249="Xingyiquan C",507,IF(Atletas!Q249="Baguazhang C",508,IF(Atletas!Q249="Outro Estilo Interno C",509,IF(Atletas!Q249="Xingyiquan D",510,IF(Atletas!Q249="Baguazhang D",511,IF(Atletas!Q249="Outro Estilo Interno D",512,IF(Atletas!Q249="Xingyiquan E",513,IF(Atletas!Q249="Baguazhang E",514,IF(Atletas!Q249="Outro Estilo Interno E",515,IF(Atletas!Q249="Xingyiquan F",516,IF(Atletas!Q249="Baguazhang F",517,IF(Atletas!Q249="Outro Estilo Interno F",518, "")))))))))))))))))))</f>
        <v/>
      </c>
      <c r="BZ258" s="50" t="str">
        <f>IF(Atletas!R249="","",IF(Atletas!X249&lt;&gt;"",10000,0)+IF(Atletas!B249="Feminino",1000,IF(Atletas!B249="Masculino",2000,""))+IF(Atletas!R249="Dao A",601,IF(Atletas!R249="Jian A",602,IF(Atletas!R249="Bishou A",603,IF(Atletas!R249="Shanzi A",604,IF(Atletas!R249="Outra Arma Curta A",605,IF(Atletas!R249="Dao B",606,IF(Atletas!R249="Jian B",607,IF(Atletas!R249="Bishou B",608,IF(Atletas!R249="Shanzi B",609,IF(Atletas!R249="Outra Arma Curta B",610,IF(Atletas!R249="Dao C",611,IF(Atletas!R249="Jian C",612,IF(Atletas!R249="Bishou C",613,IF(Atletas!R249="Shanzi C",614,IF(Atletas!R249="Outra Arma Curta C",615,IF(Atletas!R249="Dao D",616,IF(Atletas!R249="Jian D",617,IF(Atletas!R249="Bishou D",618,IF(Atletas!R249="Shanzi D",619,IF(Atletas!R249="Outra Arma Curta D",620,IF(Atletas!R249="Dao E",621,IF(Atletas!R249="Jian E",622,IF(Atletas!R249="Bishou E",623,IF(Atletas!R249="Shanzi E",624,IF(Atletas!R249="Outra Arma Curta E",625,IF(Atletas!R249="Dao F",626,IF(Atletas!R249="Jian F",627,IF(Atletas!R249="Bishou F",628,IF(Atletas!R249="Shanzi F",629,IF(Atletas!R249="Outra Arma Curta F",630, "")))))))))))))))))))))))))))))))</f>
        <v/>
      </c>
      <c r="CA258" s="50" t="str">
        <f>IF(Atletas!S249="","",IF(Atletas!X249&lt;&gt;"",10000,0)+IF(Atletas!B249="Feminino",1000,IF(Atletas!B249="Masculino",2000,""))+IF(Atletas!S249="Gun A",701,IF(Atletas!S249="Qiang A",702,IF(Atletas!S249="Pudao / Guandao A",703,IF(Atletas!S249="Outra Arma Longa A",704,IF(Atletas!S249="Gun B",705,IF(Atletas!S249="Qiang B",706,IF(Atletas!S249="Pudao / Guandao B",707,IF(Atletas!S249="Outra Arma Longa B",708,IF(Atletas!S249="Gun C",709,IF(Atletas!S249="Qiang C",710,IF(Atletas!S249="Pudao / Guandao C",711,IF(Atletas!S249="Outra Arma Longa C",712,IF(Atletas!S249="Gun D",713,IF(Atletas!S249="Qiang D",714,IF(Atletas!S249="Pudao / Guandao D",715,IF(Atletas!S249="Outra Arma Longa D",716,IF(Atletas!S249="Gun E",717,IF(Atletas!S249="Qiang E",718,IF(Atletas!S249="Pudao / Guandao E",719,IF(Atletas!S249="Outra Arma Longa E",720,IF(Atletas!S249="Gun F",721,IF(Atletas!S249="Qiang F",722,IF(Atletas!S249="Pudao / Guandao F",723,IF(Atletas!S249="Outra Arma Longa F",724,"")))))))))))))))))))))))))</f>
        <v/>
      </c>
      <c r="CB258" s="50" t="str">
        <f>IF(Atletas!T249="","",IF(Atletas!X249&lt;&gt;"",10000,0)+IF(Atletas!B249="Feminino",1000,IF(Atletas!B249="Masculino",2000,""))+IF(Atletas!T249="Outra Arma Dupla A",801,IF(Atletas!T249="Arma Maleável A",802,IF(Atletas!T249="Outra Arma Dupla B",803,IF(Atletas!T249="Arma Maleável B",804,IF(Atletas!T249="Outra Arma Dupla C",805,IF(Atletas!T249="Arma Maleável C",806,IF(Atletas!T249="Outra Arma Dupla D",807,IF(Atletas!T249="Arma Maleável D",808,IF(Atletas!T249="Outra Arma Dupla E",809,IF(Atletas!T249="Arma Maleável E",810,IF(Atletas!T249="Outra Arma Dupla F",811,IF(Atletas!T249="Arma Maleável F",812,IF(Atletas!T249="Shuangdao A",813,IF(Atletas!T249="Shuangdao B",814,IF(Atletas!T249="Shuangdao C",815,IF(Atletas!T249="Shuangdao D",816,IF(Atletas!T249="Shuangdao E",817,IF(Atletas!T249="Shuangdao F",818,"")))))))))))))))))))</f>
        <v/>
      </c>
      <c r="CC258" s="50" t="str">
        <f>IF(Atletas!U249="","",IF(Atletas!X249&lt;&gt;"",10000,0)+IF(Atletas!B249="Feminino",1000,IF(Atletas!B249="Masculino",2000,""))+IF(OR(Atletas!U249="Taijijian Yang A",Atletas!U249="Taijijian Yang Standard A"),901,IF(OR(Atletas!U249="Taijijian Chen A", Atletas!U249="Taijijian Chen Standard A"),902,IF(Atletas!U249="Taijijian Sun A",903,IF(Atletas!U249="Taijijian Wu A",904,IF(Atletas!U249="Taijijian Wu-Hao A",905,IF(OR(Atletas!U249="Taijijian 32 A",Atletas!U249="Taijijian 42 A"),906,IF(OR(Atletas!U249="Taijijian Yang B",Atletas!U249="Taijijian Yang Standard B"),907,IF(OR(Atletas!U249="Taijijian Chen B", Atletas!U249="Taijijian Chen Standard B"),908,IF(Atletas!U249="Taijijian Sun B",909,IF(Atletas!U249="Taijijian Wu B",910,IF(Atletas!U249="Taijijian Wu-Hao B",911,IF(OR(Atletas!U249="Taijijian 32 B",Atletas!U249="Taijijian 42 B"),912,IF(OR(Atletas!U249="Taijijian Yang C",Atletas!U249="Taijijian Yang Standard C"),913,IF(OR(Atletas!U249="Taijijian Chen C", Atletas!U249="Taijijian Chen Standard C"),914,IF(Atletas!U249="Taijijian Sun C",915,IF(Atletas!U249="Taijijian Wu C",916,IF(Atletas!U249="Taijijian Wu-Hao C",917,IF(OR(Atletas!U249="Taijijian 32 C",Atletas!U249="Taijijian 42 C"),918,IF(OR(Atletas!U249="Taijijian Yang D",Atletas!U249="Taijijian Yang Standard D"),919,IF(OR(Atletas!U249="Taijijian Chen D", Atletas!U249="Taijijian Chen Standard D"),920,IF(Atletas!U249="Taijijian Sun D",921,IF(Atletas!U249="Taijijian Wu D",922,IF(Atletas!U249="Taijijian Wu-Hao D",923,IF(OR(Atletas!U249="Taijijian 32 D",Atletas!U249="Taijijian 42 D"),924,IF(OR(Atletas!U249="Taijijian Yang E",Atletas!U249="Taijijian Yang Standard E"),925,IF(OR(Atletas!U249="Taijijian Chen E", Atletas!U249="Taijijian Chen Standard E"),926,IF(Atletas!U249="Taijijian Sun E",927,IF(Atletas!U249="Taijijian Wu E",928,IF(Atletas!U249="Taijijian Wu-Hao E",929,IF(OR(Atletas!U249="Taijijian 32 E",Atletas!U249="Taijijian 42 E"),930,IF(OR(Atletas!U249="Taijijian Yang F",Atletas!U249="Taijijian Yang Standard F"),931,IF(OR(Atletas!U249="Taijijian Chen F", Atletas!U249="Taijijian Chen Standard F"),932,IF(Atletas!U249="Taijijian Sun F",933,IF(Atletas!U249="Taijijian Wu F",934,IF(Atletas!U249="Taijijian Wu-Hao F",935,IF(OR(Atletas!U249="Taijijian 32 F",Atletas!U249="Taijijian 42 F"),936,"")))))))))))))))))))))))))))))))))))))</f>
        <v/>
      </c>
      <c r="CD258" s="50" t="str">
        <f>IF(Atletas!V249="","",IF(Atletas!X249&lt;&gt;"",10000,0)+IF(Atletas!B249="Feminino",1000,IF(Atletas!B249="Masculino",2000,""))+IF(Atletas!V249="Taijidao A",937,IF(Atletas!V249="TaijiShanzi A",938,IF(Atletas!V249="Taijiqiang A",939,IF(Atletas!V249="Bagua de Arma A",940,IF(Atletas!V249="Xingyi de Arma A",941,IF(Atletas!V249="Taijidao B",942,IF(Atletas!V249="TaijiShanzi B",943,IF(Atletas!V249="Taijiqiang B",944,IF(Atletas!V249="Bagua de Arma B",945,IF(Atletas!V249="Xingyi de Arma B",946,IF(Atletas!V249="Taijidao C",947,IF(Atletas!V249="TaijiShanzi C",948,IF(Atletas!V249="Taijiqiang C",949,IF(Atletas!V249="Bagua de Arma C",950,IF(Atletas!V249="Xingyi de Arma C",951,IF(Atletas!V249="Taijidao D",952,IF(Atletas!V249="TaijiShanzi D",953,IF(Atletas!V249="Taijiqiang D",954,IF(Atletas!V249="Bagua de Arma D",955,IF(Atletas!V249="Xingyi de Arma D",956,IF(Atletas!V249="Taijidao E",957,IF(Atletas!V249="TaijiShanzi E",958,IF(Atletas!V249="Taijiqiang E",959,IF(Atletas!V249="Bagua de Arma E",960,IF(Atletas!V249="Xingyi de Arma E",961,IF(Atletas!V249="Taijidao F",962,IF(Atletas!V249="TaijiShanzi F",963,IF(Atletas!V249="Taijiqiang F",964,IF(Atletas!V249="Bagua de Arma F",965,IF(Atletas!V249="Xingyi de Arma F",966,"")))))))))))))))))))))))))))))))</f>
        <v/>
      </c>
      <c r="CE258" s="66" t="str">
        <f>IF(CF258&lt;&gt;"","Outra Arma Curta F","")</f>
        <v/>
      </c>
      <c r="CF258" s="66" t="str">
        <f>IF(COUNTIF(BR:CD,1630)&gt;0,COUNTIF(BR:CD,1630),"")</f>
        <v/>
      </c>
      <c r="CG258" s="66" t="str">
        <f>IF(CH258&lt;&gt;"","Outra Arma Curta F","")</f>
        <v/>
      </c>
      <c r="CH258" s="66" t="str">
        <f>IF(COUNTIF(BR:CD,2630)&gt;0,COUNTIF(BR:CD,2630),"")</f>
        <v/>
      </c>
      <c r="CI258" s="66" t="str">
        <f>IF(CJ258&lt;&gt;"","Qiang B","")</f>
        <v/>
      </c>
      <c r="CJ258" s="66" t="str">
        <f>IF(COUNTIF(BR:CD,11706)&gt;0,COUNTIF(BR:CD,11706),"")</f>
        <v/>
      </c>
      <c r="CK258" s="66" t="str">
        <f>IF(CL258&lt;&gt;"","Qiang B","")</f>
        <v/>
      </c>
      <c r="CL258" s="6" t="str">
        <f>IF(COUNTIF(BR:CD,12706)&gt;0,COUNTIF(BR:CD,12706),"")</f>
        <v/>
      </c>
      <c r="CM258" s="50" t="str">
        <f xml:space="preserve"> IF(Atletas!W249="","",IF(Atletas!W249="Duilian de Mãos BC - Equipe 1",1,IF(Atletas!W249="Duilian de Mãos BC - Equipe 2",2,IF(Atletas!W249="Duilian de Armas BC - Equipe 1",3,IF(Atletas!W249="Duilian de Armas BC - Equipe 2",4,IF(Atletas!W249="Duilian de Mãos DE - Equipe 1",5,IF(Atletas!W249="Duilian de Mãos DE - Equipe 2",6,IF(Atletas!W249="Duilian de Armas DE - Equipe 1",7,IF(Atletas!W249="Duilian de Armas DE - Equipe 2",8,IF(Atletas!W249="Duilian de Tuishou - Equipe 1",9,IF(Atletas!W249="Duilian de Tuishou - Equipe 2",10,IF(Atletas!W249="Grupo Externo ABC - Equipe 1",11,IF(Atletas!W249="Grupo Externo ABC - Equipe 2",12,IF(Atletas!W249="Grupo Interno ABC - Equipe 1",13,IF(Atletas!W249="Grupo Interno ABC - Equipe 2",14,IF(Atletas!W249="Grupo Externo DEF - Equipe 1",15,IF(Atletas!W249="Grupo Externo DEF - Equipe 2",16,IF(Atletas!W249="Grupo Interno DEF - Equipe 1",17,IF(Atletas!W249="Grupo Interno DEF - Equipe 2",18,"")))))))))))))))))))</f>
        <v/>
      </c>
    </row>
    <row r="259" spans="2:91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 t="str">
        <f t="array" ref="Z259">IFERROR(INDEX(CE$7:CE$348,SMALL(IF(CE$7:CE$348&lt;&gt;"",ROW(CE$7:CE$348)-ROW(CE$7)+1),ROWS(CE$7:CE258))),"")</f>
        <v/>
      </c>
      <c r="AA259" s="3" t="str">
        <f t="array" ref="AA259">IFERROR(INDEX(CF$7:CF$348,SMALL(IF(CF$7:CF$348&lt;&gt;"",ROW(CF$7:CF$348)-ROW(CF$7)+1),ROWS(CF$7:CF258))),"")</f>
        <v/>
      </c>
      <c r="AB259" s="3" t="str">
        <f t="array" ref="AB259">IFERROR(INDEX(CG$7:CG$348,SMALL(IF(CG$7:CG$348&lt;&gt;"",ROW(CG$7:CG$348)-ROW(CG$7)+1),ROWS(CG$7:CG258))),"")</f>
        <v/>
      </c>
      <c r="AC259" s="3" t="str">
        <f t="array" ref="AC259">IFERROR(INDEX(CH$7:CH$348,SMALL(IF(CH$7:CH$348&lt;&gt;"",ROW(CH$7:CH$348)-ROW(CH$7)+1),ROWS(CH$7:CH258))),"")</f>
        <v/>
      </c>
      <c r="AD259" s="3" t="str">
        <f t="array" ref="AD259">IFERROR(INDEX(CI$7:CI$377,SMALL(IF(CI$7:CI$377&lt;&gt;"",ROW(CI$7:CI$377)-ROW(CI$7)+1),ROWS(CI$7:CI258))),"")</f>
        <v/>
      </c>
      <c r="AE259" s="3" t="str">
        <f t="array" ref="AE259">IFERROR(INDEX(CJ$7:CJ$378,SMALL(IF(CJ$7:CJ$378&lt;&gt;"",ROW(CJ$7:CJ$378)-ROW(CJ$7)+1),ROWS(CJ$7:CJ258))),"")</f>
        <v/>
      </c>
      <c r="AF259" s="3" t="str">
        <f t="array" ref="AF259">IFERROR(INDEX(CK$7:CK$378,SMALL(IF(CK$7:CK$378&lt;&gt;"",ROW(CK$7:CK$378)-ROW(CK$7)+1),ROWS(CK$7:CK258))),"")</f>
        <v/>
      </c>
      <c r="AG259" s="3" t="str">
        <f t="array" ref="AG259">IFERROR(INDEX(CL$7:CL$378,SMALL(IF(CL$7:CL$378&lt;&gt;"",ROW(CL$7:CL$378)-ROW(CL$7)+1),ROWS(CL$7:CL258))),"")</f>
        <v/>
      </c>
      <c r="AH259" s="3"/>
      <c r="AI259" s="3"/>
      <c r="AJ259" s="3"/>
      <c r="AK259" s="3"/>
      <c r="AL259" s="3"/>
      <c r="AM259" s="3"/>
      <c r="AN259" s="52" t="str">
        <f>IF(Atletas!D250="","",IF(Atletas!B250="Feminino",100,IF(Atletas!B250="Masculino",200,""))+(IF(Atletas!D250="Kids 30kg",1,IF(Atletas!D250="Kids 32kg",2, IF(Atletas!D250="Kids 34kg",3,IF(Atletas!D250="Kids 36kg",4,IF(Atletas!D250="Kids 39kg",5,IF(Atletas!D250="Kids 42kg",6,IF(Atletas!D250="Kids 45kg",7, IF(Atletas!D250="Infantil 39kg",8,IF(Atletas!D250="Infantil 42kg",9,IF(Atletas!D250="Infantil 45kg",10,IF(Atletas!D250="Infantil 48kg",11,IF(Atletas!D250="Infantil 52kg",12,IF(Atletas!D250="Infantil 56kg",13,IF(Atletas!D250="Infantil 60kg",14,IF(Atletas!D250="Juvenil 48kg",15,IF(Atletas!D250="Juvenil 52kg",16,IF(Atletas!D250="Juvenil 56kg",17,IF(Atletas!D250="Juvenil 60kg",18,IF(Atletas!D250="Juvenil 65kg",19,IF(Atletas!D250="Juvenil 70kg",20,IF(Atletas!D250="Juvenil 75kg",21,IF(Atletas!D250="Juvenil 80kg",22, IF(Atletas!D250="Juvenil 85kg",23,IF(Atletas!D250="Adulto 48kg",24,IF(Atletas!D250="Adulto 52kg",25,IF(Atletas!D250="Adulto 56kg",26,IF(Atletas!D250="Adulto 60kg",27,IF(Atletas!D250="Adulto 65kg",28,IF(Atletas!D250="Adulto 70kg",29,IF(Atletas!D250="Adulto 75kg",30,IF(Atletas!D250="Adulto 80kg",31,IF(Atletas!D250="Adulto 85kg",32,IF(Atletas!D250="Adulto 90kg",33,IF(Atletas!D250="Adulto 100kg",34, IF(Atletas!D250="Adulto +100kg",35,"")))))))))))))))))))))))))))))))))))))</f>
        <v/>
      </c>
      <c r="AS259" s="6" t="str">
        <f>IF(Atletas!E250="","",IF(Atletas!B250="Feminino",100,IF(Atletas!B250="Masculino",200,""))+(IF(Atletas!E250="Juvenil 44kg",1,IF(Atletas!E250="Juvenil 48kg",2,IF(Atletas!E250="Juvenil 52kg",3,IF(Atletas!E250="Juvenil 56kg",4,IF(Atletas!E250="Juvenil 60kg",5,IF(Atletas!E250="Juvenil 65kg",6,IF(Atletas!E250="Juvenil 70kg",7,IF(Atletas!E250="Juvenil 75kg",8,IF(Atletas!E250="Juvenil 82kg",9,IF(Atletas!E250="Juvenil 90kg",10,IF(Atletas!E250="Juvenil 100kg",11,IF(Atletas!E250="Adulto 48kg",12,IF(Atletas!E250="Adulto 52kg",13,IF(Atletas!E250="Adulto 56kg",14,IF(Atletas!E250="Adulto 60kg",15,IF(Atletas!E250="Adulto 65kg",16,IF(Atletas!E250="Adulto 70kg",17,IF(Atletas!E250="Adulto 75kg",18,IF(Atletas!E250="Adulto 82kg",19,IF(Atletas!E250="Adulto 90kg",20,IF(Atletas!E250="Adulto 100kg",21,IF(Atletas!E250="Adulto +100kg",22,""))))))))))))))))))))))))</f>
        <v/>
      </c>
      <c r="AX259" s="6" t="str">
        <f>IF(Atletas!F250="","",IF(Atletas!B250="Feminino",100,IF(Atletas!B250="Masculino",200,""))+(IF(Atletas!F250="Adulto 48kg",1,IF(Atletas!F250="Adulto 56kg",2,IF(Atletas!F250="Adulto 65kg",3,IF(Atletas!F250="Adulto 75kg",4,IF(Atletas!F250="Adulto +75kg",5,IF(Atletas!F250="Adulto 52kg",6,IF(Atletas!F250="Adulto 60kg",7,IF(Atletas!F250="Adulto 70kg",8,IF(Atletas!F250="Adulto 80kg",9,IF(Atletas!F250="Adulto 90kg",10,IF(Atletas!F250="Adulto +90kg",11,"")))))))))))))</f>
        <v/>
      </c>
      <c r="BC259" s="6" t="str">
        <f>IF(Atletas!G250="","",IF(Atletas!B250="Feminino",10,IF(Atletas!B250="Masculino",20,""))+(IF(Atletas!G250="Baduanjin A",1,IF(Atletas!G250="Baduanjin B",2))))</f>
        <v/>
      </c>
      <c r="BF259" s="52" t="str">
        <f>IF(Atletas!H250="","",IF(Atletas!B250="Feminino",100,IF(Atletas!B250="Masculino",200,""))+(IF(Atletas!H250="Changquan Mirim",1,IF(Atletas!H250="Nanquan Mirim",2,IF(Atletas!H250="Taijiquan Mirim",3,IF(Atletas!H250="Changquan Grupo C",4,IF(Atletas!H250="Nanquan Grupo C",5,IF(Atletas!H250="Taijiquan Grupo C",6,IF(Atletas!H250="Changquan Grupo B",7,IF(Atletas!H250="Nanquan Grupo B",8,IF(Atletas!H250="Taijiquan Grupo B",9,IF(Atletas!H250="Changquan Grupo A",10,IF(Atletas!H250="Nanquan Grupo A",11,IF(Atletas!H250="Taijiquan Grupo A",12,IF(Atletas!H250="Changquan Opcional",13,IF(Atletas!H250="Nanquan Opcional",14,IF(Atletas!H250="Taijiquan Opcional",15,IF(Atletas!H250="Changquan Adulto",16,IF(Atletas!H250="Nanquan Adulto",17,IF(Atletas!H250="Taijiquan Adulto",18,""))))))))))))))))))))</f>
        <v/>
      </c>
      <c r="BG259" s="52" t="str">
        <f>IF(Atletas!I250="","",IF(Atletas!B250="Feminino",100,IF(Atletas!B250="Masculino",200,""))+(IF(Atletas!I250="Daoshu Mirim",19,IF(Atletas!I250="Jianshu Mirim",20,IF(Atletas!I250="Nandao Mirim",21,IF(Atletas!I250="Taijijian Mirim",22,IF(Atletas!I250="Daoshu Grupo C",23,IF(Atletas!I250="Jianshu Grupo C",24,IF(Atletas!I250="Nandao Grupo C",25,IF(Atletas!I250="Taijijian Grupo C",26,IF(Atletas!I250="Daoshu Grupo B",27,IF(Atletas!I250="Jianshu Grupo B",28,IF(Atletas!I250="Nandao Grupo B",29,IF(Atletas!I250="Taijijian Grupo B",30,IF(Atletas!I250="Daoshu Grupo A",31,IF(Atletas!I250="Jianshu Grupo A",32,IF(Atletas!I250="Nandao Grupo A",33,IF(Atletas!I250="Taijijian Grupo A",34,IF(Atletas!I250="Daoshu Opcional",35,IF(Atletas!I250="Jianshu Opcional",36,IF(Atletas!I250="Nandao Opcional",37,IF(Atletas!I250="Taijijian Opcional",38,IF(Atletas!I250="Daoshu Adulto",39,IF(Atletas!I250="Jianshu Adulto",40,IF(Atletas!I250="Nandao Adulto",41,IF(Atletas!I250="Taijijian Adulto",42,""))))))))))))))))))))))))))</f>
        <v/>
      </c>
      <c r="BH259" s="52" t="str">
        <f>IF(Atletas!J250="","",IF(Atletas!B250="Feminino",100,IF(Atletas!B250="Masculino",200,""))+(IF(Atletas!J250="Gunshu Mirim",43,IF(Atletas!J250="Qiangshu Mirim",44,IF(Atletas!J250="Nangun Mirim",45,IF(Atletas!J250="Gunshu Grupo C",46,IF(Atletas!J250="Qiangshu Grupo C",47,IF(Atletas!J250="Nangun Grupo C",48,IF(Atletas!J250="Gunshu Grupo B",49,IF(Atletas!J250="Qiangshu Grupo B",50,IF(Atletas!J250="Nangun Grupo B",51,IF(Atletas!J250="Gunshu Grupo A",52,IF(Atletas!J250="Qiangshu Grupo A",53,IF(Atletas!J250="Nangun Grupo A",54,IF(Atletas!J250="Gunshu Opcional",55,IF(Atletas!J250="Qiangshu Opcional",56,IF(Atletas!J250="Nangun Opcional",57,IF(Atletas!J250="Gunshu Adulto",58,IF(Atletas!J250="Qiangshu Adulto",59,IF(Atletas!J250="Nangun Adulto",60,IF(Atletas!J250="Taijishan Grupo B",61,IF(Atletas!J250="Taijishan Grupo A",62,""))))))))))))))))))))))</f>
        <v/>
      </c>
      <c r="BM259" s="50" t="str">
        <f>IF(Atletas!K250="","",IF(Atletas!B250="Feminino",100,IF(Atletas!B250="Masculino",200,""))+(IF(Atletas!K250="Equipe 1 Grupo B",1,IF(Atletas!K250="Equipe 2 Grupo B",2,IF(Atletas!K250="Equipe 1 Grupo A",3,IF(Atletas!K250="Equipe 2 Grupo A",4,IF(Atletas!K250="Equipe 1 Adulto",5,IF(Atletas!K250="Equipe 2 Adulto",6,""))))))))</f>
        <v/>
      </c>
      <c r="BR259" s="50" t="str">
        <f>IF(Atletas!L250="","",IF(Atletas!X250&lt;&gt;"",10000,0)+(IF(Atletas!B250="Feminino",1000,IF(Atletas!B250="Masculino",2000,""))+IF(Atletas!L250="Choylayfut A",1,IF(Atletas!L250="Hunggar A",2,IF(Atletas!L250="Wuzuquan A",3,IF(Atletas!L250="Wingchun A",4,IF(Atletas!L250="Outra Mão de Sul A",5,IF(Atletas!L250="Choylayfut B",6,IF(Atletas!L250="Hunggar B",7,IF(Atletas!L250="Wuzuquan B",8,IF(Atletas!L250="Wingchun B",9,IF(Atletas!L250="Outra Mão de Sul B",10,IF(Atletas!L250="Choylayfut C",11,IF(Atletas!L250="Hunggar C",12,IF(Atletas!L250="Wuzuquan C",13,IF(Atletas!L250="Wingchun C",14,IF(Atletas!L250="Outra Mão de Sul C",15,IF(Atletas!L250="Choylayfut D",16,IF(Atletas!L250="Hunggar D",17,IF(Atletas!L250="Wuzuquan D",18,IF(Atletas!L250="Wingchun D",19,IF(Atletas!L250="Outra Mão de Sul D",20,IF(Atletas!L250="Choylayfut E",21,IF(Atletas!L250="Hunggar E",22,IF(Atletas!L250="Wuzuquan E",23,IF(Atletas!L250="Wingchun E",24,IF(Atletas!L250="Outra Mão de Sul E",25,IF(Atletas!L250="Choylayfut F",26,IF(Atletas!L250="Hunggar F",27,IF(Atletas!L250="Wuzuquan F",28,IF(Atletas!L250="Wingchun F",29,IF(Atletas!L250="Outra Mão de Sul F",30,IF(Atletas!L250="Dishuquan A",31,IF(Atletas!L250="Dishuquan B",32,IF(Atletas!L250="Dishuquan C",33,IF(Atletas!L250="Dishuquan D",34,IF(Atletas!L250="Dishuquan E",35,IF(Atletas!L250="Dishuquan F",36,""))))))))))))))))))))))))))))))))))))))</f>
        <v/>
      </c>
      <c r="BS259" s="50" t="str">
        <f>IF(Atletas!M250="","",IF(Atletas!X250&lt;&gt;"",10000,0)+(IF(Atletas!B250="Feminino",1000,IF(Atletas!B250="Masculino",2000,""))+(IF(Atletas!M250="Chaquan A",101,IF(Atletas!M250="Emeiquan A",102,IF(Atletas!M250="Fanziquan A",103,IF(Atletas!M250="Huaquan A",104,IF(Atletas!M250="Hongquan A",105,IF(Atletas!M250="Paoquan A",106,IF(Atletas!M250="Piguaquan A",107,IF(Atletas!M250="Shaolinquan A",108,IF(Atletas!M250="Tanglangquan A",109,IF(Atletas!M250="Yingzhaoquan A",110,IF(Atletas!M250="Tongbeiquan A",111,IF(Atletas!M250="Wudangquan A",112,IF(Atletas!M250="Outros Estilos A",113,IF(Atletas!M250="Chaquan B",114,IF(Atletas!M250="Emeiquan B",115,IF(Atletas!M250="Fanziquan B",116,IF(Atletas!M250="Huaquan B",117,IF(Atletas!M250="Hongquan B",118,IF(Atletas!M250="Paoquan B",119,IF(Atletas!M250="Piguaquan B",120,IF(Atletas!M250="Shaolinquan B",121,IF(Atletas!M250="Tanglangquan B",122,IF(Atletas!M250="Yingzhaoquan B",123,IF(Atletas!M250="Tongbeiquan B",124,IF(Atletas!M250="Wudangquan B",125,IF(Atletas!M250="Outros Estilos B",126,IF(Atletas!M250="Chaquan C",127,IF(Atletas!M250="Emeiquan C",128,IF(Atletas!M250="Fanziquan C",129,IF(Atletas!M250="Huaquan C",130,IF(Atletas!M250="Hongquan C",131,IF(Atletas!M250="Paoquan C",132,IF(Atletas!M250="Piguaquan C",133,IF(Atletas!M250="Shaolinquan C",134,IF(Atletas!M250="Tanglangquan C",135,IF(Atletas!M250="Yingzhaoquan C",136,IF(Atletas!M250="Tongbeiquan C",137,IF(Atletas!M250="Wudangquan C",138,IF(Atletas!M250="Outros Estilos C",139,0))))))))))))))))))))))))))))))))))))))))))</f>
        <v/>
      </c>
      <c r="BT259" s="50" t="str">
        <f>IF(Atletas!M250="","",IF(Atletas!X250&lt;&gt;"",10000,0)+(IF(Atletas!B250="Feminino",1000,IF(Atletas!B250="Masculino",2000,""))+(IF(Atletas!M250="Chaquan D",140,IF(Atletas!M250="Emeiquan D",141,IF(Atletas!M250="Fanziquan D",142,IF(Atletas!M250="Huaquan D",143,IF(Atletas!M250="Hongquan D",144,IF(Atletas!M250="Paoquan D",145,IF(Atletas!M250="Piguaquan D",146,IF(Atletas!M250="Shaolinquan D",147,IF(Atletas!M250="Tanglangquan D",148,IF(Atletas!M250="Yingzhaoquan D",149,IF(Atletas!M250="Tongbeiquan D",150,IF(Atletas!M250="Wudangquan D",151,IF(Atletas!M250="Outros Estilos D",152,IF(Atletas!M250="Chaquan E",153,IF(Atletas!M250="Emeiquan E",154,IF(Atletas!M250="Fanziquan E",155,IF(Atletas!M250="Huaquan E",156,IF(Atletas!M250="Hongquan E",157,IF(Atletas!M250="Paoquan E",158,IF(Atletas!M250="Piguaquan E",159,IF(Atletas!M250="Shaolinquan E",160,IF(Atletas!M250="Tanglangquan E",161,IF(Atletas!M250="Yingzhaoquan E",162,IF(Atletas!M250="Tongbeiquan E",163,IF(Atletas!M250="Wudangquan E",164,IF(Atletas!M250="Outros Estilos E",165,IF(Atletas!M250="Chaquan F",166,IF(Atletas!M250="Emeiquan F",167,IF(Atletas!M250="Fanziquan F",168,IF(Atletas!M250="Huaquan F",169,IF(Atletas!M250="Hongquan F",170,IF(Atletas!M250="Paoquan F",171,IF(Atletas!M250="Piguaquan F",172,IF(Atletas!M250="Shaolinquan F",173,IF(Atletas!M250="Tanglangquan F",174,IF(Atletas!M250="Yingzhaoquan F",175,IF(Atletas!M250="Tongbeiquan F",176,IF(Atletas!M250="Wudangquan F",177,IF(Atletas!M250="Outros Estilos F",178,0))))))))))))))))))))))))))))))))))))))))))</f>
        <v/>
      </c>
      <c r="BU259" s="50" t="str">
        <f>IF(Atletas!N250="","",IF(Atletas!X250&lt;&gt;"",10000,0)+(IF(Atletas!B250="Feminino",1000,IF(Atletas!B250="Masculino",2000,""))+(IF(Atletas!N250="Ditangquan A",201,IF(Atletas!N250="Houquan A",202,IF(Atletas!N250="Zuiquan A",203,IF(Atletas!N250="Ditangquan B",204,IF(Atletas!N250="Houquan B",205,IF(Atletas!N250="Zuiquan B",206,IF(Atletas!N250="Ditangquan C",207,IF(Atletas!N250="Houquan C",208,IF(Atletas!N250="Zuiquan C",209,IF(Atletas!N250="Ditangquan D",210,IF(Atletas!N250="Houquan D",211,IF(Atletas!N250="Zuiquan D",212,IF(Atletas!N250="Ditangquan E",213,IF(Atletas!N250="Houquan E",214,IF(Atletas!N250="Zuiquan E",215,IF(Atletas!N250="Ditangquan F",216,IF(Atletas!N250="Houquan F",217,IF(Atletas!N250="Zuiquan F",218,"")))))))))))))))))))))</f>
        <v/>
      </c>
      <c r="BV259" s="50" t="str">
        <f>IF(Atletas!O250="","",IF(Atletas!X250&lt;&gt;"",10000,0)+IF(Atletas!B250="Feminino",1000,IF(Atletas!B250="Masculino",2000,""))+IF(Atletas!O250="Yang A",301,IF(Atletas!O250="Chen A",302,IF(Atletas!O250="Sun A",303,IF(Atletas!O250="Wu A",304,IF(Atletas!O250="Wu-Hao A",305,IF(Atletas!O250="Outro Taijiquan A",306,IF(Atletas!O250="Yang B",307,IF(Atletas!O250="Chen B",308,IF(Atletas!O250="Sun B",309,IF(Atletas!O250="Wu B",310,IF(Atletas!O250="Wu-Hao B",311,IF(Atletas!O250="Outro Taijiquan B",312,IF(Atletas!O250="Yang C",313,IF(Atletas!O250="Chen C",314,IF(Atletas!O250="Sun C",315,IF(Atletas!O250="Wu C",316,IF(Atletas!O250="Wu-Hao C",317,IF(Atletas!O250="Outro Taijiquan C",318,IF(Atletas!O250="Yang D",319,IF(Atletas!O250="Chen D",320,IF(Atletas!O250="Sun D",321,IF(Atletas!O250="Wu D",322,IF(Atletas!O250="Wu-Hao D",323,IF(Atletas!O250="Outro Taijiquan D",324,IF(Atletas!O250="Yang E",325,IF(Atletas!O250="Chen E",326,IF(Atletas!O250="Sun E",327,IF(Atletas!O250="Wu E",328,IF(Atletas!O250="Wu-Hao E",329,IF(Atletas!O250="Outro Taijiquan E",330,IF(Atletas!O250="Yang F",331,IF(Atletas!O250="Chen F",332,IF(Atletas!O250="Sun F",333,IF(Atletas!O250="Wu F",334,IF(Atletas!O250="Wu-Hao F",335,IF(Atletas!O250="Outro Taijiquan F",336,"")))))))))))))))))))))))))))))))))))))</f>
        <v/>
      </c>
      <c r="BW259" s="50" t="str">
        <f>IF(Atletas!P250="","",IF(Atletas!X250&lt;&gt;"",10000,0)+IF(Atletas!B250="Feminino",1000,IF(Atletas!B250="Masculino",2000,""))+IF(OR(Atletas!P250="Yang 26 A",Atletas!P250="Yang 40 A"),401,IF(OR(Atletas!P250="Chen 25 A",Atletas!P250="Chen 36 A",Atletas!P250="Chen 56 A"),402,IF(Atletas!P250="Sun 73 A",403,IF(Atletas!P250="Wu 45 A",404,IF(Atletas!P250="Wu-Hao 46 A",405,IF(OR(Atletas!P250="Taijiquan 16 A",Atletas!P250="Taijiquan 24 A",Atletas!P250="Taijiquan 32 A",Atletas!P250="Taijiquan 42 A"),406,IF(OR(Atletas!P250="Yang 26 B",Atletas!P250="Yang 40 B"),407,IF(OR(Atletas!P250="Chen 25 B",Atletas!P250="Chen 36 B",Atletas!P250="Chen 56 B"),408,IF(Atletas!P250="Sun 73 B",409,IF(Atletas!P250="Wu 45 B",410,IF(Atletas!P250="Wu-Hao 46 B",411,IF(OR(Atletas!P250="Taijiquan 16 B",Atletas!P250="Taijiquan 24 B",Atletas!P250="Taijiquan 32 B",Atletas!P250="Taijiquan 42 B"),412,IF(OR(Atletas!P250="Yang 26 C",Atletas!P250="Yang 40 C"),413,IF(OR(Atletas!P250="Chen 25 C",Atletas!P250="Chen 36 C",Atletas!P250="Chen 56 C"),414,IF(Atletas!P250="Sun 73 C",415,IF(Atletas!P250="Wu 45 C",416,IF(Atletas!P250="Wu-Hao 46 C",417,IF(OR(Atletas!P250="Taijiquan 16 C",Atletas!P250="Taijiquan 24 C",Atletas!P250="Taijiquan 32 C",Atletas!P250="Taijiquan 42 C"),418,0)))))))))))))))))))</f>
        <v/>
      </c>
      <c r="BX259" s="50" t="str">
        <f>IF(Atletas!P250="","",IF(Atletas!X250&lt;&gt;"",10000,0)+IF(Atletas!B250="Feminino",1000,IF(Atletas!B250="Masculino",2000,""))+IF(OR(Atletas!P250="Yang 26 D",Atletas!P250="Yang 40 D"),419,IF(OR(Atletas!P250="Chen 25 D",Atletas!P250="Chen 36 D",Atletas!P250="Chen 56 D"),420,IF(Atletas!P250="Sun 73 D",421,IF(Atletas!P250="Wu 45 D",422,IF(Atletas!P250="Wu-Hao 46 D",423,IF(OR(Atletas!P250="Taijiquan 16 D",Atletas!P250="Taijiquan 24 D",Atletas!P250="Taijiquan 32 D",Atletas!P250="Taijiquan 42 D"),424,IF(OR(Atletas!P250="Yang 26 E",Atletas!P250="Yang 40 E"),425,IF(OR(Atletas!P250="Chen 25 E",Atletas!P250="Chen 36 E",Atletas!P250="Chen 56 E"),426,IF(Atletas!P250="Sun 73 E",427,IF(Atletas!P250="Wu 45 E",428,IF(Atletas!P250="Wu-Hao 46 E",429,IF(OR(Atletas!P250="Taijiquan 16 E",Atletas!P250="Taijiquan 24 E",Atletas!P250="Taijiquan 32 E",Atletas!P250="Taijiquan 42 E"),430,IF(OR(Atletas!P250="Yang 26 F",Atletas!P250="Yang 40 F"),431,IF(OR(Atletas!P250="Chen 25 F",Atletas!P250="Chen 36 F",Atletas!P250="Chen 56 F"),432,IF(Atletas!P250="Sun 73 F",433,IF(Atletas!P250="Wu 45 F",434,IF(Atletas!P250="Wu-Hao 46 F",435,IF(OR(Atletas!P250="Taijiquan 16 F",Atletas!P250="Taijiquan 24 F",Atletas!P250="Taijiquan 32 F",Atletas!P250="Taijiquan 42 F"),436,0)))))))))))))))))))</f>
        <v/>
      </c>
      <c r="BY259" s="50" t="str">
        <f>IF(Atletas!Q250="","",IF(Atletas!X250&lt;&gt;"",10000,0)+IF(Atletas!B250="Feminino",1000,IF(Atletas!B250="Masculino",2000,""))+IF(Atletas!Q250="Xingyiquan A",501,IF(Atletas!Q250="Baguazhang A",502,IF(Atletas!Q250="Outro Estilo Interno A",503,IF(Atletas!Q250="Xingyiquan B",504,IF(Atletas!Q250="Baguazhang B",505,IF(Atletas!Q250="Outro Estilo Interno B",506,IF(Atletas!Q250="Xingyiquan C",507,IF(Atletas!Q250="Baguazhang C",508,IF(Atletas!Q250="Outro Estilo Interno C",509,IF(Atletas!Q250="Xingyiquan D",510,IF(Atletas!Q250="Baguazhang D",511,IF(Atletas!Q250="Outro Estilo Interno D",512,IF(Atletas!Q250="Xingyiquan E",513,IF(Atletas!Q250="Baguazhang E",514,IF(Atletas!Q250="Outro Estilo Interno E",515,IF(Atletas!Q250="Xingyiquan F",516,IF(Atletas!Q250="Baguazhang F",517,IF(Atletas!Q250="Outro Estilo Interno F",518, "")))))))))))))))))))</f>
        <v/>
      </c>
      <c r="BZ259" s="50" t="str">
        <f>IF(Atletas!R250="","",IF(Atletas!X250&lt;&gt;"",10000,0)+IF(Atletas!B250="Feminino",1000,IF(Atletas!B250="Masculino",2000,""))+IF(Atletas!R250="Dao A",601,IF(Atletas!R250="Jian A",602,IF(Atletas!R250="Bishou A",603,IF(Atletas!R250="Shanzi A",604,IF(Atletas!R250="Outra Arma Curta A",605,IF(Atletas!R250="Dao B",606,IF(Atletas!R250="Jian B",607,IF(Atletas!R250="Bishou B",608,IF(Atletas!R250="Shanzi B",609,IF(Atletas!R250="Outra Arma Curta B",610,IF(Atletas!R250="Dao C",611,IF(Atletas!R250="Jian C",612,IF(Atletas!R250="Bishou C",613,IF(Atletas!R250="Shanzi C",614,IF(Atletas!R250="Outra Arma Curta C",615,IF(Atletas!R250="Dao D",616,IF(Atletas!R250="Jian D",617,IF(Atletas!R250="Bishou D",618,IF(Atletas!R250="Shanzi D",619,IF(Atletas!R250="Outra Arma Curta D",620,IF(Atletas!R250="Dao E",621,IF(Atletas!R250="Jian E",622,IF(Atletas!R250="Bishou E",623,IF(Atletas!R250="Shanzi E",624,IF(Atletas!R250="Outra Arma Curta E",625,IF(Atletas!R250="Dao F",626,IF(Atletas!R250="Jian F",627,IF(Atletas!R250="Bishou F",628,IF(Atletas!R250="Shanzi F",629,IF(Atletas!R250="Outra Arma Curta F",630, "")))))))))))))))))))))))))))))))</f>
        <v/>
      </c>
      <c r="CA259" s="50" t="str">
        <f>IF(Atletas!S250="","",IF(Atletas!X250&lt;&gt;"",10000,0)+IF(Atletas!B250="Feminino",1000,IF(Atletas!B250="Masculino",2000,""))+IF(Atletas!S250="Gun A",701,IF(Atletas!S250="Qiang A",702,IF(Atletas!S250="Pudao / Guandao A",703,IF(Atletas!S250="Outra Arma Longa A",704,IF(Atletas!S250="Gun B",705,IF(Atletas!S250="Qiang B",706,IF(Atletas!S250="Pudao / Guandao B",707,IF(Atletas!S250="Outra Arma Longa B",708,IF(Atletas!S250="Gun C",709,IF(Atletas!S250="Qiang C",710,IF(Atletas!S250="Pudao / Guandao C",711,IF(Atletas!S250="Outra Arma Longa C",712,IF(Atletas!S250="Gun D",713,IF(Atletas!S250="Qiang D",714,IF(Atletas!S250="Pudao / Guandao D",715,IF(Atletas!S250="Outra Arma Longa D",716,IF(Atletas!S250="Gun E",717,IF(Atletas!S250="Qiang E",718,IF(Atletas!S250="Pudao / Guandao E",719,IF(Atletas!S250="Outra Arma Longa E",720,IF(Atletas!S250="Gun F",721,IF(Atletas!S250="Qiang F",722,IF(Atletas!S250="Pudao / Guandao F",723,IF(Atletas!S250="Outra Arma Longa F",724,"")))))))))))))))))))))))))</f>
        <v/>
      </c>
      <c r="CB259" s="50" t="str">
        <f>IF(Atletas!T250="","",IF(Atletas!X250&lt;&gt;"",10000,0)+IF(Atletas!B250="Feminino",1000,IF(Atletas!B250="Masculino",2000,""))+IF(Atletas!T250="Outra Arma Dupla A",801,IF(Atletas!T250="Arma Maleável A",802,IF(Atletas!T250="Outra Arma Dupla B",803,IF(Atletas!T250="Arma Maleável B",804,IF(Atletas!T250="Outra Arma Dupla C",805,IF(Atletas!T250="Arma Maleável C",806,IF(Atletas!T250="Outra Arma Dupla D",807,IF(Atletas!T250="Arma Maleável D",808,IF(Atletas!T250="Outra Arma Dupla E",809,IF(Atletas!T250="Arma Maleável E",810,IF(Atletas!T250="Outra Arma Dupla F",811,IF(Atletas!T250="Arma Maleável F",812,IF(Atletas!T250="Shuangdao A",813,IF(Atletas!T250="Shuangdao B",814,IF(Atletas!T250="Shuangdao C",815,IF(Atletas!T250="Shuangdao D",816,IF(Atletas!T250="Shuangdao E",817,IF(Atletas!T250="Shuangdao F",818,"")))))))))))))))))))</f>
        <v/>
      </c>
      <c r="CC259" s="50" t="str">
        <f>IF(Atletas!U250="","",IF(Atletas!X250&lt;&gt;"",10000,0)+IF(Atletas!B250="Feminino",1000,IF(Atletas!B250="Masculino",2000,""))+IF(OR(Atletas!U250="Taijijian Yang A",Atletas!U250="Taijijian Yang Standard A"),901,IF(OR(Atletas!U250="Taijijian Chen A", Atletas!U250="Taijijian Chen Standard A"),902,IF(Atletas!U250="Taijijian Sun A",903,IF(Atletas!U250="Taijijian Wu A",904,IF(Atletas!U250="Taijijian Wu-Hao A",905,IF(OR(Atletas!U250="Taijijian 32 A",Atletas!U250="Taijijian 42 A"),906,IF(OR(Atletas!U250="Taijijian Yang B",Atletas!U250="Taijijian Yang Standard B"),907,IF(OR(Atletas!U250="Taijijian Chen B", Atletas!U250="Taijijian Chen Standard B"),908,IF(Atletas!U250="Taijijian Sun B",909,IF(Atletas!U250="Taijijian Wu B",910,IF(Atletas!U250="Taijijian Wu-Hao B",911,IF(OR(Atletas!U250="Taijijian 32 B",Atletas!U250="Taijijian 42 B"),912,IF(OR(Atletas!U250="Taijijian Yang C",Atletas!U250="Taijijian Yang Standard C"),913,IF(OR(Atletas!U250="Taijijian Chen C", Atletas!U250="Taijijian Chen Standard C"),914,IF(Atletas!U250="Taijijian Sun C",915,IF(Atletas!U250="Taijijian Wu C",916,IF(Atletas!U250="Taijijian Wu-Hao C",917,IF(OR(Atletas!U250="Taijijian 32 C",Atletas!U250="Taijijian 42 C"),918,IF(OR(Atletas!U250="Taijijian Yang D",Atletas!U250="Taijijian Yang Standard D"),919,IF(OR(Atletas!U250="Taijijian Chen D", Atletas!U250="Taijijian Chen Standard D"),920,IF(Atletas!U250="Taijijian Sun D",921,IF(Atletas!U250="Taijijian Wu D",922,IF(Atletas!U250="Taijijian Wu-Hao D",923,IF(OR(Atletas!U250="Taijijian 32 D",Atletas!U250="Taijijian 42 D"),924,IF(OR(Atletas!U250="Taijijian Yang E",Atletas!U250="Taijijian Yang Standard E"),925,IF(OR(Atletas!U250="Taijijian Chen E", Atletas!U250="Taijijian Chen Standard E"),926,IF(Atletas!U250="Taijijian Sun E",927,IF(Atletas!U250="Taijijian Wu E",928,IF(Atletas!U250="Taijijian Wu-Hao E",929,IF(OR(Atletas!U250="Taijijian 32 E",Atletas!U250="Taijijian 42 E"),930,IF(OR(Atletas!U250="Taijijian Yang F",Atletas!U250="Taijijian Yang Standard F"),931,IF(OR(Atletas!U250="Taijijian Chen F", Atletas!U250="Taijijian Chen Standard F"),932,IF(Atletas!U250="Taijijian Sun F",933,IF(Atletas!U250="Taijijian Wu F",934,IF(Atletas!U250="Taijijian Wu-Hao F",935,IF(OR(Atletas!U250="Taijijian 32 F",Atletas!U250="Taijijian 42 F"),936,"")))))))))))))))))))))))))))))))))))))</f>
        <v/>
      </c>
      <c r="CD259" s="50" t="str">
        <f>IF(Atletas!V250="","",IF(Atletas!X250&lt;&gt;"",10000,0)+IF(Atletas!B250="Feminino",1000,IF(Atletas!B250="Masculino",2000,""))+IF(Atletas!V250="Taijidao A",937,IF(Atletas!V250="TaijiShanzi A",938,IF(Atletas!V250="Taijiqiang A",939,IF(Atletas!V250="Bagua de Arma A",940,IF(Atletas!V250="Xingyi de Arma A",941,IF(Atletas!V250="Taijidao B",942,IF(Atletas!V250="TaijiShanzi B",943,IF(Atletas!V250="Taijiqiang B",944,IF(Atletas!V250="Bagua de Arma B",945,IF(Atletas!V250="Xingyi de Arma B",946,IF(Atletas!V250="Taijidao C",947,IF(Atletas!V250="TaijiShanzi C",948,IF(Atletas!V250="Taijiqiang C",949,IF(Atletas!V250="Bagua de Arma C",950,IF(Atletas!V250="Xingyi de Arma C",951,IF(Atletas!V250="Taijidao D",952,IF(Atletas!V250="TaijiShanzi D",953,IF(Atletas!V250="Taijiqiang D",954,IF(Atletas!V250="Bagua de Arma D",955,IF(Atletas!V250="Xingyi de Arma D",956,IF(Atletas!V250="Taijidao E",957,IF(Atletas!V250="TaijiShanzi E",958,IF(Atletas!V250="Taijiqiang E",959,IF(Atletas!V250="Bagua de Arma E",960,IF(Atletas!V250="Xingyi de Arma E",961,IF(Atletas!V250="Taijidao F",962,IF(Atletas!V250="TaijiShanzi F",963,IF(Atletas!V250="Taijiqiang F",964,IF(Atletas!V250="Bagua de Arma F",965,IF(Atletas!V250="Xingyi de Arma F",966,"")))))))))))))))))))))))))))))))</f>
        <v/>
      </c>
      <c r="CE259" s="66" t="str">
        <f>IF(CF259&lt;&gt;"","Gun A","")</f>
        <v/>
      </c>
      <c r="CF259" s="66" t="str">
        <f>IF(COUNTIF(BR:CD,1701)&gt;0,COUNTIF(BR:CD,1701),"")</f>
        <v/>
      </c>
      <c r="CG259" s="66" t="str">
        <f>IF(CH259&lt;&gt;"","Gun A","")</f>
        <v/>
      </c>
      <c r="CH259" s="66" t="str">
        <f>IF(COUNTIF(BR:CD,2701)&gt;0,COUNTIF(BR:CD,2701),"")</f>
        <v/>
      </c>
      <c r="CI259" s="66" t="str">
        <f>IF(CJ259&lt;&gt;"","Pudao / Gaundao B","")</f>
        <v/>
      </c>
      <c r="CJ259" s="66" t="str">
        <f>IF(COUNTIF(BR:CD,11707)&gt;0,COUNTIF(BR:CD,11707),"")</f>
        <v/>
      </c>
      <c r="CK259" s="66" t="str">
        <f>IF(CL259&lt;&gt;"","Pudao / Gaundao B","")</f>
        <v/>
      </c>
      <c r="CL259" s="6" t="str">
        <f>IF(COUNTIF(BR:CD,12707)&gt;0,COUNTIF(BR:CD,12707),"")</f>
        <v/>
      </c>
      <c r="CM259" s="50" t="str">
        <f xml:space="preserve"> IF(Atletas!W250="","",IF(Atletas!W250="Duilian de Mãos BC - Equipe 1",1,IF(Atletas!W250="Duilian de Mãos BC - Equipe 2",2,IF(Atletas!W250="Duilian de Armas BC - Equipe 1",3,IF(Atletas!W250="Duilian de Armas BC - Equipe 2",4,IF(Atletas!W250="Duilian de Mãos DE - Equipe 1",5,IF(Atletas!W250="Duilian de Mãos DE - Equipe 2",6,IF(Atletas!W250="Duilian de Armas DE - Equipe 1",7,IF(Atletas!W250="Duilian de Armas DE - Equipe 2",8,IF(Atletas!W250="Duilian de Tuishou - Equipe 1",9,IF(Atletas!W250="Duilian de Tuishou - Equipe 2",10,IF(Atletas!W250="Grupo Externo ABC - Equipe 1",11,IF(Atletas!W250="Grupo Externo ABC - Equipe 2",12,IF(Atletas!W250="Grupo Interno ABC - Equipe 1",13,IF(Atletas!W250="Grupo Interno ABC - Equipe 2",14,IF(Atletas!W250="Grupo Externo DEF - Equipe 1",15,IF(Atletas!W250="Grupo Externo DEF - Equipe 2",16,IF(Atletas!W250="Grupo Interno DEF - Equipe 1",17,IF(Atletas!W250="Grupo Interno DEF - Equipe 2",18,"")))))))))))))))))))</f>
        <v/>
      </c>
    </row>
    <row r="260" spans="2:91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 t="str">
        <f t="array" ref="Z260">IFERROR(INDEX(CE$7:CE$348,SMALL(IF(CE$7:CE$348&lt;&gt;"",ROW(CE$7:CE$348)-ROW(CE$7)+1),ROWS(CE$7:CE259))),"")</f>
        <v/>
      </c>
      <c r="AA260" s="3" t="str">
        <f t="array" ref="AA260">IFERROR(INDEX(CF$7:CF$348,SMALL(IF(CF$7:CF$348&lt;&gt;"",ROW(CF$7:CF$348)-ROW(CF$7)+1),ROWS(CF$7:CF259))),"")</f>
        <v/>
      </c>
      <c r="AB260" s="3" t="str">
        <f t="array" ref="AB260">IFERROR(INDEX(CG$7:CG$348,SMALL(IF(CG$7:CG$348&lt;&gt;"",ROW(CG$7:CG$348)-ROW(CG$7)+1),ROWS(CG$7:CG259))),"")</f>
        <v/>
      </c>
      <c r="AC260" s="3" t="str">
        <f t="array" ref="AC260">IFERROR(INDEX(CH$7:CH$348,SMALL(IF(CH$7:CH$348&lt;&gt;"",ROW(CH$7:CH$348)-ROW(CH$7)+1),ROWS(CH$7:CH259))),"")</f>
        <v/>
      </c>
      <c r="AD260" s="3" t="str">
        <f t="array" ref="AD260">IFERROR(INDEX(CI$7:CI$377,SMALL(IF(CI$7:CI$377&lt;&gt;"",ROW(CI$7:CI$377)-ROW(CI$7)+1),ROWS(CI$7:CI259))),"")</f>
        <v/>
      </c>
      <c r="AE260" s="3" t="str">
        <f t="array" ref="AE260">IFERROR(INDEX(CJ$7:CJ$378,SMALL(IF(CJ$7:CJ$378&lt;&gt;"",ROW(CJ$7:CJ$378)-ROW(CJ$7)+1),ROWS(CJ$7:CJ259))),"")</f>
        <v/>
      </c>
      <c r="AF260" s="3" t="str">
        <f t="array" ref="AF260">IFERROR(INDEX(CK$7:CK$378,SMALL(IF(CK$7:CK$378&lt;&gt;"",ROW(CK$7:CK$378)-ROW(CK$7)+1),ROWS(CK$7:CK259))),"")</f>
        <v/>
      </c>
      <c r="AG260" s="3" t="str">
        <f t="array" ref="AG260">IFERROR(INDEX(CL$7:CL$378,SMALL(IF(CL$7:CL$378&lt;&gt;"",ROW(CL$7:CL$378)-ROW(CL$7)+1),ROWS(CL$7:CL259))),"")</f>
        <v/>
      </c>
      <c r="AH260" s="3"/>
      <c r="AI260" s="3"/>
      <c r="AJ260" s="3"/>
      <c r="AK260" s="3"/>
      <c r="AL260" s="3"/>
      <c r="AM260" s="3"/>
      <c r="AN260" s="52" t="str">
        <f>IF(Atletas!D251="","",IF(Atletas!B251="Feminino",100,IF(Atletas!B251="Masculino",200,""))+(IF(Atletas!D251="Kids 30kg",1,IF(Atletas!D251="Kids 32kg",2, IF(Atletas!D251="Kids 34kg",3,IF(Atletas!D251="Kids 36kg",4,IF(Atletas!D251="Kids 39kg",5,IF(Atletas!D251="Kids 42kg",6,IF(Atletas!D251="Kids 45kg",7, IF(Atletas!D251="Infantil 39kg",8,IF(Atletas!D251="Infantil 42kg",9,IF(Atletas!D251="Infantil 45kg",10,IF(Atletas!D251="Infantil 48kg",11,IF(Atletas!D251="Infantil 52kg",12,IF(Atletas!D251="Infantil 56kg",13,IF(Atletas!D251="Infantil 60kg",14,IF(Atletas!D251="Juvenil 48kg",15,IF(Atletas!D251="Juvenil 52kg",16,IF(Atletas!D251="Juvenil 56kg",17,IF(Atletas!D251="Juvenil 60kg",18,IF(Atletas!D251="Juvenil 65kg",19,IF(Atletas!D251="Juvenil 70kg",20,IF(Atletas!D251="Juvenil 75kg",21,IF(Atletas!D251="Juvenil 80kg",22, IF(Atletas!D251="Juvenil 85kg",23,IF(Atletas!D251="Adulto 48kg",24,IF(Atletas!D251="Adulto 52kg",25,IF(Atletas!D251="Adulto 56kg",26,IF(Atletas!D251="Adulto 60kg",27,IF(Atletas!D251="Adulto 65kg",28,IF(Atletas!D251="Adulto 70kg",29,IF(Atletas!D251="Adulto 75kg",30,IF(Atletas!D251="Adulto 80kg",31,IF(Atletas!D251="Adulto 85kg",32,IF(Atletas!D251="Adulto 90kg",33,IF(Atletas!D251="Adulto 100kg",34, IF(Atletas!D251="Adulto +100kg",35,"")))))))))))))))))))))))))))))))))))))</f>
        <v/>
      </c>
      <c r="AS260" s="6" t="str">
        <f>IF(Atletas!E251="","",IF(Atletas!B251="Feminino",100,IF(Atletas!B251="Masculino",200,""))+(IF(Atletas!E251="Juvenil 44kg",1,IF(Atletas!E251="Juvenil 48kg",2,IF(Atletas!E251="Juvenil 52kg",3,IF(Atletas!E251="Juvenil 56kg",4,IF(Atletas!E251="Juvenil 60kg",5,IF(Atletas!E251="Juvenil 65kg",6,IF(Atletas!E251="Juvenil 70kg",7,IF(Atletas!E251="Juvenil 75kg",8,IF(Atletas!E251="Juvenil 82kg",9,IF(Atletas!E251="Juvenil 90kg",10,IF(Atletas!E251="Juvenil 100kg",11,IF(Atletas!E251="Adulto 48kg",12,IF(Atletas!E251="Adulto 52kg",13,IF(Atletas!E251="Adulto 56kg",14,IF(Atletas!E251="Adulto 60kg",15,IF(Atletas!E251="Adulto 65kg",16,IF(Atletas!E251="Adulto 70kg",17,IF(Atletas!E251="Adulto 75kg",18,IF(Atletas!E251="Adulto 82kg",19,IF(Atletas!E251="Adulto 90kg",20,IF(Atletas!E251="Adulto 100kg",21,IF(Atletas!E251="Adulto +100kg",22,""))))))))))))))))))))))))</f>
        <v/>
      </c>
      <c r="AX260" s="6" t="str">
        <f>IF(Atletas!F251="","",IF(Atletas!B251="Feminino",100,IF(Atletas!B251="Masculino",200,""))+(IF(Atletas!F251="Adulto 48kg",1,IF(Atletas!F251="Adulto 56kg",2,IF(Atletas!F251="Adulto 65kg",3,IF(Atletas!F251="Adulto 75kg",4,IF(Atletas!F251="Adulto +75kg",5,IF(Atletas!F251="Adulto 52kg",6,IF(Atletas!F251="Adulto 60kg",7,IF(Atletas!F251="Adulto 70kg",8,IF(Atletas!F251="Adulto 80kg",9,IF(Atletas!F251="Adulto 90kg",10,IF(Atletas!F251="Adulto +90kg",11,"")))))))))))))</f>
        <v/>
      </c>
      <c r="BC260" s="6" t="str">
        <f>IF(Atletas!G251="","",IF(Atletas!B251="Feminino",10,IF(Atletas!B251="Masculino",20,""))+(IF(Atletas!G251="Baduanjin A",1,IF(Atletas!G251="Baduanjin B",2))))</f>
        <v/>
      </c>
      <c r="BF260" s="52" t="str">
        <f>IF(Atletas!H251="","",IF(Atletas!B251="Feminino",100,IF(Atletas!B251="Masculino",200,""))+(IF(Atletas!H251="Changquan Mirim",1,IF(Atletas!H251="Nanquan Mirim",2,IF(Atletas!H251="Taijiquan Mirim",3,IF(Atletas!H251="Changquan Grupo C",4,IF(Atletas!H251="Nanquan Grupo C",5,IF(Atletas!H251="Taijiquan Grupo C",6,IF(Atletas!H251="Changquan Grupo B",7,IF(Atletas!H251="Nanquan Grupo B",8,IF(Atletas!H251="Taijiquan Grupo B",9,IF(Atletas!H251="Changquan Grupo A",10,IF(Atletas!H251="Nanquan Grupo A",11,IF(Atletas!H251="Taijiquan Grupo A",12,IF(Atletas!H251="Changquan Opcional",13,IF(Atletas!H251="Nanquan Opcional",14,IF(Atletas!H251="Taijiquan Opcional",15,IF(Atletas!H251="Changquan Adulto",16,IF(Atletas!H251="Nanquan Adulto",17,IF(Atletas!H251="Taijiquan Adulto",18,""))))))))))))))))))))</f>
        <v/>
      </c>
      <c r="BG260" s="52" t="str">
        <f>IF(Atletas!I251="","",IF(Atletas!B251="Feminino",100,IF(Atletas!B251="Masculino",200,""))+(IF(Atletas!I251="Daoshu Mirim",19,IF(Atletas!I251="Jianshu Mirim",20,IF(Atletas!I251="Nandao Mirim",21,IF(Atletas!I251="Taijijian Mirim",22,IF(Atletas!I251="Daoshu Grupo C",23,IF(Atletas!I251="Jianshu Grupo C",24,IF(Atletas!I251="Nandao Grupo C",25,IF(Atletas!I251="Taijijian Grupo C",26,IF(Atletas!I251="Daoshu Grupo B",27,IF(Atletas!I251="Jianshu Grupo B",28,IF(Atletas!I251="Nandao Grupo B",29,IF(Atletas!I251="Taijijian Grupo B",30,IF(Atletas!I251="Daoshu Grupo A",31,IF(Atletas!I251="Jianshu Grupo A",32,IF(Atletas!I251="Nandao Grupo A",33,IF(Atletas!I251="Taijijian Grupo A",34,IF(Atletas!I251="Daoshu Opcional",35,IF(Atletas!I251="Jianshu Opcional",36,IF(Atletas!I251="Nandao Opcional",37,IF(Atletas!I251="Taijijian Opcional",38,IF(Atletas!I251="Daoshu Adulto",39,IF(Atletas!I251="Jianshu Adulto",40,IF(Atletas!I251="Nandao Adulto",41,IF(Atletas!I251="Taijijian Adulto",42,""))))))))))))))))))))))))))</f>
        <v/>
      </c>
      <c r="BH260" s="52" t="str">
        <f>IF(Atletas!J251="","",IF(Atletas!B251="Feminino",100,IF(Atletas!B251="Masculino",200,""))+(IF(Atletas!J251="Gunshu Mirim",43,IF(Atletas!J251="Qiangshu Mirim",44,IF(Atletas!J251="Nangun Mirim",45,IF(Atletas!J251="Gunshu Grupo C",46,IF(Atletas!J251="Qiangshu Grupo C",47,IF(Atletas!J251="Nangun Grupo C",48,IF(Atletas!J251="Gunshu Grupo B",49,IF(Atletas!J251="Qiangshu Grupo B",50,IF(Atletas!J251="Nangun Grupo B",51,IF(Atletas!J251="Gunshu Grupo A",52,IF(Atletas!J251="Qiangshu Grupo A",53,IF(Atletas!J251="Nangun Grupo A",54,IF(Atletas!J251="Gunshu Opcional",55,IF(Atletas!J251="Qiangshu Opcional",56,IF(Atletas!J251="Nangun Opcional",57,IF(Atletas!J251="Gunshu Adulto",58,IF(Atletas!J251="Qiangshu Adulto",59,IF(Atletas!J251="Nangun Adulto",60,IF(Atletas!J251="Taijishan Grupo B",61,IF(Atletas!J251="Taijishan Grupo A",62,""))))))))))))))))))))))</f>
        <v/>
      </c>
      <c r="BM260" s="50" t="str">
        <f>IF(Atletas!K251="","",IF(Atletas!B251="Feminino",100,IF(Atletas!B251="Masculino",200,""))+(IF(Atletas!K251="Equipe 1 Grupo B",1,IF(Atletas!K251="Equipe 2 Grupo B",2,IF(Atletas!K251="Equipe 1 Grupo A",3,IF(Atletas!K251="Equipe 2 Grupo A",4,IF(Atletas!K251="Equipe 1 Adulto",5,IF(Atletas!K251="Equipe 2 Adulto",6,""))))))))</f>
        <v/>
      </c>
      <c r="BR260" s="50" t="str">
        <f>IF(Atletas!L251="","",IF(Atletas!X251&lt;&gt;"",10000,0)+(IF(Atletas!B251="Feminino",1000,IF(Atletas!B251="Masculino",2000,""))+IF(Atletas!L251="Choylayfut A",1,IF(Atletas!L251="Hunggar A",2,IF(Atletas!L251="Wuzuquan A",3,IF(Atletas!L251="Wingchun A",4,IF(Atletas!L251="Outra Mão de Sul A",5,IF(Atletas!L251="Choylayfut B",6,IF(Atletas!L251="Hunggar B",7,IF(Atletas!L251="Wuzuquan B",8,IF(Atletas!L251="Wingchun B",9,IF(Atletas!L251="Outra Mão de Sul B",10,IF(Atletas!L251="Choylayfut C",11,IF(Atletas!L251="Hunggar C",12,IF(Atletas!L251="Wuzuquan C",13,IF(Atletas!L251="Wingchun C",14,IF(Atletas!L251="Outra Mão de Sul C",15,IF(Atletas!L251="Choylayfut D",16,IF(Atletas!L251="Hunggar D",17,IF(Atletas!L251="Wuzuquan D",18,IF(Atletas!L251="Wingchun D",19,IF(Atletas!L251="Outra Mão de Sul D",20,IF(Atletas!L251="Choylayfut E",21,IF(Atletas!L251="Hunggar E",22,IF(Atletas!L251="Wuzuquan E",23,IF(Atletas!L251="Wingchun E",24,IF(Atletas!L251="Outra Mão de Sul E",25,IF(Atletas!L251="Choylayfut F",26,IF(Atletas!L251="Hunggar F",27,IF(Atletas!L251="Wuzuquan F",28,IF(Atletas!L251="Wingchun F",29,IF(Atletas!L251="Outra Mão de Sul F",30,IF(Atletas!L251="Dishuquan A",31,IF(Atletas!L251="Dishuquan B",32,IF(Atletas!L251="Dishuquan C",33,IF(Atletas!L251="Dishuquan D",34,IF(Atletas!L251="Dishuquan E",35,IF(Atletas!L251="Dishuquan F",36,""))))))))))))))))))))))))))))))))))))))</f>
        <v/>
      </c>
      <c r="BS260" s="50" t="str">
        <f>IF(Atletas!M251="","",IF(Atletas!X251&lt;&gt;"",10000,0)+(IF(Atletas!B251="Feminino",1000,IF(Atletas!B251="Masculino",2000,""))+(IF(Atletas!M251="Chaquan A",101,IF(Atletas!M251="Emeiquan A",102,IF(Atletas!M251="Fanziquan A",103,IF(Atletas!M251="Huaquan A",104,IF(Atletas!M251="Hongquan A",105,IF(Atletas!M251="Paoquan A",106,IF(Atletas!M251="Piguaquan A",107,IF(Atletas!M251="Shaolinquan A",108,IF(Atletas!M251="Tanglangquan A",109,IF(Atletas!M251="Yingzhaoquan A",110,IF(Atletas!M251="Tongbeiquan A",111,IF(Atletas!M251="Wudangquan A",112,IF(Atletas!M251="Outros Estilos A",113,IF(Atletas!M251="Chaquan B",114,IF(Atletas!M251="Emeiquan B",115,IF(Atletas!M251="Fanziquan B",116,IF(Atletas!M251="Huaquan B",117,IF(Atletas!M251="Hongquan B",118,IF(Atletas!M251="Paoquan B",119,IF(Atletas!M251="Piguaquan B",120,IF(Atletas!M251="Shaolinquan B",121,IF(Atletas!M251="Tanglangquan B",122,IF(Atletas!M251="Yingzhaoquan B",123,IF(Atletas!M251="Tongbeiquan B",124,IF(Atletas!M251="Wudangquan B",125,IF(Atletas!M251="Outros Estilos B",126,IF(Atletas!M251="Chaquan C",127,IF(Atletas!M251="Emeiquan C",128,IF(Atletas!M251="Fanziquan C",129,IF(Atletas!M251="Huaquan C",130,IF(Atletas!M251="Hongquan C",131,IF(Atletas!M251="Paoquan C",132,IF(Atletas!M251="Piguaquan C",133,IF(Atletas!M251="Shaolinquan C",134,IF(Atletas!M251="Tanglangquan C",135,IF(Atletas!M251="Yingzhaoquan C",136,IF(Atletas!M251="Tongbeiquan C",137,IF(Atletas!M251="Wudangquan C",138,IF(Atletas!M251="Outros Estilos C",139,0))))))))))))))))))))))))))))))))))))))))))</f>
        <v/>
      </c>
      <c r="BT260" s="50" t="str">
        <f>IF(Atletas!M251="","",IF(Atletas!X251&lt;&gt;"",10000,0)+(IF(Atletas!B251="Feminino",1000,IF(Atletas!B251="Masculino",2000,""))+(IF(Atletas!M251="Chaquan D",140,IF(Atletas!M251="Emeiquan D",141,IF(Atletas!M251="Fanziquan D",142,IF(Atletas!M251="Huaquan D",143,IF(Atletas!M251="Hongquan D",144,IF(Atletas!M251="Paoquan D",145,IF(Atletas!M251="Piguaquan D",146,IF(Atletas!M251="Shaolinquan D",147,IF(Atletas!M251="Tanglangquan D",148,IF(Atletas!M251="Yingzhaoquan D",149,IF(Atletas!M251="Tongbeiquan D",150,IF(Atletas!M251="Wudangquan D",151,IF(Atletas!M251="Outros Estilos D",152,IF(Atletas!M251="Chaquan E",153,IF(Atletas!M251="Emeiquan E",154,IF(Atletas!M251="Fanziquan E",155,IF(Atletas!M251="Huaquan E",156,IF(Atletas!M251="Hongquan E",157,IF(Atletas!M251="Paoquan E",158,IF(Atletas!M251="Piguaquan E",159,IF(Atletas!M251="Shaolinquan E",160,IF(Atletas!M251="Tanglangquan E",161,IF(Atletas!M251="Yingzhaoquan E",162,IF(Atletas!M251="Tongbeiquan E",163,IF(Atletas!M251="Wudangquan E",164,IF(Atletas!M251="Outros Estilos E",165,IF(Atletas!M251="Chaquan F",166,IF(Atletas!M251="Emeiquan F",167,IF(Atletas!M251="Fanziquan F",168,IF(Atletas!M251="Huaquan F",169,IF(Atletas!M251="Hongquan F",170,IF(Atletas!M251="Paoquan F",171,IF(Atletas!M251="Piguaquan F",172,IF(Atletas!M251="Shaolinquan F",173,IF(Atletas!M251="Tanglangquan F",174,IF(Atletas!M251="Yingzhaoquan F",175,IF(Atletas!M251="Tongbeiquan F",176,IF(Atletas!M251="Wudangquan F",177,IF(Atletas!M251="Outros Estilos F",178,0))))))))))))))))))))))))))))))))))))))))))</f>
        <v/>
      </c>
      <c r="BU260" s="50" t="str">
        <f>IF(Atletas!N251="","",IF(Atletas!X251&lt;&gt;"",10000,0)+(IF(Atletas!B251="Feminino",1000,IF(Atletas!B251="Masculino",2000,""))+(IF(Atletas!N251="Ditangquan A",201,IF(Atletas!N251="Houquan A",202,IF(Atletas!N251="Zuiquan A",203,IF(Atletas!N251="Ditangquan B",204,IF(Atletas!N251="Houquan B",205,IF(Atletas!N251="Zuiquan B",206,IF(Atletas!N251="Ditangquan C",207,IF(Atletas!N251="Houquan C",208,IF(Atletas!N251="Zuiquan C",209,IF(Atletas!N251="Ditangquan D",210,IF(Atletas!N251="Houquan D",211,IF(Atletas!N251="Zuiquan D",212,IF(Atletas!N251="Ditangquan E",213,IF(Atletas!N251="Houquan E",214,IF(Atletas!N251="Zuiquan E",215,IF(Atletas!N251="Ditangquan F",216,IF(Atletas!N251="Houquan F",217,IF(Atletas!N251="Zuiquan F",218,"")))))))))))))))))))))</f>
        <v/>
      </c>
      <c r="BV260" s="50" t="str">
        <f>IF(Atletas!O251="","",IF(Atletas!X251&lt;&gt;"",10000,0)+IF(Atletas!B251="Feminino",1000,IF(Atletas!B251="Masculino",2000,""))+IF(Atletas!O251="Yang A",301,IF(Atletas!O251="Chen A",302,IF(Atletas!O251="Sun A",303,IF(Atletas!O251="Wu A",304,IF(Atletas!O251="Wu-Hao A",305,IF(Atletas!O251="Outro Taijiquan A",306,IF(Atletas!O251="Yang B",307,IF(Atletas!O251="Chen B",308,IF(Atletas!O251="Sun B",309,IF(Atletas!O251="Wu B",310,IF(Atletas!O251="Wu-Hao B",311,IF(Atletas!O251="Outro Taijiquan B",312,IF(Atletas!O251="Yang C",313,IF(Atletas!O251="Chen C",314,IF(Atletas!O251="Sun C",315,IF(Atletas!O251="Wu C",316,IF(Atletas!O251="Wu-Hao C",317,IF(Atletas!O251="Outro Taijiquan C",318,IF(Atletas!O251="Yang D",319,IF(Atletas!O251="Chen D",320,IF(Atletas!O251="Sun D",321,IF(Atletas!O251="Wu D",322,IF(Atletas!O251="Wu-Hao D",323,IF(Atletas!O251="Outro Taijiquan D",324,IF(Atletas!O251="Yang E",325,IF(Atletas!O251="Chen E",326,IF(Atletas!O251="Sun E",327,IF(Atletas!O251="Wu E",328,IF(Atletas!O251="Wu-Hao E",329,IF(Atletas!O251="Outro Taijiquan E",330,IF(Atletas!O251="Yang F",331,IF(Atletas!O251="Chen F",332,IF(Atletas!O251="Sun F",333,IF(Atletas!O251="Wu F",334,IF(Atletas!O251="Wu-Hao F",335,IF(Atletas!O251="Outro Taijiquan F",336,"")))))))))))))))))))))))))))))))))))))</f>
        <v/>
      </c>
      <c r="BW260" s="50" t="str">
        <f>IF(Atletas!P251="","",IF(Atletas!X251&lt;&gt;"",10000,0)+IF(Atletas!B251="Feminino",1000,IF(Atletas!B251="Masculino",2000,""))+IF(OR(Atletas!P251="Yang 26 A",Atletas!P251="Yang 40 A"),401,IF(OR(Atletas!P251="Chen 25 A",Atletas!P251="Chen 36 A",Atletas!P251="Chen 56 A"),402,IF(Atletas!P251="Sun 73 A",403,IF(Atletas!P251="Wu 45 A",404,IF(Atletas!P251="Wu-Hao 46 A",405,IF(OR(Atletas!P251="Taijiquan 16 A",Atletas!P251="Taijiquan 24 A",Atletas!P251="Taijiquan 32 A",Atletas!P251="Taijiquan 42 A"),406,IF(OR(Atletas!P251="Yang 26 B",Atletas!P251="Yang 40 B"),407,IF(OR(Atletas!P251="Chen 25 B",Atletas!P251="Chen 36 B",Atletas!P251="Chen 56 B"),408,IF(Atletas!P251="Sun 73 B",409,IF(Atletas!P251="Wu 45 B",410,IF(Atletas!P251="Wu-Hao 46 B",411,IF(OR(Atletas!P251="Taijiquan 16 B",Atletas!P251="Taijiquan 24 B",Atletas!P251="Taijiquan 32 B",Atletas!P251="Taijiquan 42 B"),412,IF(OR(Atletas!P251="Yang 26 C",Atletas!P251="Yang 40 C"),413,IF(OR(Atletas!P251="Chen 25 C",Atletas!P251="Chen 36 C",Atletas!P251="Chen 56 C"),414,IF(Atletas!P251="Sun 73 C",415,IF(Atletas!P251="Wu 45 C",416,IF(Atletas!P251="Wu-Hao 46 C",417,IF(OR(Atletas!P251="Taijiquan 16 C",Atletas!P251="Taijiquan 24 C",Atletas!P251="Taijiquan 32 C",Atletas!P251="Taijiquan 42 C"),418,0)))))))))))))))))))</f>
        <v/>
      </c>
      <c r="BX260" s="50" t="str">
        <f>IF(Atletas!P251="","",IF(Atletas!X251&lt;&gt;"",10000,0)+IF(Atletas!B251="Feminino",1000,IF(Atletas!B251="Masculino",2000,""))+IF(OR(Atletas!P251="Yang 26 D",Atletas!P251="Yang 40 D"),419,IF(OR(Atletas!P251="Chen 25 D",Atletas!P251="Chen 36 D",Atletas!P251="Chen 56 D"),420,IF(Atletas!P251="Sun 73 D",421,IF(Atletas!P251="Wu 45 D",422,IF(Atletas!P251="Wu-Hao 46 D",423,IF(OR(Atletas!P251="Taijiquan 16 D",Atletas!P251="Taijiquan 24 D",Atletas!P251="Taijiquan 32 D",Atletas!P251="Taijiquan 42 D"),424,IF(OR(Atletas!P251="Yang 26 E",Atletas!P251="Yang 40 E"),425,IF(OR(Atletas!P251="Chen 25 E",Atletas!P251="Chen 36 E",Atletas!P251="Chen 56 E"),426,IF(Atletas!P251="Sun 73 E",427,IF(Atletas!P251="Wu 45 E",428,IF(Atletas!P251="Wu-Hao 46 E",429,IF(OR(Atletas!P251="Taijiquan 16 E",Atletas!P251="Taijiquan 24 E",Atletas!P251="Taijiquan 32 E",Atletas!P251="Taijiquan 42 E"),430,IF(OR(Atletas!P251="Yang 26 F",Atletas!P251="Yang 40 F"),431,IF(OR(Atletas!P251="Chen 25 F",Atletas!P251="Chen 36 F",Atletas!P251="Chen 56 F"),432,IF(Atletas!P251="Sun 73 F",433,IF(Atletas!P251="Wu 45 F",434,IF(Atletas!P251="Wu-Hao 46 F",435,IF(OR(Atletas!P251="Taijiquan 16 F",Atletas!P251="Taijiquan 24 F",Atletas!P251="Taijiquan 32 F",Atletas!P251="Taijiquan 42 F"),436,0)))))))))))))))))))</f>
        <v/>
      </c>
      <c r="BY260" s="50" t="str">
        <f>IF(Atletas!Q251="","",IF(Atletas!X251&lt;&gt;"",10000,0)+IF(Atletas!B251="Feminino",1000,IF(Atletas!B251="Masculino",2000,""))+IF(Atletas!Q251="Xingyiquan A",501,IF(Atletas!Q251="Baguazhang A",502,IF(Atletas!Q251="Outro Estilo Interno A",503,IF(Atletas!Q251="Xingyiquan B",504,IF(Atletas!Q251="Baguazhang B",505,IF(Atletas!Q251="Outro Estilo Interno B",506,IF(Atletas!Q251="Xingyiquan C",507,IF(Atletas!Q251="Baguazhang C",508,IF(Atletas!Q251="Outro Estilo Interno C",509,IF(Atletas!Q251="Xingyiquan D",510,IF(Atletas!Q251="Baguazhang D",511,IF(Atletas!Q251="Outro Estilo Interno D",512,IF(Atletas!Q251="Xingyiquan E",513,IF(Atletas!Q251="Baguazhang E",514,IF(Atletas!Q251="Outro Estilo Interno E",515,IF(Atletas!Q251="Xingyiquan F",516,IF(Atletas!Q251="Baguazhang F",517,IF(Atletas!Q251="Outro Estilo Interno F",518, "")))))))))))))))))))</f>
        <v/>
      </c>
      <c r="BZ260" s="50" t="str">
        <f>IF(Atletas!R251="","",IF(Atletas!X251&lt;&gt;"",10000,0)+IF(Atletas!B251="Feminino",1000,IF(Atletas!B251="Masculino",2000,""))+IF(Atletas!R251="Dao A",601,IF(Atletas!R251="Jian A",602,IF(Atletas!R251="Bishou A",603,IF(Atletas!R251="Shanzi A",604,IF(Atletas!R251="Outra Arma Curta A",605,IF(Atletas!R251="Dao B",606,IF(Atletas!R251="Jian B",607,IF(Atletas!R251="Bishou B",608,IF(Atletas!R251="Shanzi B",609,IF(Atletas!R251="Outra Arma Curta B",610,IF(Atletas!R251="Dao C",611,IF(Atletas!R251="Jian C",612,IF(Atletas!R251="Bishou C",613,IF(Atletas!R251="Shanzi C",614,IF(Atletas!R251="Outra Arma Curta C",615,IF(Atletas!R251="Dao D",616,IF(Atletas!R251="Jian D",617,IF(Atletas!R251="Bishou D",618,IF(Atletas!R251="Shanzi D",619,IF(Atletas!R251="Outra Arma Curta D",620,IF(Atletas!R251="Dao E",621,IF(Atletas!R251="Jian E",622,IF(Atletas!R251="Bishou E",623,IF(Atletas!R251="Shanzi E",624,IF(Atletas!R251="Outra Arma Curta E",625,IF(Atletas!R251="Dao F",626,IF(Atletas!R251="Jian F",627,IF(Atletas!R251="Bishou F",628,IF(Atletas!R251="Shanzi F",629,IF(Atletas!R251="Outra Arma Curta F",630, "")))))))))))))))))))))))))))))))</f>
        <v/>
      </c>
      <c r="CA260" s="50" t="str">
        <f>IF(Atletas!S251="","",IF(Atletas!X251&lt;&gt;"",10000,0)+IF(Atletas!B251="Feminino",1000,IF(Atletas!B251="Masculino",2000,""))+IF(Atletas!S251="Gun A",701,IF(Atletas!S251="Qiang A",702,IF(Atletas!S251="Pudao / Guandao A",703,IF(Atletas!S251="Outra Arma Longa A",704,IF(Atletas!S251="Gun B",705,IF(Atletas!S251="Qiang B",706,IF(Atletas!S251="Pudao / Guandao B",707,IF(Atletas!S251="Outra Arma Longa B",708,IF(Atletas!S251="Gun C",709,IF(Atletas!S251="Qiang C",710,IF(Atletas!S251="Pudao / Guandao C",711,IF(Atletas!S251="Outra Arma Longa C",712,IF(Atletas!S251="Gun D",713,IF(Atletas!S251="Qiang D",714,IF(Atletas!S251="Pudao / Guandao D",715,IF(Atletas!S251="Outra Arma Longa D",716,IF(Atletas!S251="Gun E",717,IF(Atletas!S251="Qiang E",718,IF(Atletas!S251="Pudao / Guandao E",719,IF(Atletas!S251="Outra Arma Longa E",720,IF(Atletas!S251="Gun F",721,IF(Atletas!S251="Qiang F",722,IF(Atletas!S251="Pudao / Guandao F",723,IF(Atletas!S251="Outra Arma Longa F",724,"")))))))))))))))))))))))))</f>
        <v/>
      </c>
      <c r="CB260" s="50" t="str">
        <f>IF(Atletas!T251="","",IF(Atletas!X251&lt;&gt;"",10000,0)+IF(Atletas!B251="Feminino",1000,IF(Atletas!B251="Masculino",2000,""))+IF(Atletas!T251="Outra Arma Dupla A",801,IF(Atletas!T251="Arma Maleável A",802,IF(Atletas!T251="Outra Arma Dupla B",803,IF(Atletas!T251="Arma Maleável B",804,IF(Atletas!T251="Outra Arma Dupla C",805,IF(Atletas!T251="Arma Maleável C",806,IF(Atletas!T251="Outra Arma Dupla D",807,IF(Atletas!T251="Arma Maleável D",808,IF(Atletas!T251="Outra Arma Dupla E",809,IF(Atletas!T251="Arma Maleável E",810,IF(Atletas!T251="Outra Arma Dupla F",811,IF(Atletas!T251="Arma Maleável F",812,IF(Atletas!T251="Shuangdao A",813,IF(Atletas!T251="Shuangdao B",814,IF(Atletas!T251="Shuangdao C",815,IF(Atletas!T251="Shuangdao D",816,IF(Atletas!T251="Shuangdao E",817,IF(Atletas!T251="Shuangdao F",818,"")))))))))))))))))))</f>
        <v/>
      </c>
      <c r="CC260" s="50" t="str">
        <f>IF(Atletas!U251="","",IF(Atletas!X251&lt;&gt;"",10000,0)+IF(Atletas!B251="Feminino",1000,IF(Atletas!B251="Masculino",2000,""))+IF(OR(Atletas!U251="Taijijian Yang A",Atletas!U251="Taijijian Yang Standard A"),901,IF(OR(Atletas!U251="Taijijian Chen A", Atletas!U251="Taijijian Chen Standard A"),902,IF(Atletas!U251="Taijijian Sun A",903,IF(Atletas!U251="Taijijian Wu A",904,IF(Atletas!U251="Taijijian Wu-Hao A",905,IF(OR(Atletas!U251="Taijijian 32 A",Atletas!U251="Taijijian 42 A"),906,IF(OR(Atletas!U251="Taijijian Yang B",Atletas!U251="Taijijian Yang Standard B"),907,IF(OR(Atletas!U251="Taijijian Chen B", Atletas!U251="Taijijian Chen Standard B"),908,IF(Atletas!U251="Taijijian Sun B",909,IF(Atletas!U251="Taijijian Wu B",910,IF(Atletas!U251="Taijijian Wu-Hao B",911,IF(OR(Atletas!U251="Taijijian 32 B",Atletas!U251="Taijijian 42 B"),912,IF(OR(Atletas!U251="Taijijian Yang C",Atletas!U251="Taijijian Yang Standard C"),913,IF(OR(Atletas!U251="Taijijian Chen C", Atletas!U251="Taijijian Chen Standard C"),914,IF(Atletas!U251="Taijijian Sun C",915,IF(Atletas!U251="Taijijian Wu C",916,IF(Atletas!U251="Taijijian Wu-Hao C",917,IF(OR(Atletas!U251="Taijijian 32 C",Atletas!U251="Taijijian 42 C"),918,IF(OR(Atletas!U251="Taijijian Yang D",Atletas!U251="Taijijian Yang Standard D"),919,IF(OR(Atletas!U251="Taijijian Chen D", Atletas!U251="Taijijian Chen Standard D"),920,IF(Atletas!U251="Taijijian Sun D",921,IF(Atletas!U251="Taijijian Wu D",922,IF(Atletas!U251="Taijijian Wu-Hao D",923,IF(OR(Atletas!U251="Taijijian 32 D",Atletas!U251="Taijijian 42 D"),924,IF(OR(Atletas!U251="Taijijian Yang E",Atletas!U251="Taijijian Yang Standard E"),925,IF(OR(Atletas!U251="Taijijian Chen E", Atletas!U251="Taijijian Chen Standard E"),926,IF(Atletas!U251="Taijijian Sun E",927,IF(Atletas!U251="Taijijian Wu E",928,IF(Atletas!U251="Taijijian Wu-Hao E",929,IF(OR(Atletas!U251="Taijijian 32 E",Atletas!U251="Taijijian 42 E"),930,IF(OR(Atletas!U251="Taijijian Yang F",Atletas!U251="Taijijian Yang Standard F"),931,IF(OR(Atletas!U251="Taijijian Chen F", Atletas!U251="Taijijian Chen Standard F"),932,IF(Atletas!U251="Taijijian Sun F",933,IF(Atletas!U251="Taijijian Wu F",934,IF(Atletas!U251="Taijijian Wu-Hao F",935,IF(OR(Atletas!U251="Taijijian 32 F",Atletas!U251="Taijijian 42 F"),936,"")))))))))))))))))))))))))))))))))))))</f>
        <v/>
      </c>
      <c r="CD260" s="50" t="str">
        <f>IF(Atletas!V251="","",IF(Atletas!X251&lt;&gt;"",10000,0)+IF(Atletas!B251="Feminino",1000,IF(Atletas!B251="Masculino",2000,""))+IF(Atletas!V251="Taijidao A",937,IF(Atletas!V251="TaijiShanzi A",938,IF(Atletas!V251="Taijiqiang A",939,IF(Atletas!V251="Bagua de Arma A",940,IF(Atletas!V251="Xingyi de Arma A",941,IF(Atletas!V251="Taijidao B",942,IF(Atletas!V251="TaijiShanzi B",943,IF(Atletas!V251="Taijiqiang B",944,IF(Atletas!V251="Bagua de Arma B",945,IF(Atletas!V251="Xingyi de Arma B",946,IF(Atletas!V251="Taijidao C",947,IF(Atletas!V251="TaijiShanzi C",948,IF(Atletas!V251="Taijiqiang C",949,IF(Atletas!V251="Bagua de Arma C",950,IF(Atletas!V251="Xingyi de Arma C",951,IF(Atletas!V251="Taijidao D",952,IF(Atletas!V251="TaijiShanzi D",953,IF(Atletas!V251="Taijiqiang D",954,IF(Atletas!V251="Bagua de Arma D",955,IF(Atletas!V251="Xingyi de Arma D",956,IF(Atletas!V251="Taijidao E",957,IF(Atletas!V251="TaijiShanzi E",958,IF(Atletas!V251="Taijiqiang E",959,IF(Atletas!V251="Bagua de Arma E",960,IF(Atletas!V251="Xingyi de Arma E",961,IF(Atletas!V251="Taijidao F",962,IF(Atletas!V251="TaijiShanzi F",963,IF(Atletas!V251="Taijiqiang F",964,IF(Atletas!V251="Bagua de Arma F",965,IF(Atletas!V251="Xingyi de Arma F",966,"")))))))))))))))))))))))))))))))</f>
        <v/>
      </c>
      <c r="CE260" s="66" t="str">
        <f>IF(CF260&lt;&gt;"","Qiang A","")</f>
        <v/>
      </c>
      <c r="CF260" s="66" t="str">
        <f>IF(COUNTIF(BR:CD,1702)&gt;0,COUNTIF(BR:CD,1702),"")</f>
        <v/>
      </c>
      <c r="CG260" s="66" t="str">
        <f>IF(CH260&lt;&gt;"","Qiang A","")</f>
        <v/>
      </c>
      <c r="CH260" s="66" t="str">
        <f>IF(COUNTIF(BR:CD,2702)&gt;0,COUNTIF(BR:CD,2702),"")</f>
        <v/>
      </c>
      <c r="CI260" s="66" t="str">
        <f>IF(CJ260&lt;&gt;"","Outra Arma Longa B","")</f>
        <v/>
      </c>
      <c r="CJ260" s="66" t="str">
        <f>IF(COUNTIF(BR:CD,11708)&gt;0,COUNTIF(BR:CD,11708),"")</f>
        <v/>
      </c>
      <c r="CK260" s="66" t="str">
        <f>IF(CL260&lt;&gt;"","Outra Arma Longa B","")</f>
        <v/>
      </c>
      <c r="CL260" s="6" t="str">
        <f>IF(COUNTIF(BR:CD,12708)&gt;0,COUNTIF(BR:CD,12708),"")</f>
        <v/>
      </c>
      <c r="CM260" s="50" t="str">
        <f xml:space="preserve"> IF(Atletas!W251="","",IF(Atletas!W251="Duilian de Mãos BC - Equipe 1",1,IF(Atletas!W251="Duilian de Mãos BC - Equipe 2",2,IF(Atletas!W251="Duilian de Armas BC - Equipe 1",3,IF(Atletas!W251="Duilian de Armas BC - Equipe 2",4,IF(Atletas!W251="Duilian de Mãos DE - Equipe 1",5,IF(Atletas!W251="Duilian de Mãos DE - Equipe 2",6,IF(Atletas!W251="Duilian de Armas DE - Equipe 1",7,IF(Atletas!W251="Duilian de Armas DE - Equipe 2",8,IF(Atletas!W251="Duilian de Tuishou - Equipe 1",9,IF(Atletas!W251="Duilian de Tuishou - Equipe 2",10,IF(Atletas!W251="Grupo Externo ABC - Equipe 1",11,IF(Atletas!W251="Grupo Externo ABC - Equipe 2",12,IF(Atletas!W251="Grupo Interno ABC - Equipe 1",13,IF(Atletas!W251="Grupo Interno ABC - Equipe 2",14,IF(Atletas!W251="Grupo Externo DEF - Equipe 1",15,IF(Atletas!W251="Grupo Externo DEF - Equipe 2",16,IF(Atletas!W251="Grupo Interno DEF - Equipe 1",17,IF(Atletas!W251="Grupo Interno DEF - Equipe 2",18,"")))))))))))))))))))</f>
        <v/>
      </c>
    </row>
    <row r="261" spans="2:91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 t="str">
        <f t="array" ref="Z261">IFERROR(INDEX(CE$7:CE$348,SMALL(IF(CE$7:CE$348&lt;&gt;"",ROW(CE$7:CE$348)-ROW(CE$7)+1),ROWS(CE$7:CE260))),"")</f>
        <v/>
      </c>
      <c r="AA261" s="3" t="str">
        <f t="array" ref="AA261">IFERROR(INDEX(CF$7:CF$348,SMALL(IF(CF$7:CF$348&lt;&gt;"",ROW(CF$7:CF$348)-ROW(CF$7)+1),ROWS(CF$7:CF260))),"")</f>
        <v/>
      </c>
      <c r="AB261" s="3" t="str">
        <f t="array" ref="AB261">IFERROR(INDEX(CG$7:CG$348,SMALL(IF(CG$7:CG$348&lt;&gt;"",ROW(CG$7:CG$348)-ROW(CG$7)+1),ROWS(CG$7:CG260))),"")</f>
        <v/>
      </c>
      <c r="AC261" s="3" t="str">
        <f t="array" ref="AC261">IFERROR(INDEX(CH$7:CH$348,SMALL(IF(CH$7:CH$348&lt;&gt;"",ROW(CH$7:CH$348)-ROW(CH$7)+1),ROWS(CH$7:CH260))),"")</f>
        <v/>
      </c>
      <c r="AD261" s="3" t="str">
        <f t="array" ref="AD261">IFERROR(INDEX(CI$7:CI$377,SMALL(IF(CI$7:CI$377&lt;&gt;"",ROW(CI$7:CI$377)-ROW(CI$7)+1),ROWS(CI$7:CI260))),"")</f>
        <v/>
      </c>
      <c r="AE261" s="3" t="str">
        <f t="array" ref="AE261">IFERROR(INDEX(CJ$7:CJ$378,SMALL(IF(CJ$7:CJ$378&lt;&gt;"",ROW(CJ$7:CJ$378)-ROW(CJ$7)+1),ROWS(CJ$7:CJ260))),"")</f>
        <v/>
      </c>
      <c r="AF261" s="3" t="str">
        <f t="array" ref="AF261">IFERROR(INDEX(CK$7:CK$378,SMALL(IF(CK$7:CK$378&lt;&gt;"",ROW(CK$7:CK$378)-ROW(CK$7)+1),ROWS(CK$7:CK260))),"")</f>
        <v/>
      </c>
      <c r="AG261" s="3" t="str">
        <f t="array" ref="AG261">IFERROR(INDEX(CL$7:CL$378,SMALL(IF(CL$7:CL$378&lt;&gt;"",ROW(CL$7:CL$378)-ROW(CL$7)+1),ROWS(CL$7:CL260))),"")</f>
        <v/>
      </c>
      <c r="AH261" s="3"/>
      <c r="AI261" s="3"/>
      <c r="AJ261" s="3"/>
      <c r="AK261" s="3"/>
      <c r="AL261" s="3"/>
      <c r="AM261" s="3"/>
      <c r="AN261" s="52" t="str">
        <f>IF(Atletas!D252="","",IF(Atletas!B252="Feminino",100,IF(Atletas!B252="Masculino",200,""))+(IF(Atletas!D252="Kids 30kg",1,IF(Atletas!D252="Kids 32kg",2, IF(Atletas!D252="Kids 34kg",3,IF(Atletas!D252="Kids 36kg",4,IF(Atletas!D252="Kids 39kg",5,IF(Atletas!D252="Kids 42kg",6,IF(Atletas!D252="Kids 45kg",7, IF(Atletas!D252="Infantil 39kg",8,IF(Atletas!D252="Infantil 42kg",9,IF(Atletas!D252="Infantil 45kg",10,IF(Atletas!D252="Infantil 48kg",11,IF(Atletas!D252="Infantil 52kg",12,IF(Atletas!D252="Infantil 56kg",13,IF(Atletas!D252="Infantil 60kg",14,IF(Atletas!D252="Juvenil 48kg",15,IF(Atletas!D252="Juvenil 52kg",16,IF(Atletas!D252="Juvenil 56kg",17,IF(Atletas!D252="Juvenil 60kg",18,IF(Atletas!D252="Juvenil 65kg",19,IF(Atletas!D252="Juvenil 70kg",20,IF(Atletas!D252="Juvenil 75kg",21,IF(Atletas!D252="Juvenil 80kg",22, IF(Atletas!D252="Juvenil 85kg",23,IF(Atletas!D252="Adulto 48kg",24,IF(Atletas!D252="Adulto 52kg",25,IF(Atletas!D252="Adulto 56kg",26,IF(Atletas!D252="Adulto 60kg",27,IF(Atletas!D252="Adulto 65kg",28,IF(Atletas!D252="Adulto 70kg",29,IF(Atletas!D252="Adulto 75kg",30,IF(Atletas!D252="Adulto 80kg",31,IF(Atletas!D252="Adulto 85kg",32,IF(Atletas!D252="Adulto 90kg",33,IF(Atletas!D252="Adulto 100kg",34, IF(Atletas!D252="Adulto +100kg",35,"")))))))))))))))))))))))))))))))))))))</f>
        <v/>
      </c>
      <c r="AS261" s="6" t="str">
        <f>IF(Atletas!E252="","",IF(Atletas!B252="Feminino",100,IF(Atletas!B252="Masculino",200,""))+(IF(Atletas!E252="Juvenil 44kg",1,IF(Atletas!E252="Juvenil 48kg",2,IF(Atletas!E252="Juvenil 52kg",3,IF(Atletas!E252="Juvenil 56kg",4,IF(Atletas!E252="Juvenil 60kg",5,IF(Atletas!E252="Juvenil 65kg",6,IF(Atletas!E252="Juvenil 70kg",7,IF(Atletas!E252="Juvenil 75kg",8,IF(Atletas!E252="Juvenil 82kg",9,IF(Atletas!E252="Juvenil 90kg",10,IF(Atletas!E252="Juvenil 100kg",11,IF(Atletas!E252="Adulto 48kg",12,IF(Atletas!E252="Adulto 52kg",13,IF(Atletas!E252="Adulto 56kg",14,IF(Atletas!E252="Adulto 60kg",15,IF(Atletas!E252="Adulto 65kg",16,IF(Atletas!E252="Adulto 70kg",17,IF(Atletas!E252="Adulto 75kg",18,IF(Atletas!E252="Adulto 82kg",19,IF(Atletas!E252="Adulto 90kg",20,IF(Atletas!E252="Adulto 100kg",21,IF(Atletas!E252="Adulto +100kg",22,""))))))))))))))))))))))))</f>
        <v/>
      </c>
      <c r="AX261" s="6" t="str">
        <f>IF(Atletas!F252="","",IF(Atletas!B252="Feminino",100,IF(Atletas!B252="Masculino",200,""))+(IF(Atletas!F252="Adulto 48kg",1,IF(Atletas!F252="Adulto 56kg",2,IF(Atletas!F252="Adulto 65kg",3,IF(Atletas!F252="Adulto 75kg",4,IF(Atletas!F252="Adulto +75kg",5,IF(Atletas!F252="Adulto 52kg",6,IF(Atletas!F252="Adulto 60kg",7,IF(Atletas!F252="Adulto 70kg",8,IF(Atletas!F252="Adulto 80kg",9,IF(Atletas!F252="Adulto 90kg",10,IF(Atletas!F252="Adulto +90kg",11,"")))))))))))))</f>
        <v/>
      </c>
      <c r="BC261" s="6" t="str">
        <f>IF(Atletas!G252="","",IF(Atletas!B252="Feminino",10,IF(Atletas!B252="Masculino",20,""))+(IF(Atletas!G252="Baduanjin A",1,IF(Atletas!G252="Baduanjin B",2))))</f>
        <v/>
      </c>
      <c r="BF261" s="52" t="str">
        <f>IF(Atletas!H252="","",IF(Atletas!B252="Feminino",100,IF(Atletas!B252="Masculino",200,""))+(IF(Atletas!H252="Changquan Mirim",1,IF(Atletas!H252="Nanquan Mirim",2,IF(Atletas!H252="Taijiquan Mirim",3,IF(Atletas!H252="Changquan Grupo C",4,IF(Atletas!H252="Nanquan Grupo C",5,IF(Atletas!H252="Taijiquan Grupo C",6,IF(Atletas!H252="Changquan Grupo B",7,IF(Atletas!H252="Nanquan Grupo B",8,IF(Atletas!H252="Taijiquan Grupo B",9,IF(Atletas!H252="Changquan Grupo A",10,IF(Atletas!H252="Nanquan Grupo A",11,IF(Atletas!H252="Taijiquan Grupo A",12,IF(Atletas!H252="Changquan Opcional",13,IF(Atletas!H252="Nanquan Opcional",14,IF(Atletas!H252="Taijiquan Opcional",15,IF(Atletas!H252="Changquan Adulto",16,IF(Atletas!H252="Nanquan Adulto",17,IF(Atletas!H252="Taijiquan Adulto",18,""))))))))))))))))))))</f>
        <v/>
      </c>
      <c r="BG261" s="52" t="str">
        <f>IF(Atletas!I252="","",IF(Atletas!B252="Feminino",100,IF(Atletas!B252="Masculino",200,""))+(IF(Atletas!I252="Daoshu Mirim",19,IF(Atletas!I252="Jianshu Mirim",20,IF(Atletas!I252="Nandao Mirim",21,IF(Atletas!I252="Taijijian Mirim",22,IF(Atletas!I252="Daoshu Grupo C",23,IF(Atletas!I252="Jianshu Grupo C",24,IF(Atletas!I252="Nandao Grupo C",25,IF(Atletas!I252="Taijijian Grupo C",26,IF(Atletas!I252="Daoshu Grupo B",27,IF(Atletas!I252="Jianshu Grupo B",28,IF(Atletas!I252="Nandao Grupo B",29,IF(Atletas!I252="Taijijian Grupo B",30,IF(Atletas!I252="Daoshu Grupo A",31,IF(Atletas!I252="Jianshu Grupo A",32,IF(Atletas!I252="Nandao Grupo A",33,IF(Atletas!I252="Taijijian Grupo A",34,IF(Atletas!I252="Daoshu Opcional",35,IF(Atletas!I252="Jianshu Opcional",36,IF(Atletas!I252="Nandao Opcional",37,IF(Atletas!I252="Taijijian Opcional",38,IF(Atletas!I252="Daoshu Adulto",39,IF(Atletas!I252="Jianshu Adulto",40,IF(Atletas!I252="Nandao Adulto",41,IF(Atletas!I252="Taijijian Adulto",42,""))))))))))))))))))))))))))</f>
        <v/>
      </c>
      <c r="BH261" s="52" t="str">
        <f>IF(Atletas!J252="","",IF(Atletas!B252="Feminino",100,IF(Atletas!B252="Masculino",200,""))+(IF(Atletas!J252="Gunshu Mirim",43,IF(Atletas!J252="Qiangshu Mirim",44,IF(Atletas!J252="Nangun Mirim",45,IF(Atletas!J252="Gunshu Grupo C",46,IF(Atletas!J252="Qiangshu Grupo C",47,IF(Atletas!J252="Nangun Grupo C",48,IF(Atletas!J252="Gunshu Grupo B",49,IF(Atletas!J252="Qiangshu Grupo B",50,IF(Atletas!J252="Nangun Grupo B",51,IF(Atletas!J252="Gunshu Grupo A",52,IF(Atletas!J252="Qiangshu Grupo A",53,IF(Atletas!J252="Nangun Grupo A",54,IF(Atletas!J252="Gunshu Opcional",55,IF(Atletas!J252="Qiangshu Opcional",56,IF(Atletas!J252="Nangun Opcional",57,IF(Atletas!J252="Gunshu Adulto",58,IF(Atletas!J252="Qiangshu Adulto",59,IF(Atletas!J252="Nangun Adulto",60,IF(Atletas!J252="Taijishan Grupo B",61,IF(Atletas!J252="Taijishan Grupo A",62,""))))))))))))))))))))))</f>
        <v/>
      </c>
      <c r="BM261" s="50" t="str">
        <f>IF(Atletas!K252="","",IF(Atletas!B252="Feminino",100,IF(Atletas!B252="Masculino",200,""))+(IF(Atletas!K252="Equipe 1 Grupo B",1,IF(Atletas!K252="Equipe 2 Grupo B",2,IF(Atletas!K252="Equipe 1 Grupo A",3,IF(Atletas!K252="Equipe 2 Grupo A",4,IF(Atletas!K252="Equipe 1 Adulto",5,IF(Atletas!K252="Equipe 2 Adulto",6,""))))))))</f>
        <v/>
      </c>
      <c r="BR261" s="50" t="str">
        <f>IF(Atletas!L252="","",IF(Atletas!X252&lt;&gt;"",10000,0)+(IF(Atletas!B252="Feminino",1000,IF(Atletas!B252="Masculino",2000,""))+IF(Atletas!L252="Choylayfut A",1,IF(Atletas!L252="Hunggar A",2,IF(Atletas!L252="Wuzuquan A",3,IF(Atletas!L252="Wingchun A",4,IF(Atletas!L252="Outra Mão de Sul A",5,IF(Atletas!L252="Choylayfut B",6,IF(Atletas!L252="Hunggar B",7,IF(Atletas!L252="Wuzuquan B",8,IF(Atletas!L252="Wingchun B",9,IF(Atletas!L252="Outra Mão de Sul B",10,IF(Atletas!L252="Choylayfut C",11,IF(Atletas!L252="Hunggar C",12,IF(Atletas!L252="Wuzuquan C",13,IF(Atletas!L252="Wingchun C",14,IF(Atletas!L252="Outra Mão de Sul C",15,IF(Atletas!L252="Choylayfut D",16,IF(Atletas!L252="Hunggar D",17,IF(Atletas!L252="Wuzuquan D",18,IF(Atletas!L252="Wingchun D",19,IF(Atletas!L252="Outra Mão de Sul D",20,IF(Atletas!L252="Choylayfut E",21,IF(Atletas!L252="Hunggar E",22,IF(Atletas!L252="Wuzuquan E",23,IF(Atletas!L252="Wingchun E",24,IF(Atletas!L252="Outra Mão de Sul E",25,IF(Atletas!L252="Choylayfut F",26,IF(Atletas!L252="Hunggar F",27,IF(Atletas!L252="Wuzuquan F",28,IF(Atletas!L252="Wingchun F",29,IF(Atletas!L252="Outra Mão de Sul F",30,IF(Atletas!L252="Dishuquan A",31,IF(Atletas!L252="Dishuquan B",32,IF(Atletas!L252="Dishuquan C",33,IF(Atletas!L252="Dishuquan D",34,IF(Atletas!L252="Dishuquan E",35,IF(Atletas!L252="Dishuquan F",36,""))))))))))))))))))))))))))))))))))))))</f>
        <v/>
      </c>
      <c r="BS261" s="50" t="str">
        <f>IF(Atletas!M252="","",IF(Atletas!X252&lt;&gt;"",10000,0)+(IF(Atletas!B252="Feminino",1000,IF(Atletas!B252="Masculino",2000,""))+(IF(Atletas!M252="Chaquan A",101,IF(Atletas!M252="Emeiquan A",102,IF(Atletas!M252="Fanziquan A",103,IF(Atletas!M252="Huaquan A",104,IF(Atletas!M252="Hongquan A",105,IF(Atletas!M252="Paoquan A",106,IF(Atletas!M252="Piguaquan A",107,IF(Atletas!M252="Shaolinquan A",108,IF(Atletas!M252="Tanglangquan A",109,IF(Atletas!M252="Yingzhaoquan A",110,IF(Atletas!M252="Tongbeiquan A",111,IF(Atletas!M252="Wudangquan A",112,IF(Atletas!M252="Outros Estilos A",113,IF(Atletas!M252="Chaquan B",114,IF(Atletas!M252="Emeiquan B",115,IF(Atletas!M252="Fanziquan B",116,IF(Atletas!M252="Huaquan B",117,IF(Atletas!M252="Hongquan B",118,IF(Atletas!M252="Paoquan B",119,IF(Atletas!M252="Piguaquan B",120,IF(Atletas!M252="Shaolinquan B",121,IF(Atletas!M252="Tanglangquan B",122,IF(Atletas!M252="Yingzhaoquan B",123,IF(Atletas!M252="Tongbeiquan B",124,IF(Atletas!M252="Wudangquan B",125,IF(Atletas!M252="Outros Estilos B",126,IF(Atletas!M252="Chaquan C",127,IF(Atletas!M252="Emeiquan C",128,IF(Atletas!M252="Fanziquan C",129,IF(Atletas!M252="Huaquan C",130,IF(Atletas!M252="Hongquan C",131,IF(Atletas!M252="Paoquan C",132,IF(Atletas!M252="Piguaquan C",133,IF(Atletas!M252="Shaolinquan C",134,IF(Atletas!M252="Tanglangquan C",135,IF(Atletas!M252="Yingzhaoquan C",136,IF(Atletas!M252="Tongbeiquan C",137,IF(Atletas!M252="Wudangquan C",138,IF(Atletas!M252="Outros Estilos C",139,0))))))))))))))))))))))))))))))))))))))))))</f>
        <v/>
      </c>
      <c r="BT261" s="50" t="str">
        <f>IF(Atletas!M252="","",IF(Atletas!X252&lt;&gt;"",10000,0)+(IF(Atletas!B252="Feminino",1000,IF(Atletas!B252="Masculino",2000,""))+(IF(Atletas!M252="Chaquan D",140,IF(Atletas!M252="Emeiquan D",141,IF(Atletas!M252="Fanziquan D",142,IF(Atletas!M252="Huaquan D",143,IF(Atletas!M252="Hongquan D",144,IF(Atletas!M252="Paoquan D",145,IF(Atletas!M252="Piguaquan D",146,IF(Atletas!M252="Shaolinquan D",147,IF(Atletas!M252="Tanglangquan D",148,IF(Atletas!M252="Yingzhaoquan D",149,IF(Atletas!M252="Tongbeiquan D",150,IF(Atletas!M252="Wudangquan D",151,IF(Atletas!M252="Outros Estilos D",152,IF(Atletas!M252="Chaquan E",153,IF(Atletas!M252="Emeiquan E",154,IF(Atletas!M252="Fanziquan E",155,IF(Atletas!M252="Huaquan E",156,IF(Atletas!M252="Hongquan E",157,IF(Atletas!M252="Paoquan E",158,IF(Atletas!M252="Piguaquan E",159,IF(Atletas!M252="Shaolinquan E",160,IF(Atletas!M252="Tanglangquan E",161,IF(Atletas!M252="Yingzhaoquan E",162,IF(Atletas!M252="Tongbeiquan E",163,IF(Atletas!M252="Wudangquan E",164,IF(Atletas!M252="Outros Estilos E",165,IF(Atletas!M252="Chaquan F",166,IF(Atletas!M252="Emeiquan F",167,IF(Atletas!M252="Fanziquan F",168,IF(Atletas!M252="Huaquan F",169,IF(Atletas!M252="Hongquan F",170,IF(Atletas!M252="Paoquan F",171,IF(Atletas!M252="Piguaquan F",172,IF(Atletas!M252="Shaolinquan F",173,IF(Atletas!M252="Tanglangquan F",174,IF(Atletas!M252="Yingzhaoquan F",175,IF(Atletas!M252="Tongbeiquan F",176,IF(Atletas!M252="Wudangquan F",177,IF(Atletas!M252="Outros Estilos F",178,0))))))))))))))))))))))))))))))))))))))))))</f>
        <v/>
      </c>
      <c r="BU261" s="50" t="str">
        <f>IF(Atletas!N252="","",IF(Atletas!X252&lt;&gt;"",10000,0)+(IF(Atletas!B252="Feminino",1000,IF(Atletas!B252="Masculino",2000,""))+(IF(Atletas!N252="Ditangquan A",201,IF(Atletas!N252="Houquan A",202,IF(Atletas!N252="Zuiquan A",203,IF(Atletas!N252="Ditangquan B",204,IF(Atletas!N252="Houquan B",205,IF(Atletas!N252="Zuiquan B",206,IF(Atletas!N252="Ditangquan C",207,IF(Atletas!N252="Houquan C",208,IF(Atletas!N252="Zuiquan C",209,IF(Atletas!N252="Ditangquan D",210,IF(Atletas!N252="Houquan D",211,IF(Atletas!N252="Zuiquan D",212,IF(Atletas!N252="Ditangquan E",213,IF(Atletas!N252="Houquan E",214,IF(Atletas!N252="Zuiquan E",215,IF(Atletas!N252="Ditangquan F",216,IF(Atletas!N252="Houquan F",217,IF(Atletas!N252="Zuiquan F",218,"")))))))))))))))))))))</f>
        <v/>
      </c>
      <c r="BV261" s="50" t="str">
        <f>IF(Atletas!O252="","",IF(Atletas!X252&lt;&gt;"",10000,0)+IF(Atletas!B252="Feminino",1000,IF(Atletas!B252="Masculino",2000,""))+IF(Atletas!O252="Yang A",301,IF(Atletas!O252="Chen A",302,IF(Atletas!O252="Sun A",303,IF(Atletas!O252="Wu A",304,IF(Atletas!O252="Wu-Hao A",305,IF(Atletas!O252="Outro Taijiquan A",306,IF(Atletas!O252="Yang B",307,IF(Atletas!O252="Chen B",308,IF(Atletas!O252="Sun B",309,IF(Atletas!O252="Wu B",310,IF(Atletas!O252="Wu-Hao B",311,IF(Atletas!O252="Outro Taijiquan B",312,IF(Atletas!O252="Yang C",313,IF(Atletas!O252="Chen C",314,IF(Atletas!O252="Sun C",315,IF(Atletas!O252="Wu C",316,IF(Atletas!O252="Wu-Hao C",317,IF(Atletas!O252="Outro Taijiquan C",318,IF(Atletas!O252="Yang D",319,IF(Atletas!O252="Chen D",320,IF(Atletas!O252="Sun D",321,IF(Atletas!O252="Wu D",322,IF(Atletas!O252="Wu-Hao D",323,IF(Atletas!O252="Outro Taijiquan D",324,IF(Atletas!O252="Yang E",325,IF(Atletas!O252="Chen E",326,IF(Atletas!O252="Sun E",327,IF(Atletas!O252="Wu E",328,IF(Atletas!O252="Wu-Hao E",329,IF(Atletas!O252="Outro Taijiquan E",330,IF(Atletas!O252="Yang F",331,IF(Atletas!O252="Chen F",332,IF(Atletas!O252="Sun F",333,IF(Atletas!O252="Wu F",334,IF(Atletas!O252="Wu-Hao F",335,IF(Atletas!O252="Outro Taijiquan F",336,"")))))))))))))))))))))))))))))))))))))</f>
        <v/>
      </c>
      <c r="BW261" s="50" t="str">
        <f>IF(Atletas!P252="","",IF(Atletas!X252&lt;&gt;"",10000,0)+IF(Atletas!B252="Feminino",1000,IF(Atletas!B252="Masculino",2000,""))+IF(OR(Atletas!P252="Yang 26 A",Atletas!P252="Yang 40 A"),401,IF(OR(Atletas!P252="Chen 25 A",Atletas!P252="Chen 36 A",Atletas!P252="Chen 56 A"),402,IF(Atletas!P252="Sun 73 A",403,IF(Atletas!P252="Wu 45 A",404,IF(Atletas!P252="Wu-Hao 46 A",405,IF(OR(Atletas!P252="Taijiquan 16 A",Atletas!P252="Taijiquan 24 A",Atletas!P252="Taijiquan 32 A",Atletas!P252="Taijiquan 42 A"),406,IF(OR(Atletas!P252="Yang 26 B",Atletas!P252="Yang 40 B"),407,IF(OR(Atletas!P252="Chen 25 B",Atletas!P252="Chen 36 B",Atletas!P252="Chen 56 B"),408,IF(Atletas!P252="Sun 73 B",409,IF(Atletas!P252="Wu 45 B",410,IF(Atletas!P252="Wu-Hao 46 B",411,IF(OR(Atletas!P252="Taijiquan 16 B",Atletas!P252="Taijiquan 24 B",Atletas!P252="Taijiquan 32 B",Atletas!P252="Taijiquan 42 B"),412,IF(OR(Atletas!P252="Yang 26 C",Atletas!P252="Yang 40 C"),413,IF(OR(Atletas!P252="Chen 25 C",Atletas!P252="Chen 36 C",Atletas!P252="Chen 56 C"),414,IF(Atletas!P252="Sun 73 C",415,IF(Atletas!P252="Wu 45 C",416,IF(Atletas!P252="Wu-Hao 46 C",417,IF(OR(Atletas!P252="Taijiquan 16 C",Atletas!P252="Taijiquan 24 C",Atletas!P252="Taijiquan 32 C",Atletas!P252="Taijiquan 42 C"),418,0)))))))))))))))))))</f>
        <v/>
      </c>
      <c r="BX261" s="50" t="str">
        <f>IF(Atletas!P252="","",IF(Atletas!X252&lt;&gt;"",10000,0)+IF(Atletas!B252="Feminino",1000,IF(Atletas!B252="Masculino",2000,""))+IF(OR(Atletas!P252="Yang 26 D",Atletas!P252="Yang 40 D"),419,IF(OR(Atletas!P252="Chen 25 D",Atletas!P252="Chen 36 D",Atletas!P252="Chen 56 D"),420,IF(Atletas!P252="Sun 73 D",421,IF(Atletas!P252="Wu 45 D",422,IF(Atletas!P252="Wu-Hao 46 D",423,IF(OR(Atletas!P252="Taijiquan 16 D",Atletas!P252="Taijiquan 24 D",Atletas!P252="Taijiquan 32 D",Atletas!P252="Taijiquan 42 D"),424,IF(OR(Atletas!P252="Yang 26 E",Atletas!P252="Yang 40 E"),425,IF(OR(Atletas!P252="Chen 25 E",Atletas!P252="Chen 36 E",Atletas!P252="Chen 56 E"),426,IF(Atletas!P252="Sun 73 E",427,IF(Atletas!P252="Wu 45 E",428,IF(Atletas!P252="Wu-Hao 46 E",429,IF(OR(Atletas!P252="Taijiquan 16 E",Atletas!P252="Taijiquan 24 E",Atletas!P252="Taijiquan 32 E",Atletas!P252="Taijiquan 42 E"),430,IF(OR(Atletas!P252="Yang 26 F",Atletas!P252="Yang 40 F"),431,IF(OR(Atletas!P252="Chen 25 F",Atletas!P252="Chen 36 F",Atletas!P252="Chen 56 F"),432,IF(Atletas!P252="Sun 73 F",433,IF(Atletas!P252="Wu 45 F",434,IF(Atletas!P252="Wu-Hao 46 F",435,IF(OR(Atletas!P252="Taijiquan 16 F",Atletas!P252="Taijiquan 24 F",Atletas!P252="Taijiquan 32 F",Atletas!P252="Taijiquan 42 F"),436,0)))))))))))))))))))</f>
        <v/>
      </c>
      <c r="BY261" s="50" t="str">
        <f>IF(Atletas!Q252="","",IF(Atletas!X252&lt;&gt;"",10000,0)+IF(Atletas!B252="Feminino",1000,IF(Atletas!B252="Masculino",2000,""))+IF(Atletas!Q252="Xingyiquan A",501,IF(Atletas!Q252="Baguazhang A",502,IF(Atletas!Q252="Outro Estilo Interno A",503,IF(Atletas!Q252="Xingyiquan B",504,IF(Atletas!Q252="Baguazhang B",505,IF(Atletas!Q252="Outro Estilo Interno B",506,IF(Atletas!Q252="Xingyiquan C",507,IF(Atletas!Q252="Baguazhang C",508,IF(Atletas!Q252="Outro Estilo Interno C",509,IF(Atletas!Q252="Xingyiquan D",510,IF(Atletas!Q252="Baguazhang D",511,IF(Atletas!Q252="Outro Estilo Interno D",512,IF(Atletas!Q252="Xingyiquan E",513,IF(Atletas!Q252="Baguazhang E",514,IF(Atletas!Q252="Outro Estilo Interno E",515,IF(Atletas!Q252="Xingyiquan F",516,IF(Atletas!Q252="Baguazhang F",517,IF(Atletas!Q252="Outro Estilo Interno F",518, "")))))))))))))))))))</f>
        <v/>
      </c>
      <c r="BZ261" s="50" t="str">
        <f>IF(Atletas!R252="","",IF(Atletas!X252&lt;&gt;"",10000,0)+IF(Atletas!B252="Feminino",1000,IF(Atletas!B252="Masculino",2000,""))+IF(Atletas!R252="Dao A",601,IF(Atletas!R252="Jian A",602,IF(Atletas!R252="Bishou A",603,IF(Atletas!R252="Shanzi A",604,IF(Atletas!R252="Outra Arma Curta A",605,IF(Atletas!R252="Dao B",606,IF(Atletas!R252="Jian B",607,IF(Atletas!R252="Bishou B",608,IF(Atletas!R252="Shanzi B",609,IF(Atletas!R252="Outra Arma Curta B",610,IF(Atletas!R252="Dao C",611,IF(Atletas!R252="Jian C",612,IF(Atletas!R252="Bishou C",613,IF(Atletas!R252="Shanzi C",614,IF(Atletas!R252="Outra Arma Curta C",615,IF(Atletas!R252="Dao D",616,IF(Atletas!R252="Jian D",617,IF(Atletas!R252="Bishou D",618,IF(Atletas!R252="Shanzi D",619,IF(Atletas!R252="Outra Arma Curta D",620,IF(Atletas!R252="Dao E",621,IF(Atletas!R252="Jian E",622,IF(Atletas!R252="Bishou E",623,IF(Atletas!R252="Shanzi E",624,IF(Atletas!R252="Outra Arma Curta E",625,IF(Atletas!R252="Dao F",626,IF(Atletas!R252="Jian F",627,IF(Atletas!R252="Bishou F",628,IF(Atletas!R252="Shanzi F",629,IF(Atletas!R252="Outra Arma Curta F",630, "")))))))))))))))))))))))))))))))</f>
        <v/>
      </c>
      <c r="CA261" s="50" t="str">
        <f>IF(Atletas!S252="","",IF(Atletas!X252&lt;&gt;"",10000,0)+IF(Atletas!B252="Feminino",1000,IF(Atletas!B252="Masculino",2000,""))+IF(Atletas!S252="Gun A",701,IF(Atletas!S252="Qiang A",702,IF(Atletas!S252="Pudao / Guandao A",703,IF(Atletas!S252="Outra Arma Longa A",704,IF(Atletas!S252="Gun B",705,IF(Atletas!S252="Qiang B",706,IF(Atletas!S252="Pudao / Guandao B",707,IF(Atletas!S252="Outra Arma Longa B",708,IF(Atletas!S252="Gun C",709,IF(Atletas!S252="Qiang C",710,IF(Atletas!S252="Pudao / Guandao C",711,IF(Atletas!S252="Outra Arma Longa C",712,IF(Atletas!S252="Gun D",713,IF(Atletas!S252="Qiang D",714,IF(Atletas!S252="Pudao / Guandao D",715,IF(Atletas!S252="Outra Arma Longa D",716,IF(Atletas!S252="Gun E",717,IF(Atletas!S252="Qiang E",718,IF(Atletas!S252="Pudao / Guandao E",719,IF(Atletas!S252="Outra Arma Longa E",720,IF(Atletas!S252="Gun F",721,IF(Atletas!S252="Qiang F",722,IF(Atletas!S252="Pudao / Guandao F",723,IF(Atletas!S252="Outra Arma Longa F",724,"")))))))))))))))))))))))))</f>
        <v/>
      </c>
      <c r="CB261" s="50" t="str">
        <f>IF(Atletas!T252="","",IF(Atletas!X252&lt;&gt;"",10000,0)+IF(Atletas!B252="Feminino",1000,IF(Atletas!B252="Masculino",2000,""))+IF(Atletas!T252="Outra Arma Dupla A",801,IF(Atletas!T252="Arma Maleável A",802,IF(Atletas!T252="Outra Arma Dupla B",803,IF(Atletas!T252="Arma Maleável B",804,IF(Atletas!T252="Outra Arma Dupla C",805,IF(Atletas!T252="Arma Maleável C",806,IF(Atletas!T252="Outra Arma Dupla D",807,IF(Atletas!T252="Arma Maleável D",808,IF(Atletas!T252="Outra Arma Dupla E",809,IF(Atletas!T252="Arma Maleável E",810,IF(Atletas!T252="Outra Arma Dupla F",811,IF(Atletas!T252="Arma Maleável F",812,IF(Atletas!T252="Shuangdao A",813,IF(Atletas!T252="Shuangdao B",814,IF(Atletas!T252="Shuangdao C",815,IF(Atletas!T252="Shuangdao D",816,IF(Atletas!T252="Shuangdao E",817,IF(Atletas!T252="Shuangdao F",818,"")))))))))))))))))))</f>
        <v/>
      </c>
      <c r="CC261" s="50" t="str">
        <f>IF(Atletas!U252="","",IF(Atletas!X252&lt;&gt;"",10000,0)+IF(Atletas!B252="Feminino",1000,IF(Atletas!B252="Masculino",2000,""))+IF(OR(Atletas!U252="Taijijian Yang A",Atletas!U252="Taijijian Yang Standard A"),901,IF(OR(Atletas!U252="Taijijian Chen A", Atletas!U252="Taijijian Chen Standard A"),902,IF(Atletas!U252="Taijijian Sun A",903,IF(Atletas!U252="Taijijian Wu A",904,IF(Atletas!U252="Taijijian Wu-Hao A",905,IF(OR(Atletas!U252="Taijijian 32 A",Atletas!U252="Taijijian 42 A"),906,IF(OR(Atletas!U252="Taijijian Yang B",Atletas!U252="Taijijian Yang Standard B"),907,IF(OR(Atletas!U252="Taijijian Chen B", Atletas!U252="Taijijian Chen Standard B"),908,IF(Atletas!U252="Taijijian Sun B",909,IF(Atletas!U252="Taijijian Wu B",910,IF(Atletas!U252="Taijijian Wu-Hao B",911,IF(OR(Atletas!U252="Taijijian 32 B",Atletas!U252="Taijijian 42 B"),912,IF(OR(Atletas!U252="Taijijian Yang C",Atletas!U252="Taijijian Yang Standard C"),913,IF(OR(Atletas!U252="Taijijian Chen C", Atletas!U252="Taijijian Chen Standard C"),914,IF(Atletas!U252="Taijijian Sun C",915,IF(Atletas!U252="Taijijian Wu C",916,IF(Atletas!U252="Taijijian Wu-Hao C",917,IF(OR(Atletas!U252="Taijijian 32 C",Atletas!U252="Taijijian 42 C"),918,IF(OR(Atletas!U252="Taijijian Yang D",Atletas!U252="Taijijian Yang Standard D"),919,IF(OR(Atletas!U252="Taijijian Chen D", Atletas!U252="Taijijian Chen Standard D"),920,IF(Atletas!U252="Taijijian Sun D",921,IF(Atletas!U252="Taijijian Wu D",922,IF(Atletas!U252="Taijijian Wu-Hao D",923,IF(OR(Atletas!U252="Taijijian 32 D",Atletas!U252="Taijijian 42 D"),924,IF(OR(Atletas!U252="Taijijian Yang E",Atletas!U252="Taijijian Yang Standard E"),925,IF(OR(Atletas!U252="Taijijian Chen E", Atletas!U252="Taijijian Chen Standard E"),926,IF(Atletas!U252="Taijijian Sun E",927,IF(Atletas!U252="Taijijian Wu E",928,IF(Atletas!U252="Taijijian Wu-Hao E",929,IF(OR(Atletas!U252="Taijijian 32 E",Atletas!U252="Taijijian 42 E"),930,IF(OR(Atletas!U252="Taijijian Yang F",Atletas!U252="Taijijian Yang Standard F"),931,IF(OR(Atletas!U252="Taijijian Chen F", Atletas!U252="Taijijian Chen Standard F"),932,IF(Atletas!U252="Taijijian Sun F",933,IF(Atletas!U252="Taijijian Wu F",934,IF(Atletas!U252="Taijijian Wu-Hao F",935,IF(OR(Atletas!U252="Taijijian 32 F",Atletas!U252="Taijijian 42 F"),936,"")))))))))))))))))))))))))))))))))))))</f>
        <v/>
      </c>
      <c r="CD261" s="50" t="str">
        <f>IF(Atletas!V252="","",IF(Atletas!X252&lt;&gt;"",10000,0)+IF(Atletas!B252="Feminino",1000,IF(Atletas!B252="Masculino",2000,""))+IF(Atletas!V252="Taijidao A",937,IF(Atletas!V252="TaijiShanzi A",938,IF(Atletas!V252="Taijiqiang A",939,IF(Atletas!V252="Bagua de Arma A",940,IF(Atletas!V252="Xingyi de Arma A",941,IF(Atletas!V252="Taijidao B",942,IF(Atletas!V252="TaijiShanzi B",943,IF(Atletas!V252="Taijiqiang B",944,IF(Atletas!V252="Bagua de Arma B",945,IF(Atletas!V252="Xingyi de Arma B",946,IF(Atletas!V252="Taijidao C",947,IF(Atletas!V252="TaijiShanzi C",948,IF(Atletas!V252="Taijiqiang C",949,IF(Atletas!V252="Bagua de Arma C",950,IF(Atletas!V252="Xingyi de Arma C",951,IF(Atletas!V252="Taijidao D",952,IF(Atletas!V252="TaijiShanzi D",953,IF(Atletas!V252="Taijiqiang D",954,IF(Atletas!V252="Bagua de Arma D",955,IF(Atletas!V252="Xingyi de Arma D",956,IF(Atletas!V252="Taijidao E",957,IF(Atletas!V252="TaijiShanzi E",958,IF(Atletas!V252="Taijiqiang E",959,IF(Atletas!V252="Bagua de Arma E",960,IF(Atletas!V252="Xingyi de Arma E",961,IF(Atletas!V252="Taijidao F",962,IF(Atletas!V252="TaijiShanzi F",963,IF(Atletas!V252="Taijiqiang F",964,IF(Atletas!V252="Bagua de Arma F",965,IF(Atletas!V252="Xingyi de Arma F",966,"")))))))))))))))))))))))))))))))</f>
        <v/>
      </c>
      <c r="CE261" s="66" t="str">
        <f>IF(CF261&lt;&gt;"","Pudao / Guandao A","")</f>
        <v/>
      </c>
      <c r="CF261" s="66" t="str">
        <f>IF(COUNTIF(BR:CD,1703)&gt;0,COUNTIF(BR:CD,1703),"")</f>
        <v/>
      </c>
      <c r="CG261" s="66" t="str">
        <f>IF(CH261&lt;&gt;"","Pudao / Guandao A","")</f>
        <v/>
      </c>
      <c r="CH261" s="66" t="str">
        <f>IF(COUNTIF(BR:CD,2703)&gt;0,COUNTIF(BR:CD,2703),"")</f>
        <v/>
      </c>
      <c r="CI261" s="66" t="str">
        <f>IF(CJ261&lt;&gt;"","Gun C","")</f>
        <v/>
      </c>
      <c r="CJ261" s="66" t="str">
        <f>IF(COUNTIF(BR:CD,11709)&gt;0,COUNTIF(BR:CD,11709),"")</f>
        <v/>
      </c>
      <c r="CK261" s="66" t="str">
        <f>IF(CL261&lt;&gt;"","Gun C","")</f>
        <v/>
      </c>
      <c r="CL261" s="6" t="str">
        <f>IF(COUNTIF(BR:CD,12709)&gt;0,COUNTIF(BR:CD,12709),"")</f>
        <v/>
      </c>
      <c r="CM261" s="50" t="str">
        <f xml:space="preserve"> IF(Atletas!W252="","",IF(Atletas!W252="Duilian de Mãos BC - Equipe 1",1,IF(Atletas!W252="Duilian de Mãos BC - Equipe 2",2,IF(Atletas!W252="Duilian de Armas BC - Equipe 1",3,IF(Atletas!W252="Duilian de Armas BC - Equipe 2",4,IF(Atletas!W252="Duilian de Mãos DE - Equipe 1",5,IF(Atletas!W252="Duilian de Mãos DE - Equipe 2",6,IF(Atletas!W252="Duilian de Armas DE - Equipe 1",7,IF(Atletas!W252="Duilian de Armas DE - Equipe 2",8,IF(Atletas!W252="Duilian de Tuishou - Equipe 1",9,IF(Atletas!W252="Duilian de Tuishou - Equipe 2",10,IF(Atletas!W252="Grupo Externo ABC - Equipe 1",11,IF(Atletas!W252="Grupo Externo ABC - Equipe 2",12,IF(Atletas!W252="Grupo Interno ABC - Equipe 1",13,IF(Atletas!W252="Grupo Interno ABC - Equipe 2",14,IF(Atletas!W252="Grupo Externo DEF - Equipe 1",15,IF(Atletas!W252="Grupo Externo DEF - Equipe 2",16,IF(Atletas!W252="Grupo Interno DEF - Equipe 1",17,IF(Atletas!W252="Grupo Interno DEF - Equipe 2",18,"")))))))))))))))))))</f>
        <v/>
      </c>
    </row>
    <row r="262" spans="2:91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 t="str">
        <f t="array" ref="Z262">IFERROR(INDEX(CE$7:CE$348,SMALL(IF(CE$7:CE$348&lt;&gt;"",ROW(CE$7:CE$348)-ROW(CE$7)+1),ROWS(CE$7:CE261))),"")</f>
        <v/>
      </c>
      <c r="AA262" s="3" t="str">
        <f t="array" ref="AA262">IFERROR(INDEX(CF$7:CF$348,SMALL(IF(CF$7:CF$348&lt;&gt;"",ROW(CF$7:CF$348)-ROW(CF$7)+1),ROWS(CF$7:CF261))),"")</f>
        <v/>
      </c>
      <c r="AB262" s="3" t="str">
        <f t="array" ref="AB262">IFERROR(INDEX(CG$7:CG$348,SMALL(IF(CG$7:CG$348&lt;&gt;"",ROW(CG$7:CG$348)-ROW(CG$7)+1),ROWS(CG$7:CG261))),"")</f>
        <v/>
      </c>
      <c r="AC262" s="3" t="str">
        <f t="array" ref="AC262">IFERROR(INDEX(CH$7:CH$348,SMALL(IF(CH$7:CH$348&lt;&gt;"",ROW(CH$7:CH$348)-ROW(CH$7)+1),ROWS(CH$7:CH261))),"")</f>
        <v/>
      </c>
      <c r="AD262" s="3" t="str">
        <f t="array" ref="AD262">IFERROR(INDEX(CI$7:CI$377,SMALL(IF(CI$7:CI$377&lt;&gt;"",ROW(CI$7:CI$377)-ROW(CI$7)+1),ROWS(CI$7:CI261))),"")</f>
        <v/>
      </c>
      <c r="AE262" s="3" t="str">
        <f t="array" ref="AE262">IFERROR(INDEX(CJ$7:CJ$378,SMALL(IF(CJ$7:CJ$378&lt;&gt;"",ROW(CJ$7:CJ$378)-ROW(CJ$7)+1),ROWS(CJ$7:CJ261))),"")</f>
        <v/>
      </c>
      <c r="AF262" s="3" t="str">
        <f t="array" ref="AF262">IFERROR(INDEX(CK$7:CK$378,SMALL(IF(CK$7:CK$378&lt;&gt;"",ROW(CK$7:CK$378)-ROW(CK$7)+1),ROWS(CK$7:CK261))),"")</f>
        <v/>
      </c>
      <c r="AG262" s="3" t="str">
        <f t="array" ref="AG262">IFERROR(INDEX(CL$7:CL$378,SMALL(IF(CL$7:CL$378&lt;&gt;"",ROW(CL$7:CL$378)-ROW(CL$7)+1),ROWS(CL$7:CL261))),"")</f>
        <v/>
      </c>
      <c r="AH262" s="3"/>
      <c r="AI262" s="3"/>
      <c r="AJ262" s="3"/>
      <c r="AK262" s="3"/>
      <c r="AL262" s="3"/>
      <c r="AM262" s="3"/>
      <c r="AN262" s="52" t="str">
        <f>IF(Atletas!D253="","",IF(Atletas!B253="Feminino",100,IF(Atletas!B253="Masculino",200,""))+(IF(Atletas!D253="Kids 30kg",1,IF(Atletas!D253="Kids 32kg",2, IF(Atletas!D253="Kids 34kg",3,IF(Atletas!D253="Kids 36kg",4,IF(Atletas!D253="Kids 39kg",5,IF(Atletas!D253="Kids 42kg",6,IF(Atletas!D253="Kids 45kg",7, IF(Atletas!D253="Infantil 39kg",8,IF(Atletas!D253="Infantil 42kg",9,IF(Atletas!D253="Infantil 45kg",10,IF(Atletas!D253="Infantil 48kg",11,IF(Atletas!D253="Infantil 52kg",12,IF(Atletas!D253="Infantil 56kg",13,IF(Atletas!D253="Infantil 60kg",14,IF(Atletas!D253="Juvenil 48kg",15,IF(Atletas!D253="Juvenil 52kg",16,IF(Atletas!D253="Juvenil 56kg",17,IF(Atletas!D253="Juvenil 60kg",18,IF(Atletas!D253="Juvenil 65kg",19,IF(Atletas!D253="Juvenil 70kg",20,IF(Atletas!D253="Juvenil 75kg",21,IF(Atletas!D253="Juvenil 80kg",22, IF(Atletas!D253="Juvenil 85kg",23,IF(Atletas!D253="Adulto 48kg",24,IF(Atletas!D253="Adulto 52kg",25,IF(Atletas!D253="Adulto 56kg",26,IF(Atletas!D253="Adulto 60kg",27,IF(Atletas!D253="Adulto 65kg",28,IF(Atletas!D253="Adulto 70kg",29,IF(Atletas!D253="Adulto 75kg",30,IF(Atletas!D253="Adulto 80kg",31,IF(Atletas!D253="Adulto 85kg",32,IF(Atletas!D253="Adulto 90kg",33,IF(Atletas!D253="Adulto 100kg",34, IF(Atletas!D253="Adulto +100kg",35,"")))))))))))))))))))))))))))))))))))))</f>
        <v/>
      </c>
      <c r="AS262" s="6" t="str">
        <f>IF(Atletas!E253="","",IF(Atletas!B253="Feminino",100,IF(Atletas!B253="Masculino",200,""))+(IF(Atletas!E253="Juvenil 44kg",1,IF(Atletas!E253="Juvenil 48kg",2,IF(Atletas!E253="Juvenil 52kg",3,IF(Atletas!E253="Juvenil 56kg",4,IF(Atletas!E253="Juvenil 60kg",5,IF(Atletas!E253="Juvenil 65kg",6,IF(Atletas!E253="Juvenil 70kg",7,IF(Atletas!E253="Juvenil 75kg",8,IF(Atletas!E253="Juvenil 82kg",9,IF(Atletas!E253="Juvenil 90kg",10,IF(Atletas!E253="Juvenil 100kg",11,IF(Atletas!E253="Adulto 48kg",12,IF(Atletas!E253="Adulto 52kg",13,IF(Atletas!E253="Adulto 56kg",14,IF(Atletas!E253="Adulto 60kg",15,IF(Atletas!E253="Adulto 65kg",16,IF(Atletas!E253="Adulto 70kg",17,IF(Atletas!E253="Adulto 75kg",18,IF(Atletas!E253="Adulto 82kg",19,IF(Atletas!E253="Adulto 90kg",20,IF(Atletas!E253="Adulto 100kg",21,IF(Atletas!E253="Adulto +100kg",22,""))))))))))))))))))))))))</f>
        <v/>
      </c>
      <c r="AX262" s="6" t="str">
        <f>IF(Atletas!F253="","",IF(Atletas!B253="Feminino",100,IF(Atletas!B253="Masculino",200,""))+(IF(Atletas!F253="Adulto 48kg",1,IF(Atletas!F253="Adulto 56kg",2,IF(Atletas!F253="Adulto 65kg",3,IF(Atletas!F253="Adulto 75kg",4,IF(Atletas!F253="Adulto +75kg",5,IF(Atletas!F253="Adulto 52kg",6,IF(Atletas!F253="Adulto 60kg",7,IF(Atletas!F253="Adulto 70kg",8,IF(Atletas!F253="Adulto 80kg",9,IF(Atletas!F253="Adulto 90kg",10,IF(Atletas!F253="Adulto +90kg",11,"")))))))))))))</f>
        <v/>
      </c>
      <c r="BC262" s="6" t="str">
        <f>IF(Atletas!G253="","",IF(Atletas!B253="Feminino",10,IF(Atletas!B253="Masculino",20,""))+(IF(Atletas!G253="Baduanjin A",1,IF(Atletas!G253="Baduanjin B",2))))</f>
        <v/>
      </c>
      <c r="BF262" s="52" t="str">
        <f>IF(Atletas!H253="","",IF(Atletas!B253="Feminino",100,IF(Atletas!B253="Masculino",200,""))+(IF(Atletas!H253="Changquan Mirim",1,IF(Atletas!H253="Nanquan Mirim",2,IF(Atletas!H253="Taijiquan Mirim",3,IF(Atletas!H253="Changquan Grupo C",4,IF(Atletas!H253="Nanquan Grupo C",5,IF(Atletas!H253="Taijiquan Grupo C",6,IF(Atletas!H253="Changquan Grupo B",7,IF(Atletas!H253="Nanquan Grupo B",8,IF(Atletas!H253="Taijiquan Grupo B",9,IF(Atletas!H253="Changquan Grupo A",10,IF(Atletas!H253="Nanquan Grupo A",11,IF(Atletas!H253="Taijiquan Grupo A",12,IF(Atletas!H253="Changquan Opcional",13,IF(Atletas!H253="Nanquan Opcional",14,IF(Atletas!H253="Taijiquan Opcional",15,IF(Atletas!H253="Changquan Adulto",16,IF(Atletas!H253="Nanquan Adulto",17,IF(Atletas!H253="Taijiquan Adulto",18,""))))))))))))))))))))</f>
        <v/>
      </c>
      <c r="BG262" s="52" t="str">
        <f>IF(Atletas!I253="","",IF(Atletas!B253="Feminino",100,IF(Atletas!B253="Masculino",200,""))+(IF(Atletas!I253="Daoshu Mirim",19,IF(Atletas!I253="Jianshu Mirim",20,IF(Atletas!I253="Nandao Mirim",21,IF(Atletas!I253="Taijijian Mirim",22,IF(Atletas!I253="Daoshu Grupo C",23,IF(Atletas!I253="Jianshu Grupo C",24,IF(Atletas!I253="Nandao Grupo C",25,IF(Atletas!I253="Taijijian Grupo C",26,IF(Atletas!I253="Daoshu Grupo B",27,IF(Atletas!I253="Jianshu Grupo B",28,IF(Atletas!I253="Nandao Grupo B",29,IF(Atletas!I253="Taijijian Grupo B",30,IF(Atletas!I253="Daoshu Grupo A",31,IF(Atletas!I253="Jianshu Grupo A",32,IF(Atletas!I253="Nandao Grupo A",33,IF(Atletas!I253="Taijijian Grupo A",34,IF(Atletas!I253="Daoshu Opcional",35,IF(Atletas!I253="Jianshu Opcional",36,IF(Atletas!I253="Nandao Opcional",37,IF(Atletas!I253="Taijijian Opcional",38,IF(Atletas!I253="Daoshu Adulto",39,IF(Atletas!I253="Jianshu Adulto",40,IF(Atletas!I253="Nandao Adulto",41,IF(Atletas!I253="Taijijian Adulto",42,""))))))))))))))))))))))))))</f>
        <v/>
      </c>
      <c r="BH262" s="52" t="str">
        <f>IF(Atletas!J253="","",IF(Atletas!B253="Feminino",100,IF(Atletas!B253="Masculino",200,""))+(IF(Atletas!J253="Gunshu Mirim",43,IF(Atletas!J253="Qiangshu Mirim",44,IF(Atletas!J253="Nangun Mirim",45,IF(Atletas!J253="Gunshu Grupo C",46,IF(Atletas!J253="Qiangshu Grupo C",47,IF(Atletas!J253="Nangun Grupo C",48,IF(Atletas!J253="Gunshu Grupo B",49,IF(Atletas!J253="Qiangshu Grupo B",50,IF(Atletas!J253="Nangun Grupo B",51,IF(Atletas!J253="Gunshu Grupo A",52,IF(Atletas!J253="Qiangshu Grupo A",53,IF(Atletas!J253="Nangun Grupo A",54,IF(Atletas!J253="Gunshu Opcional",55,IF(Atletas!J253="Qiangshu Opcional",56,IF(Atletas!J253="Nangun Opcional",57,IF(Atletas!J253="Gunshu Adulto",58,IF(Atletas!J253="Qiangshu Adulto",59,IF(Atletas!J253="Nangun Adulto",60,IF(Atletas!J253="Taijishan Grupo B",61,IF(Atletas!J253="Taijishan Grupo A",62,""))))))))))))))))))))))</f>
        <v/>
      </c>
      <c r="BM262" s="50" t="str">
        <f>IF(Atletas!K253="","",IF(Atletas!B253="Feminino",100,IF(Atletas!B253="Masculino",200,""))+(IF(Atletas!K253="Equipe 1 Grupo B",1,IF(Atletas!K253="Equipe 2 Grupo B",2,IF(Atletas!K253="Equipe 1 Grupo A",3,IF(Atletas!K253="Equipe 2 Grupo A",4,IF(Atletas!K253="Equipe 1 Adulto",5,IF(Atletas!K253="Equipe 2 Adulto",6,""))))))))</f>
        <v/>
      </c>
      <c r="BR262" s="50" t="str">
        <f>IF(Atletas!L253="","",IF(Atletas!X253&lt;&gt;"",10000,0)+(IF(Atletas!B253="Feminino",1000,IF(Atletas!B253="Masculino",2000,""))+IF(Atletas!L253="Choylayfut A",1,IF(Atletas!L253="Hunggar A",2,IF(Atletas!L253="Wuzuquan A",3,IF(Atletas!L253="Wingchun A",4,IF(Atletas!L253="Outra Mão de Sul A",5,IF(Atletas!L253="Choylayfut B",6,IF(Atletas!L253="Hunggar B",7,IF(Atletas!L253="Wuzuquan B",8,IF(Atletas!L253="Wingchun B",9,IF(Atletas!L253="Outra Mão de Sul B",10,IF(Atletas!L253="Choylayfut C",11,IF(Atletas!L253="Hunggar C",12,IF(Atletas!L253="Wuzuquan C",13,IF(Atletas!L253="Wingchun C",14,IF(Atletas!L253="Outra Mão de Sul C",15,IF(Atletas!L253="Choylayfut D",16,IF(Atletas!L253="Hunggar D",17,IF(Atletas!L253="Wuzuquan D",18,IF(Atletas!L253="Wingchun D",19,IF(Atletas!L253="Outra Mão de Sul D",20,IF(Atletas!L253="Choylayfut E",21,IF(Atletas!L253="Hunggar E",22,IF(Atletas!L253="Wuzuquan E",23,IF(Atletas!L253="Wingchun E",24,IF(Atletas!L253="Outra Mão de Sul E",25,IF(Atletas!L253="Choylayfut F",26,IF(Atletas!L253="Hunggar F",27,IF(Atletas!L253="Wuzuquan F",28,IF(Atletas!L253="Wingchun F",29,IF(Atletas!L253="Outra Mão de Sul F",30,IF(Atletas!L253="Dishuquan A",31,IF(Atletas!L253="Dishuquan B",32,IF(Atletas!L253="Dishuquan C",33,IF(Atletas!L253="Dishuquan D",34,IF(Atletas!L253="Dishuquan E",35,IF(Atletas!L253="Dishuquan F",36,""))))))))))))))))))))))))))))))))))))))</f>
        <v/>
      </c>
      <c r="BS262" s="50" t="str">
        <f>IF(Atletas!M253="","",IF(Atletas!X253&lt;&gt;"",10000,0)+(IF(Atletas!B253="Feminino",1000,IF(Atletas!B253="Masculino",2000,""))+(IF(Atletas!M253="Chaquan A",101,IF(Atletas!M253="Emeiquan A",102,IF(Atletas!M253="Fanziquan A",103,IF(Atletas!M253="Huaquan A",104,IF(Atletas!M253="Hongquan A",105,IF(Atletas!M253="Paoquan A",106,IF(Atletas!M253="Piguaquan A",107,IF(Atletas!M253="Shaolinquan A",108,IF(Atletas!M253="Tanglangquan A",109,IF(Atletas!M253="Yingzhaoquan A",110,IF(Atletas!M253="Tongbeiquan A",111,IF(Atletas!M253="Wudangquan A",112,IF(Atletas!M253="Outros Estilos A",113,IF(Atletas!M253="Chaquan B",114,IF(Atletas!M253="Emeiquan B",115,IF(Atletas!M253="Fanziquan B",116,IF(Atletas!M253="Huaquan B",117,IF(Atletas!M253="Hongquan B",118,IF(Atletas!M253="Paoquan B",119,IF(Atletas!M253="Piguaquan B",120,IF(Atletas!M253="Shaolinquan B",121,IF(Atletas!M253="Tanglangquan B",122,IF(Atletas!M253="Yingzhaoquan B",123,IF(Atletas!M253="Tongbeiquan B",124,IF(Atletas!M253="Wudangquan B",125,IF(Atletas!M253="Outros Estilos B",126,IF(Atletas!M253="Chaquan C",127,IF(Atletas!M253="Emeiquan C",128,IF(Atletas!M253="Fanziquan C",129,IF(Atletas!M253="Huaquan C",130,IF(Atletas!M253="Hongquan C",131,IF(Atletas!M253="Paoquan C",132,IF(Atletas!M253="Piguaquan C",133,IF(Atletas!M253="Shaolinquan C",134,IF(Atletas!M253="Tanglangquan C",135,IF(Atletas!M253="Yingzhaoquan C",136,IF(Atletas!M253="Tongbeiquan C",137,IF(Atletas!M253="Wudangquan C",138,IF(Atletas!M253="Outros Estilos C",139,0))))))))))))))))))))))))))))))))))))))))))</f>
        <v/>
      </c>
      <c r="BT262" s="50" t="str">
        <f>IF(Atletas!M253="","",IF(Atletas!X253&lt;&gt;"",10000,0)+(IF(Atletas!B253="Feminino",1000,IF(Atletas!B253="Masculino",2000,""))+(IF(Atletas!M253="Chaquan D",140,IF(Atletas!M253="Emeiquan D",141,IF(Atletas!M253="Fanziquan D",142,IF(Atletas!M253="Huaquan D",143,IF(Atletas!M253="Hongquan D",144,IF(Atletas!M253="Paoquan D",145,IF(Atletas!M253="Piguaquan D",146,IF(Atletas!M253="Shaolinquan D",147,IF(Atletas!M253="Tanglangquan D",148,IF(Atletas!M253="Yingzhaoquan D",149,IF(Atletas!M253="Tongbeiquan D",150,IF(Atletas!M253="Wudangquan D",151,IF(Atletas!M253="Outros Estilos D",152,IF(Atletas!M253="Chaquan E",153,IF(Atletas!M253="Emeiquan E",154,IF(Atletas!M253="Fanziquan E",155,IF(Atletas!M253="Huaquan E",156,IF(Atletas!M253="Hongquan E",157,IF(Atletas!M253="Paoquan E",158,IF(Atletas!M253="Piguaquan E",159,IF(Atletas!M253="Shaolinquan E",160,IF(Atletas!M253="Tanglangquan E",161,IF(Atletas!M253="Yingzhaoquan E",162,IF(Atletas!M253="Tongbeiquan E",163,IF(Atletas!M253="Wudangquan E",164,IF(Atletas!M253="Outros Estilos E",165,IF(Atletas!M253="Chaquan F",166,IF(Atletas!M253="Emeiquan F",167,IF(Atletas!M253="Fanziquan F",168,IF(Atletas!M253="Huaquan F",169,IF(Atletas!M253="Hongquan F",170,IF(Atletas!M253="Paoquan F",171,IF(Atletas!M253="Piguaquan F",172,IF(Atletas!M253="Shaolinquan F",173,IF(Atletas!M253="Tanglangquan F",174,IF(Atletas!M253="Yingzhaoquan F",175,IF(Atletas!M253="Tongbeiquan F",176,IF(Atletas!M253="Wudangquan F",177,IF(Atletas!M253="Outros Estilos F",178,0))))))))))))))))))))))))))))))))))))))))))</f>
        <v/>
      </c>
      <c r="BU262" s="50" t="str">
        <f>IF(Atletas!N253="","",IF(Atletas!X253&lt;&gt;"",10000,0)+(IF(Atletas!B253="Feminino",1000,IF(Atletas!B253="Masculino",2000,""))+(IF(Atletas!N253="Ditangquan A",201,IF(Atletas!N253="Houquan A",202,IF(Atletas!N253="Zuiquan A",203,IF(Atletas!N253="Ditangquan B",204,IF(Atletas!N253="Houquan B",205,IF(Atletas!N253="Zuiquan B",206,IF(Atletas!N253="Ditangquan C",207,IF(Atletas!N253="Houquan C",208,IF(Atletas!N253="Zuiquan C",209,IF(Atletas!N253="Ditangquan D",210,IF(Atletas!N253="Houquan D",211,IF(Atletas!N253="Zuiquan D",212,IF(Atletas!N253="Ditangquan E",213,IF(Atletas!N253="Houquan E",214,IF(Atletas!N253="Zuiquan E",215,IF(Atletas!N253="Ditangquan F",216,IF(Atletas!N253="Houquan F",217,IF(Atletas!N253="Zuiquan F",218,"")))))))))))))))))))))</f>
        <v/>
      </c>
      <c r="BV262" s="50" t="str">
        <f>IF(Atletas!O253="","",IF(Atletas!X253&lt;&gt;"",10000,0)+IF(Atletas!B253="Feminino",1000,IF(Atletas!B253="Masculino",2000,""))+IF(Atletas!O253="Yang A",301,IF(Atletas!O253="Chen A",302,IF(Atletas!O253="Sun A",303,IF(Atletas!O253="Wu A",304,IF(Atletas!O253="Wu-Hao A",305,IF(Atletas!O253="Outro Taijiquan A",306,IF(Atletas!O253="Yang B",307,IF(Atletas!O253="Chen B",308,IF(Atletas!O253="Sun B",309,IF(Atletas!O253="Wu B",310,IF(Atletas!O253="Wu-Hao B",311,IF(Atletas!O253="Outro Taijiquan B",312,IF(Atletas!O253="Yang C",313,IF(Atletas!O253="Chen C",314,IF(Atletas!O253="Sun C",315,IF(Atletas!O253="Wu C",316,IF(Atletas!O253="Wu-Hao C",317,IF(Atletas!O253="Outro Taijiquan C",318,IF(Atletas!O253="Yang D",319,IF(Atletas!O253="Chen D",320,IF(Atletas!O253="Sun D",321,IF(Atletas!O253="Wu D",322,IF(Atletas!O253="Wu-Hao D",323,IF(Atletas!O253="Outro Taijiquan D",324,IF(Atletas!O253="Yang E",325,IF(Atletas!O253="Chen E",326,IF(Atletas!O253="Sun E",327,IF(Atletas!O253="Wu E",328,IF(Atletas!O253="Wu-Hao E",329,IF(Atletas!O253="Outro Taijiquan E",330,IF(Atletas!O253="Yang F",331,IF(Atletas!O253="Chen F",332,IF(Atletas!O253="Sun F",333,IF(Atletas!O253="Wu F",334,IF(Atletas!O253="Wu-Hao F",335,IF(Atletas!O253="Outro Taijiquan F",336,"")))))))))))))))))))))))))))))))))))))</f>
        <v/>
      </c>
      <c r="BW262" s="50" t="str">
        <f>IF(Atletas!P253="","",IF(Atletas!X253&lt;&gt;"",10000,0)+IF(Atletas!B253="Feminino",1000,IF(Atletas!B253="Masculino",2000,""))+IF(OR(Atletas!P253="Yang 26 A",Atletas!P253="Yang 40 A"),401,IF(OR(Atletas!P253="Chen 25 A",Atletas!P253="Chen 36 A",Atletas!P253="Chen 56 A"),402,IF(Atletas!P253="Sun 73 A",403,IF(Atletas!P253="Wu 45 A",404,IF(Atletas!P253="Wu-Hao 46 A",405,IF(OR(Atletas!P253="Taijiquan 16 A",Atletas!P253="Taijiquan 24 A",Atletas!P253="Taijiquan 32 A",Atletas!P253="Taijiquan 42 A"),406,IF(OR(Atletas!P253="Yang 26 B",Atletas!P253="Yang 40 B"),407,IF(OR(Atletas!P253="Chen 25 B",Atletas!P253="Chen 36 B",Atletas!P253="Chen 56 B"),408,IF(Atletas!P253="Sun 73 B",409,IF(Atletas!P253="Wu 45 B",410,IF(Atletas!P253="Wu-Hao 46 B",411,IF(OR(Atletas!P253="Taijiquan 16 B",Atletas!P253="Taijiquan 24 B",Atletas!P253="Taijiquan 32 B",Atletas!P253="Taijiquan 42 B"),412,IF(OR(Atletas!P253="Yang 26 C",Atletas!P253="Yang 40 C"),413,IF(OR(Atletas!P253="Chen 25 C",Atletas!P253="Chen 36 C",Atletas!P253="Chen 56 C"),414,IF(Atletas!P253="Sun 73 C",415,IF(Atletas!P253="Wu 45 C",416,IF(Atletas!P253="Wu-Hao 46 C",417,IF(OR(Atletas!P253="Taijiquan 16 C",Atletas!P253="Taijiquan 24 C",Atletas!P253="Taijiquan 32 C",Atletas!P253="Taijiquan 42 C"),418,0)))))))))))))))))))</f>
        <v/>
      </c>
      <c r="BX262" s="50" t="str">
        <f>IF(Atletas!P253="","",IF(Atletas!X253&lt;&gt;"",10000,0)+IF(Atletas!B253="Feminino",1000,IF(Atletas!B253="Masculino",2000,""))+IF(OR(Atletas!P253="Yang 26 D",Atletas!P253="Yang 40 D"),419,IF(OR(Atletas!P253="Chen 25 D",Atletas!P253="Chen 36 D",Atletas!P253="Chen 56 D"),420,IF(Atletas!P253="Sun 73 D",421,IF(Atletas!P253="Wu 45 D",422,IF(Atletas!P253="Wu-Hao 46 D",423,IF(OR(Atletas!P253="Taijiquan 16 D",Atletas!P253="Taijiquan 24 D",Atletas!P253="Taijiquan 32 D",Atletas!P253="Taijiquan 42 D"),424,IF(OR(Atletas!P253="Yang 26 E",Atletas!P253="Yang 40 E"),425,IF(OR(Atletas!P253="Chen 25 E",Atletas!P253="Chen 36 E",Atletas!P253="Chen 56 E"),426,IF(Atletas!P253="Sun 73 E",427,IF(Atletas!P253="Wu 45 E",428,IF(Atletas!P253="Wu-Hao 46 E",429,IF(OR(Atletas!P253="Taijiquan 16 E",Atletas!P253="Taijiquan 24 E",Atletas!P253="Taijiquan 32 E",Atletas!P253="Taijiquan 42 E"),430,IF(OR(Atletas!P253="Yang 26 F",Atletas!P253="Yang 40 F"),431,IF(OR(Atletas!P253="Chen 25 F",Atletas!P253="Chen 36 F",Atletas!P253="Chen 56 F"),432,IF(Atletas!P253="Sun 73 F",433,IF(Atletas!P253="Wu 45 F",434,IF(Atletas!P253="Wu-Hao 46 F",435,IF(OR(Atletas!P253="Taijiquan 16 F",Atletas!P253="Taijiquan 24 F",Atletas!P253="Taijiquan 32 F",Atletas!P253="Taijiquan 42 F"),436,0)))))))))))))))))))</f>
        <v/>
      </c>
      <c r="BY262" s="50" t="str">
        <f>IF(Atletas!Q253="","",IF(Atletas!X253&lt;&gt;"",10000,0)+IF(Atletas!B253="Feminino",1000,IF(Atletas!B253="Masculino",2000,""))+IF(Atletas!Q253="Xingyiquan A",501,IF(Atletas!Q253="Baguazhang A",502,IF(Atletas!Q253="Outro Estilo Interno A",503,IF(Atletas!Q253="Xingyiquan B",504,IF(Atletas!Q253="Baguazhang B",505,IF(Atletas!Q253="Outro Estilo Interno B",506,IF(Atletas!Q253="Xingyiquan C",507,IF(Atletas!Q253="Baguazhang C",508,IF(Atletas!Q253="Outro Estilo Interno C",509,IF(Atletas!Q253="Xingyiquan D",510,IF(Atletas!Q253="Baguazhang D",511,IF(Atletas!Q253="Outro Estilo Interno D",512,IF(Atletas!Q253="Xingyiquan E",513,IF(Atletas!Q253="Baguazhang E",514,IF(Atletas!Q253="Outro Estilo Interno E",515,IF(Atletas!Q253="Xingyiquan F",516,IF(Atletas!Q253="Baguazhang F",517,IF(Atletas!Q253="Outro Estilo Interno F",518, "")))))))))))))))))))</f>
        <v/>
      </c>
      <c r="BZ262" s="50" t="str">
        <f>IF(Atletas!R253="","",IF(Atletas!X253&lt;&gt;"",10000,0)+IF(Atletas!B253="Feminino",1000,IF(Atletas!B253="Masculino",2000,""))+IF(Atletas!R253="Dao A",601,IF(Atletas!R253="Jian A",602,IF(Atletas!R253="Bishou A",603,IF(Atletas!R253="Shanzi A",604,IF(Atletas!R253="Outra Arma Curta A",605,IF(Atletas!R253="Dao B",606,IF(Atletas!R253="Jian B",607,IF(Atletas!R253="Bishou B",608,IF(Atletas!R253="Shanzi B",609,IF(Atletas!R253="Outra Arma Curta B",610,IF(Atletas!R253="Dao C",611,IF(Atletas!R253="Jian C",612,IF(Atletas!R253="Bishou C",613,IF(Atletas!R253="Shanzi C",614,IF(Atletas!R253="Outra Arma Curta C",615,IF(Atletas!R253="Dao D",616,IF(Atletas!R253="Jian D",617,IF(Atletas!R253="Bishou D",618,IF(Atletas!R253="Shanzi D",619,IF(Atletas!R253="Outra Arma Curta D",620,IF(Atletas!R253="Dao E",621,IF(Atletas!R253="Jian E",622,IF(Atletas!R253="Bishou E",623,IF(Atletas!R253="Shanzi E",624,IF(Atletas!R253="Outra Arma Curta E",625,IF(Atletas!R253="Dao F",626,IF(Atletas!R253="Jian F",627,IF(Atletas!R253="Bishou F",628,IF(Atletas!R253="Shanzi F",629,IF(Atletas!R253="Outra Arma Curta F",630, "")))))))))))))))))))))))))))))))</f>
        <v/>
      </c>
      <c r="CA262" s="50" t="str">
        <f>IF(Atletas!S253="","",IF(Atletas!X253&lt;&gt;"",10000,0)+IF(Atletas!B253="Feminino",1000,IF(Atletas!B253="Masculino",2000,""))+IF(Atletas!S253="Gun A",701,IF(Atletas!S253="Qiang A",702,IF(Atletas!S253="Pudao / Guandao A",703,IF(Atletas!S253="Outra Arma Longa A",704,IF(Atletas!S253="Gun B",705,IF(Atletas!S253="Qiang B",706,IF(Atletas!S253="Pudao / Guandao B",707,IF(Atletas!S253="Outra Arma Longa B",708,IF(Atletas!S253="Gun C",709,IF(Atletas!S253="Qiang C",710,IF(Atletas!S253="Pudao / Guandao C",711,IF(Atletas!S253="Outra Arma Longa C",712,IF(Atletas!S253="Gun D",713,IF(Atletas!S253="Qiang D",714,IF(Atletas!S253="Pudao / Guandao D",715,IF(Atletas!S253="Outra Arma Longa D",716,IF(Atletas!S253="Gun E",717,IF(Atletas!S253="Qiang E",718,IF(Atletas!S253="Pudao / Guandao E",719,IF(Atletas!S253="Outra Arma Longa E",720,IF(Atletas!S253="Gun F",721,IF(Atletas!S253="Qiang F",722,IF(Atletas!S253="Pudao / Guandao F",723,IF(Atletas!S253="Outra Arma Longa F",724,"")))))))))))))))))))))))))</f>
        <v/>
      </c>
      <c r="CB262" s="50" t="str">
        <f>IF(Atletas!T253="","",IF(Atletas!X253&lt;&gt;"",10000,0)+IF(Atletas!B253="Feminino",1000,IF(Atletas!B253="Masculino",2000,""))+IF(Atletas!T253="Outra Arma Dupla A",801,IF(Atletas!T253="Arma Maleável A",802,IF(Atletas!T253="Outra Arma Dupla B",803,IF(Atletas!T253="Arma Maleável B",804,IF(Atletas!T253="Outra Arma Dupla C",805,IF(Atletas!T253="Arma Maleável C",806,IF(Atletas!T253="Outra Arma Dupla D",807,IF(Atletas!T253="Arma Maleável D",808,IF(Atletas!T253="Outra Arma Dupla E",809,IF(Atletas!T253="Arma Maleável E",810,IF(Atletas!T253="Outra Arma Dupla F",811,IF(Atletas!T253="Arma Maleável F",812,IF(Atletas!T253="Shuangdao A",813,IF(Atletas!T253="Shuangdao B",814,IF(Atletas!T253="Shuangdao C",815,IF(Atletas!T253="Shuangdao D",816,IF(Atletas!T253="Shuangdao E",817,IF(Atletas!T253="Shuangdao F",818,"")))))))))))))))))))</f>
        <v/>
      </c>
      <c r="CC262" s="50" t="str">
        <f>IF(Atletas!U253="","",IF(Atletas!X253&lt;&gt;"",10000,0)+IF(Atletas!B253="Feminino",1000,IF(Atletas!B253="Masculino",2000,""))+IF(OR(Atletas!U253="Taijijian Yang A",Atletas!U253="Taijijian Yang Standard A"),901,IF(OR(Atletas!U253="Taijijian Chen A", Atletas!U253="Taijijian Chen Standard A"),902,IF(Atletas!U253="Taijijian Sun A",903,IF(Atletas!U253="Taijijian Wu A",904,IF(Atletas!U253="Taijijian Wu-Hao A",905,IF(OR(Atletas!U253="Taijijian 32 A",Atletas!U253="Taijijian 42 A"),906,IF(OR(Atletas!U253="Taijijian Yang B",Atletas!U253="Taijijian Yang Standard B"),907,IF(OR(Atletas!U253="Taijijian Chen B", Atletas!U253="Taijijian Chen Standard B"),908,IF(Atletas!U253="Taijijian Sun B",909,IF(Atletas!U253="Taijijian Wu B",910,IF(Atletas!U253="Taijijian Wu-Hao B",911,IF(OR(Atletas!U253="Taijijian 32 B",Atletas!U253="Taijijian 42 B"),912,IF(OR(Atletas!U253="Taijijian Yang C",Atletas!U253="Taijijian Yang Standard C"),913,IF(OR(Atletas!U253="Taijijian Chen C", Atletas!U253="Taijijian Chen Standard C"),914,IF(Atletas!U253="Taijijian Sun C",915,IF(Atletas!U253="Taijijian Wu C",916,IF(Atletas!U253="Taijijian Wu-Hao C",917,IF(OR(Atletas!U253="Taijijian 32 C",Atletas!U253="Taijijian 42 C"),918,IF(OR(Atletas!U253="Taijijian Yang D",Atletas!U253="Taijijian Yang Standard D"),919,IF(OR(Atletas!U253="Taijijian Chen D", Atletas!U253="Taijijian Chen Standard D"),920,IF(Atletas!U253="Taijijian Sun D",921,IF(Atletas!U253="Taijijian Wu D",922,IF(Atletas!U253="Taijijian Wu-Hao D",923,IF(OR(Atletas!U253="Taijijian 32 D",Atletas!U253="Taijijian 42 D"),924,IF(OR(Atletas!U253="Taijijian Yang E",Atletas!U253="Taijijian Yang Standard E"),925,IF(OR(Atletas!U253="Taijijian Chen E", Atletas!U253="Taijijian Chen Standard E"),926,IF(Atletas!U253="Taijijian Sun E",927,IF(Atletas!U253="Taijijian Wu E",928,IF(Atletas!U253="Taijijian Wu-Hao E",929,IF(OR(Atletas!U253="Taijijian 32 E",Atletas!U253="Taijijian 42 E"),930,IF(OR(Atletas!U253="Taijijian Yang F",Atletas!U253="Taijijian Yang Standard F"),931,IF(OR(Atletas!U253="Taijijian Chen F", Atletas!U253="Taijijian Chen Standard F"),932,IF(Atletas!U253="Taijijian Sun F",933,IF(Atletas!U253="Taijijian Wu F",934,IF(Atletas!U253="Taijijian Wu-Hao F",935,IF(OR(Atletas!U253="Taijijian 32 F",Atletas!U253="Taijijian 42 F"),936,"")))))))))))))))))))))))))))))))))))))</f>
        <v/>
      </c>
      <c r="CD262" s="50" t="str">
        <f>IF(Atletas!V253="","",IF(Atletas!X253&lt;&gt;"",10000,0)+IF(Atletas!B253="Feminino",1000,IF(Atletas!B253="Masculino",2000,""))+IF(Atletas!V253="Taijidao A",937,IF(Atletas!V253="TaijiShanzi A",938,IF(Atletas!V253="Taijiqiang A",939,IF(Atletas!V253="Bagua de Arma A",940,IF(Atletas!V253="Xingyi de Arma A",941,IF(Atletas!V253="Taijidao B",942,IF(Atletas!V253="TaijiShanzi B",943,IF(Atletas!V253="Taijiqiang B",944,IF(Atletas!V253="Bagua de Arma B",945,IF(Atletas!V253="Xingyi de Arma B",946,IF(Atletas!V253="Taijidao C",947,IF(Atletas!V253="TaijiShanzi C",948,IF(Atletas!V253="Taijiqiang C",949,IF(Atletas!V253="Bagua de Arma C",950,IF(Atletas!V253="Xingyi de Arma C",951,IF(Atletas!V253="Taijidao D",952,IF(Atletas!V253="TaijiShanzi D",953,IF(Atletas!V253="Taijiqiang D",954,IF(Atletas!V253="Bagua de Arma D",955,IF(Atletas!V253="Xingyi de Arma D",956,IF(Atletas!V253="Taijidao E",957,IF(Atletas!V253="TaijiShanzi E",958,IF(Atletas!V253="Taijiqiang E",959,IF(Atletas!V253="Bagua de Arma E",960,IF(Atletas!V253="Xingyi de Arma E",961,IF(Atletas!V253="Taijidao F",962,IF(Atletas!V253="TaijiShanzi F",963,IF(Atletas!V253="Taijiqiang F",964,IF(Atletas!V253="Bagua de Arma F",965,IF(Atletas!V253="Xingyi de Arma F",966,"")))))))))))))))))))))))))))))))</f>
        <v/>
      </c>
      <c r="CE262" s="66" t="str">
        <f>IF(CF262&lt;&gt;"","Outra Arma Longa A","")</f>
        <v/>
      </c>
      <c r="CF262" s="66" t="str">
        <f>IF(COUNTIF(BR:CD,1704)&gt;0,COUNTIF(BR:CD,1704),"")</f>
        <v/>
      </c>
      <c r="CG262" s="66" t="str">
        <f>IF(CH262&lt;&gt;"","Outra Arma Longa A","")</f>
        <v/>
      </c>
      <c r="CH262" s="66" t="str">
        <f>IF(COUNTIF(BR:CD,2704)&gt;0,COUNTIF(BR:CD,2704),"")</f>
        <v/>
      </c>
      <c r="CI262" s="66" t="str">
        <f>IF(CJ263&lt;&gt;"","Pudao / Gaundao C","")</f>
        <v/>
      </c>
      <c r="CJ262" s="66" t="str">
        <f>IF(COUNTIF(BR:CD,11710)&gt;0,COUNTIF(BR:CD,11710),"")</f>
        <v/>
      </c>
      <c r="CK262" s="66" t="str">
        <f>IF(CL262&lt;&gt;"","Qiang C","")</f>
        <v/>
      </c>
      <c r="CL262" s="6" t="str">
        <f>IF(COUNTIF(BR:CD,12710)&gt;0,COUNTIF(BR:CD,12710),"")</f>
        <v/>
      </c>
      <c r="CM262" s="50" t="str">
        <f xml:space="preserve"> IF(Atletas!W253="","",IF(Atletas!W253="Duilian de Mãos BC - Equipe 1",1,IF(Atletas!W253="Duilian de Mãos BC - Equipe 2",2,IF(Atletas!W253="Duilian de Armas BC - Equipe 1",3,IF(Atletas!W253="Duilian de Armas BC - Equipe 2",4,IF(Atletas!W253="Duilian de Mãos DE - Equipe 1",5,IF(Atletas!W253="Duilian de Mãos DE - Equipe 2",6,IF(Atletas!W253="Duilian de Armas DE - Equipe 1",7,IF(Atletas!W253="Duilian de Armas DE - Equipe 2",8,IF(Atletas!W253="Duilian de Tuishou - Equipe 1",9,IF(Atletas!W253="Duilian de Tuishou - Equipe 2",10,IF(Atletas!W253="Grupo Externo ABC - Equipe 1",11,IF(Atletas!W253="Grupo Externo ABC - Equipe 2",12,IF(Atletas!W253="Grupo Interno ABC - Equipe 1",13,IF(Atletas!W253="Grupo Interno ABC - Equipe 2",14,IF(Atletas!W253="Grupo Externo DEF - Equipe 1",15,IF(Atletas!W253="Grupo Externo DEF - Equipe 2",16,IF(Atletas!W253="Grupo Interno DEF - Equipe 1",17,IF(Atletas!W253="Grupo Interno DEF - Equipe 2",18,"")))))))))))))))))))</f>
        <v/>
      </c>
    </row>
    <row r="263" spans="2:91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 t="str">
        <f t="array" ref="Z263">IFERROR(INDEX(CE$7:CE$348,SMALL(IF(CE$7:CE$348&lt;&gt;"",ROW(CE$7:CE$348)-ROW(CE$7)+1),ROWS(CE$7:CE262))),"")</f>
        <v/>
      </c>
      <c r="AA263" s="3" t="str">
        <f t="array" ref="AA263">IFERROR(INDEX(CF$7:CF$348,SMALL(IF(CF$7:CF$348&lt;&gt;"",ROW(CF$7:CF$348)-ROW(CF$7)+1),ROWS(CF$7:CF262))),"")</f>
        <v/>
      </c>
      <c r="AB263" s="3" t="str">
        <f t="array" ref="AB263">IFERROR(INDEX(CG$7:CG$348,SMALL(IF(CG$7:CG$348&lt;&gt;"",ROW(CG$7:CG$348)-ROW(CG$7)+1),ROWS(CG$7:CG262))),"")</f>
        <v/>
      </c>
      <c r="AC263" s="3" t="str">
        <f t="array" ref="AC263">IFERROR(INDEX(CH$7:CH$348,SMALL(IF(CH$7:CH$348&lt;&gt;"",ROW(CH$7:CH$348)-ROW(CH$7)+1),ROWS(CH$7:CH262))),"")</f>
        <v/>
      </c>
      <c r="AD263" s="3" t="str">
        <f t="array" ref="AD263">IFERROR(INDEX(CI$7:CI$377,SMALL(IF(CI$7:CI$377&lt;&gt;"",ROW(CI$7:CI$377)-ROW(CI$7)+1),ROWS(CI$7:CI261))),"")</f>
        <v/>
      </c>
      <c r="AE263" s="3" t="str">
        <f t="array" ref="AE263">IFERROR(INDEX(CJ$7:CJ$378,SMALL(IF(CJ$7:CJ$378&lt;&gt;"",ROW(CJ$7:CJ$378)-ROW(CJ$7)+1),ROWS(CJ$7:CJ262))),"")</f>
        <v/>
      </c>
      <c r="AF263" s="3" t="str">
        <f t="array" ref="AF263">IFERROR(INDEX(CK$7:CK$378,SMALL(IF(CK$7:CK$378&lt;&gt;"",ROW(CK$7:CK$378)-ROW(CK$7)+1),ROWS(CK$7:CK262))),"")</f>
        <v/>
      </c>
      <c r="AG263" s="3" t="str">
        <f t="array" ref="AG263">IFERROR(INDEX(CL$7:CL$378,SMALL(IF(CL$7:CL$378&lt;&gt;"",ROW(CL$7:CL$378)-ROW(CL$7)+1),ROWS(CL$7:CL262))),"")</f>
        <v/>
      </c>
      <c r="AH263" s="3"/>
      <c r="AI263" s="3"/>
      <c r="AJ263" s="3"/>
      <c r="AK263" s="3"/>
      <c r="AL263" s="3"/>
      <c r="AM263" s="3"/>
      <c r="AN263" s="52" t="str">
        <f>IF(Atletas!D254="","",IF(Atletas!B254="Feminino",100,IF(Atletas!B254="Masculino",200,""))+(IF(Atletas!D254="Kids 30kg",1,IF(Atletas!D254="Kids 32kg",2, IF(Atletas!D254="Kids 34kg",3,IF(Atletas!D254="Kids 36kg",4,IF(Atletas!D254="Kids 39kg",5,IF(Atletas!D254="Kids 42kg",6,IF(Atletas!D254="Kids 45kg",7, IF(Atletas!D254="Infantil 39kg",8,IF(Atletas!D254="Infantil 42kg",9,IF(Atletas!D254="Infantil 45kg",10,IF(Atletas!D254="Infantil 48kg",11,IF(Atletas!D254="Infantil 52kg",12,IF(Atletas!D254="Infantil 56kg",13,IF(Atletas!D254="Infantil 60kg",14,IF(Atletas!D254="Juvenil 48kg",15,IF(Atletas!D254="Juvenil 52kg",16,IF(Atletas!D254="Juvenil 56kg",17,IF(Atletas!D254="Juvenil 60kg",18,IF(Atletas!D254="Juvenil 65kg",19,IF(Atletas!D254="Juvenil 70kg",20,IF(Atletas!D254="Juvenil 75kg",21,IF(Atletas!D254="Juvenil 80kg",22, IF(Atletas!D254="Juvenil 85kg",23,IF(Atletas!D254="Adulto 48kg",24,IF(Atletas!D254="Adulto 52kg",25,IF(Atletas!D254="Adulto 56kg",26,IF(Atletas!D254="Adulto 60kg",27,IF(Atletas!D254="Adulto 65kg",28,IF(Atletas!D254="Adulto 70kg",29,IF(Atletas!D254="Adulto 75kg",30,IF(Atletas!D254="Adulto 80kg",31,IF(Atletas!D254="Adulto 85kg",32,IF(Atletas!D254="Adulto 90kg",33,IF(Atletas!D254="Adulto 100kg",34, IF(Atletas!D254="Adulto +100kg",35,"")))))))))))))))))))))))))))))))))))))</f>
        <v/>
      </c>
      <c r="AS263" s="6" t="str">
        <f>IF(Atletas!E254="","",IF(Atletas!B254="Feminino",100,IF(Atletas!B254="Masculino",200,""))+(IF(Atletas!E254="Juvenil 44kg",1,IF(Atletas!E254="Juvenil 48kg",2,IF(Atletas!E254="Juvenil 52kg",3,IF(Atletas!E254="Juvenil 56kg",4,IF(Atletas!E254="Juvenil 60kg",5,IF(Atletas!E254="Juvenil 65kg",6,IF(Atletas!E254="Juvenil 70kg",7,IF(Atletas!E254="Juvenil 75kg",8,IF(Atletas!E254="Juvenil 82kg",9,IF(Atletas!E254="Juvenil 90kg",10,IF(Atletas!E254="Juvenil 100kg",11,IF(Atletas!E254="Adulto 48kg",12,IF(Atletas!E254="Adulto 52kg",13,IF(Atletas!E254="Adulto 56kg",14,IF(Atletas!E254="Adulto 60kg",15,IF(Atletas!E254="Adulto 65kg",16,IF(Atletas!E254="Adulto 70kg",17,IF(Atletas!E254="Adulto 75kg",18,IF(Atletas!E254="Adulto 82kg",19,IF(Atletas!E254="Adulto 90kg",20,IF(Atletas!E254="Adulto 100kg",21,IF(Atletas!E254="Adulto +100kg",22,""))))))))))))))))))))))))</f>
        <v/>
      </c>
      <c r="AX263" s="6" t="str">
        <f>IF(Atletas!F254="","",IF(Atletas!B254="Feminino",100,IF(Atletas!B254="Masculino",200,""))+(IF(Atletas!F254="Adulto 48kg",1,IF(Atletas!F254="Adulto 56kg",2,IF(Atletas!F254="Adulto 65kg",3,IF(Atletas!F254="Adulto 75kg",4,IF(Atletas!F254="Adulto +75kg",5,IF(Atletas!F254="Adulto 52kg",6,IF(Atletas!F254="Adulto 60kg",7,IF(Atletas!F254="Adulto 70kg",8,IF(Atletas!F254="Adulto 80kg",9,IF(Atletas!F254="Adulto 90kg",10,IF(Atletas!F254="Adulto +90kg",11,"")))))))))))))</f>
        <v/>
      </c>
      <c r="BC263" s="6" t="str">
        <f>IF(Atletas!G254="","",IF(Atletas!B254="Feminino",10,IF(Atletas!B254="Masculino",20,""))+(IF(Atletas!G254="Baduanjin A",1,IF(Atletas!G254="Baduanjin B",2))))</f>
        <v/>
      </c>
      <c r="BF263" s="52" t="str">
        <f>IF(Atletas!H254="","",IF(Atletas!B254="Feminino",100,IF(Atletas!B254="Masculino",200,""))+(IF(Atletas!H254="Changquan Mirim",1,IF(Atletas!H254="Nanquan Mirim",2,IF(Atletas!H254="Taijiquan Mirim",3,IF(Atletas!H254="Changquan Grupo C",4,IF(Atletas!H254="Nanquan Grupo C",5,IF(Atletas!H254="Taijiquan Grupo C",6,IF(Atletas!H254="Changquan Grupo B",7,IF(Atletas!H254="Nanquan Grupo B",8,IF(Atletas!H254="Taijiquan Grupo B",9,IF(Atletas!H254="Changquan Grupo A",10,IF(Atletas!H254="Nanquan Grupo A",11,IF(Atletas!H254="Taijiquan Grupo A",12,IF(Atletas!H254="Changquan Opcional",13,IF(Atletas!H254="Nanquan Opcional",14,IF(Atletas!H254="Taijiquan Opcional",15,IF(Atletas!H254="Changquan Adulto",16,IF(Atletas!H254="Nanquan Adulto",17,IF(Atletas!H254="Taijiquan Adulto",18,""))))))))))))))))))))</f>
        <v/>
      </c>
      <c r="BG263" s="52" t="str">
        <f>IF(Atletas!I254="","",IF(Atletas!B254="Feminino",100,IF(Atletas!B254="Masculino",200,""))+(IF(Atletas!I254="Daoshu Mirim",19,IF(Atletas!I254="Jianshu Mirim",20,IF(Atletas!I254="Nandao Mirim",21,IF(Atletas!I254="Taijijian Mirim",22,IF(Atletas!I254="Daoshu Grupo C",23,IF(Atletas!I254="Jianshu Grupo C",24,IF(Atletas!I254="Nandao Grupo C",25,IF(Atletas!I254="Taijijian Grupo C",26,IF(Atletas!I254="Daoshu Grupo B",27,IF(Atletas!I254="Jianshu Grupo B",28,IF(Atletas!I254="Nandao Grupo B",29,IF(Atletas!I254="Taijijian Grupo B",30,IF(Atletas!I254="Daoshu Grupo A",31,IF(Atletas!I254="Jianshu Grupo A",32,IF(Atletas!I254="Nandao Grupo A",33,IF(Atletas!I254="Taijijian Grupo A",34,IF(Atletas!I254="Daoshu Opcional",35,IF(Atletas!I254="Jianshu Opcional",36,IF(Atletas!I254="Nandao Opcional",37,IF(Atletas!I254="Taijijian Opcional",38,IF(Atletas!I254="Daoshu Adulto",39,IF(Atletas!I254="Jianshu Adulto",40,IF(Atletas!I254="Nandao Adulto",41,IF(Atletas!I254="Taijijian Adulto",42,""))))))))))))))))))))))))))</f>
        <v/>
      </c>
      <c r="BH263" s="52" t="str">
        <f>IF(Atletas!J254="","",IF(Atletas!B254="Feminino",100,IF(Atletas!B254="Masculino",200,""))+(IF(Atletas!J254="Gunshu Mirim",43,IF(Atletas!J254="Qiangshu Mirim",44,IF(Atletas!J254="Nangun Mirim",45,IF(Atletas!J254="Gunshu Grupo C",46,IF(Atletas!J254="Qiangshu Grupo C",47,IF(Atletas!J254="Nangun Grupo C",48,IF(Atletas!J254="Gunshu Grupo B",49,IF(Atletas!J254="Qiangshu Grupo B",50,IF(Atletas!J254="Nangun Grupo B",51,IF(Atletas!J254="Gunshu Grupo A",52,IF(Atletas!J254="Qiangshu Grupo A",53,IF(Atletas!J254="Nangun Grupo A",54,IF(Atletas!J254="Gunshu Opcional",55,IF(Atletas!J254="Qiangshu Opcional",56,IF(Atletas!J254="Nangun Opcional",57,IF(Atletas!J254="Gunshu Adulto",58,IF(Atletas!J254="Qiangshu Adulto",59,IF(Atletas!J254="Nangun Adulto",60,IF(Atletas!J254="Taijishan Grupo B",61,IF(Atletas!J254="Taijishan Grupo A",62,""))))))))))))))))))))))</f>
        <v/>
      </c>
      <c r="BM263" s="50" t="str">
        <f>IF(Atletas!K254="","",IF(Atletas!B254="Feminino",100,IF(Atletas!B254="Masculino",200,""))+(IF(Atletas!K254="Equipe 1 Grupo B",1,IF(Atletas!K254="Equipe 2 Grupo B",2,IF(Atletas!K254="Equipe 1 Grupo A",3,IF(Atletas!K254="Equipe 2 Grupo A",4,IF(Atletas!K254="Equipe 1 Adulto",5,IF(Atletas!K254="Equipe 2 Adulto",6,""))))))))</f>
        <v/>
      </c>
      <c r="BR263" s="50" t="str">
        <f>IF(Atletas!L254="","",IF(Atletas!X254&lt;&gt;"",10000,0)+(IF(Atletas!B254="Feminino",1000,IF(Atletas!B254="Masculino",2000,""))+IF(Atletas!L254="Choylayfut A",1,IF(Atletas!L254="Hunggar A",2,IF(Atletas!L254="Wuzuquan A",3,IF(Atletas!L254="Wingchun A",4,IF(Atletas!L254="Outra Mão de Sul A",5,IF(Atletas!L254="Choylayfut B",6,IF(Atletas!L254="Hunggar B",7,IF(Atletas!L254="Wuzuquan B",8,IF(Atletas!L254="Wingchun B",9,IF(Atletas!L254="Outra Mão de Sul B",10,IF(Atletas!L254="Choylayfut C",11,IF(Atletas!L254="Hunggar C",12,IF(Atletas!L254="Wuzuquan C",13,IF(Atletas!L254="Wingchun C",14,IF(Atletas!L254="Outra Mão de Sul C",15,IF(Atletas!L254="Choylayfut D",16,IF(Atletas!L254="Hunggar D",17,IF(Atletas!L254="Wuzuquan D",18,IF(Atletas!L254="Wingchun D",19,IF(Atletas!L254="Outra Mão de Sul D",20,IF(Atletas!L254="Choylayfut E",21,IF(Atletas!L254="Hunggar E",22,IF(Atletas!L254="Wuzuquan E",23,IF(Atletas!L254="Wingchun E",24,IF(Atletas!L254="Outra Mão de Sul E",25,IF(Atletas!L254="Choylayfut F",26,IF(Atletas!L254="Hunggar F",27,IF(Atletas!L254="Wuzuquan F",28,IF(Atletas!L254="Wingchun F",29,IF(Atletas!L254="Outra Mão de Sul F",30,IF(Atletas!L254="Dishuquan A",31,IF(Atletas!L254="Dishuquan B",32,IF(Atletas!L254="Dishuquan C",33,IF(Atletas!L254="Dishuquan D",34,IF(Atletas!L254="Dishuquan E",35,IF(Atletas!L254="Dishuquan F",36,""))))))))))))))))))))))))))))))))))))))</f>
        <v/>
      </c>
      <c r="BS263" s="50" t="str">
        <f>IF(Atletas!M254="","",IF(Atletas!X254&lt;&gt;"",10000,0)+(IF(Atletas!B254="Feminino",1000,IF(Atletas!B254="Masculino",2000,""))+(IF(Atletas!M254="Chaquan A",101,IF(Atletas!M254="Emeiquan A",102,IF(Atletas!M254="Fanziquan A",103,IF(Atletas!M254="Huaquan A",104,IF(Atletas!M254="Hongquan A",105,IF(Atletas!M254="Paoquan A",106,IF(Atletas!M254="Piguaquan A",107,IF(Atletas!M254="Shaolinquan A",108,IF(Atletas!M254="Tanglangquan A",109,IF(Atletas!M254="Yingzhaoquan A",110,IF(Atletas!M254="Tongbeiquan A",111,IF(Atletas!M254="Wudangquan A",112,IF(Atletas!M254="Outros Estilos A",113,IF(Atletas!M254="Chaquan B",114,IF(Atletas!M254="Emeiquan B",115,IF(Atletas!M254="Fanziquan B",116,IF(Atletas!M254="Huaquan B",117,IF(Atletas!M254="Hongquan B",118,IF(Atletas!M254="Paoquan B",119,IF(Atletas!M254="Piguaquan B",120,IF(Atletas!M254="Shaolinquan B",121,IF(Atletas!M254="Tanglangquan B",122,IF(Atletas!M254="Yingzhaoquan B",123,IF(Atletas!M254="Tongbeiquan B",124,IF(Atletas!M254="Wudangquan B",125,IF(Atletas!M254="Outros Estilos B",126,IF(Atletas!M254="Chaquan C",127,IF(Atletas!M254="Emeiquan C",128,IF(Atletas!M254="Fanziquan C",129,IF(Atletas!M254="Huaquan C",130,IF(Atletas!M254="Hongquan C",131,IF(Atletas!M254="Paoquan C",132,IF(Atletas!M254="Piguaquan C",133,IF(Atletas!M254="Shaolinquan C",134,IF(Atletas!M254="Tanglangquan C",135,IF(Atletas!M254="Yingzhaoquan C",136,IF(Atletas!M254="Tongbeiquan C",137,IF(Atletas!M254="Wudangquan C",138,IF(Atletas!M254="Outros Estilos C",139,0))))))))))))))))))))))))))))))))))))))))))</f>
        <v/>
      </c>
      <c r="BT263" s="50" t="str">
        <f>IF(Atletas!M254="","",IF(Atletas!X254&lt;&gt;"",10000,0)+(IF(Atletas!B254="Feminino",1000,IF(Atletas!B254="Masculino",2000,""))+(IF(Atletas!M254="Chaquan D",140,IF(Atletas!M254="Emeiquan D",141,IF(Atletas!M254="Fanziquan D",142,IF(Atletas!M254="Huaquan D",143,IF(Atletas!M254="Hongquan D",144,IF(Atletas!M254="Paoquan D",145,IF(Atletas!M254="Piguaquan D",146,IF(Atletas!M254="Shaolinquan D",147,IF(Atletas!M254="Tanglangquan D",148,IF(Atletas!M254="Yingzhaoquan D",149,IF(Atletas!M254="Tongbeiquan D",150,IF(Atletas!M254="Wudangquan D",151,IF(Atletas!M254="Outros Estilos D",152,IF(Atletas!M254="Chaquan E",153,IF(Atletas!M254="Emeiquan E",154,IF(Atletas!M254="Fanziquan E",155,IF(Atletas!M254="Huaquan E",156,IF(Atletas!M254="Hongquan E",157,IF(Atletas!M254="Paoquan E",158,IF(Atletas!M254="Piguaquan E",159,IF(Atletas!M254="Shaolinquan E",160,IF(Atletas!M254="Tanglangquan E",161,IF(Atletas!M254="Yingzhaoquan E",162,IF(Atletas!M254="Tongbeiquan E",163,IF(Atletas!M254="Wudangquan E",164,IF(Atletas!M254="Outros Estilos E",165,IF(Atletas!M254="Chaquan F",166,IF(Atletas!M254="Emeiquan F",167,IF(Atletas!M254="Fanziquan F",168,IF(Atletas!M254="Huaquan F",169,IF(Atletas!M254="Hongquan F",170,IF(Atletas!M254="Paoquan F",171,IF(Atletas!M254="Piguaquan F",172,IF(Atletas!M254="Shaolinquan F",173,IF(Atletas!M254="Tanglangquan F",174,IF(Atletas!M254="Yingzhaoquan F",175,IF(Atletas!M254="Tongbeiquan F",176,IF(Atletas!M254="Wudangquan F",177,IF(Atletas!M254="Outros Estilos F",178,0))))))))))))))))))))))))))))))))))))))))))</f>
        <v/>
      </c>
      <c r="BU263" s="50" t="str">
        <f>IF(Atletas!N254="","",IF(Atletas!X254&lt;&gt;"",10000,0)+(IF(Atletas!B254="Feminino",1000,IF(Atletas!B254="Masculino",2000,""))+(IF(Atletas!N254="Ditangquan A",201,IF(Atletas!N254="Houquan A",202,IF(Atletas!N254="Zuiquan A",203,IF(Atletas!N254="Ditangquan B",204,IF(Atletas!N254="Houquan B",205,IF(Atletas!N254="Zuiquan B",206,IF(Atletas!N254="Ditangquan C",207,IF(Atletas!N254="Houquan C",208,IF(Atletas!N254="Zuiquan C",209,IF(Atletas!N254="Ditangquan D",210,IF(Atletas!N254="Houquan D",211,IF(Atletas!N254="Zuiquan D",212,IF(Atletas!N254="Ditangquan E",213,IF(Atletas!N254="Houquan E",214,IF(Atletas!N254="Zuiquan E",215,IF(Atletas!N254="Ditangquan F",216,IF(Atletas!N254="Houquan F",217,IF(Atletas!N254="Zuiquan F",218,"")))))))))))))))))))))</f>
        <v/>
      </c>
      <c r="BV263" s="50" t="str">
        <f>IF(Atletas!O254="","",IF(Atletas!X254&lt;&gt;"",10000,0)+IF(Atletas!B254="Feminino",1000,IF(Atletas!B254="Masculino",2000,""))+IF(Atletas!O254="Yang A",301,IF(Atletas!O254="Chen A",302,IF(Atletas!O254="Sun A",303,IF(Atletas!O254="Wu A",304,IF(Atletas!O254="Wu-Hao A",305,IF(Atletas!O254="Outro Taijiquan A",306,IF(Atletas!O254="Yang B",307,IF(Atletas!O254="Chen B",308,IF(Atletas!O254="Sun B",309,IF(Atletas!O254="Wu B",310,IF(Atletas!O254="Wu-Hao B",311,IF(Atletas!O254="Outro Taijiquan B",312,IF(Atletas!O254="Yang C",313,IF(Atletas!O254="Chen C",314,IF(Atletas!O254="Sun C",315,IF(Atletas!O254="Wu C",316,IF(Atletas!O254="Wu-Hao C",317,IF(Atletas!O254="Outro Taijiquan C",318,IF(Atletas!O254="Yang D",319,IF(Atletas!O254="Chen D",320,IF(Atletas!O254="Sun D",321,IF(Atletas!O254="Wu D",322,IF(Atletas!O254="Wu-Hao D",323,IF(Atletas!O254="Outro Taijiquan D",324,IF(Atletas!O254="Yang E",325,IF(Atletas!O254="Chen E",326,IF(Atletas!O254="Sun E",327,IF(Atletas!O254="Wu E",328,IF(Atletas!O254="Wu-Hao E",329,IF(Atletas!O254="Outro Taijiquan E",330,IF(Atletas!O254="Yang F",331,IF(Atletas!O254="Chen F",332,IF(Atletas!O254="Sun F",333,IF(Atletas!O254="Wu F",334,IF(Atletas!O254="Wu-Hao F",335,IF(Atletas!O254="Outro Taijiquan F",336,"")))))))))))))))))))))))))))))))))))))</f>
        <v/>
      </c>
      <c r="BW263" s="50" t="str">
        <f>IF(Atletas!P254="","",IF(Atletas!X254&lt;&gt;"",10000,0)+IF(Atletas!B254="Feminino",1000,IF(Atletas!B254="Masculino",2000,""))+IF(OR(Atletas!P254="Yang 26 A",Atletas!P254="Yang 40 A"),401,IF(OR(Atletas!P254="Chen 25 A",Atletas!P254="Chen 36 A",Atletas!P254="Chen 56 A"),402,IF(Atletas!P254="Sun 73 A",403,IF(Atletas!P254="Wu 45 A",404,IF(Atletas!P254="Wu-Hao 46 A",405,IF(OR(Atletas!P254="Taijiquan 16 A",Atletas!P254="Taijiquan 24 A",Atletas!P254="Taijiquan 32 A",Atletas!P254="Taijiquan 42 A"),406,IF(OR(Atletas!P254="Yang 26 B",Atletas!P254="Yang 40 B"),407,IF(OR(Atletas!P254="Chen 25 B",Atletas!P254="Chen 36 B",Atletas!P254="Chen 56 B"),408,IF(Atletas!P254="Sun 73 B",409,IF(Atletas!P254="Wu 45 B",410,IF(Atletas!P254="Wu-Hao 46 B",411,IF(OR(Atletas!P254="Taijiquan 16 B",Atletas!P254="Taijiquan 24 B",Atletas!P254="Taijiquan 32 B",Atletas!P254="Taijiquan 42 B"),412,IF(OR(Atletas!P254="Yang 26 C",Atletas!P254="Yang 40 C"),413,IF(OR(Atletas!P254="Chen 25 C",Atletas!P254="Chen 36 C",Atletas!P254="Chen 56 C"),414,IF(Atletas!P254="Sun 73 C",415,IF(Atletas!P254="Wu 45 C",416,IF(Atletas!P254="Wu-Hao 46 C",417,IF(OR(Atletas!P254="Taijiquan 16 C",Atletas!P254="Taijiquan 24 C",Atletas!P254="Taijiquan 32 C",Atletas!P254="Taijiquan 42 C"),418,0)))))))))))))))))))</f>
        <v/>
      </c>
      <c r="BX263" s="50" t="str">
        <f>IF(Atletas!P254="","",IF(Atletas!X254&lt;&gt;"",10000,0)+IF(Atletas!B254="Feminino",1000,IF(Atletas!B254="Masculino",2000,""))+IF(OR(Atletas!P254="Yang 26 D",Atletas!P254="Yang 40 D"),419,IF(OR(Atletas!P254="Chen 25 D",Atletas!P254="Chen 36 D",Atletas!P254="Chen 56 D"),420,IF(Atletas!P254="Sun 73 D",421,IF(Atletas!P254="Wu 45 D",422,IF(Atletas!P254="Wu-Hao 46 D",423,IF(OR(Atletas!P254="Taijiquan 16 D",Atletas!P254="Taijiquan 24 D",Atletas!P254="Taijiquan 32 D",Atletas!P254="Taijiquan 42 D"),424,IF(OR(Atletas!P254="Yang 26 E",Atletas!P254="Yang 40 E"),425,IF(OR(Atletas!P254="Chen 25 E",Atletas!P254="Chen 36 E",Atletas!P254="Chen 56 E"),426,IF(Atletas!P254="Sun 73 E",427,IF(Atletas!P254="Wu 45 E",428,IF(Atletas!P254="Wu-Hao 46 E",429,IF(OR(Atletas!P254="Taijiquan 16 E",Atletas!P254="Taijiquan 24 E",Atletas!P254="Taijiquan 32 E",Atletas!P254="Taijiquan 42 E"),430,IF(OR(Atletas!P254="Yang 26 F",Atletas!P254="Yang 40 F"),431,IF(OR(Atletas!P254="Chen 25 F",Atletas!P254="Chen 36 F",Atletas!P254="Chen 56 F"),432,IF(Atletas!P254="Sun 73 F",433,IF(Atletas!P254="Wu 45 F",434,IF(Atletas!P254="Wu-Hao 46 F",435,IF(OR(Atletas!P254="Taijiquan 16 F",Atletas!P254="Taijiquan 24 F",Atletas!P254="Taijiquan 32 F",Atletas!P254="Taijiquan 42 F"),436,0)))))))))))))))))))</f>
        <v/>
      </c>
      <c r="BY263" s="50" t="str">
        <f>IF(Atletas!Q254="","",IF(Atletas!X254&lt;&gt;"",10000,0)+IF(Atletas!B254="Feminino",1000,IF(Atletas!B254="Masculino",2000,""))+IF(Atletas!Q254="Xingyiquan A",501,IF(Atletas!Q254="Baguazhang A",502,IF(Atletas!Q254="Outro Estilo Interno A",503,IF(Atletas!Q254="Xingyiquan B",504,IF(Atletas!Q254="Baguazhang B",505,IF(Atletas!Q254="Outro Estilo Interno B",506,IF(Atletas!Q254="Xingyiquan C",507,IF(Atletas!Q254="Baguazhang C",508,IF(Atletas!Q254="Outro Estilo Interno C",509,IF(Atletas!Q254="Xingyiquan D",510,IF(Atletas!Q254="Baguazhang D",511,IF(Atletas!Q254="Outro Estilo Interno D",512,IF(Atletas!Q254="Xingyiquan E",513,IF(Atletas!Q254="Baguazhang E",514,IF(Atletas!Q254="Outro Estilo Interno E",515,IF(Atletas!Q254="Xingyiquan F",516,IF(Atletas!Q254="Baguazhang F",517,IF(Atletas!Q254="Outro Estilo Interno F",518, "")))))))))))))))))))</f>
        <v/>
      </c>
      <c r="BZ263" s="50" t="str">
        <f>IF(Atletas!R254="","",IF(Atletas!X254&lt;&gt;"",10000,0)+IF(Atletas!B254="Feminino",1000,IF(Atletas!B254="Masculino",2000,""))+IF(Atletas!R254="Dao A",601,IF(Atletas!R254="Jian A",602,IF(Atletas!R254="Bishou A",603,IF(Atletas!R254="Shanzi A",604,IF(Atletas!R254="Outra Arma Curta A",605,IF(Atletas!R254="Dao B",606,IF(Atletas!R254="Jian B",607,IF(Atletas!R254="Bishou B",608,IF(Atletas!R254="Shanzi B",609,IF(Atletas!R254="Outra Arma Curta B",610,IF(Atletas!R254="Dao C",611,IF(Atletas!R254="Jian C",612,IF(Atletas!R254="Bishou C",613,IF(Atletas!R254="Shanzi C",614,IF(Atletas!R254="Outra Arma Curta C",615,IF(Atletas!R254="Dao D",616,IF(Atletas!R254="Jian D",617,IF(Atletas!R254="Bishou D",618,IF(Atletas!R254="Shanzi D",619,IF(Atletas!R254="Outra Arma Curta D",620,IF(Atletas!R254="Dao E",621,IF(Atletas!R254="Jian E",622,IF(Atletas!R254="Bishou E",623,IF(Atletas!R254="Shanzi E",624,IF(Atletas!R254="Outra Arma Curta E",625,IF(Atletas!R254="Dao F",626,IF(Atletas!R254="Jian F",627,IF(Atletas!R254="Bishou F",628,IF(Atletas!R254="Shanzi F",629,IF(Atletas!R254="Outra Arma Curta F",630, "")))))))))))))))))))))))))))))))</f>
        <v/>
      </c>
      <c r="CA263" s="50" t="str">
        <f>IF(Atletas!S254="","",IF(Atletas!X254&lt;&gt;"",10000,0)+IF(Atletas!B254="Feminino",1000,IF(Atletas!B254="Masculino",2000,""))+IF(Atletas!S254="Gun A",701,IF(Atletas!S254="Qiang A",702,IF(Atletas!S254="Pudao / Guandao A",703,IF(Atletas!S254="Outra Arma Longa A",704,IF(Atletas!S254="Gun B",705,IF(Atletas!S254="Qiang B",706,IF(Atletas!S254="Pudao / Guandao B",707,IF(Atletas!S254="Outra Arma Longa B",708,IF(Atletas!S254="Gun C",709,IF(Atletas!S254="Qiang C",710,IF(Atletas!S254="Pudao / Guandao C",711,IF(Atletas!S254="Outra Arma Longa C",712,IF(Atletas!S254="Gun D",713,IF(Atletas!S254="Qiang D",714,IF(Atletas!S254="Pudao / Guandao D",715,IF(Atletas!S254="Outra Arma Longa D",716,IF(Atletas!S254="Gun E",717,IF(Atletas!S254="Qiang E",718,IF(Atletas!S254="Pudao / Guandao E",719,IF(Atletas!S254="Outra Arma Longa E",720,IF(Atletas!S254="Gun F",721,IF(Atletas!S254="Qiang F",722,IF(Atletas!S254="Pudao / Guandao F",723,IF(Atletas!S254="Outra Arma Longa F",724,"")))))))))))))))))))))))))</f>
        <v/>
      </c>
      <c r="CB263" s="50" t="str">
        <f>IF(Atletas!T254="","",IF(Atletas!X254&lt;&gt;"",10000,0)+IF(Atletas!B254="Feminino",1000,IF(Atletas!B254="Masculino",2000,""))+IF(Atletas!T254="Outra Arma Dupla A",801,IF(Atletas!T254="Arma Maleável A",802,IF(Atletas!T254="Outra Arma Dupla B",803,IF(Atletas!T254="Arma Maleável B",804,IF(Atletas!T254="Outra Arma Dupla C",805,IF(Atletas!T254="Arma Maleável C",806,IF(Atletas!T254="Outra Arma Dupla D",807,IF(Atletas!T254="Arma Maleável D",808,IF(Atletas!T254="Outra Arma Dupla E",809,IF(Atletas!T254="Arma Maleável E",810,IF(Atletas!T254="Outra Arma Dupla F",811,IF(Atletas!T254="Arma Maleável F",812,IF(Atletas!T254="Shuangdao A",813,IF(Atletas!T254="Shuangdao B",814,IF(Atletas!T254="Shuangdao C",815,IF(Atletas!T254="Shuangdao D",816,IF(Atletas!T254="Shuangdao E",817,IF(Atletas!T254="Shuangdao F",818,"")))))))))))))))))))</f>
        <v/>
      </c>
      <c r="CC263" s="50" t="str">
        <f>IF(Atletas!U254="","",IF(Atletas!X254&lt;&gt;"",10000,0)+IF(Atletas!B254="Feminino",1000,IF(Atletas!B254="Masculino",2000,""))+IF(OR(Atletas!U254="Taijijian Yang A",Atletas!U254="Taijijian Yang Standard A"),901,IF(OR(Atletas!U254="Taijijian Chen A", Atletas!U254="Taijijian Chen Standard A"),902,IF(Atletas!U254="Taijijian Sun A",903,IF(Atletas!U254="Taijijian Wu A",904,IF(Atletas!U254="Taijijian Wu-Hao A",905,IF(OR(Atletas!U254="Taijijian 32 A",Atletas!U254="Taijijian 42 A"),906,IF(OR(Atletas!U254="Taijijian Yang B",Atletas!U254="Taijijian Yang Standard B"),907,IF(OR(Atletas!U254="Taijijian Chen B", Atletas!U254="Taijijian Chen Standard B"),908,IF(Atletas!U254="Taijijian Sun B",909,IF(Atletas!U254="Taijijian Wu B",910,IF(Atletas!U254="Taijijian Wu-Hao B",911,IF(OR(Atletas!U254="Taijijian 32 B",Atletas!U254="Taijijian 42 B"),912,IF(OR(Atletas!U254="Taijijian Yang C",Atletas!U254="Taijijian Yang Standard C"),913,IF(OR(Atletas!U254="Taijijian Chen C", Atletas!U254="Taijijian Chen Standard C"),914,IF(Atletas!U254="Taijijian Sun C",915,IF(Atletas!U254="Taijijian Wu C",916,IF(Atletas!U254="Taijijian Wu-Hao C",917,IF(OR(Atletas!U254="Taijijian 32 C",Atletas!U254="Taijijian 42 C"),918,IF(OR(Atletas!U254="Taijijian Yang D",Atletas!U254="Taijijian Yang Standard D"),919,IF(OR(Atletas!U254="Taijijian Chen D", Atletas!U254="Taijijian Chen Standard D"),920,IF(Atletas!U254="Taijijian Sun D",921,IF(Atletas!U254="Taijijian Wu D",922,IF(Atletas!U254="Taijijian Wu-Hao D",923,IF(OR(Atletas!U254="Taijijian 32 D",Atletas!U254="Taijijian 42 D"),924,IF(OR(Atletas!U254="Taijijian Yang E",Atletas!U254="Taijijian Yang Standard E"),925,IF(OR(Atletas!U254="Taijijian Chen E", Atletas!U254="Taijijian Chen Standard E"),926,IF(Atletas!U254="Taijijian Sun E",927,IF(Atletas!U254="Taijijian Wu E",928,IF(Atletas!U254="Taijijian Wu-Hao E",929,IF(OR(Atletas!U254="Taijijian 32 E",Atletas!U254="Taijijian 42 E"),930,IF(OR(Atletas!U254="Taijijian Yang F",Atletas!U254="Taijijian Yang Standard F"),931,IF(OR(Atletas!U254="Taijijian Chen F", Atletas!U254="Taijijian Chen Standard F"),932,IF(Atletas!U254="Taijijian Sun F",933,IF(Atletas!U254="Taijijian Wu F",934,IF(Atletas!U254="Taijijian Wu-Hao F",935,IF(OR(Atletas!U254="Taijijian 32 F",Atletas!U254="Taijijian 42 F"),936,"")))))))))))))))))))))))))))))))))))))</f>
        <v/>
      </c>
      <c r="CD263" s="50" t="str">
        <f>IF(Atletas!V254="","",IF(Atletas!X254&lt;&gt;"",10000,0)+IF(Atletas!B254="Feminino",1000,IF(Atletas!B254="Masculino",2000,""))+IF(Atletas!V254="Taijidao A",937,IF(Atletas!V254="TaijiShanzi A",938,IF(Atletas!V254="Taijiqiang A",939,IF(Atletas!V254="Bagua de Arma A",940,IF(Atletas!V254="Xingyi de Arma A",941,IF(Atletas!V254="Taijidao B",942,IF(Atletas!V254="TaijiShanzi B",943,IF(Atletas!V254="Taijiqiang B",944,IF(Atletas!V254="Bagua de Arma B",945,IF(Atletas!V254="Xingyi de Arma B",946,IF(Atletas!V254="Taijidao C",947,IF(Atletas!V254="TaijiShanzi C",948,IF(Atletas!V254="Taijiqiang C",949,IF(Atletas!V254="Bagua de Arma C",950,IF(Atletas!V254="Xingyi de Arma C",951,IF(Atletas!V254="Taijidao D",952,IF(Atletas!V254="TaijiShanzi D",953,IF(Atletas!V254="Taijiqiang D",954,IF(Atletas!V254="Bagua de Arma D",955,IF(Atletas!V254="Xingyi de Arma D",956,IF(Atletas!V254="Taijidao E",957,IF(Atletas!V254="TaijiShanzi E",958,IF(Atletas!V254="Taijiqiang E",959,IF(Atletas!V254="Bagua de Arma E",960,IF(Atletas!V254="Xingyi de Arma E",961,IF(Atletas!V254="Taijidao F",962,IF(Atletas!V254="TaijiShanzi F",963,IF(Atletas!V254="Taijiqiang F",964,IF(Atletas!V254="Bagua de Arma F",965,IF(Atletas!V254="Xingyi de Arma F",966,"")))))))))))))))))))))))))))))))</f>
        <v/>
      </c>
      <c r="CE263" s="66" t="str">
        <f>IF(CF263&lt;&gt;"","Gun B","")</f>
        <v/>
      </c>
      <c r="CF263" s="66" t="str">
        <f>IF(COUNTIF(BR:CD,1705)&gt;0,COUNTIF(BR:CD,1705),"")</f>
        <v/>
      </c>
      <c r="CG263" s="66" t="str">
        <f>IF(CH263&lt;&gt;"","Gun B","")</f>
        <v/>
      </c>
      <c r="CH263" s="66" t="str">
        <f>IF(COUNTIF(BR:CD,2705)&gt;0,COUNTIF(BR:CD,2705),"")</f>
        <v/>
      </c>
      <c r="CI263" s="66" t="str">
        <f>IF(CJ264&lt;&gt;"","Outra Arma Longa C","")</f>
        <v/>
      </c>
      <c r="CJ263" s="66" t="str">
        <f>IF(COUNTIF(BR:CD,11711)&gt;0,COUNTIF(BR:CD,11711),"")</f>
        <v/>
      </c>
      <c r="CK263" s="66" t="str">
        <f>IF(CL263&lt;&gt;"","Pudao / Gaundao C","")</f>
        <v/>
      </c>
      <c r="CL263" s="6" t="str">
        <f>IF(COUNTIF(BR:CD,12711)&gt;0,COUNTIF(BR:CD,12711),"")</f>
        <v/>
      </c>
      <c r="CM263" s="50" t="str">
        <f xml:space="preserve"> IF(Atletas!W254="","",IF(Atletas!W254="Duilian de Mãos BC - Equipe 1",1,IF(Atletas!W254="Duilian de Mãos BC - Equipe 2",2,IF(Atletas!W254="Duilian de Armas BC - Equipe 1",3,IF(Atletas!W254="Duilian de Armas BC - Equipe 2",4,IF(Atletas!W254="Duilian de Mãos DE - Equipe 1",5,IF(Atletas!W254="Duilian de Mãos DE - Equipe 2",6,IF(Atletas!W254="Duilian de Armas DE - Equipe 1",7,IF(Atletas!W254="Duilian de Armas DE - Equipe 2",8,IF(Atletas!W254="Duilian de Tuishou - Equipe 1",9,IF(Atletas!W254="Duilian de Tuishou - Equipe 2",10,IF(Atletas!W254="Grupo Externo ABC - Equipe 1",11,IF(Atletas!W254="Grupo Externo ABC - Equipe 2",12,IF(Atletas!W254="Grupo Interno ABC - Equipe 1",13,IF(Atletas!W254="Grupo Interno ABC - Equipe 2",14,IF(Atletas!W254="Grupo Externo DEF - Equipe 1",15,IF(Atletas!W254="Grupo Externo DEF - Equipe 2",16,IF(Atletas!W254="Grupo Interno DEF - Equipe 1",17,IF(Atletas!W254="Grupo Interno DEF - Equipe 2",18,"")))))))))))))))))))</f>
        <v/>
      </c>
    </row>
    <row r="264" spans="2:91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 t="str">
        <f t="array" ref="Z264">IFERROR(INDEX(CE$7:CE$348,SMALL(IF(CE$7:CE$348&lt;&gt;"",ROW(CE$7:CE$348)-ROW(CE$7)+1),ROWS(CE$7:CE263))),"")</f>
        <v/>
      </c>
      <c r="AA264" s="3" t="str">
        <f t="array" ref="AA264">IFERROR(INDEX(CF$7:CF$348,SMALL(IF(CF$7:CF$348&lt;&gt;"",ROW(CF$7:CF$348)-ROW(CF$7)+1),ROWS(CF$7:CF263))),"")</f>
        <v/>
      </c>
      <c r="AB264" s="3" t="str">
        <f t="array" ref="AB264">IFERROR(INDEX(CG$7:CG$348,SMALL(IF(CG$7:CG$348&lt;&gt;"",ROW(CG$7:CG$348)-ROW(CG$7)+1),ROWS(CG$7:CG263))),"")</f>
        <v/>
      </c>
      <c r="AC264" s="3" t="str">
        <f t="array" ref="AC264">IFERROR(INDEX(CH$7:CH$348,SMALL(IF(CH$7:CH$348&lt;&gt;"",ROW(CH$7:CH$348)-ROW(CH$7)+1),ROWS(CH$7:CH263))),"")</f>
        <v/>
      </c>
      <c r="AD264" s="3" t="str">
        <f t="array" ref="AD264">IFERROR(INDEX(CI$7:CI$377,SMALL(IF(CI$7:CI$377&lt;&gt;"",ROW(CI$7:CI$377)-ROW(CI$7)+1),ROWS(CI$7:CI262))),"")</f>
        <v/>
      </c>
      <c r="AE264" s="3" t="str">
        <f t="array" ref="AE264">IFERROR(INDEX(CJ$7:CJ$378,SMALL(IF(CJ$7:CJ$378&lt;&gt;"",ROW(CJ$7:CJ$378)-ROW(CJ$7)+1),ROWS(CJ$7:CJ263))),"")</f>
        <v/>
      </c>
      <c r="AF264" s="3" t="str">
        <f t="array" ref="AF264">IFERROR(INDEX(CK$7:CK$378,SMALL(IF(CK$7:CK$378&lt;&gt;"",ROW(CK$7:CK$378)-ROW(CK$7)+1),ROWS(CK$7:CK263))),"")</f>
        <v/>
      </c>
      <c r="AG264" s="3" t="str">
        <f t="array" ref="AG264">IFERROR(INDEX(CL$7:CL$378,SMALL(IF(CL$7:CL$378&lt;&gt;"",ROW(CL$7:CL$378)-ROW(CL$7)+1),ROWS(CL$7:CL263))),"")</f>
        <v/>
      </c>
      <c r="AH264" s="3"/>
      <c r="AI264" s="3"/>
      <c r="AJ264" s="3"/>
      <c r="AK264" s="3"/>
      <c r="AL264" s="3"/>
      <c r="AM264" s="3"/>
      <c r="AN264" s="52" t="str">
        <f>IF(Atletas!D255="","",IF(Atletas!B255="Feminino",100,IF(Atletas!B255="Masculino",200,""))+(IF(Atletas!D255="Kids 30kg",1,IF(Atletas!D255="Kids 32kg",2, IF(Atletas!D255="Kids 34kg",3,IF(Atletas!D255="Kids 36kg",4,IF(Atletas!D255="Kids 39kg",5,IF(Atletas!D255="Kids 42kg",6,IF(Atletas!D255="Kids 45kg",7, IF(Atletas!D255="Infantil 39kg",8,IF(Atletas!D255="Infantil 42kg",9,IF(Atletas!D255="Infantil 45kg",10,IF(Atletas!D255="Infantil 48kg",11,IF(Atletas!D255="Infantil 52kg",12,IF(Atletas!D255="Infantil 56kg",13,IF(Atletas!D255="Infantil 60kg",14,IF(Atletas!D255="Juvenil 48kg",15,IF(Atletas!D255="Juvenil 52kg",16,IF(Atletas!D255="Juvenil 56kg",17,IF(Atletas!D255="Juvenil 60kg",18,IF(Atletas!D255="Juvenil 65kg",19,IF(Atletas!D255="Juvenil 70kg",20,IF(Atletas!D255="Juvenil 75kg",21,IF(Atletas!D255="Juvenil 80kg",22, IF(Atletas!D255="Juvenil 85kg",23,IF(Atletas!D255="Adulto 48kg",24,IF(Atletas!D255="Adulto 52kg",25,IF(Atletas!D255="Adulto 56kg",26,IF(Atletas!D255="Adulto 60kg",27,IF(Atletas!D255="Adulto 65kg",28,IF(Atletas!D255="Adulto 70kg",29,IF(Atletas!D255="Adulto 75kg",30,IF(Atletas!D255="Adulto 80kg",31,IF(Atletas!D255="Adulto 85kg",32,IF(Atletas!D255="Adulto 90kg",33,IF(Atletas!D255="Adulto 100kg",34, IF(Atletas!D255="Adulto +100kg",35,"")))))))))))))))))))))))))))))))))))))</f>
        <v/>
      </c>
      <c r="AS264" s="6" t="str">
        <f>IF(Atletas!E255="","",IF(Atletas!B255="Feminino",100,IF(Atletas!B255="Masculino",200,""))+(IF(Atletas!E255="Juvenil 44kg",1,IF(Atletas!E255="Juvenil 48kg",2,IF(Atletas!E255="Juvenil 52kg",3,IF(Atletas!E255="Juvenil 56kg",4,IF(Atletas!E255="Juvenil 60kg",5,IF(Atletas!E255="Juvenil 65kg",6,IF(Atletas!E255="Juvenil 70kg",7,IF(Atletas!E255="Juvenil 75kg",8,IF(Atletas!E255="Juvenil 82kg",9,IF(Atletas!E255="Juvenil 90kg",10,IF(Atletas!E255="Juvenil 100kg",11,IF(Atletas!E255="Adulto 48kg",12,IF(Atletas!E255="Adulto 52kg",13,IF(Atletas!E255="Adulto 56kg",14,IF(Atletas!E255="Adulto 60kg",15,IF(Atletas!E255="Adulto 65kg",16,IF(Atletas!E255="Adulto 70kg",17,IF(Atletas!E255="Adulto 75kg",18,IF(Atletas!E255="Adulto 82kg",19,IF(Atletas!E255="Adulto 90kg",20,IF(Atletas!E255="Adulto 100kg",21,IF(Atletas!E255="Adulto +100kg",22,""))))))))))))))))))))))))</f>
        <v/>
      </c>
      <c r="AX264" s="6" t="str">
        <f>IF(Atletas!F255="","",IF(Atletas!B255="Feminino",100,IF(Atletas!B255="Masculino",200,""))+(IF(Atletas!F255="Adulto 48kg",1,IF(Atletas!F255="Adulto 56kg",2,IF(Atletas!F255="Adulto 65kg",3,IF(Atletas!F255="Adulto 75kg",4,IF(Atletas!F255="Adulto +75kg",5,IF(Atletas!F255="Adulto 52kg",6,IF(Atletas!F255="Adulto 60kg",7,IF(Atletas!F255="Adulto 70kg",8,IF(Atletas!F255="Adulto 80kg",9,IF(Atletas!F255="Adulto 90kg",10,IF(Atletas!F255="Adulto +90kg",11,"")))))))))))))</f>
        <v/>
      </c>
      <c r="BC264" s="6" t="str">
        <f>IF(Atletas!G255="","",IF(Atletas!B255="Feminino",10,IF(Atletas!B255="Masculino",20,""))+(IF(Atletas!G255="Baduanjin A",1,IF(Atletas!G255="Baduanjin B",2))))</f>
        <v/>
      </c>
      <c r="BF264" s="52" t="str">
        <f>IF(Atletas!H255="","",IF(Atletas!B255="Feminino",100,IF(Atletas!B255="Masculino",200,""))+(IF(Atletas!H255="Changquan Mirim",1,IF(Atletas!H255="Nanquan Mirim",2,IF(Atletas!H255="Taijiquan Mirim",3,IF(Atletas!H255="Changquan Grupo C",4,IF(Atletas!H255="Nanquan Grupo C",5,IF(Atletas!H255="Taijiquan Grupo C",6,IF(Atletas!H255="Changquan Grupo B",7,IF(Atletas!H255="Nanquan Grupo B",8,IF(Atletas!H255="Taijiquan Grupo B",9,IF(Atletas!H255="Changquan Grupo A",10,IF(Atletas!H255="Nanquan Grupo A",11,IF(Atletas!H255="Taijiquan Grupo A",12,IF(Atletas!H255="Changquan Opcional",13,IF(Atletas!H255="Nanquan Opcional",14,IF(Atletas!H255="Taijiquan Opcional",15,IF(Atletas!H255="Changquan Adulto",16,IF(Atletas!H255="Nanquan Adulto",17,IF(Atletas!H255="Taijiquan Adulto",18,""))))))))))))))))))))</f>
        <v/>
      </c>
      <c r="BG264" s="52" t="str">
        <f>IF(Atletas!I255="","",IF(Atletas!B255="Feminino",100,IF(Atletas!B255="Masculino",200,""))+(IF(Atletas!I255="Daoshu Mirim",19,IF(Atletas!I255="Jianshu Mirim",20,IF(Atletas!I255="Nandao Mirim",21,IF(Atletas!I255="Taijijian Mirim",22,IF(Atletas!I255="Daoshu Grupo C",23,IF(Atletas!I255="Jianshu Grupo C",24,IF(Atletas!I255="Nandao Grupo C",25,IF(Atletas!I255="Taijijian Grupo C",26,IF(Atletas!I255="Daoshu Grupo B",27,IF(Atletas!I255="Jianshu Grupo B",28,IF(Atletas!I255="Nandao Grupo B",29,IF(Atletas!I255="Taijijian Grupo B",30,IF(Atletas!I255="Daoshu Grupo A",31,IF(Atletas!I255="Jianshu Grupo A",32,IF(Atletas!I255="Nandao Grupo A",33,IF(Atletas!I255="Taijijian Grupo A",34,IF(Atletas!I255="Daoshu Opcional",35,IF(Atletas!I255="Jianshu Opcional",36,IF(Atletas!I255="Nandao Opcional",37,IF(Atletas!I255="Taijijian Opcional",38,IF(Atletas!I255="Daoshu Adulto",39,IF(Atletas!I255="Jianshu Adulto",40,IF(Atletas!I255="Nandao Adulto",41,IF(Atletas!I255="Taijijian Adulto",42,""))))))))))))))))))))))))))</f>
        <v/>
      </c>
      <c r="BH264" s="52" t="str">
        <f>IF(Atletas!J255="","",IF(Atletas!B255="Feminino",100,IF(Atletas!B255="Masculino",200,""))+(IF(Atletas!J255="Gunshu Mirim",43,IF(Atletas!J255="Qiangshu Mirim",44,IF(Atletas!J255="Nangun Mirim",45,IF(Atletas!J255="Gunshu Grupo C",46,IF(Atletas!J255="Qiangshu Grupo C",47,IF(Atletas!J255="Nangun Grupo C",48,IF(Atletas!J255="Gunshu Grupo B",49,IF(Atletas!J255="Qiangshu Grupo B",50,IF(Atletas!J255="Nangun Grupo B",51,IF(Atletas!J255="Gunshu Grupo A",52,IF(Atletas!J255="Qiangshu Grupo A",53,IF(Atletas!J255="Nangun Grupo A",54,IF(Atletas!J255="Gunshu Opcional",55,IF(Atletas!J255="Qiangshu Opcional",56,IF(Atletas!J255="Nangun Opcional",57,IF(Atletas!J255="Gunshu Adulto",58,IF(Atletas!J255="Qiangshu Adulto",59,IF(Atletas!J255="Nangun Adulto",60,IF(Atletas!J255="Taijishan Grupo B",61,IF(Atletas!J255="Taijishan Grupo A",62,""))))))))))))))))))))))</f>
        <v/>
      </c>
      <c r="BM264" s="50" t="str">
        <f>IF(Atletas!K255="","",IF(Atletas!B255="Feminino",100,IF(Atletas!B255="Masculino",200,""))+(IF(Atletas!K255="Equipe 1 Grupo B",1,IF(Atletas!K255="Equipe 2 Grupo B",2,IF(Atletas!K255="Equipe 1 Grupo A",3,IF(Atletas!K255="Equipe 2 Grupo A",4,IF(Atletas!K255="Equipe 1 Adulto",5,IF(Atletas!K255="Equipe 2 Adulto",6,""))))))))</f>
        <v/>
      </c>
      <c r="BR264" s="50" t="str">
        <f>IF(Atletas!L255="","",IF(Atletas!X255&lt;&gt;"",10000,0)+(IF(Atletas!B255="Feminino",1000,IF(Atletas!B255="Masculino",2000,""))+IF(Atletas!L255="Choylayfut A",1,IF(Atletas!L255="Hunggar A",2,IF(Atletas!L255="Wuzuquan A",3,IF(Atletas!L255="Wingchun A",4,IF(Atletas!L255="Outra Mão de Sul A",5,IF(Atletas!L255="Choylayfut B",6,IF(Atletas!L255="Hunggar B",7,IF(Atletas!L255="Wuzuquan B",8,IF(Atletas!L255="Wingchun B",9,IF(Atletas!L255="Outra Mão de Sul B",10,IF(Atletas!L255="Choylayfut C",11,IF(Atletas!L255="Hunggar C",12,IF(Atletas!L255="Wuzuquan C",13,IF(Atletas!L255="Wingchun C",14,IF(Atletas!L255="Outra Mão de Sul C",15,IF(Atletas!L255="Choylayfut D",16,IF(Atletas!L255="Hunggar D",17,IF(Atletas!L255="Wuzuquan D",18,IF(Atletas!L255="Wingchun D",19,IF(Atletas!L255="Outra Mão de Sul D",20,IF(Atletas!L255="Choylayfut E",21,IF(Atletas!L255="Hunggar E",22,IF(Atletas!L255="Wuzuquan E",23,IF(Atletas!L255="Wingchun E",24,IF(Atletas!L255="Outra Mão de Sul E",25,IF(Atletas!L255="Choylayfut F",26,IF(Atletas!L255="Hunggar F",27,IF(Atletas!L255="Wuzuquan F",28,IF(Atletas!L255="Wingchun F",29,IF(Atletas!L255="Outra Mão de Sul F",30,IF(Atletas!L255="Dishuquan A",31,IF(Atletas!L255="Dishuquan B",32,IF(Atletas!L255="Dishuquan C",33,IF(Atletas!L255="Dishuquan D",34,IF(Atletas!L255="Dishuquan E",35,IF(Atletas!L255="Dishuquan F",36,""))))))))))))))))))))))))))))))))))))))</f>
        <v/>
      </c>
      <c r="BS264" s="50" t="str">
        <f>IF(Atletas!M255="","",IF(Atletas!X255&lt;&gt;"",10000,0)+(IF(Atletas!B255="Feminino",1000,IF(Atletas!B255="Masculino",2000,""))+(IF(Atletas!M255="Chaquan A",101,IF(Atletas!M255="Emeiquan A",102,IF(Atletas!M255="Fanziquan A",103,IF(Atletas!M255="Huaquan A",104,IF(Atletas!M255="Hongquan A",105,IF(Atletas!M255="Paoquan A",106,IF(Atletas!M255="Piguaquan A",107,IF(Atletas!M255="Shaolinquan A",108,IF(Atletas!M255="Tanglangquan A",109,IF(Atletas!M255="Yingzhaoquan A",110,IF(Atletas!M255="Tongbeiquan A",111,IF(Atletas!M255="Wudangquan A",112,IF(Atletas!M255="Outros Estilos A",113,IF(Atletas!M255="Chaquan B",114,IF(Atletas!M255="Emeiquan B",115,IF(Atletas!M255="Fanziquan B",116,IF(Atletas!M255="Huaquan B",117,IF(Atletas!M255="Hongquan B",118,IF(Atletas!M255="Paoquan B",119,IF(Atletas!M255="Piguaquan B",120,IF(Atletas!M255="Shaolinquan B",121,IF(Atletas!M255="Tanglangquan B",122,IF(Atletas!M255="Yingzhaoquan B",123,IF(Atletas!M255="Tongbeiquan B",124,IF(Atletas!M255="Wudangquan B",125,IF(Atletas!M255="Outros Estilos B",126,IF(Atletas!M255="Chaquan C",127,IF(Atletas!M255="Emeiquan C",128,IF(Atletas!M255="Fanziquan C",129,IF(Atletas!M255="Huaquan C",130,IF(Atletas!M255="Hongquan C",131,IF(Atletas!M255="Paoquan C",132,IF(Atletas!M255="Piguaquan C",133,IF(Atletas!M255="Shaolinquan C",134,IF(Atletas!M255="Tanglangquan C",135,IF(Atletas!M255="Yingzhaoquan C",136,IF(Atletas!M255="Tongbeiquan C",137,IF(Atletas!M255="Wudangquan C",138,IF(Atletas!M255="Outros Estilos C",139,0))))))))))))))))))))))))))))))))))))))))))</f>
        <v/>
      </c>
      <c r="BT264" s="50" t="str">
        <f>IF(Atletas!M255="","",IF(Atletas!X255&lt;&gt;"",10000,0)+(IF(Atletas!B255="Feminino",1000,IF(Atletas!B255="Masculino",2000,""))+(IF(Atletas!M255="Chaquan D",140,IF(Atletas!M255="Emeiquan D",141,IF(Atletas!M255="Fanziquan D",142,IF(Atletas!M255="Huaquan D",143,IF(Atletas!M255="Hongquan D",144,IF(Atletas!M255="Paoquan D",145,IF(Atletas!M255="Piguaquan D",146,IF(Atletas!M255="Shaolinquan D",147,IF(Atletas!M255="Tanglangquan D",148,IF(Atletas!M255="Yingzhaoquan D",149,IF(Atletas!M255="Tongbeiquan D",150,IF(Atletas!M255="Wudangquan D",151,IF(Atletas!M255="Outros Estilos D",152,IF(Atletas!M255="Chaquan E",153,IF(Atletas!M255="Emeiquan E",154,IF(Atletas!M255="Fanziquan E",155,IF(Atletas!M255="Huaquan E",156,IF(Atletas!M255="Hongquan E",157,IF(Atletas!M255="Paoquan E",158,IF(Atletas!M255="Piguaquan E",159,IF(Atletas!M255="Shaolinquan E",160,IF(Atletas!M255="Tanglangquan E",161,IF(Atletas!M255="Yingzhaoquan E",162,IF(Atletas!M255="Tongbeiquan E",163,IF(Atletas!M255="Wudangquan E",164,IF(Atletas!M255="Outros Estilos E",165,IF(Atletas!M255="Chaquan F",166,IF(Atletas!M255="Emeiquan F",167,IF(Atletas!M255="Fanziquan F",168,IF(Atletas!M255="Huaquan F",169,IF(Atletas!M255="Hongquan F",170,IF(Atletas!M255="Paoquan F",171,IF(Atletas!M255="Piguaquan F",172,IF(Atletas!M255="Shaolinquan F",173,IF(Atletas!M255="Tanglangquan F",174,IF(Atletas!M255="Yingzhaoquan F",175,IF(Atletas!M255="Tongbeiquan F",176,IF(Atletas!M255="Wudangquan F",177,IF(Atletas!M255="Outros Estilos F",178,0))))))))))))))))))))))))))))))))))))))))))</f>
        <v/>
      </c>
      <c r="BU264" s="50" t="str">
        <f>IF(Atletas!N255="","",IF(Atletas!X255&lt;&gt;"",10000,0)+(IF(Atletas!B255="Feminino",1000,IF(Atletas!B255="Masculino",2000,""))+(IF(Atletas!N255="Ditangquan A",201,IF(Atletas!N255="Houquan A",202,IF(Atletas!N255="Zuiquan A",203,IF(Atletas!N255="Ditangquan B",204,IF(Atletas!N255="Houquan B",205,IF(Atletas!N255="Zuiquan B",206,IF(Atletas!N255="Ditangquan C",207,IF(Atletas!N255="Houquan C",208,IF(Atletas!N255="Zuiquan C",209,IF(Atletas!N255="Ditangquan D",210,IF(Atletas!N255="Houquan D",211,IF(Atletas!N255="Zuiquan D",212,IF(Atletas!N255="Ditangquan E",213,IF(Atletas!N255="Houquan E",214,IF(Atletas!N255="Zuiquan E",215,IF(Atletas!N255="Ditangquan F",216,IF(Atletas!N255="Houquan F",217,IF(Atletas!N255="Zuiquan F",218,"")))))))))))))))))))))</f>
        <v/>
      </c>
      <c r="BV264" s="50" t="str">
        <f>IF(Atletas!O255="","",IF(Atletas!X255&lt;&gt;"",10000,0)+IF(Atletas!B255="Feminino",1000,IF(Atletas!B255="Masculino",2000,""))+IF(Atletas!O255="Yang A",301,IF(Atletas!O255="Chen A",302,IF(Atletas!O255="Sun A",303,IF(Atletas!O255="Wu A",304,IF(Atletas!O255="Wu-Hao A",305,IF(Atletas!O255="Outro Taijiquan A",306,IF(Atletas!O255="Yang B",307,IF(Atletas!O255="Chen B",308,IF(Atletas!O255="Sun B",309,IF(Atletas!O255="Wu B",310,IF(Atletas!O255="Wu-Hao B",311,IF(Atletas!O255="Outro Taijiquan B",312,IF(Atletas!O255="Yang C",313,IF(Atletas!O255="Chen C",314,IF(Atletas!O255="Sun C",315,IF(Atletas!O255="Wu C",316,IF(Atletas!O255="Wu-Hao C",317,IF(Atletas!O255="Outro Taijiquan C",318,IF(Atletas!O255="Yang D",319,IF(Atletas!O255="Chen D",320,IF(Atletas!O255="Sun D",321,IF(Atletas!O255="Wu D",322,IF(Atletas!O255="Wu-Hao D",323,IF(Atletas!O255="Outro Taijiquan D",324,IF(Atletas!O255="Yang E",325,IF(Atletas!O255="Chen E",326,IF(Atletas!O255="Sun E",327,IF(Atletas!O255="Wu E",328,IF(Atletas!O255="Wu-Hao E",329,IF(Atletas!O255="Outro Taijiquan E",330,IF(Atletas!O255="Yang F",331,IF(Atletas!O255="Chen F",332,IF(Atletas!O255="Sun F",333,IF(Atletas!O255="Wu F",334,IF(Atletas!O255="Wu-Hao F",335,IF(Atletas!O255="Outro Taijiquan F",336,"")))))))))))))))))))))))))))))))))))))</f>
        <v/>
      </c>
      <c r="BW264" s="50" t="str">
        <f>IF(Atletas!P255="","",IF(Atletas!X255&lt;&gt;"",10000,0)+IF(Atletas!B255="Feminino",1000,IF(Atletas!B255="Masculino",2000,""))+IF(OR(Atletas!P255="Yang 26 A",Atletas!P255="Yang 40 A"),401,IF(OR(Atletas!P255="Chen 25 A",Atletas!P255="Chen 36 A",Atletas!P255="Chen 56 A"),402,IF(Atletas!P255="Sun 73 A",403,IF(Atletas!P255="Wu 45 A",404,IF(Atletas!P255="Wu-Hao 46 A",405,IF(OR(Atletas!P255="Taijiquan 16 A",Atletas!P255="Taijiquan 24 A",Atletas!P255="Taijiquan 32 A",Atletas!P255="Taijiquan 42 A"),406,IF(OR(Atletas!P255="Yang 26 B",Atletas!P255="Yang 40 B"),407,IF(OR(Atletas!P255="Chen 25 B",Atletas!P255="Chen 36 B",Atletas!P255="Chen 56 B"),408,IF(Atletas!P255="Sun 73 B",409,IF(Atletas!P255="Wu 45 B",410,IF(Atletas!P255="Wu-Hao 46 B",411,IF(OR(Atletas!P255="Taijiquan 16 B",Atletas!P255="Taijiquan 24 B",Atletas!P255="Taijiquan 32 B",Atletas!P255="Taijiquan 42 B"),412,IF(OR(Atletas!P255="Yang 26 C",Atletas!P255="Yang 40 C"),413,IF(OR(Atletas!P255="Chen 25 C",Atletas!P255="Chen 36 C",Atletas!P255="Chen 56 C"),414,IF(Atletas!P255="Sun 73 C",415,IF(Atletas!P255="Wu 45 C",416,IF(Atletas!P255="Wu-Hao 46 C",417,IF(OR(Atletas!P255="Taijiquan 16 C",Atletas!P255="Taijiquan 24 C",Atletas!P255="Taijiquan 32 C",Atletas!P255="Taijiquan 42 C"),418,0)))))))))))))))))))</f>
        <v/>
      </c>
      <c r="BX264" s="50" t="str">
        <f>IF(Atletas!P255="","",IF(Atletas!X255&lt;&gt;"",10000,0)+IF(Atletas!B255="Feminino",1000,IF(Atletas!B255="Masculino",2000,""))+IF(OR(Atletas!P255="Yang 26 D",Atletas!P255="Yang 40 D"),419,IF(OR(Atletas!P255="Chen 25 D",Atletas!P255="Chen 36 D",Atletas!P255="Chen 56 D"),420,IF(Atletas!P255="Sun 73 D",421,IF(Atletas!P255="Wu 45 D",422,IF(Atletas!P255="Wu-Hao 46 D",423,IF(OR(Atletas!P255="Taijiquan 16 D",Atletas!P255="Taijiquan 24 D",Atletas!P255="Taijiquan 32 D",Atletas!P255="Taijiquan 42 D"),424,IF(OR(Atletas!P255="Yang 26 E",Atletas!P255="Yang 40 E"),425,IF(OR(Atletas!P255="Chen 25 E",Atletas!P255="Chen 36 E",Atletas!P255="Chen 56 E"),426,IF(Atletas!P255="Sun 73 E",427,IF(Atletas!P255="Wu 45 E",428,IF(Atletas!P255="Wu-Hao 46 E",429,IF(OR(Atletas!P255="Taijiquan 16 E",Atletas!P255="Taijiquan 24 E",Atletas!P255="Taijiquan 32 E",Atletas!P255="Taijiquan 42 E"),430,IF(OR(Atletas!P255="Yang 26 F",Atletas!P255="Yang 40 F"),431,IF(OR(Atletas!P255="Chen 25 F",Atletas!P255="Chen 36 F",Atletas!P255="Chen 56 F"),432,IF(Atletas!P255="Sun 73 F",433,IF(Atletas!P255="Wu 45 F",434,IF(Atletas!P255="Wu-Hao 46 F",435,IF(OR(Atletas!P255="Taijiquan 16 F",Atletas!P255="Taijiquan 24 F",Atletas!P255="Taijiquan 32 F",Atletas!P255="Taijiquan 42 F"),436,0)))))))))))))))))))</f>
        <v/>
      </c>
      <c r="BY264" s="50" t="str">
        <f>IF(Atletas!Q255="","",IF(Atletas!X255&lt;&gt;"",10000,0)+IF(Atletas!B255="Feminino",1000,IF(Atletas!B255="Masculino",2000,""))+IF(Atletas!Q255="Xingyiquan A",501,IF(Atletas!Q255="Baguazhang A",502,IF(Atletas!Q255="Outro Estilo Interno A",503,IF(Atletas!Q255="Xingyiquan B",504,IF(Atletas!Q255="Baguazhang B",505,IF(Atletas!Q255="Outro Estilo Interno B",506,IF(Atletas!Q255="Xingyiquan C",507,IF(Atletas!Q255="Baguazhang C",508,IF(Atletas!Q255="Outro Estilo Interno C",509,IF(Atletas!Q255="Xingyiquan D",510,IF(Atletas!Q255="Baguazhang D",511,IF(Atletas!Q255="Outro Estilo Interno D",512,IF(Atletas!Q255="Xingyiquan E",513,IF(Atletas!Q255="Baguazhang E",514,IF(Atletas!Q255="Outro Estilo Interno E",515,IF(Atletas!Q255="Xingyiquan F",516,IF(Atletas!Q255="Baguazhang F",517,IF(Atletas!Q255="Outro Estilo Interno F",518, "")))))))))))))))))))</f>
        <v/>
      </c>
      <c r="BZ264" s="50" t="str">
        <f>IF(Atletas!R255="","",IF(Atletas!X255&lt;&gt;"",10000,0)+IF(Atletas!B255="Feminino",1000,IF(Atletas!B255="Masculino",2000,""))+IF(Atletas!R255="Dao A",601,IF(Atletas!R255="Jian A",602,IF(Atletas!R255="Bishou A",603,IF(Atletas!R255="Shanzi A",604,IF(Atletas!R255="Outra Arma Curta A",605,IF(Atletas!R255="Dao B",606,IF(Atletas!R255="Jian B",607,IF(Atletas!R255="Bishou B",608,IF(Atletas!R255="Shanzi B",609,IF(Atletas!R255="Outra Arma Curta B",610,IF(Atletas!R255="Dao C",611,IF(Atletas!R255="Jian C",612,IF(Atletas!R255="Bishou C",613,IF(Atletas!R255="Shanzi C",614,IF(Atletas!R255="Outra Arma Curta C",615,IF(Atletas!R255="Dao D",616,IF(Atletas!R255="Jian D",617,IF(Atletas!R255="Bishou D",618,IF(Atletas!R255="Shanzi D",619,IF(Atletas!R255="Outra Arma Curta D",620,IF(Atletas!R255="Dao E",621,IF(Atletas!R255="Jian E",622,IF(Atletas!R255="Bishou E",623,IF(Atletas!R255="Shanzi E",624,IF(Atletas!R255="Outra Arma Curta E",625,IF(Atletas!R255="Dao F",626,IF(Atletas!R255="Jian F",627,IF(Atletas!R255="Bishou F",628,IF(Atletas!R255="Shanzi F",629,IF(Atletas!R255="Outra Arma Curta F",630, "")))))))))))))))))))))))))))))))</f>
        <v/>
      </c>
      <c r="CA264" s="50" t="str">
        <f>IF(Atletas!S255="","",IF(Atletas!X255&lt;&gt;"",10000,0)+IF(Atletas!B255="Feminino",1000,IF(Atletas!B255="Masculino",2000,""))+IF(Atletas!S255="Gun A",701,IF(Atletas!S255="Qiang A",702,IF(Atletas!S255="Pudao / Guandao A",703,IF(Atletas!S255="Outra Arma Longa A",704,IF(Atletas!S255="Gun B",705,IF(Atletas!S255="Qiang B",706,IF(Atletas!S255="Pudao / Guandao B",707,IF(Atletas!S255="Outra Arma Longa B",708,IF(Atletas!S255="Gun C",709,IF(Atletas!S255="Qiang C",710,IF(Atletas!S255="Pudao / Guandao C",711,IF(Atletas!S255="Outra Arma Longa C",712,IF(Atletas!S255="Gun D",713,IF(Atletas!S255="Qiang D",714,IF(Atletas!S255="Pudao / Guandao D",715,IF(Atletas!S255="Outra Arma Longa D",716,IF(Atletas!S255="Gun E",717,IF(Atletas!S255="Qiang E",718,IF(Atletas!S255="Pudao / Guandao E",719,IF(Atletas!S255="Outra Arma Longa E",720,IF(Atletas!S255="Gun F",721,IF(Atletas!S255="Qiang F",722,IF(Atletas!S255="Pudao / Guandao F",723,IF(Atletas!S255="Outra Arma Longa F",724,"")))))))))))))))))))))))))</f>
        <v/>
      </c>
      <c r="CB264" s="50" t="str">
        <f>IF(Atletas!T255="","",IF(Atletas!X255&lt;&gt;"",10000,0)+IF(Atletas!B255="Feminino",1000,IF(Atletas!B255="Masculino",2000,""))+IF(Atletas!T255="Outra Arma Dupla A",801,IF(Atletas!T255="Arma Maleável A",802,IF(Atletas!T255="Outra Arma Dupla B",803,IF(Atletas!T255="Arma Maleável B",804,IF(Atletas!T255="Outra Arma Dupla C",805,IF(Atletas!T255="Arma Maleável C",806,IF(Atletas!T255="Outra Arma Dupla D",807,IF(Atletas!T255="Arma Maleável D",808,IF(Atletas!T255="Outra Arma Dupla E",809,IF(Atletas!T255="Arma Maleável E",810,IF(Atletas!T255="Outra Arma Dupla F",811,IF(Atletas!T255="Arma Maleável F",812,IF(Atletas!T255="Shuangdao A",813,IF(Atletas!T255="Shuangdao B",814,IF(Atletas!T255="Shuangdao C",815,IF(Atletas!T255="Shuangdao D",816,IF(Atletas!T255="Shuangdao E",817,IF(Atletas!T255="Shuangdao F",818,"")))))))))))))))))))</f>
        <v/>
      </c>
      <c r="CC264" s="50" t="str">
        <f>IF(Atletas!U255="","",IF(Atletas!X255&lt;&gt;"",10000,0)+IF(Atletas!B255="Feminino",1000,IF(Atletas!B255="Masculino",2000,""))+IF(OR(Atletas!U255="Taijijian Yang A",Atletas!U255="Taijijian Yang Standard A"),901,IF(OR(Atletas!U255="Taijijian Chen A", Atletas!U255="Taijijian Chen Standard A"),902,IF(Atletas!U255="Taijijian Sun A",903,IF(Atletas!U255="Taijijian Wu A",904,IF(Atletas!U255="Taijijian Wu-Hao A",905,IF(OR(Atletas!U255="Taijijian 32 A",Atletas!U255="Taijijian 42 A"),906,IF(OR(Atletas!U255="Taijijian Yang B",Atletas!U255="Taijijian Yang Standard B"),907,IF(OR(Atletas!U255="Taijijian Chen B", Atletas!U255="Taijijian Chen Standard B"),908,IF(Atletas!U255="Taijijian Sun B",909,IF(Atletas!U255="Taijijian Wu B",910,IF(Atletas!U255="Taijijian Wu-Hao B",911,IF(OR(Atletas!U255="Taijijian 32 B",Atletas!U255="Taijijian 42 B"),912,IF(OR(Atletas!U255="Taijijian Yang C",Atletas!U255="Taijijian Yang Standard C"),913,IF(OR(Atletas!U255="Taijijian Chen C", Atletas!U255="Taijijian Chen Standard C"),914,IF(Atletas!U255="Taijijian Sun C",915,IF(Atletas!U255="Taijijian Wu C",916,IF(Atletas!U255="Taijijian Wu-Hao C",917,IF(OR(Atletas!U255="Taijijian 32 C",Atletas!U255="Taijijian 42 C"),918,IF(OR(Atletas!U255="Taijijian Yang D",Atletas!U255="Taijijian Yang Standard D"),919,IF(OR(Atletas!U255="Taijijian Chen D", Atletas!U255="Taijijian Chen Standard D"),920,IF(Atletas!U255="Taijijian Sun D",921,IF(Atletas!U255="Taijijian Wu D",922,IF(Atletas!U255="Taijijian Wu-Hao D",923,IF(OR(Atletas!U255="Taijijian 32 D",Atletas!U255="Taijijian 42 D"),924,IF(OR(Atletas!U255="Taijijian Yang E",Atletas!U255="Taijijian Yang Standard E"),925,IF(OR(Atletas!U255="Taijijian Chen E", Atletas!U255="Taijijian Chen Standard E"),926,IF(Atletas!U255="Taijijian Sun E",927,IF(Atletas!U255="Taijijian Wu E",928,IF(Atletas!U255="Taijijian Wu-Hao E",929,IF(OR(Atletas!U255="Taijijian 32 E",Atletas!U255="Taijijian 42 E"),930,IF(OR(Atletas!U255="Taijijian Yang F",Atletas!U255="Taijijian Yang Standard F"),931,IF(OR(Atletas!U255="Taijijian Chen F", Atletas!U255="Taijijian Chen Standard F"),932,IF(Atletas!U255="Taijijian Sun F",933,IF(Atletas!U255="Taijijian Wu F",934,IF(Atletas!U255="Taijijian Wu-Hao F",935,IF(OR(Atletas!U255="Taijijian 32 F",Atletas!U255="Taijijian 42 F"),936,"")))))))))))))))))))))))))))))))))))))</f>
        <v/>
      </c>
      <c r="CD264" s="50" t="str">
        <f>IF(Atletas!V255="","",IF(Atletas!X255&lt;&gt;"",10000,0)+IF(Atletas!B255="Feminino",1000,IF(Atletas!B255="Masculino",2000,""))+IF(Atletas!V255="Taijidao A",937,IF(Atletas!V255="TaijiShanzi A",938,IF(Atletas!V255="Taijiqiang A",939,IF(Atletas!V255="Bagua de Arma A",940,IF(Atletas!V255="Xingyi de Arma A",941,IF(Atletas!V255="Taijidao B",942,IF(Atletas!V255="TaijiShanzi B",943,IF(Atletas!V255="Taijiqiang B",944,IF(Atletas!V255="Bagua de Arma B",945,IF(Atletas!V255="Xingyi de Arma B",946,IF(Atletas!V255="Taijidao C",947,IF(Atletas!V255="TaijiShanzi C",948,IF(Atletas!V255="Taijiqiang C",949,IF(Atletas!V255="Bagua de Arma C",950,IF(Atletas!V255="Xingyi de Arma C",951,IF(Atletas!V255="Taijidao D",952,IF(Atletas!V255="TaijiShanzi D",953,IF(Atletas!V255="Taijiqiang D",954,IF(Atletas!V255="Bagua de Arma D",955,IF(Atletas!V255="Xingyi de Arma D",956,IF(Atletas!V255="Taijidao E",957,IF(Atletas!V255="TaijiShanzi E",958,IF(Atletas!V255="Taijiqiang E",959,IF(Atletas!V255="Bagua de Arma E",960,IF(Atletas!V255="Xingyi de Arma E",961,IF(Atletas!V255="Taijidao F",962,IF(Atletas!V255="TaijiShanzi F",963,IF(Atletas!V255="Taijiqiang F",964,IF(Atletas!V255="Bagua de Arma F",965,IF(Atletas!V255="Xingyi de Arma F",966,"")))))))))))))))))))))))))))))))</f>
        <v/>
      </c>
      <c r="CE264" s="66" t="str">
        <f>IF(CF264&lt;&gt;"","Qiang B","")</f>
        <v/>
      </c>
      <c r="CF264" s="66" t="str">
        <f>IF(COUNTIF(BR:CD,1706)&gt;0,COUNTIF(BR:CD,1706),"")</f>
        <v/>
      </c>
      <c r="CG264" s="66" t="str">
        <f>IF(CH264&lt;&gt;"","Qiang B","")</f>
        <v/>
      </c>
      <c r="CH264" s="66" t="str">
        <f>IF(COUNTIF(BR:CD,2706)&gt;0,COUNTIF(BR:CD,2706),"")</f>
        <v/>
      </c>
      <c r="CI264" s="66" t="str">
        <f>IF(CJ265&lt;&gt;"","Gun D","")</f>
        <v/>
      </c>
      <c r="CJ264" s="66" t="str">
        <f>IF(COUNTIF(BR:CD,11712)&gt;0,COUNTIF(BR:CD,11712),"")</f>
        <v/>
      </c>
      <c r="CK264" s="66" t="str">
        <f>IF(CL264&lt;&gt;"","Outra Arma Longa C","")</f>
        <v/>
      </c>
      <c r="CL264" s="6" t="str">
        <f>IF(COUNTIF(BR:CD,12712)&gt;0,COUNTIF(BR:CD,12712),"")</f>
        <v/>
      </c>
      <c r="CM264" s="50" t="str">
        <f xml:space="preserve"> IF(Atletas!W255="","",IF(Atletas!W255="Duilian de Mãos BC - Equipe 1",1,IF(Atletas!W255="Duilian de Mãos BC - Equipe 2",2,IF(Atletas!W255="Duilian de Armas BC - Equipe 1",3,IF(Atletas!W255="Duilian de Armas BC - Equipe 2",4,IF(Atletas!W255="Duilian de Mãos DE - Equipe 1",5,IF(Atletas!W255="Duilian de Mãos DE - Equipe 2",6,IF(Atletas!W255="Duilian de Armas DE - Equipe 1",7,IF(Atletas!W255="Duilian de Armas DE - Equipe 2",8,IF(Atletas!W255="Duilian de Tuishou - Equipe 1",9,IF(Atletas!W255="Duilian de Tuishou - Equipe 2",10,IF(Atletas!W255="Grupo Externo ABC - Equipe 1",11,IF(Atletas!W255="Grupo Externo ABC - Equipe 2",12,IF(Atletas!W255="Grupo Interno ABC - Equipe 1",13,IF(Atletas!W255="Grupo Interno ABC - Equipe 2",14,IF(Atletas!W255="Grupo Externo DEF - Equipe 1",15,IF(Atletas!W255="Grupo Externo DEF - Equipe 2",16,IF(Atletas!W255="Grupo Interno DEF - Equipe 1",17,IF(Atletas!W255="Grupo Interno DEF - Equipe 2",18,"")))))))))))))))))))</f>
        <v/>
      </c>
    </row>
    <row r="265" spans="2:91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 t="str">
        <f t="array" ref="Z265">IFERROR(INDEX(CE$7:CE$348,SMALL(IF(CE$7:CE$348&lt;&gt;"",ROW(CE$7:CE$348)-ROW(CE$7)+1),ROWS(CE$7:CE264))),"")</f>
        <v/>
      </c>
      <c r="AA265" s="3" t="str">
        <f t="array" ref="AA265">IFERROR(INDEX(CF$7:CF$348,SMALL(IF(CF$7:CF$348&lt;&gt;"",ROW(CF$7:CF$348)-ROW(CF$7)+1),ROWS(CF$7:CF264))),"")</f>
        <v/>
      </c>
      <c r="AB265" s="3" t="str">
        <f t="array" ref="AB265">IFERROR(INDEX(CG$7:CG$348,SMALL(IF(CG$7:CG$348&lt;&gt;"",ROW(CG$7:CG$348)-ROW(CG$7)+1),ROWS(CG$7:CG264))),"")</f>
        <v/>
      </c>
      <c r="AC265" s="3" t="str">
        <f t="array" ref="AC265">IFERROR(INDEX(CH$7:CH$348,SMALL(IF(CH$7:CH$348&lt;&gt;"",ROW(CH$7:CH$348)-ROW(CH$7)+1),ROWS(CH$7:CH264))),"")</f>
        <v/>
      </c>
      <c r="AD265" s="3" t="str">
        <f t="array" ref="AD265">IFERROR(INDEX(CI$7:CI$377,SMALL(IF(CI$7:CI$377&lt;&gt;"",ROW(CI$7:CI$377)-ROW(CI$7)+1),ROWS(CI$7:CI263))),"")</f>
        <v/>
      </c>
      <c r="AE265" s="3" t="str">
        <f t="array" ref="AE265">IFERROR(INDEX(CJ$7:CJ$378,SMALL(IF(CJ$7:CJ$378&lt;&gt;"",ROW(CJ$7:CJ$378)-ROW(CJ$7)+1),ROWS(CJ$7:CJ264))),"")</f>
        <v/>
      </c>
      <c r="AF265" s="3" t="str">
        <f t="array" ref="AF265">IFERROR(INDEX(CK$7:CK$378,SMALL(IF(CK$7:CK$378&lt;&gt;"",ROW(CK$7:CK$378)-ROW(CK$7)+1),ROWS(CK$7:CK264))),"")</f>
        <v/>
      </c>
      <c r="AG265" s="3" t="str">
        <f t="array" ref="AG265">IFERROR(INDEX(CL$7:CL$378,SMALL(IF(CL$7:CL$378&lt;&gt;"",ROW(CL$7:CL$378)-ROW(CL$7)+1),ROWS(CL$7:CL264))),"")</f>
        <v/>
      </c>
      <c r="AH265" s="3"/>
      <c r="AI265" s="3"/>
      <c r="AJ265" s="3"/>
      <c r="AK265" s="3"/>
      <c r="AL265" s="3"/>
      <c r="AM265" s="3"/>
      <c r="AN265" s="52" t="str">
        <f>IF(Atletas!D256="","",IF(Atletas!B256="Feminino",100,IF(Atletas!B256="Masculino",200,""))+(IF(Atletas!D256="Kids 30kg",1,IF(Atletas!D256="Kids 32kg",2, IF(Atletas!D256="Kids 34kg",3,IF(Atletas!D256="Kids 36kg",4,IF(Atletas!D256="Kids 39kg",5,IF(Atletas!D256="Kids 42kg",6,IF(Atletas!D256="Kids 45kg",7, IF(Atletas!D256="Infantil 39kg",8,IF(Atletas!D256="Infantil 42kg",9,IF(Atletas!D256="Infantil 45kg",10,IF(Atletas!D256="Infantil 48kg",11,IF(Atletas!D256="Infantil 52kg",12,IF(Atletas!D256="Infantil 56kg",13,IF(Atletas!D256="Infantil 60kg",14,IF(Atletas!D256="Juvenil 48kg",15,IF(Atletas!D256="Juvenil 52kg",16,IF(Atletas!D256="Juvenil 56kg",17,IF(Atletas!D256="Juvenil 60kg",18,IF(Atletas!D256="Juvenil 65kg",19,IF(Atletas!D256="Juvenil 70kg",20,IF(Atletas!D256="Juvenil 75kg",21,IF(Atletas!D256="Juvenil 80kg",22, IF(Atletas!D256="Juvenil 85kg",23,IF(Atletas!D256="Adulto 48kg",24,IF(Atletas!D256="Adulto 52kg",25,IF(Atletas!D256="Adulto 56kg",26,IF(Atletas!D256="Adulto 60kg",27,IF(Atletas!D256="Adulto 65kg",28,IF(Atletas!D256="Adulto 70kg",29,IF(Atletas!D256="Adulto 75kg",30,IF(Atletas!D256="Adulto 80kg",31,IF(Atletas!D256="Adulto 85kg",32,IF(Atletas!D256="Adulto 90kg",33,IF(Atletas!D256="Adulto 100kg",34, IF(Atletas!D256="Adulto +100kg",35,"")))))))))))))))))))))))))))))))))))))</f>
        <v/>
      </c>
      <c r="AS265" s="6" t="str">
        <f>IF(Atletas!E256="","",IF(Atletas!B256="Feminino",100,IF(Atletas!B256="Masculino",200,""))+(IF(Atletas!E256="Juvenil 44kg",1,IF(Atletas!E256="Juvenil 48kg",2,IF(Atletas!E256="Juvenil 52kg",3,IF(Atletas!E256="Juvenil 56kg",4,IF(Atletas!E256="Juvenil 60kg",5,IF(Atletas!E256="Juvenil 65kg",6,IF(Atletas!E256="Juvenil 70kg",7,IF(Atletas!E256="Juvenil 75kg",8,IF(Atletas!E256="Juvenil 82kg",9,IF(Atletas!E256="Juvenil 90kg",10,IF(Atletas!E256="Juvenil 100kg",11,IF(Atletas!E256="Adulto 48kg",12,IF(Atletas!E256="Adulto 52kg",13,IF(Atletas!E256="Adulto 56kg",14,IF(Atletas!E256="Adulto 60kg",15,IF(Atletas!E256="Adulto 65kg",16,IF(Atletas!E256="Adulto 70kg",17,IF(Atletas!E256="Adulto 75kg",18,IF(Atletas!E256="Adulto 82kg",19,IF(Atletas!E256="Adulto 90kg",20,IF(Atletas!E256="Adulto 100kg",21,IF(Atletas!E256="Adulto +100kg",22,""))))))))))))))))))))))))</f>
        <v/>
      </c>
      <c r="AX265" s="6" t="str">
        <f>IF(Atletas!F256="","",IF(Atletas!B256="Feminino",100,IF(Atletas!B256="Masculino",200,""))+(IF(Atletas!F256="Adulto 48kg",1,IF(Atletas!F256="Adulto 56kg",2,IF(Atletas!F256="Adulto 65kg",3,IF(Atletas!F256="Adulto 75kg",4,IF(Atletas!F256="Adulto +75kg",5,IF(Atletas!F256="Adulto 52kg",6,IF(Atletas!F256="Adulto 60kg",7,IF(Atletas!F256="Adulto 70kg",8,IF(Atletas!F256="Adulto 80kg",9,IF(Atletas!F256="Adulto 90kg",10,IF(Atletas!F256="Adulto +90kg",11,"")))))))))))))</f>
        <v/>
      </c>
      <c r="BC265" s="6" t="str">
        <f>IF(Atletas!G256="","",IF(Atletas!B256="Feminino",10,IF(Atletas!B256="Masculino",20,""))+(IF(Atletas!G256="Baduanjin A",1,IF(Atletas!G256="Baduanjin B",2))))</f>
        <v/>
      </c>
      <c r="BF265" s="52" t="str">
        <f>IF(Atletas!H256="","",IF(Atletas!B256="Feminino",100,IF(Atletas!B256="Masculino",200,""))+(IF(Atletas!H256="Changquan Mirim",1,IF(Atletas!H256="Nanquan Mirim",2,IF(Atletas!H256="Taijiquan Mirim",3,IF(Atletas!H256="Changquan Grupo C",4,IF(Atletas!H256="Nanquan Grupo C",5,IF(Atletas!H256="Taijiquan Grupo C",6,IF(Atletas!H256="Changquan Grupo B",7,IF(Atletas!H256="Nanquan Grupo B",8,IF(Atletas!H256="Taijiquan Grupo B",9,IF(Atletas!H256="Changquan Grupo A",10,IF(Atletas!H256="Nanquan Grupo A",11,IF(Atletas!H256="Taijiquan Grupo A",12,IF(Atletas!H256="Changquan Opcional",13,IF(Atletas!H256="Nanquan Opcional",14,IF(Atletas!H256="Taijiquan Opcional",15,IF(Atletas!H256="Changquan Adulto",16,IF(Atletas!H256="Nanquan Adulto",17,IF(Atletas!H256="Taijiquan Adulto",18,""))))))))))))))))))))</f>
        <v/>
      </c>
      <c r="BG265" s="52" t="str">
        <f>IF(Atletas!I256="","",IF(Atletas!B256="Feminino",100,IF(Atletas!B256="Masculino",200,""))+(IF(Atletas!I256="Daoshu Mirim",19,IF(Atletas!I256="Jianshu Mirim",20,IF(Atletas!I256="Nandao Mirim",21,IF(Atletas!I256="Taijijian Mirim",22,IF(Atletas!I256="Daoshu Grupo C",23,IF(Atletas!I256="Jianshu Grupo C",24,IF(Atletas!I256="Nandao Grupo C",25,IF(Atletas!I256="Taijijian Grupo C",26,IF(Atletas!I256="Daoshu Grupo B",27,IF(Atletas!I256="Jianshu Grupo B",28,IF(Atletas!I256="Nandao Grupo B",29,IF(Atletas!I256="Taijijian Grupo B",30,IF(Atletas!I256="Daoshu Grupo A",31,IF(Atletas!I256="Jianshu Grupo A",32,IF(Atletas!I256="Nandao Grupo A",33,IF(Atletas!I256="Taijijian Grupo A",34,IF(Atletas!I256="Daoshu Opcional",35,IF(Atletas!I256="Jianshu Opcional",36,IF(Atletas!I256="Nandao Opcional",37,IF(Atletas!I256="Taijijian Opcional",38,IF(Atletas!I256="Daoshu Adulto",39,IF(Atletas!I256="Jianshu Adulto",40,IF(Atletas!I256="Nandao Adulto",41,IF(Atletas!I256="Taijijian Adulto",42,""))))))))))))))))))))))))))</f>
        <v/>
      </c>
      <c r="BH265" s="52" t="str">
        <f>IF(Atletas!J256="","",IF(Atletas!B256="Feminino",100,IF(Atletas!B256="Masculino",200,""))+(IF(Atletas!J256="Gunshu Mirim",43,IF(Atletas!J256="Qiangshu Mirim",44,IF(Atletas!J256="Nangun Mirim",45,IF(Atletas!J256="Gunshu Grupo C",46,IF(Atletas!J256="Qiangshu Grupo C",47,IF(Atletas!J256="Nangun Grupo C",48,IF(Atletas!J256="Gunshu Grupo B",49,IF(Atletas!J256="Qiangshu Grupo B",50,IF(Atletas!J256="Nangun Grupo B",51,IF(Atletas!J256="Gunshu Grupo A",52,IF(Atletas!J256="Qiangshu Grupo A",53,IF(Atletas!J256="Nangun Grupo A",54,IF(Atletas!J256="Gunshu Opcional",55,IF(Atletas!J256="Qiangshu Opcional",56,IF(Atletas!J256="Nangun Opcional",57,IF(Atletas!J256="Gunshu Adulto",58,IF(Atletas!J256="Qiangshu Adulto",59,IF(Atletas!J256="Nangun Adulto",60,IF(Atletas!J256="Taijishan Grupo B",61,IF(Atletas!J256="Taijishan Grupo A",62,""))))))))))))))))))))))</f>
        <v/>
      </c>
      <c r="BM265" s="50" t="str">
        <f>IF(Atletas!K256="","",IF(Atletas!B256="Feminino",100,IF(Atletas!B256="Masculino",200,""))+(IF(Atletas!K256="Equipe 1 Grupo B",1,IF(Atletas!K256="Equipe 2 Grupo B",2,IF(Atletas!K256="Equipe 1 Grupo A",3,IF(Atletas!K256="Equipe 2 Grupo A",4,IF(Atletas!K256="Equipe 1 Adulto",5,IF(Atletas!K256="Equipe 2 Adulto",6,""))))))))</f>
        <v/>
      </c>
      <c r="BR265" s="50" t="str">
        <f>IF(Atletas!L256="","",IF(Atletas!X256&lt;&gt;"",10000,0)+(IF(Atletas!B256="Feminino",1000,IF(Atletas!B256="Masculino",2000,""))+IF(Atletas!L256="Choylayfut A",1,IF(Atletas!L256="Hunggar A",2,IF(Atletas!L256="Wuzuquan A",3,IF(Atletas!L256="Wingchun A",4,IF(Atletas!L256="Outra Mão de Sul A",5,IF(Atletas!L256="Choylayfut B",6,IF(Atletas!L256="Hunggar B",7,IF(Atletas!L256="Wuzuquan B",8,IF(Atletas!L256="Wingchun B",9,IF(Atletas!L256="Outra Mão de Sul B",10,IF(Atletas!L256="Choylayfut C",11,IF(Atletas!L256="Hunggar C",12,IF(Atletas!L256="Wuzuquan C",13,IF(Atletas!L256="Wingchun C",14,IF(Atletas!L256="Outra Mão de Sul C",15,IF(Atletas!L256="Choylayfut D",16,IF(Atletas!L256="Hunggar D",17,IF(Atletas!L256="Wuzuquan D",18,IF(Atletas!L256="Wingchun D",19,IF(Atletas!L256="Outra Mão de Sul D",20,IF(Atletas!L256="Choylayfut E",21,IF(Atletas!L256="Hunggar E",22,IF(Atletas!L256="Wuzuquan E",23,IF(Atletas!L256="Wingchun E",24,IF(Atletas!L256="Outra Mão de Sul E",25,IF(Atletas!L256="Choylayfut F",26,IF(Atletas!L256="Hunggar F",27,IF(Atletas!L256="Wuzuquan F",28,IF(Atletas!L256="Wingchun F",29,IF(Atletas!L256="Outra Mão de Sul F",30,IF(Atletas!L256="Dishuquan A",31,IF(Atletas!L256="Dishuquan B",32,IF(Atletas!L256="Dishuquan C",33,IF(Atletas!L256="Dishuquan D",34,IF(Atletas!L256="Dishuquan E",35,IF(Atletas!L256="Dishuquan F",36,""))))))))))))))))))))))))))))))))))))))</f>
        <v/>
      </c>
      <c r="BS265" s="50" t="str">
        <f>IF(Atletas!M256="","",IF(Atletas!X256&lt;&gt;"",10000,0)+(IF(Atletas!B256="Feminino",1000,IF(Atletas!B256="Masculino",2000,""))+(IF(Atletas!M256="Chaquan A",101,IF(Atletas!M256="Emeiquan A",102,IF(Atletas!M256="Fanziquan A",103,IF(Atletas!M256="Huaquan A",104,IF(Atletas!M256="Hongquan A",105,IF(Atletas!M256="Paoquan A",106,IF(Atletas!M256="Piguaquan A",107,IF(Atletas!M256="Shaolinquan A",108,IF(Atletas!M256="Tanglangquan A",109,IF(Atletas!M256="Yingzhaoquan A",110,IF(Atletas!M256="Tongbeiquan A",111,IF(Atletas!M256="Wudangquan A",112,IF(Atletas!M256="Outros Estilos A",113,IF(Atletas!M256="Chaquan B",114,IF(Atletas!M256="Emeiquan B",115,IF(Atletas!M256="Fanziquan B",116,IF(Atletas!M256="Huaquan B",117,IF(Atletas!M256="Hongquan B",118,IF(Atletas!M256="Paoquan B",119,IF(Atletas!M256="Piguaquan B",120,IF(Atletas!M256="Shaolinquan B",121,IF(Atletas!M256="Tanglangquan B",122,IF(Atletas!M256="Yingzhaoquan B",123,IF(Atletas!M256="Tongbeiquan B",124,IF(Atletas!M256="Wudangquan B",125,IF(Atletas!M256="Outros Estilos B",126,IF(Atletas!M256="Chaquan C",127,IF(Atletas!M256="Emeiquan C",128,IF(Atletas!M256="Fanziquan C",129,IF(Atletas!M256="Huaquan C",130,IF(Atletas!M256="Hongquan C",131,IF(Atletas!M256="Paoquan C",132,IF(Atletas!M256="Piguaquan C",133,IF(Atletas!M256="Shaolinquan C",134,IF(Atletas!M256="Tanglangquan C",135,IF(Atletas!M256="Yingzhaoquan C",136,IF(Atletas!M256="Tongbeiquan C",137,IF(Atletas!M256="Wudangquan C",138,IF(Atletas!M256="Outros Estilos C",139,0))))))))))))))))))))))))))))))))))))))))))</f>
        <v/>
      </c>
      <c r="BT265" s="50" t="str">
        <f>IF(Atletas!M256="","",IF(Atletas!X256&lt;&gt;"",10000,0)+(IF(Atletas!B256="Feminino",1000,IF(Atletas!B256="Masculino",2000,""))+(IF(Atletas!M256="Chaquan D",140,IF(Atletas!M256="Emeiquan D",141,IF(Atletas!M256="Fanziquan D",142,IF(Atletas!M256="Huaquan D",143,IF(Atletas!M256="Hongquan D",144,IF(Atletas!M256="Paoquan D",145,IF(Atletas!M256="Piguaquan D",146,IF(Atletas!M256="Shaolinquan D",147,IF(Atletas!M256="Tanglangquan D",148,IF(Atletas!M256="Yingzhaoquan D",149,IF(Atletas!M256="Tongbeiquan D",150,IF(Atletas!M256="Wudangquan D",151,IF(Atletas!M256="Outros Estilos D",152,IF(Atletas!M256="Chaquan E",153,IF(Atletas!M256="Emeiquan E",154,IF(Atletas!M256="Fanziquan E",155,IF(Atletas!M256="Huaquan E",156,IF(Atletas!M256="Hongquan E",157,IF(Atletas!M256="Paoquan E",158,IF(Atletas!M256="Piguaquan E",159,IF(Atletas!M256="Shaolinquan E",160,IF(Atletas!M256="Tanglangquan E",161,IF(Atletas!M256="Yingzhaoquan E",162,IF(Atletas!M256="Tongbeiquan E",163,IF(Atletas!M256="Wudangquan E",164,IF(Atletas!M256="Outros Estilos E",165,IF(Atletas!M256="Chaquan F",166,IF(Atletas!M256="Emeiquan F",167,IF(Atletas!M256="Fanziquan F",168,IF(Atletas!M256="Huaquan F",169,IF(Atletas!M256="Hongquan F",170,IF(Atletas!M256="Paoquan F",171,IF(Atletas!M256="Piguaquan F",172,IF(Atletas!M256="Shaolinquan F",173,IF(Atletas!M256="Tanglangquan F",174,IF(Atletas!M256="Yingzhaoquan F",175,IF(Atletas!M256="Tongbeiquan F",176,IF(Atletas!M256="Wudangquan F",177,IF(Atletas!M256="Outros Estilos F",178,0))))))))))))))))))))))))))))))))))))))))))</f>
        <v/>
      </c>
      <c r="BU265" s="50" t="str">
        <f>IF(Atletas!N256="","",IF(Atletas!X256&lt;&gt;"",10000,0)+(IF(Atletas!B256="Feminino",1000,IF(Atletas!B256="Masculino",2000,""))+(IF(Atletas!N256="Ditangquan A",201,IF(Atletas!N256="Houquan A",202,IF(Atletas!N256="Zuiquan A",203,IF(Atletas!N256="Ditangquan B",204,IF(Atletas!N256="Houquan B",205,IF(Atletas!N256="Zuiquan B",206,IF(Atletas!N256="Ditangquan C",207,IF(Atletas!N256="Houquan C",208,IF(Atletas!N256="Zuiquan C",209,IF(Atletas!N256="Ditangquan D",210,IF(Atletas!N256="Houquan D",211,IF(Atletas!N256="Zuiquan D",212,IF(Atletas!N256="Ditangquan E",213,IF(Atletas!N256="Houquan E",214,IF(Atletas!N256="Zuiquan E",215,IF(Atletas!N256="Ditangquan F",216,IF(Atletas!N256="Houquan F",217,IF(Atletas!N256="Zuiquan F",218,"")))))))))))))))))))))</f>
        <v/>
      </c>
      <c r="BV265" s="50" t="str">
        <f>IF(Atletas!O256="","",IF(Atletas!X256&lt;&gt;"",10000,0)+IF(Atletas!B256="Feminino",1000,IF(Atletas!B256="Masculino",2000,""))+IF(Atletas!O256="Yang A",301,IF(Atletas!O256="Chen A",302,IF(Atletas!O256="Sun A",303,IF(Atletas!O256="Wu A",304,IF(Atletas!O256="Wu-Hao A",305,IF(Atletas!O256="Outro Taijiquan A",306,IF(Atletas!O256="Yang B",307,IF(Atletas!O256="Chen B",308,IF(Atletas!O256="Sun B",309,IF(Atletas!O256="Wu B",310,IF(Atletas!O256="Wu-Hao B",311,IF(Atletas!O256="Outro Taijiquan B",312,IF(Atletas!O256="Yang C",313,IF(Atletas!O256="Chen C",314,IF(Atletas!O256="Sun C",315,IF(Atletas!O256="Wu C",316,IF(Atletas!O256="Wu-Hao C",317,IF(Atletas!O256="Outro Taijiquan C",318,IF(Atletas!O256="Yang D",319,IF(Atletas!O256="Chen D",320,IF(Atletas!O256="Sun D",321,IF(Atletas!O256="Wu D",322,IF(Atletas!O256="Wu-Hao D",323,IF(Atletas!O256="Outro Taijiquan D",324,IF(Atletas!O256="Yang E",325,IF(Atletas!O256="Chen E",326,IF(Atletas!O256="Sun E",327,IF(Atletas!O256="Wu E",328,IF(Atletas!O256="Wu-Hao E",329,IF(Atletas!O256="Outro Taijiquan E",330,IF(Atletas!O256="Yang F",331,IF(Atletas!O256="Chen F",332,IF(Atletas!O256="Sun F",333,IF(Atletas!O256="Wu F",334,IF(Atletas!O256="Wu-Hao F",335,IF(Atletas!O256="Outro Taijiquan F",336,"")))))))))))))))))))))))))))))))))))))</f>
        <v/>
      </c>
      <c r="BW265" s="50" t="str">
        <f>IF(Atletas!P256="","",IF(Atletas!X256&lt;&gt;"",10000,0)+IF(Atletas!B256="Feminino",1000,IF(Atletas!B256="Masculino",2000,""))+IF(OR(Atletas!P256="Yang 26 A",Atletas!P256="Yang 40 A"),401,IF(OR(Atletas!P256="Chen 25 A",Atletas!P256="Chen 36 A",Atletas!P256="Chen 56 A"),402,IF(Atletas!P256="Sun 73 A",403,IF(Atletas!P256="Wu 45 A",404,IF(Atletas!P256="Wu-Hao 46 A",405,IF(OR(Atletas!P256="Taijiquan 16 A",Atletas!P256="Taijiquan 24 A",Atletas!P256="Taijiquan 32 A",Atletas!P256="Taijiquan 42 A"),406,IF(OR(Atletas!P256="Yang 26 B",Atletas!P256="Yang 40 B"),407,IF(OR(Atletas!P256="Chen 25 B",Atletas!P256="Chen 36 B",Atletas!P256="Chen 56 B"),408,IF(Atletas!P256="Sun 73 B",409,IF(Atletas!P256="Wu 45 B",410,IF(Atletas!P256="Wu-Hao 46 B",411,IF(OR(Atletas!P256="Taijiquan 16 B",Atletas!P256="Taijiquan 24 B",Atletas!P256="Taijiquan 32 B",Atletas!P256="Taijiquan 42 B"),412,IF(OR(Atletas!P256="Yang 26 C",Atletas!P256="Yang 40 C"),413,IF(OR(Atletas!P256="Chen 25 C",Atletas!P256="Chen 36 C",Atletas!P256="Chen 56 C"),414,IF(Atletas!P256="Sun 73 C",415,IF(Atletas!P256="Wu 45 C",416,IF(Atletas!P256="Wu-Hao 46 C",417,IF(OR(Atletas!P256="Taijiquan 16 C",Atletas!P256="Taijiquan 24 C",Atletas!P256="Taijiquan 32 C",Atletas!P256="Taijiquan 42 C"),418,0)))))))))))))))))))</f>
        <v/>
      </c>
      <c r="BX265" s="50" t="str">
        <f>IF(Atletas!P256="","",IF(Atletas!X256&lt;&gt;"",10000,0)+IF(Atletas!B256="Feminino",1000,IF(Atletas!B256="Masculino",2000,""))+IF(OR(Atletas!P256="Yang 26 D",Atletas!P256="Yang 40 D"),419,IF(OR(Atletas!P256="Chen 25 D",Atletas!P256="Chen 36 D",Atletas!P256="Chen 56 D"),420,IF(Atletas!P256="Sun 73 D",421,IF(Atletas!P256="Wu 45 D",422,IF(Atletas!P256="Wu-Hao 46 D",423,IF(OR(Atletas!P256="Taijiquan 16 D",Atletas!P256="Taijiquan 24 D",Atletas!P256="Taijiquan 32 D",Atletas!P256="Taijiquan 42 D"),424,IF(OR(Atletas!P256="Yang 26 E",Atletas!P256="Yang 40 E"),425,IF(OR(Atletas!P256="Chen 25 E",Atletas!P256="Chen 36 E",Atletas!P256="Chen 56 E"),426,IF(Atletas!P256="Sun 73 E",427,IF(Atletas!P256="Wu 45 E",428,IF(Atletas!P256="Wu-Hao 46 E",429,IF(OR(Atletas!P256="Taijiquan 16 E",Atletas!P256="Taijiquan 24 E",Atletas!P256="Taijiquan 32 E",Atletas!P256="Taijiquan 42 E"),430,IF(OR(Atletas!P256="Yang 26 F",Atletas!P256="Yang 40 F"),431,IF(OR(Atletas!P256="Chen 25 F",Atletas!P256="Chen 36 F",Atletas!P256="Chen 56 F"),432,IF(Atletas!P256="Sun 73 F",433,IF(Atletas!P256="Wu 45 F",434,IF(Atletas!P256="Wu-Hao 46 F",435,IF(OR(Atletas!P256="Taijiquan 16 F",Atletas!P256="Taijiquan 24 F",Atletas!P256="Taijiquan 32 F",Atletas!P256="Taijiquan 42 F"),436,0)))))))))))))))))))</f>
        <v/>
      </c>
      <c r="BY265" s="50" t="str">
        <f>IF(Atletas!Q256="","",IF(Atletas!X256&lt;&gt;"",10000,0)+IF(Atletas!B256="Feminino",1000,IF(Atletas!B256="Masculino",2000,""))+IF(Atletas!Q256="Xingyiquan A",501,IF(Atletas!Q256="Baguazhang A",502,IF(Atletas!Q256="Outro Estilo Interno A",503,IF(Atletas!Q256="Xingyiquan B",504,IF(Atletas!Q256="Baguazhang B",505,IF(Atletas!Q256="Outro Estilo Interno B",506,IF(Atletas!Q256="Xingyiquan C",507,IF(Atletas!Q256="Baguazhang C",508,IF(Atletas!Q256="Outro Estilo Interno C",509,IF(Atletas!Q256="Xingyiquan D",510,IF(Atletas!Q256="Baguazhang D",511,IF(Atletas!Q256="Outro Estilo Interno D",512,IF(Atletas!Q256="Xingyiquan E",513,IF(Atletas!Q256="Baguazhang E",514,IF(Atletas!Q256="Outro Estilo Interno E",515,IF(Atletas!Q256="Xingyiquan F",516,IF(Atletas!Q256="Baguazhang F",517,IF(Atletas!Q256="Outro Estilo Interno F",518, "")))))))))))))))))))</f>
        <v/>
      </c>
      <c r="BZ265" s="50" t="str">
        <f>IF(Atletas!R256="","",IF(Atletas!X256&lt;&gt;"",10000,0)+IF(Atletas!B256="Feminino",1000,IF(Atletas!B256="Masculino",2000,""))+IF(Atletas!R256="Dao A",601,IF(Atletas!R256="Jian A",602,IF(Atletas!R256="Bishou A",603,IF(Atletas!R256="Shanzi A",604,IF(Atletas!R256="Outra Arma Curta A",605,IF(Atletas!R256="Dao B",606,IF(Atletas!R256="Jian B",607,IF(Atletas!R256="Bishou B",608,IF(Atletas!R256="Shanzi B",609,IF(Atletas!R256="Outra Arma Curta B",610,IF(Atletas!R256="Dao C",611,IF(Atletas!R256="Jian C",612,IF(Atletas!R256="Bishou C",613,IF(Atletas!R256="Shanzi C",614,IF(Atletas!R256="Outra Arma Curta C",615,IF(Atletas!R256="Dao D",616,IF(Atletas!R256="Jian D",617,IF(Atletas!R256="Bishou D",618,IF(Atletas!R256="Shanzi D",619,IF(Atletas!R256="Outra Arma Curta D",620,IF(Atletas!R256="Dao E",621,IF(Atletas!R256="Jian E",622,IF(Atletas!R256="Bishou E",623,IF(Atletas!R256="Shanzi E",624,IF(Atletas!R256="Outra Arma Curta E",625,IF(Atletas!R256="Dao F",626,IF(Atletas!R256="Jian F",627,IF(Atletas!R256="Bishou F",628,IF(Atletas!R256="Shanzi F",629,IF(Atletas!R256="Outra Arma Curta F",630, "")))))))))))))))))))))))))))))))</f>
        <v/>
      </c>
      <c r="CA265" s="50" t="str">
        <f>IF(Atletas!S256="","",IF(Atletas!X256&lt;&gt;"",10000,0)+IF(Atletas!B256="Feminino",1000,IF(Atletas!B256="Masculino",2000,""))+IF(Atletas!S256="Gun A",701,IF(Atletas!S256="Qiang A",702,IF(Atletas!S256="Pudao / Guandao A",703,IF(Atletas!S256="Outra Arma Longa A",704,IF(Atletas!S256="Gun B",705,IF(Atletas!S256="Qiang B",706,IF(Atletas!S256="Pudao / Guandao B",707,IF(Atletas!S256="Outra Arma Longa B",708,IF(Atletas!S256="Gun C",709,IF(Atletas!S256="Qiang C",710,IF(Atletas!S256="Pudao / Guandao C",711,IF(Atletas!S256="Outra Arma Longa C",712,IF(Atletas!S256="Gun D",713,IF(Atletas!S256="Qiang D",714,IF(Atletas!S256="Pudao / Guandao D",715,IF(Atletas!S256="Outra Arma Longa D",716,IF(Atletas!S256="Gun E",717,IF(Atletas!S256="Qiang E",718,IF(Atletas!S256="Pudao / Guandao E",719,IF(Atletas!S256="Outra Arma Longa E",720,IF(Atletas!S256="Gun F",721,IF(Atletas!S256="Qiang F",722,IF(Atletas!S256="Pudao / Guandao F",723,IF(Atletas!S256="Outra Arma Longa F",724,"")))))))))))))))))))))))))</f>
        <v/>
      </c>
      <c r="CB265" s="50" t="str">
        <f>IF(Atletas!T256="","",IF(Atletas!X256&lt;&gt;"",10000,0)+IF(Atletas!B256="Feminino",1000,IF(Atletas!B256="Masculino",2000,""))+IF(Atletas!T256="Outra Arma Dupla A",801,IF(Atletas!T256="Arma Maleável A",802,IF(Atletas!T256="Outra Arma Dupla B",803,IF(Atletas!T256="Arma Maleável B",804,IF(Atletas!T256="Outra Arma Dupla C",805,IF(Atletas!T256="Arma Maleável C",806,IF(Atletas!T256="Outra Arma Dupla D",807,IF(Atletas!T256="Arma Maleável D",808,IF(Atletas!T256="Outra Arma Dupla E",809,IF(Atletas!T256="Arma Maleável E",810,IF(Atletas!T256="Outra Arma Dupla F",811,IF(Atletas!T256="Arma Maleável F",812,IF(Atletas!T256="Shuangdao A",813,IF(Atletas!T256="Shuangdao B",814,IF(Atletas!T256="Shuangdao C",815,IF(Atletas!T256="Shuangdao D",816,IF(Atletas!T256="Shuangdao E",817,IF(Atletas!T256="Shuangdao F",818,"")))))))))))))))))))</f>
        <v/>
      </c>
      <c r="CC265" s="50" t="str">
        <f>IF(Atletas!U256="","",IF(Atletas!X256&lt;&gt;"",10000,0)+IF(Atletas!B256="Feminino",1000,IF(Atletas!B256="Masculino",2000,""))+IF(OR(Atletas!U256="Taijijian Yang A",Atletas!U256="Taijijian Yang Standard A"),901,IF(OR(Atletas!U256="Taijijian Chen A", Atletas!U256="Taijijian Chen Standard A"),902,IF(Atletas!U256="Taijijian Sun A",903,IF(Atletas!U256="Taijijian Wu A",904,IF(Atletas!U256="Taijijian Wu-Hao A",905,IF(OR(Atletas!U256="Taijijian 32 A",Atletas!U256="Taijijian 42 A"),906,IF(OR(Atletas!U256="Taijijian Yang B",Atletas!U256="Taijijian Yang Standard B"),907,IF(OR(Atletas!U256="Taijijian Chen B", Atletas!U256="Taijijian Chen Standard B"),908,IF(Atletas!U256="Taijijian Sun B",909,IF(Atletas!U256="Taijijian Wu B",910,IF(Atletas!U256="Taijijian Wu-Hao B",911,IF(OR(Atletas!U256="Taijijian 32 B",Atletas!U256="Taijijian 42 B"),912,IF(OR(Atletas!U256="Taijijian Yang C",Atletas!U256="Taijijian Yang Standard C"),913,IF(OR(Atletas!U256="Taijijian Chen C", Atletas!U256="Taijijian Chen Standard C"),914,IF(Atletas!U256="Taijijian Sun C",915,IF(Atletas!U256="Taijijian Wu C",916,IF(Atletas!U256="Taijijian Wu-Hao C",917,IF(OR(Atletas!U256="Taijijian 32 C",Atletas!U256="Taijijian 42 C"),918,IF(OR(Atletas!U256="Taijijian Yang D",Atletas!U256="Taijijian Yang Standard D"),919,IF(OR(Atletas!U256="Taijijian Chen D", Atletas!U256="Taijijian Chen Standard D"),920,IF(Atletas!U256="Taijijian Sun D",921,IF(Atletas!U256="Taijijian Wu D",922,IF(Atletas!U256="Taijijian Wu-Hao D",923,IF(OR(Atletas!U256="Taijijian 32 D",Atletas!U256="Taijijian 42 D"),924,IF(OR(Atletas!U256="Taijijian Yang E",Atletas!U256="Taijijian Yang Standard E"),925,IF(OR(Atletas!U256="Taijijian Chen E", Atletas!U256="Taijijian Chen Standard E"),926,IF(Atletas!U256="Taijijian Sun E",927,IF(Atletas!U256="Taijijian Wu E",928,IF(Atletas!U256="Taijijian Wu-Hao E",929,IF(OR(Atletas!U256="Taijijian 32 E",Atletas!U256="Taijijian 42 E"),930,IF(OR(Atletas!U256="Taijijian Yang F",Atletas!U256="Taijijian Yang Standard F"),931,IF(OR(Atletas!U256="Taijijian Chen F", Atletas!U256="Taijijian Chen Standard F"),932,IF(Atletas!U256="Taijijian Sun F",933,IF(Atletas!U256="Taijijian Wu F",934,IF(Atletas!U256="Taijijian Wu-Hao F",935,IF(OR(Atletas!U256="Taijijian 32 F",Atletas!U256="Taijijian 42 F"),936,"")))))))))))))))))))))))))))))))))))))</f>
        <v/>
      </c>
      <c r="CD265" s="50" t="str">
        <f>IF(Atletas!V256="","",IF(Atletas!X256&lt;&gt;"",10000,0)+IF(Atletas!B256="Feminino",1000,IF(Atletas!B256="Masculino",2000,""))+IF(Atletas!V256="Taijidao A",937,IF(Atletas!V256="TaijiShanzi A",938,IF(Atletas!V256="Taijiqiang A",939,IF(Atletas!V256="Bagua de Arma A",940,IF(Atletas!V256="Xingyi de Arma A",941,IF(Atletas!V256="Taijidao B",942,IF(Atletas!V256="TaijiShanzi B",943,IF(Atletas!V256="Taijiqiang B",944,IF(Atletas!V256="Bagua de Arma B",945,IF(Atletas!V256="Xingyi de Arma B",946,IF(Atletas!V256="Taijidao C",947,IF(Atletas!V256="TaijiShanzi C",948,IF(Atletas!V256="Taijiqiang C",949,IF(Atletas!V256="Bagua de Arma C",950,IF(Atletas!V256="Xingyi de Arma C",951,IF(Atletas!V256="Taijidao D",952,IF(Atletas!V256="TaijiShanzi D",953,IF(Atletas!V256="Taijiqiang D",954,IF(Atletas!V256="Bagua de Arma D",955,IF(Atletas!V256="Xingyi de Arma D",956,IF(Atletas!V256="Taijidao E",957,IF(Atletas!V256="TaijiShanzi E",958,IF(Atletas!V256="Taijiqiang E",959,IF(Atletas!V256="Bagua de Arma E",960,IF(Atletas!V256="Xingyi de Arma E",961,IF(Atletas!V256="Taijidao F",962,IF(Atletas!V256="TaijiShanzi F",963,IF(Atletas!V256="Taijiqiang F",964,IF(Atletas!V256="Bagua de Arma F",965,IF(Atletas!V256="Xingyi de Arma F",966,"")))))))))))))))))))))))))))))))</f>
        <v/>
      </c>
      <c r="CE265" s="66" t="str">
        <f>IF(CF265&lt;&gt;"","Pudao / Guandao B","")</f>
        <v/>
      </c>
      <c r="CF265" s="66" t="str">
        <f>IF(COUNTIF(BR:CD,1707)&gt;0,COUNTIF(BR:CD,1707),"")</f>
        <v/>
      </c>
      <c r="CG265" s="66" t="str">
        <f>IF(CH265&lt;&gt;"","Pudao / Guandao B","")</f>
        <v/>
      </c>
      <c r="CH265" s="66" t="str">
        <f>IF(COUNTIF(BR:CD,2707)&gt;0,COUNTIF(BR:CD,2707),"")</f>
        <v/>
      </c>
      <c r="CI265" s="66" t="str">
        <f>IF(CJ266&lt;&gt;"","Qiang D","")</f>
        <v/>
      </c>
      <c r="CJ265" s="66" t="str">
        <f>IF(COUNTIF(BR:CD,11713)&gt;0,COUNTIF(BR:CD,11713),"")</f>
        <v/>
      </c>
      <c r="CK265" s="66" t="str">
        <f>IF(CL265&lt;&gt;"","Gun D","")</f>
        <v/>
      </c>
      <c r="CL265" s="6" t="str">
        <f>IF(COUNTIF(BR:CD,12713)&gt;0,COUNTIF(BR:CD,12713),"")</f>
        <v/>
      </c>
      <c r="CM265" s="50" t="str">
        <f xml:space="preserve"> IF(Atletas!W256="","",IF(Atletas!W256="Duilian de Mãos BC - Equipe 1",1,IF(Atletas!W256="Duilian de Mãos BC - Equipe 2",2,IF(Atletas!W256="Duilian de Armas BC - Equipe 1",3,IF(Atletas!W256="Duilian de Armas BC - Equipe 2",4,IF(Atletas!W256="Duilian de Mãos DE - Equipe 1",5,IF(Atletas!W256="Duilian de Mãos DE - Equipe 2",6,IF(Atletas!W256="Duilian de Armas DE - Equipe 1",7,IF(Atletas!W256="Duilian de Armas DE - Equipe 2",8,IF(Atletas!W256="Duilian de Tuishou - Equipe 1",9,IF(Atletas!W256="Duilian de Tuishou - Equipe 2",10,IF(Atletas!W256="Grupo Externo ABC - Equipe 1",11,IF(Atletas!W256="Grupo Externo ABC - Equipe 2",12,IF(Atletas!W256="Grupo Interno ABC - Equipe 1",13,IF(Atletas!W256="Grupo Interno ABC - Equipe 2",14,IF(Atletas!W256="Grupo Externo DEF - Equipe 1",15,IF(Atletas!W256="Grupo Externo DEF - Equipe 2",16,IF(Atletas!W256="Grupo Interno DEF - Equipe 1",17,IF(Atletas!W256="Grupo Interno DEF - Equipe 2",18,"")))))))))))))))))))</f>
        <v/>
      </c>
    </row>
    <row r="266" spans="2:91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 t="str">
        <f t="array" ref="Z266">IFERROR(INDEX(CE$7:CE$348,SMALL(IF(CE$7:CE$348&lt;&gt;"",ROW(CE$7:CE$348)-ROW(CE$7)+1),ROWS(CE$7:CE265))),"")</f>
        <v/>
      </c>
      <c r="AA266" s="3" t="str">
        <f t="array" ref="AA266">IFERROR(INDEX(CF$7:CF$348,SMALL(IF(CF$7:CF$348&lt;&gt;"",ROW(CF$7:CF$348)-ROW(CF$7)+1),ROWS(CF$7:CF265))),"")</f>
        <v/>
      </c>
      <c r="AB266" s="3" t="str">
        <f t="array" ref="AB266">IFERROR(INDEX(CG$7:CG$348,SMALL(IF(CG$7:CG$348&lt;&gt;"",ROW(CG$7:CG$348)-ROW(CG$7)+1),ROWS(CG$7:CG265))),"")</f>
        <v/>
      </c>
      <c r="AC266" s="3" t="str">
        <f t="array" ref="AC266">IFERROR(INDEX(CH$7:CH$348,SMALL(IF(CH$7:CH$348&lt;&gt;"",ROW(CH$7:CH$348)-ROW(CH$7)+1),ROWS(CH$7:CH265))),"")</f>
        <v/>
      </c>
      <c r="AD266" s="3" t="str">
        <f t="array" ref="AD266">IFERROR(INDEX(CI$7:CI$377,SMALL(IF(CI$7:CI$377&lt;&gt;"",ROW(CI$7:CI$377)-ROW(CI$7)+1),ROWS(CI$7:CI264))),"")</f>
        <v/>
      </c>
      <c r="AE266" s="3" t="str">
        <f t="array" ref="AE266">IFERROR(INDEX(CJ$7:CJ$378,SMALL(IF(CJ$7:CJ$378&lt;&gt;"",ROW(CJ$7:CJ$378)-ROW(CJ$7)+1),ROWS(CJ$7:CJ265))),"")</f>
        <v/>
      </c>
      <c r="AF266" s="3" t="str">
        <f t="array" ref="AF266">IFERROR(INDEX(CK$7:CK$378,SMALL(IF(CK$7:CK$378&lt;&gt;"",ROW(CK$7:CK$378)-ROW(CK$7)+1),ROWS(CK$7:CK265))),"")</f>
        <v/>
      </c>
      <c r="AG266" s="3" t="str">
        <f t="array" ref="AG266">IFERROR(INDEX(CL$7:CL$378,SMALL(IF(CL$7:CL$378&lt;&gt;"",ROW(CL$7:CL$378)-ROW(CL$7)+1),ROWS(CL$7:CL265))),"")</f>
        <v/>
      </c>
      <c r="AH266" s="3"/>
      <c r="AI266" s="3"/>
      <c r="AJ266" s="3"/>
      <c r="AK266" s="3"/>
      <c r="AL266" s="3"/>
      <c r="AM266" s="3"/>
      <c r="AN266" s="52" t="str">
        <f>IF(Atletas!D257="","",IF(Atletas!B257="Feminino",100,IF(Atletas!B257="Masculino",200,""))+(IF(Atletas!D257="Kids 30kg",1,IF(Atletas!D257="Kids 32kg",2, IF(Atletas!D257="Kids 34kg",3,IF(Atletas!D257="Kids 36kg",4,IF(Atletas!D257="Kids 39kg",5,IF(Atletas!D257="Kids 42kg",6,IF(Atletas!D257="Kids 45kg",7, IF(Atletas!D257="Infantil 39kg",8,IF(Atletas!D257="Infantil 42kg",9,IF(Atletas!D257="Infantil 45kg",10,IF(Atletas!D257="Infantil 48kg",11,IF(Atletas!D257="Infantil 52kg",12,IF(Atletas!D257="Infantil 56kg",13,IF(Atletas!D257="Infantil 60kg",14,IF(Atletas!D257="Juvenil 48kg",15,IF(Atletas!D257="Juvenil 52kg",16,IF(Atletas!D257="Juvenil 56kg",17,IF(Atletas!D257="Juvenil 60kg",18,IF(Atletas!D257="Juvenil 65kg",19,IF(Atletas!D257="Juvenil 70kg",20,IF(Atletas!D257="Juvenil 75kg",21,IF(Atletas!D257="Juvenil 80kg",22, IF(Atletas!D257="Juvenil 85kg",23,IF(Atletas!D257="Adulto 48kg",24,IF(Atletas!D257="Adulto 52kg",25,IF(Atletas!D257="Adulto 56kg",26,IF(Atletas!D257="Adulto 60kg",27,IF(Atletas!D257="Adulto 65kg",28,IF(Atletas!D257="Adulto 70kg",29,IF(Atletas!D257="Adulto 75kg",30,IF(Atletas!D257="Adulto 80kg",31,IF(Atletas!D257="Adulto 85kg",32,IF(Atletas!D257="Adulto 90kg",33,IF(Atletas!D257="Adulto 100kg",34, IF(Atletas!D257="Adulto +100kg",35,"")))))))))))))))))))))))))))))))))))))</f>
        <v/>
      </c>
      <c r="AS266" s="6" t="str">
        <f>IF(Atletas!E257="","",IF(Atletas!B257="Feminino",100,IF(Atletas!B257="Masculino",200,""))+(IF(Atletas!E257="Juvenil 44kg",1,IF(Atletas!E257="Juvenil 48kg",2,IF(Atletas!E257="Juvenil 52kg",3,IF(Atletas!E257="Juvenil 56kg",4,IF(Atletas!E257="Juvenil 60kg",5,IF(Atletas!E257="Juvenil 65kg",6,IF(Atletas!E257="Juvenil 70kg",7,IF(Atletas!E257="Juvenil 75kg",8,IF(Atletas!E257="Juvenil 82kg",9,IF(Atletas!E257="Juvenil 90kg",10,IF(Atletas!E257="Juvenil 100kg",11,IF(Atletas!E257="Adulto 48kg",12,IF(Atletas!E257="Adulto 52kg",13,IF(Atletas!E257="Adulto 56kg",14,IF(Atletas!E257="Adulto 60kg",15,IF(Atletas!E257="Adulto 65kg",16,IF(Atletas!E257="Adulto 70kg",17,IF(Atletas!E257="Adulto 75kg",18,IF(Atletas!E257="Adulto 82kg",19,IF(Atletas!E257="Adulto 90kg",20,IF(Atletas!E257="Adulto 100kg",21,IF(Atletas!E257="Adulto +100kg",22,""))))))))))))))))))))))))</f>
        <v/>
      </c>
      <c r="AX266" s="6" t="str">
        <f>IF(Atletas!F257="","",IF(Atletas!B257="Feminino",100,IF(Atletas!B257="Masculino",200,""))+(IF(Atletas!F257="Adulto 48kg",1,IF(Atletas!F257="Adulto 56kg",2,IF(Atletas!F257="Adulto 65kg",3,IF(Atletas!F257="Adulto 75kg",4,IF(Atletas!F257="Adulto +75kg",5,IF(Atletas!F257="Adulto 52kg",6,IF(Atletas!F257="Adulto 60kg",7,IF(Atletas!F257="Adulto 70kg",8,IF(Atletas!F257="Adulto 80kg",9,IF(Atletas!F257="Adulto 90kg",10,IF(Atletas!F257="Adulto +90kg",11,"")))))))))))))</f>
        <v/>
      </c>
      <c r="BC266" s="6" t="str">
        <f>IF(Atletas!G257="","",IF(Atletas!B257="Feminino",10,IF(Atletas!B257="Masculino",20,""))+(IF(Atletas!G257="Baduanjin A",1,IF(Atletas!G257="Baduanjin B",2))))</f>
        <v/>
      </c>
      <c r="BF266" s="52" t="str">
        <f>IF(Atletas!H257="","",IF(Atletas!B257="Feminino",100,IF(Atletas!B257="Masculino",200,""))+(IF(Atletas!H257="Changquan Mirim",1,IF(Atletas!H257="Nanquan Mirim",2,IF(Atletas!H257="Taijiquan Mirim",3,IF(Atletas!H257="Changquan Grupo C",4,IF(Atletas!H257="Nanquan Grupo C",5,IF(Atletas!H257="Taijiquan Grupo C",6,IF(Atletas!H257="Changquan Grupo B",7,IF(Atletas!H257="Nanquan Grupo B",8,IF(Atletas!H257="Taijiquan Grupo B",9,IF(Atletas!H257="Changquan Grupo A",10,IF(Atletas!H257="Nanquan Grupo A",11,IF(Atletas!H257="Taijiquan Grupo A",12,IF(Atletas!H257="Changquan Opcional",13,IF(Atletas!H257="Nanquan Opcional",14,IF(Atletas!H257="Taijiquan Opcional",15,IF(Atletas!H257="Changquan Adulto",16,IF(Atletas!H257="Nanquan Adulto",17,IF(Atletas!H257="Taijiquan Adulto",18,""))))))))))))))))))))</f>
        <v/>
      </c>
      <c r="BG266" s="52" t="str">
        <f>IF(Atletas!I257="","",IF(Atletas!B257="Feminino",100,IF(Atletas!B257="Masculino",200,""))+(IF(Atletas!I257="Daoshu Mirim",19,IF(Atletas!I257="Jianshu Mirim",20,IF(Atletas!I257="Nandao Mirim",21,IF(Atletas!I257="Taijijian Mirim",22,IF(Atletas!I257="Daoshu Grupo C",23,IF(Atletas!I257="Jianshu Grupo C",24,IF(Atletas!I257="Nandao Grupo C",25,IF(Atletas!I257="Taijijian Grupo C",26,IF(Atletas!I257="Daoshu Grupo B",27,IF(Atletas!I257="Jianshu Grupo B",28,IF(Atletas!I257="Nandao Grupo B",29,IF(Atletas!I257="Taijijian Grupo B",30,IF(Atletas!I257="Daoshu Grupo A",31,IF(Atletas!I257="Jianshu Grupo A",32,IF(Atletas!I257="Nandao Grupo A",33,IF(Atletas!I257="Taijijian Grupo A",34,IF(Atletas!I257="Daoshu Opcional",35,IF(Atletas!I257="Jianshu Opcional",36,IF(Atletas!I257="Nandao Opcional",37,IF(Atletas!I257="Taijijian Opcional",38,IF(Atletas!I257="Daoshu Adulto",39,IF(Atletas!I257="Jianshu Adulto",40,IF(Atletas!I257="Nandao Adulto",41,IF(Atletas!I257="Taijijian Adulto",42,""))))))))))))))))))))))))))</f>
        <v/>
      </c>
      <c r="BH266" s="52" t="str">
        <f>IF(Atletas!J257="","",IF(Atletas!B257="Feminino",100,IF(Atletas!B257="Masculino",200,""))+(IF(Atletas!J257="Gunshu Mirim",43,IF(Atletas!J257="Qiangshu Mirim",44,IF(Atletas!J257="Nangun Mirim",45,IF(Atletas!J257="Gunshu Grupo C",46,IF(Atletas!J257="Qiangshu Grupo C",47,IF(Atletas!J257="Nangun Grupo C",48,IF(Atletas!J257="Gunshu Grupo B",49,IF(Atletas!J257="Qiangshu Grupo B",50,IF(Atletas!J257="Nangun Grupo B",51,IF(Atletas!J257="Gunshu Grupo A",52,IF(Atletas!J257="Qiangshu Grupo A",53,IF(Atletas!J257="Nangun Grupo A",54,IF(Atletas!J257="Gunshu Opcional",55,IF(Atletas!J257="Qiangshu Opcional",56,IF(Atletas!J257="Nangun Opcional",57,IF(Atletas!J257="Gunshu Adulto",58,IF(Atletas!J257="Qiangshu Adulto",59,IF(Atletas!J257="Nangun Adulto",60,IF(Atletas!J257="Taijishan Grupo B",61,IF(Atletas!J257="Taijishan Grupo A",62,""))))))))))))))))))))))</f>
        <v/>
      </c>
      <c r="BM266" s="50" t="str">
        <f>IF(Atletas!K257="","",IF(Atletas!B257="Feminino",100,IF(Atletas!B257="Masculino",200,""))+(IF(Atletas!K257="Equipe 1 Grupo B",1,IF(Atletas!K257="Equipe 2 Grupo B",2,IF(Atletas!K257="Equipe 1 Grupo A",3,IF(Atletas!K257="Equipe 2 Grupo A",4,IF(Atletas!K257="Equipe 1 Adulto",5,IF(Atletas!K257="Equipe 2 Adulto",6,""))))))))</f>
        <v/>
      </c>
      <c r="BR266" s="50" t="str">
        <f>IF(Atletas!L257="","",IF(Atletas!X257&lt;&gt;"",10000,0)+(IF(Atletas!B257="Feminino",1000,IF(Atletas!B257="Masculino",2000,""))+IF(Atletas!L257="Choylayfut A",1,IF(Atletas!L257="Hunggar A",2,IF(Atletas!L257="Wuzuquan A",3,IF(Atletas!L257="Wingchun A",4,IF(Atletas!L257="Outra Mão de Sul A",5,IF(Atletas!L257="Choylayfut B",6,IF(Atletas!L257="Hunggar B",7,IF(Atletas!L257="Wuzuquan B",8,IF(Atletas!L257="Wingchun B",9,IF(Atletas!L257="Outra Mão de Sul B",10,IF(Atletas!L257="Choylayfut C",11,IF(Atletas!L257="Hunggar C",12,IF(Atletas!L257="Wuzuquan C",13,IF(Atletas!L257="Wingchun C",14,IF(Atletas!L257="Outra Mão de Sul C",15,IF(Atletas!L257="Choylayfut D",16,IF(Atletas!L257="Hunggar D",17,IF(Atletas!L257="Wuzuquan D",18,IF(Atletas!L257="Wingchun D",19,IF(Atletas!L257="Outra Mão de Sul D",20,IF(Atletas!L257="Choylayfut E",21,IF(Atletas!L257="Hunggar E",22,IF(Atletas!L257="Wuzuquan E",23,IF(Atletas!L257="Wingchun E",24,IF(Atletas!L257="Outra Mão de Sul E",25,IF(Atletas!L257="Choylayfut F",26,IF(Atletas!L257="Hunggar F",27,IF(Atletas!L257="Wuzuquan F",28,IF(Atletas!L257="Wingchun F",29,IF(Atletas!L257="Outra Mão de Sul F",30,IF(Atletas!L257="Dishuquan A",31,IF(Atletas!L257="Dishuquan B",32,IF(Atletas!L257="Dishuquan C",33,IF(Atletas!L257="Dishuquan D",34,IF(Atletas!L257="Dishuquan E",35,IF(Atletas!L257="Dishuquan F",36,""))))))))))))))))))))))))))))))))))))))</f>
        <v/>
      </c>
      <c r="BS266" s="50" t="str">
        <f>IF(Atletas!M257="","",IF(Atletas!X257&lt;&gt;"",10000,0)+(IF(Atletas!B257="Feminino",1000,IF(Atletas!B257="Masculino",2000,""))+(IF(Atletas!M257="Chaquan A",101,IF(Atletas!M257="Emeiquan A",102,IF(Atletas!M257="Fanziquan A",103,IF(Atletas!M257="Huaquan A",104,IF(Atletas!M257="Hongquan A",105,IF(Atletas!M257="Paoquan A",106,IF(Atletas!M257="Piguaquan A",107,IF(Atletas!M257="Shaolinquan A",108,IF(Atletas!M257="Tanglangquan A",109,IF(Atletas!M257="Yingzhaoquan A",110,IF(Atletas!M257="Tongbeiquan A",111,IF(Atletas!M257="Wudangquan A",112,IF(Atletas!M257="Outros Estilos A",113,IF(Atletas!M257="Chaquan B",114,IF(Atletas!M257="Emeiquan B",115,IF(Atletas!M257="Fanziquan B",116,IF(Atletas!M257="Huaquan B",117,IF(Atletas!M257="Hongquan B",118,IF(Atletas!M257="Paoquan B",119,IF(Atletas!M257="Piguaquan B",120,IF(Atletas!M257="Shaolinquan B",121,IF(Atletas!M257="Tanglangquan B",122,IF(Atletas!M257="Yingzhaoquan B",123,IF(Atletas!M257="Tongbeiquan B",124,IF(Atletas!M257="Wudangquan B",125,IF(Atletas!M257="Outros Estilos B",126,IF(Atletas!M257="Chaquan C",127,IF(Atletas!M257="Emeiquan C",128,IF(Atletas!M257="Fanziquan C",129,IF(Atletas!M257="Huaquan C",130,IF(Atletas!M257="Hongquan C",131,IF(Atletas!M257="Paoquan C",132,IF(Atletas!M257="Piguaquan C",133,IF(Atletas!M257="Shaolinquan C",134,IF(Atletas!M257="Tanglangquan C",135,IF(Atletas!M257="Yingzhaoquan C",136,IF(Atletas!M257="Tongbeiquan C",137,IF(Atletas!M257="Wudangquan C",138,IF(Atletas!M257="Outros Estilos C",139,0))))))))))))))))))))))))))))))))))))))))))</f>
        <v/>
      </c>
      <c r="BT266" s="50" t="str">
        <f>IF(Atletas!M257="","",IF(Atletas!X257&lt;&gt;"",10000,0)+(IF(Atletas!B257="Feminino",1000,IF(Atletas!B257="Masculino",2000,""))+(IF(Atletas!M257="Chaquan D",140,IF(Atletas!M257="Emeiquan D",141,IF(Atletas!M257="Fanziquan D",142,IF(Atletas!M257="Huaquan D",143,IF(Atletas!M257="Hongquan D",144,IF(Atletas!M257="Paoquan D",145,IF(Atletas!M257="Piguaquan D",146,IF(Atletas!M257="Shaolinquan D",147,IF(Atletas!M257="Tanglangquan D",148,IF(Atletas!M257="Yingzhaoquan D",149,IF(Atletas!M257="Tongbeiquan D",150,IF(Atletas!M257="Wudangquan D",151,IF(Atletas!M257="Outros Estilos D",152,IF(Atletas!M257="Chaquan E",153,IF(Atletas!M257="Emeiquan E",154,IF(Atletas!M257="Fanziquan E",155,IF(Atletas!M257="Huaquan E",156,IF(Atletas!M257="Hongquan E",157,IF(Atletas!M257="Paoquan E",158,IF(Atletas!M257="Piguaquan E",159,IF(Atletas!M257="Shaolinquan E",160,IF(Atletas!M257="Tanglangquan E",161,IF(Atletas!M257="Yingzhaoquan E",162,IF(Atletas!M257="Tongbeiquan E",163,IF(Atletas!M257="Wudangquan E",164,IF(Atletas!M257="Outros Estilos E",165,IF(Atletas!M257="Chaquan F",166,IF(Atletas!M257="Emeiquan F",167,IF(Atletas!M257="Fanziquan F",168,IF(Atletas!M257="Huaquan F",169,IF(Atletas!M257="Hongquan F",170,IF(Atletas!M257="Paoquan F",171,IF(Atletas!M257="Piguaquan F",172,IF(Atletas!M257="Shaolinquan F",173,IF(Atletas!M257="Tanglangquan F",174,IF(Atletas!M257="Yingzhaoquan F",175,IF(Atletas!M257="Tongbeiquan F",176,IF(Atletas!M257="Wudangquan F",177,IF(Atletas!M257="Outros Estilos F",178,0))))))))))))))))))))))))))))))))))))))))))</f>
        <v/>
      </c>
      <c r="BU266" s="50" t="str">
        <f>IF(Atletas!N257="","",IF(Atletas!X257&lt;&gt;"",10000,0)+(IF(Atletas!B257="Feminino",1000,IF(Atletas!B257="Masculino",2000,""))+(IF(Atletas!N257="Ditangquan A",201,IF(Atletas!N257="Houquan A",202,IF(Atletas!N257="Zuiquan A",203,IF(Atletas!N257="Ditangquan B",204,IF(Atletas!N257="Houquan B",205,IF(Atletas!N257="Zuiquan B",206,IF(Atletas!N257="Ditangquan C",207,IF(Atletas!N257="Houquan C",208,IF(Atletas!N257="Zuiquan C",209,IF(Atletas!N257="Ditangquan D",210,IF(Atletas!N257="Houquan D",211,IF(Atletas!N257="Zuiquan D",212,IF(Atletas!N257="Ditangquan E",213,IF(Atletas!N257="Houquan E",214,IF(Atletas!N257="Zuiquan E",215,IF(Atletas!N257="Ditangquan F",216,IF(Atletas!N257="Houquan F",217,IF(Atletas!N257="Zuiquan F",218,"")))))))))))))))))))))</f>
        <v/>
      </c>
      <c r="BV266" s="50" t="str">
        <f>IF(Atletas!O257="","",IF(Atletas!X257&lt;&gt;"",10000,0)+IF(Atletas!B257="Feminino",1000,IF(Atletas!B257="Masculino",2000,""))+IF(Atletas!O257="Yang A",301,IF(Atletas!O257="Chen A",302,IF(Atletas!O257="Sun A",303,IF(Atletas!O257="Wu A",304,IF(Atletas!O257="Wu-Hao A",305,IF(Atletas!O257="Outro Taijiquan A",306,IF(Atletas!O257="Yang B",307,IF(Atletas!O257="Chen B",308,IF(Atletas!O257="Sun B",309,IF(Atletas!O257="Wu B",310,IF(Atletas!O257="Wu-Hao B",311,IF(Atletas!O257="Outro Taijiquan B",312,IF(Atletas!O257="Yang C",313,IF(Atletas!O257="Chen C",314,IF(Atletas!O257="Sun C",315,IF(Atletas!O257="Wu C",316,IF(Atletas!O257="Wu-Hao C",317,IF(Atletas!O257="Outro Taijiquan C",318,IF(Atletas!O257="Yang D",319,IF(Atletas!O257="Chen D",320,IF(Atletas!O257="Sun D",321,IF(Atletas!O257="Wu D",322,IF(Atletas!O257="Wu-Hao D",323,IF(Atletas!O257="Outro Taijiquan D",324,IF(Atletas!O257="Yang E",325,IF(Atletas!O257="Chen E",326,IF(Atletas!O257="Sun E",327,IF(Atletas!O257="Wu E",328,IF(Atletas!O257="Wu-Hao E",329,IF(Atletas!O257="Outro Taijiquan E",330,IF(Atletas!O257="Yang F",331,IF(Atletas!O257="Chen F",332,IF(Atletas!O257="Sun F",333,IF(Atletas!O257="Wu F",334,IF(Atletas!O257="Wu-Hao F",335,IF(Atletas!O257="Outro Taijiquan F",336,"")))))))))))))))))))))))))))))))))))))</f>
        <v/>
      </c>
      <c r="BW266" s="50" t="str">
        <f>IF(Atletas!P257="","",IF(Atletas!X257&lt;&gt;"",10000,0)+IF(Atletas!B257="Feminino",1000,IF(Atletas!B257="Masculino",2000,""))+IF(OR(Atletas!P257="Yang 26 A",Atletas!P257="Yang 40 A"),401,IF(OR(Atletas!P257="Chen 25 A",Atletas!P257="Chen 36 A",Atletas!P257="Chen 56 A"),402,IF(Atletas!P257="Sun 73 A",403,IF(Atletas!P257="Wu 45 A",404,IF(Atletas!P257="Wu-Hao 46 A",405,IF(OR(Atletas!P257="Taijiquan 16 A",Atletas!P257="Taijiquan 24 A",Atletas!P257="Taijiquan 32 A",Atletas!P257="Taijiquan 42 A"),406,IF(OR(Atletas!P257="Yang 26 B",Atletas!P257="Yang 40 B"),407,IF(OR(Atletas!P257="Chen 25 B",Atletas!P257="Chen 36 B",Atletas!P257="Chen 56 B"),408,IF(Atletas!P257="Sun 73 B",409,IF(Atletas!P257="Wu 45 B",410,IF(Atletas!P257="Wu-Hao 46 B",411,IF(OR(Atletas!P257="Taijiquan 16 B",Atletas!P257="Taijiquan 24 B",Atletas!P257="Taijiquan 32 B",Atletas!P257="Taijiquan 42 B"),412,IF(OR(Atletas!P257="Yang 26 C",Atletas!P257="Yang 40 C"),413,IF(OR(Atletas!P257="Chen 25 C",Atletas!P257="Chen 36 C",Atletas!P257="Chen 56 C"),414,IF(Atletas!P257="Sun 73 C",415,IF(Atletas!P257="Wu 45 C",416,IF(Atletas!P257="Wu-Hao 46 C",417,IF(OR(Atletas!P257="Taijiquan 16 C",Atletas!P257="Taijiquan 24 C",Atletas!P257="Taijiquan 32 C",Atletas!P257="Taijiquan 42 C"),418,0)))))))))))))))))))</f>
        <v/>
      </c>
      <c r="BX266" s="50" t="str">
        <f>IF(Atletas!P257="","",IF(Atletas!X257&lt;&gt;"",10000,0)+IF(Atletas!B257="Feminino",1000,IF(Atletas!B257="Masculino",2000,""))+IF(OR(Atletas!P257="Yang 26 D",Atletas!P257="Yang 40 D"),419,IF(OR(Atletas!P257="Chen 25 D",Atletas!P257="Chen 36 D",Atletas!P257="Chen 56 D"),420,IF(Atletas!P257="Sun 73 D",421,IF(Atletas!P257="Wu 45 D",422,IF(Atletas!P257="Wu-Hao 46 D",423,IF(OR(Atletas!P257="Taijiquan 16 D",Atletas!P257="Taijiquan 24 D",Atletas!P257="Taijiquan 32 D",Atletas!P257="Taijiquan 42 D"),424,IF(OR(Atletas!P257="Yang 26 E",Atletas!P257="Yang 40 E"),425,IF(OR(Atletas!P257="Chen 25 E",Atletas!P257="Chen 36 E",Atletas!P257="Chen 56 E"),426,IF(Atletas!P257="Sun 73 E",427,IF(Atletas!P257="Wu 45 E",428,IF(Atletas!P257="Wu-Hao 46 E",429,IF(OR(Atletas!P257="Taijiquan 16 E",Atletas!P257="Taijiquan 24 E",Atletas!P257="Taijiquan 32 E",Atletas!P257="Taijiquan 42 E"),430,IF(OR(Atletas!P257="Yang 26 F",Atletas!P257="Yang 40 F"),431,IF(OR(Atletas!P257="Chen 25 F",Atletas!P257="Chen 36 F",Atletas!P257="Chen 56 F"),432,IF(Atletas!P257="Sun 73 F",433,IF(Atletas!P257="Wu 45 F",434,IF(Atletas!P257="Wu-Hao 46 F",435,IF(OR(Atletas!P257="Taijiquan 16 F",Atletas!P257="Taijiquan 24 F",Atletas!P257="Taijiquan 32 F",Atletas!P257="Taijiquan 42 F"),436,0)))))))))))))))))))</f>
        <v/>
      </c>
      <c r="BY266" s="50" t="str">
        <f>IF(Atletas!Q257="","",IF(Atletas!X257&lt;&gt;"",10000,0)+IF(Atletas!B257="Feminino",1000,IF(Atletas!B257="Masculino",2000,""))+IF(Atletas!Q257="Xingyiquan A",501,IF(Atletas!Q257="Baguazhang A",502,IF(Atletas!Q257="Outro Estilo Interno A",503,IF(Atletas!Q257="Xingyiquan B",504,IF(Atletas!Q257="Baguazhang B",505,IF(Atletas!Q257="Outro Estilo Interno B",506,IF(Atletas!Q257="Xingyiquan C",507,IF(Atletas!Q257="Baguazhang C",508,IF(Atletas!Q257="Outro Estilo Interno C",509,IF(Atletas!Q257="Xingyiquan D",510,IF(Atletas!Q257="Baguazhang D",511,IF(Atletas!Q257="Outro Estilo Interno D",512,IF(Atletas!Q257="Xingyiquan E",513,IF(Atletas!Q257="Baguazhang E",514,IF(Atletas!Q257="Outro Estilo Interno E",515,IF(Atletas!Q257="Xingyiquan F",516,IF(Atletas!Q257="Baguazhang F",517,IF(Atletas!Q257="Outro Estilo Interno F",518, "")))))))))))))))))))</f>
        <v/>
      </c>
      <c r="BZ266" s="50" t="str">
        <f>IF(Atletas!R257="","",IF(Atletas!X257&lt;&gt;"",10000,0)+IF(Atletas!B257="Feminino",1000,IF(Atletas!B257="Masculino",2000,""))+IF(Atletas!R257="Dao A",601,IF(Atletas!R257="Jian A",602,IF(Atletas!R257="Bishou A",603,IF(Atletas!R257="Shanzi A",604,IF(Atletas!R257="Outra Arma Curta A",605,IF(Atletas!R257="Dao B",606,IF(Atletas!R257="Jian B",607,IF(Atletas!R257="Bishou B",608,IF(Atletas!R257="Shanzi B",609,IF(Atletas!R257="Outra Arma Curta B",610,IF(Atletas!R257="Dao C",611,IF(Atletas!R257="Jian C",612,IF(Atletas!R257="Bishou C",613,IF(Atletas!R257="Shanzi C",614,IF(Atletas!R257="Outra Arma Curta C",615,IF(Atletas!R257="Dao D",616,IF(Atletas!R257="Jian D",617,IF(Atletas!R257="Bishou D",618,IF(Atletas!R257="Shanzi D",619,IF(Atletas!R257="Outra Arma Curta D",620,IF(Atletas!R257="Dao E",621,IF(Atletas!R257="Jian E",622,IF(Atletas!R257="Bishou E",623,IF(Atletas!R257="Shanzi E",624,IF(Atletas!R257="Outra Arma Curta E",625,IF(Atletas!R257="Dao F",626,IF(Atletas!R257="Jian F",627,IF(Atletas!R257="Bishou F",628,IF(Atletas!R257="Shanzi F",629,IF(Atletas!R257="Outra Arma Curta F",630, "")))))))))))))))))))))))))))))))</f>
        <v/>
      </c>
      <c r="CA266" s="50" t="str">
        <f>IF(Atletas!S257="","",IF(Atletas!X257&lt;&gt;"",10000,0)+IF(Atletas!B257="Feminino",1000,IF(Atletas!B257="Masculino",2000,""))+IF(Atletas!S257="Gun A",701,IF(Atletas!S257="Qiang A",702,IF(Atletas!S257="Pudao / Guandao A",703,IF(Atletas!S257="Outra Arma Longa A",704,IF(Atletas!S257="Gun B",705,IF(Atletas!S257="Qiang B",706,IF(Atletas!S257="Pudao / Guandao B",707,IF(Atletas!S257="Outra Arma Longa B",708,IF(Atletas!S257="Gun C",709,IF(Atletas!S257="Qiang C",710,IF(Atletas!S257="Pudao / Guandao C",711,IF(Atletas!S257="Outra Arma Longa C",712,IF(Atletas!S257="Gun D",713,IF(Atletas!S257="Qiang D",714,IF(Atletas!S257="Pudao / Guandao D",715,IF(Atletas!S257="Outra Arma Longa D",716,IF(Atletas!S257="Gun E",717,IF(Atletas!S257="Qiang E",718,IF(Atletas!S257="Pudao / Guandao E",719,IF(Atletas!S257="Outra Arma Longa E",720,IF(Atletas!S257="Gun F",721,IF(Atletas!S257="Qiang F",722,IF(Atletas!S257="Pudao / Guandao F",723,IF(Atletas!S257="Outra Arma Longa F",724,"")))))))))))))))))))))))))</f>
        <v/>
      </c>
      <c r="CB266" s="50" t="str">
        <f>IF(Atletas!T257="","",IF(Atletas!X257&lt;&gt;"",10000,0)+IF(Atletas!B257="Feminino",1000,IF(Atletas!B257="Masculino",2000,""))+IF(Atletas!T257="Outra Arma Dupla A",801,IF(Atletas!T257="Arma Maleável A",802,IF(Atletas!T257="Outra Arma Dupla B",803,IF(Atletas!T257="Arma Maleável B",804,IF(Atletas!T257="Outra Arma Dupla C",805,IF(Atletas!T257="Arma Maleável C",806,IF(Atletas!T257="Outra Arma Dupla D",807,IF(Atletas!T257="Arma Maleável D",808,IF(Atletas!T257="Outra Arma Dupla E",809,IF(Atletas!T257="Arma Maleável E",810,IF(Atletas!T257="Outra Arma Dupla F",811,IF(Atletas!T257="Arma Maleável F",812,IF(Atletas!T257="Shuangdao A",813,IF(Atletas!T257="Shuangdao B",814,IF(Atletas!T257="Shuangdao C",815,IF(Atletas!T257="Shuangdao D",816,IF(Atletas!T257="Shuangdao E",817,IF(Atletas!T257="Shuangdao F",818,"")))))))))))))))))))</f>
        <v/>
      </c>
      <c r="CC266" s="50" t="str">
        <f>IF(Atletas!U257="","",IF(Atletas!X257&lt;&gt;"",10000,0)+IF(Atletas!B257="Feminino",1000,IF(Atletas!B257="Masculino",2000,""))+IF(OR(Atletas!U257="Taijijian Yang A",Atletas!U257="Taijijian Yang Standard A"),901,IF(OR(Atletas!U257="Taijijian Chen A", Atletas!U257="Taijijian Chen Standard A"),902,IF(Atletas!U257="Taijijian Sun A",903,IF(Atletas!U257="Taijijian Wu A",904,IF(Atletas!U257="Taijijian Wu-Hao A",905,IF(OR(Atletas!U257="Taijijian 32 A",Atletas!U257="Taijijian 42 A"),906,IF(OR(Atletas!U257="Taijijian Yang B",Atletas!U257="Taijijian Yang Standard B"),907,IF(OR(Atletas!U257="Taijijian Chen B", Atletas!U257="Taijijian Chen Standard B"),908,IF(Atletas!U257="Taijijian Sun B",909,IF(Atletas!U257="Taijijian Wu B",910,IF(Atletas!U257="Taijijian Wu-Hao B",911,IF(OR(Atletas!U257="Taijijian 32 B",Atletas!U257="Taijijian 42 B"),912,IF(OR(Atletas!U257="Taijijian Yang C",Atletas!U257="Taijijian Yang Standard C"),913,IF(OR(Atletas!U257="Taijijian Chen C", Atletas!U257="Taijijian Chen Standard C"),914,IF(Atletas!U257="Taijijian Sun C",915,IF(Atletas!U257="Taijijian Wu C",916,IF(Atletas!U257="Taijijian Wu-Hao C",917,IF(OR(Atletas!U257="Taijijian 32 C",Atletas!U257="Taijijian 42 C"),918,IF(OR(Atletas!U257="Taijijian Yang D",Atletas!U257="Taijijian Yang Standard D"),919,IF(OR(Atletas!U257="Taijijian Chen D", Atletas!U257="Taijijian Chen Standard D"),920,IF(Atletas!U257="Taijijian Sun D",921,IF(Atletas!U257="Taijijian Wu D",922,IF(Atletas!U257="Taijijian Wu-Hao D",923,IF(OR(Atletas!U257="Taijijian 32 D",Atletas!U257="Taijijian 42 D"),924,IF(OR(Atletas!U257="Taijijian Yang E",Atletas!U257="Taijijian Yang Standard E"),925,IF(OR(Atletas!U257="Taijijian Chen E", Atletas!U257="Taijijian Chen Standard E"),926,IF(Atletas!U257="Taijijian Sun E",927,IF(Atletas!U257="Taijijian Wu E",928,IF(Atletas!U257="Taijijian Wu-Hao E",929,IF(OR(Atletas!U257="Taijijian 32 E",Atletas!U257="Taijijian 42 E"),930,IF(OR(Atletas!U257="Taijijian Yang F",Atletas!U257="Taijijian Yang Standard F"),931,IF(OR(Atletas!U257="Taijijian Chen F", Atletas!U257="Taijijian Chen Standard F"),932,IF(Atletas!U257="Taijijian Sun F",933,IF(Atletas!U257="Taijijian Wu F",934,IF(Atletas!U257="Taijijian Wu-Hao F",935,IF(OR(Atletas!U257="Taijijian 32 F",Atletas!U257="Taijijian 42 F"),936,"")))))))))))))))))))))))))))))))))))))</f>
        <v/>
      </c>
      <c r="CD266" s="50" t="str">
        <f>IF(Atletas!V257="","",IF(Atletas!X257&lt;&gt;"",10000,0)+IF(Atletas!B257="Feminino",1000,IF(Atletas!B257="Masculino",2000,""))+IF(Atletas!V257="Taijidao A",937,IF(Atletas!V257="TaijiShanzi A",938,IF(Atletas!V257="Taijiqiang A",939,IF(Atletas!V257="Bagua de Arma A",940,IF(Atletas!V257="Xingyi de Arma A",941,IF(Atletas!V257="Taijidao B",942,IF(Atletas!V257="TaijiShanzi B",943,IF(Atletas!V257="Taijiqiang B",944,IF(Atletas!V257="Bagua de Arma B",945,IF(Atletas!V257="Xingyi de Arma B",946,IF(Atletas!V257="Taijidao C",947,IF(Atletas!V257="TaijiShanzi C",948,IF(Atletas!V257="Taijiqiang C",949,IF(Atletas!V257="Bagua de Arma C",950,IF(Atletas!V257="Xingyi de Arma C",951,IF(Atletas!V257="Taijidao D",952,IF(Atletas!V257="TaijiShanzi D",953,IF(Atletas!V257="Taijiqiang D",954,IF(Atletas!V257="Bagua de Arma D",955,IF(Atletas!V257="Xingyi de Arma D",956,IF(Atletas!V257="Taijidao E",957,IF(Atletas!V257="TaijiShanzi E",958,IF(Atletas!V257="Taijiqiang E",959,IF(Atletas!V257="Bagua de Arma E",960,IF(Atletas!V257="Xingyi de Arma E",961,IF(Atletas!V257="Taijidao F",962,IF(Atletas!V257="TaijiShanzi F",963,IF(Atletas!V257="Taijiqiang F",964,IF(Atletas!V257="Bagua de Arma F",965,IF(Atletas!V257="Xingyi de Arma F",966,"")))))))))))))))))))))))))))))))</f>
        <v/>
      </c>
      <c r="CE266" s="66" t="str">
        <f>IF(CF266&lt;&gt;"","Outra Arma Longa B","")</f>
        <v/>
      </c>
      <c r="CF266" s="66" t="str">
        <f>IF(COUNTIF(BR:CD,1708)&gt;0,COUNTIF(BR:CD,1708),"")</f>
        <v/>
      </c>
      <c r="CG266" s="66" t="str">
        <f>IF(CH266&lt;&gt;"","Outra Arma Longa B","")</f>
        <v/>
      </c>
      <c r="CH266" s="66" t="str">
        <f>IF(COUNTIF(BR:CD,2708)&gt;0,COUNTIF(BR:CD,2708),"")</f>
        <v/>
      </c>
      <c r="CI266" s="66" t="str">
        <f>IF(CJ267&lt;&gt;"","Pudao / Gaundao D","")</f>
        <v/>
      </c>
      <c r="CJ266" s="66" t="str">
        <f>IF(COUNTIF(BR:CD,11714)&gt;0,COUNTIF(BR:CD,11714),"")</f>
        <v/>
      </c>
      <c r="CK266" s="66" t="str">
        <f>IF(CL266&lt;&gt;"","Qiang D","")</f>
        <v/>
      </c>
      <c r="CL266" s="6" t="str">
        <f>IF(COUNTIF(BR:CD,12714)&gt;0,COUNTIF(BR:CD,12714),"")</f>
        <v/>
      </c>
      <c r="CM266" s="50" t="str">
        <f xml:space="preserve"> IF(Atletas!W257="","",IF(Atletas!W257="Duilian de Mãos BC - Equipe 1",1,IF(Atletas!W257="Duilian de Mãos BC - Equipe 2",2,IF(Atletas!W257="Duilian de Armas BC - Equipe 1",3,IF(Atletas!W257="Duilian de Armas BC - Equipe 2",4,IF(Atletas!W257="Duilian de Mãos DE - Equipe 1",5,IF(Atletas!W257="Duilian de Mãos DE - Equipe 2",6,IF(Atletas!W257="Duilian de Armas DE - Equipe 1",7,IF(Atletas!W257="Duilian de Armas DE - Equipe 2",8,IF(Atletas!W257="Duilian de Tuishou - Equipe 1",9,IF(Atletas!W257="Duilian de Tuishou - Equipe 2",10,IF(Atletas!W257="Grupo Externo ABC - Equipe 1",11,IF(Atletas!W257="Grupo Externo ABC - Equipe 2",12,IF(Atletas!W257="Grupo Interno ABC - Equipe 1",13,IF(Atletas!W257="Grupo Interno ABC - Equipe 2",14,IF(Atletas!W257="Grupo Externo DEF - Equipe 1",15,IF(Atletas!W257="Grupo Externo DEF - Equipe 2",16,IF(Atletas!W257="Grupo Interno DEF - Equipe 1",17,IF(Atletas!W257="Grupo Interno DEF - Equipe 2",18,"")))))))))))))))))))</f>
        <v/>
      </c>
    </row>
    <row r="267" spans="2:91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 t="str">
        <f t="array" ref="Z267">IFERROR(INDEX(CE$7:CE$348,SMALL(IF(CE$7:CE$348&lt;&gt;"",ROW(CE$7:CE$348)-ROW(CE$7)+1),ROWS(CE$7:CE266))),"")</f>
        <v/>
      </c>
      <c r="AA267" s="3" t="str">
        <f t="array" ref="AA267">IFERROR(INDEX(CF$7:CF$348,SMALL(IF(CF$7:CF$348&lt;&gt;"",ROW(CF$7:CF$348)-ROW(CF$7)+1),ROWS(CF$7:CF266))),"")</f>
        <v/>
      </c>
      <c r="AB267" s="3" t="str">
        <f t="array" ref="AB267">IFERROR(INDEX(CG$7:CG$348,SMALL(IF(CG$7:CG$348&lt;&gt;"",ROW(CG$7:CG$348)-ROW(CG$7)+1),ROWS(CG$7:CG266))),"")</f>
        <v/>
      </c>
      <c r="AC267" s="3" t="str">
        <f t="array" ref="AC267">IFERROR(INDEX(CH$7:CH$348,SMALL(IF(CH$7:CH$348&lt;&gt;"",ROW(CH$7:CH$348)-ROW(CH$7)+1),ROWS(CH$7:CH266))),"")</f>
        <v/>
      </c>
      <c r="AD267" s="3" t="str">
        <f t="array" ref="AD267">IFERROR(INDEX(CI$7:CI$377,SMALL(IF(CI$7:CI$377&lt;&gt;"",ROW(CI$7:CI$377)-ROW(CI$7)+1),ROWS(CI$7:CI265))),"")</f>
        <v/>
      </c>
      <c r="AE267" s="3" t="str">
        <f t="array" ref="AE267">IFERROR(INDEX(CJ$7:CJ$378,SMALL(IF(CJ$7:CJ$378&lt;&gt;"",ROW(CJ$7:CJ$378)-ROW(CJ$7)+1),ROWS(CJ$7:CJ266))),"")</f>
        <v/>
      </c>
      <c r="AF267" s="3" t="str">
        <f t="array" ref="AF267">IFERROR(INDEX(CK$7:CK$378,SMALL(IF(CK$7:CK$378&lt;&gt;"",ROW(CK$7:CK$378)-ROW(CK$7)+1),ROWS(CK$7:CK266))),"")</f>
        <v/>
      </c>
      <c r="AG267" s="3" t="str">
        <f t="array" ref="AG267">IFERROR(INDEX(CL$7:CL$378,SMALL(IF(CL$7:CL$378&lt;&gt;"",ROW(CL$7:CL$378)-ROW(CL$7)+1),ROWS(CL$7:CL266))),"")</f>
        <v/>
      </c>
      <c r="AH267" s="3"/>
      <c r="AI267" s="3"/>
      <c r="AJ267" s="3"/>
      <c r="AK267" s="3"/>
      <c r="AL267" s="3"/>
      <c r="AM267" s="3"/>
      <c r="AN267" s="52" t="str">
        <f>IF(Atletas!D258="","",IF(Atletas!B258="Feminino",100,IF(Atletas!B258="Masculino",200,""))+(IF(Atletas!D258="Kids 30kg",1,IF(Atletas!D258="Kids 32kg",2, IF(Atletas!D258="Kids 34kg",3,IF(Atletas!D258="Kids 36kg",4,IF(Atletas!D258="Kids 39kg",5,IF(Atletas!D258="Kids 42kg",6,IF(Atletas!D258="Kids 45kg",7, IF(Atletas!D258="Infantil 39kg",8,IF(Atletas!D258="Infantil 42kg",9,IF(Atletas!D258="Infantil 45kg",10,IF(Atletas!D258="Infantil 48kg",11,IF(Atletas!D258="Infantil 52kg",12,IF(Atletas!D258="Infantil 56kg",13,IF(Atletas!D258="Infantil 60kg",14,IF(Atletas!D258="Juvenil 48kg",15,IF(Atletas!D258="Juvenil 52kg",16,IF(Atletas!D258="Juvenil 56kg",17,IF(Atletas!D258="Juvenil 60kg",18,IF(Atletas!D258="Juvenil 65kg",19,IF(Atletas!D258="Juvenil 70kg",20,IF(Atletas!D258="Juvenil 75kg",21,IF(Atletas!D258="Juvenil 80kg",22, IF(Atletas!D258="Juvenil 85kg",23,IF(Atletas!D258="Adulto 48kg",24,IF(Atletas!D258="Adulto 52kg",25,IF(Atletas!D258="Adulto 56kg",26,IF(Atletas!D258="Adulto 60kg",27,IF(Atletas!D258="Adulto 65kg",28,IF(Atletas!D258="Adulto 70kg",29,IF(Atletas!D258="Adulto 75kg",30,IF(Atletas!D258="Adulto 80kg",31,IF(Atletas!D258="Adulto 85kg",32,IF(Atletas!D258="Adulto 90kg",33,IF(Atletas!D258="Adulto 100kg",34, IF(Atletas!D258="Adulto +100kg",35,"")))))))))))))))))))))))))))))))))))))</f>
        <v/>
      </c>
      <c r="AS267" s="6" t="str">
        <f>IF(Atletas!E258="","",IF(Atletas!B258="Feminino",100,IF(Atletas!B258="Masculino",200,""))+(IF(Atletas!E258="Juvenil 44kg",1,IF(Atletas!E258="Juvenil 48kg",2,IF(Atletas!E258="Juvenil 52kg",3,IF(Atletas!E258="Juvenil 56kg",4,IF(Atletas!E258="Juvenil 60kg",5,IF(Atletas!E258="Juvenil 65kg",6,IF(Atletas!E258="Juvenil 70kg",7,IF(Atletas!E258="Juvenil 75kg",8,IF(Atletas!E258="Juvenil 82kg",9,IF(Atletas!E258="Juvenil 90kg",10,IF(Atletas!E258="Juvenil 100kg",11,IF(Atletas!E258="Adulto 48kg",12,IF(Atletas!E258="Adulto 52kg",13,IF(Atletas!E258="Adulto 56kg",14,IF(Atletas!E258="Adulto 60kg",15,IF(Atletas!E258="Adulto 65kg",16,IF(Atletas!E258="Adulto 70kg",17,IF(Atletas!E258="Adulto 75kg",18,IF(Atletas!E258="Adulto 82kg",19,IF(Atletas!E258="Adulto 90kg",20,IF(Atletas!E258="Adulto 100kg",21,IF(Atletas!E258="Adulto +100kg",22,""))))))))))))))))))))))))</f>
        <v/>
      </c>
      <c r="AX267" s="6" t="str">
        <f>IF(Atletas!F258="","",IF(Atletas!B258="Feminino",100,IF(Atletas!B258="Masculino",200,""))+(IF(Atletas!F258="Adulto 48kg",1,IF(Atletas!F258="Adulto 56kg",2,IF(Atletas!F258="Adulto 65kg",3,IF(Atletas!F258="Adulto 75kg",4,IF(Atletas!F258="Adulto +75kg",5,IF(Atletas!F258="Adulto 52kg",6,IF(Atletas!F258="Adulto 60kg",7,IF(Atletas!F258="Adulto 70kg",8,IF(Atletas!F258="Adulto 80kg",9,IF(Atletas!F258="Adulto 90kg",10,IF(Atletas!F258="Adulto +90kg",11,"")))))))))))))</f>
        <v/>
      </c>
      <c r="BC267" s="6" t="str">
        <f>IF(Atletas!G258="","",IF(Atletas!B258="Feminino",10,IF(Atletas!B258="Masculino",20,""))+(IF(Atletas!G258="Baduanjin A",1,IF(Atletas!G258="Baduanjin B",2))))</f>
        <v/>
      </c>
      <c r="BF267" s="52" t="str">
        <f>IF(Atletas!H258="","",IF(Atletas!B258="Feminino",100,IF(Atletas!B258="Masculino",200,""))+(IF(Atletas!H258="Changquan Mirim",1,IF(Atletas!H258="Nanquan Mirim",2,IF(Atletas!H258="Taijiquan Mirim",3,IF(Atletas!H258="Changquan Grupo C",4,IF(Atletas!H258="Nanquan Grupo C",5,IF(Atletas!H258="Taijiquan Grupo C",6,IF(Atletas!H258="Changquan Grupo B",7,IF(Atletas!H258="Nanquan Grupo B",8,IF(Atletas!H258="Taijiquan Grupo B",9,IF(Atletas!H258="Changquan Grupo A",10,IF(Atletas!H258="Nanquan Grupo A",11,IF(Atletas!H258="Taijiquan Grupo A",12,IF(Atletas!H258="Changquan Opcional",13,IF(Atletas!H258="Nanquan Opcional",14,IF(Atletas!H258="Taijiquan Opcional",15,IF(Atletas!H258="Changquan Adulto",16,IF(Atletas!H258="Nanquan Adulto",17,IF(Atletas!H258="Taijiquan Adulto",18,""))))))))))))))))))))</f>
        <v/>
      </c>
      <c r="BG267" s="52" t="str">
        <f>IF(Atletas!I258="","",IF(Atletas!B258="Feminino",100,IF(Atletas!B258="Masculino",200,""))+(IF(Atletas!I258="Daoshu Mirim",19,IF(Atletas!I258="Jianshu Mirim",20,IF(Atletas!I258="Nandao Mirim",21,IF(Atletas!I258="Taijijian Mirim",22,IF(Atletas!I258="Daoshu Grupo C",23,IF(Atletas!I258="Jianshu Grupo C",24,IF(Atletas!I258="Nandao Grupo C",25,IF(Atletas!I258="Taijijian Grupo C",26,IF(Atletas!I258="Daoshu Grupo B",27,IF(Atletas!I258="Jianshu Grupo B",28,IF(Atletas!I258="Nandao Grupo B",29,IF(Atletas!I258="Taijijian Grupo B",30,IF(Atletas!I258="Daoshu Grupo A",31,IF(Atletas!I258="Jianshu Grupo A",32,IF(Atletas!I258="Nandao Grupo A",33,IF(Atletas!I258="Taijijian Grupo A",34,IF(Atletas!I258="Daoshu Opcional",35,IF(Atletas!I258="Jianshu Opcional",36,IF(Atletas!I258="Nandao Opcional",37,IF(Atletas!I258="Taijijian Opcional",38,IF(Atletas!I258="Daoshu Adulto",39,IF(Atletas!I258="Jianshu Adulto",40,IF(Atletas!I258="Nandao Adulto",41,IF(Atletas!I258="Taijijian Adulto",42,""))))))))))))))))))))))))))</f>
        <v/>
      </c>
      <c r="BH267" s="52" t="str">
        <f>IF(Atletas!J258="","",IF(Atletas!B258="Feminino",100,IF(Atletas!B258="Masculino",200,""))+(IF(Atletas!J258="Gunshu Mirim",43,IF(Atletas!J258="Qiangshu Mirim",44,IF(Atletas!J258="Nangun Mirim",45,IF(Atletas!J258="Gunshu Grupo C",46,IF(Atletas!J258="Qiangshu Grupo C",47,IF(Atletas!J258="Nangun Grupo C",48,IF(Atletas!J258="Gunshu Grupo B",49,IF(Atletas!J258="Qiangshu Grupo B",50,IF(Atletas!J258="Nangun Grupo B",51,IF(Atletas!J258="Gunshu Grupo A",52,IF(Atletas!J258="Qiangshu Grupo A",53,IF(Atletas!J258="Nangun Grupo A",54,IF(Atletas!J258="Gunshu Opcional",55,IF(Atletas!J258="Qiangshu Opcional",56,IF(Atletas!J258="Nangun Opcional",57,IF(Atletas!J258="Gunshu Adulto",58,IF(Atletas!J258="Qiangshu Adulto",59,IF(Atletas!J258="Nangun Adulto",60,IF(Atletas!J258="Taijishan Grupo B",61,IF(Atletas!J258="Taijishan Grupo A",62,""))))))))))))))))))))))</f>
        <v/>
      </c>
      <c r="BM267" s="50" t="str">
        <f>IF(Atletas!K258="","",IF(Atletas!B258="Feminino",100,IF(Atletas!B258="Masculino",200,""))+(IF(Atletas!K258="Equipe 1 Grupo B",1,IF(Atletas!K258="Equipe 2 Grupo B",2,IF(Atletas!K258="Equipe 1 Grupo A",3,IF(Atletas!K258="Equipe 2 Grupo A",4,IF(Atletas!K258="Equipe 1 Adulto",5,IF(Atletas!K258="Equipe 2 Adulto",6,""))))))))</f>
        <v/>
      </c>
      <c r="BR267" s="50" t="str">
        <f>IF(Atletas!L258="","",IF(Atletas!X258&lt;&gt;"",10000,0)+(IF(Atletas!B258="Feminino",1000,IF(Atletas!B258="Masculino",2000,""))+IF(Atletas!L258="Choylayfut A",1,IF(Atletas!L258="Hunggar A",2,IF(Atletas!L258="Wuzuquan A",3,IF(Atletas!L258="Wingchun A",4,IF(Atletas!L258="Outra Mão de Sul A",5,IF(Atletas!L258="Choylayfut B",6,IF(Atletas!L258="Hunggar B",7,IF(Atletas!L258="Wuzuquan B",8,IF(Atletas!L258="Wingchun B",9,IF(Atletas!L258="Outra Mão de Sul B",10,IF(Atletas!L258="Choylayfut C",11,IF(Atletas!L258="Hunggar C",12,IF(Atletas!L258="Wuzuquan C",13,IF(Atletas!L258="Wingchun C",14,IF(Atletas!L258="Outra Mão de Sul C",15,IF(Atletas!L258="Choylayfut D",16,IF(Atletas!L258="Hunggar D",17,IF(Atletas!L258="Wuzuquan D",18,IF(Atletas!L258="Wingchun D",19,IF(Atletas!L258="Outra Mão de Sul D",20,IF(Atletas!L258="Choylayfut E",21,IF(Atletas!L258="Hunggar E",22,IF(Atletas!L258="Wuzuquan E",23,IF(Atletas!L258="Wingchun E",24,IF(Atletas!L258="Outra Mão de Sul E",25,IF(Atletas!L258="Choylayfut F",26,IF(Atletas!L258="Hunggar F",27,IF(Atletas!L258="Wuzuquan F",28,IF(Atletas!L258="Wingchun F",29,IF(Atletas!L258="Outra Mão de Sul F",30,IF(Atletas!L258="Dishuquan A",31,IF(Atletas!L258="Dishuquan B",32,IF(Atletas!L258="Dishuquan C",33,IF(Atletas!L258="Dishuquan D",34,IF(Atletas!L258="Dishuquan E",35,IF(Atletas!L258="Dishuquan F",36,""))))))))))))))))))))))))))))))))))))))</f>
        <v/>
      </c>
      <c r="BS267" s="50" t="str">
        <f>IF(Atletas!M258="","",IF(Atletas!X258&lt;&gt;"",10000,0)+(IF(Atletas!B258="Feminino",1000,IF(Atletas!B258="Masculino",2000,""))+(IF(Atletas!M258="Chaquan A",101,IF(Atletas!M258="Emeiquan A",102,IF(Atletas!M258="Fanziquan A",103,IF(Atletas!M258="Huaquan A",104,IF(Atletas!M258="Hongquan A",105,IF(Atletas!M258="Paoquan A",106,IF(Atletas!M258="Piguaquan A",107,IF(Atletas!M258="Shaolinquan A",108,IF(Atletas!M258="Tanglangquan A",109,IF(Atletas!M258="Yingzhaoquan A",110,IF(Atletas!M258="Tongbeiquan A",111,IF(Atletas!M258="Wudangquan A",112,IF(Atletas!M258="Outros Estilos A",113,IF(Atletas!M258="Chaquan B",114,IF(Atletas!M258="Emeiquan B",115,IF(Atletas!M258="Fanziquan B",116,IF(Atletas!M258="Huaquan B",117,IF(Atletas!M258="Hongquan B",118,IF(Atletas!M258="Paoquan B",119,IF(Atletas!M258="Piguaquan B",120,IF(Atletas!M258="Shaolinquan B",121,IF(Atletas!M258="Tanglangquan B",122,IF(Atletas!M258="Yingzhaoquan B",123,IF(Atletas!M258="Tongbeiquan B",124,IF(Atletas!M258="Wudangquan B",125,IF(Atletas!M258="Outros Estilos B",126,IF(Atletas!M258="Chaquan C",127,IF(Atletas!M258="Emeiquan C",128,IF(Atletas!M258="Fanziquan C",129,IF(Atletas!M258="Huaquan C",130,IF(Atletas!M258="Hongquan C",131,IF(Atletas!M258="Paoquan C",132,IF(Atletas!M258="Piguaquan C",133,IF(Atletas!M258="Shaolinquan C",134,IF(Atletas!M258="Tanglangquan C",135,IF(Atletas!M258="Yingzhaoquan C",136,IF(Atletas!M258="Tongbeiquan C",137,IF(Atletas!M258="Wudangquan C",138,IF(Atletas!M258="Outros Estilos C",139,0))))))))))))))))))))))))))))))))))))))))))</f>
        <v/>
      </c>
      <c r="BT267" s="50" t="str">
        <f>IF(Atletas!M258="","",IF(Atletas!X258&lt;&gt;"",10000,0)+(IF(Atletas!B258="Feminino",1000,IF(Atletas!B258="Masculino",2000,""))+(IF(Atletas!M258="Chaquan D",140,IF(Atletas!M258="Emeiquan D",141,IF(Atletas!M258="Fanziquan D",142,IF(Atletas!M258="Huaquan D",143,IF(Atletas!M258="Hongquan D",144,IF(Atletas!M258="Paoquan D",145,IF(Atletas!M258="Piguaquan D",146,IF(Atletas!M258="Shaolinquan D",147,IF(Atletas!M258="Tanglangquan D",148,IF(Atletas!M258="Yingzhaoquan D",149,IF(Atletas!M258="Tongbeiquan D",150,IF(Atletas!M258="Wudangquan D",151,IF(Atletas!M258="Outros Estilos D",152,IF(Atletas!M258="Chaquan E",153,IF(Atletas!M258="Emeiquan E",154,IF(Atletas!M258="Fanziquan E",155,IF(Atletas!M258="Huaquan E",156,IF(Atletas!M258="Hongquan E",157,IF(Atletas!M258="Paoquan E",158,IF(Atletas!M258="Piguaquan E",159,IF(Atletas!M258="Shaolinquan E",160,IF(Atletas!M258="Tanglangquan E",161,IF(Atletas!M258="Yingzhaoquan E",162,IF(Atletas!M258="Tongbeiquan E",163,IF(Atletas!M258="Wudangquan E",164,IF(Atletas!M258="Outros Estilos E",165,IF(Atletas!M258="Chaquan F",166,IF(Atletas!M258="Emeiquan F",167,IF(Atletas!M258="Fanziquan F",168,IF(Atletas!M258="Huaquan F",169,IF(Atletas!M258="Hongquan F",170,IF(Atletas!M258="Paoquan F",171,IF(Atletas!M258="Piguaquan F",172,IF(Atletas!M258="Shaolinquan F",173,IF(Atletas!M258="Tanglangquan F",174,IF(Atletas!M258="Yingzhaoquan F",175,IF(Atletas!M258="Tongbeiquan F",176,IF(Atletas!M258="Wudangquan F",177,IF(Atletas!M258="Outros Estilos F",178,0))))))))))))))))))))))))))))))))))))))))))</f>
        <v/>
      </c>
      <c r="BU267" s="50" t="str">
        <f>IF(Atletas!N258="","",IF(Atletas!X258&lt;&gt;"",10000,0)+(IF(Atletas!B258="Feminino",1000,IF(Atletas!B258="Masculino",2000,""))+(IF(Atletas!N258="Ditangquan A",201,IF(Atletas!N258="Houquan A",202,IF(Atletas!N258="Zuiquan A",203,IF(Atletas!N258="Ditangquan B",204,IF(Atletas!N258="Houquan B",205,IF(Atletas!N258="Zuiquan B",206,IF(Atletas!N258="Ditangquan C",207,IF(Atletas!N258="Houquan C",208,IF(Atletas!N258="Zuiquan C",209,IF(Atletas!N258="Ditangquan D",210,IF(Atletas!N258="Houquan D",211,IF(Atletas!N258="Zuiquan D",212,IF(Atletas!N258="Ditangquan E",213,IF(Atletas!N258="Houquan E",214,IF(Atletas!N258="Zuiquan E",215,IF(Atletas!N258="Ditangquan F",216,IF(Atletas!N258="Houquan F",217,IF(Atletas!N258="Zuiquan F",218,"")))))))))))))))))))))</f>
        <v/>
      </c>
      <c r="BV267" s="50" t="str">
        <f>IF(Atletas!O258="","",IF(Atletas!X258&lt;&gt;"",10000,0)+IF(Atletas!B258="Feminino",1000,IF(Atletas!B258="Masculino",2000,""))+IF(Atletas!O258="Yang A",301,IF(Atletas!O258="Chen A",302,IF(Atletas!O258="Sun A",303,IF(Atletas!O258="Wu A",304,IF(Atletas!O258="Wu-Hao A",305,IF(Atletas!O258="Outro Taijiquan A",306,IF(Atletas!O258="Yang B",307,IF(Atletas!O258="Chen B",308,IF(Atletas!O258="Sun B",309,IF(Atletas!O258="Wu B",310,IF(Atletas!O258="Wu-Hao B",311,IF(Atletas!O258="Outro Taijiquan B",312,IF(Atletas!O258="Yang C",313,IF(Atletas!O258="Chen C",314,IF(Atletas!O258="Sun C",315,IF(Atletas!O258="Wu C",316,IF(Atletas!O258="Wu-Hao C",317,IF(Atletas!O258="Outro Taijiquan C",318,IF(Atletas!O258="Yang D",319,IF(Atletas!O258="Chen D",320,IF(Atletas!O258="Sun D",321,IF(Atletas!O258="Wu D",322,IF(Atletas!O258="Wu-Hao D",323,IF(Atletas!O258="Outro Taijiquan D",324,IF(Atletas!O258="Yang E",325,IF(Atletas!O258="Chen E",326,IF(Atletas!O258="Sun E",327,IF(Atletas!O258="Wu E",328,IF(Atletas!O258="Wu-Hao E",329,IF(Atletas!O258="Outro Taijiquan E",330,IF(Atletas!O258="Yang F",331,IF(Atletas!O258="Chen F",332,IF(Atletas!O258="Sun F",333,IF(Atletas!O258="Wu F",334,IF(Atletas!O258="Wu-Hao F",335,IF(Atletas!O258="Outro Taijiquan F",336,"")))))))))))))))))))))))))))))))))))))</f>
        <v/>
      </c>
      <c r="BW267" s="50" t="str">
        <f>IF(Atletas!P258="","",IF(Atletas!X258&lt;&gt;"",10000,0)+IF(Atletas!B258="Feminino",1000,IF(Atletas!B258="Masculino",2000,""))+IF(OR(Atletas!P258="Yang 26 A",Atletas!P258="Yang 40 A"),401,IF(OR(Atletas!P258="Chen 25 A",Atletas!P258="Chen 36 A",Atletas!P258="Chen 56 A"),402,IF(Atletas!P258="Sun 73 A",403,IF(Atletas!P258="Wu 45 A",404,IF(Atletas!P258="Wu-Hao 46 A",405,IF(OR(Atletas!P258="Taijiquan 16 A",Atletas!P258="Taijiquan 24 A",Atletas!P258="Taijiquan 32 A",Atletas!P258="Taijiquan 42 A"),406,IF(OR(Atletas!P258="Yang 26 B",Atletas!P258="Yang 40 B"),407,IF(OR(Atletas!P258="Chen 25 B",Atletas!P258="Chen 36 B",Atletas!P258="Chen 56 B"),408,IF(Atletas!P258="Sun 73 B",409,IF(Atletas!P258="Wu 45 B",410,IF(Atletas!P258="Wu-Hao 46 B",411,IF(OR(Atletas!P258="Taijiquan 16 B",Atletas!P258="Taijiquan 24 B",Atletas!P258="Taijiquan 32 B",Atletas!P258="Taijiquan 42 B"),412,IF(OR(Atletas!P258="Yang 26 C",Atletas!P258="Yang 40 C"),413,IF(OR(Atletas!P258="Chen 25 C",Atletas!P258="Chen 36 C",Atletas!P258="Chen 56 C"),414,IF(Atletas!P258="Sun 73 C",415,IF(Atletas!P258="Wu 45 C",416,IF(Atletas!P258="Wu-Hao 46 C",417,IF(OR(Atletas!P258="Taijiquan 16 C",Atletas!P258="Taijiquan 24 C",Atletas!P258="Taijiquan 32 C",Atletas!P258="Taijiquan 42 C"),418,0)))))))))))))))))))</f>
        <v/>
      </c>
      <c r="BX267" s="50" t="str">
        <f>IF(Atletas!P258="","",IF(Atletas!X258&lt;&gt;"",10000,0)+IF(Atletas!B258="Feminino",1000,IF(Atletas!B258="Masculino",2000,""))+IF(OR(Atletas!P258="Yang 26 D",Atletas!P258="Yang 40 D"),419,IF(OR(Atletas!P258="Chen 25 D",Atletas!P258="Chen 36 D",Atletas!P258="Chen 56 D"),420,IF(Atletas!P258="Sun 73 D",421,IF(Atletas!P258="Wu 45 D",422,IF(Atletas!P258="Wu-Hao 46 D",423,IF(OR(Atletas!P258="Taijiquan 16 D",Atletas!P258="Taijiquan 24 D",Atletas!P258="Taijiquan 32 D",Atletas!P258="Taijiquan 42 D"),424,IF(OR(Atletas!P258="Yang 26 E",Atletas!P258="Yang 40 E"),425,IF(OR(Atletas!P258="Chen 25 E",Atletas!P258="Chen 36 E",Atletas!P258="Chen 56 E"),426,IF(Atletas!P258="Sun 73 E",427,IF(Atletas!P258="Wu 45 E",428,IF(Atletas!P258="Wu-Hao 46 E",429,IF(OR(Atletas!P258="Taijiquan 16 E",Atletas!P258="Taijiquan 24 E",Atletas!P258="Taijiquan 32 E",Atletas!P258="Taijiquan 42 E"),430,IF(OR(Atletas!P258="Yang 26 F",Atletas!P258="Yang 40 F"),431,IF(OR(Atletas!P258="Chen 25 F",Atletas!P258="Chen 36 F",Atletas!P258="Chen 56 F"),432,IF(Atletas!P258="Sun 73 F",433,IF(Atletas!P258="Wu 45 F",434,IF(Atletas!P258="Wu-Hao 46 F",435,IF(OR(Atletas!P258="Taijiquan 16 F",Atletas!P258="Taijiquan 24 F",Atletas!P258="Taijiquan 32 F",Atletas!P258="Taijiquan 42 F"),436,0)))))))))))))))))))</f>
        <v/>
      </c>
      <c r="BY267" s="50" t="str">
        <f>IF(Atletas!Q258="","",IF(Atletas!X258&lt;&gt;"",10000,0)+IF(Atletas!B258="Feminino",1000,IF(Atletas!B258="Masculino",2000,""))+IF(Atletas!Q258="Xingyiquan A",501,IF(Atletas!Q258="Baguazhang A",502,IF(Atletas!Q258="Outro Estilo Interno A",503,IF(Atletas!Q258="Xingyiquan B",504,IF(Atletas!Q258="Baguazhang B",505,IF(Atletas!Q258="Outro Estilo Interno B",506,IF(Atletas!Q258="Xingyiquan C",507,IF(Atletas!Q258="Baguazhang C",508,IF(Atletas!Q258="Outro Estilo Interno C",509,IF(Atletas!Q258="Xingyiquan D",510,IF(Atletas!Q258="Baguazhang D",511,IF(Atletas!Q258="Outro Estilo Interno D",512,IF(Atletas!Q258="Xingyiquan E",513,IF(Atletas!Q258="Baguazhang E",514,IF(Atletas!Q258="Outro Estilo Interno E",515,IF(Atletas!Q258="Xingyiquan F",516,IF(Atletas!Q258="Baguazhang F",517,IF(Atletas!Q258="Outro Estilo Interno F",518, "")))))))))))))))))))</f>
        <v/>
      </c>
      <c r="BZ267" s="50" t="str">
        <f>IF(Atletas!R258="","",IF(Atletas!X258&lt;&gt;"",10000,0)+IF(Atletas!B258="Feminino",1000,IF(Atletas!B258="Masculino",2000,""))+IF(Atletas!R258="Dao A",601,IF(Atletas!R258="Jian A",602,IF(Atletas!R258="Bishou A",603,IF(Atletas!R258="Shanzi A",604,IF(Atletas!R258="Outra Arma Curta A",605,IF(Atletas!R258="Dao B",606,IF(Atletas!R258="Jian B",607,IF(Atletas!R258="Bishou B",608,IF(Atletas!R258="Shanzi B",609,IF(Atletas!R258="Outra Arma Curta B",610,IF(Atletas!R258="Dao C",611,IF(Atletas!R258="Jian C",612,IF(Atletas!R258="Bishou C",613,IF(Atletas!R258="Shanzi C",614,IF(Atletas!R258="Outra Arma Curta C",615,IF(Atletas!R258="Dao D",616,IF(Atletas!R258="Jian D",617,IF(Atletas!R258="Bishou D",618,IF(Atletas!R258="Shanzi D",619,IF(Atletas!R258="Outra Arma Curta D",620,IF(Atletas!R258="Dao E",621,IF(Atletas!R258="Jian E",622,IF(Atletas!R258="Bishou E",623,IF(Atletas!R258="Shanzi E",624,IF(Atletas!R258="Outra Arma Curta E",625,IF(Atletas!R258="Dao F",626,IF(Atletas!R258="Jian F",627,IF(Atletas!R258="Bishou F",628,IF(Atletas!R258="Shanzi F",629,IF(Atletas!R258="Outra Arma Curta F",630, "")))))))))))))))))))))))))))))))</f>
        <v/>
      </c>
      <c r="CA267" s="50" t="str">
        <f>IF(Atletas!S258="","",IF(Atletas!X258&lt;&gt;"",10000,0)+IF(Atletas!B258="Feminino",1000,IF(Atletas!B258="Masculino",2000,""))+IF(Atletas!S258="Gun A",701,IF(Atletas!S258="Qiang A",702,IF(Atletas!S258="Pudao / Guandao A",703,IF(Atletas!S258="Outra Arma Longa A",704,IF(Atletas!S258="Gun B",705,IF(Atletas!S258="Qiang B",706,IF(Atletas!S258="Pudao / Guandao B",707,IF(Atletas!S258="Outra Arma Longa B",708,IF(Atletas!S258="Gun C",709,IF(Atletas!S258="Qiang C",710,IF(Atletas!S258="Pudao / Guandao C",711,IF(Atletas!S258="Outra Arma Longa C",712,IF(Atletas!S258="Gun D",713,IF(Atletas!S258="Qiang D",714,IF(Atletas!S258="Pudao / Guandao D",715,IF(Atletas!S258="Outra Arma Longa D",716,IF(Atletas!S258="Gun E",717,IF(Atletas!S258="Qiang E",718,IF(Atletas!S258="Pudao / Guandao E",719,IF(Atletas!S258="Outra Arma Longa E",720,IF(Atletas!S258="Gun F",721,IF(Atletas!S258="Qiang F",722,IF(Atletas!S258="Pudao / Guandao F",723,IF(Atletas!S258="Outra Arma Longa F",724,"")))))))))))))))))))))))))</f>
        <v/>
      </c>
      <c r="CB267" s="50" t="str">
        <f>IF(Atletas!T258="","",IF(Atletas!X258&lt;&gt;"",10000,0)+IF(Atletas!B258="Feminino",1000,IF(Atletas!B258="Masculino",2000,""))+IF(Atletas!T258="Outra Arma Dupla A",801,IF(Atletas!T258="Arma Maleável A",802,IF(Atletas!T258="Outra Arma Dupla B",803,IF(Atletas!T258="Arma Maleável B",804,IF(Atletas!T258="Outra Arma Dupla C",805,IF(Atletas!T258="Arma Maleável C",806,IF(Atletas!T258="Outra Arma Dupla D",807,IF(Atletas!T258="Arma Maleável D",808,IF(Atletas!T258="Outra Arma Dupla E",809,IF(Atletas!T258="Arma Maleável E",810,IF(Atletas!T258="Outra Arma Dupla F",811,IF(Atletas!T258="Arma Maleável F",812,IF(Atletas!T258="Shuangdao A",813,IF(Atletas!T258="Shuangdao B",814,IF(Atletas!T258="Shuangdao C",815,IF(Atletas!T258="Shuangdao D",816,IF(Atletas!T258="Shuangdao E",817,IF(Atletas!T258="Shuangdao F",818,"")))))))))))))))))))</f>
        <v/>
      </c>
      <c r="CC267" s="50" t="str">
        <f>IF(Atletas!U258="","",IF(Atletas!X258&lt;&gt;"",10000,0)+IF(Atletas!B258="Feminino",1000,IF(Atletas!B258="Masculino",2000,""))+IF(OR(Atletas!U258="Taijijian Yang A",Atletas!U258="Taijijian Yang Standard A"),901,IF(OR(Atletas!U258="Taijijian Chen A", Atletas!U258="Taijijian Chen Standard A"),902,IF(Atletas!U258="Taijijian Sun A",903,IF(Atletas!U258="Taijijian Wu A",904,IF(Atletas!U258="Taijijian Wu-Hao A",905,IF(OR(Atletas!U258="Taijijian 32 A",Atletas!U258="Taijijian 42 A"),906,IF(OR(Atletas!U258="Taijijian Yang B",Atletas!U258="Taijijian Yang Standard B"),907,IF(OR(Atletas!U258="Taijijian Chen B", Atletas!U258="Taijijian Chen Standard B"),908,IF(Atletas!U258="Taijijian Sun B",909,IF(Atletas!U258="Taijijian Wu B",910,IF(Atletas!U258="Taijijian Wu-Hao B",911,IF(OR(Atletas!U258="Taijijian 32 B",Atletas!U258="Taijijian 42 B"),912,IF(OR(Atletas!U258="Taijijian Yang C",Atletas!U258="Taijijian Yang Standard C"),913,IF(OR(Atletas!U258="Taijijian Chen C", Atletas!U258="Taijijian Chen Standard C"),914,IF(Atletas!U258="Taijijian Sun C",915,IF(Atletas!U258="Taijijian Wu C",916,IF(Atletas!U258="Taijijian Wu-Hao C",917,IF(OR(Atletas!U258="Taijijian 32 C",Atletas!U258="Taijijian 42 C"),918,IF(OR(Atletas!U258="Taijijian Yang D",Atletas!U258="Taijijian Yang Standard D"),919,IF(OR(Atletas!U258="Taijijian Chen D", Atletas!U258="Taijijian Chen Standard D"),920,IF(Atletas!U258="Taijijian Sun D",921,IF(Atletas!U258="Taijijian Wu D",922,IF(Atletas!U258="Taijijian Wu-Hao D",923,IF(OR(Atletas!U258="Taijijian 32 D",Atletas!U258="Taijijian 42 D"),924,IF(OR(Atletas!U258="Taijijian Yang E",Atletas!U258="Taijijian Yang Standard E"),925,IF(OR(Atletas!U258="Taijijian Chen E", Atletas!U258="Taijijian Chen Standard E"),926,IF(Atletas!U258="Taijijian Sun E",927,IF(Atletas!U258="Taijijian Wu E",928,IF(Atletas!U258="Taijijian Wu-Hao E",929,IF(OR(Atletas!U258="Taijijian 32 E",Atletas!U258="Taijijian 42 E"),930,IF(OR(Atletas!U258="Taijijian Yang F",Atletas!U258="Taijijian Yang Standard F"),931,IF(OR(Atletas!U258="Taijijian Chen F", Atletas!U258="Taijijian Chen Standard F"),932,IF(Atletas!U258="Taijijian Sun F",933,IF(Atletas!U258="Taijijian Wu F",934,IF(Atletas!U258="Taijijian Wu-Hao F",935,IF(OR(Atletas!U258="Taijijian 32 F",Atletas!U258="Taijijian 42 F"),936,"")))))))))))))))))))))))))))))))))))))</f>
        <v/>
      </c>
      <c r="CD267" s="50" t="str">
        <f>IF(Atletas!V258="","",IF(Atletas!X258&lt;&gt;"",10000,0)+IF(Atletas!B258="Feminino",1000,IF(Atletas!B258="Masculino",2000,""))+IF(Atletas!V258="Taijidao A",937,IF(Atletas!V258="TaijiShanzi A",938,IF(Atletas!V258="Taijiqiang A",939,IF(Atletas!V258="Bagua de Arma A",940,IF(Atletas!V258="Xingyi de Arma A",941,IF(Atletas!V258="Taijidao B",942,IF(Atletas!V258="TaijiShanzi B",943,IF(Atletas!V258="Taijiqiang B",944,IF(Atletas!V258="Bagua de Arma B",945,IF(Atletas!V258="Xingyi de Arma B",946,IF(Atletas!V258="Taijidao C",947,IF(Atletas!V258="TaijiShanzi C",948,IF(Atletas!V258="Taijiqiang C",949,IF(Atletas!V258="Bagua de Arma C",950,IF(Atletas!V258="Xingyi de Arma C",951,IF(Atletas!V258="Taijidao D",952,IF(Atletas!V258="TaijiShanzi D",953,IF(Atletas!V258="Taijiqiang D",954,IF(Atletas!V258="Bagua de Arma D",955,IF(Atletas!V258="Xingyi de Arma D",956,IF(Atletas!V258="Taijidao E",957,IF(Atletas!V258="TaijiShanzi E",958,IF(Atletas!V258="Taijiqiang E",959,IF(Atletas!V258="Bagua de Arma E",960,IF(Atletas!V258="Xingyi de Arma E",961,IF(Atletas!V258="Taijidao F",962,IF(Atletas!V258="TaijiShanzi F",963,IF(Atletas!V258="Taijiqiang F",964,IF(Atletas!V258="Bagua de Arma F",965,IF(Atletas!V258="Xingyi de Arma F",966,"")))))))))))))))))))))))))))))))</f>
        <v/>
      </c>
      <c r="CE267" s="66" t="str">
        <f>IF(CF267&lt;&gt;"","Gun C","")</f>
        <v/>
      </c>
      <c r="CF267" s="66" t="str">
        <f>IF(COUNTIF(BR:CD,1709)&gt;0,COUNTIF(BR:CD,1709),"")</f>
        <v/>
      </c>
      <c r="CG267" s="66" t="str">
        <f>IF(CH267&lt;&gt;"","Gun C","")</f>
        <v/>
      </c>
      <c r="CH267" s="66" t="str">
        <f>IF(COUNTIF(BR:CD,2709)&gt;0,COUNTIF(BR:CD,2709),"")</f>
        <v/>
      </c>
      <c r="CI267" s="66" t="str">
        <f>IF(CJ268&lt;&gt;"","Outra Arma Longa D","")</f>
        <v/>
      </c>
      <c r="CJ267" s="66" t="str">
        <f>IF(COUNTIF(BR:CD,11715)&gt;0,COUNTIF(BR:CD,11715),"")</f>
        <v/>
      </c>
      <c r="CK267" s="66" t="str">
        <f>IF(CL267&lt;&gt;"","Pudao / Gaundao D","")</f>
        <v/>
      </c>
      <c r="CL267" s="6" t="str">
        <f>IF(COUNTIF(BR:CD,12715)&gt;0,COUNTIF(BR:CD,12715),"")</f>
        <v/>
      </c>
      <c r="CM267" s="50" t="str">
        <f xml:space="preserve"> IF(Atletas!W258="","",IF(Atletas!W258="Duilian de Mãos BC - Equipe 1",1,IF(Atletas!W258="Duilian de Mãos BC - Equipe 2",2,IF(Atletas!W258="Duilian de Armas BC - Equipe 1",3,IF(Atletas!W258="Duilian de Armas BC - Equipe 2",4,IF(Atletas!W258="Duilian de Mãos DE - Equipe 1",5,IF(Atletas!W258="Duilian de Mãos DE - Equipe 2",6,IF(Atletas!W258="Duilian de Armas DE - Equipe 1",7,IF(Atletas!W258="Duilian de Armas DE - Equipe 2",8,IF(Atletas!W258="Duilian de Tuishou - Equipe 1",9,IF(Atletas!W258="Duilian de Tuishou - Equipe 2",10,IF(Atletas!W258="Grupo Externo ABC - Equipe 1",11,IF(Atletas!W258="Grupo Externo ABC - Equipe 2",12,IF(Atletas!W258="Grupo Interno ABC - Equipe 1",13,IF(Atletas!W258="Grupo Interno ABC - Equipe 2",14,IF(Atletas!W258="Grupo Externo DEF - Equipe 1",15,IF(Atletas!W258="Grupo Externo DEF - Equipe 2",16,IF(Atletas!W258="Grupo Interno DEF - Equipe 1",17,IF(Atletas!W258="Grupo Interno DEF - Equipe 2",18,"")))))))))))))))))))</f>
        <v/>
      </c>
    </row>
    <row r="268" spans="2:91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 t="str">
        <f t="array" ref="Z268">IFERROR(INDEX(CE$7:CE$348,SMALL(IF(CE$7:CE$348&lt;&gt;"",ROW(CE$7:CE$348)-ROW(CE$7)+1),ROWS(CE$7:CE267))),"")</f>
        <v/>
      </c>
      <c r="AA268" s="3" t="str">
        <f t="array" ref="AA268">IFERROR(INDEX(CF$7:CF$348,SMALL(IF(CF$7:CF$348&lt;&gt;"",ROW(CF$7:CF$348)-ROW(CF$7)+1),ROWS(CF$7:CF267))),"")</f>
        <v/>
      </c>
      <c r="AB268" s="3" t="str">
        <f t="array" ref="AB268">IFERROR(INDEX(CG$7:CG$348,SMALL(IF(CG$7:CG$348&lt;&gt;"",ROW(CG$7:CG$348)-ROW(CG$7)+1),ROWS(CG$7:CG267))),"")</f>
        <v/>
      </c>
      <c r="AC268" s="3" t="str">
        <f t="array" ref="AC268">IFERROR(INDEX(CH$7:CH$348,SMALL(IF(CH$7:CH$348&lt;&gt;"",ROW(CH$7:CH$348)-ROW(CH$7)+1),ROWS(CH$7:CH267))),"")</f>
        <v/>
      </c>
      <c r="AD268" s="3" t="str">
        <f t="array" ref="AD268">IFERROR(INDEX(CI$7:CI$377,SMALL(IF(CI$7:CI$377&lt;&gt;"",ROW(CI$7:CI$377)-ROW(CI$7)+1),ROWS(CI$7:CI266))),"")</f>
        <v/>
      </c>
      <c r="AE268" s="3" t="str">
        <f t="array" ref="AE268">IFERROR(INDEX(CJ$7:CJ$378,SMALL(IF(CJ$7:CJ$378&lt;&gt;"",ROW(CJ$7:CJ$378)-ROW(CJ$7)+1),ROWS(CJ$7:CJ267))),"")</f>
        <v/>
      </c>
      <c r="AF268" s="3" t="str">
        <f t="array" ref="AF268">IFERROR(INDEX(CK$7:CK$378,SMALL(IF(CK$7:CK$378&lt;&gt;"",ROW(CK$7:CK$378)-ROW(CK$7)+1),ROWS(CK$7:CK267))),"")</f>
        <v/>
      </c>
      <c r="AG268" s="3" t="str">
        <f t="array" ref="AG268">IFERROR(INDEX(CL$7:CL$378,SMALL(IF(CL$7:CL$378&lt;&gt;"",ROW(CL$7:CL$378)-ROW(CL$7)+1),ROWS(CL$7:CL267))),"")</f>
        <v/>
      </c>
      <c r="AH268" s="3"/>
      <c r="AI268" s="3"/>
      <c r="AJ268" s="3"/>
      <c r="AK268" s="3"/>
      <c r="AL268" s="3"/>
      <c r="AM268" s="3"/>
      <c r="AN268" s="52" t="str">
        <f>IF(Atletas!D259="","",IF(Atletas!B259="Feminino",100,IF(Atletas!B259="Masculino",200,""))+(IF(Atletas!D259="Kids 30kg",1,IF(Atletas!D259="Kids 32kg",2, IF(Atletas!D259="Kids 34kg",3,IF(Atletas!D259="Kids 36kg",4,IF(Atletas!D259="Kids 39kg",5,IF(Atletas!D259="Kids 42kg",6,IF(Atletas!D259="Kids 45kg",7, IF(Atletas!D259="Infantil 39kg",8,IF(Atletas!D259="Infantil 42kg",9,IF(Atletas!D259="Infantil 45kg",10,IF(Atletas!D259="Infantil 48kg",11,IF(Atletas!D259="Infantil 52kg",12,IF(Atletas!D259="Infantil 56kg",13,IF(Atletas!D259="Infantil 60kg",14,IF(Atletas!D259="Juvenil 48kg",15,IF(Atletas!D259="Juvenil 52kg",16,IF(Atletas!D259="Juvenil 56kg",17,IF(Atletas!D259="Juvenil 60kg",18,IF(Atletas!D259="Juvenil 65kg",19,IF(Atletas!D259="Juvenil 70kg",20,IF(Atletas!D259="Juvenil 75kg",21,IF(Atletas!D259="Juvenil 80kg",22, IF(Atletas!D259="Juvenil 85kg",23,IF(Atletas!D259="Adulto 48kg",24,IF(Atletas!D259="Adulto 52kg",25,IF(Atletas!D259="Adulto 56kg",26,IF(Atletas!D259="Adulto 60kg",27,IF(Atletas!D259="Adulto 65kg",28,IF(Atletas!D259="Adulto 70kg",29,IF(Atletas!D259="Adulto 75kg",30,IF(Atletas!D259="Adulto 80kg",31,IF(Atletas!D259="Adulto 85kg",32,IF(Atletas!D259="Adulto 90kg",33,IF(Atletas!D259="Adulto 100kg",34, IF(Atletas!D259="Adulto +100kg",35,"")))))))))))))))))))))))))))))))))))))</f>
        <v/>
      </c>
      <c r="AS268" s="6" t="str">
        <f>IF(Atletas!E259="","",IF(Atletas!B259="Feminino",100,IF(Atletas!B259="Masculino",200,""))+(IF(Atletas!E259="Juvenil 44kg",1,IF(Atletas!E259="Juvenil 48kg",2,IF(Atletas!E259="Juvenil 52kg",3,IF(Atletas!E259="Juvenil 56kg",4,IF(Atletas!E259="Juvenil 60kg",5,IF(Atletas!E259="Juvenil 65kg",6,IF(Atletas!E259="Juvenil 70kg",7,IF(Atletas!E259="Juvenil 75kg",8,IF(Atletas!E259="Juvenil 82kg",9,IF(Atletas!E259="Juvenil 90kg",10,IF(Atletas!E259="Juvenil 100kg",11,IF(Atletas!E259="Adulto 48kg",12,IF(Atletas!E259="Adulto 52kg",13,IF(Atletas!E259="Adulto 56kg",14,IF(Atletas!E259="Adulto 60kg",15,IF(Atletas!E259="Adulto 65kg",16,IF(Atletas!E259="Adulto 70kg",17,IF(Atletas!E259="Adulto 75kg",18,IF(Atletas!E259="Adulto 82kg",19,IF(Atletas!E259="Adulto 90kg",20,IF(Atletas!E259="Adulto 100kg",21,IF(Atletas!E259="Adulto +100kg",22,""))))))))))))))))))))))))</f>
        <v/>
      </c>
      <c r="AX268" s="6" t="str">
        <f>IF(Atletas!F259="","",IF(Atletas!B259="Feminino",100,IF(Atletas!B259="Masculino",200,""))+(IF(Atletas!F259="Adulto 48kg",1,IF(Atletas!F259="Adulto 56kg",2,IF(Atletas!F259="Adulto 65kg",3,IF(Atletas!F259="Adulto 75kg",4,IF(Atletas!F259="Adulto +75kg",5,IF(Atletas!F259="Adulto 52kg",6,IF(Atletas!F259="Adulto 60kg",7,IF(Atletas!F259="Adulto 70kg",8,IF(Atletas!F259="Adulto 80kg",9,IF(Atletas!F259="Adulto 90kg",10,IF(Atletas!F259="Adulto +90kg",11,"")))))))))))))</f>
        <v/>
      </c>
      <c r="BC268" s="6" t="str">
        <f>IF(Atletas!G259="","",IF(Atletas!B259="Feminino",10,IF(Atletas!B259="Masculino",20,""))+(IF(Atletas!G259="Baduanjin A",1,IF(Atletas!G259="Baduanjin B",2))))</f>
        <v/>
      </c>
      <c r="BF268" s="52" t="str">
        <f>IF(Atletas!H259="","",IF(Atletas!B259="Feminino",100,IF(Atletas!B259="Masculino",200,""))+(IF(Atletas!H259="Changquan Mirim",1,IF(Atletas!H259="Nanquan Mirim",2,IF(Atletas!H259="Taijiquan Mirim",3,IF(Atletas!H259="Changquan Grupo C",4,IF(Atletas!H259="Nanquan Grupo C",5,IF(Atletas!H259="Taijiquan Grupo C",6,IF(Atletas!H259="Changquan Grupo B",7,IF(Atletas!H259="Nanquan Grupo B",8,IF(Atletas!H259="Taijiquan Grupo B",9,IF(Atletas!H259="Changquan Grupo A",10,IF(Atletas!H259="Nanquan Grupo A",11,IF(Atletas!H259="Taijiquan Grupo A",12,IF(Atletas!H259="Changquan Opcional",13,IF(Atletas!H259="Nanquan Opcional",14,IF(Atletas!H259="Taijiquan Opcional",15,IF(Atletas!H259="Changquan Adulto",16,IF(Atletas!H259="Nanquan Adulto",17,IF(Atletas!H259="Taijiquan Adulto",18,""))))))))))))))))))))</f>
        <v/>
      </c>
      <c r="BG268" s="52" t="str">
        <f>IF(Atletas!I259="","",IF(Atletas!B259="Feminino",100,IF(Atletas!B259="Masculino",200,""))+(IF(Atletas!I259="Daoshu Mirim",19,IF(Atletas!I259="Jianshu Mirim",20,IF(Atletas!I259="Nandao Mirim",21,IF(Atletas!I259="Taijijian Mirim",22,IF(Atletas!I259="Daoshu Grupo C",23,IF(Atletas!I259="Jianshu Grupo C",24,IF(Atletas!I259="Nandao Grupo C",25,IF(Atletas!I259="Taijijian Grupo C",26,IF(Atletas!I259="Daoshu Grupo B",27,IF(Atletas!I259="Jianshu Grupo B",28,IF(Atletas!I259="Nandao Grupo B",29,IF(Atletas!I259="Taijijian Grupo B",30,IF(Atletas!I259="Daoshu Grupo A",31,IF(Atletas!I259="Jianshu Grupo A",32,IF(Atletas!I259="Nandao Grupo A",33,IF(Atletas!I259="Taijijian Grupo A",34,IF(Atletas!I259="Daoshu Opcional",35,IF(Atletas!I259="Jianshu Opcional",36,IF(Atletas!I259="Nandao Opcional",37,IF(Atletas!I259="Taijijian Opcional",38,IF(Atletas!I259="Daoshu Adulto",39,IF(Atletas!I259="Jianshu Adulto",40,IF(Atletas!I259="Nandao Adulto",41,IF(Atletas!I259="Taijijian Adulto",42,""))))))))))))))))))))))))))</f>
        <v/>
      </c>
      <c r="BH268" s="52" t="str">
        <f>IF(Atletas!J259="","",IF(Atletas!B259="Feminino",100,IF(Atletas!B259="Masculino",200,""))+(IF(Atletas!J259="Gunshu Mirim",43,IF(Atletas!J259="Qiangshu Mirim",44,IF(Atletas!J259="Nangun Mirim",45,IF(Atletas!J259="Gunshu Grupo C",46,IF(Atletas!J259="Qiangshu Grupo C",47,IF(Atletas!J259="Nangun Grupo C",48,IF(Atletas!J259="Gunshu Grupo B",49,IF(Atletas!J259="Qiangshu Grupo B",50,IF(Atletas!J259="Nangun Grupo B",51,IF(Atletas!J259="Gunshu Grupo A",52,IF(Atletas!J259="Qiangshu Grupo A",53,IF(Atletas!J259="Nangun Grupo A",54,IF(Atletas!J259="Gunshu Opcional",55,IF(Atletas!J259="Qiangshu Opcional",56,IF(Atletas!J259="Nangun Opcional",57,IF(Atletas!J259="Gunshu Adulto",58,IF(Atletas!J259="Qiangshu Adulto",59,IF(Atletas!J259="Nangun Adulto",60,IF(Atletas!J259="Taijishan Grupo B",61,IF(Atletas!J259="Taijishan Grupo A",62,""))))))))))))))))))))))</f>
        <v/>
      </c>
      <c r="BM268" s="50" t="str">
        <f>IF(Atletas!K259="","",IF(Atletas!B259="Feminino",100,IF(Atletas!B259="Masculino",200,""))+(IF(Atletas!K259="Equipe 1 Grupo B",1,IF(Atletas!K259="Equipe 2 Grupo B",2,IF(Atletas!K259="Equipe 1 Grupo A",3,IF(Atletas!K259="Equipe 2 Grupo A",4,IF(Atletas!K259="Equipe 1 Adulto",5,IF(Atletas!K259="Equipe 2 Adulto",6,""))))))))</f>
        <v/>
      </c>
      <c r="BR268" s="50" t="str">
        <f>IF(Atletas!L259="","",IF(Atletas!X259&lt;&gt;"",10000,0)+(IF(Atletas!B259="Feminino",1000,IF(Atletas!B259="Masculino",2000,""))+IF(Atletas!L259="Choylayfut A",1,IF(Atletas!L259="Hunggar A",2,IF(Atletas!L259="Wuzuquan A",3,IF(Atletas!L259="Wingchun A",4,IF(Atletas!L259="Outra Mão de Sul A",5,IF(Atletas!L259="Choylayfut B",6,IF(Atletas!L259="Hunggar B",7,IF(Atletas!L259="Wuzuquan B",8,IF(Atletas!L259="Wingchun B",9,IF(Atletas!L259="Outra Mão de Sul B",10,IF(Atletas!L259="Choylayfut C",11,IF(Atletas!L259="Hunggar C",12,IF(Atletas!L259="Wuzuquan C",13,IF(Atletas!L259="Wingchun C",14,IF(Atletas!L259="Outra Mão de Sul C",15,IF(Atletas!L259="Choylayfut D",16,IF(Atletas!L259="Hunggar D",17,IF(Atletas!L259="Wuzuquan D",18,IF(Atletas!L259="Wingchun D",19,IF(Atletas!L259="Outra Mão de Sul D",20,IF(Atletas!L259="Choylayfut E",21,IF(Atletas!L259="Hunggar E",22,IF(Atletas!L259="Wuzuquan E",23,IF(Atletas!L259="Wingchun E",24,IF(Atletas!L259="Outra Mão de Sul E",25,IF(Atletas!L259="Choylayfut F",26,IF(Atletas!L259="Hunggar F",27,IF(Atletas!L259="Wuzuquan F",28,IF(Atletas!L259="Wingchun F",29,IF(Atletas!L259="Outra Mão de Sul F",30,IF(Atletas!L259="Dishuquan A",31,IF(Atletas!L259="Dishuquan B",32,IF(Atletas!L259="Dishuquan C",33,IF(Atletas!L259="Dishuquan D",34,IF(Atletas!L259="Dishuquan E",35,IF(Atletas!L259="Dishuquan F",36,""))))))))))))))))))))))))))))))))))))))</f>
        <v/>
      </c>
      <c r="BS268" s="50" t="str">
        <f>IF(Atletas!M259="","",IF(Atletas!X259&lt;&gt;"",10000,0)+(IF(Atletas!B259="Feminino",1000,IF(Atletas!B259="Masculino",2000,""))+(IF(Atletas!M259="Chaquan A",101,IF(Atletas!M259="Emeiquan A",102,IF(Atletas!M259="Fanziquan A",103,IF(Atletas!M259="Huaquan A",104,IF(Atletas!M259="Hongquan A",105,IF(Atletas!M259="Paoquan A",106,IF(Atletas!M259="Piguaquan A",107,IF(Atletas!M259="Shaolinquan A",108,IF(Atletas!M259="Tanglangquan A",109,IF(Atletas!M259="Yingzhaoquan A",110,IF(Atletas!M259="Tongbeiquan A",111,IF(Atletas!M259="Wudangquan A",112,IF(Atletas!M259="Outros Estilos A",113,IF(Atletas!M259="Chaquan B",114,IF(Atletas!M259="Emeiquan B",115,IF(Atletas!M259="Fanziquan B",116,IF(Atletas!M259="Huaquan B",117,IF(Atletas!M259="Hongquan B",118,IF(Atletas!M259="Paoquan B",119,IF(Atletas!M259="Piguaquan B",120,IF(Atletas!M259="Shaolinquan B",121,IF(Atletas!M259="Tanglangquan B",122,IF(Atletas!M259="Yingzhaoquan B",123,IF(Atletas!M259="Tongbeiquan B",124,IF(Atletas!M259="Wudangquan B",125,IF(Atletas!M259="Outros Estilos B",126,IF(Atletas!M259="Chaquan C",127,IF(Atletas!M259="Emeiquan C",128,IF(Atletas!M259="Fanziquan C",129,IF(Atletas!M259="Huaquan C",130,IF(Atletas!M259="Hongquan C",131,IF(Atletas!M259="Paoquan C",132,IF(Atletas!M259="Piguaquan C",133,IF(Atletas!M259="Shaolinquan C",134,IF(Atletas!M259="Tanglangquan C",135,IF(Atletas!M259="Yingzhaoquan C",136,IF(Atletas!M259="Tongbeiquan C",137,IF(Atletas!M259="Wudangquan C",138,IF(Atletas!M259="Outros Estilos C",139,0))))))))))))))))))))))))))))))))))))))))))</f>
        <v/>
      </c>
      <c r="BT268" s="50" t="str">
        <f>IF(Atletas!M259="","",IF(Atletas!X259&lt;&gt;"",10000,0)+(IF(Atletas!B259="Feminino",1000,IF(Atletas!B259="Masculino",2000,""))+(IF(Atletas!M259="Chaquan D",140,IF(Atletas!M259="Emeiquan D",141,IF(Atletas!M259="Fanziquan D",142,IF(Atletas!M259="Huaquan D",143,IF(Atletas!M259="Hongquan D",144,IF(Atletas!M259="Paoquan D",145,IF(Atletas!M259="Piguaquan D",146,IF(Atletas!M259="Shaolinquan D",147,IF(Atletas!M259="Tanglangquan D",148,IF(Atletas!M259="Yingzhaoquan D",149,IF(Atletas!M259="Tongbeiquan D",150,IF(Atletas!M259="Wudangquan D",151,IF(Atletas!M259="Outros Estilos D",152,IF(Atletas!M259="Chaquan E",153,IF(Atletas!M259="Emeiquan E",154,IF(Atletas!M259="Fanziquan E",155,IF(Atletas!M259="Huaquan E",156,IF(Atletas!M259="Hongquan E",157,IF(Atletas!M259="Paoquan E",158,IF(Atletas!M259="Piguaquan E",159,IF(Atletas!M259="Shaolinquan E",160,IF(Atletas!M259="Tanglangquan E",161,IF(Atletas!M259="Yingzhaoquan E",162,IF(Atletas!M259="Tongbeiquan E",163,IF(Atletas!M259="Wudangquan E",164,IF(Atletas!M259="Outros Estilos E",165,IF(Atletas!M259="Chaquan F",166,IF(Atletas!M259="Emeiquan F",167,IF(Atletas!M259="Fanziquan F",168,IF(Atletas!M259="Huaquan F",169,IF(Atletas!M259="Hongquan F",170,IF(Atletas!M259="Paoquan F",171,IF(Atletas!M259="Piguaquan F",172,IF(Atletas!M259="Shaolinquan F",173,IF(Atletas!M259="Tanglangquan F",174,IF(Atletas!M259="Yingzhaoquan F",175,IF(Atletas!M259="Tongbeiquan F",176,IF(Atletas!M259="Wudangquan F",177,IF(Atletas!M259="Outros Estilos F",178,0))))))))))))))))))))))))))))))))))))))))))</f>
        <v/>
      </c>
      <c r="BU268" s="50" t="str">
        <f>IF(Atletas!N259="","",IF(Atletas!X259&lt;&gt;"",10000,0)+(IF(Atletas!B259="Feminino",1000,IF(Atletas!B259="Masculino",2000,""))+(IF(Atletas!N259="Ditangquan A",201,IF(Atletas!N259="Houquan A",202,IF(Atletas!N259="Zuiquan A",203,IF(Atletas!N259="Ditangquan B",204,IF(Atletas!N259="Houquan B",205,IF(Atletas!N259="Zuiquan B",206,IF(Atletas!N259="Ditangquan C",207,IF(Atletas!N259="Houquan C",208,IF(Atletas!N259="Zuiquan C",209,IF(Atletas!N259="Ditangquan D",210,IF(Atletas!N259="Houquan D",211,IF(Atletas!N259="Zuiquan D",212,IF(Atletas!N259="Ditangquan E",213,IF(Atletas!N259="Houquan E",214,IF(Atletas!N259="Zuiquan E",215,IF(Atletas!N259="Ditangquan F",216,IF(Atletas!N259="Houquan F",217,IF(Atletas!N259="Zuiquan F",218,"")))))))))))))))))))))</f>
        <v/>
      </c>
      <c r="BV268" s="50" t="str">
        <f>IF(Atletas!O259="","",IF(Atletas!X259&lt;&gt;"",10000,0)+IF(Atletas!B259="Feminino",1000,IF(Atletas!B259="Masculino",2000,""))+IF(Atletas!O259="Yang A",301,IF(Atletas!O259="Chen A",302,IF(Atletas!O259="Sun A",303,IF(Atletas!O259="Wu A",304,IF(Atletas!O259="Wu-Hao A",305,IF(Atletas!O259="Outro Taijiquan A",306,IF(Atletas!O259="Yang B",307,IF(Atletas!O259="Chen B",308,IF(Atletas!O259="Sun B",309,IF(Atletas!O259="Wu B",310,IF(Atletas!O259="Wu-Hao B",311,IF(Atletas!O259="Outro Taijiquan B",312,IF(Atletas!O259="Yang C",313,IF(Atletas!O259="Chen C",314,IF(Atletas!O259="Sun C",315,IF(Atletas!O259="Wu C",316,IF(Atletas!O259="Wu-Hao C",317,IF(Atletas!O259="Outro Taijiquan C",318,IF(Atletas!O259="Yang D",319,IF(Atletas!O259="Chen D",320,IF(Atletas!O259="Sun D",321,IF(Atletas!O259="Wu D",322,IF(Atletas!O259="Wu-Hao D",323,IF(Atletas!O259="Outro Taijiquan D",324,IF(Atletas!O259="Yang E",325,IF(Atletas!O259="Chen E",326,IF(Atletas!O259="Sun E",327,IF(Atletas!O259="Wu E",328,IF(Atletas!O259="Wu-Hao E",329,IF(Atletas!O259="Outro Taijiquan E",330,IF(Atletas!O259="Yang F",331,IF(Atletas!O259="Chen F",332,IF(Atletas!O259="Sun F",333,IF(Atletas!O259="Wu F",334,IF(Atletas!O259="Wu-Hao F",335,IF(Atletas!O259="Outro Taijiquan F",336,"")))))))))))))))))))))))))))))))))))))</f>
        <v/>
      </c>
      <c r="BW268" s="50" t="str">
        <f>IF(Atletas!P259="","",IF(Atletas!X259&lt;&gt;"",10000,0)+IF(Atletas!B259="Feminino",1000,IF(Atletas!B259="Masculino",2000,""))+IF(OR(Atletas!P259="Yang 26 A",Atletas!P259="Yang 40 A"),401,IF(OR(Atletas!P259="Chen 25 A",Atletas!P259="Chen 36 A",Atletas!P259="Chen 56 A"),402,IF(Atletas!P259="Sun 73 A",403,IF(Atletas!P259="Wu 45 A",404,IF(Atletas!P259="Wu-Hao 46 A",405,IF(OR(Atletas!P259="Taijiquan 16 A",Atletas!P259="Taijiquan 24 A",Atletas!P259="Taijiquan 32 A",Atletas!P259="Taijiquan 42 A"),406,IF(OR(Atletas!P259="Yang 26 B",Atletas!P259="Yang 40 B"),407,IF(OR(Atletas!P259="Chen 25 B",Atletas!P259="Chen 36 B",Atletas!P259="Chen 56 B"),408,IF(Atletas!P259="Sun 73 B",409,IF(Atletas!P259="Wu 45 B",410,IF(Atletas!P259="Wu-Hao 46 B",411,IF(OR(Atletas!P259="Taijiquan 16 B",Atletas!P259="Taijiquan 24 B",Atletas!P259="Taijiquan 32 B",Atletas!P259="Taijiquan 42 B"),412,IF(OR(Atletas!P259="Yang 26 C",Atletas!P259="Yang 40 C"),413,IF(OR(Atletas!P259="Chen 25 C",Atletas!P259="Chen 36 C",Atletas!P259="Chen 56 C"),414,IF(Atletas!P259="Sun 73 C",415,IF(Atletas!P259="Wu 45 C",416,IF(Atletas!P259="Wu-Hao 46 C",417,IF(OR(Atletas!P259="Taijiquan 16 C",Atletas!P259="Taijiquan 24 C",Atletas!P259="Taijiquan 32 C",Atletas!P259="Taijiquan 42 C"),418,0)))))))))))))))))))</f>
        <v/>
      </c>
      <c r="BX268" s="50" t="str">
        <f>IF(Atletas!P259="","",IF(Atletas!X259&lt;&gt;"",10000,0)+IF(Atletas!B259="Feminino",1000,IF(Atletas!B259="Masculino",2000,""))+IF(OR(Atletas!P259="Yang 26 D",Atletas!P259="Yang 40 D"),419,IF(OR(Atletas!P259="Chen 25 D",Atletas!P259="Chen 36 D",Atletas!P259="Chen 56 D"),420,IF(Atletas!P259="Sun 73 D",421,IF(Atletas!P259="Wu 45 D",422,IF(Atletas!P259="Wu-Hao 46 D",423,IF(OR(Atletas!P259="Taijiquan 16 D",Atletas!P259="Taijiquan 24 D",Atletas!P259="Taijiquan 32 D",Atletas!P259="Taijiquan 42 D"),424,IF(OR(Atletas!P259="Yang 26 E",Atletas!P259="Yang 40 E"),425,IF(OR(Atletas!P259="Chen 25 E",Atletas!P259="Chen 36 E",Atletas!P259="Chen 56 E"),426,IF(Atletas!P259="Sun 73 E",427,IF(Atletas!P259="Wu 45 E",428,IF(Atletas!P259="Wu-Hao 46 E",429,IF(OR(Atletas!P259="Taijiquan 16 E",Atletas!P259="Taijiquan 24 E",Atletas!P259="Taijiquan 32 E",Atletas!P259="Taijiquan 42 E"),430,IF(OR(Atletas!P259="Yang 26 F",Atletas!P259="Yang 40 F"),431,IF(OR(Atletas!P259="Chen 25 F",Atletas!P259="Chen 36 F",Atletas!P259="Chen 56 F"),432,IF(Atletas!P259="Sun 73 F",433,IF(Atletas!P259="Wu 45 F",434,IF(Atletas!P259="Wu-Hao 46 F",435,IF(OR(Atletas!P259="Taijiquan 16 F",Atletas!P259="Taijiquan 24 F",Atletas!P259="Taijiquan 32 F",Atletas!P259="Taijiquan 42 F"),436,0)))))))))))))))))))</f>
        <v/>
      </c>
      <c r="BY268" s="50" t="str">
        <f>IF(Atletas!Q259="","",IF(Atletas!X259&lt;&gt;"",10000,0)+IF(Atletas!B259="Feminino",1000,IF(Atletas!B259="Masculino",2000,""))+IF(Atletas!Q259="Xingyiquan A",501,IF(Atletas!Q259="Baguazhang A",502,IF(Atletas!Q259="Outro Estilo Interno A",503,IF(Atletas!Q259="Xingyiquan B",504,IF(Atletas!Q259="Baguazhang B",505,IF(Atletas!Q259="Outro Estilo Interno B",506,IF(Atletas!Q259="Xingyiquan C",507,IF(Atletas!Q259="Baguazhang C",508,IF(Atletas!Q259="Outro Estilo Interno C",509,IF(Atletas!Q259="Xingyiquan D",510,IF(Atletas!Q259="Baguazhang D",511,IF(Atletas!Q259="Outro Estilo Interno D",512,IF(Atletas!Q259="Xingyiquan E",513,IF(Atletas!Q259="Baguazhang E",514,IF(Atletas!Q259="Outro Estilo Interno E",515,IF(Atletas!Q259="Xingyiquan F",516,IF(Atletas!Q259="Baguazhang F",517,IF(Atletas!Q259="Outro Estilo Interno F",518, "")))))))))))))))))))</f>
        <v/>
      </c>
      <c r="BZ268" s="50" t="str">
        <f>IF(Atletas!R259="","",IF(Atletas!X259&lt;&gt;"",10000,0)+IF(Atletas!B259="Feminino",1000,IF(Atletas!B259="Masculino",2000,""))+IF(Atletas!R259="Dao A",601,IF(Atletas!R259="Jian A",602,IF(Atletas!R259="Bishou A",603,IF(Atletas!R259="Shanzi A",604,IF(Atletas!R259="Outra Arma Curta A",605,IF(Atletas!R259="Dao B",606,IF(Atletas!R259="Jian B",607,IF(Atletas!R259="Bishou B",608,IF(Atletas!R259="Shanzi B",609,IF(Atletas!R259="Outra Arma Curta B",610,IF(Atletas!R259="Dao C",611,IF(Atletas!R259="Jian C",612,IF(Atletas!R259="Bishou C",613,IF(Atletas!R259="Shanzi C",614,IF(Atletas!R259="Outra Arma Curta C",615,IF(Atletas!R259="Dao D",616,IF(Atletas!R259="Jian D",617,IF(Atletas!R259="Bishou D",618,IF(Atletas!R259="Shanzi D",619,IF(Atletas!R259="Outra Arma Curta D",620,IF(Atletas!R259="Dao E",621,IF(Atletas!R259="Jian E",622,IF(Atletas!R259="Bishou E",623,IF(Atletas!R259="Shanzi E",624,IF(Atletas!R259="Outra Arma Curta E",625,IF(Atletas!R259="Dao F",626,IF(Atletas!R259="Jian F",627,IF(Atletas!R259="Bishou F",628,IF(Atletas!R259="Shanzi F",629,IF(Atletas!R259="Outra Arma Curta F",630, "")))))))))))))))))))))))))))))))</f>
        <v/>
      </c>
      <c r="CA268" s="50" t="str">
        <f>IF(Atletas!S259="","",IF(Atletas!X259&lt;&gt;"",10000,0)+IF(Atletas!B259="Feminino",1000,IF(Atletas!B259="Masculino",2000,""))+IF(Atletas!S259="Gun A",701,IF(Atletas!S259="Qiang A",702,IF(Atletas!S259="Pudao / Guandao A",703,IF(Atletas!S259="Outra Arma Longa A",704,IF(Atletas!S259="Gun B",705,IF(Atletas!S259="Qiang B",706,IF(Atletas!S259="Pudao / Guandao B",707,IF(Atletas!S259="Outra Arma Longa B",708,IF(Atletas!S259="Gun C",709,IF(Atletas!S259="Qiang C",710,IF(Atletas!S259="Pudao / Guandao C",711,IF(Atletas!S259="Outra Arma Longa C",712,IF(Atletas!S259="Gun D",713,IF(Atletas!S259="Qiang D",714,IF(Atletas!S259="Pudao / Guandao D",715,IF(Atletas!S259="Outra Arma Longa D",716,IF(Atletas!S259="Gun E",717,IF(Atletas!S259="Qiang E",718,IF(Atletas!S259="Pudao / Guandao E",719,IF(Atletas!S259="Outra Arma Longa E",720,IF(Atletas!S259="Gun F",721,IF(Atletas!S259="Qiang F",722,IF(Atletas!S259="Pudao / Guandao F",723,IF(Atletas!S259="Outra Arma Longa F",724,"")))))))))))))))))))))))))</f>
        <v/>
      </c>
      <c r="CB268" s="50" t="str">
        <f>IF(Atletas!T259="","",IF(Atletas!X259&lt;&gt;"",10000,0)+IF(Atletas!B259="Feminino",1000,IF(Atletas!B259="Masculino",2000,""))+IF(Atletas!T259="Outra Arma Dupla A",801,IF(Atletas!T259="Arma Maleável A",802,IF(Atletas!T259="Outra Arma Dupla B",803,IF(Atletas!T259="Arma Maleável B",804,IF(Atletas!T259="Outra Arma Dupla C",805,IF(Atletas!T259="Arma Maleável C",806,IF(Atletas!T259="Outra Arma Dupla D",807,IF(Atletas!T259="Arma Maleável D",808,IF(Atletas!T259="Outra Arma Dupla E",809,IF(Atletas!T259="Arma Maleável E",810,IF(Atletas!T259="Outra Arma Dupla F",811,IF(Atletas!T259="Arma Maleável F",812,IF(Atletas!T259="Shuangdao A",813,IF(Atletas!T259="Shuangdao B",814,IF(Atletas!T259="Shuangdao C",815,IF(Atletas!T259="Shuangdao D",816,IF(Atletas!T259="Shuangdao E",817,IF(Atletas!T259="Shuangdao F",818,"")))))))))))))))))))</f>
        <v/>
      </c>
      <c r="CC268" s="50" t="str">
        <f>IF(Atletas!U259="","",IF(Atletas!X259&lt;&gt;"",10000,0)+IF(Atletas!B259="Feminino",1000,IF(Atletas!B259="Masculino",2000,""))+IF(OR(Atletas!U259="Taijijian Yang A",Atletas!U259="Taijijian Yang Standard A"),901,IF(OR(Atletas!U259="Taijijian Chen A", Atletas!U259="Taijijian Chen Standard A"),902,IF(Atletas!U259="Taijijian Sun A",903,IF(Atletas!U259="Taijijian Wu A",904,IF(Atletas!U259="Taijijian Wu-Hao A",905,IF(OR(Atletas!U259="Taijijian 32 A",Atletas!U259="Taijijian 42 A"),906,IF(OR(Atletas!U259="Taijijian Yang B",Atletas!U259="Taijijian Yang Standard B"),907,IF(OR(Atletas!U259="Taijijian Chen B", Atletas!U259="Taijijian Chen Standard B"),908,IF(Atletas!U259="Taijijian Sun B",909,IF(Atletas!U259="Taijijian Wu B",910,IF(Atletas!U259="Taijijian Wu-Hao B",911,IF(OR(Atletas!U259="Taijijian 32 B",Atletas!U259="Taijijian 42 B"),912,IF(OR(Atletas!U259="Taijijian Yang C",Atletas!U259="Taijijian Yang Standard C"),913,IF(OR(Atletas!U259="Taijijian Chen C", Atletas!U259="Taijijian Chen Standard C"),914,IF(Atletas!U259="Taijijian Sun C",915,IF(Atletas!U259="Taijijian Wu C",916,IF(Atletas!U259="Taijijian Wu-Hao C",917,IF(OR(Atletas!U259="Taijijian 32 C",Atletas!U259="Taijijian 42 C"),918,IF(OR(Atletas!U259="Taijijian Yang D",Atletas!U259="Taijijian Yang Standard D"),919,IF(OR(Atletas!U259="Taijijian Chen D", Atletas!U259="Taijijian Chen Standard D"),920,IF(Atletas!U259="Taijijian Sun D",921,IF(Atletas!U259="Taijijian Wu D",922,IF(Atletas!U259="Taijijian Wu-Hao D",923,IF(OR(Atletas!U259="Taijijian 32 D",Atletas!U259="Taijijian 42 D"),924,IF(OR(Atletas!U259="Taijijian Yang E",Atletas!U259="Taijijian Yang Standard E"),925,IF(OR(Atletas!U259="Taijijian Chen E", Atletas!U259="Taijijian Chen Standard E"),926,IF(Atletas!U259="Taijijian Sun E",927,IF(Atletas!U259="Taijijian Wu E",928,IF(Atletas!U259="Taijijian Wu-Hao E",929,IF(OR(Atletas!U259="Taijijian 32 E",Atletas!U259="Taijijian 42 E"),930,IF(OR(Atletas!U259="Taijijian Yang F",Atletas!U259="Taijijian Yang Standard F"),931,IF(OR(Atletas!U259="Taijijian Chen F", Atletas!U259="Taijijian Chen Standard F"),932,IF(Atletas!U259="Taijijian Sun F",933,IF(Atletas!U259="Taijijian Wu F",934,IF(Atletas!U259="Taijijian Wu-Hao F",935,IF(OR(Atletas!U259="Taijijian 32 F",Atletas!U259="Taijijian 42 F"),936,"")))))))))))))))))))))))))))))))))))))</f>
        <v/>
      </c>
      <c r="CD268" s="50" t="str">
        <f>IF(Atletas!V259="","",IF(Atletas!X259&lt;&gt;"",10000,0)+IF(Atletas!B259="Feminino",1000,IF(Atletas!B259="Masculino",2000,""))+IF(Atletas!V259="Taijidao A",937,IF(Atletas!V259="TaijiShanzi A",938,IF(Atletas!V259="Taijiqiang A",939,IF(Atletas!V259="Bagua de Arma A",940,IF(Atletas!V259="Xingyi de Arma A",941,IF(Atletas!V259="Taijidao B",942,IF(Atletas!V259="TaijiShanzi B",943,IF(Atletas!V259="Taijiqiang B",944,IF(Atletas!V259="Bagua de Arma B",945,IF(Atletas!V259="Xingyi de Arma B",946,IF(Atletas!V259="Taijidao C",947,IF(Atletas!V259="TaijiShanzi C",948,IF(Atletas!V259="Taijiqiang C",949,IF(Atletas!V259="Bagua de Arma C",950,IF(Atletas!V259="Xingyi de Arma C",951,IF(Atletas!V259="Taijidao D",952,IF(Atletas!V259="TaijiShanzi D",953,IF(Atletas!V259="Taijiqiang D",954,IF(Atletas!V259="Bagua de Arma D",955,IF(Atletas!V259="Xingyi de Arma D",956,IF(Atletas!V259="Taijidao E",957,IF(Atletas!V259="TaijiShanzi E",958,IF(Atletas!V259="Taijiqiang E",959,IF(Atletas!V259="Bagua de Arma E",960,IF(Atletas!V259="Xingyi de Arma E",961,IF(Atletas!V259="Taijidao F",962,IF(Atletas!V259="TaijiShanzi F",963,IF(Atletas!V259="Taijiqiang F",964,IF(Atletas!V259="Bagua de Arma F",965,IF(Atletas!V259="Xingyi de Arma F",966,"")))))))))))))))))))))))))))))))</f>
        <v/>
      </c>
      <c r="CE268" s="66" t="str">
        <f>IF(CF268&lt;&gt;"","Qiang C","")</f>
        <v/>
      </c>
      <c r="CF268" s="66" t="str">
        <f>IF(COUNTIF(BR:CD,1710)&gt;0,COUNTIF(BR:CD,1710),"")</f>
        <v/>
      </c>
      <c r="CG268" s="66" t="str">
        <f>IF(CH268&lt;&gt;"","Qiang C","")</f>
        <v/>
      </c>
      <c r="CH268" s="66" t="str">
        <f>IF(COUNTIF(BR:CD,2710)&gt;0,COUNTIF(BR:CD,2710),"")</f>
        <v/>
      </c>
      <c r="CI268" s="66" t="str">
        <f>IF(CJ269&lt;&gt;"","Gun E","")</f>
        <v/>
      </c>
      <c r="CJ268" s="66" t="str">
        <f>IF(COUNTIF(BR:CD,11716)&gt;0,COUNTIF(BR:CD,11716),"")</f>
        <v/>
      </c>
      <c r="CK268" s="66" t="str">
        <f>IF(CL268&lt;&gt;"","Outra Arma Longa D","")</f>
        <v/>
      </c>
      <c r="CL268" s="6" t="str">
        <f>IF(COUNTIF(BR:CD,12716)&gt;0,COUNTIF(BR:CD,12716),"")</f>
        <v/>
      </c>
      <c r="CM268" s="50" t="str">
        <f xml:space="preserve"> IF(Atletas!W259="","",IF(Atletas!W259="Duilian de Mãos BC - Equipe 1",1,IF(Atletas!W259="Duilian de Mãos BC - Equipe 2",2,IF(Atletas!W259="Duilian de Armas BC - Equipe 1",3,IF(Atletas!W259="Duilian de Armas BC - Equipe 2",4,IF(Atletas!W259="Duilian de Mãos DE - Equipe 1",5,IF(Atletas!W259="Duilian de Mãos DE - Equipe 2",6,IF(Atletas!W259="Duilian de Armas DE - Equipe 1",7,IF(Atletas!W259="Duilian de Armas DE - Equipe 2",8,IF(Atletas!W259="Duilian de Tuishou - Equipe 1",9,IF(Atletas!W259="Duilian de Tuishou - Equipe 2",10,IF(Atletas!W259="Grupo Externo ABC - Equipe 1",11,IF(Atletas!W259="Grupo Externo ABC - Equipe 2",12,IF(Atletas!W259="Grupo Interno ABC - Equipe 1",13,IF(Atletas!W259="Grupo Interno ABC - Equipe 2",14,IF(Atletas!W259="Grupo Externo DEF - Equipe 1",15,IF(Atletas!W259="Grupo Externo DEF - Equipe 2",16,IF(Atletas!W259="Grupo Interno DEF - Equipe 1",17,IF(Atletas!W259="Grupo Interno DEF - Equipe 2",18,"")))))))))))))))))))</f>
        <v/>
      </c>
    </row>
    <row r="269" spans="2:91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 t="str">
        <f t="array" ref="Z269">IFERROR(INDEX(CE$7:CE$348,SMALL(IF(CE$7:CE$348&lt;&gt;"",ROW(CE$7:CE$348)-ROW(CE$7)+1),ROWS(CE$7:CE268))),"")</f>
        <v/>
      </c>
      <c r="AA269" s="3" t="str">
        <f t="array" ref="AA269">IFERROR(INDEX(CF$7:CF$348,SMALL(IF(CF$7:CF$348&lt;&gt;"",ROW(CF$7:CF$348)-ROW(CF$7)+1),ROWS(CF$7:CF268))),"")</f>
        <v/>
      </c>
      <c r="AB269" s="3" t="str">
        <f t="array" ref="AB269">IFERROR(INDEX(CG$7:CG$348,SMALL(IF(CG$7:CG$348&lt;&gt;"",ROW(CG$7:CG$348)-ROW(CG$7)+1),ROWS(CG$7:CG268))),"")</f>
        <v/>
      </c>
      <c r="AC269" s="3" t="str">
        <f t="array" ref="AC269">IFERROR(INDEX(CH$7:CH$348,SMALL(IF(CH$7:CH$348&lt;&gt;"",ROW(CH$7:CH$348)-ROW(CH$7)+1),ROWS(CH$7:CH268))),"")</f>
        <v/>
      </c>
      <c r="AD269" s="3" t="str">
        <f t="array" ref="AD269">IFERROR(INDEX(CI$7:CI$377,SMALL(IF(CI$7:CI$377&lt;&gt;"",ROW(CI$7:CI$377)-ROW(CI$7)+1),ROWS(CI$7:CI267))),"")</f>
        <v/>
      </c>
      <c r="AE269" s="3" t="str">
        <f t="array" ref="AE269">IFERROR(INDEX(CJ$7:CJ$378,SMALL(IF(CJ$7:CJ$378&lt;&gt;"",ROW(CJ$7:CJ$378)-ROW(CJ$7)+1),ROWS(CJ$7:CJ268))),"")</f>
        <v/>
      </c>
      <c r="AF269" s="3" t="str">
        <f t="array" ref="AF269">IFERROR(INDEX(CK$7:CK$378,SMALL(IF(CK$7:CK$378&lt;&gt;"",ROW(CK$7:CK$378)-ROW(CK$7)+1),ROWS(CK$7:CK268))),"")</f>
        <v/>
      </c>
      <c r="AG269" s="3" t="str">
        <f t="array" ref="AG269">IFERROR(INDEX(CL$7:CL$378,SMALL(IF(CL$7:CL$378&lt;&gt;"",ROW(CL$7:CL$378)-ROW(CL$7)+1),ROWS(CL$7:CL268))),"")</f>
        <v/>
      </c>
      <c r="AH269" s="3"/>
      <c r="AI269" s="3"/>
      <c r="AJ269" s="3"/>
      <c r="AK269" s="3"/>
      <c r="AL269" s="3"/>
      <c r="AM269" s="3"/>
      <c r="AN269" s="52" t="str">
        <f>IF(Atletas!D260="","",IF(Atletas!B260="Feminino",100,IF(Atletas!B260="Masculino",200,""))+(IF(Atletas!D260="Kids 30kg",1,IF(Atletas!D260="Kids 32kg",2, IF(Atletas!D260="Kids 34kg",3,IF(Atletas!D260="Kids 36kg",4,IF(Atletas!D260="Kids 39kg",5,IF(Atletas!D260="Kids 42kg",6,IF(Atletas!D260="Kids 45kg",7, IF(Atletas!D260="Infantil 39kg",8,IF(Atletas!D260="Infantil 42kg",9,IF(Atletas!D260="Infantil 45kg",10,IF(Atletas!D260="Infantil 48kg",11,IF(Atletas!D260="Infantil 52kg",12,IF(Atletas!D260="Infantil 56kg",13,IF(Atletas!D260="Infantil 60kg",14,IF(Atletas!D260="Juvenil 48kg",15,IF(Atletas!D260="Juvenil 52kg",16,IF(Atletas!D260="Juvenil 56kg",17,IF(Atletas!D260="Juvenil 60kg",18,IF(Atletas!D260="Juvenil 65kg",19,IF(Atletas!D260="Juvenil 70kg",20,IF(Atletas!D260="Juvenil 75kg",21,IF(Atletas!D260="Juvenil 80kg",22, IF(Atletas!D260="Juvenil 85kg",23,IF(Atletas!D260="Adulto 48kg",24,IF(Atletas!D260="Adulto 52kg",25,IF(Atletas!D260="Adulto 56kg",26,IF(Atletas!D260="Adulto 60kg",27,IF(Atletas!D260="Adulto 65kg",28,IF(Atletas!D260="Adulto 70kg",29,IF(Atletas!D260="Adulto 75kg",30,IF(Atletas!D260="Adulto 80kg",31,IF(Atletas!D260="Adulto 85kg",32,IF(Atletas!D260="Adulto 90kg",33,IF(Atletas!D260="Adulto 100kg",34, IF(Atletas!D260="Adulto +100kg",35,"")))))))))))))))))))))))))))))))))))))</f>
        <v/>
      </c>
      <c r="AS269" s="6" t="str">
        <f>IF(Atletas!E260="","",IF(Atletas!B260="Feminino",100,IF(Atletas!B260="Masculino",200,""))+(IF(Atletas!E260="Juvenil 44kg",1,IF(Atletas!E260="Juvenil 48kg",2,IF(Atletas!E260="Juvenil 52kg",3,IF(Atletas!E260="Juvenil 56kg",4,IF(Atletas!E260="Juvenil 60kg",5,IF(Atletas!E260="Juvenil 65kg",6,IF(Atletas!E260="Juvenil 70kg",7,IF(Atletas!E260="Juvenil 75kg",8,IF(Atletas!E260="Juvenil 82kg",9,IF(Atletas!E260="Juvenil 90kg",10,IF(Atletas!E260="Juvenil 100kg",11,IF(Atletas!E260="Adulto 48kg",12,IF(Atletas!E260="Adulto 52kg",13,IF(Atletas!E260="Adulto 56kg",14,IF(Atletas!E260="Adulto 60kg",15,IF(Atletas!E260="Adulto 65kg",16,IF(Atletas!E260="Adulto 70kg",17,IF(Atletas!E260="Adulto 75kg",18,IF(Atletas!E260="Adulto 82kg",19,IF(Atletas!E260="Adulto 90kg",20,IF(Atletas!E260="Adulto 100kg",21,IF(Atletas!E260="Adulto +100kg",22,""))))))))))))))))))))))))</f>
        <v/>
      </c>
      <c r="AX269" s="6" t="str">
        <f>IF(Atletas!F260="","",IF(Atletas!B260="Feminino",100,IF(Atletas!B260="Masculino",200,""))+(IF(Atletas!F260="Adulto 48kg",1,IF(Atletas!F260="Adulto 56kg",2,IF(Atletas!F260="Adulto 65kg",3,IF(Atletas!F260="Adulto 75kg",4,IF(Atletas!F260="Adulto +75kg",5,IF(Atletas!F260="Adulto 52kg",6,IF(Atletas!F260="Adulto 60kg",7,IF(Atletas!F260="Adulto 70kg",8,IF(Atletas!F260="Adulto 80kg",9,IF(Atletas!F260="Adulto 90kg",10,IF(Atletas!F260="Adulto +90kg",11,"")))))))))))))</f>
        <v/>
      </c>
      <c r="BC269" s="6" t="str">
        <f>IF(Atletas!G260="","",IF(Atletas!B260="Feminino",10,IF(Atletas!B260="Masculino",20,""))+(IF(Atletas!G260="Baduanjin A",1,IF(Atletas!G260="Baduanjin B",2))))</f>
        <v/>
      </c>
      <c r="BF269" s="52" t="str">
        <f>IF(Atletas!H260="","",IF(Atletas!B260="Feminino",100,IF(Atletas!B260="Masculino",200,""))+(IF(Atletas!H260="Changquan Mirim",1,IF(Atletas!H260="Nanquan Mirim",2,IF(Atletas!H260="Taijiquan Mirim",3,IF(Atletas!H260="Changquan Grupo C",4,IF(Atletas!H260="Nanquan Grupo C",5,IF(Atletas!H260="Taijiquan Grupo C",6,IF(Atletas!H260="Changquan Grupo B",7,IF(Atletas!H260="Nanquan Grupo B",8,IF(Atletas!H260="Taijiquan Grupo B",9,IF(Atletas!H260="Changquan Grupo A",10,IF(Atletas!H260="Nanquan Grupo A",11,IF(Atletas!H260="Taijiquan Grupo A",12,IF(Atletas!H260="Changquan Opcional",13,IF(Atletas!H260="Nanquan Opcional",14,IF(Atletas!H260="Taijiquan Opcional",15,IF(Atletas!H260="Changquan Adulto",16,IF(Atletas!H260="Nanquan Adulto",17,IF(Atletas!H260="Taijiquan Adulto",18,""))))))))))))))))))))</f>
        <v/>
      </c>
      <c r="BG269" s="52" t="str">
        <f>IF(Atletas!I260="","",IF(Atletas!B260="Feminino",100,IF(Atletas!B260="Masculino",200,""))+(IF(Atletas!I260="Daoshu Mirim",19,IF(Atletas!I260="Jianshu Mirim",20,IF(Atletas!I260="Nandao Mirim",21,IF(Atletas!I260="Taijijian Mirim",22,IF(Atletas!I260="Daoshu Grupo C",23,IF(Atletas!I260="Jianshu Grupo C",24,IF(Atletas!I260="Nandao Grupo C",25,IF(Atletas!I260="Taijijian Grupo C",26,IF(Atletas!I260="Daoshu Grupo B",27,IF(Atletas!I260="Jianshu Grupo B",28,IF(Atletas!I260="Nandao Grupo B",29,IF(Atletas!I260="Taijijian Grupo B",30,IF(Atletas!I260="Daoshu Grupo A",31,IF(Atletas!I260="Jianshu Grupo A",32,IF(Atletas!I260="Nandao Grupo A",33,IF(Atletas!I260="Taijijian Grupo A",34,IF(Atletas!I260="Daoshu Opcional",35,IF(Atletas!I260="Jianshu Opcional",36,IF(Atletas!I260="Nandao Opcional",37,IF(Atletas!I260="Taijijian Opcional",38,IF(Atletas!I260="Daoshu Adulto",39,IF(Atletas!I260="Jianshu Adulto",40,IF(Atletas!I260="Nandao Adulto",41,IF(Atletas!I260="Taijijian Adulto",42,""))))))))))))))))))))))))))</f>
        <v/>
      </c>
      <c r="BH269" s="52" t="str">
        <f>IF(Atletas!J260="","",IF(Atletas!B260="Feminino",100,IF(Atletas!B260="Masculino",200,""))+(IF(Atletas!J260="Gunshu Mirim",43,IF(Atletas!J260="Qiangshu Mirim",44,IF(Atletas!J260="Nangun Mirim",45,IF(Atletas!J260="Gunshu Grupo C",46,IF(Atletas!J260="Qiangshu Grupo C",47,IF(Atletas!J260="Nangun Grupo C",48,IF(Atletas!J260="Gunshu Grupo B",49,IF(Atletas!J260="Qiangshu Grupo B",50,IF(Atletas!J260="Nangun Grupo B",51,IF(Atletas!J260="Gunshu Grupo A",52,IF(Atletas!J260="Qiangshu Grupo A",53,IF(Atletas!J260="Nangun Grupo A",54,IF(Atletas!J260="Gunshu Opcional",55,IF(Atletas!J260="Qiangshu Opcional",56,IF(Atletas!J260="Nangun Opcional",57,IF(Atletas!J260="Gunshu Adulto",58,IF(Atletas!J260="Qiangshu Adulto",59,IF(Atletas!J260="Nangun Adulto",60,IF(Atletas!J260="Taijishan Grupo B",61,IF(Atletas!J260="Taijishan Grupo A",62,""))))))))))))))))))))))</f>
        <v/>
      </c>
      <c r="BM269" s="50" t="str">
        <f>IF(Atletas!K260="","",IF(Atletas!B260="Feminino",100,IF(Atletas!B260="Masculino",200,""))+(IF(Atletas!K260="Equipe 1 Grupo B",1,IF(Atletas!K260="Equipe 2 Grupo B",2,IF(Atletas!K260="Equipe 1 Grupo A",3,IF(Atletas!K260="Equipe 2 Grupo A",4,IF(Atletas!K260="Equipe 1 Adulto",5,IF(Atletas!K260="Equipe 2 Adulto",6,""))))))))</f>
        <v/>
      </c>
      <c r="BR269" s="50" t="str">
        <f>IF(Atletas!L260="","",IF(Atletas!X260&lt;&gt;"",10000,0)+(IF(Atletas!B260="Feminino",1000,IF(Atletas!B260="Masculino",2000,""))+IF(Atletas!L260="Choylayfut A",1,IF(Atletas!L260="Hunggar A",2,IF(Atletas!L260="Wuzuquan A",3,IF(Atletas!L260="Wingchun A",4,IF(Atletas!L260="Outra Mão de Sul A",5,IF(Atletas!L260="Choylayfut B",6,IF(Atletas!L260="Hunggar B",7,IF(Atletas!L260="Wuzuquan B",8,IF(Atletas!L260="Wingchun B",9,IF(Atletas!L260="Outra Mão de Sul B",10,IF(Atletas!L260="Choylayfut C",11,IF(Atletas!L260="Hunggar C",12,IF(Atletas!L260="Wuzuquan C",13,IF(Atletas!L260="Wingchun C",14,IF(Atletas!L260="Outra Mão de Sul C",15,IF(Atletas!L260="Choylayfut D",16,IF(Atletas!L260="Hunggar D",17,IF(Atletas!L260="Wuzuquan D",18,IF(Atletas!L260="Wingchun D",19,IF(Atletas!L260="Outra Mão de Sul D",20,IF(Atletas!L260="Choylayfut E",21,IF(Atletas!L260="Hunggar E",22,IF(Atletas!L260="Wuzuquan E",23,IF(Atletas!L260="Wingchun E",24,IF(Atletas!L260="Outra Mão de Sul E",25,IF(Atletas!L260="Choylayfut F",26,IF(Atletas!L260="Hunggar F",27,IF(Atletas!L260="Wuzuquan F",28,IF(Atletas!L260="Wingchun F",29,IF(Atletas!L260="Outra Mão de Sul F",30,IF(Atletas!L260="Dishuquan A",31,IF(Atletas!L260="Dishuquan B",32,IF(Atletas!L260="Dishuquan C",33,IF(Atletas!L260="Dishuquan D",34,IF(Atletas!L260="Dishuquan E",35,IF(Atletas!L260="Dishuquan F",36,""))))))))))))))))))))))))))))))))))))))</f>
        <v/>
      </c>
      <c r="BS269" s="50" t="str">
        <f>IF(Atletas!M260="","",IF(Atletas!X260&lt;&gt;"",10000,0)+(IF(Atletas!B260="Feminino",1000,IF(Atletas!B260="Masculino",2000,""))+(IF(Atletas!M260="Chaquan A",101,IF(Atletas!M260="Emeiquan A",102,IF(Atletas!M260="Fanziquan A",103,IF(Atletas!M260="Huaquan A",104,IF(Atletas!M260="Hongquan A",105,IF(Atletas!M260="Paoquan A",106,IF(Atletas!M260="Piguaquan A",107,IF(Atletas!M260="Shaolinquan A",108,IF(Atletas!M260="Tanglangquan A",109,IF(Atletas!M260="Yingzhaoquan A",110,IF(Atletas!M260="Tongbeiquan A",111,IF(Atletas!M260="Wudangquan A",112,IF(Atletas!M260="Outros Estilos A",113,IF(Atletas!M260="Chaquan B",114,IF(Atletas!M260="Emeiquan B",115,IF(Atletas!M260="Fanziquan B",116,IF(Atletas!M260="Huaquan B",117,IF(Atletas!M260="Hongquan B",118,IF(Atletas!M260="Paoquan B",119,IF(Atletas!M260="Piguaquan B",120,IF(Atletas!M260="Shaolinquan B",121,IF(Atletas!M260="Tanglangquan B",122,IF(Atletas!M260="Yingzhaoquan B",123,IF(Atletas!M260="Tongbeiquan B",124,IF(Atletas!M260="Wudangquan B",125,IF(Atletas!M260="Outros Estilos B",126,IF(Atletas!M260="Chaquan C",127,IF(Atletas!M260="Emeiquan C",128,IF(Atletas!M260="Fanziquan C",129,IF(Atletas!M260="Huaquan C",130,IF(Atletas!M260="Hongquan C",131,IF(Atletas!M260="Paoquan C",132,IF(Atletas!M260="Piguaquan C",133,IF(Atletas!M260="Shaolinquan C",134,IF(Atletas!M260="Tanglangquan C",135,IF(Atletas!M260="Yingzhaoquan C",136,IF(Atletas!M260="Tongbeiquan C",137,IF(Atletas!M260="Wudangquan C",138,IF(Atletas!M260="Outros Estilos C",139,0))))))))))))))))))))))))))))))))))))))))))</f>
        <v/>
      </c>
      <c r="BT269" s="50" t="str">
        <f>IF(Atletas!M260="","",IF(Atletas!X260&lt;&gt;"",10000,0)+(IF(Atletas!B260="Feminino",1000,IF(Atletas!B260="Masculino",2000,""))+(IF(Atletas!M260="Chaquan D",140,IF(Atletas!M260="Emeiquan D",141,IF(Atletas!M260="Fanziquan D",142,IF(Atletas!M260="Huaquan D",143,IF(Atletas!M260="Hongquan D",144,IF(Atletas!M260="Paoquan D",145,IF(Atletas!M260="Piguaquan D",146,IF(Atletas!M260="Shaolinquan D",147,IF(Atletas!M260="Tanglangquan D",148,IF(Atletas!M260="Yingzhaoquan D",149,IF(Atletas!M260="Tongbeiquan D",150,IF(Atletas!M260="Wudangquan D",151,IF(Atletas!M260="Outros Estilos D",152,IF(Atletas!M260="Chaquan E",153,IF(Atletas!M260="Emeiquan E",154,IF(Atletas!M260="Fanziquan E",155,IF(Atletas!M260="Huaquan E",156,IF(Atletas!M260="Hongquan E",157,IF(Atletas!M260="Paoquan E",158,IF(Atletas!M260="Piguaquan E",159,IF(Atletas!M260="Shaolinquan E",160,IF(Atletas!M260="Tanglangquan E",161,IF(Atletas!M260="Yingzhaoquan E",162,IF(Atletas!M260="Tongbeiquan E",163,IF(Atletas!M260="Wudangquan E",164,IF(Atletas!M260="Outros Estilos E",165,IF(Atletas!M260="Chaquan F",166,IF(Atletas!M260="Emeiquan F",167,IF(Atletas!M260="Fanziquan F",168,IF(Atletas!M260="Huaquan F",169,IF(Atletas!M260="Hongquan F",170,IF(Atletas!M260="Paoquan F",171,IF(Atletas!M260="Piguaquan F",172,IF(Atletas!M260="Shaolinquan F",173,IF(Atletas!M260="Tanglangquan F",174,IF(Atletas!M260="Yingzhaoquan F",175,IF(Atletas!M260="Tongbeiquan F",176,IF(Atletas!M260="Wudangquan F",177,IF(Atletas!M260="Outros Estilos F",178,0))))))))))))))))))))))))))))))))))))))))))</f>
        <v/>
      </c>
      <c r="BU269" s="50" t="str">
        <f>IF(Atletas!N260="","",IF(Atletas!X260&lt;&gt;"",10000,0)+(IF(Atletas!B260="Feminino",1000,IF(Atletas!B260="Masculino",2000,""))+(IF(Atletas!N260="Ditangquan A",201,IF(Atletas!N260="Houquan A",202,IF(Atletas!N260="Zuiquan A",203,IF(Atletas!N260="Ditangquan B",204,IF(Atletas!N260="Houquan B",205,IF(Atletas!N260="Zuiquan B",206,IF(Atletas!N260="Ditangquan C",207,IF(Atletas!N260="Houquan C",208,IF(Atletas!N260="Zuiquan C",209,IF(Atletas!N260="Ditangquan D",210,IF(Atletas!N260="Houquan D",211,IF(Atletas!N260="Zuiquan D",212,IF(Atletas!N260="Ditangquan E",213,IF(Atletas!N260="Houquan E",214,IF(Atletas!N260="Zuiquan E",215,IF(Atletas!N260="Ditangquan F",216,IF(Atletas!N260="Houquan F",217,IF(Atletas!N260="Zuiquan F",218,"")))))))))))))))))))))</f>
        <v/>
      </c>
      <c r="BV269" s="50" t="str">
        <f>IF(Atletas!O260="","",IF(Atletas!X260&lt;&gt;"",10000,0)+IF(Atletas!B260="Feminino",1000,IF(Atletas!B260="Masculino",2000,""))+IF(Atletas!O260="Yang A",301,IF(Atletas!O260="Chen A",302,IF(Atletas!O260="Sun A",303,IF(Atletas!O260="Wu A",304,IF(Atletas!O260="Wu-Hao A",305,IF(Atletas!O260="Outro Taijiquan A",306,IF(Atletas!O260="Yang B",307,IF(Atletas!O260="Chen B",308,IF(Atletas!O260="Sun B",309,IF(Atletas!O260="Wu B",310,IF(Atletas!O260="Wu-Hao B",311,IF(Atletas!O260="Outro Taijiquan B",312,IF(Atletas!O260="Yang C",313,IF(Atletas!O260="Chen C",314,IF(Atletas!O260="Sun C",315,IF(Atletas!O260="Wu C",316,IF(Atletas!O260="Wu-Hao C",317,IF(Atletas!O260="Outro Taijiquan C",318,IF(Atletas!O260="Yang D",319,IF(Atletas!O260="Chen D",320,IF(Atletas!O260="Sun D",321,IF(Atletas!O260="Wu D",322,IF(Atletas!O260="Wu-Hao D",323,IF(Atletas!O260="Outro Taijiquan D",324,IF(Atletas!O260="Yang E",325,IF(Atletas!O260="Chen E",326,IF(Atletas!O260="Sun E",327,IF(Atletas!O260="Wu E",328,IF(Atletas!O260="Wu-Hao E",329,IF(Atletas!O260="Outro Taijiquan E",330,IF(Atletas!O260="Yang F",331,IF(Atletas!O260="Chen F",332,IF(Atletas!O260="Sun F",333,IF(Atletas!O260="Wu F",334,IF(Atletas!O260="Wu-Hao F",335,IF(Atletas!O260="Outro Taijiquan F",336,"")))))))))))))))))))))))))))))))))))))</f>
        <v/>
      </c>
      <c r="BW269" s="50" t="str">
        <f>IF(Atletas!P260="","",IF(Atletas!X260&lt;&gt;"",10000,0)+IF(Atletas!B260="Feminino",1000,IF(Atletas!B260="Masculino",2000,""))+IF(OR(Atletas!P260="Yang 26 A",Atletas!P260="Yang 40 A"),401,IF(OR(Atletas!P260="Chen 25 A",Atletas!P260="Chen 36 A",Atletas!P260="Chen 56 A"),402,IF(Atletas!P260="Sun 73 A",403,IF(Atletas!P260="Wu 45 A",404,IF(Atletas!P260="Wu-Hao 46 A",405,IF(OR(Atletas!P260="Taijiquan 16 A",Atletas!P260="Taijiquan 24 A",Atletas!P260="Taijiquan 32 A",Atletas!P260="Taijiquan 42 A"),406,IF(OR(Atletas!P260="Yang 26 B",Atletas!P260="Yang 40 B"),407,IF(OR(Atletas!P260="Chen 25 B",Atletas!P260="Chen 36 B",Atletas!P260="Chen 56 B"),408,IF(Atletas!P260="Sun 73 B",409,IF(Atletas!P260="Wu 45 B",410,IF(Atletas!P260="Wu-Hao 46 B",411,IF(OR(Atletas!P260="Taijiquan 16 B",Atletas!P260="Taijiquan 24 B",Atletas!P260="Taijiquan 32 B",Atletas!P260="Taijiquan 42 B"),412,IF(OR(Atletas!P260="Yang 26 C",Atletas!P260="Yang 40 C"),413,IF(OR(Atletas!P260="Chen 25 C",Atletas!P260="Chen 36 C",Atletas!P260="Chen 56 C"),414,IF(Atletas!P260="Sun 73 C",415,IF(Atletas!P260="Wu 45 C",416,IF(Atletas!P260="Wu-Hao 46 C",417,IF(OR(Atletas!P260="Taijiquan 16 C",Atletas!P260="Taijiquan 24 C",Atletas!P260="Taijiquan 32 C",Atletas!P260="Taijiquan 42 C"),418,0)))))))))))))))))))</f>
        <v/>
      </c>
      <c r="BX269" s="50" t="str">
        <f>IF(Atletas!P260="","",IF(Atletas!X260&lt;&gt;"",10000,0)+IF(Atletas!B260="Feminino",1000,IF(Atletas!B260="Masculino",2000,""))+IF(OR(Atletas!P260="Yang 26 D",Atletas!P260="Yang 40 D"),419,IF(OR(Atletas!P260="Chen 25 D",Atletas!P260="Chen 36 D",Atletas!P260="Chen 56 D"),420,IF(Atletas!P260="Sun 73 D",421,IF(Atletas!P260="Wu 45 D",422,IF(Atletas!P260="Wu-Hao 46 D",423,IF(OR(Atletas!P260="Taijiquan 16 D",Atletas!P260="Taijiquan 24 D",Atletas!P260="Taijiquan 32 D",Atletas!P260="Taijiquan 42 D"),424,IF(OR(Atletas!P260="Yang 26 E",Atletas!P260="Yang 40 E"),425,IF(OR(Atletas!P260="Chen 25 E",Atletas!P260="Chen 36 E",Atletas!P260="Chen 56 E"),426,IF(Atletas!P260="Sun 73 E",427,IF(Atletas!P260="Wu 45 E",428,IF(Atletas!P260="Wu-Hao 46 E",429,IF(OR(Atletas!P260="Taijiquan 16 E",Atletas!P260="Taijiquan 24 E",Atletas!P260="Taijiquan 32 E",Atletas!P260="Taijiquan 42 E"),430,IF(OR(Atletas!P260="Yang 26 F",Atletas!P260="Yang 40 F"),431,IF(OR(Atletas!P260="Chen 25 F",Atletas!P260="Chen 36 F",Atletas!P260="Chen 56 F"),432,IF(Atletas!P260="Sun 73 F",433,IF(Atletas!P260="Wu 45 F",434,IF(Atletas!P260="Wu-Hao 46 F",435,IF(OR(Atletas!P260="Taijiquan 16 F",Atletas!P260="Taijiquan 24 F",Atletas!P260="Taijiquan 32 F",Atletas!P260="Taijiquan 42 F"),436,0)))))))))))))))))))</f>
        <v/>
      </c>
      <c r="BY269" s="50" t="str">
        <f>IF(Atletas!Q260="","",IF(Atletas!X260&lt;&gt;"",10000,0)+IF(Atletas!B260="Feminino",1000,IF(Atletas!B260="Masculino",2000,""))+IF(Atletas!Q260="Xingyiquan A",501,IF(Atletas!Q260="Baguazhang A",502,IF(Atletas!Q260="Outro Estilo Interno A",503,IF(Atletas!Q260="Xingyiquan B",504,IF(Atletas!Q260="Baguazhang B",505,IF(Atletas!Q260="Outro Estilo Interno B",506,IF(Atletas!Q260="Xingyiquan C",507,IF(Atletas!Q260="Baguazhang C",508,IF(Atletas!Q260="Outro Estilo Interno C",509,IF(Atletas!Q260="Xingyiquan D",510,IF(Atletas!Q260="Baguazhang D",511,IF(Atletas!Q260="Outro Estilo Interno D",512,IF(Atletas!Q260="Xingyiquan E",513,IF(Atletas!Q260="Baguazhang E",514,IF(Atletas!Q260="Outro Estilo Interno E",515,IF(Atletas!Q260="Xingyiquan F",516,IF(Atletas!Q260="Baguazhang F",517,IF(Atletas!Q260="Outro Estilo Interno F",518, "")))))))))))))))))))</f>
        <v/>
      </c>
      <c r="BZ269" s="50" t="str">
        <f>IF(Atletas!R260="","",IF(Atletas!X260&lt;&gt;"",10000,0)+IF(Atletas!B260="Feminino",1000,IF(Atletas!B260="Masculino",2000,""))+IF(Atletas!R260="Dao A",601,IF(Atletas!R260="Jian A",602,IF(Atletas!R260="Bishou A",603,IF(Atletas!R260="Shanzi A",604,IF(Atletas!R260="Outra Arma Curta A",605,IF(Atletas!R260="Dao B",606,IF(Atletas!R260="Jian B",607,IF(Atletas!R260="Bishou B",608,IF(Atletas!R260="Shanzi B",609,IF(Atletas!R260="Outra Arma Curta B",610,IF(Atletas!R260="Dao C",611,IF(Atletas!R260="Jian C",612,IF(Atletas!R260="Bishou C",613,IF(Atletas!R260="Shanzi C",614,IF(Atletas!R260="Outra Arma Curta C",615,IF(Atletas!R260="Dao D",616,IF(Atletas!R260="Jian D",617,IF(Atletas!R260="Bishou D",618,IF(Atletas!R260="Shanzi D",619,IF(Atletas!R260="Outra Arma Curta D",620,IF(Atletas!R260="Dao E",621,IF(Atletas!R260="Jian E",622,IF(Atletas!R260="Bishou E",623,IF(Atletas!R260="Shanzi E",624,IF(Atletas!R260="Outra Arma Curta E",625,IF(Atletas!R260="Dao F",626,IF(Atletas!R260="Jian F",627,IF(Atletas!R260="Bishou F",628,IF(Atletas!R260="Shanzi F",629,IF(Atletas!R260="Outra Arma Curta F",630, "")))))))))))))))))))))))))))))))</f>
        <v/>
      </c>
      <c r="CA269" s="50" t="str">
        <f>IF(Atletas!S260="","",IF(Atletas!X260&lt;&gt;"",10000,0)+IF(Atletas!B260="Feminino",1000,IF(Atletas!B260="Masculino",2000,""))+IF(Atletas!S260="Gun A",701,IF(Atletas!S260="Qiang A",702,IF(Atletas!S260="Pudao / Guandao A",703,IF(Atletas!S260="Outra Arma Longa A",704,IF(Atletas!S260="Gun B",705,IF(Atletas!S260="Qiang B",706,IF(Atletas!S260="Pudao / Guandao B",707,IF(Atletas!S260="Outra Arma Longa B",708,IF(Atletas!S260="Gun C",709,IF(Atletas!S260="Qiang C",710,IF(Atletas!S260="Pudao / Guandao C",711,IF(Atletas!S260="Outra Arma Longa C",712,IF(Atletas!S260="Gun D",713,IF(Atletas!S260="Qiang D",714,IF(Atletas!S260="Pudao / Guandao D",715,IF(Atletas!S260="Outra Arma Longa D",716,IF(Atletas!S260="Gun E",717,IF(Atletas!S260="Qiang E",718,IF(Atletas!S260="Pudao / Guandao E",719,IF(Atletas!S260="Outra Arma Longa E",720,IF(Atletas!S260="Gun F",721,IF(Atletas!S260="Qiang F",722,IF(Atletas!S260="Pudao / Guandao F",723,IF(Atletas!S260="Outra Arma Longa F",724,"")))))))))))))))))))))))))</f>
        <v/>
      </c>
      <c r="CB269" s="50" t="str">
        <f>IF(Atletas!T260="","",IF(Atletas!X260&lt;&gt;"",10000,0)+IF(Atletas!B260="Feminino",1000,IF(Atletas!B260="Masculino",2000,""))+IF(Atletas!T260="Outra Arma Dupla A",801,IF(Atletas!T260="Arma Maleável A",802,IF(Atletas!T260="Outra Arma Dupla B",803,IF(Atletas!T260="Arma Maleável B",804,IF(Atletas!T260="Outra Arma Dupla C",805,IF(Atletas!T260="Arma Maleável C",806,IF(Atletas!T260="Outra Arma Dupla D",807,IF(Atletas!T260="Arma Maleável D",808,IF(Atletas!T260="Outra Arma Dupla E",809,IF(Atletas!T260="Arma Maleável E",810,IF(Atletas!T260="Outra Arma Dupla F",811,IF(Atletas!T260="Arma Maleável F",812,IF(Atletas!T260="Shuangdao A",813,IF(Atletas!T260="Shuangdao B",814,IF(Atletas!T260="Shuangdao C",815,IF(Atletas!T260="Shuangdao D",816,IF(Atletas!T260="Shuangdao E",817,IF(Atletas!T260="Shuangdao F",818,"")))))))))))))))))))</f>
        <v/>
      </c>
      <c r="CC269" s="50" t="str">
        <f>IF(Atletas!U260="","",IF(Atletas!X260&lt;&gt;"",10000,0)+IF(Atletas!B260="Feminino",1000,IF(Atletas!B260="Masculino",2000,""))+IF(OR(Atletas!U260="Taijijian Yang A",Atletas!U260="Taijijian Yang Standard A"),901,IF(OR(Atletas!U260="Taijijian Chen A", Atletas!U260="Taijijian Chen Standard A"),902,IF(Atletas!U260="Taijijian Sun A",903,IF(Atletas!U260="Taijijian Wu A",904,IF(Atletas!U260="Taijijian Wu-Hao A",905,IF(OR(Atletas!U260="Taijijian 32 A",Atletas!U260="Taijijian 42 A"),906,IF(OR(Atletas!U260="Taijijian Yang B",Atletas!U260="Taijijian Yang Standard B"),907,IF(OR(Atletas!U260="Taijijian Chen B", Atletas!U260="Taijijian Chen Standard B"),908,IF(Atletas!U260="Taijijian Sun B",909,IF(Atletas!U260="Taijijian Wu B",910,IF(Atletas!U260="Taijijian Wu-Hao B",911,IF(OR(Atletas!U260="Taijijian 32 B",Atletas!U260="Taijijian 42 B"),912,IF(OR(Atletas!U260="Taijijian Yang C",Atletas!U260="Taijijian Yang Standard C"),913,IF(OR(Atletas!U260="Taijijian Chen C", Atletas!U260="Taijijian Chen Standard C"),914,IF(Atletas!U260="Taijijian Sun C",915,IF(Atletas!U260="Taijijian Wu C",916,IF(Atletas!U260="Taijijian Wu-Hao C",917,IF(OR(Atletas!U260="Taijijian 32 C",Atletas!U260="Taijijian 42 C"),918,IF(OR(Atletas!U260="Taijijian Yang D",Atletas!U260="Taijijian Yang Standard D"),919,IF(OR(Atletas!U260="Taijijian Chen D", Atletas!U260="Taijijian Chen Standard D"),920,IF(Atletas!U260="Taijijian Sun D",921,IF(Atletas!U260="Taijijian Wu D",922,IF(Atletas!U260="Taijijian Wu-Hao D",923,IF(OR(Atletas!U260="Taijijian 32 D",Atletas!U260="Taijijian 42 D"),924,IF(OR(Atletas!U260="Taijijian Yang E",Atletas!U260="Taijijian Yang Standard E"),925,IF(OR(Atletas!U260="Taijijian Chen E", Atletas!U260="Taijijian Chen Standard E"),926,IF(Atletas!U260="Taijijian Sun E",927,IF(Atletas!U260="Taijijian Wu E",928,IF(Atletas!U260="Taijijian Wu-Hao E",929,IF(OR(Atletas!U260="Taijijian 32 E",Atletas!U260="Taijijian 42 E"),930,IF(OR(Atletas!U260="Taijijian Yang F",Atletas!U260="Taijijian Yang Standard F"),931,IF(OR(Atletas!U260="Taijijian Chen F", Atletas!U260="Taijijian Chen Standard F"),932,IF(Atletas!U260="Taijijian Sun F",933,IF(Atletas!U260="Taijijian Wu F",934,IF(Atletas!U260="Taijijian Wu-Hao F",935,IF(OR(Atletas!U260="Taijijian 32 F",Atletas!U260="Taijijian 42 F"),936,"")))))))))))))))))))))))))))))))))))))</f>
        <v/>
      </c>
      <c r="CD269" s="50" t="str">
        <f>IF(Atletas!V260="","",IF(Atletas!X260&lt;&gt;"",10000,0)+IF(Atletas!B260="Feminino",1000,IF(Atletas!B260="Masculino",2000,""))+IF(Atletas!V260="Taijidao A",937,IF(Atletas!V260="TaijiShanzi A",938,IF(Atletas!V260="Taijiqiang A",939,IF(Atletas!V260="Bagua de Arma A",940,IF(Atletas!V260="Xingyi de Arma A",941,IF(Atletas!V260="Taijidao B",942,IF(Atletas!V260="TaijiShanzi B",943,IF(Atletas!V260="Taijiqiang B",944,IF(Atletas!V260="Bagua de Arma B",945,IF(Atletas!V260="Xingyi de Arma B",946,IF(Atletas!V260="Taijidao C",947,IF(Atletas!V260="TaijiShanzi C",948,IF(Atletas!V260="Taijiqiang C",949,IF(Atletas!V260="Bagua de Arma C",950,IF(Atletas!V260="Xingyi de Arma C",951,IF(Atletas!V260="Taijidao D",952,IF(Atletas!V260="TaijiShanzi D",953,IF(Atletas!V260="Taijiqiang D",954,IF(Atletas!V260="Bagua de Arma D",955,IF(Atletas!V260="Xingyi de Arma D",956,IF(Atletas!V260="Taijidao E",957,IF(Atletas!V260="TaijiShanzi E",958,IF(Atletas!V260="Taijiqiang E",959,IF(Atletas!V260="Bagua de Arma E",960,IF(Atletas!V260="Xingyi de Arma E",961,IF(Atletas!V260="Taijidao F",962,IF(Atletas!V260="TaijiShanzi F",963,IF(Atletas!V260="Taijiqiang F",964,IF(Atletas!V260="Bagua de Arma F",965,IF(Atletas!V260="Xingyi de Arma F",966,"")))))))))))))))))))))))))))))))</f>
        <v/>
      </c>
      <c r="CE269" s="66" t="str">
        <f>IF(CF269&lt;&gt;"","Pudao / Guandao C","")</f>
        <v/>
      </c>
      <c r="CF269" s="66" t="str">
        <f>IF(COUNTIF(BR:CD,1727)&gt;0,COUNTIF(BR:CD,1727),"")</f>
        <v/>
      </c>
      <c r="CG269" s="66" t="str">
        <f>IF(CH269&lt;&gt;"","Pudao / Guandao C","")</f>
        <v/>
      </c>
      <c r="CH269" s="66" t="str">
        <f>IF(COUNTIF(BR:CD,2711)&gt;0,COUNTIF(BR:CD,2711),"")</f>
        <v/>
      </c>
      <c r="CI269" s="66" t="str">
        <f>IF(CJ270&lt;&gt;"","Qiang E","")</f>
        <v/>
      </c>
      <c r="CJ269" s="66" t="str">
        <f>IF(COUNTIF(BR:CD,11717)&gt;0,COUNTIF(BR:CD,11717),"")</f>
        <v/>
      </c>
      <c r="CK269" s="66" t="str">
        <f>IF(CL269&lt;&gt;"","Gun E","")</f>
        <v/>
      </c>
      <c r="CL269" s="6" t="str">
        <f>IF(COUNTIF(BR:CD,12717)&gt;0,COUNTIF(BR:CD,12717),"")</f>
        <v/>
      </c>
      <c r="CM269" s="50" t="str">
        <f xml:space="preserve"> IF(Atletas!W260="","",IF(Atletas!W260="Duilian de Mãos BC - Equipe 1",1,IF(Atletas!W260="Duilian de Mãos BC - Equipe 2",2,IF(Atletas!W260="Duilian de Armas BC - Equipe 1",3,IF(Atletas!W260="Duilian de Armas BC - Equipe 2",4,IF(Atletas!W260="Duilian de Mãos DE - Equipe 1",5,IF(Atletas!W260="Duilian de Mãos DE - Equipe 2",6,IF(Atletas!W260="Duilian de Armas DE - Equipe 1",7,IF(Atletas!W260="Duilian de Armas DE - Equipe 2",8,IF(Atletas!W260="Duilian de Tuishou - Equipe 1",9,IF(Atletas!W260="Duilian de Tuishou - Equipe 2",10,IF(Atletas!W260="Grupo Externo ABC - Equipe 1",11,IF(Atletas!W260="Grupo Externo ABC - Equipe 2",12,IF(Atletas!W260="Grupo Interno ABC - Equipe 1",13,IF(Atletas!W260="Grupo Interno ABC - Equipe 2",14,IF(Atletas!W260="Grupo Externo DEF - Equipe 1",15,IF(Atletas!W260="Grupo Externo DEF - Equipe 2",16,IF(Atletas!W260="Grupo Interno DEF - Equipe 1",17,IF(Atletas!W260="Grupo Interno DEF - Equipe 2",18,"")))))))))))))))))))</f>
        <v/>
      </c>
    </row>
    <row r="270" spans="2:91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 t="str">
        <f t="array" ref="Z270">IFERROR(INDEX(CE$7:CE$348,SMALL(IF(CE$7:CE$348&lt;&gt;"",ROW(CE$7:CE$348)-ROW(CE$7)+1),ROWS(CE$7:CE269))),"")</f>
        <v/>
      </c>
      <c r="AA270" s="3" t="str">
        <f t="array" ref="AA270">IFERROR(INDEX(CF$7:CF$348,SMALL(IF(CF$7:CF$348&lt;&gt;"",ROW(CF$7:CF$348)-ROW(CF$7)+1),ROWS(CF$7:CF269))),"")</f>
        <v/>
      </c>
      <c r="AB270" s="3" t="str">
        <f t="array" ref="AB270">IFERROR(INDEX(CG$7:CG$348,SMALL(IF(CG$7:CG$348&lt;&gt;"",ROW(CG$7:CG$348)-ROW(CG$7)+1),ROWS(CG$7:CG269))),"")</f>
        <v/>
      </c>
      <c r="AC270" s="3" t="str">
        <f t="array" ref="AC270">IFERROR(INDEX(CH$7:CH$348,SMALL(IF(CH$7:CH$348&lt;&gt;"",ROW(CH$7:CH$348)-ROW(CH$7)+1),ROWS(CH$7:CH269))),"")</f>
        <v/>
      </c>
      <c r="AD270" s="3" t="str">
        <f t="array" ref="AD270">IFERROR(INDEX(CI$7:CI$377,SMALL(IF(CI$7:CI$377&lt;&gt;"",ROW(CI$7:CI$377)-ROW(CI$7)+1),ROWS(CI$7:CI268))),"")</f>
        <v/>
      </c>
      <c r="AE270" s="3" t="str">
        <f t="array" ref="AE270">IFERROR(INDEX(CJ$7:CJ$378,SMALL(IF(CJ$7:CJ$378&lt;&gt;"",ROW(CJ$7:CJ$378)-ROW(CJ$7)+1),ROWS(CJ$7:CJ269))),"")</f>
        <v/>
      </c>
      <c r="AF270" s="3" t="str">
        <f t="array" ref="AF270">IFERROR(INDEX(CK$7:CK$378,SMALL(IF(CK$7:CK$378&lt;&gt;"",ROW(CK$7:CK$378)-ROW(CK$7)+1),ROWS(CK$7:CK269))),"")</f>
        <v/>
      </c>
      <c r="AG270" s="3" t="str">
        <f t="array" ref="AG270">IFERROR(INDEX(CL$7:CL$378,SMALL(IF(CL$7:CL$378&lt;&gt;"",ROW(CL$7:CL$378)-ROW(CL$7)+1),ROWS(CL$7:CL269))),"")</f>
        <v/>
      </c>
      <c r="AH270" s="3"/>
      <c r="AI270" s="3"/>
      <c r="AJ270" s="3"/>
      <c r="AK270" s="3"/>
      <c r="AL270" s="3"/>
      <c r="AM270" s="3"/>
      <c r="AN270" s="52" t="str">
        <f>IF(Atletas!D261="","",IF(Atletas!B261="Feminino",100,IF(Atletas!B261="Masculino",200,""))+(IF(Atletas!D261="Kids 30kg",1,IF(Atletas!D261="Kids 32kg",2, IF(Atletas!D261="Kids 34kg",3,IF(Atletas!D261="Kids 36kg",4,IF(Atletas!D261="Kids 39kg",5,IF(Atletas!D261="Kids 42kg",6,IF(Atletas!D261="Kids 45kg",7, IF(Atletas!D261="Infantil 39kg",8,IF(Atletas!D261="Infantil 42kg",9,IF(Atletas!D261="Infantil 45kg",10,IF(Atletas!D261="Infantil 48kg",11,IF(Atletas!D261="Infantil 52kg",12,IF(Atletas!D261="Infantil 56kg",13,IF(Atletas!D261="Infantil 60kg",14,IF(Atletas!D261="Juvenil 48kg",15,IF(Atletas!D261="Juvenil 52kg",16,IF(Atletas!D261="Juvenil 56kg",17,IF(Atletas!D261="Juvenil 60kg",18,IF(Atletas!D261="Juvenil 65kg",19,IF(Atletas!D261="Juvenil 70kg",20,IF(Atletas!D261="Juvenil 75kg",21,IF(Atletas!D261="Juvenil 80kg",22, IF(Atletas!D261="Juvenil 85kg",23,IF(Atletas!D261="Adulto 48kg",24,IF(Atletas!D261="Adulto 52kg",25,IF(Atletas!D261="Adulto 56kg",26,IF(Atletas!D261="Adulto 60kg",27,IF(Atletas!D261="Adulto 65kg",28,IF(Atletas!D261="Adulto 70kg",29,IF(Atletas!D261="Adulto 75kg",30,IF(Atletas!D261="Adulto 80kg",31,IF(Atletas!D261="Adulto 85kg",32,IF(Atletas!D261="Adulto 90kg",33,IF(Atletas!D261="Adulto 100kg",34, IF(Atletas!D261="Adulto +100kg",35,"")))))))))))))))))))))))))))))))))))))</f>
        <v/>
      </c>
      <c r="AS270" s="6" t="str">
        <f>IF(Atletas!E261="","",IF(Atletas!B261="Feminino",100,IF(Atletas!B261="Masculino",200,""))+(IF(Atletas!E261="Juvenil 44kg",1,IF(Atletas!E261="Juvenil 48kg",2,IF(Atletas!E261="Juvenil 52kg",3,IF(Atletas!E261="Juvenil 56kg",4,IF(Atletas!E261="Juvenil 60kg",5,IF(Atletas!E261="Juvenil 65kg",6,IF(Atletas!E261="Juvenil 70kg",7,IF(Atletas!E261="Juvenil 75kg",8,IF(Atletas!E261="Juvenil 82kg",9,IF(Atletas!E261="Juvenil 90kg",10,IF(Atletas!E261="Juvenil 100kg",11,IF(Atletas!E261="Adulto 48kg",12,IF(Atletas!E261="Adulto 52kg",13,IF(Atletas!E261="Adulto 56kg",14,IF(Atletas!E261="Adulto 60kg",15,IF(Atletas!E261="Adulto 65kg",16,IF(Atletas!E261="Adulto 70kg",17,IF(Atletas!E261="Adulto 75kg",18,IF(Atletas!E261="Adulto 82kg",19,IF(Atletas!E261="Adulto 90kg",20,IF(Atletas!E261="Adulto 100kg",21,IF(Atletas!E261="Adulto +100kg",22,""))))))))))))))))))))))))</f>
        <v/>
      </c>
      <c r="AX270" s="6" t="str">
        <f>IF(Atletas!F261="","",IF(Atletas!B261="Feminino",100,IF(Atletas!B261="Masculino",200,""))+(IF(Atletas!F261="Adulto 48kg",1,IF(Atletas!F261="Adulto 56kg",2,IF(Atletas!F261="Adulto 65kg",3,IF(Atletas!F261="Adulto 75kg",4,IF(Atletas!F261="Adulto +75kg",5,IF(Atletas!F261="Adulto 52kg",6,IF(Atletas!F261="Adulto 60kg",7,IF(Atletas!F261="Adulto 70kg",8,IF(Atletas!F261="Adulto 80kg",9,IF(Atletas!F261="Adulto 90kg",10,IF(Atletas!F261="Adulto +90kg",11,"")))))))))))))</f>
        <v/>
      </c>
      <c r="BC270" s="6" t="str">
        <f>IF(Atletas!G261="","",IF(Atletas!B261="Feminino",10,IF(Atletas!B261="Masculino",20,""))+(IF(Atletas!G261="Baduanjin A",1,IF(Atletas!G261="Baduanjin B",2))))</f>
        <v/>
      </c>
      <c r="BF270" s="52" t="str">
        <f>IF(Atletas!H261="","",IF(Atletas!B261="Feminino",100,IF(Atletas!B261="Masculino",200,""))+(IF(Atletas!H261="Changquan Mirim",1,IF(Atletas!H261="Nanquan Mirim",2,IF(Atletas!H261="Taijiquan Mirim",3,IF(Atletas!H261="Changquan Grupo C",4,IF(Atletas!H261="Nanquan Grupo C",5,IF(Atletas!H261="Taijiquan Grupo C",6,IF(Atletas!H261="Changquan Grupo B",7,IF(Atletas!H261="Nanquan Grupo B",8,IF(Atletas!H261="Taijiquan Grupo B",9,IF(Atletas!H261="Changquan Grupo A",10,IF(Atletas!H261="Nanquan Grupo A",11,IF(Atletas!H261="Taijiquan Grupo A",12,IF(Atletas!H261="Changquan Opcional",13,IF(Atletas!H261="Nanquan Opcional",14,IF(Atletas!H261="Taijiquan Opcional",15,IF(Atletas!H261="Changquan Adulto",16,IF(Atletas!H261="Nanquan Adulto",17,IF(Atletas!H261="Taijiquan Adulto",18,""))))))))))))))))))))</f>
        <v/>
      </c>
      <c r="BG270" s="52" t="str">
        <f>IF(Atletas!I261="","",IF(Atletas!B261="Feminino",100,IF(Atletas!B261="Masculino",200,""))+(IF(Atletas!I261="Daoshu Mirim",19,IF(Atletas!I261="Jianshu Mirim",20,IF(Atletas!I261="Nandao Mirim",21,IF(Atletas!I261="Taijijian Mirim",22,IF(Atletas!I261="Daoshu Grupo C",23,IF(Atletas!I261="Jianshu Grupo C",24,IF(Atletas!I261="Nandao Grupo C",25,IF(Atletas!I261="Taijijian Grupo C",26,IF(Atletas!I261="Daoshu Grupo B",27,IF(Atletas!I261="Jianshu Grupo B",28,IF(Atletas!I261="Nandao Grupo B",29,IF(Atletas!I261="Taijijian Grupo B",30,IF(Atletas!I261="Daoshu Grupo A",31,IF(Atletas!I261="Jianshu Grupo A",32,IF(Atletas!I261="Nandao Grupo A",33,IF(Atletas!I261="Taijijian Grupo A",34,IF(Atletas!I261="Daoshu Opcional",35,IF(Atletas!I261="Jianshu Opcional",36,IF(Atletas!I261="Nandao Opcional",37,IF(Atletas!I261="Taijijian Opcional",38,IF(Atletas!I261="Daoshu Adulto",39,IF(Atletas!I261="Jianshu Adulto",40,IF(Atletas!I261="Nandao Adulto",41,IF(Atletas!I261="Taijijian Adulto",42,""))))))))))))))))))))))))))</f>
        <v/>
      </c>
      <c r="BH270" s="52" t="str">
        <f>IF(Atletas!J261="","",IF(Atletas!B261="Feminino",100,IF(Atletas!B261="Masculino",200,""))+(IF(Atletas!J261="Gunshu Mirim",43,IF(Atletas!J261="Qiangshu Mirim",44,IF(Atletas!J261="Nangun Mirim",45,IF(Atletas!J261="Gunshu Grupo C",46,IF(Atletas!J261="Qiangshu Grupo C",47,IF(Atletas!J261="Nangun Grupo C",48,IF(Atletas!J261="Gunshu Grupo B",49,IF(Atletas!J261="Qiangshu Grupo B",50,IF(Atletas!J261="Nangun Grupo B",51,IF(Atletas!J261="Gunshu Grupo A",52,IF(Atletas!J261="Qiangshu Grupo A",53,IF(Atletas!J261="Nangun Grupo A",54,IF(Atletas!J261="Gunshu Opcional",55,IF(Atletas!J261="Qiangshu Opcional",56,IF(Atletas!J261="Nangun Opcional",57,IF(Atletas!J261="Gunshu Adulto",58,IF(Atletas!J261="Qiangshu Adulto",59,IF(Atletas!J261="Nangun Adulto",60,IF(Atletas!J261="Taijishan Grupo B",61,IF(Atletas!J261="Taijishan Grupo A",62,""))))))))))))))))))))))</f>
        <v/>
      </c>
      <c r="BM270" s="50" t="str">
        <f>IF(Atletas!K261="","",IF(Atletas!B261="Feminino",100,IF(Atletas!B261="Masculino",200,""))+(IF(Atletas!K261="Equipe 1 Grupo B",1,IF(Atletas!K261="Equipe 2 Grupo B",2,IF(Atletas!K261="Equipe 1 Grupo A",3,IF(Atletas!K261="Equipe 2 Grupo A",4,IF(Atletas!K261="Equipe 1 Adulto",5,IF(Atletas!K261="Equipe 2 Adulto",6,""))))))))</f>
        <v/>
      </c>
      <c r="BR270" s="50" t="str">
        <f>IF(Atletas!L261="","",IF(Atletas!X261&lt;&gt;"",10000,0)+(IF(Atletas!B261="Feminino",1000,IF(Atletas!B261="Masculino",2000,""))+IF(Atletas!L261="Choylayfut A",1,IF(Atletas!L261="Hunggar A",2,IF(Atletas!L261="Wuzuquan A",3,IF(Atletas!L261="Wingchun A",4,IF(Atletas!L261="Outra Mão de Sul A",5,IF(Atletas!L261="Choylayfut B",6,IF(Atletas!L261="Hunggar B",7,IF(Atletas!L261="Wuzuquan B",8,IF(Atletas!L261="Wingchun B",9,IF(Atletas!L261="Outra Mão de Sul B",10,IF(Atletas!L261="Choylayfut C",11,IF(Atletas!L261="Hunggar C",12,IF(Atletas!L261="Wuzuquan C",13,IF(Atletas!L261="Wingchun C",14,IF(Atletas!L261="Outra Mão de Sul C",15,IF(Atletas!L261="Choylayfut D",16,IF(Atletas!L261="Hunggar D",17,IF(Atletas!L261="Wuzuquan D",18,IF(Atletas!L261="Wingchun D",19,IF(Atletas!L261="Outra Mão de Sul D",20,IF(Atletas!L261="Choylayfut E",21,IF(Atletas!L261="Hunggar E",22,IF(Atletas!L261="Wuzuquan E",23,IF(Atletas!L261="Wingchun E",24,IF(Atletas!L261="Outra Mão de Sul E",25,IF(Atletas!L261="Choylayfut F",26,IF(Atletas!L261="Hunggar F",27,IF(Atletas!L261="Wuzuquan F",28,IF(Atletas!L261="Wingchun F",29,IF(Atletas!L261="Outra Mão de Sul F",30,IF(Atletas!L261="Dishuquan A",31,IF(Atletas!L261="Dishuquan B",32,IF(Atletas!L261="Dishuquan C",33,IF(Atletas!L261="Dishuquan D",34,IF(Atletas!L261="Dishuquan E",35,IF(Atletas!L261="Dishuquan F",36,""))))))))))))))))))))))))))))))))))))))</f>
        <v/>
      </c>
      <c r="BS270" s="50" t="str">
        <f>IF(Atletas!M261="","",IF(Atletas!X261&lt;&gt;"",10000,0)+(IF(Atletas!B261="Feminino",1000,IF(Atletas!B261="Masculino",2000,""))+(IF(Atletas!M261="Chaquan A",101,IF(Atletas!M261="Emeiquan A",102,IF(Atletas!M261="Fanziquan A",103,IF(Atletas!M261="Huaquan A",104,IF(Atletas!M261="Hongquan A",105,IF(Atletas!M261="Paoquan A",106,IF(Atletas!M261="Piguaquan A",107,IF(Atletas!M261="Shaolinquan A",108,IF(Atletas!M261="Tanglangquan A",109,IF(Atletas!M261="Yingzhaoquan A",110,IF(Atletas!M261="Tongbeiquan A",111,IF(Atletas!M261="Wudangquan A",112,IF(Atletas!M261="Outros Estilos A",113,IF(Atletas!M261="Chaquan B",114,IF(Atletas!M261="Emeiquan B",115,IF(Atletas!M261="Fanziquan B",116,IF(Atletas!M261="Huaquan B",117,IF(Atletas!M261="Hongquan B",118,IF(Atletas!M261="Paoquan B",119,IF(Atletas!M261="Piguaquan B",120,IF(Atletas!M261="Shaolinquan B",121,IF(Atletas!M261="Tanglangquan B",122,IF(Atletas!M261="Yingzhaoquan B",123,IF(Atletas!M261="Tongbeiquan B",124,IF(Atletas!M261="Wudangquan B",125,IF(Atletas!M261="Outros Estilos B",126,IF(Atletas!M261="Chaquan C",127,IF(Atletas!M261="Emeiquan C",128,IF(Atletas!M261="Fanziquan C",129,IF(Atletas!M261="Huaquan C",130,IF(Atletas!M261="Hongquan C",131,IF(Atletas!M261="Paoquan C",132,IF(Atletas!M261="Piguaquan C",133,IF(Atletas!M261="Shaolinquan C",134,IF(Atletas!M261="Tanglangquan C",135,IF(Atletas!M261="Yingzhaoquan C",136,IF(Atletas!M261="Tongbeiquan C",137,IF(Atletas!M261="Wudangquan C",138,IF(Atletas!M261="Outros Estilos C",139,0))))))))))))))))))))))))))))))))))))))))))</f>
        <v/>
      </c>
      <c r="BT270" s="50" t="str">
        <f>IF(Atletas!M261="","",IF(Atletas!X261&lt;&gt;"",10000,0)+(IF(Atletas!B261="Feminino",1000,IF(Atletas!B261="Masculino",2000,""))+(IF(Atletas!M261="Chaquan D",140,IF(Atletas!M261="Emeiquan D",141,IF(Atletas!M261="Fanziquan D",142,IF(Atletas!M261="Huaquan D",143,IF(Atletas!M261="Hongquan D",144,IF(Atletas!M261="Paoquan D",145,IF(Atletas!M261="Piguaquan D",146,IF(Atletas!M261="Shaolinquan D",147,IF(Atletas!M261="Tanglangquan D",148,IF(Atletas!M261="Yingzhaoquan D",149,IF(Atletas!M261="Tongbeiquan D",150,IF(Atletas!M261="Wudangquan D",151,IF(Atletas!M261="Outros Estilos D",152,IF(Atletas!M261="Chaquan E",153,IF(Atletas!M261="Emeiquan E",154,IF(Atletas!M261="Fanziquan E",155,IF(Atletas!M261="Huaquan E",156,IF(Atletas!M261="Hongquan E",157,IF(Atletas!M261="Paoquan E",158,IF(Atletas!M261="Piguaquan E",159,IF(Atletas!M261="Shaolinquan E",160,IF(Atletas!M261="Tanglangquan E",161,IF(Atletas!M261="Yingzhaoquan E",162,IF(Atletas!M261="Tongbeiquan E",163,IF(Atletas!M261="Wudangquan E",164,IF(Atletas!M261="Outros Estilos E",165,IF(Atletas!M261="Chaquan F",166,IF(Atletas!M261="Emeiquan F",167,IF(Atletas!M261="Fanziquan F",168,IF(Atletas!M261="Huaquan F",169,IF(Atletas!M261="Hongquan F",170,IF(Atletas!M261="Paoquan F",171,IF(Atletas!M261="Piguaquan F",172,IF(Atletas!M261="Shaolinquan F",173,IF(Atletas!M261="Tanglangquan F",174,IF(Atletas!M261="Yingzhaoquan F",175,IF(Atletas!M261="Tongbeiquan F",176,IF(Atletas!M261="Wudangquan F",177,IF(Atletas!M261="Outros Estilos F",178,0))))))))))))))))))))))))))))))))))))))))))</f>
        <v/>
      </c>
      <c r="BU270" s="50" t="str">
        <f>IF(Atletas!N261="","",IF(Atletas!X261&lt;&gt;"",10000,0)+(IF(Atletas!B261="Feminino",1000,IF(Atletas!B261="Masculino",2000,""))+(IF(Atletas!N261="Ditangquan A",201,IF(Atletas!N261="Houquan A",202,IF(Atletas!N261="Zuiquan A",203,IF(Atletas!N261="Ditangquan B",204,IF(Atletas!N261="Houquan B",205,IF(Atletas!N261="Zuiquan B",206,IF(Atletas!N261="Ditangquan C",207,IF(Atletas!N261="Houquan C",208,IF(Atletas!N261="Zuiquan C",209,IF(Atletas!N261="Ditangquan D",210,IF(Atletas!N261="Houquan D",211,IF(Atletas!N261="Zuiquan D",212,IF(Atletas!N261="Ditangquan E",213,IF(Atletas!N261="Houquan E",214,IF(Atletas!N261="Zuiquan E",215,IF(Atletas!N261="Ditangquan F",216,IF(Atletas!N261="Houquan F",217,IF(Atletas!N261="Zuiquan F",218,"")))))))))))))))))))))</f>
        <v/>
      </c>
      <c r="BV270" s="50" t="str">
        <f>IF(Atletas!O261="","",IF(Atletas!X261&lt;&gt;"",10000,0)+IF(Atletas!B261="Feminino",1000,IF(Atletas!B261="Masculino",2000,""))+IF(Atletas!O261="Yang A",301,IF(Atletas!O261="Chen A",302,IF(Atletas!O261="Sun A",303,IF(Atletas!O261="Wu A",304,IF(Atletas!O261="Wu-Hao A",305,IF(Atletas!O261="Outro Taijiquan A",306,IF(Atletas!O261="Yang B",307,IF(Atletas!O261="Chen B",308,IF(Atletas!O261="Sun B",309,IF(Atletas!O261="Wu B",310,IF(Atletas!O261="Wu-Hao B",311,IF(Atletas!O261="Outro Taijiquan B",312,IF(Atletas!O261="Yang C",313,IF(Atletas!O261="Chen C",314,IF(Atletas!O261="Sun C",315,IF(Atletas!O261="Wu C",316,IF(Atletas!O261="Wu-Hao C",317,IF(Atletas!O261="Outro Taijiquan C",318,IF(Atletas!O261="Yang D",319,IF(Atletas!O261="Chen D",320,IF(Atletas!O261="Sun D",321,IF(Atletas!O261="Wu D",322,IF(Atletas!O261="Wu-Hao D",323,IF(Atletas!O261="Outro Taijiquan D",324,IF(Atletas!O261="Yang E",325,IF(Atletas!O261="Chen E",326,IF(Atletas!O261="Sun E",327,IF(Atletas!O261="Wu E",328,IF(Atletas!O261="Wu-Hao E",329,IF(Atletas!O261="Outro Taijiquan E",330,IF(Atletas!O261="Yang F",331,IF(Atletas!O261="Chen F",332,IF(Atletas!O261="Sun F",333,IF(Atletas!O261="Wu F",334,IF(Atletas!O261="Wu-Hao F",335,IF(Atletas!O261="Outro Taijiquan F",336,"")))))))))))))))))))))))))))))))))))))</f>
        <v/>
      </c>
      <c r="BW270" s="50" t="str">
        <f>IF(Atletas!P261="","",IF(Atletas!X261&lt;&gt;"",10000,0)+IF(Atletas!B261="Feminino",1000,IF(Atletas!B261="Masculino",2000,""))+IF(OR(Atletas!P261="Yang 26 A",Atletas!P261="Yang 40 A"),401,IF(OR(Atletas!P261="Chen 25 A",Atletas!P261="Chen 36 A",Atletas!P261="Chen 56 A"),402,IF(Atletas!P261="Sun 73 A",403,IF(Atletas!P261="Wu 45 A",404,IF(Atletas!P261="Wu-Hao 46 A",405,IF(OR(Atletas!P261="Taijiquan 16 A",Atletas!P261="Taijiquan 24 A",Atletas!P261="Taijiquan 32 A",Atletas!P261="Taijiquan 42 A"),406,IF(OR(Atletas!P261="Yang 26 B",Atletas!P261="Yang 40 B"),407,IF(OR(Atletas!P261="Chen 25 B",Atletas!P261="Chen 36 B",Atletas!P261="Chen 56 B"),408,IF(Atletas!P261="Sun 73 B",409,IF(Atletas!P261="Wu 45 B",410,IF(Atletas!P261="Wu-Hao 46 B",411,IF(OR(Atletas!P261="Taijiquan 16 B",Atletas!P261="Taijiquan 24 B",Atletas!P261="Taijiquan 32 B",Atletas!P261="Taijiquan 42 B"),412,IF(OR(Atletas!P261="Yang 26 C",Atletas!P261="Yang 40 C"),413,IF(OR(Atletas!P261="Chen 25 C",Atletas!P261="Chen 36 C",Atletas!P261="Chen 56 C"),414,IF(Atletas!P261="Sun 73 C",415,IF(Atletas!P261="Wu 45 C",416,IF(Atletas!P261="Wu-Hao 46 C",417,IF(OR(Atletas!P261="Taijiquan 16 C",Atletas!P261="Taijiquan 24 C",Atletas!P261="Taijiquan 32 C",Atletas!P261="Taijiquan 42 C"),418,0)))))))))))))))))))</f>
        <v/>
      </c>
      <c r="BX270" s="50" t="str">
        <f>IF(Atletas!P261="","",IF(Atletas!X261&lt;&gt;"",10000,0)+IF(Atletas!B261="Feminino",1000,IF(Atletas!B261="Masculino",2000,""))+IF(OR(Atletas!P261="Yang 26 D",Atletas!P261="Yang 40 D"),419,IF(OR(Atletas!P261="Chen 25 D",Atletas!P261="Chen 36 D",Atletas!P261="Chen 56 D"),420,IF(Atletas!P261="Sun 73 D",421,IF(Atletas!P261="Wu 45 D",422,IF(Atletas!P261="Wu-Hao 46 D",423,IF(OR(Atletas!P261="Taijiquan 16 D",Atletas!P261="Taijiquan 24 D",Atletas!P261="Taijiquan 32 D",Atletas!P261="Taijiquan 42 D"),424,IF(OR(Atletas!P261="Yang 26 E",Atletas!P261="Yang 40 E"),425,IF(OR(Atletas!P261="Chen 25 E",Atletas!P261="Chen 36 E",Atletas!P261="Chen 56 E"),426,IF(Atletas!P261="Sun 73 E",427,IF(Atletas!P261="Wu 45 E",428,IF(Atletas!P261="Wu-Hao 46 E",429,IF(OR(Atletas!P261="Taijiquan 16 E",Atletas!P261="Taijiquan 24 E",Atletas!P261="Taijiquan 32 E",Atletas!P261="Taijiquan 42 E"),430,IF(OR(Atletas!P261="Yang 26 F",Atletas!P261="Yang 40 F"),431,IF(OR(Atletas!P261="Chen 25 F",Atletas!P261="Chen 36 F",Atletas!P261="Chen 56 F"),432,IF(Atletas!P261="Sun 73 F",433,IF(Atletas!P261="Wu 45 F",434,IF(Atletas!P261="Wu-Hao 46 F",435,IF(OR(Atletas!P261="Taijiquan 16 F",Atletas!P261="Taijiquan 24 F",Atletas!P261="Taijiquan 32 F",Atletas!P261="Taijiquan 42 F"),436,0)))))))))))))))))))</f>
        <v/>
      </c>
      <c r="BY270" s="50" t="str">
        <f>IF(Atletas!Q261="","",IF(Atletas!X261&lt;&gt;"",10000,0)+IF(Atletas!B261="Feminino",1000,IF(Atletas!B261="Masculino",2000,""))+IF(Atletas!Q261="Xingyiquan A",501,IF(Atletas!Q261="Baguazhang A",502,IF(Atletas!Q261="Outro Estilo Interno A",503,IF(Atletas!Q261="Xingyiquan B",504,IF(Atletas!Q261="Baguazhang B",505,IF(Atletas!Q261="Outro Estilo Interno B",506,IF(Atletas!Q261="Xingyiquan C",507,IF(Atletas!Q261="Baguazhang C",508,IF(Atletas!Q261="Outro Estilo Interno C",509,IF(Atletas!Q261="Xingyiquan D",510,IF(Atletas!Q261="Baguazhang D",511,IF(Atletas!Q261="Outro Estilo Interno D",512,IF(Atletas!Q261="Xingyiquan E",513,IF(Atletas!Q261="Baguazhang E",514,IF(Atletas!Q261="Outro Estilo Interno E",515,IF(Atletas!Q261="Xingyiquan F",516,IF(Atletas!Q261="Baguazhang F",517,IF(Atletas!Q261="Outro Estilo Interno F",518, "")))))))))))))))))))</f>
        <v/>
      </c>
      <c r="BZ270" s="50" t="str">
        <f>IF(Atletas!R261="","",IF(Atletas!X261&lt;&gt;"",10000,0)+IF(Atletas!B261="Feminino",1000,IF(Atletas!B261="Masculino",2000,""))+IF(Atletas!R261="Dao A",601,IF(Atletas!R261="Jian A",602,IF(Atletas!R261="Bishou A",603,IF(Atletas!R261="Shanzi A",604,IF(Atletas!R261="Outra Arma Curta A",605,IF(Atletas!R261="Dao B",606,IF(Atletas!R261="Jian B",607,IF(Atletas!R261="Bishou B",608,IF(Atletas!R261="Shanzi B",609,IF(Atletas!R261="Outra Arma Curta B",610,IF(Atletas!R261="Dao C",611,IF(Atletas!R261="Jian C",612,IF(Atletas!R261="Bishou C",613,IF(Atletas!R261="Shanzi C",614,IF(Atletas!R261="Outra Arma Curta C",615,IF(Atletas!R261="Dao D",616,IF(Atletas!R261="Jian D",617,IF(Atletas!R261="Bishou D",618,IF(Atletas!R261="Shanzi D",619,IF(Atletas!R261="Outra Arma Curta D",620,IF(Atletas!R261="Dao E",621,IF(Atletas!R261="Jian E",622,IF(Atletas!R261="Bishou E",623,IF(Atletas!R261="Shanzi E",624,IF(Atletas!R261="Outra Arma Curta E",625,IF(Atletas!R261="Dao F",626,IF(Atletas!R261="Jian F",627,IF(Atletas!R261="Bishou F",628,IF(Atletas!R261="Shanzi F",629,IF(Atletas!R261="Outra Arma Curta F",630, "")))))))))))))))))))))))))))))))</f>
        <v/>
      </c>
      <c r="CA270" s="50" t="str">
        <f>IF(Atletas!S261="","",IF(Atletas!X261&lt;&gt;"",10000,0)+IF(Atletas!B261="Feminino",1000,IF(Atletas!B261="Masculino",2000,""))+IF(Atletas!S261="Gun A",701,IF(Atletas!S261="Qiang A",702,IF(Atletas!S261="Pudao / Guandao A",703,IF(Atletas!S261="Outra Arma Longa A",704,IF(Atletas!S261="Gun B",705,IF(Atletas!S261="Qiang B",706,IF(Atletas!S261="Pudao / Guandao B",707,IF(Atletas!S261="Outra Arma Longa B",708,IF(Atletas!S261="Gun C",709,IF(Atletas!S261="Qiang C",710,IF(Atletas!S261="Pudao / Guandao C",711,IF(Atletas!S261="Outra Arma Longa C",712,IF(Atletas!S261="Gun D",713,IF(Atletas!S261="Qiang D",714,IF(Atletas!S261="Pudao / Guandao D",715,IF(Atletas!S261="Outra Arma Longa D",716,IF(Atletas!S261="Gun E",717,IF(Atletas!S261="Qiang E",718,IF(Atletas!S261="Pudao / Guandao E",719,IF(Atletas!S261="Outra Arma Longa E",720,IF(Atletas!S261="Gun F",721,IF(Atletas!S261="Qiang F",722,IF(Atletas!S261="Pudao / Guandao F",723,IF(Atletas!S261="Outra Arma Longa F",724,"")))))))))))))))))))))))))</f>
        <v/>
      </c>
      <c r="CB270" s="50" t="str">
        <f>IF(Atletas!T261="","",IF(Atletas!X261&lt;&gt;"",10000,0)+IF(Atletas!B261="Feminino",1000,IF(Atletas!B261="Masculino",2000,""))+IF(Atletas!T261="Outra Arma Dupla A",801,IF(Atletas!T261="Arma Maleável A",802,IF(Atletas!T261="Outra Arma Dupla B",803,IF(Atletas!T261="Arma Maleável B",804,IF(Atletas!T261="Outra Arma Dupla C",805,IF(Atletas!T261="Arma Maleável C",806,IF(Atletas!T261="Outra Arma Dupla D",807,IF(Atletas!T261="Arma Maleável D",808,IF(Atletas!T261="Outra Arma Dupla E",809,IF(Atletas!T261="Arma Maleável E",810,IF(Atletas!T261="Outra Arma Dupla F",811,IF(Atletas!T261="Arma Maleável F",812,IF(Atletas!T261="Shuangdao A",813,IF(Atletas!T261="Shuangdao B",814,IF(Atletas!T261="Shuangdao C",815,IF(Atletas!T261="Shuangdao D",816,IF(Atletas!T261="Shuangdao E",817,IF(Atletas!T261="Shuangdao F",818,"")))))))))))))))))))</f>
        <v/>
      </c>
      <c r="CC270" s="50" t="str">
        <f>IF(Atletas!U261="","",IF(Atletas!X261&lt;&gt;"",10000,0)+IF(Atletas!B261="Feminino",1000,IF(Atletas!B261="Masculino",2000,""))+IF(OR(Atletas!U261="Taijijian Yang A",Atletas!U261="Taijijian Yang Standard A"),901,IF(OR(Atletas!U261="Taijijian Chen A", Atletas!U261="Taijijian Chen Standard A"),902,IF(Atletas!U261="Taijijian Sun A",903,IF(Atletas!U261="Taijijian Wu A",904,IF(Atletas!U261="Taijijian Wu-Hao A",905,IF(OR(Atletas!U261="Taijijian 32 A",Atletas!U261="Taijijian 42 A"),906,IF(OR(Atletas!U261="Taijijian Yang B",Atletas!U261="Taijijian Yang Standard B"),907,IF(OR(Atletas!U261="Taijijian Chen B", Atletas!U261="Taijijian Chen Standard B"),908,IF(Atletas!U261="Taijijian Sun B",909,IF(Atletas!U261="Taijijian Wu B",910,IF(Atletas!U261="Taijijian Wu-Hao B",911,IF(OR(Atletas!U261="Taijijian 32 B",Atletas!U261="Taijijian 42 B"),912,IF(OR(Atletas!U261="Taijijian Yang C",Atletas!U261="Taijijian Yang Standard C"),913,IF(OR(Atletas!U261="Taijijian Chen C", Atletas!U261="Taijijian Chen Standard C"),914,IF(Atletas!U261="Taijijian Sun C",915,IF(Atletas!U261="Taijijian Wu C",916,IF(Atletas!U261="Taijijian Wu-Hao C",917,IF(OR(Atletas!U261="Taijijian 32 C",Atletas!U261="Taijijian 42 C"),918,IF(OR(Atletas!U261="Taijijian Yang D",Atletas!U261="Taijijian Yang Standard D"),919,IF(OR(Atletas!U261="Taijijian Chen D", Atletas!U261="Taijijian Chen Standard D"),920,IF(Atletas!U261="Taijijian Sun D",921,IF(Atletas!U261="Taijijian Wu D",922,IF(Atletas!U261="Taijijian Wu-Hao D",923,IF(OR(Atletas!U261="Taijijian 32 D",Atletas!U261="Taijijian 42 D"),924,IF(OR(Atletas!U261="Taijijian Yang E",Atletas!U261="Taijijian Yang Standard E"),925,IF(OR(Atletas!U261="Taijijian Chen E", Atletas!U261="Taijijian Chen Standard E"),926,IF(Atletas!U261="Taijijian Sun E",927,IF(Atletas!U261="Taijijian Wu E",928,IF(Atletas!U261="Taijijian Wu-Hao E",929,IF(OR(Atletas!U261="Taijijian 32 E",Atletas!U261="Taijijian 42 E"),930,IF(OR(Atletas!U261="Taijijian Yang F",Atletas!U261="Taijijian Yang Standard F"),931,IF(OR(Atletas!U261="Taijijian Chen F", Atletas!U261="Taijijian Chen Standard F"),932,IF(Atletas!U261="Taijijian Sun F",933,IF(Atletas!U261="Taijijian Wu F",934,IF(Atletas!U261="Taijijian Wu-Hao F",935,IF(OR(Atletas!U261="Taijijian 32 F",Atletas!U261="Taijijian 42 F"),936,"")))))))))))))))))))))))))))))))))))))</f>
        <v/>
      </c>
      <c r="CD270" s="50" t="str">
        <f>IF(Atletas!V261="","",IF(Atletas!X261&lt;&gt;"",10000,0)+IF(Atletas!B261="Feminino",1000,IF(Atletas!B261="Masculino",2000,""))+IF(Atletas!V261="Taijidao A",937,IF(Atletas!V261="TaijiShanzi A",938,IF(Atletas!V261="Taijiqiang A",939,IF(Atletas!V261="Bagua de Arma A",940,IF(Atletas!V261="Xingyi de Arma A",941,IF(Atletas!V261="Taijidao B",942,IF(Atletas!V261="TaijiShanzi B",943,IF(Atletas!V261="Taijiqiang B",944,IF(Atletas!V261="Bagua de Arma B",945,IF(Atletas!V261="Xingyi de Arma B",946,IF(Atletas!V261="Taijidao C",947,IF(Atletas!V261="TaijiShanzi C",948,IF(Atletas!V261="Taijiqiang C",949,IF(Atletas!V261="Bagua de Arma C",950,IF(Atletas!V261="Xingyi de Arma C",951,IF(Atletas!V261="Taijidao D",952,IF(Atletas!V261="TaijiShanzi D",953,IF(Atletas!V261="Taijiqiang D",954,IF(Atletas!V261="Bagua de Arma D",955,IF(Atletas!V261="Xingyi de Arma D",956,IF(Atletas!V261="Taijidao E",957,IF(Atletas!V261="TaijiShanzi E",958,IF(Atletas!V261="Taijiqiang E",959,IF(Atletas!V261="Bagua de Arma E",960,IF(Atletas!V261="Xingyi de Arma E",961,IF(Atletas!V261="Taijidao F",962,IF(Atletas!V261="TaijiShanzi F",963,IF(Atletas!V261="Taijiqiang F",964,IF(Atletas!V261="Bagua de Arma F",965,IF(Atletas!V261="Xingyi de Arma F",966,"")))))))))))))))))))))))))))))))</f>
        <v/>
      </c>
      <c r="CE270" s="66" t="str">
        <f>IF(CF270&lt;&gt;"","Outra Arma Longa C","")</f>
        <v/>
      </c>
      <c r="CF270" s="66" t="str">
        <f>IF(COUNTIF(BR:CD,1712)&gt;0,COUNTIF(BR:CD,1712),"")</f>
        <v/>
      </c>
      <c r="CG270" s="66" t="str">
        <f>IF(CH270&lt;&gt;"","Outra Arma Longa C","")</f>
        <v/>
      </c>
      <c r="CH270" s="66" t="str">
        <f>IF(COUNTIF(BR:CD,2712)&gt;0,COUNTIF(BR:CD,2712),"")</f>
        <v/>
      </c>
      <c r="CI270" s="66" t="str">
        <f>IF(CJ271&lt;&gt;"","Pudao / Gaundao E","")</f>
        <v/>
      </c>
      <c r="CJ270" s="66" t="str">
        <f>IF(COUNTIF(BR:CD,11718)&gt;0,COUNTIF(BR:CD,11718),"")</f>
        <v/>
      </c>
      <c r="CK270" s="66" t="str">
        <f>IF(CL270&lt;&gt;"","Qiang E","")</f>
        <v/>
      </c>
      <c r="CL270" s="6" t="str">
        <f>IF(COUNTIF(BR:CD,12718)&gt;0,COUNTIF(BR:CD,12718),"")</f>
        <v/>
      </c>
      <c r="CM270" s="50" t="str">
        <f xml:space="preserve"> IF(Atletas!W261="","",IF(Atletas!W261="Duilian de Mãos BC - Equipe 1",1,IF(Atletas!W261="Duilian de Mãos BC - Equipe 2",2,IF(Atletas!W261="Duilian de Armas BC - Equipe 1",3,IF(Atletas!W261="Duilian de Armas BC - Equipe 2",4,IF(Atletas!W261="Duilian de Mãos DE - Equipe 1",5,IF(Atletas!W261="Duilian de Mãos DE - Equipe 2",6,IF(Atletas!W261="Duilian de Armas DE - Equipe 1",7,IF(Atletas!W261="Duilian de Armas DE - Equipe 2",8,IF(Atletas!W261="Duilian de Tuishou - Equipe 1",9,IF(Atletas!W261="Duilian de Tuishou - Equipe 2",10,IF(Atletas!W261="Grupo Externo ABC - Equipe 1",11,IF(Atletas!W261="Grupo Externo ABC - Equipe 2",12,IF(Atletas!W261="Grupo Interno ABC - Equipe 1",13,IF(Atletas!W261="Grupo Interno ABC - Equipe 2",14,IF(Atletas!W261="Grupo Externo DEF - Equipe 1",15,IF(Atletas!W261="Grupo Externo DEF - Equipe 2",16,IF(Atletas!W261="Grupo Interno DEF - Equipe 1",17,IF(Atletas!W261="Grupo Interno DEF - Equipe 2",18,"")))))))))))))))))))</f>
        <v/>
      </c>
    </row>
    <row r="271" spans="2:91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 t="str">
        <f t="array" ref="Z271">IFERROR(INDEX(CE$7:CE$348,SMALL(IF(CE$7:CE$348&lt;&gt;"",ROW(CE$7:CE$348)-ROW(CE$7)+1),ROWS(CE$7:CE270))),"")</f>
        <v/>
      </c>
      <c r="AA271" s="3" t="str">
        <f t="array" ref="AA271">IFERROR(INDEX(CF$7:CF$348,SMALL(IF(CF$7:CF$348&lt;&gt;"",ROW(CF$7:CF$348)-ROW(CF$7)+1),ROWS(CF$7:CF270))),"")</f>
        <v/>
      </c>
      <c r="AB271" s="3" t="str">
        <f t="array" ref="AB271">IFERROR(INDEX(CG$7:CG$348,SMALL(IF(CG$7:CG$348&lt;&gt;"",ROW(CG$7:CG$348)-ROW(CG$7)+1),ROWS(CG$7:CG270))),"")</f>
        <v/>
      </c>
      <c r="AC271" s="3" t="str">
        <f t="array" ref="AC271">IFERROR(INDEX(CH$7:CH$348,SMALL(IF(CH$7:CH$348&lt;&gt;"",ROW(CH$7:CH$348)-ROW(CH$7)+1),ROWS(CH$7:CH270))),"")</f>
        <v/>
      </c>
      <c r="AD271" s="3" t="str">
        <f t="array" ref="AD271">IFERROR(INDEX(CI$7:CI$377,SMALL(IF(CI$7:CI$377&lt;&gt;"",ROW(CI$7:CI$377)-ROW(CI$7)+1),ROWS(CI$7:CI269))),"")</f>
        <v/>
      </c>
      <c r="AE271" s="3" t="str">
        <f t="array" ref="AE271">IFERROR(INDEX(CJ$7:CJ$378,SMALL(IF(CJ$7:CJ$378&lt;&gt;"",ROW(CJ$7:CJ$378)-ROW(CJ$7)+1),ROWS(CJ$7:CJ270))),"")</f>
        <v/>
      </c>
      <c r="AF271" s="3" t="str">
        <f t="array" ref="AF271">IFERROR(INDEX(CK$7:CK$378,SMALL(IF(CK$7:CK$378&lt;&gt;"",ROW(CK$7:CK$378)-ROW(CK$7)+1),ROWS(CK$7:CK270))),"")</f>
        <v/>
      </c>
      <c r="AG271" s="3" t="str">
        <f t="array" ref="AG271">IFERROR(INDEX(CL$7:CL$378,SMALL(IF(CL$7:CL$378&lt;&gt;"",ROW(CL$7:CL$378)-ROW(CL$7)+1),ROWS(CL$7:CL270))),"")</f>
        <v/>
      </c>
      <c r="AH271" s="3"/>
      <c r="AI271" s="3"/>
      <c r="AJ271" s="3"/>
      <c r="AK271" s="3"/>
      <c r="AL271" s="3"/>
      <c r="AM271" s="3"/>
      <c r="AN271" s="52" t="str">
        <f>IF(Atletas!D262="","",IF(Atletas!B262="Feminino",100,IF(Atletas!B262="Masculino",200,""))+(IF(Atletas!D262="Kids 30kg",1,IF(Atletas!D262="Kids 32kg",2, IF(Atletas!D262="Kids 34kg",3,IF(Atletas!D262="Kids 36kg",4,IF(Atletas!D262="Kids 39kg",5,IF(Atletas!D262="Kids 42kg",6,IF(Atletas!D262="Kids 45kg",7, IF(Atletas!D262="Infantil 39kg",8,IF(Atletas!D262="Infantil 42kg",9,IF(Atletas!D262="Infantil 45kg",10,IF(Atletas!D262="Infantil 48kg",11,IF(Atletas!D262="Infantil 52kg",12,IF(Atletas!D262="Infantil 56kg",13,IF(Atletas!D262="Infantil 60kg",14,IF(Atletas!D262="Juvenil 48kg",15,IF(Atletas!D262="Juvenil 52kg",16,IF(Atletas!D262="Juvenil 56kg",17,IF(Atletas!D262="Juvenil 60kg",18,IF(Atletas!D262="Juvenil 65kg",19,IF(Atletas!D262="Juvenil 70kg",20,IF(Atletas!D262="Juvenil 75kg",21,IF(Atletas!D262="Juvenil 80kg",22, IF(Atletas!D262="Juvenil 85kg",23,IF(Atletas!D262="Adulto 48kg",24,IF(Atletas!D262="Adulto 52kg",25,IF(Atletas!D262="Adulto 56kg",26,IF(Atletas!D262="Adulto 60kg",27,IF(Atletas!D262="Adulto 65kg",28,IF(Atletas!D262="Adulto 70kg",29,IF(Atletas!D262="Adulto 75kg",30,IF(Atletas!D262="Adulto 80kg",31,IF(Atletas!D262="Adulto 85kg",32,IF(Atletas!D262="Adulto 90kg",33,IF(Atletas!D262="Adulto 100kg",34, IF(Atletas!D262="Adulto +100kg",35,"")))))))))))))))))))))))))))))))))))))</f>
        <v/>
      </c>
      <c r="AS271" s="6" t="str">
        <f>IF(Atletas!E262="","",IF(Atletas!B262="Feminino",100,IF(Atletas!B262="Masculino",200,""))+(IF(Atletas!E262="Juvenil 44kg",1,IF(Atletas!E262="Juvenil 48kg",2,IF(Atletas!E262="Juvenil 52kg",3,IF(Atletas!E262="Juvenil 56kg",4,IF(Atletas!E262="Juvenil 60kg",5,IF(Atletas!E262="Juvenil 65kg",6,IF(Atletas!E262="Juvenil 70kg",7,IF(Atletas!E262="Juvenil 75kg",8,IF(Atletas!E262="Juvenil 82kg",9,IF(Atletas!E262="Juvenil 90kg",10,IF(Atletas!E262="Juvenil 100kg",11,IF(Atletas!E262="Adulto 48kg",12,IF(Atletas!E262="Adulto 52kg",13,IF(Atletas!E262="Adulto 56kg",14,IF(Atletas!E262="Adulto 60kg",15,IF(Atletas!E262="Adulto 65kg",16,IF(Atletas!E262="Adulto 70kg",17,IF(Atletas!E262="Adulto 75kg",18,IF(Atletas!E262="Adulto 82kg",19,IF(Atletas!E262="Adulto 90kg",20,IF(Atletas!E262="Adulto 100kg",21,IF(Atletas!E262="Adulto +100kg",22,""))))))))))))))))))))))))</f>
        <v/>
      </c>
      <c r="AX271" s="6" t="str">
        <f>IF(Atletas!F262="","",IF(Atletas!B262="Feminino",100,IF(Atletas!B262="Masculino",200,""))+(IF(Atletas!F262="Adulto 48kg",1,IF(Atletas!F262="Adulto 56kg",2,IF(Atletas!F262="Adulto 65kg",3,IF(Atletas!F262="Adulto 75kg",4,IF(Atletas!F262="Adulto +75kg",5,IF(Atletas!F262="Adulto 52kg",6,IF(Atletas!F262="Adulto 60kg",7,IF(Atletas!F262="Adulto 70kg",8,IF(Atletas!F262="Adulto 80kg",9,IF(Atletas!F262="Adulto 90kg",10,IF(Atletas!F262="Adulto +90kg",11,"")))))))))))))</f>
        <v/>
      </c>
      <c r="BC271" s="6" t="str">
        <f>IF(Atletas!G262="","",IF(Atletas!B262="Feminino",10,IF(Atletas!B262="Masculino",20,""))+(IF(Atletas!G262="Baduanjin A",1,IF(Atletas!G262="Baduanjin B",2))))</f>
        <v/>
      </c>
      <c r="BF271" s="52" t="str">
        <f>IF(Atletas!H262="","",IF(Atletas!B262="Feminino",100,IF(Atletas!B262="Masculino",200,""))+(IF(Atletas!H262="Changquan Mirim",1,IF(Atletas!H262="Nanquan Mirim",2,IF(Atletas!H262="Taijiquan Mirim",3,IF(Atletas!H262="Changquan Grupo C",4,IF(Atletas!H262="Nanquan Grupo C",5,IF(Atletas!H262="Taijiquan Grupo C",6,IF(Atletas!H262="Changquan Grupo B",7,IF(Atletas!H262="Nanquan Grupo B",8,IF(Atletas!H262="Taijiquan Grupo B",9,IF(Atletas!H262="Changquan Grupo A",10,IF(Atletas!H262="Nanquan Grupo A",11,IF(Atletas!H262="Taijiquan Grupo A",12,IF(Atletas!H262="Changquan Opcional",13,IF(Atletas!H262="Nanquan Opcional",14,IF(Atletas!H262="Taijiquan Opcional",15,IF(Atletas!H262="Changquan Adulto",16,IF(Atletas!H262="Nanquan Adulto",17,IF(Atletas!H262="Taijiquan Adulto",18,""))))))))))))))))))))</f>
        <v/>
      </c>
      <c r="BG271" s="52" t="str">
        <f>IF(Atletas!I262="","",IF(Atletas!B262="Feminino",100,IF(Atletas!B262="Masculino",200,""))+(IF(Atletas!I262="Daoshu Mirim",19,IF(Atletas!I262="Jianshu Mirim",20,IF(Atletas!I262="Nandao Mirim",21,IF(Atletas!I262="Taijijian Mirim",22,IF(Atletas!I262="Daoshu Grupo C",23,IF(Atletas!I262="Jianshu Grupo C",24,IF(Atletas!I262="Nandao Grupo C",25,IF(Atletas!I262="Taijijian Grupo C",26,IF(Atletas!I262="Daoshu Grupo B",27,IF(Atletas!I262="Jianshu Grupo B",28,IF(Atletas!I262="Nandao Grupo B",29,IF(Atletas!I262="Taijijian Grupo B",30,IF(Atletas!I262="Daoshu Grupo A",31,IF(Atletas!I262="Jianshu Grupo A",32,IF(Atletas!I262="Nandao Grupo A",33,IF(Atletas!I262="Taijijian Grupo A",34,IF(Atletas!I262="Daoshu Opcional",35,IF(Atletas!I262="Jianshu Opcional",36,IF(Atletas!I262="Nandao Opcional",37,IF(Atletas!I262="Taijijian Opcional",38,IF(Atletas!I262="Daoshu Adulto",39,IF(Atletas!I262="Jianshu Adulto",40,IF(Atletas!I262="Nandao Adulto",41,IF(Atletas!I262="Taijijian Adulto",42,""))))))))))))))))))))))))))</f>
        <v/>
      </c>
      <c r="BH271" s="52" t="str">
        <f>IF(Atletas!J262="","",IF(Atletas!B262="Feminino",100,IF(Atletas!B262="Masculino",200,""))+(IF(Atletas!J262="Gunshu Mirim",43,IF(Atletas!J262="Qiangshu Mirim",44,IF(Atletas!J262="Nangun Mirim",45,IF(Atletas!J262="Gunshu Grupo C",46,IF(Atletas!J262="Qiangshu Grupo C",47,IF(Atletas!J262="Nangun Grupo C",48,IF(Atletas!J262="Gunshu Grupo B",49,IF(Atletas!J262="Qiangshu Grupo B",50,IF(Atletas!J262="Nangun Grupo B",51,IF(Atletas!J262="Gunshu Grupo A",52,IF(Atletas!J262="Qiangshu Grupo A",53,IF(Atletas!J262="Nangun Grupo A",54,IF(Atletas!J262="Gunshu Opcional",55,IF(Atletas!J262="Qiangshu Opcional",56,IF(Atletas!J262="Nangun Opcional",57,IF(Atletas!J262="Gunshu Adulto",58,IF(Atletas!J262="Qiangshu Adulto",59,IF(Atletas!J262="Nangun Adulto",60,IF(Atletas!J262="Taijishan Grupo B",61,IF(Atletas!J262="Taijishan Grupo A",62,""))))))))))))))))))))))</f>
        <v/>
      </c>
      <c r="BM271" s="50" t="str">
        <f>IF(Atletas!K262="","",IF(Atletas!B262="Feminino",100,IF(Atletas!B262="Masculino",200,""))+(IF(Atletas!K262="Equipe 1 Grupo B",1,IF(Atletas!K262="Equipe 2 Grupo B",2,IF(Atletas!K262="Equipe 1 Grupo A",3,IF(Atletas!K262="Equipe 2 Grupo A",4,IF(Atletas!K262="Equipe 1 Adulto",5,IF(Atletas!K262="Equipe 2 Adulto",6,""))))))))</f>
        <v/>
      </c>
      <c r="BR271" s="50" t="str">
        <f>IF(Atletas!L262="","",IF(Atletas!X262&lt;&gt;"",10000,0)+(IF(Atletas!B262="Feminino",1000,IF(Atletas!B262="Masculino",2000,""))+IF(Atletas!L262="Choylayfut A",1,IF(Atletas!L262="Hunggar A",2,IF(Atletas!L262="Wuzuquan A",3,IF(Atletas!L262="Wingchun A",4,IF(Atletas!L262="Outra Mão de Sul A",5,IF(Atletas!L262="Choylayfut B",6,IF(Atletas!L262="Hunggar B",7,IF(Atletas!L262="Wuzuquan B",8,IF(Atletas!L262="Wingchun B",9,IF(Atletas!L262="Outra Mão de Sul B",10,IF(Atletas!L262="Choylayfut C",11,IF(Atletas!L262="Hunggar C",12,IF(Atletas!L262="Wuzuquan C",13,IF(Atletas!L262="Wingchun C",14,IF(Atletas!L262="Outra Mão de Sul C",15,IF(Atletas!L262="Choylayfut D",16,IF(Atletas!L262="Hunggar D",17,IF(Atletas!L262="Wuzuquan D",18,IF(Atletas!L262="Wingchun D",19,IF(Atletas!L262="Outra Mão de Sul D",20,IF(Atletas!L262="Choylayfut E",21,IF(Atletas!L262="Hunggar E",22,IF(Atletas!L262="Wuzuquan E",23,IF(Atletas!L262="Wingchun E",24,IF(Atletas!L262="Outra Mão de Sul E",25,IF(Atletas!L262="Choylayfut F",26,IF(Atletas!L262="Hunggar F",27,IF(Atletas!L262="Wuzuquan F",28,IF(Atletas!L262="Wingchun F",29,IF(Atletas!L262="Outra Mão de Sul F",30,IF(Atletas!L262="Dishuquan A",31,IF(Atletas!L262="Dishuquan B",32,IF(Atletas!L262="Dishuquan C",33,IF(Atletas!L262="Dishuquan D",34,IF(Atletas!L262="Dishuquan E",35,IF(Atletas!L262="Dishuquan F",36,""))))))))))))))))))))))))))))))))))))))</f>
        <v/>
      </c>
      <c r="BS271" s="50" t="str">
        <f>IF(Atletas!M262="","",IF(Atletas!X262&lt;&gt;"",10000,0)+(IF(Atletas!B262="Feminino",1000,IF(Atletas!B262="Masculino",2000,""))+(IF(Atletas!M262="Chaquan A",101,IF(Atletas!M262="Emeiquan A",102,IF(Atletas!M262="Fanziquan A",103,IF(Atletas!M262="Huaquan A",104,IF(Atletas!M262="Hongquan A",105,IF(Atletas!M262="Paoquan A",106,IF(Atletas!M262="Piguaquan A",107,IF(Atletas!M262="Shaolinquan A",108,IF(Atletas!M262="Tanglangquan A",109,IF(Atletas!M262="Yingzhaoquan A",110,IF(Atletas!M262="Tongbeiquan A",111,IF(Atletas!M262="Wudangquan A",112,IF(Atletas!M262="Outros Estilos A",113,IF(Atletas!M262="Chaquan B",114,IF(Atletas!M262="Emeiquan B",115,IF(Atletas!M262="Fanziquan B",116,IF(Atletas!M262="Huaquan B",117,IF(Atletas!M262="Hongquan B",118,IF(Atletas!M262="Paoquan B",119,IF(Atletas!M262="Piguaquan B",120,IF(Atletas!M262="Shaolinquan B",121,IF(Atletas!M262="Tanglangquan B",122,IF(Atletas!M262="Yingzhaoquan B",123,IF(Atletas!M262="Tongbeiquan B",124,IF(Atletas!M262="Wudangquan B",125,IF(Atletas!M262="Outros Estilos B",126,IF(Atletas!M262="Chaquan C",127,IF(Atletas!M262="Emeiquan C",128,IF(Atletas!M262="Fanziquan C",129,IF(Atletas!M262="Huaquan C",130,IF(Atletas!M262="Hongquan C",131,IF(Atletas!M262="Paoquan C",132,IF(Atletas!M262="Piguaquan C",133,IF(Atletas!M262="Shaolinquan C",134,IF(Atletas!M262="Tanglangquan C",135,IF(Atletas!M262="Yingzhaoquan C",136,IF(Atletas!M262="Tongbeiquan C",137,IF(Atletas!M262="Wudangquan C",138,IF(Atletas!M262="Outros Estilos C",139,0))))))))))))))))))))))))))))))))))))))))))</f>
        <v/>
      </c>
      <c r="BT271" s="50" t="str">
        <f>IF(Atletas!M262="","",IF(Atletas!X262&lt;&gt;"",10000,0)+(IF(Atletas!B262="Feminino",1000,IF(Atletas!B262="Masculino",2000,""))+(IF(Atletas!M262="Chaquan D",140,IF(Atletas!M262="Emeiquan D",141,IF(Atletas!M262="Fanziquan D",142,IF(Atletas!M262="Huaquan D",143,IF(Atletas!M262="Hongquan D",144,IF(Atletas!M262="Paoquan D",145,IF(Atletas!M262="Piguaquan D",146,IF(Atletas!M262="Shaolinquan D",147,IF(Atletas!M262="Tanglangquan D",148,IF(Atletas!M262="Yingzhaoquan D",149,IF(Atletas!M262="Tongbeiquan D",150,IF(Atletas!M262="Wudangquan D",151,IF(Atletas!M262="Outros Estilos D",152,IF(Atletas!M262="Chaquan E",153,IF(Atletas!M262="Emeiquan E",154,IF(Atletas!M262="Fanziquan E",155,IF(Atletas!M262="Huaquan E",156,IF(Atletas!M262="Hongquan E",157,IF(Atletas!M262="Paoquan E",158,IF(Atletas!M262="Piguaquan E",159,IF(Atletas!M262="Shaolinquan E",160,IF(Atletas!M262="Tanglangquan E",161,IF(Atletas!M262="Yingzhaoquan E",162,IF(Atletas!M262="Tongbeiquan E",163,IF(Atletas!M262="Wudangquan E",164,IF(Atletas!M262="Outros Estilos E",165,IF(Atletas!M262="Chaquan F",166,IF(Atletas!M262="Emeiquan F",167,IF(Atletas!M262="Fanziquan F",168,IF(Atletas!M262="Huaquan F",169,IF(Atletas!M262="Hongquan F",170,IF(Atletas!M262="Paoquan F",171,IF(Atletas!M262="Piguaquan F",172,IF(Atletas!M262="Shaolinquan F",173,IF(Atletas!M262="Tanglangquan F",174,IF(Atletas!M262="Yingzhaoquan F",175,IF(Atletas!M262="Tongbeiquan F",176,IF(Atletas!M262="Wudangquan F",177,IF(Atletas!M262="Outros Estilos F",178,0))))))))))))))))))))))))))))))))))))))))))</f>
        <v/>
      </c>
      <c r="BU271" s="50" t="str">
        <f>IF(Atletas!N262="","",IF(Atletas!X262&lt;&gt;"",10000,0)+(IF(Atletas!B262="Feminino",1000,IF(Atletas!B262="Masculino",2000,""))+(IF(Atletas!N262="Ditangquan A",201,IF(Atletas!N262="Houquan A",202,IF(Atletas!N262="Zuiquan A",203,IF(Atletas!N262="Ditangquan B",204,IF(Atletas!N262="Houquan B",205,IF(Atletas!N262="Zuiquan B",206,IF(Atletas!N262="Ditangquan C",207,IF(Atletas!N262="Houquan C",208,IF(Atletas!N262="Zuiquan C",209,IF(Atletas!N262="Ditangquan D",210,IF(Atletas!N262="Houquan D",211,IF(Atletas!N262="Zuiquan D",212,IF(Atletas!N262="Ditangquan E",213,IF(Atletas!N262="Houquan E",214,IF(Atletas!N262="Zuiquan E",215,IF(Atletas!N262="Ditangquan F",216,IF(Atletas!N262="Houquan F",217,IF(Atletas!N262="Zuiquan F",218,"")))))))))))))))))))))</f>
        <v/>
      </c>
      <c r="BV271" s="50" t="str">
        <f>IF(Atletas!O262="","",IF(Atletas!X262&lt;&gt;"",10000,0)+IF(Atletas!B262="Feminino",1000,IF(Atletas!B262="Masculino",2000,""))+IF(Atletas!O262="Yang A",301,IF(Atletas!O262="Chen A",302,IF(Atletas!O262="Sun A",303,IF(Atletas!O262="Wu A",304,IF(Atletas!O262="Wu-Hao A",305,IF(Atletas!O262="Outro Taijiquan A",306,IF(Atletas!O262="Yang B",307,IF(Atletas!O262="Chen B",308,IF(Atletas!O262="Sun B",309,IF(Atletas!O262="Wu B",310,IF(Atletas!O262="Wu-Hao B",311,IF(Atletas!O262="Outro Taijiquan B",312,IF(Atletas!O262="Yang C",313,IF(Atletas!O262="Chen C",314,IF(Atletas!O262="Sun C",315,IF(Atletas!O262="Wu C",316,IF(Atletas!O262="Wu-Hao C",317,IF(Atletas!O262="Outro Taijiquan C",318,IF(Atletas!O262="Yang D",319,IF(Atletas!O262="Chen D",320,IF(Atletas!O262="Sun D",321,IF(Atletas!O262="Wu D",322,IF(Atletas!O262="Wu-Hao D",323,IF(Atletas!O262="Outro Taijiquan D",324,IF(Atletas!O262="Yang E",325,IF(Atletas!O262="Chen E",326,IF(Atletas!O262="Sun E",327,IF(Atletas!O262="Wu E",328,IF(Atletas!O262="Wu-Hao E",329,IF(Atletas!O262="Outro Taijiquan E",330,IF(Atletas!O262="Yang F",331,IF(Atletas!O262="Chen F",332,IF(Atletas!O262="Sun F",333,IF(Atletas!O262="Wu F",334,IF(Atletas!O262="Wu-Hao F",335,IF(Atletas!O262="Outro Taijiquan F",336,"")))))))))))))))))))))))))))))))))))))</f>
        <v/>
      </c>
      <c r="BW271" s="50" t="str">
        <f>IF(Atletas!P262="","",IF(Atletas!X262&lt;&gt;"",10000,0)+IF(Atletas!B262="Feminino",1000,IF(Atletas!B262="Masculino",2000,""))+IF(OR(Atletas!P262="Yang 26 A",Atletas!P262="Yang 40 A"),401,IF(OR(Atletas!P262="Chen 25 A",Atletas!P262="Chen 36 A",Atletas!P262="Chen 56 A"),402,IF(Atletas!P262="Sun 73 A",403,IF(Atletas!P262="Wu 45 A",404,IF(Atletas!P262="Wu-Hao 46 A",405,IF(OR(Atletas!P262="Taijiquan 16 A",Atletas!P262="Taijiquan 24 A",Atletas!P262="Taijiquan 32 A",Atletas!P262="Taijiquan 42 A"),406,IF(OR(Atletas!P262="Yang 26 B",Atletas!P262="Yang 40 B"),407,IF(OR(Atletas!P262="Chen 25 B",Atletas!P262="Chen 36 B",Atletas!P262="Chen 56 B"),408,IF(Atletas!P262="Sun 73 B",409,IF(Atletas!P262="Wu 45 B",410,IF(Atletas!P262="Wu-Hao 46 B",411,IF(OR(Atletas!P262="Taijiquan 16 B",Atletas!P262="Taijiquan 24 B",Atletas!P262="Taijiquan 32 B",Atletas!P262="Taijiquan 42 B"),412,IF(OR(Atletas!P262="Yang 26 C",Atletas!P262="Yang 40 C"),413,IF(OR(Atletas!P262="Chen 25 C",Atletas!P262="Chen 36 C",Atletas!P262="Chen 56 C"),414,IF(Atletas!P262="Sun 73 C",415,IF(Atletas!P262="Wu 45 C",416,IF(Atletas!P262="Wu-Hao 46 C",417,IF(OR(Atletas!P262="Taijiquan 16 C",Atletas!P262="Taijiquan 24 C",Atletas!P262="Taijiquan 32 C",Atletas!P262="Taijiquan 42 C"),418,0)))))))))))))))))))</f>
        <v/>
      </c>
      <c r="BX271" s="50" t="str">
        <f>IF(Atletas!P262="","",IF(Atletas!X262&lt;&gt;"",10000,0)+IF(Atletas!B262="Feminino",1000,IF(Atletas!B262="Masculino",2000,""))+IF(OR(Atletas!P262="Yang 26 D",Atletas!P262="Yang 40 D"),419,IF(OR(Atletas!P262="Chen 25 D",Atletas!P262="Chen 36 D",Atletas!P262="Chen 56 D"),420,IF(Atletas!P262="Sun 73 D",421,IF(Atletas!P262="Wu 45 D",422,IF(Atletas!P262="Wu-Hao 46 D",423,IF(OR(Atletas!P262="Taijiquan 16 D",Atletas!P262="Taijiquan 24 D",Atletas!P262="Taijiquan 32 D",Atletas!P262="Taijiquan 42 D"),424,IF(OR(Atletas!P262="Yang 26 E",Atletas!P262="Yang 40 E"),425,IF(OR(Atletas!P262="Chen 25 E",Atletas!P262="Chen 36 E",Atletas!P262="Chen 56 E"),426,IF(Atletas!P262="Sun 73 E",427,IF(Atletas!P262="Wu 45 E",428,IF(Atletas!P262="Wu-Hao 46 E",429,IF(OR(Atletas!P262="Taijiquan 16 E",Atletas!P262="Taijiquan 24 E",Atletas!P262="Taijiquan 32 E",Atletas!P262="Taijiquan 42 E"),430,IF(OR(Atletas!P262="Yang 26 F",Atletas!P262="Yang 40 F"),431,IF(OR(Atletas!P262="Chen 25 F",Atletas!P262="Chen 36 F",Atletas!P262="Chen 56 F"),432,IF(Atletas!P262="Sun 73 F",433,IF(Atletas!P262="Wu 45 F",434,IF(Atletas!P262="Wu-Hao 46 F",435,IF(OR(Atletas!P262="Taijiquan 16 F",Atletas!P262="Taijiquan 24 F",Atletas!P262="Taijiquan 32 F",Atletas!P262="Taijiquan 42 F"),436,0)))))))))))))))))))</f>
        <v/>
      </c>
      <c r="BY271" s="50" t="str">
        <f>IF(Atletas!Q262="","",IF(Atletas!X262&lt;&gt;"",10000,0)+IF(Atletas!B262="Feminino",1000,IF(Atletas!B262="Masculino",2000,""))+IF(Atletas!Q262="Xingyiquan A",501,IF(Atletas!Q262="Baguazhang A",502,IF(Atletas!Q262="Outro Estilo Interno A",503,IF(Atletas!Q262="Xingyiquan B",504,IF(Atletas!Q262="Baguazhang B",505,IF(Atletas!Q262="Outro Estilo Interno B",506,IF(Atletas!Q262="Xingyiquan C",507,IF(Atletas!Q262="Baguazhang C",508,IF(Atletas!Q262="Outro Estilo Interno C",509,IF(Atletas!Q262="Xingyiquan D",510,IF(Atletas!Q262="Baguazhang D",511,IF(Atletas!Q262="Outro Estilo Interno D",512,IF(Atletas!Q262="Xingyiquan E",513,IF(Atletas!Q262="Baguazhang E",514,IF(Atletas!Q262="Outro Estilo Interno E",515,IF(Atletas!Q262="Xingyiquan F",516,IF(Atletas!Q262="Baguazhang F",517,IF(Atletas!Q262="Outro Estilo Interno F",518, "")))))))))))))))))))</f>
        <v/>
      </c>
      <c r="BZ271" s="50" t="str">
        <f>IF(Atletas!R262="","",IF(Atletas!X262&lt;&gt;"",10000,0)+IF(Atletas!B262="Feminino",1000,IF(Atletas!B262="Masculino",2000,""))+IF(Atletas!R262="Dao A",601,IF(Atletas!R262="Jian A",602,IF(Atletas!R262="Bishou A",603,IF(Atletas!R262="Shanzi A",604,IF(Atletas!R262="Outra Arma Curta A",605,IF(Atletas!R262="Dao B",606,IF(Atletas!R262="Jian B",607,IF(Atletas!R262="Bishou B",608,IF(Atletas!R262="Shanzi B",609,IF(Atletas!R262="Outra Arma Curta B",610,IF(Atletas!R262="Dao C",611,IF(Atletas!R262="Jian C",612,IF(Atletas!R262="Bishou C",613,IF(Atletas!R262="Shanzi C",614,IF(Atletas!R262="Outra Arma Curta C",615,IF(Atletas!R262="Dao D",616,IF(Atletas!R262="Jian D",617,IF(Atletas!R262="Bishou D",618,IF(Atletas!R262="Shanzi D",619,IF(Atletas!R262="Outra Arma Curta D",620,IF(Atletas!R262="Dao E",621,IF(Atletas!R262="Jian E",622,IF(Atletas!R262="Bishou E",623,IF(Atletas!R262="Shanzi E",624,IF(Atletas!R262="Outra Arma Curta E",625,IF(Atletas!R262="Dao F",626,IF(Atletas!R262="Jian F",627,IF(Atletas!R262="Bishou F",628,IF(Atletas!R262="Shanzi F",629,IF(Atletas!R262="Outra Arma Curta F",630, "")))))))))))))))))))))))))))))))</f>
        <v/>
      </c>
      <c r="CA271" s="50" t="str">
        <f>IF(Atletas!S262="","",IF(Atletas!X262&lt;&gt;"",10000,0)+IF(Atletas!B262="Feminino",1000,IF(Atletas!B262="Masculino",2000,""))+IF(Atletas!S262="Gun A",701,IF(Atletas!S262="Qiang A",702,IF(Atletas!S262="Pudao / Guandao A",703,IF(Atletas!S262="Outra Arma Longa A",704,IF(Atletas!S262="Gun B",705,IF(Atletas!S262="Qiang B",706,IF(Atletas!S262="Pudao / Guandao B",707,IF(Atletas!S262="Outra Arma Longa B",708,IF(Atletas!S262="Gun C",709,IF(Atletas!S262="Qiang C",710,IF(Atletas!S262="Pudao / Guandao C",711,IF(Atletas!S262="Outra Arma Longa C",712,IF(Atletas!S262="Gun D",713,IF(Atletas!S262="Qiang D",714,IF(Atletas!S262="Pudao / Guandao D",715,IF(Atletas!S262="Outra Arma Longa D",716,IF(Atletas!S262="Gun E",717,IF(Atletas!S262="Qiang E",718,IF(Atletas!S262="Pudao / Guandao E",719,IF(Atletas!S262="Outra Arma Longa E",720,IF(Atletas!S262="Gun F",721,IF(Atletas!S262="Qiang F",722,IF(Atletas!S262="Pudao / Guandao F",723,IF(Atletas!S262="Outra Arma Longa F",724,"")))))))))))))))))))))))))</f>
        <v/>
      </c>
      <c r="CB271" s="50" t="str">
        <f>IF(Atletas!T262="","",IF(Atletas!X262&lt;&gt;"",10000,0)+IF(Atletas!B262="Feminino",1000,IF(Atletas!B262="Masculino",2000,""))+IF(Atletas!T262="Outra Arma Dupla A",801,IF(Atletas!T262="Arma Maleável A",802,IF(Atletas!T262="Outra Arma Dupla B",803,IF(Atletas!T262="Arma Maleável B",804,IF(Atletas!T262="Outra Arma Dupla C",805,IF(Atletas!T262="Arma Maleável C",806,IF(Atletas!T262="Outra Arma Dupla D",807,IF(Atletas!T262="Arma Maleável D",808,IF(Atletas!T262="Outra Arma Dupla E",809,IF(Atletas!T262="Arma Maleável E",810,IF(Atletas!T262="Outra Arma Dupla F",811,IF(Atletas!T262="Arma Maleável F",812,IF(Atletas!T262="Shuangdao A",813,IF(Atletas!T262="Shuangdao B",814,IF(Atletas!T262="Shuangdao C",815,IF(Atletas!T262="Shuangdao D",816,IF(Atletas!T262="Shuangdao E",817,IF(Atletas!T262="Shuangdao F",818,"")))))))))))))))))))</f>
        <v/>
      </c>
      <c r="CC271" s="50" t="str">
        <f>IF(Atletas!U262="","",IF(Atletas!X262&lt;&gt;"",10000,0)+IF(Atletas!B262="Feminino",1000,IF(Atletas!B262="Masculino",2000,""))+IF(OR(Atletas!U262="Taijijian Yang A",Atletas!U262="Taijijian Yang Standard A"),901,IF(OR(Atletas!U262="Taijijian Chen A", Atletas!U262="Taijijian Chen Standard A"),902,IF(Atletas!U262="Taijijian Sun A",903,IF(Atletas!U262="Taijijian Wu A",904,IF(Atletas!U262="Taijijian Wu-Hao A",905,IF(OR(Atletas!U262="Taijijian 32 A",Atletas!U262="Taijijian 42 A"),906,IF(OR(Atletas!U262="Taijijian Yang B",Atletas!U262="Taijijian Yang Standard B"),907,IF(OR(Atletas!U262="Taijijian Chen B", Atletas!U262="Taijijian Chen Standard B"),908,IF(Atletas!U262="Taijijian Sun B",909,IF(Atletas!U262="Taijijian Wu B",910,IF(Atletas!U262="Taijijian Wu-Hao B",911,IF(OR(Atletas!U262="Taijijian 32 B",Atletas!U262="Taijijian 42 B"),912,IF(OR(Atletas!U262="Taijijian Yang C",Atletas!U262="Taijijian Yang Standard C"),913,IF(OR(Atletas!U262="Taijijian Chen C", Atletas!U262="Taijijian Chen Standard C"),914,IF(Atletas!U262="Taijijian Sun C",915,IF(Atletas!U262="Taijijian Wu C",916,IF(Atletas!U262="Taijijian Wu-Hao C",917,IF(OR(Atletas!U262="Taijijian 32 C",Atletas!U262="Taijijian 42 C"),918,IF(OR(Atletas!U262="Taijijian Yang D",Atletas!U262="Taijijian Yang Standard D"),919,IF(OR(Atletas!U262="Taijijian Chen D", Atletas!U262="Taijijian Chen Standard D"),920,IF(Atletas!U262="Taijijian Sun D",921,IF(Atletas!U262="Taijijian Wu D",922,IF(Atletas!U262="Taijijian Wu-Hao D",923,IF(OR(Atletas!U262="Taijijian 32 D",Atletas!U262="Taijijian 42 D"),924,IF(OR(Atletas!U262="Taijijian Yang E",Atletas!U262="Taijijian Yang Standard E"),925,IF(OR(Atletas!U262="Taijijian Chen E", Atletas!U262="Taijijian Chen Standard E"),926,IF(Atletas!U262="Taijijian Sun E",927,IF(Atletas!U262="Taijijian Wu E",928,IF(Atletas!U262="Taijijian Wu-Hao E",929,IF(OR(Atletas!U262="Taijijian 32 E",Atletas!U262="Taijijian 42 E"),930,IF(OR(Atletas!U262="Taijijian Yang F",Atletas!U262="Taijijian Yang Standard F"),931,IF(OR(Atletas!U262="Taijijian Chen F", Atletas!U262="Taijijian Chen Standard F"),932,IF(Atletas!U262="Taijijian Sun F",933,IF(Atletas!U262="Taijijian Wu F",934,IF(Atletas!U262="Taijijian Wu-Hao F",935,IF(OR(Atletas!U262="Taijijian 32 F",Atletas!U262="Taijijian 42 F"),936,"")))))))))))))))))))))))))))))))))))))</f>
        <v/>
      </c>
      <c r="CD271" s="50" t="str">
        <f>IF(Atletas!V262="","",IF(Atletas!X262&lt;&gt;"",10000,0)+IF(Atletas!B262="Feminino",1000,IF(Atletas!B262="Masculino",2000,""))+IF(Atletas!V262="Taijidao A",937,IF(Atletas!V262="TaijiShanzi A",938,IF(Atletas!V262="Taijiqiang A",939,IF(Atletas!V262="Bagua de Arma A",940,IF(Atletas!V262="Xingyi de Arma A",941,IF(Atletas!V262="Taijidao B",942,IF(Atletas!V262="TaijiShanzi B",943,IF(Atletas!V262="Taijiqiang B",944,IF(Atletas!V262="Bagua de Arma B",945,IF(Atletas!V262="Xingyi de Arma B",946,IF(Atletas!V262="Taijidao C",947,IF(Atletas!V262="TaijiShanzi C",948,IF(Atletas!V262="Taijiqiang C",949,IF(Atletas!V262="Bagua de Arma C",950,IF(Atletas!V262="Xingyi de Arma C",951,IF(Atletas!V262="Taijidao D",952,IF(Atletas!V262="TaijiShanzi D",953,IF(Atletas!V262="Taijiqiang D",954,IF(Atletas!V262="Bagua de Arma D",955,IF(Atletas!V262="Xingyi de Arma D",956,IF(Atletas!V262="Taijidao E",957,IF(Atletas!V262="TaijiShanzi E",958,IF(Atletas!V262="Taijiqiang E",959,IF(Atletas!V262="Bagua de Arma E",960,IF(Atletas!V262="Xingyi de Arma E",961,IF(Atletas!V262="Taijidao F",962,IF(Atletas!V262="TaijiShanzi F",963,IF(Atletas!V262="Taijiqiang F",964,IF(Atletas!V262="Bagua de Arma F",965,IF(Atletas!V262="Xingyi de Arma F",966,"")))))))))))))))))))))))))))))))</f>
        <v/>
      </c>
      <c r="CE271" s="66" t="str">
        <f>IF(CF271&lt;&gt;"","Gun D","")</f>
        <v/>
      </c>
      <c r="CF271" s="66" t="str">
        <f>IF(COUNTIF(BR:CD,1713)&gt;0,COUNTIF(BR:CD,1713),"")</f>
        <v/>
      </c>
      <c r="CG271" s="66" t="str">
        <f>IF(CH271&lt;&gt;"","Gun D","")</f>
        <v/>
      </c>
      <c r="CH271" s="66" t="str">
        <f>IF(COUNTIF(BR:CD,2713)&gt;0,COUNTIF(BR:CD,2713),"")</f>
        <v/>
      </c>
      <c r="CI271" s="66" t="str">
        <f>IF(CJ272&lt;&gt;"","Outra Arma Longa E","")</f>
        <v/>
      </c>
      <c r="CJ271" s="66" t="str">
        <f>IF(COUNTIF(BR:CD,11719)&gt;0,COUNTIF(BR:CD,11719),"")</f>
        <v/>
      </c>
      <c r="CK271" s="66" t="str">
        <f>IF(CL271&lt;&gt;"","Pudao / Gaundao E","")</f>
        <v/>
      </c>
      <c r="CL271" s="6" t="str">
        <f>IF(COUNTIF(BR:CD,12719)&gt;0,COUNTIF(BR:CD,12719),"")</f>
        <v/>
      </c>
      <c r="CM271" s="50" t="str">
        <f xml:space="preserve"> IF(Atletas!W262="","",IF(Atletas!W262="Duilian de Mãos BC - Equipe 1",1,IF(Atletas!W262="Duilian de Mãos BC - Equipe 2",2,IF(Atletas!W262="Duilian de Armas BC - Equipe 1",3,IF(Atletas!W262="Duilian de Armas BC - Equipe 2",4,IF(Atletas!W262="Duilian de Mãos DE - Equipe 1",5,IF(Atletas!W262="Duilian de Mãos DE - Equipe 2",6,IF(Atletas!W262="Duilian de Armas DE - Equipe 1",7,IF(Atletas!W262="Duilian de Armas DE - Equipe 2",8,IF(Atletas!W262="Duilian de Tuishou - Equipe 1",9,IF(Atletas!W262="Duilian de Tuishou - Equipe 2",10,IF(Atletas!W262="Grupo Externo ABC - Equipe 1",11,IF(Atletas!W262="Grupo Externo ABC - Equipe 2",12,IF(Atletas!W262="Grupo Interno ABC - Equipe 1",13,IF(Atletas!W262="Grupo Interno ABC - Equipe 2",14,IF(Atletas!W262="Grupo Externo DEF - Equipe 1",15,IF(Atletas!W262="Grupo Externo DEF - Equipe 2",16,IF(Atletas!W262="Grupo Interno DEF - Equipe 1",17,IF(Atletas!W262="Grupo Interno DEF - Equipe 2",18,"")))))))))))))))))))</f>
        <v/>
      </c>
    </row>
    <row r="272" spans="2:91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 t="str">
        <f t="array" ref="Z272">IFERROR(INDEX(CE$7:CE$348,SMALL(IF(CE$7:CE$348&lt;&gt;"",ROW(CE$7:CE$348)-ROW(CE$7)+1),ROWS(CE$7:CE271))),"")</f>
        <v/>
      </c>
      <c r="AA272" s="3" t="str">
        <f t="array" ref="AA272">IFERROR(INDEX(CF$7:CF$348,SMALL(IF(CF$7:CF$348&lt;&gt;"",ROW(CF$7:CF$348)-ROW(CF$7)+1),ROWS(CF$7:CF271))),"")</f>
        <v/>
      </c>
      <c r="AB272" s="3" t="str">
        <f t="array" ref="AB272">IFERROR(INDEX(CG$7:CG$348,SMALL(IF(CG$7:CG$348&lt;&gt;"",ROW(CG$7:CG$348)-ROW(CG$7)+1),ROWS(CG$7:CG271))),"")</f>
        <v/>
      </c>
      <c r="AC272" s="3" t="str">
        <f t="array" ref="AC272">IFERROR(INDEX(CH$7:CH$348,SMALL(IF(CH$7:CH$348&lt;&gt;"",ROW(CH$7:CH$348)-ROW(CH$7)+1),ROWS(CH$7:CH271))),"")</f>
        <v/>
      </c>
      <c r="AD272" s="3" t="str">
        <f t="array" ref="AD272">IFERROR(INDEX(CI$7:CI$377,SMALL(IF(CI$7:CI$377&lt;&gt;"",ROW(CI$7:CI$377)-ROW(CI$7)+1),ROWS(CI$7:CI270))),"")</f>
        <v/>
      </c>
      <c r="AE272" s="3" t="str">
        <f t="array" ref="AE272">IFERROR(INDEX(CJ$7:CJ$378,SMALL(IF(CJ$7:CJ$378&lt;&gt;"",ROW(CJ$7:CJ$378)-ROW(CJ$7)+1),ROWS(CJ$7:CJ271))),"")</f>
        <v/>
      </c>
      <c r="AF272" s="3" t="str">
        <f t="array" ref="AF272">IFERROR(INDEX(CK$7:CK$378,SMALL(IF(CK$7:CK$378&lt;&gt;"",ROW(CK$7:CK$378)-ROW(CK$7)+1),ROWS(CK$7:CK271))),"")</f>
        <v/>
      </c>
      <c r="AG272" s="3" t="str">
        <f t="array" ref="AG272">IFERROR(INDEX(CL$7:CL$378,SMALL(IF(CL$7:CL$378&lt;&gt;"",ROW(CL$7:CL$378)-ROW(CL$7)+1),ROWS(CL$7:CL271))),"")</f>
        <v/>
      </c>
      <c r="AH272" s="3"/>
      <c r="AI272" s="3"/>
      <c r="AJ272" s="3"/>
      <c r="AK272" s="3"/>
      <c r="AL272" s="3"/>
      <c r="AM272" s="3"/>
      <c r="AN272" s="52" t="str">
        <f>IF(Atletas!D263="","",IF(Atletas!B263="Feminino",100,IF(Atletas!B263="Masculino",200,""))+(IF(Atletas!D263="Kids 30kg",1,IF(Atletas!D263="Kids 32kg",2, IF(Atletas!D263="Kids 34kg",3,IF(Atletas!D263="Kids 36kg",4,IF(Atletas!D263="Kids 39kg",5,IF(Atletas!D263="Kids 42kg",6,IF(Atletas!D263="Kids 45kg",7, IF(Atletas!D263="Infantil 39kg",8,IF(Atletas!D263="Infantil 42kg",9,IF(Atletas!D263="Infantil 45kg",10,IF(Atletas!D263="Infantil 48kg",11,IF(Atletas!D263="Infantil 52kg",12,IF(Atletas!D263="Infantil 56kg",13,IF(Atletas!D263="Infantil 60kg",14,IF(Atletas!D263="Juvenil 48kg",15,IF(Atletas!D263="Juvenil 52kg",16,IF(Atletas!D263="Juvenil 56kg",17,IF(Atletas!D263="Juvenil 60kg",18,IF(Atletas!D263="Juvenil 65kg",19,IF(Atletas!D263="Juvenil 70kg",20,IF(Atletas!D263="Juvenil 75kg",21,IF(Atletas!D263="Juvenil 80kg",22, IF(Atletas!D263="Juvenil 85kg",23,IF(Atletas!D263="Adulto 48kg",24,IF(Atletas!D263="Adulto 52kg",25,IF(Atletas!D263="Adulto 56kg",26,IF(Atletas!D263="Adulto 60kg",27,IF(Atletas!D263="Adulto 65kg",28,IF(Atletas!D263="Adulto 70kg",29,IF(Atletas!D263="Adulto 75kg",30,IF(Atletas!D263="Adulto 80kg",31,IF(Atletas!D263="Adulto 85kg",32,IF(Atletas!D263="Adulto 90kg",33,IF(Atletas!D263="Adulto 100kg",34, IF(Atletas!D263="Adulto +100kg",35,"")))))))))))))))))))))))))))))))))))))</f>
        <v/>
      </c>
      <c r="AS272" s="6" t="str">
        <f>IF(Atletas!E263="","",IF(Atletas!B263="Feminino",100,IF(Atletas!B263="Masculino",200,""))+(IF(Atletas!E263="Juvenil 44kg",1,IF(Atletas!E263="Juvenil 48kg",2,IF(Atletas!E263="Juvenil 52kg",3,IF(Atletas!E263="Juvenil 56kg",4,IF(Atletas!E263="Juvenil 60kg",5,IF(Atletas!E263="Juvenil 65kg",6,IF(Atletas!E263="Juvenil 70kg",7,IF(Atletas!E263="Juvenil 75kg",8,IF(Atletas!E263="Juvenil 82kg",9,IF(Atletas!E263="Juvenil 90kg",10,IF(Atletas!E263="Juvenil 100kg",11,IF(Atletas!E263="Adulto 48kg",12,IF(Atletas!E263="Adulto 52kg",13,IF(Atletas!E263="Adulto 56kg",14,IF(Atletas!E263="Adulto 60kg",15,IF(Atletas!E263="Adulto 65kg",16,IF(Atletas!E263="Adulto 70kg",17,IF(Atletas!E263="Adulto 75kg",18,IF(Atletas!E263="Adulto 82kg",19,IF(Atletas!E263="Adulto 90kg",20,IF(Atletas!E263="Adulto 100kg",21,IF(Atletas!E263="Adulto +100kg",22,""))))))))))))))))))))))))</f>
        <v/>
      </c>
      <c r="AX272" s="6" t="str">
        <f>IF(Atletas!F263="","",IF(Atletas!B263="Feminino",100,IF(Atletas!B263="Masculino",200,""))+(IF(Atletas!F263="Adulto 48kg",1,IF(Atletas!F263="Adulto 56kg",2,IF(Atletas!F263="Adulto 65kg",3,IF(Atletas!F263="Adulto 75kg",4,IF(Atletas!F263="Adulto +75kg",5,IF(Atletas!F263="Adulto 52kg",6,IF(Atletas!F263="Adulto 60kg",7,IF(Atletas!F263="Adulto 70kg",8,IF(Atletas!F263="Adulto 80kg",9,IF(Atletas!F263="Adulto 90kg",10,IF(Atletas!F263="Adulto +90kg",11,"")))))))))))))</f>
        <v/>
      </c>
      <c r="BC272" s="6" t="str">
        <f>IF(Atletas!G263="","",IF(Atletas!B263="Feminino",10,IF(Atletas!B263="Masculino",20,""))+(IF(Atletas!G263="Baduanjin A",1,IF(Atletas!G263="Baduanjin B",2))))</f>
        <v/>
      </c>
      <c r="BF272" s="52" t="str">
        <f>IF(Atletas!H263="","",IF(Atletas!B263="Feminino",100,IF(Atletas!B263="Masculino",200,""))+(IF(Atletas!H263="Changquan Mirim",1,IF(Atletas!H263="Nanquan Mirim",2,IF(Atletas!H263="Taijiquan Mirim",3,IF(Atletas!H263="Changquan Grupo C",4,IF(Atletas!H263="Nanquan Grupo C",5,IF(Atletas!H263="Taijiquan Grupo C",6,IF(Atletas!H263="Changquan Grupo B",7,IF(Atletas!H263="Nanquan Grupo B",8,IF(Atletas!H263="Taijiquan Grupo B",9,IF(Atletas!H263="Changquan Grupo A",10,IF(Atletas!H263="Nanquan Grupo A",11,IF(Atletas!H263="Taijiquan Grupo A",12,IF(Atletas!H263="Changquan Opcional",13,IF(Atletas!H263="Nanquan Opcional",14,IF(Atletas!H263="Taijiquan Opcional",15,IF(Atletas!H263="Changquan Adulto",16,IF(Atletas!H263="Nanquan Adulto",17,IF(Atletas!H263="Taijiquan Adulto",18,""))))))))))))))))))))</f>
        <v/>
      </c>
      <c r="BG272" s="52" t="str">
        <f>IF(Atletas!I263="","",IF(Atletas!B263="Feminino",100,IF(Atletas!B263="Masculino",200,""))+(IF(Atletas!I263="Daoshu Mirim",19,IF(Atletas!I263="Jianshu Mirim",20,IF(Atletas!I263="Nandao Mirim",21,IF(Atletas!I263="Taijijian Mirim",22,IF(Atletas!I263="Daoshu Grupo C",23,IF(Atletas!I263="Jianshu Grupo C",24,IF(Atletas!I263="Nandao Grupo C",25,IF(Atletas!I263="Taijijian Grupo C",26,IF(Atletas!I263="Daoshu Grupo B",27,IF(Atletas!I263="Jianshu Grupo B",28,IF(Atletas!I263="Nandao Grupo B",29,IF(Atletas!I263="Taijijian Grupo B",30,IF(Atletas!I263="Daoshu Grupo A",31,IF(Atletas!I263="Jianshu Grupo A",32,IF(Atletas!I263="Nandao Grupo A",33,IF(Atletas!I263="Taijijian Grupo A",34,IF(Atletas!I263="Daoshu Opcional",35,IF(Atletas!I263="Jianshu Opcional",36,IF(Atletas!I263="Nandao Opcional",37,IF(Atletas!I263="Taijijian Opcional",38,IF(Atletas!I263="Daoshu Adulto",39,IF(Atletas!I263="Jianshu Adulto",40,IF(Atletas!I263="Nandao Adulto",41,IF(Atletas!I263="Taijijian Adulto",42,""))))))))))))))))))))))))))</f>
        <v/>
      </c>
      <c r="BH272" s="52" t="str">
        <f>IF(Atletas!J263="","",IF(Atletas!B263="Feminino",100,IF(Atletas!B263="Masculino",200,""))+(IF(Atletas!J263="Gunshu Mirim",43,IF(Atletas!J263="Qiangshu Mirim",44,IF(Atletas!J263="Nangun Mirim",45,IF(Atletas!J263="Gunshu Grupo C",46,IF(Atletas!J263="Qiangshu Grupo C",47,IF(Atletas!J263="Nangun Grupo C",48,IF(Atletas!J263="Gunshu Grupo B",49,IF(Atletas!J263="Qiangshu Grupo B",50,IF(Atletas!J263="Nangun Grupo B",51,IF(Atletas!J263="Gunshu Grupo A",52,IF(Atletas!J263="Qiangshu Grupo A",53,IF(Atletas!J263="Nangun Grupo A",54,IF(Atletas!J263="Gunshu Opcional",55,IF(Atletas!J263="Qiangshu Opcional",56,IF(Atletas!J263="Nangun Opcional",57,IF(Atletas!J263="Gunshu Adulto",58,IF(Atletas!J263="Qiangshu Adulto",59,IF(Atletas!J263="Nangun Adulto",60,IF(Atletas!J263="Taijishan Grupo B",61,IF(Atletas!J263="Taijishan Grupo A",62,""))))))))))))))))))))))</f>
        <v/>
      </c>
      <c r="BM272" s="50" t="str">
        <f>IF(Atletas!K263="","",IF(Atletas!B263="Feminino",100,IF(Atletas!B263="Masculino",200,""))+(IF(Atletas!K263="Equipe 1 Grupo B",1,IF(Atletas!K263="Equipe 2 Grupo B",2,IF(Atletas!K263="Equipe 1 Grupo A",3,IF(Atletas!K263="Equipe 2 Grupo A",4,IF(Atletas!K263="Equipe 1 Adulto",5,IF(Atletas!K263="Equipe 2 Adulto",6,""))))))))</f>
        <v/>
      </c>
      <c r="BR272" s="50" t="str">
        <f>IF(Atletas!L263="","",IF(Atletas!X263&lt;&gt;"",10000,0)+(IF(Atletas!B263="Feminino",1000,IF(Atletas!B263="Masculino",2000,""))+IF(Atletas!L263="Choylayfut A",1,IF(Atletas!L263="Hunggar A",2,IF(Atletas!L263="Wuzuquan A",3,IF(Atletas!L263="Wingchun A",4,IF(Atletas!L263="Outra Mão de Sul A",5,IF(Atletas!L263="Choylayfut B",6,IF(Atletas!L263="Hunggar B",7,IF(Atletas!L263="Wuzuquan B",8,IF(Atletas!L263="Wingchun B",9,IF(Atletas!L263="Outra Mão de Sul B",10,IF(Atletas!L263="Choylayfut C",11,IF(Atletas!L263="Hunggar C",12,IF(Atletas!L263="Wuzuquan C",13,IF(Atletas!L263="Wingchun C",14,IF(Atletas!L263="Outra Mão de Sul C",15,IF(Atletas!L263="Choylayfut D",16,IF(Atletas!L263="Hunggar D",17,IF(Atletas!L263="Wuzuquan D",18,IF(Atletas!L263="Wingchun D",19,IF(Atletas!L263="Outra Mão de Sul D",20,IF(Atletas!L263="Choylayfut E",21,IF(Atletas!L263="Hunggar E",22,IF(Atletas!L263="Wuzuquan E",23,IF(Atletas!L263="Wingchun E",24,IF(Atletas!L263="Outra Mão de Sul E",25,IF(Atletas!L263="Choylayfut F",26,IF(Atletas!L263="Hunggar F",27,IF(Atletas!L263="Wuzuquan F",28,IF(Atletas!L263="Wingchun F",29,IF(Atletas!L263="Outra Mão de Sul F",30,IF(Atletas!L263="Dishuquan A",31,IF(Atletas!L263="Dishuquan B",32,IF(Atletas!L263="Dishuquan C",33,IF(Atletas!L263="Dishuquan D",34,IF(Atletas!L263="Dishuquan E",35,IF(Atletas!L263="Dishuquan F",36,""))))))))))))))))))))))))))))))))))))))</f>
        <v/>
      </c>
      <c r="BS272" s="50" t="str">
        <f>IF(Atletas!M263="","",IF(Atletas!X263&lt;&gt;"",10000,0)+(IF(Atletas!B263="Feminino",1000,IF(Atletas!B263="Masculino",2000,""))+(IF(Atletas!M263="Chaquan A",101,IF(Atletas!M263="Emeiquan A",102,IF(Atletas!M263="Fanziquan A",103,IF(Atletas!M263="Huaquan A",104,IF(Atletas!M263="Hongquan A",105,IF(Atletas!M263="Paoquan A",106,IF(Atletas!M263="Piguaquan A",107,IF(Atletas!M263="Shaolinquan A",108,IF(Atletas!M263="Tanglangquan A",109,IF(Atletas!M263="Yingzhaoquan A",110,IF(Atletas!M263="Tongbeiquan A",111,IF(Atletas!M263="Wudangquan A",112,IF(Atletas!M263="Outros Estilos A",113,IF(Atletas!M263="Chaquan B",114,IF(Atletas!M263="Emeiquan B",115,IF(Atletas!M263="Fanziquan B",116,IF(Atletas!M263="Huaquan B",117,IF(Atletas!M263="Hongquan B",118,IF(Atletas!M263="Paoquan B",119,IF(Atletas!M263="Piguaquan B",120,IF(Atletas!M263="Shaolinquan B",121,IF(Atletas!M263="Tanglangquan B",122,IF(Atletas!M263="Yingzhaoquan B",123,IF(Atletas!M263="Tongbeiquan B",124,IF(Atletas!M263="Wudangquan B",125,IF(Atletas!M263="Outros Estilos B",126,IF(Atletas!M263="Chaquan C",127,IF(Atletas!M263="Emeiquan C",128,IF(Atletas!M263="Fanziquan C",129,IF(Atletas!M263="Huaquan C",130,IF(Atletas!M263="Hongquan C",131,IF(Atletas!M263="Paoquan C",132,IF(Atletas!M263="Piguaquan C",133,IF(Atletas!M263="Shaolinquan C",134,IF(Atletas!M263="Tanglangquan C",135,IF(Atletas!M263="Yingzhaoquan C",136,IF(Atletas!M263="Tongbeiquan C",137,IF(Atletas!M263="Wudangquan C",138,IF(Atletas!M263="Outros Estilos C",139,0))))))))))))))))))))))))))))))))))))))))))</f>
        <v/>
      </c>
      <c r="BT272" s="50" t="str">
        <f>IF(Atletas!M263="","",IF(Atletas!X263&lt;&gt;"",10000,0)+(IF(Atletas!B263="Feminino",1000,IF(Atletas!B263="Masculino",2000,""))+(IF(Atletas!M263="Chaquan D",140,IF(Atletas!M263="Emeiquan D",141,IF(Atletas!M263="Fanziquan D",142,IF(Atletas!M263="Huaquan D",143,IF(Atletas!M263="Hongquan D",144,IF(Atletas!M263="Paoquan D",145,IF(Atletas!M263="Piguaquan D",146,IF(Atletas!M263="Shaolinquan D",147,IF(Atletas!M263="Tanglangquan D",148,IF(Atletas!M263="Yingzhaoquan D",149,IF(Atletas!M263="Tongbeiquan D",150,IF(Atletas!M263="Wudangquan D",151,IF(Atletas!M263="Outros Estilos D",152,IF(Atletas!M263="Chaquan E",153,IF(Atletas!M263="Emeiquan E",154,IF(Atletas!M263="Fanziquan E",155,IF(Atletas!M263="Huaquan E",156,IF(Atletas!M263="Hongquan E",157,IF(Atletas!M263="Paoquan E",158,IF(Atletas!M263="Piguaquan E",159,IF(Atletas!M263="Shaolinquan E",160,IF(Atletas!M263="Tanglangquan E",161,IF(Atletas!M263="Yingzhaoquan E",162,IF(Atletas!M263="Tongbeiquan E",163,IF(Atletas!M263="Wudangquan E",164,IF(Atletas!M263="Outros Estilos E",165,IF(Atletas!M263="Chaquan F",166,IF(Atletas!M263="Emeiquan F",167,IF(Atletas!M263="Fanziquan F",168,IF(Atletas!M263="Huaquan F",169,IF(Atletas!M263="Hongquan F",170,IF(Atletas!M263="Paoquan F",171,IF(Atletas!M263="Piguaquan F",172,IF(Atletas!M263="Shaolinquan F",173,IF(Atletas!M263="Tanglangquan F",174,IF(Atletas!M263="Yingzhaoquan F",175,IF(Atletas!M263="Tongbeiquan F",176,IF(Atletas!M263="Wudangquan F",177,IF(Atletas!M263="Outros Estilos F",178,0))))))))))))))))))))))))))))))))))))))))))</f>
        <v/>
      </c>
      <c r="BU272" s="50" t="str">
        <f>IF(Atletas!N263="","",IF(Atletas!X263&lt;&gt;"",10000,0)+(IF(Atletas!B263="Feminino",1000,IF(Atletas!B263="Masculino",2000,""))+(IF(Atletas!N263="Ditangquan A",201,IF(Atletas!N263="Houquan A",202,IF(Atletas!N263="Zuiquan A",203,IF(Atletas!N263="Ditangquan B",204,IF(Atletas!N263="Houquan B",205,IF(Atletas!N263="Zuiquan B",206,IF(Atletas!N263="Ditangquan C",207,IF(Atletas!N263="Houquan C",208,IF(Atletas!N263="Zuiquan C",209,IF(Atletas!N263="Ditangquan D",210,IF(Atletas!N263="Houquan D",211,IF(Atletas!N263="Zuiquan D",212,IF(Atletas!N263="Ditangquan E",213,IF(Atletas!N263="Houquan E",214,IF(Atletas!N263="Zuiquan E",215,IF(Atletas!N263="Ditangquan F",216,IF(Atletas!N263="Houquan F",217,IF(Atletas!N263="Zuiquan F",218,"")))))))))))))))))))))</f>
        <v/>
      </c>
      <c r="BV272" s="50" t="str">
        <f>IF(Atletas!O263="","",IF(Atletas!X263&lt;&gt;"",10000,0)+IF(Atletas!B263="Feminino",1000,IF(Atletas!B263="Masculino",2000,""))+IF(Atletas!O263="Yang A",301,IF(Atletas!O263="Chen A",302,IF(Atletas!O263="Sun A",303,IF(Atletas!O263="Wu A",304,IF(Atletas!O263="Wu-Hao A",305,IF(Atletas!O263="Outro Taijiquan A",306,IF(Atletas!O263="Yang B",307,IF(Atletas!O263="Chen B",308,IF(Atletas!O263="Sun B",309,IF(Atletas!O263="Wu B",310,IF(Atletas!O263="Wu-Hao B",311,IF(Atletas!O263="Outro Taijiquan B",312,IF(Atletas!O263="Yang C",313,IF(Atletas!O263="Chen C",314,IF(Atletas!O263="Sun C",315,IF(Atletas!O263="Wu C",316,IF(Atletas!O263="Wu-Hao C",317,IF(Atletas!O263="Outro Taijiquan C",318,IF(Atletas!O263="Yang D",319,IF(Atletas!O263="Chen D",320,IF(Atletas!O263="Sun D",321,IF(Atletas!O263="Wu D",322,IF(Atletas!O263="Wu-Hao D",323,IF(Atletas!O263="Outro Taijiquan D",324,IF(Atletas!O263="Yang E",325,IF(Atletas!O263="Chen E",326,IF(Atletas!O263="Sun E",327,IF(Atletas!O263="Wu E",328,IF(Atletas!O263="Wu-Hao E",329,IF(Atletas!O263="Outro Taijiquan E",330,IF(Atletas!O263="Yang F",331,IF(Atletas!O263="Chen F",332,IF(Atletas!O263="Sun F",333,IF(Atletas!O263="Wu F",334,IF(Atletas!O263="Wu-Hao F",335,IF(Atletas!O263="Outro Taijiquan F",336,"")))))))))))))))))))))))))))))))))))))</f>
        <v/>
      </c>
      <c r="BW272" s="50" t="str">
        <f>IF(Atletas!P263="","",IF(Atletas!X263&lt;&gt;"",10000,0)+IF(Atletas!B263="Feminino",1000,IF(Atletas!B263="Masculino",2000,""))+IF(OR(Atletas!P263="Yang 26 A",Atletas!P263="Yang 40 A"),401,IF(OR(Atletas!P263="Chen 25 A",Atletas!P263="Chen 36 A",Atletas!P263="Chen 56 A"),402,IF(Atletas!P263="Sun 73 A",403,IF(Atletas!P263="Wu 45 A",404,IF(Atletas!P263="Wu-Hao 46 A",405,IF(OR(Atletas!P263="Taijiquan 16 A",Atletas!P263="Taijiquan 24 A",Atletas!P263="Taijiquan 32 A",Atletas!P263="Taijiquan 42 A"),406,IF(OR(Atletas!P263="Yang 26 B",Atletas!P263="Yang 40 B"),407,IF(OR(Atletas!P263="Chen 25 B",Atletas!P263="Chen 36 B",Atletas!P263="Chen 56 B"),408,IF(Atletas!P263="Sun 73 B",409,IF(Atletas!P263="Wu 45 B",410,IF(Atletas!P263="Wu-Hao 46 B",411,IF(OR(Atletas!P263="Taijiquan 16 B",Atletas!P263="Taijiquan 24 B",Atletas!P263="Taijiquan 32 B",Atletas!P263="Taijiquan 42 B"),412,IF(OR(Atletas!P263="Yang 26 C",Atletas!P263="Yang 40 C"),413,IF(OR(Atletas!P263="Chen 25 C",Atletas!P263="Chen 36 C",Atletas!P263="Chen 56 C"),414,IF(Atletas!P263="Sun 73 C",415,IF(Atletas!P263="Wu 45 C",416,IF(Atletas!P263="Wu-Hao 46 C",417,IF(OR(Atletas!P263="Taijiquan 16 C",Atletas!P263="Taijiquan 24 C",Atletas!P263="Taijiquan 32 C",Atletas!P263="Taijiquan 42 C"),418,0)))))))))))))))))))</f>
        <v/>
      </c>
      <c r="BX272" s="50" t="str">
        <f>IF(Atletas!P263="","",IF(Atletas!X263&lt;&gt;"",10000,0)+IF(Atletas!B263="Feminino",1000,IF(Atletas!B263="Masculino",2000,""))+IF(OR(Atletas!P263="Yang 26 D",Atletas!P263="Yang 40 D"),419,IF(OR(Atletas!P263="Chen 25 D",Atletas!P263="Chen 36 D",Atletas!P263="Chen 56 D"),420,IF(Atletas!P263="Sun 73 D",421,IF(Atletas!P263="Wu 45 D",422,IF(Atletas!P263="Wu-Hao 46 D",423,IF(OR(Atletas!P263="Taijiquan 16 D",Atletas!P263="Taijiquan 24 D",Atletas!P263="Taijiquan 32 D",Atletas!P263="Taijiquan 42 D"),424,IF(OR(Atletas!P263="Yang 26 E",Atletas!P263="Yang 40 E"),425,IF(OR(Atletas!P263="Chen 25 E",Atletas!P263="Chen 36 E",Atletas!P263="Chen 56 E"),426,IF(Atletas!P263="Sun 73 E",427,IF(Atletas!P263="Wu 45 E",428,IF(Atletas!P263="Wu-Hao 46 E",429,IF(OR(Atletas!P263="Taijiquan 16 E",Atletas!P263="Taijiquan 24 E",Atletas!P263="Taijiquan 32 E",Atletas!P263="Taijiquan 42 E"),430,IF(OR(Atletas!P263="Yang 26 F",Atletas!P263="Yang 40 F"),431,IF(OR(Atletas!P263="Chen 25 F",Atletas!P263="Chen 36 F",Atletas!P263="Chen 56 F"),432,IF(Atletas!P263="Sun 73 F",433,IF(Atletas!P263="Wu 45 F",434,IF(Atletas!P263="Wu-Hao 46 F",435,IF(OR(Atletas!P263="Taijiquan 16 F",Atletas!P263="Taijiquan 24 F",Atletas!P263="Taijiquan 32 F",Atletas!P263="Taijiquan 42 F"),436,0)))))))))))))))))))</f>
        <v/>
      </c>
      <c r="BY272" s="50" t="str">
        <f>IF(Atletas!Q263="","",IF(Atletas!X263&lt;&gt;"",10000,0)+IF(Atletas!B263="Feminino",1000,IF(Atletas!B263="Masculino",2000,""))+IF(Atletas!Q263="Xingyiquan A",501,IF(Atletas!Q263="Baguazhang A",502,IF(Atletas!Q263="Outro Estilo Interno A",503,IF(Atletas!Q263="Xingyiquan B",504,IF(Atletas!Q263="Baguazhang B",505,IF(Atletas!Q263="Outro Estilo Interno B",506,IF(Atletas!Q263="Xingyiquan C",507,IF(Atletas!Q263="Baguazhang C",508,IF(Atletas!Q263="Outro Estilo Interno C",509,IF(Atletas!Q263="Xingyiquan D",510,IF(Atletas!Q263="Baguazhang D",511,IF(Atletas!Q263="Outro Estilo Interno D",512,IF(Atletas!Q263="Xingyiquan E",513,IF(Atletas!Q263="Baguazhang E",514,IF(Atletas!Q263="Outro Estilo Interno E",515,IF(Atletas!Q263="Xingyiquan F",516,IF(Atletas!Q263="Baguazhang F",517,IF(Atletas!Q263="Outro Estilo Interno F",518, "")))))))))))))))))))</f>
        <v/>
      </c>
      <c r="BZ272" s="50" t="str">
        <f>IF(Atletas!R263="","",IF(Atletas!X263&lt;&gt;"",10000,0)+IF(Atletas!B263="Feminino",1000,IF(Atletas!B263="Masculino",2000,""))+IF(Atletas!R263="Dao A",601,IF(Atletas!R263="Jian A",602,IF(Atletas!R263="Bishou A",603,IF(Atletas!R263="Shanzi A",604,IF(Atletas!R263="Outra Arma Curta A",605,IF(Atletas!R263="Dao B",606,IF(Atletas!R263="Jian B",607,IF(Atletas!R263="Bishou B",608,IF(Atletas!R263="Shanzi B",609,IF(Atletas!R263="Outra Arma Curta B",610,IF(Atletas!R263="Dao C",611,IF(Atletas!R263="Jian C",612,IF(Atletas!R263="Bishou C",613,IF(Atletas!R263="Shanzi C",614,IF(Atletas!R263="Outra Arma Curta C",615,IF(Atletas!R263="Dao D",616,IF(Atletas!R263="Jian D",617,IF(Atletas!R263="Bishou D",618,IF(Atletas!R263="Shanzi D",619,IF(Atletas!R263="Outra Arma Curta D",620,IF(Atletas!R263="Dao E",621,IF(Atletas!R263="Jian E",622,IF(Atletas!R263="Bishou E",623,IF(Atletas!R263="Shanzi E",624,IF(Atletas!R263="Outra Arma Curta E",625,IF(Atletas!R263="Dao F",626,IF(Atletas!R263="Jian F",627,IF(Atletas!R263="Bishou F",628,IF(Atletas!R263="Shanzi F",629,IF(Atletas!R263="Outra Arma Curta F",630, "")))))))))))))))))))))))))))))))</f>
        <v/>
      </c>
      <c r="CA272" s="50" t="str">
        <f>IF(Atletas!S263="","",IF(Atletas!X263&lt;&gt;"",10000,0)+IF(Atletas!B263="Feminino",1000,IF(Atletas!B263="Masculino",2000,""))+IF(Atletas!S263="Gun A",701,IF(Atletas!S263="Qiang A",702,IF(Atletas!S263="Pudao / Guandao A",703,IF(Atletas!S263="Outra Arma Longa A",704,IF(Atletas!S263="Gun B",705,IF(Atletas!S263="Qiang B",706,IF(Atletas!S263="Pudao / Guandao B",707,IF(Atletas!S263="Outra Arma Longa B",708,IF(Atletas!S263="Gun C",709,IF(Atletas!S263="Qiang C",710,IF(Atletas!S263="Pudao / Guandao C",711,IF(Atletas!S263="Outra Arma Longa C",712,IF(Atletas!S263="Gun D",713,IF(Atletas!S263="Qiang D",714,IF(Atletas!S263="Pudao / Guandao D",715,IF(Atletas!S263="Outra Arma Longa D",716,IF(Atletas!S263="Gun E",717,IF(Atletas!S263="Qiang E",718,IF(Atletas!S263="Pudao / Guandao E",719,IF(Atletas!S263="Outra Arma Longa E",720,IF(Atletas!S263="Gun F",721,IF(Atletas!S263="Qiang F",722,IF(Atletas!S263="Pudao / Guandao F",723,IF(Atletas!S263="Outra Arma Longa F",724,"")))))))))))))))))))))))))</f>
        <v/>
      </c>
      <c r="CB272" s="50" t="str">
        <f>IF(Atletas!T263="","",IF(Atletas!X263&lt;&gt;"",10000,0)+IF(Atletas!B263="Feminino",1000,IF(Atletas!B263="Masculino",2000,""))+IF(Atletas!T263="Outra Arma Dupla A",801,IF(Atletas!T263="Arma Maleável A",802,IF(Atletas!T263="Outra Arma Dupla B",803,IF(Atletas!T263="Arma Maleável B",804,IF(Atletas!T263="Outra Arma Dupla C",805,IF(Atletas!T263="Arma Maleável C",806,IF(Atletas!T263="Outra Arma Dupla D",807,IF(Atletas!T263="Arma Maleável D",808,IF(Atletas!T263="Outra Arma Dupla E",809,IF(Atletas!T263="Arma Maleável E",810,IF(Atletas!T263="Outra Arma Dupla F",811,IF(Atletas!T263="Arma Maleável F",812,IF(Atletas!T263="Shuangdao A",813,IF(Atletas!T263="Shuangdao B",814,IF(Atletas!T263="Shuangdao C",815,IF(Atletas!T263="Shuangdao D",816,IF(Atletas!T263="Shuangdao E",817,IF(Atletas!T263="Shuangdao F",818,"")))))))))))))))))))</f>
        <v/>
      </c>
      <c r="CC272" s="50" t="str">
        <f>IF(Atletas!U263="","",IF(Atletas!X263&lt;&gt;"",10000,0)+IF(Atletas!B263="Feminino",1000,IF(Atletas!B263="Masculino",2000,""))+IF(OR(Atletas!U263="Taijijian Yang A",Atletas!U263="Taijijian Yang Standard A"),901,IF(OR(Atletas!U263="Taijijian Chen A", Atletas!U263="Taijijian Chen Standard A"),902,IF(Atletas!U263="Taijijian Sun A",903,IF(Atletas!U263="Taijijian Wu A",904,IF(Atletas!U263="Taijijian Wu-Hao A",905,IF(OR(Atletas!U263="Taijijian 32 A",Atletas!U263="Taijijian 42 A"),906,IF(OR(Atletas!U263="Taijijian Yang B",Atletas!U263="Taijijian Yang Standard B"),907,IF(OR(Atletas!U263="Taijijian Chen B", Atletas!U263="Taijijian Chen Standard B"),908,IF(Atletas!U263="Taijijian Sun B",909,IF(Atletas!U263="Taijijian Wu B",910,IF(Atletas!U263="Taijijian Wu-Hao B",911,IF(OR(Atletas!U263="Taijijian 32 B",Atletas!U263="Taijijian 42 B"),912,IF(OR(Atletas!U263="Taijijian Yang C",Atletas!U263="Taijijian Yang Standard C"),913,IF(OR(Atletas!U263="Taijijian Chen C", Atletas!U263="Taijijian Chen Standard C"),914,IF(Atletas!U263="Taijijian Sun C",915,IF(Atletas!U263="Taijijian Wu C",916,IF(Atletas!U263="Taijijian Wu-Hao C",917,IF(OR(Atletas!U263="Taijijian 32 C",Atletas!U263="Taijijian 42 C"),918,IF(OR(Atletas!U263="Taijijian Yang D",Atletas!U263="Taijijian Yang Standard D"),919,IF(OR(Atletas!U263="Taijijian Chen D", Atletas!U263="Taijijian Chen Standard D"),920,IF(Atletas!U263="Taijijian Sun D",921,IF(Atletas!U263="Taijijian Wu D",922,IF(Atletas!U263="Taijijian Wu-Hao D",923,IF(OR(Atletas!U263="Taijijian 32 D",Atletas!U263="Taijijian 42 D"),924,IF(OR(Atletas!U263="Taijijian Yang E",Atletas!U263="Taijijian Yang Standard E"),925,IF(OR(Atletas!U263="Taijijian Chen E", Atletas!U263="Taijijian Chen Standard E"),926,IF(Atletas!U263="Taijijian Sun E",927,IF(Atletas!U263="Taijijian Wu E",928,IF(Atletas!U263="Taijijian Wu-Hao E",929,IF(OR(Atletas!U263="Taijijian 32 E",Atletas!U263="Taijijian 42 E"),930,IF(OR(Atletas!U263="Taijijian Yang F",Atletas!U263="Taijijian Yang Standard F"),931,IF(OR(Atletas!U263="Taijijian Chen F", Atletas!U263="Taijijian Chen Standard F"),932,IF(Atletas!U263="Taijijian Sun F",933,IF(Atletas!U263="Taijijian Wu F",934,IF(Atletas!U263="Taijijian Wu-Hao F",935,IF(OR(Atletas!U263="Taijijian 32 F",Atletas!U263="Taijijian 42 F"),936,"")))))))))))))))))))))))))))))))))))))</f>
        <v/>
      </c>
      <c r="CD272" s="50" t="str">
        <f>IF(Atletas!V263="","",IF(Atletas!X263&lt;&gt;"",10000,0)+IF(Atletas!B263="Feminino",1000,IF(Atletas!B263="Masculino",2000,""))+IF(Atletas!V263="Taijidao A",937,IF(Atletas!V263="TaijiShanzi A",938,IF(Atletas!V263="Taijiqiang A",939,IF(Atletas!V263="Bagua de Arma A",940,IF(Atletas!V263="Xingyi de Arma A",941,IF(Atletas!V263="Taijidao B",942,IF(Atletas!V263="TaijiShanzi B",943,IF(Atletas!V263="Taijiqiang B",944,IF(Atletas!V263="Bagua de Arma B",945,IF(Atletas!V263="Xingyi de Arma B",946,IF(Atletas!V263="Taijidao C",947,IF(Atletas!V263="TaijiShanzi C",948,IF(Atletas!V263="Taijiqiang C",949,IF(Atletas!V263="Bagua de Arma C",950,IF(Atletas!V263="Xingyi de Arma C",951,IF(Atletas!V263="Taijidao D",952,IF(Atletas!V263="TaijiShanzi D",953,IF(Atletas!V263="Taijiqiang D",954,IF(Atletas!V263="Bagua de Arma D",955,IF(Atletas!V263="Xingyi de Arma D",956,IF(Atletas!V263="Taijidao E",957,IF(Atletas!V263="TaijiShanzi E",958,IF(Atletas!V263="Taijiqiang E",959,IF(Atletas!V263="Bagua de Arma E",960,IF(Atletas!V263="Xingyi de Arma E",961,IF(Atletas!V263="Taijidao F",962,IF(Atletas!V263="TaijiShanzi F",963,IF(Atletas!V263="Taijiqiang F",964,IF(Atletas!V263="Bagua de Arma F",965,IF(Atletas!V263="Xingyi de Arma F",966,"")))))))))))))))))))))))))))))))</f>
        <v/>
      </c>
      <c r="CE272" s="66" t="str">
        <f>IF(CF272&lt;&gt;"","Qiang D","")</f>
        <v/>
      </c>
      <c r="CF272" s="66" t="str">
        <f>IF(COUNTIF(BR:CD,1714)&gt;0,COUNTIF(BR:CD,1714),"")</f>
        <v/>
      </c>
      <c r="CG272" s="66" t="str">
        <f>IF(CH272&lt;&gt;"","Qiang D","")</f>
        <v/>
      </c>
      <c r="CH272" s="66" t="str">
        <f>IF(COUNTIF(BR:CD,2714)&gt;0,COUNTIF(BR:CD,2714),"")</f>
        <v/>
      </c>
      <c r="CI272" s="66" t="str">
        <f>IF(CJ273&lt;&gt;"","Gun F","")</f>
        <v/>
      </c>
      <c r="CJ272" s="66" t="str">
        <f>IF(COUNTIF(BR:CD,11720)&gt;0,COUNTIF(BR:CD,11720),"")</f>
        <v/>
      </c>
      <c r="CK272" s="66" t="str">
        <f>IF(CL272&lt;&gt;"","Outra Arma Longa E","")</f>
        <v/>
      </c>
      <c r="CL272" s="6" t="str">
        <f>IF(COUNTIF(BR:CD,12720)&gt;0,COUNTIF(BR:CD,12720),"")</f>
        <v/>
      </c>
      <c r="CM272" s="50" t="str">
        <f xml:space="preserve"> IF(Atletas!W263="","",IF(Atletas!W263="Duilian de Mãos BC - Equipe 1",1,IF(Atletas!W263="Duilian de Mãos BC - Equipe 2",2,IF(Atletas!W263="Duilian de Armas BC - Equipe 1",3,IF(Atletas!W263="Duilian de Armas BC - Equipe 2",4,IF(Atletas!W263="Duilian de Mãos DE - Equipe 1",5,IF(Atletas!W263="Duilian de Mãos DE - Equipe 2",6,IF(Atletas!W263="Duilian de Armas DE - Equipe 1",7,IF(Atletas!W263="Duilian de Armas DE - Equipe 2",8,IF(Atletas!W263="Duilian de Tuishou - Equipe 1",9,IF(Atletas!W263="Duilian de Tuishou - Equipe 2",10,IF(Atletas!W263="Grupo Externo ABC - Equipe 1",11,IF(Atletas!W263="Grupo Externo ABC - Equipe 2",12,IF(Atletas!W263="Grupo Interno ABC - Equipe 1",13,IF(Atletas!W263="Grupo Interno ABC - Equipe 2",14,IF(Atletas!W263="Grupo Externo DEF - Equipe 1",15,IF(Atletas!W263="Grupo Externo DEF - Equipe 2",16,IF(Atletas!W263="Grupo Interno DEF - Equipe 1",17,IF(Atletas!W263="Grupo Interno DEF - Equipe 2",18,"")))))))))))))))))))</f>
        <v/>
      </c>
    </row>
    <row r="273" spans="2:91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 t="str">
        <f t="array" ref="Z273">IFERROR(INDEX(CE$7:CE$348,SMALL(IF(CE$7:CE$348&lt;&gt;"",ROW(CE$7:CE$348)-ROW(CE$7)+1),ROWS(CE$7:CE272))),"")</f>
        <v/>
      </c>
      <c r="AA273" s="3" t="str">
        <f t="array" ref="AA273">IFERROR(INDEX(CF$7:CF$348,SMALL(IF(CF$7:CF$348&lt;&gt;"",ROW(CF$7:CF$348)-ROW(CF$7)+1),ROWS(CF$7:CF272))),"")</f>
        <v/>
      </c>
      <c r="AB273" s="3" t="str">
        <f t="array" ref="AB273">IFERROR(INDEX(CG$7:CG$348,SMALL(IF(CG$7:CG$348&lt;&gt;"",ROW(CG$7:CG$348)-ROW(CG$7)+1),ROWS(CG$7:CG272))),"")</f>
        <v/>
      </c>
      <c r="AC273" s="3" t="str">
        <f t="array" ref="AC273">IFERROR(INDEX(CH$7:CH$348,SMALL(IF(CH$7:CH$348&lt;&gt;"",ROW(CH$7:CH$348)-ROW(CH$7)+1),ROWS(CH$7:CH272))),"")</f>
        <v/>
      </c>
      <c r="AD273" s="3" t="str">
        <f t="array" ref="AD273">IFERROR(INDEX(CI$7:CI$377,SMALL(IF(CI$7:CI$377&lt;&gt;"",ROW(CI$7:CI$377)-ROW(CI$7)+1),ROWS(CI$7:CI271))),"")</f>
        <v/>
      </c>
      <c r="AE273" s="3" t="str">
        <f t="array" ref="AE273">IFERROR(INDEX(CJ$7:CJ$378,SMALL(IF(CJ$7:CJ$378&lt;&gt;"",ROW(CJ$7:CJ$378)-ROW(CJ$7)+1),ROWS(CJ$7:CJ272))),"")</f>
        <v/>
      </c>
      <c r="AF273" s="3" t="str">
        <f t="array" ref="AF273">IFERROR(INDEX(CK$7:CK$378,SMALL(IF(CK$7:CK$378&lt;&gt;"",ROW(CK$7:CK$378)-ROW(CK$7)+1),ROWS(CK$7:CK272))),"")</f>
        <v/>
      </c>
      <c r="AG273" s="3" t="str">
        <f t="array" ref="AG273">IFERROR(INDEX(CL$7:CL$378,SMALL(IF(CL$7:CL$378&lt;&gt;"",ROW(CL$7:CL$378)-ROW(CL$7)+1),ROWS(CL$7:CL272))),"")</f>
        <v/>
      </c>
      <c r="AH273" s="3"/>
      <c r="AI273" s="3"/>
      <c r="AJ273" s="3"/>
      <c r="AK273" s="3"/>
      <c r="AL273" s="3"/>
      <c r="AM273" s="3"/>
      <c r="AN273" s="52" t="str">
        <f>IF(Atletas!D264="","",IF(Atletas!B264="Feminino",100,IF(Atletas!B264="Masculino",200,""))+(IF(Atletas!D264="Kids 30kg",1,IF(Atletas!D264="Kids 32kg",2, IF(Atletas!D264="Kids 34kg",3,IF(Atletas!D264="Kids 36kg",4,IF(Atletas!D264="Kids 39kg",5,IF(Atletas!D264="Kids 42kg",6,IF(Atletas!D264="Kids 45kg",7, IF(Atletas!D264="Infantil 39kg",8,IF(Atletas!D264="Infantil 42kg",9,IF(Atletas!D264="Infantil 45kg",10,IF(Atletas!D264="Infantil 48kg",11,IF(Atletas!D264="Infantil 52kg",12,IF(Atletas!D264="Infantil 56kg",13,IF(Atletas!D264="Infantil 60kg",14,IF(Atletas!D264="Juvenil 48kg",15,IF(Atletas!D264="Juvenil 52kg",16,IF(Atletas!D264="Juvenil 56kg",17,IF(Atletas!D264="Juvenil 60kg",18,IF(Atletas!D264="Juvenil 65kg",19,IF(Atletas!D264="Juvenil 70kg",20,IF(Atletas!D264="Juvenil 75kg",21,IF(Atletas!D264="Juvenil 80kg",22, IF(Atletas!D264="Juvenil 85kg",23,IF(Atletas!D264="Adulto 48kg",24,IF(Atletas!D264="Adulto 52kg",25,IF(Atletas!D264="Adulto 56kg",26,IF(Atletas!D264="Adulto 60kg",27,IF(Atletas!D264="Adulto 65kg",28,IF(Atletas!D264="Adulto 70kg",29,IF(Atletas!D264="Adulto 75kg",30,IF(Atletas!D264="Adulto 80kg",31,IF(Atletas!D264="Adulto 85kg",32,IF(Atletas!D264="Adulto 90kg",33,IF(Atletas!D264="Adulto 100kg",34, IF(Atletas!D264="Adulto +100kg",35,"")))))))))))))))))))))))))))))))))))))</f>
        <v/>
      </c>
      <c r="AS273" s="6" t="str">
        <f>IF(Atletas!E264="","",IF(Atletas!B264="Feminino",100,IF(Atletas!B264="Masculino",200,""))+(IF(Atletas!E264="Juvenil 44kg",1,IF(Atletas!E264="Juvenil 48kg",2,IF(Atletas!E264="Juvenil 52kg",3,IF(Atletas!E264="Juvenil 56kg",4,IF(Atletas!E264="Juvenil 60kg",5,IF(Atletas!E264="Juvenil 65kg",6,IF(Atletas!E264="Juvenil 70kg",7,IF(Atletas!E264="Juvenil 75kg",8,IF(Atletas!E264="Juvenil 82kg",9,IF(Atletas!E264="Juvenil 90kg",10,IF(Atletas!E264="Juvenil 100kg",11,IF(Atletas!E264="Adulto 48kg",12,IF(Atletas!E264="Adulto 52kg",13,IF(Atletas!E264="Adulto 56kg",14,IF(Atletas!E264="Adulto 60kg",15,IF(Atletas!E264="Adulto 65kg",16,IF(Atletas!E264="Adulto 70kg",17,IF(Atletas!E264="Adulto 75kg",18,IF(Atletas!E264="Adulto 82kg",19,IF(Atletas!E264="Adulto 90kg",20,IF(Atletas!E264="Adulto 100kg",21,IF(Atletas!E264="Adulto +100kg",22,""))))))))))))))))))))))))</f>
        <v/>
      </c>
      <c r="AX273" s="6" t="str">
        <f>IF(Atletas!F264="","",IF(Atletas!B264="Feminino",100,IF(Atletas!B264="Masculino",200,""))+(IF(Atletas!F264="Adulto 48kg",1,IF(Atletas!F264="Adulto 56kg",2,IF(Atletas!F264="Adulto 65kg",3,IF(Atletas!F264="Adulto 75kg",4,IF(Atletas!F264="Adulto +75kg",5,IF(Atletas!F264="Adulto 52kg",6,IF(Atletas!F264="Adulto 60kg",7,IF(Atletas!F264="Adulto 70kg",8,IF(Atletas!F264="Adulto 80kg",9,IF(Atletas!F264="Adulto 90kg",10,IF(Atletas!F264="Adulto +90kg",11,"")))))))))))))</f>
        <v/>
      </c>
      <c r="BC273" s="6" t="str">
        <f>IF(Atletas!G264="","",IF(Atletas!B264="Feminino",10,IF(Atletas!B264="Masculino",20,""))+(IF(Atletas!G264="Baduanjin A",1,IF(Atletas!G264="Baduanjin B",2))))</f>
        <v/>
      </c>
      <c r="BF273" s="52" t="str">
        <f>IF(Atletas!H264="","",IF(Atletas!B264="Feminino",100,IF(Atletas!B264="Masculino",200,""))+(IF(Atletas!H264="Changquan Mirim",1,IF(Atletas!H264="Nanquan Mirim",2,IF(Atletas!H264="Taijiquan Mirim",3,IF(Atletas!H264="Changquan Grupo C",4,IF(Atletas!H264="Nanquan Grupo C",5,IF(Atletas!H264="Taijiquan Grupo C",6,IF(Atletas!H264="Changquan Grupo B",7,IF(Atletas!H264="Nanquan Grupo B",8,IF(Atletas!H264="Taijiquan Grupo B",9,IF(Atletas!H264="Changquan Grupo A",10,IF(Atletas!H264="Nanquan Grupo A",11,IF(Atletas!H264="Taijiquan Grupo A",12,IF(Atletas!H264="Changquan Opcional",13,IF(Atletas!H264="Nanquan Opcional",14,IF(Atletas!H264="Taijiquan Opcional",15,IF(Atletas!H264="Changquan Adulto",16,IF(Atletas!H264="Nanquan Adulto",17,IF(Atletas!H264="Taijiquan Adulto",18,""))))))))))))))))))))</f>
        <v/>
      </c>
      <c r="BG273" s="52" t="str">
        <f>IF(Atletas!I264="","",IF(Atletas!B264="Feminino",100,IF(Atletas!B264="Masculino",200,""))+(IF(Atletas!I264="Daoshu Mirim",19,IF(Atletas!I264="Jianshu Mirim",20,IF(Atletas!I264="Nandao Mirim",21,IF(Atletas!I264="Taijijian Mirim",22,IF(Atletas!I264="Daoshu Grupo C",23,IF(Atletas!I264="Jianshu Grupo C",24,IF(Atletas!I264="Nandao Grupo C",25,IF(Atletas!I264="Taijijian Grupo C",26,IF(Atletas!I264="Daoshu Grupo B",27,IF(Atletas!I264="Jianshu Grupo B",28,IF(Atletas!I264="Nandao Grupo B",29,IF(Atletas!I264="Taijijian Grupo B",30,IF(Atletas!I264="Daoshu Grupo A",31,IF(Atletas!I264="Jianshu Grupo A",32,IF(Atletas!I264="Nandao Grupo A",33,IF(Atletas!I264="Taijijian Grupo A",34,IF(Atletas!I264="Daoshu Opcional",35,IF(Atletas!I264="Jianshu Opcional",36,IF(Atletas!I264="Nandao Opcional",37,IF(Atletas!I264="Taijijian Opcional",38,IF(Atletas!I264="Daoshu Adulto",39,IF(Atletas!I264="Jianshu Adulto",40,IF(Atletas!I264="Nandao Adulto",41,IF(Atletas!I264="Taijijian Adulto",42,""))))))))))))))))))))))))))</f>
        <v/>
      </c>
      <c r="BH273" s="52" t="str">
        <f>IF(Atletas!J264="","",IF(Atletas!B264="Feminino",100,IF(Atletas!B264="Masculino",200,""))+(IF(Atletas!J264="Gunshu Mirim",43,IF(Atletas!J264="Qiangshu Mirim",44,IF(Atletas!J264="Nangun Mirim",45,IF(Atletas!J264="Gunshu Grupo C",46,IF(Atletas!J264="Qiangshu Grupo C",47,IF(Atletas!J264="Nangun Grupo C",48,IF(Atletas!J264="Gunshu Grupo B",49,IF(Atletas!J264="Qiangshu Grupo B",50,IF(Atletas!J264="Nangun Grupo B",51,IF(Atletas!J264="Gunshu Grupo A",52,IF(Atletas!J264="Qiangshu Grupo A",53,IF(Atletas!J264="Nangun Grupo A",54,IF(Atletas!J264="Gunshu Opcional",55,IF(Atletas!J264="Qiangshu Opcional",56,IF(Atletas!J264="Nangun Opcional",57,IF(Atletas!J264="Gunshu Adulto",58,IF(Atletas!J264="Qiangshu Adulto",59,IF(Atletas!J264="Nangun Adulto",60,IF(Atletas!J264="Taijishan Grupo B",61,IF(Atletas!J264="Taijishan Grupo A",62,""))))))))))))))))))))))</f>
        <v/>
      </c>
      <c r="BM273" s="50" t="str">
        <f>IF(Atletas!K264="","",IF(Atletas!B264="Feminino",100,IF(Atletas!B264="Masculino",200,""))+(IF(Atletas!K264="Equipe 1 Grupo B",1,IF(Atletas!K264="Equipe 2 Grupo B",2,IF(Atletas!K264="Equipe 1 Grupo A",3,IF(Atletas!K264="Equipe 2 Grupo A",4,IF(Atletas!K264="Equipe 1 Adulto",5,IF(Atletas!K264="Equipe 2 Adulto",6,""))))))))</f>
        <v/>
      </c>
      <c r="BR273" s="50" t="str">
        <f>IF(Atletas!L264="","",IF(Atletas!X264&lt;&gt;"",10000,0)+(IF(Atletas!B264="Feminino",1000,IF(Atletas!B264="Masculino",2000,""))+IF(Atletas!L264="Choylayfut A",1,IF(Atletas!L264="Hunggar A",2,IF(Atletas!L264="Wuzuquan A",3,IF(Atletas!L264="Wingchun A",4,IF(Atletas!L264="Outra Mão de Sul A",5,IF(Atletas!L264="Choylayfut B",6,IF(Atletas!L264="Hunggar B",7,IF(Atletas!L264="Wuzuquan B",8,IF(Atletas!L264="Wingchun B",9,IF(Atletas!L264="Outra Mão de Sul B",10,IF(Atletas!L264="Choylayfut C",11,IF(Atletas!L264="Hunggar C",12,IF(Atletas!L264="Wuzuquan C",13,IF(Atletas!L264="Wingchun C",14,IF(Atletas!L264="Outra Mão de Sul C",15,IF(Atletas!L264="Choylayfut D",16,IF(Atletas!L264="Hunggar D",17,IF(Atletas!L264="Wuzuquan D",18,IF(Atletas!L264="Wingchun D",19,IF(Atletas!L264="Outra Mão de Sul D",20,IF(Atletas!L264="Choylayfut E",21,IF(Atletas!L264="Hunggar E",22,IF(Atletas!L264="Wuzuquan E",23,IF(Atletas!L264="Wingchun E",24,IF(Atletas!L264="Outra Mão de Sul E",25,IF(Atletas!L264="Choylayfut F",26,IF(Atletas!L264="Hunggar F",27,IF(Atletas!L264="Wuzuquan F",28,IF(Atletas!L264="Wingchun F",29,IF(Atletas!L264="Outra Mão de Sul F",30,IF(Atletas!L264="Dishuquan A",31,IF(Atletas!L264="Dishuquan B",32,IF(Atletas!L264="Dishuquan C",33,IF(Atletas!L264="Dishuquan D",34,IF(Atletas!L264="Dishuquan E",35,IF(Atletas!L264="Dishuquan F",36,""))))))))))))))))))))))))))))))))))))))</f>
        <v/>
      </c>
      <c r="BS273" s="50" t="str">
        <f>IF(Atletas!M264="","",IF(Atletas!X264&lt;&gt;"",10000,0)+(IF(Atletas!B264="Feminino",1000,IF(Atletas!B264="Masculino",2000,""))+(IF(Atletas!M264="Chaquan A",101,IF(Atletas!M264="Emeiquan A",102,IF(Atletas!M264="Fanziquan A",103,IF(Atletas!M264="Huaquan A",104,IF(Atletas!M264="Hongquan A",105,IF(Atletas!M264="Paoquan A",106,IF(Atletas!M264="Piguaquan A",107,IF(Atletas!M264="Shaolinquan A",108,IF(Atletas!M264="Tanglangquan A",109,IF(Atletas!M264="Yingzhaoquan A",110,IF(Atletas!M264="Tongbeiquan A",111,IF(Atletas!M264="Wudangquan A",112,IF(Atletas!M264="Outros Estilos A",113,IF(Atletas!M264="Chaquan B",114,IF(Atletas!M264="Emeiquan B",115,IF(Atletas!M264="Fanziquan B",116,IF(Atletas!M264="Huaquan B",117,IF(Atletas!M264="Hongquan B",118,IF(Atletas!M264="Paoquan B",119,IF(Atletas!M264="Piguaquan B",120,IF(Atletas!M264="Shaolinquan B",121,IF(Atletas!M264="Tanglangquan B",122,IF(Atletas!M264="Yingzhaoquan B",123,IF(Atletas!M264="Tongbeiquan B",124,IF(Atletas!M264="Wudangquan B",125,IF(Atletas!M264="Outros Estilos B",126,IF(Atletas!M264="Chaquan C",127,IF(Atletas!M264="Emeiquan C",128,IF(Atletas!M264="Fanziquan C",129,IF(Atletas!M264="Huaquan C",130,IF(Atletas!M264="Hongquan C",131,IF(Atletas!M264="Paoquan C",132,IF(Atletas!M264="Piguaquan C",133,IF(Atletas!M264="Shaolinquan C",134,IF(Atletas!M264="Tanglangquan C",135,IF(Atletas!M264="Yingzhaoquan C",136,IF(Atletas!M264="Tongbeiquan C",137,IF(Atletas!M264="Wudangquan C",138,IF(Atletas!M264="Outros Estilos C",139,0))))))))))))))))))))))))))))))))))))))))))</f>
        <v/>
      </c>
      <c r="BT273" s="50" t="str">
        <f>IF(Atletas!M264="","",IF(Atletas!X264&lt;&gt;"",10000,0)+(IF(Atletas!B264="Feminino",1000,IF(Atletas!B264="Masculino",2000,""))+(IF(Atletas!M264="Chaquan D",140,IF(Atletas!M264="Emeiquan D",141,IF(Atletas!M264="Fanziquan D",142,IF(Atletas!M264="Huaquan D",143,IF(Atletas!M264="Hongquan D",144,IF(Atletas!M264="Paoquan D",145,IF(Atletas!M264="Piguaquan D",146,IF(Atletas!M264="Shaolinquan D",147,IF(Atletas!M264="Tanglangquan D",148,IF(Atletas!M264="Yingzhaoquan D",149,IF(Atletas!M264="Tongbeiquan D",150,IF(Atletas!M264="Wudangquan D",151,IF(Atletas!M264="Outros Estilos D",152,IF(Atletas!M264="Chaquan E",153,IF(Atletas!M264="Emeiquan E",154,IF(Atletas!M264="Fanziquan E",155,IF(Atletas!M264="Huaquan E",156,IF(Atletas!M264="Hongquan E",157,IF(Atletas!M264="Paoquan E",158,IF(Atletas!M264="Piguaquan E",159,IF(Atletas!M264="Shaolinquan E",160,IF(Atletas!M264="Tanglangquan E",161,IF(Atletas!M264="Yingzhaoquan E",162,IF(Atletas!M264="Tongbeiquan E",163,IF(Atletas!M264="Wudangquan E",164,IF(Atletas!M264="Outros Estilos E",165,IF(Atletas!M264="Chaquan F",166,IF(Atletas!M264="Emeiquan F",167,IF(Atletas!M264="Fanziquan F",168,IF(Atletas!M264="Huaquan F",169,IF(Atletas!M264="Hongquan F",170,IF(Atletas!M264="Paoquan F",171,IF(Atletas!M264="Piguaquan F",172,IF(Atletas!M264="Shaolinquan F",173,IF(Atletas!M264="Tanglangquan F",174,IF(Atletas!M264="Yingzhaoquan F",175,IF(Atletas!M264="Tongbeiquan F",176,IF(Atletas!M264="Wudangquan F",177,IF(Atletas!M264="Outros Estilos F",178,0))))))))))))))))))))))))))))))))))))))))))</f>
        <v/>
      </c>
      <c r="BU273" s="50" t="str">
        <f>IF(Atletas!N264="","",IF(Atletas!X264&lt;&gt;"",10000,0)+(IF(Atletas!B264="Feminino",1000,IF(Atletas!B264="Masculino",2000,""))+(IF(Atletas!N264="Ditangquan A",201,IF(Atletas!N264="Houquan A",202,IF(Atletas!N264="Zuiquan A",203,IF(Atletas!N264="Ditangquan B",204,IF(Atletas!N264="Houquan B",205,IF(Atletas!N264="Zuiquan B",206,IF(Atletas!N264="Ditangquan C",207,IF(Atletas!N264="Houquan C",208,IF(Atletas!N264="Zuiquan C",209,IF(Atletas!N264="Ditangquan D",210,IF(Atletas!N264="Houquan D",211,IF(Atletas!N264="Zuiquan D",212,IF(Atletas!N264="Ditangquan E",213,IF(Atletas!N264="Houquan E",214,IF(Atletas!N264="Zuiquan E",215,IF(Atletas!N264="Ditangquan F",216,IF(Atletas!N264="Houquan F",217,IF(Atletas!N264="Zuiquan F",218,"")))))))))))))))))))))</f>
        <v/>
      </c>
      <c r="BV273" s="50" t="str">
        <f>IF(Atletas!O264="","",IF(Atletas!X264&lt;&gt;"",10000,0)+IF(Atletas!B264="Feminino",1000,IF(Atletas!B264="Masculino",2000,""))+IF(Atletas!O264="Yang A",301,IF(Atletas!O264="Chen A",302,IF(Atletas!O264="Sun A",303,IF(Atletas!O264="Wu A",304,IF(Atletas!O264="Wu-Hao A",305,IF(Atletas!O264="Outro Taijiquan A",306,IF(Atletas!O264="Yang B",307,IF(Atletas!O264="Chen B",308,IF(Atletas!O264="Sun B",309,IF(Atletas!O264="Wu B",310,IF(Atletas!O264="Wu-Hao B",311,IF(Atletas!O264="Outro Taijiquan B",312,IF(Atletas!O264="Yang C",313,IF(Atletas!O264="Chen C",314,IF(Atletas!O264="Sun C",315,IF(Atletas!O264="Wu C",316,IF(Atletas!O264="Wu-Hao C",317,IF(Atletas!O264="Outro Taijiquan C",318,IF(Atletas!O264="Yang D",319,IF(Atletas!O264="Chen D",320,IF(Atletas!O264="Sun D",321,IF(Atletas!O264="Wu D",322,IF(Atletas!O264="Wu-Hao D",323,IF(Atletas!O264="Outro Taijiquan D",324,IF(Atletas!O264="Yang E",325,IF(Atletas!O264="Chen E",326,IF(Atletas!O264="Sun E",327,IF(Atletas!O264="Wu E",328,IF(Atletas!O264="Wu-Hao E",329,IF(Atletas!O264="Outro Taijiquan E",330,IF(Atletas!O264="Yang F",331,IF(Atletas!O264="Chen F",332,IF(Atletas!O264="Sun F",333,IF(Atletas!O264="Wu F",334,IF(Atletas!O264="Wu-Hao F",335,IF(Atletas!O264="Outro Taijiquan F",336,"")))))))))))))))))))))))))))))))))))))</f>
        <v/>
      </c>
      <c r="BW273" s="50" t="str">
        <f>IF(Atletas!P264="","",IF(Atletas!X264&lt;&gt;"",10000,0)+IF(Atletas!B264="Feminino",1000,IF(Atletas!B264="Masculino",2000,""))+IF(OR(Atletas!P264="Yang 26 A",Atletas!P264="Yang 40 A"),401,IF(OR(Atletas!P264="Chen 25 A",Atletas!P264="Chen 36 A",Atletas!P264="Chen 56 A"),402,IF(Atletas!P264="Sun 73 A",403,IF(Atletas!P264="Wu 45 A",404,IF(Atletas!P264="Wu-Hao 46 A",405,IF(OR(Atletas!P264="Taijiquan 16 A",Atletas!P264="Taijiquan 24 A",Atletas!P264="Taijiquan 32 A",Atletas!P264="Taijiquan 42 A"),406,IF(OR(Atletas!P264="Yang 26 B",Atletas!P264="Yang 40 B"),407,IF(OR(Atletas!P264="Chen 25 B",Atletas!P264="Chen 36 B",Atletas!P264="Chen 56 B"),408,IF(Atletas!P264="Sun 73 B",409,IF(Atletas!P264="Wu 45 B",410,IF(Atletas!P264="Wu-Hao 46 B",411,IF(OR(Atletas!P264="Taijiquan 16 B",Atletas!P264="Taijiquan 24 B",Atletas!P264="Taijiquan 32 B",Atletas!P264="Taijiquan 42 B"),412,IF(OR(Atletas!P264="Yang 26 C",Atletas!P264="Yang 40 C"),413,IF(OR(Atletas!P264="Chen 25 C",Atletas!P264="Chen 36 C",Atletas!P264="Chen 56 C"),414,IF(Atletas!P264="Sun 73 C",415,IF(Atletas!P264="Wu 45 C",416,IF(Atletas!P264="Wu-Hao 46 C",417,IF(OR(Atletas!P264="Taijiquan 16 C",Atletas!P264="Taijiquan 24 C",Atletas!P264="Taijiquan 32 C",Atletas!P264="Taijiquan 42 C"),418,0)))))))))))))))))))</f>
        <v/>
      </c>
      <c r="BX273" s="50" t="str">
        <f>IF(Atletas!P264="","",IF(Atletas!X264&lt;&gt;"",10000,0)+IF(Atletas!B264="Feminino",1000,IF(Atletas!B264="Masculino",2000,""))+IF(OR(Atletas!P264="Yang 26 D",Atletas!P264="Yang 40 D"),419,IF(OR(Atletas!P264="Chen 25 D",Atletas!P264="Chen 36 D",Atletas!P264="Chen 56 D"),420,IF(Atletas!P264="Sun 73 D",421,IF(Atletas!P264="Wu 45 D",422,IF(Atletas!P264="Wu-Hao 46 D",423,IF(OR(Atletas!P264="Taijiquan 16 D",Atletas!P264="Taijiquan 24 D",Atletas!P264="Taijiquan 32 D",Atletas!P264="Taijiquan 42 D"),424,IF(OR(Atletas!P264="Yang 26 E",Atletas!P264="Yang 40 E"),425,IF(OR(Atletas!P264="Chen 25 E",Atletas!P264="Chen 36 E",Atletas!P264="Chen 56 E"),426,IF(Atletas!P264="Sun 73 E",427,IF(Atletas!P264="Wu 45 E",428,IF(Atletas!P264="Wu-Hao 46 E",429,IF(OR(Atletas!P264="Taijiquan 16 E",Atletas!P264="Taijiquan 24 E",Atletas!P264="Taijiquan 32 E",Atletas!P264="Taijiquan 42 E"),430,IF(OR(Atletas!P264="Yang 26 F",Atletas!P264="Yang 40 F"),431,IF(OR(Atletas!P264="Chen 25 F",Atletas!P264="Chen 36 F",Atletas!P264="Chen 56 F"),432,IF(Atletas!P264="Sun 73 F",433,IF(Atletas!P264="Wu 45 F",434,IF(Atletas!P264="Wu-Hao 46 F",435,IF(OR(Atletas!P264="Taijiquan 16 F",Atletas!P264="Taijiquan 24 F",Atletas!P264="Taijiquan 32 F",Atletas!P264="Taijiquan 42 F"),436,0)))))))))))))))))))</f>
        <v/>
      </c>
      <c r="BY273" s="50" t="str">
        <f>IF(Atletas!Q264="","",IF(Atletas!X264&lt;&gt;"",10000,0)+IF(Atletas!B264="Feminino",1000,IF(Atletas!B264="Masculino",2000,""))+IF(Atletas!Q264="Xingyiquan A",501,IF(Atletas!Q264="Baguazhang A",502,IF(Atletas!Q264="Outro Estilo Interno A",503,IF(Atletas!Q264="Xingyiquan B",504,IF(Atletas!Q264="Baguazhang B",505,IF(Atletas!Q264="Outro Estilo Interno B",506,IF(Atletas!Q264="Xingyiquan C",507,IF(Atletas!Q264="Baguazhang C",508,IF(Atletas!Q264="Outro Estilo Interno C",509,IF(Atletas!Q264="Xingyiquan D",510,IF(Atletas!Q264="Baguazhang D",511,IF(Atletas!Q264="Outro Estilo Interno D",512,IF(Atletas!Q264="Xingyiquan E",513,IF(Atletas!Q264="Baguazhang E",514,IF(Atletas!Q264="Outro Estilo Interno E",515,IF(Atletas!Q264="Xingyiquan F",516,IF(Atletas!Q264="Baguazhang F",517,IF(Atletas!Q264="Outro Estilo Interno F",518, "")))))))))))))))))))</f>
        <v/>
      </c>
      <c r="BZ273" s="50" t="str">
        <f>IF(Atletas!R264="","",IF(Atletas!X264&lt;&gt;"",10000,0)+IF(Atletas!B264="Feminino",1000,IF(Atletas!B264="Masculino",2000,""))+IF(Atletas!R264="Dao A",601,IF(Atletas!R264="Jian A",602,IF(Atletas!R264="Bishou A",603,IF(Atletas!R264="Shanzi A",604,IF(Atletas!R264="Outra Arma Curta A",605,IF(Atletas!R264="Dao B",606,IF(Atletas!R264="Jian B",607,IF(Atletas!R264="Bishou B",608,IF(Atletas!R264="Shanzi B",609,IF(Atletas!R264="Outra Arma Curta B",610,IF(Atletas!R264="Dao C",611,IF(Atletas!R264="Jian C",612,IF(Atletas!R264="Bishou C",613,IF(Atletas!R264="Shanzi C",614,IF(Atletas!R264="Outra Arma Curta C",615,IF(Atletas!R264="Dao D",616,IF(Atletas!R264="Jian D",617,IF(Atletas!R264="Bishou D",618,IF(Atletas!R264="Shanzi D",619,IF(Atletas!R264="Outra Arma Curta D",620,IF(Atletas!R264="Dao E",621,IF(Atletas!R264="Jian E",622,IF(Atletas!R264="Bishou E",623,IF(Atletas!R264="Shanzi E",624,IF(Atletas!R264="Outra Arma Curta E",625,IF(Atletas!R264="Dao F",626,IF(Atletas!R264="Jian F",627,IF(Atletas!R264="Bishou F",628,IF(Atletas!R264="Shanzi F",629,IF(Atletas!R264="Outra Arma Curta F",630, "")))))))))))))))))))))))))))))))</f>
        <v/>
      </c>
      <c r="CA273" s="50" t="str">
        <f>IF(Atletas!S264="","",IF(Atletas!X264&lt;&gt;"",10000,0)+IF(Atletas!B264="Feminino",1000,IF(Atletas!B264="Masculino",2000,""))+IF(Atletas!S264="Gun A",701,IF(Atletas!S264="Qiang A",702,IF(Atletas!S264="Pudao / Guandao A",703,IF(Atletas!S264="Outra Arma Longa A",704,IF(Atletas!S264="Gun B",705,IF(Atletas!S264="Qiang B",706,IF(Atletas!S264="Pudao / Guandao B",707,IF(Atletas!S264="Outra Arma Longa B",708,IF(Atletas!S264="Gun C",709,IF(Atletas!S264="Qiang C",710,IF(Atletas!S264="Pudao / Guandao C",711,IF(Atletas!S264="Outra Arma Longa C",712,IF(Atletas!S264="Gun D",713,IF(Atletas!S264="Qiang D",714,IF(Atletas!S264="Pudao / Guandao D",715,IF(Atletas!S264="Outra Arma Longa D",716,IF(Atletas!S264="Gun E",717,IF(Atletas!S264="Qiang E",718,IF(Atletas!S264="Pudao / Guandao E",719,IF(Atletas!S264="Outra Arma Longa E",720,IF(Atletas!S264="Gun F",721,IF(Atletas!S264="Qiang F",722,IF(Atletas!S264="Pudao / Guandao F",723,IF(Atletas!S264="Outra Arma Longa F",724,"")))))))))))))))))))))))))</f>
        <v/>
      </c>
      <c r="CB273" s="50" t="str">
        <f>IF(Atletas!T264="","",IF(Atletas!X264&lt;&gt;"",10000,0)+IF(Atletas!B264="Feminino",1000,IF(Atletas!B264="Masculino",2000,""))+IF(Atletas!T264="Outra Arma Dupla A",801,IF(Atletas!T264="Arma Maleável A",802,IF(Atletas!T264="Outra Arma Dupla B",803,IF(Atletas!T264="Arma Maleável B",804,IF(Atletas!T264="Outra Arma Dupla C",805,IF(Atletas!T264="Arma Maleável C",806,IF(Atletas!T264="Outra Arma Dupla D",807,IF(Atletas!T264="Arma Maleável D",808,IF(Atletas!T264="Outra Arma Dupla E",809,IF(Atletas!T264="Arma Maleável E",810,IF(Atletas!T264="Outra Arma Dupla F",811,IF(Atletas!T264="Arma Maleável F",812,IF(Atletas!T264="Shuangdao A",813,IF(Atletas!T264="Shuangdao B",814,IF(Atletas!T264="Shuangdao C",815,IF(Atletas!T264="Shuangdao D",816,IF(Atletas!T264="Shuangdao E",817,IF(Atletas!T264="Shuangdao F",818,"")))))))))))))))))))</f>
        <v/>
      </c>
      <c r="CC273" s="50" t="str">
        <f>IF(Atletas!U264="","",IF(Atletas!X264&lt;&gt;"",10000,0)+IF(Atletas!B264="Feminino",1000,IF(Atletas!B264="Masculino",2000,""))+IF(OR(Atletas!U264="Taijijian Yang A",Atletas!U264="Taijijian Yang Standard A"),901,IF(OR(Atletas!U264="Taijijian Chen A", Atletas!U264="Taijijian Chen Standard A"),902,IF(Atletas!U264="Taijijian Sun A",903,IF(Atletas!U264="Taijijian Wu A",904,IF(Atletas!U264="Taijijian Wu-Hao A",905,IF(OR(Atletas!U264="Taijijian 32 A",Atletas!U264="Taijijian 42 A"),906,IF(OR(Atletas!U264="Taijijian Yang B",Atletas!U264="Taijijian Yang Standard B"),907,IF(OR(Atletas!U264="Taijijian Chen B", Atletas!U264="Taijijian Chen Standard B"),908,IF(Atletas!U264="Taijijian Sun B",909,IF(Atletas!U264="Taijijian Wu B",910,IF(Atletas!U264="Taijijian Wu-Hao B",911,IF(OR(Atletas!U264="Taijijian 32 B",Atletas!U264="Taijijian 42 B"),912,IF(OR(Atletas!U264="Taijijian Yang C",Atletas!U264="Taijijian Yang Standard C"),913,IF(OR(Atletas!U264="Taijijian Chen C", Atletas!U264="Taijijian Chen Standard C"),914,IF(Atletas!U264="Taijijian Sun C",915,IF(Atletas!U264="Taijijian Wu C",916,IF(Atletas!U264="Taijijian Wu-Hao C",917,IF(OR(Atletas!U264="Taijijian 32 C",Atletas!U264="Taijijian 42 C"),918,IF(OR(Atletas!U264="Taijijian Yang D",Atletas!U264="Taijijian Yang Standard D"),919,IF(OR(Atletas!U264="Taijijian Chen D", Atletas!U264="Taijijian Chen Standard D"),920,IF(Atletas!U264="Taijijian Sun D",921,IF(Atletas!U264="Taijijian Wu D",922,IF(Atletas!U264="Taijijian Wu-Hao D",923,IF(OR(Atletas!U264="Taijijian 32 D",Atletas!U264="Taijijian 42 D"),924,IF(OR(Atletas!U264="Taijijian Yang E",Atletas!U264="Taijijian Yang Standard E"),925,IF(OR(Atletas!U264="Taijijian Chen E", Atletas!U264="Taijijian Chen Standard E"),926,IF(Atletas!U264="Taijijian Sun E",927,IF(Atletas!U264="Taijijian Wu E",928,IF(Atletas!U264="Taijijian Wu-Hao E",929,IF(OR(Atletas!U264="Taijijian 32 E",Atletas!U264="Taijijian 42 E"),930,IF(OR(Atletas!U264="Taijijian Yang F",Atletas!U264="Taijijian Yang Standard F"),931,IF(OR(Atletas!U264="Taijijian Chen F", Atletas!U264="Taijijian Chen Standard F"),932,IF(Atletas!U264="Taijijian Sun F",933,IF(Atletas!U264="Taijijian Wu F",934,IF(Atletas!U264="Taijijian Wu-Hao F",935,IF(OR(Atletas!U264="Taijijian 32 F",Atletas!U264="Taijijian 42 F"),936,"")))))))))))))))))))))))))))))))))))))</f>
        <v/>
      </c>
      <c r="CD273" s="50" t="str">
        <f>IF(Atletas!V264="","",IF(Atletas!X264&lt;&gt;"",10000,0)+IF(Atletas!B264="Feminino",1000,IF(Atletas!B264="Masculino",2000,""))+IF(Atletas!V264="Taijidao A",937,IF(Atletas!V264="TaijiShanzi A",938,IF(Atletas!V264="Taijiqiang A",939,IF(Atletas!V264="Bagua de Arma A",940,IF(Atletas!V264="Xingyi de Arma A",941,IF(Atletas!V264="Taijidao B",942,IF(Atletas!V264="TaijiShanzi B",943,IF(Atletas!V264="Taijiqiang B",944,IF(Atletas!V264="Bagua de Arma B",945,IF(Atletas!V264="Xingyi de Arma B",946,IF(Atletas!V264="Taijidao C",947,IF(Atletas!V264="TaijiShanzi C",948,IF(Atletas!V264="Taijiqiang C",949,IF(Atletas!V264="Bagua de Arma C",950,IF(Atletas!V264="Xingyi de Arma C",951,IF(Atletas!V264="Taijidao D",952,IF(Atletas!V264="TaijiShanzi D",953,IF(Atletas!V264="Taijiqiang D",954,IF(Atletas!V264="Bagua de Arma D",955,IF(Atletas!V264="Xingyi de Arma D",956,IF(Atletas!V264="Taijidao E",957,IF(Atletas!V264="TaijiShanzi E",958,IF(Atletas!V264="Taijiqiang E",959,IF(Atletas!V264="Bagua de Arma E",960,IF(Atletas!V264="Xingyi de Arma E",961,IF(Atletas!V264="Taijidao F",962,IF(Atletas!V264="TaijiShanzi F",963,IF(Atletas!V264="Taijiqiang F",964,IF(Atletas!V264="Bagua de Arma F",965,IF(Atletas!V264="Xingyi de Arma F",966,"")))))))))))))))))))))))))))))))</f>
        <v/>
      </c>
      <c r="CE273" s="66" t="str">
        <f>IF(CF273&lt;&gt;"","Pudao / Guandao D","")</f>
        <v/>
      </c>
      <c r="CF273" s="66" t="str">
        <f>IF(COUNTIF(BR:CD,1715)&gt;0,COUNTIF(BR:CD,1715),"")</f>
        <v/>
      </c>
      <c r="CG273" s="66" t="str">
        <f>IF(CH273&lt;&gt;"","Pudao / Guandao D","")</f>
        <v/>
      </c>
      <c r="CH273" s="66" t="str">
        <f>IF(COUNTIF(BR:CD,2715)&gt;0,COUNTIF(BR:CD,2715),"")</f>
        <v/>
      </c>
      <c r="CI273" s="66" t="str">
        <f>IF(CJ274&lt;&gt;"","Qiang F","")</f>
        <v/>
      </c>
      <c r="CJ273" s="66" t="str">
        <f>IF(COUNTIF(BR:CD,11721)&gt;0,COUNTIF(BR:CD,11721),"")</f>
        <v/>
      </c>
      <c r="CK273" s="66" t="str">
        <f>IF(CL273&lt;&gt;"","Gun F","")</f>
        <v/>
      </c>
      <c r="CL273" s="6" t="str">
        <f>IF(COUNTIF(BR:CD,12721)&gt;0,COUNTIF(BR:CD,12721),"")</f>
        <v/>
      </c>
      <c r="CM273" s="50" t="str">
        <f xml:space="preserve"> IF(Atletas!W264="","",IF(Atletas!W264="Duilian de Mãos BC - Equipe 1",1,IF(Atletas!W264="Duilian de Mãos BC - Equipe 2",2,IF(Atletas!W264="Duilian de Armas BC - Equipe 1",3,IF(Atletas!W264="Duilian de Armas BC - Equipe 2",4,IF(Atletas!W264="Duilian de Mãos DE - Equipe 1",5,IF(Atletas!W264="Duilian de Mãos DE - Equipe 2",6,IF(Atletas!W264="Duilian de Armas DE - Equipe 1",7,IF(Atletas!W264="Duilian de Armas DE - Equipe 2",8,IF(Atletas!W264="Duilian de Tuishou - Equipe 1",9,IF(Atletas!W264="Duilian de Tuishou - Equipe 2",10,IF(Atletas!W264="Grupo Externo ABC - Equipe 1",11,IF(Atletas!W264="Grupo Externo ABC - Equipe 2",12,IF(Atletas!W264="Grupo Interno ABC - Equipe 1",13,IF(Atletas!W264="Grupo Interno ABC - Equipe 2",14,IF(Atletas!W264="Grupo Externo DEF - Equipe 1",15,IF(Atletas!W264="Grupo Externo DEF - Equipe 2",16,IF(Atletas!W264="Grupo Interno DEF - Equipe 1",17,IF(Atletas!W264="Grupo Interno DEF - Equipe 2",18,"")))))))))))))))))))</f>
        <v/>
      </c>
    </row>
    <row r="274" spans="2:91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 t="str">
        <f t="array" ref="Z274">IFERROR(INDEX(CE$7:CE$348,SMALL(IF(CE$7:CE$348&lt;&gt;"",ROW(CE$7:CE$348)-ROW(CE$7)+1),ROWS(CE$7:CE273))),"")</f>
        <v/>
      </c>
      <c r="AA274" s="3" t="str">
        <f t="array" ref="AA274">IFERROR(INDEX(CF$7:CF$348,SMALL(IF(CF$7:CF$348&lt;&gt;"",ROW(CF$7:CF$348)-ROW(CF$7)+1),ROWS(CF$7:CF273))),"")</f>
        <v/>
      </c>
      <c r="AB274" s="3" t="str">
        <f t="array" ref="AB274">IFERROR(INDEX(CG$7:CG$348,SMALL(IF(CG$7:CG$348&lt;&gt;"",ROW(CG$7:CG$348)-ROW(CG$7)+1),ROWS(CG$7:CG273))),"")</f>
        <v/>
      </c>
      <c r="AC274" s="3" t="str">
        <f t="array" ref="AC274">IFERROR(INDEX(CH$7:CH$348,SMALL(IF(CH$7:CH$348&lt;&gt;"",ROW(CH$7:CH$348)-ROW(CH$7)+1),ROWS(CH$7:CH273))),"")</f>
        <v/>
      </c>
      <c r="AD274" s="3" t="str">
        <f t="array" ref="AD274">IFERROR(INDEX(CI$7:CI$377,SMALL(IF(CI$7:CI$377&lt;&gt;"",ROW(CI$7:CI$377)-ROW(CI$7)+1),ROWS(CI$7:CI272))),"")</f>
        <v/>
      </c>
      <c r="AE274" s="3" t="str">
        <f t="array" ref="AE274">IFERROR(INDEX(CJ$7:CJ$378,SMALL(IF(CJ$7:CJ$378&lt;&gt;"",ROW(CJ$7:CJ$378)-ROW(CJ$7)+1),ROWS(CJ$7:CJ273))),"")</f>
        <v/>
      </c>
      <c r="AF274" s="3" t="str">
        <f t="array" ref="AF274">IFERROR(INDEX(CK$7:CK$378,SMALL(IF(CK$7:CK$378&lt;&gt;"",ROW(CK$7:CK$378)-ROW(CK$7)+1),ROWS(CK$7:CK273))),"")</f>
        <v/>
      </c>
      <c r="AG274" s="3" t="str">
        <f t="array" ref="AG274">IFERROR(INDEX(CL$7:CL$378,SMALL(IF(CL$7:CL$378&lt;&gt;"",ROW(CL$7:CL$378)-ROW(CL$7)+1),ROWS(CL$7:CL273))),"")</f>
        <v/>
      </c>
      <c r="AH274" s="3"/>
      <c r="AI274" s="3"/>
      <c r="AJ274" s="3"/>
      <c r="AK274" s="3"/>
      <c r="AL274" s="3"/>
      <c r="AM274" s="3"/>
      <c r="AN274" s="52" t="str">
        <f>IF(Atletas!D265="","",IF(Atletas!B265="Feminino",100,IF(Atletas!B265="Masculino",200,""))+(IF(Atletas!D265="Kids 30kg",1,IF(Atletas!D265="Kids 32kg",2, IF(Atletas!D265="Kids 34kg",3,IF(Atletas!D265="Kids 36kg",4,IF(Atletas!D265="Kids 39kg",5,IF(Atletas!D265="Kids 42kg",6,IF(Atletas!D265="Kids 45kg",7, IF(Atletas!D265="Infantil 39kg",8,IF(Atletas!D265="Infantil 42kg",9,IF(Atletas!D265="Infantil 45kg",10,IF(Atletas!D265="Infantil 48kg",11,IF(Atletas!D265="Infantil 52kg",12,IF(Atletas!D265="Infantil 56kg",13,IF(Atletas!D265="Infantil 60kg",14,IF(Atletas!D265="Juvenil 48kg",15,IF(Atletas!D265="Juvenil 52kg",16,IF(Atletas!D265="Juvenil 56kg",17,IF(Atletas!D265="Juvenil 60kg",18,IF(Atletas!D265="Juvenil 65kg",19,IF(Atletas!D265="Juvenil 70kg",20,IF(Atletas!D265="Juvenil 75kg",21,IF(Atletas!D265="Juvenil 80kg",22, IF(Atletas!D265="Juvenil 85kg",23,IF(Atletas!D265="Adulto 48kg",24,IF(Atletas!D265="Adulto 52kg",25,IF(Atletas!D265="Adulto 56kg",26,IF(Atletas!D265="Adulto 60kg",27,IF(Atletas!D265="Adulto 65kg",28,IF(Atletas!D265="Adulto 70kg",29,IF(Atletas!D265="Adulto 75kg",30,IF(Atletas!D265="Adulto 80kg",31,IF(Atletas!D265="Adulto 85kg",32,IF(Atletas!D265="Adulto 90kg",33,IF(Atletas!D265="Adulto 100kg",34, IF(Atletas!D265="Adulto +100kg",35,"")))))))))))))))))))))))))))))))))))))</f>
        <v/>
      </c>
      <c r="AS274" s="6" t="str">
        <f>IF(Atletas!E265="","",IF(Atletas!B265="Feminino",100,IF(Atletas!B265="Masculino",200,""))+(IF(Atletas!E265="Juvenil 44kg",1,IF(Atletas!E265="Juvenil 48kg",2,IF(Atletas!E265="Juvenil 52kg",3,IF(Atletas!E265="Juvenil 56kg",4,IF(Atletas!E265="Juvenil 60kg",5,IF(Atletas!E265="Juvenil 65kg",6,IF(Atletas!E265="Juvenil 70kg",7,IF(Atletas!E265="Juvenil 75kg",8,IF(Atletas!E265="Juvenil 82kg",9,IF(Atletas!E265="Juvenil 90kg",10,IF(Atletas!E265="Juvenil 100kg",11,IF(Atletas!E265="Adulto 48kg",12,IF(Atletas!E265="Adulto 52kg",13,IF(Atletas!E265="Adulto 56kg",14,IF(Atletas!E265="Adulto 60kg",15,IF(Atletas!E265="Adulto 65kg",16,IF(Atletas!E265="Adulto 70kg",17,IF(Atletas!E265="Adulto 75kg",18,IF(Atletas!E265="Adulto 82kg",19,IF(Atletas!E265="Adulto 90kg",20,IF(Atletas!E265="Adulto 100kg",21,IF(Atletas!E265="Adulto +100kg",22,""))))))))))))))))))))))))</f>
        <v/>
      </c>
      <c r="AX274" s="6" t="str">
        <f>IF(Atletas!F265="","",IF(Atletas!B265="Feminino",100,IF(Atletas!B265="Masculino",200,""))+(IF(Atletas!F265="Adulto 48kg",1,IF(Atletas!F265="Adulto 56kg",2,IF(Atletas!F265="Adulto 65kg",3,IF(Atletas!F265="Adulto 75kg",4,IF(Atletas!F265="Adulto +75kg",5,IF(Atletas!F265="Adulto 52kg",6,IF(Atletas!F265="Adulto 60kg",7,IF(Atletas!F265="Adulto 70kg",8,IF(Atletas!F265="Adulto 80kg",9,IF(Atletas!F265="Adulto 90kg",10,IF(Atletas!F265="Adulto +90kg",11,"")))))))))))))</f>
        <v/>
      </c>
      <c r="BC274" s="6" t="str">
        <f>IF(Atletas!G265="","",IF(Atletas!B265="Feminino",10,IF(Atletas!B265="Masculino",20,""))+(IF(Atletas!G265="Baduanjin A",1,IF(Atletas!G265="Baduanjin B",2))))</f>
        <v/>
      </c>
      <c r="BF274" s="52" t="str">
        <f>IF(Atletas!H265="","",IF(Atletas!B265="Feminino",100,IF(Atletas!B265="Masculino",200,""))+(IF(Atletas!H265="Changquan Mirim",1,IF(Atletas!H265="Nanquan Mirim",2,IF(Atletas!H265="Taijiquan Mirim",3,IF(Atletas!H265="Changquan Grupo C",4,IF(Atletas!H265="Nanquan Grupo C",5,IF(Atletas!H265="Taijiquan Grupo C",6,IF(Atletas!H265="Changquan Grupo B",7,IF(Atletas!H265="Nanquan Grupo B",8,IF(Atletas!H265="Taijiquan Grupo B",9,IF(Atletas!H265="Changquan Grupo A",10,IF(Atletas!H265="Nanquan Grupo A",11,IF(Atletas!H265="Taijiquan Grupo A",12,IF(Atletas!H265="Changquan Opcional",13,IF(Atletas!H265="Nanquan Opcional",14,IF(Atletas!H265="Taijiquan Opcional",15,IF(Atletas!H265="Changquan Adulto",16,IF(Atletas!H265="Nanquan Adulto",17,IF(Atletas!H265="Taijiquan Adulto",18,""))))))))))))))))))))</f>
        <v/>
      </c>
      <c r="BG274" s="52" t="str">
        <f>IF(Atletas!I265="","",IF(Atletas!B265="Feminino",100,IF(Atletas!B265="Masculino",200,""))+(IF(Atletas!I265="Daoshu Mirim",19,IF(Atletas!I265="Jianshu Mirim",20,IF(Atletas!I265="Nandao Mirim",21,IF(Atletas!I265="Taijijian Mirim",22,IF(Atletas!I265="Daoshu Grupo C",23,IF(Atletas!I265="Jianshu Grupo C",24,IF(Atletas!I265="Nandao Grupo C",25,IF(Atletas!I265="Taijijian Grupo C",26,IF(Atletas!I265="Daoshu Grupo B",27,IF(Atletas!I265="Jianshu Grupo B",28,IF(Atletas!I265="Nandao Grupo B",29,IF(Atletas!I265="Taijijian Grupo B",30,IF(Atletas!I265="Daoshu Grupo A",31,IF(Atletas!I265="Jianshu Grupo A",32,IF(Atletas!I265="Nandao Grupo A",33,IF(Atletas!I265="Taijijian Grupo A",34,IF(Atletas!I265="Daoshu Opcional",35,IF(Atletas!I265="Jianshu Opcional",36,IF(Atletas!I265="Nandao Opcional",37,IF(Atletas!I265="Taijijian Opcional",38,IF(Atletas!I265="Daoshu Adulto",39,IF(Atletas!I265="Jianshu Adulto",40,IF(Atletas!I265="Nandao Adulto",41,IF(Atletas!I265="Taijijian Adulto",42,""))))))))))))))))))))))))))</f>
        <v/>
      </c>
      <c r="BH274" s="52" t="str">
        <f>IF(Atletas!J265="","",IF(Atletas!B265="Feminino",100,IF(Atletas!B265="Masculino",200,""))+(IF(Atletas!J265="Gunshu Mirim",43,IF(Atletas!J265="Qiangshu Mirim",44,IF(Atletas!J265="Nangun Mirim",45,IF(Atletas!J265="Gunshu Grupo C",46,IF(Atletas!J265="Qiangshu Grupo C",47,IF(Atletas!J265="Nangun Grupo C",48,IF(Atletas!J265="Gunshu Grupo B",49,IF(Atletas!J265="Qiangshu Grupo B",50,IF(Atletas!J265="Nangun Grupo B",51,IF(Atletas!J265="Gunshu Grupo A",52,IF(Atletas!J265="Qiangshu Grupo A",53,IF(Atletas!J265="Nangun Grupo A",54,IF(Atletas!J265="Gunshu Opcional",55,IF(Atletas!J265="Qiangshu Opcional",56,IF(Atletas!J265="Nangun Opcional",57,IF(Atletas!J265="Gunshu Adulto",58,IF(Atletas!J265="Qiangshu Adulto",59,IF(Atletas!J265="Nangun Adulto",60,IF(Atletas!J265="Taijishan Grupo B",61,IF(Atletas!J265="Taijishan Grupo A",62,""))))))))))))))))))))))</f>
        <v/>
      </c>
      <c r="BM274" s="50" t="str">
        <f>IF(Atletas!K265="","",IF(Atletas!B265="Feminino",100,IF(Atletas!B265="Masculino",200,""))+(IF(Atletas!K265="Equipe 1 Grupo B",1,IF(Atletas!K265="Equipe 2 Grupo B",2,IF(Atletas!K265="Equipe 1 Grupo A",3,IF(Atletas!K265="Equipe 2 Grupo A",4,IF(Atletas!K265="Equipe 1 Adulto",5,IF(Atletas!K265="Equipe 2 Adulto",6,""))))))))</f>
        <v/>
      </c>
      <c r="BR274" s="50" t="str">
        <f>IF(Atletas!L265="","",IF(Atletas!X265&lt;&gt;"",10000,0)+(IF(Atletas!B265="Feminino",1000,IF(Atletas!B265="Masculino",2000,""))+IF(Atletas!L265="Choylayfut A",1,IF(Atletas!L265="Hunggar A",2,IF(Atletas!L265="Wuzuquan A",3,IF(Atletas!L265="Wingchun A",4,IF(Atletas!L265="Outra Mão de Sul A",5,IF(Atletas!L265="Choylayfut B",6,IF(Atletas!L265="Hunggar B",7,IF(Atletas!L265="Wuzuquan B",8,IF(Atletas!L265="Wingchun B",9,IF(Atletas!L265="Outra Mão de Sul B",10,IF(Atletas!L265="Choylayfut C",11,IF(Atletas!L265="Hunggar C",12,IF(Atletas!L265="Wuzuquan C",13,IF(Atletas!L265="Wingchun C",14,IF(Atletas!L265="Outra Mão de Sul C",15,IF(Atletas!L265="Choylayfut D",16,IF(Atletas!L265="Hunggar D",17,IF(Atletas!L265="Wuzuquan D",18,IF(Atletas!L265="Wingchun D",19,IF(Atletas!L265="Outra Mão de Sul D",20,IF(Atletas!L265="Choylayfut E",21,IF(Atletas!L265="Hunggar E",22,IF(Atletas!L265="Wuzuquan E",23,IF(Atletas!L265="Wingchun E",24,IF(Atletas!L265="Outra Mão de Sul E",25,IF(Atletas!L265="Choylayfut F",26,IF(Atletas!L265="Hunggar F",27,IF(Atletas!L265="Wuzuquan F",28,IF(Atletas!L265="Wingchun F",29,IF(Atletas!L265="Outra Mão de Sul F",30,IF(Atletas!L265="Dishuquan A",31,IF(Atletas!L265="Dishuquan B",32,IF(Atletas!L265="Dishuquan C",33,IF(Atletas!L265="Dishuquan D",34,IF(Atletas!L265="Dishuquan E",35,IF(Atletas!L265="Dishuquan F",36,""))))))))))))))))))))))))))))))))))))))</f>
        <v/>
      </c>
      <c r="BS274" s="50" t="str">
        <f>IF(Atletas!M265="","",IF(Atletas!X265&lt;&gt;"",10000,0)+(IF(Atletas!B265="Feminino",1000,IF(Atletas!B265="Masculino",2000,""))+(IF(Atletas!M265="Chaquan A",101,IF(Atletas!M265="Emeiquan A",102,IF(Atletas!M265="Fanziquan A",103,IF(Atletas!M265="Huaquan A",104,IF(Atletas!M265="Hongquan A",105,IF(Atletas!M265="Paoquan A",106,IF(Atletas!M265="Piguaquan A",107,IF(Atletas!M265="Shaolinquan A",108,IF(Atletas!M265="Tanglangquan A",109,IF(Atletas!M265="Yingzhaoquan A",110,IF(Atletas!M265="Tongbeiquan A",111,IF(Atletas!M265="Wudangquan A",112,IF(Atletas!M265="Outros Estilos A",113,IF(Atletas!M265="Chaquan B",114,IF(Atletas!M265="Emeiquan B",115,IF(Atletas!M265="Fanziquan B",116,IF(Atletas!M265="Huaquan B",117,IF(Atletas!M265="Hongquan B",118,IF(Atletas!M265="Paoquan B",119,IF(Atletas!M265="Piguaquan B",120,IF(Atletas!M265="Shaolinquan B",121,IF(Atletas!M265="Tanglangquan B",122,IF(Atletas!M265="Yingzhaoquan B",123,IF(Atletas!M265="Tongbeiquan B",124,IF(Atletas!M265="Wudangquan B",125,IF(Atletas!M265="Outros Estilos B",126,IF(Atletas!M265="Chaquan C",127,IF(Atletas!M265="Emeiquan C",128,IF(Atletas!M265="Fanziquan C",129,IF(Atletas!M265="Huaquan C",130,IF(Atletas!M265="Hongquan C",131,IF(Atletas!M265="Paoquan C",132,IF(Atletas!M265="Piguaquan C",133,IF(Atletas!M265="Shaolinquan C",134,IF(Atletas!M265="Tanglangquan C",135,IF(Atletas!M265="Yingzhaoquan C",136,IF(Atletas!M265="Tongbeiquan C",137,IF(Atletas!M265="Wudangquan C",138,IF(Atletas!M265="Outros Estilos C",139,0))))))))))))))))))))))))))))))))))))))))))</f>
        <v/>
      </c>
      <c r="BT274" s="50" t="str">
        <f>IF(Atletas!M265="","",IF(Atletas!X265&lt;&gt;"",10000,0)+(IF(Atletas!B265="Feminino",1000,IF(Atletas!B265="Masculino",2000,""))+(IF(Atletas!M265="Chaquan D",140,IF(Atletas!M265="Emeiquan D",141,IF(Atletas!M265="Fanziquan D",142,IF(Atletas!M265="Huaquan D",143,IF(Atletas!M265="Hongquan D",144,IF(Atletas!M265="Paoquan D",145,IF(Atletas!M265="Piguaquan D",146,IF(Atletas!M265="Shaolinquan D",147,IF(Atletas!M265="Tanglangquan D",148,IF(Atletas!M265="Yingzhaoquan D",149,IF(Atletas!M265="Tongbeiquan D",150,IF(Atletas!M265="Wudangquan D",151,IF(Atletas!M265="Outros Estilos D",152,IF(Atletas!M265="Chaquan E",153,IF(Atletas!M265="Emeiquan E",154,IF(Atletas!M265="Fanziquan E",155,IF(Atletas!M265="Huaquan E",156,IF(Atletas!M265="Hongquan E",157,IF(Atletas!M265="Paoquan E",158,IF(Atletas!M265="Piguaquan E",159,IF(Atletas!M265="Shaolinquan E",160,IF(Atletas!M265="Tanglangquan E",161,IF(Atletas!M265="Yingzhaoquan E",162,IF(Atletas!M265="Tongbeiquan E",163,IF(Atletas!M265="Wudangquan E",164,IF(Atletas!M265="Outros Estilos E",165,IF(Atletas!M265="Chaquan F",166,IF(Atletas!M265="Emeiquan F",167,IF(Atletas!M265="Fanziquan F",168,IF(Atletas!M265="Huaquan F",169,IF(Atletas!M265="Hongquan F",170,IF(Atletas!M265="Paoquan F",171,IF(Atletas!M265="Piguaquan F",172,IF(Atletas!M265="Shaolinquan F",173,IF(Atletas!M265="Tanglangquan F",174,IF(Atletas!M265="Yingzhaoquan F",175,IF(Atletas!M265="Tongbeiquan F",176,IF(Atletas!M265="Wudangquan F",177,IF(Atletas!M265="Outros Estilos F",178,0))))))))))))))))))))))))))))))))))))))))))</f>
        <v/>
      </c>
      <c r="BU274" s="50" t="str">
        <f>IF(Atletas!N265="","",IF(Atletas!X265&lt;&gt;"",10000,0)+(IF(Atletas!B265="Feminino",1000,IF(Atletas!B265="Masculino",2000,""))+(IF(Atletas!N265="Ditangquan A",201,IF(Atletas!N265="Houquan A",202,IF(Atletas!N265="Zuiquan A",203,IF(Atletas!N265="Ditangquan B",204,IF(Atletas!N265="Houquan B",205,IF(Atletas!N265="Zuiquan B",206,IF(Atletas!N265="Ditangquan C",207,IF(Atletas!N265="Houquan C",208,IF(Atletas!N265="Zuiquan C",209,IF(Atletas!N265="Ditangquan D",210,IF(Atletas!N265="Houquan D",211,IF(Atletas!N265="Zuiquan D",212,IF(Atletas!N265="Ditangquan E",213,IF(Atletas!N265="Houquan E",214,IF(Atletas!N265="Zuiquan E",215,IF(Atletas!N265="Ditangquan F",216,IF(Atletas!N265="Houquan F",217,IF(Atletas!N265="Zuiquan F",218,"")))))))))))))))))))))</f>
        <v/>
      </c>
      <c r="BV274" s="50" t="str">
        <f>IF(Atletas!O265="","",IF(Atletas!X265&lt;&gt;"",10000,0)+IF(Atletas!B265="Feminino",1000,IF(Atletas!B265="Masculino",2000,""))+IF(Atletas!O265="Yang A",301,IF(Atletas!O265="Chen A",302,IF(Atletas!O265="Sun A",303,IF(Atletas!O265="Wu A",304,IF(Atletas!O265="Wu-Hao A",305,IF(Atletas!O265="Outro Taijiquan A",306,IF(Atletas!O265="Yang B",307,IF(Atletas!O265="Chen B",308,IF(Atletas!O265="Sun B",309,IF(Atletas!O265="Wu B",310,IF(Atletas!O265="Wu-Hao B",311,IF(Atletas!O265="Outro Taijiquan B",312,IF(Atletas!O265="Yang C",313,IF(Atletas!O265="Chen C",314,IF(Atletas!O265="Sun C",315,IF(Atletas!O265="Wu C",316,IF(Atletas!O265="Wu-Hao C",317,IF(Atletas!O265="Outro Taijiquan C",318,IF(Atletas!O265="Yang D",319,IF(Atletas!O265="Chen D",320,IF(Atletas!O265="Sun D",321,IF(Atletas!O265="Wu D",322,IF(Atletas!O265="Wu-Hao D",323,IF(Atletas!O265="Outro Taijiquan D",324,IF(Atletas!O265="Yang E",325,IF(Atletas!O265="Chen E",326,IF(Atletas!O265="Sun E",327,IF(Atletas!O265="Wu E",328,IF(Atletas!O265="Wu-Hao E",329,IF(Atletas!O265="Outro Taijiquan E",330,IF(Atletas!O265="Yang F",331,IF(Atletas!O265="Chen F",332,IF(Atletas!O265="Sun F",333,IF(Atletas!O265="Wu F",334,IF(Atletas!O265="Wu-Hao F",335,IF(Atletas!O265="Outro Taijiquan F",336,"")))))))))))))))))))))))))))))))))))))</f>
        <v/>
      </c>
      <c r="BW274" s="50" t="str">
        <f>IF(Atletas!P265="","",IF(Atletas!X265&lt;&gt;"",10000,0)+IF(Atletas!B265="Feminino",1000,IF(Atletas!B265="Masculino",2000,""))+IF(OR(Atletas!P265="Yang 26 A",Atletas!P265="Yang 40 A"),401,IF(OR(Atletas!P265="Chen 25 A",Atletas!P265="Chen 36 A",Atletas!P265="Chen 56 A"),402,IF(Atletas!P265="Sun 73 A",403,IF(Atletas!P265="Wu 45 A",404,IF(Atletas!P265="Wu-Hao 46 A",405,IF(OR(Atletas!P265="Taijiquan 16 A",Atletas!P265="Taijiquan 24 A",Atletas!P265="Taijiquan 32 A",Atletas!P265="Taijiquan 42 A"),406,IF(OR(Atletas!P265="Yang 26 B",Atletas!P265="Yang 40 B"),407,IF(OR(Atletas!P265="Chen 25 B",Atletas!P265="Chen 36 B",Atletas!P265="Chen 56 B"),408,IF(Atletas!P265="Sun 73 B",409,IF(Atletas!P265="Wu 45 B",410,IF(Atletas!P265="Wu-Hao 46 B",411,IF(OR(Atletas!P265="Taijiquan 16 B",Atletas!P265="Taijiquan 24 B",Atletas!P265="Taijiquan 32 B",Atletas!P265="Taijiquan 42 B"),412,IF(OR(Atletas!P265="Yang 26 C",Atletas!P265="Yang 40 C"),413,IF(OR(Atletas!P265="Chen 25 C",Atletas!P265="Chen 36 C",Atletas!P265="Chen 56 C"),414,IF(Atletas!P265="Sun 73 C",415,IF(Atletas!P265="Wu 45 C",416,IF(Atletas!P265="Wu-Hao 46 C",417,IF(OR(Atletas!P265="Taijiquan 16 C",Atletas!P265="Taijiquan 24 C",Atletas!P265="Taijiquan 32 C",Atletas!P265="Taijiquan 42 C"),418,0)))))))))))))))))))</f>
        <v/>
      </c>
      <c r="BX274" s="50" t="str">
        <f>IF(Atletas!P265="","",IF(Atletas!X265&lt;&gt;"",10000,0)+IF(Atletas!B265="Feminino",1000,IF(Atletas!B265="Masculino",2000,""))+IF(OR(Atletas!P265="Yang 26 D",Atletas!P265="Yang 40 D"),419,IF(OR(Atletas!P265="Chen 25 D",Atletas!P265="Chen 36 D",Atletas!P265="Chen 56 D"),420,IF(Atletas!P265="Sun 73 D",421,IF(Atletas!P265="Wu 45 D",422,IF(Atletas!P265="Wu-Hao 46 D",423,IF(OR(Atletas!P265="Taijiquan 16 D",Atletas!P265="Taijiquan 24 D",Atletas!P265="Taijiquan 32 D",Atletas!P265="Taijiquan 42 D"),424,IF(OR(Atletas!P265="Yang 26 E",Atletas!P265="Yang 40 E"),425,IF(OR(Atletas!P265="Chen 25 E",Atletas!P265="Chen 36 E",Atletas!P265="Chen 56 E"),426,IF(Atletas!P265="Sun 73 E",427,IF(Atletas!P265="Wu 45 E",428,IF(Atletas!P265="Wu-Hao 46 E",429,IF(OR(Atletas!P265="Taijiquan 16 E",Atletas!P265="Taijiquan 24 E",Atletas!P265="Taijiquan 32 E",Atletas!P265="Taijiquan 42 E"),430,IF(OR(Atletas!P265="Yang 26 F",Atletas!P265="Yang 40 F"),431,IF(OR(Atletas!P265="Chen 25 F",Atletas!P265="Chen 36 F",Atletas!P265="Chen 56 F"),432,IF(Atletas!P265="Sun 73 F",433,IF(Atletas!P265="Wu 45 F",434,IF(Atletas!P265="Wu-Hao 46 F",435,IF(OR(Atletas!P265="Taijiquan 16 F",Atletas!P265="Taijiquan 24 F",Atletas!P265="Taijiquan 32 F",Atletas!P265="Taijiquan 42 F"),436,0)))))))))))))))))))</f>
        <v/>
      </c>
      <c r="BY274" s="50" t="str">
        <f>IF(Atletas!Q265="","",IF(Atletas!X265&lt;&gt;"",10000,0)+IF(Atletas!B265="Feminino",1000,IF(Atletas!B265="Masculino",2000,""))+IF(Atletas!Q265="Xingyiquan A",501,IF(Atletas!Q265="Baguazhang A",502,IF(Atletas!Q265="Outro Estilo Interno A",503,IF(Atletas!Q265="Xingyiquan B",504,IF(Atletas!Q265="Baguazhang B",505,IF(Atletas!Q265="Outro Estilo Interno B",506,IF(Atletas!Q265="Xingyiquan C",507,IF(Atletas!Q265="Baguazhang C",508,IF(Atletas!Q265="Outro Estilo Interno C",509,IF(Atletas!Q265="Xingyiquan D",510,IF(Atletas!Q265="Baguazhang D",511,IF(Atletas!Q265="Outro Estilo Interno D",512,IF(Atletas!Q265="Xingyiquan E",513,IF(Atletas!Q265="Baguazhang E",514,IF(Atletas!Q265="Outro Estilo Interno E",515,IF(Atletas!Q265="Xingyiquan F",516,IF(Atletas!Q265="Baguazhang F",517,IF(Atletas!Q265="Outro Estilo Interno F",518, "")))))))))))))))))))</f>
        <v/>
      </c>
      <c r="BZ274" s="50" t="str">
        <f>IF(Atletas!R265="","",IF(Atletas!X265&lt;&gt;"",10000,0)+IF(Atletas!B265="Feminino",1000,IF(Atletas!B265="Masculino",2000,""))+IF(Atletas!R265="Dao A",601,IF(Atletas!R265="Jian A",602,IF(Atletas!R265="Bishou A",603,IF(Atletas!R265="Shanzi A",604,IF(Atletas!R265="Outra Arma Curta A",605,IF(Atletas!R265="Dao B",606,IF(Atletas!R265="Jian B",607,IF(Atletas!R265="Bishou B",608,IF(Atletas!R265="Shanzi B",609,IF(Atletas!R265="Outra Arma Curta B",610,IF(Atletas!R265="Dao C",611,IF(Atletas!R265="Jian C",612,IF(Atletas!R265="Bishou C",613,IF(Atletas!R265="Shanzi C",614,IF(Atletas!R265="Outra Arma Curta C",615,IF(Atletas!R265="Dao D",616,IF(Atletas!R265="Jian D",617,IF(Atletas!R265="Bishou D",618,IF(Atletas!R265="Shanzi D",619,IF(Atletas!R265="Outra Arma Curta D",620,IF(Atletas!R265="Dao E",621,IF(Atletas!R265="Jian E",622,IF(Atletas!R265="Bishou E",623,IF(Atletas!R265="Shanzi E",624,IF(Atletas!R265="Outra Arma Curta E",625,IF(Atletas!R265="Dao F",626,IF(Atletas!R265="Jian F",627,IF(Atletas!R265="Bishou F",628,IF(Atletas!R265="Shanzi F",629,IF(Atletas!R265="Outra Arma Curta F",630, "")))))))))))))))))))))))))))))))</f>
        <v/>
      </c>
      <c r="CA274" s="50" t="str">
        <f>IF(Atletas!S265="","",IF(Atletas!X265&lt;&gt;"",10000,0)+IF(Atletas!B265="Feminino",1000,IF(Atletas!B265="Masculino",2000,""))+IF(Atletas!S265="Gun A",701,IF(Atletas!S265="Qiang A",702,IF(Atletas!S265="Pudao / Guandao A",703,IF(Atletas!S265="Outra Arma Longa A",704,IF(Atletas!S265="Gun B",705,IF(Atletas!S265="Qiang B",706,IF(Atletas!S265="Pudao / Guandao B",707,IF(Atletas!S265="Outra Arma Longa B",708,IF(Atletas!S265="Gun C",709,IF(Atletas!S265="Qiang C",710,IF(Atletas!S265="Pudao / Guandao C",711,IF(Atletas!S265="Outra Arma Longa C",712,IF(Atletas!S265="Gun D",713,IF(Atletas!S265="Qiang D",714,IF(Atletas!S265="Pudao / Guandao D",715,IF(Atletas!S265="Outra Arma Longa D",716,IF(Atletas!S265="Gun E",717,IF(Atletas!S265="Qiang E",718,IF(Atletas!S265="Pudao / Guandao E",719,IF(Atletas!S265="Outra Arma Longa E",720,IF(Atletas!S265="Gun F",721,IF(Atletas!S265="Qiang F",722,IF(Atletas!S265="Pudao / Guandao F",723,IF(Atletas!S265="Outra Arma Longa F",724,"")))))))))))))))))))))))))</f>
        <v/>
      </c>
      <c r="CB274" s="50" t="str">
        <f>IF(Atletas!T265="","",IF(Atletas!X265&lt;&gt;"",10000,0)+IF(Atletas!B265="Feminino",1000,IF(Atletas!B265="Masculino",2000,""))+IF(Atletas!T265="Outra Arma Dupla A",801,IF(Atletas!T265="Arma Maleável A",802,IF(Atletas!T265="Outra Arma Dupla B",803,IF(Atletas!T265="Arma Maleável B",804,IF(Atletas!T265="Outra Arma Dupla C",805,IF(Atletas!T265="Arma Maleável C",806,IF(Atletas!T265="Outra Arma Dupla D",807,IF(Atletas!T265="Arma Maleável D",808,IF(Atletas!T265="Outra Arma Dupla E",809,IF(Atletas!T265="Arma Maleável E",810,IF(Atletas!T265="Outra Arma Dupla F",811,IF(Atletas!T265="Arma Maleável F",812,IF(Atletas!T265="Shuangdao A",813,IF(Atletas!T265="Shuangdao B",814,IF(Atletas!T265="Shuangdao C",815,IF(Atletas!T265="Shuangdao D",816,IF(Atletas!T265="Shuangdao E",817,IF(Atletas!T265="Shuangdao F",818,"")))))))))))))))))))</f>
        <v/>
      </c>
      <c r="CC274" s="50" t="str">
        <f>IF(Atletas!U265="","",IF(Atletas!X265&lt;&gt;"",10000,0)+IF(Atletas!B265="Feminino",1000,IF(Atletas!B265="Masculino",2000,""))+IF(OR(Atletas!U265="Taijijian Yang A",Atletas!U265="Taijijian Yang Standard A"),901,IF(OR(Atletas!U265="Taijijian Chen A", Atletas!U265="Taijijian Chen Standard A"),902,IF(Atletas!U265="Taijijian Sun A",903,IF(Atletas!U265="Taijijian Wu A",904,IF(Atletas!U265="Taijijian Wu-Hao A",905,IF(OR(Atletas!U265="Taijijian 32 A",Atletas!U265="Taijijian 42 A"),906,IF(OR(Atletas!U265="Taijijian Yang B",Atletas!U265="Taijijian Yang Standard B"),907,IF(OR(Atletas!U265="Taijijian Chen B", Atletas!U265="Taijijian Chen Standard B"),908,IF(Atletas!U265="Taijijian Sun B",909,IF(Atletas!U265="Taijijian Wu B",910,IF(Atletas!U265="Taijijian Wu-Hao B",911,IF(OR(Atletas!U265="Taijijian 32 B",Atletas!U265="Taijijian 42 B"),912,IF(OR(Atletas!U265="Taijijian Yang C",Atletas!U265="Taijijian Yang Standard C"),913,IF(OR(Atletas!U265="Taijijian Chen C", Atletas!U265="Taijijian Chen Standard C"),914,IF(Atletas!U265="Taijijian Sun C",915,IF(Atletas!U265="Taijijian Wu C",916,IF(Atletas!U265="Taijijian Wu-Hao C",917,IF(OR(Atletas!U265="Taijijian 32 C",Atletas!U265="Taijijian 42 C"),918,IF(OR(Atletas!U265="Taijijian Yang D",Atletas!U265="Taijijian Yang Standard D"),919,IF(OR(Atletas!U265="Taijijian Chen D", Atletas!U265="Taijijian Chen Standard D"),920,IF(Atletas!U265="Taijijian Sun D",921,IF(Atletas!U265="Taijijian Wu D",922,IF(Atletas!U265="Taijijian Wu-Hao D",923,IF(OR(Atletas!U265="Taijijian 32 D",Atletas!U265="Taijijian 42 D"),924,IF(OR(Atletas!U265="Taijijian Yang E",Atletas!U265="Taijijian Yang Standard E"),925,IF(OR(Atletas!U265="Taijijian Chen E", Atletas!U265="Taijijian Chen Standard E"),926,IF(Atletas!U265="Taijijian Sun E",927,IF(Atletas!U265="Taijijian Wu E",928,IF(Atletas!U265="Taijijian Wu-Hao E",929,IF(OR(Atletas!U265="Taijijian 32 E",Atletas!U265="Taijijian 42 E"),930,IF(OR(Atletas!U265="Taijijian Yang F",Atletas!U265="Taijijian Yang Standard F"),931,IF(OR(Atletas!U265="Taijijian Chen F", Atletas!U265="Taijijian Chen Standard F"),932,IF(Atletas!U265="Taijijian Sun F",933,IF(Atletas!U265="Taijijian Wu F",934,IF(Atletas!U265="Taijijian Wu-Hao F",935,IF(OR(Atletas!U265="Taijijian 32 F",Atletas!U265="Taijijian 42 F"),936,"")))))))))))))))))))))))))))))))))))))</f>
        <v/>
      </c>
      <c r="CD274" s="50" t="str">
        <f>IF(Atletas!V265="","",IF(Atletas!X265&lt;&gt;"",10000,0)+IF(Atletas!B265="Feminino",1000,IF(Atletas!B265="Masculino",2000,""))+IF(Atletas!V265="Taijidao A",937,IF(Atletas!V265="TaijiShanzi A",938,IF(Atletas!V265="Taijiqiang A",939,IF(Atletas!V265="Bagua de Arma A",940,IF(Atletas!V265="Xingyi de Arma A",941,IF(Atletas!V265="Taijidao B",942,IF(Atletas!V265="TaijiShanzi B",943,IF(Atletas!V265="Taijiqiang B",944,IF(Atletas!V265="Bagua de Arma B",945,IF(Atletas!V265="Xingyi de Arma B",946,IF(Atletas!V265="Taijidao C",947,IF(Atletas!V265="TaijiShanzi C",948,IF(Atletas!V265="Taijiqiang C",949,IF(Atletas!V265="Bagua de Arma C",950,IF(Atletas!V265="Xingyi de Arma C",951,IF(Atletas!V265="Taijidao D",952,IF(Atletas!V265="TaijiShanzi D",953,IF(Atletas!V265="Taijiqiang D",954,IF(Atletas!V265="Bagua de Arma D",955,IF(Atletas!V265="Xingyi de Arma D",956,IF(Atletas!V265="Taijidao E",957,IF(Atletas!V265="TaijiShanzi E",958,IF(Atletas!V265="Taijiqiang E",959,IF(Atletas!V265="Bagua de Arma E",960,IF(Atletas!V265="Xingyi de Arma E",961,IF(Atletas!V265="Taijidao F",962,IF(Atletas!V265="TaijiShanzi F",963,IF(Atletas!V265="Taijiqiang F",964,IF(Atletas!V265="Bagua de Arma F",965,IF(Atletas!V265="Xingyi de Arma F",966,"")))))))))))))))))))))))))))))))</f>
        <v/>
      </c>
      <c r="CE274" s="66" t="str">
        <f>IF(CF274&lt;&gt;"","Outra Arma Longa D","")</f>
        <v/>
      </c>
      <c r="CF274" s="66" t="str">
        <f>IF(COUNTIF(BR:CD,1716)&gt;0,COUNTIF(BR:CD,1716),"")</f>
        <v/>
      </c>
      <c r="CG274" s="66" t="str">
        <f>IF(CH274&lt;&gt;"","Outra Arma Longa D","")</f>
        <v/>
      </c>
      <c r="CH274" s="66" t="str">
        <f>IF(COUNTIF(BR:CD,2716)&gt;0,COUNTIF(BR:CD,2716),"")</f>
        <v/>
      </c>
      <c r="CI274" s="66" t="str">
        <f>IF(CJ275&lt;&gt;"","Pudao / Gaundao F","")</f>
        <v/>
      </c>
      <c r="CJ274" s="66" t="str">
        <f>IF(COUNTIF(BR:CD,11722)&gt;0,COUNTIF(BR:CD,11722),"")</f>
        <v/>
      </c>
      <c r="CK274" s="66" t="str">
        <f>IF(CL274&lt;&gt;"","Qiang F","")</f>
        <v/>
      </c>
      <c r="CL274" s="6" t="str">
        <f>IF(COUNTIF(BR:CD,12722)&gt;0,COUNTIF(BR:CD,12722),"")</f>
        <v/>
      </c>
      <c r="CM274" s="50" t="str">
        <f xml:space="preserve"> IF(Atletas!W265="","",IF(Atletas!W265="Duilian de Mãos BC - Equipe 1",1,IF(Atletas!W265="Duilian de Mãos BC - Equipe 2",2,IF(Atletas!W265="Duilian de Armas BC - Equipe 1",3,IF(Atletas!W265="Duilian de Armas BC - Equipe 2",4,IF(Atletas!W265="Duilian de Mãos DE - Equipe 1",5,IF(Atletas!W265="Duilian de Mãos DE - Equipe 2",6,IF(Atletas!W265="Duilian de Armas DE - Equipe 1",7,IF(Atletas!W265="Duilian de Armas DE - Equipe 2",8,IF(Atletas!W265="Duilian de Tuishou - Equipe 1",9,IF(Atletas!W265="Duilian de Tuishou - Equipe 2",10,IF(Atletas!W265="Grupo Externo ABC - Equipe 1",11,IF(Atletas!W265="Grupo Externo ABC - Equipe 2",12,IF(Atletas!W265="Grupo Interno ABC - Equipe 1",13,IF(Atletas!W265="Grupo Interno ABC - Equipe 2",14,IF(Atletas!W265="Grupo Externo DEF - Equipe 1",15,IF(Atletas!W265="Grupo Externo DEF - Equipe 2",16,IF(Atletas!W265="Grupo Interno DEF - Equipe 1",17,IF(Atletas!W265="Grupo Interno DEF - Equipe 2",18,"")))))))))))))))))))</f>
        <v/>
      </c>
    </row>
    <row r="275" spans="2:91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 t="str">
        <f t="array" ref="Z275">IFERROR(INDEX(CE$7:CE$348,SMALL(IF(CE$7:CE$348&lt;&gt;"",ROW(CE$7:CE$348)-ROW(CE$7)+1),ROWS(CE$7:CE274))),"")</f>
        <v/>
      </c>
      <c r="AA275" s="3" t="str">
        <f t="array" ref="AA275">IFERROR(INDEX(CF$7:CF$348,SMALL(IF(CF$7:CF$348&lt;&gt;"",ROW(CF$7:CF$348)-ROW(CF$7)+1),ROWS(CF$7:CF274))),"")</f>
        <v/>
      </c>
      <c r="AB275" s="3" t="str">
        <f t="array" ref="AB275">IFERROR(INDEX(CG$7:CG$348,SMALL(IF(CG$7:CG$348&lt;&gt;"",ROW(CG$7:CG$348)-ROW(CG$7)+1),ROWS(CG$7:CG274))),"")</f>
        <v/>
      </c>
      <c r="AC275" s="3" t="str">
        <f t="array" ref="AC275">IFERROR(INDEX(CH$7:CH$348,SMALL(IF(CH$7:CH$348&lt;&gt;"",ROW(CH$7:CH$348)-ROW(CH$7)+1),ROWS(CH$7:CH274))),"")</f>
        <v/>
      </c>
      <c r="AD275" s="3" t="str">
        <f t="array" ref="AD275">IFERROR(INDEX(CI$7:CI$377,SMALL(IF(CI$7:CI$377&lt;&gt;"",ROW(CI$7:CI$377)-ROW(CI$7)+1),ROWS(CI$7:CI273))),"")</f>
        <v/>
      </c>
      <c r="AE275" s="3" t="str">
        <f t="array" ref="AE275">IFERROR(INDEX(CJ$7:CJ$378,SMALL(IF(CJ$7:CJ$378&lt;&gt;"",ROW(CJ$7:CJ$378)-ROW(CJ$7)+1),ROWS(CJ$7:CJ274))),"")</f>
        <v/>
      </c>
      <c r="AF275" s="3" t="str">
        <f t="array" ref="AF275">IFERROR(INDEX(CK$7:CK$378,SMALL(IF(CK$7:CK$378&lt;&gt;"",ROW(CK$7:CK$378)-ROW(CK$7)+1),ROWS(CK$7:CK274))),"")</f>
        <v/>
      </c>
      <c r="AG275" s="3" t="str">
        <f t="array" ref="AG275">IFERROR(INDEX(CL$7:CL$378,SMALL(IF(CL$7:CL$378&lt;&gt;"",ROW(CL$7:CL$378)-ROW(CL$7)+1),ROWS(CL$7:CL274))),"")</f>
        <v/>
      </c>
      <c r="AH275" s="3"/>
      <c r="AI275" s="3"/>
      <c r="AJ275" s="3"/>
      <c r="AK275" s="3"/>
      <c r="AL275" s="3"/>
      <c r="AM275" s="3"/>
      <c r="AN275" s="52" t="str">
        <f>IF(Atletas!D266="","",IF(Atletas!B266="Feminino",100,IF(Atletas!B266="Masculino",200,""))+(IF(Atletas!D266="Kids 30kg",1,IF(Atletas!D266="Kids 32kg",2, IF(Atletas!D266="Kids 34kg",3,IF(Atletas!D266="Kids 36kg",4,IF(Atletas!D266="Kids 39kg",5,IF(Atletas!D266="Kids 42kg",6,IF(Atletas!D266="Kids 45kg",7, IF(Atletas!D266="Infantil 39kg",8,IF(Atletas!D266="Infantil 42kg",9,IF(Atletas!D266="Infantil 45kg",10,IF(Atletas!D266="Infantil 48kg",11,IF(Atletas!D266="Infantil 52kg",12,IF(Atletas!D266="Infantil 56kg",13,IF(Atletas!D266="Infantil 60kg",14,IF(Atletas!D266="Juvenil 48kg",15,IF(Atletas!D266="Juvenil 52kg",16,IF(Atletas!D266="Juvenil 56kg",17,IF(Atletas!D266="Juvenil 60kg",18,IF(Atletas!D266="Juvenil 65kg",19,IF(Atletas!D266="Juvenil 70kg",20,IF(Atletas!D266="Juvenil 75kg",21,IF(Atletas!D266="Juvenil 80kg",22, IF(Atletas!D266="Juvenil 85kg",23,IF(Atletas!D266="Adulto 48kg",24,IF(Atletas!D266="Adulto 52kg",25,IF(Atletas!D266="Adulto 56kg",26,IF(Atletas!D266="Adulto 60kg",27,IF(Atletas!D266="Adulto 65kg",28,IF(Atletas!D266="Adulto 70kg",29,IF(Atletas!D266="Adulto 75kg",30,IF(Atletas!D266="Adulto 80kg",31,IF(Atletas!D266="Adulto 85kg",32,IF(Atletas!D266="Adulto 90kg",33,IF(Atletas!D266="Adulto 100kg",34, IF(Atletas!D266="Adulto +100kg",35,"")))))))))))))))))))))))))))))))))))))</f>
        <v/>
      </c>
      <c r="AS275" s="6" t="str">
        <f>IF(Atletas!E266="","",IF(Atletas!B266="Feminino",100,IF(Atletas!B266="Masculino",200,""))+(IF(Atletas!E266="Juvenil 44kg",1,IF(Atletas!E266="Juvenil 48kg",2,IF(Atletas!E266="Juvenil 52kg",3,IF(Atletas!E266="Juvenil 56kg",4,IF(Atletas!E266="Juvenil 60kg",5,IF(Atletas!E266="Juvenil 65kg",6,IF(Atletas!E266="Juvenil 70kg",7,IF(Atletas!E266="Juvenil 75kg",8,IF(Atletas!E266="Juvenil 82kg",9,IF(Atletas!E266="Juvenil 90kg",10,IF(Atletas!E266="Juvenil 100kg",11,IF(Atletas!E266="Adulto 48kg",12,IF(Atletas!E266="Adulto 52kg",13,IF(Atletas!E266="Adulto 56kg",14,IF(Atletas!E266="Adulto 60kg",15,IF(Atletas!E266="Adulto 65kg",16,IF(Atletas!E266="Adulto 70kg",17,IF(Atletas!E266="Adulto 75kg",18,IF(Atletas!E266="Adulto 82kg",19,IF(Atletas!E266="Adulto 90kg",20,IF(Atletas!E266="Adulto 100kg",21,IF(Atletas!E266="Adulto +100kg",22,""))))))))))))))))))))))))</f>
        <v/>
      </c>
      <c r="AX275" s="6" t="str">
        <f>IF(Atletas!F266="","",IF(Atletas!B266="Feminino",100,IF(Atletas!B266="Masculino",200,""))+(IF(Atletas!F266="Adulto 48kg",1,IF(Atletas!F266="Adulto 56kg",2,IF(Atletas!F266="Adulto 65kg",3,IF(Atletas!F266="Adulto 75kg",4,IF(Atletas!F266="Adulto +75kg",5,IF(Atletas!F266="Adulto 52kg",6,IF(Atletas!F266="Adulto 60kg",7,IF(Atletas!F266="Adulto 70kg",8,IF(Atletas!F266="Adulto 80kg",9,IF(Atletas!F266="Adulto 90kg",10,IF(Atletas!F266="Adulto +90kg",11,"")))))))))))))</f>
        <v/>
      </c>
      <c r="BC275" s="6" t="str">
        <f>IF(Atletas!G266="","",IF(Atletas!B266="Feminino",10,IF(Atletas!B266="Masculino",20,""))+(IF(Atletas!G266="Baduanjin A",1,IF(Atletas!G266="Baduanjin B",2))))</f>
        <v/>
      </c>
      <c r="BF275" s="52" t="str">
        <f>IF(Atletas!H266="","",IF(Atletas!B266="Feminino",100,IF(Atletas!B266="Masculino",200,""))+(IF(Atletas!H266="Changquan Mirim",1,IF(Atletas!H266="Nanquan Mirim",2,IF(Atletas!H266="Taijiquan Mirim",3,IF(Atletas!H266="Changquan Grupo C",4,IF(Atletas!H266="Nanquan Grupo C",5,IF(Atletas!H266="Taijiquan Grupo C",6,IF(Atletas!H266="Changquan Grupo B",7,IF(Atletas!H266="Nanquan Grupo B",8,IF(Atletas!H266="Taijiquan Grupo B",9,IF(Atletas!H266="Changquan Grupo A",10,IF(Atletas!H266="Nanquan Grupo A",11,IF(Atletas!H266="Taijiquan Grupo A",12,IF(Atletas!H266="Changquan Opcional",13,IF(Atletas!H266="Nanquan Opcional",14,IF(Atletas!H266="Taijiquan Opcional",15,IF(Atletas!H266="Changquan Adulto",16,IF(Atletas!H266="Nanquan Adulto",17,IF(Atletas!H266="Taijiquan Adulto",18,""))))))))))))))))))))</f>
        <v/>
      </c>
      <c r="BG275" s="52" t="str">
        <f>IF(Atletas!I266="","",IF(Atletas!B266="Feminino",100,IF(Atletas!B266="Masculino",200,""))+(IF(Atletas!I266="Daoshu Mirim",19,IF(Atletas!I266="Jianshu Mirim",20,IF(Atletas!I266="Nandao Mirim",21,IF(Atletas!I266="Taijijian Mirim",22,IF(Atletas!I266="Daoshu Grupo C",23,IF(Atletas!I266="Jianshu Grupo C",24,IF(Atletas!I266="Nandao Grupo C",25,IF(Atletas!I266="Taijijian Grupo C",26,IF(Atletas!I266="Daoshu Grupo B",27,IF(Atletas!I266="Jianshu Grupo B",28,IF(Atletas!I266="Nandao Grupo B",29,IF(Atletas!I266="Taijijian Grupo B",30,IF(Atletas!I266="Daoshu Grupo A",31,IF(Atletas!I266="Jianshu Grupo A",32,IF(Atletas!I266="Nandao Grupo A",33,IF(Atletas!I266="Taijijian Grupo A",34,IF(Atletas!I266="Daoshu Opcional",35,IF(Atletas!I266="Jianshu Opcional",36,IF(Atletas!I266="Nandao Opcional",37,IF(Atletas!I266="Taijijian Opcional",38,IF(Atletas!I266="Daoshu Adulto",39,IF(Atletas!I266="Jianshu Adulto",40,IF(Atletas!I266="Nandao Adulto",41,IF(Atletas!I266="Taijijian Adulto",42,""))))))))))))))))))))))))))</f>
        <v/>
      </c>
      <c r="BH275" s="52" t="str">
        <f>IF(Atletas!J266="","",IF(Atletas!B266="Feminino",100,IF(Atletas!B266="Masculino",200,""))+(IF(Atletas!J266="Gunshu Mirim",43,IF(Atletas!J266="Qiangshu Mirim",44,IF(Atletas!J266="Nangun Mirim",45,IF(Atletas!J266="Gunshu Grupo C",46,IF(Atletas!J266="Qiangshu Grupo C",47,IF(Atletas!J266="Nangun Grupo C",48,IF(Atletas!J266="Gunshu Grupo B",49,IF(Atletas!J266="Qiangshu Grupo B",50,IF(Atletas!J266="Nangun Grupo B",51,IF(Atletas!J266="Gunshu Grupo A",52,IF(Atletas!J266="Qiangshu Grupo A",53,IF(Atletas!J266="Nangun Grupo A",54,IF(Atletas!J266="Gunshu Opcional",55,IF(Atletas!J266="Qiangshu Opcional",56,IF(Atletas!J266="Nangun Opcional",57,IF(Atletas!J266="Gunshu Adulto",58,IF(Atletas!J266="Qiangshu Adulto",59,IF(Atletas!J266="Nangun Adulto",60,IF(Atletas!J266="Taijishan Grupo B",61,IF(Atletas!J266="Taijishan Grupo A",62,""))))))))))))))))))))))</f>
        <v/>
      </c>
      <c r="BM275" s="50" t="str">
        <f>IF(Atletas!K266="","",IF(Atletas!B266="Feminino",100,IF(Atletas!B266="Masculino",200,""))+(IF(Atletas!K266="Equipe 1 Grupo B",1,IF(Atletas!K266="Equipe 2 Grupo B",2,IF(Atletas!K266="Equipe 1 Grupo A",3,IF(Atletas!K266="Equipe 2 Grupo A",4,IF(Atletas!K266="Equipe 1 Adulto",5,IF(Atletas!K266="Equipe 2 Adulto",6,""))))))))</f>
        <v/>
      </c>
      <c r="BR275" s="50" t="str">
        <f>IF(Atletas!L266="","",IF(Atletas!X266&lt;&gt;"",10000,0)+(IF(Atletas!B266="Feminino",1000,IF(Atletas!B266="Masculino",2000,""))+IF(Atletas!L266="Choylayfut A",1,IF(Atletas!L266="Hunggar A",2,IF(Atletas!L266="Wuzuquan A",3,IF(Atletas!L266="Wingchun A",4,IF(Atletas!L266="Outra Mão de Sul A",5,IF(Atletas!L266="Choylayfut B",6,IF(Atletas!L266="Hunggar B",7,IF(Atletas!L266="Wuzuquan B",8,IF(Atletas!L266="Wingchun B",9,IF(Atletas!L266="Outra Mão de Sul B",10,IF(Atletas!L266="Choylayfut C",11,IF(Atletas!L266="Hunggar C",12,IF(Atletas!L266="Wuzuquan C",13,IF(Atletas!L266="Wingchun C",14,IF(Atletas!L266="Outra Mão de Sul C",15,IF(Atletas!L266="Choylayfut D",16,IF(Atletas!L266="Hunggar D",17,IF(Atletas!L266="Wuzuquan D",18,IF(Atletas!L266="Wingchun D",19,IF(Atletas!L266="Outra Mão de Sul D",20,IF(Atletas!L266="Choylayfut E",21,IF(Atletas!L266="Hunggar E",22,IF(Atletas!L266="Wuzuquan E",23,IF(Atletas!L266="Wingchun E",24,IF(Atletas!L266="Outra Mão de Sul E",25,IF(Atletas!L266="Choylayfut F",26,IF(Atletas!L266="Hunggar F",27,IF(Atletas!L266="Wuzuquan F",28,IF(Atletas!L266="Wingchun F",29,IF(Atletas!L266="Outra Mão de Sul F",30,IF(Atletas!L266="Dishuquan A",31,IF(Atletas!L266="Dishuquan B",32,IF(Atletas!L266="Dishuquan C",33,IF(Atletas!L266="Dishuquan D",34,IF(Atletas!L266="Dishuquan E",35,IF(Atletas!L266="Dishuquan F",36,""))))))))))))))))))))))))))))))))))))))</f>
        <v/>
      </c>
      <c r="BS275" s="50" t="str">
        <f>IF(Atletas!M266="","",IF(Atletas!X266&lt;&gt;"",10000,0)+(IF(Atletas!B266="Feminino",1000,IF(Atletas!B266="Masculino",2000,""))+(IF(Atletas!M266="Chaquan A",101,IF(Atletas!M266="Emeiquan A",102,IF(Atletas!M266="Fanziquan A",103,IF(Atletas!M266="Huaquan A",104,IF(Atletas!M266="Hongquan A",105,IF(Atletas!M266="Paoquan A",106,IF(Atletas!M266="Piguaquan A",107,IF(Atletas!M266="Shaolinquan A",108,IF(Atletas!M266="Tanglangquan A",109,IF(Atletas!M266="Yingzhaoquan A",110,IF(Atletas!M266="Tongbeiquan A",111,IF(Atletas!M266="Wudangquan A",112,IF(Atletas!M266="Outros Estilos A",113,IF(Atletas!M266="Chaquan B",114,IF(Atletas!M266="Emeiquan B",115,IF(Atletas!M266="Fanziquan B",116,IF(Atletas!M266="Huaquan B",117,IF(Atletas!M266="Hongquan B",118,IF(Atletas!M266="Paoquan B",119,IF(Atletas!M266="Piguaquan B",120,IF(Atletas!M266="Shaolinquan B",121,IF(Atletas!M266="Tanglangquan B",122,IF(Atletas!M266="Yingzhaoquan B",123,IF(Atletas!M266="Tongbeiquan B",124,IF(Atletas!M266="Wudangquan B",125,IF(Atletas!M266="Outros Estilos B",126,IF(Atletas!M266="Chaquan C",127,IF(Atletas!M266="Emeiquan C",128,IF(Atletas!M266="Fanziquan C",129,IF(Atletas!M266="Huaquan C",130,IF(Atletas!M266="Hongquan C",131,IF(Atletas!M266="Paoquan C",132,IF(Atletas!M266="Piguaquan C",133,IF(Atletas!M266="Shaolinquan C",134,IF(Atletas!M266="Tanglangquan C",135,IF(Atletas!M266="Yingzhaoquan C",136,IF(Atletas!M266="Tongbeiquan C",137,IF(Atletas!M266="Wudangquan C",138,IF(Atletas!M266="Outros Estilos C",139,0))))))))))))))))))))))))))))))))))))))))))</f>
        <v/>
      </c>
      <c r="BT275" s="50" t="str">
        <f>IF(Atletas!M266="","",IF(Atletas!X266&lt;&gt;"",10000,0)+(IF(Atletas!B266="Feminino",1000,IF(Atletas!B266="Masculino",2000,""))+(IF(Atletas!M266="Chaquan D",140,IF(Atletas!M266="Emeiquan D",141,IF(Atletas!M266="Fanziquan D",142,IF(Atletas!M266="Huaquan D",143,IF(Atletas!M266="Hongquan D",144,IF(Atletas!M266="Paoquan D",145,IF(Atletas!M266="Piguaquan D",146,IF(Atletas!M266="Shaolinquan D",147,IF(Atletas!M266="Tanglangquan D",148,IF(Atletas!M266="Yingzhaoquan D",149,IF(Atletas!M266="Tongbeiquan D",150,IF(Atletas!M266="Wudangquan D",151,IF(Atletas!M266="Outros Estilos D",152,IF(Atletas!M266="Chaquan E",153,IF(Atletas!M266="Emeiquan E",154,IF(Atletas!M266="Fanziquan E",155,IF(Atletas!M266="Huaquan E",156,IF(Atletas!M266="Hongquan E",157,IF(Atletas!M266="Paoquan E",158,IF(Atletas!M266="Piguaquan E",159,IF(Atletas!M266="Shaolinquan E",160,IF(Atletas!M266="Tanglangquan E",161,IF(Atletas!M266="Yingzhaoquan E",162,IF(Atletas!M266="Tongbeiquan E",163,IF(Atletas!M266="Wudangquan E",164,IF(Atletas!M266="Outros Estilos E",165,IF(Atletas!M266="Chaquan F",166,IF(Atletas!M266="Emeiquan F",167,IF(Atletas!M266="Fanziquan F",168,IF(Atletas!M266="Huaquan F",169,IF(Atletas!M266="Hongquan F",170,IF(Atletas!M266="Paoquan F",171,IF(Atletas!M266="Piguaquan F",172,IF(Atletas!M266="Shaolinquan F",173,IF(Atletas!M266="Tanglangquan F",174,IF(Atletas!M266="Yingzhaoquan F",175,IF(Atletas!M266="Tongbeiquan F",176,IF(Atletas!M266="Wudangquan F",177,IF(Atletas!M266="Outros Estilos F",178,0))))))))))))))))))))))))))))))))))))))))))</f>
        <v/>
      </c>
      <c r="BU275" s="50" t="str">
        <f>IF(Atletas!N266="","",IF(Atletas!X266&lt;&gt;"",10000,0)+(IF(Atletas!B266="Feminino",1000,IF(Atletas!B266="Masculino",2000,""))+(IF(Atletas!N266="Ditangquan A",201,IF(Atletas!N266="Houquan A",202,IF(Atletas!N266="Zuiquan A",203,IF(Atletas!N266="Ditangquan B",204,IF(Atletas!N266="Houquan B",205,IF(Atletas!N266="Zuiquan B",206,IF(Atletas!N266="Ditangquan C",207,IF(Atletas!N266="Houquan C",208,IF(Atletas!N266="Zuiquan C",209,IF(Atletas!N266="Ditangquan D",210,IF(Atletas!N266="Houquan D",211,IF(Atletas!N266="Zuiquan D",212,IF(Atletas!N266="Ditangquan E",213,IF(Atletas!N266="Houquan E",214,IF(Atletas!N266="Zuiquan E",215,IF(Atletas!N266="Ditangquan F",216,IF(Atletas!N266="Houquan F",217,IF(Atletas!N266="Zuiquan F",218,"")))))))))))))))))))))</f>
        <v/>
      </c>
      <c r="BV275" s="50" t="str">
        <f>IF(Atletas!O266="","",IF(Atletas!X266&lt;&gt;"",10000,0)+IF(Atletas!B266="Feminino",1000,IF(Atletas!B266="Masculino",2000,""))+IF(Atletas!O266="Yang A",301,IF(Atletas!O266="Chen A",302,IF(Atletas!O266="Sun A",303,IF(Atletas!O266="Wu A",304,IF(Atletas!O266="Wu-Hao A",305,IF(Atletas!O266="Outro Taijiquan A",306,IF(Atletas!O266="Yang B",307,IF(Atletas!O266="Chen B",308,IF(Atletas!O266="Sun B",309,IF(Atletas!O266="Wu B",310,IF(Atletas!O266="Wu-Hao B",311,IF(Atletas!O266="Outro Taijiquan B",312,IF(Atletas!O266="Yang C",313,IF(Atletas!O266="Chen C",314,IF(Atletas!O266="Sun C",315,IF(Atletas!O266="Wu C",316,IF(Atletas!O266="Wu-Hao C",317,IF(Atletas!O266="Outro Taijiquan C",318,IF(Atletas!O266="Yang D",319,IF(Atletas!O266="Chen D",320,IF(Atletas!O266="Sun D",321,IF(Atletas!O266="Wu D",322,IF(Atletas!O266="Wu-Hao D",323,IF(Atletas!O266="Outro Taijiquan D",324,IF(Atletas!O266="Yang E",325,IF(Atletas!O266="Chen E",326,IF(Atletas!O266="Sun E",327,IF(Atletas!O266="Wu E",328,IF(Atletas!O266="Wu-Hao E",329,IF(Atletas!O266="Outro Taijiquan E",330,IF(Atletas!O266="Yang F",331,IF(Atletas!O266="Chen F",332,IF(Atletas!O266="Sun F",333,IF(Atletas!O266="Wu F",334,IF(Atletas!O266="Wu-Hao F",335,IF(Atletas!O266="Outro Taijiquan F",336,"")))))))))))))))))))))))))))))))))))))</f>
        <v/>
      </c>
      <c r="BW275" s="50" t="str">
        <f>IF(Atletas!P266="","",IF(Atletas!X266&lt;&gt;"",10000,0)+IF(Atletas!B266="Feminino",1000,IF(Atletas!B266="Masculino",2000,""))+IF(OR(Atletas!P266="Yang 26 A",Atletas!P266="Yang 40 A"),401,IF(OR(Atletas!P266="Chen 25 A",Atletas!P266="Chen 36 A",Atletas!P266="Chen 56 A"),402,IF(Atletas!P266="Sun 73 A",403,IF(Atletas!P266="Wu 45 A",404,IF(Atletas!P266="Wu-Hao 46 A",405,IF(OR(Atletas!P266="Taijiquan 16 A",Atletas!P266="Taijiquan 24 A",Atletas!P266="Taijiquan 32 A",Atletas!P266="Taijiquan 42 A"),406,IF(OR(Atletas!P266="Yang 26 B",Atletas!P266="Yang 40 B"),407,IF(OR(Atletas!P266="Chen 25 B",Atletas!P266="Chen 36 B",Atletas!P266="Chen 56 B"),408,IF(Atletas!P266="Sun 73 B",409,IF(Atletas!P266="Wu 45 B",410,IF(Atletas!P266="Wu-Hao 46 B",411,IF(OR(Atletas!P266="Taijiquan 16 B",Atletas!P266="Taijiquan 24 B",Atletas!P266="Taijiquan 32 B",Atletas!P266="Taijiquan 42 B"),412,IF(OR(Atletas!P266="Yang 26 C",Atletas!P266="Yang 40 C"),413,IF(OR(Atletas!P266="Chen 25 C",Atletas!P266="Chen 36 C",Atletas!P266="Chen 56 C"),414,IF(Atletas!P266="Sun 73 C",415,IF(Atletas!P266="Wu 45 C",416,IF(Atletas!P266="Wu-Hao 46 C",417,IF(OR(Atletas!P266="Taijiquan 16 C",Atletas!P266="Taijiquan 24 C",Atletas!P266="Taijiquan 32 C",Atletas!P266="Taijiquan 42 C"),418,0)))))))))))))))))))</f>
        <v/>
      </c>
      <c r="BX275" s="50" t="str">
        <f>IF(Atletas!P266="","",IF(Atletas!X266&lt;&gt;"",10000,0)+IF(Atletas!B266="Feminino",1000,IF(Atletas!B266="Masculino",2000,""))+IF(OR(Atletas!P266="Yang 26 D",Atletas!P266="Yang 40 D"),419,IF(OR(Atletas!P266="Chen 25 D",Atletas!P266="Chen 36 D",Atletas!P266="Chen 56 D"),420,IF(Atletas!P266="Sun 73 D",421,IF(Atletas!P266="Wu 45 D",422,IF(Atletas!P266="Wu-Hao 46 D",423,IF(OR(Atletas!P266="Taijiquan 16 D",Atletas!P266="Taijiquan 24 D",Atletas!P266="Taijiquan 32 D",Atletas!P266="Taijiquan 42 D"),424,IF(OR(Atletas!P266="Yang 26 E",Atletas!P266="Yang 40 E"),425,IF(OR(Atletas!P266="Chen 25 E",Atletas!P266="Chen 36 E",Atletas!P266="Chen 56 E"),426,IF(Atletas!P266="Sun 73 E",427,IF(Atletas!P266="Wu 45 E",428,IF(Atletas!P266="Wu-Hao 46 E",429,IF(OR(Atletas!P266="Taijiquan 16 E",Atletas!P266="Taijiquan 24 E",Atletas!P266="Taijiquan 32 E",Atletas!P266="Taijiquan 42 E"),430,IF(OR(Atletas!P266="Yang 26 F",Atletas!P266="Yang 40 F"),431,IF(OR(Atletas!P266="Chen 25 F",Atletas!P266="Chen 36 F",Atletas!P266="Chen 56 F"),432,IF(Atletas!P266="Sun 73 F",433,IF(Atletas!P266="Wu 45 F",434,IF(Atletas!P266="Wu-Hao 46 F",435,IF(OR(Atletas!P266="Taijiquan 16 F",Atletas!P266="Taijiquan 24 F",Atletas!P266="Taijiquan 32 F",Atletas!P266="Taijiquan 42 F"),436,0)))))))))))))))))))</f>
        <v/>
      </c>
      <c r="BY275" s="50" t="str">
        <f>IF(Atletas!Q266="","",IF(Atletas!X266&lt;&gt;"",10000,0)+IF(Atletas!B266="Feminino",1000,IF(Atletas!B266="Masculino",2000,""))+IF(Atletas!Q266="Xingyiquan A",501,IF(Atletas!Q266="Baguazhang A",502,IF(Atletas!Q266="Outro Estilo Interno A",503,IF(Atletas!Q266="Xingyiquan B",504,IF(Atletas!Q266="Baguazhang B",505,IF(Atletas!Q266="Outro Estilo Interno B",506,IF(Atletas!Q266="Xingyiquan C",507,IF(Atletas!Q266="Baguazhang C",508,IF(Atletas!Q266="Outro Estilo Interno C",509,IF(Atletas!Q266="Xingyiquan D",510,IF(Atletas!Q266="Baguazhang D",511,IF(Atletas!Q266="Outro Estilo Interno D",512,IF(Atletas!Q266="Xingyiquan E",513,IF(Atletas!Q266="Baguazhang E",514,IF(Atletas!Q266="Outro Estilo Interno E",515,IF(Atletas!Q266="Xingyiquan F",516,IF(Atletas!Q266="Baguazhang F",517,IF(Atletas!Q266="Outro Estilo Interno F",518, "")))))))))))))))))))</f>
        <v/>
      </c>
      <c r="BZ275" s="50" t="str">
        <f>IF(Atletas!R266="","",IF(Atletas!X266&lt;&gt;"",10000,0)+IF(Atletas!B266="Feminino",1000,IF(Atletas!B266="Masculino",2000,""))+IF(Atletas!R266="Dao A",601,IF(Atletas!R266="Jian A",602,IF(Atletas!R266="Bishou A",603,IF(Atletas!R266="Shanzi A",604,IF(Atletas!R266="Outra Arma Curta A",605,IF(Atletas!R266="Dao B",606,IF(Atletas!R266="Jian B",607,IF(Atletas!R266="Bishou B",608,IF(Atletas!R266="Shanzi B",609,IF(Atletas!R266="Outra Arma Curta B",610,IF(Atletas!R266="Dao C",611,IF(Atletas!R266="Jian C",612,IF(Atletas!R266="Bishou C",613,IF(Atletas!R266="Shanzi C",614,IF(Atletas!R266="Outra Arma Curta C",615,IF(Atletas!R266="Dao D",616,IF(Atletas!R266="Jian D",617,IF(Atletas!R266="Bishou D",618,IF(Atletas!R266="Shanzi D",619,IF(Atletas!R266="Outra Arma Curta D",620,IF(Atletas!R266="Dao E",621,IF(Atletas!R266="Jian E",622,IF(Atletas!R266="Bishou E",623,IF(Atletas!R266="Shanzi E",624,IF(Atletas!R266="Outra Arma Curta E",625,IF(Atletas!R266="Dao F",626,IF(Atletas!R266="Jian F",627,IF(Atletas!R266="Bishou F",628,IF(Atletas!R266="Shanzi F",629,IF(Atletas!R266="Outra Arma Curta F",630, "")))))))))))))))))))))))))))))))</f>
        <v/>
      </c>
      <c r="CA275" s="50" t="str">
        <f>IF(Atletas!S266="","",IF(Atletas!X266&lt;&gt;"",10000,0)+IF(Atletas!B266="Feminino",1000,IF(Atletas!B266="Masculino",2000,""))+IF(Atletas!S266="Gun A",701,IF(Atletas!S266="Qiang A",702,IF(Atletas!S266="Pudao / Guandao A",703,IF(Atletas!S266="Outra Arma Longa A",704,IF(Atletas!S266="Gun B",705,IF(Atletas!S266="Qiang B",706,IF(Atletas!S266="Pudao / Guandao B",707,IF(Atletas!S266="Outra Arma Longa B",708,IF(Atletas!S266="Gun C",709,IF(Atletas!S266="Qiang C",710,IF(Atletas!S266="Pudao / Guandao C",711,IF(Atletas!S266="Outra Arma Longa C",712,IF(Atletas!S266="Gun D",713,IF(Atletas!S266="Qiang D",714,IF(Atletas!S266="Pudao / Guandao D",715,IF(Atletas!S266="Outra Arma Longa D",716,IF(Atletas!S266="Gun E",717,IF(Atletas!S266="Qiang E",718,IF(Atletas!S266="Pudao / Guandao E",719,IF(Atletas!S266="Outra Arma Longa E",720,IF(Atletas!S266="Gun F",721,IF(Atletas!S266="Qiang F",722,IF(Atletas!S266="Pudao / Guandao F",723,IF(Atletas!S266="Outra Arma Longa F",724,"")))))))))))))))))))))))))</f>
        <v/>
      </c>
      <c r="CB275" s="50" t="str">
        <f>IF(Atletas!T266="","",IF(Atletas!X266&lt;&gt;"",10000,0)+IF(Atletas!B266="Feminino",1000,IF(Atletas!B266="Masculino",2000,""))+IF(Atletas!T266="Outra Arma Dupla A",801,IF(Atletas!T266="Arma Maleável A",802,IF(Atletas!T266="Outra Arma Dupla B",803,IF(Atletas!T266="Arma Maleável B",804,IF(Atletas!T266="Outra Arma Dupla C",805,IF(Atletas!T266="Arma Maleável C",806,IF(Atletas!T266="Outra Arma Dupla D",807,IF(Atletas!T266="Arma Maleável D",808,IF(Atletas!T266="Outra Arma Dupla E",809,IF(Atletas!T266="Arma Maleável E",810,IF(Atletas!T266="Outra Arma Dupla F",811,IF(Atletas!T266="Arma Maleável F",812,IF(Atletas!T266="Shuangdao A",813,IF(Atletas!T266="Shuangdao B",814,IF(Atletas!T266="Shuangdao C",815,IF(Atletas!T266="Shuangdao D",816,IF(Atletas!T266="Shuangdao E",817,IF(Atletas!T266="Shuangdao F",818,"")))))))))))))))))))</f>
        <v/>
      </c>
      <c r="CC275" s="50" t="str">
        <f>IF(Atletas!U266="","",IF(Atletas!X266&lt;&gt;"",10000,0)+IF(Atletas!B266="Feminino",1000,IF(Atletas!B266="Masculino",2000,""))+IF(OR(Atletas!U266="Taijijian Yang A",Atletas!U266="Taijijian Yang Standard A"),901,IF(OR(Atletas!U266="Taijijian Chen A", Atletas!U266="Taijijian Chen Standard A"),902,IF(Atletas!U266="Taijijian Sun A",903,IF(Atletas!U266="Taijijian Wu A",904,IF(Atletas!U266="Taijijian Wu-Hao A",905,IF(OR(Atletas!U266="Taijijian 32 A",Atletas!U266="Taijijian 42 A"),906,IF(OR(Atletas!U266="Taijijian Yang B",Atletas!U266="Taijijian Yang Standard B"),907,IF(OR(Atletas!U266="Taijijian Chen B", Atletas!U266="Taijijian Chen Standard B"),908,IF(Atletas!U266="Taijijian Sun B",909,IF(Atletas!U266="Taijijian Wu B",910,IF(Atletas!U266="Taijijian Wu-Hao B",911,IF(OR(Atletas!U266="Taijijian 32 B",Atletas!U266="Taijijian 42 B"),912,IF(OR(Atletas!U266="Taijijian Yang C",Atletas!U266="Taijijian Yang Standard C"),913,IF(OR(Atletas!U266="Taijijian Chen C", Atletas!U266="Taijijian Chen Standard C"),914,IF(Atletas!U266="Taijijian Sun C",915,IF(Atletas!U266="Taijijian Wu C",916,IF(Atletas!U266="Taijijian Wu-Hao C",917,IF(OR(Atletas!U266="Taijijian 32 C",Atletas!U266="Taijijian 42 C"),918,IF(OR(Atletas!U266="Taijijian Yang D",Atletas!U266="Taijijian Yang Standard D"),919,IF(OR(Atletas!U266="Taijijian Chen D", Atletas!U266="Taijijian Chen Standard D"),920,IF(Atletas!U266="Taijijian Sun D",921,IF(Atletas!U266="Taijijian Wu D",922,IF(Atletas!U266="Taijijian Wu-Hao D",923,IF(OR(Atletas!U266="Taijijian 32 D",Atletas!U266="Taijijian 42 D"),924,IF(OR(Atletas!U266="Taijijian Yang E",Atletas!U266="Taijijian Yang Standard E"),925,IF(OR(Atletas!U266="Taijijian Chen E", Atletas!U266="Taijijian Chen Standard E"),926,IF(Atletas!U266="Taijijian Sun E",927,IF(Atletas!U266="Taijijian Wu E",928,IF(Atletas!U266="Taijijian Wu-Hao E",929,IF(OR(Atletas!U266="Taijijian 32 E",Atletas!U266="Taijijian 42 E"),930,IF(OR(Atletas!U266="Taijijian Yang F",Atletas!U266="Taijijian Yang Standard F"),931,IF(OR(Atletas!U266="Taijijian Chen F", Atletas!U266="Taijijian Chen Standard F"),932,IF(Atletas!U266="Taijijian Sun F",933,IF(Atletas!U266="Taijijian Wu F",934,IF(Atletas!U266="Taijijian Wu-Hao F",935,IF(OR(Atletas!U266="Taijijian 32 F",Atletas!U266="Taijijian 42 F"),936,"")))))))))))))))))))))))))))))))))))))</f>
        <v/>
      </c>
      <c r="CD275" s="50" t="str">
        <f>IF(Atletas!V266="","",IF(Atletas!X266&lt;&gt;"",10000,0)+IF(Atletas!B266="Feminino",1000,IF(Atletas!B266="Masculino",2000,""))+IF(Atletas!V266="Taijidao A",937,IF(Atletas!V266="TaijiShanzi A",938,IF(Atletas!V266="Taijiqiang A",939,IF(Atletas!V266="Bagua de Arma A",940,IF(Atletas!V266="Xingyi de Arma A",941,IF(Atletas!V266="Taijidao B",942,IF(Atletas!V266="TaijiShanzi B",943,IF(Atletas!V266="Taijiqiang B",944,IF(Atletas!V266="Bagua de Arma B",945,IF(Atletas!V266="Xingyi de Arma B",946,IF(Atletas!V266="Taijidao C",947,IF(Atletas!V266="TaijiShanzi C",948,IF(Atletas!V266="Taijiqiang C",949,IF(Atletas!V266="Bagua de Arma C",950,IF(Atletas!V266="Xingyi de Arma C",951,IF(Atletas!V266="Taijidao D",952,IF(Atletas!V266="TaijiShanzi D",953,IF(Atletas!V266="Taijiqiang D",954,IF(Atletas!V266="Bagua de Arma D",955,IF(Atletas!V266="Xingyi de Arma D",956,IF(Atletas!V266="Taijidao E",957,IF(Atletas!V266="TaijiShanzi E",958,IF(Atletas!V266="Taijiqiang E",959,IF(Atletas!V266="Bagua de Arma E",960,IF(Atletas!V266="Xingyi de Arma E",961,IF(Atletas!V266="Taijidao F",962,IF(Atletas!V266="TaijiShanzi F",963,IF(Atletas!V266="Taijiqiang F",964,IF(Atletas!V266="Bagua de Arma F",965,IF(Atletas!V266="Xingyi de Arma F",966,"")))))))))))))))))))))))))))))))</f>
        <v/>
      </c>
      <c r="CE275" s="66" t="str">
        <f>IF(CF275&lt;&gt;"","Gun E","")</f>
        <v/>
      </c>
      <c r="CF275" s="66" t="str">
        <f>IF(COUNTIF(BR:CD,1717)&gt;0,COUNTIF(BR:CD,1717),"")</f>
        <v/>
      </c>
      <c r="CG275" s="66" t="str">
        <f>IF(CH275&lt;&gt;"","Gun E","")</f>
        <v/>
      </c>
      <c r="CH275" s="66" t="str">
        <f>IF(COUNTIF(BR:CD,2717)&gt;0,COUNTIF(BR:CD,2717),"")</f>
        <v/>
      </c>
      <c r="CI275" s="66" t="str">
        <f>IF(CJ276&lt;&gt;"","Outra Arma Longa F","")</f>
        <v/>
      </c>
      <c r="CJ275" s="66" t="str">
        <f>IF(COUNTIF(BR:CD,11723)&gt;0,COUNTIF(BR:CD,11723),"")</f>
        <v/>
      </c>
      <c r="CK275" s="66" t="str">
        <f>IF(CL275&lt;&gt;"","Pudao / Gaundao F","")</f>
        <v/>
      </c>
      <c r="CL275" s="6" t="str">
        <f>IF(COUNTIF(BR:CD,12723)&gt;0,COUNTIF(BR:CD,12723),"")</f>
        <v/>
      </c>
      <c r="CM275" s="50" t="str">
        <f xml:space="preserve"> IF(Atletas!W266="","",IF(Atletas!W266="Duilian de Mãos BC - Equipe 1",1,IF(Atletas!W266="Duilian de Mãos BC - Equipe 2",2,IF(Atletas!W266="Duilian de Armas BC - Equipe 1",3,IF(Atletas!W266="Duilian de Armas BC - Equipe 2",4,IF(Atletas!W266="Duilian de Mãos DE - Equipe 1",5,IF(Atletas!W266="Duilian de Mãos DE - Equipe 2",6,IF(Atletas!W266="Duilian de Armas DE - Equipe 1",7,IF(Atletas!W266="Duilian de Armas DE - Equipe 2",8,IF(Atletas!W266="Duilian de Tuishou - Equipe 1",9,IF(Atletas!W266="Duilian de Tuishou - Equipe 2",10,IF(Atletas!W266="Grupo Externo ABC - Equipe 1",11,IF(Atletas!W266="Grupo Externo ABC - Equipe 2",12,IF(Atletas!W266="Grupo Interno ABC - Equipe 1",13,IF(Atletas!W266="Grupo Interno ABC - Equipe 2",14,IF(Atletas!W266="Grupo Externo DEF - Equipe 1",15,IF(Atletas!W266="Grupo Externo DEF - Equipe 2",16,IF(Atletas!W266="Grupo Interno DEF - Equipe 1",17,IF(Atletas!W266="Grupo Interno DEF - Equipe 2",18,"")))))))))))))))))))</f>
        <v/>
      </c>
    </row>
    <row r="276" spans="2:91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 t="str">
        <f t="array" ref="Z276">IFERROR(INDEX(CE$7:CE$348,SMALL(IF(CE$7:CE$348&lt;&gt;"",ROW(CE$7:CE$348)-ROW(CE$7)+1),ROWS(CE$7:CE275))),"")</f>
        <v/>
      </c>
      <c r="AA276" s="3" t="str">
        <f t="array" ref="AA276">IFERROR(INDEX(CF$7:CF$348,SMALL(IF(CF$7:CF$348&lt;&gt;"",ROW(CF$7:CF$348)-ROW(CF$7)+1),ROWS(CF$7:CF275))),"")</f>
        <v/>
      </c>
      <c r="AB276" s="3" t="str">
        <f t="array" ref="AB276">IFERROR(INDEX(CG$7:CG$348,SMALL(IF(CG$7:CG$348&lt;&gt;"",ROW(CG$7:CG$348)-ROW(CG$7)+1),ROWS(CG$7:CG275))),"")</f>
        <v/>
      </c>
      <c r="AC276" s="3" t="str">
        <f t="array" ref="AC276">IFERROR(INDEX(CH$7:CH$348,SMALL(IF(CH$7:CH$348&lt;&gt;"",ROW(CH$7:CH$348)-ROW(CH$7)+1),ROWS(CH$7:CH275))),"")</f>
        <v/>
      </c>
      <c r="AD276" s="3" t="str">
        <f t="array" ref="AD276">IFERROR(INDEX(CI$7:CI$377,SMALL(IF(CI$7:CI$377&lt;&gt;"",ROW(CI$7:CI$377)-ROW(CI$7)+1),ROWS(CI$7:CI274))),"")</f>
        <v/>
      </c>
      <c r="AE276" s="3" t="str">
        <f t="array" ref="AE276">IFERROR(INDEX(CJ$7:CJ$378,SMALL(IF(CJ$7:CJ$378&lt;&gt;"",ROW(CJ$7:CJ$378)-ROW(CJ$7)+1),ROWS(CJ$7:CJ275))),"")</f>
        <v/>
      </c>
      <c r="AF276" s="3" t="str">
        <f t="array" ref="AF276">IFERROR(INDEX(CK$7:CK$378,SMALL(IF(CK$7:CK$378&lt;&gt;"",ROW(CK$7:CK$378)-ROW(CK$7)+1),ROWS(CK$7:CK275))),"")</f>
        <v/>
      </c>
      <c r="AG276" s="3" t="str">
        <f t="array" ref="AG276">IFERROR(INDEX(CL$7:CL$378,SMALL(IF(CL$7:CL$378&lt;&gt;"",ROW(CL$7:CL$378)-ROW(CL$7)+1),ROWS(CL$7:CL275))),"")</f>
        <v/>
      </c>
      <c r="AH276" s="3"/>
      <c r="AI276" s="3"/>
      <c r="AJ276" s="3"/>
      <c r="AK276" s="3"/>
      <c r="AL276" s="3"/>
      <c r="AM276" s="3"/>
      <c r="AN276" s="52" t="str">
        <f>IF(Atletas!D267="","",IF(Atletas!B267="Feminino",100,IF(Atletas!B267="Masculino",200,""))+(IF(Atletas!D267="Kids 30kg",1,IF(Atletas!D267="Kids 32kg",2, IF(Atletas!D267="Kids 34kg",3,IF(Atletas!D267="Kids 36kg",4,IF(Atletas!D267="Kids 39kg",5,IF(Atletas!D267="Kids 42kg",6,IF(Atletas!D267="Kids 45kg",7, IF(Atletas!D267="Infantil 39kg",8,IF(Atletas!D267="Infantil 42kg",9,IF(Atletas!D267="Infantil 45kg",10,IF(Atletas!D267="Infantil 48kg",11,IF(Atletas!D267="Infantil 52kg",12,IF(Atletas!D267="Infantil 56kg",13,IF(Atletas!D267="Infantil 60kg",14,IF(Atletas!D267="Juvenil 48kg",15,IF(Atletas!D267="Juvenil 52kg",16,IF(Atletas!D267="Juvenil 56kg",17,IF(Atletas!D267="Juvenil 60kg",18,IF(Atletas!D267="Juvenil 65kg",19,IF(Atletas!D267="Juvenil 70kg",20,IF(Atletas!D267="Juvenil 75kg",21,IF(Atletas!D267="Juvenil 80kg",22, IF(Atletas!D267="Juvenil 85kg",23,IF(Atletas!D267="Adulto 48kg",24,IF(Atletas!D267="Adulto 52kg",25,IF(Atletas!D267="Adulto 56kg",26,IF(Atletas!D267="Adulto 60kg",27,IF(Atletas!D267="Adulto 65kg",28,IF(Atletas!D267="Adulto 70kg",29,IF(Atletas!D267="Adulto 75kg",30,IF(Atletas!D267="Adulto 80kg",31,IF(Atletas!D267="Adulto 85kg",32,IF(Atletas!D267="Adulto 90kg",33,IF(Atletas!D267="Adulto 100kg",34, IF(Atletas!D267="Adulto +100kg",35,"")))))))))))))))))))))))))))))))))))))</f>
        <v/>
      </c>
      <c r="AS276" s="6" t="str">
        <f>IF(Atletas!E267="","",IF(Atletas!B267="Feminino",100,IF(Atletas!B267="Masculino",200,""))+(IF(Atletas!E267="Juvenil 44kg",1,IF(Atletas!E267="Juvenil 48kg",2,IF(Atletas!E267="Juvenil 52kg",3,IF(Atletas!E267="Juvenil 56kg",4,IF(Atletas!E267="Juvenil 60kg",5,IF(Atletas!E267="Juvenil 65kg",6,IF(Atletas!E267="Juvenil 70kg",7,IF(Atletas!E267="Juvenil 75kg",8,IF(Atletas!E267="Juvenil 82kg",9,IF(Atletas!E267="Juvenil 90kg",10,IF(Atletas!E267="Juvenil 100kg",11,IF(Atletas!E267="Adulto 48kg",12,IF(Atletas!E267="Adulto 52kg",13,IF(Atletas!E267="Adulto 56kg",14,IF(Atletas!E267="Adulto 60kg",15,IF(Atletas!E267="Adulto 65kg",16,IF(Atletas!E267="Adulto 70kg",17,IF(Atletas!E267="Adulto 75kg",18,IF(Atletas!E267="Adulto 82kg",19,IF(Atletas!E267="Adulto 90kg",20,IF(Atletas!E267="Adulto 100kg",21,IF(Atletas!E267="Adulto +100kg",22,""))))))))))))))))))))))))</f>
        <v/>
      </c>
      <c r="AX276" s="6" t="str">
        <f>IF(Atletas!F267="","",IF(Atletas!B267="Feminino",100,IF(Atletas!B267="Masculino",200,""))+(IF(Atletas!F267="Adulto 48kg",1,IF(Atletas!F267="Adulto 56kg",2,IF(Atletas!F267="Adulto 65kg",3,IF(Atletas!F267="Adulto 75kg",4,IF(Atletas!F267="Adulto +75kg",5,IF(Atletas!F267="Adulto 52kg",6,IF(Atletas!F267="Adulto 60kg",7,IF(Atletas!F267="Adulto 70kg",8,IF(Atletas!F267="Adulto 80kg",9,IF(Atletas!F267="Adulto 90kg",10,IF(Atletas!F267="Adulto +90kg",11,"")))))))))))))</f>
        <v/>
      </c>
      <c r="BC276" s="6" t="str">
        <f>IF(Atletas!G267="","",IF(Atletas!B267="Feminino",10,IF(Atletas!B267="Masculino",20,""))+(IF(Atletas!G267="Baduanjin A",1,IF(Atletas!G267="Baduanjin B",2))))</f>
        <v/>
      </c>
      <c r="BF276" s="52" t="str">
        <f>IF(Atletas!H267="","",IF(Atletas!B267="Feminino",100,IF(Atletas!B267="Masculino",200,""))+(IF(Atletas!H267="Changquan Mirim",1,IF(Atletas!H267="Nanquan Mirim",2,IF(Atletas!H267="Taijiquan Mirim",3,IF(Atletas!H267="Changquan Grupo C",4,IF(Atletas!H267="Nanquan Grupo C",5,IF(Atletas!H267="Taijiquan Grupo C",6,IF(Atletas!H267="Changquan Grupo B",7,IF(Atletas!H267="Nanquan Grupo B",8,IF(Atletas!H267="Taijiquan Grupo B",9,IF(Atletas!H267="Changquan Grupo A",10,IF(Atletas!H267="Nanquan Grupo A",11,IF(Atletas!H267="Taijiquan Grupo A",12,IF(Atletas!H267="Changquan Opcional",13,IF(Atletas!H267="Nanquan Opcional",14,IF(Atletas!H267="Taijiquan Opcional",15,IF(Atletas!H267="Changquan Adulto",16,IF(Atletas!H267="Nanquan Adulto",17,IF(Atletas!H267="Taijiquan Adulto",18,""))))))))))))))))))))</f>
        <v/>
      </c>
      <c r="BG276" s="52" t="str">
        <f>IF(Atletas!I267="","",IF(Atletas!B267="Feminino",100,IF(Atletas!B267="Masculino",200,""))+(IF(Atletas!I267="Daoshu Mirim",19,IF(Atletas!I267="Jianshu Mirim",20,IF(Atletas!I267="Nandao Mirim",21,IF(Atletas!I267="Taijijian Mirim",22,IF(Atletas!I267="Daoshu Grupo C",23,IF(Atletas!I267="Jianshu Grupo C",24,IF(Atletas!I267="Nandao Grupo C",25,IF(Atletas!I267="Taijijian Grupo C",26,IF(Atletas!I267="Daoshu Grupo B",27,IF(Atletas!I267="Jianshu Grupo B",28,IF(Atletas!I267="Nandao Grupo B",29,IF(Atletas!I267="Taijijian Grupo B",30,IF(Atletas!I267="Daoshu Grupo A",31,IF(Atletas!I267="Jianshu Grupo A",32,IF(Atletas!I267="Nandao Grupo A",33,IF(Atletas!I267="Taijijian Grupo A",34,IF(Atletas!I267="Daoshu Opcional",35,IF(Atletas!I267="Jianshu Opcional",36,IF(Atletas!I267="Nandao Opcional",37,IF(Atletas!I267="Taijijian Opcional",38,IF(Atletas!I267="Daoshu Adulto",39,IF(Atletas!I267="Jianshu Adulto",40,IF(Atletas!I267="Nandao Adulto",41,IF(Atletas!I267="Taijijian Adulto",42,""))))))))))))))))))))))))))</f>
        <v/>
      </c>
      <c r="BH276" s="52" t="str">
        <f>IF(Atletas!J267="","",IF(Atletas!B267="Feminino",100,IF(Atletas!B267="Masculino",200,""))+(IF(Atletas!J267="Gunshu Mirim",43,IF(Atletas!J267="Qiangshu Mirim",44,IF(Atletas!J267="Nangun Mirim",45,IF(Atletas!J267="Gunshu Grupo C",46,IF(Atletas!J267="Qiangshu Grupo C",47,IF(Atletas!J267="Nangun Grupo C",48,IF(Atletas!J267="Gunshu Grupo B",49,IF(Atletas!J267="Qiangshu Grupo B",50,IF(Atletas!J267="Nangun Grupo B",51,IF(Atletas!J267="Gunshu Grupo A",52,IF(Atletas!J267="Qiangshu Grupo A",53,IF(Atletas!J267="Nangun Grupo A",54,IF(Atletas!J267="Gunshu Opcional",55,IF(Atletas!J267="Qiangshu Opcional",56,IF(Atletas!J267="Nangun Opcional",57,IF(Atletas!J267="Gunshu Adulto",58,IF(Atletas!J267="Qiangshu Adulto",59,IF(Atletas!J267="Nangun Adulto",60,IF(Atletas!J267="Taijishan Grupo B",61,IF(Atletas!J267="Taijishan Grupo A",62,""))))))))))))))))))))))</f>
        <v/>
      </c>
      <c r="BM276" s="50" t="str">
        <f>IF(Atletas!K267="","",IF(Atletas!B267="Feminino",100,IF(Atletas!B267="Masculino",200,""))+(IF(Atletas!K267="Equipe 1 Grupo B",1,IF(Atletas!K267="Equipe 2 Grupo B",2,IF(Atletas!K267="Equipe 1 Grupo A",3,IF(Atletas!K267="Equipe 2 Grupo A",4,IF(Atletas!K267="Equipe 1 Adulto",5,IF(Atletas!K267="Equipe 2 Adulto",6,""))))))))</f>
        <v/>
      </c>
      <c r="BR276" s="50" t="str">
        <f>IF(Atletas!L267="","",IF(Atletas!X267&lt;&gt;"",10000,0)+(IF(Atletas!B267="Feminino",1000,IF(Atletas!B267="Masculino",2000,""))+IF(Atletas!L267="Choylayfut A",1,IF(Atletas!L267="Hunggar A",2,IF(Atletas!L267="Wuzuquan A",3,IF(Atletas!L267="Wingchun A",4,IF(Atletas!L267="Outra Mão de Sul A",5,IF(Atletas!L267="Choylayfut B",6,IF(Atletas!L267="Hunggar B",7,IF(Atletas!L267="Wuzuquan B",8,IF(Atletas!L267="Wingchun B",9,IF(Atletas!L267="Outra Mão de Sul B",10,IF(Atletas!L267="Choylayfut C",11,IF(Atletas!L267="Hunggar C",12,IF(Atletas!L267="Wuzuquan C",13,IF(Atletas!L267="Wingchun C",14,IF(Atletas!L267="Outra Mão de Sul C",15,IF(Atletas!L267="Choylayfut D",16,IF(Atletas!L267="Hunggar D",17,IF(Atletas!L267="Wuzuquan D",18,IF(Atletas!L267="Wingchun D",19,IF(Atletas!L267="Outra Mão de Sul D",20,IF(Atletas!L267="Choylayfut E",21,IF(Atletas!L267="Hunggar E",22,IF(Atletas!L267="Wuzuquan E",23,IF(Atletas!L267="Wingchun E",24,IF(Atletas!L267="Outra Mão de Sul E",25,IF(Atletas!L267="Choylayfut F",26,IF(Atletas!L267="Hunggar F",27,IF(Atletas!L267="Wuzuquan F",28,IF(Atletas!L267="Wingchun F",29,IF(Atletas!L267="Outra Mão de Sul F",30,IF(Atletas!L267="Dishuquan A",31,IF(Atletas!L267="Dishuquan B",32,IF(Atletas!L267="Dishuquan C",33,IF(Atletas!L267="Dishuquan D",34,IF(Atletas!L267="Dishuquan E",35,IF(Atletas!L267="Dishuquan F",36,""))))))))))))))))))))))))))))))))))))))</f>
        <v/>
      </c>
      <c r="BS276" s="50" t="str">
        <f>IF(Atletas!M267="","",IF(Atletas!X267&lt;&gt;"",10000,0)+(IF(Atletas!B267="Feminino",1000,IF(Atletas!B267="Masculino",2000,""))+(IF(Atletas!M267="Chaquan A",101,IF(Atletas!M267="Emeiquan A",102,IF(Atletas!M267="Fanziquan A",103,IF(Atletas!M267="Huaquan A",104,IF(Atletas!M267="Hongquan A",105,IF(Atletas!M267="Paoquan A",106,IF(Atletas!M267="Piguaquan A",107,IF(Atletas!M267="Shaolinquan A",108,IF(Atletas!M267="Tanglangquan A",109,IF(Atletas!M267="Yingzhaoquan A",110,IF(Atletas!M267="Tongbeiquan A",111,IF(Atletas!M267="Wudangquan A",112,IF(Atletas!M267="Outros Estilos A",113,IF(Atletas!M267="Chaquan B",114,IF(Atletas!M267="Emeiquan B",115,IF(Atletas!M267="Fanziquan B",116,IF(Atletas!M267="Huaquan B",117,IF(Atletas!M267="Hongquan B",118,IF(Atletas!M267="Paoquan B",119,IF(Atletas!M267="Piguaquan B",120,IF(Atletas!M267="Shaolinquan B",121,IF(Atletas!M267="Tanglangquan B",122,IF(Atletas!M267="Yingzhaoquan B",123,IF(Atletas!M267="Tongbeiquan B",124,IF(Atletas!M267="Wudangquan B",125,IF(Atletas!M267="Outros Estilos B",126,IF(Atletas!M267="Chaquan C",127,IF(Atletas!M267="Emeiquan C",128,IF(Atletas!M267="Fanziquan C",129,IF(Atletas!M267="Huaquan C",130,IF(Atletas!M267="Hongquan C",131,IF(Atletas!M267="Paoquan C",132,IF(Atletas!M267="Piguaquan C",133,IF(Atletas!M267="Shaolinquan C",134,IF(Atletas!M267="Tanglangquan C",135,IF(Atletas!M267="Yingzhaoquan C",136,IF(Atletas!M267="Tongbeiquan C",137,IF(Atletas!M267="Wudangquan C",138,IF(Atletas!M267="Outros Estilos C",139,0))))))))))))))))))))))))))))))))))))))))))</f>
        <v/>
      </c>
      <c r="BT276" s="50" t="str">
        <f>IF(Atletas!M267="","",IF(Atletas!X267&lt;&gt;"",10000,0)+(IF(Atletas!B267="Feminino",1000,IF(Atletas!B267="Masculino",2000,""))+(IF(Atletas!M267="Chaquan D",140,IF(Atletas!M267="Emeiquan D",141,IF(Atletas!M267="Fanziquan D",142,IF(Atletas!M267="Huaquan D",143,IF(Atletas!M267="Hongquan D",144,IF(Atletas!M267="Paoquan D",145,IF(Atletas!M267="Piguaquan D",146,IF(Atletas!M267="Shaolinquan D",147,IF(Atletas!M267="Tanglangquan D",148,IF(Atletas!M267="Yingzhaoquan D",149,IF(Atletas!M267="Tongbeiquan D",150,IF(Atletas!M267="Wudangquan D",151,IF(Atletas!M267="Outros Estilos D",152,IF(Atletas!M267="Chaquan E",153,IF(Atletas!M267="Emeiquan E",154,IF(Atletas!M267="Fanziquan E",155,IF(Atletas!M267="Huaquan E",156,IF(Atletas!M267="Hongquan E",157,IF(Atletas!M267="Paoquan E",158,IF(Atletas!M267="Piguaquan E",159,IF(Atletas!M267="Shaolinquan E",160,IF(Atletas!M267="Tanglangquan E",161,IF(Atletas!M267="Yingzhaoquan E",162,IF(Atletas!M267="Tongbeiquan E",163,IF(Atletas!M267="Wudangquan E",164,IF(Atletas!M267="Outros Estilos E",165,IF(Atletas!M267="Chaquan F",166,IF(Atletas!M267="Emeiquan F",167,IF(Atletas!M267="Fanziquan F",168,IF(Atletas!M267="Huaquan F",169,IF(Atletas!M267="Hongquan F",170,IF(Atletas!M267="Paoquan F",171,IF(Atletas!M267="Piguaquan F",172,IF(Atletas!M267="Shaolinquan F",173,IF(Atletas!M267="Tanglangquan F",174,IF(Atletas!M267="Yingzhaoquan F",175,IF(Atletas!M267="Tongbeiquan F",176,IF(Atletas!M267="Wudangquan F",177,IF(Atletas!M267="Outros Estilos F",178,0))))))))))))))))))))))))))))))))))))))))))</f>
        <v/>
      </c>
      <c r="BU276" s="50" t="str">
        <f>IF(Atletas!N267="","",IF(Atletas!X267&lt;&gt;"",10000,0)+(IF(Atletas!B267="Feminino",1000,IF(Atletas!B267="Masculino",2000,""))+(IF(Atletas!N267="Ditangquan A",201,IF(Atletas!N267="Houquan A",202,IF(Atletas!N267="Zuiquan A",203,IF(Atletas!N267="Ditangquan B",204,IF(Atletas!N267="Houquan B",205,IF(Atletas!N267="Zuiquan B",206,IF(Atletas!N267="Ditangquan C",207,IF(Atletas!N267="Houquan C",208,IF(Atletas!N267="Zuiquan C",209,IF(Atletas!N267="Ditangquan D",210,IF(Atletas!N267="Houquan D",211,IF(Atletas!N267="Zuiquan D",212,IF(Atletas!N267="Ditangquan E",213,IF(Atletas!N267="Houquan E",214,IF(Atletas!N267="Zuiquan E",215,IF(Atletas!N267="Ditangquan F",216,IF(Atletas!N267="Houquan F",217,IF(Atletas!N267="Zuiquan F",218,"")))))))))))))))))))))</f>
        <v/>
      </c>
      <c r="BV276" s="50" t="str">
        <f>IF(Atletas!O267="","",IF(Atletas!X267&lt;&gt;"",10000,0)+IF(Atletas!B267="Feminino",1000,IF(Atletas!B267="Masculino",2000,""))+IF(Atletas!O267="Yang A",301,IF(Atletas!O267="Chen A",302,IF(Atletas!O267="Sun A",303,IF(Atletas!O267="Wu A",304,IF(Atletas!O267="Wu-Hao A",305,IF(Atletas!O267="Outro Taijiquan A",306,IF(Atletas!O267="Yang B",307,IF(Atletas!O267="Chen B",308,IF(Atletas!O267="Sun B",309,IF(Atletas!O267="Wu B",310,IF(Atletas!O267="Wu-Hao B",311,IF(Atletas!O267="Outro Taijiquan B",312,IF(Atletas!O267="Yang C",313,IF(Atletas!O267="Chen C",314,IF(Atletas!O267="Sun C",315,IF(Atletas!O267="Wu C",316,IF(Atletas!O267="Wu-Hao C",317,IF(Atletas!O267="Outro Taijiquan C",318,IF(Atletas!O267="Yang D",319,IF(Atletas!O267="Chen D",320,IF(Atletas!O267="Sun D",321,IF(Atletas!O267="Wu D",322,IF(Atletas!O267="Wu-Hao D",323,IF(Atletas!O267="Outro Taijiquan D",324,IF(Atletas!O267="Yang E",325,IF(Atletas!O267="Chen E",326,IF(Atletas!O267="Sun E",327,IF(Atletas!O267="Wu E",328,IF(Atletas!O267="Wu-Hao E",329,IF(Atletas!O267="Outro Taijiquan E",330,IF(Atletas!O267="Yang F",331,IF(Atletas!O267="Chen F",332,IF(Atletas!O267="Sun F",333,IF(Atletas!O267="Wu F",334,IF(Atletas!O267="Wu-Hao F",335,IF(Atletas!O267="Outro Taijiquan F",336,"")))))))))))))))))))))))))))))))))))))</f>
        <v/>
      </c>
      <c r="BW276" s="50" t="str">
        <f>IF(Atletas!P267="","",IF(Atletas!X267&lt;&gt;"",10000,0)+IF(Atletas!B267="Feminino",1000,IF(Atletas!B267="Masculino",2000,""))+IF(OR(Atletas!P267="Yang 26 A",Atletas!P267="Yang 40 A"),401,IF(OR(Atletas!P267="Chen 25 A",Atletas!P267="Chen 36 A",Atletas!P267="Chen 56 A"),402,IF(Atletas!P267="Sun 73 A",403,IF(Atletas!P267="Wu 45 A",404,IF(Atletas!P267="Wu-Hao 46 A",405,IF(OR(Atletas!P267="Taijiquan 16 A",Atletas!P267="Taijiquan 24 A",Atletas!P267="Taijiquan 32 A",Atletas!P267="Taijiquan 42 A"),406,IF(OR(Atletas!P267="Yang 26 B",Atletas!P267="Yang 40 B"),407,IF(OR(Atletas!P267="Chen 25 B",Atletas!P267="Chen 36 B",Atletas!P267="Chen 56 B"),408,IF(Atletas!P267="Sun 73 B",409,IF(Atletas!P267="Wu 45 B",410,IF(Atletas!P267="Wu-Hao 46 B",411,IF(OR(Atletas!P267="Taijiquan 16 B",Atletas!P267="Taijiquan 24 B",Atletas!P267="Taijiquan 32 B",Atletas!P267="Taijiquan 42 B"),412,IF(OR(Atletas!P267="Yang 26 C",Atletas!P267="Yang 40 C"),413,IF(OR(Atletas!P267="Chen 25 C",Atletas!P267="Chen 36 C",Atletas!P267="Chen 56 C"),414,IF(Atletas!P267="Sun 73 C",415,IF(Atletas!P267="Wu 45 C",416,IF(Atletas!P267="Wu-Hao 46 C",417,IF(OR(Atletas!P267="Taijiquan 16 C",Atletas!P267="Taijiquan 24 C",Atletas!P267="Taijiquan 32 C",Atletas!P267="Taijiquan 42 C"),418,0)))))))))))))))))))</f>
        <v/>
      </c>
      <c r="BX276" s="50" t="str">
        <f>IF(Atletas!P267="","",IF(Atletas!X267&lt;&gt;"",10000,0)+IF(Atletas!B267="Feminino",1000,IF(Atletas!B267="Masculino",2000,""))+IF(OR(Atletas!P267="Yang 26 D",Atletas!P267="Yang 40 D"),419,IF(OR(Atletas!P267="Chen 25 D",Atletas!P267="Chen 36 D",Atletas!P267="Chen 56 D"),420,IF(Atletas!P267="Sun 73 D",421,IF(Atletas!P267="Wu 45 D",422,IF(Atletas!P267="Wu-Hao 46 D",423,IF(OR(Atletas!P267="Taijiquan 16 D",Atletas!P267="Taijiquan 24 D",Atletas!P267="Taijiquan 32 D",Atletas!P267="Taijiquan 42 D"),424,IF(OR(Atletas!P267="Yang 26 E",Atletas!P267="Yang 40 E"),425,IF(OR(Atletas!P267="Chen 25 E",Atletas!P267="Chen 36 E",Atletas!P267="Chen 56 E"),426,IF(Atletas!P267="Sun 73 E",427,IF(Atletas!P267="Wu 45 E",428,IF(Atletas!P267="Wu-Hao 46 E",429,IF(OR(Atletas!P267="Taijiquan 16 E",Atletas!P267="Taijiquan 24 E",Atletas!P267="Taijiquan 32 E",Atletas!P267="Taijiquan 42 E"),430,IF(OR(Atletas!P267="Yang 26 F",Atletas!P267="Yang 40 F"),431,IF(OR(Atletas!P267="Chen 25 F",Atletas!P267="Chen 36 F",Atletas!P267="Chen 56 F"),432,IF(Atletas!P267="Sun 73 F",433,IF(Atletas!P267="Wu 45 F",434,IF(Atletas!P267="Wu-Hao 46 F",435,IF(OR(Atletas!P267="Taijiquan 16 F",Atletas!P267="Taijiquan 24 F",Atletas!P267="Taijiquan 32 F",Atletas!P267="Taijiquan 42 F"),436,0)))))))))))))))))))</f>
        <v/>
      </c>
      <c r="BY276" s="50" t="str">
        <f>IF(Atletas!Q267="","",IF(Atletas!X267&lt;&gt;"",10000,0)+IF(Atletas!B267="Feminino",1000,IF(Atletas!B267="Masculino",2000,""))+IF(Atletas!Q267="Xingyiquan A",501,IF(Atletas!Q267="Baguazhang A",502,IF(Atletas!Q267="Outro Estilo Interno A",503,IF(Atletas!Q267="Xingyiquan B",504,IF(Atletas!Q267="Baguazhang B",505,IF(Atletas!Q267="Outro Estilo Interno B",506,IF(Atletas!Q267="Xingyiquan C",507,IF(Atletas!Q267="Baguazhang C",508,IF(Atletas!Q267="Outro Estilo Interno C",509,IF(Atletas!Q267="Xingyiquan D",510,IF(Atletas!Q267="Baguazhang D",511,IF(Atletas!Q267="Outro Estilo Interno D",512,IF(Atletas!Q267="Xingyiquan E",513,IF(Atletas!Q267="Baguazhang E",514,IF(Atletas!Q267="Outro Estilo Interno E",515,IF(Atletas!Q267="Xingyiquan F",516,IF(Atletas!Q267="Baguazhang F",517,IF(Atletas!Q267="Outro Estilo Interno F",518, "")))))))))))))))))))</f>
        <v/>
      </c>
      <c r="BZ276" s="50" t="str">
        <f>IF(Atletas!R267="","",IF(Atletas!X267&lt;&gt;"",10000,0)+IF(Atletas!B267="Feminino",1000,IF(Atletas!B267="Masculino",2000,""))+IF(Atletas!R267="Dao A",601,IF(Atletas!R267="Jian A",602,IF(Atletas!R267="Bishou A",603,IF(Atletas!R267="Shanzi A",604,IF(Atletas!R267="Outra Arma Curta A",605,IF(Atletas!R267="Dao B",606,IF(Atletas!R267="Jian B",607,IF(Atletas!R267="Bishou B",608,IF(Atletas!R267="Shanzi B",609,IF(Atletas!R267="Outra Arma Curta B",610,IF(Atletas!R267="Dao C",611,IF(Atletas!R267="Jian C",612,IF(Atletas!R267="Bishou C",613,IF(Atletas!R267="Shanzi C",614,IF(Atletas!R267="Outra Arma Curta C",615,IF(Atletas!R267="Dao D",616,IF(Atletas!R267="Jian D",617,IF(Atletas!R267="Bishou D",618,IF(Atletas!R267="Shanzi D",619,IF(Atletas!R267="Outra Arma Curta D",620,IF(Atletas!R267="Dao E",621,IF(Atletas!R267="Jian E",622,IF(Atletas!R267="Bishou E",623,IF(Atletas!R267="Shanzi E",624,IF(Atletas!R267="Outra Arma Curta E",625,IF(Atletas!R267="Dao F",626,IF(Atletas!R267="Jian F",627,IF(Atletas!R267="Bishou F",628,IF(Atletas!R267="Shanzi F",629,IF(Atletas!R267="Outra Arma Curta F",630, "")))))))))))))))))))))))))))))))</f>
        <v/>
      </c>
      <c r="CA276" s="50" t="str">
        <f>IF(Atletas!S267="","",IF(Atletas!X267&lt;&gt;"",10000,0)+IF(Atletas!B267="Feminino",1000,IF(Atletas!B267="Masculino",2000,""))+IF(Atletas!S267="Gun A",701,IF(Atletas!S267="Qiang A",702,IF(Atletas!S267="Pudao / Guandao A",703,IF(Atletas!S267="Outra Arma Longa A",704,IF(Atletas!S267="Gun B",705,IF(Atletas!S267="Qiang B",706,IF(Atletas!S267="Pudao / Guandao B",707,IF(Atletas!S267="Outra Arma Longa B",708,IF(Atletas!S267="Gun C",709,IF(Atletas!S267="Qiang C",710,IF(Atletas!S267="Pudao / Guandao C",711,IF(Atletas!S267="Outra Arma Longa C",712,IF(Atletas!S267="Gun D",713,IF(Atletas!S267="Qiang D",714,IF(Atletas!S267="Pudao / Guandao D",715,IF(Atletas!S267="Outra Arma Longa D",716,IF(Atletas!S267="Gun E",717,IF(Atletas!S267="Qiang E",718,IF(Atletas!S267="Pudao / Guandao E",719,IF(Atletas!S267="Outra Arma Longa E",720,IF(Atletas!S267="Gun F",721,IF(Atletas!S267="Qiang F",722,IF(Atletas!S267="Pudao / Guandao F",723,IF(Atletas!S267="Outra Arma Longa F",724,"")))))))))))))))))))))))))</f>
        <v/>
      </c>
      <c r="CB276" s="50" t="str">
        <f>IF(Atletas!T267="","",IF(Atletas!X267&lt;&gt;"",10000,0)+IF(Atletas!B267="Feminino",1000,IF(Atletas!B267="Masculino",2000,""))+IF(Atletas!T267="Outra Arma Dupla A",801,IF(Atletas!T267="Arma Maleável A",802,IF(Atletas!T267="Outra Arma Dupla B",803,IF(Atletas!T267="Arma Maleável B",804,IF(Atletas!T267="Outra Arma Dupla C",805,IF(Atletas!T267="Arma Maleável C",806,IF(Atletas!T267="Outra Arma Dupla D",807,IF(Atletas!T267="Arma Maleável D",808,IF(Atletas!T267="Outra Arma Dupla E",809,IF(Atletas!T267="Arma Maleável E",810,IF(Atletas!T267="Outra Arma Dupla F",811,IF(Atletas!T267="Arma Maleável F",812,IF(Atletas!T267="Shuangdao A",813,IF(Atletas!T267="Shuangdao B",814,IF(Atletas!T267="Shuangdao C",815,IF(Atletas!T267="Shuangdao D",816,IF(Atletas!T267="Shuangdao E",817,IF(Atletas!T267="Shuangdao F",818,"")))))))))))))))))))</f>
        <v/>
      </c>
      <c r="CC276" s="50" t="str">
        <f>IF(Atletas!U267="","",IF(Atletas!X267&lt;&gt;"",10000,0)+IF(Atletas!B267="Feminino",1000,IF(Atletas!B267="Masculino",2000,""))+IF(OR(Atletas!U267="Taijijian Yang A",Atletas!U267="Taijijian Yang Standard A"),901,IF(OR(Atletas!U267="Taijijian Chen A", Atletas!U267="Taijijian Chen Standard A"),902,IF(Atletas!U267="Taijijian Sun A",903,IF(Atletas!U267="Taijijian Wu A",904,IF(Atletas!U267="Taijijian Wu-Hao A",905,IF(OR(Atletas!U267="Taijijian 32 A",Atletas!U267="Taijijian 42 A"),906,IF(OR(Atletas!U267="Taijijian Yang B",Atletas!U267="Taijijian Yang Standard B"),907,IF(OR(Atletas!U267="Taijijian Chen B", Atletas!U267="Taijijian Chen Standard B"),908,IF(Atletas!U267="Taijijian Sun B",909,IF(Atletas!U267="Taijijian Wu B",910,IF(Atletas!U267="Taijijian Wu-Hao B",911,IF(OR(Atletas!U267="Taijijian 32 B",Atletas!U267="Taijijian 42 B"),912,IF(OR(Atletas!U267="Taijijian Yang C",Atletas!U267="Taijijian Yang Standard C"),913,IF(OR(Atletas!U267="Taijijian Chen C", Atletas!U267="Taijijian Chen Standard C"),914,IF(Atletas!U267="Taijijian Sun C",915,IF(Atletas!U267="Taijijian Wu C",916,IF(Atletas!U267="Taijijian Wu-Hao C",917,IF(OR(Atletas!U267="Taijijian 32 C",Atletas!U267="Taijijian 42 C"),918,IF(OR(Atletas!U267="Taijijian Yang D",Atletas!U267="Taijijian Yang Standard D"),919,IF(OR(Atletas!U267="Taijijian Chen D", Atletas!U267="Taijijian Chen Standard D"),920,IF(Atletas!U267="Taijijian Sun D",921,IF(Atletas!U267="Taijijian Wu D",922,IF(Atletas!U267="Taijijian Wu-Hao D",923,IF(OR(Atletas!U267="Taijijian 32 D",Atletas!U267="Taijijian 42 D"),924,IF(OR(Atletas!U267="Taijijian Yang E",Atletas!U267="Taijijian Yang Standard E"),925,IF(OR(Atletas!U267="Taijijian Chen E", Atletas!U267="Taijijian Chen Standard E"),926,IF(Atletas!U267="Taijijian Sun E",927,IF(Atletas!U267="Taijijian Wu E",928,IF(Atletas!U267="Taijijian Wu-Hao E",929,IF(OR(Atletas!U267="Taijijian 32 E",Atletas!U267="Taijijian 42 E"),930,IF(OR(Atletas!U267="Taijijian Yang F",Atletas!U267="Taijijian Yang Standard F"),931,IF(OR(Atletas!U267="Taijijian Chen F", Atletas!U267="Taijijian Chen Standard F"),932,IF(Atletas!U267="Taijijian Sun F",933,IF(Atletas!U267="Taijijian Wu F",934,IF(Atletas!U267="Taijijian Wu-Hao F",935,IF(OR(Atletas!U267="Taijijian 32 F",Atletas!U267="Taijijian 42 F"),936,"")))))))))))))))))))))))))))))))))))))</f>
        <v/>
      </c>
      <c r="CD276" s="50" t="str">
        <f>IF(Atletas!V267="","",IF(Atletas!X267&lt;&gt;"",10000,0)+IF(Atletas!B267="Feminino",1000,IF(Atletas!B267="Masculino",2000,""))+IF(Atletas!V267="Taijidao A",937,IF(Atletas!V267="TaijiShanzi A",938,IF(Atletas!V267="Taijiqiang A",939,IF(Atletas!V267="Bagua de Arma A",940,IF(Atletas!V267="Xingyi de Arma A",941,IF(Atletas!V267="Taijidao B",942,IF(Atletas!V267="TaijiShanzi B",943,IF(Atletas!V267="Taijiqiang B",944,IF(Atletas!V267="Bagua de Arma B",945,IF(Atletas!V267="Xingyi de Arma B",946,IF(Atletas!V267="Taijidao C",947,IF(Atletas!V267="TaijiShanzi C",948,IF(Atletas!V267="Taijiqiang C",949,IF(Atletas!V267="Bagua de Arma C",950,IF(Atletas!V267="Xingyi de Arma C",951,IF(Atletas!V267="Taijidao D",952,IF(Atletas!V267="TaijiShanzi D",953,IF(Atletas!V267="Taijiqiang D",954,IF(Atletas!V267="Bagua de Arma D",955,IF(Atletas!V267="Xingyi de Arma D",956,IF(Atletas!V267="Taijidao E",957,IF(Atletas!V267="TaijiShanzi E",958,IF(Atletas!V267="Taijiqiang E",959,IF(Atletas!V267="Bagua de Arma E",960,IF(Atletas!V267="Xingyi de Arma E",961,IF(Atletas!V267="Taijidao F",962,IF(Atletas!V267="TaijiShanzi F",963,IF(Atletas!V267="Taijiqiang F",964,IF(Atletas!V267="Bagua de Arma F",965,IF(Atletas!V267="Xingyi de Arma F",966,"")))))))))))))))))))))))))))))))</f>
        <v/>
      </c>
      <c r="CE276" s="66" t="str">
        <f>IF(CF276&lt;&gt;"","Qiang E","")</f>
        <v/>
      </c>
      <c r="CF276" s="66" t="str">
        <f>IF(COUNTIF(BR:CD,1718)&gt;0,COUNTIF(BR:CD,1718),"")</f>
        <v/>
      </c>
      <c r="CG276" s="66" t="str">
        <f>IF(CH276&lt;&gt;"","Qiang E","")</f>
        <v/>
      </c>
      <c r="CH276" s="66" t="str">
        <f>IF(COUNTIF(BR:CD,2718)&gt;0,COUNTIF(BR:CD,2718),"")</f>
        <v/>
      </c>
      <c r="CI276" s="66" t="str">
        <f>IF(CJ277&lt;&gt;"","Outra Arma Dupla A","")</f>
        <v/>
      </c>
      <c r="CJ276" s="66" t="str">
        <f>IF(COUNTIF(BR:CD,11724)&gt;0,COUNTIF(BR:CD,11724),"")</f>
        <v/>
      </c>
      <c r="CK276" s="66" t="str">
        <f>IF(CL276&lt;&gt;"","Outra Arma Longa F","")</f>
        <v/>
      </c>
      <c r="CL276" s="6" t="str">
        <f>IF(COUNTIF(BR:CD,12724)&gt;0,COUNTIF(BR:CD,12724),"")</f>
        <v/>
      </c>
      <c r="CM276" s="50" t="str">
        <f xml:space="preserve"> IF(Atletas!W267="","",IF(Atletas!W267="Duilian de Mãos BC - Equipe 1",1,IF(Atletas!W267="Duilian de Mãos BC - Equipe 2",2,IF(Atletas!W267="Duilian de Armas BC - Equipe 1",3,IF(Atletas!W267="Duilian de Armas BC - Equipe 2",4,IF(Atletas!W267="Duilian de Mãos DE - Equipe 1",5,IF(Atletas!W267="Duilian de Mãos DE - Equipe 2",6,IF(Atletas!W267="Duilian de Armas DE - Equipe 1",7,IF(Atletas!W267="Duilian de Armas DE - Equipe 2",8,IF(Atletas!W267="Duilian de Tuishou - Equipe 1",9,IF(Atletas!W267="Duilian de Tuishou - Equipe 2",10,IF(Atletas!W267="Grupo Externo ABC - Equipe 1",11,IF(Atletas!W267="Grupo Externo ABC - Equipe 2",12,IF(Atletas!W267="Grupo Interno ABC - Equipe 1",13,IF(Atletas!W267="Grupo Interno ABC - Equipe 2",14,IF(Atletas!W267="Grupo Externo DEF - Equipe 1",15,IF(Atletas!W267="Grupo Externo DEF - Equipe 2",16,IF(Atletas!W267="Grupo Interno DEF - Equipe 1",17,IF(Atletas!W267="Grupo Interno DEF - Equipe 2",18,"")))))))))))))))))))</f>
        <v/>
      </c>
    </row>
    <row r="277" spans="2:91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 t="str">
        <f t="array" ref="Z277">IFERROR(INDEX(CE$7:CE$348,SMALL(IF(CE$7:CE$348&lt;&gt;"",ROW(CE$7:CE$348)-ROW(CE$7)+1),ROWS(CE$7:CE276))),"")</f>
        <v/>
      </c>
      <c r="AA277" s="3" t="str">
        <f t="array" ref="AA277">IFERROR(INDEX(CF$7:CF$348,SMALL(IF(CF$7:CF$348&lt;&gt;"",ROW(CF$7:CF$348)-ROW(CF$7)+1),ROWS(CF$7:CF276))),"")</f>
        <v/>
      </c>
      <c r="AB277" s="3" t="str">
        <f t="array" ref="AB277">IFERROR(INDEX(CG$7:CG$348,SMALL(IF(CG$7:CG$348&lt;&gt;"",ROW(CG$7:CG$348)-ROW(CG$7)+1),ROWS(CG$7:CG276))),"")</f>
        <v/>
      </c>
      <c r="AC277" s="3" t="str">
        <f t="array" ref="AC277">IFERROR(INDEX(CH$7:CH$348,SMALL(IF(CH$7:CH$348&lt;&gt;"",ROW(CH$7:CH$348)-ROW(CH$7)+1),ROWS(CH$7:CH276))),"")</f>
        <v/>
      </c>
      <c r="AD277" s="3" t="str">
        <f t="array" ref="AD277">IFERROR(INDEX(CI$7:CI$377,SMALL(IF(CI$7:CI$377&lt;&gt;"",ROW(CI$7:CI$377)-ROW(CI$7)+1),ROWS(CI$7:CI275))),"")</f>
        <v/>
      </c>
      <c r="AE277" s="3" t="str">
        <f t="array" ref="AE277">IFERROR(INDEX(CJ$7:CJ$378,SMALL(IF(CJ$7:CJ$378&lt;&gt;"",ROW(CJ$7:CJ$378)-ROW(CJ$7)+1),ROWS(CJ$7:CJ276))),"")</f>
        <v/>
      </c>
      <c r="AF277" s="3" t="str">
        <f t="array" ref="AF277">IFERROR(INDEX(CK$7:CK$378,SMALL(IF(CK$7:CK$378&lt;&gt;"",ROW(CK$7:CK$378)-ROW(CK$7)+1),ROWS(CK$7:CK276))),"")</f>
        <v/>
      </c>
      <c r="AG277" s="3" t="str">
        <f t="array" ref="AG277">IFERROR(INDEX(CL$7:CL$378,SMALL(IF(CL$7:CL$378&lt;&gt;"",ROW(CL$7:CL$378)-ROW(CL$7)+1),ROWS(CL$7:CL276))),"")</f>
        <v/>
      </c>
      <c r="AH277" s="3"/>
      <c r="AI277" s="3"/>
      <c r="AJ277" s="3"/>
      <c r="AK277" s="3"/>
      <c r="AL277" s="3"/>
      <c r="AM277" s="3"/>
      <c r="AN277" s="52" t="str">
        <f>IF(Atletas!D268="","",IF(Atletas!B268="Feminino",100,IF(Atletas!B268="Masculino",200,""))+(IF(Atletas!D268="Kids 30kg",1,IF(Atletas!D268="Kids 32kg",2, IF(Atletas!D268="Kids 34kg",3,IF(Atletas!D268="Kids 36kg",4,IF(Atletas!D268="Kids 39kg",5,IF(Atletas!D268="Kids 42kg",6,IF(Atletas!D268="Kids 45kg",7, IF(Atletas!D268="Infantil 39kg",8,IF(Atletas!D268="Infantil 42kg",9,IF(Atletas!D268="Infantil 45kg",10,IF(Atletas!D268="Infantil 48kg",11,IF(Atletas!D268="Infantil 52kg",12,IF(Atletas!D268="Infantil 56kg",13,IF(Atletas!D268="Infantil 60kg",14,IF(Atletas!D268="Juvenil 48kg",15,IF(Atletas!D268="Juvenil 52kg",16,IF(Atletas!D268="Juvenil 56kg",17,IF(Atletas!D268="Juvenil 60kg",18,IF(Atletas!D268="Juvenil 65kg",19,IF(Atletas!D268="Juvenil 70kg",20,IF(Atletas!D268="Juvenil 75kg",21,IF(Atletas!D268="Juvenil 80kg",22, IF(Atletas!D268="Juvenil 85kg",23,IF(Atletas!D268="Adulto 48kg",24,IF(Atletas!D268="Adulto 52kg",25,IF(Atletas!D268="Adulto 56kg",26,IF(Atletas!D268="Adulto 60kg",27,IF(Atletas!D268="Adulto 65kg",28,IF(Atletas!D268="Adulto 70kg",29,IF(Atletas!D268="Adulto 75kg",30,IF(Atletas!D268="Adulto 80kg",31,IF(Atletas!D268="Adulto 85kg",32,IF(Atletas!D268="Adulto 90kg",33,IF(Atletas!D268="Adulto 100kg",34, IF(Atletas!D268="Adulto +100kg",35,"")))))))))))))))))))))))))))))))))))))</f>
        <v/>
      </c>
      <c r="AS277" s="6" t="str">
        <f>IF(Atletas!E268="","",IF(Atletas!B268="Feminino",100,IF(Atletas!B268="Masculino",200,""))+(IF(Atletas!E268="Juvenil 44kg",1,IF(Atletas!E268="Juvenil 48kg",2,IF(Atletas!E268="Juvenil 52kg",3,IF(Atletas!E268="Juvenil 56kg",4,IF(Atletas!E268="Juvenil 60kg",5,IF(Atletas!E268="Juvenil 65kg",6,IF(Atletas!E268="Juvenil 70kg",7,IF(Atletas!E268="Juvenil 75kg",8,IF(Atletas!E268="Juvenil 82kg",9,IF(Atletas!E268="Juvenil 90kg",10,IF(Atletas!E268="Juvenil 100kg",11,IF(Atletas!E268="Adulto 48kg",12,IF(Atletas!E268="Adulto 52kg",13,IF(Atletas!E268="Adulto 56kg",14,IF(Atletas!E268="Adulto 60kg",15,IF(Atletas!E268="Adulto 65kg",16,IF(Atletas!E268="Adulto 70kg",17,IF(Atletas!E268="Adulto 75kg",18,IF(Atletas!E268="Adulto 82kg",19,IF(Atletas!E268="Adulto 90kg",20,IF(Atletas!E268="Adulto 100kg",21,IF(Atletas!E268="Adulto +100kg",22,""))))))))))))))))))))))))</f>
        <v/>
      </c>
      <c r="AX277" s="6" t="str">
        <f>IF(Atletas!F268="","",IF(Atletas!B268="Feminino",100,IF(Atletas!B268="Masculino",200,""))+(IF(Atletas!F268="Adulto 48kg",1,IF(Atletas!F268="Adulto 56kg",2,IF(Atletas!F268="Adulto 65kg",3,IF(Atletas!F268="Adulto 75kg",4,IF(Atletas!F268="Adulto +75kg",5,IF(Atletas!F268="Adulto 52kg",6,IF(Atletas!F268="Adulto 60kg",7,IF(Atletas!F268="Adulto 70kg",8,IF(Atletas!F268="Adulto 80kg",9,IF(Atletas!F268="Adulto 90kg",10,IF(Atletas!F268="Adulto +90kg",11,"")))))))))))))</f>
        <v/>
      </c>
      <c r="BC277" s="6" t="str">
        <f>IF(Atletas!G268="","",IF(Atletas!B268="Feminino",10,IF(Atletas!B268="Masculino",20,""))+(IF(Atletas!G268="Baduanjin A",1,IF(Atletas!G268="Baduanjin B",2))))</f>
        <v/>
      </c>
      <c r="BF277" s="52" t="str">
        <f>IF(Atletas!H268="","",IF(Atletas!B268="Feminino",100,IF(Atletas!B268="Masculino",200,""))+(IF(Atletas!H268="Changquan Mirim",1,IF(Atletas!H268="Nanquan Mirim",2,IF(Atletas!H268="Taijiquan Mirim",3,IF(Atletas!H268="Changquan Grupo C",4,IF(Atletas!H268="Nanquan Grupo C",5,IF(Atletas!H268="Taijiquan Grupo C",6,IF(Atletas!H268="Changquan Grupo B",7,IF(Atletas!H268="Nanquan Grupo B",8,IF(Atletas!H268="Taijiquan Grupo B",9,IF(Atletas!H268="Changquan Grupo A",10,IF(Atletas!H268="Nanquan Grupo A",11,IF(Atletas!H268="Taijiquan Grupo A",12,IF(Atletas!H268="Changquan Opcional",13,IF(Atletas!H268="Nanquan Opcional",14,IF(Atletas!H268="Taijiquan Opcional",15,IF(Atletas!H268="Changquan Adulto",16,IF(Atletas!H268="Nanquan Adulto",17,IF(Atletas!H268="Taijiquan Adulto",18,""))))))))))))))))))))</f>
        <v/>
      </c>
      <c r="BG277" s="52" t="str">
        <f>IF(Atletas!I268="","",IF(Atletas!B268="Feminino",100,IF(Atletas!B268="Masculino",200,""))+(IF(Atletas!I268="Daoshu Mirim",19,IF(Atletas!I268="Jianshu Mirim",20,IF(Atletas!I268="Nandao Mirim",21,IF(Atletas!I268="Taijijian Mirim",22,IF(Atletas!I268="Daoshu Grupo C",23,IF(Atletas!I268="Jianshu Grupo C",24,IF(Atletas!I268="Nandao Grupo C",25,IF(Atletas!I268="Taijijian Grupo C",26,IF(Atletas!I268="Daoshu Grupo B",27,IF(Atletas!I268="Jianshu Grupo B",28,IF(Atletas!I268="Nandao Grupo B",29,IF(Atletas!I268="Taijijian Grupo B",30,IF(Atletas!I268="Daoshu Grupo A",31,IF(Atletas!I268="Jianshu Grupo A",32,IF(Atletas!I268="Nandao Grupo A",33,IF(Atletas!I268="Taijijian Grupo A",34,IF(Atletas!I268="Daoshu Opcional",35,IF(Atletas!I268="Jianshu Opcional",36,IF(Atletas!I268="Nandao Opcional",37,IF(Atletas!I268="Taijijian Opcional",38,IF(Atletas!I268="Daoshu Adulto",39,IF(Atletas!I268="Jianshu Adulto",40,IF(Atletas!I268="Nandao Adulto",41,IF(Atletas!I268="Taijijian Adulto",42,""))))))))))))))))))))))))))</f>
        <v/>
      </c>
      <c r="BH277" s="52" t="str">
        <f>IF(Atletas!J268="","",IF(Atletas!B268="Feminino",100,IF(Atletas!B268="Masculino",200,""))+(IF(Atletas!J268="Gunshu Mirim",43,IF(Atletas!J268="Qiangshu Mirim",44,IF(Atletas!J268="Nangun Mirim",45,IF(Atletas!J268="Gunshu Grupo C",46,IF(Atletas!J268="Qiangshu Grupo C",47,IF(Atletas!J268="Nangun Grupo C",48,IF(Atletas!J268="Gunshu Grupo B",49,IF(Atletas!J268="Qiangshu Grupo B",50,IF(Atletas!J268="Nangun Grupo B",51,IF(Atletas!J268="Gunshu Grupo A",52,IF(Atletas!J268="Qiangshu Grupo A",53,IF(Atletas!J268="Nangun Grupo A",54,IF(Atletas!J268="Gunshu Opcional",55,IF(Atletas!J268="Qiangshu Opcional",56,IF(Atletas!J268="Nangun Opcional",57,IF(Atletas!J268="Gunshu Adulto",58,IF(Atletas!J268="Qiangshu Adulto",59,IF(Atletas!J268="Nangun Adulto",60,IF(Atletas!J268="Taijishan Grupo B",61,IF(Atletas!J268="Taijishan Grupo A",62,""))))))))))))))))))))))</f>
        <v/>
      </c>
      <c r="BM277" s="50" t="str">
        <f>IF(Atletas!K268="","",IF(Atletas!B268="Feminino",100,IF(Atletas!B268="Masculino",200,""))+(IF(Atletas!K268="Equipe 1 Grupo B",1,IF(Atletas!K268="Equipe 2 Grupo B",2,IF(Atletas!K268="Equipe 1 Grupo A",3,IF(Atletas!K268="Equipe 2 Grupo A",4,IF(Atletas!K268="Equipe 1 Adulto",5,IF(Atletas!K268="Equipe 2 Adulto",6,""))))))))</f>
        <v/>
      </c>
      <c r="BR277" s="50" t="str">
        <f>IF(Atletas!L268="","",IF(Atletas!X268&lt;&gt;"",10000,0)+(IF(Atletas!B268="Feminino",1000,IF(Atletas!B268="Masculino",2000,""))+IF(Atletas!L268="Choylayfut A",1,IF(Atletas!L268="Hunggar A",2,IF(Atletas!L268="Wuzuquan A",3,IF(Atletas!L268="Wingchun A",4,IF(Atletas!L268="Outra Mão de Sul A",5,IF(Atletas!L268="Choylayfut B",6,IF(Atletas!L268="Hunggar B",7,IF(Atletas!L268="Wuzuquan B",8,IF(Atletas!L268="Wingchun B",9,IF(Atletas!L268="Outra Mão de Sul B",10,IF(Atletas!L268="Choylayfut C",11,IF(Atletas!L268="Hunggar C",12,IF(Atletas!L268="Wuzuquan C",13,IF(Atletas!L268="Wingchun C",14,IF(Atletas!L268="Outra Mão de Sul C",15,IF(Atletas!L268="Choylayfut D",16,IF(Atletas!L268="Hunggar D",17,IF(Atletas!L268="Wuzuquan D",18,IF(Atletas!L268="Wingchun D",19,IF(Atletas!L268="Outra Mão de Sul D",20,IF(Atletas!L268="Choylayfut E",21,IF(Atletas!L268="Hunggar E",22,IF(Atletas!L268="Wuzuquan E",23,IF(Atletas!L268="Wingchun E",24,IF(Atletas!L268="Outra Mão de Sul E",25,IF(Atletas!L268="Choylayfut F",26,IF(Atletas!L268="Hunggar F",27,IF(Atletas!L268="Wuzuquan F",28,IF(Atletas!L268="Wingchun F",29,IF(Atletas!L268="Outra Mão de Sul F",30,IF(Atletas!L268="Dishuquan A",31,IF(Atletas!L268="Dishuquan B",32,IF(Atletas!L268="Dishuquan C",33,IF(Atletas!L268="Dishuquan D",34,IF(Atletas!L268="Dishuquan E",35,IF(Atletas!L268="Dishuquan F",36,""))))))))))))))))))))))))))))))))))))))</f>
        <v/>
      </c>
      <c r="BS277" s="50" t="str">
        <f>IF(Atletas!M268="","",IF(Atletas!X268&lt;&gt;"",10000,0)+(IF(Atletas!B268="Feminino",1000,IF(Atletas!B268="Masculino",2000,""))+(IF(Atletas!M268="Chaquan A",101,IF(Atletas!M268="Emeiquan A",102,IF(Atletas!M268="Fanziquan A",103,IF(Atletas!M268="Huaquan A",104,IF(Atletas!M268="Hongquan A",105,IF(Atletas!M268="Paoquan A",106,IF(Atletas!M268="Piguaquan A",107,IF(Atletas!M268="Shaolinquan A",108,IF(Atletas!M268="Tanglangquan A",109,IF(Atletas!M268="Yingzhaoquan A",110,IF(Atletas!M268="Tongbeiquan A",111,IF(Atletas!M268="Wudangquan A",112,IF(Atletas!M268="Outros Estilos A",113,IF(Atletas!M268="Chaquan B",114,IF(Atletas!M268="Emeiquan B",115,IF(Atletas!M268="Fanziquan B",116,IF(Atletas!M268="Huaquan B",117,IF(Atletas!M268="Hongquan B",118,IF(Atletas!M268="Paoquan B",119,IF(Atletas!M268="Piguaquan B",120,IF(Atletas!M268="Shaolinquan B",121,IF(Atletas!M268="Tanglangquan B",122,IF(Atletas!M268="Yingzhaoquan B",123,IF(Atletas!M268="Tongbeiquan B",124,IF(Atletas!M268="Wudangquan B",125,IF(Atletas!M268="Outros Estilos B",126,IF(Atletas!M268="Chaquan C",127,IF(Atletas!M268="Emeiquan C",128,IF(Atletas!M268="Fanziquan C",129,IF(Atletas!M268="Huaquan C",130,IF(Atletas!M268="Hongquan C",131,IF(Atletas!M268="Paoquan C",132,IF(Atletas!M268="Piguaquan C",133,IF(Atletas!M268="Shaolinquan C",134,IF(Atletas!M268="Tanglangquan C",135,IF(Atletas!M268="Yingzhaoquan C",136,IF(Atletas!M268="Tongbeiquan C",137,IF(Atletas!M268="Wudangquan C",138,IF(Atletas!M268="Outros Estilos C",139,0))))))))))))))))))))))))))))))))))))))))))</f>
        <v/>
      </c>
      <c r="BT277" s="50" t="str">
        <f>IF(Atletas!M268="","",IF(Atletas!X268&lt;&gt;"",10000,0)+(IF(Atletas!B268="Feminino",1000,IF(Atletas!B268="Masculino",2000,""))+(IF(Atletas!M268="Chaquan D",140,IF(Atletas!M268="Emeiquan D",141,IF(Atletas!M268="Fanziquan D",142,IF(Atletas!M268="Huaquan D",143,IF(Atletas!M268="Hongquan D",144,IF(Atletas!M268="Paoquan D",145,IF(Atletas!M268="Piguaquan D",146,IF(Atletas!M268="Shaolinquan D",147,IF(Atletas!M268="Tanglangquan D",148,IF(Atletas!M268="Yingzhaoquan D",149,IF(Atletas!M268="Tongbeiquan D",150,IF(Atletas!M268="Wudangquan D",151,IF(Atletas!M268="Outros Estilos D",152,IF(Atletas!M268="Chaquan E",153,IF(Atletas!M268="Emeiquan E",154,IF(Atletas!M268="Fanziquan E",155,IF(Atletas!M268="Huaquan E",156,IF(Atletas!M268="Hongquan E",157,IF(Atletas!M268="Paoquan E",158,IF(Atletas!M268="Piguaquan E",159,IF(Atletas!M268="Shaolinquan E",160,IF(Atletas!M268="Tanglangquan E",161,IF(Atletas!M268="Yingzhaoquan E",162,IF(Atletas!M268="Tongbeiquan E",163,IF(Atletas!M268="Wudangquan E",164,IF(Atletas!M268="Outros Estilos E",165,IF(Atletas!M268="Chaquan F",166,IF(Atletas!M268="Emeiquan F",167,IF(Atletas!M268="Fanziquan F",168,IF(Atletas!M268="Huaquan F",169,IF(Atletas!M268="Hongquan F",170,IF(Atletas!M268="Paoquan F",171,IF(Atletas!M268="Piguaquan F",172,IF(Atletas!M268="Shaolinquan F",173,IF(Atletas!M268="Tanglangquan F",174,IF(Atletas!M268="Yingzhaoquan F",175,IF(Atletas!M268="Tongbeiquan F",176,IF(Atletas!M268="Wudangquan F",177,IF(Atletas!M268="Outros Estilos F",178,0))))))))))))))))))))))))))))))))))))))))))</f>
        <v/>
      </c>
      <c r="BU277" s="50" t="str">
        <f>IF(Atletas!N268="","",IF(Atletas!X268&lt;&gt;"",10000,0)+(IF(Atletas!B268="Feminino",1000,IF(Atletas!B268="Masculino",2000,""))+(IF(Atletas!N268="Ditangquan A",201,IF(Atletas!N268="Houquan A",202,IF(Atletas!N268="Zuiquan A",203,IF(Atletas!N268="Ditangquan B",204,IF(Atletas!N268="Houquan B",205,IF(Atletas!N268="Zuiquan B",206,IF(Atletas!N268="Ditangquan C",207,IF(Atletas!N268="Houquan C",208,IF(Atletas!N268="Zuiquan C",209,IF(Atletas!N268="Ditangquan D",210,IF(Atletas!N268="Houquan D",211,IF(Atletas!N268="Zuiquan D",212,IF(Atletas!N268="Ditangquan E",213,IF(Atletas!N268="Houquan E",214,IF(Atletas!N268="Zuiquan E",215,IF(Atletas!N268="Ditangquan F",216,IF(Atletas!N268="Houquan F",217,IF(Atletas!N268="Zuiquan F",218,"")))))))))))))))))))))</f>
        <v/>
      </c>
      <c r="BV277" s="50" t="str">
        <f>IF(Atletas!O268="","",IF(Atletas!X268&lt;&gt;"",10000,0)+IF(Atletas!B268="Feminino",1000,IF(Atletas!B268="Masculino",2000,""))+IF(Atletas!O268="Yang A",301,IF(Atletas!O268="Chen A",302,IF(Atletas!O268="Sun A",303,IF(Atletas!O268="Wu A",304,IF(Atletas!O268="Wu-Hao A",305,IF(Atletas!O268="Outro Taijiquan A",306,IF(Atletas!O268="Yang B",307,IF(Atletas!O268="Chen B",308,IF(Atletas!O268="Sun B",309,IF(Atletas!O268="Wu B",310,IF(Atletas!O268="Wu-Hao B",311,IF(Atletas!O268="Outro Taijiquan B",312,IF(Atletas!O268="Yang C",313,IF(Atletas!O268="Chen C",314,IF(Atletas!O268="Sun C",315,IF(Atletas!O268="Wu C",316,IF(Atletas!O268="Wu-Hao C",317,IF(Atletas!O268="Outro Taijiquan C",318,IF(Atletas!O268="Yang D",319,IF(Atletas!O268="Chen D",320,IF(Atletas!O268="Sun D",321,IF(Atletas!O268="Wu D",322,IF(Atletas!O268="Wu-Hao D",323,IF(Atletas!O268="Outro Taijiquan D",324,IF(Atletas!O268="Yang E",325,IF(Atletas!O268="Chen E",326,IF(Atletas!O268="Sun E",327,IF(Atletas!O268="Wu E",328,IF(Atletas!O268="Wu-Hao E",329,IF(Atletas!O268="Outro Taijiquan E",330,IF(Atletas!O268="Yang F",331,IF(Atletas!O268="Chen F",332,IF(Atletas!O268="Sun F",333,IF(Atletas!O268="Wu F",334,IF(Atletas!O268="Wu-Hao F",335,IF(Atletas!O268="Outro Taijiquan F",336,"")))))))))))))))))))))))))))))))))))))</f>
        <v/>
      </c>
      <c r="BW277" s="50" t="str">
        <f>IF(Atletas!P268="","",IF(Atletas!X268&lt;&gt;"",10000,0)+IF(Atletas!B268="Feminino",1000,IF(Atletas!B268="Masculino",2000,""))+IF(OR(Atletas!P268="Yang 26 A",Atletas!P268="Yang 40 A"),401,IF(OR(Atletas!P268="Chen 25 A",Atletas!P268="Chen 36 A",Atletas!P268="Chen 56 A"),402,IF(Atletas!P268="Sun 73 A",403,IF(Atletas!P268="Wu 45 A",404,IF(Atletas!P268="Wu-Hao 46 A",405,IF(OR(Atletas!P268="Taijiquan 16 A",Atletas!P268="Taijiquan 24 A",Atletas!P268="Taijiquan 32 A",Atletas!P268="Taijiquan 42 A"),406,IF(OR(Atletas!P268="Yang 26 B",Atletas!P268="Yang 40 B"),407,IF(OR(Atletas!P268="Chen 25 B",Atletas!P268="Chen 36 B",Atletas!P268="Chen 56 B"),408,IF(Atletas!P268="Sun 73 B",409,IF(Atletas!P268="Wu 45 B",410,IF(Atletas!P268="Wu-Hao 46 B",411,IF(OR(Atletas!P268="Taijiquan 16 B",Atletas!P268="Taijiquan 24 B",Atletas!P268="Taijiquan 32 B",Atletas!P268="Taijiquan 42 B"),412,IF(OR(Atletas!P268="Yang 26 C",Atletas!P268="Yang 40 C"),413,IF(OR(Atletas!P268="Chen 25 C",Atletas!P268="Chen 36 C",Atletas!P268="Chen 56 C"),414,IF(Atletas!P268="Sun 73 C",415,IF(Atletas!P268="Wu 45 C",416,IF(Atletas!P268="Wu-Hao 46 C",417,IF(OR(Atletas!P268="Taijiquan 16 C",Atletas!P268="Taijiquan 24 C",Atletas!P268="Taijiquan 32 C",Atletas!P268="Taijiquan 42 C"),418,0)))))))))))))))))))</f>
        <v/>
      </c>
      <c r="BX277" s="50" t="str">
        <f>IF(Atletas!P268="","",IF(Atletas!X268&lt;&gt;"",10000,0)+IF(Atletas!B268="Feminino",1000,IF(Atletas!B268="Masculino",2000,""))+IF(OR(Atletas!P268="Yang 26 D",Atletas!P268="Yang 40 D"),419,IF(OR(Atletas!P268="Chen 25 D",Atletas!P268="Chen 36 D",Atletas!P268="Chen 56 D"),420,IF(Atletas!P268="Sun 73 D",421,IF(Atletas!P268="Wu 45 D",422,IF(Atletas!P268="Wu-Hao 46 D",423,IF(OR(Atletas!P268="Taijiquan 16 D",Atletas!P268="Taijiquan 24 D",Atletas!P268="Taijiquan 32 D",Atletas!P268="Taijiquan 42 D"),424,IF(OR(Atletas!P268="Yang 26 E",Atletas!P268="Yang 40 E"),425,IF(OR(Atletas!P268="Chen 25 E",Atletas!P268="Chen 36 E",Atletas!P268="Chen 56 E"),426,IF(Atletas!P268="Sun 73 E",427,IF(Atletas!P268="Wu 45 E",428,IF(Atletas!P268="Wu-Hao 46 E",429,IF(OR(Atletas!P268="Taijiquan 16 E",Atletas!P268="Taijiquan 24 E",Atletas!P268="Taijiquan 32 E",Atletas!P268="Taijiquan 42 E"),430,IF(OR(Atletas!P268="Yang 26 F",Atletas!P268="Yang 40 F"),431,IF(OR(Atletas!P268="Chen 25 F",Atletas!P268="Chen 36 F",Atletas!P268="Chen 56 F"),432,IF(Atletas!P268="Sun 73 F",433,IF(Atletas!P268="Wu 45 F",434,IF(Atletas!P268="Wu-Hao 46 F",435,IF(OR(Atletas!P268="Taijiquan 16 F",Atletas!P268="Taijiquan 24 F",Atletas!P268="Taijiquan 32 F",Atletas!P268="Taijiquan 42 F"),436,0)))))))))))))))))))</f>
        <v/>
      </c>
      <c r="BY277" s="50" t="str">
        <f>IF(Atletas!Q268="","",IF(Atletas!X268&lt;&gt;"",10000,0)+IF(Atletas!B268="Feminino",1000,IF(Atletas!B268="Masculino",2000,""))+IF(Atletas!Q268="Xingyiquan A",501,IF(Atletas!Q268="Baguazhang A",502,IF(Atletas!Q268="Outro Estilo Interno A",503,IF(Atletas!Q268="Xingyiquan B",504,IF(Atletas!Q268="Baguazhang B",505,IF(Atletas!Q268="Outro Estilo Interno B",506,IF(Atletas!Q268="Xingyiquan C",507,IF(Atletas!Q268="Baguazhang C",508,IF(Atletas!Q268="Outro Estilo Interno C",509,IF(Atletas!Q268="Xingyiquan D",510,IF(Atletas!Q268="Baguazhang D",511,IF(Atletas!Q268="Outro Estilo Interno D",512,IF(Atletas!Q268="Xingyiquan E",513,IF(Atletas!Q268="Baguazhang E",514,IF(Atletas!Q268="Outro Estilo Interno E",515,IF(Atletas!Q268="Xingyiquan F",516,IF(Atletas!Q268="Baguazhang F",517,IF(Atletas!Q268="Outro Estilo Interno F",518, "")))))))))))))))))))</f>
        <v/>
      </c>
      <c r="BZ277" s="50" t="str">
        <f>IF(Atletas!R268="","",IF(Atletas!X268&lt;&gt;"",10000,0)+IF(Atletas!B268="Feminino",1000,IF(Atletas!B268="Masculino",2000,""))+IF(Atletas!R268="Dao A",601,IF(Atletas!R268="Jian A",602,IF(Atletas!R268="Bishou A",603,IF(Atletas!R268="Shanzi A",604,IF(Atletas!R268="Outra Arma Curta A",605,IF(Atletas!R268="Dao B",606,IF(Atletas!R268="Jian B",607,IF(Atletas!R268="Bishou B",608,IF(Atletas!R268="Shanzi B",609,IF(Atletas!R268="Outra Arma Curta B",610,IF(Atletas!R268="Dao C",611,IF(Atletas!R268="Jian C",612,IF(Atletas!R268="Bishou C",613,IF(Atletas!R268="Shanzi C",614,IF(Atletas!R268="Outra Arma Curta C",615,IF(Atletas!R268="Dao D",616,IF(Atletas!R268="Jian D",617,IF(Atletas!R268="Bishou D",618,IF(Atletas!R268="Shanzi D",619,IF(Atletas!R268="Outra Arma Curta D",620,IF(Atletas!R268="Dao E",621,IF(Atletas!R268="Jian E",622,IF(Atletas!R268="Bishou E",623,IF(Atletas!R268="Shanzi E",624,IF(Atletas!R268="Outra Arma Curta E",625,IF(Atletas!R268="Dao F",626,IF(Atletas!R268="Jian F",627,IF(Atletas!R268="Bishou F",628,IF(Atletas!R268="Shanzi F",629,IF(Atletas!R268="Outra Arma Curta F",630, "")))))))))))))))))))))))))))))))</f>
        <v/>
      </c>
      <c r="CA277" s="50" t="str">
        <f>IF(Atletas!S268="","",IF(Atletas!X268&lt;&gt;"",10000,0)+IF(Atletas!B268="Feminino",1000,IF(Atletas!B268="Masculino",2000,""))+IF(Atletas!S268="Gun A",701,IF(Atletas!S268="Qiang A",702,IF(Atletas!S268="Pudao / Guandao A",703,IF(Atletas!S268="Outra Arma Longa A",704,IF(Atletas!S268="Gun B",705,IF(Atletas!S268="Qiang B",706,IF(Atletas!S268="Pudao / Guandao B",707,IF(Atletas!S268="Outra Arma Longa B",708,IF(Atletas!S268="Gun C",709,IF(Atletas!S268="Qiang C",710,IF(Atletas!S268="Pudao / Guandao C",711,IF(Atletas!S268="Outra Arma Longa C",712,IF(Atletas!S268="Gun D",713,IF(Atletas!S268="Qiang D",714,IF(Atletas!S268="Pudao / Guandao D",715,IF(Atletas!S268="Outra Arma Longa D",716,IF(Atletas!S268="Gun E",717,IF(Atletas!S268="Qiang E",718,IF(Atletas!S268="Pudao / Guandao E",719,IF(Atletas!S268="Outra Arma Longa E",720,IF(Atletas!S268="Gun F",721,IF(Atletas!S268="Qiang F",722,IF(Atletas!S268="Pudao / Guandao F",723,IF(Atletas!S268="Outra Arma Longa F",724,"")))))))))))))))))))))))))</f>
        <v/>
      </c>
      <c r="CB277" s="50" t="str">
        <f>IF(Atletas!T268="","",IF(Atletas!X268&lt;&gt;"",10000,0)+IF(Atletas!B268="Feminino",1000,IF(Atletas!B268="Masculino",2000,""))+IF(Atletas!T268="Outra Arma Dupla A",801,IF(Atletas!T268="Arma Maleável A",802,IF(Atletas!T268="Outra Arma Dupla B",803,IF(Atletas!T268="Arma Maleável B",804,IF(Atletas!T268="Outra Arma Dupla C",805,IF(Atletas!T268="Arma Maleável C",806,IF(Atletas!T268="Outra Arma Dupla D",807,IF(Atletas!T268="Arma Maleável D",808,IF(Atletas!T268="Outra Arma Dupla E",809,IF(Atletas!T268="Arma Maleável E",810,IF(Atletas!T268="Outra Arma Dupla F",811,IF(Atletas!T268="Arma Maleável F",812,IF(Atletas!T268="Shuangdao A",813,IF(Atletas!T268="Shuangdao B",814,IF(Atletas!T268="Shuangdao C",815,IF(Atletas!T268="Shuangdao D",816,IF(Atletas!T268="Shuangdao E",817,IF(Atletas!T268="Shuangdao F",818,"")))))))))))))))))))</f>
        <v/>
      </c>
      <c r="CC277" s="50" t="str">
        <f>IF(Atletas!U268="","",IF(Atletas!X268&lt;&gt;"",10000,0)+IF(Atletas!B268="Feminino",1000,IF(Atletas!B268="Masculino",2000,""))+IF(OR(Atletas!U268="Taijijian Yang A",Atletas!U268="Taijijian Yang Standard A"),901,IF(OR(Atletas!U268="Taijijian Chen A", Atletas!U268="Taijijian Chen Standard A"),902,IF(Atletas!U268="Taijijian Sun A",903,IF(Atletas!U268="Taijijian Wu A",904,IF(Atletas!U268="Taijijian Wu-Hao A",905,IF(OR(Atletas!U268="Taijijian 32 A",Atletas!U268="Taijijian 42 A"),906,IF(OR(Atletas!U268="Taijijian Yang B",Atletas!U268="Taijijian Yang Standard B"),907,IF(OR(Atletas!U268="Taijijian Chen B", Atletas!U268="Taijijian Chen Standard B"),908,IF(Atletas!U268="Taijijian Sun B",909,IF(Atletas!U268="Taijijian Wu B",910,IF(Atletas!U268="Taijijian Wu-Hao B",911,IF(OR(Atletas!U268="Taijijian 32 B",Atletas!U268="Taijijian 42 B"),912,IF(OR(Atletas!U268="Taijijian Yang C",Atletas!U268="Taijijian Yang Standard C"),913,IF(OR(Atletas!U268="Taijijian Chen C", Atletas!U268="Taijijian Chen Standard C"),914,IF(Atletas!U268="Taijijian Sun C",915,IF(Atletas!U268="Taijijian Wu C",916,IF(Atletas!U268="Taijijian Wu-Hao C",917,IF(OR(Atletas!U268="Taijijian 32 C",Atletas!U268="Taijijian 42 C"),918,IF(OR(Atletas!U268="Taijijian Yang D",Atletas!U268="Taijijian Yang Standard D"),919,IF(OR(Atletas!U268="Taijijian Chen D", Atletas!U268="Taijijian Chen Standard D"),920,IF(Atletas!U268="Taijijian Sun D",921,IF(Atletas!U268="Taijijian Wu D",922,IF(Atletas!U268="Taijijian Wu-Hao D",923,IF(OR(Atletas!U268="Taijijian 32 D",Atletas!U268="Taijijian 42 D"),924,IF(OR(Atletas!U268="Taijijian Yang E",Atletas!U268="Taijijian Yang Standard E"),925,IF(OR(Atletas!U268="Taijijian Chen E", Atletas!U268="Taijijian Chen Standard E"),926,IF(Atletas!U268="Taijijian Sun E",927,IF(Atletas!U268="Taijijian Wu E",928,IF(Atletas!U268="Taijijian Wu-Hao E",929,IF(OR(Atletas!U268="Taijijian 32 E",Atletas!U268="Taijijian 42 E"),930,IF(OR(Atletas!U268="Taijijian Yang F",Atletas!U268="Taijijian Yang Standard F"),931,IF(OR(Atletas!U268="Taijijian Chen F", Atletas!U268="Taijijian Chen Standard F"),932,IF(Atletas!U268="Taijijian Sun F",933,IF(Atletas!U268="Taijijian Wu F",934,IF(Atletas!U268="Taijijian Wu-Hao F",935,IF(OR(Atletas!U268="Taijijian 32 F",Atletas!U268="Taijijian 42 F"),936,"")))))))))))))))))))))))))))))))))))))</f>
        <v/>
      </c>
      <c r="CD277" s="50" t="str">
        <f>IF(Atletas!V268="","",IF(Atletas!X268&lt;&gt;"",10000,0)+IF(Atletas!B268="Feminino",1000,IF(Atletas!B268="Masculino",2000,""))+IF(Atletas!V268="Taijidao A",937,IF(Atletas!V268="TaijiShanzi A",938,IF(Atletas!V268="Taijiqiang A",939,IF(Atletas!V268="Bagua de Arma A",940,IF(Atletas!V268="Xingyi de Arma A",941,IF(Atletas!V268="Taijidao B",942,IF(Atletas!V268="TaijiShanzi B",943,IF(Atletas!V268="Taijiqiang B",944,IF(Atletas!V268="Bagua de Arma B",945,IF(Atletas!V268="Xingyi de Arma B",946,IF(Atletas!V268="Taijidao C",947,IF(Atletas!V268="TaijiShanzi C",948,IF(Atletas!V268="Taijiqiang C",949,IF(Atletas!V268="Bagua de Arma C",950,IF(Atletas!V268="Xingyi de Arma C",951,IF(Atletas!V268="Taijidao D",952,IF(Atletas!V268="TaijiShanzi D",953,IF(Atletas!V268="Taijiqiang D",954,IF(Atletas!V268="Bagua de Arma D",955,IF(Atletas!V268="Xingyi de Arma D",956,IF(Atletas!V268="Taijidao E",957,IF(Atletas!V268="TaijiShanzi E",958,IF(Atletas!V268="Taijiqiang E",959,IF(Atletas!V268="Bagua de Arma E",960,IF(Atletas!V268="Xingyi de Arma E",961,IF(Atletas!V268="Taijidao F",962,IF(Atletas!V268="TaijiShanzi F",963,IF(Atletas!V268="Taijiqiang F",964,IF(Atletas!V268="Bagua de Arma F",965,IF(Atletas!V268="Xingyi de Arma F",966,"")))))))))))))))))))))))))))))))</f>
        <v/>
      </c>
      <c r="CE277" s="66" t="str">
        <f>IF(CF277&lt;&gt;"","Pudao / Guandao E","")</f>
        <v/>
      </c>
      <c r="CF277" s="66" t="str">
        <f>IF(COUNTIF(BR:CD,1719)&gt;0,COUNTIF(BR:CD,1719),"")</f>
        <v/>
      </c>
      <c r="CG277" s="66" t="str">
        <f>IF(CH277&lt;&gt;"","Pudao / Guandao E","")</f>
        <v/>
      </c>
      <c r="CH277" s="66" t="str">
        <f>IF(COUNTIF(BR:CD,2719)&gt;0,COUNTIF(BR:CD,2719),"")</f>
        <v/>
      </c>
      <c r="CI277" s="66" t="str">
        <f>IF(CJ278&lt;&gt;"","Outra Arma Maleável A","")</f>
        <v/>
      </c>
      <c r="CJ277" s="66" t="str">
        <f>IF(COUNTIF(BR:CD,11801)&gt;0,COUNTIF(BR:CD,11801),"")</f>
        <v/>
      </c>
      <c r="CK277" s="66" t="str">
        <f>IF(CL277&lt;&gt;"","Outra Arma Dupla A","")</f>
        <v/>
      </c>
      <c r="CL277" s="66" t="str">
        <f>IF(COUNTIF(BR:CD,12801)&gt;0,COUNTIF(BR:CD,12801),"")</f>
        <v/>
      </c>
      <c r="CM277" s="50" t="str">
        <f xml:space="preserve"> IF(Atletas!W268="","",IF(Atletas!W268="Duilian de Mãos BC - Equipe 1",1,IF(Atletas!W268="Duilian de Mãos BC - Equipe 2",2,IF(Atletas!W268="Duilian de Armas BC - Equipe 1",3,IF(Atletas!W268="Duilian de Armas BC - Equipe 2",4,IF(Atletas!W268="Duilian de Mãos DE - Equipe 1",5,IF(Atletas!W268="Duilian de Mãos DE - Equipe 2",6,IF(Atletas!W268="Duilian de Armas DE - Equipe 1",7,IF(Atletas!W268="Duilian de Armas DE - Equipe 2",8,IF(Atletas!W268="Duilian de Tuishou - Equipe 1",9,IF(Atletas!W268="Duilian de Tuishou - Equipe 2",10,IF(Atletas!W268="Grupo Externo ABC - Equipe 1",11,IF(Atletas!W268="Grupo Externo ABC - Equipe 2",12,IF(Atletas!W268="Grupo Interno ABC - Equipe 1",13,IF(Atletas!W268="Grupo Interno ABC - Equipe 2",14,IF(Atletas!W268="Grupo Externo DEF - Equipe 1",15,IF(Atletas!W268="Grupo Externo DEF - Equipe 2",16,IF(Atletas!W268="Grupo Interno DEF - Equipe 1",17,IF(Atletas!W268="Grupo Interno DEF - Equipe 2",18,"")))))))))))))))))))</f>
        <v/>
      </c>
    </row>
    <row r="278" spans="2:91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 t="str">
        <f t="array" ref="Z278">IFERROR(INDEX(CE$7:CE$348,SMALL(IF(CE$7:CE$348&lt;&gt;"",ROW(CE$7:CE$348)-ROW(CE$7)+1),ROWS(CE$7:CE277))),"")</f>
        <v/>
      </c>
      <c r="AA278" s="3" t="str">
        <f t="array" ref="AA278">IFERROR(INDEX(CF$7:CF$348,SMALL(IF(CF$7:CF$348&lt;&gt;"",ROW(CF$7:CF$348)-ROW(CF$7)+1),ROWS(CF$7:CF277))),"")</f>
        <v/>
      </c>
      <c r="AB278" s="3" t="str">
        <f t="array" ref="AB278">IFERROR(INDEX(CG$7:CG$348,SMALL(IF(CG$7:CG$348&lt;&gt;"",ROW(CG$7:CG$348)-ROW(CG$7)+1),ROWS(CG$7:CG277))),"")</f>
        <v/>
      </c>
      <c r="AC278" s="3" t="str">
        <f t="array" ref="AC278">IFERROR(INDEX(CH$7:CH$348,SMALL(IF(CH$7:CH$348&lt;&gt;"",ROW(CH$7:CH$348)-ROW(CH$7)+1),ROWS(CH$7:CH277))),"")</f>
        <v/>
      </c>
      <c r="AD278" s="3" t="str">
        <f t="array" ref="AD278">IFERROR(INDEX(CI$7:CI$377,SMALL(IF(CI$7:CI$377&lt;&gt;"",ROW(CI$7:CI$377)-ROW(CI$7)+1),ROWS(CI$7:CI276))),"")</f>
        <v/>
      </c>
      <c r="AE278" s="3" t="str">
        <f t="array" ref="AE278">IFERROR(INDEX(CJ$7:CJ$378,SMALL(IF(CJ$7:CJ$378&lt;&gt;"",ROW(CJ$7:CJ$378)-ROW(CJ$7)+1),ROWS(CJ$7:CJ277))),"")</f>
        <v/>
      </c>
      <c r="AF278" s="3" t="str">
        <f t="array" ref="AF278">IFERROR(INDEX(CK$7:CK$378,SMALL(IF(CK$7:CK$378&lt;&gt;"",ROW(CK$7:CK$378)-ROW(CK$7)+1),ROWS(CK$7:CK277))),"")</f>
        <v/>
      </c>
      <c r="AG278" s="3" t="str">
        <f t="array" ref="AG278">IFERROR(INDEX(CL$7:CL$378,SMALL(IF(CL$7:CL$378&lt;&gt;"",ROW(CL$7:CL$378)-ROW(CL$7)+1),ROWS(CL$7:CL277))),"")</f>
        <v/>
      </c>
      <c r="AH278" s="3"/>
      <c r="AI278" s="3"/>
      <c r="AJ278" s="3"/>
      <c r="AK278" s="3"/>
      <c r="AL278" s="3"/>
      <c r="AM278" s="3"/>
      <c r="AN278" s="52" t="str">
        <f>IF(Atletas!D269="","",IF(Atletas!B269="Feminino",100,IF(Atletas!B269="Masculino",200,""))+(IF(Atletas!D269="Kids 30kg",1,IF(Atletas!D269="Kids 32kg",2, IF(Atletas!D269="Kids 34kg",3,IF(Atletas!D269="Kids 36kg",4,IF(Atletas!D269="Kids 39kg",5,IF(Atletas!D269="Kids 42kg",6,IF(Atletas!D269="Kids 45kg",7, IF(Atletas!D269="Infantil 39kg",8,IF(Atletas!D269="Infantil 42kg",9,IF(Atletas!D269="Infantil 45kg",10,IF(Atletas!D269="Infantil 48kg",11,IF(Atletas!D269="Infantil 52kg",12,IF(Atletas!D269="Infantil 56kg",13,IF(Atletas!D269="Infantil 60kg",14,IF(Atletas!D269="Juvenil 48kg",15,IF(Atletas!D269="Juvenil 52kg",16,IF(Atletas!D269="Juvenil 56kg",17,IF(Atletas!D269="Juvenil 60kg",18,IF(Atletas!D269="Juvenil 65kg",19,IF(Atletas!D269="Juvenil 70kg",20,IF(Atletas!D269="Juvenil 75kg",21,IF(Atletas!D269="Juvenil 80kg",22, IF(Atletas!D269="Juvenil 85kg",23,IF(Atletas!D269="Adulto 48kg",24,IF(Atletas!D269="Adulto 52kg",25,IF(Atletas!D269="Adulto 56kg",26,IF(Atletas!D269="Adulto 60kg",27,IF(Atletas!D269="Adulto 65kg",28,IF(Atletas!D269="Adulto 70kg",29,IF(Atletas!D269="Adulto 75kg",30,IF(Atletas!D269="Adulto 80kg",31,IF(Atletas!D269="Adulto 85kg",32,IF(Atletas!D269="Adulto 90kg",33,IF(Atletas!D269="Adulto 100kg",34, IF(Atletas!D269="Adulto +100kg",35,"")))))))))))))))))))))))))))))))))))))</f>
        <v/>
      </c>
      <c r="AS278" s="6" t="str">
        <f>IF(Atletas!E269="","",IF(Atletas!B269="Feminino",100,IF(Atletas!B269="Masculino",200,""))+(IF(Atletas!E269="Juvenil 44kg",1,IF(Atletas!E269="Juvenil 48kg",2,IF(Atletas!E269="Juvenil 52kg",3,IF(Atletas!E269="Juvenil 56kg",4,IF(Atletas!E269="Juvenil 60kg",5,IF(Atletas!E269="Juvenil 65kg",6,IF(Atletas!E269="Juvenil 70kg",7,IF(Atletas!E269="Juvenil 75kg",8,IF(Atletas!E269="Juvenil 82kg",9,IF(Atletas!E269="Juvenil 90kg",10,IF(Atletas!E269="Juvenil 100kg",11,IF(Atletas!E269="Adulto 48kg",12,IF(Atletas!E269="Adulto 52kg",13,IF(Atletas!E269="Adulto 56kg",14,IF(Atletas!E269="Adulto 60kg",15,IF(Atletas!E269="Adulto 65kg",16,IF(Atletas!E269="Adulto 70kg",17,IF(Atletas!E269="Adulto 75kg",18,IF(Atletas!E269="Adulto 82kg",19,IF(Atletas!E269="Adulto 90kg",20,IF(Atletas!E269="Adulto 100kg",21,IF(Atletas!E269="Adulto +100kg",22,""))))))))))))))))))))))))</f>
        <v/>
      </c>
      <c r="AX278" s="6" t="str">
        <f>IF(Atletas!F269="","",IF(Atletas!B269="Feminino",100,IF(Atletas!B269="Masculino",200,""))+(IF(Atletas!F269="Adulto 48kg",1,IF(Atletas!F269="Adulto 56kg",2,IF(Atletas!F269="Adulto 65kg",3,IF(Atletas!F269="Adulto 75kg",4,IF(Atletas!F269="Adulto +75kg",5,IF(Atletas!F269="Adulto 52kg",6,IF(Atletas!F269="Adulto 60kg",7,IF(Atletas!F269="Adulto 70kg",8,IF(Atletas!F269="Adulto 80kg",9,IF(Atletas!F269="Adulto 90kg",10,IF(Atletas!F269="Adulto +90kg",11,"")))))))))))))</f>
        <v/>
      </c>
      <c r="BC278" s="6" t="str">
        <f>IF(Atletas!G269="","",IF(Atletas!B269="Feminino",10,IF(Atletas!B269="Masculino",20,""))+(IF(Atletas!G269="Baduanjin A",1,IF(Atletas!G269="Baduanjin B",2))))</f>
        <v/>
      </c>
      <c r="BF278" s="52" t="str">
        <f>IF(Atletas!H269="","",IF(Atletas!B269="Feminino",100,IF(Atletas!B269="Masculino",200,""))+(IF(Atletas!H269="Changquan Mirim",1,IF(Atletas!H269="Nanquan Mirim",2,IF(Atletas!H269="Taijiquan Mirim",3,IF(Atletas!H269="Changquan Grupo C",4,IF(Atletas!H269="Nanquan Grupo C",5,IF(Atletas!H269="Taijiquan Grupo C",6,IF(Atletas!H269="Changquan Grupo B",7,IF(Atletas!H269="Nanquan Grupo B",8,IF(Atletas!H269="Taijiquan Grupo B",9,IF(Atletas!H269="Changquan Grupo A",10,IF(Atletas!H269="Nanquan Grupo A",11,IF(Atletas!H269="Taijiquan Grupo A",12,IF(Atletas!H269="Changquan Opcional",13,IF(Atletas!H269="Nanquan Opcional",14,IF(Atletas!H269="Taijiquan Opcional",15,IF(Atletas!H269="Changquan Adulto",16,IF(Atletas!H269="Nanquan Adulto",17,IF(Atletas!H269="Taijiquan Adulto",18,""))))))))))))))))))))</f>
        <v/>
      </c>
      <c r="BG278" s="52" t="str">
        <f>IF(Atletas!I269="","",IF(Atletas!B269="Feminino",100,IF(Atletas!B269="Masculino",200,""))+(IF(Atletas!I269="Daoshu Mirim",19,IF(Atletas!I269="Jianshu Mirim",20,IF(Atletas!I269="Nandao Mirim",21,IF(Atletas!I269="Taijijian Mirim",22,IF(Atletas!I269="Daoshu Grupo C",23,IF(Atletas!I269="Jianshu Grupo C",24,IF(Atletas!I269="Nandao Grupo C",25,IF(Atletas!I269="Taijijian Grupo C",26,IF(Atletas!I269="Daoshu Grupo B",27,IF(Atletas!I269="Jianshu Grupo B",28,IF(Atletas!I269="Nandao Grupo B",29,IF(Atletas!I269="Taijijian Grupo B",30,IF(Atletas!I269="Daoshu Grupo A",31,IF(Atletas!I269="Jianshu Grupo A",32,IF(Atletas!I269="Nandao Grupo A",33,IF(Atletas!I269="Taijijian Grupo A",34,IF(Atletas!I269="Daoshu Opcional",35,IF(Atletas!I269="Jianshu Opcional",36,IF(Atletas!I269="Nandao Opcional",37,IF(Atletas!I269="Taijijian Opcional",38,IF(Atletas!I269="Daoshu Adulto",39,IF(Atletas!I269="Jianshu Adulto",40,IF(Atletas!I269="Nandao Adulto",41,IF(Atletas!I269="Taijijian Adulto",42,""))))))))))))))))))))))))))</f>
        <v/>
      </c>
      <c r="BH278" s="52" t="str">
        <f>IF(Atletas!J269="","",IF(Atletas!B269="Feminino",100,IF(Atletas!B269="Masculino",200,""))+(IF(Atletas!J269="Gunshu Mirim",43,IF(Atletas!J269="Qiangshu Mirim",44,IF(Atletas!J269="Nangun Mirim",45,IF(Atletas!J269="Gunshu Grupo C",46,IF(Atletas!J269="Qiangshu Grupo C",47,IF(Atletas!J269="Nangun Grupo C",48,IF(Atletas!J269="Gunshu Grupo B",49,IF(Atletas!J269="Qiangshu Grupo B",50,IF(Atletas!J269="Nangun Grupo B",51,IF(Atletas!J269="Gunshu Grupo A",52,IF(Atletas!J269="Qiangshu Grupo A",53,IF(Atletas!J269="Nangun Grupo A",54,IF(Atletas!J269="Gunshu Opcional",55,IF(Atletas!J269="Qiangshu Opcional",56,IF(Atletas!J269="Nangun Opcional",57,IF(Atletas!J269="Gunshu Adulto",58,IF(Atletas!J269="Qiangshu Adulto",59,IF(Atletas!J269="Nangun Adulto",60,IF(Atletas!J269="Taijishan Grupo B",61,IF(Atletas!J269="Taijishan Grupo A",62,""))))))))))))))))))))))</f>
        <v/>
      </c>
      <c r="BM278" s="50" t="str">
        <f>IF(Atletas!K269="","",IF(Atletas!B269="Feminino",100,IF(Atletas!B269="Masculino",200,""))+(IF(Atletas!K269="Equipe 1 Grupo B",1,IF(Atletas!K269="Equipe 2 Grupo B",2,IF(Atletas!K269="Equipe 1 Grupo A",3,IF(Atletas!K269="Equipe 2 Grupo A",4,IF(Atletas!K269="Equipe 1 Adulto",5,IF(Atletas!K269="Equipe 2 Adulto",6,""))))))))</f>
        <v/>
      </c>
      <c r="BR278" s="50" t="str">
        <f>IF(Atletas!L269="","",IF(Atletas!X269&lt;&gt;"",10000,0)+(IF(Atletas!B269="Feminino",1000,IF(Atletas!B269="Masculino",2000,""))+IF(Atletas!L269="Choylayfut A",1,IF(Atletas!L269="Hunggar A",2,IF(Atletas!L269="Wuzuquan A",3,IF(Atletas!L269="Wingchun A",4,IF(Atletas!L269="Outra Mão de Sul A",5,IF(Atletas!L269="Choylayfut B",6,IF(Atletas!L269="Hunggar B",7,IF(Atletas!L269="Wuzuquan B",8,IF(Atletas!L269="Wingchun B",9,IF(Atletas!L269="Outra Mão de Sul B",10,IF(Atletas!L269="Choylayfut C",11,IF(Atletas!L269="Hunggar C",12,IF(Atletas!L269="Wuzuquan C",13,IF(Atletas!L269="Wingchun C",14,IF(Atletas!L269="Outra Mão de Sul C",15,IF(Atletas!L269="Choylayfut D",16,IF(Atletas!L269="Hunggar D",17,IF(Atletas!L269="Wuzuquan D",18,IF(Atletas!L269="Wingchun D",19,IF(Atletas!L269="Outra Mão de Sul D",20,IF(Atletas!L269="Choylayfut E",21,IF(Atletas!L269="Hunggar E",22,IF(Atletas!L269="Wuzuquan E",23,IF(Atletas!L269="Wingchun E",24,IF(Atletas!L269="Outra Mão de Sul E",25,IF(Atletas!L269="Choylayfut F",26,IF(Atletas!L269="Hunggar F",27,IF(Atletas!L269="Wuzuquan F",28,IF(Atletas!L269="Wingchun F",29,IF(Atletas!L269="Outra Mão de Sul F",30,IF(Atletas!L269="Dishuquan A",31,IF(Atletas!L269="Dishuquan B",32,IF(Atletas!L269="Dishuquan C",33,IF(Atletas!L269="Dishuquan D",34,IF(Atletas!L269="Dishuquan E",35,IF(Atletas!L269="Dishuquan F",36,""))))))))))))))))))))))))))))))))))))))</f>
        <v/>
      </c>
      <c r="BS278" s="50" t="str">
        <f>IF(Atletas!M269="","",IF(Atletas!X269&lt;&gt;"",10000,0)+(IF(Atletas!B269="Feminino",1000,IF(Atletas!B269="Masculino",2000,""))+(IF(Atletas!M269="Chaquan A",101,IF(Atletas!M269="Emeiquan A",102,IF(Atletas!M269="Fanziquan A",103,IF(Atletas!M269="Huaquan A",104,IF(Atletas!M269="Hongquan A",105,IF(Atletas!M269="Paoquan A",106,IF(Atletas!M269="Piguaquan A",107,IF(Atletas!M269="Shaolinquan A",108,IF(Atletas!M269="Tanglangquan A",109,IF(Atletas!M269="Yingzhaoquan A",110,IF(Atletas!M269="Tongbeiquan A",111,IF(Atletas!M269="Wudangquan A",112,IF(Atletas!M269="Outros Estilos A",113,IF(Atletas!M269="Chaquan B",114,IF(Atletas!M269="Emeiquan B",115,IF(Atletas!M269="Fanziquan B",116,IF(Atletas!M269="Huaquan B",117,IF(Atletas!M269="Hongquan B",118,IF(Atletas!M269="Paoquan B",119,IF(Atletas!M269="Piguaquan B",120,IF(Atletas!M269="Shaolinquan B",121,IF(Atletas!M269="Tanglangquan B",122,IF(Atletas!M269="Yingzhaoquan B",123,IF(Atletas!M269="Tongbeiquan B",124,IF(Atletas!M269="Wudangquan B",125,IF(Atletas!M269="Outros Estilos B",126,IF(Atletas!M269="Chaquan C",127,IF(Atletas!M269="Emeiquan C",128,IF(Atletas!M269="Fanziquan C",129,IF(Atletas!M269="Huaquan C",130,IF(Atletas!M269="Hongquan C",131,IF(Atletas!M269="Paoquan C",132,IF(Atletas!M269="Piguaquan C",133,IF(Atletas!M269="Shaolinquan C",134,IF(Atletas!M269="Tanglangquan C",135,IF(Atletas!M269="Yingzhaoquan C",136,IF(Atletas!M269="Tongbeiquan C",137,IF(Atletas!M269="Wudangquan C",138,IF(Atletas!M269="Outros Estilos C",139,0))))))))))))))))))))))))))))))))))))))))))</f>
        <v/>
      </c>
      <c r="BT278" s="50" t="str">
        <f>IF(Atletas!M269="","",IF(Atletas!X269&lt;&gt;"",10000,0)+(IF(Atletas!B269="Feminino",1000,IF(Atletas!B269="Masculino",2000,""))+(IF(Atletas!M269="Chaquan D",140,IF(Atletas!M269="Emeiquan D",141,IF(Atletas!M269="Fanziquan D",142,IF(Atletas!M269="Huaquan D",143,IF(Atletas!M269="Hongquan D",144,IF(Atletas!M269="Paoquan D",145,IF(Atletas!M269="Piguaquan D",146,IF(Atletas!M269="Shaolinquan D",147,IF(Atletas!M269="Tanglangquan D",148,IF(Atletas!M269="Yingzhaoquan D",149,IF(Atletas!M269="Tongbeiquan D",150,IF(Atletas!M269="Wudangquan D",151,IF(Atletas!M269="Outros Estilos D",152,IF(Atletas!M269="Chaquan E",153,IF(Atletas!M269="Emeiquan E",154,IF(Atletas!M269="Fanziquan E",155,IF(Atletas!M269="Huaquan E",156,IF(Atletas!M269="Hongquan E",157,IF(Atletas!M269="Paoquan E",158,IF(Atletas!M269="Piguaquan E",159,IF(Atletas!M269="Shaolinquan E",160,IF(Atletas!M269="Tanglangquan E",161,IF(Atletas!M269="Yingzhaoquan E",162,IF(Atletas!M269="Tongbeiquan E",163,IF(Atletas!M269="Wudangquan E",164,IF(Atletas!M269="Outros Estilos E",165,IF(Atletas!M269="Chaquan F",166,IF(Atletas!M269="Emeiquan F",167,IF(Atletas!M269="Fanziquan F",168,IF(Atletas!M269="Huaquan F",169,IF(Atletas!M269="Hongquan F",170,IF(Atletas!M269="Paoquan F",171,IF(Atletas!M269="Piguaquan F",172,IF(Atletas!M269="Shaolinquan F",173,IF(Atletas!M269="Tanglangquan F",174,IF(Atletas!M269="Yingzhaoquan F",175,IF(Atletas!M269="Tongbeiquan F",176,IF(Atletas!M269="Wudangquan F",177,IF(Atletas!M269="Outros Estilos F",178,0))))))))))))))))))))))))))))))))))))))))))</f>
        <v/>
      </c>
      <c r="BU278" s="50" t="str">
        <f>IF(Atletas!N269="","",IF(Atletas!X269&lt;&gt;"",10000,0)+(IF(Atletas!B269="Feminino",1000,IF(Atletas!B269="Masculino",2000,""))+(IF(Atletas!N269="Ditangquan A",201,IF(Atletas!N269="Houquan A",202,IF(Atletas!N269="Zuiquan A",203,IF(Atletas!N269="Ditangquan B",204,IF(Atletas!N269="Houquan B",205,IF(Atletas!N269="Zuiquan B",206,IF(Atletas!N269="Ditangquan C",207,IF(Atletas!N269="Houquan C",208,IF(Atletas!N269="Zuiquan C",209,IF(Atletas!N269="Ditangquan D",210,IF(Atletas!N269="Houquan D",211,IF(Atletas!N269="Zuiquan D",212,IF(Atletas!N269="Ditangquan E",213,IF(Atletas!N269="Houquan E",214,IF(Atletas!N269="Zuiquan E",215,IF(Atletas!N269="Ditangquan F",216,IF(Atletas!N269="Houquan F",217,IF(Atletas!N269="Zuiquan F",218,"")))))))))))))))))))))</f>
        <v/>
      </c>
      <c r="BV278" s="50" t="str">
        <f>IF(Atletas!O269="","",IF(Atletas!X269&lt;&gt;"",10000,0)+IF(Atletas!B269="Feminino",1000,IF(Atletas!B269="Masculino",2000,""))+IF(Atletas!O269="Yang A",301,IF(Atletas!O269="Chen A",302,IF(Atletas!O269="Sun A",303,IF(Atletas!O269="Wu A",304,IF(Atletas!O269="Wu-Hao A",305,IF(Atletas!O269="Outro Taijiquan A",306,IF(Atletas!O269="Yang B",307,IF(Atletas!O269="Chen B",308,IF(Atletas!O269="Sun B",309,IF(Atletas!O269="Wu B",310,IF(Atletas!O269="Wu-Hao B",311,IF(Atletas!O269="Outro Taijiquan B",312,IF(Atletas!O269="Yang C",313,IF(Atletas!O269="Chen C",314,IF(Atletas!O269="Sun C",315,IF(Atletas!O269="Wu C",316,IF(Atletas!O269="Wu-Hao C",317,IF(Atletas!O269="Outro Taijiquan C",318,IF(Atletas!O269="Yang D",319,IF(Atletas!O269="Chen D",320,IF(Atletas!O269="Sun D",321,IF(Atletas!O269="Wu D",322,IF(Atletas!O269="Wu-Hao D",323,IF(Atletas!O269="Outro Taijiquan D",324,IF(Atletas!O269="Yang E",325,IF(Atletas!O269="Chen E",326,IF(Atletas!O269="Sun E",327,IF(Atletas!O269="Wu E",328,IF(Atletas!O269="Wu-Hao E",329,IF(Atletas!O269="Outro Taijiquan E",330,IF(Atletas!O269="Yang F",331,IF(Atletas!O269="Chen F",332,IF(Atletas!O269="Sun F",333,IF(Atletas!O269="Wu F",334,IF(Atletas!O269="Wu-Hao F",335,IF(Atletas!O269="Outro Taijiquan F",336,"")))))))))))))))))))))))))))))))))))))</f>
        <v/>
      </c>
      <c r="BW278" s="50" t="str">
        <f>IF(Atletas!P269="","",IF(Atletas!X269&lt;&gt;"",10000,0)+IF(Atletas!B269="Feminino",1000,IF(Atletas!B269="Masculino",2000,""))+IF(OR(Atletas!P269="Yang 26 A",Atletas!P269="Yang 40 A"),401,IF(OR(Atletas!P269="Chen 25 A",Atletas!P269="Chen 36 A",Atletas!P269="Chen 56 A"),402,IF(Atletas!P269="Sun 73 A",403,IF(Atletas!P269="Wu 45 A",404,IF(Atletas!P269="Wu-Hao 46 A",405,IF(OR(Atletas!P269="Taijiquan 16 A",Atletas!P269="Taijiquan 24 A",Atletas!P269="Taijiquan 32 A",Atletas!P269="Taijiquan 42 A"),406,IF(OR(Atletas!P269="Yang 26 B",Atletas!P269="Yang 40 B"),407,IF(OR(Atletas!P269="Chen 25 B",Atletas!P269="Chen 36 B",Atletas!P269="Chen 56 B"),408,IF(Atletas!P269="Sun 73 B",409,IF(Atletas!P269="Wu 45 B",410,IF(Atletas!P269="Wu-Hao 46 B",411,IF(OR(Atletas!P269="Taijiquan 16 B",Atletas!P269="Taijiquan 24 B",Atletas!P269="Taijiquan 32 B",Atletas!P269="Taijiquan 42 B"),412,IF(OR(Atletas!P269="Yang 26 C",Atletas!P269="Yang 40 C"),413,IF(OR(Atletas!P269="Chen 25 C",Atletas!P269="Chen 36 C",Atletas!P269="Chen 56 C"),414,IF(Atletas!P269="Sun 73 C",415,IF(Atletas!P269="Wu 45 C",416,IF(Atletas!P269="Wu-Hao 46 C",417,IF(OR(Atletas!P269="Taijiquan 16 C",Atletas!P269="Taijiquan 24 C",Atletas!P269="Taijiquan 32 C",Atletas!P269="Taijiquan 42 C"),418,0)))))))))))))))))))</f>
        <v/>
      </c>
      <c r="BX278" s="50" t="str">
        <f>IF(Atletas!P269="","",IF(Atletas!X269&lt;&gt;"",10000,0)+IF(Atletas!B269="Feminino",1000,IF(Atletas!B269="Masculino",2000,""))+IF(OR(Atletas!P269="Yang 26 D",Atletas!P269="Yang 40 D"),419,IF(OR(Atletas!P269="Chen 25 D",Atletas!P269="Chen 36 D",Atletas!P269="Chen 56 D"),420,IF(Atletas!P269="Sun 73 D",421,IF(Atletas!P269="Wu 45 D",422,IF(Atletas!P269="Wu-Hao 46 D",423,IF(OR(Atletas!P269="Taijiquan 16 D",Atletas!P269="Taijiquan 24 D",Atletas!P269="Taijiquan 32 D",Atletas!P269="Taijiquan 42 D"),424,IF(OR(Atletas!P269="Yang 26 E",Atletas!P269="Yang 40 E"),425,IF(OR(Atletas!P269="Chen 25 E",Atletas!P269="Chen 36 E",Atletas!P269="Chen 56 E"),426,IF(Atletas!P269="Sun 73 E",427,IF(Atletas!P269="Wu 45 E",428,IF(Atletas!P269="Wu-Hao 46 E",429,IF(OR(Atletas!P269="Taijiquan 16 E",Atletas!P269="Taijiquan 24 E",Atletas!P269="Taijiquan 32 E",Atletas!P269="Taijiquan 42 E"),430,IF(OR(Atletas!P269="Yang 26 F",Atletas!P269="Yang 40 F"),431,IF(OR(Atletas!P269="Chen 25 F",Atletas!P269="Chen 36 F",Atletas!P269="Chen 56 F"),432,IF(Atletas!P269="Sun 73 F",433,IF(Atletas!P269="Wu 45 F",434,IF(Atletas!P269="Wu-Hao 46 F",435,IF(OR(Atletas!P269="Taijiquan 16 F",Atletas!P269="Taijiquan 24 F",Atletas!P269="Taijiquan 32 F",Atletas!P269="Taijiquan 42 F"),436,0)))))))))))))))))))</f>
        <v/>
      </c>
      <c r="BY278" s="50" t="str">
        <f>IF(Atletas!Q269="","",IF(Atletas!X269&lt;&gt;"",10000,0)+IF(Atletas!B269="Feminino",1000,IF(Atletas!B269="Masculino",2000,""))+IF(Atletas!Q269="Xingyiquan A",501,IF(Atletas!Q269="Baguazhang A",502,IF(Atletas!Q269="Outro Estilo Interno A",503,IF(Atletas!Q269="Xingyiquan B",504,IF(Atletas!Q269="Baguazhang B",505,IF(Atletas!Q269="Outro Estilo Interno B",506,IF(Atletas!Q269="Xingyiquan C",507,IF(Atletas!Q269="Baguazhang C",508,IF(Atletas!Q269="Outro Estilo Interno C",509,IF(Atletas!Q269="Xingyiquan D",510,IF(Atletas!Q269="Baguazhang D",511,IF(Atletas!Q269="Outro Estilo Interno D",512,IF(Atletas!Q269="Xingyiquan E",513,IF(Atletas!Q269="Baguazhang E",514,IF(Atletas!Q269="Outro Estilo Interno E",515,IF(Atletas!Q269="Xingyiquan F",516,IF(Atletas!Q269="Baguazhang F",517,IF(Atletas!Q269="Outro Estilo Interno F",518, "")))))))))))))))))))</f>
        <v/>
      </c>
      <c r="BZ278" s="50" t="str">
        <f>IF(Atletas!R269="","",IF(Atletas!X269&lt;&gt;"",10000,0)+IF(Atletas!B269="Feminino",1000,IF(Atletas!B269="Masculino",2000,""))+IF(Atletas!R269="Dao A",601,IF(Atletas!R269="Jian A",602,IF(Atletas!R269="Bishou A",603,IF(Atletas!R269="Shanzi A",604,IF(Atletas!R269="Outra Arma Curta A",605,IF(Atletas!R269="Dao B",606,IF(Atletas!R269="Jian B",607,IF(Atletas!R269="Bishou B",608,IF(Atletas!R269="Shanzi B",609,IF(Atletas!R269="Outra Arma Curta B",610,IF(Atletas!R269="Dao C",611,IF(Atletas!R269="Jian C",612,IF(Atletas!R269="Bishou C",613,IF(Atletas!R269="Shanzi C",614,IF(Atletas!R269="Outra Arma Curta C",615,IF(Atletas!R269="Dao D",616,IF(Atletas!R269="Jian D",617,IF(Atletas!R269="Bishou D",618,IF(Atletas!R269="Shanzi D",619,IF(Atletas!R269="Outra Arma Curta D",620,IF(Atletas!R269="Dao E",621,IF(Atletas!R269="Jian E",622,IF(Atletas!R269="Bishou E",623,IF(Atletas!R269="Shanzi E",624,IF(Atletas!R269="Outra Arma Curta E",625,IF(Atletas!R269="Dao F",626,IF(Atletas!R269="Jian F",627,IF(Atletas!R269="Bishou F",628,IF(Atletas!R269="Shanzi F",629,IF(Atletas!R269="Outra Arma Curta F",630, "")))))))))))))))))))))))))))))))</f>
        <v/>
      </c>
      <c r="CA278" s="50" t="str">
        <f>IF(Atletas!S269="","",IF(Atletas!X269&lt;&gt;"",10000,0)+IF(Atletas!B269="Feminino",1000,IF(Atletas!B269="Masculino",2000,""))+IF(Atletas!S269="Gun A",701,IF(Atletas!S269="Qiang A",702,IF(Atletas!S269="Pudao / Guandao A",703,IF(Atletas!S269="Outra Arma Longa A",704,IF(Atletas!S269="Gun B",705,IF(Atletas!S269="Qiang B",706,IF(Atletas!S269="Pudao / Guandao B",707,IF(Atletas!S269="Outra Arma Longa B",708,IF(Atletas!S269="Gun C",709,IF(Atletas!S269="Qiang C",710,IF(Atletas!S269="Pudao / Guandao C",711,IF(Atletas!S269="Outra Arma Longa C",712,IF(Atletas!S269="Gun D",713,IF(Atletas!S269="Qiang D",714,IF(Atletas!S269="Pudao / Guandao D",715,IF(Atletas!S269="Outra Arma Longa D",716,IF(Atletas!S269="Gun E",717,IF(Atletas!S269="Qiang E",718,IF(Atletas!S269="Pudao / Guandao E",719,IF(Atletas!S269="Outra Arma Longa E",720,IF(Atletas!S269="Gun F",721,IF(Atletas!S269="Qiang F",722,IF(Atletas!S269="Pudao / Guandao F",723,IF(Atletas!S269="Outra Arma Longa F",724,"")))))))))))))))))))))))))</f>
        <v/>
      </c>
      <c r="CB278" s="50" t="str">
        <f>IF(Atletas!T269="","",IF(Atletas!X269&lt;&gt;"",10000,0)+IF(Atletas!B269="Feminino",1000,IF(Atletas!B269="Masculino",2000,""))+IF(Atletas!T269="Outra Arma Dupla A",801,IF(Atletas!T269="Arma Maleável A",802,IF(Atletas!T269="Outra Arma Dupla B",803,IF(Atletas!T269="Arma Maleável B",804,IF(Atletas!T269="Outra Arma Dupla C",805,IF(Atletas!T269="Arma Maleável C",806,IF(Atletas!T269="Outra Arma Dupla D",807,IF(Atletas!T269="Arma Maleável D",808,IF(Atletas!T269="Outra Arma Dupla E",809,IF(Atletas!T269="Arma Maleável E",810,IF(Atletas!T269="Outra Arma Dupla F",811,IF(Atletas!T269="Arma Maleável F",812,IF(Atletas!T269="Shuangdao A",813,IF(Atletas!T269="Shuangdao B",814,IF(Atletas!T269="Shuangdao C",815,IF(Atletas!T269="Shuangdao D",816,IF(Atletas!T269="Shuangdao E",817,IF(Atletas!T269="Shuangdao F",818,"")))))))))))))))))))</f>
        <v/>
      </c>
      <c r="CC278" s="50" t="str">
        <f>IF(Atletas!U269="","",IF(Atletas!X269&lt;&gt;"",10000,0)+IF(Atletas!B269="Feminino",1000,IF(Atletas!B269="Masculino",2000,""))+IF(OR(Atletas!U269="Taijijian Yang A",Atletas!U269="Taijijian Yang Standard A"),901,IF(OR(Atletas!U269="Taijijian Chen A", Atletas!U269="Taijijian Chen Standard A"),902,IF(Atletas!U269="Taijijian Sun A",903,IF(Atletas!U269="Taijijian Wu A",904,IF(Atletas!U269="Taijijian Wu-Hao A",905,IF(OR(Atletas!U269="Taijijian 32 A",Atletas!U269="Taijijian 42 A"),906,IF(OR(Atletas!U269="Taijijian Yang B",Atletas!U269="Taijijian Yang Standard B"),907,IF(OR(Atletas!U269="Taijijian Chen B", Atletas!U269="Taijijian Chen Standard B"),908,IF(Atletas!U269="Taijijian Sun B",909,IF(Atletas!U269="Taijijian Wu B",910,IF(Atletas!U269="Taijijian Wu-Hao B",911,IF(OR(Atletas!U269="Taijijian 32 B",Atletas!U269="Taijijian 42 B"),912,IF(OR(Atletas!U269="Taijijian Yang C",Atletas!U269="Taijijian Yang Standard C"),913,IF(OR(Atletas!U269="Taijijian Chen C", Atletas!U269="Taijijian Chen Standard C"),914,IF(Atletas!U269="Taijijian Sun C",915,IF(Atletas!U269="Taijijian Wu C",916,IF(Atletas!U269="Taijijian Wu-Hao C",917,IF(OR(Atletas!U269="Taijijian 32 C",Atletas!U269="Taijijian 42 C"),918,IF(OR(Atletas!U269="Taijijian Yang D",Atletas!U269="Taijijian Yang Standard D"),919,IF(OR(Atletas!U269="Taijijian Chen D", Atletas!U269="Taijijian Chen Standard D"),920,IF(Atletas!U269="Taijijian Sun D",921,IF(Atletas!U269="Taijijian Wu D",922,IF(Atletas!U269="Taijijian Wu-Hao D",923,IF(OR(Atletas!U269="Taijijian 32 D",Atletas!U269="Taijijian 42 D"),924,IF(OR(Atletas!U269="Taijijian Yang E",Atletas!U269="Taijijian Yang Standard E"),925,IF(OR(Atletas!U269="Taijijian Chen E", Atletas!U269="Taijijian Chen Standard E"),926,IF(Atletas!U269="Taijijian Sun E",927,IF(Atletas!U269="Taijijian Wu E",928,IF(Atletas!U269="Taijijian Wu-Hao E",929,IF(OR(Atletas!U269="Taijijian 32 E",Atletas!U269="Taijijian 42 E"),930,IF(OR(Atletas!U269="Taijijian Yang F",Atletas!U269="Taijijian Yang Standard F"),931,IF(OR(Atletas!U269="Taijijian Chen F", Atletas!U269="Taijijian Chen Standard F"),932,IF(Atletas!U269="Taijijian Sun F",933,IF(Atletas!U269="Taijijian Wu F",934,IF(Atletas!U269="Taijijian Wu-Hao F",935,IF(OR(Atletas!U269="Taijijian 32 F",Atletas!U269="Taijijian 42 F"),936,"")))))))))))))))))))))))))))))))))))))</f>
        <v/>
      </c>
      <c r="CD278" s="50" t="str">
        <f>IF(Atletas!V269="","",IF(Atletas!X269&lt;&gt;"",10000,0)+IF(Atletas!B269="Feminino",1000,IF(Atletas!B269="Masculino",2000,""))+IF(Atletas!V269="Taijidao A",937,IF(Atletas!V269="TaijiShanzi A",938,IF(Atletas!V269="Taijiqiang A",939,IF(Atletas!V269="Bagua de Arma A",940,IF(Atletas!V269="Xingyi de Arma A",941,IF(Atletas!V269="Taijidao B",942,IF(Atletas!V269="TaijiShanzi B",943,IF(Atletas!V269="Taijiqiang B",944,IF(Atletas!V269="Bagua de Arma B",945,IF(Atletas!V269="Xingyi de Arma B",946,IF(Atletas!V269="Taijidao C",947,IF(Atletas!V269="TaijiShanzi C",948,IF(Atletas!V269="Taijiqiang C",949,IF(Atletas!V269="Bagua de Arma C",950,IF(Atletas!V269="Xingyi de Arma C",951,IF(Atletas!V269="Taijidao D",952,IF(Atletas!V269="TaijiShanzi D",953,IF(Atletas!V269="Taijiqiang D",954,IF(Atletas!V269="Bagua de Arma D",955,IF(Atletas!V269="Xingyi de Arma D",956,IF(Atletas!V269="Taijidao E",957,IF(Atletas!V269="TaijiShanzi E",958,IF(Atletas!V269="Taijiqiang E",959,IF(Atletas!V269="Bagua de Arma E",960,IF(Atletas!V269="Xingyi de Arma E",961,IF(Atletas!V269="Taijidao F",962,IF(Atletas!V269="TaijiShanzi F",963,IF(Atletas!V269="Taijiqiang F",964,IF(Atletas!V269="Bagua de Arma F",965,IF(Atletas!V269="Xingyi de Arma F",966,"")))))))))))))))))))))))))))))))</f>
        <v/>
      </c>
      <c r="CE278" s="66" t="str">
        <f>IF(CF278&lt;&gt;"","Outra Arma Longa E","")</f>
        <v/>
      </c>
      <c r="CF278" s="66" t="str">
        <f>IF(COUNTIF(BR:CD,1720)&gt;0,COUNTIF(BR:CD,1720),"")</f>
        <v/>
      </c>
      <c r="CG278" s="66" t="str">
        <f>IF(CH278&lt;&gt;"","Outra Arma Longa E","")</f>
        <v/>
      </c>
      <c r="CH278" s="66" t="str">
        <f>IF(COUNTIF(BR:CD,2720)&gt;0,COUNTIF(BR:CD,2720),"")</f>
        <v/>
      </c>
      <c r="CI278" s="66" t="str">
        <f>IF(CJ279&lt;&gt;"","Outra Arma Dupla B","")</f>
        <v/>
      </c>
      <c r="CJ278" s="66" t="str">
        <f>IF(COUNTIF(BR:CD,11802)&gt;0,COUNTIF(BR:CD,11802),"")</f>
        <v/>
      </c>
      <c r="CK278" s="66" t="str">
        <f>IF(CL278&lt;&gt;"","Outra Arma Maleável A","")</f>
        <v/>
      </c>
      <c r="CL278" s="66" t="str">
        <f>IF(COUNTIF(BR:CD,12802)&gt;0,COUNTIF(BR:CD,12802),"")</f>
        <v/>
      </c>
      <c r="CM278" s="50" t="str">
        <f xml:space="preserve"> IF(Atletas!W269="","",IF(Atletas!W269="Duilian de Mãos BC - Equipe 1",1,IF(Atletas!W269="Duilian de Mãos BC - Equipe 2",2,IF(Atletas!W269="Duilian de Armas BC - Equipe 1",3,IF(Atletas!W269="Duilian de Armas BC - Equipe 2",4,IF(Atletas!W269="Duilian de Mãos DE - Equipe 1",5,IF(Atletas!W269="Duilian de Mãos DE - Equipe 2",6,IF(Atletas!W269="Duilian de Armas DE - Equipe 1",7,IF(Atletas!W269="Duilian de Armas DE - Equipe 2",8,IF(Atletas!W269="Duilian de Tuishou - Equipe 1",9,IF(Atletas!W269="Duilian de Tuishou - Equipe 2",10,IF(Atletas!W269="Grupo Externo ABC - Equipe 1",11,IF(Atletas!W269="Grupo Externo ABC - Equipe 2",12,IF(Atletas!W269="Grupo Interno ABC - Equipe 1",13,IF(Atletas!W269="Grupo Interno ABC - Equipe 2",14,IF(Atletas!W269="Grupo Externo DEF - Equipe 1",15,IF(Atletas!W269="Grupo Externo DEF - Equipe 2",16,IF(Atletas!W269="Grupo Interno DEF - Equipe 1",17,IF(Atletas!W269="Grupo Interno DEF - Equipe 2",18,"")))))))))))))))))))</f>
        <v/>
      </c>
    </row>
    <row r="279" spans="2:91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 t="str">
        <f t="array" ref="Z279">IFERROR(INDEX(CE$7:CE$348,SMALL(IF(CE$7:CE$348&lt;&gt;"",ROW(CE$7:CE$348)-ROW(CE$7)+1),ROWS(CE$7:CE278))),"")</f>
        <v/>
      </c>
      <c r="AA279" s="3" t="str">
        <f t="array" ref="AA279">IFERROR(INDEX(CF$7:CF$348,SMALL(IF(CF$7:CF$348&lt;&gt;"",ROW(CF$7:CF$348)-ROW(CF$7)+1),ROWS(CF$7:CF278))),"")</f>
        <v/>
      </c>
      <c r="AB279" s="3" t="str">
        <f t="array" ref="AB279">IFERROR(INDEX(CG$7:CG$348,SMALL(IF(CG$7:CG$348&lt;&gt;"",ROW(CG$7:CG$348)-ROW(CG$7)+1),ROWS(CG$7:CG278))),"")</f>
        <v/>
      </c>
      <c r="AC279" s="3" t="str">
        <f t="array" ref="AC279">IFERROR(INDEX(CH$7:CH$348,SMALL(IF(CH$7:CH$348&lt;&gt;"",ROW(CH$7:CH$348)-ROW(CH$7)+1),ROWS(CH$7:CH278))),"")</f>
        <v/>
      </c>
      <c r="AD279" s="3" t="str">
        <f t="array" ref="AD279">IFERROR(INDEX(CI$7:CI$377,SMALL(IF(CI$7:CI$377&lt;&gt;"",ROW(CI$7:CI$377)-ROW(CI$7)+1),ROWS(CI$7:CI277))),"")</f>
        <v/>
      </c>
      <c r="AE279" s="3" t="str">
        <f t="array" ref="AE279">IFERROR(INDEX(CJ$7:CJ$378,SMALL(IF(CJ$7:CJ$378&lt;&gt;"",ROW(CJ$7:CJ$378)-ROW(CJ$7)+1),ROWS(CJ$7:CJ278))),"")</f>
        <v/>
      </c>
      <c r="AF279" s="3" t="str">
        <f t="array" ref="AF279">IFERROR(INDEX(CK$7:CK$378,SMALL(IF(CK$7:CK$378&lt;&gt;"",ROW(CK$7:CK$378)-ROW(CK$7)+1),ROWS(CK$7:CK278))),"")</f>
        <v/>
      </c>
      <c r="AG279" s="3" t="str">
        <f t="array" ref="AG279">IFERROR(INDEX(CL$7:CL$378,SMALL(IF(CL$7:CL$378&lt;&gt;"",ROW(CL$7:CL$378)-ROW(CL$7)+1),ROWS(CL$7:CL278))),"")</f>
        <v/>
      </c>
      <c r="AH279" s="3"/>
      <c r="AI279" s="3"/>
      <c r="AJ279" s="3"/>
      <c r="AK279" s="3"/>
      <c r="AL279" s="3"/>
      <c r="AM279" s="3"/>
      <c r="AN279" s="52" t="str">
        <f>IF(Atletas!D270="","",IF(Atletas!B270="Feminino",100,IF(Atletas!B270="Masculino",200,""))+(IF(Atletas!D270="Kids 30kg",1,IF(Atletas!D270="Kids 32kg",2, IF(Atletas!D270="Kids 34kg",3,IF(Atletas!D270="Kids 36kg",4,IF(Atletas!D270="Kids 39kg",5,IF(Atletas!D270="Kids 42kg",6,IF(Atletas!D270="Kids 45kg",7, IF(Atletas!D270="Infantil 39kg",8,IF(Atletas!D270="Infantil 42kg",9,IF(Atletas!D270="Infantil 45kg",10,IF(Atletas!D270="Infantil 48kg",11,IF(Atletas!D270="Infantil 52kg",12,IF(Atletas!D270="Infantil 56kg",13,IF(Atletas!D270="Infantil 60kg",14,IF(Atletas!D270="Juvenil 48kg",15,IF(Atletas!D270="Juvenil 52kg",16,IF(Atletas!D270="Juvenil 56kg",17,IF(Atletas!D270="Juvenil 60kg",18,IF(Atletas!D270="Juvenil 65kg",19,IF(Atletas!D270="Juvenil 70kg",20,IF(Atletas!D270="Juvenil 75kg",21,IF(Atletas!D270="Juvenil 80kg",22, IF(Atletas!D270="Juvenil 85kg",23,IF(Atletas!D270="Adulto 48kg",24,IF(Atletas!D270="Adulto 52kg",25,IF(Atletas!D270="Adulto 56kg",26,IF(Atletas!D270="Adulto 60kg",27,IF(Atletas!D270="Adulto 65kg",28,IF(Atletas!D270="Adulto 70kg",29,IF(Atletas!D270="Adulto 75kg",30,IF(Atletas!D270="Adulto 80kg",31,IF(Atletas!D270="Adulto 85kg",32,IF(Atletas!D270="Adulto 90kg",33,IF(Atletas!D270="Adulto 100kg",34, IF(Atletas!D270="Adulto +100kg",35,"")))))))))))))))))))))))))))))))))))))</f>
        <v/>
      </c>
      <c r="AS279" s="6" t="str">
        <f>IF(Atletas!E270="","",IF(Atletas!B270="Feminino",100,IF(Atletas!B270="Masculino",200,""))+(IF(Atletas!E270="Juvenil 44kg",1,IF(Atletas!E270="Juvenil 48kg",2,IF(Atletas!E270="Juvenil 52kg",3,IF(Atletas!E270="Juvenil 56kg",4,IF(Atletas!E270="Juvenil 60kg",5,IF(Atletas!E270="Juvenil 65kg",6,IF(Atletas!E270="Juvenil 70kg",7,IF(Atletas!E270="Juvenil 75kg",8,IF(Atletas!E270="Juvenil 82kg",9,IF(Atletas!E270="Juvenil 90kg",10,IF(Atletas!E270="Juvenil 100kg",11,IF(Atletas!E270="Adulto 48kg",12,IF(Atletas!E270="Adulto 52kg",13,IF(Atletas!E270="Adulto 56kg",14,IF(Atletas!E270="Adulto 60kg",15,IF(Atletas!E270="Adulto 65kg",16,IF(Atletas!E270="Adulto 70kg",17,IF(Atletas!E270="Adulto 75kg",18,IF(Atletas!E270="Adulto 82kg",19,IF(Atletas!E270="Adulto 90kg",20,IF(Atletas!E270="Adulto 100kg",21,IF(Atletas!E270="Adulto +100kg",22,""))))))))))))))))))))))))</f>
        <v/>
      </c>
      <c r="AX279" s="6" t="str">
        <f>IF(Atletas!F270="","",IF(Atletas!B270="Feminino",100,IF(Atletas!B270="Masculino",200,""))+(IF(Atletas!F270="Adulto 48kg",1,IF(Atletas!F270="Adulto 56kg",2,IF(Atletas!F270="Adulto 65kg",3,IF(Atletas!F270="Adulto 75kg",4,IF(Atletas!F270="Adulto +75kg",5,IF(Atletas!F270="Adulto 52kg",6,IF(Atletas!F270="Adulto 60kg",7,IF(Atletas!F270="Adulto 70kg",8,IF(Atletas!F270="Adulto 80kg",9,IF(Atletas!F270="Adulto 90kg",10,IF(Atletas!F270="Adulto +90kg",11,"")))))))))))))</f>
        <v/>
      </c>
      <c r="BC279" s="6" t="str">
        <f>IF(Atletas!G270="","",IF(Atletas!B270="Feminino",10,IF(Atletas!B270="Masculino",20,""))+(IF(Atletas!G270="Baduanjin A",1,IF(Atletas!G270="Baduanjin B",2))))</f>
        <v/>
      </c>
      <c r="BF279" s="52" t="str">
        <f>IF(Atletas!H270="","",IF(Atletas!B270="Feminino",100,IF(Atletas!B270="Masculino",200,""))+(IF(Atletas!H270="Changquan Mirim",1,IF(Atletas!H270="Nanquan Mirim",2,IF(Atletas!H270="Taijiquan Mirim",3,IF(Atletas!H270="Changquan Grupo C",4,IF(Atletas!H270="Nanquan Grupo C",5,IF(Atletas!H270="Taijiquan Grupo C",6,IF(Atletas!H270="Changquan Grupo B",7,IF(Atletas!H270="Nanquan Grupo B",8,IF(Atletas!H270="Taijiquan Grupo B",9,IF(Atletas!H270="Changquan Grupo A",10,IF(Atletas!H270="Nanquan Grupo A",11,IF(Atletas!H270="Taijiquan Grupo A",12,IF(Atletas!H270="Changquan Opcional",13,IF(Atletas!H270="Nanquan Opcional",14,IF(Atletas!H270="Taijiquan Opcional",15,IF(Atletas!H270="Changquan Adulto",16,IF(Atletas!H270="Nanquan Adulto",17,IF(Atletas!H270="Taijiquan Adulto",18,""))))))))))))))))))))</f>
        <v/>
      </c>
      <c r="BG279" s="52" t="str">
        <f>IF(Atletas!I270="","",IF(Atletas!B270="Feminino",100,IF(Atletas!B270="Masculino",200,""))+(IF(Atletas!I270="Daoshu Mirim",19,IF(Atletas!I270="Jianshu Mirim",20,IF(Atletas!I270="Nandao Mirim",21,IF(Atletas!I270="Taijijian Mirim",22,IF(Atletas!I270="Daoshu Grupo C",23,IF(Atletas!I270="Jianshu Grupo C",24,IF(Atletas!I270="Nandao Grupo C",25,IF(Atletas!I270="Taijijian Grupo C",26,IF(Atletas!I270="Daoshu Grupo B",27,IF(Atletas!I270="Jianshu Grupo B",28,IF(Atletas!I270="Nandao Grupo B",29,IF(Atletas!I270="Taijijian Grupo B",30,IF(Atletas!I270="Daoshu Grupo A",31,IF(Atletas!I270="Jianshu Grupo A",32,IF(Atletas!I270="Nandao Grupo A",33,IF(Atletas!I270="Taijijian Grupo A",34,IF(Atletas!I270="Daoshu Opcional",35,IF(Atletas!I270="Jianshu Opcional",36,IF(Atletas!I270="Nandao Opcional",37,IF(Atletas!I270="Taijijian Opcional",38,IF(Atletas!I270="Daoshu Adulto",39,IF(Atletas!I270="Jianshu Adulto",40,IF(Atletas!I270="Nandao Adulto",41,IF(Atletas!I270="Taijijian Adulto",42,""))))))))))))))))))))))))))</f>
        <v/>
      </c>
      <c r="BH279" s="52" t="str">
        <f>IF(Atletas!J270="","",IF(Atletas!B270="Feminino",100,IF(Atletas!B270="Masculino",200,""))+(IF(Atletas!J270="Gunshu Mirim",43,IF(Atletas!J270="Qiangshu Mirim",44,IF(Atletas!J270="Nangun Mirim",45,IF(Atletas!J270="Gunshu Grupo C",46,IF(Atletas!J270="Qiangshu Grupo C",47,IF(Atletas!J270="Nangun Grupo C",48,IF(Atletas!J270="Gunshu Grupo B",49,IF(Atletas!J270="Qiangshu Grupo B",50,IF(Atletas!J270="Nangun Grupo B",51,IF(Atletas!J270="Gunshu Grupo A",52,IF(Atletas!J270="Qiangshu Grupo A",53,IF(Atletas!J270="Nangun Grupo A",54,IF(Atletas!J270="Gunshu Opcional",55,IF(Atletas!J270="Qiangshu Opcional",56,IF(Atletas!J270="Nangun Opcional",57,IF(Atletas!J270="Gunshu Adulto",58,IF(Atletas!J270="Qiangshu Adulto",59,IF(Atletas!J270="Nangun Adulto",60,IF(Atletas!J270="Taijishan Grupo B",61,IF(Atletas!J270="Taijishan Grupo A",62,""))))))))))))))))))))))</f>
        <v/>
      </c>
      <c r="BM279" s="50" t="str">
        <f>IF(Atletas!K270="","",IF(Atletas!B270="Feminino",100,IF(Atletas!B270="Masculino",200,""))+(IF(Atletas!K270="Equipe 1 Grupo B",1,IF(Atletas!K270="Equipe 2 Grupo B",2,IF(Atletas!K270="Equipe 1 Grupo A",3,IF(Atletas!K270="Equipe 2 Grupo A",4,IF(Atletas!K270="Equipe 1 Adulto",5,IF(Atletas!K270="Equipe 2 Adulto",6,""))))))))</f>
        <v/>
      </c>
      <c r="BR279" s="50" t="str">
        <f>IF(Atletas!L270="","",IF(Atletas!X270&lt;&gt;"",10000,0)+(IF(Atletas!B270="Feminino",1000,IF(Atletas!B270="Masculino",2000,""))+IF(Atletas!L270="Choylayfut A",1,IF(Atletas!L270="Hunggar A",2,IF(Atletas!L270="Wuzuquan A",3,IF(Atletas!L270="Wingchun A",4,IF(Atletas!L270="Outra Mão de Sul A",5,IF(Atletas!L270="Choylayfut B",6,IF(Atletas!L270="Hunggar B",7,IF(Atletas!L270="Wuzuquan B",8,IF(Atletas!L270="Wingchun B",9,IF(Atletas!L270="Outra Mão de Sul B",10,IF(Atletas!L270="Choylayfut C",11,IF(Atletas!L270="Hunggar C",12,IF(Atletas!L270="Wuzuquan C",13,IF(Atletas!L270="Wingchun C",14,IF(Atletas!L270="Outra Mão de Sul C",15,IF(Atletas!L270="Choylayfut D",16,IF(Atletas!L270="Hunggar D",17,IF(Atletas!L270="Wuzuquan D",18,IF(Atletas!L270="Wingchun D",19,IF(Atletas!L270="Outra Mão de Sul D",20,IF(Atletas!L270="Choylayfut E",21,IF(Atletas!L270="Hunggar E",22,IF(Atletas!L270="Wuzuquan E",23,IF(Atletas!L270="Wingchun E",24,IF(Atletas!L270="Outra Mão de Sul E",25,IF(Atletas!L270="Choylayfut F",26,IF(Atletas!L270="Hunggar F",27,IF(Atletas!L270="Wuzuquan F",28,IF(Atletas!L270="Wingchun F",29,IF(Atletas!L270="Outra Mão de Sul F",30,IF(Atletas!L270="Dishuquan A",31,IF(Atletas!L270="Dishuquan B",32,IF(Atletas!L270="Dishuquan C",33,IF(Atletas!L270="Dishuquan D",34,IF(Atletas!L270="Dishuquan E",35,IF(Atletas!L270="Dishuquan F",36,""))))))))))))))))))))))))))))))))))))))</f>
        <v/>
      </c>
      <c r="BS279" s="50" t="str">
        <f>IF(Atletas!M270="","",IF(Atletas!X270&lt;&gt;"",10000,0)+(IF(Atletas!B270="Feminino",1000,IF(Atletas!B270="Masculino",2000,""))+(IF(Atletas!M270="Chaquan A",101,IF(Atletas!M270="Emeiquan A",102,IF(Atletas!M270="Fanziquan A",103,IF(Atletas!M270="Huaquan A",104,IF(Atletas!M270="Hongquan A",105,IF(Atletas!M270="Paoquan A",106,IF(Atletas!M270="Piguaquan A",107,IF(Atletas!M270="Shaolinquan A",108,IF(Atletas!M270="Tanglangquan A",109,IF(Atletas!M270="Yingzhaoquan A",110,IF(Atletas!M270="Tongbeiquan A",111,IF(Atletas!M270="Wudangquan A",112,IF(Atletas!M270="Outros Estilos A",113,IF(Atletas!M270="Chaquan B",114,IF(Atletas!M270="Emeiquan B",115,IF(Atletas!M270="Fanziquan B",116,IF(Atletas!M270="Huaquan B",117,IF(Atletas!M270="Hongquan B",118,IF(Atletas!M270="Paoquan B",119,IF(Atletas!M270="Piguaquan B",120,IF(Atletas!M270="Shaolinquan B",121,IF(Atletas!M270="Tanglangquan B",122,IF(Atletas!M270="Yingzhaoquan B",123,IF(Atletas!M270="Tongbeiquan B",124,IF(Atletas!M270="Wudangquan B",125,IF(Atletas!M270="Outros Estilos B",126,IF(Atletas!M270="Chaquan C",127,IF(Atletas!M270="Emeiquan C",128,IF(Atletas!M270="Fanziquan C",129,IF(Atletas!M270="Huaquan C",130,IF(Atletas!M270="Hongquan C",131,IF(Atletas!M270="Paoquan C",132,IF(Atletas!M270="Piguaquan C",133,IF(Atletas!M270="Shaolinquan C",134,IF(Atletas!M270="Tanglangquan C",135,IF(Atletas!M270="Yingzhaoquan C",136,IF(Atletas!M270="Tongbeiquan C",137,IF(Atletas!M270="Wudangquan C",138,IF(Atletas!M270="Outros Estilos C",139,0))))))))))))))))))))))))))))))))))))))))))</f>
        <v/>
      </c>
      <c r="BT279" s="50" t="str">
        <f>IF(Atletas!M270="","",IF(Atletas!X270&lt;&gt;"",10000,0)+(IF(Atletas!B270="Feminino",1000,IF(Atletas!B270="Masculino",2000,""))+(IF(Atletas!M270="Chaquan D",140,IF(Atletas!M270="Emeiquan D",141,IF(Atletas!M270="Fanziquan D",142,IF(Atletas!M270="Huaquan D",143,IF(Atletas!M270="Hongquan D",144,IF(Atletas!M270="Paoquan D",145,IF(Atletas!M270="Piguaquan D",146,IF(Atletas!M270="Shaolinquan D",147,IF(Atletas!M270="Tanglangquan D",148,IF(Atletas!M270="Yingzhaoquan D",149,IF(Atletas!M270="Tongbeiquan D",150,IF(Atletas!M270="Wudangquan D",151,IF(Atletas!M270="Outros Estilos D",152,IF(Atletas!M270="Chaquan E",153,IF(Atletas!M270="Emeiquan E",154,IF(Atletas!M270="Fanziquan E",155,IF(Atletas!M270="Huaquan E",156,IF(Atletas!M270="Hongquan E",157,IF(Atletas!M270="Paoquan E",158,IF(Atletas!M270="Piguaquan E",159,IF(Atletas!M270="Shaolinquan E",160,IF(Atletas!M270="Tanglangquan E",161,IF(Atletas!M270="Yingzhaoquan E",162,IF(Atletas!M270="Tongbeiquan E",163,IF(Atletas!M270="Wudangquan E",164,IF(Atletas!M270="Outros Estilos E",165,IF(Atletas!M270="Chaquan F",166,IF(Atletas!M270="Emeiquan F",167,IF(Atletas!M270="Fanziquan F",168,IF(Atletas!M270="Huaquan F",169,IF(Atletas!M270="Hongquan F",170,IF(Atletas!M270="Paoquan F",171,IF(Atletas!M270="Piguaquan F",172,IF(Atletas!M270="Shaolinquan F",173,IF(Atletas!M270="Tanglangquan F",174,IF(Atletas!M270="Yingzhaoquan F",175,IF(Atletas!M270="Tongbeiquan F",176,IF(Atletas!M270="Wudangquan F",177,IF(Atletas!M270="Outros Estilos F",178,0))))))))))))))))))))))))))))))))))))))))))</f>
        <v/>
      </c>
      <c r="BU279" s="50" t="str">
        <f>IF(Atletas!N270="","",IF(Atletas!X270&lt;&gt;"",10000,0)+(IF(Atletas!B270="Feminino",1000,IF(Atletas!B270="Masculino",2000,""))+(IF(Atletas!N270="Ditangquan A",201,IF(Atletas!N270="Houquan A",202,IF(Atletas!N270="Zuiquan A",203,IF(Atletas!N270="Ditangquan B",204,IF(Atletas!N270="Houquan B",205,IF(Atletas!N270="Zuiquan B",206,IF(Atletas!N270="Ditangquan C",207,IF(Atletas!N270="Houquan C",208,IF(Atletas!N270="Zuiquan C",209,IF(Atletas!N270="Ditangquan D",210,IF(Atletas!N270="Houquan D",211,IF(Atletas!N270="Zuiquan D",212,IF(Atletas!N270="Ditangquan E",213,IF(Atletas!N270="Houquan E",214,IF(Atletas!N270="Zuiquan E",215,IF(Atletas!N270="Ditangquan F",216,IF(Atletas!N270="Houquan F",217,IF(Atletas!N270="Zuiquan F",218,"")))))))))))))))))))))</f>
        <v/>
      </c>
      <c r="BV279" s="50" t="str">
        <f>IF(Atletas!O270="","",IF(Atletas!X270&lt;&gt;"",10000,0)+IF(Atletas!B270="Feminino",1000,IF(Atletas!B270="Masculino",2000,""))+IF(Atletas!O270="Yang A",301,IF(Atletas!O270="Chen A",302,IF(Atletas!O270="Sun A",303,IF(Atletas!O270="Wu A",304,IF(Atletas!O270="Wu-Hao A",305,IF(Atletas!O270="Outro Taijiquan A",306,IF(Atletas!O270="Yang B",307,IF(Atletas!O270="Chen B",308,IF(Atletas!O270="Sun B",309,IF(Atletas!O270="Wu B",310,IF(Atletas!O270="Wu-Hao B",311,IF(Atletas!O270="Outro Taijiquan B",312,IF(Atletas!O270="Yang C",313,IF(Atletas!O270="Chen C",314,IF(Atletas!O270="Sun C",315,IF(Atletas!O270="Wu C",316,IF(Atletas!O270="Wu-Hao C",317,IF(Atletas!O270="Outro Taijiquan C",318,IF(Atletas!O270="Yang D",319,IF(Atletas!O270="Chen D",320,IF(Atletas!O270="Sun D",321,IF(Atletas!O270="Wu D",322,IF(Atletas!O270="Wu-Hao D",323,IF(Atletas!O270="Outro Taijiquan D",324,IF(Atletas!O270="Yang E",325,IF(Atletas!O270="Chen E",326,IF(Atletas!O270="Sun E",327,IF(Atletas!O270="Wu E",328,IF(Atletas!O270="Wu-Hao E",329,IF(Atletas!O270="Outro Taijiquan E",330,IF(Atletas!O270="Yang F",331,IF(Atletas!O270="Chen F",332,IF(Atletas!O270="Sun F",333,IF(Atletas!O270="Wu F",334,IF(Atletas!O270="Wu-Hao F",335,IF(Atletas!O270="Outro Taijiquan F",336,"")))))))))))))))))))))))))))))))))))))</f>
        <v/>
      </c>
      <c r="BW279" s="50" t="str">
        <f>IF(Atletas!P270="","",IF(Atletas!X270&lt;&gt;"",10000,0)+IF(Atletas!B270="Feminino",1000,IF(Atletas!B270="Masculino",2000,""))+IF(OR(Atletas!P270="Yang 26 A",Atletas!P270="Yang 40 A"),401,IF(OR(Atletas!P270="Chen 25 A",Atletas!P270="Chen 36 A",Atletas!P270="Chen 56 A"),402,IF(Atletas!P270="Sun 73 A",403,IF(Atletas!P270="Wu 45 A",404,IF(Atletas!P270="Wu-Hao 46 A",405,IF(OR(Atletas!P270="Taijiquan 16 A",Atletas!P270="Taijiquan 24 A",Atletas!P270="Taijiquan 32 A",Atletas!P270="Taijiquan 42 A"),406,IF(OR(Atletas!P270="Yang 26 B",Atletas!P270="Yang 40 B"),407,IF(OR(Atletas!P270="Chen 25 B",Atletas!P270="Chen 36 B",Atletas!P270="Chen 56 B"),408,IF(Atletas!P270="Sun 73 B",409,IF(Atletas!P270="Wu 45 B",410,IF(Atletas!P270="Wu-Hao 46 B",411,IF(OR(Atletas!P270="Taijiquan 16 B",Atletas!P270="Taijiquan 24 B",Atletas!P270="Taijiquan 32 B",Atletas!P270="Taijiquan 42 B"),412,IF(OR(Atletas!P270="Yang 26 C",Atletas!P270="Yang 40 C"),413,IF(OR(Atletas!P270="Chen 25 C",Atletas!P270="Chen 36 C",Atletas!P270="Chen 56 C"),414,IF(Atletas!P270="Sun 73 C",415,IF(Atletas!P270="Wu 45 C",416,IF(Atletas!P270="Wu-Hao 46 C",417,IF(OR(Atletas!P270="Taijiquan 16 C",Atletas!P270="Taijiquan 24 C",Atletas!P270="Taijiquan 32 C",Atletas!P270="Taijiquan 42 C"),418,0)))))))))))))))))))</f>
        <v/>
      </c>
      <c r="BX279" s="50" t="str">
        <f>IF(Atletas!P270="","",IF(Atletas!X270&lt;&gt;"",10000,0)+IF(Atletas!B270="Feminino",1000,IF(Atletas!B270="Masculino",2000,""))+IF(OR(Atletas!P270="Yang 26 D",Atletas!P270="Yang 40 D"),419,IF(OR(Atletas!P270="Chen 25 D",Atletas!P270="Chen 36 D",Atletas!P270="Chen 56 D"),420,IF(Atletas!P270="Sun 73 D",421,IF(Atletas!P270="Wu 45 D",422,IF(Atletas!P270="Wu-Hao 46 D",423,IF(OR(Atletas!P270="Taijiquan 16 D",Atletas!P270="Taijiquan 24 D",Atletas!P270="Taijiquan 32 D",Atletas!P270="Taijiquan 42 D"),424,IF(OR(Atletas!P270="Yang 26 E",Atletas!P270="Yang 40 E"),425,IF(OR(Atletas!P270="Chen 25 E",Atletas!P270="Chen 36 E",Atletas!P270="Chen 56 E"),426,IF(Atletas!P270="Sun 73 E",427,IF(Atletas!P270="Wu 45 E",428,IF(Atletas!P270="Wu-Hao 46 E",429,IF(OR(Atletas!P270="Taijiquan 16 E",Atletas!P270="Taijiquan 24 E",Atletas!P270="Taijiquan 32 E",Atletas!P270="Taijiquan 42 E"),430,IF(OR(Atletas!P270="Yang 26 F",Atletas!P270="Yang 40 F"),431,IF(OR(Atletas!P270="Chen 25 F",Atletas!P270="Chen 36 F",Atletas!P270="Chen 56 F"),432,IF(Atletas!P270="Sun 73 F",433,IF(Atletas!P270="Wu 45 F",434,IF(Atletas!P270="Wu-Hao 46 F",435,IF(OR(Atletas!P270="Taijiquan 16 F",Atletas!P270="Taijiquan 24 F",Atletas!P270="Taijiquan 32 F",Atletas!P270="Taijiquan 42 F"),436,0)))))))))))))))))))</f>
        <v/>
      </c>
      <c r="BY279" s="50" t="str">
        <f>IF(Atletas!Q270="","",IF(Atletas!X270&lt;&gt;"",10000,0)+IF(Atletas!B270="Feminino",1000,IF(Atletas!B270="Masculino",2000,""))+IF(Atletas!Q270="Xingyiquan A",501,IF(Atletas!Q270="Baguazhang A",502,IF(Atletas!Q270="Outro Estilo Interno A",503,IF(Atletas!Q270="Xingyiquan B",504,IF(Atletas!Q270="Baguazhang B",505,IF(Atletas!Q270="Outro Estilo Interno B",506,IF(Atletas!Q270="Xingyiquan C",507,IF(Atletas!Q270="Baguazhang C",508,IF(Atletas!Q270="Outro Estilo Interno C",509,IF(Atletas!Q270="Xingyiquan D",510,IF(Atletas!Q270="Baguazhang D",511,IF(Atletas!Q270="Outro Estilo Interno D",512,IF(Atletas!Q270="Xingyiquan E",513,IF(Atletas!Q270="Baguazhang E",514,IF(Atletas!Q270="Outro Estilo Interno E",515,IF(Atletas!Q270="Xingyiquan F",516,IF(Atletas!Q270="Baguazhang F",517,IF(Atletas!Q270="Outro Estilo Interno F",518, "")))))))))))))))))))</f>
        <v/>
      </c>
      <c r="BZ279" s="50" t="str">
        <f>IF(Atletas!R270="","",IF(Atletas!X270&lt;&gt;"",10000,0)+IF(Atletas!B270="Feminino",1000,IF(Atletas!B270="Masculino",2000,""))+IF(Atletas!R270="Dao A",601,IF(Atletas!R270="Jian A",602,IF(Atletas!R270="Bishou A",603,IF(Atletas!R270="Shanzi A",604,IF(Atletas!R270="Outra Arma Curta A",605,IF(Atletas!R270="Dao B",606,IF(Atletas!R270="Jian B",607,IF(Atletas!R270="Bishou B",608,IF(Atletas!R270="Shanzi B",609,IF(Atletas!R270="Outra Arma Curta B",610,IF(Atletas!R270="Dao C",611,IF(Atletas!R270="Jian C",612,IF(Atletas!R270="Bishou C",613,IF(Atletas!R270="Shanzi C",614,IF(Atletas!R270="Outra Arma Curta C",615,IF(Atletas!R270="Dao D",616,IF(Atletas!R270="Jian D",617,IF(Atletas!R270="Bishou D",618,IF(Atletas!R270="Shanzi D",619,IF(Atletas!R270="Outra Arma Curta D",620,IF(Atletas!R270="Dao E",621,IF(Atletas!R270="Jian E",622,IF(Atletas!R270="Bishou E",623,IF(Atletas!R270="Shanzi E",624,IF(Atletas!R270="Outra Arma Curta E",625,IF(Atletas!R270="Dao F",626,IF(Atletas!R270="Jian F",627,IF(Atletas!R270="Bishou F",628,IF(Atletas!R270="Shanzi F",629,IF(Atletas!R270="Outra Arma Curta F",630, "")))))))))))))))))))))))))))))))</f>
        <v/>
      </c>
      <c r="CA279" s="50" t="str">
        <f>IF(Atletas!S270="","",IF(Atletas!X270&lt;&gt;"",10000,0)+IF(Atletas!B270="Feminino",1000,IF(Atletas!B270="Masculino",2000,""))+IF(Atletas!S270="Gun A",701,IF(Atletas!S270="Qiang A",702,IF(Atletas!S270="Pudao / Guandao A",703,IF(Atletas!S270="Outra Arma Longa A",704,IF(Atletas!S270="Gun B",705,IF(Atletas!S270="Qiang B",706,IF(Atletas!S270="Pudao / Guandao B",707,IF(Atletas!S270="Outra Arma Longa B",708,IF(Atletas!S270="Gun C",709,IF(Atletas!S270="Qiang C",710,IF(Atletas!S270="Pudao / Guandao C",711,IF(Atletas!S270="Outra Arma Longa C",712,IF(Atletas!S270="Gun D",713,IF(Atletas!S270="Qiang D",714,IF(Atletas!S270="Pudao / Guandao D",715,IF(Atletas!S270="Outra Arma Longa D",716,IF(Atletas!S270="Gun E",717,IF(Atletas!S270="Qiang E",718,IF(Atletas!S270="Pudao / Guandao E",719,IF(Atletas!S270="Outra Arma Longa E",720,IF(Atletas!S270="Gun F",721,IF(Atletas!S270="Qiang F",722,IF(Atletas!S270="Pudao / Guandao F",723,IF(Atletas!S270="Outra Arma Longa F",724,"")))))))))))))))))))))))))</f>
        <v/>
      </c>
      <c r="CB279" s="50" t="str">
        <f>IF(Atletas!T270="","",IF(Atletas!X270&lt;&gt;"",10000,0)+IF(Atletas!B270="Feminino",1000,IF(Atletas!B270="Masculino",2000,""))+IF(Atletas!T270="Outra Arma Dupla A",801,IF(Atletas!T270="Arma Maleável A",802,IF(Atletas!T270="Outra Arma Dupla B",803,IF(Atletas!T270="Arma Maleável B",804,IF(Atletas!T270="Outra Arma Dupla C",805,IF(Atletas!T270="Arma Maleável C",806,IF(Atletas!T270="Outra Arma Dupla D",807,IF(Atletas!T270="Arma Maleável D",808,IF(Atletas!T270="Outra Arma Dupla E",809,IF(Atletas!T270="Arma Maleável E",810,IF(Atletas!T270="Outra Arma Dupla F",811,IF(Atletas!T270="Arma Maleável F",812,IF(Atletas!T270="Shuangdao A",813,IF(Atletas!T270="Shuangdao B",814,IF(Atletas!T270="Shuangdao C",815,IF(Atletas!T270="Shuangdao D",816,IF(Atletas!T270="Shuangdao E",817,IF(Atletas!T270="Shuangdao F",818,"")))))))))))))))))))</f>
        <v/>
      </c>
      <c r="CC279" s="50" t="str">
        <f>IF(Atletas!U270="","",IF(Atletas!X270&lt;&gt;"",10000,0)+IF(Atletas!B270="Feminino",1000,IF(Atletas!B270="Masculino",2000,""))+IF(OR(Atletas!U270="Taijijian Yang A",Atletas!U270="Taijijian Yang Standard A"),901,IF(OR(Atletas!U270="Taijijian Chen A", Atletas!U270="Taijijian Chen Standard A"),902,IF(Atletas!U270="Taijijian Sun A",903,IF(Atletas!U270="Taijijian Wu A",904,IF(Atletas!U270="Taijijian Wu-Hao A",905,IF(OR(Atletas!U270="Taijijian 32 A",Atletas!U270="Taijijian 42 A"),906,IF(OR(Atletas!U270="Taijijian Yang B",Atletas!U270="Taijijian Yang Standard B"),907,IF(OR(Atletas!U270="Taijijian Chen B", Atletas!U270="Taijijian Chen Standard B"),908,IF(Atletas!U270="Taijijian Sun B",909,IF(Atletas!U270="Taijijian Wu B",910,IF(Atletas!U270="Taijijian Wu-Hao B",911,IF(OR(Atletas!U270="Taijijian 32 B",Atletas!U270="Taijijian 42 B"),912,IF(OR(Atletas!U270="Taijijian Yang C",Atletas!U270="Taijijian Yang Standard C"),913,IF(OR(Atletas!U270="Taijijian Chen C", Atletas!U270="Taijijian Chen Standard C"),914,IF(Atletas!U270="Taijijian Sun C",915,IF(Atletas!U270="Taijijian Wu C",916,IF(Atletas!U270="Taijijian Wu-Hao C",917,IF(OR(Atletas!U270="Taijijian 32 C",Atletas!U270="Taijijian 42 C"),918,IF(OR(Atletas!U270="Taijijian Yang D",Atletas!U270="Taijijian Yang Standard D"),919,IF(OR(Atletas!U270="Taijijian Chen D", Atletas!U270="Taijijian Chen Standard D"),920,IF(Atletas!U270="Taijijian Sun D",921,IF(Atletas!U270="Taijijian Wu D",922,IF(Atletas!U270="Taijijian Wu-Hao D",923,IF(OR(Atletas!U270="Taijijian 32 D",Atletas!U270="Taijijian 42 D"),924,IF(OR(Atletas!U270="Taijijian Yang E",Atletas!U270="Taijijian Yang Standard E"),925,IF(OR(Atletas!U270="Taijijian Chen E", Atletas!U270="Taijijian Chen Standard E"),926,IF(Atletas!U270="Taijijian Sun E",927,IF(Atletas!U270="Taijijian Wu E",928,IF(Atletas!U270="Taijijian Wu-Hao E",929,IF(OR(Atletas!U270="Taijijian 32 E",Atletas!U270="Taijijian 42 E"),930,IF(OR(Atletas!U270="Taijijian Yang F",Atletas!U270="Taijijian Yang Standard F"),931,IF(OR(Atletas!U270="Taijijian Chen F", Atletas!U270="Taijijian Chen Standard F"),932,IF(Atletas!U270="Taijijian Sun F",933,IF(Atletas!U270="Taijijian Wu F",934,IF(Atletas!U270="Taijijian Wu-Hao F",935,IF(OR(Atletas!U270="Taijijian 32 F",Atletas!U270="Taijijian 42 F"),936,"")))))))))))))))))))))))))))))))))))))</f>
        <v/>
      </c>
      <c r="CD279" s="50" t="str">
        <f>IF(Atletas!V270="","",IF(Atletas!X270&lt;&gt;"",10000,0)+IF(Atletas!B270="Feminino",1000,IF(Atletas!B270="Masculino",2000,""))+IF(Atletas!V270="Taijidao A",937,IF(Atletas!V270="TaijiShanzi A",938,IF(Atletas!V270="Taijiqiang A",939,IF(Atletas!V270="Bagua de Arma A",940,IF(Atletas!V270="Xingyi de Arma A",941,IF(Atletas!V270="Taijidao B",942,IF(Atletas!V270="TaijiShanzi B",943,IF(Atletas!V270="Taijiqiang B",944,IF(Atletas!V270="Bagua de Arma B",945,IF(Atletas!V270="Xingyi de Arma B",946,IF(Atletas!V270="Taijidao C",947,IF(Atletas!V270="TaijiShanzi C",948,IF(Atletas!V270="Taijiqiang C",949,IF(Atletas!V270="Bagua de Arma C",950,IF(Atletas!V270="Xingyi de Arma C",951,IF(Atletas!V270="Taijidao D",952,IF(Atletas!V270="TaijiShanzi D",953,IF(Atletas!V270="Taijiqiang D",954,IF(Atletas!V270="Bagua de Arma D",955,IF(Atletas!V270="Xingyi de Arma D",956,IF(Atletas!V270="Taijidao E",957,IF(Atletas!V270="TaijiShanzi E",958,IF(Atletas!V270="Taijiqiang E",959,IF(Atletas!V270="Bagua de Arma E",960,IF(Atletas!V270="Xingyi de Arma E",961,IF(Atletas!V270="Taijidao F",962,IF(Atletas!V270="TaijiShanzi F",963,IF(Atletas!V270="Taijiqiang F",964,IF(Atletas!V270="Bagua de Arma F",965,IF(Atletas!V270="Xingyi de Arma F",966,"")))))))))))))))))))))))))))))))</f>
        <v/>
      </c>
      <c r="CE279" s="66" t="str">
        <f>IF(CF279&lt;&gt;"","Gun F","")</f>
        <v/>
      </c>
      <c r="CF279" s="66" t="str">
        <f>IF(COUNTIF(BR:CD,1721)&gt;0,COUNTIF(BR:CD,1721),"")</f>
        <v/>
      </c>
      <c r="CG279" s="66" t="str">
        <f>IF(CH279&lt;&gt;"","Gun F","")</f>
        <v/>
      </c>
      <c r="CH279" s="66" t="str">
        <f>IF(COUNTIF(BR:CD,2721)&gt;0,COUNTIF(BR:CD,2721),"")</f>
        <v/>
      </c>
      <c r="CI279" s="66" t="str">
        <f>IF(CJ280&lt;&gt;"","Outra Arma Maleável B","")</f>
        <v/>
      </c>
      <c r="CJ279" s="66" t="str">
        <f>IF(COUNTIF(BR:CD,11803)&gt;0,COUNTIF(BR:CD,11803),"")</f>
        <v/>
      </c>
      <c r="CK279" s="66" t="str">
        <f>IF(CL279&lt;&gt;"","Outra Arma Dupla B","")</f>
        <v/>
      </c>
      <c r="CL279" s="66" t="str">
        <f>IF(COUNTIF(BR:CD,12803)&gt;0,COUNTIF(BR:CD,12803),"")</f>
        <v/>
      </c>
      <c r="CM279" s="50" t="str">
        <f xml:space="preserve"> IF(Atletas!W270="","",IF(Atletas!W270="Duilian de Mãos BC - Equipe 1",1,IF(Atletas!W270="Duilian de Mãos BC - Equipe 2",2,IF(Atletas!W270="Duilian de Armas BC - Equipe 1",3,IF(Atletas!W270="Duilian de Armas BC - Equipe 2",4,IF(Atletas!W270="Duilian de Mãos DE - Equipe 1",5,IF(Atletas!W270="Duilian de Mãos DE - Equipe 2",6,IF(Atletas!W270="Duilian de Armas DE - Equipe 1",7,IF(Atletas!W270="Duilian de Armas DE - Equipe 2",8,IF(Atletas!W270="Duilian de Tuishou - Equipe 1",9,IF(Atletas!W270="Duilian de Tuishou - Equipe 2",10,IF(Atletas!W270="Grupo Externo ABC - Equipe 1",11,IF(Atletas!W270="Grupo Externo ABC - Equipe 2",12,IF(Atletas!W270="Grupo Interno ABC - Equipe 1",13,IF(Atletas!W270="Grupo Interno ABC - Equipe 2",14,IF(Atletas!W270="Grupo Externo DEF - Equipe 1",15,IF(Atletas!W270="Grupo Externo DEF - Equipe 2",16,IF(Atletas!W270="Grupo Interno DEF - Equipe 1",17,IF(Atletas!W270="Grupo Interno DEF - Equipe 2",18,"")))))))))))))))))))</f>
        <v/>
      </c>
    </row>
    <row r="280" spans="2:91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 t="str">
        <f t="array" ref="Z280">IFERROR(INDEX(CE$7:CE$348,SMALL(IF(CE$7:CE$348&lt;&gt;"",ROW(CE$7:CE$348)-ROW(CE$7)+1),ROWS(CE$7:CE279))),"")</f>
        <v/>
      </c>
      <c r="AA280" s="3" t="str">
        <f t="array" ref="AA280">IFERROR(INDEX(CF$7:CF$348,SMALL(IF(CF$7:CF$348&lt;&gt;"",ROW(CF$7:CF$348)-ROW(CF$7)+1),ROWS(CF$7:CF279))),"")</f>
        <v/>
      </c>
      <c r="AB280" s="3" t="str">
        <f t="array" ref="AB280">IFERROR(INDEX(CG$7:CG$348,SMALL(IF(CG$7:CG$348&lt;&gt;"",ROW(CG$7:CG$348)-ROW(CG$7)+1),ROWS(CG$7:CG279))),"")</f>
        <v/>
      </c>
      <c r="AC280" s="3" t="str">
        <f t="array" ref="AC280">IFERROR(INDEX(CH$7:CH$348,SMALL(IF(CH$7:CH$348&lt;&gt;"",ROW(CH$7:CH$348)-ROW(CH$7)+1),ROWS(CH$7:CH279))),"")</f>
        <v/>
      </c>
      <c r="AD280" s="3" t="str">
        <f t="array" ref="AD280">IFERROR(INDEX(CI$7:CI$377,SMALL(IF(CI$7:CI$377&lt;&gt;"",ROW(CI$7:CI$377)-ROW(CI$7)+1),ROWS(CI$7:CI278))),"")</f>
        <v/>
      </c>
      <c r="AE280" s="3" t="str">
        <f t="array" ref="AE280">IFERROR(INDEX(CJ$7:CJ$378,SMALL(IF(CJ$7:CJ$378&lt;&gt;"",ROW(CJ$7:CJ$378)-ROW(CJ$7)+1),ROWS(CJ$7:CJ279))),"")</f>
        <v/>
      </c>
      <c r="AF280" s="3" t="str">
        <f t="array" ref="AF280">IFERROR(INDEX(CK$7:CK$378,SMALL(IF(CK$7:CK$378&lt;&gt;"",ROW(CK$7:CK$378)-ROW(CK$7)+1),ROWS(CK$7:CK279))),"")</f>
        <v/>
      </c>
      <c r="AG280" s="3" t="str">
        <f t="array" ref="AG280">IFERROR(INDEX(CL$7:CL$378,SMALL(IF(CL$7:CL$378&lt;&gt;"",ROW(CL$7:CL$378)-ROW(CL$7)+1),ROWS(CL$7:CL279))),"")</f>
        <v/>
      </c>
      <c r="AH280" s="3"/>
      <c r="AI280" s="3"/>
      <c r="AJ280" s="3"/>
      <c r="AK280" s="3"/>
      <c r="AL280" s="3"/>
      <c r="AM280" s="3"/>
      <c r="AN280" s="52" t="str">
        <f>IF(Atletas!D271="","",IF(Atletas!B271="Feminino",100,IF(Atletas!B271="Masculino",200,""))+(IF(Atletas!D271="Kids 30kg",1,IF(Atletas!D271="Kids 32kg",2, IF(Atletas!D271="Kids 34kg",3,IF(Atletas!D271="Kids 36kg",4,IF(Atletas!D271="Kids 39kg",5,IF(Atletas!D271="Kids 42kg",6,IF(Atletas!D271="Kids 45kg",7, IF(Atletas!D271="Infantil 39kg",8,IF(Atletas!D271="Infantil 42kg",9,IF(Atletas!D271="Infantil 45kg",10,IF(Atletas!D271="Infantil 48kg",11,IF(Atletas!D271="Infantil 52kg",12,IF(Atletas!D271="Infantil 56kg",13,IF(Atletas!D271="Infantil 60kg",14,IF(Atletas!D271="Juvenil 48kg",15,IF(Atletas!D271="Juvenil 52kg",16,IF(Atletas!D271="Juvenil 56kg",17,IF(Atletas!D271="Juvenil 60kg",18,IF(Atletas!D271="Juvenil 65kg",19,IF(Atletas!D271="Juvenil 70kg",20,IF(Atletas!D271="Juvenil 75kg",21,IF(Atletas!D271="Juvenil 80kg",22, IF(Atletas!D271="Juvenil 85kg",23,IF(Atletas!D271="Adulto 48kg",24,IF(Atletas!D271="Adulto 52kg",25,IF(Atletas!D271="Adulto 56kg",26,IF(Atletas!D271="Adulto 60kg",27,IF(Atletas!D271="Adulto 65kg",28,IF(Atletas!D271="Adulto 70kg",29,IF(Atletas!D271="Adulto 75kg",30,IF(Atletas!D271="Adulto 80kg",31,IF(Atletas!D271="Adulto 85kg",32,IF(Atletas!D271="Adulto 90kg",33,IF(Atletas!D271="Adulto 100kg",34, IF(Atletas!D271="Adulto +100kg",35,"")))))))))))))))))))))))))))))))))))))</f>
        <v/>
      </c>
      <c r="AS280" s="6" t="str">
        <f>IF(Atletas!E271="","",IF(Atletas!B271="Feminino",100,IF(Atletas!B271="Masculino",200,""))+(IF(Atletas!E271="Juvenil 44kg",1,IF(Atletas!E271="Juvenil 48kg",2,IF(Atletas!E271="Juvenil 52kg",3,IF(Atletas!E271="Juvenil 56kg",4,IF(Atletas!E271="Juvenil 60kg",5,IF(Atletas!E271="Juvenil 65kg",6,IF(Atletas!E271="Juvenil 70kg",7,IF(Atletas!E271="Juvenil 75kg",8,IF(Atletas!E271="Juvenil 82kg",9,IF(Atletas!E271="Juvenil 90kg",10,IF(Atletas!E271="Juvenil 100kg",11,IF(Atletas!E271="Adulto 48kg",12,IF(Atletas!E271="Adulto 52kg",13,IF(Atletas!E271="Adulto 56kg",14,IF(Atletas!E271="Adulto 60kg",15,IF(Atletas!E271="Adulto 65kg",16,IF(Atletas!E271="Adulto 70kg",17,IF(Atletas!E271="Adulto 75kg",18,IF(Atletas!E271="Adulto 82kg",19,IF(Atletas!E271="Adulto 90kg",20,IF(Atletas!E271="Adulto 100kg",21,IF(Atletas!E271="Adulto +100kg",22,""))))))))))))))))))))))))</f>
        <v/>
      </c>
      <c r="AX280" s="6" t="str">
        <f>IF(Atletas!F271="","",IF(Atletas!B271="Feminino",100,IF(Atletas!B271="Masculino",200,""))+(IF(Atletas!F271="Adulto 48kg",1,IF(Atletas!F271="Adulto 56kg",2,IF(Atletas!F271="Adulto 65kg",3,IF(Atletas!F271="Adulto 75kg",4,IF(Atletas!F271="Adulto +75kg",5,IF(Atletas!F271="Adulto 52kg",6,IF(Atletas!F271="Adulto 60kg",7,IF(Atletas!F271="Adulto 70kg",8,IF(Atletas!F271="Adulto 80kg",9,IF(Atletas!F271="Adulto 90kg",10,IF(Atletas!F271="Adulto +90kg",11,"")))))))))))))</f>
        <v/>
      </c>
      <c r="BC280" s="6" t="str">
        <f>IF(Atletas!G271="","",IF(Atletas!B271="Feminino",10,IF(Atletas!B271="Masculino",20,""))+(IF(Atletas!G271="Baduanjin A",1,IF(Atletas!G271="Baduanjin B",2))))</f>
        <v/>
      </c>
      <c r="BF280" s="52" t="str">
        <f>IF(Atletas!H271="","",IF(Atletas!B271="Feminino",100,IF(Atletas!B271="Masculino",200,""))+(IF(Atletas!H271="Changquan Mirim",1,IF(Atletas!H271="Nanquan Mirim",2,IF(Atletas!H271="Taijiquan Mirim",3,IF(Atletas!H271="Changquan Grupo C",4,IF(Atletas!H271="Nanquan Grupo C",5,IF(Atletas!H271="Taijiquan Grupo C",6,IF(Atletas!H271="Changquan Grupo B",7,IF(Atletas!H271="Nanquan Grupo B",8,IF(Atletas!H271="Taijiquan Grupo B",9,IF(Atletas!H271="Changquan Grupo A",10,IF(Atletas!H271="Nanquan Grupo A",11,IF(Atletas!H271="Taijiquan Grupo A",12,IF(Atletas!H271="Changquan Opcional",13,IF(Atletas!H271="Nanquan Opcional",14,IF(Atletas!H271="Taijiquan Opcional",15,IF(Atletas!H271="Changquan Adulto",16,IF(Atletas!H271="Nanquan Adulto",17,IF(Atletas!H271="Taijiquan Adulto",18,""))))))))))))))))))))</f>
        <v/>
      </c>
      <c r="BG280" s="52" t="str">
        <f>IF(Atletas!I271="","",IF(Atletas!B271="Feminino",100,IF(Atletas!B271="Masculino",200,""))+(IF(Atletas!I271="Daoshu Mirim",19,IF(Atletas!I271="Jianshu Mirim",20,IF(Atletas!I271="Nandao Mirim",21,IF(Atletas!I271="Taijijian Mirim",22,IF(Atletas!I271="Daoshu Grupo C",23,IF(Atletas!I271="Jianshu Grupo C",24,IF(Atletas!I271="Nandao Grupo C",25,IF(Atletas!I271="Taijijian Grupo C",26,IF(Atletas!I271="Daoshu Grupo B",27,IF(Atletas!I271="Jianshu Grupo B",28,IF(Atletas!I271="Nandao Grupo B",29,IF(Atletas!I271="Taijijian Grupo B",30,IF(Atletas!I271="Daoshu Grupo A",31,IF(Atletas!I271="Jianshu Grupo A",32,IF(Atletas!I271="Nandao Grupo A",33,IF(Atletas!I271="Taijijian Grupo A",34,IF(Atletas!I271="Daoshu Opcional",35,IF(Atletas!I271="Jianshu Opcional",36,IF(Atletas!I271="Nandao Opcional",37,IF(Atletas!I271="Taijijian Opcional",38,IF(Atletas!I271="Daoshu Adulto",39,IF(Atletas!I271="Jianshu Adulto",40,IF(Atletas!I271="Nandao Adulto",41,IF(Atletas!I271="Taijijian Adulto",42,""))))))))))))))))))))))))))</f>
        <v/>
      </c>
      <c r="BH280" s="52" t="str">
        <f>IF(Atletas!J271="","",IF(Atletas!B271="Feminino",100,IF(Atletas!B271="Masculino",200,""))+(IF(Atletas!J271="Gunshu Mirim",43,IF(Atletas!J271="Qiangshu Mirim",44,IF(Atletas!J271="Nangun Mirim",45,IF(Atletas!J271="Gunshu Grupo C",46,IF(Atletas!J271="Qiangshu Grupo C",47,IF(Atletas!J271="Nangun Grupo C",48,IF(Atletas!J271="Gunshu Grupo B",49,IF(Atletas!J271="Qiangshu Grupo B",50,IF(Atletas!J271="Nangun Grupo B",51,IF(Atletas!J271="Gunshu Grupo A",52,IF(Atletas!J271="Qiangshu Grupo A",53,IF(Atletas!J271="Nangun Grupo A",54,IF(Atletas!J271="Gunshu Opcional",55,IF(Atletas!J271="Qiangshu Opcional",56,IF(Atletas!J271="Nangun Opcional",57,IF(Atletas!J271="Gunshu Adulto",58,IF(Atletas!J271="Qiangshu Adulto",59,IF(Atletas!J271="Nangun Adulto",60,IF(Atletas!J271="Taijishan Grupo B",61,IF(Atletas!J271="Taijishan Grupo A",62,""))))))))))))))))))))))</f>
        <v/>
      </c>
      <c r="BM280" s="50" t="str">
        <f>IF(Atletas!K271="","",IF(Atletas!B271="Feminino",100,IF(Atletas!B271="Masculino",200,""))+(IF(Atletas!K271="Equipe 1 Grupo B",1,IF(Atletas!K271="Equipe 2 Grupo B",2,IF(Atletas!K271="Equipe 1 Grupo A",3,IF(Atletas!K271="Equipe 2 Grupo A",4,IF(Atletas!K271="Equipe 1 Adulto",5,IF(Atletas!K271="Equipe 2 Adulto",6,""))))))))</f>
        <v/>
      </c>
      <c r="BR280" s="50" t="str">
        <f>IF(Atletas!L271="","",IF(Atletas!X271&lt;&gt;"",10000,0)+(IF(Atletas!B271="Feminino",1000,IF(Atletas!B271="Masculino",2000,""))+IF(Atletas!L271="Choylayfut A",1,IF(Atletas!L271="Hunggar A",2,IF(Atletas!L271="Wuzuquan A",3,IF(Atletas!L271="Wingchun A",4,IF(Atletas!L271="Outra Mão de Sul A",5,IF(Atletas!L271="Choylayfut B",6,IF(Atletas!L271="Hunggar B",7,IF(Atletas!L271="Wuzuquan B",8,IF(Atletas!L271="Wingchun B",9,IF(Atletas!L271="Outra Mão de Sul B",10,IF(Atletas!L271="Choylayfut C",11,IF(Atletas!L271="Hunggar C",12,IF(Atletas!L271="Wuzuquan C",13,IF(Atletas!L271="Wingchun C",14,IF(Atletas!L271="Outra Mão de Sul C",15,IF(Atletas!L271="Choylayfut D",16,IF(Atletas!L271="Hunggar D",17,IF(Atletas!L271="Wuzuquan D",18,IF(Atletas!L271="Wingchun D",19,IF(Atletas!L271="Outra Mão de Sul D",20,IF(Atletas!L271="Choylayfut E",21,IF(Atletas!L271="Hunggar E",22,IF(Atletas!L271="Wuzuquan E",23,IF(Atletas!L271="Wingchun E",24,IF(Atletas!L271="Outra Mão de Sul E",25,IF(Atletas!L271="Choylayfut F",26,IF(Atletas!L271="Hunggar F",27,IF(Atletas!L271="Wuzuquan F",28,IF(Atletas!L271="Wingchun F",29,IF(Atletas!L271="Outra Mão de Sul F",30,IF(Atletas!L271="Dishuquan A",31,IF(Atletas!L271="Dishuquan B",32,IF(Atletas!L271="Dishuquan C",33,IF(Atletas!L271="Dishuquan D",34,IF(Atletas!L271="Dishuquan E",35,IF(Atletas!L271="Dishuquan F",36,""))))))))))))))))))))))))))))))))))))))</f>
        <v/>
      </c>
      <c r="BS280" s="50" t="str">
        <f>IF(Atletas!M271="","",IF(Atletas!X271&lt;&gt;"",10000,0)+(IF(Atletas!B271="Feminino",1000,IF(Atletas!B271="Masculino",2000,""))+(IF(Atletas!M271="Chaquan A",101,IF(Atletas!M271="Emeiquan A",102,IF(Atletas!M271="Fanziquan A",103,IF(Atletas!M271="Huaquan A",104,IF(Atletas!M271="Hongquan A",105,IF(Atletas!M271="Paoquan A",106,IF(Atletas!M271="Piguaquan A",107,IF(Atletas!M271="Shaolinquan A",108,IF(Atletas!M271="Tanglangquan A",109,IF(Atletas!M271="Yingzhaoquan A",110,IF(Atletas!M271="Tongbeiquan A",111,IF(Atletas!M271="Wudangquan A",112,IF(Atletas!M271="Outros Estilos A",113,IF(Atletas!M271="Chaquan B",114,IF(Atletas!M271="Emeiquan B",115,IF(Atletas!M271="Fanziquan B",116,IF(Atletas!M271="Huaquan B",117,IF(Atletas!M271="Hongquan B",118,IF(Atletas!M271="Paoquan B",119,IF(Atletas!M271="Piguaquan B",120,IF(Atletas!M271="Shaolinquan B",121,IF(Atletas!M271="Tanglangquan B",122,IF(Atletas!M271="Yingzhaoquan B",123,IF(Atletas!M271="Tongbeiquan B",124,IF(Atletas!M271="Wudangquan B",125,IF(Atletas!M271="Outros Estilos B",126,IF(Atletas!M271="Chaquan C",127,IF(Atletas!M271="Emeiquan C",128,IF(Atletas!M271="Fanziquan C",129,IF(Atletas!M271="Huaquan C",130,IF(Atletas!M271="Hongquan C",131,IF(Atletas!M271="Paoquan C",132,IF(Atletas!M271="Piguaquan C",133,IF(Atletas!M271="Shaolinquan C",134,IF(Atletas!M271="Tanglangquan C",135,IF(Atletas!M271="Yingzhaoquan C",136,IF(Atletas!M271="Tongbeiquan C",137,IF(Atletas!M271="Wudangquan C",138,IF(Atletas!M271="Outros Estilos C",139,0))))))))))))))))))))))))))))))))))))))))))</f>
        <v/>
      </c>
      <c r="BT280" s="50" t="str">
        <f>IF(Atletas!M271="","",IF(Atletas!X271&lt;&gt;"",10000,0)+(IF(Atletas!B271="Feminino",1000,IF(Atletas!B271="Masculino",2000,""))+(IF(Atletas!M271="Chaquan D",140,IF(Atletas!M271="Emeiquan D",141,IF(Atletas!M271="Fanziquan D",142,IF(Atletas!M271="Huaquan D",143,IF(Atletas!M271="Hongquan D",144,IF(Atletas!M271="Paoquan D",145,IF(Atletas!M271="Piguaquan D",146,IF(Atletas!M271="Shaolinquan D",147,IF(Atletas!M271="Tanglangquan D",148,IF(Atletas!M271="Yingzhaoquan D",149,IF(Atletas!M271="Tongbeiquan D",150,IF(Atletas!M271="Wudangquan D",151,IF(Atletas!M271="Outros Estilos D",152,IF(Atletas!M271="Chaquan E",153,IF(Atletas!M271="Emeiquan E",154,IF(Atletas!M271="Fanziquan E",155,IF(Atletas!M271="Huaquan E",156,IF(Atletas!M271="Hongquan E",157,IF(Atletas!M271="Paoquan E",158,IF(Atletas!M271="Piguaquan E",159,IF(Atletas!M271="Shaolinquan E",160,IF(Atletas!M271="Tanglangquan E",161,IF(Atletas!M271="Yingzhaoquan E",162,IF(Atletas!M271="Tongbeiquan E",163,IF(Atletas!M271="Wudangquan E",164,IF(Atletas!M271="Outros Estilos E",165,IF(Atletas!M271="Chaquan F",166,IF(Atletas!M271="Emeiquan F",167,IF(Atletas!M271="Fanziquan F",168,IF(Atletas!M271="Huaquan F",169,IF(Atletas!M271="Hongquan F",170,IF(Atletas!M271="Paoquan F",171,IF(Atletas!M271="Piguaquan F",172,IF(Atletas!M271="Shaolinquan F",173,IF(Atletas!M271="Tanglangquan F",174,IF(Atletas!M271="Yingzhaoquan F",175,IF(Atletas!M271="Tongbeiquan F",176,IF(Atletas!M271="Wudangquan F",177,IF(Atletas!M271="Outros Estilos F",178,0))))))))))))))))))))))))))))))))))))))))))</f>
        <v/>
      </c>
      <c r="BU280" s="50" t="str">
        <f>IF(Atletas!N271="","",IF(Atletas!X271&lt;&gt;"",10000,0)+(IF(Atletas!B271="Feminino",1000,IF(Atletas!B271="Masculino",2000,""))+(IF(Atletas!N271="Ditangquan A",201,IF(Atletas!N271="Houquan A",202,IF(Atletas!N271="Zuiquan A",203,IF(Atletas!N271="Ditangquan B",204,IF(Atletas!N271="Houquan B",205,IF(Atletas!N271="Zuiquan B",206,IF(Atletas!N271="Ditangquan C",207,IF(Atletas!N271="Houquan C",208,IF(Atletas!N271="Zuiquan C",209,IF(Atletas!N271="Ditangquan D",210,IF(Atletas!N271="Houquan D",211,IF(Atletas!N271="Zuiquan D",212,IF(Atletas!N271="Ditangquan E",213,IF(Atletas!N271="Houquan E",214,IF(Atletas!N271="Zuiquan E",215,IF(Atletas!N271="Ditangquan F",216,IF(Atletas!N271="Houquan F",217,IF(Atletas!N271="Zuiquan F",218,"")))))))))))))))))))))</f>
        <v/>
      </c>
      <c r="BV280" s="50" t="str">
        <f>IF(Atletas!O271="","",IF(Atletas!X271&lt;&gt;"",10000,0)+IF(Atletas!B271="Feminino",1000,IF(Atletas!B271="Masculino",2000,""))+IF(Atletas!O271="Yang A",301,IF(Atletas!O271="Chen A",302,IF(Atletas!O271="Sun A",303,IF(Atletas!O271="Wu A",304,IF(Atletas!O271="Wu-Hao A",305,IF(Atletas!O271="Outro Taijiquan A",306,IF(Atletas!O271="Yang B",307,IF(Atletas!O271="Chen B",308,IF(Atletas!O271="Sun B",309,IF(Atletas!O271="Wu B",310,IF(Atletas!O271="Wu-Hao B",311,IF(Atletas!O271="Outro Taijiquan B",312,IF(Atletas!O271="Yang C",313,IF(Atletas!O271="Chen C",314,IF(Atletas!O271="Sun C",315,IF(Atletas!O271="Wu C",316,IF(Atletas!O271="Wu-Hao C",317,IF(Atletas!O271="Outro Taijiquan C",318,IF(Atletas!O271="Yang D",319,IF(Atletas!O271="Chen D",320,IF(Atletas!O271="Sun D",321,IF(Atletas!O271="Wu D",322,IF(Atletas!O271="Wu-Hao D",323,IF(Atletas!O271="Outro Taijiquan D",324,IF(Atletas!O271="Yang E",325,IF(Atletas!O271="Chen E",326,IF(Atletas!O271="Sun E",327,IF(Atletas!O271="Wu E",328,IF(Atletas!O271="Wu-Hao E",329,IF(Atletas!O271="Outro Taijiquan E",330,IF(Atletas!O271="Yang F",331,IF(Atletas!O271="Chen F",332,IF(Atletas!O271="Sun F",333,IF(Atletas!O271="Wu F",334,IF(Atletas!O271="Wu-Hao F",335,IF(Atletas!O271="Outro Taijiquan F",336,"")))))))))))))))))))))))))))))))))))))</f>
        <v/>
      </c>
      <c r="BW280" s="50" t="str">
        <f>IF(Atletas!P271="","",IF(Atletas!X271&lt;&gt;"",10000,0)+IF(Atletas!B271="Feminino",1000,IF(Atletas!B271="Masculino",2000,""))+IF(OR(Atletas!P271="Yang 26 A",Atletas!P271="Yang 40 A"),401,IF(OR(Atletas!P271="Chen 25 A",Atletas!P271="Chen 36 A",Atletas!P271="Chen 56 A"),402,IF(Atletas!P271="Sun 73 A",403,IF(Atletas!P271="Wu 45 A",404,IF(Atletas!P271="Wu-Hao 46 A",405,IF(OR(Atletas!P271="Taijiquan 16 A",Atletas!P271="Taijiquan 24 A",Atletas!P271="Taijiquan 32 A",Atletas!P271="Taijiquan 42 A"),406,IF(OR(Atletas!P271="Yang 26 B",Atletas!P271="Yang 40 B"),407,IF(OR(Atletas!P271="Chen 25 B",Atletas!P271="Chen 36 B",Atletas!P271="Chen 56 B"),408,IF(Atletas!P271="Sun 73 B",409,IF(Atletas!P271="Wu 45 B",410,IF(Atletas!P271="Wu-Hao 46 B",411,IF(OR(Atletas!P271="Taijiquan 16 B",Atletas!P271="Taijiquan 24 B",Atletas!P271="Taijiquan 32 B",Atletas!P271="Taijiquan 42 B"),412,IF(OR(Atletas!P271="Yang 26 C",Atletas!P271="Yang 40 C"),413,IF(OR(Atletas!P271="Chen 25 C",Atletas!P271="Chen 36 C",Atletas!P271="Chen 56 C"),414,IF(Atletas!P271="Sun 73 C",415,IF(Atletas!P271="Wu 45 C",416,IF(Atletas!P271="Wu-Hao 46 C",417,IF(OR(Atletas!P271="Taijiquan 16 C",Atletas!P271="Taijiquan 24 C",Atletas!P271="Taijiquan 32 C",Atletas!P271="Taijiquan 42 C"),418,0)))))))))))))))))))</f>
        <v/>
      </c>
      <c r="BX280" s="50" t="str">
        <f>IF(Atletas!P271="","",IF(Atletas!X271&lt;&gt;"",10000,0)+IF(Atletas!B271="Feminino",1000,IF(Atletas!B271="Masculino",2000,""))+IF(OR(Atletas!P271="Yang 26 D",Atletas!P271="Yang 40 D"),419,IF(OR(Atletas!P271="Chen 25 D",Atletas!P271="Chen 36 D",Atletas!P271="Chen 56 D"),420,IF(Atletas!P271="Sun 73 D",421,IF(Atletas!P271="Wu 45 D",422,IF(Atletas!P271="Wu-Hao 46 D",423,IF(OR(Atletas!P271="Taijiquan 16 D",Atletas!P271="Taijiquan 24 D",Atletas!P271="Taijiquan 32 D",Atletas!P271="Taijiquan 42 D"),424,IF(OR(Atletas!P271="Yang 26 E",Atletas!P271="Yang 40 E"),425,IF(OR(Atletas!P271="Chen 25 E",Atletas!P271="Chen 36 E",Atletas!P271="Chen 56 E"),426,IF(Atletas!P271="Sun 73 E",427,IF(Atletas!P271="Wu 45 E",428,IF(Atletas!P271="Wu-Hao 46 E",429,IF(OR(Atletas!P271="Taijiquan 16 E",Atletas!P271="Taijiquan 24 E",Atletas!P271="Taijiquan 32 E",Atletas!P271="Taijiquan 42 E"),430,IF(OR(Atletas!P271="Yang 26 F",Atletas!P271="Yang 40 F"),431,IF(OR(Atletas!P271="Chen 25 F",Atletas!P271="Chen 36 F",Atletas!P271="Chen 56 F"),432,IF(Atletas!P271="Sun 73 F",433,IF(Atletas!P271="Wu 45 F",434,IF(Atletas!P271="Wu-Hao 46 F",435,IF(OR(Atletas!P271="Taijiquan 16 F",Atletas!P271="Taijiquan 24 F",Atletas!P271="Taijiquan 32 F",Atletas!P271="Taijiquan 42 F"),436,0)))))))))))))))))))</f>
        <v/>
      </c>
      <c r="BY280" s="50" t="str">
        <f>IF(Atletas!Q271="","",IF(Atletas!X271&lt;&gt;"",10000,0)+IF(Atletas!B271="Feminino",1000,IF(Atletas!B271="Masculino",2000,""))+IF(Atletas!Q271="Xingyiquan A",501,IF(Atletas!Q271="Baguazhang A",502,IF(Atletas!Q271="Outro Estilo Interno A",503,IF(Atletas!Q271="Xingyiquan B",504,IF(Atletas!Q271="Baguazhang B",505,IF(Atletas!Q271="Outro Estilo Interno B",506,IF(Atletas!Q271="Xingyiquan C",507,IF(Atletas!Q271="Baguazhang C",508,IF(Atletas!Q271="Outro Estilo Interno C",509,IF(Atletas!Q271="Xingyiquan D",510,IF(Atletas!Q271="Baguazhang D",511,IF(Atletas!Q271="Outro Estilo Interno D",512,IF(Atletas!Q271="Xingyiquan E",513,IF(Atletas!Q271="Baguazhang E",514,IF(Atletas!Q271="Outro Estilo Interno E",515,IF(Atletas!Q271="Xingyiquan F",516,IF(Atletas!Q271="Baguazhang F",517,IF(Atletas!Q271="Outro Estilo Interno F",518, "")))))))))))))))))))</f>
        <v/>
      </c>
      <c r="BZ280" s="50" t="str">
        <f>IF(Atletas!R271="","",IF(Atletas!X271&lt;&gt;"",10000,0)+IF(Atletas!B271="Feminino",1000,IF(Atletas!B271="Masculino",2000,""))+IF(Atletas!R271="Dao A",601,IF(Atletas!R271="Jian A",602,IF(Atletas!R271="Bishou A",603,IF(Atletas!R271="Shanzi A",604,IF(Atletas!R271="Outra Arma Curta A",605,IF(Atletas!R271="Dao B",606,IF(Atletas!R271="Jian B",607,IF(Atletas!R271="Bishou B",608,IF(Atletas!R271="Shanzi B",609,IF(Atletas!R271="Outra Arma Curta B",610,IF(Atletas!R271="Dao C",611,IF(Atletas!R271="Jian C",612,IF(Atletas!R271="Bishou C",613,IF(Atletas!R271="Shanzi C",614,IF(Atletas!R271="Outra Arma Curta C",615,IF(Atletas!R271="Dao D",616,IF(Atletas!R271="Jian D",617,IF(Atletas!R271="Bishou D",618,IF(Atletas!R271="Shanzi D",619,IF(Atletas!R271="Outra Arma Curta D",620,IF(Atletas!R271="Dao E",621,IF(Atletas!R271="Jian E",622,IF(Atletas!R271="Bishou E",623,IF(Atletas!R271="Shanzi E",624,IF(Atletas!R271="Outra Arma Curta E",625,IF(Atletas!R271="Dao F",626,IF(Atletas!R271="Jian F",627,IF(Atletas!R271="Bishou F",628,IF(Atletas!R271="Shanzi F",629,IF(Atletas!R271="Outra Arma Curta F",630, "")))))))))))))))))))))))))))))))</f>
        <v/>
      </c>
      <c r="CA280" s="50" t="str">
        <f>IF(Atletas!S271="","",IF(Atletas!X271&lt;&gt;"",10000,0)+IF(Atletas!B271="Feminino",1000,IF(Atletas!B271="Masculino",2000,""))+IF(Atletas!S271="Gun A",701,IF(Atletas!S271="Qiang A",702,IF(Atletas!S271="Pudao / Guandao A",703,IF(Atletas!S271="Outra Arma Longa A",704,IF(Atletas!S271="Gun B",705,IF(Atletas!S271="Qiang B",706,IF(Atletas!S271="Pudao / Guandao B",707,IF(Atletas!S271="Outra Arma Longa B",708,IF(Atletas!S271="Gun C",709,IF(Atletas!S271="Qiang C",710,IF(Atletas!S271="Pudao / Guandao C",711,IF(Atletas!S271="Outra Arma Longa C",712,IF(Atletas!S271="Gun D",713,IF(Atletas!S271="Qiang D",714,IF(Atletas!S271="Pudao / Guandao D",715,IF(Atletas!S271="Outra Arma Longa D",716,IF(Atletas!S271="Gun E",717,IF(Atletas!S271="Qiang E",718,IF(Atletas!S271="Pudao / Guandao E",719,IF(Atletas!S271="Outra Arma Longa E",720,IF(Atletas!S271="Gun F",721,IF(Atletas!S271="Qiang F",722,IF(Atletas!S271="Pudao / Guandao F",723,IF(Atletas!S271="Outra Arma Longa F",724,"")))))))))))))))))))))))))</f>
        <v/>
      </c>
      <c r="CB280" s="50" t="str">
        <f>IF(Atletas!T271="","",IF(Atletas!X271&lt;&gt;"",10000,0)+IF(Atletas!B271="Feminino",1000,IF(Atletas!B271="Masculino",2000,""))+IF(Atletas!T271="Outra Arma Dupla A",801,IF(Atletas!T271="Arma Maleável A",802,IF(Atletas!T271="Outra Arma Dupla B",803,IF(Atletas!T271="Arma Maleável B",804,IF(Atletas!T271="Outra Arma Dupla C",805,IF(Atletas!T271="Arma Maleável C",806,IF(Atletas!T271="Outra Arma Dupla D",807,IF(Atletas!T271="Arma Maleável D",808,IF(Atletas!T271="Outra Arma Dupla E",809,IF(Atletas!T271="Arma Maleável E",810,IF(Atletas!T271="Outra Arma Dupla F",811,IF(Atletas!T271="Arma Maleável F",812,IF(Atletas!T271="Shuangdao A",813,IF(Atletas!T271="Shuangdao B",814,IF(Atletas!T271="Shuangdao C",815,IF(Atletas!T271="Shuangdao D",816,IF(Atletas!T271="Shuangdao E",817,IF(Atletas!T271="Shuangdao F",818,"")))))))))))))))))))</f>
        <v/>
      </c>
      <c r="CC280" s="50" t="str">
        <f>IF(Atletas!U271="","",IF(Atletas!X271&lt;&gt;"",10000,0)+IF(Atletas!B271="Feminino",1000,IF(Atletas!B271="Masculino",2000,""))+IF(OR(Atletas!U271="Taijijian Yang A",Atletas!U271="Taijijian Yang Standard A"),901,IF(OR(Atletas!U271="Taijijian Chen A", Atletas!U271="Taijijian Chen Standard A"),902,IF(Atletas!U271="Taijijian Sun A",903,IF(Atletas!U271="Taijijian Wu A",904,IF(Atletas!U271="Taijijian Wu-Hao A",905,IF(OR(Atletas!U271="Taijijian 32 A",Atletas!U271="Taijijian 42 A"),906,IF(OR(Atletas!U271="Taijijian Yang B",Atletas!U271="Taijijian Yang Standard B"),907,IF(OR(Atletas!U271="Taijijian Chen B", Atletas!U271="Taijijian Chen Standard B"),908,IF(Atletas!U271="Taijijian Sun B",909,IF(Atletas!U271="Taijijian Wu B",910,IF(Atletas!U271="Taijijian Wu-Hao B",911,IF(OR(Atletas!U271="Taijijian 32 B",Atletas!U271="Taijijian 42 B"),912,IF(OR(Atletas!U271="Taijijian Yang C",Atletas!U271="Taijijian Yang Standard C"),913,IF(OR(Atletas!U271="Taijijian Chen C", Atletas!U271="Taijijian Chen Standard C"),914,IF(Atletas!U271="Taijijian Sun C",915,IF(Atletas!U271="Taijijian Wu C",916,IF(Atletas!U271="Taijijian Wu-Hao C",917,IF(OR(Atletas!U271="Taijijian 32 C",Atletas!U271="Taijijian 42 C"),918,IF(OR(Atletas!U271="Taijijian Yang D",Atletas!U271="Taijijian Yang Standard D"),919,IF(OR(Atletas!U271="Taijijian Chen D", Atletas!U271="Taijijian Chen Standard D"),920,IF(Atletas!U271="Taijijian Sun D",921,IF(Atletas!U271="Taijijian Wu D",922,IF(Atletas!U271="Taijijian Wu-Hao D",923,IF(OR(Atletas!U271="Taijijian 32 D",Atletas!U271="Taijijian 42 D"),924,IF(OR(Atletas!U271="Taijijian Yang E",Atletas!U271="Taijijian Yang Standard E"),925,IF(OR(Atletas!U271="Taijijian Chen E", Atletas!U271="Taijijian Chen Standard E"),926,IF(Atletas!U271="Taijijian Sun E",927,IF(Atletas!U271="Taijijian Wu E",928,IF(Atletas!U271="Taijijian Wu-Hao E",929,IF(OR(Atletas!U271="Taijijian 32 E",Atletas!U271="Taijijian 42 E"),930,IF(OR(Atletas!U271="Taijijian Yang F",Atletas!U271="Taijijian Yang Standard F"),931,IF(OR(Atletas!U271="Taijijian Chen F", Atletas!U271="Taijijian Chen Standard F"),932,IF(Atletas!U271="Taijijian Sun F",933,IF(Atletas!U271="Taijijian Wu F",934,IF(Atletas!U271="Taijijian Wu-Hao F",935,IF(OR(Atletas!U271="Taijijian 32 F",Atletas!U271="Taijijian 42 F"),936,"")))))))))))))))))))))))))))))))))))))</f>
        <v/>
      </c>
      <c r="CD280" s="50" t="str">
        <f>IF(Atletas!V271="","",IF(Atletas!X271&lt;&gt;"",10000,0)+IF(Atletas!B271="Feminino",1000,IF(Atletas!B271="Masculino",2000,""))+IF(Atletas!V271="Taijidao A",937,IF(Atletas!V271="TaijiShanzi A",938,IF(Atletas!V271="Taijiqiang A",939,IF(Atletas!V271="Bagua de Arma A",940,IF(Atletas!V271="Xingyi de Arma A",941,IF(Atletas!V271="Taijidao B",942,IF(Atletas!V271="TaijiShanzi B",943,IF(Atletas!V271="Taijiqiang B",944,IF(Atletas!V271="Bagua de Arma B",945,IF(Atletas!V271="Xingyi de Arma B",946,IF(Atletas!V271="Taijidao C",947,IF(Atletas!V271="TaijiShanzi C",948,IF(Atletas!V271="Taijiqiang C",949,IF(Atletas!V271="Bagua de Arma C",950,IF(Atletas!V271="Xingyi de Arma C",951,IF(Atletas!V271="Taijidao D",952,IF(Atletas!V271="TaijiShanzi D",953,IF(Atletas!V271="Taijiqiang D",954,IF(Atletas!V271="Bagua de Arma D",955,IF(Atletas!V271="Xingyi de Arma D",956,IF(Atletas!V271="Taijidao E",957,IF(Atletas!V271="TaijiShanzi E",958,IF(Atletas!V271="Taijiqiang E",959,IF(Atletas!V271="Bagua de Arma E",960,IF(Atletas!V271="Xingyi de Arma E",961,IF(Atletas!V271="Taijidao F",962,IF(Atletas!V271="TaijiShanzi F",963,IF(Atletas!V271="Taijiqiang F",964,IF(Atletas!V271="Bagua de Arma F",965,IF(Atletas!V271="Xingyi de Arma F",966,"")))))))))))))))))))))))))))))))</f>
        <v/>
      </c>
      <c r="CE280" s="66" t="str">
        <f>IF(CF280&lt;&gt;"","Qiang F","")</f>
        <v/>
      </c>
      <c r="CF280" s="66" t="str">
        <f>IF(COUNTIF(BR:CD,1722)&gt;0,COUNTIF(BR:CD,1722),"")</f>
        <v/>
      </c>
      <c r="CG280" s="66" t="str">
        <f>IF(CH280&lt;&gt;"","Qiang F","")</f>
        <v/>
      </c>
      <c r="CH280" s="66" t="str">
        <f>IF(COUNTIF(BR:CD,2722)&gt;0,COUNTIF(BR:CD,2722),"")</f>
        <v/>
      </c>
      <c r="CI280" s="66" t="str">
        <f>IF(CJ281&lt;&gt;"","Outra Arma Dupla C","")</f>
        <v/>
      </c>
      <c r="CJ280" s="66" t="str">
        <f>IF(COUNTIF(BR:CD,11804)&gt;0,COUNTIF(BR:CD,11804),"")</f>
        <v/>
      </c>
      <c r="CK280" s="66" t="str">
        <f>IF(CL280&lt;&gt;"","Outra Arma Maleável B","")</f>
        <v/>
      </c>
      <c r="CL280" s="66" t="str">
        <f>IF(COUNTIF(BR:CD,12804)&gt;0,COUNTIF(BR:CD,12804),"")</f>
        <v/>
      </c>
      <c r="CM280" s="50" t="str">
        <f xml:space="preserve"> IF(Atletas!W271="","",IF(Atletas!W271="Duilian de Mãos BC - Equipe 1",1,IF(Atletas!W271="Duilian de Mãos BC - Equipe 2",2,IF(Atletas!W271="Duilian de Armas BC - Equipe 1",3,IF(Atletas!W271="Duilian de Armas BC - Equipe 2",4,IF(Atletas!W271="Duilian de Mãos DE - Equipe 1",5,IF(Atletas!W271="Duilian de Mãos DE - Equipe 2",6,IF(Atletas!W271="Duilian de Armas DE - Equipe 1",7,IF(Atletas!W271="Duilian de Armas DE - Equipe 2",8,IF(Atletas!W271="Duilian de Tuishou - Equipe 1",9,IF(Atletas!W271="Duilian de Tuishou - Equipe 2",10,IF(Atletas!W271="Grupo Externo ABC - Equipe 1",11,IF(Atletas!W271="Grupo Externo ABC - Equipe 2",12,IF(Atletas!W271="Grupo Interno ABC - Equipe 1",13,IF(Atletas!W271="Grupo Interno ABC - Equipe 2",14,IF(Atletas!W271="Grupo Externo DEF - Equipe 1",15,IF(Atletas!W271="Grupo Externo DEF - Equipe 2",16,IF(Atletas!W271="Grupo Interno DEF - Equipe 1",17,IF(Atletas!W271="Grupo Interno DEF - Equipe 2",18,"")))))))))))))))))))</f>
        <v/>
      </c>
    </row>
    <row r="281" spans="2:91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 t="str">
        <f t="array" ref="Z281">IFERROR(INDEX(CE$7:CE$348,SMALL(IF(CE$7:CE$348&lt;&gt;"",ROW(CE$7:CE$348)-ROW(CE$7)+1),ROWS(CE$7:CE280))),"")</f>
        <v/>
      </c>
      <c r="AA281" s="3" t="str">
        <f t="array" ref="AA281">IFERROR(INDEX(CF$7:CF$348,SMALL(IF(CF$7:CF$348&lt;&gt;"",ROW(CF$7:CF$348)-ROW(CF$7)+1),ROWS(CF$7:CF280))),"")</f>
        <v/>
      </c>
      <c r="AB281" s="3" t="str">
        <f t="array" ref="AB281">IFERROR(INDEX(CG$7:CG$348,SMALL(IF(CG$7:CG$348&lt;&gt;"",ROW(CG$7:CG$348)-ROW(CG$7)+1),ROWS(CG$7:CG280))),"")</f>
        <v/>
      </c>
      <c r="AC281" s="3" t="str">
        <f t="array" ref="AC281">IFERROR(INDEX(CH$7:CH$348,SMALL(IF(CH$7:CH$348&lt;&gt;"",ROW(CH$7:CH$348)-ROW(CH$7)+1),ROWS(CH$7:CH280))),"")</f>
        <v/>
      </c>
      <c r="AD281" s="3" t="str">
        <f t="array" ref="AD281">IFERROR(INDEX(CI$7:CI$377,SMALL(IF(CI$7:CI$377&lt;&gt;"",ROW(CI$7:CI$377)-ROW(CI$7)+1),ROWS(CI$7:CI279))),"")</f>
        <v/>
      </c>
      <c r="AE281" s="3" t="str">
        <f t="array" ref="AE281">IFERROR(INDEX(CJ$7:CJ$378,SMALL(IF(CJ$7:CJ$378&lt;&gt;"",ROW(CJ$7:CJ$378)-ROW(CJ$7)+1),ROWS(CJ$7:CJ280))),"")</f>
        <v/>
      </c>
      <c r="AF281" s="3" t="str">
        <f t="array" ref="AF281">IFERROR(INDEX(CK$7:CK$378,SMALL(IF(CK$7:CK$378&lt;&gt;"",ROW(CK$7:CK$378)-ROW(CK$7)+1),ROWS(CK$7:CK280))),"")</f>
        <v/>
      </c>
      <c r="AG281" s="3" t="str">
        <f t="array" ref="AG281">IFERROR(INDEX(CL$7:CL$378,SMALL(IF(CL$7:CL$378&lt;&gt;"",ROW(CL$7:CL$378)-ROW(CL$7)+1),ROWS(CL$7:CL280))),"")</f>
        <v/>
      </c>
      <c r="AH281" s="3"/>
      <c r="AI281" s="3"/>
      <c r="AJ281" s="3"/>
      <c r="AK281" s="3"/>
      <c r="AL281" s="3"/>
      <c r="AM281" s="3"/>
      <c r="AN281" s="52" t="str">
        <f>IF(Atletas!D272="","",IF(Atletas!B272="Feminino",100,IF(Atletas!B272="Masculino",200,""))+(IF(Atletas!D272="Kids 30kg",1,IF(Atletas!D272="Kids 32kg",2, IF(Atletas!D272="Kids 34kg",3,IF(Atletas!D272="Kids 36kg",4,IF(Atletas!D272="Kids 39kg",5,IF(Atletas!D272="Kids 42kg",6,IF(Atletas!D272="Kids 45kg",7, IF(Atletas!D272="Infantil 39kg",8,IF(Atletas!D272="Infantil 42kg",9,IF(Atletas!D272="Infantil 45kg",10,IF(Atletas!D272="Infantil 48kg",11,IF(Atletas!D272="Infantil 52kg",12,IF(Atletas!D272="Infantil 56kg",13,IF(Atletas!D272="Infantil 60kg",14,IF(Atletas!D272="Juvenil 48kg",15,IF(Atletas!D272="Juvenil 52kg",16,IF(Atletas!D272="Juvenil 56kg",17,IF(Atletas!D272="Juvenil 60kg",18,IF(Atletas!D272="Juvenil 65kg",19,IF(Atletas!D272="Juvenil 70kg",20,IF(Atletas!D272="Juvenil 75kg",21,IF(Atletas!D272="Juvenil 80kg",22, IF(Atletas!D272="Juvenil 85kg",23,IF(Atletas!D272="Adulto 48kg",24,IF(Atletas!D272="Adulto 52kg",25,IF(Atletas!D272="Adulto 56kg",26,IF(Atletas!D272="Adulto 60kg",27,IF(Atletas!D272="Adulto 65kg",28,IF(Atletas!D272="Adulto 70kg",29,IF(Atletas!D272="Adulto 75kg",30,IF(Atletas!D272="Adulto 80kg",31,IF(Atletas!D272="Adulto 85kg",32,IF(Atletas!D272="Adulto 90kg",33,IF(Atletas!D272="Adulto 100kg",34, IF(Atletas!D272="Adulto +100kg",35,"")))))))))))))))))))))))))))))))))))))</f>
        <v/>
      </c>
      <c r="AS281" s="6" t="str">
        <f>IF(Atletas!E272="","",IF(Atletas!B272="Feminino",100,IF(Atletas!B272="Masculino",200,""))+(IF(Atletas!E272="Juvenil 44kg",1,IF(Atletas!E272="Juvenil 48kg",2,IF(Atletas!E272="Juvenil 52kg",3,IF(Atletas!E272="Juvenil 56kg",4,IF(Atletas!E272="Juvenil 60kg",5,IF(Atletas!E272="Juvenil 65kg",6,IF(Atletas!E272="Juvenil 70kg",7,IF(Atletas!E272="Juvenil 75kg",8,IF(Atletas!E272="Juvenil 82kg",9,IF(Atletas!E272="Juvenil 90kg",10,IF(Atletas!E272="Juvenil 100kg",11,IF(Atletas!E272="Adulto 48kg",12,IF(Atletas!E272="Adulto 52kg",13,IF(Atletas!E272="Adulto 56kg",14,IF(Atletas!E272="Adulto 60kg",15,IF(Atletas!E272="Adulto 65kg",16,IF(Atletas!E272="Adulto 70kg",17,IF(Atletas!E272="Adulto 75kg",18,IF(Atletas!E272="Adulto 82kg",19,IF(Atletas!E272="Adulto 90kg",20,IF(Atletas!E272="Adulto 100kg",21,IF(Atletas!E272="Adulto +100kg",22,""))))))))))))))))))))))))</f>
        <v/>
      </c>
      <c r="AX281" s="6" t="str">
        <f>IF(Atletas!F272="","",IF(Atletas!B272="Feminino",100,IF(Atletas!B272="Masculino",200,""))+(IF(Atletas!F272="Adulto 48kg",1,IF(Atletas!F272="Adulto 56kg",2,IF(Atletas!F272="Adulto 65kg",3,IF(Atletas!F272="Adulto 75kg",4,IF(Atletas!F272="Adulto +75kg",5,IF(Atletas!F272="Adulto 52kg",6,IF(Atletas!F272="Adulto 60kg",7,IF(Atletas!F272="Adulto 70kg",8,IF(Atletas!F272="Adulto 80kg",9,IF(Atletas!F272="Adulto 90kg",10,IF(Atletas!F272="Adulto +90kg",11,"")))))))))))))</f>
        <v/>
      </c>
      <c r="BC281" s="6" t="str">
        <f>IF(Atletas!G272="","",IF(Atletas!B272="Feminino",10,IF(Atletas!B272="Masculino",20,""))+(IF(Atletas!G272="Baduanjin A",1,IF(Atletas!G272="Baduanjin B",2))))</f>
        <v/>
      </c>
      <c r="BF281" s="52" t="str">
        <f>IF(Atletas!H272="","",IF(Atletas!B272="Feminino",100,IF(Atletas!B272="Masculino",200,""))+(IF(Atletas!H272="Changquan Mirim",1,IF(Atletas!H272="Nanquan Mirim",2,IF(Atletas!H272="Taijiquan Mirim",3,IF(Atletas!H272="Changquan Grupo C",4,IF(Atletas!H272="Nanquan Grupo C",5,IF(Atletas!H272="Taijiquan Grupo C",6,IF(Atletas!H272="Changquan Grupo B",7,IF(Atletas!H272="Nanquan Grupo B",8,IF(Atletas!H272="Taijiquan Grupo B",9,IF(Atletas!H272="Changquan Grupo A",10,IF(Atletas!H272="Nanquan Grupo A",11,IF(Atletas!H272="Taijiquan Grupo A",12,IF(Atletas!H272="Changquan Opcional",13,IF(Atletas!H272="Nanquan Opcional",14,IF(Atletas!H272="Taijiquan Opcional",15,IF(Atletas!H272="Changquan Adulto",16,IF(Atletas!H272="Nanquan Adulto",17,IF(Atletas!H272="Taijiquan Adulto",18,""))))))))))))))))))))</f>
        <v/>
      </c>
      <c r="BG281" s="52" t="str">
        <f>IF(Atletas!I272="","",IF(Atletas!B272="Feminino",100,IF(Atletas!B272="Masculino",200,""))+(IF(Atletas!I272="Daoshu Mirim",19,IF(Atletas!I272="Jianshu Mirim",20,IF(Atletas!I272="Nandao Mirim",21,IF(Atletas!I272="Taijijian Mirim",22,IF(Atletas!I272="Daoshu Grupo C",23,IF(Atletas!I272="Jianshu Grupo C",24,IF(Atletas!I272="Nandao Grupo C",25,IF(Atletas!I272="Taijijian Grupo C",26,IF(Atletas!I272="Daoshu Grupo B",27,IF(Atletas!I272="Jianshu Grupo B",28,IF(Atletas!I272="Nandao Grupo B",29,IF(Atletas!I272="Taijijian Grupo B",30,IF(Atletas!I272="Daoshu Grupo A",31,IF(Atletas!I272="Jianshu Grupo A",32,IF(Atletas!I272="Nandao Grupo A",33,IF(Atletas!I272="Taijijian Grupo A",34,IF(Atletas!I272="Daoshu Opcional",35,IF(Atletas!I272="Jianshu Opcional",36,IF(Atletas!I272="Nandao Opcional",37,IF(Atletas!I272="Taijijian Opcional",38,IF(Atletas!I272="Daoshu Adulto",39,IF(Atletas!I272="Jianshu Adulto",40,IF(Atletas!I272="Nandao Adulto",41,IF(Atletas!I272="Taijijian Adulto",42,""))))))))))))))))))))))))))</f>
        <v/>
      </c>
      <c r="BH281" s="52" t="str">
        <f>IF(Atletas!J272="","",IF(Atletas!B272="Feminino",100,IF(Atletas!B272="Masculino",200,""))+(IF(Atletas!J272="Gunshu Mirim",43,IF(Atletas!J272="Qiangshu Mirim",44,IF(Atletas!J272="Nangun Mirim",45,IF(Atletas!J272="Gunshu Grupo C",46,IF(Atletas!J272="Qiangshu Grupo C",47,IF(Atletas!J272="Nangun Grupo C",48,IF(Atletas!J272="Gunshu Grupo B",49,IF(Atletas!J272="Qiangshu Grupo B",50,IF(Atletas!J272="Nangun Grupo B",51,IF(Atletas!J272="Gunshu Grupo A",52,IF(Atletas!J272="Qiangshu Grupo A",53,IF(Atletas!J272="Nangun Grupo A",54,IF(Atletas!J272="Gunshu Opcional",55,IF(Atletas!J272="Qiangshu Opcional",56,IF(Atletas!J272="Nangun Opcional",57,IF(Atletas!J272="Gunshu Adulto",58,IF(Atletas!J272="Qiangshu Adulto",59,IF(Atletas!J272="Nangun Adulto",60,IF(Atletas!J272="Taijishan Grupo B",61,IF(Atletas!J272="Taijishan Grupo A",62,""))))))))))))))))))))))</f>
        <v/>
      </c>
      <c r="BM281" s="50" t="str">
        <f>IF(Atletas!K272="","",IF(Atletas!B272="Feminino",100,IF(Atletas!B272="Masculino",200,""))+(IF(Atletas!K272="Equipe 1 Grupo B",1,IF(Atletas!K272="Equipe 2 Grupo B",2,IF(Atletas!K272="Equipe 1 Grupo A",3,IF(Atletas!K272="Equipe 2 Grupo A",4,IF(Atletas!K272="Equipe 1 Adulto",5,IF(Atletas!K272="Equipe 2 Adulto",6,""))))))))</f>
        <v/>
      </c>
      <c r="BR281" s="50" t="str">
        <f>IF(Atletas!L272="","",IF(Atletas!X272&lt;&gt;"",10000,0)+(IF(Atletas!B272="Feminino",1000,IF(Atletas!B272="Masculino",2000,""))+IF(Atletas!L272="Choylayfut A",1,IF(Atletas!L272="Hunggar A",2,IF(Atletas!L272="Wuzuquan A",3,IF(Atletas!L272="Wingchun A",4,IF(Atletas!L272="Outra Mão de Sul A",5,IF(Atletas!L272="Choylayfut B",6,IF(Atletas!L272="Hunggar B",7,IF(Atletas!L272="Wuzuquan B",8,IF(Atletas!L272="Wingchun B",9,IF(Atletas!L272="Outra Mão de Sul B",10,IF(Atletas!L272="Choylayfut C",11,IF(Atletas!L272="Hunggar C",12,IF(Atletas!L272="Wuzuquan C",13,IF(Atletas!L272="Wingchun C",14,IF(Atletas!L272="Outra Mão de Sul C",15,IF(Atletas!L272="Choylayfut D",16,IF(Atletas!L272="Hunggar D",17,IF(Atletas!L272="Wuzuquan D",18,IF(Atletas!L272="Wingchun D",19,IF(Atletas!L272="Outra Mão de Sul D",20,IF(Atletas!L272="Choylayfut E",21,IF(Atletas!L272="Hunggar E",22,IF(Atletas!L272="Wuzuquan E",23,IF(Atletas!L272="Wingchun E",24,IF(Atletas!L272="Outra Mão de Sul E",25,IF(Atletas!L272="Choylayfut F",26,IF(Atletas!L272="Hunggar F",27,IF(Atletas!L272="Wuzuquan F",28,IF(Atletas!L272="Wingchun F",29,IF(Atletas!L272="Outra Mão de Sul F",30,IF(Atletas!L272="Dishuquan A",31,IF(Atletas!L272="Dishuquan B",32,IF(Atletas!L272="Dishuquan C",33,IF(Atletas!L272="Dishuquan D",34,IF(Atletas!L272="Dishuquan E",35,IF(Atletas!L272="Dishuquan F",36,""))))))))))))))))))))))))))))))))))))))</f>
        <v/>
      </c>
      <c r="BS281" s="50" t="str">
        <f>IF(Atletas!M272="","",IF(Atletas!X272&lt;&gt;"",10000,0)+(IF(Atletas!B272="Feminino",1000,IF(Atletas!B272="Masculino",2000,""))+(IF(Atletas!M272="Chaquan A",101,IF(Atletas!M272="Emeiquan A",102,IF(Atletas!M272="Fanziquan A",103,IF(Atletas!M272="Huaquan A",104,IF(Atletas!M272="Hongquan A",105,IF(Atletas!M272="Paoquan A",106,IF(Atletas!M272="Piguaquan A",107,IF(Atletas!M272="Shaolinquan A",108,IF(Atletas!M272="Tanglangquan A",109,IF(Atletas!M272="Yingzhaoquan A",110,IF(Atletas!M272="Tongbeiquan A",111,IF(Atletas!M272="Wudangquan A",112,IF(Atletas!M272="Outros Estilos A",113,IF(Atletas!M272="Chaquan B",114,IF(Atletas!M272="Emeiquan B",115,IF(Atletas!M272="Fanziquan B",116,IF(Atletas!M272="Huaquan B",117,IF(Atletas!M272="Hongquan B",118,IF(Atletas!M272="Paoquan B",119,IF(Atletas!M272="Piguaquan B",120,IF(Atletas!M272="Shaolinquan B",121,IF(Atletas!M272="Tanglangquan B",122,IF(Atletas!M272="Yingzhaoquan B",123,IF(Atletas!M272="Tongbeiquan B",124,IF(Atletas!M272="Wudangquan B",125,IF(Atletas!M272="Outros Estilos B",126,IF(Atletas!M272="Chaquan C",127,IF(Atletas!M272="Emeiquan C",128,IF(Atletas!M272="Fanziquan C",129,IF(Atletas!M272="Huaquan C",130,IF(Atletas!M272="Hongquan C",131,IF(Atletas!M272="Paoquan C",132,IF(Atletas!M272="Piguaquan C",133,IF(Atletas!M272="Shaolinquan C",134,IF(Atletas!M272="Tanglangquan C",135,IF(Atletas!M272="Yingzhaoquan C",136,IF(Atletas!M272="Tongbeiquan C",137,IF(Atletas!M272="Wudangquan C",138,IF(Atletas!M272="Outros Estilos C",139,0))))))))))))))))))))))))))))))))))))))))))</f>
        <v/>
      </c>
      <c r="BT281" s="50" t="str">
        <f>IF(Atletas!M272="","",IF(Atletas!X272&lt;&gt;"",10000,0)+(IF(Atletas!B272="Feminino",1000,IF(Atletas!B272="Masculino",2000,""))+(IF(Atletas!M272="Chaquan D",140,IF(Atletas!M272="Emeiquan D",141,IF(Atletas!M272="Fanziquan D",142,IF(Atletas!M272="Huaquan D",143,IF(Atletas!M272="Hongquan D",144,IF(Atletas!M272="Paoquan D",145,IF(Atletas!M272="Piguaquan D",146,IF(Atletas!M272="Shaolinquan D",147,IF(Atletas!M272="Tanglangquan D",148,IF(Atletas!M272="Yingzhaoquan D",149,IF(Atletas!M272="Tongbeiquan D",150,IF(Atletas!M272="Wudangquan D",151,IF(Atletas!M272="Outros Estilos D",152,IF(Atletas!M272="Chaquan E",153,IF(Atletas!M272="Emeiquan E",154,IF(Atletas!M272="Fanziquan E",155,IF(Atletas!M272="Huaquan E",156,IF(Atletas!M272="Hongquan E",157,IF(Atletas!M272="Paoquan E",158,IF(Atletas!M272="Piguaquan E",159,IF(Atletas!M272="Shaolinquan E",160,IF(Atletas!M272="Tanglangquan E",161,IF(Atletas!M272="Yingzhaoquan E",162,IF(Atletas!M272="Tongbeiquan E",163,IF(Atletas!M272="Wudangquan E",164,IF(Atletas!M272="Outros Estilos E",165,IF(Atletas!M272="Chaquan F",166,IF(Atletas!M272="Emeiquan F",167,IF(Atletas!M272="Fanziquan F",168,IF(Atletas!M272="Huaquan F",169,IF(Atletas!M272="Hongquan F",170,IF(Atletas!M272="Paoquan F",171,IF(Atletas!M272="Piguaquan F",172,IF(Atletas!M272="Shaolinquan F",173,IF(Atletas!M272="Tanglangquan F",174,IF(Atletas!M272="Yingzhaoquan F",175,IF(Atletas!M272="Tongbeiquan F",176,IF(Atletas!M272="Wudangquan F",177,IF(Atletas!M272="Outros Estilos F",178,0))))))))))))))))))))))))))))))))))))))))))</f>
        <v/>
      </c>
      <c r="BU281" s="50" t="str">
        <f>IF(Atletas!N272="","",IF(Atletas!X272&lt;&gt;"",10000,0)+(IF(Atletas!B272="Feminino",1000,IF(Atletas!B272="Masculino",2000,""))+(IF(Atletas!N272="Ditangquan A",201,IF(Atletas!N272="Houquan A",202,IF(Atletas!N272="Zuiquan A",203,IF(Atletas!N272="Ditangquan B",204,IF(Atletas!N272="Houquan B",205,IF(Atletas!N272="Zuiquan B",206,IF(Atletas!N272="Ditangquan C",207,IF(Atletas!N272="Houquan C",208,IF(Atletas!N272="Zuiquan C",209,IF(Atletas!N272="Ditangquan D",210,IF(Atletas!N272="Houquan D",211,IF(Atletas!N272="Zuiquan D",212,IF(Atletas!N272="Ditangquan E",213,IF(Atletas!N272="Houquan E",214,IF(Atletas!N272="Zuiquan E",215,IF(Atletas!N272="Ditangquan F",216,IF(Atletas!N272="Houquan F",217,IF(Atletas!N272="Zuiquan F",218,"")))))))))))))))))))))</f>
        <v/>
      </c>
      <c r="BV281" s="50" t="str">
        <f>IF(Atletas!O272="","",IF(Atletas!X272&lt;&gt;"",10000,0)+IF(Atletas!B272="Feminino",1000,IF(Atletas!B272="Masculino",2000,""))+IF(Atletas!O272="Yang A",301,IF(Atletas!O272="Chen A",302,IF(Atletas!O272="Sun A",303,IF(Atletas!O272="Wu A",304,IF(Atletas!O272="Wu-Hao A",305,IF(Atletas!O272="Outro Taijiquan A",306,IF(Atletas!O272="Yang B",307,IF(Atletas!O272="Chen B",308,IF(Atletas!O272="Sun B",309,IF(Atletas!O272="Wu B",310,IF(Atletas!O272="Wu-Hao B",311,IF(Atletas!O272="Outro Taijiquan B",312,IF(Atletas!O272="Yang C",313,IF(Atletas!O272="Chen C",314,IF(Atletas!O272="Sun C",315,IF(Atletas!O272="Wu C",316,IF(Atletas!O272="Wu-Hao C",317,IF(Atletas!O272="Outro Taijiquan C",318,IF(Atletas!O272="Yang D",319,IF(Atletas!O272="Chen D",320,IF(Atletas!O272="Sun D",321,IF(Atletas!O272="Wu D",322,IF(Atletas!O272="Wu-Hao D",323,IF(Atletas!O272="Outro Taijiquan D",324,IF(Atletas!O272="Yang E",325,IF(Atletas!O272="Chen E",326,IF(Atletas!O272="Sun E",327,IF(Atletas!O272="Wu E",328,IF(Atletas!O272="Wu-Hao E",329,IF(Atletas!O272="Outro Taijiquan E",330,IF(Atletas!O272="Yang F",331,IF(Atletas!O272="Chen F",332,IF(Atletas!O272="Sun F",333,IF(Atletas!O272="Wu F",334,IF(Atletas!O272="Wu-Hao F",335,IF(Atletas!O272="Outro Taijiquan F",336,"")))))))))))))))))))))))))))))))))))))</f>
        <v/>
      </c>
      <c r="BW281" s="50" t="str">
        <f>IF(Atletas!P272="","",IF(Atletas!X272&lt;&gt;"",10000,0)+IF(Atletas!B272="Feminino",1000,IF(Atletas!B272="Masculino",2000,""))+IF(OR(Atletas!P272="Yang 26 A",Atletas!P272="Yang 40 A"),401,IF(OR(Atletas!P272="Chen 25 A",Atletas!P272="Chen 36 A",Atletas!P272="Chen 56 A"),402,IF(Atletas!P272="Sun 73 A",403,IF(Atletas!P272="Wu 45 A",404,IF(Atletas!P272="Wu-Hao 46 A",405,IF(OR(Atletas!P272="Taijiquan 16 A",Atletas!P272="Taijiquan 24 A",Atletas!P272="Taijiquan 32 A",Atletas!P272="Taijiquan 42 A"),406,IF(OR(Atletas!P272="Yang 26 B",Atletas!P272="Yang 40 B"),407,IF(OR(Atletas!P272="Chen 25 B",Atletas!P272="Chen 36 B",Atletas!P272="Chen 56 B"),408,IF(Atletas!P272="Sun 73 B",409,IF(Atletas!P272="Wu 45 B",410,IF(Atletas!P272="Wu-Hao 46 B",411,IF(OR(Atletas!P272="Taijiquan 16 B",Atletas!P272="Taijiquan 24 B",Atletas!P272="Taijiquan 32 B",Atletas!P272="Taijiquan 42 B"),412,IF(OR(Atletas!P272="Yang 26 C",Atletas!P272="Yang 40 C"),413,IF(OR(Atletas!P272="Chen 25 C",Atletas!P272="Chen 36 C",Atletas!P272="Chen 56 C"),414,IF(Atletas!P272="Sun 73 C",415,IF(Atletas!P272="Wu 45 C",416,IF(Atletas!P272="Wu-Hao 46 C",417,IF(OR(Atletas!P272="Taijiquan 16 C",Atletas!P272="Taijiquan 24 C",Atletas!P272="Taijiquan 32 C",Atletas!P272="Taijiquan 42 C"),418,0)))))))))))))))))))</f>
        <v/>
      </c>
      <c r="BX281" s="50" t="str">
        <f>IF(Atletas!P272="","",IF(Atletas!X272&lt;&gt;"",10000,0)+IF(Atletas!B272="Feminino",1000,IF(Atletas!B272="Masculino",2000,""))+IF(OR(Atletas!P272="Yang 26 D",Atletas!P272="Yang 40 D"),419,IF(OR(Atletas!P272="Chen 25 D",Atletas!P272="Chen 36 D",Atletas!P272="Chen 56 D"),420,IF(Atletas!P272="Sun 73 D",421,IF(Atletas!P272="Wu 45 D",422,IF(Atletas!P272="Wu-Hao 46 D",423,IF(OR(Atletas!P272="Taijiquan 16 D",Atletas!P272="Taijiquan 24 D",Atletas!P272="Taijiquan 32 D",Atletas!P272="Taijiquan 42 D"),424,IF(OR(Atletas!P272="Yang 26 E",Atletas!P272="Yang 40 E"),425,IF(OR(Atletas!P272="Chen 25 E",Atletas!P272="Chen 36 E",Atletas!P272="Chen 56 E"),426,IF(Atletas!P272="Sun 73 E",427,IF(Atletas!P272="Wu 45 E",428,IF(Atletas!P272="Wu-Hao 46 E",429,IF(OR(Atletas!P272="Taijiquan 16 E",Atletas!P272="Taijiquan 24 E",Atletas!P272="Taijiquan 32 E",Atletas!P272="Taijiquan 42 E"),430,IF(OR(Atletas!P272="Yang 26 F",Atletas!P272="Yang 40 F"),431,IF(OR(Atletas!P272="Chen 25 F",Atletas!P272="Chen 36 F",Atletas!P272="Chen 56 F"),432,IF(Atletas!P272="Sun 73 F",433,IF(Atletas!P272="Wu 45 F",434,IF(Atletas!P272="Wu-Hao 46 F",435,IF(OR(Atletas!P272="Taijiquan 16 F",Atletas!P272="Taijiquan 24 F",Atletas!P272="Taijiquan 32 F",Atletas!P272="Taijiquan 42 F"),436,0)))))))))))))))))))</f>
        <v/>
      </c>
      <c r="BY281" s="50" t="str">
        <f>IF(Atletas!Q272="","",IF(Atletas!X272&lt;&gt;"",10000,0)+IF(Atletas!B272="Feminino",1000,IF(Atletas!B272="Masculino",2000,""))+IF(Atletas!Q272="Xingyiquan A",501,IF(Atletas!Q272="Baguazhang A",502,IF(Atletas!Q272="Outro Estilo Interno A",503,IF(Atletas!Q272="Xingyiquan B",504,IF(Atletas!Q272="Baguazhang B",505,IF(Atletas!Q272="Outro Estilo Interno B",506,IF(Atletas!Q272="Xingyiquan C",507,IF(Atletas!Q272="Baguazhang C",508,IF(Atletas!Q272="Outro Estilo Interno C",509,IF(Atletas!Q272="Xingyiquan D",510,IF(Atletas!Q272="Baguazhang D",511,IF(Atletas!Q272="Outro Estilo Interno D",512,IF(Atletas!Q272="Xingyiquan E",513,IF(Atletas!Q272="Baguazhang E",514,IF(Atletas!Q272="Outro Estilo Interno E",515,IF(Atletas!Q272="Xingyiquan F",516,IF(Atletas!Q272="Baguazhang F",517,IF(Atletas!Q272="Outro Estilo Interno F",518, "")))))))))))))))))))</f>
        <v/>
      </c>
      <c r="BZ281" s="50" t="str">
        <f>IF(Atletas!R272="","",IF(Atletas!X272&lt;&gt;"",10000,0)+IF(Atletas!B272="Feminino",1000,IF(Atletas!B272="Masculino",2000,""))+IF(Atletas!R272="Dao A",601,IF(Atletas!R272="Jian A",602,IF(Atletas!R272="Bishou A",603,IF(Atletas!R272="Shanzi A",604,IF(Atletas!R272="Outra Arma Curta A",605,IF(Atletas!R272="Dao B",606,IF(Atletas!R272="Jian B",607,IF(Atletas!R272="Bishou B",608,IF(Atletas!R272="Shanzi B",609,IF(Atletas!R272="Outra Arma Curta B",610,IF(Atletas!R272="Dao C",611,IF(Atletas!R272="Jian C",612,IF(Atletas!R272="Bishou C",613,IF(Atletas!R272="Shanzi C",614,IF(Atletas!R272="Outra Arma Curta C",615,IF(Atletas!R272="Dao D",616,IF(Atletas!R272="Jian D",617,IF(Atletas!R272="Bishou D",618,IF(Atletas!R272="Shanzi D",619,IF(Atletas!R272="Outra Arma Curta D",620,IF(Atletas!R272="Dao E",621,IF(Atletas!R272="Jian E",622,IF(Atletas!R272="Bishou E",623,IF(Atletas!R272="Shanzi E",624,IF(Atletas!R272="Outra Arma Curta E",625,IF(Atletas!R272="Dao F",626,IF(Atletas!R272="Jian F",627,IF(Atletas!R272="Bishou F",628,IF(Atletas!R272="Shanzi F",629,IF(Atletas!R272="Outra Arma Curta F",630, "")))))))))))))))))))))))))))))))</f>
        <v/>
      </c>
      <c r="CA281" s="50" t="str">
        <f>IF(Atletas!S272="","",IF(Atletas!X272&lt;&gt;"",10000,0)+IF(Atletas!B272="Feminino",1000,IF(Atletas!B272="Masculino",2000,""))+IF(Atletas!S272="Gun A",701,IF(Atletas!S272="Qiang A",702,IF(Atletas!S272="Pudao / Guandao A",703,IF(Atletas!S272="Outra Arma Longa A",704,IF(Atletas!S272="Gun B",705,IF(Atletas!S272="Qiang B",706,IF(Atletas!S272="Pudao / Guandao B",707,IF(Atletas!S272="Outra Arma Longa B",708,IF(Atletas!S272="Gun C",709,IF(Atletas!S272="Qiang C",710,IF(Atletas!S272="Pudao / Guandao C",711,IF(Atletas!S272="Outra Arma Longa C",712,IF(Atletas!S272="Gun D",713,IF(Atletas!S272="Qiang D",714,IF(Atletas!S272="Pudao / Guandao D",715,IF(Atletas!S272="Outra Arma Longa D",716,IF(Atletas!S272="Gun E",717,IF(Atletas!S272="Qiang E",718,IF(Atletas!S272="Pudao / Guandao E",719,IF(Atletas!S272="Outra Arma Longa E",720,IF(Atletas!S272="Gun F",721,IF(Atletas!S272="Qiang F",722,IF(Atletas!S272="Pudao / Guandao F",723,IF(Atletas!S272="Outra Arma Longa F",724,"")))))))))))))))))))))))))</f>
        <v/>
      </c>
      <c r="CB281" s="50" t="str">
        <f>IF(Atletas!T272="","",IF(Atletas!X272&lt;&gt;"",10000,0)+IF(Atletas!B272="Feminino",1000,IF(Atletas!B272="Masculino",2000,""))+IF(Atletas!T272="Outra Arma Dupla A",801,IF(Atletas!T272="Arma Maleável A",802,IF(Atletas!T272="Outra Arma Dupla B",803,IF(Atletas!T272="Arma Maleável B",804,IF(Atletas!T272="Outra Arma Dupla C",805,IF(Atletas!T272="Arma Maleável C",806,IF(Atletas!T272="Outra Arma Dupla D",807,IF(Atletas!T272="Arma Maleável D",808,IF(Atletas!T272="Outra Arma Dupla E",809,IF(Atletas!T272="Arma Maleável E",810,IF(Atletas!T272="Outra Arma Dupla F",811,IF(Atletas!T272="Arma Maleável F",812,IF(Atletas!T272="Shuangdao A",813,IF(Atletas!T272="Shuangdao B",814,IF(Atletas!T272="Shuangdao C",815,IF(Atletas!T272="Shuangdao D",816,IF(Atletas!T272="Shuangdao E",817,IF(Atletas!T272="Shuangdao F",818,"")))))))))))))))))))</f>
        <v/>
      </c>
      <c r="CC281" s="50" t="str">
        <f>IF(Atletas!U272="","",IF(Atletas!X272&lt;&gt;"",10000,0)+IF(Atletas!B272="Feminino",1000,IF(Atletas!B272="Masculino",2000,""))+IF(OR(Atletas!U272="Taijijian Yang A",Atletas!U272="Taijijian Yang Standard A"),901,IF(OR(Atletas!U272="Taijijian Chen A", Atletas!U272="Taijijian Chen Standard A"),902,IF(Atletas!U272="Taijijian Sun A",903,IF(Atletas!U272="Taijijian Wu A",904,IF(Atletas!U272="Taijijian Wu-Hao A",905,IF(OR(Atletas!U272="Taijijian 32 A",Atletas!U272="Taijijian 42 A"),906,IF(OR(Atletas!U272="Taijijian Yang B",Atletas!U272="Taijijian Yang Standard B"),907,IF(OR(Atletas!U272="Taijijian Chen B", Atletas!U272="Taijijian Chen Standard B"),908,IF(Atletas!U272="Taijijian Sun B",909,IF(Atletas!U272="Taijijian Wu B",910,IF(Atletas!U272="Taijijian Wu-Hao B",911,IF(OR(Atletas!U272="Taijijian 32 B",Atletas!U272="Taijijian 42 B"),912,IF(OR(Atletas!U272="Taijijian Yang C",Atletas!U272="Taijijian Yang Standard C"),913,IF(OR(Atletas!U272="Taijijian Chen C", Atletas!U272="Taijijian Chen Standard C"),914,IF(Atletas!U272="Taijijian Sun C",915,IF(Atletas!U272="Taijijian Wu C",916,IF(Atletas!U272="Taijijian Wu-Hao C",917,IF(OR(Atletas!U272="Taijijian 32 C",Atletas!U272="Taijijian 42 C"),918,IF(OR(Atletas!U272="Taijijian Yang D",Atletas!U272="Taijijian Yang Standard D"),919,IF(OR(Atletas!U272="Taijijian Chen D", Atletas!U272="Taijijian Chen Standard D"),920,IF(Atletas!U272="Taijijian Sun D",921,IF(Atletas!U272="Taijijian Wu D",922,IF(Atletas!U272="Taijijian Wu-Hao D",923,IF(OR(Atletas!U272="Taijijian 32 D",Atletas!U272="Taijijian 42 D"),924,IF(OR(Atletas!U272="Taijijian Yang E",Atletas!U272="Taijijian Yang Standard E"),925,IF(OR(Atletas!U272="Taijijian Chen E", Atletas!U272="Taijijian Chen Standard E"),926,IF(Atletas!U272="Taijijian Sun E",927,IF(Atletas!U272="Taijijian Wu E",928,IF(Atletas!U272="Taijijian Wu-Hao E",929,IF(OR(Atletas!U272="Taijijian 32 E",Atletas!U272="Taijijian 42 E"),930,IF(OR(Atletas!U272="Taijijian Yang F",Atletas!U272="Taijijian Yang Standard F"),931,IF(OR(Atletas!U272="Taijijian Chen F", Atletas!U272="Taijijian Chen Standard F"),932,IF(Atletas!U272="Taijijian Sun F",933,IF(Atletas!U272="Taijijian Wu F",934,IF(Atletas!U272="Taijijian Wu-Hao F",935,IF(OR(Atletas!U272="Taijijian 32 F",Atletas!U272="Taijijian 42 F"),936,"")))))))))))))))))))))))))))))))))))))</f>
        <v/>
      </c>
      <c r="CD281" s="50" t="str">
        <f>IF(Atletas!V272="","",IF(Atletas!X272&lt;&gt;"",10000,0)+IF(Atletas!B272="Feminino",1000,IF(Atletas!B272="Masculino",2000,""))+IF(Atletas!V272="Taijidao A",937,IF(Atletas!V272="TaijiShanzi A",938,IF(Atletas!V272="Taijiqiang A",939,IF(Atletas!V272="Bagua de Arma A",940,IF(Atletas!V272="Xingyi de Arma A",941,IF(Atletas!V272="Taijidao B",942,IF(Atletas!V272="TaijiShanzi B",943,IF(Atletas!V272="Taijiqiang B",944,IF(Atletas!V272="Bagua de Arma B",945,IF(Atletas!V272="Xingyi de Arma B",946,IF(Atletas!V272="Taijidao C",947,IF(Atletas!V272="TaijiShanzi C",948,IF(Atletas!V272="Taijiqiang C",949,IF(Atletas!V272="Bagua de Arma C",950,IF(Atletas!V272="Xingyi de Arma C",951,IF(Atletas!V272="Taijidao D",952,IF(Atletas!V272="TaijiShanzi D",953,IF(Atletas!V272="Taijiqiang D",954,IF(Atletas!V272="Bagua de Arma D",955,IF(Atletas!V272="Xingyi de Arma D",956,IF(Atletas!V272="Taijidao E",957,IF(Atletas!V272="TaijiShanzi E",958,IF(Atletas!V272="Taijiqiang E",959,IF(Atletas!V272="Bagua de Arma E",960,IF(Atletas!V272="Xingyi de Arma E",961,IF(Atletas!V272="Taijidao F",962,IF(Atletas!V272="TaijiShanzi F",963,IF(Atletas!V272="Taijiqiang F",964,IF(Atletas!V272="Bagua de Arma F",965,IF(Atletas!V272="Xingyi de Arma F",966,"")))))))))))))))))))))))))))))))</f>
        <v/>
      </c>
      <c r="CE281" s="66" t="str">
        <f>IF(CF281&lt;&gt;"","Pudao / Guandao F","")</f>
        <v/>
      </c>
      <c r="CF281" s="66" t="str">
        <f>IF(COUNTIF(BR:CD,1723)&gt;0,COUNTIF(BR:CD,1723),"")</f>
        <v/>
      </c>
      <c r="CG281" s="66" t="str">
        <f>IF(CH281&lt;&gt;"","Pudao / Guandao F","")</f>
        <v/>
      </c>
      <c r="CH281" s="66" t="str">
        <f>IF(COUNTIF(BR:CD,2730)&gt;0,COUNTIF(BR:CD,2730),"")</f>
        <v/>
      </c>
      <c r="CI281" s="66" t="str">
        <f>IF(CJ282&lt;&gt;"","Outra Arma Maleável C","")</f>
        <v/>
      </c>
      <c r="CJ281" s="66" t="str">
        <f>IF(COUNTIF(BR:CD,11805)&gt;0,COUNTIF(BR:CD,11805),"")</f>
        <v/>
      </c>
      <c r="CK281" s="66" t="str">
        <f>IF(CL281&lt;&gt;"","Outra Arma Dupla C","")</f>
        <v/>
      </c>
      <c r="CL281" s="66" t="str">
        <f>IF(COUNTIF(BR:CD,12805)&gt;0,COUNTIF(BR:CD,12805),"")</f>
        <v/>
      </c>
      <c r="CM281" s="50" t="str">
        <f xml:space="preserve"> IF(Atletas!W272="","",IF(Atletas!W272="Duilian de Mãos BC - Equipe 1",1,IF(Atletas!W272="Duilian de Mãos BC - Equipe 2",2,IF(Atletas!W272="Duilian de Armas BC - Equipe 1",3,IF(Atletas!W272="Duilian de Armas BC - Equipe 2",4,IF(Atletas!W272="Duilian de Mãos DE - Equipe 1",5,IF(Atletas!W272="Duilian de Mãos DE - Equipe 2",6,IF(Atletas!W272="Duilian de Armas DE - Equipe 1",7,IF(Atletas!W272="Duilian de Armas DE - Equipe 2",8,IF(Atletas!W272="Duilian de Tuishou - Equipe 1",9,IF(Atletas!W272="Duilian de Tuishou - Equipe 2",10,IF(Atletas!W272="Grupo Externo ABC - Equipe 1",11,IF(Atletas!W272="Grupo Externo ABC - Equipe 2",12,IF(Atletas!W272="Grupo Interno ABC - Equipe 1",13,IF(Atletas!W272="Grupo Interno ABC - Equipe 2",14,IF(Atletas!W272="Grupo Externo DEF - Equipe 1",15,IF(Atletas!W272="Grupo Externo DEF - Equipe 2",16,IF(Atletas!W272="Grupo Interno DEF - Equipe 1",17,IF(Atletas!W272="Grupo Interno DEF - Equipe 2",18,"")))))))))))))))))))</f>
        <v/>
      </c>
    </row>
    <row r="282" spans="2:91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 t="str">
        <f t="array" ref="Z282">IFERROR(INDEX(CE$7:CE$348,SMALL(IF(CE$7:CE$348&lt;&gt;"",ROW(CE$7:CE$348)-ROW(CE$7)+1),ROWS(CE$7:CE281))),"")</f>
        <v/>
      </c>
      <c r="AA282" s="3" t="str">
        <f t="array" ref="AA282">IFERROR(INDEX(CF$7:CF$348,SMALL(IF(CF$7:CF$348&lt;&gt;"",ROW(CF$7:CF$348)-ROW(CF$7)+1),ROWS(CF$7:CF281))),"")</f>
        <v/>
      </c>
      <c r="AB282" s="3" t="str">
        <f t="array" ref="AB282">IFERROR(INDEX(CG$7:CG$348,SMALL(IF(CG$7:CG$348&lt;&gt;"",ROW(CG$7:CG$348)-ROW(CG$7)+1),ROWS(CG$7:CG281))),"")</f>
        <v/>
      </c>
      <c r="AC282" s="3" t="str">
        <f t="array" ref="AC282">IFERROR(INDEX(CH$7:CH$348,SMALL(IF(CH$7:CH$348&lt;&gt;"",ROW(CH$7:CH$348)-ROW(CH$7)+1),ROWS(CH$7:CH281))),"")</f>
        <v/>
      </c>
      <c r="AD282" s="3" t="str">
        <f t="array" ref="AD282">IFERROR(INDEX(CI$7:CI$377,SMALL(IF(CI$7:CI$377&lt;&gt;"",ROW(CI$7:CI$377)-ROW(CI$7)+1),ROWS(CI$7:CI280))),"")</f>
        <v/>
      </c>
      <c r="AE282" s="3" t="str">
        <f t="array" ref="AE282">IFERROR(INDEX(CJ$7:CJ$378,SMALL(IF(CJ$7:CJ$378&lt;&gt;"",ROW(CJ$7:CJ$378)-ROW(CJ$7)+1),ROWS(CJ$7:CJ281))),"")</f>
        <v/>
      </c>
      <c r="AF282" s="3" t="str">
        <f t="array" ref="AF282">IFERROR(INDEX(CK$7:CK$378,SMALL(IF(CK$7:CK$378&lt;&gt;"",ROW(CK$7:CK$378)-ROW(CK$7)+1),ROWS(CK$7:CK281))),"")</f>
        <v/>
      </c>
      <c r="AG282" s="3" t="str">
        <f t="array" ref="AG282">IFERROR(INDEX(CL$7:CL$378,SMALL(IF(CL$7:CL$378&lt;&gt;"",ROW(CL$7:CL$378)-ROW(CL$7)+1),ROWS(CL$7:CL281))),"")</f>
        <v/>
      </c>
      <c r="AH282" s="3"/>
      <c r="AI282" s="3"/>
      <c r="AJ282" s="3"/>
      <c r="AK282" s="3"/>
      <c r="AL282" s="3"/>
      <c r="AM282" s="3"/>
      <c r="AN282" s="52" t="str">
        <f>IF(Atletas!D273="","",IF(Atletas!B273="Feminino",100,IF(Atletas!B273="Masculino",200,""))+(IF(Atletas!D273="Kids 30kg",1,IF(Atletas!D273="Kids 32kg",2, IF(Atletas!D273="Kids 34kg",3,IF(Atletas!D273="Kids 36kg",4,IF(Atletas!D273="Kids 39kg",5,IF(Atletas!D273="Kids 42kg",6,IF(Atletas!D273="Kids 45kg",7, IF(Atletas!D273="Infantil 39kg",8,IF(Atletas!D273="Infantil 42kg",9,IF(Atletas!D273="Infantil 45kg",10,IF(Atletas!D273="Infantil 48kg",11,IF(Atletas!D273="Infantil 52kg",12,IF(Atletas!D273="Infantil 56kg",13,IF(Atletas!D273="Infantil 60kg",14,IF(Atletas!D273="Juvenil 48kg",15,IF(Atletas!D273="Juvenil 52kg",16,IF(Atletas!D273="Juvenil 56kg",17,IF(Atletas!D273="Juvenil 60kg",18,IF(Atletas!D273="Juvenil 65kg",19,IF(Atletas!D273="Juvenil 70kg",20,IF(Atletas!D273="Juvenil 75kg",21,IF(Atletas!D273="Juvenil 80kg",22, IF(Atletas!D273="Juvenil 85kg",23,IF(Atletas!D273="Adulto 48kg",24,IF(Atletas!D273="Adulto 52kg",25,IF(Atletas!D273="Adulto 56kg",26,IF(Atletas!D273="Adulto 60kg",27,IF(Atletas!D273="Adulto 65kg",28,IF(Atletas!D273="Adulto 70kg",29,IF(Atletas!D273="Adulto 75kg",30,IF(Atletas!D273="Adulto 80kg",31,IF(Atletas!D273="Adulto 85kg",32,IF(Atletas!D273="Adulto 90kg",33,IF(Atletas!D273="Adulto 100kg",34, IF(Atletas!D273="Adulto +100kg",35,"")))))))))))))))))))))))))))))))))))))</f>
        <v/>
      </c>
      <c r="AS282" s="6" t="str">
        <f>IF(Atletas!E273="","",IF(Atletas!B273="Feminino",100,IF(Atletas!B273="Masculino",200,""))+(IF(Atletas!E273="Juvenil 44kg",1,IF(Atletas!E273="Juvenil 48kg",2,IF(Atletas!E273="Juvenil 52kg",3,IF(Atletas!E273="Juvenil 56kg",4,IF(Atletas!E273="Juvenil 60kg",5,IF(Atletas!E273="Juvenil 65kg",6,IF(Atletas!E273="Juvenil 70kg",7,IF(Atletas!E273="Juvenil 75kg",8,IF(Atletas!E273="Juvenil 82kg",9,IF(Atletas!E273="Juvenil 90kg",10,IF(Atletas!E273="Juvenil 100kg",11,IF(Atletas!E273="Adulto 48kg",12,IF(Atletas!E273="Adulto 52kg",13,IF(Atletas!E273="Adulto 56kg",14,IF(Atletas!E273="Adulto 60kg",15,IF(Atletas!E273="Adulto 65kg",16,IF(Atletas!E273="Adulto 70kg",17,IF(Atletas!E273="Adulto 75kg",18,IF(Atletas!E273="Adulto 82kg",19,IF(Atletas!E273="Adulto 90kg",20,IF(Atletas!E273="Adulto 100kg",21,IF(Atletas!E273="Adulto +100kg",22,""))))))))))))))))))))))))</f>
        <v/>
      </c>
      <c r="AX282" s="6" t="str">
        <f>IF(Atletas!F273="","",IF(Atletas!B273="Feminino",100,IF(Atletas!B273="Masculino",200,""))+(IF(Atletas!F273="Adulto 48kg",1,IF(Atletas!F273="Adulto 56kg",2,IF(Atletas!F273="Adulto 65kg",3,IF(Atletas!F273="Adulto 75kg",4,IF(Atletas!F273="Adulto +75kg",5,IF(Atletas!F273="Adulto 52kg",6,IF(Atletas!F273="Adulto 60kg",7,IF(Atletas!F273="Adulto 70kg",8,IF(Atletas!F273="Adulto 80kg",9,IF(Atletas!F273="Adulto 90kg",10,IF(Atletas!F273="Adulto +90kg",11,"")))))))))))))</f>
        <v/>
      </c>
      <c r="BC282" s="6" t="str">
        <f>IF(Atletas!G273="","",IF(Atletas!B273="Feminino",10,IF(Atletas!B273="Masculino",20,""))+(IF(Atletas!G273="Baduanjin A",1,IF(Atletas!G273="Baduanjin B",2))))</f>
        <v/>
      </c>
      <c r="BF282" s="52" t="str">
        <f>IF(Atletas!H273="","",IF(Atletas!B273="Feminino",100,IF(Atletas!B273="Masculino",200,""))+(IF(Atletas!H273="Changquan Mirim",1,IF(Atletas!H273="Nanquan Mirim",2,IF(Atletas!H273="Taijiquan Mirim",3,IF(Atletas!H273="Changquan Grupo C",4,IF(Atletas!H273="Nanquan Grupo C",5,IF(Atletas!H273="Taijiquan Grupo C",6,IF(Atletas!H273="Changquan Grupo B",7,IF(Atletas!H273="Nanquan Grupo B",8,IF(Atletas!H273="Taijiquan Grupo B",9,IF(Atletas!H273="Changquan Grupo A",10,IF(Atletas!H273="Nanquan Grupo A",11,IF(Atletas!H273="Taijiquan Grupo A",12,IF(Atletas!H273="Changquan Opcional",13,IF(Atletas!H273="Nanquan Opcional",14,IF(Atletas!H273="Taijiquan Opcional",15,IF(Atletas!H273="Changquan Adulto",16,IF(Atletas!H273="Nanquan Adulto",17,IF(Atletas!H273="Taijiquan Adulto",18,""))))))))))))))))))))</f>
        <v/>
      </c>
      <c r="BG282" s="52" t="str">
        <f>IF(Atletas!I273="","",IF(Atletas!B273="Feminino",100,IF(Atletas!B273="Masculino",200,""))+(IF(Atletas!I273="Daoshu Mirim",19,IF(Atletas!I273="Jianshu Mirim",20,IF(Atletas!I273="Nandao Mirim",21,IF(Atletas!I273="Taijijian Mirim",22,IF(Atletas!I273="Daoshu Grupo C",23,IF(Atletas!I273="Jianshu Grupo C",24,IF(Atletas!I273="Nandao Grupo C",25,IF(Atletas!I273="Taijijian Grupo C",26,IF(Atletas!I273="Daoshu Grupo B",27,IF(Atletas!I273="Jianshu Grupo B",28,IF(Atletas!I273="Nandao Grupo B",29,IF(Atletas!I273="Taijijian Grupo B",30,IF(Atletas!I273="Daoshu Grupo A",31,IF(Atletas!I273="Jianshu Grupo A",32,IF(Atletas!I273="Nandao Grupo A",33,IF(Atletas!I273="Taijijian Grupo A",34,IF(Atletas!I273="Daoshu Opcional",35,IF(Atletas!I273="Jianshu Opcional",36,IF(Atletas!I273="Nandao Opcional",37,IF(Atletas!I273="Taijijian Opcional",38,IF(Atletas!I273="Daoshu Adulto",39,IF(Atletas!I273="Jianshu Adulto",40,IF(Atletas!I273="Nandao Adulto",41,IF(Atletas!I273="Taijijian Adulto",42,""))))))))))))))))))))))))))</f>
        <v/>
      </c>
      <c r="BH282" s="52" t="str">
        <f>IF(Atletas!J273="","",IF(Atletas!B273="Feminino",100,IF(Atletas!B273="Masculino",200,""))+(IF(Atletas!J273="Gunshu Mirim",43,IF(Atletas!J273="Qiangshu Mirim",44,IF(Atletas!J273="Nangun Mirim",45,IF(Atletas!J273="Gunshu Grupo C",46,IF(Atletas!J273="Qiangshu Grupo C",47,IF(Atletas!J273="Nangun Grupo C",48,IF(Atletas!J273="Gunshu Grupo B",49,IF(Atletas!J273="Qiangshu Grupo B",50,IF(Atletas!J273="Nangun Grupo B",51,IF(Atletas!J273="Gunshu Grupo A",52,IF(Atletas!J273="Qiangshu Grupo A",53,IF(Atletas!J273="Nangun Grupo A",54,IF(Atletas!J273="Gunshu Opcional",55,IF(Atletas!J273="Qiangshu Opcional",56,IF(Atletas!J273="Nangun Opcional",57,IF(Atletas!J273="Gunshu Adulto",58,IF(Atletas!J273="Qiangshu Adulto",59,IF(Atletas!J273="Nangun Adulto",60,IF(Atletas!J273="Taijishan Grupo B",61,IF(Atletas!J273="Taijishan Grupo A",62,""))))))))))))))))))))))</f>
        <v/>
      </c>
      <c r="BM282" s="50" t="str">
        <f>IF(Atletas!K273="","",IF(Atletas!B273="Feminino",100,IF(Atletas!B273="Masculino",200,""))+(IF(Atletas!K273="Equipe 1 Grupo B",1,IF(Atletas!K273="Equipe 2 Grupo B",2,IF(Atletas!K273="Equipe 1 Grupo A",3,IF(Atletas!K273="Equipe 2 Grupo A",4,IF(Atletas!K273="Equipe 1 Adulto",5,IF(Atletas!K273="Equipe 2 Adulto",6,""))))))))</f>
        <v/>
      </c>
      <c r="BR282" s="50" t="str">
        <f>IF(Atletas!L273="","",IF(Atletas!X273&lt;&gt;"",10000,0)+(IF(Atletas!B273="Feminino",1000,IF(Atletas!B273="Masculino",2000,""))+IF(Atletas!L273="Choylayfut A",1,IF(Atletas!L273="Hunggar A",2,IF(Atletas!L273="Wuzuquan A",3,IF(Atletas!L273="Wingchun A",4,IF(Atletas!L273="Outra Mão de Sul A",5,IF(Atletas!L273="Choylayfut B",6,IF(Atletas!L273="Hunggar B",7,IF(Atletas!L273="Wuzuquan B",8,IF(Atletas!L273="Wingchun B",9,IF(Atletas!L273="Outra Mão de Sul B",10,IF(Atletas!L273="Choylayfut C",11,IF(Atletas!L273="Hunggar C",12,IF(Atletas!L273="Wuzuquan C",13,IF(Atletas!L273="Wingchun C",14,IF(Atletas!L273="Outra Mão de Sul C",15,IF(Atletas!L273="Choylayfut D",16,IF(Atletas!L273="Hunggar D",17,IF(Atletas!L273="Wuzuquan D",18,IF(Atletas!L273="Wingchun D",19,IF(Atletas!L273="Outra Mão de Sul D",20,IF(Atletas!L273="Choylayfut E",21,IF(Atletas!L273="Hunggar E",22,IF(Atletas!L273="Wuzuquan E",23,IF(Atletas!L273="Wingchun E",24,IF(Atletas!L273="Outra Mão de Sul E",25,IF(Atletas!L273="Choylayfut F",26,IF(Atletas!L273="Hunggar F",27,IF(Atletas!L273="Wuzuquan F",28,IF(Atletas!L273="Wingchun F",29,IF(Atletas!L273="Outra Mão de Sul F",30,IF(Atletas!L273="Dishuquan A",31,IF(Atletas!L273="Dishuquan B",32,IF(Atletas!L273="Dishuquan C",33,IF(Atletas!L273="Dishuquan D",34,IF(Atletas!L273="Dishuquan E",35,IF(Atletas!L273="Dishuquan F",36,""))))))))))))))))))))))))))))))))))))))</f>
        <v/>
      </c>
      <c r="BS282" s="50" t="str">
        <f>IF(Atletas!M273="","",IF(Atletas!X273&lt;&gt;"",10000,0)+(IF(Atletas!B273="Feminino",1000,IF(Atletas!B273="Masculino",2000,""))+(IF(Atletas!M273="Chaquan A",101,IF(Atletas!M273="Emeiquan A",102,IF(Atletas!M273="Fanziquan A",103,IF(Atletas!M273="Huaquan A",104,IF(Atletas!M273="Hongquan A",105,IF(Atletas!M273="Paoquan A",106,IF(Atletas!M273="Piguaquan A",107,IF(Atletas!M273="Shaolinquan A",108,IF(Atletas!M273="Tanglangquan A",109,IF(Atletas!M273="Yingzhaoquan A",110,IF(Atletas!M273="Tongbeiquan A",111,IF(Atletas!M273="Wudangquan A",112,IF(Atletas!M273="Outros Estilos A",113,IF(Atletas!M273="Chaquan B",114,IF(Atletas!M273="Emeiquan B",115,IF(Atletas!M273="Fanziquan B",116,IF(Atletas!M273="Huaquan B",117,IF(Atletas!M273="Hongquan B",118,IF(Atletas!M273="Paoquan B",119,IF(Atletas!M273="Piguaquan B",120,IF(Atletas!M273="Shaolinquan B",121,IF(Atletas!M273="Tanglangquan B",122,IF(Atletas!M273="Yingzhaoquan B",123,IF(Atletas!M273="Tongbeiquan B",124,IF(Atletas!M273="Wudangquan B",125,IF(Atletas!M273="Outros Estilos B",126,IF(Atletas!M273="Chaquan C",127,IF(Atletas!M273="Emeiquan C",128,IF(Atletas!M273="Fanziquan C",129,IF(Atletas!M273="Huaquan C",130,IF(Atletas!M273="Hongquan C",131,IF(Atletas!M273="Paoquan C",132,IF(Atletas!M273="Piguaquan C",133,IF(Atletas!M273="Shaolinquan C",134,IF(Atletas!M273="Tanglangquan C",135,IF(Atletas!M273="Yingzhaoquan C",136,IF(Atletas!M273="Tongbeiquan C",137,IF(Atletas!M273="Wudangquan C",138,IF(Atletas!M273="Outros Estilos C",139,0))))))))))))))))))))))))))))))))))))))))))</f>
        <v/>
      </c>
      <c r="BT282" s="50" t="str">
        <f>IF(Atletas!M273="","",IF(Atletas!X273&lt;&gt;"",10000,0)+(IF(Atletas!B273="Feminino",1000,IF(Atletas!B273="Masculino",2000,""))+(IF(Atletas!M273="Chaquan D",140,IF(Atletas!M273="Emeiquan D",141,IF(Atletas!M273="Fanziquan D",142,IF(Atletas!M273="Huaquan D",143,IF(Atletas!M273="Hongquan D",144,IF(Atletas!M273="Paoquan D",145,IF(Atletas!M273="Piguaquan D",146,IF(Atletas!M273="Shaolinquan D",147,IF(Atletas!M273="Tanglangquan D",148,IF(Atletas!M273="Yingzhaoquan D",149,IF(Atletas!M273="Tongbeiquan D",150,IF(Atletas!M273="Wudangquan D",151,IF(Atletas!M273="Outros Estilos D",152,IF(Atletas!M273="Chaquan E",153,IF(Atletas!M273="Emeiquan E",154,IF(Atletas!M273="Fanziquan E",155,IF(Atletas!M273="Huaquan E",156,IF(Atletas!M273="Hongquan E",157,IF(Atletas!M273="Paoquan E",158,IF(Atletas!M273="Piguaquan E",159,IF(Atletas!M273="Shaolinquan E",160,IF(Atletas!M273="Tanglangquan E",161,IF(Atletas!M273="Yingzhaoquan E",162,IF(Atletas!M273="Tongbeiquan E",163,IF(Atletas!M273="Wudangquan E",164,IF(Atletas!M273="Outros Estilos E",165,IF(Atletas!M273="Chaquan F",166,IF(Atletas!M273="Emeiquan F",167,IF(Atletas!M273="Fanziquan F",168,IF(Atletas!M273="Huaquan F",169,IF(Atletas!M273="Hongquan F",170,IF(Atletas!M273="Paoquan F",171,IF(Atletas!M273="Piguaquan F",172,IF(Atletas!M273="Shaolinquan F",173,IF(Atletas!M273="Tanglangquan F",174,IF(Atletas!M273="Yingzhaoquan F",175,IF(Atletas!M273="Tongbeiquan F",176,IF(Atletas!M273="Wudangquan F",177,IF(Atletas!M273="Outros Estilos F",178,0))))))))))))))))))))))))))))))))))))))))))</f>
        <v/>
      </c>
      <c r="BU282" s="50" t="str">
        <f>IF(Atletas!N273="","",IF(Atletas!X273&lt;&gt;"",10000,0)+(IF(Atletas!B273="Feminino",1000,IF(Atletas!B273="Masculino",2000,""))+(IF(Atletas!N273="Ditangquan A",201,IF(Atletas!N273="Houquan A",202,IF(Atletas!N273="Zuiquan A",203,IF(Atletas!N273="Ditangquan B",204,IF(Atletas!N273="Houquan B",205,IF(Atletas!N273="Zuiquan B",206,IF(Atletas!N273="Ditangquan C",207,IF(Atletas!N273="Houquan C",208,IF(Atletas!N273="Zuiquan C",209,IF(Atletas!N273="Ditangquan D",210,IF(Atletas!N273="Houquan D",211,IF(Atletas!N273="Zuiquan D",212,IF(Atletas!N273="Ditangquan E",213,IF(Atletas!N273="Houquan E",214,IF(Atletas!N273="Zuiquan E",215,IF(Atletas!N273="Ditangquan F",216,IF(Atletas!N273="Houquan F",217,IF(Atletas!N273="Zuiquan F",218,"")))))))))))))))))))))</f>
        <v/>
      </c>
      <c r="BV282" s="50" t="str">
        <f>IF(Atletas!O273="","",IF(Atletas!X273&lt;&gt;"",10000,0)+IF(Atletas!B273="Feminino",1000,IF(Atletas!B273="Masculino",2000,""))+IF(Atletas!O273="Yang A",301,IF(Atletas!O273="Chen A",302,IF(Atletas!O273="Sun A",303,IF(Atletas!O273="Wu A",304,IF(Atletas!O273="Wu-Hao A",305,IF(Atletas!O273="Outro Taijiquan A",306,IF(Atletas!O273="Yang B",307,IF(Atletas!O273="Chen B",308,IF(Atletas!O273="Sun B",309,IF(Atletas!O273="Wu B",310,IF(Atletas!O273="Wu-Hao B",311,IF(Atletas!O273="Outro Taijiquan B",312,IF(Atletas!O273="Yang C",313,IF(Atletas!O273="Chen C",314,IF(Atletas!O273="Sun C",315,IF(Atletas!O273="Wu C",316,IF(Atletas!O273="Wu-Hao C",317,IF(Atletas!O273="Outro Taijiquan C",318,IF(Atletas!O273="Yang D",319,IF(Atletas!O273="Chen D",320,IF(Atletas!O273="Sun D",321,IF(Atletas!O273="Wu D",322,IF(Atletas!O273="Wu-Hao D",323,IF(Atletas!O273="Outro Taijiquan D",324,IF(Atletas!O273="Yang E",325,IF(Atletas!O273="Chen E",326,IF(Atletas!O273="Sun E",327,IF(Atletas!O273="Wu E",328,IF(Atletas!O273="Wu-Hao E",329,IF(Atletas!O273="Outro Taijiquan E",330,IF(Atletas!O273="Yang F",331,IF(Atletas!O273="Chen F",332,IF(Atletas!O273="Sun F",333,IF(Atletas!O273="Wu F",334,IF(Atletas!O273="Wu-Hao F",335,IF(Atletas!O273="Outro Taijiquan F",336,"")))))))))))))))))))))))))))))))))))))</f>
        <v/>
      </c>
      <c r="BW282" s="50" t="str">
        <f>IF(Atletas!P273="","",IF(Atletas!X273&lt;&gt;"",10000,0)+IF(Atletas!B273="Feminino",1000,IF(Atletas!B273="Masculino",2000,""))+IF(OR(Atletas!P273="Yang 26 A",Atletas!P273="Yang 40 A"),401,IF(OR(Atletas!P273="Chen 25 A",Atletas!P273="Chen 36 A",Atletas!P273="Chen 56 A"),402,IF(Atletas!P273="Sun 73 A",403,IF(Atletas!P273="Wu 45 A",404,IF(Atletas!P273="Wu-Hao 46 A",405,IF(OR(Atletas!P273="Taijiquan 16 A",Atletas!P273="Taijiquan 24 A",Atletas!P273="Taijiquan 32 A",Atletas!P273="Taijiquan 42 A"),406,IF(OR(Atletas!P273="Yang 26 B",Atletas!P273="Yang 40 B"),407,IF(OR(Atletas!P273="Chen 25 B",Atletas!P273="Chen 36 B",Atletas!P273="Chen 56 B"),408,IF(Atletas!P273="Sun 73 B",409,IF(Atletas!P273="Wu 45 B",410,IF(Atletas!P273="Wu-Hao 46 B",411,IF(OR(Atletas!P273="Taijiquan 16 B",Atletas!P273="Taijiquan 24 B",Atletas!P273="Taijiquan 32 B",Atletas!P273="Taijiquan 42 B"),412,IF(OR(Atletas!P273="Yang 26 C",Atletas!P273="Yang 40 C"),413,IF(OR(Atletas!P273="Chen 25 C",Atletas!P273="Chen 36 C",Atletas!P273="Chen 56 C"),414,IF(Atletas!P273="Sun 73 C",415,IF(Atletas!P273="Wu 45 C",416,IF(Atletas!P273="Wu-Hao 46 C",417,IF(OR(Atletas!P273="Taijiquan 16 C",Atletas!P273="Taijiquan 24 C",Atletas!P273="Taijiquan 32 C",Atletas!P273="Taijiquan 42 C"),418,0)))))))))))))))))))</f>
        <v/>
      </c>
      <c r="BX282" s="50" t="str">
        <f>IF(Atletas!P273="","",IF(Atletas!X273&lt;&gt;"",10000,0)+IF(Atletas!B273="Feminino",1000,IF(Atletas!B273="Masculino",2000,""))+IF(OR(Atletas!P273="Yang 26 D",Atletas!P273="Yang 40 D"),419,IF(OR(Atletas!P273="Chen 25 D",Atletas!P273="Chen 36 D",Atletas!P273="Chen 56 D"),420,IF(Atletas!P273="Sun 73 D",421,IF(Atletas!P273="Wu 45 D",422,IF(Atletas!P273="Wu-Hao 46 D",423,IF(OR(Atletas!P273="Taijiquan 16 D",Atletas!P273="Taijiquan 24 D",Atletas!P273="Taijiquan 32 D",Atletas!P273="Taijiquan 42 D"),424,IF(OR(Atletas!P273="Yang 26 E",Atletas!P273="Yang 40 E"),425,IF(OR(Atletas!P273="Chen 25 E",Atletas!P273="Chen 36 E",Atletas!P273="Chen 56 E"),426,IF(Atletas!P273="Sun 73 E",427,IF(Atletas!P273="Wu 45 E",428,IF(Atletas!P273="Wu-Hao 46 E",429,IF(OR(Atletas!P273="Taijiquan 16 E",Atletas!P273="Taijiquan 24 E",Atletas!P273="Taijiquan 32 E",Atletas!P273="Taijiquan 42 E"),430,IF(OR(Atletas!P273="Yang 26 F",Atletas!P273="Yang 40 F"),431,IF(OR(Atletas!P273="Chen 25 F",Atletas!P273="Chen 36 F",Atletas!P273="Chen 56 F"),432,IF(Atletas!P273="Sun 73 F",433,IF(Atletas!P273="Wu 45 F",434,IF(Atletas!P273="Wu-Hao 46 F",435,IF(OR(Atletas!P273="Taijiquan 16 F",Atletas!P273="Taijiquan 24 F",Atletas!P273="Taijiquan 32 F",Atletas!P273="Taijiquan 42 F"),436,0)))))))))))))))))))</f>
        <v/>
      </c>
      <c r="BY282" s="50" t="str">
        <f>IF(Atletas!Q273="","",IF(Atletas!X273&lt;&gt;"",10000,0)+IF(Atletas!B273="Feminino",1000,IF(Atletas!B273="Masculino",2000,""))+IF(Atletas!Q273="Xingyiquan A",501,IF(Atletas!Q273="Baguazhang A",502,IF(Atletas!Q273="Outro Estilo Interno A",503,IF(Atletas!Q273="Xingyiquan B",504,IF(Atletas!Q273="Baguazhang B",505,IF(Atletas!Q273="Outro Estilo Interno B",506,IF(Atletas!Q273="Xingyiquan C",507,IF(Atletas!Q273="Baguazhang C",508,IF(Atletas!Q273="Outro Estilo Interno C",509,IF(Atletas!Q273="Xingyiquan D",510,IF(Atletas!Q273="Baguazhang D",511,IF(Atletas!Q273="Outro Estilo Interno D",512,IF(Atletas!Q273="Xingyiquan E",513,IF(Atletas!Q273="Baguazhang E",514,IF(Atletas!Q273="Outro Estilo Interno E",515,IF(Atletas!Q273="Xingyiquan F",516,IF(Atletas!Q273="Baguazhang F",517,IF(Atletas!Q273="Outro Estilo Interno F",518, "")))))))))))))))))))</f>
        <v/>
      </c>
      <c r="BZ282" s="50" t="str">
        <f>IF(Atletas!R273="","",IF(Atletas!X273&lt;&gt;"",10000,0)+IF(Atletas!B273="Feminino",1000,IF(Atletas!B273="Masculino",2000,""))+IF(Atletas!R273="Dao A",601,IF(Atletas!R273="Jian A",602,IF(Atletas!R273="Bishou A",603,IF(Atletas!R273="Shanzi A",604,IF(Atletas!R273="Outra Arma Curta A",605,IF(Atletas!R273="Dao B",606,IF(Atletas!R273="Jian B",607,IF(Atletas!R273="Bishou B",608,IF(Atletas!R273="Shanzi B",609,IF(Atletas!R273="Outra Arma Curta B",610,IF(Atletas!R273="Dao C",611,IF(Atletas!R273="Jian C",612,IF(Atletas!R273="Bishou C",613,IF(Atletas!R273="Shanzi C",614,IF(Atletas!R273="Outra Arma Curta C",615,IF(Atletas!R273="Dao D",616,IF(Atletas!R273="Jian D",617,IF(Atletas!R273="Bishou D",618,IF(Atletas!R273="Shanzi D",619,IF(Atletas!R273="Outra Arma Curta D",620,IF(Atletas!R273="Dao E",621,IF(Atletas!R273="Jian E",622,IF(Atletas!R273="Bishou E",623,IF(Atletas!R273="Shanzi E",624,IF(Atletas!R273="Outra Arma Curta E",625,IF(Atletas!R273="Dao F",626,IF(Atletas!R273="Jian F",627,IF(Atletas!R273="Bishou F",628,IF(Atletas!R273="Shanzi F",629,IF(Atletas!R273="Outra Arma Curta F",630, "")))))))))))))))))))))))))))))))</f>
        <v/>
      </c>
      <c r="CA282" s="50" t="str">
        <f>IF(Atletas!S273="","",IF(Atletas!X273&lt;&gt;"",10000,0)+IF(Atletas!B273="Feminino",1000,IF(Atletas!B273="Masculino",2000,""))+IF(Atletas!S273="Gun A",701,IF(Atletas!S273="Qiang A",702,IF(Atletas!S273="Pudao / Guandao A",703,IF(Atletas!S273="Outra Arma Longa A",704,IF(Atletas!S273="Gun B",705,IF(Atletas!S273="Qiang B",706,IF(Atletas!S273="Pudao / Guandao B",707,IF(Atletas!S273="Outra Arma Longa B",708,IF(Atletas!S273="Gun C",709,IF(Atletas!S273="Qiang C",710,IF(Atletas!S273="Pudao / Guandao C",711,IF(Atletas!S273="Outra Arma Longa C",712,IF(Atletas!S273="Gun D",713,IF(Atletas!S273="Qiang D",714,IF(Atletas!S273="Pudao / Guandao D",715,IF(Atletas!S273="Outra Arma Longa D",716,IF(Atletas!S273="Gun E",717,IF(Atletas!S273="Qiang E",718,IF(Atletas!S273="Pudao / Guandao E",719,IF(Atletas!S273="Outra Arma Longa E",720,IF(Atletas!S273="Gun F",721,IF(Atletas!S273="Qiang F",722,IF(Atletas!S273="Pudao / Guandao F",723,IF(Atletas!S273="Outra Arma Longa F",724,"")))))))))))))))))))))))))</f>
        <v/>
      </c>
      <c r="CB282" s="50" t="str">
        <f>IF(Atletas!T273="","",IF(Atletas!X273&lt;&gt;"",10000,0)+IF(Atletas!B273="Feminino",1000,IF(Atletas!B273="Masculino",2000,""))+IF(Atletas!T273="Outra Arma Dupla A",801,IF(Atletas!T273="Arma Maleável A",802,IF(Atletas!T273="Outra Arma Dupla B",803,IF(Atletas!T273="Arma Maleável B",804,IF(Atletas!T273="Outra Arma Dupla C",805,IF(Atletas!T273="Arma Maleável C",806,IF(Atletas!T273="Outra Arma Dupla D",807,IF(Atletas!T273="Arma Maleável D",808,IF(Atletas!T273="Outra Arma Dupla E",809,IF(Atletas!T273="Arma Maleável E",810,IF(Atletas!T273="Outra Arma Dupla F",811,IF(Atletas!T273="Arma Maleável F",812,IF(Atletas!T273="Shuangdao A",813,IF(Atletas!T273="Shuangdao B",814,IF(Atletas!T273="Shuangdao C",815,IF(Atletas!T273="Shuangdao D",816,IF(Atletas!T273="Shuangdao E",817,IF(Atletas!T273="Shuangdao F",818,"")))))))))))))))))))</f>
        <v/>
      </c>
      <c r="CC282" s="50" t="str">
        <f>IF(Atletas!U273="","",IF(Atletas!X273&lt;&gt;"",10000,0)+IF(Atletas!B273="Feminino",1000,IF(Atletas!B273="Masculino",2000,""))+IF(OR(Atletas!U273="Taijijian Yang A",Atletas!U273="Taijijian Yang Standard A"),901,IF(OR(Atletas!U273="Taijijian Chen A", Atletas!U273="Taijijian Chen Standard A"),902,IF(Atletas!U273="Taijijian Sun A",903,IF(Atletas!U273="Taijijian Wu A",904,IF(Atletas!U273="Taijijian Wu-Hao A",905,IF(OR(Atletas!U273="Taijijian 32 A",Atletas!U273="Taijijian 42 A"),906,IF(OR(Atletas!U273="Taijijian Yang B",Atletas!U273="Taijijian Yang Standard B"),907,IF(OR(Atletas!U273="Taijijian Chen B", Atletas!U273="Taijijian Chen Standard B"),908,IF(Atletas!U273="Taijijian Sun B",909,IF(Atletas!U273="Taijijian Wu B",910,IF(Atletas!U273="Taijijian Wu-Hao B",911,IF(OR(Atletas!U273="Taijijian 32 B",Atletas!U273="Taijijian 42 B"),912,IF(OR(Atletas!U273="Taijijian Yang C",Atletas!U273="Taijijian Yang Standard C"),913,IF(OR(Atletas!U273="Taijijian Chen C", Atletas!U273="Taijijian Chen Standard C"),914,IF(Atletas!U273="Taijijian Sun C",915,IF(Atletas!U273="Taijijian Wu C",916,IF(Atletas!U273="Taijijian Wu-Hao C",917,IF(OR(Atletas!U273="Taijijian 32 C",Atletas!U273="Taijijian 42 C"),918,IF(OR(Atletas!U273="Taijijian Yang D",Atletas!U273="Taijijian Yang Standard D"),919,IF(OR(Atletas!U273="Taijijian Chen D", Atletas!U273="Taijijian Chen Standard D"),920,IF(Atletas!U273="Taijijian Sun D",921,IF(Atletas!U273="Taijijian Wu D",922,IF(Atletas!U273="Taijijian Wu-Hao D",923,IF(OR(Atletas!U273="Taijijian 32 D",Atletas!U273="Taijijian 42 D"),924,IF(OR(Atletas!U273="Taijijian Yang E",Atletas!U273="Taijijian Yang Standard E"),925,IF(OR(Atletas!U273="Taijijian Chen E", Atletas!U273="Taijijian Chen Standard E"),926,IF(Atletas!U273="Taijijian Sun E",927,IF(Atletas!U273="Taijijian Wu E",928,IF(Atletas!U273="Taijijian Wu-Hao E",929,IF(OR(Atletas!U273="Taijijian 32 E",Atletas!U273="Taijijian 42 E"),930,IF(OR(Atletas!U273="Taijijian Yang F",Atletas!U273="Taijijian Yang Standard F"),931,IF(OR(Atletas!U273="Taijijian Chen F", Atletas!U273="Taijijian Chen Standard F"),932,IF(Atletas!U273="Taijijian Sun F",933,IF(Atletas!U273="Taijijian Wu F",934,IF(Atletas!U273="Taijijian Wu-Hao F",935,IF(OR(Atletas!U273="Taijijian 32 F",Atletas!U273="Taijijian 42 F"),936,"")))))))))))))))))))))))))))))))))))))</f>
        <v/>
      </c>
      <c r="CD282" s="50" t="str">
        <f>IF(Atletas!V273="","",IF(Atletas!X273&lt;&gt;"",10000,0)+IF(Atletas!B273="Feminino",1000,IF(Atletas!B273="Masculino",2000,""))+IF(Atletas!V273="Taijidao A",937,IF(Atletas!V273="TaijiShanzi A",938,IF(Atletas!V273="Taijiqiang A",939,IF(Atletas!V273="Bagua de Arma A",940,IF(Atletas!V273="Xingyi de Arma A",941,IF(Atletas!V273="Taijidao B",942,IF(Atletas!V273="TaijiShanzi B",943,IF(Atletas!V273="Taijiqiang B",944,IF(Atletas!V273="Bagua de Arma B",945,IF(Atletas!V273="Xingyi de Arma B",946,IF(Atletas!V273="Taijidao C",947,IF(Atletas!V273="TaijiShanzi C",948,IF(Atletas!V273="Taijiqiang C",949,IF(Atletas!V273="Bagua de Arma C",950,IF(Atletas!V273="Xingyi de Arma C",951,IF(Atletas!V273="Taijidao D",952,IF(Atletas!V273="TaijiShanzi D",953,IF(Atletas!V273="Taijiqiang D",954,IF(Atletas!V273="Bagua de Arma D",955,IF(Atletas!V273="Xingyi de Arma D",956,IF(Atletas!V273="Taijidao E",957,IF(Atletas!V273="TaijiShanzi E",958,IF(Atletas!V273="Taijiqiang E",959,IF(Atletas!V273="Bagua de Arma E",960,IF(Atletas!V273="Xingyi de Arma E",961,IF(Atletas!V273="Taijidao F",962,IF(Atletas!V273="TaijiShanzi F",963,IF(Atletas!V273="Taijiqiang F",964,IF(Atletas!V273="Bagua de Arma F",965,IF(Atletas!V273="Xingyi de Arma F",966,"")))))))))))))))))))))))))))))))</f>
        <v/>
      </c>
      <c r="CE282" s="66" t="str">
        <f>IF(CF282&lt;&gt;"","Outra Arma Longa F","")</f>
        <v/>
      </c>
      <c r="CF282" s="66" t="str">
        <f>IF(COUNTIF(BR:CD,1724)&gt;0,COUNTIF(BR:CD,1724),"")</f>
        <v/>
      </c>
      <c r="CG282" s="66" t="str">
        <f>IF(CH282&lt;&gt;"","Outra Arma Longa F","")</f>
        <v/>
      </c>
      <c r="CH282" s="66" t="str">
        <f>IF(COUNTIF(BR:CD,2724)&gt;0,COUNTIF(BR:CD,2724),"")</f>
        <v/>
      </c>
      <c r="CI282" s="66" t="str">
        <f>IF(CJ283&lt;&gt;"","Outra Arma Dupla D","")</f>
        <v/>
      </c>
      <c r="CJ282" s="66" t="str">
        <f>IF(COUNTIF(BR:CD,11806)&gt;0,COUNTIF(BR:CD,11806),"")</f>
        <v/>
      </c>
      <c r="CK282" s="66" t="str">
        <f>IF(CL282&lt;&gt;"","Outra Arma Maleável C","")</f>
        <v/>
      </c>
      <c r="CL282" s="66" t="str">
        <f>IF(COUNTIF(BR:CD,12806)&gt;0,COUNTIF(BR:CD,12806),"")</f>
        <v/>
      </c>
      <c r="CM282" s="50" t="str">
        <f xml:space="preserve"> IF(Atletas!W273="","",IF(Atletas!W273="Duilian de Mãos BC - Equipe 1",1,IF(Atletas!W273="Duilian de Mãos BC - Equipe 2",2,IF(Atletas!W273="Duilian de Armas BC - Equipe 1",3,IF(Atletas!W273="Duilian de Armas BC - Equipe 2",4,IF(Atletas!W273="Duilian de Mãos DE - Equipe 1",5,IF(Atletas!W273="Duilian de Mãos DE - Equipe 2",6,IF(Atletas!W273="Duilian de Armas DE - Equipe 1",7,IF(Atletas!W273="Duilian de Armas DE - Equipe 2",8,IF(Atletas!W273="Duilian de Tuishou - Equipe 1",9,IF(Atletas!W273="Duilian de Tuishou - Equipe 2",10,IF(Atletas!W273="Grupo Externo ABC - Equipe 1",11,IF(Atletas!W273="Grupo Externo ABC - Equipe 2",12,IF(Atletas!W273="Grupo Interno ABC - Equipe 1",13,IF(Atletas!W273="Grupo Interno ABC - Equipe 2",14,IF(Atletas!W273="Grupo Externo DEF - Equipe 1",15,IF(Atletas!W273="Grupo Externo DEF - Equipe 2",16,IF(Atletas!W273="Grupo Interno DEF - Equipe 1",17,IF(Atletas!W273="Grupo Interno DEF - Equipe 2",18,"")))))))))))))))))))</f>
        <v/>
      </c>
    </row>
    <row r="283" spans="2:91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 t="str">
        <f t="array" ref="Z283">IFERROR(INDEX(CE$7:CE$348,SMALL(IF(CE$7:CE$348&lt;&gt;"",ROW(CE$7:CE$348)-ROW(CE$7)+1),ROWS(CE$7:CE282))),"")</f>
        <v/>
      </c>
      <c r="AA283" s="3" t="str">
        <f t="array" ref="AA283">IFERROR(INDEX(CF$7:CF$348,SMALL(IF(CF$7:CF$348&lt;&gt;"",ROW(CF$7:CF$348)-ROW(CF$7)+1),ROWS(CF$7:CF282))),"")</f>
        <v/>
      </c>
      <c r="AB283" s="3" t="str">
        <f t="array" ref="AB283">IFERROR(INDEX(CG$7:CG$348,SMALL(IF(CG$7:CG$348&lt;&gt;"",ROW(CG$7:CG$348)-ROW(CG$7)+1),ROWS(CG$7:CG282))),"")</f>
        <v/>
      </c>
      <c r="AC283" s="3" t="str">
        <f t="array" ref="AC283">IFERROR(INDEX(CH$7:CH$348,SMALL(IF(CH$7:CH$348&lt;&gt;"",ROW(CH$7:CH$348)-ROW(CH$7)+1),ROWS(CH$7:CH282))),"")</f>
        <v/>
      </c>
      <c r="AD283" s="3" t="str">
        <f t="array" ref="AD283">IFERROR(INDEX(CI$7:CI$377,SMALL(IF(CI$7:CI$377&lt;&gt;"",ROW(CI$7:CI$377)-ROW(CI$7)+1),ROWS(CI$7:CI281))),"")</f>
        <v/>
      </c>
      <c r="AE283" s="3" t="str">
        <f t="array" ref="AE283">IFERROR(INDEX(CJ$7:CJ$378,SMALL(IF(CJ$7:CJ$378&lt;&gt;"",ROW(CJ$7:CJ$378)-ROW(CJ$7)+1),ROWS(CJ$7:CJ282))),"")</f>
        <v/>
      </c>
      <c r="AF283" s="3" t="str">
        <f t="array" ref="AF283">IFERROR(INDEX(CK$7:CK$378,SMALL(IF(CK$7:CK$378&lt;&gt;"",ROW(CK$7:CK$378)-ROW(CK$7)+1),ROWS(CK$7:CK282))),"")</f>
        <v/>
      </c>
      <c r="AG283" s="3" t="str">
        <f t="array" ref="AG283">IFERROR(INDEX(CL$7:CL$378,SMALL(IF(CL$7:CL$378&lt;&gt;"",ROW(CL$7:CL$378)-ROW(CL$7)+1),ROWS(CL$7:CL282))),"")</f>
        <v/>
      </c>
      <c r="AH283" s="3"/>
      <c r="AI283" s="3"/>
      <c r="AJ283" s="3"/>
      <c r="AK283" s="3"/>
      <c r="AL283" s="3"/>
      <c r="AM283" s="3"/>
      <c r="AN283" s="52" t="str">
        <f>IF(Atletas!D274="","",IF(Atletas!B274="Feminino",100,IF(Atletas!B274="Masculino",200,""))+(IF(Atletas!D274="Kids 30kg",1,IF(Atletas!D274="Kids 32kg",2, IF(Atletas!D274="Kids 34kg",3,IF(Atletas!D274="Kids 36kg",4,IF(Atletas!D274="Kids 39kg",5,IF(Atletas!D274="Kids 42kg",6,IF(Atletas!D274="Kids 45kg",7, IF(Atletas!D274="Infantil 39kg",8,IF(Atletas!D274="Infantil 42kg",9,IF(Atletas!D274="Infantil 45kg",10,IF(Atletas!D274="Infantil 48kg",11,IF(Atletas!D274="Infantil 52kg",12,IF(Atletas!D274="Infantil 56kg",13,IF(Atletas!D274="Infantil 60kg",14,IF(Atletas!D274="Juvenil 48kg",15,IF(Atletas!D274="Juvenil 52kg",16,IF(Atletas!D274="Juvenil 56kg",17,IF(Atletas!D274="Juvenil 60kg",18,IF(Atletas!D274="Juvenil 65kg",19,IF(Atletas!D274="Juvenil 70kg",20,IF(Atletas!D274="Juvenil 75kg",21,IF(Atletas!D274="Juvenil 80kg",22, IF(Atletas!D274="Juvenil 85kg",23,IF(Atletas!D274="Adulto 48kg",24,IF(Atletas!D274="Adulto 52kg",25,IF(Atletas!D274="Adulto 56kg",26,IF(Atletas!D274="Adulto 60kg",27,IF(Atletas!D274="Adulto 65kg",28,IF(Atletas!D274="Adulto 70kg",29,IF(Atletas!D274="Adulto 75kg",30,IF(Atletas!D274="Adulto 80kg",31,IF(Atletas!D274="Adulto 85kg",32,IF(Atletas!D274="Adulto 90kg",33,IF(Atletas!D274="Adulto 100kg",34, IF(Atletas!D274="Adulto +100kg",35,"")))))))))))))))))))))))))))))))))))))</f>
        <v/>
      </c>
      <c r="AS283" s="6" t="str">
        <f>IF(Atletas!E274="","",IF(Atletas!B274="Feminino",100,IF(Atletas!B274="Masculino",200,""))+(IF(Atletas!E274="Juvenil 44kg",1,IF(Atletas!E274="Juvenil 48kg",2,IF(Atletas!E274="Juvenil 52kg",3,IF(Atletas!E274="Juvenil 56kg",4,IF(Atletas!E274="Juvenil 60kg",5,IF(Atletas!E274="Juvenil 65kg",6,IF(Atletas!E274="Juvenil 70kg",7,IF(Atletas!E274="Juvenil 75kg",8,IF(Atletas!E274="Juvenil 82kg",9,IF(Atletas!E274="Juvenil 90kg",10,IF(Atletas!E274="Juvenil 100kg",11,IF(Atletas!E274="Adulto 48kg",12,IF(Atletas!E274="Adulto 52kg",13,IF(Atletas!E274="Adulto 56kg",14,IF(Atletas!E274="Adulto 60kg",15,IF(Atletas!E274="Adulto 65kg",16,IF(Atletas!E274="Adulto 70kg",17,IF(Atletas!E274="Adulto 75kg",18,IF(Atletas!E274="Adulto 82kg",19,IF(Atletas!E274="Adulto 90kg",20,IF(Atletas!E274="Adulto 100kg",21,IF(Atletas!E274="Adulto +100kg",22,""))))))))))))))))))))))))</f>
        <v/>
      </c>
      <c r="AX283" s="6" t="str">
        <f>IF(Atletas!F274="","",IF(Atletas!B274="Feminino",100,IF(Atletas!B274="Masculino",200,""))+(IF(Atletas!F274="Adulto 48kg",1,IF(Atletas!F274="Adulto 56kg",2,IF(Atletas!F274="Adulto 65kg",3,IF(Atletas!F274="Adulto 75kg",4,IF(Atletas!F274="Adulto +75kg",5,IF(Atletas!F274="Adulto 52kg",6,IF(Atletas!F274="Adulto 60kg",7,IF(Atletas!F274="Adulto 70kg",8,IF(Atletas!F274="Adulto 80kg",9,IF(Atletas!F274="Adulto 90kg",10,IF(Atletas!F274="Adulto +90kg",11,"")))))))))))))</f>
        <v/>
      </c>
      <c r="BC283" s="6" t="str">
        <f>IF(Atletas!G274="","",IF(Atletas!B274="Feminino",10,IF(Atletas!B274="Masculino",20,""))+(IF(Atletas!G274="Baduanjin A",1,IF(Atletas!G274="Baduanjin B",2))))</f>
        <v/>
      </c>
      <c r="BF283" s="52" t="str">
        <f>IF(Atletas!H274="","",IF(Atletas!B274="Feminino",100,IF(Atletas!B274="Masculino",200,""))+(IF(Atletas!H274="Changquan Mirim",1,IF(Atletas!H274="Nanquan Mirim",2,IF(Atletas!H274="Taijiquan Mirim",3,IF(Atletas!H274="Changquan Grupo C",4,IF(Atletas!H274="Nanquan Grupo C",5,IF(Atletas!H274="Taijiquan Grupo C",6,IF(Atletas!H274="Changquan Grupo B",7,IF(Atletas!H274="Nanquan Grupo B",8,IF(Atletas!H274="Taijiquan Grupo B",9,IF(Atletas!H274="Changquan Grupo A",10,IF(Atletas!H274="Nanquan Grupo A",11,IF(Atletas!H274="Taijiquan Grupo A",12,IF(Atletas!H274="Changquan Opcional",13,IF(Atletas!H274="Nanquan Opcional",14,IF(Atletas!H274="Taijiquan Opcional",15,IF(Atletas!H274="Changquan Adulto",16,IF(Atletas!H274="Nanquan Adulto",17,IF(Atletas!H274="Taijiquan Adulto",18,""))))))))))))))))))))</f>
        <v/>
      </c>
      <c r="BG283" s="52" t="str">
        <f>IF(Atletas!I274="","",IF(Atletas!B274="Feminino",100,IF(Atletas!B274="Masculino",200,""))+(IF(Atletas!I274="Daoshu Mirim",19,IF(Atletas!I274="Jianshu Mirim",20,IF(Atletas!I274="Nandao Mirim",21,IF(Atletas!I274="Taijijian Mirim",22,IF(Atletas!I274="Daoshu Grupo C",23,IF(Atletas!I274="Jianshu Grupo C",24,IF(Atletas!I274="Nandao Grupo C",25,IF(Atletas!I274="Taijijian Grupo C",26,IF(Atletas!I274="Daoshu Grupo B",27,IF(Atletas!I274="Jianshu Grupo B",28,IF(Atletas!I274="Nandao Grupo B",29,IF(Atletas!I274="Taijijian Grupo B",30,IF(Atletas!I274="Daoshu Grupo A",31,IF(Atletas!I274="Jianshu Grupo A",32,IF(Atletas!I274="Nandao Grupo A",33,IF(Atletas!I274="Taijijian Grupo A",34,IF(Atletas!I274="Daoshu Opcional",35,IF(Atletas!I274="Jianshu Opcional",36,IF(Atletas!I274="Nandao Opcional",37,IF(Atletas!I274="Taijijian Opcional",38,IF(Atletas!I274="Daoshu Adulto",39,IF(Atletas!I274="Jianshu Adulto",40,IF(Atletas!I274="Nandao Adulto",41,IF(Atletas!I274="Taijijian Adulto",42,""))))))))))))))))))))))))))</f>
        <v/>
      </c>
      <c r="BH283" s="52" t="str">
        <f>IF(Atletas!J274="","",IF(Atletas!B274="Feminino",100,IF(Atletas!B274="Masculino",200,""))+(IF(Atletas!J274="Gunshu Mirim",43,IF(Atletas!J274="Qiangshu Mirim",44,IF(Atletas!J274="Nangun Mirim",45,IF(Atletas!J274="Gunshu Grupo C",46,IF(Atletas!J274="Qiangshu Grupo C",47,IF(Atletas!J274="Nangun Grupo C",48,IF(Atletas!J274="Gunshu Grupo B",49,IF(Atletas!J274="Qiangshu Grupo B",50,IF(Atletas!J274="Nangun Grupo B",51,IF(Atletas!J274="Gunshu Grupo A",52,IF(Atletas!J274="Qiangshu Grupo A",53,IF(Atletas!J274="Nangun Grupo A",54,IF(Atletas!J274="Gunshu Opcional",55,IF(Atletas!J274="Qiangshu Opcional",56,IF(Atletas!J274="Nangun Opcional",57,IF(Atletas!J274="Gunshu Adulto",58,IF(Atletas!J274="Qiangshu Adulto",59,IF(Atletas!J274="Nangun Adulto",60,IF(Atletas!J274="Taijishan Grupo B",61,IF(Atletas!J274="Taijishan Grupo A",62,""))))))))))))))))))))))</f>
        <v/>
      </c>
      <c r="BM283" s="50" t="str">
        <f>IF(Atletas!K274="","",IF(Atletas!B274="Feminino",100,IF(Atletas!B274="Masculino",200,""))+(IF(Atletas!K274="Equipe 1 Grupo B",1,IF(Atletas!K274="Equipe 2 Grupo B",2,IF(Atletas!K274="Equipe 1 Grupo A",3,IF(Atletas!K274="Equipe 2 Grupo A",4,IF(Atletas!K274="Equipe 1 Adulto",5,IF(Atletas!K274="Equipe 2 Adulto",6,""))))))))</f>
        <v/>
      </c>
      <c r="BR283" s="50" t="str">
        <f>IF(Atletas!L274="","",IF(Atletas!X274&lt;&gt;"",10000,0)+(IF(Atletas!B274="Feminino",1000,IF(Atletas!B274="Masculino",2000,""))+IF(Atletas!L274="Choylayfut A",1,IF(Atletas!L274="Hunggar A",2,IF(Atletas!L274="Wuzuquan A",3,IF(Atletas!L274="Wingchun A",4,IF(Atletas!L274="Outra Mão de Sul A",5,IF(Atletas!L274="Choylayfut B",6,IF(Atletas!L274="Hunggar B",7,IF(Atletas!L274="Wuzuquan B",8,IF(Atletas!L274="Wingchun B",9,IF(Atletas!L274="Outra Mão de Sul B",10,IF(Atletas!L274="Choylayfut C",11,IF(Atletas!L274="Hunggar C",12,IF(Atletas!L274="Wuzuquan C",13,IF(Atletas!L274="Wingchun C",14,IF(Atletas!L274="Outra Mão de Sul C",15,IF(Atletas!L274="Choylayfut D",16,IF(Atletas!L274="Hunggar D",17,IF(Atletas!L274="Wuzuquan D",18,IF(Atletas!L274="Wingchun D",19,IF(Atletas!L274="Outra Mão de Sul D",20,IF(Atletas!L274="Choylayfut E",21,IF(Atletas!L274="Hunggar E",22,IF(Atletas!L274="Wuzuquan E",23,IF(Atletas!L274="Wingchun E",24,IF(Atletas!L274="Outra Mão de Sul E",25,IF(Atletas!L274="Choylayfut F",26,IF(Atletas!L274="Hunggar F",27,IF(Atletas!L274="Wuzuquan F",28,IF(Atletas!L274="Wingchun F",29,IF(Atletas!L274="Outra Mão de Sul F",30,IF(Atletas!L274="Dishuquan A",31,IF(Atletas!L274="Dishuquan B",32,IF(Atletas!L274="Dishuquan C",33,IF(Atletas!L274="Dishuquan D",34,IF(Atletas!L274="Dishuquan E",35,IF(Atletas!L274="Dishuquan F",36,""))))))))))))))))))))))))))))))))))))))</f>
        <v/>
      </c>
      <c r="BS283" s="50" t="str">
        <f>IF(Atletas!M274="","",IF(Atletas!X274&lt;&gt;"",10000,0)+(IF(Atletas!B274="Feminino",1000,IF(Atletas!B274="Masculino",2000,""))+(IF(Atletas!M274="Chaquan A",101,IF(Atletas!M274="Emeiquan A",102,IF(Atletas!M274="Fanziquan A",103,IF(Atletas!M274="Huaquan A",104,IF(Atletas!M274="Hongquan A",105,IF(Atletas!M274="Paoquan A",106,IF(Atletas!M274="Piguaquan A",107,IF(Atletas!M274="Shaolinquan A",108,IF(Atletas!M274="Tanglangquan A",109,IF(Atletas!M274="Yingzhaoquan A",110,IF(Atletas!M274="Tongbeiquan A",111,IF(Atletas!M274="Wudangquan A",112,IF(Atletas!M274="Outros Estilos A",113,IF(Atletas!M274="Chaquan B",114,IF(Atletas!M274="Emeiquan B",115,IF(Atletas!M274="Fanziquan B",116,IF(Atletas!M274="Huaquan B",117,IF(Atletas!M274="Hongquan B",118,IF(Atletas!M274="Paoquan B",119,IF(Atletas!M274="Piguaquan B",120,IF(Atletas!M274="Shaolinquan B",121,IF(Atletas!M274="Tanglangquan B",122,IF(Atletas!M274="Yingzhaoquan B",123,IF(Atletas!M274="Tongbeiquan B",124,IF(Atletas!M274="Wudangquan B",125,IF(Atletas!M274="Outros Estilos B",126,IF(Atletas!M274="Chaquan C",127,IF(Atletas!M274="Emeiquan C",128,IF(Atletas!M274="Fanziquan C",129,IF(Atletas!M274="Huaquan C",130,IF(Atletas!M274="Hongquan C",131,IF(Atletas!M274="Paoquan C",132,IF(Atletas!M274="Piguaquan C",133,IF(Atletas!M274="Shaolinquan C",134,IF(Atletas!M274="Tanglangquan C",135,IF(Atletas!M274="Yingzhaoquan C",136,IF(Atletas!M274="Tongbeiquan C",137,IF(Atletas!M274="Wudangquan C",138,IF(Atletas!M274="Outros Estilos C",139,0))))))))))))))))))))))))))))))))))))))))))</f>
        <v/>
      </c>
      <c r="BT283" s="50" t="str">
        <f>IF(Atletas!M274="","",IF(Atletas!X274&lt;&gt;"",10000,0)+(IF(Atletas!B274="Feminino",1000,IF(Atletas!B274="Masculino",2000,""))+(IF(Atletas!M274="Chaquan D",140,IF(Atletas!M274="Emeiquan D",141,IF(Atletas!M274="Fanziquan D",142,IF(Atletas!M274="Huaquan D",143,IF(Atletas!M274="Hongquan D",144,IF(Atletas!M274="Paoquan D",145,IF(Atletas!M274="Piguaquan D",146,IF(Atletas!M274="Shaolinquan D",147,IF(Atletas!M274="Tanglangquan D",148,IF(Atletas!M274="Yingzhaoquan D",149,IF(Atletas!M274="Tongbeiquan D",150,IF(Atletas!M274="Wudangquan D",151,IF(Atletas!M274="Outros Estilos D",152,IF(Atletas!M274="Chaquan E",153,IF(Atletas!M274="Emeiquan E",154,IF(Atletas!M274="Fanziquan E",155,IF(Atletas!M274="Huaquan E",156,IF(Atletas!M274="Hongquan E",157,IF(Atletas!M274="Paoquan E",158,IF(Atletas!M274="Piguaquan E",159,IF(Atletas!M274="Shaolinquan E",160,IF(Atletas!M274="Tanglangquan E",161,IF(Atletas!M274="Yingzhaoquan E",162,IF(Atletas!M274="Tongbeiquan E",163,IF(Atletas!M274="Wudangquan E",164,IF(Atletas!M274="Outros Estilos E",165,IF(Atletas!M274="Chaquan F",166,IF(Atletas!M274="Emeiquan F",167,IF(Atletas!M274="Fanziquan F",168,IF(Atletas!M274="Huaquan F",169,IF(Atletas!M274="Hongquan F",170,IF(Atletas!M274="Paoquan F",171,IF(Atletas!M274="Piguaquan F",172,IF(Atletas!M274="Shaolinquan F",173,IF(Atletas!M274="Tanglangquan F",174,IF(Atletas!M274="Yingzhaoquan F",175,IF(Atletas!M274="Tongbeiquan F",176,IF(Atletas!M274="Wudangquan F",177,IF(Atletas!M274="Outros Estilos F",178,0))))))))))))))))))))))))))))))))))))))))))</f>
        <v/>
      </c>
      <c r="BU283" s="50" t="str">
        <f>IF(Atletas!N274="","",IF(Atletas!X274&lt;&gt;"",10000,0)+(IF(Atletas!B274="Feminino",1000,IF(Atletas!B274="Masculino",2000,""))+(IF(Atletas!N274="Ditangquan A",201,IF(Atletas!N274="Houquan A",202,IF(Atletas!N274="Zuiquan A",203,IF(Atletas!N274="Ditangquan B",204,IF(Atletas!N274="Houquan B",205,IF(Atletas!N274="Zuiquan B",206,IF(Atletas!N274="Ditangquan C",207,IF(Atletas!N274="Houquan C",208,IF(Atletas!N274="Zuiquan C",209,IF(Atletas!N274="Ditangquan D",210,IF(Atletas!N274="Houquan D",211,IF(Atletas!N274="Zuiquan D",212,IF(Atletas!N274="Ditangquan E",213,IF(Atletas!N274="Houquan E",214,IF(Atletas!N274="Zuiquan E",215,IF(Atletas!N274="Ditangquan F",216,IF(Atletas!N274="Houquan F",217,IF(Atletas!N274="Zuiquan F",218,"")))))))))))))))))))))</f>
        <v/>
      </c>
      <c r="BV283" s="50" t="str">
        <f>IF(Atletas!O274="","",IF(Atletas!X274&lt;&gt;"",10000,0)+IF(Atletas!B274="Feminino",1000,IF(Atletas!B274="Masculino",2000,""))+IF(Atletas!O274="Yang A",301,IF(Atletas!O274="Chen A",302,IF(Atletas!O274="Sun A",303,IF(Atletas!O274="Wu A",304,IF(Atletas!O274="Wu-Hao A",305,IF(Atletas!O274="Outro Taijiquan A",306,IF(Atletas!O274="Yang B",307,IF(Atletas!O274="Chen B",308,IF(Atletas!O274="Sun B",309,IF(Atletas!O274="Wu B",310,IF(Atletas!O274="Wu-Hao B",311,IF(Atletas!O274="Outro Taijiquan B",312,IF(Atletas!O274="Yang C",313,IF(Atletas!O274="Chen C",314,IF(Atletas!O274="Sun C",315,IF(Atletas!O274="Wu C",316,IF(Atletas!O274="Wu-Hao C",317,IF(Atletas!O274="Outro Taijiquan C",318,IF(Atletas!O274="Yang D",319,IF(Atletas!O274="Chen D",320,IF(Atletas!O274="Sun D",321,IF(Atletas!O274="Wu D",322,IF(Atletas!O274="Wu-Hao D",323,IF(Atletas!O274="Outro Taijiquan D",324,IF(Atletas!O274="Yang E",325,IF(Atletas!O274="Chen E",326,IF(Atletas!O274="Sun E",327,IF(Atletas!O274="Wu E",328,IF(Atletas!O274="Wu-Hao E",329,IF(Atletas!O274="Outro Taijiquan E",330,IF(Atletas!O274="Yang F",331,IF(Atletas!O274="Chen F",332,IF(Atletas!O274="Sun F",333,IF(Atletas!O274="Wu F",334,IF(Atletas!O274="Wu-Hao F",335,IF(Atletas!O274="Outro Taijiquan F",336,"")))))))))))))))))))))))))))))))))))))</f>
        <v/>
      </c>
      <c r="BW283" s="50" t="str">
        <f>IF(Atletas!P274="","",IF(Atletas!X274&lt;&gt;"",10000,0)+IF(Atletas!B274="Feminino",1000,IF(Atletas!B274="Masculino",2000,""))+IF(OR(Atletas!P274="Yang 26 A",Atletas!P274="Yang 40 A"),401,IF(OR(Atletas!P274="Chen 25 A",Atletas!P274="Chen 36 A",Atletas!P274="Chen 56 A"),402,IF(Atletas!P274="Sun 73 A",403,IF(Atletas!P274="Wu 45 A",404,IF(Atletas!P274="Wu-Hao 46 A",405,IF(OR(Atletas!P274="Taijiquan 16 A",Atletas!P274="Taijiquan 24 A",Atletas!P274="Taijiquan 32 A",Atletas!P274="Taijiquan 42 A"),406,IF(OR(Atletas!P274="Yang 26 B",Atletas!P274="Yang 40 B"),407,IF(OR(Atletas!P274="Chen 25 B",Atletas!P274="Chen 36 B",Atletas!P274="Chen 56 B"),408,IF(Atletas!P274="Sun 73 B",409,IF(Atletas!P274="Wu 45 B",410,IF(Atletas!P274="Wu-Hao 46 B",411,IF(OR(Atletas!P274="Taijiquan 16 B",Atletas!P274="Taijiquan 24 B",Atletas!P274="Taijiquan 32 B",Atletas!P274="Taijiquan 42 B"),412,IF(OR(Atletas!P274="Yang 26 C",Atletas!P274="Yang 40 C"),413,IF(OR(Atletas!P274="Chen 25 C",Atletas!P274="Chen 36 C",Atletas!P274="Chen 56 C"),414,IF(Atletas!P274="Sun 73 C",415,IF(Atletas!P274="Wu 45 C",416,IF(Atletas!P274="Wu-Hao 46 C",417,IF(OR(Atletas!P274="Taijiquan 16 C",Atletas!P274="Taijiquan 24 C",Atletas!P274="Taijiquan 32 C",Atletas!P274="Taijiquan 42 C"),418,0)))))))))))))))))))</f>
        <v/>
      </c>
      <c r="BX283" s="50" t="str">
        <f>IF(Atletas!P274="","",IF(Atletas!X274&lt;&gt;"",10000,0)+IF(Atletas!B274="Feminino",1000,IF(Atletas!B274="Masculino",2000,""))+IF(OR(Atletas!P274="Yang 26 D",Atletas!P274="Yang 40 D"),419,IF(OR(Atletas!P274="Chen 25 D",Atletas!P274="Chen 36 D",Atletas!P274="Chen 56 D"),420,IF(Atletas!P274="Sun 73 D",421,IF(Atletas!P274="Wu 45 D",422,IF(Atletas!P274="Wu-Hao 46 D",423,IF(OR(Atletas!P274="Taijiquan 16 D",Atletas!P274="Taijiquan 24 D",Atletas!P274="Taijiquan 32 D",Atletas!P274="Taijiquan 42 D"),424,IF(OR(Atletas!P274="Yang 26 E",Atletas!P274="Yang 40 E"),425,IF(OR(Atletas!P274="Chen 25 E",Atletas!P274="Chen 36 E",Atletas!P274="Chen 56 E"),426,IF(Atletas!P274="Sun 73 E",427,IF(Atletas!P274="Wu 45 E",428,IF(Atletas!P274="Wu-Hao 46 E",429,IF(OR(Atletas!P274="Taijiquan 16 E",Atletas!P274="Taijiquan 24 E",Atletas!P274="Taijiquan 32 E",Atletas!P274="Taijiquan 42 E"),430,IF(OR(Atletas!P274="Yang 26 F",Atletas!P274="Yang 40 F"),431,IF(OR(Atletas!P274="Chen 25 F",Atletas!P274="Chen 36 F",Atletas!P274="Chen 56 F"),432,IF(Atletas!P274="Sun 73 F",433,IF(Atletas!P274="Wu 45 F",434,IF(Atletas!P274="Wu-Hao 46 F",435,IF(OR(Atletas!P274="Taijiquan 16 F",Atletas!P274="Taijiquan 24 F",Atletas!P274="Taijiquan 32 F",Atletas!P274="Taijiquan 42 F"),436,0)))))))))))))))))))</f>
        <v/>
      </c>
      <c r="BY283" s="50" t="str">
        <f>IF(Atletas!Q274="","",IF(Atletas!X274&lt;&gt;"",10000,0)+IF(Atletas!B274="Feminino",1000,IF(Atletas!B274="Masculino",2000,""))+IF(Atletas!Q274="Xingyiquan A",501,IF(Atletas!Q274="Baguazhang A",502,IF(Atletas!Q274="Outro Estilo Interno A",503,IF(Atletas!Q274="Xingyiquan B",504,IF(Atletas!Q274="Baguazhang B",505,IF(Atletas!Q274="Outro Estilo Interno B",506,IF(Atletas!Q274="Xingyiquan C",507,IF(Atletas!Q274="Baguazhang C",508,IF(Atletas!Q274="Outro Estilo Interno C",509,IF(Atletas!Q274="Xingyiquan D",510,IF(Atletas!Q274="Baguazhang D",511,IF(Atletas!Q274="Outro Estilo Interno D",512,IF(Atletas!Q274="Xingyiquan E",513,IF(Atletas!Q274="Baguazhang E",514,IF(Atletas!Q274="Outro Estilo Interno E",515,IF(Atletas!Q274="Xingyiquan F",516,IF(Atletas!Q274="Baguazhang F",517,IF(Atletas!Q274="Outro Estilo Interno F",518, "")))))))))))))))))))</f>
        <v/>
      </c>
      <c r="BZ283" s="50" t="str">
        <f>IF(Atletas!R274="","",IF(Atletas!X274&lt;&gt;"",10000,0)+IF(Atletas!B274="Feminino",1000,IF(Atletas!B274="Masculino",2000,""))+IF(Atletas!R274="Dao A",601,IF(Atletas!R274="Jian A",602,IF(Atletas!R274="Bishou A",603,IF(Atletas!R274="Shanzi A",604,IF(Atletas!R274="Outra Arma Curta A",605,IF(Atletas!R274="Dao B",606,IF(Atletas!R274="Jian B",607,IF(Atletas!R274="Bishou B",608,IF(Atletas!R274="Shanzi B",609,IF(Atletas!R274="Outra Arma Curta B",610,IF(Atletas!R274="Dao C",611,IF(Atletas!R274="Jian C",612,IF(Atletas!R274="Bishou C",613,IF(Atletas!R274="Shanzi C",614,IF(Atletas!R274="Outra Arma Curta C",615,IF(Atletas!R274="Dao D",616,IF(Atletas!R274="Jian D",617,IF(Atletas!R274="Bishou D",618,IF(Atletas!R274="Shanzi D",619,IF(Atletas!R274="Outra Arma Curta D",620,IF(Atletas!R274="Dao E",621,IF(Atletas!R274="Jian E",622,IF(Atletas!R274="Bishou E",623,IF(Atletas!R274="Shanzi E",624,IF(Atletas!R274="Outra Arma Curta E",625,IF(Atletas!R274="Dao F",626,IF(Atletas!R274="Jian F",627,IF(Atletas!R274="Bishou F",628,IF(Atletas!R274="Shanzi F",629,IF(Atletas!R274="Outra Arma Curta F",630, "")))))))))))))))))))))))))))))))</f>
        <v/>
      </c>
      <c r="CA283" s="50" t="str">
        <f>IF(Atletas!S274="","",IF(Atletas!X274&lt;&gt;"",10000,0)+IF(Atletas!B274="Feminino",1000,IF(Atletas!B274="Masculino",2000,""))+IF(Atletas!S274="Gun A",701,IF(Atletas!S274="Qiang A",702,IF(Atletas!S274="Pudao / Guandao A",703,IF(Atletas!S274="Outra Arma Longa A",704,IF(Atletas!S274="Gun B",705,IF(Atletas!S274="Qiang B",706,IF(Atletas!S274="Pudao / Guandao B",707,IF(Atletas!S274="Outra Arma Longa B",708,IF(Atletas!S274="Gun C",709,IF(Atletas!S274="Qiang C",710,IF(Atletas!S274="Pudao / Guandao C",711,IF(Atletas!S274="Outra Arma Longa C",712,IF(Atletas!S274="Gun D",713,IF(Atletas!S274="Qiang D",714,IF(Atletas!S274="Pudao / Guandao D",715,IF(Atletas!S274="Outra Arma Longa D",716,IF(Atletas!S274="Gun E",717,IF(Atletas!S274="Qiang E",718,IF(Atletas!S274="Pudao / Guandao E",719,IF(Atletas!S274="Outra Arma Longa E",720,IF(Atletas!S274="Gun F",721,IF(Atletas!S274="Qiang F",722,IF(Atletas!S274="Pudao / Guandao F",723,IF(Atletas!S274="Outra Arma Longa F",724,"")))))))))))))))))))))))))</f>
        <v/>
      </c>
      <c r="CB283" s="50" t="str">
        <f>IF(Atletas!T274="","",IF(Atletas!X274&lt;&gt;"",10000,0)+IF(Atletas!B274="Feminino",1000,IF(Atletas!B274="Masculino",2000,""))+IF(Atletas!T274="Outra Arma Dupla A",801,IF(Atletas!T274="Arma Maleável A",802,IF(Atletas!T274="Outra Arma Dupla B",803,IF(Atletas!T274="Arma Maleável B",804,IF(Atletas!T274="Outra Arma Dupla C",805,IF(Atletas!T274="Arma Maleável C",806,IF(Atletas!T274="Outra Arma Dupla D",807,IF(Atletas!T274="Arma Maleável D",808,IF(Atletas!T274="Outra Arma Dupla E",809,IF(Atletas!T274="Arma Maleável E",810,IF(Atletas!T274="Outra Arma Dupla F",811,IF(Atletas!T274="Arma Maleável F",812,IF(Atletas!T274="Shuangdao A",813,IF(Atletas!T274="Shuangdao B",814,IF(Atletas!T274="Shuangdao C",815,IF(Atletas!T274="Shuangdao D",816,IF(Atletas!T274="Shuangdao E",817,IF(Atletas!T274="Shuangdao F",818,"")))))))))))))))))))</f>
        <v/>
      </c>
      <c r="CC283" s="50" t="str">
        <f>IF(Atletas!U274="","",IF(Atletas!X274&lt;&gt;"",10000,0)+IF(Atletas!B274="Feminino",1000,IF(Atletas!B274="Masculino",2000,""))+IF(OR(Atletas!U274="Taijijian Yang A",Atletas!U274="Taijijian Yang Standard A"),901,IF(OR(Atletas!U274="Taijijian Chen A", Atletas!U274="Taijijian Chen Standard A"),902,IF(Atletas!U274="Taijijian Sun A",903,IF(Atletas!U274="Taijijian Wu A",904,IF(Atletas!U274="Taijijian Wu-Hao A",905,IF(OR(Atletas!U274="Taijijian 32 A",Atletas!U274="Taijijian 42 A"),906,IF(OR(Atletas!U274="Taijijian Yang B",Atletas!U274="Taijijian Yang Standard B"),907,IF(OR(Atletas!U274="Taijijian Chen B", Atletas!U274="Taijijian Chen Standard B"),908,IF(Atletas!U274="Taijijian Sun B",909,IF(Atletas!U274="Taijijian Wu B",910,IF(Atletas!U274="Taijijian Wu-Hao B",911,IF(OR(Atletas!U274="Taijijian 32 B",Atletas!U274="Taijijian 42 B"),912,IF(OR(Atletas!U274="Taijijian Yang C",Atletas!U274="Taijijian Yang Standard C"),913,IF(OR(Atletas!U274="Taijijian Chen C", Atletas!U274="Taijijian Chen Standard C"),914,IF(Atletas!U274="Taijijian Sun C",915,IF(Atletas!U274="Taijijian Wu C",916,IF(Atletas!U274="Taijijian Wu-Hao C",917,IF(OR(Atletas!U274="Taijijian 32 C",Atletas!U274="Taijijian 42 C"),918,IF(OR(Atletas!U274="Taijijian Yang D",Atletas!U274="Taijijian Yang Standard D"),919,IF(OR(Atletas!U274="Taijijian Chen D", Atletas!U274="Taijijian Chen Standard D"),920,IF(Atletas!U274="Taijijian Sun D",921,IF(Atletas!U274="Taijijian Wu D",922,IF(Atletas!U274="Taijijian Wu-Hao D",923,IF(OR(Atletas!U274="Taijijian 32 D",Atletas!U274="Taijijian 42 D"),924,IF(OR(Atletas!U274="Taijijian Yang E",Atletas!U274="Taijijian Yang Standard E"),925,IF(OR(Atletas!U274="Taijijian Chen E", Atletas!U274="Taijijian Chen Standard E"),926,IF(Atletas!U274="Taijijian Sun E",927,IF(Atletas!U274="Taijijian Wu E",928,IF(Atletas!U274="Taijijian Wu-Hao E",929,IF(OR(Atletas!U274="Taijijian 32 E",Atletas!U274="Taijijian 42 E"),930,IF(OR(Atletas!U274="Taijijian Yang F",Atletas!U274="Taijijian Yang Standard F"),931,IF(OR(Atletas!U274="Taijijian Chen F", Atletas!U274="Taijijian Chen Standard F"),932,IF(Atletas!U274="Taijijian Sun F",933,IF(Atletas!U274="Taijijian Wu F",934,IF(Atletas!U274="Taijijian Wu-Hao F",935,IF(OR(Atletas!U274="Taijijian 32 F",Atletas!U274="Taijijian 42 F"),936,"")))))))))))))))))))))))))))))))))))))</f>
        <v/>
      </c>
      <c r="CD283" s="50" t="str">
        <f>IF(Atletas!V274="","",IF(Atletas!X274&lt;&gt;"",10000,0)+IF(Atletas!B274="Feminino",1000,IF(Atletas!B274="Masculino",2000,""))+IF(Atletas!V274="Taijidao A",937,IF(Atletas!V274="TaijiShanzi A",938,IF(Atletas!V274="Taijiqiang A",939,IF(Atletas!V274="Bagua de Arma A",940,IF(Atletas!V274="Xingyi de Arma A",941,IF(Atletas!V274="Taijidao B",942,IF(Atletas!V274="TaijiShanzi B",943,IF(Atletas!V274="Taijiqiang B",944,IF(Atletas!V274="Bagua de Arma B",945,IF(Atletas!V274="Xingyi de Arma B",946,IF(Atletas!V274="Taijidao C",947,IF(Atletas!V274="TaijiShanzi C",948,IF(Atletas!V274="Taijiqiang C",949,IF(Atletas!V274="Bagua de Arma C",950,IF(Atletas!V274="Xingyi de Arma C",951,IF(Atletas!V274="Taijidao D",952,IF(Atletas!V274="TaijiShanzi D",953,IF(Atletas!V274="Taijiqiang D",954,IF(Atletas!V274="Bagua de Arma D",955,IF(Atletas!V274="Xingyi de Arma D",956,IF(Atletas!V274="Taijidao E",957,IF(Atletas!V274="TaijiShanzi E",958,IF(Atletas!V274="Taijiqiang E",959,IF(Atletas!V274="Bagua de Arma E",960,IF(Atletas!V274="Xingyi de Arma E",961,IF(Atletas!V274="Taijidao F",962,IF(Atletas!V274="TaijiShanzi F",963,IF(Atletas!V274="Taijiqiang F",964,IF(Atletas!V274="Bagua de Arma F",965,IF(Atletas!V274="Xingyi de Arma F",966,"")))))))))))))))))))))))))))))))</f>
        <v/>
      </c>
      <c r="CE283" s="66" t="str">
        <f>IF(CF283&lt;&gt;"","Shuangdao A","")</f>
        <v/>
      </c>
      <c r="CF283" s="66" t="str">
        <f>IF(COUNTIF(BR:CD,1813)&gt;0,COUNTIF(BR:CD,1813),"")</f>
        <v/>
      </c>
      <c r="CG283" s="66" t="str">
        <f>IF(CH283&lt;&gt;"","Shuangdao A","")</f>
        <v/>
      </c>
      <c r="CH283" s="66" t="str">
        <f>IF(COUNTIF(BT:CF,2813)&gt;0,COUNTIF(BT:CF,2813),"")</f>
        <v/>
      </c>
      <c r="CI283" s="66" t="str">
        <f>IF(CJ284&lt;&gt;"","Outra Arma Maleável D","")</f>
        <v/>
      </c>
      <c r="CJ283" s="66" t="str">
        <f>IF(COUNTIF(BR:CD,11807)&gt;0,COUNTIF(BR:CD,11807),"")</f>
        <v/>
      </c>
      <c r="CK283" s="66" t="str">
        <f>IF(CL283&lt;&gt;"","Outra Arma Dupla D","")</f>
        <v/>
      </c>
      <c r="CL283" s="66" t="str">
        <f>IF(COUNTIF(BR:CD,12807)&gt;0,COUNTIF(BR:CD,12807),"")</f>
        <v/>
      </c>
      <c r="CM283" s="50" t="str">
        <f xml:space="preserve"> IF(Atletas!W274="","",IF(Atletas!W274="Duilian de Mãos BC - Equipe 1",1,IF(Atletas!W274="Duilian de Mãos BC - Equipe 2",2,IF(Atletas!W274="Duilian de Armas BC - Equipe 1",3,IF(Atletas!W274="Duilian de Armas BC - Equipe 2",4,IF(Atletas!W274="Duilian de Mãos DE - Equipe 1",5,IF(Atletas!W274="Duilian de Mãos DE - Equipe 2",6,IF(Atletas!W274="Duilian de Armas DE - Equipe 1",7,IF(Atletas!W274="Duilian de Armas DE - Equipe 2",8,IF(Atletas!W274="Duilian de Tuishou - Equipe 1",9,IF(Atletas!W274="Duilian de Tuishou - Equipe 2",10,IF(Atletas!W274="Grupo Externo ABC - Equipe 1",11,IF(Atletas!W274="Grupo Externo ABC - Equipe 2",12,IF(Atletas!W274="Grupo Interno ABC - Equipe 1",13,IF(Atletas!W274="Grupo Interno ABC - Equipe 2",14,IF(Atletas!W274="Grupo Externo DEF - Equipe 1",15,IF(Atletas!W274="Grupo Externo DEF - Equipe 2",16,IF(Atletas!W274="Grupo Interno DEF - Equipe 1",17,IF(Atletas!W274="Grupo Interno DEF - Equipe 2",18,"")))))))))))))))))))</f>
        <v/>
      </c>
    </row>
    <row r="284" spans="2:91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 t="str">
        <f t="array" ref="Z284">IFERROR(INDEX(CE$7:CE$348,SMALL(IF(CE$7:CE$348&lt;&gt;"",ROW(CE$7:CE$348)-ROW(CE$7)+1),ROWS(CE$7:CE283))),"")</f>
        <v/>
      </c>
      <c r="AA284" s="3" t="str">
        <f t="array" ref="AA284">IFERROR(INDEX(CF$7:CF$348,SMALL(IF(CF$7:CF$348&lt;&gt;"",ROW(CF$7:CF$348)-ROW(CF$7)+1),ROWS(CF$7:CF283))),"")</f>
        <v/>
      </c>
      <c r="AB284" s="3" t="str">
        <f t="array" ref="AB284">IFERROR(INDEX(CG$7:CG$348,SMALL(IF(CG$7:CG$348&lt;&gt;"",ROW(CG$7:CG$348)-ROW(CG$7)+1),ROWS(CG$7:CG283))),"")</f>
        <v/>
      </c>
      <c r="AC284" s="3" t="str">
        <f t="array" ref="AC284">IFERROR(INDEX(CH$7:CH$348,SMALL(IF(CH$7:CH$348&lt;&gt;"",ROW(CH$7:CH$348)-ROW(CH$7)+1),ROWS(CH$7:CH283))),"")</f>
        <v/>
      </c>
      <c r="AD284" s="3" t="str">
        <f t="array" ref="AD284">IFERROR(INDEX(CI$7:CI$377,SMALL(IF(CI$7:CI$377&lt;&gt;"",ROW(CI$7:CI$377)-ROW(CI$7)+1),ROWS(CI$7:CI282))),"")</f>
        <v/>
      </c>
      <c r="AE284" s="3" t="str">
        <f t="array" ref="AE284">IFERROR(INDEX(CJ$7:CJ$378,SMALL(IF(CJ$7:CJ$378&lt;&gt;"",ROW(CJ$7:CJ$378)-ROW(CJ$7)+1),ROWS(CJ$7:CJ283))),"")</f>
        <v/>
      </c>
      <c r="AF284" s="3" t="str">
        <f t="array" ref="AF284">IFERROR(INDEX(CK$7:CK$378,SMALL(IF(CK$7:CK$378&lt;&gt;"",ROW(CK$7:CK$378)-ROW(CK$7)+1),ROWS(CK$7:CK283))),"")</f>
        <v/>
      </c>
      <c r="AG284" s="3" t="str">
        <f t="array" ref="AG284">IFERROR(INDEX(CL$7:CL$378,SMALL(IF(CL$7:CL$378&lt;&gt;"",ROW(CL$7:CL$378)-ROW(CL$7)+1),ROWS(CL$7:CL283))),"")</f>
        <v/>
      </c>
      <c r="AH284" s="3"/>
      <c r="AI284" s="3"/>
      <c r="AJ284" s="3"/>
      <c r="AK284" s="3"/>
      <c r="AL284" s="3"/>
      <c r="AM284" s="3"/>
      <c r="AN284" s="52" t="str">
        <f>IF(Atletas!D275="","",IF(Atletas!B275="Feminino",100,IF(Atletas!B275="Masculino",200,""))+(IF(Atletas!D275="Kids 30kg",1,IF(Atletas!D275="Kids 32kg",2, IF(Atletas!D275="Kids 34kg",3,IF(Atletas!D275="Kids 36kg",4,IF(Atletas!D275="Kids 39kg",5,IF(Atletas!D275="Kids 42kg",6,IF(Atletas!D275="Kids 45kg",7, IF(Atletas!D275="Infantil 39kg",8,IF(Atletas!D275="Infantil 42kg",9,IF(Atletas!D275="Infantil 45kg",10,IF(Atletas!D275="Infantil 48kg",11,IF(Atletas!D275="Infantil 52kg",12,IF(Atletas!D275="Infantil 56kg",13,IF(Atletas!D275="Infantil 60kg",14,IF(Atletas!D275="Juvenil 48kg",15,IF(Atletas!D275="Juvenil 52kg",16,IF(Atletas!D275="Juvenil 56kg",17,IF(Atletas!D275="Juvenil 60kg",18,IF(Atletas!D275="Juvenil 65kg",19,IF(Atletas!D275="Juvenil 70kg",20,IF(Atletas!D275="Juvenil 75kg",21,IF(Atletas!D275="Juvenil 80kg",22, IF(Atletas!D275="Juvenil 85kg",23,IF(Atletas!D275="Adulto 48kg",24,IF(Atletas!D275="Adulto 52kg",25,IF(Atletas!D275="Adulto 56kg",26,IF(Atletas!D275="Adulto 60kg",27,IF(Atletas!D275="Adulto 65kg",28,IF(Atletas!D275="Adulto 70kg",29,IF(Atletas!D275="Adulto 75kg",30,IF(Atletas!D275="Adulto 80kg",31,IF(Atletas!D275="Adulto 85kg",32,IF(Atletas!D275="Adulto 90kg",33,IF(Atletas!D275="Adulto 100kg",34, IF(Atletas!D275="Adulto +100kg",35,"")))))))))))))))))))))))))))))))))))))</f>
        <v/>
      </c>
      <c r="AS284" s="6" t="str">
        <f>IF(Atletas!E275="","",IF(Atletas!B275="Feminino",100,IF(Atletas!B275="Masculino",200,""))+(IF(Atletas!E275="Juvenil 44kg",1,IF(Atletas!E275="Juvenil 48kg",2,IF(Atletas!E275="Juvenil 52kg",3,IF(Atletas!E275="Juvenil 56kg",4,IF(Atletas!E275="Juvenil 60kg",5,IF(Atletas!E275="Juvenil 65kg",6,IF(Atletas!E275="Juvenil 70kg",7,IF(Atletas!E275="Juvenil 75kg",8,IF(Atletas!E275="Juvenil 82kg",9,IF(Atletas!E275="Juvenil 90kg",10,IF(Atletas!E275="Juvenil 100kg",11,IF(Atletas!E275="Adulto 48kg",12,IF(Atletas!E275="Adulto 52kg",13,IF(Atletas!E275="Adulto 56kg",14,IF(Atletas!E275="Adulto 60kg",15,IF(Atletas!E275="Adulto 65kg",16,IF(Atletas!E275="Adulto 70kg",17,IF(Atletas!E275="Adulto 75kg",18,IF(Atletas!E275="Adulto 82kg",19,IF(Atletas!E275="Adulto 90kg",20,IF(Atletas!E275="Adulto 100kg",21,IF(Atletas!E275="Adulto +100kg",22,""))))))))))))))))))))))))</f>
        <v/>
      </c>
      <c r="AX284" s="6" t="str">
        <f>IF(Atletas!F275="","",IF(Atletas!B275="Feminino",100,IF(Atletas!B275="Masculino",200,""))+(IF(Atletas!F275="Adulto 48kg",1,IF(Atletas!F275="Adulto 56kg",2,IF(Atletas!F275="Adulto 65kg",3,IF(Atletas!F275="Adulto 75kg",4,IF(Atletas!F275="Adulto +75kg",5,IF(Atletas!F275="Adulto 52kg",6,IF(Atletas!F275="Adulto 60kg",7,IF(Atletas!F275="Adulto 70kg",8,IF(Atletas!F275="Adulto 80kg",9,IF(Atletas!F275="Adulto 90kg",10,IF(Atletas!F275="Adulto +90kg",11,"")))))))))))))</f>
        <v/>
      </c>
      <c r="BC284" s="6" t="str">
        <f>IF(Atletas!G275="","",IF(Atletas!B275="Feminino",10,IF(Atletas!B275="Masculino",20,""))+(IF(Atletas!G275="Baduanjin A",1,IF(Atletas!G275="Baduanjin B",2))))</f>
        <v/>
      </c>
      <c r="BF284" s="52" t="str">
        <f>IF(Atletas!H275="","",IF(Atletas!B275="Feminino",100,IF(Atletas!B275="Masculino",200,""))+(IF(Atletas!H275="Changquan Mirim",1,IF(Atletas!H275="Nanquan Mirim",2,IF(Atletas!H275="Taijiquan Mirim",3,IF(Atletas!H275="Changquan Grupo C",4,IF(Atletas!H275="Nanquan Grupo C",5,IF(Atletas!H275="Taijiquan Grupo C",6,IF(Atletas!H275="Changquan Grupo B",7,IF(Atletas!H275="Nanquan Grupo B",8,IF(Atletas!H275="Taijiquan Grupo B",9,IF(Atletas!H275="Changquan Grupo A",10,IF(Atletas!H275="Nanquan Grupo A",11,IF(Atletas!H275="Taijiquan Grupo A",12,IF(Atletas!H275="Changquan Opcional",13,IF(Atletas!H275="Nanquan Opcional",14,IF(Atletas!H275="Taijiquan Opcional",15,IF(Atletas!H275="Changquan Adulto",16,IF(Atletas!H275="Nanquan Adulto",17,IF(Atletas!H275="Taijiquan Adulto",18,""))))))))))))))))))))</f>
        <v/>
      </c>
      <c r="BG284" s="52" t="str">
        <f>IF(Atletas!I275="","",IF(Atletas!B275="Feminino",100,IF(Atletas!B275="Masculino",200,""))+(IF(Atletas!I275="Daoshu Mirim",19,IF(Atletas!I275="Jianshu Mirim",20,IF(Atletas!I275="Nandao Mirim",21,IF(Atletas!I275="Taijijian Mirim",22,IF(Atletas!I275="Daoshu Grupo C",23,IF(Atletas!I275="Jianshu Grupo C",24,IF(Atletas!I275="Nandao Grupo C",25,IF(Atletas!I275="Taijijian Grupo C",26,IF(Atletas!I275="Daoshu Grupo B",27,IF(Atletas!I275="Jianshu Grupo B",28,IF(Atletas!I275="Nandao Grupo B",29,IF(Atletas!I275="Taijijian Grupo B",30,IF(Atletas!I275="Daoshu Grupo A",31,IF(Atletas!I275="Jianshu Grupo A",32,IF(Atletas!I275="Nandao Grupo A",33,IF(Atletas!I275="Taijijian Grupo A",34,IF(Atletas!I275="Daoshu Opcional",35,IF(Atletas!I275="Jianshu Opcional",36,IF(Atletas!I275="Nandao Opcional",37,IF(Atletas!I275="Taijijian Opcional",38,IF(Atletas!I275="Daoshu Adulto",39,IF(Atletas!I275="Jianshu Adulto",40,IF(Atletas!I275="Nandao Adulto",41,IF(Atletas!I275="Taijijian Adulto",42,""))))))))))))))))))))))))))</f>
        <v/>
      </c>
      <c r="BH284" s="52" t="str">
        <f>IF(Atletas!J275="","",IF(Atletas!B275="Feminino",100,IF(Atletas!B275="Masculino",200,""))+(IF(Atletas!J275="Gunshu Mirim",43,IF(Atletas!J275="Qiangshu Mirim",44,IF(Atletas!J275="Nangun Mirim",45,IF(Atletas!J275="Gunshu Grupo C",46,IF(Atletas!J275="Qiangshu Grupo C",47,IF(Atletas!J275="Nangun Grupo C",48,IF(Atletas!J275="Gunshu Grupo B",49,IF(Atletas!J275="Qiangshu Grupo B",50,IF(Atletas!J275="Nangun Grupo B",51,IF(Atletas!J275="Gunshu Grupo A",52,IF(Atletas!J275="Qiangshu Grupo A",53,IF(Atletas!J275="Nangun Grupo A",54,IF(Atletas!J275="Gunshu Opcional",55,IF(Atletas!J275="Qiangshu Opcional",56,IF(Atletas!J275="Nangun Opcional",57,IF(Atletas!J275="Gunshu Adulto",58,IF(Atletas!J275="Qiangshu Adulto",59,IF(Atletas!J275="Nangun Adulto",60,IF(Atletas!J275="Taijishan Grupo B",61,IF(Atletas!J275="Taijishan Grupo A",62,""))))))))))))))))))))))</f>
        <v/>
      </c>
      <c r="BM284" s="50" t="str">
        <f>IF(Atletas!K275="","",IF(Atletas!B275="Feminino",100,IF(Atletas!B275="Masculino",200,""))+(IF(Atletas!K275="Equipe 1 Grupo B",1,IF(Atletas!K275="Equipe 2 Grupo B",2,IF(Atletas!K275="Equipe 1 Grupo A",3,IF(Atletas!K275="Equipe 2 Grupo A",4,IF(Atletas!K275="Equipe 1 Adulto",5,IF(Atletas!K275="Equipe 2 Adulto",6,""))))))))</f>
        <v/>
      </c>
      <c r="BR284" s="50" t="str">
        <f>IF(Atletas!L275="","",IF(Atletas!X275&lt;&gt;"",10000,0)+(IF(Atletas!B275="Feminino",1000,IF(Atletas!B275="Masculino",2000,""))+IF(Atletas!L275="Choylayfut A",1,IF(Atletas!L275="Hunggar A",2,IF(Atletas!L275="Wuzuquan A",3,IF(Atletas!L275="Wingchun A",4,IF(Atletas!L275="Outra Mão de Sul A",5,IF(Atletas!L275="Choylayfut B",6,IF(Atletas!L275="Hunggar B",7,IF(Atletas!L275="Wuzuquan B",8,IF(Atletas!L275="Wingchun B",9,IF(Atletas!L275="Outra Mão de Sul B",10,IF(Atletas!L275="Choylayfut C",11,IF(Atletas!L275="Hunggar C",12,IF(Atletas!L275="Wuzuquan C",13,IF(Atletas!L275="Wingchun C",14,IF(Atletas!L275="Outra Mão de Sul C",15,IF(Atletas!L275="Choylayfut D",16,IF(Atletas!L275="Hunggar D",17,IF(Atletas!L275="Wuzuquan D",18,IF(Atletas!L275="Wingchun D",19,IF(Atletas!L275="Outra Mão de Sul D",20,IF(Atletas!L275="Choylayfut E",21,IF(Atletas!L275="Hunggar E",22,IF(Atletas!L275="Wuzuquan E",23,IF(Atletas!L275="Wingchun E",24,IF(Atletas!L275="Outra Mão de Sul E",25,IF(Atletas!L275="Choylayfut F",26,IF(Atletas!L275="Hunggar F",27,IF(Atletas!L275="Wuzuquan F",28,IF(Atletas!L275="Wingchun F",29,IF(Atletas!L275="Outra Mão de Sul F",30,IF(Atletas!L275="Dishuquan A",31,IF(Atletas!L275="Dishuquan B",32,IF(Atletas!L275="Dishuquan C",33,IF(Atletas!L275="Dishuquan D",34,IF(Atletas!L275="Dishuquan E",35,IF(Atletas!L275="Dishuquan F",36,""))))))))))))))))))))))))))))))))))))))</f>
        <v/>
      </c>
      <c r="BS284" s="50" t="str">
        <f>IF(Atletas!M275="","",IF(Atletas!X275&lt;&gt;"",10000,0)+(IF(Atletas!B275="Feminino",1000,IF(Atletas!B275="Masculino",2000,""))+(IF(Atletas!M275="Chaquan A",101,IF(Atletas!M275="Emeiquan A",102,IF(Atletas!M275="Fanziquan A",103,IF(Atletas!M275="Huaquan A",104,IF(Atletas!M275="Hongquan A",105,IF(Atletas!M275="Paoquan A",106,IF(Atletas!M275="Piguaquan A",107,IF(Atletas!M275="Shaolinquan A",108,IF(Atletas!M275="Tanglangquan A",109,IF(Atletas!M275="Yingzhaoquan A",110,IF(Atletas!M275="Tongbeiquan A",111,IF(Atletas!M275="Wudangquan A",112,IF(Atletas!M275="Outros Estilos A",113,IF(Atletas!M275="Chaquan B",114,IF(Atletas!M275="Emeiquan B",115,IF(Atletas!M275="Fanziquan B",116,IF(Atletas!M275="Huaquan B",117,IF(Atletas!M275="Hongquan B",118,IF(Atletas!M275="Paoquan B",119,IF(Atletas!M275="Piguaquan B",120,IF(Atletas!M275="Shaolinquan B",121,IF(Atletas!M275="Tanglangquan B",122,IF(Atletas!M275="Yingzhaoquan B",123,IF(Atletas!M275="Tongbeiquan B",124,IF(Atletas!M275="Wudangquan B",125,IF(Atletas!M275="Outros Estilos B",126,IF(Atletas!M275="Chaquan C",127,IF(Atletas!M275="Emeiquan C",128,IF(Atletas!M275="Fanziquan C",129,IF(Atletas!M275="Huaquan C",130,IF(Atletas!M275="Hongquan C",131,IF(Atletas!M275="Paoquan C",132,IF(Atletas!M275="Piguaquan C",133,IF(Atletas!M275="Shaolinquan C",134,IF(Atletas!M275="Tanglangquan C",135,IF(Atletas!M275="Yingzhaoquan C",136,IF(Atletas!M275="Tongbeiquan C",137,IF(Atletas!M275="Wudangquan C",138,IF(Atletas!M275="Outros Estilos C",139,0))))))))))))))))))))))))))))))))))))))))))</f>
        <v/>
      </c>
      <c r="BT284" s="50" t="str">
        <f>IF(Atletas!M275="","",IF(Atletas!X275&lt;&gt;"",10000,0)+(IF(Atletas!B275="Feminino",1000,IF(Atletas!B275="Masculino",2000,""))+(IF(Atletas!M275="Chaquan D",140,IF(Atletas!M275="Emeiquan D",141,IF(Atletas!M275="Fanziquan D",142,IF(Atletas!M275="Huaquan D",143,IF(Atletas!M275="Hongquan D",144,IF(Atletas!M275="Paoquan D",145,IF(Atletas!M275="Piguaquan D",146,IF(Atletas!M275="Shaolinquan D",147,IF(Atletas!M275="Tanglangquan D",148,IF(Atletas!M275="Yingzhaoquan D",149,IF(Atletas!M275="Tongbeiquan D",150,IF(Atletas!M275="Wudangquan D",151,IF(Atletas!M275="Outros Estilos D",152,IF(Atletas!M275="Chaquan E",153,IF(Atletas!M275="Emeiquan E",154,IF(Atletas!M275="Fanziquan E",155,IF(Atletas!M275="Huaquan E",156,IF(Atletas!M275="Hongquan E",157,IF(Atletas!M275="Paoquan E",158,IF(Atletas!M275="Piguaquan E",159,IF(Atletas!M275="Shaolinquan E",160,IF(Atletas!M275="Tanglangquan E",161,IF(Atletas!M275="Yingzhaoquan E",162,IF(Atletas!M275="Tongbeiquan E",163,IF(Atletas!M275="Wudangquan E",164,IF(Atletas!M275="Outros Estilos E",165,IF(Atletas!M275="Chaquan F",166,IF(Atletas!M275="Emeiquan F",167,IF(Atletas!M275="Fanziquan F",168,IF(Atletas!M275="Huaquan F",169,IF(Atletas!M275="Hongquan F",170,IF(Atletas!M275="Paoquan F",171,IF(Atletas!M275="Piguaquan F",172,IF(Atletas!M275="Shaolinquan F",173,IF(Atletas!M275="Tanglangquan F",174,IF(Atletas!M275="Yingzhaoquan F",175,IF(Atletas!M275="Tongbeiquan F",176,IF(Atletas!M275="Wudangquan F",177,IF(Atletas!M275="Outros Estilos F",178,0))))))))))))))))))))))))))))))))))))))))))</f>
        <v/>
      </c>
      <c r="BU284" s="50" t="str">
        <f>IF(Atletas!N275="","",IF(Atletas!X275&lt;&gt;"",10000,0)+(IF(Atletas!B275="Feminino",1000,IF(Atletas!B275="Masculino",2000,""))+(IF(Atletas!N275="Ditangquan A",201,IF(Atletas!N275="Houquan A",202,IF(Atletas!N275="Zuiquan A",203,IF(Atletas!N275="Ditangquan B",204,IF(Atletas!N275="Houquan B",205,IF(Atletas!N275="Zuiquan B",206,IF(Atletas!N275="Ditangquan C",207,IF(Atletas!N275="Houquan C",208,IF(Atletas!N275="Zuiquan C",209,IF(Atletas!N275="Ditangquan D",210,IF(Atletas!N275="Houquan D",211,IF(Atletas!N275="Zuiquan D",212,IF(Atletas!N275="Ditangquan E",213,IF(Atletas!N275="Houquan E",214,IF(Atletas!N275="Zuiquan E",215,IF(Atletas!N275="Ditangquan F",216,IF(Atletas!N275="Houquan F",217,IF(Atletas!N275="Zuiquan F",218,"")))))))))))))))))))))</f>
        <v/>
      </c>
      <c r="BV284" s="50" t="str">
        <f>IF(Atletas!O275="","",IF(Atletas!X275&lt;&gt;"",10000,0)+IF(Atletas!B275="Feminino",1000,IF(Atletas!B275="Masculino",2000,""))+IF(Atletas!O275="Yang A",301,IF(Atletas!O275="Chen A",302,IF(Atletas!O275="Sun A",303,IF(Atletas!O275="Wu A",304,IF(Atletas!O275="Wu-Hao A",305,IF(Atletas!O275="Outro Taijiquan A",306,IF(Atletas!O275="Yang B",307,IF(Atletas!O275="Chen B",308,IF(Atletas!O275="Sun B",309,IF(Atletas!O275="Wu B",310,IF(Atletas!O275="Wu-Hao B",311,IF(Atletas!O275="Outro Taijiquan B",312,IF(Atletas!O275="Yang C",313,IF(Atletas!O275="Chen C",314,IF(Atletas!O275="Sun C",315,IF(Atletas!O275="Wu C",316,IF(Atletas!O275="Wu-Hao C",317,IF(Atletas!O275="Outro Taijiquan C",318,IF(Atletas!O275="Yang D",319,IF(Atletas!O275="Chen D",320,IF(Atletas!O275="Sun D",321,IF(Atletas!O275="Wu D",322,IF(Atletas!O275="Wu-Hao D",323,IF(Atletas!O275="Outro Taijiquan D",324,IF(Atletas!O275="Yang E",325,IF(Atletas!O275="Chen E",326,IF(Atletas!O275="Sun E",327,IF(Atletas!O275="Wu E",328,IF(Atletas!O275="Wu-Hao E",329,IF(Atletas!O275="Outro Taijiquan E",330,IF(Atletas!O275="Yang F",331,IF(Atletas!O275="Chen F",332,IF(Atletas!O275="Sun F",333,IF(Atletas!O275="Wu F",334,IF(Atletas!O275="Wu-Hao F",335,IF(Atletas!O275="Outro Taijiquan F",336,"")))))))))))))))))))))))))))))))))))))</f>
        <v/>
      </c>
      <c r="BW284" s="50" t="str">
        <f>IF(Atletas!P275="","",IF(Atletas!X275&lt;&gt;"",10000,0)+IF(Atletas!B275="Feminino",1000,IF(Atletas!B275="Masculino",2000,""))+IF(OR(Atletas!P275="Yang 26 A",Atletas!P275="Yang 40 A"),401,IF(OR(Atletas!P275="Chen 25 A",Atletas!P275="Chen 36 A",Atletas!P275="Chen 56 A"),402,IF(Atletas!P275="Sun 73 A",403,IF(Atletas!P275="Wu 45 A",404,IF(Atletas!P275="Wu-Hao 46 A",405,IF(OR(Atletas!P275="Taijiquan 16 A",Atletas!P275="Taijiquan 24 A",Atletas!P275="Taijiquan 32 A",Atletas!P275="Taijiquan 42 A"),406,IF(OR(Atletas!P275="Yang 26 B",Atletas!P275="Yang 40 B"),407,IF(OR(Atletas!P275="Chen 25 B",Atletas!P275="Chen 36 B",Atletas!P275="Chen 56 B"),408,IF(Atletas!P275="Sun 73 B",409,IF(Atletas!P275="Wu 45 B",410,IF(Atletas!P275="Wu-Hao 46 B",411,IF(OR(Atletas!P275="Taijiquan 16 B",Atletas!P275="Taijiquan 24 B",Atletas!P275="Taijiquan 32 B",Atletas!P275="Taijiquan 42 B"),412,IF(OR(Atletas!P275="Yang 26 C",Atletas!P275="Yang 40 C"),413,IF(OR(Atletas!P275="Chen 25 C",Atletas!P275="Chen 36 C",Atletas!P275="Chen 56 C"),414,IF(Atletas!P275="Sun 73 C",415,IF(Atletas!P275="Wu 45 C",416,IF(Atletas!P275="Wu-Hao 46 C",417,IF(OR(Atletas!P275="Taijiquan 16 C",Atletas!P275="Taijiquan 24 C",Atletas!P275="Taijiquan 32 C",Atletas!P275="Taijiquan 42 C"),418,0)))))))))))))))))))</f>
        <v/>
      </c>
      <c r="BX284" s="50" t="str">
        <f>IF(Atletas!P275="","",IF(Atletas!X275&lt;&gt;"",10000,0)+IF(Atletas!B275="Feminino",1000,IF(Atletas!B275="Masculino",2000,""))+IF(OR(Atletas!P275="Yang 26 D",Atletas!P275="Yang 40 D"),419,IF(OR(Atletas!P275="Chen 25 D",Atletas!P275="Chen 36 D",Atletas!P275="Chen 56 D"),420,IF(Atletas!P275="Sun 73 D",421,IF(Atletas!P275="Wu 45 D",422,IF(Atletas!P275="Wu-Hao 46 D",423,IF(OR(Atletas!P275="Taijiquan 16 D",Atletas!P275="Taijiquan 24 D",Atletas!P275="Taijiquan 32 D",Atletas!P275="Taijiquan 42 D"),424,IF(OR(Atletas!P275="Yang 26 E",Atletas!P275="Yang 40 E"),425,IF(OR(Atletas!P275="Chen 25 E",Atletas!P275="Chen 36 E",Atletas!P275="Chen 56 E"),426,IF(Atletas!P275="Sun 73 E",427,IF(Atletas!P275="Wu 45 E",428,IF(Atletas!P275="Wu-Hao 46 E",429,IF(OR(Atletas!P275="Taijiquan 16 E",Atletas!P275="Taijiquan 24 E",Atletas!P275="Taijiquan 32 E",Atletas!P275="Taijiquan 42 E"),430,IF(OR(Atletas!P275="Yang 26 F",Atletas!P275="Yang 40 F"),431,IF(OR(Atletas!P275="Chen 25 F",Atletas!P275="Chen 36 F",Atletas!P275="Chen 56 F"),432,IF(Atletas!P275="Sun 73 F",433,IF(Atletas!P275="Wu 45 F",434,IF(Atletas!P275="Wu-Hao 46 F",435,IF(OR(Atletas!P275="Taijiquan 16 F",Atletas!P275="Taijiquan 24 F",Atletas!P275="Taijiquan 32 F",Atletas!P275="Taijiquan 42 F"),436,0)))))))))))))))))))</f>
        <v/>
      </c>
      <c r="BY284" s="50" t="str">
        <f>IF(Atletas!Q275="","",IF(Atletas!X275&lt;&gt;"",10000,0)+IF(Atletas!B275="Feminino",1000,IF(Atletas!B275="Masculino",2000,""))+IF(Atletas!Q275="Xingyiquan A",501,IF(Atletas!Q275="Baguazhang A",502,IF(Atletas!Q275="Outro Estilo Interno A",503,IF(Atletas!Q275="Xingyiquan B",504,IF(Atletas!Q275="Baguazhang B",505,IF(Atletas!Q275="Outro Estilo Interno B",506,IF(Atletas!Q275="Xingyiquan C",507,IF(Atletas!Q275="Baguazhang C",508,IF(Atletas!Q275="Outro Estilo Interno C",509,IF(Atletas!Q275="Xingyiquan D",510,IF(Atletas!Q275="Baguazhang D",511,IF(Atletas!Q275="Outro Estilo Interno D",512,IF(Atletas!Q275="Xingyiquan E",513,IF(Atletas!Q275="Baguazhang E",514,IF(Atletas!Q275="Outro Estilo Interno E",515,IF(Atletas!Q275="Xingyiquan F",516,IF(Atletas!Q275="Baguazhang F",517,IF(Atletas!Q275="Outro Estilo Interno F",518, "")))))))))))))))))))</f>
        <v/>
      </c>
      <c r="BZ284" s="50" t="str">
        <f>IF(Atletas!R275="","",IF(Atletas!X275&lt;&gt;"",10000,0)+IF(Atletas!B275="Feminino",1000,IF(Atletas!B275="Masculino",2000,""))+IF(Atletas!R275="Dao A",601,IF(Atletas!R275="Jian A",602,IF(Atletas!R275="Bishou A",603,IF(Atletas!R275="Shanzi A",604,IF(Atletas!R275="Outra Arma Curta A",605,IF(Atletas!R275="Dao B",606,IF(Atletas!R275="Jian B",607,IF(Atletas!R275="Bishou B",608,IF(Atletas!R275="Shanzi B",609,IF(Atletas!R275="Outra Arma Curta B",610,IF(Atletas!R275="Dao C",611,IF(Atletas!R275="Jian C",612,IF(Atletas!R275="Bishou C",613,IF(Atletas!R275="Shanzi C",614,IF(Atletas!R275="Outra Arma Curta C",615,IF(Atletas!R275="Dao D",616,IF(Atletas!R275="Jian D",617,IF(Atletas!R275="Bishou D",618,IF(Atletas!R275="Shanzi D",619,IF(Atletas!R275="Outra Arma Curta D",620,IF(Atletas!R275="Dao E",621,IF(Atletas!R275="Jian E",622,IF(Atletas!R275="Bishou E",623,IF(Atletas!R275="Shanzi E",624,IF(Atletas!R275="Outra Arma Curta E",625,IF(Atletas!R275="Dao F",626,IF(Atletas!R275="Jian F",627,IF(Atletas!R275="Bishou F",628,IF(Atletas!R275="Shanzi F",629,IF(Atletas!R275="Outra Arma Curta F",630, "")))))))))))))))))))))))))))))))</f>
        <v/>
      </c>
      <c r="CA284" s="50" t="str">
        <f>IF(Atletas!S275="","",IF(Atletas!X275&lt;&gt;"",10000,0)+IF(Atletas!B275="Feminino",1000,IF(Atletas!B275="Masculino",2000,""))+IF(Atletas!S275="Gun A",701,IF(Atletas!S275="Qiang A",702,IF(Atletas!S275="Pudao / Guandao A",703,IF(Atletas!S275="Outra Arma Longa A",704,IF(Atletas!S275="Gun B",705,IF(Atletas!S275="Qiang B",706,IF(Atletas!S275="Pudao / Guandao B",707,IF(Atletas!S275="Outra Arma Longa B",708,IF(Atletas!S275="Gun C",709,IF(Atletas!S275="Qiang C",710,IF(Atletas!S275="Pudao / Guandao C",711,IF(Atletas!S275="Outra Arma Longa C",712,IF(Atletas!S275="Gun D",713,IF(Atletas!S275="Qiang D",714,IF(Atletas!S275="Pudao / Guandao D",715,IF(Atletas!S275="Outra Arma Longa D",716,IF(Atletas!S275="Gun E",717,IF(Atletas!S275="Qiang E",718,IF(Atletas!S275="Pudao / Guandao E",719,IF(Atletas!S275="Outra Arma Longa E",720,IF(Atletas!S275="Gun F",721,IF(Atletas!S275="Qiang F",722,IF(Atletas!S275="Pudao / Guandao F",723,IF(Atletas!S275="Outra Arma Longa F",724,"")))))))))))))))))))))))))</f>
        <v/>
      </c>
      <c r="CB284" s="50" t="str">
        <f>IF(Atletas!T275="","",IF(Atletas!X275&lt;&gt;"",10000,0)+IF(Atletas!B275="Feminino",1000,IF(Atletas!B275="Masculino",2000,""))+IF(Atletas!T275="Outra Arma Dupla A",801,IF(Atletas!T275="Arma Maleável A",802,IF(Atletas!T275="Outra Arma Dupla B",803,IF(Atletas!T275="Arma Maleável B",804,IF(Atletas!T275="Outra Arma Dupla C",805,IF(Atletas!T275="Arma Maleável C",806,IF(Atletas!T275="Outra Arma Dupla D",807,IF(Atletas!T275="Arma Maleável D",808,IF(Atletas!T275="Outra Arma Dupla E",809,IF(Atletas!T275="Arma Maleável E",810,IF(Atletas!T275="Outra Arma Dupla F",811,IF(Atletas!T275="Arma Maleável F",812,IF(Atletas!T275="Shuangdao A",813,IF(Atletas!T275="Shuangdao B",814,IF(Atletas!T275="Shuangdao C",815,IF(Atletas!T275="Shuangdao D",816,IF(Atletas!T275="Shuangdao E",817,IF(Atletas!T275="Shuangdao F",818,"")))))))))))))))))))</f>
        <v/>
      </c>
      <c r="CC284" s="50" t="str">
        <f>IF(Atletas!U275="","",IF(Atletas!X275&lt;&gt;"",10000,0)+IF(Atletas!B275="Feminino",1000,IF(Atletas!B275="Masculino",2000,""))+IF(OR(Atletas!U275="Taijijian Yang A",Atletas!U275="Taijijian Yang Standard A"),901,IF(OR(Atletas!U275="Taijijian Chen A", Atletas!U275="Taijijian Chen Standard A"),902,IF(Atletas!U275="Taijijian Sun A",903,IF(Atletas!U275="Taijijian Wu A",904,IF(Atletas!U275="Taijijian Wu-Hao A",905,IF(OR(Atletas!U275="Taijijian 32 A",Atletas!U275="Taijijian 42 A"),906,IF(OR(Atletas!U275="Taijijian Yang B",Atletas!U275="Taijijian Yang Standard B"),907,IF(OR(Atletas!U275="Taijijian Chen B", Atletas!U275="Taijijian Chen Standard B"),908,IF(Atletas!U275="Taijijian Sun B",909,IF(Atletas!U275="Taijijian Wu B",910,IF(Atletas!U275="Taijijian Wu-Hao B",911,IF(OR(Atletas!U275="Taijijian 32 B",Atletas!U275="Taijijian 42 B"),912,IF(OR(Atletas!U275="Taijijian Yang C",Atletas!U275="Taijijian Yang Standard C"),913,IF(OR(Atletas!U275="Taijijian Chen C", Atletas!U275="Taijijian Chen Standard C"),914,IF(Atletas!U275="Taijijian Sun C",915,IF(Atletas!U275="Taijijian Wu C",916,IF(Atletas!U275="Taijijian Wu-Hao C",917,IF(OR(Atletas!U275="Taijijian 32 C",Atletas!U275="Taijijian 42 C"),918,IF(OR(Atletas!U275="Taijijian Yang D",Atletas!U275="Taijijian Yang Standard D"),919,IF(OR(Atletas!U275="Taijijian Chen D", Atletas!U275="Taijijian Chen Standard D"),920,IF(Atletas!U275="Taijijian Sun D",921,IF(Atletas!U275="Taijijian Wu D",922,IF(Atletas!U275="Taijijian Wu-Hao D",923,IF(OR(Atletas!U275="Taijijian 32 D",Atletas!U275="Taijijian 42 D"),924,IF(OR(Atletas!U275="Taijijian Yang E",Atletas!U275="Taijijian Yang Standard E"),925,IF(OR(Atletas!U275="Taijijian Chen E", Atletas!U275="Taijijian Chen Standard E"),926,IF(Atletas!U275="Taijijian Sun E",927,IF(Atletas!U275="Taijijian Wu E",928,IF(Atletas!U275="Taijijian Wu-Hao E",929,IF(OR(Atletas!U275="Taijijian 32 E",Atletas!U275="Taijijian 42 E"),930,IF(OR(Atletas!U275="Taijijian Yang F",Atletas!U275="Taijijian Yang Standard F"),931,IF(OR(Atletas!U275="Taijijian Chen F", Atletas!U275="Taijijian Chen Standard F"),932,IF(Atletas!U275="Taijijian Sun F",933,IF(Atletas!U275="Taijijian Wu F",934,IF(Atletas!U275="Taijijian Wu-Hao F",935,IF(OR(Atletas!U275="Taijijian 32 F",Atletas!U275="Taijijian 42 F"),936,"")))))))))))))))))))))))))))))))))))))</f>
        <v/>
      </c>
      <c r="CD284" s="50" t="str">
        <f>IF(Atletas!V275="","",IF(Atletas!X275&lt;&gt;"",10000,0)+IF(Atletas!B275="Feminino",1000,IF(Atletas!B275="Masculino",2000,""))+IF(Atletas!V275="Taijidao A",937,IF(Atletas!V275="TaijiShanzi A",938,IF(Atletas!V275="Taijiqiang A",939,IF(Atletas!V275="Bagua de Arma A",940,IF(Atletas!V275="Xingyi de Arma A",941,IF(Atletas!V275="Taijidao B",942,IF(Atletas!V275="TaijiShanzi B",943,IF(Atletas!V275="Taijiqiang B",944,IF(Atletas!V275="Bagua de Arma B",945,IF(Atletas!V275="Xingyi de Arma B",946,IF(Atletas!V275="Taijidao C",947,IF(Atletas!V275="TaijiShanzi C",948,IF(Atletas!V275="Taijiqiang C",949,IF(Atletas!V275="Bagua de Arma C",950,IF(Atletas!V275="Xingyi de Arma C",951,IF(Atletas!V275="Taijidao D",952,IF(Atletas!V275="TaijiShanzi D",953,IF(Atletas!V275="Taijiqiang D",954,IF(Atletas!V275="Bagua de Arma D",955,IF(Atletas!V275="Xingyi de Arma D",956,IF(Atletas!V275="Taijidao E",957,IF(Atletas!V275="TaijiShanzi E",958,IF(Atletas!V275="Taijiqiang E",959,IF(Atletas!V275="Bagua de Arma E",960,IF(Atletas!V275="Xingyi de Arma E",961,IF(Atletas!V275="Taijidao F",962,IF(Atletas!V275="TaijiShanzi F",963,IF(Atletas!V275="Taijiqiang F",964,IF(Atletas!V275="Bagua de Arma F",965,IF(Atletas!V275="Xingyi de Arma F",966,"")))))))))))))))))))))))))))))))</f>
        <v/>
      </c>
      <c r="CE284" s="66" t="str">
        <f>IF(CF284&lt;&gt;"","Outra Arma Dupla A","")</f>
        <v/>
      </c>
      <c r="CF284" s="66" t="str">
        <f>IF(COUNTIF(BR:CD,1801)&gt;0,COUNTIF(BR:CD,1801),"")</f>
        <v/>
      </c>
      <c r="CG284" s="66" t="str">
        <f>IF(CH284&lt;&gt;"","Outra Arma Dupla A","")</f>
        <v/>
      </c>
      <c r="CH284" s="66" t="str">
        <f>IF(COUNTIF(BT:CF,2801)&gt;0,COUNTIF(BT:CF,2801),"")</f>
        <v/>
      </c>
      <c r="CI284" s="66" t="str">
        <f>IF(CJ285&lt;&gt;"","Outra Arma Dupla E","")</f>
        <v/>
      </c>
      <c r="CJ284" s="66" t="str">
        <f>IF(COUNTIF(BR:CD,11808)&gt;0,COUNTIF(BR:CD,11808),"")</f>
        <v/>
      </c>
      <c r="CK284" s="66" t="str">
        <f>IF(CL284&lt;&gt;"","Outra Arma Maleável D","")</f>
        <v/>
      </c>
      <c r="CL284" s="66" t="str">
        <f>IF(COUNTIF(BR:CD,12808)&gt;0,COUNTIF(BR:CD,12808),"")</f>
        <v/>
      </c>
      <c r="CM284" s="50" t="str">
        <f xml:space="preserve"> IF(Atletas!W275="","",IF(Atletas!W275="Duilian de Mãos BC - Equipe 1",1,IF(Atletas!W275="Duilian de Mãos BC - Equipe 2",2,IF(Atletas!W275="Duilian de Armas BC - Equipe 1",3,IF(Atletas!W275="Duilian de Armas BC - Equipe 2",4,IF(Atletas!W275="Duilian de Mãos DE - Equipe 1",5,IF(Atletas!W275="Duilian de Mãos DE - Equipe 2",6,IF(Atletas!W275="Duilian de Armas DE - Equipe 1",7,IF(Atletas!W275="Duilian de Armas DE - Equipe 2",8,IF(Atletas!W275="Duilian de Tuishou - Equipe 1",9,IF(Atletas!W275="Duilian de Tuishou - Equipe 2",10,IF(Atletas!W275="Grupo Externo ABC - Equipe 1",11,IF(Atletas!W275="Grupo Externo ABC - Equipe 2",12,IF(Atletas!W275="Grupo Interno ABC - Equipe 1",13,IF(Atletas!W275="Grupo Interno ABC - Equipe 2",14,IF(Atletas!W275="Grupo Externo DEF - Equipe 1",15,IF(Atletas!W275="Grupo Externo DEF - Equipe 2",16,IF(Atletas!W275="Grupo Interno DEF - Equipe 1",17,IF(Atletas!W275="Grupo Interno DEF - Equipe 2",18,"")))))))))))))))))))</f>
        <v/>
      </c>
    </row>
    <row r="285" spans="2:91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 t="str">
        <f t="array" ref="Z285">IFERROR(INDEX(CE$7:CE$348,SMALL(IF(CE$7:CE$348&lt;&gt;"",ROW(CE$7:CE$348)-ROW(CE$7)+1),ROWS(CE$7:CE284))),"")</f>
        <v/>
      </c>
      <c r="AA285" s="3" t="str">
        <f t="array" ref="AA285">IFERROR(INDEX(CF$7:CF$348,SMALL(IF(CF$7:CF$348&lt;&gt;"",ROW(CF$7:CF$348)-ROW(CF$7)+1),ROWS(CF$7:CF284))),"")</f>
        <v/>
      </c>
      <c r="AB285" s="3" t="str">
        <f t="array" ref="AB285">IFERROR(INDEX(CG$7:CG$348,SMALL(IF(CG$7:CG$348&lt;&gt;"",ROW(CG$7:CG$348)-ROW(CG$7)+1),ROWS(CG$7:CG284))),"")</f>
        <v/>
      </c>
      <c r="AC285" s="3" t="str">
        <f t="array" ref="AC285">IFERROR(INDEX(CH$7:CH$348,SMALL(IF(CH$7:CH$348&lt;&gt;"",ROW(CH$7:CH$348)-ROW(CH$7)+1),ROWS(CH$7:CH284))),"")</f>
        <v/>
      </c>
      <c r="AD285" s="3" t="str">
        <f t="array" ref="AD285">IFERROR(INDEX(CI$7:CI$377,SMALL(IF(CI$7:CI$377&lt;&gt;"",ROW(CI$7:CI$377)-ROW(CI$7)+1),ROWS(CI$7:CI283))),"")</f>
        <v/>
      </c>
      <c r="AE285" s="3" t="str">
        <f t="array" ref="AE285">IFERROR(INDEX(CJ$7:CJ$378,SMALL(IF(CJ$7:CJ$378&lt;&gt;"",ROW(CJ$7:CJ$378)-ROW(CJ$7)+1),ROWS(CJ$7:CJ284))),"")</f>
        <v/>
      </c>
      <c r="AF285" s="3" t="str">
        <f t="array" ref="AF285">IFERROR(INDEX(CK$7:CK$378,SMALL(IF(CK$7:CK$378&lt;&gt;"",ROW(CK$7:CK$378)-ROW(CK$7)+1),ROWS(CK$7:CK284))),"")</f>
        <v/>
      </c>
      <c r="AG285" s="3" t="str">
        <f t="array" ref="AG285">IFERROR(INDEX(CL$7:CL$378,SMALL(IF(CL$7:CL$378&lt;&gt;"",ROW(CL$7:CL$378)-ROW(CL$7)+1),ROWS(CL$7:CL284))),"")</f>
        <v/>
      </c>
      <c r="AH285" s="3"/>
      <c r="AI285" s="3"/>
      <c r="AJ285" s="3"/>
      <c r="AK285" s="3"/>
      <c r="AL285" s="3"/>
      <c r="AM285" s="3"/>
      <c r="AN285" s="52" t="str">
        <f>IF(Atletas!D276="","",IF(Atletas!B276="Feminino",100,IF(Atletas!B276="Masculino",200,""))+(IF(Atletas!D276="Kids 30kg",1,IF(Atletas!D276="Kids 32kg",2, IF(Atletas!D276="Kids 34kg",3,IF(Atletas!D276="Kids 36kg",4,IF(Atletas!D276="Kids 39kg",5,IF(Atletas!D276="Kids 42kg",6,IF(Atletas!D276="Kids 45kg",7, IF(Atletas!D276="Infantil 39kg",8,IF(Atletas!D276="Infantil 42kg",9,IF(Atletas!D276="Infantil 45kg",10,IF(Atletas!D276="Infantil 48kg",11,IF(Atletas!D276="Infantil 52kg",12,IF(Atletas!D276="Infantil 56kg",13,IF(Atletas!D276="Infantil 60kg",14,IF(Atletas!D276="Juvenil 48kg",15,IF(Atletas!D276="Juvenil 52kg",16,IF(Atletas!D276="Juvenil 56kg",17,IF(Atletas!D276="Juvenil 60kg",18,IF(Atletas!D276="Juvenil 65kg",19,IF(Atletas!D276="Juvenil 70kg",20,IF(Atletas!D276="Juvenil 75kg",21,IF(Atletas!D276="Juvenil 80kg",22, IF(Atletas!D276="Juvenil 85kg",23,IF(Atletas!D276="Adulto 48kg",24,IF(Atletas!D276="Adulto 52kg",25,IF(Atletas!D276="Adulto 56kg",26,IF(Atletas!D276="Adulto 60kg",27,IF(Atletas!D276="Adulto 65kg",28,IF(Atletas!D276="Adulto 70kg",29,IF(Atletas!D276="Adulto 75kg",30,IF(Atletas!D276="Adulto 80kg",31,IF(Atletas!D276="Adulto 85kg",32,IF(Atletas!D276="Adulto 90kg",33,IF(Atletas!D276="Adulto 100kg",34, IF(Atletas!D276="Adulto +100kg",35,"")))))))))))))))))))))))))))))))))))))</f>
        <v/>
      </c>
      <c r="AS285" s="6" t="str">
        <f>IF(Atletas!E276="","",IF(Atletas!B276="Feminino",100,IF(Atletas!B276="Masculino",200,""))+(IF(Atletas!E276="Juvenil 44kg",1,IF(Atletas!E276="Juvenil 48kg",2,IF(Atletas!E276="Juvenil 52kg",3,IF(Atletas!E276="Juvenil 56kg",4,IF(Atletas!E276="Juvenil 60kg",5,IF(Atletas!E276="Juvenil 65kg",6,IF(Atletas!E276="Juvenil 70kg",7,IF(Atletas!E276="Juvenil 75kg",8,IF(Atletas!E276="Juvenil 82kg",9,IF(Atletas!E276="Juvenil 90kg",10,IF(Atletas!E276="Juvenil 100kg",11,IF(Atletas!E276="Adulto 48kg",12,IF(Atletas!E276="Adulto 52kg",13,IF(Atletas!E276="Adulto 56kg",14,IF(Atletas!E276="Adulto 60kg",15,IF(Atletas!E276="Adulto 65kg",16,IF(Atletas!E276="Adulto 70kg",17,IF(Atletas!E276="Adulto 75kg",18,IF(Atletas!E276="Adulto 82kg",19,IF(Atletas!E276="Adulto 90kg",20,IF(Atletas!E276="Adulto 100kg",21,IF(Atletas!E276="Adulto +100kg",22,""))))))))))))))))))))))))</f>
        <v/>
      </c>
      <c r="AX285" s="6" t="str">
        <f>IF(Atletas!F276="","",IF(Atletas!B276="Feminino",100,IF(Atletas!B276="Masculino",200,""))+(IF(Atletas!F276="Adulto 48kg",1,IF(Atletas!F276="Adulto 56kg",2,IF(Atletas!F276="Adulto 65kg",3,IF(Atletas!F276="Adulto 75kg",4,IF(Atletas!F276="Adulto +75kg",5,IF(Atletas!F276="Adulto 52kg",6,IF(Atletas!F276="Adulto 60kg",7,IF(Atletas!F276="Adulto 70kg",8,IF(Atletas!F276="Adulto 80kg",9,IF(Atletas!F276="Adulto 90kg",10,IF(Atletas!F276="Adulto +90kg",11,"")))))))))))))</f>
        <v/>
      </c>
      <c r="BC285" s="6" t="str">
        <f>IF(Atletas!G276="","",IF(Atletas!B276="Feminino",10,IF(Atletas!B276="Masculino",20,""))+(IF(Atletas!G276="Baduanjin A",1,IF(Atletas!G276="Baduanjin B",2))))</f>
        <v/>
      </c>
      <c r="BF285" s="52" t="str">
        <f>IF(Atletas!H276="","",IF(Atletas!B276="Feminino",100,IF(Atletas!B276="Masculino",200,""))+(IF(Atletas!H276="Changquan Mirim",1,IF(Atletas!H276="Nanquan Mirim",2,IF(Atletas!H276="Taijiquan Mirim",3,IF(Atletas!H276="Changquan Grupo C",4,IF(Atletas!H276="Nanquan Grupo C",5,IF(Atletas!H276="Taijiquan Grupo C",6,IF(Atletas!H276="Changquan Grupo B",7,IF(Atletas!H276="Nanquan Grupo B",8,IF(Atletas!H276="Taijiquan Grupo B",9,IF(Atletas!H276="Changquan Grupo A",10,IF(Atletas!H276="Nanquan Grupo A",11,IF(Atletas!H276="Taijiquan Grupo A",12,IF(Atletas!H276="Changquan Opcional",13,IF(Atletas!H276="Nanquan Opcional",14,IF(Atletas!H276="Taijiquan Opcional",15,IF(Atletas!H276="Changquan Adulto",16,IF(Atletas!H276="Nanquan Adulto",17,IF(Atletas!H276="Taijiquan Adulto",18,""))))))))))))))))))))</f>
        <v/>
      </c>
      <c r="BG285" s="52" t="str">
        <f>IF(Atletas!I276="","",IF(Atletas!B276="Feminino",100,IF(Atletas!B276="Masculino",200,""))+(IF(Atletas!I276="Daoshu Mirim",19,IF(Atletas!I276="Jianshu Mirim",20,IF(Atletas!I276="Nandao Mirim",21,IF(Atletas!I276="Taijijian Mirim",22,IF(Atletas!I276="Daoshu Grupo C",23,IF(Atletas!I276="Jianshu Grupo C",24,IF(Atletas!I276="Nandao Grupo C",25,IF(Atletas!I276="Taijijian Grupo C",26,IF(Atletas!I276="Daoshu Grupo B",27,IF(Atletas!I276="Jianshu Grupo B",28,IF(Atletas!I276="Nandao Grupo B",29,IF(Atletas!I276="Taijijian Grupo B",30,IF(Atletas!I276="Daoshu Grupo A",31,IF(Atletas!I276="Jianshu Grupo A",32,IF(Atletas!I276="Nandao Grupo A",33,IF(Atletas!I276="Taijijian Grupo A",34,IF(Atletas!I276="Daoshu Opcional",35,IF(Atletas!I276="Jianshu Opcional",36,IF(Atletas!I276="Nandao Opcional",37,IF(Atletas!I276="Taijijian Opcional",38,IF(Atletas!I276="Daoshu Adulto",39,IF(Atletas!I276="Jianshu Adulto",40,IF(Atletas!I276="Nandao Adulto",41,IF(Atletas!I276="Taijijian Adulto",42,""))))))))))))))))))))))))))</f>
        <v/>
      </c>
      <c r="BH285" s="52" t="str">
        <f>IF(Atletas!J276="","",IF(Atletas!B276="Feminino",100,IF(Atletas!B276="Masculino",200,""))+(IF(Atletas!J276="Gunshu Mirim",43,IF(Atletas!J276="Qiangshu Mirim",44,IF(Atletas!J276="Nangun Mirim",45,IF(Atletas!J276="Gunshu Grupo C",46,IF(Atletas!J276="Qiangshu Grupo C",47,IF(Atletas!J276="Nangun Grupo C",48,IF(Atletas!J276="Gunshu Grupo B",49,IF(Atletas!J276="Qiangshu Grupo B",50,IF(Atletas!J276="Nangun Grupo B",51,IF(Atletas!J276="Gunshu Grupo A",52,IF(Atletas!J276="Qiangshu Grupo A",53,IF(Atletas!J276="Nangun Grupo A",54,IF(Atletas!J276="Gunshu Opcional",55,IF(Atletas!J276="Qiangshu Opcional",56,IF(Atletas!J276="Nangun Opcional",57,IF(Atletas!J276="Gunshu Adulto",58,IF(Atletas!J276="Qiangshu Adulto",59,IF(Atletas!J276="Nangun Adulto",60,IF(Atletas!J276="Taijishan Grupo B",61,IF(Atletas!J276="Taijishan Grupo A",62,""))))))))))))))))))))))</f>
        <v/>
      </c>
      <c r="BM285" s="50" t="str">
        <f>IF(Atletas!K276="","",IF(Atletas!B276="Feminino",100,IF(Atletas!B276="Masculino",200,""))+(IF(Atletas!K276="Equipe 1 Grupo B",1,IF(Atletas!K276="Equipe 2 Grupo B",2,IF(Atletas!K276="Equipe 1 Grupo A",3,IF(Atletas!K276="Equipe 2 Grupo A",4,IF(Atletas!K276="Equipe 1 Adulto",5,IF(Atletas!K276="Equipe 2 Adulto",6,""))))))))</f>
        <v/>
      </c>
      <c r="BR285" s="50" t="str">
        <f>IF(Atletas!L276="","",IF(Atletas!X276&lt;&gt;"",10000,0)+(IF(Atletas!B276="Feminino",1000,IF(Atletas!B276="Masculino",2000,""))+IF(Atletas!L276="Choylayfut A",1,IF(Atletas!L276="Hunggar A",2,IF(Atletas!L276="Wuzuquan A",3,IF(Atletas!L276="Wingchun A",4,IF(Atletas!L276="Outra Mão de Sul A",5,IF(Atletas!L276="Choylayfut B",6,IF(Atletas!L276="Hunggar B",7,IF(Atletas!L276="Wuzuquan B",8,IF(Atletas!L276="Wingchun B",9,IF(Atletas!L276="Outra Mão de Sul B",10,IF(Atletas!L276="Choylayfut C",11,IF(Atletas!L276="Hunggar C",12,IF(Atletas!L276="Wuzuquan C",13,IF(Atletas!L276="Wingchun C",14,IF(Atletas!L276="Outra Mão de Sul C",15,IF(Atletas!L276="Choylayfut D",16,IF(Atletas!L276="Hunggar D",17,IF(Atletas!L276="Wuzuquan D",18,IF(Atletas!L276="Wingchun D",19,IF(Atletas!L276="Outra Mão de Sul D",20,IF(Atletas!L276="Choylayfut E",21,IF(Atletas!L276="Hunggar E",22,IF(Atletas!L276="Wuzuquan E",23,IF(Atletas!L276="Wingchun E",24,IF(Atletas!L276="Outra Mão de Sul E",25,IF(Atletas!L276="Choylayfut F",26,IF(Atletas!L276="Hunggar F",27,IF(Atletas!L276="Wuzuquan F",28,IF(Atletas!L276="Wingchun F",29,IF(Atletas!L276="Outra Mão de Sul F",30,IF(Atletas!L276="Dishuquan A",31,IF(Atletas!L276="Dishuquan B",32,IF(Atletas!L276="Dishuquan C",33,IF(Atletas!L276="Dishuquan D",34,IF(Atletas!L276="Dishuquan E",35,IF(Atletas!L276="Dishuquan F",36,""))))))))))))))))))))))))))))))))))))))</f>
        <v/>
      </c>
      <c r="BS285" s="50" t="str">
        <f>IF(Atletas!M276="","",IF(Atletas!X276&lt;&gt;"",10000,0)+(IF(Atletas!B276="Feminino",1000,IF(Atletas!B276="Masculino",2000,""))+(IF(Atletas!M276="Chaquan A",101,IF(Atletas!M276="Emeiquan A",102,IF(Atletas!M276="Fanziquan A",103,IF(Atletas!M276="Huaquan A",104,IF(Atletas!M276="Hongquan A",105,IF(Atletas!M276="Paoquan A",106,IF(Atletas!M276="Piguaquan A",107,IF(Atletas!M276="Shaolinquan A",108,IF(Atletas!M276="Tanglangquan A",109,IF(Atletas!M276="Yingzhaoquan A",110,IF(Atletas!M276="Tongbeiquan A",111,IF(Atletas!M276="Wudangquan A",112,IF(Atletas!M276="Outros Estilos A",113,IF(Atletas!M276="Chaquan B",114,IF(Atletas!M276="Emeiquan B",115,IF(Atletas!M276="Fanziquan B",116,IF(Atletas!M276="Huaquan B",117,IF(Atletas!M276="Hongquan B",118,IF(Atletas!M276="Paoquan B",119,IF(Atletas!M276="Piguaquan B",120,IF(Atletas!M276="Shaolinquan B",121,IF(Atletas!M276="Tanglangquan B",122,IF(Atletas!M276="Yingzhaoquan B",123,IF(Atletas!M276="Tongbeiquan B",124,IF(Atletas!M276="Wudangquan B",125,IF(Atletas!M276="Outros Estilos B",126,IF(Atletas!M276="Chaquan C",127,IF(Atletas!M276="Emeiquan C",128,IF(Atletas!M276="Fanziquan C",129,IF(Atletas!M276="Huaquan C",130,IF(Atletas!M276="Hongquan C",131,IF(Atletas!M276="Paoquan C",132,IF(Atletas!M276="Piguaquan C",133,IF(Atletas!M276="Shaolinquan C",134,IF(Atletas!M276="Tanglangquan C",135,IF(Atletas!M276="Yingzhaoquan C",136,IF(Atletas!M276="Tongbeiquan C",137,IF(Atletas!M276="Wudangquan C",138,IF(Atletas!M276="Outros Estilos C",139,0))))))))))))))))))))))))))))))))))))))))))</f>
        <v/>
      </c>
      <c r="BT285" s="50" t="str">
        <f>IF(Atletas!M276="","",IF(Atletas!X276&lt;&gt;"",10000,0)+(IF(Atletas!B276="Feminino",1000,IF(Atletas!B276="Masculino",2000,""))+(IF(Atletas!M276="Chaquan D",140,IF(Atletas!M276="Emeiquan D",141,IF(Atletas!M276="Fanziquan D",142,IF(Atletas!M276="Huaquan D",143,IF(Atletas!M276="Hongquan D",144,IF(Atletas!M276="Paoquan D",145,IF(Atletas!M276="Piguaquan D",146,IF(Atletas!M276="Shaolinquan D",147,IF(Atletas!M276="Tanglangquan D",148,IF(Atletas!M276="Yingzhaoquan D",149,IF(Atletas!M276="Tongbeiquan D",150,IF(Atletas!M276="Wudangquan D",151,IF(Atletas!M276="Outros Estilos D",152,IF(Atletas!M276="Chaquan E",153,IF(Atletas!M276="Emeiquan E",154,IF(Atletas!M276="Fanziquan E",155,IF(Atletas!M276="Huaquan E",156,IF(Atletas!M276="Hongquan E",157,IF(Atletas!M276="Paoquan E",158,IF(Atletas!M276="Piguaquan E",159,IF(Atletas!M276="Shaolinquan E",160,IF(Atletas!M276="Tanglangquan E",161,IF(Atletas!M276="Yingzhaoquan E",162,IF(Atletas!M276="Tongbeiquan E",163,IF(Atletas!M276="Wudangquan E",164,IF(Atletas!M276="Outros Estilos E",165,IF(Atletas!M276="Chaquan F",166,IF(Atletas!M276="Emeiquan F",167,IF(Atletas!M276="Fanziquan F",168,IF(Atletas!M276="Huaquan F",169,IF(Atletas!M276="Hongquan F",170,IF(Atletas!M276="Paoquan F",171,IF(Atletas!M276="Piguaquan F",172,IF(Atletas!M276="Shaolinquan F",173,IF(Atletas!M276="Tanglangquan F",174,IF(Atletas!M276="Yingzhaoquan F",175,IF(Atletas!M276="Tongbeiquan F",176,IF(Atletas!M276="Wudangquan F",177,IF(Atletas!M276="Outros Estilos F",178,0))))))))))))))))))))))))))))))))))))))))))</f>
        <v/>
      </c>
      <c r="BU285" s="50" t="str">
        <f>IF(Atletas!N276="","",IF(Atletas!X276&lt;&gt;"",10000,0)+(IF(Atletas!B276="Feminino",1000,IF(Atletas!B276="Masculino",2000,""))+(IF(Atletas!N276="Ditangquan A",201,IF(Atletas!N276="Houquan A",202,IF(Atletas!N276="Zuiquan A",203,IF(Atletas!N276="Ditangquan B",204,IF(Atletas!N276="Houquan B",205,IF(Atletas!N276="Zuiquan B",206,IF(Atletas!N276="Ditangquan C",207,IF(Atletas!N276="Houquan C",208,IF(Atletas!N276="Zuiquan C",209,IF(Atletas!N276="Ditangquan D",210,IF(Atletas!N276="Houquan D",211,IF(Atletas!N276="Zuiquan D",212,IF(Atletas!N276="Ditangquan E",213,IF(Atletas!N276="Houquan E",214,IF(Atletas!N276="Zuiquan E",215,IF(Atletas!N276="Ditangquan F",216,IF(Atletas!N276="Houquan F",217,IF(Atletas!N276="Zuiquan F",218,"")))))))))))))))))))))</f>
        <v/>
      </c>
      <c r="BV285" s="50" t="str">
        <f>IF(Atletas!O276="","",IF(Atletas!X276&lt;&gt;"",10000,0)+IF(Atletas!B276="Feminino",1000,IF(Atletas!B276="Masculino",2000,""))+IF(Atletas!O276="Yang A",301,IF(Atletas!O276="Chen A",302,IF(Atletas!O276="Sun A",303,IF(Atletas!O276="Wu A",304,IF(Atletas!O276="Wu-Hao A",305,IF(Atletas!O276="Outro Taijiquan A",306,IF(Atletas!O276="Yang B",307,IF(Atletas!O276="Chen B",308,IF(Atletas!O276="Sun B",309,IF(Atletas!O276="Wu B",310,IF(Atletas!O276="Wu-Hao B",311,IF(Atletas!O276="Outro Taijiquan B",312,IF(Atletas!O276="Yang C",313,IF(Atletas!O276="Chen C",314,IF(Atletas!O276="Sun C",315,IF(Atletas!O276="Wu C",316,IF(Atletas!O276="Wu-Hao C",317,IF(Atletas!O276="Outro Taijiquan C",318,IF(Atletas!O276="Yang D",319,IF(Atletas!O276="Chen D",320,IF(Atletas!O276="Sun D",321,IF(Atletas!O276="Wu D",322,IF(Atletas!O276="Wu-Hao D",323,IF(Atletas!O276="Outro Taijiquan D",324,IF(Atletas!O276="Yang E",325,IF(Atletas!O276="Chen E",326,IF(Atletas!O276="Sun E",327,IF(Atletas!O276="Wu E",328,IF(Atletas!O276="Wu-Hao E",329,IF(Atletas!O276="Outro Taijiquan E",330,IF(Atletas!O276="Yang F",331,IF(Atletas!O276="Chen F",332,IF(Atletas!O276="Sun F",333,IF(Atletas!O276="Wu F",334,IF(Atletas!O276="Wu-Hao F",335,IF(Atletas!O276="Outro Taijiquan F",336,"")))))))))))))))))))))))))))))))))))))</f>
        <v/>
      </c>
      <c r="BW285" s="50" t="str">
        <f>IF(Atletas!P276="","",IF(Atletas!X276&lt;&gt;"",10000,0)+IF(Atletas!B276="Feminino",1000,IF(Atletas!B276="Masculino",2000,""))+IF(OR(Atletas!P276="Yang 26 A",Atletas!P276="Yang 40 A"),401,IF(OR(Atletas!P276="Chen 25 A",Atletas!P276="Chen 36 A",Atletas!P276="Chen 56 A"),402,IF(Atletas!P276="Sun 73 A",403,IF(Atletas!P276="Wu 45 A",404,IF(Atletas!P276="Wu-Hao 46 A",405,IF(OR(Atletas!P276="Taijiquan 16 A",Atletas!P276="Taijiquan 24 A",Atletas!P276="Taijiquan 32 A",Atletas!P276="Taijiquan 42 A"),406,IF(OR(Atletas!P276="Yang 26 B",Atletas!P276="Yang 40 B"),407,IF(OR(Atletas!P276="Chen 25 B",Atletas!P276="Chen 36 B",Atletas!P276="Chen 56 B"),408,IF(Atletas!P276="Sun 73 B",409,IF(Atletas!P276="Wu 45 B",410,IF(Atletas!P276="Wu-Hao 46 B",411,IF(OR(Atletas!P276="Taijiquan 16 B",Atletas!P276="Taijiquan 24 B",Atletas!P276="Taijiquan 32 B",Atletas!P276="Taijiquan 42 B"),412,IF(OR(Atletas!P276="Yang 26 C",Atletas!P276="Yang 40 C"),413,IF(OR(Atletas!P276="Chen 25 C",Atletas!P276="Chen 36 C",Atletas!P276="Chen 56 C"),414,IF(Atletas!P276="Sun 73 C",415,IF(Atletas!P276="Wu 45 C",416,IF(Atletas!P276="Wu-Hao 46 C",417,IF(OR(Atletas!P276="Taijiquan 16 C",Atletas!P276="Taijiquan 24 C",Atletas!P276="Taijiquan 32 C",Atletas!P276="Taijiquan 42 C"),418,0)))))))))))))))))))</f>
        <v/>
      </c>
      <c r="BX285" s="50" t="str">
        <f>IF(Atletas!P276="","",IF(Atletas!X276&lt;&gt;"",10000,0)+IF(Atletas!B276="Feminino",1000,IF(Atletas!B276="Masculino",2000,""))+IF(OR(Atletas!P276="Yang 26 D",Atletas!P276="Yang 40 D"),419,IF(OR(Atletas!P276="Chen 25 D",Atletas!P276="Chen 36 D",Atletas!P276="Chen 56 D"),420,IF(Atletas!P276="Sun 73 D",421,IF(Atletas!P276="Wu 45 D",422,IF(Atletas!P276="Wu-Hao 46 D",423,IF(OR(Atletas!P276="Taijiquan 16 D",Atletas!P276="Taijiquan 24 D",Atletas!P276="Taijiquan 32 D",Atletas!P276="Taijiquan 42 D"),424,IF(OR(Atletas!P276="Yang 26 E",Atletas!P276="Yang 40 E"),425,IF(OR(Atletas!P276="Chen 25 E",Atletas!P276="Chen 36 E",Atletas!P276="Chen 56 E"),426,IF(Atletas!P276="Sun 73 E",427,IF(Atletas!P276="Wu 45 E",428,IF(Atletas!P276="Wu-Hao 46 E",429,IF(OR(Atletas!P276="Taijiquan 16 E",Atletas!P276="Taijiquan 24 E",Atletas!P276="Taijiquan 32 E",Atletas!P276="Taijiquan 42 E"),430,IF(OR(Atletas!P276="Yang 26 F",Atletas!P276="Yang 40 F"),431,IF(OR(Atletas!P276="Chen 25 F",Atletas!P276="Chen 36 F",Atletas!P276="Chen 56 F"),432,IF(Atletas!P276="Sun 73 F",433,IF(Atletas!P276="Wu 45 F",434,IF(Atletas!P276="Wu-Hao 46 F",435,IF(OR(Atletas!P276="Taijiquan 16 F",Atletas!P276="Taijiquan 24 F",Atletas!P276="Taijiquan 32 F",Atletas!P276="Taijiquan 42 F"),436,0)))))))))))))))))))</f>
        <v/>
      </c>
      <c r="BY285" s="50" t="str">
        <f>IF(Atletas!Q276="","",IF(Atletas!X276&lt;&gt;"",10000,0)+IF(Atletas!B276="Feminino",1000,IF(Atletas!B276="Masculino",2000,""))+IF(Atletas!Q276="Xingyiquan A",501,IF(Atletas!Q276="Baguazhang A",502,IF(Atletas!Q276="Outro Estilo Interno A",503,IF(Atletas!Q276="Xingyiquan B",504,IF(Atletas!Q276="Baguazhang B",505,IF(Atletas!Q276="Outro Estilo Interno B",506,IF(Atletas!Q276="Xingyiquan C",507,IF(Atletas!Q276="Baguazhang C",508,IF(Atletas!Q276="Outro Estilo Interno C",509,IF(Atletas!Q276="Xingyiquan D",510,IF(Atletas!Q276="Baguazhang D",511,IF(Atletas!Q276="Outro Estilo Interno D",512,IF(Atletas!Q276="Xingyiquan E",513,IF(Atletas!Q276="Baguazhang E",514,IF(Atletas!Q276="Outro Estilo Interno E",515,IF(Atletas!Q276="Xingyiquan F",516,IF(Atletas!Q276="Baguazhang F",517,IF(Atletas!Q276="Outro Estilo Interno F",518, "")))))))))))))))))))</f>
        <v/>
      </c>
      <c r="BZ285" s="50" t="str">
        <f>IF(Atletas!R276="","",IF(Atletas!X276&lt;&gt;"",10000,0)+IF(Atletas!B276="Feminino",1000,IF(Atletas!B276="Masculino",2000,""))+IF(Atletas!R276="Dao A",601,IF(Atletas!R276="Jian A",602,IF(Atletas!R276="Bishou A",603,IF(Atletas!R276="Shanzi A",604,IF(Atletas!R276="Outra Arma Curta A",605,IF(Atletas!R276="Dao B",606,IF(Atletas!R276="Jian B",607,IF(Atletas!R276="Bishou B",608,IF(Atletas!R276="Shanzi B",609,IF(Atletas!R276="Outra Arma Curta B",610,IF(Atletas!R276="Dao C",611,IF(Atletas!R276="Jian C",612,IF(Atletas!R276="Bishou C",613,IF(Atletas!R276="Shanzi C",614,IF(Atletas!R276="Outra Arma Curta C",615,IF(Atletas!R276="Dao D",616,IF(Atletas!R276="Jian D",617,IF(Atletas!R276="Bishou D",618,IF(Atletas!R276="Shanzi D",619,IF(Atletas!R276="Outra Arma Curta D",620,IF(Atletas!R276="Dao E",621,IF(Atletas!R276="Jian E",622,IF(Atletas!R276="Bishou E",623,IF(Atletas!R276="Shanzi E",624,IF(Atletas!R276="Outra Arma Curta E",625,IF(Atletas!R276="Dao F",626,IF(Atletas!R276="Jian F",627,IF(Atletas!R276="Bishou F",628,IF(Atletas!R276="Shanzi F",629,IF(Atletas!R276="Outra Arma Curta F",630, "")))))))))))))))))))))))))))))))</f>
        <v/>
      </c>
      <c r="CA285" s="50" t="str">
        <f>IF(Atletas!S276="","",IF(Atletas!X276&lt;&gt;"",10000,0)+IF(Atletas!B276="Feminino",1000,IF(Atletas!B276="Masculino",2000,""))+IF(Atletas!S276="Gun A",701,IF(Atletas!S276="Qiang A",702,IF(Atletas!S276="Pudao / Guandao A",703,IF(Atletas!S276="Outra Arma Longa A",704,IF(Atletas!S276="Gun B",705,IF(Atletas!S276="Qiang B",706,IF(Atletas!S276="Pudao / Guandao B",707,IF(Atletas!S276="Outra Arma Longa B",708,IF(Atletas!S276="Gun C",709,IF(Atletas!S276="Qiang C",710,IF(Atletas!S276="Pudao / Guandao C",711,IF(Atletas!S276="Outra Arma Longa C",712,IF(Atletas!S276="Gun D",713,IF(Atletas!S276="Qiang D",714,IF(Atletas!S276="Pudao / Guandao D",715,IF(Atletas!S276="Outra Arma Longa D",716,IF(Atletas!S276="Gun E",717,IF(Atletas!S276="Qiang E",718,IF(Atletas!S276="Pudao / Guandao E",719,IF(Atletas!S276="Outra Arma Longa E",720,IF(Atletas!S276="Gun F",721,IF(Atletas!S276="Qiang F",722,IF(Atletas!S276="Pudao / Guandao F",723,IF(Atletas!S276="Outra Arma Longa F",724,"")))))))))))))))))))))))))</f>
        <v/>
      </c>
      <c r="CB285" s="50" t="str">
        <f>IF(Atletas!T276="","",IF(Atletas!X276&lt;&gt;"",10000,0)+IF(Atletas!B276="Feminino",1000,IF(Atletas!B276="Masculino",2000,""))+IF(Atletas!T276="Outra Arma Dupla A",801,IF(Atletas!T276="Arma Maleável A",802,IF(Atletas!T276="Outra Arma Dupla B",803,IF(Atletas!T276="Arma Maleável B",804,IF(Atletas!T276="Outra Arma Dupla C",805,IF(Atletas!T276="Arma Maleável C",806,IF(Atletas!T276="Outra Arma Dupla D",807,IF(Atletas!T276="Arma Maleável D",808,IF(Atletas!T276="Outra Arma Dupla E",809,IF(Atletas!T276="Arma Maleável E",810,IF(Atletas!T276="Outra Arma Dupla F",811,IF(Atletas!T276="Arma Maleável F",812,IF(Atletas!T276="Shuangdao A",813,IF(Atletas!T276="Shuangdao B",814,IF(Atletas!T276="Shuangdao C",815,IF(Atletas!T276="Shuangdao D",816,IF(Atletas!T276="Shuangdao E",817,IF(Atletas!T276="Shuangdao F",818,"")))))))))))))))))))</f>
        <v/>
      </c>
      <c r="CC285" s="50" t="str">
        <f>IF(Atletas!U276="","",IF(Atletas!X276&lt;&gt;"",10000,0)+IF(Atletas!B276="Feminino",1000,IF(Atletas!B276="Masculino",2000,""))+IF(OR(Atletas!U276="Taijijian Yang A",Atletas!U276="Taijijian Yang Standard A"),901,IF(OR(Atletas!U276="Taijijian Chen A", Atletas!U276="Taijijian Chen Standard A"),902,IF(Atletas!U276="Taijijian Sun A",903,IF(Atletas!U276="Taijijian Wu A",904,IF(Atletas!U276="Taijijian Wu-Hao A",905,IF(OR(Atletas!U276="Taijijian 32 A",Atletas!U276="Taijijian 42 A"),906,IF(OR(Atletas!U276="Taijijian Yang B",Atletas!U276="Taijijian Yang Standard B"),907,IF(OR(Atletas!U276="Taijijian Chen B", Atletas!U276="Taijijian Chen Standard B"),908,IF(Atletas!U276="Taijijian Sun B",909,IF(Atletas!U276="Taijijian Wu B",910,IF(Atletas!U276="Taijijian Wu-Hao B",911,IF(OR(Atletas!U276="Taijijian 32 B",Atletas!U276="Taijijian 42 B"),912,IF(OR(Atletas!U276="Taijijian Yang C",Atletas!U276="Taijijian Yang Standard C"),913,IF(OR(Atletas!U276="Taijijian Chen C", Atletas!U276="Taijijian Chen Standard C"),914,IF(Atletas!U276="Taijijian Sun C",915,IF(Atletas!U276="Taijijian Wu C",916,IF(Atletas!U276="Taijijian Wu-Hao C",917,IF(OR(Atletas!U276="Taijijian 32 C",Atletas!U276="Taijijian 42 C"),918,IF(OR(Atletas!U276="Taijijian Yang D",Atletas!U276="Taijijian Yang Standard D"),919,IF(OR(Atletas!U276="Taijijian Chen D", Atletas!U276="Taijijian Chen Standard D"),920,IF(Atletas!U276="Taijijian Sun D",921,IF(Atletas!U276="Taijijian Wu D",922,IF(Atletas!U276="Taijijian Wu-Hao D",923,IF(OR(Atletas!U276="Taijijian 32 D",Atletas!U276="Taijijian 42 D"),924,IF(OR(Atletas!U276="Taijijian Yang E",Atletas!U276="Taijijian Yang Standard E"),925,IF(OR(Atletas!U276="Taijijian Chen E", Atletas!U276="Taijijian Chen Standard E"),926,IF(Atletas!U276="Taijijian Sun E",927,IF(Atletas!U276="Taijijian Wu E",928,IF(Atletas!U276="Taijijian Wu-Hao E",929,IF(OR(Atletas!U276="Taijijian 32 E",Atletas!U276="Taijijian 42 E"),930,IF(OR(Atletas!U276="Taijijian Yang F",Atletas!U276="Taijijian Yang Standard F"),931,IF(OR(Atletas!U276="Taijijian Chen F", Atletas!U276="Taijijian Chen Standard F"),932,IF(Atletas!U276="Taijijian Sun F",933,IF(Atletas!U276="Taijijian Wu F",934,IF(Atletas!U276="Taijijian Wu-Hao F",935,IF(OR(Atletas!U276="Taijijian 32 F",Atletas!U276="Taijijian 42 F"),936,"")))))))))))))))))))))))))))))))))))))</f>
        <v/>
      </c>
      <c r="CD285" s="50" t="str">
        <f>IF(Atletas!V276="","",IF(Atletas!X276&lt;&gt;"",10000,0)+IF(Atletas!B276="Feminino",1000,IF(Atletas!B276="Masculino",2000,""))+IF(Atletas!V276="Taijidao A",937,IF(Atletas!V276="TaijiShanzi A",938,IF(Atletas!V276="Taijiqiang A",939,IF(Atletas!V276="Bagua de Arma A",940,IF(Atletas!V276="Xingyi de Arma A",941,IF(Atletas!V276="Taijidao B",942,IF(Atletas!V276="TaijiShanzi B",943,IF(Atletas!V276="Taijiqiang B",944,IF(Atletas!V276="Bagua de Arma B",945,IF(Atletas!V276="Xingyi de Arma B",946,IF(Atletas!V276="Taijidao C",947,IF(Atletas!V276="TaijiShanzi C",948,IF(Atletas!V276="Taijiqiang C",949,IF(Atletas!V276="Bagua de Arma C",950,IF(Atletas!V276="Xingyi de Arma C",951,IF(Atletas!V276="Taijidao D",952,IF(Atletas!V276="TaijiShanzi D",953,IF(Atletas!V276="Taijiqiang D",954,IF(Atletas!V276="Bagua de Arma D",955,IF(Atletas!V276="Xingyi de Arma D",956,IF(Atletas!V276="Taijidao E",957,IF(Atletas!V276="TaijiShanzi E",958,IF(Atletas!V276="Taijiqiang E",959,IF(Atletas!V276="Bagua de Arma E",960,IF(Atletas!V276="Xingyi de Arma E",961,IF(Atletas!V276="Taijidao F",962,IF(Atletas!V276="TaijiShanzi F",963,IF(Atletas!V276="Taijiqiang F",964,IF(Atletas!V276="Bagua de Arma F",965,IF(Atletas!V276="Xingyi de Arma F",966,"")))))))))))))))))))))))))))))))</f>
        <v/>
      </c>
      <c r="CE285" s="66" t="str">
        <f>IF(CF285&lt;&gt;"","Outra Arma Maleável A","")</f>
        <v/>
      </c>
      <c r="CF285" s="66" t="str">
        <f>IF(COUNTIF(BR:CD,1802)&gt;0,COUNTIF(BR:CD,1802),"")</f>
        <v/>
      </c>
      <c r="CG285" s="66" t="str">
        <f>IF(CH285&lt;&gt;"","Outra Arma Maleável A","")</f>
        <v/>
      </c>
      <c r="CH285" s="66" t="str">
        <f>IF(COUNTIF(BT:CF,2802)&gt;0,COUNTIF(BT:CF,2802),"")</f>
        <v/>
      </c>
      <c r="CI285" s="66" t="str">
        <f>IF(CJ286&lt;&gt;"","Outra Arma Maleável E","")</f>
        <v/>
      </c>
      <c r="CJ285" s="66" t="str">
        <f>IF(COUNTIF(BR:CD,11809)&gt;0,COUNTIF(BR:CD,11809),"")</f>
        <v/>
      </c>
      <c r="CK285" s="66" t="str">
        <f>IF(CL285&lt;&gt;"","Outra Arma Dupla E","")</f>
        <v/>
      </c>
      <c r="CL285" s="66" t="str">
        <f>IF(COUNTIF(BR:CD,12809)&gt;0,COUNTIF(BR:CD,12809),"")</f>
        <v/>
      </c>
      <c r="CM285" s="50" t="str">
        <f xml:space="preserve"> IF(Atletas!W276="","",IF(Atletas!W276="Duilian de Mãos BC - Equipe 1",1,IF(Atletas!W276="Duilian de Mãos BC - Equipe 2",2,IF(Atletas!W276="Duilian de Armas BC - Equipe 1",3,IF(Atletas!W276="Duilian de Armas BC - Equipe 2",4,IF(Atletas!W276="Duilian de Mãos DE - Equipe 1",5,IF(Atletas!W276="Duilian de Mãos DE - Equipe 2",6,IF(Atletas!W276="Duilian de Armas DE - Equipe 1",7,IF(Atletas!W276="Duilian de Armas DE - Equipe 2",8,IF(Atletas!W276="Duilian de Tuishou - Equipe 1",9,IF(Atletas!W276="Duilian de Tuishou - Equipe 2",10,IF(Atletas!W276="Grupo Externo ABC - Equipe 1",11,IF(Atletas!W276="Grupo Externo ABC - Equipe 2",12,IF(Atletas!W276="Grupo Interno ABC - Equipe 1",13,IF(Atletas!W276="Grupo Interno ABC - Equipe 2",14,IF(Atletas!W276="Grupo Externo DEF - Equipe 1",15,IF(Atletas!W276="Grupo Externo DEF - Equipe 2",16,IF(Atletas!W276="Grupo Interno DEF - Equipe 1",17,IF(Atletas!W276="Grupo Interno DEF - Equipe 2",18,"")))))))))))))))))))</f>
        <v/>
      </c>
    </row>
    <row r="286" spans="2:91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 t="str">
        <f t="array" ref="Z286">IFERROR(INDEX(CE$7:CE$348,SMALL(IF(CE$7:CE$348&lt;&gt;"",ROW(CE$7:CE$348)-ROW(CE$7)+1),ROWS(CE$7:CE285))),"")</f>
        <v/>
      </c>
      <c r="AA286" s="3" t="str">
        <f t="array" ref="AA286">IFERROR(INDEX(CF$7:CF$348,SMALL(IF(CF$7:CF$348&lt;&gt;"",ROW(CF$7:CF$348)-ROW(CF$7)+1),ROWS(CF$7:CF285))),"")</f>
        <v/>
      </c>
      <c r="AB286" s="3" t="str">
        <f t="array" ref="AB286">IFERROR(INDEX(CG$7:CG$348,SMALL(IF(CG$7:CG$348&lt;&gt;"",ROW(CG$7:CG$348)-ROW(CG$7)+1),ROWS(CG$7:CG285))),"")</f>
        <v/>
      </c>
      <c r="AC286" s="3" t="str">
        <f t="array" ref="AC286">IFERROR(INDEX(CH$7:CH$348,SMALL(IF(CH$7:CH$348&lt;&gt;"",ROW(CH$7:CH$348)-ROW(CH$7)+1),ROWS(CH$7:CH285))),"")</f>
        <v/>
      </c>
      <c r="AD286" s="3" t="str">
        <f t="array" ref="AD286">IFERROR(INDEX(CI$7:CI$377,SMALL(IF(CI$7:CI$377&lt;&gt;"",ROW(CI$7:CI$377)-ROW(CI$7)+1),ROWS(CI$7:CI284))),"")</f>
        <v/>
      </c>
      <c r="AE286" s="3" t="str">
        <f t="array" ref="AE286">IFERROR(INDEX(CJ$7:CJ$378,SMALL(IF(CJ$7:CJ$378&lt;&gt;"",ROW(CJ$7:CJ$378)-ROW(CJ$7)+1),ROWS(CJ$7:CJ285))),"")</f>
        <v/>
      </c>
      <c r="AF286" s="3" t="str">
        <f t="array" ref="AF286">IFERROR(INDEX(CK$7:CK$378,SMALL(IF(CK$7:CK$378&lt;&gt;"",ROW(CK$7:CK$378)-ROW(CK$7)+1),ROWS(CK$7:CK285))),"")</f>
        <v/>
      </c>
      <c r="AG286" s="3" t="str">
        <f t="array" ref="AG286">IFERROR(INDEX(CL$7:CL$378,SMALL(IF(CL$7:CL$378&lt;&gt;"",ROW(CL$7:CL$378)-ROW(CL$7)+1),ROWS(CL$7:CL285))),"")</f>
        <v/>
      </c>
      <c r="AH286" s="3"/>
      <c r="AI286" s="3"/>
      <c r="AJ286" s="3"/>
      <c r="AK286" s="3"/>
      <c r="AL286" s="3"/>
      <c r="AM286" s="3"/>
      <c r="AN286" s="52" t="str">
        <f>IF(Atletas!D277="","",IF(Atletas!B277="Feminino",100,IF(Atletas!B277="Masculino",200,""))+(IF(Atletas!D277="Kids 30kg",1,IF(Atletas!D277="Kids 32kg",2, IF(Atletas!D277="Kids 34kg",3,IF(Atletas!D277="Kids 36kg",4,IF(Atletas!D277="Kids 39kg",5,IF(Atletas!D277="Kids 42kg",6,IF(Atletas!D277="Kids 45kg",7, IF(Atletas!D277="Infantil 39kg",8,IF(Atletas!D277="Infantil 42kg",9,IF(Atletas!D277="Infantil 45kg",10,IF(Atletas!D277="Infantil 48kg",11,IF(Atletas!D277="Infantil 52kg",12,IF(Atletas!D277="Infantil 56kg",13,IF(Atletas!D277="Infantil 60kg",14,IF(Atletas!D277="Juvenil 48kg",15,IF(Atletas!D277="Juvenil 52kg",16,IF(Atletas!D277="Juvenil 56kg",17,IF(Atletas!D277="Juvenil 60kg",18,IF(Atletas!D277="Juvenil 65kg",19,IF(Atletas!D277="Juvenil 70kg",20,IF(Atletas!D277="Juvenil 75kg",21,IF(Atletas!D277="Juvenil 80kg",22, IF(Atletas!D277="Juvenil 85kg",23,IF(Atletas!D277="Adulto 48kg",24,IF(Atletas!D277="Adulto 52kg",25,IF(Atletas!D277="Adulto 56kg",26,IF(Atletas!D277="Adulto 60kg",27,IF(Atletas!D277="Adulto 65kg",28,IF(Atletas!D277="Adulto 70kg",29,IF(Atletas!D277="Adulto 75kg",30,IF(Atletas!D277="Adulto 80kg",31,IF(Atletas!D277="Adulto 85kg",32,IF(Atletas!D277="Adulto 90kg",33,IF(Atletas!D277="Adulto 100kg",34, IF(Atletas!D277="Adulto +100kg",35,"")))))))))))))))))))))))))))))))))))))</f>
        <v/>
      </c>
      <c r="AS286" s="6" t="str">
        <f>IF(Atletas!E277="","",IF(Atletas!B277="Feminino",100,IF(Atletas!B277="Masculino",200,""))+(IF(Atletas!E277="Juvenil 44kg",1,IF(Atletas!E277="Juvenil 48kg",2,IF(Atletas!E277="Juvenil 52kg",3,IF(Atletas!E277="Juvenil 56kg",4,IF(Atletas!E277="Juvenil 60kg",5,IF(Atletas!E277="Juvenil 65kg",6,IF(Atletas!E277="Juvenil 70kg",7,IF(Atletas!E277="Juvenil 75kg",8,IF(Atletas!E277="Juvenil 82kg",9,IF(Atletas!E277="Juvenil 90kg",10,IF(Atletas!E277="Juvenil 100kg",11,IF(Atletas!E277="Adulto 48kg",12,IF(Atletas!E277="Adulto 52kg",13,IF(Atletas!E277="Adulto 56kg",14,IF(Atletas!E277="Adulto 60kg",15,IF(Atletas!E277="Adulto 65kg",16,IF(Atletas!E277="Adulto 70kg",17,IF(Atletas!E277="Adulto 75kg",18,IF(Atletas!E277="Adulto 82kg",19,IF(Atletas!E277="Adulto 90kg",20,IF(Atletas!E277="Adulto 100kg",21,IF(Atletas!E277="Adulto +100kg",22,""))))))))))))))))))))))))</f>
        <v/>
      </c>
      <c r="AX286" s="6" t="str">
        <f>IF(Atletas!F277="","",IF(Atletas!B277="Feminino",100,IF(Atletas!B277="Masculino",200,""))+(IF(Atletas!F277="Adulto 48kg",1,IF(Atletas!F277="Adulto 56kg",2,IF(Atletas!F277="Adulto 65kg",3,IF(Atletas!F277="Adulto 75kg",4,IF(Atletas!F277="Adulto +75kg",5,IF(Atletas!F277="Adulto 52kg",6,IF(Atletas!F277="Adulto 60kg",7,IF(Atletas!F277="Adulto 70kg",8,IF(Atletas!F277="Adulto 80kg",9,IF(Atletas!F277="Adulto 90kg",10,IF(Atletas!F277="Adulto +90kg",11,"")))))))))))))</f>
        <v/>
      </c>
      <c r="BC286" s="6" t="str">
        <f>IF(Atletas!G277="","",IF(Atletas!B277="Feminino",10,IF(Atletas!B277="Masculino",20,""))+(IF(Atletas!G277="Baduanjin A",1,IF(Atletas!G277="Baduanjin B",2))))</f>
        <v/>
      </c>
      <c r="BF286" s="52" t="str">
        <f>IF(Atletas!H277="","",IF(Atletas!B277="Feminino",100,IF(Atletas!B277="Masculino",200,""))+(IF(Atletas!H277="Changquan Mirim",1,IF(Atletas!H277="Nanquan Mirim",2,IF(Atletas!H277="Taijiquan Mirim",3,IF(Atletas!H277="Changquan Grupo C",4,IF(Atletas!H277="Nanquan Grupo C",5,IF(Atletas!H277="Taijiquan Grupo C",6,IF(Atletas!H277="Changquan Grupo B",7,IF(Atletas!H277="Nanquan Grupo B",8,IF(Atletas!H277="Taijiquan Grupo B",9,IF(Atletas!H277="Changquan Grupo A",10,IF(Atletas!H277="Nanquan Grupo A",11,IF(Atletas!H277="Taijiquan Grupo A",12,IF(Atletas!H277="Changquan Opcional",13,IF(Atletas!H277="Nanquan Opcional",14,IF(Atletas!H277="Taijiquan Opcional",15,IF(Atletas!H277="Changquan Adulto",16,IF(Atletas!H277="Nanquan Adulto",17,IF(Atletas!H277="Taijiquan Adulto",18,""))))))))))))))))))))</f>
        <v/>
      </c>
      <c r="BG286" s="52" t="str">
        <f>IF(Atletas!I277="","",IF(Atletas!B277="Feminino",100,IF(Atletas!B277="Masculino",200,""))+(IF(Atletas!I277="Daoshu Mirim",19,IF(Atletas!I277="Jianshu Mirim",20,IF(Atletas!I277="Nandao Mirim",21,IF(Atletas!I277="Taijijian Mirim",22,IF(Atletas!I277="Daoshu Grupo C",23,IF(Atletas!I277="Jianshu Grupo C",24,IF(Atletas!I277="Nandao Grupo C",25,IF(Atletas!I277="Taijijian Grupo C",26,IF(Atletas!I277="Daoshu Grupo B",27,IF(Atletas!I277="Jianshu Grupo B",28,IF(Atletas!I277="Nandao Grupo B",29,IF(Atletas!I277="Taijijian Grupo B",30,IF(Atletas!I277="Daoshu Grupo A",31,IF(Atletas!I277="Jianshu Grupo A",32,IF(Atletas!I277="Nandao Grupo A",33,IF(Atletas!I277="Taijijian Grupo A",34,IF(Atletas!I277="Daoshu Opcional",35,IF(Atletas!I277="Jianshu Opcional",36,IF(Atletas!I277="Nandao Opcional",37,IF(Atletas!I277="Taijijian Opcional",38,IF(Atletas!I277="Daoshu Adulto",39,IF(Atletas!I277="Jianshu Adulto",40,IF(Atletas!I277="Nandao Adulto",41,IF(Atletas!I277="Taijijian Adulto",42,""))))))))))))))))))))))))))</f>
        <v/>
      </c>
      <c r="BH286" s="52" t="str">
        <f>IF(Atletas!J277="","",IF(Atletas!B277="Feminino",100,IF(Atletas!B277="Masculino",200,""))+(IF(Atletas!J277="Gunshu Mirim",43,IF(Atletas!J277="Qiangshu Mirim",44,IF(Atletas!J277="Nangun Mirim",45,IF(Atletas!J277="Gunshu Grupo C",46,IF(Atletas!J277="Qiangshu Grupo C",47,IF(Atletas!J277="Nangun Grupo C",48,IF(Atletas!J277="Gunshu Grupo B",49,IF(Atletas!J277="Qiangshu Grupo B",50,IF(Atletas!J277="Nangun Grupo B",51,IF(Atletas!J277="Gunshu Grupo A",52,IF(Atletas!J277="Qiangshu Grupo A",53,IF(Atletas!J277="Nangun Grupo A",54,IF(Atletas!J277="Gunshu Opcional",55,IF(Atletas!J277="Qiangshu Opcional",56,IF(Atletas!J277="Nangun Opcional",57,IF(Atletas!J277="Gunshu Adulto",58,IF(Atletas!J277="Qiangshu Adulto",59,IF(Atletas!J277="Nangun Adulto",60,IF(Atletas!J277="Taijishan Grupo B",61,IF(Atletas!J277="Taijishan Grupo A",62,""))))))))))))))))))))))</f>
        <v/>
      </c>
      <c r="BM286" s="50" t="str">
        <f>IF(Atletas!K277="","",IF(Atletas!B277="Feminino",100,IF(Atletas!B277="Masculino",200,""))+(IF(Atletas!K277="Equipe 1 Grupo B",1,IF(Atletas!K277="Equipe 2 Grupo B",2,IF(Atletas!K277="Equipe 1 Grupo A",3,IF(Atletas!K277="Equipe 2 Grupo A",4,IF(Atletas!K277="Equipe 1 Adulto",5,IF(Atletas!K277="Equipe 2 Adulto",6,""))))))))</f>
        <v/>
      </c>
      <c r="BR286" s="50" t="str">
        <f>IF(Atletas!L277="","",IF(Atletas!X277&lt;&gt;"",10000,0)+(IF(Atletas!B277="Feminino",1000,IF(Atletas!B277="Masculino",2000,""))+IF(Atletas!L277="Choylayfut A",1,IF(Atletas!L277="Hunggar A",2,IF(Atletas!L277="Wuzuquan A",3,IF(Atletas!L277="Wingchun A",4,IF(Atletas!L277="Outra Mão de Sul A",5,IF(Atletas!L277="Choylayfut B",6,IF(Atletas!L277="Hunggar B",7,IF(Atletas!L277="Wuzuquan B",8,IF(Atletas!L277="Wingchun B",9,IF(Atletas!L277="Outra Mão de Sul B",10,IF(Atletas!L277="Choylayfut C",11,IF(Atletas!L277="Hunggar C",12,IF(Atletas!L277="Wuzuquan C",13,IF(Atletas!L277="Wingchun C",14,IF(Atletas!L277="Outra Mão de Sul C",15,IF(Atletas!L277="Choylayfut D",16,IF(Atletas!L277="Hunggar D",17,IF(Atletas!L277="Wuzuquan D",18,IF(Atletas!L277="Wingchun D",19,IF(Atletas!L277="Outra Mão de Sul D",20,IF(Atletas!L277="Choylayfut E",21,IF(Atletas!L277="Hunggar E",22,IF(Atletas!L277="Wuzuquan E",23,IF(Atletas!L277="Wingchun E",24,IF(Atletas!L277="Outra Mão de Sul E",25,IF(Atletas!L277="Choylayfut F",26,IF(Atletas!L277="Hunggar F",27,IF(Atletas!L277="Wuzuquan F",28,IF(Atletas!L277="Wingchun F",29,IF(Atletas!L277="Outra Mão de Sul F",30,IF(Atletas!L277="Dishuquan A",31,IF(Atletas!L277="Dishuquan B",32,IF(Atletas!L277="Dishuquan C",33,IF(Atletas!L277="Dishuquan D",34,IF(Atletas!L277="Dishuquan E",35,IF(Atletas!L277="Dishuquan F",36,""))))))))))))))))))))))))))))))))))))))</f>
        <v/>
      </c>
      <c r="BS286" s="50" t="str">
        <f>IF(Atletas!M277="","",IF(Atletas!X277&lt;&gt;"",10000,0)+(IF(Atletas!B277="Feminino",1000,IF(Atletas!B277="Masculino",2000,""))+(IF(Atletas!M277="Chaquan A",101,IF(Atletas!M277="Emeiquan A",102,IF(Atletas!M277="Fanziquan A",103,IF(Atletas!M277="Huaquan A",104,IF(Atletas!M277="Hongquan A",105,IF(Atletas!M277="Paoquan A",106,IF(Atletas!M277="Piguaquan A",107,IF(Atletas!M277="Shaolinquan A",108,IF(Atletas!M277="Tanglangquan A",109,IF(Atletas!M277="Yingzhaoquan A",110,IF(Atletas!M277="Tongbeiquan A",111,IF(Atletas!M277="Wudangquan A",112,IF(Atletas!M277="Outros Estilos A",113,IF(Atletas!M277="Chaquan B",114,IF(Atletas!M277="Emeiquan B",115,IF(Atletas!M277="Fanziquan B",116,IF(Atletas!M277="Huaquan B",117,IF(Atletas!M277="Hongquan B",118,IF(Atletas!M277="Paoquan B",119,IF(Atletas!M277="Piguaquan B",120,IF(Atletas!M277="Shaolinquan B",121,IF(Atletas!M277="Tanglangquan B",122,IF(Atletas!M277="Yingzhaoquan B",123,IF(Atletas!M277="Tongbeiquan B",124,IF(Atletas!M277="Wudangquan B",125,IF(Atletas!M277="Outros Estilos B",126,IF(Atletas!M277="Chaquan C",127,IF(Atletas!M277="Emeiquan C",128,IF(Atletas!M277="Fanziquan C",129,IF(Atletas!M277="Huaquan C",130,IF(Atletas!M277="Hongquan C",131,IF(Atletas!M277="Paoquan C",132,IF(Atletas!M277="Piguaquan C",133,IF(Atletas!M277="Shaolinquan C",134,IF(Atletas!M277="Tanglangquan C",135,IF(Atletas!M277="Yingzhaoquan C",136,IF(Atletas!M277="Tongbeiquan C",137,IF(Atletas!M277="Wudangquan C",138,IF(Atletas!M277="Outros Estilos C",139,0))))))))))))))))))))))))))))))))))))))))))</f>
        <v/>
      </c>
      <c r="BT286" s="50" t="str">
        <f>IF(Atletas!M277="","",IF(Atletas!X277&lt;&gt;"",10000,0)+(IF(Atletas!B277="Feminino",1000,IF(Atletas!B277="Masculino",2000,""))+(IF(Atletas!M277="Chaquan D",140,IF(Atletas!M277="Emeiquan D",141,IF(Atletas!M277="Fanziquan D",142,IF(Atletas!M277="Huaquan D",143,IF(Atletas!M277="Hongquan D",144,IF(Atletas!M277="Paoquan D",145,IF(Atletas!M277="Piguaquan D",146,IF(Atletas!M277="Shaolinquan D",147,IF(Atletas!M277="Tanglangquan D",148,IF(Atletas!M277="Yingzhaoquan D",149,IF(Atletas!M277="Tongbeiquan D",150,IF(Atletas!M277="Wudangquan D",151,IF(Atletas!M277="Outros Estilos D",152,IF(Atletas!M277="Chaquan E",153,IF(Atletas!M277="Emeiquan E",154,IF(Atletas!M277="Fanziquan E",155,IF(Atletas!M277="Huaquan E",156,IF(Atletas!M277="Hongquan E",157,IF(Atletas!M277="Paoquan E",158,IF(Atletas!M277="Piguaquan E",159,IF(Atletas!M277="Shaolinquan E",160,IF(Atletas!M277="Tanglangquan E",161,IF(Atletas!M277="Yingzhaoquan E",162,IF(Atletas!M277="Tongbeiquan E",163,IF(Atletas!M277="Wudangquan E",164,IF(Atletas!M277="Outros Estilos E",165,IF(Atletas!M277="Chaquan F",166,IF(Atletas!M277="Emeiquan F",167,IF(Atletas!M277="Fanziquan F",168,IF(Atletas!M277="Huaquan F",169,IF(Atletas!M277="Hongquan F",170,IF(Atletas!M277="Paoquan F",171,IF(Atletas!M277="Piguaquan F",172,IF(Atletas!M277="Shaolinquan F",173,IF(Atletas!M277="Tanglangquan F",174,IF(Atletas!M277="Yingzhaoquan F",175,IF(Atletas!M277="Tongbeiquan F",176,IF(Atletas!M277="Wudangquan F",177,IF(Atletas!M277="Outros Estilos F",178,0))))))))))))))))))))))))))))))))))))))))))</f>
        <v/>
      </c>
      <c r="BU286" s="50" t="str">
        <f>IF(Atletas!N277="","",IF(Atletas!X277&lt;&gt;"",10000,0)+(IF(Atletas!B277="Feminino",1000,IF(Atletas!B277="Masculino",2000,""))+(IF(Atletas!N277="Ditangquan A",201,IF(Atletas!N277="Houquan A",202,IF(Atletas!N277="Zuiquan A",203,IF(Atletas!N277="Ditangquan B",204,IF(Atletas!N277="Houquan B",205,IF(Atletas!N277="Zuiquan B",206,IF(Atletas!N277="Ditangquan C",207,IF(Atletas!N277="Houquan C",208,IF(Atletas!N277="Zuiquan C",209,IF(Atletas!N277="Ditangquan D",210,IF(Atletas!N277="Houquan D",211,IF(Atletas!N277="Zuiquan D",212,IF(Atletas!N277="Ditangquan E",213,IF(Atletas!N277="Houquan E",214,IF(Atletas!N277="Zuiquan E",215,IF(Atletas!N277="Ditangquan F",216,IF(Atletas!N277="Houquan F",217,IF(Atletas!N277="Zuiquan F",218,"")))))))))))))))))))))</f>
        <v/>
      </c>
      <c r="BV286" s="50" t="str">
        <f>IF(Atletas!O277="","",IF(Atletas!X277&lt;&gt;"",10000,0)+IF(Atletas!B277="Feminino",1000,IF(Atletas!B277="Masculino",2000,""))+IF(Atletas!O277="Yang A",301,IF(Atletas!O277="Chen A",302,IF(Atletas!O277="Sun A",303,IF(Atletas!O277="Wu A",304,IF(Atletas!O277="Wu-Hao A",305,IF(Atletas!O277="Outro Taijiquan A",306,IF(Atletas!O277="Yang B",307,IF(Atletas!O277="Chen B",308,IF(Atletas!O277="Sun B",309,IF(Atletas!O277="Wu B",310,IF(Atletas!O277="Wu-Hao B",311,IF(Atletas!O277="Outro Taijiquan B",312,IF(Atletas!O277="Yang C",313,IF(Atletas!O277="Chen C",314,IF(Atletas!O277="Sun C",315,IF(Atletas!O277="Wu C",316,IF(Atletas!O277="Wu-Hao C",317,IF(Atletas!O277="Outro Taijiquan C",318,IF(Atletas!O277="Yang D",319,IF(Atletas!O277="Chen D",320,IF(Atletas!O277="Sun D",321,IF(Atletas!O277="Wu D",322,IF(Atletas!O277="Wu-Hao D",323,IF(Atletas!O277="Outro Taijiquan D",324,IF(Atletas!O277="Yang E",325,IF(Atletas!O277="Chen E",326,IF(Atletas!O277="Sun E",327,IF(Atletas!O277="Wu E",328,IF(Atletas!O277="Wu-Hao E",329,IF(Atletas!O277="Outro Taijiquan E",330,IF(Atletas!O277="Yang F",331,IF(Atletas!O277="Chen F",332,IF(Atletas!O277="Sun F",333,IF(Atletas!O277="Wu F",334,IF(Atletas!O277="Wu-Hao F",335,IF(Atletas!O277="Outro Taijiquan F",336,"")))))))))))))))))))))))))))))))))))))</f>
        <v/>
      </c>
      <c r="BW286" s="50" t="str">
        <f>IF(Atletas!P277="","",IF(Atletas!X277&lt;&gt;"",10000,0)+IF(Atletas!B277="Feminino",1000,IF(Atletas!B277="Masculino",2000,""))+IF(OR(Atletas!P277="Yang 26 A",Atletas!P277="Yang 40 A"),401,IF(OR(Atletas!P277="Chen 25 A",Atletas!P277="Chen 36 A",Atletas!P277="Chen 56 A"),402,IF(Atletas!P277="Sun 73 A",403,IF(Atletas!P277="Wu 45 A",404,IF(Atletas!P277="Wu-Hao 46 A",405,IF(OR(Atletas!P277="Taijiquan 16 A",Atletas!P277="Taijiquan 24 A",Atletas!P277="Taijiquan 32 A",Atletas!P277="Taijiquan 42 A"),406,IF(OR(Atletas!P277="Yang 26 B",Atletas!P277="Yang 40 B"),407,IF(OR(Atletas!P277="Chen 25 B",Atletas!P277="Chen 36 B",Atletas!P277="Chen 56 B"),408,IF(Atletas!P277="Sun 73 B",409,IF(Atletas!P277="Wu 45 B",410,IF(Atletas!P277="Wu-Hao 46 B",411,IF(OR(Atletas!P277="Taijiquan 16 B",Atletas!P277="Taijiquan 24 B",Atletas!P277="Taijiquan 32 B",Atletas!P277="Taijiquan 42 B"),412,IF(OR(Atletas!P277="Yang 26 C",Atletas!P277="Yang 40 C"),413,IF(OR(Atletas!P277="Chen 25 C",Atletas!P277="Chen 36 C",Atletas!P277="Chen 56 C"),414,IF(Atletas!P277="Sun 73 C",415,IF(Atletas!P277="Wu 45 C",416,IF(Atletas!P277="Wu-Hao 46 C",417,IF(OR(Atletas!P277="Taijiquan 16 C",Atletas!P277="Taijiquan 24 C",Atletas!P277="Taijiquan 32 C",Atletas!P277="Taijiquan 42 C"),418,0)))))))))))))))))))</f>
        <v/>
      </c>
      <c r="BX286" s="50" t="str">
        <f>IF(Atletas!P277="","",IF(Atletas!X277&lt;&gt;"",10000,0)+IF(Atletas!B277="Feminino",1000,IF(Atletas!B277="Masculino",2000,""))+IF(OR(Atletas!P277="Yang 26 D",Atletas!P277="Yang 40 D"),419,IF(OR(Atletas!P277="Chen 25 D",Atletas!P277="Chen 36 D",Atletas!P277="Chen 56 D"),420,IF(Atletas!P277="Sun 73 D",421,IF(Atletas!P277="Wu 45 D",422,IF(Atletas!P277="Wu-Hao 46 D",423,IF(OR(Atletas!P277="Taijiquan 16 D",Atletas!P277="Taijiquan 24 D",Atletas!P277="Taijiquan 32 D",Atletas!P277="Taijiquan 42 D"),424,IF(OR(Atletas!P277="Yang 26 E",Atletas!P277="Yang 40 E"),425,IF(OR(Atletas!P277="Chen 25 E",Atletas!P277="Chen 36 E",Atletas!P277="Chen 56 E"),426,IF(Atletas!P277="Sun 73 E",427,IF(Atletas!P277="Wu 45 E",428,IF(Atletas!P277="Wu-Hao 46 E",429,IF(OR(Atletas!P277="Taijiquan 16 E",Atletas!P277="Taijiquan 24 E",Atletas!P277="Taijiquan 32 E",Atletas!P277="Taijiquan 42 E"),430,IF(OR(Atletas!P277="Yang 26 F",Atletas!P277="Yang 40 F"),431,IF(OR(Atletas!P277="Chen 25 F",Atletas!P277="Chen 36 F",Atletas!P277="Chen 56 F"),432,IF(Atletas!P277="Sun 73 F",433,IF(Atletas!P277="Wu 45 F",434,IF(Atletas!P277="Wu-Hao 46 F",435,IF(OR(Atletas!P277="Taijiquan 16 F",Atletas!P277="Taijiquan 24 F",Atletas!P277="Taijiquan 32 F",Atletas!P277="Taijiquan 42 F"),436,0)))))))))))))))))))</f>
        <v/>
      </c>
      <c r="BY286" s="50" t="str">
        <f>IF(Atletas!Q277="","",IF(Atletas!X277&lt;&gt;"",10000,0)+IF(Atletas!B277="Feminino",1000,IF(Atletas!B277="Masculino",2000,""))+IF(Atletas!Q277="Xingyiquan A",501,IF(Atletas!Q277="Baguazhang A",502,IF(Atletas!Q277="Outro Estilo Interno A",503,IF(Atletas!Q277="Xingyiquan B",504,IF(Atletas!Q277="Baguazhang B",505,IF(Atletas!Q277="Outro Estilo Interno B",506,IF(Atletas!Q277="Xingyiquan C",507,IF(Atletas!Q277="Baguazhang C",508,IF(Atletas!Q277="Outro Estilo Interno C",509,IF(Atletas!Q277="Xingyiquan D",510,IF(Atletas!Q277="Baguazhang D",511,IF(Atletas!Q277="Outro Estilo Interno D",512,IF(Atletas!Q277="Xingyiquan E",513,IF(Atletas!Q277="Baguazhang E",514,IF(Atletas!Q277="Outro Estilo Interno E",515,IF(Atletas!Q277="Xingyiquan F",516,IF(Atletas!Q277="Baguazhang F",517,IF(Atletas!Q277="Outro Estilo Interno F",518, "")))))))))))))))))))</f>
        <v/>
      </c>
      <c r="BZ286" s="50" t="str">
        <f>IF(Atletas!R277="","",IF(Atletas!X277&lt;&gt;"",10000,0)+IF(Atletas!B277="Feminino",1000,IF(Atletas!B277="Masculino",2000,""))+IF(Atletas!R277="Dao A",601,IF(Atletas!R277="Jian A",602,IF(Atletas!R277="Bishou A",603,IF(Atletas!R277="Shanzi A",604,IF(Atletas!R277="Outra Arma Curta A",605,IF(Atletas!R277="Dao B",606,IF(Atletas!R277="Jian B",607,IF(Atletas!R277="Bishou B",608,IF(Atletas!R277="Shanzi B",609,IF(Atletas!R277="Outra Arma Curta B",610,IF(Atletas!R277="Dao C",611,IF(Atletas!R277="Jian C",612,IF(Atletas!R277="Bishou C",613,IF(Atletas!R277="Shanzi C",614,IF(Atletas!R277="Outra Arma Curta C",615,IF(Atletas!R277="Dao D",616,IF(Atletas!R277="Jian D",617,IF(Atletas!R277="Bishou D",618,IF(Atletas!R277="Shanzi D",619,IF(Atletas!R277="Outra Arma Curta D",620,IF(Atletas!R277="Dao E",621,IF(Atletas!R277="Jian E",622,IF(Atletas!R277="Bishou E",623,IF(Atletas!R277="Shanzi E",624,IF(Atletas!R277="Outra Arma Curta E",625,IF(Atletas!R277="Dao F",626,IF(Atletas!R277="Jian F",627,IF(Atletas!R277="Bishou F",628,IF(Atletas!R277="Shanzi F",629,IF(Atletas!R277="Outra Arma Curta F",630, "")))))))))))))))))))))))))))))))</f>
        <v/>
      </c>
      <c r="CA286" s="50" t="str">
        <f>IF(Atletas!S277="","",IF(Atletas!X277&lt;&gt;"",10000,0)+IF(Atletas!B277="Feminino",1000,IF(Atletas!B277="Masculino",2000,""))+IF(Atletas!S277="Gun A",701,IF(Atletas!S277="Qiang A",702,IF(Atletas!S277="Pudao / Guandao A",703,IF(Atletas!S277="Outra Arma Longa A",704,IF(Atletas!S277="Gun B",705,IF(Atletas!S277="Qiang B",706,IF(Atletas!S277="Pudao / Guandao B",707,IF(Atletas!S277="Outra Arma Longa B",708,IF(Atletas!S277="Gun C",709,IF(Atletas!S277="Qiang C",710,IF(Atletas!S277="Pudao / Guandao C",711,IF(Atletas!S277="Outra Arma Longa C",712,IF(Atletas!S277="Gun D",713,IF(Atletas!S277="Qiang D",714,IF(Atletas!S277="Pudao / Guandao D",715,IF(Atletas!S277="Outra Arma Longa D",716,IF(Atletas!S277="Gun E",717,IF(Atletas!S277="Qiang E",718,IF(Atletas!S277="Pudao / Guandao E",719,IF(Atletas!S277="Outra Arma Longa E",720,IF(Atletas!S277="Gun F",721,IF(Atletas!S277="Qiang F",722,IF(Atletas!S277="Pudao / Guandao F",723,IF(Atletas!S277="Outra Arma Longa F",724,"")))))))))))))))))))))))))</f>
        <v/>
      </c>
      <c r="CB286" s="50" t="str">
        <f>IF(Atletas!T277="","",IF(Atletas!X277&lt;&gt;"",10000,0)+IF(Atletas!B277="Feminino",1000,IF(Atletas!B277="Masculino",2000,""))+IF(Atletas!T277="Outra Arma Dupla A",801,IF(Atletas!T277="Arma Maleável A",802,IF(Atletas!T277="Outra Arma Dupla B",803,IF(Atletas!T277="Arma Maleável B",804,IF(Atletas!T277="Outra Arma Dupla C",805,IF(Atletas!T277="Arma Maleável C",806,IF(Atletas!T277="Outra Arma Dupla D",807,IF(Atletas!T277="Arma Maleável D",808,IF(Atletas!T277="Outra Arma Dupla E",809,IF(Atletas!T277="Arma Maleável E",810,IF(Atletas!T277="Outra Arma Dupla F",811,IF(Atletas!T277="Arma Maleável F",812,IF(Atletas!T277="Shuangdao A",813,IF(Atletas!T277="Shuangdao B",814,IF(Atletas!T277="Shuangdao C",815,IF(Atletas!T277="Shuangdao D",816,IF(Atletas!T277="Shuangdao E",817,IF(Atletas!T277="Shuangdao F",818,"")))))))))))))))))))</f>
        <v/>
      </c>
      <c r="CC286" s="50" t="str">
        <f>IF(Atletas!U277="","",IF(Atletas!X277&lt;&gt;"",10000,0)+IF(Atletas!B277="Feminino",1000,IF(Atletas!B277="Masculino",2000,""))+IF(OR(Atletas!U277="Taijijian Yang A",Atletas!U277="Taijijian Yang Standard A"),901,IF(OR(Atletas!U277="Taijijian Chen A", Atletas!U277="Taijijian Chen Standard A"),902,IF(Atletas!U277="Taijijian Sun A",903,IF(Atletas!U277="Taijijian Wu A",904,IF(Atletas!U277="Taijijian Wu-Hao A",905,IF(OR(Atletas!U277="Taijijian 32 A",Atletas!U277="Taijijian 42 A"),906,IF(OR(Atletas!U277="Taijijian Yang B",Atletas!U277="Taijijian Yang Standard B"),907,IF(OR(Atletas!U277="Taijijian Chen B", Atletas!U277="Taijijian Chen Standard B"),908,IF(Atletas!U277="Taijijian Sun B",909,IF(Atletas!U277="Taijijian Wu B",910,IF(Atletas!U277="Taijijian Wu-Hao B",911,IF(OR(Atletas!U277="Taijijian 32 B",Atletas!U277="Taijijian 42 B"),912,IF(OR(Atletas!U277="Taijijian Yang C",Atletas!U277="Taijijian Yang Standard C"),913,IF(OR(Atletas!U277="Taijijian Chen C", Atletas!U277="Taijijian Chen Standard C"),914,IF(Atletas!U277="Taijijian Sun C",915,IF(Atletas!U277="Taijijian Wu C",916,IF(Atletas!U277="Taijijian Wu-Hao C",917,IF(OR(Atletas!U277="Taijijian 32 C",Atletas!U277="Taijijian 42 C"),918,IF(OR(Atletas!U277="Taijijian Yang D",Atletas!U277="Taijijian Yang Standard D"),919,IF(OR(Atletas!U277="Taijijian Chen D", Atletas!U277="Taijijian Chen Standard D"),920,IF(Atletas!U277="Taijijian Sun D",921,IF(Atletas!U277="Taijijian Wu D",922,IF(Atletas!U277="Taijijian Wu-Hao D",923,IF(OR(Atletas!U277="Taijijian 32 D",Atletas!U277="Taijijian 42 D"),924,IF(OR(Atletas!U277="Taijijian Yang E",Atletas!U277="Taijijian Yang Standard E"),925,IF(OR(Atletas!U277="Taijijian Chen E", Atletas!U277="Taijijian Chen Standard E"),926,IF(Atletas!U277="Taijijian Sun E",927,IF(Atletas!U277="Taijijian Wu E",928,IF(Atletas!U277="Taijijian Wu-Hao E",929,IF(OR(Atletas!U277="Taijijian 32 E",Atletas!U277="Taijijian 42 E"),930,IF(OR(Atletas!U277="Taijijian Yang F",Atletas!U277="Taijijian Yang Standard F"),931,IF(OR(Atletas!U277="Taijijian Chen F", Atletas!U277="Taijijian Chen Standard F"),932,IF(Atletas!U277="Taijijian Sun F",933,IF(Atletas!U277="Taijijian Wu F",934,IF(Atletas!U277="Taijijian Wu-Hao F",935,IF(OR(Atletas!U277="Taijijian 32 F",Atletas!U277="Taijijian 42 F"),936,"")))))))))))))))))))))))))))))))))))))</f>
        <v/>
      </c>
      <c r="CD286" s="50" t="str">
        <f>IF(Atletas!V277="","",IF(Atletas!X277&lt;&gt;"",10000,0)+IF(Atletas!B277="Feminino",1000,IF(Atletas!B277="Masculino",2000,""))+IF(Atletas!V277="Taijidao A",937,IF(Atletas!V277="TaijiShanzi A",938,IF(Atletas!V277="Taijiqiang A",939,IF(Atletas!V277="Bagua de Arma A",940,IF(Atletas!V277="Xingyi de Arma A",941,IF(Atletas!V277="Taijidao B",942,IF(Atletas!V277="TaijiShanzi B",943,IF(Atletas!V277="Taijiqiang B",944,IF(Atletas!V277="Bagua de Arma B",945,IF(Atletas!V277="Xingyi de Arma B",946,IF(Atletas!V277="Taijidao C",947,IF(Atletas!V277="TaijiShanzi C",948,IF(Atletas!V277="Taijiqiang C",949,IF(Atletas!V277="Bagua de Arma C",950,IF(Atletas!V277="Xingyi de Arma C",951,IF(Atletas!V277="Taijidao D",952,IF(Atletas!V277="TaijiShanzi D",953,IF(Atletas!V277="Taijiqiang D",954,IF(Atletas!V277="Bagua de Arma D",955,IF(Atletas!V277="Xingyi de Arma D",956,IF(Atletas!V277="Taijidao E",957,IF(Atletas!V277="TaijiShanzi E",958,IF(Atletas!V277="Taijiqiang E",959,IF(Atletas!V277="Bagua de Arma E",960,IF(Atletas!V277="Xingyi de Arma E",961,IF(Atletas!V277="Taijidao F",962,IF(Atletas!V277="TaijiShanzi F",963,IF(Atletas!V277="Taijiqiang F",964,IF(Atletas!V277="Bagua de Arma F",965,IF(Atletas!V277="Xingyi de Arma F",966,"")))))))))))))))))))))))))))))))</f>
        <v/>
      </c>
      <c r="CE286" s="66" t="str">
        <f>IF(CF286&lt;&gt;"","Shuangdao B","")</f>
        <v/>
      </c>
      <c r="CF286" s="66" t="str">
        <f>IF(COUNTIF(BR:CD,1814)&gt;0,COUNTIF(BR:CD,1814),"")</f>
        <v/>
      </c>
      <c r="CG286" s="66" t="str">
        <f>IF(CH286&lt;&gt;"","Shuangdao B","")</f>
        <v/>
      </c>
      <c r="CH286" s="66" t="str">
        <f>IF(COUNTIF(BT:CF,2814)&gt;0,COUNTIF(BT:CF,2814),"")</f>
        <v/>
      </c>
      <c r="CI286" s="66" t="str">
        <f>IF(CJ287&lt;&gt;"","Outra Arma Dupla F","")</f>
        <v/>
      </c>
      <c r="CJ286" s="66" t="str">
        <f>IF(COUNTIF(BR:CD,11810)&gt;0,COUNTIF(BR:CD,11810),"")</f>
        <v/>
      </c>
      <c r="CK286" s="66" t="str">
        <f>IF(CL286&lt;&gt;"","Outra Arma Maleável E","")</f>
        <v/>
      </c>
      <c r="CL286" s="66" t="str">
        <f>IF(COUNTIF(BR:CD,12810)&gt;0,COUNTIF(BR:CD,12810),"")</f>
        <v/>
      </c>
      <c r="CM286" s="50" t="str">
        <f xml:space="preserve"> IF(Atletas!W277="","",IF(Atletas!W277="Duilian de Mãos BC - Equipe 1",1,IF(Atletas!W277="Duilian de Mãos BC - Equipe 2",2,IF(Atletas!W277="Duilian de Armas BC - Equipe 1",3,IF(Atletas!W277="Duilian de Armas BC - Equipe 2",4,IF(Atletas!W277="Duilian de Mãos DE - Equipe 1",5,IF(Atletas!W277="Duilian de Mãos DE - Equipe 2",6,IF(Atletas!W277="Duilian de Armas DE - Equipe 1",7,IF(Atletas!W277="Duilian de Armas DE - Equipe 2",8,IF(Atletas!W277="Duilian de Tuishou - Equipe 1",9,IF(Atletas!W277="Duilian de Tuishou - Equipe 2",10,IF(Atletas!W277="Grupo Externo ABC - Equipe 1",11,IF(Atletas!W277="Grupo Externo ABC - Equipe 2",12,IF(Atletas!W277="Grupo Interno ABC - Equipe 1",13,IF(Atletas!W277="Grupo Interno ABC - Equipe 2",14,IF(Atletas!W277="Grupo Externo DEF - Equipe 1",15,IF(Atletas!W277="Grupo Externo DEF - Equipe 2",16,IF(Atletas!W277="Grupo Interno DEF - Equipe 1",17,IF(Atletas!W277="Grupo Interno DEF - Equipe 2",18,"")))))))))))))))))))</f>
        <v/>
      </c>
    </row>
    <row r="287" spans="2:91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 t="str">
        <f t="array" ref="Z287">IFERROR(INDEX(CE$7:CE$348,SMALL(IF(CE$7:CE$348&lt;&gt;"",ROW(CE$7:CE$348)-ROW(CE$7)+1),ROWS(CE$7:CE286))),"")</f>
        <v/>
      </c>
      <c r="AA287" s="3" t="str">
        <f t="array" ref="AA287">IFERROR(INDEX(CF$7:CF$348,SMALL(IF(CF$7:CF$348&lt;&gt;"",ROW(CF$7:CF$348)-ROW(CF$7)+1),ROWS(CF$7:CF286))),"")</f>
        <v/>
      </c>
      <c r="AB287" s="3" t="str">
        <f t="array" ref="AB287">IFERROR(INDEX(CG$7:CG$348,SMALL(IF(CG$7:CG$348&lt;&gt;"",ROW(CG$7:CG$348)-ROW(CG$7)+1),ROWS(CG$7:CG286))),"")</f>
        <v/>
      </c>
      <c r="AC287" s="3" t="str">
        <f t="array" ref="AC287">IFERROR(INDEX(CH$7:CH$348,SMALL(IF(CH$7:CH$348&lt;&gt;"",ROW(CH$7:CH$348)-ROW(CH$7)+1),ROWS(CH$7:CH286))),"")</f>
        <v/>
      </c>
      <c r="AD287" s="3" t="str">
        <f t="array" ref="AD287">IFERROR(INDEX(CI$7:CI$377,SMALL(IF(CI$7:CI$377&lt;&gt;"",ROW(CI$7:CI$377)-ROW(CI$7)+1),ROWS(CI$7:CI285))),"")</f>
        <v/>
      </c>
      <c r="AE287" s="3" t="str">
        <f t="array" ref="AE287">IFERROR(INDEX(CJ$7:CJ$378,SMALL(IF(CJ$7:CJ$378&lt;&gt;"",ROW(CJ$7:CJ$378)-ROW(CJ$7)+1),ROWS(CJ$7:CJ286))),"")</f>
        <v/>
      </c>
      <c r="AF287" s="3" t="str">
        <f t="array" ref="AF287">IFERROR(INDEX(CK$7:CK$378,SMALL(IF(CK$7:CK$378&lt;&gt;"",ROW(CK$7:CK$378)-ROW(CK$7)+1),ROWS(CK$7:CK286))),"")</f>
        <v/>
      </c>
      <c r="AG287" s="3" t="str">
        <f t="array" ref="AG287">IFERROR(INDEX(CL$7:CL$378,SMALL(IF(CL$7:CL$378&lt;&gt;"",ROW(CL$7:CL$378)-ROW(CL$7)+1),ROWS(CL$7:CL286))),"")</f>
        <v/>
      </c>
      <c r="AH287" s="3"/>
      <c r="AI287" s="3"/>
      <c r="AJ287" s="3"/>
      <c r="AK287" s="3"/>
      <c r="AL287" s="3"/>
      <c r="AM287" s="3"/>
      <c r="AN287" s="52" t="str">
        <f>IF(Atletas!D278="","",IF(Atletas!B278="Feminino",100,IF(Atletas!B278="Masculino",200,""))+(IF(Atletas!D278="Kids 30kg",1,IF(Atletas!D278="Kids 32kg",2, IF(Atletas!D278="Kids 34kg",3,IF(Atletas!D278="Kids 36kg",4,IF(Atletas!D278="Kids 39kg",5,IF(Atletas!D278="Kids 42kg",6,IF(Atletas!D278="Kids 45kg",7, IF(Atletas!D278="Infantil 39kg",8,IF(Atletas!D278="Infantil 42kg",9,IF(Atletas!D278="Infantil 45kg",10,IF(Atletas!D278="Infantil 48kg",11,IF(Atletas!D278="Infantil 52kg",12,IF(Atletas!D278="Infantil 56kg",13,IF(Atletas!D278="Infantil 60kg",14,IF(Atletas!D278="Juvenil 48kg",15,IF(Atletas!D278="Juvenil 52kg",16,IF(Atletas!D278="Juvenil 56kg",17,IF(Atletas!D278="Juvenil 60kg",18,IF(Atletas!D278="Juvenil 65kg",19,IF(Atletas!D278="Juvenil 70kg",20,IF(Atletas!D278="Juvenil 75kg",21,IF(Atletas!D278="Juvenil 80kg",22, IF(Atletas!D278="Juvenil 85kg",23,IF(Atletas!D278="Adulto 48kg",24,IF(Atletas!D278="Adulto 52kg",25,IF(Atletas!D278="Adulto 56kg",26,IF(Atletas!D278="Adulto 60kg",27,IF(Atletas!D278="Adulto 65kg",28,IF(Atletas!D278="Adulto 70kg",29,IF(Atletas!D278="Adulto 75kg",30,IF(Atletas!D278="Adulto 80kg",31,IF(Atletas!D278="Adulto 85kg",32,IF(Atletas!D278="Adulto 90kg",33,IF(Atletas!D278="Adulto 100kg",34, IF(Atletas!D278="Adulto +100kg",35,"")))))))))))))))))))))))))))))))))))))</f>
        <v/>
      </c>
      <c r="AS287" s="6" t="str">
        <f>IF(Atletas!E278="","",IF(Atletas!B278="Feminino",100,IF(Atletas!B278="Masculino",200,""))+(IF(Atletas!E278="Juvenil 44kg",1,IF(Atletas!E278="Juvenil 48kg",2,IF(Atletas!E278="Juvenil 52kg",3,IF(Atletas!E278="Juvenil 56kg",4,IF(Atletas!E278="Juvenil 60kg",5,IF(Atletas!E278="Juvenil 65kg",6,IF(Atletas!E278="Juvenil 70kg",7,IF(Atletas!E278="Juvenil 75kg",8,IF(Atletas!E278="Juvenil 82kg",9,IF(Atletas!E278="Juvenil 90kg",10,IF(Atletas!E278="Juvenil 100kg",11,IF(Atletas!E278="Adulto 48kg",12,IF(Atletas!E278="Adulto 52kg",13,IF(Atletas!E278="Adulto 56kg",14,IF(Atletas!E278="Adulto 60kg",15,IF(Atletas!E278="Adulto 65kg",16,IF(Atletas!E278="Adulto 70kg",17,IF(Atletas!E278="Adulto 75kg",18,IF(Atletas!E278="Adulto 82kg",19,IF(Atletas!E278="Adulto 90kg",20,IF(Atletas!E278="Adulto 100kg",21,IF(Atletas!E278="Adulto +100kg",22,""))))))))))))))))))))))))</f>
        <v/>
      </c>
      <c r="AX287" s="6" t="str">
        <f>IF(Atletas!F278="","",IF(Atletas!B278="Feminino",100,IF(Atletas!B278="Masculino",200,""))+(IF(Atletas!F278="Adulto 48kg",1,IF(Atletas!F278="Adulto 56kg",2,IF(Atletas!F278="Adulto 65kg",3,IF(Atletas!F278="Adulto 75kg",4,IF(Atletas!F278="Adulto +75kg",5,IF(Atletas!F278="Adulto 52kg",6,IF(Atletas!F278="Adulto 60kg",7,IF(Atletas!F278="Adulto 70kg",8,IF(Atletas!F278="Adulto 80kg",9,IF(Atletas!F278="Adulto 90kg",10,IF(Atletas!F278="Adulto +90kg",11,"")))))))))))))</f>
        <v/>
      </c>
      <c r="BC287" s="6" t="str">
        <f>IF(Atletas!G278="","",IF(Atletas!B278="Feminino",10,IF(Atletas!B278="Masculino",20,""))+(IF(Atletas!G278="Baduanjin A",1,IF(Atletas!G278="Baduanjin B",2))))</f>
        <v/>
      </c>
      <c r="BF287" s="52" t="str">
        <f>IF(Atletas!H278="","",IF(Atletas!B278="Feminino",100,IF(Atletas!B278="Masculino",200,""))+(IF(Atletas!H278="Changquan Mirim",1,IF(Atletas!H278="Nanquan Mirim",2,IF(Atletas!H278="Taijiquan Mirim",3,IF(Atletas!H278="Changquan Grupo C",4,IF(Atletas!H278="Nanquan Grupo C",5,IF(Atletas!H278="Taijiquan Grupo C",6,IF(Atletas!H278="Changquan Grupo B",7,IF(Atletas!H278="Nanquan Grupo B",8,IF(Atletas!H278="Taijiquan Grupo B",9,IF(Atletas!H278="Changquan Grupo A",10,IF(Atletas!H278="Nanquan Grupo A",11,IF(Atletas!H278="Taijiquan Grupo A",12,IF(Atletas!H278="Changquan Opcional",13,IF(Atletas!H278="Nanquan Opcional",14,IF(Atletas!H278="Taijiquan Opcional",15,IF(Atletas!H278="Changquan Adulto",16,IF(Atletas!H278="Nanquan Adulto",17,IF(Atletas!H278="Taijiquan Adulto",18,""))))))))))))))))))))</f>
        <v/>
      </c>
      <c r="BG287" s="52" t="str">
        <f>IF(Atletas!I278="","",IF(Atletas!B278="Feminino",100,IF(Atletas!B278="Masculino",200,""))+(IF(Atletas!I278="Daoshu Mirim",19,IF(Atletas!I278="Jianshu Mirim",20,IF(Atletas!I278="Nandao Mirim",21,IF(Atletas!I278="Taijijian Mirim",22,IF(Atletas!I278="Daoshu Grupo C",23,IF(Atletas!I278="Jianshu Grupo C",24,IF(Atletas!I278="Nandao Grupo C",25,IF(Atletas!I278="Taijijian Grupo C",26,IF(Atletas!I278="Daoshu Grupo B",27,IF(Atletas!I278="Jianshu Grupo B",28,IF(Atletas!I278="Nandao Grupo B",29,IF(Atletas!I278="Taijijian Grupo B",30,IF(Atletas!I278="Daoshu Grupo A",31,IF(Atletas!I278="Jianshu Grupo A",32,IF(Atletas!I278="Nandao Grupo A",33,IF(Atletas!I278="Taijijian Grupo A",34,IF(Atletas!I278="Daoshu Opcional",35,IF(Atletas!I278="Jianshu Opcional",36,IF(Atletas!I278="Nandao Opcional",37,IF(Atletas!I278="Taijijian Opcional",38,IF(Atletas!I278="Daoshu Adulto",39,IF(Atletas!I278="Jianshu Adulto",40,IF(Atletas!I278="Nandao Adulto",41,IF(Atletas!I278="Taijijian Adulto",42,""))))))))))))))))))))))))))</f>
        <v/>
      </c>
      <c r="BH287" s="52" t="str">
        <f>IF(Atletas!J278="","",IF(Atletas!B278="Feminino",100,IF(Atletas!B278="Masculino",200,""))+(IF(Atletas!J278="Gunshu Mirim",43,IF(Atletas!J278="Qiangshu Mirim",44,IF(Atletas!J278="Nangun Mirim",45,IF(Atletas!J278="Gunshu Grupo C",46,IF(Atletas!J278="Qiangshu Grupo C",47,IF(Atletas!J278="Nangun Grupo C",48,IF(Atletas!J278="Gunshu Grupo B",49,IF(Atletas!J278="Qiangshu Grupo B",50,IF(Atletas!J278="Nangun Grupo B",51,IF(Atletas!J278="Gunshu Grupo A",52,IF(Atletas!J278="Qiangshu Grupo A",53,IF(Atletas!J278="Nangun Grupo A",54,IF(Atletas!J278="Gunshu Opcional",55,IF(Atletas!J278="Qiangshu Opcional",56,IF(Atletas!J278="Nangun Opcional",57,IF(Atletas!J278="Gunshu Adulto",58,IF(Atletas!J278="Qiangshu Adulto",59,IF(Atletas!J278="Nangun Adulto",60,IF(Atletas!J278="Taijishan Grupo B",61,IF(Atletas!J278="Taijishan Grupo A",62,""))))))))))))))))))))))</f>
        <v/>
      </c>
      <c r="BM287" s="50" t="str">
        <f>IF(Atletas!K278="","",IF(Atletas!B278="Feminino",100,IF(Atletas!B278="Masculino",200,""))+(IF(Atletas!K278="Equipe 1 Grupo B",1,IF(Atletas!K278="Equipe 2 Grupo B",2,IF(Atletas!K278="Equipe 1 Grupo A",3,IF(Atletas!K278="Equipe 2 Grupo A",4,IF(Atletas!K278="Equipe 1 Adulto",5,IF(Atletas!K278="Equipe 2 Adulto",6,""))))))))</f>
        <v/>
      </c>
      <c r="BR287" s="50" t="str">
        <f>IF(Atletas!L278="","",IF(Atletas!X278&lt;&gt;"",10000,0)+(IF(Atletas!B278="Feminino",1000,IF(Atletas!B278="Masculino",2000,""))+IF(Atletas!L278="Choylayfut A",1,IF(Atletas!L278="Hunggar A",2,IF(Atletas!L278="Wuzuquan A",3,IF(Atletas!L278="Wingchun A",4,IF(Atletas!L278="Outra Mão de Sul A",5,IF(Atletas!L278="Choylayfut B",6,IF(Atletas!L278="Hunggar B",7,IF(Atletas!L278="Wuzuquan B",8,IF(Atletas!L278="Wingchun B",9,IF(Atletas!L278="Outra Mão de Sul B",10,IF(Atletas!L278="Choylayfut C",11,IF(Atletas!L278="Hunggar C",12,IF(Atletas!L278="Wuzuquan C",13,IF(Atletas!L278="Wingchun C",14,IF(Atletas!L278="Outra Mão de Sul C",15,IF(Atletas!L278="Choylayfut D",16,IF(Atletas!L278="Hunggar D",17,IF(Atletas!L278="Wuzuquan D",18,IF(Atletas!L278="Wingchun D",19,IF(Atletas!L278="Outra Mão de Sul D",20,IF(Atletas!L278="Choylayfut E",21,IF(Atletas!L278="Hunggar E",22,IF(Atletas!L278="Wuzuquan E",23,IF(Atletas!L278="Wingchun E",24,IF(Atletas!L278="Outra Mão de Sul E",25,IF(Atletas!L278="Choylayfut F",26,IF(Atletas!L278="Hunggar F",27,IF(Atletas!L278="Wuzuquan F",28,IF(Atletas!L278="Wingchun F",29,IF(Atletas!L278="Outra Mão de Sul F",30,IF(Atletas!L278="Dishuquan A",31,IF(Atletas!L278="Dishuquan B",32,IF(Atletas!L278="Dishuquan C",33,IF(Atletas!L278="Dishuquan D",34,IF(Atletas!L278="Dishuquan E",35,IF(Atletas!L278="Dishuquan F",36,""))))))))))))))))))))))))))))))))))))))</f>
        <v/>
      </c>
      <c r="BS287" s="50" t="str">
        <f>IF(Atletas!M278="","",IF(Atletas!X278&lt;&gt;"",10000,0)+(IF(Atletas!B278="Feminino",1000,IF(Atletas!B278="Masculino",2000,""))+(IF(Atletas!M278="Chaquan A",101,IF(Atletas!M278="Emeiquan A",102,IF(Atletas!M278="Fanziquan A",103,IF(Atletas!M278="Huaquan A",104,IF(Atletas!M278="Hongquan A",105,IF(Atletas!M278="Paoquan A",106,IF(Atletas!M278="Piguaquan A",107,IF(Atletas!M278="Shaolinquan A",108,IF(Atletas!M278="Tanglangquan A",109,IF(Atletas!M278="Yingzhaoquan A",110,IF(Atletas!M278="Tongbeiquan A",111,IF(Atletas!M278="Wudangquan A",112,IF(Atletas!M278="Outros Estilos A",113,IF(Atletas!M278="Chaquan B",114,IF(Atletas!M278="Emeiquan B",115,IF(Atletas!M278="Fanziquan B",116,IF(Atletas!M278="Huaquan B",117,IF(Atletas!M278="Hongquan B",118,IF(Atletas!M278="Paoquan B",119,IF(Atletas!M278="Piguaquan B",120,IF(Atletas!M278="Shaolinquan B",121,IF(Atletas!M278="Tanglangquan B",122,IF(Atletas!M278="Yingzhaoquan B",123,IF(Atletas!M278="Tongbeiquan B",124,IF(Atletas!M278="Wudangquan B",125,IF(Atletas!M278="Outros Estilos B",126,IF(Atletas!M278="Chaquan C",127,IF(Atletas!M278="Emeiquan C",128,IF(Atletas!M278="Fanziquan C",129,IF(Atletas!M278="Huaquan C",130,IF(Atletas!M278="Hongquan C",131,IF(Atletas!M278="Paoquan C",132,IF(Atletas!M278="Piguaquan C",133,IF(Atletas!M278="Shaolinquan C",134,IF(Atletas!M278="Tanglangquan C",135,IF(Atletas!M278="Yingzhaoquan C",136,IF(Atletas!M278="Tongbeiquan C",137,IF(Atletas!M278="Wudangquan C",138,IF(Atletas!M278="Outros Estilos C",139,0))))))))))))))))))))))))))))))))))))))))))</f>
        <v/>
      </c>
      <c r="BT287" s="50" t="str">
        <f>IF(Atletas!M278="","",IF(Atletas!X278&lt;&gt;"",10000,0)+(IF(Atletas!B278="Feminino",1000,IF(Atletas!B278="Masculino",2000,""))+(IF(Atletas!M278="Chaquan D",140,IF(Atletas!M278="Emeiquan D",141,IF(Atletas!M278="Fanziquan D",142,IF(Atletas!M278="Huaquan D",143,IF(Atletas!M278="Hongquan D",144,IF(Atletas!M278="Paoquan D",145,IF(Atletas!M278="Piguaquan D",146,IF(Atletas!M278="Shaolinquan D",147,IF(Atletas!M278="Tanglangquan D",148,IF(Atletas!M278="Yingzhaoquan D",149,IF(Atletas!M278="Tongbeiquan D",150,IF(Atletas!M278="Wudangquan D",151,IF(Atletas!M278="Outros Estilos D",152,IF(Atletas!M278="Chaquan E",153,IF(Atletas!M278="Emeiquan E",154,IF(Atletas!M278="Fanziquan E",155,IF(Atletas!M278="Huaquan E",156,IF(Atletas!M278="Hongquan E",157,IF(Atletas!M278="Paoquan E",158,IF(Atletas!M278="Piguaquan E",159,IF(Atletas!M278="Shaolinquan E",160,IF(Atletas!M278="Tanglangquan E",161,IF(Atletas!M278="Yingzhaoquan E",162,IF(Atletas!M278="Tongbeiquan E",163,IF(Atletas!M278="Wudangquan E",164,IF(Atletas!M278="Outros Estilos E",165,IF(Atletas!M278="Chaquan F",166,IF(Atletas!M278="Emeiquan F",167,IF(Atletas!M278="Fanziquan F",168,IF(Atletas!M278="Huaquan F",169,IF(Atletas!M278="Hongquan F",170,IF(Atletas!M278="Paoquan F",171,IF(Atletas!M278="Piguaquan F",172,IF(Atletas!M278="Shaolinquan F",173,IF(Atletas!M278="Tanglangquan F",174,IF(Atletas!M278="Yingzhaoquan F",175,IF(Atletas!M278="Tongbeiquan F",176,IF(Atletas!M278="Wudangquan F",177,IF(Atletas!M278="Outros Estilos F",178,0))))))))))))))))))))))))))))))))))))))))))</f>
        <v/>
      </c>
      <c r="BU287" s="50" t="str">
        <f>IF(Atletas!N278="","",IF(Atletas!X278&lt;&gt;"",10000,0)+(IF(Atletas!B278="Feminino",1000,IF(Atletas!B278="Masculino",2000,""))+(IF(Atletas!N278="Ditangquan A",201,IF(Atletas!N278="Houquan A",202,IF(Atletas!N278="Zuiquan A",203,IF(Atletas!N278="Ditangquan B",204,IF(Atletas!N278="Houquan B",205,IF(Atletas!N278="Zuiquan B",206,IF(Atletas!N278="Ditangquan C",207,IF(Atletas!N278="Houquan C",208,IF(Atletas!N278="Zuiquan C",209,IF(Atletas!N278="Ditangquan D",210,IF(Atletas!N278="Houquan D",211,IF(Atletas!N278="Zuiquan D",212,IF(Atletas!N278="Ditangquan E",213,IF(Atletas!N278="Houquan E",214,IF(Atletas!N278="Zuiquan E",215,IF(Atletas!N278="Ditangquan F",216,IF(Atletas!N278="Houquan F",217,IF(Atletas!N278="Zuiquan F",218,"")))))))))))))))))))))</f>
        <v/>
      </c>
      <c r="BV287" s="50" t="str">
        <f>IF(Atletas!O278="","",IF(Atletas!X278&lt;&gt;"",10000,0)+IF(Atletas!B278="Feminino",1000,IF(Atletas!B278="Masculino",2000,""))+IF(Atletas!O278="Yang A",301,IF(Atletas!O278="Chen A",302,IF(Atletas!O278="Sun A",303,IF(Atletas!O278="Wu A",304,IF(Atletas!O278="Wu-Hao A",305,IF(Atletas!O278="Outro Taijiquan A",306,IF(Atletas!O278="Yang B",307,IF(Atletas!O278="Chen B",308,IF(Atletas!O278="Sun B",309,IF(Atletas!O278="Wu B",310,IF(Atletas!O278="Wu-Hao B",311,IF(Atletas!O278="Outro Taijiquan B",312,IF(Atletas!O278="Yang C",313,IF(Atletas!O278="Chen C",314,IF(Atletas!O278="Sun C",315,IF(Atletas!O278="Wu C",316,IF(Atletas!O278="Wu-Hao C",317,IF(Atletas!O278="Outro Taijiquan C",318,IF(Atletas!O278="Yang D",319,IF(Atletas!O278="Chen D",320,IF(Atletas!O278="Sun D",321,IF(Atletas!O278="Wu D",322,IF(Atletas!O278="Wu-Hao D",323,IF(Atletas!O278="Outro Taijiquan D",324,IF(Atletas!O278="Yang E",325,IF(Atletas!O278="Chen E",326,IF(Atletas!O278="Sun E",327,IF(Atletas!O278="Wu E",328,IF(Atletas!O278="Wu-Hao E",329,IF(Atletas!O278="Outro Taijiquan E",330,IF(Atletas!O278="Yang F",331,IF(Atletas!O278="Chen F",332,IF(Atletas!O278="Sun F",333,IF(Atletas!O278="Wu F",334,IF(Atletas!O278="Wu-Hao F",335,IF(Atletas!O278="Outro Taijiquan F",336,"")))))))))))))))))))))))))))))))))))))</f>
        <v/>
      </c>
      <c r="BW287" s="50" t="str">
        <f>IF(Atletas!P278="","",IF(Atletas!X278&lt;&gt;"",10000,0)+IF(Atletas!B278="Feminino",1000,IF(Atletas!B278="Masculino",2000,""))+IF(OR(Atletas!P278="Yang 26 A",Atletas!P278="Yang 40 A"),401,IF(OR(Atletas!P278="Chen 25 A",Atletas!P278="Chen 36 A",Atletas!P278="Chen 56 A"),402,IF(Atletas!P278="Sun 73 A",403,IF(Atletas!P278="Wu 45 A",404,IF(Atletas!P278="Wu-Hao 46 A",405,IF(OR(Atletas!P278="Taijiquan 16 A",Atletas!P278="Taijiquan 24 A",Atletas!P278="Taijiquan 32 A",Atletas!P278="Taijiquan 42 A"),406,IF(OR(Atletas!P278="Yang 26 B",Atletas!P278="Yang 40 B"),407,IF(OR(Atletas!P278="Chen 25 B",Atletas!P278="Chen 36 B",Atletas!P278="Chen 56 B"),408,IF(Atletas!P278="Sun 73 B",409,IF(Atletas!P278="Wu 45 B",410,IF(Atletas!P278="Wu-Hao 46 B",411,IF(OR(Atletas!P278="Taijiquan 16 B",Atletas!P278="Taijiquan 24 B",Atletas!P278="Taijiquan 32 B",Atletas!P278="Taijiquan 42 B"),412,IF(OR(Atletas!P278="Yang 26 C",Atletas!P278="Yang 40 C"),413,IF(OR(Atletas!P278="Chen 25 C",Atletas!P278="Chen 36 C",Atletas!P278="Chen 56 C"),414,IF(Atletas!P278="Sun 73 C",415,IF(Atletas!P278="Wu 45 C",416,IF(Atletas!P278="Wu-Hao 46 C",417,IF(OR(Atletas!P278="Taijiquan 16 C",Atletas!P278="Taijiquan 24 C",Atletas!P278="Taijiquan 32 C",Atletas!P278="Taijiquan 42 C"),418,0)))))))))))))))))))</f>
        <v/>
      </c>
      <c r="BX287" s="50" t="str">
        <f>IF(Atletas!P278="","",IF(Atletas!X278&lt;&gt;"",10000,0)+IF(Atletas!B278="Feminino",1000,IF(Atletas!B278="Masculino",2000,""))+IF(OR(Atletas!P278="Yang 26 D",Atletas!P278="Yang 40 D"),419,IF(OR(Atletas!P278="Chen 25 D",Atletas!P278="Chen 36 D",Atletas!P278="Chen 56 D"),420,IF(Atletas!P278="Sun 73 D",421,IF(Atletas!P278="Wu 45 D",422,IF(Atletas!P278="Wu-Hao 46 D",423,IF(OR(Atletas!P278="Taijiquan 16 D",Atletas!P278="Taijiquan 24 D",Atletas!P278="Taijiquan 32 D",Atletas!P278="Taijiquan 42 D"),424,IF(OR(Atletas!P278="Yang 26 E",Atletas!P278="Yang 40 E"),425,IF(OR(Atletas!P278="Chen 25 E",Atletas!P278="Chen 36 E",Atletas!P278="Chen 56 E"),426,IF(Atletas!P278="Sun 73 E",427,IF(Atletas!P278="Wu 45 E",428,IF(Atletas!P278="Wu-Hao 46 E",429,IF(OR(Atletas!P278="Taijiquan 16 E",Atletas!P278="Taijiquan 24 E",Atletas!P278="Taijiquan 32 E",Atletas!P278="Taijiquan 42 E"),430,IF(OR(Atletas!P278="Yang 26 F",Atletas!P278="Yang 40 F"),431,IF(OR(Atletas!P278="Chen 25 F",Atletas!P278="Chen 36 F",Atletas!P278="Chen 56 F"),432,IF(Atletas!P278="Sun 73 F",433,IF(Atletas!P278="Wu 45 F",434,IF(Atletas!P278="Wu-Hao 46 F",435,IF(OR(Atletas!P278="Taijiquan 16 F",Atletas!P278="Taijiquan 24 F",Atletas!P278="Taijiquan 32 F",Atletas!P278="Taijiquan 42 F"),436,0)))))))))))))))))))</f>
        <v/>
      </c>
      <c r="BY287" s="50" t="str">
        <f>IF(Atletas!Q278="","",IF(Atletas!X278&lt;&gt;"",10000,0)+IF(Atletas!B278="Feminino",1000,IF(Atletas!B278="Masculino",2000,""))+IF(Atletas!Q278="Xingyiquan A",501,IF(Atletas!Q278="Baguazhang A",502,IF(Atletas!Q278="Outro Estilo Interno A",503,IF(Atletas!Q278="Xingyiquan B",504,IF(Atletas!Q278="Baguazhang B",505,IF(Atletas!Q278="Outro Estilo Interno B",506,IF(Atletas!Q278="Xingyiquan C",507,IF(Atletas!Q278="Baguazhang C",508,IF(Atletas!Q278="Outro Estilo Interno C",509,IF(Atletas!Q278="Xingyiquan D",510,IF(Atletas!Q278="Baguazhang D",511,IF(Atletas!Q278="Outro Estilo Interno D",512,IF(Atletas!Q278="Xingyiquan E",513,IF(Atletas!Q278="Baguazhang E",514,IF(Atletas!Q278="Outro Estilo Interno E",515,IF(Atletas!Q278="Xingyiquan F",516,IF(Atletas!Q278="Baguazhang F",517,IF(Atletas!Q278="Outro Estilo Interno F",518, "")))))))))))))))))))</f>
        <v/>
      </c>
      <c r="BZ287" s="50" t="str">
        <f>IF(Atletas!R278="","",IF(Atletas!X278&lt;&gt;"",10000,0)+IF(Atletas!B278="Feminino",1000,IF(Atletas!B278="Masculino",2000,""))+IF(Atletas!R278="Dao A",601,IF(Atletas!R278="Jian A",602,IF(Atletas!R278="Bishou A",603,IF(Atletas!R278="Shanzi A",604,IF(Atletas!R278="Outra Arma Curta A",605,IF(Atletas!R278="Dao B",606,IF(Atletas!R278="Jian B",607,IF(Atletas!R278="Bishou B",608,IF(Atletas!R278="Shanzi B",609,IF(Atletas!R278="Outra Arma Curta B",610,IF(Atletas!R278="Dao C",611,IF(Atletas!R278="Jian C",612,IF(Atletas!R278="Bishou C",613,IF(Atletas!R278="Shanzi C",614,IF(Atletas!R278="Outra Arma Curta C",615,IF(Atletas!R278="Dao D",616,IF(Atletas!R278="Jian D",617,IF(Atletas!R278="Bishou D",618,IF(Atletas!R278="Shanzi D",619,IF(Atletas!R278="Outra Arma Curta D",620,IF(Atletas!R278="Dao E",621,IF(Atletas!R278="Jian E",622,IF(Atletas!R278="Bishou E",623,IF(Atletas!R278="Shanzi E",624,IF(Atletas!R278="Outra Arma Curta E",625,IF(Atletas!R278="Dao F",626,IF(Atletas!R278="Jian F",627,IF(Atletas!R278="Bishou F",628,IF(Atletas!R278="Shanzi F",629,IF(Atletas!R278="Outra Arma Curta F",630, "")))))))))))))))))))))))))))))))</f>
        <v/>
      </c>
      <c r="CA287" s="50" t="str">
        <f>IF(Atletas!S278="","",IF(Atletas!X278&lt;&gt;"",10000,0)+IF(Atletas!B278="Feminino",1000,IF(Atletas!B278="Masculino",2000,""))+IF(Atletas!S278="Gun A",701,IF(Atletas!S278="Qiang A",702,IF(Atletas!S278="Pudao / Guandao A",703,IF(Atletas!S278="Outra Arma Longa A",704,IF(Atletas!S278="Gun B",705,IF(Atletas!S278="Qiang B",706,IF(Atletas!S278="Pudao / Guandao B",707,IF(Atletas!S278="Outra Arma Longa B",708,IF(Atletas!S278="Gun C",709,IF(Atletas!S278="Qiang C",710,IF(Atletas!S278="Pudao / Guandao C",711,IF(Atletas!S278="Outra Arma Longa C",712,IF(Atletas!S278="Gun D",713,IF(Atletas!S278="Qiang D",714,IF(Atletas!S278="Pudao / Guandao D",715,IF(Atletas!S278="Outra Arma Longa D",716,IF(Atletas!S278="Gun E",717,IF(Atletas!S278="Qiang E",718,IF(Atletas!S278="Pudao / Guandao E",719,IF(Atletas!S278="Outra Arma Longa E",720,IF(Atletas!S278="Gun F",721,IF(Atletas!S278="Qiang F",722,IF(Atletas!S278="Pudao / Guandao F",723,IF(Atletas!S278="Outra Arma Longa F",724,"")))))))))))))))))))))))))</f>
        <v/>
      </c>
      <c r="CB287" s="50" t="str">
        <f>IF(Atletas!T278="","",IF(Atletas!X278&lt;&gt;"",10000,0)+IF(Atletas!B278="Feminino",1000,IF(Atletas!B278="Masculino",2000,""))+IF(Atletas!T278="Outra Arma Dupla A",801,IF(Atletas!T278="Arma Maleável A",802,IF(Atletas!T278="Outra Arma Dupla B",803,IF(Atletas!T278="Arma Maleável B",804,IF(Atletas!T278="Outra Arma Dupla C",805,IF(Atletas!T278="Arma Maleável C",806,IF(Atletas!T278="Outra Arma Dupla D",807,IF(Atletas!T278="Arma Maleável D",808,IF(Atletas!T278="Outra Arma Dupla E",809,IF(Atletas!T278="Arma Maleável E",810,IF(Atletas!T278="Outra Arma Dupla F",811,IF(Atletas!T278="Arma Maleável F",812,IF(Atletas!T278="Shuangdao A",813,IF(Atletas!T278="Shuangdao B",814,IF(Atletas!T278="Shuangdao C",815,IF(Atletas!T278="Shuangdao D",816,IF(Atletas!T278="Shuangdao E",817,IF(Atletas!T278="Shuangdao F",818,"")))))))))))))))))))</f>
        <v/>
      </c>
      <c r="CC287" s="50" t="str">
        <f>IF(Atletas!U278="","",IF(Atletas!X278&lt;&gt;"",10000,0)+IF(Atletas!B278="Feminino",1000,IF(Atletas!B278="Masculino",2000,""))+IF(OR(Atletas!U278="Taijijian Yang A",Atletas!U278="Taijijian Yang Standard A"),901,IF(OR(Atletas!U278="Taijijian Chen A", Atletas!U278="Taijijian Chen Standard A"),902,IF(Atletas!U278="Taijijian Sun A",903,IF(Atletas!U278="Taijijian Wu A",904,IF(Atletas!U278="Taijijian Wu-Hao A",905,IF(OR(Atletas!U278="Taijijian 32 A",Atletas!U278="Taijijian 42 A"),906,IF(OR(Atletas!U278="Taijijian Yang B",Atletas!U278="Taijijian Yang Standard B"),907,IF(OR(Atletas!U278="Taijijian Chen B", Atletas!U278="Taijijian Chen Standard B"),908,IF(Atletas!U278="Taijijian Sun B",909,IF(Atletas!U278="Taijijian Wu B",910,IF(Atletas!U278="Taijijian Wu-Hao B",911,IF(OR(Atletas!U278="Taijijian 32 B",Atletas!U278="Taijijian 42 B"),912,IF(OR(Atletas!U278="Taijijian Yang C",Atletas!U278="Taijijian Yang Standard C"),913,IF(OR(Atletas!U278="Taijijian Chen C", Atletas!U278="Taijijian Chen Standard C"),914,IF(Atletas!U278="Taijijian Sun C",915,IF(Atletas!U278="Taijijian Wu C",916,IF(Atletas!U278="Taijijian Wu-Hao C",917,IF(OR(Atletas!U278="Taijijian 32 C",Atletas!U278="Taijijian 42 C"),918,IF(OR(Atletas!U278="Taijijian Yang D",Atletas!U278="Taijijian Yang Standard D"),919,IF(OR(Atletas!U278="Taijijian Chen D", Atletas!U278="Taijijian Chen Standard D"),920,IF(Atletas!U278="Taijijian Sun D",921,IF(Atletas!U278="Taijijian Wu D",922,IF(Atletas!U278="Taijijian Wu-Hao D",923,IF(OR(Atletas!U278="Taijijian 32 D",Atletas!U278="Taijijian 42 D"),924,IF(OR(Atletas!U278="Taijijian Yang E",Atletas!U278="Taijijian Yang Standard E"),925,IF(OR(Atletas!U278="Taijijian Chen E", Atletas!U278="Taijijian Chen Standard E"),926,IF(Atletas!U278="Taijijian Sun E",927,IF(Atletas!U278="Taijijian Wu E",928,IF(Atletas!U278="Taijijian Wu-Hao E",929,IF(OR(Atletas!U278="Taijijian 32 E",Atletas!U278="Taijijian 42 E"),930,IF(OR(Atletas!U278="Taijijian Yang F",Atletas!U278="Taijijian Yang Standard F"),931,IF(OR(Atletas!U278="Taijijian Chen F", Atletas!U278="Taijijian Chen Standard F"),932,IF(Atletas!U278="Taijijian Sun F",933,IF(Atletas!U278="Taijijian Wu F",934,IF(Atletas!U278="Taijijian Wu-Hao F",935,IF(OR(Atletas!U278="Taijijian 32 F",Atletas!U278="Taijijian 42 F"),936,"")))))))))))))))))))))))))))))))))))))</f>
        <v/>
      </c>
      <c r="CD287" s="50" t="str">
        <f>IF(Atletas!V278="","",IF(Atletas!X278&lt;&gt;"",10000,0)+IF(Atletas!B278="Feminino",1000,IF(Atletas!B278="Masculino",2000,""))+IF(Atletas!V278="Taijidao A",937,IF(Atletas!V278="TaijiShanzi A",938,IF(Atletas!V278="Taijiqiang A",939,IF(Atletas!V278="Bagua de Arma A",940,IF(Atletas!V278="Xingyi de Arma A",941,IF(Atletas!V278="Taijidao B",942,IF(Atletas!V278="TaijiShanzi B",943,IF(Atletas!V278="Taijiqiang B",944,IF(Atletas!V278="Bagua de Arma B",945,IF(Atletas!V278="Xingyi de Arma B",946,IF(Atletas!V278="Taijidao C",947,IF(Atletas!V278="TaijiShanzi C",948,IF(Atletas!V278="Taijiqiang C",949,IF(Atletas!V278="Bagua de Arma C",950,IF(Atletas!V278="Xingyi de Arma C",951,IF(Atletas!V278="Taijidao D",952,IF(Atletas!V278="TaijiShanzi D",953,IF(Atletas!V278="Taijiqiang D",954,IF(Atletas!V278="Bagua de Arma D",955,IF(Atletas!V278="Xingyi de Arma D",956,IF(Atletas!V278="Taijidao E",957,IF(Atletas!V278="TaijiShanzi E",958,IF(Atletas!V278="Taijiqiang E",959,IF(Atletas!V278="Bagua de Arma E",960,IF(Atletas!V278="Xingyi de Arma E",961,IF(Atletas!V278="Taijidao F",962,IF(Atletas!V278="TaijiShanzi F",963,IF(Atletas!V278="Taijiqiang F",964,IF(Atletas!V278="Bagua de Arma F",965,IF(Atletas!V278="Xingyi de Arma F",966,"")))))))))))))))))))))))))))))))</f>
        <v/>
      </c>
      <c r="CE287" s="66" t="str">
        <f>IF(CF287&lt;&gt;"","Outra Arma Dupla B","")</f>
        <v/>
      </c>
      <c r="CF287" s="66" t="str">
        <f>IF(COUNTIF(BR:CD,1803)&gt;0,COUNTIF(BR:CD,1803),"")</f>
        <v/>
      </c>
      <c r="CG287" s="66" t="str">
        <f>IF(CH287&lt;&gt;"","Outra Arma Dupla B","")</f>
        <v/>
      </c>
      <c r="CH287" s="66" t="str">
        <f>IF(COUNTIF(BT:CF,2803)&gt;0,COUNTIF(BT:CF,2803),"")</f>
        <v/>
      </c>
      <c r="CI287" s="66" t="str">
        <f>IF(CJ288&lt;&gt;"","Outra Arma Maleável F","")</f>
        <v/>
      </c>
      <c r="CJ287" s="66" t="str">
        <f>IF(COUNTIF(BR:CD,11811)&gt;0,COUNTIF(BR:CD,11811),"")</f>
        <v/>
      </c>
      <c r="CK287" s="66" t="str">
        <f>IF(CL287&lt;&gt;"","Outra Arma Dupla F","")</f>
        <v/>
      </c>
      <c r="CL287" s="66" t="str">
        <f>IF(COUNTIF(BR:CD,12811)&gt;0,COUNTIF(BR:CD,12811),"")</f>
        <v/>
      </c>
      <c r="CM287" s="50" t="str">
        <f xml:space="preserve"> IF(Atletas!W278="","",IF(Atletas!W278="Duilian de Mãos BC - Equipe 1",1,IF(Atletas!W278="Duilian de Mãos BC - Equipe 2",2,IF(Atletas!W278="Duilian de Armas BC - Equipe 1",3,IF(Atletas!W278="Duilian de Armas BC - Equipe 2",4,IF(Atletas!W278="Duilian de Mãos DE - Equipe 1",5,IF(Atletas!W278="Duilian de Mãos DE - Equipe 2",6,IF(Atletas!W278="Duilian de Armas DE - Equipe 1",7,IF(Atletas!W278="Duilian de Armas DE - Equipe 2",8,IF(Atletas!W278="Duilian de Tuishou - Equipe 1",9,IF(Atletas!W278="Duilian de Tuishou - Equipe 2",10,IF(Atletas!W278="Grupo Externo ABC - Equipe 1",11,IF(Atletas!W278="Grupo Externo ABC - Equipe 2",12,IF(Atletas!W278="Grupo Interno ABC - Equipe 1",13,IF(Atletas!W278="Grupo Interno ABC - Equipe 2",14,IF(Atletas!W278="Grupo Externo DEF - Equipe 1",15,IF(Atletas!W278="Grupo Externo DEF - Equipe 2",16,IF(Atletas!W278="Grupo Interno DEF - Equipe 1",17,IF(Atletas!W278="Grupo Interno DEF - Equipe 2",18,"")))))))))))))))))))</f>
        <v/>
      </c>
    </row>
    <row r="288" spans="2:91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 t="str">
        <f t="array" ref="Z288">IFERROR(INDEX(CE$7:CE$348,SMALL(IF(CE$7:CE$348&lt;&gt;"",ROW(CE$7:CE$348)-ROW(CE$7)+1),ROWS(CE$7:CE287))),"")</f>
        <v/>
      </c>
      <c r="AA288" s="3" t="str">
        <f t="array" ref="AA288">IFERROR(INDEX(CF$7:CF$348,SMALL(IF(CF$7:CF$348&lt;&gt;"",ROW(CF$7:CF$348)-ROW(CF$7)+1),ROWS(CF$7:CF287))),"")</f>
        <v/>
      </c>
      <c r="AB288" s="3" t="str">
        <f t="array" ref="AB288">IFERROR(INDEX(CG$7:CG$348,SMALL(IF(CG$7:CG$348&lt;&gt;"",ROW(CG$7:CG$348)-ROW(CG$7)+1),ROWS(CG$7:CG287))),"")</f>
        <v/>
      </c>
      <c r="AC288" s="3" t="str">
        <f t="array" ref="AC288">IFERROR(INDEX(CH$7:CH$348,SMALL(IF(CH$7:CH$348&lt;&gt;"",ROW(CH$7:CH$348)-ROW(CH$7)+1),ROWS(CH$7:CH287))),"")</f>
        <v/>
      </c>
      <c r="AD288" s="3" t="str">
        <f t="array" ref="AD288">IFERROR(INDEX(CI$7:CI$377,SMALL(IF(CI$7:CI$377&lt;&gt;"",ROW(CI$7:CI$377)-ROW(CI$7)+1),ROWS(CI$7:CI286))),"")</f>
        <v/>
      </c>
      <c r="AE288" s="3" t="str">
        <f t="array" ref="AE288">IFERROR(INDEX(CJ$7:CJ$378,SMALL(IF(CJ$7:CJ$378&lt;&gt;"",ROW(CJ$7:CJ$378)-ROW(CJ$7)+1),ROWS(CJ$7:CJ287))),"")</f>
        <v/>
      </c>
      <c r="AF288" s="3" t="str">
        <f t="array" ref="AF288">IFERROR(INDEX(CK$7:CK$378,SMALL(IF(CK$7:CK$378&lt;&gt;"",ROW(CK$7:CK$378)-ROW(CK$7)+1),ROWS(CK$7:CK287))),"")</f>
        <v/>
      </c>
      <c r="AG288" s="3" t="str">
        <f t="array" ref="AG288">IFERROR(INDEX(CL$7:CL$378,SMALL(IF(CL$7:CL$378&lt;&gt;"",ROW(CL$7:CL$378)-ROW(CL$7)+1),ROWS(CL$7:CL287))),"")</f>
        <v/>
      </c>
      <c r="AH288" s="3"/>
      <c r="AI288" s="3"/>
      <c r="AJ288" s="3"/>
      <c r="AK288" s="3"/>
      <c r="AL288" s="3"/>
      <c r="AM288" s="3"/>
      <c r="AN288" s="52" t="str">
        <f>IF(Atletas!D279="","",IF(Atletas!B279="Feminino",100,IF(Atletas!B279="Masculino",200,""))+(IF(Atletas!D279="Kids 30kg",1,IF(Atletas!D279="Kids 32kg",2, IF(Atletas!D279="Kids 34kg",3,IF(Atletas!D279="Kids 36kg",4,IF(Atletas!D279="Kids 39kg",5,IF(Atletas!D279="Kids 42kg",6,IF(Atletas!D279="Kids 45kg",7, IF(Atletas!D279="Infantil 39kg",8,IF(Atletas!D279="Infantil 42kg",9,IF(Atletas!D279="Infantil 45kg",10,IF(Atletas!D279="Infantil 48kg",11,IF(Atletas!D279="Infantil 52kg",12,IF(Atletas!D279="Infantil 56kg",13,IF(Atletas!D279="Infantil 60kg",14,IF(Atletas!D279="Juvenil 48kg",15,IF(Atletas!D279="Juvenil 52kg",16,IF(Atletas!D279="Juvenil 56kg",17,IF(Atletas!D279="Juvenil 60kg",18,IF(Atletas!D279="Juvenil 65kg",19,IF(Atletas!D279="Juvenil 70kg",20,IF(Atletas!D279="Juvenil 75kg",21,IF(Atletas!D279="Juvenil 80kg",22, IF(Atletas!D279="Juvenil 85kg",23,IF(Atletas!D279="Adulto 48kg",24,IF(Atletas!D279="Adulto 52kg",25,IF(Atletas!D279="Adulto 56kg",26,IF(Atletas!D279="Adulto 60kg",27,IF(Atletas!D279="Adulto 65kg",28,IF(Atletas!D279="Adulto 70kg",29,IF(Atletas!D279="Adulto 75kg",30,IF(Atletas!D279="Adulto 80kg",31,IF(Atletas!D279="Adulto 85kg",32,IF(Atletas!D279="Adulto 90kg",33,IF(Atletas!D279="Adulto 100kg",34, IF(Atletas!D279="Adulto +100kg",35,"")))))))))))))))))))))))))))))))))))))</f>
        <v/>
      </c>
      <c r="AS288" s="6" t="str">
        <f>IF(Atletas!E279="","",IF(Atletas!B279="Feminino",100,IF(Atletas!B279="Masculino",200,""))+(IF(Atletas!E279="Juvenil 44kg",1,IF(Atletas!E279="Juvenil 48kg",2,IF(Atletas!E279="Juvenil 52kg",3,IF(Atletas!E279="Juvenil 56kg",4,IF(Atletas!E279="Juvenil 60kg",5,IF(Atletas!E279="Juvenil 65kg",6,IF(Atletas!E279="Juvenil 70kg",7,IF(Atletas!E279="Juvenil 75kg",8,IF(Atletas!E279="Juvenil 82kg",9,IF(Atletas!E279="Juvenil 90kg",10,IF(Atletas!E279="Juvenil 100kg",11,IF(Atletas!E279="Adulto 48kg",12,IF(Atletas!E279="Adulto 52kg",13,IF(Atletas!E279="Adulto 56kg",14,IF(Atletas!E279="Adulto 60kg",15,IF(Atletas!E279="Adulto 65kg",16,IF(Atletas!E279="Adulto 70kg",17,IF(Atletas!E279="Adulto 75kg",18,IF(Atletas!E279="Adulto 82kg",19,IF(Atletas!E279="Adulto 90kg",20,IF(Atletas!E279="Adulto 100kg",21,IF(Atletas!E279="Adulto +100kg",22,""))))))))))))))))))))))))</f>
        <v/>
      </c>
      <c r="AX288" s="6" t="str">
        <f>IF(Atletas!F279="","",IF(Atletas!B279="Feminino",100,IF(Atletas!B279="Masculino",200,""))+(IF(Atletas!F279="Adulto 48kg",1,IF(Atletas!F279="Adulto 56kg",2,IF(Atletas!F279="Adulto 65kg",3,IF(Atletas!F279="Adulto 75kg",4,IF(Atletas!F279="Adulto +75kg",5,IF(Atletas!F279="Adulto 52kg",6,IF(Atletas!F279="Adulto 60kg",7,IF(Atletas!F279="Adulto 70kg",8,IF(Atletas!F279="Adulto 80kg",9,IF(Atletas!F279="Adulto 90kg",10,IF(Atletas!F279="Adulto +90kg",11,"")))))))))))))</f>
        <v/>
      </c>
      <c r="BC288" s="6" t="str">
        <f>IF(Atletas!G279="","",IF(Atletas!B279="Feminino",10,IF(Atletas!B279="Masculino",20,""))+(IF(Atletas!G279="Baduanjin A",1,IF(Atletas!G279="Baduanjin B",2))))</f>
        <v/>
      </c>
      <c r="BF288" s="52" t="str">
        <f>IF(Atletas!H279="","",IF(Atletas!B279="Feminino",100,IF(Atletas!B279="Masculino",200,""))+(IF(Atletas!H279="Changquan Mirim",1,IF(Atletas!H279="Nanquan Mirim",2,IF(Atletas!H279="Taijiquan Mirim",3,IF(Atletas!H279="Changquan Grupo C",4,IF(Atletas!H279="Nanquan Grupo C",5,IF(Atletas!H279="Taijiquan Grupo C",6,IF(Atletas!H279="Changquan Grupo B",7,IF(Atletas!H279="Nanquan Grupo B",8,IF(Atletas!H279="Taijiquan Grupo B",9,IF(Atletas!H279="Changquan Grupo A",10,IF(Atletas!H279="Nanquan Grupo A",11,IF(Atletas!H279="Taijiquan Grupo A",12,IF(Atletas!H279="Changquan Opcional",13,IF(Atletas!H279="Nanquan Opcional",14,IF(Atletas!H279="Taijiquan Opcional",15,IF(Atletas!H279="Changquan Adulto",16,IF(Atletas!H279="Nanquan Adulto",17,IF(Atletas!H279="Taijiquan Adulto",18,""))))))))))))))))))))</f>
        <v/>
      </c>
      <c r="BG288" s="52" t="str">
        <f>IF(Atletas!I279="","",IF(Atletas!B279="Feminino",100,IF(Atletas!B279="Masculino",200,""))+(IF(Atletas!I279="Daoshu Mirim",19,IF(Atletas!I279="Jianshu Mirim",20,IF(Atletas!I279="Nandao Mirim",21,IF(Atletas!I279="Taijijian Mirim",22,IF(Atletas!I279="Daoshu Grupo C",23,IF(Atletas!I279="Jianshu Grupo C",24,IF(Atletas!I279="Nandao Grupo C",25,IF(Atletas!I279="Taijijian Grupo C",26,IF(Atletas!I279="Daoshu Grupo B",27,IF(Atletas!I279="Jianshu Grupo B",28,IF(Atletas!I279="Nandao Grupo B",29,IF(Atletas!I279="Taijijian Grupo B",30,IF(Atletas!I279="Daoshu Grupo A",31,IF(Atletas!I279="Jianshu Grupo A",32,IF(Atletas!I279="Nandao Grupo A",33,IF(Atletas!I279="Taijijian Grupo A",34,IF(Atletas!I279="Daoshu Opcional",35,IF(Atletas!I279="Jianshu Opcional",36,IF(Atletas!I279="Nandao Opcional",37,IF(Atletas!I279="Taijijian Opcional",38,IF(Atletas!I279="Daoshu Adulto",39,IF(Atletas!I279="Jianshu Adulto",40,IF(Atletas!I279="Nandao Adulto",41,IF(Atletas!I279="Taijijian Adulto",42,""))))))))))))))))))))))))))</f>
        <v/>
      </c>
      <c r="BH288" s="52" t="str">
        <f>IF(Atletas!J279="","",IF(Atletas!B279="Feminino",100,IF(Atletas!B279="Masculino",200,""))+(IF(Atletas!J279="Gunshu Mirim",43,IF(Atletas!J279="Qiangshu Mirim",44,IF(Atletas!J279="Nangun Mirim",45,IF(Atletas!J279="Gunshu Grupo C",46,IF(Atletas!J279="Qiangshu Grupo C",47,IF(Atletas!J279="Nangun Grupo C",48,IF(Atletas!J279="Gunshu Grupo B",49,IF(Atletas!J279="Qiangshu Grupo B",50,IF(Atletas!J279="Nangun Grupo B",51,IF(Atletas!J279="Gunshu Grupo A",52,IF(Atletas!J279="Qiangshu Grupo A",53,IF(Atletas!J279="Nangun Grupo A",54,IF(Atletas!J279="Gunshu Opcional",55,IF(Atletas!J279="Qiangshu Opcional",56,IF(Atletas!J279="Nangun Opcional",57,IF(Atletas!J279="Gunshu Adulto",58,IF(Atletas!J279="Qiangshu Adulto",59,IF(Atletas!J279="Nangun Adulto",60,IF(Atletas!J279="Taijishan Grupo B",61,IF(Atletas!J279="Taijishan Grupo A",62,""))))))))))))))))))))))</f>
        <v/>
      </c>
      <c r="BM288" s="50" t="str">
        <f>IF(Atletas!K279="","",IF(Atletas!B279="Feminino",100,IF(Atletas!B279="Masculino",200,""))+(IF(Atletas!K279="Equipe 1 Grupo B",1,IF(Atletas!K279="Equipe 2 Grupo B",2,IF(Atletas!K279="Equipe 1 Grupo A",3,IF(Atletas!K279="Equipe 2 Grupo A",4,IF(Atletas!K279="Equipe 1 Adulto",5,IF(Atletas!K279="Equipe 2 Adulto",6,""))))))))</f>
        <v/>
      </c>
      <c r="BR288" s="50" t="str">
        <f>IF(Atletas!L279="","",IF(Atletas!X279&lt;&gt;"",10000,0)+(IF(Atletas!B279="Feminino",1000,IF(Atletas!B279="Masculino",2000,""))+IF(Atletas!L279="Choylayfut A",1,IF(Atletas!L279="Hunggar A",2,IF(Atletas!L279="Wuzuquan A",3,IF(Atletas!L279="Wingchun A",4,IF(Atletas!L279="Outra Mão de Sul A",5,IF(Atletas!L279="Choylayfut B",6,IF(Atletas!L279="Hunggar B",7,IF(Atletas!L279="Wuzuquan B",8,IF(Atletas!L279="Wingchun B",9,IF(Atletas!L279="Outra Mão de Sul B",10,IF(Atletas!L279="Choylayfut C",11,IF(Atletas!L279="Hunggar C",12,IF(Atletas!L279="Wuzuquan C",13,IF(Atletas!L279="Wingchun C",14,IF(Atletas!L279="Outra Mão de Sul C",15,IF(Atletas!L279="Choylayfut D",16,IF(Atletas!L279="Hunggar D",17,IF(Atletas!L279="Wuzuquan D",18,IF(Atletas!L279="Wingchun D",19,IF(Atletas!L279="Outra Mão de Sul D",20,IF(Atletas!L279="Choylayfut E",21,IF(Atletas!L279="Hunggar E",22,IF(Atletas!L279="Wuzuquan E",23,IF(Atletas!L279="Wingchun E",24,IF(Atletas!L279="Outra Mão de Sul E",25,IF(Atletas!L279="Choylayfut F",26,IF(Atletas!L279="Hunggar F",27,IF(Atletas!L279="Wuzuquan F",28,IF(Atletas!L279="Wingchun F",29,IF(Atletas!L279="Outra Mão de Sul F",30,IF(Atletas!L279="Dishuquan A",31,IF(Atletas!L279="Dishuquan B",32,IF(Atletas!L279="Dishuquan C",33,IF(Atletas!L279="Dishuquan D",34,IF(Atletas!L279="Dishuquan E",35,IF(Atletas!L279="Dishuquan F",36,""))))))))))))))))))))))))))))))))))))))</f>
        <v/>
      </c>
      <c r="BS288" s="50" t="str">
        <f>IF(Atletas!M279="","",IF(Atletas!X279&lt;&gt;"",10000,0)+(IF(Atletas!B279="Feminino",1000,IF(Atletas!B279="Masculino",2000,""))+(IF(Atletas!M279="Chaquan A",101,IF(Atletas!M279="Emeiquan A",102,IF(Atletas!M279="Fanziquan A",103,IF(Atletas!M279="Huaquan A",104,IF(Atletas!M279="Hongquan A",105,IF(Atletas!M279="Paoquan A",106,IF(Atletas!M279="Piguaquan A",107,IF(Atletas!M279="Shaolinquan A",108,IF(Atletas!M279="Tanglangquan A",109,IF(Atletas!M279="Yingzhaoquan A",110,IF(Atletas!M279="Tongbeiquan A",111,IF(Atletas!M279="Wudangquan A",112,IF(Atletas!M279="Outros Estilos A",113,IF(Atletas!M279="Chaquan B",114,IF(Atletas!M279="Emeiquan B",115,IF(Atletas!M279="Fanziquan B",116,IF(Atletas!M279="Huaquan B",117,IF(Atletas!M279="Hongquan B",118,IF(Atletas!M279="Paoquan B",119,IF(Atletas!M279="Piguaquan B",120,IF(Atletas!M279="Shaolinquan B",121,IF(Atletas!M279="Tanglangquan B",122,IF(Atletas!M279="Yingzhaoquan B",123,IF(Atletas!M279="Tongbeiquan B",124,IF(Atletas!M279="Wudangquan B",125,IF(Atletas!M279="Outros Estilos B",126,IF(Atletas!M279="Chaquan C",127,IF(Atletas!M279="Emeiquan C",128,IF(Atletas!M279="Fanziquan C",129,IF(Atletas!M279="Huaquan C",130,IF(Atletas!M279="Hongquan C",131,IF(Atletas!M279="Paoquan C",132,IF(Atletas!M279="Piguaquan C",133,IF(Atletas!M279="Shaolinquan C",134,IF(Atletas!M279="Tanglangquan C",135,IF(Atletas!M279="Yingzhaoquan C",136,IF(Atletas!M279="Tongbeiquan C",137,IF(Atletas!M279="Wudangquan C",138,IF(Atletas!M279="Outros Estilos C",139,0))))))))))))))))))))))))))))))))))))))))))</f>
        <v/>
      </c>
      <c r="BT288" s="50" t="str">
        <f>IF(Atletas!M279="","",IF(Atletas!X279&lt;&gt;"",10000,0)+(IF(Atletas!B279="Feminino",1000,IF(Atletas!B279="Masculino",2000,""))+(IF(Atletas!M279="Chaquan D",140,IF(Atletas!M279="Emeiquan D",141,IF(Atletas!M279="Fanziquan D",142,IF(Atletas!M279="Huaquan D",143,IF(Atletas!M279="Hongquan D",144,IF(Atletas!M279="Paoquan D",145,IF(Atletas!M279="Piguaquan D",146,IF(Atletas!M279="Shaolinquan D",147,IF(Atletas!M279="Tanglangquan D",148,IF(Atletas!M279="Yingzhaoquan D",149,IF(Atletas!M279="Tongbeiquan D",150,IF(Atletas!M279="Wudangquan D",151,IF(Atletas!M279="Outros Estilos D",152,IF(Atletas!M279="Chaquan E",153,IF(Atletas!M279="Emeiquan E",154,IF(Atletas!M279="Fanziquan E",155,IF(Atletas!M279="Huaquan E",156,IF(Atletas!M279="Hongquan E",157,IF(Atletas!M279="Paoquan E",158,IF(Atletas!M279="Piguaquan E",159,IF(Atletas!M279="Shaolinquan E",160,IF(Atletas!M279="Tanglangquan E",161,IF(Atletas!M279="Yingzhaoquan E",162,IF(Atletas!M279="Tongbeiquan E",163,IF(Atletas!M279="Wudangquan E",164,IF(Atletas!M279="Outros Estilos E",165,IF(Atletas!M279="Chaquan F",166,IF(Atletas!M279="Emeiquan F",167,IF(Atletas!M279="Fanziquan F",168,IF(Atletas!M279="Huaquan F",169,IF(Atletas!M279="Hongquan F",170,IF(Atletas!M279="Paoquan F",171,IF(Atletas!M279="Piguaquan F",172,IF(Atletas!M279="Shaolinquan F",173,IF(Atletas!M279="Tanglangquan F",174,IF(Atletas!M279="Yingzhaoquan F",175,IF(Atletas!M279="Tongbeiquan F",176,IF(Atletas!M279="Wudangquan F",177,IF(Atletas!M279="Outros Estilos F",178,0))))))))))))))))))))))))))))))))))))))))))</f>
        <v/>
      </c>
      <c r="BU288" s="50" t="str">
        <f>IF(Atletas!N279="","",IF(Atletas!X279&lt;&gt;"",10000,0)+(IF(Atletas!B279="Feminino",1000,IF(Atletas!B279="Masculino",2000,""))+(IF(Atletas!N279="Ditangquan A",201,IF(Atletas!N279="Houquan A",202,IF(Atletas!N279="Zuiquan A",203,IF(Atletas!N279="Ditangquan B",204,IF(Atletas!N279="Houquan B",205,IF(Atletas!N279="Zuiquan B",206,IF(Atletas!N279="Ditangquan C",207,IF(Atletas!N279="Houquan C",208,IF(Atletas!N279="Zuiquan C",209,IF(Atletas!N279="Ditangquan D",210,IF(Atletas!N279="Houquan D",211,IF(Atletas!N279="Zuiquan D",212,IF(Atletas!N279="Ditangquan E",213,IF(Atletas!N279="Houquan E",214,IF(Atletas!N279="Zuiquan E",215,IF(Atletas!N279="Ditangquan F",216,IF(Atletas!N279="Houquan F",217,IF(Atletas!N279="Zuiquan F",218,"")))))))))))))))))))))</f>
        <v/>
      </c>
      <c r="BV288" s="50" t="str">
        <f>IF(Atletas!O279="","",IF(Atletas!X279&lt;&gt;"",10000,0)+IF(Atletas!B279="Feminino",1000,IF(Atletas!B279="Masculino",2000,""))+IF(Atletas!O279="Yang A",301,IF(Atletas!O279="Chen A",302,IF(Atletas!O279="Sun A",303,IF(Atletas!O279="Wu A",304,IF(Atletas!O279="Wu-Hao A",305,IF(Atletas!O279="Outro Taijiquan A",306,IF(Atletas!O279="Yang B",307,IF(Atletas!O279="Chen B",308,IF(Atletas!O279="Sun B",309,IF(Atletas!O279="Wu B",310,IF(Atletas!O279="Wu-Hao B",311,IF(Atletas!O279="Outro Taijiquan B",312,IF(Atletas!O279="Yang C",313,IF(Atletas!O279="Chen C",314,IF(Atletas!O279="Sun C",315,IF(Atletas!O279="Wu C",316,IF(Atletas!O279="Wu-Hao C",317,IF(Atletas!O279="Outro Taijiquan C",318,IF(Atletas!O279="Yang D",319,IF(Atletas!O279="Chen D",320,IF(Atletas!O279="Sun D",321,IF(Atletas!O279="Wu D",322,IF(Atletas!O279="Wu-Hao D",323,IF(Atletas!O279="Outro Taijiquan D",324,IF(Atletas!O279="Yang E",325,IF(Atletas!O279="Chen E",326,IF(Atletas!O279="Sun E",327,IF(Atletas!O279="Wu E",328,IF(Atletas!O279="Wu-Hao E",329,IF(Atletas!O279="Outro Taijiquan E",330,IF(Atletas!O279="Yang F",331,IF(Atletas!O279="Chen F",332,IF(Atletas!O279="Sun F",333,IF(Atletas!O279="Wu F",334,IF(Atletas!O279="Wu-Hao F",335,IF(Atletas!O279="Outro Taijiquan F",336,"")))))))))))))))))))))))))))))))))))))</f>
        <v/>
      </c>
      <c r="BW288" s="50" t="str">
        <f>IF(Atletas!P279="","",IF(Atletas!X279&lt;&gt;"",10000,0)+IF(Atletas!B279="Feminino",1000,IF(Atletas!B279="Masculino",2000,""))+IF(OR(Atletas!P279="Yang 26 A",Atletas!P279="Yang 40 A"),401,IF(OR(Atletas!P279="Chen 25 A",Atletas!P279="Chen 36 A",Atletas!P279="Chen 56 A"),402,IF(Atletas!P279="Sun 73 A",403,IF(Atletas!P279="Wu 45 A",404,IF(Atletas!P279="Wu-Hao 46 A",405,IF(OR(Atletas!P279="Taijiquan 16 A",Atletas!P279="Taijiquan 24 A",Atletas!P279="Taijiquan 32 A",Atletas!P279="Taijiquan 42 A"),406,IF(OR(Atletas!P279="Yang 26 B",Atletas!P279="Yang 40 B"),407,IF(OR(Atletas!P279="Chen 25 B",Atletas!P279="Chen 36 B",Atletas!P279="Chen 56 B"),408,IF(Atletas!P279="Sun 73 B",409,IF(Atletas!P279="Wu 45 B",410,IF(Atletas!P279="Wu-Hao 46 B",411,IF(OR(Atletas!P279="Taijiquan 16 B",Atletas!P279="Taijiquan 24 B",Atletas!P279="Taijiquan 32 B",Atletas!P279="Taijiquan 42 B"),412,IF(OR(Atletas!P279="Yang 26 C",Atletas!P279="Yang 40 C"),413,IF(OR(Atletas!P279="Chen 25 C",Atletas!P279="Chen 36 C",Atletas!P279="Chen 56 C"),414,IF(Atletas!P279="Sun 73 C",415,IF(Atletas!P279="Wu 45 C",416,IF(Atletas!P279="Wu-Hao 46 C",417,IF(OR(Atletas!P279="Taijiquan 16 C",Atletas!P279="Taijiquan 24 C",Atletas!P279="Taijiquan 32 C",Atletas!P279="Taijiquan 42 C"),418,0)))))))))))))))))))</f>
        <v/>
      </c>
      <c r="BX288" s="50" t="str">
        <f>IF(Atletas!P279="","",IF(Atletas!X279&lt;&gt;"",10000,0)+IF(Atletas!B279="Feminino",1000,IF(Atletas!B279="Masculino",2000,""))+IF(OR(Atletas!P279="Yang 26 D",Atletas!P279="Yang 40 D"),419,IF(OR(Atletas!P279="Chen 25 D",Atletas!P279="Chen 36 D",Atletas!P279="Chen 56 D"),420,IF(Atletas!P279="Sun 73 D",421,IF(Atletas!P279="Wu 45 D",422,IF(Atletas!P279="Wu-Hao 46 D",423,IF(OR(Atletas!P279="Taijiquan 16 D",Atletas!P279="Taijiquan 24 D",Atletas!P279="Taijiquan 32 D",Atletas!P279="Taijiquan 42 D"),424,IF(OR(Atletas!P279="Yang 26 E",Atletas!P279="Yang 40 E"),425,IF(OR(Atletas!P279="Chen 25 E",Atletas!P279="Chen 36 E",Atletas!P279="Chen 56 E"),426,IF(Atletas!P279="Sun 73 E",427,IF(Atletas!P279="Wu 45 E",428,IF(Atletas!P279="Wu-Hao 46 E",429,IF(OR(Atletas!P279="Taijiquan 16 E",Atletas!P279="Taijiquan 24 E",Atletas!P279="Taijiquan 32 E",Atletas!P279="Taijiquan 42 E"),430,IF(OR(Atletas!P279="Yang 26 F",Atletas!P279="Yang 40 F"),431,IF(OR(Atletas!P279="Chen 25 F",Atletas!P279="Chen 36 F",Atletas!P279="Chen 56 F"),432,IF(Atletas!P279="Sun 73 F",433,IF(Atletas!P279="Wu 45 F",434,IF(Atletas!P279="Wu-Hao 46 F",435,IF(OR(Atletas!P279="Taijiquan 16 F",Atletas!P279="Taijiquan 24 F",Atletas!P279="Taijiquan 32 F",Atletas!P279="Taijiquan 42 F"),436,0)))))))))))))))))))</f>
        <v/>
      </c>
      <c r="BY288" s="50" t="str">
        <f>IF(Atletas!Q279="","",IF(Atletas!X279&lt;&gt;"",10000,0)+IF(Atletas!B279="Feminino",1000,IF(Atletas!B279="Masculino",2000,""))+IF(Atletas!Q279="Xingyiquan A",501,IF(Atletas!Q279="Baguazhang A",502,IF(Atletas!Q279="Outro Estilo Interno A",503,IF(Atletas!Q279="Xingyiquan B",504,IF(Atletas!Q279="Baguazhang B",505,IF(Atletas!Q279="Outro Estilo Interno B",506,IF(Atletas!Q279="Xingyiquan C",507,IF(Atletas!Q279="Baguazhang C",508,IF(Atletas!Q279="Outro Estilo Interno C",509,IF(Atletas!Q279="Xingyiquan D",510,IF(Atletas!Q279="Baguazhang D",511,IF(Atletas!Q279="Outro Estilo Interno D",512,IF(Atletas!Q279="Xingyiquan E",513,IF(Atletas!Q279="Baguazhang E",514,IF(Atletas!Q279="Outro Estilo Interno E",515,IF(Atletas!Q279="Xingyiquan F",516,IF(Atletas!Q279="Baguazhang F",517,IF(Atletas!Q279="Outro Estilo Interno F",518, "")))))))))))))))))))</f>
        <v/>
      </c>
      <c r="BZ288" s="50" t="str">
        <f>IF(Atletas!R279="","",IF(Atletas!X279&lt;&gt;"",10000,0)+IF(Atletas!B279="Feminino",1000,IF(Atletas!B279="Masculino",2000,""))+IF(Atletas!R279="Dao A",601,IF(Atletas!R279="Jian A",602,IF(Atletas!R279="Bishou A",603,IF(Atletas!R279="Shanzi A",604,IF(Atletas!R279="Outra Arma Curta A",605,IF(Atletas!R279="Dao B",606,IF(Atletas!R279="Jian B",607,IF(Atletas!R279="Bishou B",608,IF(Atletas!R279="Shanzi B",609,IF(Atletas!R279="Outra Arma Curta B",610,IF(Atletas!R279="Dao C",611,IF(Atletas!R279="Jian C",612,IF(Atletas!R279="Bishou C",613,IF(Atletas!R279="Shanzi C",614,IF(Atletas!R279="Outra Arma Curta C",615,IF(Atletas!R279="Dao D",616,IF(Atletas!R279="Jian D",617,IF(Atletas!R279="Bishou D",618,IF(Atletas!R279="Shanzi D",619,IF(Atletas!R279="Outra Arma Curta D",620,IF(Atletas!R279="Dao E",621,IF(Atletas!R279="Jian E",622,IF(Atletas!R279="Bishou E",623,IF(Atletas!R279="Shanzi E",624,IF(Atletas!R279="Outra Arma Curta E",625,IF(Atletas!R279="Dao F",626,IF(Atletas!R279="Jian F",627,IF(Atletas!R279="Bishou F",628,IF(Atletas!R279="Shanzi F",629,IF(Atletas!R279="Outra Arma Curta F",630, "")))))))))))))))))))))))))))))))</f>
        <v/>
      </c>
      <c r="CA288" s="50" t="str">
        <f>IF(Atletas!S279="","",IF(Atletas!X279&lt;&gt;"",10000,0)+IF(Atletas!B279="Feminino",1000,IF(Atletas!B279="Masculino",2000,""))+IF(Atletas!S279="Gun A",701,IF(Atletas!S279="Qiang A",702,IF(Atletas!S279="Pudao / Guandao A",703,IF(Atletas!S279="Outra Arma Longa A",704,IF(Atletas!S279="Gun B",705,IF(Atletas!S279="Qiang B",706,IF(Atletas!S279="Pudao / Guandao B",707,IF(Atletas!S279="Outra Arma Longa B",708,IF(Atletas!S279="Gun C",709,IF(Atletas!S279="Qiang C",710,IF(Atletas!S279="Pudao / Guandao C",711,IF(Atletas!S279="Outra Arma Longa C",712,IF(Atletas!S279="Gun D",713,IF(Atletas!S279="Qiang D",714,IF(Atletas!S279="Pudao / Guandao D",715,IF(Atletas!S279="Outra Arma Longa D",716,IF(Atletas!S279="Gun E",717,IF(Atletas!S279="Qiang E",718,IF(Atletas!S279="Pudao / Guandao E",719,IF(Atletas!S279="Outra Arma Longa E",720,IF(Atletas!S279="Gun F",721,IF(Atletas!S279="Qiang F",722,IF(Atletas!S279="Pudao / Guandao F",723,IF(Atletas!S279="Outra Arma Longa F",724,"")))))))))))))))))))))))))</f>
        <v/>
      </c>
      <c r="CB288" s="50" t="str">
        <f>IF(Atletas!T279="","",IF(Atletas!X279&lt;&gt;"",10000,0)+IF(Atletas!B279="Feminino",1000,IF(Atletas!B279="Masculino",2000,""))+IF(Atletas!T279="Outra Arma Dupla A",801,IF(Atletas!T279="Arma Maleável A",802,IF(Atletas!T279="Outra Arma Dupla B",803,IF(Atletas!T279="Arma Maleável B",804,IF(Atletas!T279="Outra Arma Dupla C",805,IF(Atletas!T279="Arma Maleável C",806,IF(Atletas!T279="Outra Arma Dupla D",807,IF(Atletas!T279="Arma Maleável D",808,IF(Atletas!T279="Outra Arma Dupla E",809,IF(Atletas!T279="Arma Maleável E",810,IF(Atletas!T279="Outra Arma Dupla F",811,IF(Atletas!T279="Arma Maleável F",812,IF(Atletas!T279="Shuangdao A",813,IF(Atletas!T279="Shuangdao B",814,IF(Atletas!T279="Shuangdao C",815,IF(Atletas!T279="Shuangdao D",816,IF(Atletas!T279="Shuangdao E",817,IF(Atletas!T279="Shuangdao F",818,"")))))))))))))))))))</f>
        <v/>
      </c>
      <c r="CC288" s="50" t="str">
        <f>IF(Atletas!U279="","",IF(Atletas!X279&lt;&gt;"",10000,0)+IF(Atletas!B279="Feminino",1000,IF(Atletas!B279="Masculino",2000,""))+IF(OR(Atletas!U279="Taijijian Yang A",Atletas!U279="Taijijian Yang Standard A"),901,IF(OR(Atletas!U279="Taijijian Chen A", Atletas!U279="Taijijian Chen Standard A"),902,IF(Atletas!U279="Taijijian Sun A",903,IF(Atletas!U279="Taijijian Wu A",904,IF(Atletas!U279="Taijijian Wu-Hao A",905,IF(OR(Atletas!U279="Taijijian 32 A",Atletas!U279="Taijijian 42 A"),906,IF(OR(Atletas!U279="Taijijian Yang B",Atletas!U279="Taijijian Yang Standard B"),907,IF(OR(Atletas!U279="Taijijian Chen B", Atletas!U279="Taijijian Chen Standard B"),908,IF(Atletas!U279="Taijijian Sun B",909,IF(Atletas!U279="Taijijian Wu B",910,IF(Atletas!U279="Taijijian Wu-Hao B",911,IF(OR(Atletas!U279="Taijijian 32 B",Atletas!U279="Taijijian 42 B"),912,IF(OR(Atletas!U279="Taijijian Yang C",Atletas!U279="Taijijian Yang Standard C"),913,IF(OR(Atletas!U279="Taijijian Chen C", Atletas!U279="Taijijian Chen Standard C"),914,IF(Atletas!U279="Taijijian Sun C",915,IF(Atletas!U279="Taijijian Wu C",916,IF(Atletas!U279="Taijijian Wu-Hao C",917,IF(OR(Atletas!U279="Taijijian 32 C",Atletas!U279="Taijijian 42 C"),918,IF(OR(Atletas!U279="Taijijian Yang D",Atletas!U279="Taijijian Yang Standard D"),919,IF(OR(Atletas!U279="Taijijian Chen D", Atletas!U279="Taijijian Chen Standard D"),920,IF(Atletas!U279="Taijijian Sun D",921,IF(Atletas!U279="Taijijian Wu D",922,IF(Atletas!U279="Taijijian Wu-Hao D",923,IF(OR(Atletas!U279="Taijijian 32 D",Atletas!U279="Taijijian 42 D"),924,IF(OR(Atletas!U279="Taijijian Yang E",Atletas!U279="Taijijian Yang Standard E"),925,IF(OR(Atletas!U279="Taijijian Chen E", Atletas!U279="Taijijian Chen Standard E"),926,IF(Atletas!U279="Taijijian Sun E",927,IF(Atletas!U279="Taijijian Wu E",928,IF(Atletas!U279="Taijijian Wu-Hao E",929,IF(OR(Atletas!U279="Taijijian 32 E",Atletas!U279="Taijijian 42 E"),930,IF(OR(Atletas!U279="Taijijian Yang F",Atletas!U279="Taijijian Yang Standard F"),931,IF(OR(Atletas!U279="Taijijian Chen F", Atletas!U279="Taijijian Chen Standard F"),932,IF(Atletas!U279="Taijijian Sun F",933,IF(Atletas!U279="Taijijian Wu F",934,IF(Atletas!U279="Taijijian Wu-Hao F",935,IF(OR(Atletas!U279="Taijijian 32 F",Atletas!U279="Taijijian 42 F"),936,"")))))))))))))))))))))))))))))))))))))</f>
        <v/>
      </c>
      <c r="CD288" s="50" t="str">
        <f>IF(Atletas!V279="","",IF(Atletas!X279&lt;&gt;"",10000,0)+IF(Atletas!B279="Feminino",1000,IF(Atletas!B279="Masculino",2000,""))+IF(Atletas!V279="Taijidao A",937,IF(Atletas!V279="TaijiShanzi A",938,IF(Atletas!V279="Taijiqiang A",939,IF(Atletas!V279="Bagua de Arma A",940,IF(Atletas!V279="Xingyi de Arma A",941,IF(Atletas!V279="Taijidao B",942,IF(Atletas!V279="TaijiShanzi B",943,IF(Atletas!V279="Taijiqiang B",944,IF(Atletas!V279="Bagua de Arma B",945,IF(Atletas!V279="Xingyi de Arma B",946,IF(Atletas!V279="Taijidao C",947,IF(Atletas!V279="TaijiShanzi C",948,IF(Atletas!V279="Taijiqiang C",949,IF(Atletas!V279="Bagua de Arma C",950,IF(Atletas!V279="Xingyi de Arma C",951,IF(Atletas!V279="Taijidao D",952,IF(Atletas!V279="TaijiShanzi D",953,IF(Atletas!V279="Taijiqiang D",954,IF(Atletas!V279="Bagua de Arma D",955,IF(Atletas!V279="Xingyi de Arma D",956,IF(Atletas!V279="Taijidao E",957,IF(Atletas!V279="TaijiShanzi E",958,IF(Atletas!V279="Taijiqiang E",959,IF(Atletas!V279="Bagua de Arma E",960,IF(Atletas!V279="Xingyi de Arma E",961,IF(Atletas!V279="Taijidao F",962,IF(Atletas!V279="TaijiShanzi F",963,IF(Atletas!V279="Taijiqiang F",964,IF(Atletas!V279="Bagua de Arma F",965,IF(Atletas!V279="Xingyi de Arma F",966,"")))))))))))))))))))))))))))))))</f>
        <v/>
      </c>
      <c r="CE288" s="66" t="str">
        <f>IF(CF288&lt;&gt;"","Outra Arma Maleável B","")</f>
        <v/>
      </c>
      <c r="CF288" s="66" t="str">
        <f>IF(COUNTIF(BR:CD,1804)&gt;0,COUNTIF(BR:CD,1804),"")</f>
        <v/>
      </c>
      <c r="CG288" s="66" t="str">
        <f>IF(CH288&lt;&gt;"","Outra Arma Maleável B","")</f>
        <v/>
      </c>
      <c r="CH288" s="66" t="str">
        <f>IF(COUNTIF(BT:CF,2804)&gt;0,COUNTIF(BT:CF,2804),"")</f>
        <v/>
      </c>
      <c r="CI288" s="66" t="str">
        <f>IF(CJ289&lt;&gt;"","Taijijian Yang A","")</f>
        <v/>
      </c>
      <c r="CJ288" s="66" t="str">
        <f>IF(COUNTIF(BR:CD,11812)&gt;0,COUNTIF(BR:CD,11812),"")</f>
        <v/>
      </c>
      <c r="CK288" s="66" t="str">
        <f>IF(CL288&lt;&gt;"","Outra Arma Maleável F","")</f>
        <v/>
      </c>
      <c r="CL288" s="66" t="str">
        <f>IF(COUNTIF(BR:CD,12812)&gt;0,COUNTIF(BR:CD,12812),"")</f>
        <v/>
      </c>
      <c r="CM288" s="50" t="str">
        <f xml:space="preserve"> IF(Atletas!W279="","",IF(Atletas!W279="Duilian de Mãos BC - Equipe 1",1,IF(Atletas!W279="Duilian de Mãos BC - Equipe 2",2,IF(Atletas!W279="Duilian de Armas BC - Equipe 1",3,IF(Atletas!W279="Duilian de Armas BC - Equipe 2",4,IF(Atletas!W279="Duilian de Mãos DE - Equipe 1",5,IF(Atletas!W279="Duilian de Mãos DE - Equipe 2",6,IF(Atletas!W279="Duilian de Armas DE - Equipe 1",7,IF(Atletas!W279="Duilian de Armas DE - Equipe 2",8,IF(Atletas!W279="Duilian de Tuishou - Equipe 1",9,IF(Atletas!W279="Duilian de Tuishou - Equipe 2",10,IF(Atletas!W279="Grupo Externo ABC - Equipe 1",11,IF(Atletas!W279="Grupo Externo ABC - Equipe 2",12,IF(Atletas!W279="Grupo Interno ABC - Equipe 1",13,IF(Atletas!W279="Grupo Interno ABC - Equipe 2",14,IF(Atletas!W279="Grupo Externo DEF - Equipe 1",15,IF(Atletas!W279="Grupo Externo DEF - Equipe 2",16,IF(Atletas!W279="Grupo Interno DEF - Equipe 1",17,IF(Atletas!W279="Grupo Interno DEF - Equipe 2",18,"")))))))))))))))))))</f>
        <v/>
      </c>
    </row>
    <row r="289" spans="2:91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 t="str">
        <f t="array" ref="Z289">IFERROR(INDEX(CE$7:CE$348,SMALL(IF(CE$7:CE$348&lt;&gt;"",ROW(CE$7:CE$348)-ROW(CE$7)+1),ROWS(CE$7:CE288))),"")</f>
        <v/>
      </c>
      <c r="AA289" s="3" t="str">
        <f t="array" ref="AA289">IFERROR(INDEX(CF$7:CF$348,SMALL(IF(CF$7:CF$348&lt;&gt;"",ROW(CF$7:CF$348)-ROW(CF$7)+1),ROWS(CF$7:CF288))),"")</f>
        <v/>
      </c>
      <c r="AB289" s="3" t="str">
        <f t="array" ref="AB289">IFERROR(INDEX(CG$7:CG$348,SMALL(IF(CG$7:CG$348&lt;&gt;"",ROW(CG$7:CG$348)-ROW(CG$7)+1),ROWS(CG$7:CG288))),"")</f>
        <v/>
      </c>
      <c r="AC289" s="3" t="str">
        <f t="array" ref="AC289">IFERROR(INDEX(CH$7:CH$348,SMALL(IF(CH$7:CH$348&lt;&gt;"",ROW(CH$7:CH$348)-ROW(CH$7)+1),ROWS(CH$7:CH288))),"")</f>
        <v/>
      </c>
      <c r="AD289" s="3" t="str">
        <f t="array" ref="AD289">IFERROR(INDEX(CI$7:CI$377,SMALL(IF(CI$7:CI$377&lt;&gt;"",ROW(CI$7:CI$377)-ROW(CI$7)+1),ROWS(CI$7:CI287))),"")</f>
        <v/>
      </c>
      <c r="AE289" s="3" t="str">
        <f t="array" ref="AE289">IFERROR(INDEX(CJ$7:CJ$378,SMALL(IF(CJ$7:CJ$378&lt;&gt;"",ROW(CJ$7:CJ$378)-ROW(CJ$7)+1),ROWS(CJ$7:CJ288))),"")</f>
        <v/>
      </c>
      <c r="AF289" s="3" t="str">
        <f t="array" ref="AF289">IFERROR(INDEX(CK$7:CK$378,SMALL(IF(CK$7:CK$378&lt;&gt;"",ROW(CK$7:CK$378)-ROW(CK$7)+1),ROWS(CK$7:CK288))),"")</f>
        <v/>
      </c>
      <c r="AG289" s="3" t="str">
        <f t="array" ref="AG289">IFERROR(INDEX(CL$7:CL$378,SMALL(IF(CL$7:CL$378&lt;&gt;"",ROW(CL$7:CL$378)-ROW(CL$7)+1),ROWS(CL$7:CL288))),"")</f>
        <v/>
      </c>
      <c r="AH289" s="3"/>
      <c r="AI289" s="3"/>
      <c r="AJ289" s="3"/>
      <c r="AK289" s="3"/>
      <c r="AL289" s="3"/>
      <c r="AM289" s="3"/>
      <c r="AN289" s="52" t="str">
        <f>IF(Atletas!D280="","",IF(Atletas!B280="Feminino",100,IF(Atletas!B280="Masculino",200,""))+(IF(Atletas!D280="Kids 30kg",1,IF(Atletas!D280="Kids 32kg",2, IF(Atletas!D280="Kids 34kg",3,IF(Atletas!D280="Kids 36kg",4,IF(Atletas!D280="Kids 39kg",5,IF(Atletas!D280="Kids 42kg",6,IF(Atletas!D280="Kids 45kg",7, IF(Atletas!D280="Infantil 39kg",8,IF(Atletas!D280="Infantil 42kg",9,IF(Atletas!D280="Infantil 45kg",10,IF(Atletas!D280="Infantil 48kg",11,IF(Atletas!D280="Infantil 52kg",12,IF(Atletas!D280="Infantil 56kg",13,IF(Atletas!D280="Infantil 60kg",14,IF(Atletas!D280="Juvenil 48kg",15,IF(Atletas!D280="Juvenil 52kg",16,IF(Atletas!D280="Juvenil 56kg",17,IF(Atletas!D280="Juvenil 60kg",18,IF(Atletas!D280="Juvenil 65kg",19,IF(Atletas!D280="Juvenil 70kg",20,IF(Atletas!D280="Juvenil 75kg",21,IF(Atletas!D280="Juvenil 80kg",22, IF(Atletas!D280="Juvenil 85kg",23,IF(Atletas!D280="Adulto 48kg",24,IF(Atletas!D280="Adulto 52kg",25,IF(Atletas!D280="Adulto 56kg",26,IF(Atletas!D280="Adulto 60kg",27,IF(Atletas!D280="Adulto 65kg",28,IF(Atletas!D280="Adulto 70kg",29,IF(Atletas!D280="Adulto 75kg",30,IF(Atletas!D280="Adulto 80kg",31,IF(Atletas!D280="Adulto 85kg",32,IF(Atletas!D280="Adulto 90kg",33,IF(Atletas!D280="Adulto 100kg",34, IF(Atletas!D280="Adulto +100kg",35,"")))))))))))))))))))))))))))))))))))))</f>
        <v/>
      </c>
      <c r="AS289" s="6" t="str">
        <f>IF(Atletas!E280="","",IF(Atletas!B280="Feminino",100,IF(Atletas!B280="Masculino",200,""))+(IF(Atletas!E280="Juvenil 44kg",1,IF(Atletas!E280="Juvenil 48kg",2,IF(Atletas!E280="Juvenil 52kg",3,IF(Atletas!E280="Juvenil 56kg",4,IF(Atletas!E280="Juvenil 60kg",5,IF(Atletas!E280="Juvenil 65kg",6,IF(Atletas!E280="Juvenil 70kg",7,IF(Atletas!E280="Juvenil 75kg",8,IF(Atletas!E280="Juvenil 82kg",9,IF(Atletas!E280="Juvenil 90kg",10,IF(Atletas!E280="Juvenil 100kg",11,IF(Atletas!E280="Adulto 48kg",12,IF(Atletas!E280="Adulto 52kg",13,IF(Atletas!E280="Adulto 56kg",14,IF(Atletas!E280="Adulto 60kg",15,IF(Atletas!E280="Adulto 65kg",16,IF(Atletas!E280="Adulto 70kg",17,IF(Atletas!E280="Adulto 75kg",18,IF(Atletas!E280="Adulto 82kg",19,IF(Atletas!E280="Adulto 90kg",20,IF(Atletas!E280="Adulto 100kg",21,IF(Atletas!E280="Adulto +100kg",22,""))))))))))))))))))))))))</f>
        <v/>
      </c>
      <c r="AX289" s="6" t="str">
        <f>IF(Atletas!F280="","",IF(Atletas!B280="Feminino",100,IF(Atletas!B280="Masculino",200,""))+(IF(Atletas!F280="Adulto 48kg",1,IF(Atletas!F280="Adulto 56kg",2,IF(Atletas!F280="Adulto 65kg",3,IF(Atletas!F280="Adulto 75kg",4,IF(Atletas!F280="Adulto +75kg",5,IF(Atletas!F280="Adulto 52kg",6,IF(Atletas!F280="Adulto 60kg",7,IF(Atletas!F280="Adulto 70kg",8,IF(Atletas!F280="Adulto 80kg",9,IF(Atletas!F280="Adulto 90kg",10,IF(Atletas!F280="Adulto +90kg",11,"")))))))))))))</f>
        <v/>
      </c>
      <c r="BC289" s="6" t="str">
        <f>IF(Atletas!G280="","",IF(Atletas!B280="Feminino",10,IF(Atletas!B280="Masculino",20,""))+(IF(Atletas!G280="Baduanjin A",1,IF(Atletas!G280="Baduanjin B",2))))</f>
        <v/>
      </c>
      <c r="BF289" s="52" t="str">
        <f>IF(Atletas!H280="","",IF(Atletas!B280="Feminino",100,IF(Atletas!B280="Masculino",200,""))+(IF(Atletas!H280="Changquan Mirim",1,IF(Atletas!H280="Nanquan Mirim",2,IF(Atletas!H280="Taijiquan Mirim",3,IF(Atletas!H280="Changquan Grupo C",4,IF(Atletas!H280="Nanquan Grupo C",5,IF(Atletas!H280="Taijiquan Grupo C",6,IF(Atletas!H280="Changquan Grupo B",7,IF(Atletas!H280="Nanquan Grupo B",8,IF(Atletas!H280="Taijiquan Grupo B",9,IF(Atletas!H280="Changquan Grupo A",10,IF(Atletas!H280="Nanquan Grupo A",11,IF(Atletas!H280="Taijiquan Grupo A",12,IF(Atletas!H280="Changquan Opcional",13,IF(Atletas!H280="Nanquan Opcional",14,IF(Atletas!H280="Taijiquan Opcional",15,IF(Atletas!H280="Changquan Adulto",16,IF(Atletas!H280="Nanquan Adulto",17,IF(Atletas!H280="Taijiquan Adulto",18,""))))))))))))))))))))</f>
        <v/>
      </c>
      <c r="BG289" s="52" t="str">
        <f>IF(Atletas!I280="","",IF(Atletas!B280="Feminino",100,IF(Atletas!B280="Masculino",200,""))+(IF(Atletas!I280="Daoshu Mirim",19,IF(Atletas!I280="Jianshu Mirim",20,IF(Atletas!I280="Nandao Mirim",21,IF(Atletas!I280="Taijijian Mirim",22,IF(Atletas!I280="Daoshu Grupo C",23,IF(Atletas!I280="Jianshu Grupo C",24,IF(Atletas!I280="Nandao Grupo C",25,IF(Atletas!I280="Taijijian Grupo C",26,IF(Atletas!I280="Daoshu Grupo B",27,IF(Atletas!I280="Jianshu Grupo B",28,IF(Atletas!I280="Nandao Grupo B",29,IF(Atletas!I280="Taijijian Grupo B",30,IF(Atletas!I280="Daoshu Grupo A",31,IF(Atletas!I280="Jianshu Grupo A",32,IF(Atletas!I280="Nandao Grupo A",33,IF(Atletas!I280="Taijijian Grupo A",34,IF(Atletas!I280="Daoshu Opcional",35,IF(Atletas!I280="Jianshu Opcional",36,IF(Atletas!I280="Nandao Opcional",37,IF(Atletas!I280="Taijijian Opcional",38,IF(Atletas!I280="Daoshu Adulto",39,IF(Atletas!I280="Jianshu Adulto",40,IF(Atletas!I280="Nandao Adulto",41,IF(Atletas!I280="Taijijian Adulto",42,""))))))))))))))))))))))))))</f>
        <v/>
      </c>
      <c r="BH289" s="52" t="str">
        <f>IF(Atletas!J280="","",IF(Atletas!B280="Feminino",100,IF(Atletas!B280="Masculino",200,""))+(IF(Atletas!J280="Gunshu Mirim",43,IF(Atletas!J280="Qiangshu Mirim",44,IF(Atletas!J280="Nangun Mirim",45,IF(Atletas!J280="Gunshu Grupo C",46,IF(Atletas!J280="Qiangshu Grupo C",47,IF(Atletas!J280="Nangun Grupo C",48,IF(Atletas!J280="Gunshu Grupo B",49,IF(Atletas!J280="Qiangshu Grupo B",50,IF(Atletas!J280="Nangun Grupo B",51,IF(Atletas!J280="Gunshu Grupo A",52,IF(Atletas!J280="Qiangshu Grupo A",53,IF(Atletas!J280="Nangun Grupo A",54,IF(Atletas!J280="Gunshu Opcional",55,IF(Atletas!J280="Qiangshu Opcional",56,IF(Atletas!J280="Nangun Opcional",57,IF(Atletas!J280="Gunshu Adulto",58,IF(Atletas!J280="Qiangshu Adulto",59,IF(Atletas!J280="Nangun Adulto",60,IF(Atletas!J280="Taijishan Grupo B",61,IF(Atletas!J280="Taijishan Grupo A",62,""))))))))))))))))))))))</f>
        <v/>
      </c>
      <c r="BM289" s="50" t="str">
        <f>IF(Atletas!K280="","",IF(Atletas!B280="Feminino",100,IF(Atletas!B280="Masculino",200,""))+(IF(Atletas!K280="Equipe 1 Grupo B",1,IF(Atletas!K280="Equipe 2 Grupo B",2,IF(Atletas!K280="Equipe 1 Grupo A",3,IF(Atletas!K280="Equipe 2 Grupo A",4,IF(Atletas!K280="Equipe 1 Adulto",5,IF(Atletas!K280="Equipe 2 Adulto",6,""))))))))</f>
        <v/>
      </c>
      <c r="BR289" s="50" t="str">
        <f>IF(Atletas!L280="","",IF(Atletas!X280&lt;&gt;"",10000,0)+(IF(Atletas!B280="Feminino",1000,IF(Atletas!B280="Masculino",2000,""))+IF(Atletas!L280="Choylayfut A",1,IF(Atletas!L280="Hunggar A",2,IF(Atletas!L280="Wuzuquan A",3,IF(Atletas!L280="Wingchun A",4,IF(Atletas!L280="Outra Mão de Sul A",5,IF(Atletas!L280="Choylayfut B",6,IF(Atletas!L280="Hunggar B",7,IF(Atletas!L280="Wuzuquan B",8,IF(Atletas!L280="Wingchun B",9,IF(Atletas!L280="Outra Mão de Sul B",10,IF(Atletas!L280="Choylayfut C",11,IF(Atletas!L280="Hunggar C",12,IF(Atletas!L280="Wuzuquan C",13,IF(Atletas!L280="Wingchun C",14,IF(Atletas!L280="Outra Mão de Sul C",15,IF(Atletas!L280="Choylayfut D",16,IF(Atletas!L280="Hunggar D",17,IF(Atletas!L280="Wuzuquan D",18,IF(Atletas!L280="Wingchun D",19,IF(Atletas!L280="Outra Mão de Sul D",20,IF(Atletas!L280="Choylayfut E",21,IF(Atletas!L280="Hunggar E",22,IF(Atletas!L280="Wuzuquan E",23,IF(Atletas!L280="Wingchun E",24,IF(Atletas!L280="Outra Mão de Sul E",25,IF(Atletas!L280="Choylayfut F",26,IF(Atletas!L280="Hunggar F",27,IF(Atletas!L280="Wuzuquan F",28,IF(Atletas!L280="Wingchun F",29,IF(Atletas!L280="Outra Mão de Sul F",30,IF(Atletas!L280="Dishuquan A",31,IF(Atletas!L280="Dishuquan B",32,IF(Atletas!L280="Dishuquan C",33,IF(Atletas!L280="Dishuquan D",34,IF(Atletas!L280="Dishuquan E",35,IF(Atletas!L280="Dishuquan F",36,""))))))))))))))))))))))))))))))))))))))</f>
        <v/>
      </c>
      <c r="BS289" s="50" t="str">
        <f>IF(Atletas!M280="","",IF(Atletas!X280&lt;&gt;"",10000,0)+(IF(Atletas!B280="Feminino",1000,IF(Atletas!B280="Masculino",2000,""))+(IF(Atletas!M280="Chaquan A",101,IF(Atletas!M280="Emeiquan A",102,IF(Atletas!M280="Fanziquan A",103,IF(Atletas!M280="Huaquan A",104,IF(Atletas!M280="Hongquan A",105,IF(Atletas!M280="Paoquan A",106,IF(Atletas!M280="Piguaquan A",107,IF(Atletas!M280="Shaolinquan A",108,IF(Atletas!M280="Tanglangquan A",109,IF(Atletas!M280="Yingzhaoquan A",110,IF(Atletas!M280="Tongbeiquan A",111,IF(Atletas!M280="Wudangquan A",112,IF(Atletas!M280="Outros Estilos A",113,IF(Atletas!M280="Chaquan B",114,IF(Atletas!M280="Emeiquan B",115,IF(Atletas!M280="Fanziquan B",116,IF(Atletas!M280="Huaquan B",117,IF(Atletas!M280="Hongquan B",118,IF(Atletas!M280="Paoquan B",119,IF(Atletas!M280="Piguaquan B",120,IF(Atletas!M280="Shaolinquan B",121,IF(Atletas!M280="Tanglangquan B",122,IF(Atletas!M280="Yingzhaoquan B",123,IF(Atletas!M280="Tongbeiquan B",124,IF(Atletas!M280="Wudangquan B",125,IF(Atletas!M280="Outros Estilos B",126,IF(Atletas!M280="Chaquan C",127,IF(Atletas!M280="Emeiquan C",128,IF(Atletas!M280="Fanziquan C",129,IF(Atletas!M280="Huaquan C",130,IF(Atletas!M280="Hongquan C",131,IF(Atletas!M280="Paoquan C",132,IF(Atletas!M280="Piguaquan C",133,IF(Atletas!M280="Shaolinquan C",134,IF(Atletas!M280="Tanglangquan C",135,IF(Atletas!M280="Yingzhaoquan C",136,IF(Atletas!M280="Tongbeiquan C",137,IF(Atletas!M280="Wudangquan C",138,IF(Atletas!M280="Outros Estilos C",139,0))))))))))))))))))))))))))))))))))))))))))</f>
        <v/>
      </c>
      <c r="BT289" s="50" t="str">
        <f>IF(Atletas!M280="","",IF(Atletas!X280&lt;&gt;"",10000,0)+(IF(Atletas!B280="Feminino",1000,IF(Atletas!B280="Masculino",2000,""))+(IF(Atletas!M280="Chaquan D",140,IF(Atletas!M280="Emeiquan D",141,IF(Atletas!M280="Fanziquan D",142,IF(Atletas!M280="Huaquan D",143,IF(Atletas!M280="Hongquan D",144,IF(Atletas!M280="Paoquan D",145,IF(Atletas!M280="Piguaquan D",146,IF(Atletas!M280="Shaolinquan D",147,IF(Atletas!M280="Tanglangquan D",148,IF(Atletas!M280="Yingzhaoquan D",149,IF(Atletas!M280="Tongbeiquan D",150,IF(Atletas!M280="Wudangquan D",151,IF(Atletas!M280="Outros Estilos D",152,IF(Atletas!M280="Chaquan E",153,IF(Atletas!M280="Emeiquan E",154,IF(Atletas!M280="Fanziquan E",155,IF(Atletas!M280="Huaquan E",156,IF(Atletas!M280="Hongquan E",157,IF(Atletas!M280="Paoquan E",158,IF(Atletas!M280="Piguaquan E",159,IF(Atletas!M280="Shaolinquan E",160,IF(Atletas!M280="Tanglangquan E",161,IF(Atletas!M280="Yingzhaoquan E",162,IF(Atletas!M280="Tongbeiquan E",163,IF(Atletas!M280="Wudangquan E",164,IF(Atletas!M280="Outros Estilos E",165,IF(Atletas!M280="Chaquan F",166,IF(Atletas!M280="Emeiquan F",167,IF(Atletas!M280="Fanziquan F",168,IF(Atletas!M280="Huaquan F",169,IF(Atletas!M280="Hongquan F",170,IF(Atletas!M280="Paoquan F",171,IF(Atletas!M280="Piguaquan F",172,IF(Atletas!M280="Shaolinquan F",173,IF(Atletas!M280="Tanglangquan F",174,IF(Atletas!M280="Yingzhaoquan F",175,IF(Atletas!M280="Tongbeiquan F",176,IF(Atletas!M280="Wudangquan F",177,IF(Atletas!M280="Outros Estilos F",178,0))))))))))))))))))))))))))))))))))))))))))</f>
        <v/>
      </c>
      <c r="BU289" s="50" t="str">
        <f>IF(Atletas!N280="","",IF(Atletas!X280&lt;&gt;"",10000,0)+(IF(Atletas!B280="Feminino",1000,IF(Atletas!B280="Masculino",2000,""))+(IF(Atletas!N280="Ditangquan A",201,IF(Atletas!N280="Houquan A",202,IF(Atletas!N280="Zuiquan A",203,IF(Atletas!N280="Ditangquan B",204,IF(Atletas!N280="Houquan B",205,IF(Atletas!N280="Zuiquan B",206,IF(Atletas!N280="Ditangquan C",207,IF(Atletas!N280="Houquan C",208,IF(Atletas!N280="Zuiquan C",209,IF(Atletas!N280="Ditangquan D",210,IF(Atletas!N280="Houquan D",211,IF(Atletas!N280="Zuiquan D",212,IF(Atletas!N280="Ditangquan E",213,IF(Atletas!N280="Houquan E",214,IF(Atletas!N280="Zuiquan E",215,IF(Atletas!N280="Ditangquan F",216,IF(Atletas!N280="Houquan F",217,IF(Atletas!N280="Zuiquan F",218,"")))))))))))))))))))))</f>
        <v/>
      </c>
      <c r="BV289" s="50" t="str">
        <f>IF(Atletas!O280="","",IF(Atletas!X280&lt;&gt;"",10000,0)+IF(Atletas!B280="Feminino",1000,IF(Atletas!B280="Masculino",2000,""))+IF(Atletas!O280="Yang A",301,IF(Atletas!O280="Chen A",302,IF(Atletas!O280="Sun A",303,IF(Atletas!O280="Wu A",304,IF(Atletas!O280="Wu-Hao A",305,IF(Atletas!O280="Outro Taijiquan A",306,IF(Atletas!O280="Yang B",307,IF(Atletas!O280="Chen B",308,IF(Atletas!O280="Sun B",309,IF(Atletas!O280="Wu B",310,IF(Atletas!O280="Wu-Hao B",311,IF(Atletas!O280="Outro Taijiquan B",312,IF(Atletas!O280="Yang C",313,IF(Atletas!O280="Chen C",314,IF(Atletas!O280="Sun C",315,IF(Atletas!O280="Wu C",316,IF(Atletas!O280="Wu-Hao C",317,IF(Atletas!O280="Outro Taijiquan C",318,IF(Atletas!O280="Yang D",319,IF(Atletas!O280="Chen D",320,IF(Atletas!O280="Sun D",321,IF(Atletas!O280="Wu D",322,IF(Atletas!O280="Wu-Hao D",323,IF(Atletas!O280="Outro Taijiquan D",324,IF(Atletas!O280="Yang E",325,IF(Atletas!O280="Chen E",326,IF(Atletas!O280="Sun E",327,IF(Atletas!O280="Wu E",328,IF(Atletas!O280="Wu-Hao E",329,IF(Atletas!O280="Outro Taijiquan E",330,IF(Atletas!O280="Yang F",331,IF(Atletas!O280="Chen F",332,IF(Atletas!O280="Sun F",333,IF(Atletas!O280="Wu F",334,IF(Atletas!O280="Wu-Hao F",335,IF(Atletas!O280="Outro Taijiquan F",336,"")))))))))))))))))))))))))))))))))))))</f>
        <v/>
      </c>
      <c r="BW289" s="50" t="str">
        <f>IF(Atletas!P280="","",IF(Atletas!X280&lt;&gt;"",10000,0)+IF(Atletas!B280="Feminino",1000,IF(Atletas!B280="Masculino",2000,""))+IF(OR(Atletas!P280="Yang 26 A",Atletas!P280="Yang 40 A"),401,IF(OR(Atletas!P280="Chen 25 A",Atletas!P280="Chen 36 A",Atletas!P280="Chen 56 A"),402,IF(Atletas!P280="Sun 73 A",403,IF(Atletas!P280="Wu 45 A",404,IF(Atletas!P280="Wu-Hao 46 A",405,IF(OR(Atletas!P280="Taijiquan 16 A",Atletas!P280="Taijiquan 24 A",Atletas!P280="Taijiquan 32 A",Atletas!P280="Taijiquan 42 A"),406,IF(OR(Atletas!P280="Yang 26 B",Atletas!P280="Yang 40 B"),407,IF(OR(Atletas!P280="Chen 25 B",Atletas!P280="Chen 36 B",Atletas!P280="Chen 56 B"),408,IF(Atletas!P280="Sun 73 B",409,IF(Atletas!P280="Wu 45 B",410,IF(Atletas!P280="Wu-Hao 46 B",411,IF(OR(Atletas!P280="Taijiquan 16 B",Atletas!P280="Taijiquan 24 B",Atletas!P280="Taijiquan 32 B",Atletas!P280="Taijiquan 42 B"),412,IF(OR(Atletas!P280="Yang 26 C",Atletas!P280="Yang 40 C"),413,IF(OR(Atletas!P280="Chen 25 C",Atletas!P280="Chen 36 C",Atletas!P280="Chen 56 C"),414,IF(Atletas!P280="Sun 73 C",415,IF(Atletas!P280="Wu 45 C",416,IF(Atletas!P280="Wu-Hao 46 C",417,IF(OR(Atletas!P280="Taijiquan 16 C",Atletas!P280="Taijiquan 24 C",Atletas!P280="Taijiquan 32 C",Atletas!P280="Taijiquan 42 C"),418,0)))))))))))))))))))</f>
        <v/>
      </c>
      <c r="BX289" s="50" t="str">
        <f>IF(Atletas!P280="","",IF(Atletas!X280&lt;&gt;"",10000,0)+IF(Atletas!B280="Feminino",1000,IF(Atletas!B280="Masculino",2000,""))+IF(OR(Atletas!P280="Yang 26 D",Atletas!P280="Yang 40 D"),419,IF(OR(Atletas!P280="Chen 25 D",Atletas!P280="Chen 36 D",Atletas!P280="Chen 56 D"),420,IF(Atletas!P280="Sun 73 D",421,IF(Atletas!P280="Wu 45 D",422,IF(Atletas!P280="Wu-Hao 46 D",423,IF(OR(Atletas!P280="Taijiquan 16 D",Atletas!P280="Taijiquan 24 D",Atletas!P280="Taijiquan 32 D",Atletas!P280="Taijiquan 42 D"),424,IF(OR(Atletas!P280="Yang 26 E",Atletas!P280="Yang 40 E"),425,IF(OR(Atletas!P280="Chen 25 E",Atletas!P280="Chen 36 E",Atletas!P280="Chen 56 E"),426,IF(Atletas!P280="Sun 73 E",427,IF(Atletas!P280="Wu 45 E",428,IF(Atletas!P280="Wu-Hao 46 E",429,IF(OR(Atletas!P280="Taijiquan 16 E",Atletas!P280="Taijiquan 24 E",Atletas!P280="Taijiquan 32 E",Atletas!P280="Taijiquan 42 E"),430,IF(OR(Atletas!P280="Yang 26 F",Atletas!P280="Yang 40 F"),431,IF(OR(Atletas!P280="Chen 25 F",Atletas!P280="Chen 36 F",Atletas!P280="Chen 56 F"),432,IF(Atletas!P280="Sun 73 F",433,IF(Atletas!P280="Wu 45 F",434,IF(Atletas!P280="Wu-Hao 46 F",435,IF(OR(Atletas!P280="Taijiquan 16 F",Atletas!P280="Taijiquan 24 F",Atletas!P280="Taijiquan 32 F",Atletas!P280="Taijiquan 42 F"),436,0)))))))))))))))))))</f>
        <v/>
      </c>
      <c r="BY289" s="50" t="str">
        <f>IF(Atletas!Q280="","",IF(Atletas!X280&lt;&gt;"",10000,0)+IF(Atletas!B280="Feminino",1000,IF(Atletas!B280="Masculino",2000,""))+IF(Atletas!Q280="Xingyiquan A",501,IF(Atletas!Q280="Baguazhang A",502,IF(Atletas!Q280="Outro Estilo Interno A",503,IF(Atletas!Q280="Xingyiquan B",504,IF(Atletas!Q280="Baguazhang B",505,IF(Atletas!Q280="Outro Estilo Interno B",506,IF(Atletas!Q280="Xingyiquan C",507,IF(Atletas!Q280="Baguazhang C",508,IF(Atletas!Q280="Outro Estilo Interno C",509,IF(Atletas!Q280="Xingyiquan D",510,IF(Atletas!Q280="Baguazhang D",511,IF(Atletas!Q280="Outro Estilo Interno D",512,IF(Atletas!Q280="Xingyiquan E",513,IF(Atletas!Q280="Baguazhang E",514,IF(Atletas!Q280="Outro Estilo Interno E",515,IF(Atletas!Q280="Xingyiquan F",516,IF(Atletas!Q280="Baguazhang F",517,IF(Atletas!Q280="Outro Estilo Interno F",518, "")))))))))))))))))))</f>
        <v/>
      </c>
      <c r="BZ289" s="50" t="str">
        <f>IF(Atletas!R280="","",IF(Atletas!X280&lt;&gt;"",10000,0)+IF(Atletas!B280="Feminino",1000,IF(Atletas!B280="Masculino",2000,""))+IF(Atletas!R280="Dao A",601,IF(Atletas!R280="Jian A",602,IF(Atletas!R280="Bishou A",603,IF(Atletas!R280="Shanzi A",604,IF(Atletas!R280="Outra Arma Curta A",605,IF(Atletas!R280="Dao B",606,IF(Atletas!R280="Jian B",607,IF(Atletas!R280="Bishou B",608,IF(Atletas!R280="Shanzi B",609,IF(Atletas!R280="Outra Arma Curta B",610,IF(Atletas!R280="Dao C",611,IF(Atletas!R280="Jian C",612,IF(Atletas!R280="Bishou C",613,IF(Atletas!R280="Shanzi C",614,IF(Atletas!R280="Outra Arma Curta C",615,IF(Atletas!R280="Dao D",616,IF(Atletas!R280="Jian D",617,IF(Atletas!R280="Bishou D",618,IF(Atletas!R280="Shanzi D",619,IF(Atletas!R280="Outra Arma Curta D",620,IF(Atletas!R280="Dao E",621,IF(Atletas!R280="Jian E",622,IF(Atletas!R280="Bishou E",623,IF(Atletas!R280="Shanzi E",624,IF(Atletas!R280="Outra Arma Curta E",625,IF(Atletas!R280="Dao F",626,IF(Atletas!R280="Jian F",627,IF(Atletas!R280="Bishou F",628,IF(Atletas!R280="Shanzi F",629,IF(Atletas!R280="Outra Arma Curta F",630, "")))))))))))))))))))))))))))))))</f>
        <v/>
      </c>
      <c r="CA289" s="50" t="str">
        <f>IF(Atletas!S280="","",IF(Atletas!X280&lt;&gt;"",10000,0)+IF(Atletas!B280="Feminino",1000,IF(Atletas!B280="Masculino",2000,""))+IF(Atletas!S280="Gun A",701,IF(Atletas!S280="Qiang A",702,IF(Atletas!S280="Pudao / Guandao A",703,IF(Atletas!S280="Outra Arma Longa A",704,IF(Atletas!S280="Gun B",705,IF(Atletas!S280="Qiang B",706,IF(Atletas!S280="Pudao / Guandao B",707,IF(Atletas!S280="Outra Arma Longa B",708,IF(Atletas!S280="Gun C",709,IF(Atletas!S280="Qiang C",710,IF(Atletas!S280="Pudao / Guandao C",711,IF(Atletas!S280="Outra Arma Longa C",712,IF(Atletas!S280="Gun D",713,IF(Atletas!S280="Qiang D",714,IF(Atletas!S280="Pudao / Guandao D",715,IF(Atletas!S280="Outra Arma Longa D",716,IF(Atletas!S280="Gun E",717,IF(Atletas!S280="Qiang E",718,IF(Atletas!S280="Pudao / Guandao E",719,IF(Atletas!S280="Outra Arma Longa E",720,IF(Atletas!S280="Gun F",721,IF(Atletas!S280="Qiang F",722,IF(Atletas!S280="Pudao / Guandao F",723,IF(Atletas!S280="Outra Arma Longa F",724,"")))))))))))))))))))))))))</f>
        <v/>
      </c>
      <c r="CB289" s="50" t="str">
        <f>IF(Atletas!T280="","",IF(Atletas!X280&lt;&gt;"",10000,0)+IF(Atletas!B280="Feminino",1000,IF(Atletas!B280="Masculino",2000,""))+IF(Atletas!T280="Outra Arma Dupla A",801,IF(Atletas!T280="Arma Maleável A",802,IF(Atletas!T280="Outra Arma Dupla B",803,IF(Atletas!T280="Arma Maleável B",804,IF(Atletas!T280="Outra Arma Dupla C",805,IF(Atletas!T280="Arma Maleável C",806,IF(Atletas!T280="Outra Arma Dupla D",807,IF(Atletas!T280="Arma Maleável D",808,IF(Atletas!T280="Outra Arma Dupla E",809,IF(Atletas!T280="Arma Maleável E",810,IF(Atletas!T280="Outra Arma Dupla F",811,IF(Atletas!T280="Arma Maleável F",812,IF(Atletas!T280="Shuangdao A",813,IF(Atletas!T280="Shuangdao B",814,IF(Atletas!T280="Shuangdao C",815,IF(Atletas!T280="Shuangdao D",816,IF(Atletas!T280="Shuangdao E",817,IF(Atletas!T280="Shuangdao F",818,"")))))))))))))))))))</f>
        <v/>
      </c>
      <c r="CC289" s="50" t="str">
        <f>IF(Atletas!U280="","",IF(Atletas!X280&lt;&gt;"",10000,0)+IF(Atletas!B280="Feminino",1000,IF(Atletas!B280="Masculino",2000,""))+IF(OR(Atletas!U280="Taijijian Yang A",Atletas!U280="Taijijian Yang Standard A"),901,IF(OR(Atletas!U280="Taijijian Chen A", Atletas!U280="Taijijian Chen Standard A"),902,IF(Atletas!U280="Taijijian Sun A",903,IF(Atletas!U280="Taijijian Wu A",904,IF(Atletas!U280="Taijijian Wu-Hao A",905,IF(OR(Atletas!U280="Taijijian 32 A",Atletas!U280="Taijijian 42 A"),906,IF(OR(Atletas!U280="Taijijian Yang B",Atletas!U280="Taijijian Yang Standard B"),907,IF(OR(Atletas!U280="Taijijian Chen B", Atletas!U280="Taijijian Chen Standard B"),908,IF(Atletas!U280="Taijijian Sun B",909,IF(Atletas!U280="Taijijian Wu B",910,IF(Atletas!U280="Taijijian Wu-Hao B",911,IF(OR(Atletas!U280="Taijijian 32 B",Atletas!U280="Taijijian 42 B"),912,IF(OR(Atletas!U280="Taijijian Yang C",Atletas!U280="Taijijian Yang Standard C"),913,IF(OR(Atletas!U280="Taijijian Chen C", Atletas!U280="Taijijian Chen Standard C"),914,IF(Atletas!U280="Taijijian Sun C",915,IF(Atletas!U280="Taijijian Wu C",916,IF(Atletas!U280="Taijijian Wu-Hao C",917,IF(OR(Atletas!U280="Taijijian 32 C",Atletas!U280="Taijijian 42 C"),918,IF(OR(Atletas!U280="Taijijian Yang D",Atletas!U280="Taijijian Yang Standard D"),919,IF(OR(Atletas!U280="Taijijian Chen D", Atletas!U280="Taijijian Chen Standard D"),920,IF(Atletas!U280="Taijijian Sun D",921,IF(Atletas!U280="Taijijian Wu D",922,IF(Atletas!U280="Taijijian Wu-Hao D",923,IF(OR(Atletas!U280="Taijijian 32 D",Atletas!U280="Taijijian 42 D"),924,IF(OR(Atletas!U280="Taijijian Yang E",Atletas!U280="Taijijian Yang Standard E"),925,IF(OR(Atletas!U280="Taijijian Chen E", Atletas!U280="Taijijian Chen Standard E"),926,IF(Atletas!U280="Taijijian Sun E",927,IF(Atletas!U280="Taijijian Wu E",928,IF(Atletas!U280="Taijijian Wu-Hao E",929,IF(OR(Atletas!U280="Taijijian 32 E",Atletas!U280="Taijijian 42 E"),930,IF(OR(Atletas!U280="Taijijian Yang F",Atletas!U280="Taijijian Yang Standard F"),931,IF(OR(Atletas!U280="Taijijian Chen F", Atletas!U280="Taijijian Chen Standard F"),932,IF(Atletas!U280="Taijijian Sun F",933,IF(Atletas!U280="Taijijian Wu F",934,IF(Atletas!U280="Taijijian Wu-Hao F",935,IF(OR(Atletas!U280="Taijijian 32 F",Atletas!U280="Taijijian 42 F"),936,"")))))))))))))))))))))))))))))))))))))</f>
        <v/>
      </c>
      <c r="CD289" s="50" t="str">
        <f>IF(Atletas!V280="","",IF(Atletas!X280&lt;&gt;"",10000,0)+IF(Atletas!B280="Feminino",1000,IF(Atletas!B280="Masculino",2000,""))+IF(Atletas!V280="Taijidao A",937,IF(Atletas!V280="TaijiShanzi A",938,IF(Atletas!V280="Taijiqiang A",939,IF(Atletas!V280="Bagua de Arma A",940,IF(Atletas!V280="Xingyi de Arma A",941,IF(Atletas!V280="Taijidao B",942,IF(Atletas!V280="TaijiShanzi B",943,IF(Atletas!V280="Taijiqiang B",944,IF(Atletas!V280="Bagua de Arma B",945,IF(Atletas!V280="Xingyi de Arma B",946,IF(Atletas!V280="Taijidao C",947,IF(Atletas!V280="TaijiShanzi C",948,IF(Atletas!V280="Taijiqiang C",949,IF(Atletas!V280="Bagua de Arma C",950,IF(Atletas!V280="Xingyi de Arma C",951,IF(Atletas!V280="Taijidao D",952,IF(Atletas!V280="TaijiShanzi D",953,IF(Atletas!V280="Taijiqiang D",954,IF(Atletas!V280="Bagua de Arma D",955,IF(Atletas!V280="Xingyi de Arma D",956,IF(Atletas!V280="Taijidao E",957,IF(Atletas!V280="TaijiShanzi E",958,IF(Atletas!V280="Taijiqiang E",959,IF(Atletas!V280="Bagua de Arma E",960,IF(Atletas!V280="Xingyi de Arma E",961,IF(Atletas!V280="Taijidao F",962,IF(Atletas!V280="TaijiShanzi F",963,IF(Atletas!V280="Taijiqiang F",964,IF(Atletas!V280="Bagua de Arma F",965,IF(Atletas!V280="Xingyi de Arma F",966,"")))))))))))))))))))))))))))))))</f>
        <v/>
      </c>
      <c r="CE289" s="66" t="str">
        <f>IF(CF289&lt;&gt;"","Shuangdao C","")</f>
        <v/>
      </c>
      <c r="CF289" s="66" t="str">
        <f>IF(COUNTIF(BR:CD,1815)&gt;0,COUNTIF(BR:CD,1815),"")</f>
        <v/>
      </c>
      <c r="CG289" s="66" t="str">
        <f>IF(CH289&lt;&gt;"","Shuangdao C","")</f>
        <v/>
      </c>
      <c r="CH289" s="66" t="str">
        <f>IF(COUNTIF(BT:CF,2815)&gt;0,COUNTIF(BT:CF,2815),"")</f>
        <v/>
      </c>
      <c r="CI289" s="66" t="str">
        <f>IF(CJ290&lt;&gt;"","Taijijian Chen A","")</f>
        <v/>
      </c>
      <c r="CJ289" s="66" t="str">
        <f>IF(COUNTIF(BR:CD,11901)&gt;0,COUNTIF(BR:CD,11901),"")</f>
        <v/>
      </c>
      <c r="CK289" s="66" t="str">
        <f>IF(CL289&lt;&gt;"","Taijijian Yang A","")</f>
        <v/>
      </c>
      <c r="CL289" s="66" t="str">
        <f>IF(COUNTIF(BR:CD,12901)&gt;0,COUNTIF(BR:CD,12901),"")</f>
        <v/>
      </c>
      <c r="CM289" s="50" t="str">
        <f xml:space="preserve"> IF(Atletas!W280="","",IF(Atletas!W280="Duilian de Mãos BC - Equipe 1",1,IF(Atletas!W280="Duilian de Mãos BC - Equipe 2",2,IF(Atletas!W280="Duilian de Armas BC - Equipe 1",3,IF(Atletas!W280="Duilian de Armas BC - Equipe 2",4,IF(Atletas!W280="Duilian de Mãos DE - Equipe 1",5,IF(Atletas!W280="Duilian de Mãos DE - Equipe 2",6,IF(Atletas!W280="Duilian de Armas DE - Equipe 1",7,IF(Atletas!W280="Duilian de Armas DE - Equipe 2",8,IF(Atletas!W280="Duilian de Tuishou - Equipe 1",9,IF(Atletas!W280="Duilian de Tuishou - Equipe 2",10,IF(Atletas!W280="Grupo Externo ABC - Equipe 1",11,IF(Atletas!W280="Grupo Externo ABC - Equipe 2",12,IF(Atletas!W280="Grupo Interno ABC - Equipe 1",13,IF(Atletas!W280="Grupo Interno ABC - Equipe 2",14,IF(Atletas!W280="Grupo Externo DEF - Equipe 1",15,IF(Atletas!W280="Grupo Externo DEF - Equipe 2",16,IF(Atletas!W280="Grupo Interno DEF - Equipe 1",17,IF(Atletas!W280="Grupo Interno DEF - Equipe 2",18,"")))))))))))))))))))</f>
        <v/>
      </c>
    </row>
    <row r="290" spans="2:91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 t="str">
        <f t="array" ref="Z290">IFERROR(INDEX(CE$7:CE$348,SMALL(IF(CE$7:CE$348&lt;&gt;"",ROW(CE$7:CE$348)-ROW(CE$7)+1),ROWS(CE$7:CE289))),"")</f>
        <v/>
      </c>
      <c r="AA290" s="3" t="str">
        <f t="array" ref="AA290">IFERROR(INDEX(CF$7:CF$348,SMALL(IF(CF$7:CF$348&lt;&gt;"",ROW(CF$7:CF$348)-ROW(CF$7)+1),ROWS(CF$7:CF289))),"")</f>
        <v/>
      </c>
      <c r="AB290" s="3" t="str">
        <f t="array" ref="AB290">IFERROR(INDEX(CG$7:CG$348,SMALL(IF(CG$7:CG$348&lt;&gt;"",ROW(CG$7:CG$348)-ROW(CG$7)+1),ROWS(CG$7:CG289))),"")</f>
        <v/>
      </c>
      <c r="AC290" s="3" t="str">
        <f t="array" ref="AC290">IFERROR(INDEX(CH$7:CH$348,SMALL(IF(CH$7:CH$348&lt;&gt;"",ROW(CH$7:CH$348)-ROW(CH$7)+1),ROWS(CH$7:CH289))),"")</f>
        <v/>
      </c>
      <c r="AD290" s="3" t="str">
        <f t="array" ref="AD290">IFERROR(INDEX(CI$7:CI$377,SMALL(IF(CI$7:CI$377&lt;&gt;"",ROW(CI$7:CI$377)-ROW(CI$7)+1),ROWS(CI$7:CI288))),"")</f>
        <v/>
      </c>
      <c r="AE290" s="3" t="str">
        <f t="array" ref="AE290">IFERROR(INDEX(CJ$7:CJ$378,SMALL(IF(CJ$7:CJ$378&lt;&gt;"",ROW(CJ$7:CJ$378)-ROW(CJ$7)+1),ROWS(CJ$7:CJ289))),"")</f>
        <v/>
      </c>
      <c r="AF290" s="3" t="str">
        <f t="array" ref="AF290">IFERROR(INDEX(CK$7:CK$378,SMALL(IF(CK$7:CK$378&lt;&gt;"",ROW(CK$7:CK$378)-ROW(CK$7)+1),ROWS(CK$7:CK289))),"")</f>
        <v/>
      </c>
      <c r="AG290" s="3" t="str">
        <f t="array" ref="AG290">IFERROR(INDEX(CL$7:CL$378,SMALL(IF(CL$7:CL$378&lt;&gt;"",ROW(CL$7:CL$378)-ROW(CL$7)+1),ROWS(CL$7:CL289))),"")</f>
        <v/>
      </c>
      <c r="AH290" s="3"/>
      <c r="AI290" s="3"/>
      <c r="AJ290" s="3"/>
      <c r="AK290" s="3"/>
      <c r="AL290" s="3"/>
      <c r="AM290" s="3"/>
      <c r="AN290" s="52" t="str">
        <f>IF(Atletas!D281="","",IF(Atletas!B281="Feminino",100,IF(Atletas!B281="Masculino",200,""))+(IF(Atletas!D281="Kids 30kg",1,IF(Atletas!D281="Kids 32kg",2, IF(Atletas!D281="Kids 34kg",3,IF(Atletas!D281="Kids 36kg",4,IF(Atletas!D281="Kids 39kg",5,IF(Atletas!D281="Kids 42kg",6,IF(Atletas!D281="Kids 45kg",7, IF(Atletas!D281="Infantil 39kg",8,IF(Atletas!D281="Infantil 42kg",9,IF(Atletas!D281="Infantil 45kg",10,IF(Atletas!D281="Infantil 48kg",11,IF(Atletas!D281="Infantil 52kg",12,IF(Atletas!D281="Infantil 56kg",13,IF(Atletas!D281="Infantil 60kg",14,IF(Atletas!D281="Juvenil 48kg",15,IF(Atletas!D281="Juvenil 52kg",16,IF(Atletas!D281="Juvenil 56kg",17,IF(Atletas!D281="Juvenil 60kg",18,IF(Atletas!D281="Juvenil 65kg",19,IF(Atletas!D281="Juvenil 70kg",20,IF(Atletas!D281="Juvenil 75kg",21,IF(Atletas!D281="Juvenil 80kg",22, IF(Atletas!D281="Juvenil 85kg",23,IF(Atletas!D281="Adulto 48kg",24,IF(Atletas!D281="Adulto 52kg",25,IF(Atletas!D281="Adulto 56kg",26,IF(Atletas!D281="Adulto 60kg",27,IF(Atletas!D281="Adulto 65kg",28,IF(Atletas!D281="Adulto 70kg",29,IF(Atletas!D281="Adulto 75kg",30,IF(Atletas!D281="Adulto 80kg",31,IF(Atletas!D281="Adulto 85kg",32,IF(Atletas!D281="Adulto 90kg",33,IF(Atletas!D281="Adulto 100kg",34, IF(Atletas!D281="Adulto +100kg",35,"")))))))))))))))))))))))))))))))))))))</f>
        <v/>
      </c>
      <c r="AS290" s="6" t="str">
        <f>IF(Atletas!E281="","",IF(Atletas!B281="Feminino",100,IF(Atletas!B281="Masculino",200,""))+(IF(Atletas!E281="Juvenil 44kg",1,IF(Atletas!E281="Juvenil 48kg",2,IF(Atletas!E281="Juvenil 52kg",3,IF(Atletas!E281="Juvenil 56kg",4,IF(Atletas!E281="Juvenil 60kg",5,IF(Atletas!E281="Juvenil 65kg",6,IF(Atletas!E281="Juvenil 70kg",7,IF(Atletas!E281="Juvenil 75kg",8,IF(Atletas!E281="Juvenil 82kg",9,IF(Atletas!E281="Juvenil 90kg",10,IF(Atletas!E281="Juvenil 100kg",11,IF(Atletas!E281="Adulto 48kg",12,IF(Atletas!E281="Adulto 52kg",13,IF(Atletas!E281="Adulto 56kg",14,IF(Atletas!E281="Adulto 60kg",15,IF(Atletas!E281="Adulto 65kg",16,IF(Atletas!E281="Adulto 70kg",17,IF(Atletas!E281="Adulto 75kg",18,IF(Atletas!E281="Adulto 82kg",19,IF(Atletas!E281="Adulto 90kg",20,IF(Atletas!E281="Adulto 100kg",21,IF(Atletas!E281="Adulto +100kg",22,""))))))))))))))))))))))))</f>
        <v/>
      </c>
      <c r="AX290" s="6" t="str">
        <f>IF(Atletas!F281="","",IF(Atletas!B281="Feminino",100,IF(Atletas!B281="Masculino",200,""))+(IF(Atletas!F281="Adulto 48kg",1,IF(Atletas!F281="Adulto 56kg",2,IF(Atletas!F281="Adulto 65kg",3,IF(Atletas!F281="Adulto 75kg",4,IF(Atletas!F281="Adulto +75kg",5,IF(Atletas!F281="Adulto 52kg",6,IF(Atletas!F281="Adulto 60kg",7,IF(Atletas!F281="Adulto 70kg",8,IF(Atletas!F281="Adulto 80kg",9,IF(Atletas!F281="Adulto 90kg",10,IF(Atletas!F281="Adulto +90kg",11,"")))))))))))))</f>
        <v/>
      </c>
      <c r="BC290" s="6" t="str">
        <f>IF(Atletas!G281="","",IF(Atletas!B281="Feminino",10,IF(Atletas!B281="Masculino",20,""))+(IF(Atletas!G281="Baduanjin A",1,IF(Atletas!G281="Baduanjin B",2))))</f>
        <v/>
      </c>
      <c r="BF290" s="52" t="str">
        <f>IF(Atletas!H281="","",IF(Atletas!B281="Feminino",100,IF(Atletas!B281="Masculino",200,""))+(IF(Atletas!H281="Changquan Mirim",1,IF(Atletas!H281="Nanquan Mirim",2,IF(Atletas!H281="Taijiquan Mirim",3,IF(Atletas!H281="Changquan Grupo C",4,IF(Atletas!H281="Nanquan Grupo C",5,IF(Atletas!H281="Taijiquan Grupo C",6,IF(Atletas!H281="Changquan Grupo B",7,IF(Atletas!H281="Nanquan Grupo B",8,IF(Atletas!H281="Taijiquan Grupo B",9,IF(Atletas!H281="Changquan Grupo A",10,IF(Atletas!H281="Nanquan Grupo A",11,IF(Atletas!H281="Taijiquan Grupo A",12,IF(Atletas!H281="Changquan Opcional",13,IF(Atletas!H281="Nanquan Opcional",14,IF(Atletas!H281="Taijiquan Opcional",15,IF(Atletas!H281="Changquan Adulto",16,IF(Atletas!H281="Nanquan Adulto",17,IF(Atletas!H281="Taijiquan Adulto",18,""))))))))))))))))))))</f>
        <v/>
      </c>
      <c r="BG290" s="52" t="str">
        <f>IF(Atletas!I281="","",IF(Atletas!B281="Feminino",100,IF(Atletas!B281="Masculino",200,""))+(IF(Atletas!I281="Daoshu Mirim",19,IF(Atletas!I281="Jianshu Mirim",20,IF(Atletas!I281="Nandao Mirim",21,IF(Atletas!I281="Taijijian Mirim",22,IF(Atletas!I281="Daoshu Grupo C",23,IF(Atletas!I281="Jianshu Grupo C",24,IF(Atletas!I281="Nandao Grupo C",25,IF(Atletas!I281="Taijijian Grupo C",26,IF(Atletas!I281="Daoshu Grupo B",27,IF(Atletas!I281="Jianshu Grupo B",28,IF(Atletas!I281="Nandao Grupo B",29,IF(Atletas!I281="Taijijian Grupo B",30,IF(Atletas!I281="Daoshu Grupo A",31,IF(Atletas!I281="Jianshu Grupo A",32,IF(Atletas!I281="Nandao Grupo A",33,IF(Atletas!I281="Taijijian Grupo A",34,IF(Atletas!I281="Daoshu Opcional",35,IF(Atletas!I281="Jianshu Opcional",36,IF(Atletas!I281="Nandao Opcional",37,IF(Atletas!I281="Taijijian Opcional",38,IF(Atletas!I281="Daoshu Adulto",39,IF(Atletas!I281="Jianshu Adulto",40,IF(Atletas!I281="Nandao Adulto",41,IF(Atletas!I281="Taijijian Adulto",42,""))))))))))))))))))))))))))</f>
        <v/>
      </c>
      <c r="BH290" s="52" t="str">
        <f>IF(Atletas!J281="","",IF(Atletas!B281="Feminino",100,IF(Atletas!B281="Masculino",200,""))+(IF(Atletas!J281="Gunshu Mirim",43,IF(Atletas!J281="Qiangshu Mirim",44,IF(Atletas!J281="Nangun Mirim",45,IF(Atletas!J281="Gunshu Grupo C",46,IF(Atletas!J281="Qiangshu Grupo C",47,IF(Atletas!J281="Nangun Grupo C",48,IF(Atletas!J281="Gunshu Grupo B",49,IF(Atletas!J281="Qiangshu Grupo B",50,IF(Atletas!J281="Nangun Grupo B",51,IF(Atletas!J281="Gunshu Grupo A",52,IF(Atletas!J281="Qiangshu Grupo A",53,IF(Atletas!J281="Nangun Grupo A",54,IF(Atletas!J281="Gunshu Opcional",55,IF(Atletas!J281="Qiangshu Opcional",56,IF(Atletas!J281="Nangun Opcional",57,IF(Atletas!J281="Gunshu Adulto",58,IF(Atletas!J281="Qiangshu Adulto",59,IF(Atletas!J281="Nangun Adulto",60,IF(Atletas!J281="Taijishan Grupo B",61,IF(Atletas!J281="Taijishan Grupo A",62,""))))))))))))))))))))))</f>
        <v/>
      </c>
      <c r="BM290" s="50" t="str">
        <f>IF(Atletas!K281="","",IF(Atletas!B281="Feminino",100,IF(Atletas!B281="Masculino",200,""))+(IF(Atletas!K281="Equipe 1 Grupo B",1,IF(Atletas!K281="Equipe 2 Grupo B",2,IF(Atletas!K281="Equipe 1 Grupo A",3,IF(Atletas!K281="Equipe 2 Grupo A",4,IF(Atletas!K281="Equipe 1 Adulto",5,IF(Atletas!K281="Equipe 2 Adulto",6,""))))))))</f>
        <v/>
      </c>
      <c r="BR290" s="50" t="str">
        <f>IF(Atletas!L281="","",IF(Atletas!X281&lt;&gt;"",10000,0)+(IF(Atletas!B281="Feminino",1000,IF(Atletas!B281="Masculino",2000,""))+IF(Atletas!L281="Choylayfut A",1,IF(Atletas!L281="Hunggar A",2,IF(Atletas!L281="Wuzuquan A",3,IF(Atletas!L281="Wingchun A",4,IF(Atletas!L281="Outra Mão de Sul A",5,IF(Atletas!L281="Choylayfut B",6,IF(Atletas!L281="Hunggar B",7,IF(Atletas!L281="Wuzuquan B",8,IF(Atletas!L281="Wingchun B",9,IF(Atletas!L281="Outra Mão de Sul B",10,IF(Atletas!L281="Choylayfut C",11,IF(Atletas!L281="Hunggar C",12,IF(Atletas!L281="Wuzuquan C",13,IF(Atletas!L281="Wingchun C",14,IF(Atletas!L281="Outra Mão de Sul C",15,IF(Atletas!L281="Choylayfut D",16,IF(Atletas!L281="Hunggar D",17,IF(Atletas!L281="Wuzuquan D",18,IF(Atletas!L281="Wingchun D",19,IF(Atletas!L281="Outra Mão de Sul D",20,IF(Atletas!L281="Choylayfut E",21,IF(Atletas!L281="Hunggar E",22,IF(Atletas!L281="Wuzuquan E",23,IF(Atletas!L281="Wingchun E",24,IF(Atletas!L281="Outra Mão de Sul E",25,IF(Atletas!L281="Choylayfut F",26,IF(Atletas!L281="Hunggar F",27,IF(Atletas!L281="Wuzuquan F",28,IF(Atletas!L281="Wingchun F",29,IF(Atletas!L281="Outra Mão de Sul F",30,IF(Atletas!L281="Dishuquan A",31,IF(Atletas!L281="Dishuquan B",32,IF(Atletas!L281="Dishuquan C",33,IF(Atletas!L281="Dishuquan D",34,IF(Atletas!L281="Dishuquan E",35,IF(Atletas!L281="Dishuquan F",36,""))))))))))))))))))))))))))))))))))))))</f>
        <v/>
      </c>
      <c r="BS290" s="50" t="str">
        <f>IF(Atletas!M281="","",IF(Atletas!X281&lt;&gt;"",10000,0)+(IF(Atletas!B281="Feminino",1000,IF(Atletas!B281="Masculino",2000,""))+(IF(Atletas!M281="Chaquan A",101,IF(Atletas!M281="Emeiquan A",102,IF(Atletas!M281="Fanziquan A",103,IF(Atletas!M281="Huaquan A",104,IF(Atletas!M281="Hongquan A",105,IF(Atletas!M281="Paoquan A",106,IF(Atletas!M281="Piguaquan A",107,IF(Atletas!M281="Shaolinquan A",108,IF(Atletas!M281="Tanglangquan A",109,IF(Atletas!M281="Yingzhaoquan A",110,IF(Atletas!M281="Tongbeiquan A",111,IF(Atletas!M281="Wudangquan A",112,IF(Atletas!M281="Outros Estilos A",113,IF(Atletas!M281="Chaquan B",114,IF(Atletas!M281="Emeiquan B",115,IF(Atletas!M281="Fanziquan B",116,IF(Atletas!M281="Huaquan B",117,IF(Atletas!M281="Hongquan B",118,IF(Atletas!M281="Paoquan B",119,IF(Atletas!M281="Piguaquan B",120,IF(Atletas!M281="Shaolinquan B",121,IF(Atletas!M281="Tanglangquan B",122,IF(Atletas!M281="Yingzhaoquan B",123,IF(Atletas!M281="Tongbeiquan B",124,IF(Atletas!M281="Wudangquan B",125,IF(Atletas!M281="Outros Estilos B",126,IF(Atletas!M281="Chaquan C",127,IF(Atletas!M281="Emeiquan C",128,IF(Atletas!M281="Fanziquan C",129,IF(Atletas!M281="Huaquan C",130,IF(Atletas!M281="Hongquan C",131,IF(Atletas!M281="Paoquan C",132,IF(Atletas!M281="Piguaquan C",133,IF(Atletas!M281="Shaolinquan C",134,IF(Atletas!M281="Tanglangquan C",135,IF(Atletas!M281="Yingzhaoquan C",136,IF(Atletas!M281="Tongbeiquan C",137,IF(Atletas!M281="Wudangquan C",138,IF(Atletas!M281="Outros Estilos C",139,0))))))))))))))))))))))))))))))))))))))))))</f>
        <v/>
      </c>
      <c r="BT290" s="50" t="str">
        <f>IF(Atletas!M281="","",IF(Atletas!X281&lt;&gt;"",10000,0)+(IF(Atletas!B281="Feminino",1000,IF(Atletas!B281="Masculino",2000,""))+(IF(Atletas!M281="Chaquan D",140,IF(Atletas!M281="Emeiquan D",141,IF(Atletas!M281="Fanziquan D",142,IF(Atletas!M281="Huaquan D",143,IF(Atletas!M281="Hongquan D",144,IF(Atletas!M281="Paoquan D",145,IF(Atletas!M281="Piguaquan D",146,IF(Atletas!M281="Shaolinquan D",147,IF(Atletas!M281="Tanglangquan D",148,IF(Atletas!M281="Yingzhaoquan D",149,IF(Atletas!M281="Tongbeiquan D",150,IF(Atletas!M281="Wudangquan D",151,IF(Atletas!M281="Outros Estilos D",152,IF(Atletas!M281="Chaquan E",153,IF(Atletas!M281="Emeiquan E",154,IF(Atletas!M281="Fanziquan E",155,IF(Atletas!M281="Huaquan E",156,IF(Atletas!M281="Hongquan E",157,IF(Atletas!M281="Paoquan E",158,IF(Atletas!M281="Piguaquan E",159,IF(Atletas!M281="Shaolinquan E",160,IF(Atletas!M281="Tanglangquan E",161,IF(Atletas!M281="Yingzhaoquan E",162,IF(Atletas!M281="Tongbeiquan E",163,IF(Atletas!M281="Wudangquan E",164,IF(Atletas!M281="Outros Estilos E",165,IF(Atletas!M281="Chaquan F",166,IF(Atletas!M281="Emeiquan F",167,IF(Atletas!M281="Fanziquan F",168,IF(Atletas!M281="Huaquan F",169,IF(Atletas!M281="Hongquan F",170,IF(Atletas!M281="Paoquan F",171,IF(Atletas!M281="Piguaquan F",172,IF(Atletas!M281="Shaolinquan F",173,IF(Atletas!M281="Tanglangquan F",174,IF(Atletas!M281="Yingzhaoquan F",175,IF(Atletas!M281="Tongbeiquan F",176,IF(Atletas!M281="Wudangquan F",177,IF(Atletas!M281="Outros Estilos F",178,0))))))))))))))))))))))))))))))))))))))))))</f>
        <v/>
      </c>
      <c r="BU290" s="50" t="str">
        <f>IF(Atletas!N281="","",IF(Atletas!X281&lt;&gt;"",10000,0)+(IF(Atletas!B281="Feminino",1000,IF(Atletas!B281="Masculino",2000,""))+(IF(Atletas!N281="Ditangquan A",201,IF(Atletas!N281="Houquan A",202,IF(Atletas!N281="Zuiquan A",203,IF(Atletas!N281="Ditangquan B",204,IF(Atletas!N281="Houquan B",205,IF(Atletas!N281="Zuiquan B",206,IF(Atletas!N281="Ditangquan C",207,IF(Atletas!N281="Houquan C",208,IF(Atletas!N281="Zuiquan C",209,IF(Atletas!N281="Ditangquan D",210,IF(Atletas!N281="Houquan D",211,IF(Atletas!N281="Zuiquan D",212,IF(Atletas!N281="Ditangquan E",213,IF(Atletas!N281="Houquan E",214,IF(Atletas!N281="Zuiquan E",215,IF(Atletas!N281="Ditangquan F",216,IF(Atletas!N281="Houquan F",217,IF(Atletas!N281="Zuiquan F",218,"")))))))))))))))))))))</f>
        <v/>
      </c>
      <c r="BV290" s="50" t="str">
        <f>IF(Atletas!O281="","",IF(Atletas!X281&lt;&gt;"",10000,0)+IF(Atletas!B281="Feminino",1000,IF(Atletas!B281="Masculino",2000,""))+IF(Atletas!O281="Yang A",301,IF(Atletas!O281="Chen A",302,IF(Atletas!O281="Sun A",303,IF(Atletas!O281="Wu A",304,IF(Atletas!O281="Wu-Hao A",305,IF(Atletas!O281="Outro Taijiquan A",306,IF(Atletas!O281="Yang B",307,IF(Atletas!O281="Chen B",308,IF(Atletas!O281="Sun B",309,IF(Atletas!O281="Wu B",310,IF(Atletas!O281="Wu-Hao B",311,IF(Atletas!O281="Outro Taijiquan B",312,IF(Atletas!O281="Yang C",313,IF(Atletas!O281="Chen C",314,IF(Atletas!O281="Sun C",315,IF(Atletas!O281="Wu C",316,IF(Atletas!O281="Wu-Hao C",317,IF(Atletas!O281="Outro Taijiquan C",318,IF(Atletas!O281="Yang D",319,IF(Atletas!O281="Chen D",320,IF(Atletas!O281="Sun D",321,IF(Atletas!O281="Wu D",322,IF(Atletas!O281="Wu-Hao D",323,IF(Atletas!O281="Outro Taijiquan D",324,IF(Atletas!O281="Yang E",325,IF(Atletas!O281="Chen E",326,IF(Atletas!O281="Sun E",327,IF(Atletas!O281="Wu E",328,IF(Atletas!O281="Wu-Hao E",329,IF(Atletas!O281="Outro Taijiquan E",330,IF(Atletas!O281="Yang F",331,IF(Atletas!O281="Chen F",332,IF(Atletas!O281="Sun F",333,IF(Atletas!O281="Wu F",334,IF(Atletas!O281="Wu-Hao F",335,IF(Atletas!O281="Outro Taijiquan F",336,"")))))))))))))))))))))))))))))))))))))</f>
        <v/>
      </c>
      <c r="BW290" s="50" t="str">
        <f>IF(Atletas!P281="","",IF(Atletas!X281&lt;&gt;"",10000,0)+IF(Atletas!B281="Feminino",1000,IF(Atletas!B281="Masculino",2000,""))+IF(OR(Atletas!P281="Yang 26 A",Atletas!P281="Yang 40 A"),401,IF(OR(Atletas!P281="Chen 25 A",Atletas!P281="Chen 36 A",Atletas!P281="Chen 56 A"),402,IF(Atletas!P281="Sun 73 A",403,IF(Atletas!P281="Wu 45 A",404,IF(Atletas!P281="Wu-Hao 46 A",405,IF(OR(Atletas!P281="Taijiquan 16 A",Atletas!P281="Taijiquan 24 A",Atletas!P281="Taijiquan 32 A",Atletas!P281="Taijiquan 42 A"),406,IF(OR(Atletas!P281="Yang 26 B",Atletas!P281="Yang 40 B"),407,IF(OR(Atletas!P281="Chen 25 B",Atletas!P281="Chen 36 B",Atletas!P281="Chen 56 B"),408,IF(Atletas!P281="Sun 73 B",409,IF(Atletas!P281="Wu 45 B",410,IF(Atletas!P281="Wu-Hao 46 B",411,IF(OR(Atletas!P281="Taijiquan 16 B",Atletas!P281="Taijiquan 24 B",Atletas!P281="Taijiquan 32 B",Atletas!P281="Taijiquan 42 B"),412,IF(OR(Atletas!P281="Yang 26 C",Atletas!P281="Yang 40 C"),413,IF(OR(Atletas!P281="Chen 25 C",Atletas!P281="Chen 36 C",Atletas!P281="Chen 56 C"),414,IF(Atletas!P281="Sun 73 C",415,IF(Atletas!P281="Wu 45 C",416,IF(Atletas!P281="Wu-Hao 46 C",417,IF(OR(Atletas!P281="Taijiquan 16 C",Atletas!P281="Taijiquan 24 C",Atletas!P281="Taijiquan 32 C",Atletas!P281="Taijiquan 42 C"),418,0)))))))))))))))))))</f>
        <v/>
      </c>
      <c r="BX290" s="50" t="str">
        <f>IF(Atletas!P281="","",IF(Atletas!X281&lt;&gt;"",10000,0)+IF(Atletas!B281="Feminino",1000,IF(Atletas!B281="Masculino",2000,""))+IF(OR(Atletas!P281="Yang 26 D",Atletas!P281="Yang 40 D"),419,IF(OR(Atletas!P281="Chen 25 D",Atletas!P281="Chen 36 D",Atletas!P281="Chen 56 D"),420,IF(Atletas!P281="Sun 73 D",421,IF(Atletas!P281="Wu 45 D",422,IF(Atletas!P281="Wu-Hao 46 D",423,IF(OR(Atletas!P281="Taijiquan 16 D",Atletas!P281="Taijiquan 24 D",Atletas!P281="Taijiquan 32 D",Atletas!P281="Taijiquan 42 D"),424,IF(OR(Atletas!P281="Yang 26 E",Atletas!P281="Yang 40 E"),425,IF(OR(Atletas!P281="Chen 25 E",Atletas!P281="Chen 36 E",Atletas!P281="Chen 56 E"),426,IF(Atletas!P281="Sun 73 E",427,IF(Atletas!P281="Wu 45 E",428,IF(Atletas!P281="Wu-Hao 46 E",429,IF(OR(Atletas!P281="Taijiquan 16 E",Atletas!P281="Taijiquan 24 E",Atletas!P281="Taijiquan 32 E",Atletas!P281="Taijiquan 42 E"),430,IF(OR(Atletas!P281="Yang 26 F",Atletas!P281="Yang 40 F"),431,IF(OR(Atletas!P281="Chen 25 F",Atletas!P281="Chen 36 F",Atletas!P281="Chen 56 F"),432,IF(Atletas!P281="Sun 73 F",433,IF(Atletas!P281="Wu 45 F",434,IF(Atletas!P281="Wu-Hao 46 F",435,IF(OR(Atletas!P281="Taijiquan 16 F",Atletas!P281="Taijiquan 24 F",Atletas!P281="Taijiquan 32 F",Atletas!P281="Taijiquan 42 F"),436,0)))))))))))))))))))</f>
        <v/>
      </c>
      <c r="BY290" s="50" t="str">
        <f>IF(Atletas!Q281="","",IF(Atletas!X281&lt;&gt;"",10000,0)+IF(Atletas!B281="Feminino",1000,IF(Atletas!B281="Masculino",2000,""))+IF(Atletas!Q281="Xingyiquan A",501,IF(Atletas!Q281="Baguazhang A",502,IF(Atletas!Q281="Outro Estilo Interno A",503,IF(Atletas!Q281="Xingyiquan B",504,IF(Atletas!Q281="Baguazhang B",505,IF(Atletas!Q281="Outro Estilo Interno B",506,IF(Atletas!Q281="Xingyiquan C",507,IF(Atletas!Q281="Baguazhang C",508,IF(Atletas!Q281="Outro Estilo Interno C",509,IF(Atletas!Q281="Xingyiquan D",510,IF(Atletas!Q281="Baguazhang D",511,IF(Atletas!Q281="Outro Estilo Interno D",512,IF(Atletas!Q281="Xingyiquan E",513,IF(Atletas!Q281="Baguazhang E",514,IF(Atletas!Q281="Outro Estilo Interno E",515,IF(Atletas!Q281="Xingyiquan F",516,IF(Atletas!Q281="Baguazhang F",517,IF(Atletas!Q281="Outro Estilo Interno F",518, "")))))))))))))))))))</f>
        <v/>
      </c>
      <c r="BZ290" s="50" t="str">
        <f>IF(Atletas!R281="","",IF(Atletas!X281&lt;&gt;"",10000,0)+IF(Atletas!B281="Feminino",1000,IF(Atletas!B281="Masculino",2000,""))+IF(Atletas!R281="Dao A",601,IF(Atletas!R281="Jian A",602,IF(Atletas!R281="Bishou A",603,IF(Atletas!R281="Shanzi A",604,IF(Atletas!R281="Outra Arma Curta A",605,IF(Atletas!R281="Dao B",606,IF(Atletas!R281="Jian B",607,IF(Atletas!R281="Bishou B",608,IF(Atletas!R281="Shanzi B",609,IF(Atletas!R281="Outra Arma Curta B",610,IF(Atletas!R281="Dao C",611,IF(Atletas!R281="Jian C",612,IF(Atletas!R281="Bishou C",613,IF(Atletas!R281="Shanzi C",614,IF(Atletas!R281="Outra Arma Curta C",615,IF(Atletas!R281="Dao D",616,IF(Atletas!R281="Jian D",617,IF(Atletas!R281="Bishou D",618,IF(Atletas!R281="Shanzi D",619,IF(Atletas!R281="Outra Arma Curta D",620,IF(Atletas!R281="Dao E",621,IF(Atletas!R281="Jian E",622,IF(Atletas!R281="Bishou E",623,IF(Atletas!R281="Shanzi E",624,IF(Atletas!R281="Outra Arma Curta E",625,IF(Atletas!R281="Dao F",626,IF(Atletas!R281="Jian F",627,IF(Atletas!R281="Bishou F",628,IF(Atletas!R281="Shanzi F",629,IF(Atletas!R281="Outra Arma Curta F",630, "")))))))))))))))))))))))))))))))</f>
        <v/>
      </c>
      <c r="CA290" s="50" t="str">
        <f>IF(Atletas!S281="","",IF(Atletas!X281&lt;&gt;"",10000,0)+IF(Atletas!B281="Feminino",1000,IF(Atletas!B281="Masculino",2000,""))+IF(Atletas!S281="Gun A",701,IF(Atletas!S281="Qiang A",702,IF(Atletas!S281="Pudao / Guandao A",703,IF(Atletas!S281="Outra Arma Longa A",704,IF(Atletas!S281="Gun B",705,IF(Atletas!S281="Qiang B",706,IF(Atletas!S281="Pudao / Guandao B",707,IF(Atletas!S281="Outra Arma Longa B",708,IF(Atletas!S281="Gun C",709,IF(Atletas!S281="Qiang C",710,IF(Atletas!S281="Pudao / Guandao C",711,IF(Atletas!S281="Outra Arma Longa C",712,IF(Atletas!S281="Gun D",713,IF(Atletas!S281="Qiang D",714,IF(Atletas!S281="Pudao / Guandao D",715,IF(Atletas!S281="Outra Arma Longa D",716,IF(Atletas!S281="Gun E",717,IF(Atletas!S281="Qiang E",718,IF(Atletas!S281="Pudao / Guandao E",719,IF(Atletas!S281="Outra Arma Longa E",720,IF(Atletas!S281="Gun F",721,IF(Atletas!S281="Qiang F",722,IF(Atletas!S281="Pudao / Guandao F",723,IF(Atletas!S281="Outra Arma Longa F",724,"")))))))))))))))))))))))))</f>
        <v/>
      </c>
      <c r="CB290" s="50" t="str">
        <f>IF(Atletas!T281="","",IF(Atletas!X281&lt;&gt;"",10000,0)+IF(Atletas!B281="Feminino",1000,IF(Atletas!B281="Masculino",2000,""))+IF(Atletas!T281="Outra Arma Dupla A",801,IF(Atletas!T281="Arma Maleável A",802,IF(Atletas!T281="Outra Arma Dupla B",803,IF(Atletas!T281="Arma Maleável B",804,IF(Atletas!T281="Outra Arma Dupla C",805,IF(Atletas!T281="Arma Maleável C",806,IF(Atletas!T281="Outra Arma Dupla D",807,IF(Atletas!T281="Arma Maleável D",808,IF(Atletas!T281="Outra Arma Dupla E",809,IF(Atletas!T281="Arma Maleável E",810,IF(Atletas!T281="Outra Arma Dupla F",811,IF(Atletas!T281="Arma Maleável F",812,IF(Atletas!T281="Shuangdao A",813,IF(Atletas!T281="Shuangdao B",814,IF(Atletas!T281="Shuangdao C",815,IF(Atletas!T281="Shuangdao D",816,IF(Atletas!T281="Shuangdao E",817,IF(Atletas!T281="Shuangdao F",818,"")))))))))))))))))))</f>
        <v/>
      </c>
      <c r="CC290" s="50" t="str">
        <f>IF(Atletas!U281="","",IF(Atletas!X281&lt;&gt;"",10000,0)+IF(Atletas!B281="Feminino",1000,IF(Atletas!B281="Masculino",2000,""))+IF(OR(Atletas!U281="Taijijian Yang A",Atletas!U281="Taijijian Yang Standard A"),901,IF(OR(Atletas!U281="Taijijian Chen A", Atletas!U281="Taijijian Chen Standard A"),902,IF(Atletas!U281="Taijijian Sun A",903,IF(Atletas!U281="Taijijian Wu A",904,IF(Atletas!U281="Taijijian Wu-Hao A",905,IF(OR(Atletas!U281="Taijijian 32 A",Atletas!U281="Taijijian 42 A"),906,IF(OR(Atletas!U281="Taijijian Yang B",Atletas!U281="Taijijian Yang Standard B"),907,IF(OR(Atletas!U281="Taijijian Chen B", Atletas!U281="Taijijian Chen Standard B"),908,IF(Atletas!U281="Taijijian Sun B",909,IF(Atletas!U281="Taijijian Wu B",910,IF(Atletas!U281="Taijijian Wu-Hao B",911,IF(OR(Atletas!U281="Taijijian 32 B",Atletas!U281="Taijijian 42 B"),912,IF(OR(Atletas!U281="Taijijian Yang C",Atletas!U281="Taijijian Yang Standard C"),913,IF(OR(Atletas!U281="Taijijian Chen C", Atletas!U281="Taijijian Chen Standard C"),914,IF(Atletas!U281="Taijijian Sun C",915,IF(Atletas!U281="Taijijian Wu C",916,IF(Atletas!U281="Taijijian Wu-Hao C",917,IF(OR(Atletas!U281="Taijijian 32 C",Atletas!U281="Taijijian 42 C"),918,IF(OR(Atletas!U281="Taijijian Yang D",Atletas!U281="Taijijian Yang Standard D"),919,IF(OR(Atletas!U281="Taijijian Chen D", Atletas!U281="Taijijian Chen Standard D"),920,IF(Atletas!U281="Taijijian Sun D",921,IF(Atletas!U281="Taijijian Wu D",922,IF(Atletas!U281="Taijijian Wu-Hao D",923,IF(OR(Atletas!U281="Taijijian 32 D",Atletas!U281="Taijijian 42 D"),924,IF(OR(Atletas!U281="Taijijian Yang E",Atletas!U281="Taijijian Yang Standard E"),925,IF(OR(Atletas!U281="Taijijian Chen E", Atletas!U281="Taijijian Chen Standard E"),926,IF(Atletas!U281="Taijijian Sun E",927,IF(Atletas!U281="Taijijian Wu E",928,IF(Atletas!U281="Taijijian Wu-Hao E",929,IF(OR(Atletas!U281="Taijijian 32 E",Atletas!U281="Taijijian 42 E"),930,IF(OR(Atletas!U281="Taijijian Yang F",Atletas!U281="Taijijian Yang Standard F"),931,IF(OR(Atletas!U281="Taijijian Chen F", Atletas!U281="Taijijian Chen Standard F"),932,IF(Atletas!U281="Taijijian Sun F",933,IF(Atletas!U281="Taijijian Wu F",934,IF(Atletas!U281="Taijijian Wu-Hao F",935,IF(OR(Atletas!U281="Taijijian 32 F",Atletas!U281="Taijijian 42 F"),936,"")))))))))))))))))))))))))))))))))))))</f>
        <v/>
      </c>
      <c r="CD290" s="50" t="str">
        <f>IF(Atletas!V281="","",IF(Atletas!X281&lt;&gt;"",10000,0)+IF(Atletas!B281="Feminino",1000,IF(Atletas!B281="Masculino",2000,""))+IF(Atletas!V281="Taijidao A",937,IF(Atletas!V281="TaijiShanzi A",938,IF(Atletas!V281="Taijiqiang A",939,IF(Atletas!V281="Bagua de Arma A",940,IF(Atletas!V281="Xingyi de Arma A",941,IF(Atletas!V281="Taijidao B",942,IF(Atletas!V281="TaijiShanzi B",943,IF(Atletas!V281="Taijiqiang B",944,IF(Atletas!V281="Bagua de Arma B",945,IF(Atletas!V281="Xingyi de Arma B",946,IF(Atletas!V281="Taijidao C",947,IF(Atletas!V281="TaijiShanzi C",948,IF(Atletas!V281="Taijiqiang C",949,IF(Atletas!V281="Bagua de Arma C",950,IF(Atletas!V281="Xingyi de Arma C",951,IF(Atletas!V281="Taijidao D",952,IF(Atletas!V281="TaijiShanzi D",953,IF(Atletas!V281="Taijiqiang D",954,IF(Atletas!V281="Bagua de Arma D",955,IF(Atletas!V281="Xingyi de Arma D",956,IF(Atletas!V281="Taijidao E",957,IF(Atletas!V281="TaijiShanzi E",958,IF(Atletas!V281="Taijiqiang E",959,IF(Atletas!V281="Bagua de Arma E",960,IF(Atletas!V281="Xingyi de Arma E",961,IF(Atletas!V281="Taijidao F",962,IF(Atletas!V281="TaijiShanzi F",963,IF(Atletas!V281="Taijiqiang F",964,IF(Atletas!V281="Bagua de Arma F",965,IF(Atletas!V281="Xingyi de Arma F",966,"")))))))))))))))))))))))))))))))</f>
        <v/>
      </c>
      <c r="CE290" s="66" t="str">
        <f>IF(CF290&lt;&gt;"","Outra Arma Dupla C","")</f>
        <v/>
      </c>
      <c r="CF290" s="66" t="str">
        <f>IF(COUNTIF(BR:CD,1805)&gt;0,COUNTIF(BR:CD,1805),"")</f>
        <v/>
      </c>
      <c r="CG290" s="66" t="str">
        <f>IF(CH290&lt;&gt;"","Outra Arma Dupla C","")</f>
        <v/>
      </c>
      <c r="CH290" s="66" t="str">
        <f>IF(COUNTIF(BT:CF,2805)&gt;0,COUNTIF(BT:CF,2805),"")</f>
        <v/>
      </c>
      <c r="CI290" s="66" t="str">
        <f>IF(CJ291&lt;&gt;"","Taijijian Sun A","")</f>
        <v/>
      </c>
      <c r="CJ290" s="66" t="str">
        <f>IF(COUNTIF(BR:CD,11902)&gt;0,COUNTIF(BR:CD,11902),"")</f>
        <v/>
      </c>
      <c r="CK290" s="66" t="str">
        <f>IF(CL290&lt;&gt;"","Taijijian Chen A","")</f>
        <v/>
      </c>
      <c r="CL290" s="66" t="str">
        <f>IF(COUNTIF(BR:CD,12902)&gt;0,COUNTIF(BR:CD,12902),"")</f>
        <v/>
      </c>
      <c r="CM290" s="50" t="str">
        <f xml:space="preserve"> IF(Atletas!W281="","",IF(Atletas!W281="Duilian de Mãos BC - Equipe 1",1,IF(Atletas!W281="Duilian de Mãos BC - Equipe 2",2,IF(Atletas!W281="Duilian de Armas BC - Equipe 1",3,IF(Atletas!W281="Duilian de Armas BC - Equipe 2",4,IF(Atletas!W281="Duilian de Mãos DE - Equipe 1",5,IF(Atletas!W281="Duilian de Mãos DE - Equipe 2",6,IF(Atletas!W281="Duilian de Armas DE - Equipe 1",7,IF(Atletas!W281="Duilian de Armas DE - Equipe 2",8,IF(Atletas!W281="Duilian de Tuishou - Equipe 1",9,IF(Atletas!W281="Duilian de Tuishou - Equipe 2",10,IF(Atletas!W281="Grupo Externo ABC - Equipe 1",11,IF(Atletas!W281="Grupo Externo ABC - Equipe 2",12,IF(Atletas!W281="Grupo Interno ABC - Equipe 1",13,IF(Atletas!W281="Grupo Interno ABC - Equipe 2",14,IF(Atletas!W281="Grupo Externo DEF - Equipe 1",15,IF(Atletas!W281="Grupo Externo DEF - Equipe 2",16,IF(Atletas!W281="Grupo Interno DEF - Equipe 1",17,IF(Atletas!W281="Grupo Interno DEF - Equipe 2",18,"")))))))))))))))))))</f>
        <v/>
      </c>
    </row>
    <row r="291" spans="2:91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 t="str">
        <f t="array" ref="Z291">IFERROR(INDEX(CE$7:CE$348,SMALL(IF(CE$7:CE$348&lt;&gt;"",ROW(CE$7:CE$348)-ROW(CE$7)+1),ROWS(CE$7:CE290))),"")</f>
        <v/>
      </c>
      <c r="AA291" s="3" t="str">
        <f t="array" ref="AA291">IFERROR(INDEX(CF$7:CF$348,SMALL(IF(CF$7:CF$348&lt;&gt;"",ROW(CF$7:CF$348)-ROW(CF$7)+1),ROWS(CF$7:CF290))),"")</f>
        <v/>
      </c>
      <c r="AB291" s="3" t="str">
        <f t="array" ref="AB291">IFERROR(INDEX(CG$7:CG$348,SMALL(IF(CG$7:CG$348&lt;&gt;"",ROW(CG$7:CG$348)-ROW(CG$7)+1),ROWS(CG$7:CG290))),"")</f>
        <v/>
      </c>
      <c r="AC291" s="3" t="str">
        <f t="array" ref="AC291">IFERROR(INDEX(CH$7:CH$348,SMALL(IF(CH$7:CH$348&lt;&gt;"",ROW(CH$7:CH$348)-ROW(CH$7)+1),ROWS(CH$7:CH290))),"")</f>
        <v/>
      </c>
      <c r="AD291" s="3" t="str">
        <f t="array" ref="AD291">IFERROR(INDEX(CI$7:CI$377,SMALL(IF(CI$7:CI$377&lt;&gt;"",ROW(CI$7:CI$377)-ROW(CI$7)+1),ROWS(CI$7:CI289))),"")</f>
        <v/>
      </c>
      <c r="AE291" s="3" t="str">
        <f t="array" ref="AE291">IFERROR(INDEX(CJ$7:CJ$378,SMALL(IF(CJ$7:CJ$378&lt;&gt;"",ROW(CJ$7:CJ$378)-ROW(CJ$7)+1),ROWS(CJ$7:CJ290))),"")</f>
        <v/>
      </c>
      <c r="AF291" s="3" t="str">
        <f t="array" ref="AF291">IFERROR(INDEX(CK$7:CK$378,SMALL(IF(CK$7:CK$378&lt;&gt;"",ROW(CK$7:CK$378)-ROW(CK$7)+1),ROWS(CK$7:CK290))),"")</f>
        <v/>
      </c>
      <c r="AG291" s="3" t="str">
        <f t="array" ref="AG291">IFERROR(INDEX(CL$7:CL$378,SMALL(IF(CL$7:CL$378&lt;&gt;"",ROW(CL$7:CL$378)-ROW(CL$7)+1),ROWS(CL$7:CL290))),"")</f>
        <v/>
      </c>
      <c r="AH291" s="3"/>
      <c r="AI291" s="3"/>
      <c r="AJ291" s="3"/>
      <c r="AK291" s="3"/>
      <c r="AL291" s="3"/>
      <c r="AM291" s="3"/>
      <c r="AN291" s="52" t="str">
        <f>IF(Atletas!D282="","",IF(Atletas!B282="Feminino",100,IF(Atletas!B282="Masculino",200,""))+(IF(Atletas!D282="Kids 30kg",1,IF(Atletas!D282="Kids 32kg",2, IF(Atletas!D282="Kids 34kg",3,IF(Atletas!D282="Kids 36kg",4,IF(Atletas!D282="Kids 39kg",5,IF(Atletas!D282="Kids 42kg",6,IF(Atletas!D282="Kids 45kg",7, IF(Atletas!D282="Infantil 39kg",8,IF(Atletas!D282="Infantil 42kg",9,IF(Atletas!D282="Infantil 45kg",10,IF(Atletas!D282="Infantil 48kg",11,IF(Atletas!D282="Infantil 52kg",12,IF(Atletas!D282="Infantil 56kg",13,IF(Atletas!D282="Infantil 60kg",14,IF(Atletas!D282="Juvenil 48kg",15,IF(Atletas!D282="Juvenil 52kg",16,IF(Atletas!D282="Juvenil 56kg",17,IF(Atletas!D282="Juvenil 60kg",18,IF(Atletas!D282="Juvenil 65kg",19,IF(Atletas!D282="Juvenil 70kg",20,IF(Atletas!D282="Juvenil 75kg",21,IF(Atletas!D282="Juvenil 80kg",22, IF(Atletas!D282="Juvenil 85kg",23,IF(Atletas!D282="Adulto 48kg",24,IF(Atletas!D282="Adulto 52kg",25,IF(Atletas!D282="Adulto 56kg",26,IF(Atletas!D282="Adulto 60kg",27,IF(Atletas!D282="Adulto 65kg",28,IF(Atletas!D282="Adulto 70kg",29,IF(Atletas!D282="Adulto 75kg",30,IF(Atletas!D282="Adulto 80kg",31,IF(Atletas!D282="Adulto 85kg",32,IF(Atletas!D282="Adulto 90kg",33,IF(Atletas!D282="Adulto 100kg",34, IF(Atletas!D282="Adulto +100kg",35,"")))))))))))))))))))))))))))))))))))))</f>
        <v/>
      </c>
      <c r="AS291" s="6" t="str">
        <f>IF(Atletas!E282="","",IF(Atletas!B282="Feminino",100,IF(Atletas!B282="Masculino",200,""))+(IF(Atletas!E282="Juvenil 44kg",1,IF(Atletas!E282="Juvenil 48kg",2,IF(Atletas!E282="Juvenil 52kg",3,IF(Atletas!E282="Juvenil 56kg",4,IF(Atletas!E282="Juvenil 60kg",5,IF(Atletas!E282="Juvenil 65kg",6,IF(Atletas!E282="Juvenil 70kg",7,IF(Atletas!E282="Juvenil 75kg",8,IF(Atletas!E282="Juvenil 82kg",9,IF(Atletas!E282="Juvenil 90kg",10,IF(Atletas!E282="Juvenil 100kg",11,IF(Atletas!E282="Adulto 48kg",12,IF(Atletas!E282="Adulto 52kg",13,IF(Atletas!E282="Adulto 56kg",14,IF(Atletas!E282="Adulto 60kg",15,IF(Atletas!E282="Adulto 65kg",16,IF(Atletas!E282="Adulto 70kg",17,IF(Atletas!E282="Adulto 75kg",18,IF(Atletas!E282="Adulto 82kg",19,IF(Atletas!E282="Adulto 90kg",20,IF(Atletas!E282="Adulto 100kg",21,IF(Atletas!E282="Adulto +100kg",22,""))))))))))))))))))))))))</f>
        <v/>
      </c>
      <c r="AX291" s="6" t="str">
        <f>IF(Atletas!F282="","",IF(Atletas!B282="Feminino",100,IF(Atletas!B282="Masculino",200,""))+(IF(Atletas!F282="Adulto 48kg",1,IF(Atletas!F282="Adulto 56kg",2,IF(Atletas!F282="Adulto 65kg",3,IF(Atletas!F282="Adulto 75kg",4,IF(Atletas!F282="Adulto +75kg",5,IF(Atletas!F282="Adulto 52kg",6,IF(Atletas!F282="Adulto 60kg",7,IF(Atletas!F282="Adulto 70kg",8,IF(Atletas!F282="Adulto 80kg",9,IF(Atletas!F282="Adulto 90kg",10,IF(Atletas!F282="Adulto +90kg",11,"")))))))))))))</f>
        <v/>
      </c>
      <c r="BC291" s="6" t="str">
        <f>IF(Atletas!G282="","",IF(Atletas!B282="Feminino",10,IF(Atletas!B282="Masculino",20,""))+(IF(Atletas!G282="Baduanjin A",1,IF(Atletas!G282="Baduanjin B",2))))</f>
        <v/>
      </c>
      <c r="BF291" s="52" t="str">
        <f>IF(Atletas!H282="","",IF(Atletas!B282="Feminino",100,IF(Atletas!B282="Masculino",200,""))+(IF(Atletas!H282="Changquan Mirim",1,IF(Atletas!H282="Nanquan Mirim",2,IF(Atletas!H282="Taijiquan Mirim",3,IF(Atletas!H282="Changquan Grupo C",4,IF(Atletas!H282="Nanquan Grupo C",5,IF(Atletas!H282="Taijiquan Grupo C",6,IF(Atletas!H282="Changquan Grupo B",7,IF(Atletas!H282="Nanquan Grupo B",8,IF(Atletas!H282="Taijiquan Grupo B",9,IF(Atletas!H282="Changquan Grupo A",10,IF(Atletas!H282="Nanquan Grupo A",11,IF(Atletas!H282="Taijiquan Grupo A",12,IF(Atletas!H282="Changquan Opcional",13,IF(Atletas!H282="Nanquan Opcional",14,IF(Atletas!H282="Taijiquan Opcional",15,IF(Atletas!H282="Changquan Adulto",16,IF(Atletas!H282="Nanquan Adulto",17,IF(Atletas!H282="Taijiquan Adulto",18,""))))))))))))))))))))</f>
        <v/>
      </c>
      <c r="BG291" s="52" t="str">
        <f>IF(Atletas!I282="","",IF(Atletas!B282="Feminino",100,IF(Atletas!B282="Masculino",200,""))+(IF(Atletas!I282="Daoshu Mirim",19,IF(Atletas!I282="Jianshu Mirim",20,IF(Atletas!I282="Nandao Mirim",21,IF(Atletas!I282="Taijijian Mirim",22,IF(Atletas!I282="Daoshu Grupo C",23,IF(Atletas!I282="Jianshu Grupo C",24,IF(Atletas!I282="Nandao Grupo C",25,IF(Atletas!I282="Taijijian Grupo C",26,IF(Atletas!I282="Daoshu Grupo B",27,IF(Atletas!I282="Jianshu Grupo B",28,IF(Atletas!I282="Nandao Grupo B",29,IF(Atletas!I282="Taijijian Grupo B",30,IF(Atletas!I282="Daoshu Grupo A",31,IF(Atletas!I282="Jianshu Grupo A",32,IF(Atletas!I282="Nandao Grupo A",33,IF(Atletas!I282="Taijijian Grupo A",34,IF(Atletas!I282="Daoshu Opcional",35,IF(Atletas!I282="Jianshu Opcional",36,IF(Atletas!I282="Nandao Opcional",37,IF(Atletas!I282="Taijijian Opcional",38,IF(Atletas!I282="Daoshu Adulto",39,IF(Atletas!I282="Jianshu Adulto",40,IF(Atletas!I282="Nandao Adulto",41,IF(Atletas!I282="Taijijian Adulto",42,""))))))))))))))))))))))))))</f>
        <v/>
      </c>
      <c r="BH291" s="52" t="str">
        <f>IF(Atletas!J282="","",IF(Atletas!B282="Feminino",100,IF(Atletas!B282="Masculino",200,""))+(IF(Atletas!J282="Gunshu Mirim",43,IF(Atletas!J282="Qiangshu Mirim",44,IF(Atletas!J282="Nangun Mirim",45,IF(Atletas!J282="Gunshu Grupo C",46,IF(Atletas!J282="Qiangshu Grupo C",47,IF(Atletas!J282="Nangun Grupo C",48,IF(Atletas!J282="Gunshu Grupo B",49,IF(Atletas!J282="Qiangshu Grupo B",50,IF(Atletas!J282="Nangun Grupo B",51,IF(Atletas!J282="Gunshu Grupo A",52,IF(Atletas!J282="Qiangshu Grupo A",53,IF(Atletas!J282="Nangun Grupo A",54,IF(Atletas!J282="Gunshu Opcional",55,IF(Atletas!J282="Qiangshu Opcional",56,IF(Atletas!J282="Nangun Opcional",57,IF(Atletas!J282="Gunshu Adulto",58,IF(Atletas!J282="Qiangshu Adulto",59,IF(Atletas!J282="Nangun Adulto",60,IF(Atletas!J282="Taijishan Grupo B",61,IF(Atletas!J282="Taijishan Grupo A",62,""))))))))))))))))))))))</f>
        <v/>
      </c>
      <c r="BM291" s="50" t="str">
        <f>IF(Atletas!K282="","",IF(Atletas!B282="Feminino",100,IF(Atletas!B282="Masculino",200,""))+(IF(Atletas!K282="Equipe 1 Grupo B",1,IF(Atletas!K282="Equipe 2 Grupo B",2,IF(Atletas!K282="Equipe 1 Grupo A",3,IF(Atletas!K282="Equipe 2 Grupo A",4,IF(Atletas!K282="Equipe 1 Adulto",5,IF(Atletas!K282="Equipe 2 Adulto",6,""))))))))</f>
        <v/>
      </c>
      <c r="BR291" s="50" t="str">
        <f>IF(Atletas!L282="","",IF(Atletas!X282&lt;&gt;"",10000,0)+(IF(Atletas!B282="Feminino",1000,IF(Atletas!B282="Masculino",2000,""))+IF(Atletas!L282="Choylayfut A",1,IF(Atletas!L282="Hunggar A",2,IF(Atletas!L282="Wuzuquan A",3,IF(Atletas!L282="Wingchun A",4,IF(Atletas!L282="Outra Mão de Sul A",5,IF(Atletas!L282="Choylayfut B",6,IF(Atletas!L282="Hunggar B",7,IF(Atletas!L282="Wuzuquan B",8,IF(Atletas!L282="Wingchun B",9,IF(Atletas!L282="Outra Mão de Sul B",10,IF(Atletas!L282="Choylayfut C",11,IF(Atletas!L282="Hunggar C",12,IF(Atletas!L282="Wuzuquan C",13,IF(Atletas!L282="Wingchun C",14,IF(Atletas!L282="Outra Mão de Sul C",15,IF(Atletas!L282="Choylayfut D",16,IF(Atletas!L282="Hunggar D",17,IF(Atletas!L282="Wuzuquan D",18,IF(Atletas!L282="Wingchun D",19,IF(Atletas!L282="Outra Mão de Sul D",20,IF(Atletas!L282="Choylayfut E",21,IF(Atletas!L282="Hunggar E",22,IF(Atletas!L282="Wuzuquan E",23,IF(Atletas!L282="Wingchun E",24,IF(Atletas!L282="Outra Mão de Sul E",25,IF(Atletas!L282="Choylayfut F",26,IF(Atletas!L282="Hunggar F",27,IF(Atletas!L282="Wuzuquan F",28,IF(Atletas!L282="Wingchun F",29,IF(Atletas!L282="Outra Mão de Sul F",30,IF(Atletas!L282="Dishuquan A",31,IF(Atletas!L282="Dishuquan B",32,IF(Atletas!L282="Dishuquan C",33,IF(Atletas!L282="Dishuquan D",34,IF(Atletas!L282="Dishuquan E",35,IF(Atletas!L282="Dishuquan F",36,""))))))))))))))))))))))))))))))))))))))</f>
        <v/>
      </c>
      <c r="BS291" s="50" t="str">
        <f>IF(Atletas!M282="","",IF(Atletas!X282&lt;&gt;"",10000,0)+(IF(Atletas!B282="Feminino",1000,IF(Atletas!B282="Masculino",2000,""))+(IF(Atletas!M282="Chaquan A",101,IF(Atletas!M282="Emeiquan A",102,IF(Atletas!M282="Fanziquan A",103,IF(Atletas!M282="Huaquan A",104,IF(Atletas!M282="Hongquan A",105,IF(Atletas!M282="Paoquan A",106,IF(Atletas!M282="Piguaquan A",107,IF(Atletas!M282="Shaolinquan A",108,IF(Atletas!M282="Tanglangquan A",109,IF(Atletas!M282="Yingzhaoquan A",110,IF(Atletas!M282="Tongbeiquan A",111,IF(Atletas!M282="Wudangquan A",112,IF(Atletas!M282="Outros Estilos A",113,IF(Atletas!M282="Chaquan B",114,IF(Atletas!M282="Emeiquan B",115,IF(Atletas!M282="Fanziquan B",116,IF(Atletas!M282="Huaquan B",117,IF(Atletas!M282="Hongquan B",118,IF(Atletas!M282="Paoquan B",119,IF(Atletas!M282="Piguaquan B",120,IF(Atletas!M282="Shaolinquan B",121,IF(Atletas!M282="Tanglangquan B",122,IF(Atletas!M282="Yingzhaoquan B",123,IF(Atletas!M282="Tongbeiquan B",124,IF(Atletas!M282="Wudangquan B",125,IF(Atletas!M282="Outros Estilos B",126,IF(Atletas!M282="Chaquan C",127,IF(Atletas!M282="Emeiquan C",128,IF(Atletas!M282="Fanziquan C",129,IF(Atletas!M282="Huaquan C",130,IF(Atletas!M282="Hongquan C",131,IF(Atletas!M282="Paoquan C",132,IF(Atletas!M282="Piguaquan C",133,IF(Atletas!M282="Shaolinquan C",134,IF(Atletas!M282="Tanglangquan C",135,IF(Atletas!M282="Yingzhaoquan C",136,IF(Atletas!M282="Tongbeiquan C",137,IF(Atletas!M282="Wudangquan C",138,IF(Atletas!M282="Outros Estilos C",139,0))))))))))))))))))))))))))))))))))))))))))</f>
        <v/>
      </c>
      <c r="BT291" s="50" t="str">
        <f>IF(Atletas!M282="","",IF(Atletas!X282&lt;&gt;"",10000,0)+(IF(Atletas!B282="Feminino",1000,IF(Atletas!B282="Masculino",2000,""))+(IF(Atletas!M282="Chaquan D",140,IF(Atletas!M282="Emeiquan D",141,IF(Atletas!M282="Fanziquan D",142,IF(Atletas!M282="Huaquan D",143,IF(Atletas!M282="Hongquan D",144,IF(Atletas!M282="Paoquan D",145,IF(Atletas!M282="Piguaquan D",146,IF(Atletas!M282="Shaolinquan D",147,IF(Atletas!M282="Tanglangquan D",148,IF(Atletas!M282="Yingzhaoquan D",149,IF(Atletas!M282="Tongbeiquan D",150,IF(Atletas!M282="Wudangquan D",151,IF(Atletas!M282="Outros Estilos D",152,IF(Atletas!M282="Chaquan E",153,IF(Atletas!M282="Emeiquan E",154,IF(Atletas!M282="Fanziquan E",155,IF(Atletas!M282="Huaquan E",156,IF(Atletas!M282="Hongquan E",157,IF(Atletas!M282="Paoquan E",158,IF(Atletas!M282="Piguaquan E",159,IF(Atletas!M282="Shaolinquan E",160,IF(Atletas!M282="Tanglangquan E",161,IF(Atletas!M282="Yingzhaoquan E",162,IF(Atletas!M282="Tongbeiquan E",163,IF(Atletas!M282="Wudangquan E",164,IF(Atletas!M282="Outros Estilos E",165,IF(Atletas!M282="Chaquan F",166,IF(Atletas!M282="Emeiquan F",167,IF(Atletas!M282="Fanziquan F",168,IF(Atletas!M282="Huaquan F",169,IF(Atletas!M282="Hongquan F",170,IF(Atletas!M282="Paoquan F",171,IF(Atletas!M282="Piguaquan F",172,IF(Atletas!M282="Shaolinquan F",173,IF(Atletas!M282="Tanglangquan F",174,IF(Atletas!M282="Yingzhaoquan F",175,IF(Atletas!M282="Tongbeiquan F",176,IF(Atletas!M282="Wudangquan F",177,IF(Atletas!M282="Outros Estilos F",178,0))))))))))))))))))))))))))))))))))))))))))</f>
        <v/>
      </c>
      <c r="BU291" s="50" t="str">
        <f>IF(Atletas!N282="","",IF(Atletas!X282&lt;&gt;"",10000,0)+(IF(Atletas!B282="Feminino",1000,IF(Atletas!B282="Masculino",2000,""))+(IF(Atletas!N282="Ditangquan A",201,IF(Atletas!N282="Houquan A",202,IF(Atletas!N282="Zuiquan A",203,IF(Atletas!N282="Ditangquan B",204,IF(Atletas!N282="Houquan B",205,IF(Atletas!N282="Zuiquan B",206,IF(Atletas!N282="Ditangquan C",207,IF(Atletas!N282="Houquan C",208,IF(Atletas!N282="Zuiquan C",209,IF(Atletas!N282="Ditangquan D",210,IF(Atletas!N282="Houquan D",211,IF(Atletas!N282="Zuiquan D",212,IF(Atletas!N282="Ditangquan E",213,IF(Atletas!N282="Houquan E",214,IF(Atletas!N282="Zuiquan E",215,IF(Atletas!N282="Ditangquan F",216,IF(Atletas!N282="Houquan F",217,IF(Atletas!N282="Zuiquan F",218,"")))))))))))))))))))))</f>
        <v/>
      </c>
      <c r="BV291" s="50" t="str">
        <f>IF(Atletas!O282="","",IF(Atletas!X282&lt;&gt;"",10000,0)+IF(Atletas!B282="Feminino",1000,IF(Atletas!B282="Masculino",2000,""))+IF(Atletas!O282="Yang A",301,IF(Atletas!O282="Chen A",302,IF(Atletas!O282="Sun A",303,IF(Atletas!O282="Wu A",304,IF(Atletas!O282="Wu-Hao A",305,IF(Atletas!O282="Outro Taijiquan A",306,IF(Atletas!O282="Yang B",307,IF(Atletas!O282="Chen B",308,IF(Atletas!O282="Sun B",309,IF(Atletas!O282="Wu B",310,IF(Atletas!O282="Wu-Hao B",311,IF(Atletas!O282="Outro Taijiquan B",312,IF(Atletas!O282="Yang C",313,IF(Atletas!O282="Chen C",314,IF(Atletas!O282="Sun C",315,IF(Atletas!O282="Wu C",316,IF(Atletas!O282="Wu-Hao C",317,IF(Atletas!O282="Outro Taijiquan C",318,IF(Atletas!O282="Yang D",319,IF(Atletas!O282="Chen D",320,IF(Atletas!O282="Sun D",321,IF(Atletas!O282="Wu D",322,IF(Atletas!O282="Wu-Hao D",323,IF(Atletas!O282="Outro Taijiquan D",324,IF(Atletas!O282="Yang E",325,IF(Atletas!O282="Chen E",326,IF(Atletas!O282="Sun E",327,IF(Atletas!O282="Wu E",328,IF(Atletas!O282="Wu-Hao E",329,IF(Atletas!O282="Outro Taijiquan E",330,IF(Atletas!O282="Yang F",331,IF(Atletas!O282="Chen F",332,IF(Atletas!O282="Sun F",333,IF(Atletas!O282="Wu F",334,IF(Atletas!O282="Wu-Hao F",335,IF(Atletas!O282="Outro Taijiquan F",336,"")))))))))))))))))))))))))))))))))))))</f>
        <v/>
      </c>
      <c r="BW291" s="50" t="str">
        <f>IF(Atletas!P282="","",IF(Atletas!X282&lt;&gt;"",10000,0)+IF(Atletas!B282="Feminino",1000,IF(Atletas!B282="Masculino",2000,""))+IF(OR(Atletas!P282="Yang 26 A",Atletas!P282="Yang 40 A"),401,IF(OR(Atletas!P282="Chen 25 A",Atletas!P282="Chen 36 A",Atletas!P282="Chen 56 A"),402,IF(Atletas!P282="Sun 73 A",403,IF(Atletas!P282="Wu 45 A",404,IF(Atletas!P282="Wu-Hao 46 A",405,IF(OR(Atletas!P282="Taijiquan 16 A",Atletas!P282="Taijiquan 24 A",Atletas!P282="Taijiquan 32 A",Atletas!P282="Taijiquan 42 A"),406,IF(OR(Atletas!P282="Yang 26 B",Atletas!P282="Yang 40 B"),407,IF(OR(Atletas!P282="Chen 25 B",Atletas!P282="Chen 36 B",Atletas!P282="Chen 56 B"),408,IF(Atletas!P282="Sun 73 B",409,IF(Atletas!P282="Wu 45 B",410,IF(Atletas!P282="Wu-Hao 46 B",411,IF(OR(Atletas!P282="Taijiquan 16 B",Atletas!P282="Taijiquan 24 B",Atletas!P282="Taijiquan 32 B",Atletas!P282="Taijiquan 42 B"),412,IF(OR(Atletas!P282="Yang 26 C",Atletas!P282="Yang 40 C"),413,IF(OR(Atletas!P282="Chen 25 C",Atletas!P282="Chen 36 C",Atletas!P282="Chen 56 C"),414,IF(Atletas!P282="Sun 73 C",415,IF(Atletas!P282="Wu 45 C",416,IF(Atletas!P282="Wu-Hao 46 C",417,IF(OR(Atletas!P282="Taijiquan 16 C",Atletas!P282="Taijiquan 24 C",Atletas!P282="Taijiquan 32 C",Atletas!P282="Taijiquan 42 C"),418,0)))))))))))))))))))</f>
        <v/>
      </c>
      <c r="BX291" s="50" t="str">
        <f>IF(Atletas!P282="","",IF(Atletas!X282&lt;&gt;"",10000,0)+IF(Atletas!B282="Feminino",1000,IF(Atletas!B282="Masculino",2000,""))+IF(OR(Atletas!P282="Yang 26 D",Atletas!P282="Yang 40 D"),419,IF(OR(Atletas!P282="Chen 25 D",Atletas!P282="Chen 36 D",Atletas!P282="Chen 56 D"),420,IF(Atletas!P282="Sun 73 D",421,IF(Atletas!P282="Wu 45 D",422,IF(Atletas!P282="Wu-Hao 46 D",423,IF(OR(Atletas!P282="Taijiquan 16 D",Atletas!P282="Taijiquan 24 D",Atletas!P282="Taijiquan 32 D",Atletas!P282="Taijiquan 42 D"),424,IF(OR(Atletas!P282="Yang 26 E",Atletas!P282="Yang 40 E"),425,IF(OR(Atletas!P282="Chen 25 E",Atletas!P282="Chen 36 E",Atletas!P282="Chen 56 E"),426,IF(Atletas!P282="Sun 73 E",427,IF(Atletas!P282="Wu 45 E",428,IF(Atletas!P282="Wu-Hao 46 E",429,IF(OR(Atletas!P282="Taijiquan 16 E",Atletas!P282="Taijiquan 24 E",Atletas!P282="Taijiquan 32 E",Atletas!P282="Taijiquan 42 E"),430,IF(OR(Atletas!P282="Yang 26 F",Atletas!P282="Yang 40 F"),431,IF(OR(Atletas!P282="Chen 25 F",Atletas!P282="Chen 36 F",Atletas!P282="Chen 56 F"),432,IF(Atletas!P282="Sun 73 F",433,IF(Atletas!P282="Wu 45 F",434,IF(Atletas!P282="Wu-Hao 46 F",435,IF(OR(Atletas!P282="Taijiquan 16 F",Atletas!P282="Taijiquan 24 F",Atletas!P282="Taijiquan 32 F",Atletas!P282="Taijiquan 42 F"),436,0)))))))))))))))))))</f>
        <v/>
      </c>
      <c r="BY291" s="50" t="str">
        <f>IF(Atletas!Q282="","",IF(Atletas!X282&lt;&gt;"",10000,0)+IF(Atletas!B282="Feminino",1000,IF(Atletas!B282="Masculino",2000,""))+IF(Atletas!Q282="Xingyiquan A",501,IF(Atletas!Q282="Baguazhang A",502,IF(Atletas!Q282="Outro Estilo Interno A",503,IF(Atletas!Q282="Xingyiquan B",504,IF(Atletas!Q282="Baguazhang B",505,IF(Atletas!Q282="Outro Estilo Interno B",506,IF(Atletas!Q282="Xingyiquan C",507,IF(Atletas!Q282="Baguazhang C",508,IF(Atletas!Q282="Outro Estilo Interno C",509,IF(Atletas!Q282="Xingyiquan D",510,IF(Atletas!Q282="Baguazhang D",511,IF(Atletas!Q282="Outro Estilo Interno D",512,IF(Atletas!Q282="Xingyiquan E",513,IF(Atletas!Q282="Baguazhang E",514,IF(Atletas!Q282="Outro Estilo Interno E",515,IF(Atletas!Q282="Xingyiquan F",516,IF(Atletas!Q282="Baguazhang F",517,IF(Atletas!Q282="Outro Estilo Interno F",518, "")))))))))))))))))))</f>
        <v/>
      </c>
      <c r="BZ291" s="50" t="str">
        <f>IF(Atletas!R282="","",IF(Atletas!X282&lt;&gt;"",10000,0)+IF(Atletas!B282="Feminino",1000,IF(Atletas!B282="Masculino",2000,""))+IF(Atletas!R282="Dao A",601,IF(Atletas!R282="Jian A",602,IF(Atletas!R282="Bishou A",603,IF(Atletas!R282="Shanzi A",604,IF(Atletas!R282="Outra Arma Curta A",605,IF(Atletas!R282="Dao B",606,IF(Atletas!R282="Jian B",607,IF(Atletas!R282="Bishou B",608,IF(Atletas!R282="Shanzi B",609,IF(Atletas!R282="Outra Arma Curta B",610,IF(Atletas!R282="Dao C",611,IF(Atletas!R282="Jian C",612,IF(Atletas!R282="Bishou C",613,IF(Atletas!R282="Shanzi C",614,IF(Atletas!R282="Outra Arma Curta C",615,IF(Atletas!R282="Dao D",616,IF(Atletas!R282="Jian D",617,IF(Atletas!R282="Bishou D",618,IF(Atletas!R282="Shanzi D",619,IF(Atletas!R282="Outra Arma Curta D",620,IF(Atletas!R282="Dao E",621,IF(Atletas!R282="Jian E",622,IF(Atletas!R282="Bishou E",623,IF(Atletas!R282="Shanzi E",624,IF(Atletas!R282="Outra Arma Curta E",625,IF(Atletas!R282="Dao F",626,IF(Atletas!R282="Jian F",627,IF(Atletas!R282="Bishou F",628,IF(Atletas!R282="Shanzi F",629,IF(Atletas!R282="Outra Arma Curta F",630, "")))))))))))))))))))))))))))))))</f>
        <v/>
      </c>
      <c r="CA291" s="50" t="str">
        <f>IF(Atletas!S282="","",IF(Atletas!X282&lt;&gt;"",10000,0)+IF(Atletas!B282="Feminino",1000,IF(Atletas!B282="Masculino",2000,""))+IF(Atletas!S282="Gun A",701,IF(Atletas!S282="Qiang A",702,IF(Atletas!S282="Pudao / Guandao A",703,IF(Atletas!S282="Outra Arma Longa A",704,IF(Atletas!S282="Gun B",705,IF(Atletas!S282="Qiang B",706,IF(Atletas!S282="Pudao / Guandao B",707,IF(Atletas!S282="Outra Arma Longa B",708,IF(Atletas!S282="Gun C",709,IF(Atletas!S282="Qiang C",710,IF(Atletas!S282="Pudao / Guandao C",711,IF(Atletas!S282="Outra Arma Longa C",712,IF(Atletas!S282="Gun D",713,IF(Atletas!S282="Qiang D",714,IF(Atletas!S282="Pudao / Guandao D",715,IF(Atletas!S282="Outra Arma Longa D",716,IF(Atletas!S282="Gun E",717,IF(Atletas!S282="Qiang E",718,IF(Atletas!S282="Pudao / Guandao E",719,IF(Atletas!S282="Outra Arma Longa E",720,IF(Atletas!S282="Gun F",721,IF(Atletas!S282="Qiang F",722,IF(Atletas!S282="Pudao / Guandao F",723,IF(Atletas!S282="Outra Arma Longa F",724,"")))))))))))))))))))))))))</f>
        <v/>
      </c>
      <c r="CB291" s="50" t="str">
        <f>IF(Atletas!T282="","",IF(Atletas!X282&lt;&gt;"",10000,0)+IF(Atletas!B282="Feminino",1000,IF(Atletas!B282="Masculino",2000,""))+IF(Atletas!T282="Outra Arma Dupla A",801,IF(Atletas!T282="Arma Maleável A",802,IF(Atletas!T282="Outra Arma Dupla B",803,IF(Atletas!T282="Arma Maleável B",804,IF(Atletas!T282="Outra Arma Dupla C",805,IF(Atletas!T282="Arma Maleável C",806,IF(Atletas!T282="Outra Arma Dupla D",807,IF(Atletas!T282="Arma Maleável D",808,IF(Atletas!T282="Outra Arma Dupla E",809,IF(Atletas!T282="Arma Maleável E",810,IF(Atletas!T282="Outra Arma Dupla F",811,IF(Atletas!T282="Arma Maleável F",812,IF(Atletas!T282="Shuangdao A",813,IF(Atletas!T282="Shuangdao B",814,IF(Atletas!T282="Shuangdao C",815,IF(Atletas!T282="Shuangdao D",816,IF(Atletas!T282="Shuangdao E",817,IF(Atletas!T282="Shuangdao F",818,"")))))))))))))))))))</f>
        <v/>
      </c>
      <c r="CC291" s="50" t="str">
        <f>IF(Atletas!U282="","",IF(Atletas!X282&lt;&gt;"",10000,0)+IF(Atletas!B282="Feminino",1000,IF(Atletas!B282="Masculino",2000,""))+IF(OR(Atletas!U282="Taijijian Yang A",Atletas!U282="Taijijian Yang Standard A"),901,IF(OR(Atletas!U282="Taijijian Chen A", Atletas!U282="Taijijian Chen Standard A"),902,IF(Atletas!U282="Taijijian Sun A",903,IF(Atletas!U282="Taijijian Wu A",904,IF(Atletas!U282="Taijijian Wu-Hao A",905,IF(OR(Atletas!U282="Taijijian 32 A",Atletas!U282="Taijijian 42 A"),906,IF(OR(Atletas!U282="Taijijian Yang B",Atletas!U282="Taijijian Yang Standard B"),907,IF(OR(Atletas!U282="Taijijian Chen B", Atletas!U282="Taijijian Chen Standard B"),908,IF(Atletas!U282="Taijijian Sun B",909,IF(Atletas!U282="Taijijian Wu B",910,IF(Atletas!U282="Taijijian Wu-Hao B",911,IF(OR(Atletas!U282="Taijijian 32 B",Atletas!U282="Taijijian 42 B"),912,IF(OR(Atletas!U282="Taijijian Yang C",Atletas!U282="Taijijian Yang Standard C"),913,IF(OR(Atletas!U282="Taijijian Chen C", Atletas!U282="Taijijian Chen Standard C"),914,IF(Atletas!U282="Taijijian Sun C",915,IF(Atletas!U282="Taijijian Wu C",916,IF(Atletas!U282="Taijijian Wu-Hao C",917,IF(OR(Atletas!U282="Taijijian 32 C",Atletas!U282="Taijijian 42 C"),918,IF(OR(Atletas!U282="Taijijian Yang D",Atletas!U282="Taijijian Yang Standard D"),919,IF(OR(Atletas!U282="Taijijian Chen D", Atletas!U282="Taijijian Chen Standard D"),920,IF(Atletas!U282="Taijijian Sun D",921,IF(Atletas!U282="Taijijian Wu D",922,IF(Atletas!U282="Taijijian Wu-Hao D",923,IF(OR(Atletas!U282="Taijijian 32 D",Atletas!U282="Taijijian 42 D"),924,IF(OR(Atletas!U282="Taijijian Yang E",Atletas!U282="Taijijian Yang Standard E"),925,IF(OR(Atletas!U282="Taijijian Chen E", Atletas!U282="Taijijian Chen Standard E"),926,IF(Atletas!U282="Taijijian Sun E",927,IF(Atletas!U282="Taijijian Wu E",928,IF(Atletas!U282="Taijijian Wu-Hao E",929,IF(OR(Atletas!U282="Taijijian 32 E",Atletas!U282="Taijijian 42 E"),930,IF(OR(Atletas!U282="Taijijian Yang F",Atletas!U282="Taijijian Yang Standard F"),931,IF(OR(Atletas!U282="Taijijian Chen F", Atletas!U282="Taijijian Chen Standard F"),932,IF(Atletas!U282="Taijijian Sun F",933,IF(Atletas!U282="Taijijian Wu F",934,IF(Atletas!U282="Taijijian Wu-Hao F",935,IF(OR(Atletas!U282="Taijijian 32 F",Atletas!U282="Taijijian 42 F"),936,"")))))))))))))))))))))))))))))))))))))</f>
        <v/>
      </c>
      <c r="CD291" s="50" t="str">
        <f>IF(Atletas!V282="","",IF(Atletas!X282&lt;&gt;"",10000,0)+IF(Atletas!B282="Feminino",1000,IF(Atletas!B282="Masculino",2000,""))+IF(Atletas!V282="Taijidao A",937,IF(Atletas!V282="TaijiShanzi A",938,IF(Atletas!V282="Taijiqiang A",939,IF(Atletas!V282="Bagua de Arma A",940,IF(Atletas!V282="Xingyi de Arma A",941,IF(Atletas!V282="Taijidao B",942,IF(Atletas!V282="TaijiShanzi B",943,IF(Atletas!V282="Taijiqiang B",944,IF(Atletas!V282="Bagua de Arma B",945,IF(Atletas!V282="Xingyi de Arma B",946,IF(Atletas!V282="Taijidao C",947,IF(Atletas!V282="TaijiShanzi C",948,IF(Atletas!V282="Taijiqiang C",949,IF(Atletas!V282="Bagua de Arma C",950,IF(Atletas!V282="Xingyi de Arma C",951,IF(Atletas!V282="Taijidao D",952,IF(Atletas!V282="TaijiShanzi D",953,IF(Atletas!V282="Taijiqiang D",954,IF(Atletas!V282="Bagua de Arma D",955,IF(Atletas!V282="Xingyi de Arma D",956,IF(Atletas!V282="Taijidao E",957,IF(Atletas!V282="TaijiShanzi E",958,IF(Atletas!V282="Taijiqiang E",959,IF(Atletas!V282="Bagua de Arma E",960,IF(Atletas!V282="Xingyi de Arma E",961,IF(Atletas!V282="Taijidao F",962,IF(Atletas!V282="TaijiShanzi F",963,IF(Atletas!V282="Taijiqiang F",964,IF(Atletas!V282="Bagua de Arma F",965,IF(Atletas!V282="Xingyi de Arma F",966,"")))))))))))))))))))))))))))))))</f>
        <v/>
      </c>
      <c r="CE291" s="66" t="str">
        <f>IF(CF291&lt;&gt;"","Outra Arma Maleável C","")</f>
        <v/>
      </c>
      <c r="CF291" s="66" t="str">
        <f>IF(COUNTIF(BR:CD,1806)&gt;0,COUNTIF(BR:CD,1806),"")</f>
        <v/>
      </c>
      <c r="CG291" s="66" t="str">
        <f>IF(CH291&lt;&gt;"","Outra Arma Maleável C","")</f>
        <v/>
      </c>
      <c r="CH291" s="66" t="str">
        <f>IF(COUNTIF(BT:CF,2806)&gt;0,COUNTIF(BT:CF,2806),"")</f>
        <v/>
      </c>
      <c r="CI291" s="66" t="str">
        <f>IF(CJ292&lt;&gt;"","Taijijian Wu A","")</f>
        <v/>
      </c>
      <c r="CJ291" s="66" t="str">
        <f>IF(COUNTIF(BR:CD,11903)&gt;0,COUNTIF(BR:CD,11903),"")</f>
        <v/>
      </c>
      <c r="CK291" s="66" t="str">
        <f>IF(CL291&lt;&gt;"","Taijijian Sun A","")</f>
        <v/>
      </c>
      <c r="CL291" s="66" t="str">
        <f>IF(COUNTIF(BR:CD,12903)&gt;0,COUNTIF(BR:CD,12903),"")</f>
        <v/>
      </c>
      <c r="CM291" s="50" t="str">
        <f xml:space="preserve"> IF(Atletas!W282="","",IF(Atletas!W282="Duilian de Mãos BC - Equipe 1",1,IF(Atletas!W282="Duilian de Mãos BC - Equipe 2",2,IF(Atletas!W282="Duilian de Armas BC - Equipe 1",3,IF(Atletas!W282="Duilian de Armas BC - Equipe 2",4,IF(Atletas!W282="Duilian de Mãos DE - Equipe 1",5,IF(Atletas!W282="Duilian de Mãos DE - Equipe 2",6,IF(Atletas!W282="Duilian de Armas DE - Equipe 1",7,IF(Atletas!W282="Duilian de Armas DE - Equipe 2",8,IF(Atletas!W282="Duilian de Tuishou - Equipe 1",9,IF(Atletas!W282="Duilian de Tuishou - Equipe 2",10,IF(Atletas!W282="Grupo Externo ABC - Equipe 1",11,IF(Atletas!W282="Grupo Externo ABC - Equipe 2",12,IF(Atletas!W282="Grupo Interno ABC - Equipe 1",13,IF(Atletas!W282="Grupo Interno ABC - Equipe 2",14,IF(Atletas!W282="Grupo Externo DEF - Equipe 1",15,IF(Atletas!W282="Grupo Externo DEF - Equipe 2",16,IF(Atletas!W282="Grupo Interno DEF - Equipe 1",17,IF(Atletas!W282="Grupo Interno DEF - Equipe 2",18,"")))))))))))))))))))</f>
        <v/>
      </c>
    </row>
    <row r="292" spans="2:91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 t="str">
        <f t="array" ref="Z292">IFERROR(INDEX(CE$7:CE$348,SMALL(IF(CE$7:CE$348&lt;&gt;"",ROW(CE$7:CE$348)-ROW(CE$7)+1),ROWS(CE$7:CE291))),"")</f>
        <v/>
      </c>
      <c r="AA292" s="3" t="str">
        <f t="array" ref="AA292">IFERROR(INDEX(CF$7:CF$348,SMALL(IF(CF$7:CF$348&lt;&gt;"",ROW(CF$7:CF$348)-ROW(CF$7)+1),ROWS(CF$7:CF291))),"")</f>
        <v/>
      </c>
      <c r="AB292" s="3" t="str">
        <f t="array" ref="AB292">IFERROR(INDEX(CG$7:CG$348,SMALL(IF(CG$7:CG$348&lt;&gt;"",ROW(CG$7:CG$348)-ROW(CG$7)+1),ROWS(CG$7:CG291))),"")</f>
        <v/>
      </c>
      <c r="AC292" s="3" t="str">
        <f t="array" ref="AC292">IFERROR(INDEX(CH$7:CH$348,SMALL(IF(CH$7:CH$348&lt;&gt;"",ROW(CH$7:CH$348)-ROW(CH$7)+1),ROWS(CH$7:CH291))),"")</f>
        <v/>
      </c>
      <c r="AD292" s="3" t="str">
        <f t="array" ref="AD292">IFERROR(INDEX(CI$7:CI$377,SMALL(IF(CI$7:CI$377&lt;&gt;"",ROW(CI$7:CI$377)-ROW(CI$7)+1),ROWS(CI$7:CI290))),"")</f>
        <v/>
      </c>
      <c r="AE292" s="3" t="str">
        <f t="array" ref="AE292">IFERROR(INDEX(CJ$7:CJ$378,SMALL(IF(CJ$7:CJ$378&lt;&gt;"",ROW(CJ$7:CJ$378)-ROW(CJ$7)+1),ROWS(CJ$7:CJ291))),"")</f>
        <v/>
      </c>
      <c r="AF292" s="3" t="str">
        <f t="array" ref="AF292">IFERROR(INDEX(CK$7:CK$378,SMALL(IF(CK$7:CK$378&lt;&gt;"",ROW(CK$7:CK$378)-ROW(CK$7)+1),ROWS(CK$7:CK291))),"")</f>
        <v/>
      </c>
      <c r="AG292" s="3" t="str">
        <f t="array" ref="AG292">IFERROR(INDEX(CL$7:CL$378,SMALL(IF(CL$7:CL$378&lt;&gt;"",ROW(CL$7:CL$378)-ROW(CL$7)+1),ROWS(CL$7:CL291))),"")</f>
        <v/>
      </c>
      <c r="AH292" s="3"/>
      <c r="AI292" s="3"/>
      <c r="AJ292" s="3"/>
      <c r="AK292" s="3"/>
      <c r="AL292" s="3"/>
      <c r="AM292" s="3"/>
      <c r="AN292" s="52" t="str">
        <f>IF(Atletas!D283="","",IF(Atletas!B283="Feminino",100,IF(Atletas!B283="Masculino",200,""))+(IF(Atletas!D283="Kids 30kg",1,IF(Atletas!D283="Kids 32kg",2, IF(Atletas!D283="Kids 34kg",3,IF(Atletas!D283="Kids 36kg",4,IF(Atletas!D283="Kids 39kg",5,IF(Atletas!D283="Kids 42kg",6,IF(Atletas!D283="Kids 45kg",7, IF(Atletas!D283="Infantil 39kg",8,IF(Atletas!D283="Infantil 42kg",9,IF(Atletas!D283="Infantil 45kg",10,IF(Atletas!D283="Infantil 48kg",11,IF(Atletas!D283="Infantil 52kg",12,IF(Atletas!D283="Infantil 56kg",13,IF(Atletas!D283="Infantil 60kg",14,IF(Atletas!D283="Juvenil 48kg",15,IF(Atletas!D283="Juvenil 52kg",16,IF(Atletas!D283="Juvenil 56kg",17,IF(Atletas!D283="Juvenil 60kg",18,IF(Atletas!D283="Juvenil 65kg",19,IF(Atletas!D283="Juvenil 70kg",20,IF(Atletas!D283="Juvenil 75kg",21,IF(Atletas!D283="Juvenil 80kg",22, IF(Atletas!D283="Juvenil 85kg",23,IF(Atletas!D283="Adulto 48kg",24,IF(Atletas!D283="Adulto 52kg",25,IF(Atletas!D283="Adulto 56kg",26,IF(Atletas!D283="Adulto 60kg",27,IF(Atletas!D283="Adulto 65kg",28,IF(Atletas!D283="Adulto 70kg",29,IF(Atletas!D283="Adulto 75kg",30,IF(Atletas!D283="Adulto 80kg",31,IF(Atletas!D283="Adulto 85kg",32,IF(Atletas!D283="Adulto 90kg",33,IF(Atletas!D283="Adulto 100kg",34, IF(Atletas!D283="Adulto +100kg",35,"")))))))))))))))))))))))))))))))))))))</f>
        <v/>
      </c>
      <c r="AS292" s="6" t="str">
        <f>IF(Atletas!E283="","",IF(Atletas!B283="Feminino",100,IF(Atletas!B283="Masculino",200,""))+(IF(Atletas!E283="Juvenil 44kg",1,IF(Atletas!E283="Juvenil 48kg",2,IF(Atletas!E283="Juvenil 52kg",3,IF(Atletas!E283="Juvenil 56kg",4,IF(Atletas!E283="Juvenil 60kg",5,IF(Atletas!E283="Juvenil 65kg",6,IF(Atletas!E283="Juvenil 70kg",7,IF(Atletas!E283="Juvenil 75kg",8,IF(Atletas!E283="Juvenil 82kg",9,IF(Atletas!E283="Juvenil 90kg",10,IF(Atletas!E283="Juvenil 100kg",11,IF(Atletas!E283="Adulto 48kg",12,IF(Atletas!E283="Adulto 52kg",13,IF(Atletas!E283="Adulto 56kg",14,IF(Atletas!E283="Adulto 60kg",15,IF(Atletas!E283="Adulto 65kg",16,IF(Atletas!E283="Adulto 70kg",17,IF(Atletas!E283="Adulto 75kg",18,IF(Atletas!E283="Adulto 82kg",19,IF(Atletas!E283="Adulto 90kg",20,IF(Atletas!E283="Adulto 100kg",21,IF(Atletas!E283="Adulto +100kg",22,""))))))))))))))))))))))))</f>
        <v/>
      </c>
      <c r="AX292" s="6" t="str">
        <f>IF(Atletas!F283="","",IF(Atletas!B283="Feminino",100,IF(Atletas!B283="Masculino",200,""))+(IF(Atletas!F283="Adulto 48kg",1,IF(Atletas!F283="Adulto 56kg",2,IF(Atletas!F283="Adulto 65kg",3,IF(Atletas!F283="Adulto 75kg",4,IF(Atletas!F283="Adulto +75kg",5,IF(Atletas!F283="Adulto 52kg",6,IF(Atletas!F283="Adulto 60kg",7,IF(Atletas!F283="Adulto 70kg",8,IF(Atletas!F283="Adulto 80kg",9,IF(Atletas!F283="Adulto 90kg",10,IF(Atletas!F283="Adulto +90kg",11,"")))))))))))))</f>
        <v/>
      </c>
      <c r="BC292" s="6" t="str">
        <f>IF(Atletas!G283="","",IF(Atletas!B283="Feminino",10,IF(Atletas!B283="Masculino",20,""))+(IF(Atletas!G283="Baduanjin A",1,IF(Atletas!G283="Baduanjin B",2))))</f>
        <v/>
      </c>
      <c r="BF292" s="52" t="str">
        <f>IF(Atletas!H283="","",IF(Atletas!B283="Feminino",100,IF(Atletas!B283="Masculino",200,""))+(IF(Atletas!H283="Changquan Mirim",1,IF(Atletas!H283="Nanquan Mirim",2,IF(Atletas!H283="Taijiquan Mirim",3,IF(Atletas!H283="Changquan Grupo C",4,IF(Atletas!H283="Nanquan Grupo C",5,IF(Atletas!H283="Taijiquan Grupo C",6,IF(Atletas!H283="Changquan Grupo B",7,IF(Atletas!H283="Nanquan Grupo B",8,IF(Atletas!H283="Taijiquan Grupo B",9,IF(Atletas!H283="Changquan Grupo A",10,IF(Atletas!H283="Nanquan Grupo A",11,IF(Atletas!H283="Taijiquan Grupo A",12,IF(Atletas!H283="Changquan Opcional",13,IF(Atletas!H283="Nanquan Opcional",14,IF(Atletas!H283="Taijiquan Opcional",15,IF(Atletas!H283="Changquan Adulto",16,IF(Atletas!H283="Nanquan Adulto",17,IF(Atletas!H283="Taijiquan Adulto",18,""))))))))))))))))))))</f>
        <v/>
      </c>
      <c r="BG292" s="52" t="str">
        <f>IF(Atletas!I283="","",IF(Atletas!B283="Feminino",100,IF(Atletas!B283="Masculino",200,""))+(IF(Atletas!I283="Daoshu Mirim",19,IF(Atletas!I283="Jianshu Mirim",20,IF(Atletas!I283="Nandao Mirim",21,IF(Atletas!I283="Taijijian Mirim",22,IF(Atletas!I283="Daoshu Grupo C",23,IF(Atletas!I283="Jianshu Grupo C",24,IF(Atletas!I283="Nandao Grupo C",25,IF(Atletas!I283="Taijijian Grupo C",26,IF(Atletas!I283="Daoshu Grupo B",27,IF(Atletas!I283="Jianshu Grupo B",28,IF(Atletas!I283="Nandao Grupo B",29,IF(Atletas!I283="Taijijian Grupo B",30,IF(Atletas!I283="Daoshu Grupo A",31,IF(Atletas!I283="Jianshu Grupo A",32,IF(Atletas!I283="Nandao Grupo A",33,IF(Atletas!I283="Taijijian Grupo A",34,IF(Atletas!I283="Daoshu Opcional",35,IF(Atletas!I283="Jianshu Opcional",36,IF(Atletas!I283="Nandao Opcional",37,IF(Atletas!I283="Taijijian Opcional",38,IF(Atletas!I283="Daoshu Adulto",39,IF(Atletas!I283="Jianshu Adulto",40,IF(Atletas!I283="Nandao Adulto",41,IF(Atletas!I283="Taijijian Adulto",42,""))))))))))))))))))))))))))</f>
        <v/>
      </c>
      <c r="BH292" s="52" t="str">
        <f>IF(Atletas!J283="","",IF(Atletas!B283="Feminino",100,IF(Atletas!B283="Masculino",200,""))+(IF(Atletas!J283="Gunshu Mirim",43,IF(Atletas!J283="Qiangshu Mirim",44,IF(Atletas!J283="Nangun Mirim",45,IF(Atletas!J283="Gunshu Grupo C",46,IF(Atletas!J283="Qiangshu Grupo C",47,IF(Atletas!J283="Nangun Grupo C",48,IF(Atletas!J283="Gunshu Grupo B",49,IF(Atletas!J283="Qiangshu Grupo B",50,IF(Atletas!J283="Nangun Grupo B",51,IF(Atletas!J283="Gunshu Grupo A",52,IF(Atletas!J283="Qiangshu Grupo A",53,IF(Atletas!J283="Nangun Grupo A",54,IF(Atletas!J283="Gunshu Opcional",55,IF(Atletas!J283="Qiangshu Opcional",56,IF(Atletas!J283="Nangun Opcional",57,IF(Atletas!J283="Gunshu Adulto",58,IF(Atletas!J283="Qiangshu Adulto",59,IF(Atletas!J283="Nangun Adulto",60,IF(Atletas!J283="Taijishan Grupo B",61,IF(Atletas!J283="Taijishan Grupo A",62,""))))))))))))))))))))))</f>
        <v/>
      </c>
      <c r="BM292" s="50" t="str">
        <f>IF(Atletas!K283="","",IF(Atletas!B283="Feminino",100,IF(Atletas!B283="Masculino",200,""))+(IF(Atletas!K283="Equipe 1 Grupo B",1,IF(Atletas!K283="Equipe 2 Grupo B",2,IF(Atletas!K283="Equipe 1 Grupo A",3,IF(Atletas!K283="Equipe 2 Grupo A",4,IF(Atletas!K283="Equipe 1 Adulto",5,IF(Atletas!K283="Equipe 2 Adulto",6,""))))))))</f>
        <v/>
      </c>
      <c r="BR292" s="50" t="str">
        <f>IF(Atletas!L283="","",IF(Atletas!X283&lt;&gt;"",10000,0)+(IF(Atletas!B283="Feminino",1000,IF(Atletas!B283="Masculino",2000,""))+IF(Atletas!L283="Choylayfut A",1,IF(Atletas!L283="Hunggar A",2,IF(Atletas!L283="Wuzuquan A",3,IF(Atletas!L283="Wingchun A",4,IF(Atletas!L283="Outra Mão de Sul A",5,IF(Atletas!L283="Choylayfut B",6,IF(Atletas!L283="Hunggar B",7,IF(Atletas!L283="Wuzuquan B",8,IF(Atletas!L283="Wingchun B",9,IF(Atletas!L283="Outra Mão de Sul B",10,IF(Atletas!L283="Choylayfut C",11,IF(Atletas!L283="Hunggar C",12,IF(Atletas!L283="Wuzuquan C",13,IF(Atletas!L283="Wingchun C",14,IF(Atletas!L283="Outra Mão de Sul C",15,IF(Atletas!L283="Choylayfut D",16,IF(Atletas!L283="Hunggar D",17,IF(Atletas!L283="Wuzuquan D",18,IF(Atletas!L283="Wingchun D",19,IF(Atletas!L283="Outra Mão de Sul D",20,IF(Atletas!L283="Choylayfut E",21,IF(Atletas!L283="Hunggar E",22,IF(Atletas!L283="Wuzuquan E",23,IF(Atletas!L283="Wingchun E",24,IF(Atletas!L283="Outra Mão de Sul E",25,IF(Atletas!L283="Choylayfut F",26,IF(Atletas!L283="Hunggar F",27,IF(Atletas!L283="Wuzuquan F",28,IF(Atletas!L283="Wingchun F",29,IF(Atletas!L283="Outra Mão de Sul F",30,IF(Atletas!L283="Dishuquan A",31,IF(Atletas!L283="Dishuquan B",32,IF(Atletas!L283="Dishuquan C",33,IF(Atletas!L283="Dishuquan D",34,IF(Atletas!L283="Dishuquan E",35,IF(Atletas!L283="Dishuquan F",36,""))))))))))))))))))))))))))))))))))))))</f>
        <v/>
      </c>
      <c r="BS292" s="50" t="str">
        <f>IF(Atletas!M283="","",IF(Atletas!X283&lt;&gt;"",10000,0)+(IF(Atletas!B283="Feminino",1000,IF(Atletas!B283="Masculino",2000,""))+(IF(Atletas!M283="Chaquan A",101,IF(Atletas!M283="Emeiquan A",102,IF(Atletas!M283="Fanziquan A",103,IF(Atletas!M283="Huaquan A",104,IF(Atletas!M283="Hongquan A",105,IF(Atletas!M283="Paoquan A",106,IF(Atletas!M283="Piguaquan A",107,IF(Atletas!M283="Shaolinquan A",108,IF(Atletas!M283="Tanglangquan A",109,IF(Atletas!M283="Yingzhaoquan A",110,IF(Atletas!M283="Tongbeiquan A",111,IF(Atletas!M283="Wudangquan A",112,IF(Atletas!M283="Outros Estilos A",113,IF(Atletas!M283="Chaquan B",114,IF(Atletas!M283="Emeiquan B",115,IF(Atletas!M283="Fanziquan B",116,IF(Atletas!M283="Huaquan B",117,IF(Atletas!M283="Hongquan B",118,IF(Atletas!M283="Paoquan B",119,IF(Atletas!M283="Piguaquan B",120,IF(Atletas!M283="Shaolinquan B",121,IF(Atletas!M283="Tanglangquan B",122,IF(Atletas!M283="Yingzhaoquan B",123,IF(Atletas!M283="Tongbeiquan B",124,IF(Atletas!M283="Wudangquan B",125,IF(Atletas!M283="Outros Estilos B",126,IF(Atletas!M283="Chaquan C",127,IF(Atletas!M283="Emeiquan C",128,IF(Atletas!M283="Fanziquan C",129,IF(Atletas!M283="Huaquan C",130,IF(Atletas!M283="Hongquan C",131,IF(Atletas!M283="Paoquan C",132,IF(Atletas!M283="Piguaquan C",133,IF(Atletas!M283="Shaolinquan C",134,IF(Atletas!M283="Tanglangquan C",135,IF(Atletas!M283="Yingzhaoquan C",136,IF(Atletas!M283="Tongbeiquan C",137,IF(Atletas!M283="Wudangquan C",138,IF(Atletas!M283="Outros Estilos C",139,0))))))))))))))))))))))))))))))))))))))))))</f>
        <v/>
      </c>
      <c r="BT292" s="50" t="str">
        <f>IF(Atletas!M283="","",IF(Atletas!X283&lt;&gt;"",10000,0)+(IF(Atletas!B283="Feminino",1000,IF(Atletas!B283="Masculino",2000,""))+(IF(Atletas!M283="Chaquan D",140,IF(Atletas!M283="Emeiquan D",141,IF(Atletas!M283="Fanziquan D",142,IF(Atletas!M283="Huaquan D",143,IF(Atletas!M283="Hongquan D",144,IF(Atletas!M283="Paoquan D",145,IF(Atletas!M283="Piguaquan D",146,IF(Atletas!M283="Shaolinquan D",147,IF(Atletas!M283="Tanglangquan D",148,IF(Atletas!M283="Yingzhaoquan D",149,IF(Atletas!M283="Tongbeiquan D",150,IF(Atletas!M283="Wudangquan D",151,IF(Atletas!M283="Outros Estilos D",152,IF(Atletas!M283="Chaquan E",153,IF(Atletas!M283="Emeiquan E",154,IF(Atletas!M283="Fanziquan E",155,IF(Atletas!M283="Huaquan E",156,IF(Atletas!M283="Hongquan E",157,IF(Atletas!M283="Paoquan E",158,IF(Atletas!M283="Piguaquan E",159,IF(Atletas!M283="Shaolinquan E",160,IF(Atletas!M283="Tanglangquan E",161,IF(Atletas!M283="Yingzhaoquan E",162,IF(Atletas!M283="Tongbeiquan E",163,IF(Atletas!M283="Wudangquan E",164,IF(Atletas!M283="Outros Estilos E",165,IF(Atletas!M283="Chaquan F",166,IF(Atletas!M283="Emeiquan F",167,IF(Atletas!M283="Fanziquan F",168,IF(Atletas!M283="Huaquan F",169,IF(Atletas!M283="Hongquan F",170,IF(Atletas!M283="Paoquan F",171,IF(Atletas!M283="Piguaquan F",172,IF(Atletas!M283="Shaolinquan F",173,IF(Atletas!M283="Tanglangquan F",174,IF(Atletas!M283="Yingzhaoquan F",175,IF(Atletas!M283="Tongbeiquan F",176,IF(Atletas!M283="Wudangquan F",177,IF(Atletas!M283="Outros Estilos F",178,0))))))))))))))))))))))))))))))))))))))))))</f>
        <v/>
      </c>
      <c r="BU292" s="50" t="str">
        <f>IF(Atletas!N283="","",IF(Atletas!X283&lt;&gt;"",10000,0)+(IF(Atletas!B283="Feminino",1000,IF(Atletas!B283="Masculino",2000,""))+(IF(Atletas!N283="Ditangquan A",201,IF(Atletas!N283="Houquan A",202,IF(Atletas!N283="Zuiquan A",203,IF(Atletas!N283="Ditangquan B",204,IF(Atletas!N283="Houquan B",205,IF(Atletas!N283="Zuiquan B",206,IF(Atletas!N283="Ditangquan C",207,IF(Atletas!N283="Houquan C",208,IF(Atletas!N283="Zuiquan C",209,IF(Atletas!N283="Ditangquan D",210,IF(Atletas!N283="Houquan D",211,IF(Atletas!N283="Zuiquan D",212,IF(Atletas!N283="Ditangquan E",213,IF(Atletas!N283="Houquan E",214,IF(Atletas!N283="Zuiquan E",215,IF(Atletas!N283="Ditangquan F",216,IF(Atletas!N283="Houquan F",217,IF(Atletas!N283="Zuiquan F",218,"")))))))))))))))))))))</f>
        <v/>
      </c>
      <c r="BV292" s="50" t="str">
        <f>IF(Atletas!O283="","",IF(Atletas!X283&lt;&gt;"",10000,0)+IF(Atletas!B283="Feminino",1000,IF(Atletas!B283="Masculino",2000,""))+IF(Atletas!O283="Yang A",301,IF(Atletas!O283="Chen A",302,IF(Atletas!O283="Sun A",303,IF(Atletas!O283="Wu A",304,IF(Atletas!O283="Wu-Hao A",305,IF(Atletas!O283="Outro Taijiquan A",306,IF(Atletas!O283="Yang B",307,IF(Atletas!O283="Chen B",308,IF(Atletas!O283="Sun B",309,IF(Atletas!O283="Wu B",310,IF(Atletas!O283="Wu-Hao B",311,IF(Atletas!O283="Outro Taijiquan B",312,IF(Atletas!O283="Yang C",313,IF(Atletas!O283="Chen C",314,IF(Atletas!O283="Sun C",315,IF(Atletas!O283="Wu C",316,IF(Atletas!O283="Wu-Hao C",317,IF(Atletas!O283="Outro Taijiquan C",318,IF(Atletas!O283="Yang D",319,IF(Atletas!O283="Chen D",320,IF(Atletas!O283="Sun D",321,IF(Atletas!O283="Wu D",322,IF(Atletas!O283="Wu-Hao D",323,IF(Atletas!O283="Outro Taijiquan D",324,IF(Atletas!O283="Yang E",325,IF(Atletas!O283="Chen E",326,IF(Atletas!O283="Sun E",327,IF(Atletas!O283="Wu E",328,IF(Atletas!O283="Wu-Hao E",329,IF(Atletas!O283="Outro Taijiquan E",330,IF(Atletas!O283="Yang F",331,IF(Atletas!O283="Chen F",332,IF(Atletas!O283="Sun F",333,IF(Atletas!O283="Wu F",334,IF(Atletas!O283="Wu-Hao F",335,IF(Atletas!O283="Outro Taijiquan F",336,"")))))))))))))))))))))))))))))))))))))</f>
        <v/>
      </c>
      <c r="BW292" s="50" t="str">
        <f>IF(Atletas!P283="","",IF(Atletas!X283&lt;&gt;"",10000,0)+IF(Atletas!B283="Feminino",1000,IF(Atletas!B283="Masculino",2000,""))+IF(OR(Atletas!P283="Yang 26 A",Atletas!P283="Yang 40 A"),401,IF(OR(Atletas!P283="Chen 25 A",Atletas!P283="Chen 36 A",Atletas!P283="Chen 56 A"),402,IF(Atletas!P283="Sun 73 A",403,IF(Atletas!P283="Wu 45 A",404,IF(Atletas!P283="Wu-Hao 46 A",405,IF(OR(Atletas!P283="Taijiquan 16 A",Atletas!P283="Taijiquan 24 A",Atletas!P283="Taijiquan 32 A",Atletas!P283="Taijiquan 42 A"),406,IF(OR(Atletas!P283="Yang 26 B",Atletas!P283="Yang 40 B"),407,IF(OR(Atletas!P283="Chen 25 B",Atletas!P283="Chen 36 B",Atletas!P283="Chen 56 B"),408,IF(Atletas!P283="Sun 73 B",409,IF(Atletas!P283="Wu 45 B",410,IF(Atletas!P283="Wu-Hao 46 B",411,IF(OR(Atletas!P283="Taijiquan 16 B",Atletas!P283="Taijiquan 24 B",Atletas!P283="Taijiquan 32 B",Atletas!P283="Taijiquan 42 B"),412,IF(OR(Atletas!P283="Yang 26 C",Atletas!P283="Yang 40 C"),413,IF(OR(Atletas!P283="Chen 25 C",Atletas!P283="Chen 36 C",Atletas!P283="Chen 56 C"),414,IF(Atletas!P283="Sun 73 C",415,IF(Atletas!P283="Wu 45 C",416,IF(Atletas!P283="Wu-Hao 46 C",417,IF(OR(Atletas!P283="Taijiquan 16 C",Atletas!P283="Taijiquan 24 C",Atletas!P283="Taijiquan 32 C",Atletas!P283="Taijiquan 42 C"),418,0)))))))))))))))))))</f>
        <v/>
      </c>
      <c r="BX292" s="50" t="str">
        <f>IF(Atletas!P283="","",IF(Atletas!X283&lt;&gt;"",10000,0)+IF(Atletas!B283="Feminino",1000,IF(Atletas!B283="Masculino",2000,""))+IF(OR(Atletas!P283="Yang 26 D",Atletas!P283="Yang 40 D"),419,IF(OR(Atletas!P283="Chen 25 D",Atletas!P283="Chen 36 D",Atletas!P283="Chen 56 D"),420,IF(Atletas!P283="Sun 73 D",421,IF(Atletas!P283="Wu 45 D",422,IF(Atletas!P283="Wu-Hao 46 D",423,IF(OR(Atletas!P283="Taijiquan 16 D",Atletas!P283="Taijiquan 24 D",Atletas!P283="Taijiquan 32 D",Atletas!P283="Taijiquan 42 D"),424,IF(OR(Atletas!P283="Yang 26 E",Atletas!P283="Yang 40 E"),425,IF(OR(Atletas!P283="Chen 25 E",Atletas!P283="Chen 36 E",Atletas!P283="Chen 56 E"),426,IF(Atletas!P283="Sun 73 E",427,IF(Atletas!P283="Wu 45 E",428,IF(Atletas!P283="Wu-Hao 46 E",429,IF(OR(Atletas!P283="Taijiquan 16 E",Atletas!P283="Taijiquan 24 E",Atletas!P283="Taijiquan 32 E",Atletas!P283="Taijiquan 42 E"),430,IF(OR(Atletas!P283="Yang 26 F",Atletas!P283="Yang 40 F"),431,IF(OR(Atletas!P283="Chen 25 F",Atletas!P283="Chen 36 F",Atletas!P283="Chen 56 F"),432,IF(Atletas!P283="Sun 73 F",433,IF(Atletas!P283="Wu 45 F",434,IF(Atletas!P283="Wu-Hao 46 F",435,IF(OR(Atletas!P283="Taijiquan 16 F",Atletas!P283="Taijiquan 24 F",Atletas!P283="Taijiquan 32 F",Atletas!P283="Taijiquan 42 F"),436,0)))))))))))))))))))</f>
        <v/>
      </c>
      <c r="BY292" s="50" t="str">
        <f>IF(Atletas!Q283="","",IF(Atletas!X283&lt;&gt;"",10000,0)+IF(Atletas!B283="Feminino",1000,IF(Atletas!B283="Masculino",2000,""))+IF(Atletas!Q283="Xingyiquan A",501,IF(Atletas!Q283="Baguazhang A",502,IF(Atletas!Q283="Outro Estilo Interno A",503,IF(Atletas!Q283="Xingyiquan B",504,IF(Atletas!Q283="Baguazhang B",505,IF(Atletas!Q283="Outro Estilo Interno B",506,IF(Atletas!Q283="Xingyiquan C",507,IF(Atletas!Q283="Baguazhang C",508,IF(Atletas!Q283="Outro Estilo Interno C",509,IF(Atletas!Q283="Xingyiquan D",510,IF(Atletas!Q283="Baguazhang D",511,IF(Atletas!Q283="Outro Estilo Interno D",512,IF(Atletas!Q283="Xingyiquan E",513,IF(Atletas!Q283="Baguazhang E",514,IF(Atletas!Q283="Outro Estilo Interno E",515,IF(Atletas!Q283="Xingyiquan F",516,IF(Atletas!Q283="Baguazhang F",517,IF(Atletas!Q283="Outro Estilo Interno F",518, "")))))))))))))))))))</f>
        <v/>
      </c>
      <c r="BZ292" s="50" t="str">
        <f>IF(Atletas!R283="","",IF(Atletas!X283&lt;&gt;"",10000,0)+IF(Atletas!B283="Feminino",1000,IF(Atletas!B283="Masculino",2000,""))+IF(Atletas!R283="Dao A",601,IF(Atletas!R283="Jian A",602,IF(Atletas!R283="Bishou A",603,IF(Atletas!R283="Shanzi A",604,IF(Atletas!R283="Outra Arma Curta A",605,IF(Atletas!R283="Dao B",606,IF(Atletas!R283="Jian B",607,IF(Atletas!R283="Bishou B",608,IF(Atletas!R283="Shanzi B",609,IF(Atletas!R283="Outra Arma Curta B",610,IF(Atletas!R283="Dao C",611,IF(Atletas!R283="Jian C",612,IF(Atletas!R283="Bishou C",613,IF(Atletas!R283="Shanzi C",614,IF(Atletas!R283="Outra Arma Curta C",615,IF(Atletas!R283="Dao D",616,IF(Atletas!R283="Jian D",617,IF(Atletas!R283="Bishou D",618,IF(Atletas!R283="Shanzi D",619,IF(Atletas!R283="Outra Arma Curta D",620,IF(Atletas!R283="Dao E",621,IF(Atletas!R283="Jian E",622,IF(Atletas!R283="Bishou E",623,IF(Atletas!R283="Shanzi E",624,IF(Atletas!R283="Outra Arma Curta E",625,IF(Atletas!R283="Dao F",626,IF(Atletas!R283="Jian F",627,IF(Atletas!R283="Bishou F",628,IF(Atletas!R283="Shanzi F",629,IF(Atletas!R283="Outra Arma Curta F",630, "")))))))))))))))))))))))))))))))</f>
        <v/>
      </c>
      <c r="CA292" s="50" t="str">
        <f>IF(Atletas!S283="","",IF(Atletas!X283&lt;&gt;"",10000,0)+IF(Atletas!B283="Feminino",1000,IF(Atletas!B283="Masculino",2000,""))+IF(Atletas!S283="Gun A",701,IF(Atletas!S283="Qiang A",702,IF(Atletas!S283="Pudao / Guandao A",703,IF(Atletas!S283="Outra Arma Longa A",704,IF(Atletas!S283="Gun B",705,IF(Atletas!S283="Qiang B",706,IF(Atletas!S283="Pudao / Guandao B",707,IF(Atletas!S283="Outra Arma Longa B",708,IF(Atletas!S283="Gun C",709,IF(Atletas!S283="Qiang C",710,IF(Atletas!S283="Pudao / Guandao C",711,IF(Atletas!S283="Outra Arma Longa C",712,IF(Atletas!S283="Gun D",713,IF(Atletas!S283="Qiang D",714,IF(Atletas!S283="Pudao / Guandao D",715,IF(Atletas!S283="Outra Arma Longa D",716,IF(Atletas!S283="Gun E",717,IF(Atletas!S283="Qiang E",718,IF(Atletas!S283="Pudao / Guandao E",719,IF(Atletas!S283="Outra Arma Longa E",720,IF(Atletas!S283="Gun F",721,IF(Atletas!S283="Qiang F",722,IF(Atletas!S283="Pudao / Guandao F",723,IF(Atletas!S283="Outra Arma Longa F",724,"")))))))))))))))))))))))))</f>
        <v/>
      </c>
      <c r="CB292" s="50" t="str">
        <f>IF(Atletas!T283="","",IF(Atletas!X283&lt;&gt;"",10000,0)+IF(Atletas!B283="Feminino",1000,IF(Atletas!B283="Masculino",2000,""))+IF(Atletas!T283="Outra Arma Dupla A",801,IF(Atletas!T283="Arma Maleável A",802,IF(Atletas!T283="Outra Arma Dupla B",803,IF(Atletas!T283="Arma Maleável B",804,IF(Atletas!T283="Outra Arma Dupla C",805,IF(Atletas!T283="Arma Maleável C",806,IF(Atletas!T283="Outra Arma Dupla D",807,IF(Atletas!T283="Arma Maleável D",808,IF(Atletas!T283="Outra Arma Dupla E",809,IF(Atletas!T283="Arma Maleável E",810,IF(Atletas!T283="Outra Arma Dupla F",811,IF(Atletas!T283="Arma Maleável F",812,IF(Atletas!T283="Shuangdao A",813,IF(Atletas!T283="Shuangdao B",814,IF(Atletas!T283="Shuangdao C",815,IF(Atletas!T283="Shuangdao D",816,IF(Atletas!T283="Shuangdao E",817,IF(Atletas!T283="Shuangdao F",818,"")))))))))))))))))))</f>
        <v/>
      </c>
      <c r="CC292" s="50" t="str">
        <f>IF(Atletas!U283="","",IF(Atletas!X283&lt;&gt;"",10000,0)+IF(Atletas!B283="Feminino",1000,IF(Atletas!B283="Masculino",2000,""))+IF(OR(Atletas!U283="Taijijian Yang A",Atletas!U283="Taijijian Yang Standard A"),901,IF(OR(Atletas!U283="Taijijian Chen A", Atletas!U283="Taijijian Chen Standard A"),902,IF(Atletas!U283="Taijijian Sun A",903,IF(Atletas!U283="Taijijian Wu A",904,IF(Atletas!U283="Taijijian Wu-Hao A",905,IF(OR(Atletas!U283="Taijijian 32 A",Atletas!U283="Taijijian 42 A"),906,IF(OR(Atletas!U283="Taijijian Yang B",Atletas!U283="Taijijian Yang Standard B"),907,IF(OR(Atletas!U283="Taijijian Chen B", Atletas!U283="Taijijian Chen Standard B"),908,IF(Atletas!U283="Taijijian Sun B",909,IF(Atletas!U283="Taijijian Wu B",910,IF(Atletas!U283="Taijijian Wu-Hao B",911,IF(OR(Atletas!U283="Taijijian 32 B",Atletas!U283="Taijijian 42 B"),912,IF(OR(Atletas!U283="Taijijian Yang C",Atletas!U283="Taijijian Yang Standard C"),913,IF(OR(Atletas!U283="Taijijian Chen C", Atletas!U283="Taijijian Chen Standard C"),914,IF(Atletas!U283="Taijijian Sun C",915,IF(Atletas!U283="Taijijian Wu C",916,IF(Atletas!U283="Taijijian Wu-Hao C",917,IF(OR(Atletas!U283="Taijijian 32 C",Atletas!U283="Taijijian 42 C"),918,IF(OR(Atletas!U283="Taijijian Yang D",Atletas!U283="Taijijian Yang Standard D"),919,IF(OR(Atletas!U283="Taijijian Chen D", Atletas!U283="Taijijian Chen Standard D"),920,IF(Atletas!U283="Taijijian Sun D",921,IF(Atletas!U283="Taijijian Wu D",922,IF(Atletas!U283="Taijijian Wu-Hao D",923,IF(OR(Atletas!U283="Taijijian 32 D",Atletas!U283="Taijijian 42 D"),924,IF(OR(Atletas!U283="Taijijian Yang E",Atletas!U283="Taijijian Yang Standard E"),925,IF(OR(Atletas!U283="Taijijian Chen E", Atletas!U283="Taijijian Chen Standard E"),926,IF(Atletas!U283="Taijijian Sun E",927,IF(Atletas!U283="Taijijian Wu E",928,IF(Atletas!U283="Taijijian Wu-Hao E",929,IF(OR(Atletas!U283="Taijijian 32 E",Atletas!U283="Taijijian 42 E"),930,IF(OR(Atletas!U283="Taijijian Yang F",Atletas!U283="Taijijian Yang Standard F"),931,IF(OR(Atletas!U283="Taijijian Chen F", Atletas!U283="Taijijian Chen Standard F"),932,IF(Atletas!U283="Taijijian Sun F",933,IF(Atletas!U283="Taijijian Wu F",934,IF(Atletas!U283="Taijijian Wu-Hao F",935,IF(OR(Atletas!U283="Taijijian 32 F",Atletas!U283="Taijijian 42 F"),936,"")))))))))))))))))))))))))))))))))))))</f>
        <v/>
      </c>
      <c r="CD292" s="50" t="str">
        <f>IF(Atletas!V283="","",IF(Atletas!X283&lt;&gt;"",10000,0)+IF(Atletas!B283="Feminino",1000,IF(Atletas!B283="Masculino",2000,""))+IF(Atletas!V283="Taijidao A",937,IF(Atletas!V283="TaijiShanzi A",938,IF(Atletas!V283="Taijiqiang A",939,IF(Atletas!V283="Bagua de Arma A",940,IF(Atletas!V283="Xingyi de Arma A",941,IF(Atletas!V283="Taijidao B",942,IF(Atletas!V283="TaijiShanzi B",943,IF(Atletas!V283="Taijiqiang B",944,IF(Atletas!V283="Bagua de Arma B",945,IF(Atletas!V283="Xingyi de Arma B",946,IF(Atletas!V283="Taijidao C",947,IF(Atletas!V283="TaijiShanzi C",948,IF(Atletas!V283="Taijiqiang C",949,IF(Atletas!V283="Bagua de Arma C",950,IF(Atletas!V283="Xingyi de Arma C",951,IF(Atletas!V283="Taijidao D",952,IF(Atletas!V283="TaijiShanzi D",953,IF(Atletas!V283="Taijiqiang D",954,IF(Atletas!V283="Bagua de Arma D",955,IF(Atletas!V283="Xingyi de Arma D",956,IF(Atletas!V283="Taijidao E",957,IF(Atletas!V283="TaijiShanzi E",958,IF(Atletas!V283="Taijiqiang E",959,IF(Atletas!V283="Bagua de Arma E",960,IF(Atletas!V283="Xingyi de Arma E",961,IF(Atletas!V283="Taijidao F",962,IF(Atletas!V283="TaijiShanzi F",963,IF(Atletas!V283="Taijiqiang F",964,IF(Atletas!V283="Bagua de Arma F",965,IF(Atletas!V283="Xingyi de Arma F",966,"")))))))))))))))))))))))))))))))</f>
        <v/>
      </c>
      <c r="CE292" s="66" t="str">
        <f>IF(CF292&lt;&gt;"","Shuangdao D","")</f>
        <v/>
      </c>
      <c r="CF292" s="66" t="str">
        <f>IF(COUNTIF(BR:CD,1816)&gt;0,COUNTIF(BR:CD,1816),"")</f>
        <v/>
      </c>
      <c r="CG292" s="66" t="str">
        <f>IF(CH292&lt;&gt;"","Shuangdao D","")</f>
        <v/>
      </c>
      <c r="CH292" s="66" t="str">
        <f>IF(COUNTIF(BT:CF,2816)&gt;0,COUNTIF(BT:CF,2816),"")</f>
        <v/>
      </c>
      <c r="CI292" s="66" t="str">
        <f>IF(CJ293&lt;&gt;"","Taijijian Wu-Hao A","")</f>
        <v/>
      </c>
      <c r="CJ292" s="66" t="str">
        <f>IF(COUNTIF(BR:CD,11904)&gt;0,COUNTIF(BR:CD,11904),"")</f>
        <v/>
      </c>
      <c r="CK292" s="66" t="str">
        <f>IF(CL292&lt;&gt;"","Taijijian Wu A","")</f>
        <v/>
      </c>
      <c r="CL292" s="66" t="str">
        <f>IF(COUNTIF(BR:CD,12904)&gt;0,COUNTIF(BR:CD,12904),"")</f>
        <v/>
      </c>
      <c r="CM292" s="50" t="str">
        <f xml:space="preserve"> IF(Atletas!W283="","",IF(Atletas!W283="Duilian de Mãos BC - Equipe 1",1,IF(Atletas!W283="Duilian de Mãos BC - Equipe 2",2,IF(Atletas!W283="Duilian de Armas BC - Equipe 1",3,IF(Atletas!W283="Duilian de Armas BC - Equipe 2",4,IF(Atletas!W283="Duilian de Mãos DE - Equipe 1",5,IF(Atletas!W283="Duilian de Mãos DE - Equipe 2",6,IF(Atletas!W283="Duilian de Armas DE - Equipe 1",7,IF(Atletas!W283="Duilian de Armas DE - Equipe 2",8,IF(Atletas!W283="Duilian de Tuishou - Equipe 1",9,IF(Atletas!W283="Duilian de Tuishou - Equipe 2",10,IF(Atletas!W283="Grupo Externo ABC - Equipe 1",11,IF(Atletas!W283="Grupo Externo ABC - Equipe 2",12,IF(Atletas!W283="Grupo Interno ABC - Equipe 1",13,IF(Atletas!W283="Grupo Interno ABC - Equipe 2",14,IF(Atletas!W283="Grupo Externo DEF - Equipe 1",15,IF(Atletas!W283="Grupo Externo DEF - Equipe 2",16,IF(Atletas!W283="Grupo Interno DEF - Equipe 1",17,IF(Atletas!W283="Grupo Interno DEF - Equipe 2",18,"")))))))))))))))))))</f>
        <v/>
      </c>
    </row>
    <row r="293" spans="2:91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 t="str">
        <f t="array" ref="Z293">IFERROR(INDEX(CE$7:CE$348,SMALL(IF(CE$7:CE$348&lt;&gt;"",ROW(CE$7:CE$348)-ROW(CE$7)+1),ROWS(CE$7:CE292))),"")</f>
        <v/>
      </c>
      <c r="AA293" s="3" t="str">
        <f t="array" ref="AA293">IFERROR(INDEX(CF$7:CF$348,SMALL(IF(CF$7:CF$348&lt;&gt;"",ROW(CF$7:CF$348)-ROW(CF$7)+1),ROWS(CF$7:CF292))),"")</f>
        <v/>
      </c>
      <c r="AB293" s="3" t="str">
        <f t="array" ref="AB293">IFERROR(INDEX(CG$7:CG$348,SMALL(IF(CG$7:CG$348&lt;&gt;"",ROW(CG$7:CG$348)-ROW(CG$7)+1),ROWS(CG$7:CG292))),"")</f>
        <v/>
      </c>
      <c r="AC293" s="3" t="str">
        <f t="array" ref="AC293">IFERROR(INDEX(CH$7:CH$348,SMALL(IF(CH$7:CH$348&lt;&gt;"",ROW(CH$7:CH$348)-ROW(CH$7)+1),ROWS(CH$7:CH292))),"")</f>
        <v/>
      </c>
      <c r="AD293" s="3" t="str">
        <f t="array" ref="AD293">IFERROR(INDEX(CI$7:CI$377,SMALL(IF(CI$7:CI$377&lt;&gt;"",ROW(CI$7:CI$377)-ROW(CI$7)+1),ROWS(CI$7:CI291))),"")</f>
        <v/>
      </c>
      <c r="AE293" s="3" t="str">
        <f t="array" ref="AE293">IFERROR(INDEX(CJ$7:CJ$378,SMALL(IF(CJ$7:CJ$378&lt;&gt;"",ROW(CJ$7:CJ$378)-ROW(CJ$7)+1),ROWS(CJ$7:CJ292))),"")</f>
        <v/>
      </c>
      <c r="AF293" s="3" t="str">
        <f t="array" ref="AF293">IFERROR(INDEX(CK$7:CK$378,SMALL(IF(CK$7:CK$378&lt;&gt;"",ROW(CK$7:CK$378)-ROW(CK$7)+1),ROWS(CK$7:CK292))),"")</f>
        <v/>
      </c>
      <c r="AG293" s="3" t="str">
        <f t="array" ref="AG293">IFERROR(INDEX(CL$7:CL$378,SMALL(IF(CL$7:CL$378&lt;&gt;"",ROW(CL$7:CL$378)-ROW(CL$7)+1),ROWS(CL$7:CL292))),"")</f>
        <v/>
      </c>
      <c r="AH293" s="3"/>
      <c r="AI293" s="3"/>
      <c r="AJ293" s="3"/>
      <c r="AK293" s="3"/>
      <c r="AL293" s="3"/>
      <c r="AM293" s="3"/>
      <c r="AN293" s="52" t="str">
        <f>IF(Atletas!D284="","",IF(Atletas!B284="Feminino",100,IF(Atletas!B284="Masculino",200,""))+(IF(Atletas!D284="Kids 30kg",1,IF(Atletas!D284="Kids 32kg",2, IF(Atletas!D284="Kids 34kg",3,IF(Atletas!D284="Kids 36kg",4,IF(Atletas!D284="Kids 39kg",5,IF(Atletas!D284="Kids 42kg",6,IF(Atletas!D284="Kids 45kg",7, IF(Atletas!D284="Infantil 39kg",8,IF(Atletas!D284="Infantil 42kg",9,IF(Atletas!D284="Infantil 45kg",10,IF(Atletas!D284="Infantil 48kg",11,IF(Atletas!D284="Infantil 52kg",12,IF(Atletas!D284="Infantil 56kg",13,IF(Atletas!D284="Infantil 60kg",14,IF(Atletas!D284="Juvenil 48kg",15,IF(Atletas!D284="Juvenil 52kg",16,IF(Atletas!D284="Juvenil 56kg",17,IF(Atletas!D284="Juvenil 60kg",18,IF(Atletas!D284="Juvenil 65kg",19,IF(Atletas!D284="Juvenil 70kg",20,IF(Atletas!D284="Juvenil 75kg",21,IF(Atletas!D284="Juvenil 80kg",22, IF(Atletas!D284="Juvenil 85kg",23,IF(Atletas!D284="Adulto 48kg",24,IF(Atletas!D284="Adulto 52kg",25,IF(Atletas!D284="Adulto 56kg",26,IF(Atletas!D284="Adulto 60kg",27,IF(Atletas!D284="Adulto 65kg",28,IF(Atletas!D284="Adulto 70kg",29,IF(Atletas!D284="Adulto 75kg",30,IF(Atletas!D284="Adulto 80kg",31,IF(Atletas!D284="Adulto 85kg",32,IF(Atletas!D284="Adulto 90kg",33,IF(Atletas!D284="Adulto 100kg",34, IF(Atletas!D284="Adulto +100kg",35,"")))))))))))))))))))))))))))))))))))))</f>
        <v/>
      </c>
      <c r="AS293" s="6" t="str">
        <f>IF(Atletas!E284="","",IF(Atletas!B284="Feminino",100,IF(Atletas!B284="Masculino",200,""))+(IF(Atletas!E284="Juvenil 44kg",1,IF(Atletas!E284="Juvenil 48kg",2,IF(Atletas!E284="Juvenil 52kg",3,IF(Atletas!E284="Juvenil 56kg",4,IF(Atletas!E284="Juvenil 60kg",5,IF(Atletas!E284="Juvenil 65kg",6,IF(Atletas!E284="Juvenil 70kg",7,IF(Atletas!E284="Juvenil 75kg",8,IF(Atletas!E284="Juvenil 82kg",9,IF(Atletas!E284="Juvenil 90kg",10,IF(Atletas!E284="Juvenil 100kg",11,IF(Atletas!E284="Adulto 48kg",12,IF(Atletas!E284="Adulto 52kg",13,IF(Atletas!E284="Adulto 56kg",14,IF(Atletas!E284="Adulto 60kg",15,IF(Atletas!E284="Adulto 65kg",16,IF(Atletas!E284="Adulto 70kg",17,IF(Atletas!E284="Adulto 75kg",18,IF(Atletas!E284="Adulto 82kg",19,IF(Atletas!E284="Adulto 90kg",20,IF(Atletas!E284="Adulto 100kg",21,IF(Atletas!E284="Adulto +100kg",22,""))))))))))))))))))))))))</f>
        <v/>
      </c>
      <c r="AX293" s="6" t="str">
        <f>IF(Atletas!F284="","",IF(Atletas!B284="Feminino",100,IF(Atletas!B284="Masculino",200,""))+(IF(Atletas!F284="Adulto 48kg",1,IF(Atletas!F284="Adulto 56kg",2,IF(Atletas!F284="Adulto 65kg",3,IF(Atletas!F284="Adulto 75kg",4,IF(Atletas!F284="Adulto +75kg",5,IF(Atletas!F284="Adulto 52kg",6,IF(Atletas!F284="Adulto 60kg",7,IF(Atletas!F284="Adulto 70kg",8,IF(Atletas!F284="Adulto 80kg",9,IF(Atletas!F284="Adulto 90kg",10,IF(Atletas!F284="Adulto +90kg",11,"")))))))))))))</f>
        <v/>
      </c>
      <c r="BC293" s="6" t="str">
        <f>IF(Atletas!G284="","",IF(Atletas!B284="Feminino",10,IF(Atletas!B284="Masculino",20,""))+(IF(Atletas!G284="Baduanjin A",1,IF(Atletas!G284="Baduanjin B",2))))</f>
        <v/>
      </c>
      <c r="BF293" s="52" t="str">
        <f>IF(Atletas!H284="","",IF(Atletas!B284="Feminino",100,IF(Atletas!B284="Masculino",200,""))+(IF(Atletas!H284="Changquan Mirim",1,IF(Atletas!H284="Nanquan Mirim",2,IF(Atletas!H284="Taijiquan Mirim",3,IF(Atletas!H284="Changquan Grupo C",4,IF(Atletas!H284="Nanquan Grupo C",5,IF(Atletas!H284="Taijiquan Grupo C",6,IF(Atletas!H284="Changquan Grupo B",7,IF(Atletas!H284="Nanquan Grupo B",8,IF(Atletas!H284="Taijiquan Grupo B",9,IF(Atletas!H284="Changquan Grupo A",10,IF(Atletas!H284="Nanquan Grupo A",11,IF(Atletas!H284="Taijiquan Grupo A",12,IF(Atletas!H284="Changquan Opcional",13,IF(Atletas!H284="Nanquan Opcional",14,IF(Atletas!H284="Taijiquan Opcional",15,IF(Atletas!H284="Changquan Adulto",16,IF(Atletas!H284="Nanquan Adulto",17,IF(Atletas!H284="Taijiquan Adulto",18,""))))))))))))))))))))</f>
        <v/>
      </c>
      <c r="BG293" s="52" t="str">
        <f>IF(Atletas!I284="","",IF(Atletas!B284="Feminino",100,IF(Atletas!B284="Masculino",200,""))+(IF(Atletas!I284="Daoshu Mirim",19,IF(Atletas!I284="Jianshu Mirim",20,IF(Atletas!I284="Nandao Mirim",21,IF(Atletas!I284="Taijijian Mirim",22,IF(Atletas!I284="Daoshu Grupo C",23,IF(Atletas!I284="Jianshu Grupo C",24,IF(Atletas!I284="Nandao Grupo C",25,IF(Atletas!I284="Taijijian Grupo C",26,IF(Atletas!I284="Daoshu Grupo B",27,IF(Atletas!I284="Jianshu Grupo B",28,IF(Atletas!I284="Nandao Grupo B",29,IF(Atletas!I284="Taijijian Grupo B",30,IF(Atletas!I284="Daoshu Grupo A",31,IF(Atletas!I284="Jianshu Grupo A",32,IF(Atletas!I284="Nandao Grupo A",33,IF(Atletas!I284="Taijijian Grupo A",34,IF(Atletas!I284="Daoshu Opcional",35,IF(Atletas!I284="Jianshu Opcional",36,IF(Atletas!I284="Nandao Opcional",37,IF(Atletas!I284="Taijijian Opcional",38,IF(Atletas!I284="Daoshu Adulto",39,IF(Atletas!I284="Jianshu Adulto",40,IF(Atletas!I284="Nandao Adulto",41,IF(Atletas!I284="Taijijian Adulto",42,""))))))))))))))))))))))))))</f>
        <v/>
      </c>
      <c r="BH293" s="52" t="str">
        <f>IF(Atletas!J284="","",IF(Atletas!B284="Feminino",100,IF(Atletas!B284="Masculino",200,""))+(IF(Atletas!J284="Gunshu Mirim",43,IF(Atletas!J284="Qiangshu Mirim",44,IF(Atletas!J284="Nangun Mirim",45,IF(Atletas!J284="Gunshu Grupo C",46,IF(Atletas!J284="Qiangshu Grupo C",47,IF(Atletas!J284="Nangun Grupo C",48,IF(Atletas!J284="Gunshu Grupo B",49,IF(Atletas!J284="Qiangshu Grupo B",50,IF(Atletas!J284="Nangun Grupo B",51,IF(Atletas!J284="Gunshu Grupo A",52,IF(Atletas!J284="Qiangshu Grupo A",53,IF(Atletas!J284="Nangun Grupo A",54,IF(Atletas!J284="Gunshu Opcional",55,IF(Atletas!J284="Qiangshu Opcional",56,IF(Atletas!J284="Nangun Opcional",57,IF(Atletas!J284="Gunshu Adulto",58,IF(Atletas!J284="Qiangshu Adulto",59,IF(Atletas!J284="Nangun Adulto",60,IF(Atletas!J284="Taijishan Grupo B",61,IF(Atletas!J284="Taijishan Grupo A",62,""))))))))))))))))))))))</f>
        <v/>
      </c>
      <c r="BM293" s="50" t="str">
        <f>IF(Atletas!K284="","",IF(Atletas!B284="Feminino",100,IF(Atletas!B284="Masculino",200,""))+(IF(Atletas!K284="Equipe 1 Grupo B",1,IF(Atletas!K284="Equipe 2 Grupo B",2,IF(Atletas!K284="Equipe 1 Grupo A",3,IF(Atletas!K284="Equipe 2 Grupo A",4,IF(Atletas!K284="Equipe 1 Adulto",5,IF(Atletas!K284="Equipe 2 Adulto",6,""))))))))</f>
        <v/>
      </c>
      <c r="BR293" s="50" t="str">
        <f>IF(Atletas!L284="","",IF(Atletas!X284&lt;&gt;"",10000,0)+(IF(Atletas!B284="Feminino",1000,IF(Atletas!B284="Masculino",2000,""))+IF(Atletas!L284="Choylayfut A",1,IF(Atletas!L284="Hunggar A",2,IF(Atletas!L284="Wuzuquan A",3,IF(Atletas!L284="Wingchun A",4,IF(Atletas!L284="Outra Mão de Sul A",5,IF(Atletas!L284="Choylayfut B",6,IF(Atletas!L284="Hunggar B",7,IF(Atletas!L284="Wuzuquan B",8,IF(Atletas!L284="Wingchun B",9,IF(Atletas!L284="Outra Mão de Sul B",10,IF(Atletas!L284="Choylayfut C",11,IF(Atletas!L284="Hunggar C",12,IF(Atletas!L284="Wuzuquan C",13,IF(Atletas!L284="Wingchun C",14,IF(Atletas!L284="Outra Mão de Sul C",15,IF(Atletas!L284="Choylayfut D",16,IF(Atletas!L284="Hunggar D",17,IF(Atletas!L284="Wuzuquan D",18,IF(Atletas!L284="Wingchun D",19,IF(Atletas!L284="Outra Mão de Sul D",20,IF(Atletas!L284="Choylayfut E",21,IF(Atletas!L284="Hunggar E",22,IF(Atletas!L284="Wuzuquan E",23,IF(Atletas!L284="Wingchun E",24,IF(Atletas!L284="Outra Mão de Sul E",25,IF(Atletas!L284="Choylayfut F",26,IF(Atletas!L284="Hunggar F",27,IF(Atletas!L284="Wuzuquan F",28,IF(Atletas!L284="Wingchun F",29,IF(Atletas!L284="Outra Mão de Sul F",30,IF(Atletas!L284="Dishuquan A",31,IF(Atletas!L284="Dishuquan B",32,IF(Atletas!L284="Dishuquan C",33,IF(Atletas!L284="Dishuquan D",34,IF(Atletas!L284="Dishuquan E",35,IF(Atletas!L284="Dishuquan F",36,""))))))))))))))))))))))))))))))))))))))</f>
        <v/>
      </c>
      <c r="BS293" s="50" t="str">
        <f>IF(Atletas!M284="","",IF(Atletas!X284&lt;&gt;"",10000,0)+(IF(Atletas!B284="Feminino",1000,IF(Atletas!B284="Masculino",2000,""))+(IF(Atletas!M284="Chaquan A",101,IF(Atletas!M284="Emeiquan A",102,IF(Atletas!M284="Fanziquan A",103,IF(Atletas!M284="Huaquan A",104,IF(Atletas!M284="Hongquan A",105,IF(Atletas!M284="Paoquan A",106,IF(Atletas!M284="Piguaquan A",107,IF(Atletas!M284="Shaolinquan A",108,IF(Atletas!M284="Tanglangquan A",109,IF(Atletas!M284="Yingzhaoquan A",110,IF(Atletas!M284="Tongbeiquan A",111,IF(Atletas!M284="Wudangquan A",112,IF(Atletas!M284="Outros Estilos A",113,IF(Atletas!M284="Chaquan B",114,IF(Atletas!M284="Emeiquan B",115,IF(Atletas!M284="Fanziquan B",116,IF(Atletas!M284="Huaquan B",117,IF(Atletas!M284="Hongquan B",118,IF(Atletas!M284="Paoquan B",119,IF(Atletas!M284="Piguaquan B",120,IF(Atletas!M284="Shaolinquan B",121,IF(Atletas!M284="Tanglangquan B",122,IF(Atletas!M284="Yingzhaoquan B",123,IF(Atletas!M284="Tongbeiquan B",124,IF(Atletas!M284="Wudangquan B",125,IF(Atletas!M284="Outros Estilos B",126,IF(Atletas!M284="Chaquan C",127,IF(Atletas!M284="Emeiquan C",128,IF(Atletas!M284="Fanziquan C",129,IF(Atletas!M284="Huaquan C",130,IF(Atletas!M284="Hongquan C",131,IF(Atletas!M284="Paoquan C",132,IF(Atletas!M284="Piguaquan C",133,IF(Atletas!M284="Shaolinquan C",134,IF(Atletas!M284="Tanglangquan C",135,IF(Atletas!M284="Yingzhaoquan C",136,IF(Atletas!M284="Tongbeiquan C",137,IF(Atletas!M284="Wudangquan C",138,IF(Atletas!M284="Outros Estilos C",139,0))))))))))))))))))))))))))))))))))))))))))</f>
        <v/>
      </c>
      <c r="BT293" s="50" t="str">
        <f>IF(Atletas!M284="","",IF(Atletas!X284&lt;&gt;"",10000,0)+(IF(Atletas!B284="Feminino",1000,IF(Atletas!B284="Masculino",2000,""))+(IF(Atletas!M284="Chaquan D",140,IF(Atletas!M284="Emeiquan D",141,IF(Atletas!M284="Fanziquan D",142,IF(Atletas!M284="Huaquan D",143,IF(Atletas!M284="Hongquan D",144,IF(Atletas!M284="Paoquan D",145,IF(Atletas!M284="Piguaquan D",146,IF(Atletas!M284="Shaolinquan D",147,IF(Atletas!M284="Tanglangquan D",148,IF(Atletas!M284="Yingzhaoquan D",149,IF(Atletas!M284="Tongbeiquan D",150,IF(Atletas!M284="Wudangquan D",151,IF(Atletas!M284="Outros Estilos D",152,IF(Atletas!M284="Chaquan E",153,IF(Atletas!M284="Emeiquan E",154,IF(Atletas!M284="Fanziquan E",155,IF(Atletas!M284="Huaquan E",156,IF(Atletas!M284="Hongquan E",157,IF(Atletas!M284="Paoquan E",158,IF(Atletas!M284="Piguaquan E",159,IF(Atletas!M284="Shaolinquan E",160,IF(Atletas!M284="Tanglangquan E",161,IF(Atletas!M284="Yingzhaoquan E",162,IF(Atletas!M284="Tongbeiquan E",163,IF(Atletas!M284="Wudangquan E",164,IF(Atletas!M284="Outros Estilos E",165,IF(Atletas!M284="Chaquan F",166,IF(Atletas!M284="Emeiquan F",167,IF(Atletas!M284="Fanziquan F",168,IF(Atletas!M284="Huaquan F",169,IF(Atletas!M284="Hongquan F",170,IF(Atletas!M284="Paoquan F",171,IF(Atletas!M284="Piguaquan F",172,IF(Atletas!M284="Shaolinquan F",173,IF(Atletas!M284="Tanglangquan F",174,IF(Atletas!M284="Yingzhaoquan F",175,IF(Atletas!M284="Tongbeiquan F",176,IF(Atletas!M284="Wudangquan F",177,IF(Atletas!M284="Outros Estilos F",178,0))))))))))))))))))))))))))))))))))))))))))</f>
        <v/>
      </c>
      <c r="BU293" s="50" t="str">
        <f>IF(Atletas!N284="","",IF(Atletas!X284&lt;&gt;"",10000,0)+(IF(Atletas!B284="Feminino",1000,IF(Atletas!B284="Masculino",2000,""))+(IF(Atletas!N284="Ditangquan A",201,IF(Atletas!N284="Houquan A",202,IF(Atletas!N284="Zuiquan A",203,IF(Atletas!N284="Ditangquan B",204,IF(Atletas!N284="Houquan B",205,IF(Atletas!N284="Zuiquan B",206,IF(Atletas!N284="Ditangquan C",207,IF(Atletas!N284="Houquan C",208,IF(Atletas!N284="Zuiquan C",209,IF(Atletas!N284="Ditangquan D",210,IF(Atletas!N284="Houquan D",211,IF(Atletas!N284="Zuiquan D",212,IF(Atletas!N284="Ditangquan E",213,IF(Atletas!N284="Houquan E",214,IF(Atletas!N284="Zuiquan E",215,IF(Atletas!N284="Ditangquan F",216,IF(Atletas!N284="Houquan F",217,IF(Atletas!N284="Zuiquan F",218,"")))))))))))))))))))))</f>
        <v/>
      </c>
      <c r="BV293" s="50" t="str">
        <f>IF(Atletas!O284="","",IF(Atletas!X284&lt;&gt;"",10000,0)+IF(Atletas!B284="Feminino",1000,IF(Atletas!B284="Masculino",2000,""))+IF(Atletas!O284="Yang A",301,IF(Atletas!O284="Chen A",302,IF(Atletas!O284="Sun A",303,IF(Atletas!O284="Wu A",304,IF(Atletas!O284="Wu-Hao A",305,IF(Atletas!O284="Outro Taijiquan A",306,IF(Atletas!O284="Yang B",307,IF(Atletas!O284="Chen B",308,IF(Atletas!O284="Sun B",309,IF(Atletas!O284="Wu B",310,IF(Atletas!O284="Wu-Hao B",311,IF(Atletas!O284="Outro Taijiquan B",312,IF(Atletas!O284="Yang C",313,IF(Atletas!O284="Chen C",314,IF(Atletas!O284="Sun C",315,IF(Atletas!O284="Wu C",316,IF(Atletas!O284="Wu-Hao C",317,IF(Atletas!O284="Outro Taijiquan C",318,IF(Atletas!O284="Yang D",319,IF(Atletas!O284="Chen D",320,IF(Atletas!O284="Sun D",321,IF(Atletas!O284="Wu D",322,IF(Atletas!O284="Wu-Hao D",323,IF(Atletas!O284="Outro Taijiquan D",324,IF(Atletas!O284="Yang E",325,IF(Atletas!O284="Chen E",326,IF(Atletas!O284="Sun E",327,IF(Atletas!O284="Wu E",328,IF(Atletas!O284="Wu-Hao E",329,IF(Atletas!O284="Outro Taijiquan E",330,IF(Atletas!O284="Yang F",331,IF(Atletas!O284="Chen F",332,IF(Atletas!O284="Sun F",333,IF(Atletas!O284="Wu F",334,IF(Atletas!O284="Wu-Hao F",335,IF(Atletas!O284="Outro Taijiquan F",336,"")))))))))))))))))))))))))))))))))))))</f>
        <v/>
      </c>
      <c r="BW293" s="50" t="str">
        <f>IF(Atletas!P284="","",IF(Atletas!X284&lt;&gt;"",10000,0)+IF(Atletas!B284="Feminino",1000,IF(Atletas!B284="Masculino",2000,""))+IF(OR(Atletas!P284="Yang 26 A",Atletas!P284="Yang 40 A"),401,IF(OR(Atletas!P284="Chen 25 A",Atletas!P284="Chen 36 A",Atletas!P284="Chen 56 A"),402,IF(Atletas!P284="Sun 73 A",403,IF(Atletas!P284="Wu 45 A",404,IF(Atletas!P284="Wu-Hao 46 A",405,IF(OR(Atletas!P284="Taijiquan 16 A",Atletas!P284="Taijiquan 24 A",Atletas!P284="Taijiquan 32 A",Atletas!P284="Taijiquan 42 A"),406,IF(OR(Atletas!P284="Yang 26 B",Atletas!P284="Yang 40 B"),407,IF(OR(Atletas!P284="Chen 25 B",Atletas!P284="Chen 36 B",Atletas!P284="Chen 56 B"),408,IF(Atletas!P284="Sun 73 B",409,IF(Atletas!P284="Wu 45 B",410,IF(Atletas!P284="Wu-Hao 46 B",411,IF(OR(Atletas!P284="Taijiquan 16 B",Atletas!P284="Taijiquan 24 B",Atletas!P284="Taijiquan 32 B",Atletas!P284="Taijiquan 42 B"),412,IF(OR(Atletas!P284="Yang 26 C",Atletas!P284="Yang 40 C"),413,IF(OR(Atletas!P284="Chen 25 C",Atletas!P284="Chen 36 C",Atletas!P284="Chen 56 C"),414,IF(Atletas!P284="Sun 73 C",415,IF(Atletas!P284="Wu 45 C",416,IF(Atletas!P284="Wu-Hao 46 C",417,IF(OR(Atletas!P284="Taijiquan 16 C",Atletas!P284="Taijiquan 24 C",Atletas!P284="Taijiquan 32 C",Atletas!P284="Taijiquan 42 C"),418,0)))))))))))))))))))</f>
        <v/>
      </c>
      <c r="BX293" s="50" t="str">
        <f>IF(Atletas!P284="","",IF(Atletas!X284&lt;&gt;"",10000,0)+IF(Atletas!B284="Feminino",1000,IF(Atletas!B284="Masculino",2000,""))+IF(OR(Atletas!P284="Yang 26 D",Atletas!P284="Yang 40 D"),419,IF(OR(Atletas!P284="Chen 25 D",Atletas!P284="Chen 36 D",Atletas!P284="Chen 56 D"),420,IF(Atletas!P284="Sun 73 D",421,IF(Atletas!P284="Wu 45 D",422,IF(Atletas!P284="Wu-Hao 46 D",423,IF(OR(Atletas!P284="Taijiquan 16 D",Atletas!P284="Taijiquan 24 D",Atletas!P284="Taijiquan 32 D",Atletas!P284="Taijiquan 42 D"),424,IF(OR(Atletas!P284="Yang 26 E",Atletas!P284="Yang 40 E"),425,IF(OR(Atletas!P284="Chen 25 E",Atletas!P284="Chen 36 E",Atletas!P284="Chen 56 E"),426,IF(Atletas!P284="Sun 73 E",427,IF(Atletas!P284="Wu 45 E",428,IF(Atletas!P284="Wu-Hao 46 E",429,IF(OR(Atletas!P284="Taijiquan 16 E",Atletas!P284="Taijiquan 24 E",Atletas!P284="Taijiquan 32 E",Atletas!P284="Taijiquan 42 E"),430,IF(OR(Atletas!P284="Yang 26 F",Atletas!P284="Yang 40 F"),431,IF(OR(Atletas!P284="Chen 25 F",Atletas!P284="Chen 36 F",Atletas!P284="Chen 56 F"),432,IF(Atletas!P284="Sun 73 F",433,IF(Atletas!P284="Wu 45 F",434,IF(Atletas!P284="Wu-Hao 46 F",435,IF(OR(Atletas!P284="Taijiquan 16 F",Atletas!P284="Taijiquan 24 F",Atletas!P284="Taijiquan 32 F",Atletas!P284="Taijiquan 42 F"),436,0)))))))))))))))))))</f>
        <v/>
      </c>
      <c r="BY293" s="50" t="str">
        <f>IF(Atletas!Q284="","",IF(Atletas!X284&lt;&gt;"",10000,0)+IF(Atletas!B284="Feminino",1000,IF(Atletas!B284="Masculino",2000,""))+IF(Atletas!Q284="Xingyiquan A",501,IF(Atletas!Q284="Baguazhang A",502,IF(Atletas!Q284="Outro Estilo Interno A",503,IF(Atletas!Q284="Xingyiquan B",504,IF(Atletas!Q284="Baguazhang B",505,IF(Atletas!Q284="Outro Estilo Interno B",506,IF(Atletas!Q284="Xingyiquan C",507,IF(Atletas!Q284="Baguazhang C",508,IF(Atletas!Q284="Outro Estilo Interno C",509,IF(Atletas!Q284="Xingyiquan D",510,IF(Atletas!Q284="Baguazhang D",511,IF(Atletas!Q284="Outro Estilo Interno D",512,IF(Atletas!Q284="Xingyiquan E",513,IF(Atletas!Q284="Baguazhang E",514,IF(Atletas!Q284="Outro Estilo Interno E",515,IF(Atletas!Q284="Xingyiquan F",516,IF(Atletas!Q284="Baguazhang F",517,IF(Atletas!Q284="Outro Estilo Interno F",518, "")))))))))))))))))))</f>
        <v/>
      </c>
      <c r="BZ293" s="50" t="str">
        <f>IF(Atletas!R284="","",IF(Atletas!X284&lt;&gt;"",10000,0)+IF(Atletas!B284="Feminino",1000,IF(Atletas!B284="Masculino",2000,""))+IF(Atletas!R284="Dao A",601,IF(Atletas!R284="Jian A",602,IF(Atletas!R284="Bishou A",603,IF(Atletas!R284="Shanzi A",604,IF(Atletas!R284="Outra Arma Curta A",605,IF(Atletas!R284="Dao B",606,IF(Atletas!R284="Jian B",607,IF(Atletas!R284="Bishou B",608,IF(Atletas!R284="Shanzi B",609,IF(Atletas!R284="Outra Arma Curta B",610,IF(Atletas!R284="Dao C",611,IF(Atletas!R284="Jian C",612,IF(Atletas!R284="Bishou C",613,IF(Atletas!R284="Shanzi C",614,IF(Atletas!R284="Outra Arma Curta C",615,IF(Atletas!R284="Dao D",616,IF(Atletas!R284="Jian D",617,IF(Atletas!R284="Bishou D",618,IF(Atletas!R284="Shanzi D",619,IF(Atletas!R284="Outra Arma Curta D",620,IF(Atletas!R284="Dao E",621,IF(Atletas!R284="Jian E",622,IF(Atletas!R284="Bishou E",623,IF(Atletas!R284="Shanzi E",624,IF(Atletas!R284="Outra Arma Curta E",625,IF(Atletas!R284="Dao F",626,IF(Atletas!R284="Jian F",627,IF(Atletas!R284="Bishou F",628,IF(Atletas!R284="Shanzi F",629,IF(Atletas!R284="Outra Arma Curta F",630, "")))))))))))))))))))))))))))))))</f>
        <v/>
      </c>
      <c r="CA293" s="50" t="str">
        <f>IF(Atletas!S284="","",IF(Atletas!X284&lt;&gt;"",10000,0)+IF(Atletas!B284="Feminino",1000,IF(Atletas!B284="Masculino",2000,""))+IF(Atletas!S284="Gun A",701,IF(Atletas!S284="Qiang A",702,IF(Atletas!S284="Pudao / Guandao A",703,IF(Atletas!S284="Outra Arma Longa A",704,IF(Atletas!S284="Gun B",705,IF(Atletas!S284="Qiang B",706,IF(Atletas!S284="Pudao / Guandao B",707,IF(Atletas!S284="Outra Arma Longa B",708,IF(Atletas!S284="Gun C",709,IF(Atletas!S284="Qiang C",710,IF(Atletas!S284="Pudao / Guandao C",711,IF(Atletas!S284="Outra Arma Longa C",712,IF(Atletas!S284="Gun D",713,IF(Atletas!S284="Qiang D",714,IF(Atletas!S284="Pudao / Guandao D",715,IF(Atletas!S284="Outra Arma Longa D",716,IF(Atletas!S284="Gun E",717,IF(Atletas!S284="Qiang E",718,IF(Atletas!S284="Pudao / Guandao E",719,IF(Atletas!S284="Outra Arma Longa E",720,IF(Atletas!S284="Gun F",721,IF(Atletas!S284="Qiang F",722,IF(Atletas!S284="Pudao / Guandao F",723,IF(Atletas!S284="Outra Arma Longa F",724,"")))))))))))))))))))))))))</f>
        <v/>
      </c>
      <c r="CB293" s="50" t="str">
        <f>IF(Atletas!T284="","",IF(Atletas!X284&lt;&gt;"",10000,0)+IF(Atletas!B284="Feminino",1000,IF(Atletas!B284="Masculino",2000,""))+IF(Atletas!T284="Outra Arma Dupla A",801,IF(Atletas!T284="Arma Maleável A",802,IF(Atletas!T284="Outra Arma Dupla B",803,IF(Atletas!T284="Arma Maleável B",804,IF(Atletas!T284="Outra Arma Dupla C",805,IF(Atletas!T284="Arma Maleável C",806,IF(Atletas!T284="Outra Arma Dupla D",807,IF(Atletas!T284="Arma Maleável D",808,IF(Atletas!T284="Outra Arma Dupla E",809,IF(Atletas!T284="Arma Maleável E",810,IF(Atletas!T284="Outra Arma Dupla F",811,IF(Atletas!T284="Arma Maleável F",812,IF(Atletas!T284="Shuangdao A",813,IF(Atletas!T284="Shuangdao B",814,IF(Atletas!T284="Shuangdao C",815,IF(Atletas!T284="Shuangdao D",816,IF(Atletas!T284="Shuangdao E",817,IF(Atletas!T284="Shuangdao F",818,"")))))))))))))))))))</f>
        <v/>
      </c>
      <c r="CC293" s="50" t="str">
        <f>IF(Atletas!U284="","",IF(Atletas!X284&lt;&gt;"",10000,0)+IF(Atletas!B284="Feminino",1000,IF(Atletas!B284="Masculino",2000,""))+IF(OR(Atletas!U284="Taijijian Yang A",Atletas!U284="Taijijian Yang Standard A"),901,IF(OR(Atletas!U284="Taijijian Chen A", Atletas!U284="Taijijian Chen Standard A"),902,IF(Atletas!U284="Taijijian Sun A",903,IF(Atletas!U284="Taijijian Wu A",904,IF(Atletas!U284="Taijijian Wu-Hao A",905,IF(OR(Atletas!U284="Taijijian 32 A",Atletas!U284="Taijijian 42 A"),906,IF(OR(Atletas!U284="Taijijian Yang B",Atletas!U284="Taijijian Yang Standard B"),907,IF(OR(Atletas!U284="Taijijian Chen B", Atletas!U284="Taijijian Chen Standard B"),908,IF(Atletas!U284="Taijijian Sun B",909,IF(Atletas!U284="Taijijian Wu B",910,IF(Atletas!U284="Taijijian Wu-Hao B",911,IF(OR(Atletas!U284="Taijijian 32 B",Atletas!U284="Taijijian 42 B"),912,IF(OR(Atletas!U284="Taijijian Yang C",Atletas!U284="Taijijian Yang Standard C"),913,IF(OR(Atletas!U284="Taijijian Chen C", Atletas!U284="Taijijian Chen Standard C"),914,IF(Atletas!U284="Taijijian Sun C",915,IF(Atletas!U284="Taijijian Wu C",916,IF(Atletas!U284="Taijijian Wu-Hao C",917,IF(OR(Atletas!U284="Taijijian 32 C",Atletas!U284="Taijijian 42 C"),918,IF(OR(Atletas!U284="Taijijian Yang D",Atletas!U284="Taijijian Yang Standard D"),919,IF(OR(Atletas!U284="Taijijian Chen D", Atletas!U284="Taijijian Chen Standard D"),920,IF(Atletas!U284="Taijijian Sun D",921,IF(Atletas!U284="Taijijian Wu D",922,IF(Atletas!U284="Taijijian Wu-Hao D",923,IF(OR(Atletas!U284="Taijijian 32 D",Atletas!U284="Taijijian 42 D"),924,IF(OR(Atletas!U284="Taijijian Yang E",Atletas!U284="Taijijian Yang Standard E"),925,IF(OR(Atletas!U284="Taijijian Chen E", Atletas!U284="Taijijian Chen Standard E"),926,IF(Atletas!U284="Taijijian Sun E",927,IF(Atletas!U284="Taijijian Wu E",928,IF(Atletas!U284="Taijijian Wu-Hao E",929,IF(OR(Atletas!U284="Taijijian 32 E",Atletas!U284="Taijijian 42 E"),930,IF(OR(Atletas!U284="Taijijian Yang F",Atletas!U284="Taijijian Yang Standard F"),931,IF(OR(Atletas!U284="Taijijian Chen F", Atletas!U284="Taijijian Chen Standard F"),932,IF(Atletas!U284="Taijijian Sun F",933,IF(Atletas!U284="Taijijian Wu F",934,IF(Atletas!U284="Taijijian Wu-Hao F",935,IF(OR(Atletas!U284="Taijijian 32 F",Atletas!U284="Taijijian 42 F"),936,"")))))))))))))))))))))))))))))))))))))</f>
        <v/>
      </c>
      <c r="CD293" s="50" t="str">
        <f>IF(Atletas!V284="","",IF(Atletas!X284&lt;&gt;"",10000,0)+IF(Atletas!B284="Feminino",1000,IF(Atletas!B284="Masculino",2000,""))+IF(Atletas!V284="Taijidao A",937,IF(Atletas!V284="TaijiShanzi A",938,IF(Atletas!V284="Taijiqiang A",939,IF(Atletas!V284="Bagua de Arma A",940,IF(Atletas!V284="Xingyi de Arma A",941,IF(Atletas!V284="Taijidao B",942,IF(Atletas!V284="TaijiShanzi B",943,IF(Atletas!V284="Taijiqiang B",944,IF(Atletas!V284="Bagua de Arma B",945,IF(Atletas!V284="Xingyi de Arma B",946,IF(Atletas!V284="Taijidao C",947,IF(Atletas!V284="TaijiShanzi C",948,IF(Atletas!V284="Taijiqiang C",949,IF(Atletas!V284="Bagua de Arma C",950,IF(Atletas!V284="Xingyi de Arma C",951,IF(Atletas!V284="Taijidao D",952,IF(Atletas!V284="TaijiShanzi D",953,IF(Atletas!V284="Taijiqiang D",954,IF(Atletas!V284="Bagua de Arma D",955,IF(Atletas!V284="Xingyi de Arma D",956,IF(Atletas!V284="Taijidao E",957,IF(Atletas!V284="TaijiShanzi E",958,IF(Atletas!V284="Taijiqiang E",959,IF(Atletas!V284="Bagua de Arma E",960,IF(Atletas!V284="Xingyi de Arma E",961,IF(Atletas!V284="Taijidao F",962,IF(Atletas!V284="TaijiShanzi F",963,IF(Atletas!V284="Taijiqiang F",964,IF(Atletas!V284="Bagua de Arma F",965,IF(Atletas!V284="Xingyi de Arma F",966,"")))))))))))))))))))))))))))))))</f>
        <v/>
      </c>
      <c r="CE293" s="66" t="str">
        <f>IF(CF293&lt;&gt;"","Outra Arma Dupla D","")</f>
        <v/>
      </c>
      <c r="CF293" s="66" t="str">
        <f>IF(COUNTIF(BR:CD,1807)&gt;0,COUNTIF(BR:CD,1807),"")</f>
        <v/>
      </c>
      <c r="CG293" s="66" t="str">
        <f>IF(CH293&lt;&gt;"","Outra Arma Dupla D","")</f>
        <v/>
      </c>
      <c r="CH293" s="66" t="str">
        <f>IF(COUNTIF(BT:CF,2807)&gt;0,COUNTIF(BT:CF,2807),"")</f>
        <v/>
      </c>
      <c r="CI293" s="66" t="str">
        <f>IF(CJ294&lt;&gt;"","Taijijian Combinado A","")</f>
        <v/>
      </c>
      <c r="CJ293" s="66" t="str">
        <f>IF(COUNTIF(BR:CD,11905)&gt;0,COUNTIF(BR:CD,11905),"")</f>
        <v/>
      </c>
      <c r="CK293" s="66" t="str">
        <f>IF(CL293&lt;&gt;"","Taijijian Wu-Hao A","")</f>
        <v/>
      </c>
      <c r="CL293" s="66" t="str">
        <f>IF(COUNTIF(BR:CD,12905)&gt;0,COUNTIF(BR:CD,12905),"")</f>
        <v/>
      </c>
      <c r="CM293" s="50" t="str">
        <f xml:space="preserve"> IF(Atletas!W284="","",IF(Atletas!W284="Duilian de Mãos BC - Equipe 1",1,IF(Atletas!W284="Duilian de Mãos BC - Equipe 2",2,IF(Atletas!W284="Duilian de Armas BC - Equipe 1",3,IF(Atletas!W284="Duilian de Armas BC - Equipe 2",4,IF(Atletas!W284="Duilian de Mãos DE - Equipe 1",5,IF(Atletas!W284="Duilian de Mãos DE - Equipe 2",6,IF(Atletas!W284="Duilian de Armas DE - Equipe 1",7,IF(Atletas!W284="Duilian de Armas DE - Equipe 2",8,IF(Atletas!W284="Duilian de Tuishou - Equipe 1",9,IF(Atletas!W284="Duilian de Tuishou - Equipe 2",10,IF(Atletas!W284="Grupo Externo ABC - Equipe 1",11,IF(Atletas!W284="Grupo Externo ABC - Equipe 2",12,IF(Atletas!W284="Grupo Interno ABC - Equipe 1",13,IF(Atletas!W284="Grupo Interno ABC - Equipe 2",14,IF(Atletas!W284="Grupo Externo DEF - Equipe 1",15,IF(Atletas!W284="Grupo Externo DEF - Equipe 2",16,IF(Atletas!W284="Grupo Interno DEF - Equipe 1",17,IF(Atletas!W284="Grupo Interno DEF - Equipe 2",18,"")))))))))))))))))))</f>
        <v/>
      </c>
    </row>
    <row r="294" spans="2:91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 t="str">
        <f t="array" ref="Z294">IFERROR(INDEX(CE$7:CE$348,SMALL(IF(CE$7:CE$348&lt;&gt;"",ROW(CE$7:CE$348)-ROW(CE$7)+1),ROWS(CE$7:CE293))),"")</f>
        <v/>
      </c>
      <c r="AA294" s="3" t="str">
        <f t="array" ref="AA294">IFERROR(INDEX(CF$7:CF$348,SMALL(IF(CF$7:CF$348&lt;&gt;"",ROW(CF$7:CF$348)-ROW(CF$7)+1),ROWS(CF$7:CF293))),"")</f>
        <v/>
      </c>
      <c r="AB294" s="3" t="str">
        <f t="array" ref="AB294">IFERROR(INDEX(CG$7:CG$348,SMALL(IF(CG$7:CG$348&lt;&gt;"",ROW(CG$7:CG$348)-ROW(CG$7)+1),ROWS(CG$7:CG293))),"")</f>
        <v/>
      </c>
      <c r="AC294" s="3" t="str">
        <f t="array" ref="AC294">IFERROR(INDEX(CH$7:CH$348,SMALL(IF(CH$7:CH$348&lt;&gt;"",ROW(CH$7:CH$348)-ROW(CH$7)+1),ROWS(CH$7:CH293))),"")</f>
        <v/>
      </c>
      <c r="AD294" s="3" t="str">
        <f t="array" ref="AD294">IFERROR(INDEX(CI$7:CI$377,SMALL(IF(CI$7:CI$377&lt;&gt;"",ROW(CI$7:CI$377)-ROW(CI$7)+1),ROWS(CI$7:CI292))),"")</f>
        <v/>
      </c>
      <c r="AE294" s="3" t="str">
        <f t="array" ref="AE294">IFERROR(INDEX(CJ$7:CJ$378,SMALL(IF(CJ$7:CJ$378&lt;&gt;"",ROW(CJ$7:CJ$378)-ROW(CJ$7)+1),ROWS(CJ$7:CJ293))),"")</f>
        <v/>
      </c>
      <c r="AF294" s="3" t="str">
        <f t="array" ref="AF294">IFERROR(INDEX(CK$7:CK$378,SMALL(IF(CK$7:CK$378&lt;&gt;"",ROW(CK$7:CK$378)-ROW(CK$7)+1),ROWS(CK$7:CK293))),"")</f>
        <v/>
      </c>
      <c r="AG294" s="3" t="str">
        <f t="array" ref="AG294">IFERROR(INDEX(CL$7:CL$378,SMALL(IF(CL$7:CL$378&lt;&gt;"",ROW(CL$7:CL$378)-ROW(CL$7)+1),ROWS(CL$7:CL293))),"")</f>
        <v/>
      </c>
      <c r="AH294" s="3"/>
      <c r="AI294" s="3"/>
      <c r="AJ294" s="3"/>
      <c r="AK294" s="3"/>
      <c r="AL294" s="3"/>
      <c r="AM294" s="3"/>
      <c r="AN294" s="52" t="str">
        <f>IF(Atletas!D285="","",IF(Atletas!B285="Feminino",100,IF(Atletas!B285="Masculino",200,""))+(IF(Atletas!D285="Kids 30kg",1,IF(Atletas!D285="Kids 32kg",2, IF(Atletas!D285="Kids 34kg",3,IF(Atletas!D285="Kids 36kg",4,IF(Atletas!D285="Kids 39kg",5,IF(Atletas!D285="Kids 42kg",6,IF(Atletas!D285="Kids 45kg",7, IF(Atletas!D285="Infantil 39kg",8,IF(Atletas!D285="Infantil 42kg",9,IF(Atletas!D285="Infantil 45kg",10,IF(Atletas!D285="Infantil 48kg",11,IF(Atletas!D285="Infantil 52kg",12,IF(Atletas!D285="Infantil 56kg",13,IF(Atletas!D285="Infantil 60kg",14,IF(Atletas!D285="Juvenil 48kg",15,IF(Atletas!D285="Juvenil 52kg",16,IF(Atletas!D285="Juvenil 56kg",17,IF(Atletas!D285="Juvenil 60kg",18,IF(Atletas!D285="Juvenil 65kg",19,IF(Atletas!D285="Juvenil 70kg",20,IF(Atletas!D285="Juvenil 75kg",21,IF(Atletas!D285="Juvenil 80kg",22, IF(Atletas!D285="Juvenil 85kg",23,IF(Atletas!D285="Adulto 48kg",24,IF(Atletas!D285="Adulto 52kg",25,IF(Atletas!D285="Adulto 56kg",26,IF(Atletas!D285="Adulto 60kg",27,IF(Atletas!D285="Adulto 65kg",28,IF(Atletas!D285="Adulto 70kg",29,IF(Atletas!D285="Adulto 75kg",30,IF(Atletas!D285="Adulto 80kg",31,IF(Atletas!D285="Adulto 85kg",32,IF(Atletas!D285="Adulto 90kg",33,IF(Atletas!D285="Adulto 100kg",34, IF(Atletas!D285="Adulto +100kg",35,"")))))))))))))))))))))))))))))))))))))</f>
        <v/>
      </c>
      <c r="AS294" s="6" t="str">
        <f>IF(Atletas!E285="","",IF(Atletas!B285="Feminino",100,IF(Atletas!B285="Masculino",200,""))+(IF(Atletas!E285="Juvenil 44kg",1,IF(Atletas!E285="Juvenil 48kg",2,IF(Atletas!E285="Juvenil 52kg",3,IF(Atletas!E285="Juvenil 56kg",4,IF(Atletas!E285="Juvenil 60kg",5,IF(Atletas!E285="Juvenil 65kg",6,IF(Atletas!E285="Juvenil 70kg",7,IF(Atletas!E285="Juvenil 75kg",8,IF(Atletas!E285="Juvenil 82kg",9,IF(Atletas!E285="Juvenil 90kg",10,IF(Atletas!E285="Juvenil 100kg",11,IF(Atletas!E285="Adulto 48kg",12,IF(Atletas!E285="Adulto 52kg",13,IF(Atletas!E285="Adulto 56kg",14,IF(Atletas!E285="Adulto 60kg",15,IF(Atletas!E285="Adulto 65kg",16,IF(Atletas!E285="Adulto 70kg",17,IF(Atletas!E285="Adulto 75kg",18,IF(Atletas!E285="Adulto 82kg",19,IF(Atletas!E285="Adulto 90kg",20,IF(Atletas!E285="Adulto 100kg",21,IF(Atletas!E285="Adulto +100kg",22,""))))))))))))))))))))))))</f>
        <v/>
      </c>
      <c r="AX294" s="6" t="str">
        <f>IF(Atletas!F285="","",IF(Atletas!B285="Feminino",100,IF(Atletas!B285="Masculino",200,""))+(IF(Atletas!F285="Adulto 48kg",1,IF(Atletas!F285="Adulto 56kg",2,IF(Atletas!F285="Adulto 65kg",3,IF(Atletas!F285="Adulto 75kg",4,IF(Atletas!F285="Adulto +75kg",5,IF(Atletas!F285="Adulto 52kg",6,IF(Atletas!F285="Adulto 60kg",7,IF(Atletas!F285="Adulto 70kg",8,IF(Atletas!F285="Adulto 80kg",9,IF(Atletas!F285="Adulto 90kg",10,IF(Atletas!F285="Adulto +90kg",11,"")))))))))))))</f>
        <v/>
      </c>
      <c r="BC294" s="6" t="str">
        <f>IF(Atletas!G285="","",IF(Atletas!B285="Feminino",10,IF(Atletas!B285="Masculino",20,""))+(IF(Atletas!G285="Baduanjin A",1,IF(Atletas!G285="Baduanjin B",2))))</f>
        <v/>
      </c>
      <c r="BF294" s="52" t="str">
        <f>IF(Atletas!H285="","",IF(Atletas!B285="Feminino",100,IF(Atletas!B285="Masculino",200,""))+(IF(Atletas!H285="Changquan Mirim",1,IF(Atletas!H285="Nanquan Mirim",2,IF(Atletas!H285="Taijiquan Mirim",3,IF(Atletas!H285="Changquan Grupo C",4,IF(Atletas!H285="Nanquan Grupo C",5,IF(Atletas!H285="Taijiquan Grupo C",6,IF(Atletas!H285="Changquan Grupo B",7,IF(Atletas!H285="Nanquan Grupo B",8,IF(Atletas!H285="Taijiquan Grupo B",9,IF(Atletas!H285="Changquan Grupo A",10,IF(Atletas!H285="Nanquan Grupo A",11,IF(Atletas!H285="Taijiquan Grupo A",12,IF(Atletas!H285="Changquan Opcional",13,IF(Atletas!H285="Nanquan Opcional",14,IF(Atletas!H285="Taijiquan Opcional",15,IF(Atletas!H285="Changquan Adulto",16,IF(Atletas!H285="Nanquan Adulto",17,IF(Atletas!H285="Taijiquan Adulto",18,""))))))))))))))))))))</f>
        <v/>
      </c>
      <c r="BG294" s="52" t="str">
        <f>IF(Atletas!I285="","",IF(Atletas!B285="Feminino",100,IF(Atletas!B285="Masculino",200,""))+(IF(Atletas!I285="Daoshu Mirim",19,IF(Atletas!I285="Jianshu Mirim",20,IF(Atletas!I285="Nandao Mirim",21,IF(Atletas!I285="Taijijian Mirim",22,IF(Atletas!I285="Daoshu Grupo C",23,IF(Atletas!I285="Jianshu Grupo C",24,IF(Atletas!I285="Nandao Grupo C",25,IF(Atletas!I285="Taijijian Grupo C",26,IF(Atletas!I285="Daoshu Grupo B",27,IF(Atletas!I285="Jianshu Grupo B",28,IF(Atletas!I285="Nandao Grupo B",29,IF(Atletas!I285="Taijijian Grupo B",30,IF(Atletas!I285="Daoshu Grupo A",31,IF(Atletas!I285="Jianshu Grupo A",32,IF(Atletas!I285="Nandao Grupo A",33,IF(Atletas!I285="Taijijian Grupo A",34,IF(Atletas!I285="Daoshu Opcional",35,IF(Atletas!I285="Jianshu Opcional",36,IF(Atletas!I285="Nandao Opcional",37,IF(Atletas!I285="Taijijian Opcional",38,IF(Atletas!I285="Daoshu Adulto",39,IF(Atletas!I285="Jianshu Adulto",40,IF(Atletas!I285="Nandao Adulto",41,IF(Atletas!I285="Taijijian Adulto",42,""))))))))))))))))))))))))))</f>
        <v/>
      </c>
      <c r="BH294" s="52" t="str">
        <f>IF(Atletas!J285="","",IF(Atletas!B285="Feminino",100,IF(Atletas!B285="Masculino",200,""))+(IF(Atletas!J285="Gunshu Mirim",43,IF(Atletas!J285="Qiangshu Mirim",44,IF(Atletas!J285="Nangun Mirim",45,IF(Atletas!J285="Gunshu Grupo C",46,IF(Atletas!J285="Qiangshu Grupo C",47,IF(Atletas!J285="Nangun Grupo C",48,IF(Atletas!J285="Gunshu Grupo B",49,IF(Atletas!J285="Qiangshu Grupo B",50,IF(Atletas!J285="Nangun Grupo B",51,IF(Atletas!J285="Gunshu Grupo A",52,IF(Atletas!J285="Qiangshu Grupo A",53,IF(Atletas!J285="Nangun Grupo A",54,IF(Atletas!J285="Gunshu Opcional",55,IF(Atletas!J285="Qiangshu Opcional",56,IF(Atletas!J285="Nangun Opcional",57,IF(Atletas!J285="Gunshu Adulto",58,IF(Atletas!J285="Qiangshu Adulto",59,IF(Atletas!J285="Nangun Adulto",60,IF(Atletas!J285="Taijishan Grupo B",61,IF(Atletas!J285="Taijishan Grupo A",62,""))))))))))))))))))))))</f>
        <v/>
      </c>
      <c r="BM294" s="50" t="str">
        <f>IF(Atletas!K285="","",IF(Atletas!B285="Feminino",100,IF(Atletas!B285="Masculino",200,""))+(IF(Atletas!K285="Equipe 1 Grupo B",1,IF(Atletas!K285="Equipe 2 Grupo B",2,IF(Atletas!K285="Equipe 1 Grupo A",3,IF(Atletas!K285="Equipe 2 Grupo A",4,IF(Atletas!K285="Equipe 1 Adulto",5,IF(Atletas!K285="Equipe 2 Adulto",6,""))))))))</f>
        <v/>
      </c>
      <c r="BR294" s="50" t="str">
        <f>IF(Atletas!L285="","",IF(Atletas!X285&lt;&gt;"",10000,0)+(IF(Atletas!B285="Feminino",1000,IF(Atletas!B285="Masculino",2000,""))+IF(Atletas!L285="Choylayfut A",1,IF(Atletas!L285="Hunggar A",2,IF(Atletas!L285="Wuzuquan A",3,IF(Atletas!L285="Wingchun A",4,IF(Atletas!L285="Outra Mão de Sul A",5,IF(Atletas!L285="Choylayfut B",6,IF(Atletas!L285="Hunggar B",7,IF(Atletas!L285="Wuzuquan B",8,IF(Atletas!L285="Wingchun B",9,IF(Atletas!L285="Outra Mão de Sul B",10,IF(Atletas!L285="Choylayfut C",11,IF(Atletas!L285="Hunggar C",12,IF(Atletas!L285="Wuzuquan C",13,IF(Atletas!L285="Wingchun C",14,IF(Atletas!L285="Outra Mão de Sul C",15,IF(Atletas!L285="Choylayfut D",16,IF(Atletas!L285="Hunggar D",17,IF(Atletas!L285="Wuzuquan D",18,IF(Atletas!L285="Wingchun D",19,IF(Atletas!L285="Outra Mão de Sul D",20,IF(Atletas!L285="Choylayfut E",21,IF(Atletas!L285="Hunggar E",22,IF(Atletas!L285="Wuzuquan E",23,IF(Atletas!L285="Wingchun E",24,IF(Atletas!L285="Outra Mão de Sul E",25,IF(Atletas!L285="Choylayfut F",26,IF(Atletas!L285="Hunggar F",27,IF(Atletas!L285="Wuzuquan F",28,IF(Atletas!L285="Wingchun F",29,IF(Atletas!L285="Outra Mão de Sul F",30,IF(Atletas!L285="Dishuquan A",31,IF(Atletas!L285="Dishuquan B",32,IF(Atletas!L285="Dishuquan C",33,IF(Atletas!L285="Dishuquan D",34,IF(Atletas!L285="Dishuquan E",35,IF(Atletas!L285="Dishuquan F",36,""))))))))))))))))))))))))))))))))))))))</f>
        <v/>
      </c>
      <c r="BS294" s="50" t="str">
        <f>IF(Atletas!M285="","",IF(Atletas!X285&lt;&gt;"",10000,0)+(IF(Atletas!B285="Feminino",1000,IF(Atletas!B285="Masculino",2000,""))+(IF(Atletas!M285="Chaquan A",101,IF(Atletas!M285="Emeiquan A",102,IF(Atletas!M285="Fanziquan A",103,IF(Atletas!M285="Huaquan A",104,IF(Atletas!M285="Hongquan A",105,IF(Atletas!M285="Paoquan A",106,IF(Atletas!M285="Piguaquan A",107,IF(Atletas!M285="Shaolinquan A",108,IF(Atletas!M285="Tanglangquan A",109,IF(Atletas!M285="Yingzhaoquan A",110,IF(Atletas!M285="Tongbeiquan A",111,IF(Atletas!M285="Wudangquan A",112,IF(Atletas!M285="Outros Estilos A",113,IF(Atletas!M285="Chaquan B",114,IF(Atletas!M285="Emeiquan B",115,IF(Atletas!M285="Fanziquan B",116,IF(Atletas!M285="Huaquan B",117,IF(Atletas!M285="Hongquan B",118,IF(Atletas!M285="Paoquan B",119,IF(Atletas!M285="Piguaquan B",120,IF(Atletas!M285="Shaolinquan B",121,IF(Atletas!M285="Tanglangquan B",122,IF(Atletas!M285="Yingzhaoquan B",123,IF(Atletas!M285="Tongbeiquan B",124,IF(Atletas!M285="Wudangquan B",125,IF(Atletas!M285="Outros Estilos B",126,IF(Atletas!M285="Chaquan C",127,IF(Atletas!M285="Emeiquan C",128,IF(Atletas!M285="Fanziquan C",129,IF(Atletas!M285="Huaquan C",130,IF(Atletas!M285="Hongquan C",131,IF(Atletas!M285="Paoquan C",132,IF(Atletas!M285="Piguaquan C",133,IF(Atletas!M285="Shaolinquan C",134,IF(Atletas!M285="Tanglangquan C",135,IF(Atletas!M285="Yingzhaoquan C",136,IF(Atletas!M285="Tongbeiquan C",137,IF(Atletas!M285="Wudangquan C",138,IF(Atletas!M285="Outros Estilos C",139,0))))))))))))))))))))))))))))))))))))))))))</f>
        <v/>
      </c>
      <c r="BT294" s="50" t="str">
        <f>IF(Atletas!M285="","",IF(Atletas!X285&lt;&gt;"",10000,0)+(IF(Atletas!B285="Feminino",1000,IF(Atletas!B285="Masculino",2000,""))+(IF(Atletas!M285="Chaquan D",140,IF(Atletas!M285="Emeiquan D",141,IF(Atletas!M285="Fanziquan D",142,IF(Atletas!M285="Huaquan D",143,IF(Atletas!M285="Hongquan D",144,IF(Atletas!M285="Paoquan D",145,IF(Atletas!M285="Piguaquan D",146,IF(Atletas!M285="Shaolinquan D",147,IF(Atletas!M285="Tanglangquan D",148,IF(Atletas!M285="Yingzhaoquan D",149,IF(Atletas!M285="Tongbeiquan D",150,IF(Atletas!M285="Wudangquan D",151,IF(Atletas!M285="Outros Estilos D",152,IF(Atletas!M285="Chaquan E",153,IF(Atletas!M285="Emeiquan E",154,IF(Atletas!M285="Fanziquan E",155,IF(Atletas!M285="Huaquan E",156,IF(Atletas!M285="Hongquan E",157,IF(Atletas!M285="Paoquan E",158,IF(Atletas!M285="Piguaquan E",159,IF(Atletas!M285="Shaolinquan E",160,IF(Atletas!M285="Tanglangquan E",161,IF(Atletas!M285="Yingzhaoquan E",162,IF(Atletas!M285="Tongbeiquan E",163,IF(Atletas!M285="Wudangquan E",164,IF(Atletas!M285="Outros Estilos E",165,IF(Atletas!M285="Chaquan F",166,IF(Atletas!M285="Emeiquan F",167,IF(Atletas!M285="Fanziquan F",168,IF(Atletas!M285="Huaquan F",169,IF(Atletas!M285="Hongquan F",170,IF(Atletas!M285="Paoquan F",171,IF(Atletas!M285="Piguaquan F",172,IF(Atletas!M285="Shaolinquan F",173,IF(Atletas!M285="Tanglangquan F",174,IF(Atletas!M285="Yingzhaoquan F",175,IF(Atletas!M285="Tongbeiquan F",176,IF(Atletas!M285="Wudangquan F",177,IF(Atletas!M285="Outros Estilos F",178,0))))))))))))))))))))))))))))))))))))))))))</f>
        <v/>
      </c>
      <c r="BU294" s="50" t="str">
        <f>IF(Atletas!N285="","",IF(Atletas!X285&lt;&gt;"",10000,0)+(IF(Atletas!B285="Feminino",1000,IF(Atletas!B285="Masculino",2000,""))+(IF(Atletas!N285="Ditangquan A",201,IF(Atletas!N285="Houquan A",202,IF(Atletas!N285="Zuiquan A",203,IF(Atletas!N285="Ditangquan B",204,IF(Atletas!N285="Houquan B",205,IF(Atletas!N285="Zuiquan B",206,IF(Atletas!N285="Ditangquan C",207,IF(Atletas!N285="Houquan C",208,IF(Atletas!N285="Zuiquan C",209,IF(Atletas!N285="Ditangquan D",210,IF(Atletas!N285="Houquan D",211,IF(Atletas!N285="Zuiquan D",212,IF(Atletas!N285="Ditangquan E",213,IF(Atletas!N285="Houquan E",214,IF(Atletas!N285="Zuiquan E",215,IF(Atletas!N285="Ditangquan F",216,IF(Atletas!N285="Houquan F",217,IF(Atletas!N285="Zuiquan F",218,"")))))))))))))))))))))</f>
        <v/>
      </c>
      <c r="BV294" s="50" t="str">
        <f>IF(Atletas!O285="","",IF(Atletas!X285&lt;&gt;"",10000,0)+IF(Atletas!B285="Feminino",1000,IF(Atletas!B285="Masculino",2000,""))+IF(Atletas!O285="Yang A",301,IF(Atletas!O285="Chen A",302,IF(Atletas!O285="Sun A",303,IF(Atletas!O285="Wu A",304,IF(Atletas!O285="Wu-Hao A",305,IF(Atletas!O285="Outro Taijiquan A",306,IF(Atletas!O285="Yang B",307,IF(Atletas!O285="Chen B",308,IF(Atletas!O285="Sun B",309,IF(Atletas!O285="Wu B",310,IF(Atletas!O285="Wu-Hao B",311,IF(Atletas!O285="Outro Taijiquan B",312,IF(Atletas!O285="Yang C",313,IF(Atletas!O285="Chen C",314,IF(Atletas!O285="Sun C",315,IF(Atletas!O285="Wu C",316,IF(Atletas!O285="Wu-Hao C",317,IF(Atletas!O285="Outro Taijiquan C",318,IF(Atletas!O285="Yang D",319,IF(Atletas!O285="Chen D",320,IF(Atletas!O285="Sun D",321,IF(Atletas!O285="Wu D",322,IF(Atletas!O285="Wu-Hao D",323,IF(Atletas!O285="Outro Taijiquan D",324,IF(Atletas!O285="Yang E",325,IF(Atletas!O285="Chen E",326,IF(Atletas!O285="Sun E",327,IF(Atletas!O285="Wu E",328,IF(Atletas!O285="Wu-Hao E",329,IF(Atletas!O285="Outro Taijiquan E",330,IF(Atletas!O285="Yang F",331,IF(Atletas!O285="Chen F",332,IF(Atletas!O285="Sun F",333,IF(Atletas!O285="Wu F",334,IF(Atletas!O285="Wu-Hao F",335,IF(Atletas!O285="Outro Taijiquan F",336,"")))))))))))))))))))))))))))))))))))))</f>
        <v/>
      </c>
      <c r="BW294" s="50" t="str">
        <f>IF(Atletas!P285="","",IF(Atletas!X285&lt;&gt;"",10000,0)+IF(Atletas!B285="Feminino",1000,IF(Atletas!B285="Masculino",2000,""))+IF(OR(Atletas!P285="Yang 26 A",Atletas!P285="Yang 40 A"),401,IF(OR(Atletas!P285="Chen 25 A",Atletas!P285="Chen 36 A",Atletas!P285="Chen 56 A"),402,IF(Atletas!P285="Sun 73 A",403,IF(Atletas!P285="Wu 45 A",404,IF(Atletas!P285="Wu-Hao 46 A",405,IF(OR(Atletas!P285="Taijiquan 16 A",Atletas!P285="Taijiquan 24 A",Atletas!P285="Taijiquan 32 A",Atletas!P285="Taijiquan 42 A"),406,IF(OR(Atletas!P285="Yang 26 B",Atletas!P285="Yang 40 B"),407,IF(OR(Atletas!P285="Chen 25 B",Atletas!P285="Chen 36 B",Atletas!P285="Chen 56 B"),408,IF(Atletas!P285="Sun 73 B",409,IF(Atletas!P285="Wu 45 B",410,IF(Atletas!P285="Wu-Hao 46 B",411,IF(OR(Atletas!P285="Taijiquan 16 B",Atletas!P285="Taijiquan 24 B",Atletas!P285="Taijiquan 32 B",Atletas!P285="Taijiquan 42 B"),412,IF(OR(Atletas!P285="Yang 26 C",Atletas!P285="Yang 40 C"),413,IF(OR(Atletas!P285="Chen 25 C",Atletas!P285="Chen 36 C",Atletas!P285="Chen 56 C"),414,IF(Atletas!P285="Sun 73 C",415,IF(Atletas!P285="Wu 45 C",416,IF(Atletas!P285="Wu-Hao 46 C",417,IF(OR(Atletas!P285="Taijiquan 16 C",Atletas!P285="Taijiquan 24 C",Atletas!P285="Taijiquan 32 C",Atletas!P285="Taijiquan 42 C"),418,0)))))))))))))))))))</f>
        <v/>
      </c>
      <c r="BX294" s="50" t="str">
        <f>IF(Atletas!P285="","",IF(Atletas!X285&lt;&gt;"",10000,0)+IF(Atletas!B285="Feminino",1000,IF(Atletas!B285="Masculino",2000,""))+IF(OR(Atletas!P285="Yang 26 D",Atletas!P285="Yang 40 D"),419,IF(OR(Atletas!P285="Chen 25 D",Atletas!P285="Chen 36 D",Atletas!P285="Chen 56 D"),420,IF(Atletas!P285="Sun 73 D",421,IF(Atletas!P285="Wu 45 D",422,IF(Atletas!P285="Wu-Hao 46 D",423,IF(OR(Atletas!P285="Taijiquan 16 D",Atletas!P285="Taijiquan 24 D",Atletas!P285="Taijiquan 32 D",Atletas!P285="Taijiquan 42 D"),424,IF(OR(Atletas!P285="Yang 26 E",Atletas!P285="Yang 40 E"),425,IF(OR(Atletas!P285="Chen 25 E",Atletas!P285="Chen 36 E",Atletas!P285="Chen 56 E"),426,IF(Atletas!P285="Sun 73 E",427,IF(Atletas!P285="Wu 45 E",428,IF(Atletas!P285="Wu-Hao 46 E",429,IF(OR(Atletas!P285="Taijiquan 16 E",Atletas!P285="Taijiquan 24 E",Atletas!P285="Taijiquan 32 E",Atletas!P285="Taijiquan 42 E"),430,IF(OR(Atletas!P285="Yang 26 F",Atletas!P285="Yang 40 F"),431,IF(OR(Atletas!P285="Chen 25 F",Atletas!P285="Chen 36 F",Atletas!P285="Chen 56 F"),432,IF(Atletas!P285="Sun 73 F",433,IF(Atletas!P285="Wu 45 F",434,IF(Atletas!P285="Wu-Hao 46 F",435,IF(OR(Atletas!P285="Taijiquan 16 F",Atletas!P285="Taijiquan 24 F",Atletas!P285="Taijiquan 32 F",Atletas!P285="Taijiquan 42 F"),436,0)))))))))))))))))))</f>
        <v/>
      </c>
      <c r="BY294" s="50" t="str">
        <f>IF(Atletas!Q285="","",IF(Atletas!X285&lt;&gt;"",10000,0)+IF(Atletas!B285="Feminino",1000,IF(Atletas!B285="Masculino",2000,""))+IF(Atletas!Q285="Xingyiquan A",501,IF(Atletas!Q285="Baguazhang A",502,IF(Atletas!Q285="Outro Estilo Interno A",503,IF(Atletas!Q285="Xingyiquan B",504,IF(Atletas!Q285="Baguazhang B",505,IF(Atletas!Q285="Outro Estilo Interno B",506,IF(Atletas!Q285="Xingyiquan C",507,IF(Atletas!Q285="Baguazhang C",508,IF(Atletas!Q285="Outro Estilo Interno C",509,IF(Atletas!Q285="Xingyiquan D",510,IF(Atletas!Q285="Baguazhang D",511,IF(Atletas!Q285="Outro Estilo Interno D",512,IF(Atletas!Q285="Xingyiquan E",513,IF(Atletas!Q285="Baguazhang E",514,IF(Atletas!Q285="Outro Estilo Interno E",515,IF(Atletas!Q285="Xingyiquan F",516,IF(Atletas!Q285="Baguazhang F",517,IF(Atletas!Q285="Outro Estilo Interno F",518, "")))))))))))))))))))</f>
        <v/>
      </c>
      <c r="BZ294" s="50" t="str">
        <f>IF(Atletas!R285="","",IF(Atletas!X285&lt;&gt;"",10000,0)+IF(Atletas!B285="Feminino",1000,IF(Atletas!B285="Masculino",2000,""))+IF(Atletas!R285="Dao A",601,IF(Atletas!R285="Jian A",602,IF(Atletas!R285="Bishou A",603,IF(Atletas!R285="Shanzi A",604,IF(Atletas!R285="Outra Arma Curta A",605,IF(Atletas!R285="Dao B",606,IF(Atletas!R285="Jian B",607,IF(Atletas!R285="Bishou B",608,IF(Atletas!R285="Shanzi B",609,IF(Atletas!R285="Outra Arma Curta B",610,IF(Atletas!R285="Dao C",611,IF(Atletas!R285="Jian C",612,IF(Atletas!R285="Bishou C",613,IF(Atletas!R285="Shanzi C",614,IF(Atletas!R285="Outra Arma Curta C",615,IF(Atletas!R285="Dao D",616,IF(Atletas!R285="Jian D",617,IF(Atletas!R285="Bishou D",618,IF(Atletas!R285="Shanzi D",619,IF(Atletas!R285="Outra Arma Curta D",620,IF(Atletas!R285="Dao E",621,IF(Atletas!R285="Jian E",622,IF(Atletas!R285="Bishou E",623,IF(Atletas!R285="Shanzi E",624,IF(Atletas!R285="Outra Arma Curta E",625,IF(Atletas!R285="Dao F",626,IF(Atletas!R285="Jian F",627,IF(Atletas!R285="Bishou F",628,IF(Atletas!R285="Shanzi F",629,IF(Atletas!R285="Outra Arma Curta F",630, "")))))))))))))))))))))))))))))))</f>
        <v/>
      </c>
      <c r="CA294" s="50" t="str">
        <f>IF(Atletas!S285="","",IF(Atletas!X285&lt;&gt;"",10000,0)+IF(Atletas!B285="Feminino",1000,IF(Atletas!B285="Masculino",2000,""))+IF(Atletas!S285="Gun A",701,IF(Atletas!S285="Qiang A",702,IF(Atletas!S285="Pudao / Guandao A",703,IF(Atletas!S285="Outra Arma Longa A",704,IF(Atletas!S285="Gun B",705,IF(Atletas!S285="Qiang B",706,IF(Atletas!S285="Pudao / Guandao B",707,IF(Atletas!S285="Outra Arma Longa B",708,IF(Atletas!S285="Gun C",709,IF(Atletas!S285="Qiang C",710,IF(Atletas!S285="Pudao / Guandao C",711,IF(Atletas!S285="Outra Arma Longa C",712,IF(Atletas!S285="Gun D",713,IF(Atletas!S285="Qiang D",714,IF(Atletas!S285="Pudao / Guandao D",715,IF(Atletas!S285="Outra Arma Longa D",716,IF(Atletas!S285="Gun E",717,IF(Atletas!S285="Qiang E",718,IF(Atletas!S285="Pudao / Guandao E",719,IF(Atletas!S285="Outra Arma Longa E",720,IF(Atletas!S285="Gun F",721,IF(Atletas!S285="Qiang F",722,IF(Atletas!S285="Pudao / Guandao F",723,IF(Atletas!S285="Outra Arma Longa F",724,"")))))))))))))))))))))))))</f>
        <v/>
      </c>
      <c r="CB294" s="50" t="str">
        <f>IF(Atletas!T285="","",IF(Atletas!X285&lt;&gt;"",10000,0)+IF(Atletas!B285="Feminino",1000,IF(Atletas!B285="Masculino",2000,""))+IF(Atletas!T285="Outra Arma Dupla A",801,IF(Atletas!T285="Arma Maleável A",802,IF(Atletas!T285="Outra Arma Dupla B",803,IF(Atletas!T285="Arma Maleável B",804,IF(Atletas!T285="Outra Arma Dupla C",805,IF(Atletas!T285="Arma Maleável C",806,IF(Atletas!T285="Outra Arma Dupla D",807,IF(Atletas!T285="Arma Maleável D",808,IF(Atletas!T285="Outra Arma Dupla E",809,IF(Atletas!T285="Arma Maleável E",810,IF(Atletas!T285="Outra Arma Dupla F",811,IF(Atletas!T285="Arma Maleável F",812,IF(Atletas!T285="Shuangdao A",813,IF(Atletas!T285="Shuangdao B",814,IF(Atletas!T285="Shuangdao C",815,IF(Atletas!T285="Shuangdao D",816,IF(Atletas!T285="Shuangdao E",817,IF(Atletas!T285="Shuangdao F",818,"")))))))))))))))))))</f>
        <v/>
      </c>
      <c r="CC294" s="50" t="str">
        <f>IF(Atletas!U285="","",IF(Atletas!X285&lt;&gt;"",10000,0)+IF(Atletas!B285="Feminino",1000,IF(Atletas!B285="Masculino",2000,""))+IF(OR(Atletas!U285="Taijijian Yang A",Atletas!U285="Taijijian Yang Standard A"),901,IF(OR(Atletas!U285="Taijijian Chen A", Atletas!U285="Taijijian Chen Standard A"),902,IF(Atletas!U285="Taijijian Sun A",903,IF(Atletas!U285="Taijijian Wu A",904,IF(Atletas!U285="Taijijian Wu-Hao A",905,IF(OR(Atletas!U285="Taijijian 32 A",Atletas!U285="Taijijian 42 A"),906,IF(OR(Atletas!U285="Taijijian Yang B",Atletas!U285="Taijijian Yang Standard B"),907,IF(OR(Atletas!U285="Taijijian Chen B", Atletas!U285="Taijijian Chen Standard B"),908,IF(Atletas!U285="Taijijian Sun B",909,IF(Atletas!U285="Taijijian Wu B",910,IF(Atletas!U285="Taijijian Wu-Hao B",911,IF(OR(Atletas!U285="Taijijian 32 B",Atletas!U285="Taijijian 42 B"),912,IF(OR(Atletas!U285="Taijijian Yang C",Atletas!U285="Taijijian Yang Standard C"),913,IF(OR(Atletas!U285="Taijijian Chen C", Atletas!U285="Taijijian Chen Standard C"),914,IF(Atletas!U285="Taijijian Sun C",915,IF(Atletas!U285="Taijijian Wu C",916,IF(Atletas!U285="Taijijian Wu-Hao C",917,IF(OR(Atletas!U285="Taijijian 32 C",Atletas!U285="Taijijian 42 C"),918,IF(OR(Atletas!U285="Taijijian Yang D",Atletas!U285="Taijijian Yang Standard D"),919,IF(OR(Atletas!U285="Taijijian Chen D", Atletas!U285="Taijijian Chen Standard D"),920,IF(Atletas!U285="Taijijian Sun D",921,IF(Atletas!U285="Taijijian Wu D",922,IF(Atletas!U285="Taijijian Wu-Hao D",923,IF(OR(Atletas!U285="Taijijian 32 D",Atletas!U285="Taijijian 42 D"),924,IF(OR(Atletas!U285="Taijijian Yang E",Atletas!U285="Taijijian Yang Standard E"),925,IF(OR(Atletas!U285="Taijijian Chen E", Atletas!U285="Taijijian Chen Standard E"),926,IF(Atletas!U285="Taijijian Sun E",927,IF(Atletas!U285="Taijijian Wu E",928,IF(Atletas!U285="Taijijian Wu-Hao E",929,IF(OR(Atletas!U285="Taijijian 32 E",Atletas!U285="Taijijian 42 E"),930,IF(OR(Atletas!U285="Taijijian Yang F",Atletas!U285="Taijijian Yang Standard F"),931,IF(OR(Atletas!U285="Taijijian Chen F", Atletas!U285="Taijijian Chen Standard F"),932,IF(Atletas!U285="Taijijian Sun F",933,IF(Atletas!U285="Taijijian Wu F",934,IF(Atletas!U285="Taijijian Wu-Hao F",935,IF(OR(Atletas!U285="Taijijian 32 F",Atletas!U285="Taijijian 42 F"),936,"")))))))))))))))))))))))))))))))))))))</f>
        <v/>
      </c>
      <c r="CD294" s="50" t="str">
        <f>IF(Atletas!V285="","",IF(Atletas!X285&lt;&gt;"",10000,0)+IF(Atletas!B285="Feminino",1000,IF(Atletas!B285="Masculino",2000,""))+IF(Atletas!V285="Taijidao A",937,IF(Atletas!V285="TaijiShanzi A",938,IF(Atletas!V285="Taijiqiang A",939,IF(Atletas!V285="Bagua de Arma A",940,IF(Atletas!V285="Xingyi de Arma A",941,IF(Atletas!V285="Taijidao B",942,IF(Atletas!V285="TaijiShanzi B",943,IF(Atletas!V285="Taijiqiang B",944,IF(Atletas!V285="Bagua de Arma B",945,IF(Atletas!V285="Xingyi de Arma B",946,IF(Atletas!V285="Taijidao C",947,IF(Atletas!V285="TaijiShanzi C",948,IF(Atletas!V285="Taijiqiang C",949,IF(Atletas!V285="Bagua de Arma C",950,IF(Atletas!V285="Xingyi de Arma C",951,IF(Atletas!V285="Taijidao D",952,IF(Atletas!V285="TaijiShanzi D",953,IF(Atletas!V285="Taijiqiang D",954,IF(Atletas!V285="Bagua de Arma D",955,IF(Atletas!V285="Xingyi de Arma D",956,IF(Atletas!V285="Taijidao E",957,IF(Atletas!V285="TaijiShanzi E",958,IF(Atletas!V285="Taijiqiang E",959,IF(Atletas!V285="Bagua de Arma E",960,IF(Atletas!V285="Xingyi de Arma E",961,IF(Atletas!V285="Taijidao F",962,IF(Atletas!V285="TaijiShanzi F",963,IF(Atletas!V285="Taijiqiang F",964,IF(Atletas!V285="Bagua de Arma F",965,IF(Atletas!V285="Xingyi de Arma F",966,"")))))))))))))))))))))))))))))))</f>
        <v/>
      </c>
      <c r="CE294" s="66" t="str">
        <f>IF(CF294&lt;&gt;"","Outra Arma Maleável D","")</f>
        <v/>
      </c>
      <c r="CF294" s="66" t="str">
        <f>IF(COUNTIF(BR:CD,1808)&gt;0,COUNTIF(BR:CD,1808),"")</f>
        <v/>
      </c>
      <c r="CG294" s="66" t="str">
        <f>IF(CH294&lt;&gt;"","Outra Arma Maleável D","")</f>
        <v/>
      </c>
      <c r="CH294" s="66" t="str">
        <f>IF(COUNTIF(BT:CF,2808)&gt;0,COUNTIF(BT:CF,2808),"")</f>
        <v/>
      </c>
      <c r="CI294" s="66" t="str">
        <f>IF(CJ295&lt;&gt;"","Taijijian Yang B","")</f>
        <v/>
      </c>
      <c r="CJ294" s="66" t="str">
        <f>IF(COUNTIF(BR:CD,11906)&gt;0,COUNTIF(BR:CD,11906),"")</f>
        <v/>
      </c>
      <c r="CK294" s="66" t="str">
        <f>IF(CL294&lt;&gt;"","Taijijian Combinado A","")</f>
        <v/>
      </c>
      <c r="CL294" s="66" t="str">
        <f>IF(COUNTIF(BR:CD,12906)&gt;0,COUNTIF(BR:CD,12906),"")</f>
        <v/>
      </c>
      <c r="CM294" s="50" t="str">
        <f xml:space="preserve"> IF(Atletas!W285="","",IF(Atletas!W285="Duilian de Mãos BC - Equipe 1",1,IF(Atletas!W285="Duilian de Mãos BC - Equipe 2",2,IF(Atletas!W285="Duilian de Armas BC - Equipe 1",3,IF(Atletas!W285="Duilian de Armas BC - Equipe 2",4,IF(Atletas!W285="Duilian de Mãos DE - Equipe 1",5,IF(Atletas!W285="Duilian de Mãos DE - Equipe 2",6,IF(Atletas!W285="Duilian de Armas DE - Equipe 1",7,IF(Atletas!W285="Duilian de Armas DE - Equipe 2",8,IF(Atletas!W285="Duilian de Tuishou - Equipe 1",9,IF(Atletas!W285="Duilian de Tuishou - Equipe 2",10,IF(Atletas!W285="Grupo Externo ABC - Equipe 1",11,IF(Atletas!W285="Grupo Externo ABC - Equipe 2",12,IF(Atletas!W285="Grupo Interno ABC - Equipe 1",13,IF(Atletas!W285="Grupo Interno ABC - Equipe 2",14,IF(Atletas!W285="Grupo Externo DEF - Equipe 1",15,IF(Atletas!W285="Grupo Externo DEF - Equipe 2",16,IF(Atletas!W285="Grupo Interno DEF - Equipe 1",17,IF(Atletas!W285="Grupo Interno DEF - Equipe 2",18,"")))))))))))))))))))</f>
        <v/>
      </c>
    </row>
    <row r="295" spans="2:91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 t="str">
        <f t="array" ref="Z295">IFERROR(INDEX(CE$7:CE$348,SMALL(IF(CE$7:CE$348&lt;&gt;"",ROW(CE$7:CE$348)-ROW(CE$7)+1),ROWS(CE$7:CE294))),"")</f>
        <v/>
      </c>
      <c r="AA295" s="3" t="str">
        <f t="array" ref="AA295">IFERROR(INDEX(CF$7:CF$348,SMALL(IF(CF$7:CF$348&lt;&gt;"",ROW(CF$7:CF$348)-ROW(CF$7)+1),ROWS(CF$7:CF294))),"")</f>
        <v/>
      </c>
      <c r="AB295" s="3" t="str">
        <f t="array" ref="AB295">IFERROR(INDEX(CG$7:CG$348,SMALL(IF(CG$7:CG$348&lt;&gt;"",ROW(CG$7:CG$348)-ROW(CG$7)+1),ROWS(CG$7:CG294))),"")</f>
        <v/>
      </c>
      <c r="AC295" s="3" t="str">
        <f t="array" ref="AC295">IFERROR(INDEX(CH$7:CH$348,SMALL(IF(CH$7:CH$348&lt;&gt;"",ROW(CH$7:CH$348)-ROW(CH$7)+1),ROWS(CH$7:CH294))),"")</f>
        <v/>
      </c>
      <c r="AD295" s="3" t="str">
        <f t="array" ref="AD295">IFERROR(INDEX(CI$7:CI$377,SMALL(IF(CI$7:CI$377&lt;&gt;"",ROW(CI$7:CI$377)-ROW(CI$7)+1),ROWS(CI$7:CI293))),"")</f>
        <v/>
      </c>
      <c r="AE295" s="3" t="str">
        <f t="array" ref="AE295">IFERROR(INDEX(CJ$7:CJ$378,SMALL(IF(CJ$7:CJ$378&lt;&gt;"",ROW(CJ$7:CJ$378)-ROW(CJ$7)+1),ROWS(CJ$7:CJ294))),"")</f>
        <v/>
      </c>
      <c r="AF295" s="3" t="str">
        <f t="array" ref="AF295">IFERROR(INDEX(CK$7:CK$378,SMALL(IF(CK$7:CK$378&lt;&gt;"",ROW(CK$7:CK$378)-ROW(CK$7)+1),ROWS(CK$7:CK294))),"")</f>
        <v/>
      </c>
      <c r="AG295" s="3" t="str">
        <f t="array" ref="AG295">IFERROR(INDEX(CL$7:CL$378,SMALL(IF(CL$7:CL$378&lt;&gt;"",ROW(CL$7:CL$378)-ROW(CL$7)+1),ROWS(CL$7:CL294))),"")</f>
        <v/>
      </c>
      <c r="AH295" s="3"/>
      <c r="AI295" s="3"/>
      <c r="AJ295" s="3"/>
      <c r="AK295" s="3"/>
      <c r="AL295" s="3"/>
      <c r="AM295" s="3"/>
      <c r="AN295" s="52" t="str">
        <f>IF(Atletas!D286="","",IF(Atletas!B286="Feminino",100,IF(Atletas!B286="Masculino",200,""))+(IF(Atletas!D286="Kids 30kg",1,IF(Atletas!D286="Kids 32kg",2, IF(Atletas!D286="Kids 34kg",3,IF(Atletas!D286="Kids 36kg",4,IF(Atletas!D286="Kids 39kg",5,IF(Atletas!D286="Kids 42kg",6,IF(Atletas!D286="Kids 45kg",7, IF(Atletas!D286="Infantil 39kg",8,IF(Atletas!D286="Infantil 42kg",9,IF(Atletas!D286="Infantil 45kg",10,IF(Atletas!D286="Infantil 48kg",11,IF(Atletas!D286="Infantil 52kg",12,IF(Atletas!D286="Infantil 56kg",13,IF(Atletas!D286="Infantil 60kg",14,IF(Atletas!D286="Juvenil 48kg",15,IF(Atletas!D286="Juvenil 52kg",16,IF(Atletas!D286="Juvenil 56kg",17,IF(Atletas!D286="Juvenil 60kg",18,IF(Atletas!D286="Juvenil 65kg",19,IF(Atletas!D286="Juvenil 70kg",20,IF(Atletas!D286="Juvenil 75kg",21,IF(Atletas!D286="Juvenil 80kg",22, IF(Atletas!D286="Juvenil 85kg",23,IF(Atletas!D286="Adulto 48kg",24,IF(Atletas!D286="Adulto 52kg",25,IF(Atletas!D286="Adulto 56kg",26,IF(Atletas!D286="Adulto 60kg",27,IF(Atletas!D286="Adulto 65kg",28,IF(Atletas!D286="Adulto 70kg",29,IF(Atletas!D286="Adulto 75kg",30,IF(Atletas!D286="Adulto 80kg",31,IF(Atletas!D286="Adulto 85kg",32,IF(Atletas!D286="Adulto 90kg",33,IF(Atletas!D286="Adulto 100kg",34, IF(Atletas!D286="Adulto +100kg",35,"")))))))))))))))))))))))))))))))))))))</f>
        <v/>
      </c>
      <c r="AS295" s="6" t="str">
        <f>IF(Atletas!E286="","",IF(Atletas!B286="Feminino",100,IF(Atletas!B286="Masculino",200,""))+(IF(Atletas!E286="Juvenil 44kg",1,IF(Atletas!E286="Juvenil 48kg",2,IF(Atletas!E286="Juvenil 52kg",3,IF(Atletas!E286="Juvenil 56kg",4,IF(Atletas!E286="Juvenil 60kg",5,IF(Atletas!E286="Juvenil 65kg",6,IF(Atletas!E286="Juvenil 70kg",7,IF(Atletas!E286="Juvenil 75kg",8,IF(Atletas!E286="Juvenil 82kg",9,IF(Atletas!E286="Juvenil 90kg",10,IF(Atletas!E286="Juvenil 100kg",11,IF(Atletas!E286="Adulto 48kg",12,IF(Atletas!E286="Adulto 52kg",13,IF(Atletas!E286="Adulto 56kg",14,IF(Atletas!E286="Adulto 60kg",15,IF(Atletas!E286="Adulto 65kg",16,IF(Atletas!E286="Adulto 70kg",17,IF(Atletas!E286="Adulto 75kg",18,IF(Atletas!E286="Adulto 82kg",19,IF(Atletas!E286="Adulto 90kg",20,IF(Atletas!E286="Adulto 100kg",21,IF(Atletas!E286="Adulto +100kg",22,""))))))))))))))))))))))))</f>
        <v/>
      </c>
      <c r="AX295" s="6" t="str">
        <f>IF(Atletas!F286="","",IF(Atletas!B286="Feminino",100,IF(Atletas!B286="Masculino",200,""))+(IF(Atletas!F286="Adulto 48kg",1,IF(Atletas!F286="Adulto 56kg",2,IF(Atletas!F286="Adulto 65kg",3,IF(Atletas!F286="Adulto 75kg",4,IF(Atletas!F286="Adulto +75kg",5,IF(Atletas!F286="Adulto 52kg",6,IF(Atletas!F286="Adulto 60kg",7,IF(Atletas!F286="Adulto 70kg",8,IF(Atletas!F286="Adulto 80kg",9,IF(Atletas!F286="Adulto 90kg",10,IF(Atletas!F286="Adulto +90kg",11,"")))))))))))))</f>
        <v/>
      </c>
      <c r="BC295" s="6" t="str">
        <f>IF(Atletas!G286="","",IF(Atletas!B286="Feminino",10,IF(Atletas!B286="Masculino",20,""))+(IF(Atletas!G286="Baduanjin A",1,IF(Atletas!G286="Baduanjin B",2))))</f>
        <v/>
      </c>
      <c r="BF295" s="52" t="str">
        <f>IF(Atletas!H286="","",IF(Atletas!B286="Feminino",100,IF(Atletas!B286="Masculino",200,""))+(IF(Atletas!H286="Changquan Mirim",1,IF(Atletas!H286="Nanquan Mirim",2,IF(Atletas!H286="Taijiquan Mirim",3,IF(Atletas!H286="Changquan Grupo C",4,IF(Atletas!H286="Nanquan Grupo C",5,IF(Atletas!H286="Taijiquan Grupo C",6,IF(Atletas!H286="Changquan Grupo B",7,IF(Atletas!H286="Nanquan Grupo B",8,IF(Atletas!H286="Taijiquan Grupo B",9,IF(Atletas!H286="Changquan Grupo A",10,IF(Atletas!H286="Nanquan Grupo A",11,IF(Atletas!H286="Taijiquan Grupo A",12,IF(Atletas!H286="Changquan Opcional",13,IF(Atletas!H286="Nanquan Opcional",14,IF(Atletas!H286="Taijiquan Opcional",15,IF(Atletas!H286="Changquan Adulto",16,IF(Atletas!H286="Nanquan Adulto",17,IF(Atletas!H286="Taijiquan Adulto",18,""))))))))))))))))))))</f>
        <v/>
      </c>
      <c r="BG295" s="52" t="str">
        <f>IF(Atletas!I286="","",IF(Atletas!B286="Feminino",100,IF(Atletas!B286="Masculino",200,""))+(IF(Atletas!I286="Daoshu Mirim",19,IF(Atletas!I286="Jianshu Mirim",20,IF(Atletas!I286="Nandao Mirim",21,IF(Atletas!I286="Taijijian Mirim",22,IF(Atletas!I286="Daoshu Grupo C",23,IF(Atletas!I286="Jianshu Grupo C",24,IF(Atletas!I286="Nandao Grupo C",25,IF(Atletas!I286="Taijijian Grupo C",26,IF(Atletas!I286="Daoshu Grupo B",27,IF(Atletas!I286="Jianshu Grupo B",28,IF(Atletas!I286="Nandao Grupo B",29,IF(Atletas!I286="Taijijian Grupo B",30,IF(Atletas!I286="Daoshu Grupo A",31,IF(Atletas!I286="Jianshu Grupo A",32,IF(Atletas!I286="Nandao Grupo A",33,IF(Atletas!I286="Taijijian Grupo A",34,IF(Atletas!I286="Daoshu Opcional",35,IF(Atletas!I286="Jianshu Opcional",36,IF(Atletas!I286="Nandao Opcional",37,IF(Atletas!I286="Taijijian Opcional",38,IF(Atletas!I286="Daoshu Adulto",39,IF(Atletas!I286="Jianshu Adulto",40,IF(Atletas!I286="Nandao Adulto",41,IF(Atletas!I286="Taijijian Adulto",42,""))))))))))))))))))))))))))</f>
        <v/>
      </c>
      <c r="BH295" s="52" t="str">
        <f>IF(Atletas!J286="","",IF(Atletas!B286="Feminino",100,IF(Atletas!B286="Masculino",200,""))+(IF(Atletas!J286="Gunshu Mirim",43,IF(Atletas!J286="Qiangshu Mirim",44,IF(Atletas!J286="Nangun Mirim",45,IF(Atletas!J286="Gunshu Grupo C",46,IF(Atletas!J286="Qiangshu Grupo C",47,IF(Atletas!J286="Nangun Grupo C",48,IF(Atletas!J286="Gunshu Grupo B",49,IF(Atletas!J286="Qiangshu Grupo B",50,IF(Atletas!J286="Nangun Grupo B",51,IF(Atletas!J286="Gunshu Grupo A",52,IF(Atletas!J286="Qiangshu Grupo A",53,IF(Atletas!J286="Nangun Grupo A",54,IF(Atletas!J286="Gunshu Opcional",55,IF(Atletas!J286="Qiangshu Opcional",56,IF(Atletas!J286="Nangun Opcional",57,IF(Atletas!J286="Gunshu Adulto",58,IF(Atletas!J286="Qiangshu Adulto",59,IF(Atletas!J286="Nangun Adulto",60,IF(Atletas!J286="Taijishan Grupo B",61,IF(Atletas!J286="Taijishan Grupo A",62,""))))))))))))))))))))))</f>
        <v/>
      </c>
      <c r="BM295" s="50" t="str">
        <f>IF(Atletas!K286="","",IF(Atletas!B286="Feminino",100,IF(Atletas!B286="Masculino",200,""))+(IF(Atletas!K286="Equipe 1 Grupo B",1,IF(Atletas!K286="Equipe 2 Grupo B",2,IF(Atletas!K286="Equipe 1 Grupo A",3,IF(Atletas!K286="Equipe 2 Grupo A",4,IF(Atletas!K286="Equipe 1 Adulto",5,IF(Atletas!K286="Equipe 2 Adulto",6,""))))))))</f>
        <v/>
      </c>
      <c r="BR295" s="50" t="str">
        <f>IF(Atletas!L286="","",IF(Atletas!X286&lt;&gt;"",10000,0)+(IF(Atletas!B286="Feminino",1000,IF(Atletas!B286="Masculino",2000,""))+IF(Atletas!L286="Choylayfut A",1,IF(Atletas!L286="Hunggar A",2,IF(Atletas!L286="Wuzuquan A",3,IF(Atletas!L286="Wingchun A",4,IF(Atletas!L286="Outra Mão de Sul A",5,IF(Atletas!L286="Choylayfut B",6,IF(Atletas!L286="Hunggar B",7,IF(Atletas!L286="Wuzuquan B",8,IF(Atletas!L286="Wingchun B",9,IF(Atletas!L286="Outra Mão de Sul B",10,IF(Atletas!L286="Choylayfut C",11,IF(Atletas!L286="Hunggar C",12,IF(Atletas!L286="Wuzuquan C",13,IF(Atletas!L286="Wingchun C",14,IF(Atletas!L286="Outra Mão de Sul C",15,IF(Atletas!L286="Choylayfut D",16,IF(Atletas!L286="Hunggar D",17,IF(Atletas!L286="Wuzuquan D",18,IF(Atletas!L286="Wingchun D",19,IF(Atletas!L286="Outra Mão de Sul D",20,IF(Atletas!L286="Choylayfut E",21,IF(Atletas!L286="Hunggar E",22,IF(Atletas!L286="Wuzuquan E",23,IF(Atletas!L286="Wingchun E",24,IF(Atletas!L286="Outra Mão de Sul E",25,IF(Atletas!L286="Choylayfut F",26,IF(Atletas!L286="Hunggar F",27,IF(Atletas!L286="Wuzuquan F",28,IF(Atletas!L286="Wingchun F",29,IF(Atletas!L286="Outra Mão de Sul F",30,IF(Atletas!L286="Dishuquan A",31,IF(Atletas!L286="Dishuquan B",32,IF(Atletas!L286="Dishuquan C",33,IF(Atletas!L286="Dishuquan D",34,IF(Atletas!L286="Dishuquan E",35,IF(Atletas!L286="Dishuquan F",36,""))))))))))))))))))))))))))))))))))))))</f>
        <v/>
      </c>
      <c r="BS295" s="50" t="str">
        <f>IF(Atletas!M286="","",IF(Atletas!X286&lt;&gt;"",10000,0)+(IF(Atletas!B286="Feminino",1000,IF(Atletas!B286="Masculino",2000,""))+(IF(Atletas!M286="Chaquan A",101,IF(Atletas!M286="Emeiquan A",102,IF(Atletas!M286="Fanziquan A",103,IF(Atletas!M286="Huaquan A",104,IF(Atletas!M286="Hongquan A",105,IF(Atletas!M286="Paoquan A",106,IF(Atletas!M286="Piguaquan A",107,IF(Atletas!M286="Shaolinquan A",108,IF(Atletas!M286="Tanglangquan A",109,IF(Atletas!M286="Yingzhaoquan A",110,IF(Atletas!M286="Tongbeiquan A",111,IF(Atletas!M286="Wudangquan A",112,IF(Atletas!M286="Outros Estilos A",113,IF(Atletas!M286="Chaquan B",114,IF(Atletas!M286="Emeiquan B",115,IF(Atletas!M286="Fanziquan B",116,IF(Atletas!M286="Huaquan B",117,IF(Atletas!M286="Hongquan B",118,IF(Atletas!M286="Paoquan B",119,IF(Atletas!M286="Piguaquan B",120,IF(Atletas!M286="Shaolinquan B",121,IF(Atletas!M286="Tanglangquan B",122,IF(Atletas!M286="Yingzhaoquan B",123,IF(Atletas!M286="Tongbeiquan B",124,IF(Atletas!M286="Wudangquan B",125,IF(Atletas!M286="Outros Estilos B",126,IF(Atletas!M286="Chaquan C",127,IF(Atletas!M286="Emeiquan C",128,IF(Atletas!M286="Fanziquan C",129,IF(Atletas!M286="Huaquan C",130,IF(Atletas!M286="Hongquan C",131,IF(Atletas!M286="Paoquan C",132,IF(Atletas!M286="Piguaquan C",133,IF(Atletas!M286="Shaolinquan C",134,IF(Atletas!M286="Tanglangquan C",135,IF(Atletas!M286="Yingzhaoquan C",136,IF(Atletas!M286="Tongbeiquan C",137,IF(Atletas!M286="Wudangquan C",138,IF(Atletas!M286="Outros Estilos C",139,0))))))))))))))))))))))))))))))))))))))))))</f>
        <v/>
      </c>
      <c r="BT295" s="50" t="str">
        <f>IF(Atletas!M286="","",IF(Atletas!X286&lt;&gt;"",10000,0)+(IF(Atletas!B286="Feminino",1000,IF(Atletas!B286="Masculino",2000,""))+(IF(Atletas!M286="Chaquan D",140,IF(Atletas!M286="Emeiquan D",141,IF(Atletas!M286="Fanziquan D",142,IF(Atletas!M286="Huaquan D",143,IF(Atletas!M286="Hongquan D",144,IF(Atletas!M286="Paoquan D",145,IF(Atletas!M286="Piguaquan D",146,IF(Atletas!M286="Shaolinquan D",147,IF(Atletas!M286="Tanglangquan D",148,IF(Atletas!M286="Yingzhaoquan D",149,IF(Atletas!M286="Tongbeiquan D",150,IF(Atletas!M286="Wudangquan D",151,IF(Atletas!M286="Outros Estilos D",152,IF(Atletas!M286="Chaquan E",153,IF(Atletas!M286="Emeiquan E",154,IF(Atletas!M286="Fanziquan E",155,IF(Atletas!M286="Huaquan E",156,IF(Atletas!M286="Hongquan E",157,IF(Atletas!M286="Paoquan E",158,IF(Atletas!M286="Piguaquan E",159,IF(Atletas!M286="Shaolinquan E",160,IF(Atletas!M286="Tanglangquan E",161,IF(Atletas!M286="Yingzhaoquan E",162,IF(Atletas!M286="Tongbeiquan E",163,IF(Atletas!M286="Wudangquan E",164,IF(Atletas!M286="Outros Estilos E",165,IF(Atletas!M286="Chaquan F",166,IF(Atletas!M286="Emeiquan F",167,IF(Atletas!M286="Fanziquan F",168,IF(Atletas!M286="Huaquan F",169,IF(Atletas!M286="Hongquan F",170,IF(Atletas!M286="Paoquan F",171,IF(Atletas!M286="Piguaquan F",172,IF(Atletas!M286="Shaolinquan F",173,IF(Atletas!M286="Tanglangquan F",174,IF(Atletas!M286="Yingzhaoquan F",175,IF(Atletas!M286="Tongbeiquan F",176,IF(Atletas!M286="Wudangquan F",177,IF(Atletas!M286="Outros Estilos F",178,0))))))))))))))))))))))))))))))))))))))))))</f>
        <v/>
      </c>
      <c r="BU295" s="50" t="str">
        <f>IF(Atletas!N286="","",IF(Atletas!X286&lt;&gt;"",10000,0)+(IF(Atletas!B286="Feminino",1000,IF(Atletas!B286="Masculino",2000,""))+(IF(Atletas!N286="Ditangquan A",201,IF(Atletas!N286="Houquan A",202,IF(Atletas!N286="Zuiquan A",203,IF(Atletas!N286="Ditangquan B",204,IF(Atletas!N286="Houquan B",205,IF(Atletas!N286="Zuiquan B",206,IF(Atletas!N286="Ditangquan C",207,IF(Atletas!N286="Houquan C",208,IF(Atletas!N286="Zuiquan C",209,IF(Atletas!N286="Ditangquan D",210,IF(Atletas!N286="Houquan D",211,IF(Atletas!N286="Zuiquan D",212,IF(Atletas!N286="Ditangquan E",213,IF(Atletas!N286="Houquan E",214,IF(Atletas!N286="Zuiquan E",215,IF(Atletas!N286="Ditangquan F",216,IF(Atletas!N286="Houquan F",217,IF(Atletas!N286="Zuiquan F",218,"")))))))))))))))))))))</f>
        <v/>
      </c>
      <c r="BV295" s="50" t="str">
        <f>IF(Atletas!O286="","",IF(Atletas!X286&lt;&gt;"",10000,0)+IF(Atletas!B286="Feminino",1000,IF(Atletas!B286="Masculino",2000,""))+IF(Atletas!O286="Yang A",301,IF(Atletas!O286="Chen A",302,IF(Atletas!O286="Sun A",303,IF(Atletas!O286="Wu A",304,IF(Atletas!O286="Wu-Hao A",305,IF(Atletas!O286="Outro Taijiquan A",306,IF(Atletas!O286="Yang B",307,IF(Atletas!O286="Chen B",308,IF(Atletas!O286="Sun B",309,IF(Atletas!O286="Wu B",310,IF(Atletas!O286="Wu-Hao B",311,IF(Atletas!O286="Outro Taijiquan B",312,IF(Atletas!O286="Yang C",313,IF(Atletas!O286="Chen C",314,IF(Atletas!O286="Sun C",315,IF(Atletas!O286="Wu C",316,IF(Atletas!O286="Wu-Hao C",317,IF(Atletas!O286="Outro Taijiquan C",318,IF(Atletas!O286="Yang D",319,IF(Atletas!O286="Chen D",320,IF(Atletas!O286="Sun D",321,IF(Atletas!O286="Wu D",322,IF(Atletas!O286="Wu-Hao D",323,IF(Atletas!O286="Outro Taijiquan D",324,IF(Atletas!O286="Yang E",325,IF(Atletas!O286="Chen E",326,IF(Atletas!O286="Sun E",327,IF(Atletas!O286="Wu E",328,IF(Atletas!O286="Wu-Hao E",329,IF(Atletas!O286="Outro Taijiquan E",330,IF(Atletas!O286="Yang F",331,IF(Atletas!O286="Chen F",332,IF(Atletas!O286="Sun F",333,IF(Atletas!O286="Wu F",334,IF(Atletas!O286="Wu-Hao F",335,IF(Atletas!O286="Outro Taijiquan F",336,"")))))))))))))))))))))))))))))))))))))</f>
        <v/>
      </c>
      <c r="BW295" s="50" t="str">
        <f>IF(Atletas!P286="","",IF(Atletas!X286&lt;&gt;"",10000,0)+IF(Atletas!B286="Feminino",1000,IF(Atletas!B286="Masculino",2000,""))+IF(OR(Atletas!P286="Yang 26 A",Atletas!P286="Yang 40 A"),401,IF(OR(Atletas!P286="Chen 25 A",Atletas!P286="Chen 36 A",Atletas!P286="Chen 56 A"),402,IF(Atletas!P286="Sun 73 A",403,IF(Atletas!P286="Wu 45 A",404,IF(Atletas!P286="Wu-Hao 46 A",405,IF(OR(Atletas!P286="Taijiquan 16 A",Atletas!P286="Taijiquan 24 A",Atletas!P286="Taijiquan 32 A",Atletas!P286="Taijiquan 42 A"),406,IF(OR(Atletas!P286="Yang 26 B",Atletas!P286="Yang 40 B"),407,IF(OR(Atletas!P286="Chen 25 B",Atletas!P286="Chen 36 B",Atletas!P286="Chen 56 B"),408,IF(Atletas!P286="Sun 73 B",409,IF(Atletas!P286="Wu 45 B",410,IF(Atletas!P286="Wu-Hao 46 B",411,IF(OR(Atletas!P286="Taijiquan 16 B",Atletas!P286="Taijiquan 24 B",Atletas!P286="Taijiquan 32 B",Atletas!P286="Taijiquan 42 B"),412,IF(OR(Atletas!P286="Yang 26 C",Atletas!P286="Yang 40 C"),413,IF(OR(Atletas!P286="Chen 25 C",Atletas!P286="Chen 36 C",Atletas!P286="Chen 56 C"),414,IF(Atletas!P286="Sun 73 C",415,IF(Atletas!P286="Wu 45 C",416,IF(Atletas!P286="Wu-Hao 46 C",417,IF(OR(Atletas!P286="Taijiquan 16 C",Atletas!P286="Taijiquan 24 C",Atletas!P286="Taijiquan 32 C",Atletas!P286="Taijiquan 42 C"),418,0)))))))))))))))))))</f>
        <v/>
      </c>
      <c r="BX295" s="50" t="str">
        <f>IF(Atletas!P286="","",IF(Atletas!X286&lt;&gt;"",10000,0)+IF(Atletas!B286="Feminino",1000,IF(Atletas!B286="Masculino",2000,""))+IF(OR(Atletas!P286="Yang 26 D",Atletas!P286="Yang 40 D"),419,IF(OR(Atletas!P286="Chen 25 D",Atletas!P286="Chen 36 D",Atletas!P286="Chen 56 D"),420,IF(Atletas!P286="Sun 73 D",421,IF(Atletas!P286="Wu 45 D",422,IF(Atletas!P286="Wu-Hao 46 D",423,IF(OR(Atletas!P286="Taijiquan 16 D",Atletas!P286="Taijiquan 24 D",Atletas!P286="Taijiquan 32 D",Atletas!P286="Taijiquan 42 D"),424,IF(OR(Atletas!P286="Yang 26 E",Atletas!P286="Yang 40 E"),425,IF(OR(Atletas!P286="Chen 25 E",Atletas!P286="Chen 36 E",Atletas!P286="Chen 56 E"),426,IF(Atletas!P286="Sun 73 E",427,IF(Atletas!P286="Wu 45 E",428,IF(Atletas!P286="Wu-Hao 46 E",429,IF(OR(Atletas!P286="Taijiquan 16 E",Atletas!P286="Taijiquan 24 E",Atletas!P286="Taijiquan 32 E",Atletas!P286="Taijiquan 42 E"),430,IF(OR(Atletas!P286="Yang 26 F",Atletas!P286="Yang 40 F"),431,IF(OR(Atletas!P286="Chen 25 F",Atletas!P286="Chen 36 F",Atletas!P286="Chen 56 F"),432,IF(Atletas!P286="Sun 73 F",433,IF(Atletas!P286="Wu 45 F",434,IF(Atletas!P286="Wu-Hao 46 F",435,IF(OR(Atletas!P286="Taijiquan 16 F",Atletas!P286="Taijiquan 24 F",Atletas!P286="Taijiquan 32 F",Atletas!P286="Taijiquan 42 F"),436,0)))))))))))))))))))</f>
        <v/>
      </c>
      <c r="BY295" s="50" t="str">
        <f>IF(Atletas!Q286="","",IF(Atletas!X286&lt;&gt;"",10000,0)+IF(Atletas!B286="Feminino",1000,IF(Atletas!B286="Masculino",2000,""))+IF(Atletas!Q286="Xingyiquan A",501,IF(Atletas!Q286="Baguazhang A",502,IF(Atletas!Q286="Outro Estilo Interno A",503,IF(Atletas!Q286="Xingyiquan B",504,IF(Atletas!Q286="Baguazhang B",505,IF(Atletas!Q286="Outro Estilo Interno B",506,IF(Atletas!Q286="Xingyiquan C",507,IF(Atletas!Q286="Baguazhang C",508,IF(Atletas!Q286="Outro Estilo Interno C",509,IF(Atletas!Q286="Xingyiquan D",510,IF(Atletas!Q286="Baguazhang D",511,IF(Atletas!Q286="Outro Estilo Interno D",512,IF(Atletas!Q286="Xingyiquan E",513,IF(Atletas!Q286="Baguazhang E",514,IF(Atletas!Q286="Outro Estilo Interno E",515,IF(Atletas!Q286="Xingyiquan F",516,IF(Atletas!Q286="Baguazhang F",517,IF(Atletas!Q286="Outro Estilo Interno F",518, "")))))))))))))))))))</f>
        <v/>
      </c>
      <c r="BZ295" s="50" t="str">
        <f>IF(Atletas!R286="","",IF(Atletas!X286&lt;&gt;"",10000,0)+IF(Atletas!B286="Feminino",1000,IF(Atletas!B286="Masculino",2000,""))+IF(Atletas!R286="Dao A",601,IF(Atletas!R286="Jian A",602,IF(Atletas!R286="Bishou A",603,IF(Atletas!R286="Shanzi A",604,IF(Atletas!R286="Outra Arma Curta A",605,IF(Atletas!R286="Dao B",606,IF(Atletas!R286="Jian B",607,IF(Atletas!R286="Bishou B",608,IF(Atletas!R286="Shanzi B",609,IF(Atletas!R286="Outra Arma Curta B",610,IF(Atletas!R286="Dao C",611,IF(Atletas!R286="Jian C",612,IF(Atletas!R286="Bishou C",613,IF(Atletas!R286="Shanzi C",614,IF(Atletas!R286="Outra Arma Curta C",615,IF(Atletas!R286="Dao D",616,IF(Atletas!R286="Jian D",617,IF(Atletas!R286="Bishou D",618,IF(Atletas!R286="Shanzi D",619,IF(Atletas!R286="Outra Arma Curta D",620,IF(Atletas!R286="Dao E",621,IF(Atletas!R286="Jian E",622,IF(Atletas!R286="Bishou E",623,IF(Atletas!R286="Shanzi E",624,IF(Atletas!R286="Outra Arma Curta E",625,IF(Atletas!R286="Dao F",626,IF(Atletas!R286="Jian F",627,IF(Atletas!R286="Bishou F",628,IF(Atletas!R286="Shanzi F",629,IF(Atletas!R286="Outra Arma Curta F",630, "")))))))))))))))))))))))))))))))</f>
        <v/>
      </c>
      <c r="CA295" s="50" t="str">
        <f>IF(Atletas!S286="","",IF(Atletas!X286&lt;&gt;"",10000,0)+IF(Atletas!B286="Feminino",1000,IF(Atletas!B286="Masculino",2000,""))+IF(Atletas!S286="Gun A",701,IF(Atletas!S286="Qiang A",702,IF(Atletas!S286="Pudao / Guandao A",703,IF(Atletas!S286="Outra Arma Longa A",704,IF(Atletas!S286="Gun B",705,IF(Atletas!S286="Qiang B",706,IF(Atletas!S286="Pudao / Guandao B",707,IF(Atletas!S286="Outra Arma Longa B",708,IF(Atletas!S286="Gun C",709,IF(Atletas!S286="Qiang C",710,IF(Atletas!S286="Pudao / Guandao C",711,IF(Atletas!S286="Outra Arma Longa C",712,IF(Atletas!S286="Gun D",713,IF(Atletas!S286="Qiang D",714,IF(Atletas!S286="Pudao / Guandao D",715,IF(Atletas!S286="Outra Arma Longa D",716,IF(Atletas!S286="Gun E",717,IF(Atletas!S286="Qiang E",718,IF(Atletas!S286="Pudao / Guandao E",719,IF(Atletas!S286="Outra Arma Longa E",720,IF(Atletas!S286="Gun F",721,IF(Atletas!S286="Qiang F",722,IF(Atletas!S286="Pudao / Guandao F",723,IF(Atletas!S286="Outra Arma Longa F",724,"")))))))))))))))))))))))))</f>
        <v/>
      </c>
      <c r="CB295" s="50" t="str">
        <f>IF(Atletas!T286="","",IF(Atletas!X286&lt;&gt;"",10000,0)+IF(Atletas!B286="Feminino",1000,IF(Atletas!B286="Masculino",2000,""))+IF(Atletas!T286="Outra Arma Dupla A",801,IF(Atletas!T286="Arma Maleável A",802,IF(Atletas!T286="Outra Arma Dupla B",803,IF(Atletas!T286="Arma Maleável B",804,IF(Atletas!T286="Outra Arma Dupla C",805,IF(Atletas!T286="Arma Maleável C",806,IF(Atletas!T286="Outra Arma Dupla D",807,IF(Atletas!T286="Arma Maleável D",808,IF(Atletas!T286="Outra Arma Dupla E",809,IF(Atletas!T286="Arma Maleável E",810,IF(Atletas!T286="Outra Arma Dupla F",811,IF(Atletas!T286="Arma Maleável F",812,IF(Atletas!T286="Shuangdao A",813,IF(Atletas!T286="Shuangdao B",814,IF(Atletas!T286="Shuangdao C",815,IF(Atletas!T286="Shuangdao D",816,IF(Atletas!T286="Shuangdao E",817,IF(Atletas!T286="Shuangdao F",818,"")))))))))))))))))))</f>
        <v/>
      </c>
      <c r="CC295" s="50" t="str">
        <f>IF(Atletas!U286="","",IF(Atletas!X286&lt;&gt;"",10000,0)+IF(Atletas!B286="Feminino",1000,IF(Atletas!B286="Masculino",2000,""))+IF(OR(Atletas!U286="Taijijian Yang A",Atletas!U286="Taijijian Yang Standard A"),901,IF(OR(Atletas!U286="Taijijian Chen A", Atletas!U286="Taijijian Chen Standard A"),902,IF(Atletas!U286="Taijijian Sun A",903,IF(Atletas!U286="Taijijian Wu A",904,IF(Atletas!U286="Taijijian Wu-Hao A",905,IF(OR(Atletas!U286="Taijijian 32 A",Atletas!U286="Taijijian 42 A"),906,IF(OR(Atletas!U286="Taijijian Yang B",Atletas!U286="Taijijian Yang Standard B"),907,IF(OR(Atletas!U286="Taijijian Chen B", Atletas!U286="Taijijian Chen Standard B"),908,IF(Atletas!U286="Taijijian Sun B",909,IF(Atletas!U286="Taijijian Wu B",910,IF(Atletas!U286="Taijijian Wu-Hao B",911,IF(OR(Atletas!U286="Taijijian 32 B",Atletas!U286="Taijijian 42 B"),912,IF(OR(Atletas!U286="Taijijian Yang C",Atletas!U286="Taijijian Yang Standard C"),913,IF(OR(Atletas!U286="Taijijian Chen C", Atletas!U286="Taijijian Chen Standard C"),914,IF(Atletas!U286="Taijijian Sun C",915,IF(Atletas!U286="Taijijian Wu C",916,IF(Atletas!U286="Taijijian Wu-Hao C",917,IF(OR(Atletas!U286="Taijijian 32 C",Atletas!U286="Taijijian 42 C"),918,IF(OR(Atletas!U286="Taijijian Yang D",Atletas!U286="Taijijian Yang Standard D"),919,IF(OR(Atletas!U286="Taijijian Chen D", Atletas!U286="Taijijian Chen Standard D"),920,IF(Atletas!U286="Taijijian Sun D",921,IF(Atletas!U286="Taijijian Wu D",922,IF(Atletas!U286="Taijijian Wu-Hao D",923,IF(OR(Atletas!U286="Taijijian 32 D",Atletas!U286="Taijijian 42 D"),924,IF(OR(Atletas!U286="Taijijian Yang E",Atletas!U286="Taijijian Yang Standard E"),925,IF(OR(Atletas!U286="Taijijian Chen E", Atletas!U286="Taijijian Chen Standard E"),926,IF(Atletas!U286="Taijijian Sun E",927,IF(Atletas!U286="Taijijian Wu E",928,IF(Atletas!U286="Taijijian Wu-Hao E",929,IF(OR(Atletas!U286="Taijijian 32 E",Atletas!U286="Taijijian 42 E"),930,IF(OR(Atletas!U286="Taijijian Yang F",Atletas!U286="Taijijian Yang Standard F"),931,IF(OR(Atletas!U286="Taijijian Chen F", Atletas!U286="Taijijian Chen Standard F"),932,IF(Atletas!U286="Taijijian Sun F",933,IF(Atletas!U286="Taijijian Wu F",934,IF(Atletas!U286="Taijijian Wu-Hao F",935,IF(OR(Atletas!U286="Taijijian 32 F",Atletas!U286="Taijijian 42 F"),936,"")))))))))))))))))))))))))))))))))))))</f>
        <v/>
      </c>
      <c r="CD295" s="50" t="str">
        <f>IF(Atletas!V286="","",IF(Atletas!X286&lt;&gt;"",10000,0)+IF(Atletas!B286="Feminino",1000,IF(Atletas!B286="Masculino",2000,""))+IF(Atletas!V286="Taijidao A",937,IF(Atletas!V286="TaijiShanzi A",938,IF(Atletas!V286="Taijiqiang A",939,IF(Atletas!V286="Bagua de Arma A",940,IF(Atletas!V286="Xingyi de Arma A",941,IF(Atletas!V286="Taijidao B",942,IF(Atletas!V286="TaijiShanzi B",943,IF(Atletas!V286="Taijiqiang B",944,IF(Atletas!V286="Bagua de Arma B",945,IF(Atletas!V286="Xingyi de Arma B",946,IF(Atletas!V286="Taijidao C",947,IF(Atletas!V286="TaijiShanzi C",948,IF(Atletas!V286="Taijiqiang C",949,IF(Atletas!V286="Bagua de Arma C",950,IF(Atletas!V286="Xingyi de Arma C",951,IF(Atletas!V286="Taijidao D",952,IF(Atletas!V286="TaijiShanzi D",953,IF(Atletas!V286="Taijiqiang D",954,IF(Atletas!V286="Bagua de Arma D",955,IF(Atletas!V286="Xingyi de Arma D",956,IF(Atletas!V286="Taijidao E",957,IF(Atletas!V286="TaijiShanzi E",958,IF(Atletas!V286="Taijiqiang E",959,IF(Atletas!V286="Bagua de Arma E",960,IF(Atletas!V286="Xingyi de Arma E",961,IF(Atletas!V286="Taijidao F",962,IF(Atletas!V286="TaijiShanzi F",963,IF(Atletas!V286="Taijiqiang F",964,IF(Atletas!V286="Bagua de Arma F",965,IF(Atletas!V286="Xingyi de Arma F",966,"")))))))))))))))))))))))))))))))</f>
        <v/>
      </c>
      <c r="CE295" s="66" t="str">
        <f>IF(CF295&lt;&gt;"","Shuangdao E","")</f>
        <v/>
      </c>
      <c r="CF295" s="66" t="str">
        <f>IF(COUNTIF(BR:CD,1817)&gt;0,COUNTIF(BR:CD,1817),"")</f>
        <v/>
      </c>
      <c r="CG295" s="66" t="str">
        <f>IF(CH295&lt;&gt;"","Shuangdao E","")</f>
        <v/>
      </c>
      <c r="CH295" s="66" t="str">
        <f>IF(COUNTIF(BT:CF,2817)&gt;0,COUNTIF(BT:CF,2817),"")</f>
        <v/>
      </c>
      <c r="CI295" s="66" t="str">
        <f>IF(CJ296&lt;&gt;"","Taijijian Chen B","")</f>
        <v/>
      </c>
      <c r="CJ295" s="66" t="str">
        <f>IF(COUNTIF(BR:CD,11907)&gt;0,COUNTIF(BR:CD,11907),"")</f>
        <v/>
      </c>
      <c r="CK295" s="66" t="str">
        <f>IF(CL295&lt;&gt;"","Taijijian Yang B","")</f>
        <v/>
      </c>
      <c r="CL295" s="66" t="str">
        <f>IF(COUNTIF(BR:CD,12907)&gt;0,COUNTIF(BR:CD,12907),"")</f>
        <v/>
      </c>
      <c r="CM295" s="50" t="str">
        <f xml:space="preserve"> IF(Atletas!W286="","",IF(Atletas!W286="Duilian de Mãos BC - Equipe 1",1,IF(Atletas!W286="Duilian de Mãos BC - Equipe 2",2,IF(Atletas!W286="Duilian de Armas BC - Equipe 1",3,IF(Atletas!W286="Duilian de Armas BC - Equipe 2",4,IF(Atletas!W286="Duilian de Mãos DE - Equipe 1",5,IF(Atletas!W286="Duilian de Mãos DE - Equipe 2",6,IF(Atletas!W286="Duilian de Armas DE - Equipe 1",7,IF(Atletas!W286="Duilian de Armas DE - Equipe 2",8,IF(Atletas!W286="Duilian de Tuishou - Equipe 1",9,IF(Atletas!W286="Duilian de Tuishou - Equipe 2",10,IF(Atletas!W286="Grupo Externo ABC - Equipe 1",11,IF(Atletas!W286="Grupo Externo ABC - Equipe 2",12,IF(Atletas!W286="Grupo Interno ABC - Equipe 1",13,IF(Atletas!W286="Grupo Interno ABC - Equipe 2",14,IF(Atletas!W286="Grupo Externo DEF - Equipe 1",15,IF(Atletas!W286="Grupo Externo DEF - Equipe 2",16,IF(Atletas!W286="Grupo Interno DEF - Equipe 1",17,IF(Atletas!W286="Grupo Interno DEF - Equipe 2",18,"")))))))))))))))))))</f>
        <v/>
      </c>
    </row>
    <row r="296" spans="2:91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 t="str">
        <f t="array" ref="Z296">IFERROR(INDEX(CE$7:CE$348,SMALL(IF(CE$7:CE$348&lt;&gt;"",ROW(CE$7:CE$348)-ROW(CE$7)+1),ROWS(CE$7:CE295))),"")</f>
        <v/>
      </c>
      <c r="AA296" s="3" t="str">
        <f t="array" ref="AA296">IFERROR(INDEX(CF$7:CF$348,SMALL(IF(CF$7:CF$348&lt;&gt;"",ROW(CF$7:CF$348)-ROW(CF$7)+1),ROWS(CF$7:CF295))),"")</f>
        <v/>
      </c>
      <c r="AB296" s="3" t="str">
        <f t="array" ref="AB296">IFERROR(INDEX(CG$7:CG$348,SMALL(IF(CG$7:CG$348&lt;&gt;"",ROW(CG$7:CG$348)-ROW(CG$7)+1),ROWS(CG$7:CG295))),"")</f>
        <v/>
      </c>
      <c r="AC296" s="3" t="str">
        <f t="array" ref="AC296">IFERROR(INDEX(CH$7:CH$348,SMALL(IF(CH$7:CH$348&lt;&gt;"",ROW(CH$7:CH$348)-ROW(CH$7)+1),ROWS(CH$7:CH295))),"")</f>
        <v/>
      </c>
      <c r="AD296" s="3" t="str">
        <f t="array" ref="AD296">IFERROR(INDEX(CI$7:CI$377,SMALL(IF(CI$7:CI$377&lt;&gt;"",ROW(CI$7:CI$377)-ROW(CI$7)+1),ROWS(CI$7:CI294))),"")</f>
        <v/>
      </c>
      <c r="AE296" s="3" t="str">
        <f t="array" ref="AE296">IFERROR(INDEX(CJ$7:CJ$378,SMALL(IF(CJ$7:CJ$378&lt;&gt;"",ROW(CJ$7:CJ$378)-ROW(CJ$7)+1),ROWS(CJ$7:CJ295))),"")</f>
        <v/>
      </c>
      <c r="AF296" s="3" t="str">
        <f t="array" ref="AF296">IFERROR(INDEX(CK$7:CK$378,SMALL(IF(CK$7:CK$378&lt;&gt;"",ROW(CK$7:CK$378)-ROW(CK$7)+1),ROWS(CK$7:CK295))),"")</f>
        <v/>
      </c>
      <c r="AG296" s="3" t="str">
        <f t="array" ref="AG296">IFERROR(INDEX(CL$7:CL$378,SMALL(IF(CL$7:CL$378&lt;&gt;"",ROW(CL$7:CL$378)-ROW(CL$7)+1),ROWS(CL$7:CL295))),"")</f>
        <v/>
      </c>
      <c r="AH296" s="3"/>
      <c r="AI296" s="3"/>
      <c r="AJ296" s="3"/>
      <c r="AK296" s="3"/>
      <c r="AL296" s="3"/>
      <c r="AM296" s="3"/>
      <c r="AN296" s="52" t="str">
        <f>IF(Atletas!D287="","",IF(Atletas!B287="Feminino",100,IF(Atletas!B287="Masculino",200,""))+(IF(Atletas!D287="Kids 30kg",1,IF(Atletas!D287="Kids 32kg",2, IF(Atletas!D287="Kids 34kg",3,IF(Atletas!D287="Kids 36kg",4,IF(Atletas!D287="Kids 39kg",5,IF(Atletas!D287="Kids 42kg",6,IF(Atletas!D287="Kids 45kg",7, IF(Atletas!D287="Infantil 39kg",8,IF(Atletas!D287="Infantil 42kg",9,IF(Atletas!D287="Infantil 45kg",10,IF(Atletas!D287="Infantil 48kg",11,IF(Atletas!D287="Infantil 52kg",12,IF(Atletas!D287="Infantil 56kg",13,IF(Atletas!D287="Infantil 60kg",14,IF(Atletas!D287="Juvenil 48kg",15,IF(Atletas!D287="Juvenil 52kg",16,IF(Atletas!D287="Juvenil 56kg",17,IF(Atletas!D287="Juvenil 60kg",18,IF(Atletas!D287="Juvenil 65kg",19,IF(Atletas!D287="Juvenil 70kg",20,IF(Atletas!D287="Juvenil 75kg",21,IF(Atletas!D287="Juvenil 80kg",22, IF(Atletas!D287="Juvenil 85kg",23,IF(Atletas!D287="Adulto 48kg",24,IF(Atletas!D287="Adulto 52kg",25,IF(Atletas!D287="Adulto 56kg",26,IF(Atletas!D287="Adulto 60kg",27,IF(Atletas!D287="Adulto 65kg",28,IF(Atletas!D287="Adulto 70kg",29,IF(Atletas!D287="Adulto 75kg",30,IF(Atletas!D287="Adulto 80kg",31,IF(Atletas!D287="Adulto 85kg",32,IF(Atletas!D287="Adulto 90kg",33,IF(Atletas!D287="Adulto 100kg",34, IF(Atletas!D287="Adulto +100kg",35,"")))))))))))))))))))))))))))))))))))))</f>
        <v/>
      </c>
      <c r="AS296" s="6" t="str">
        <f>IF(Atletas!E287="","",IF(Atletas!B287="Feminino",100,IF(Atletas!B287="Masculino",200,""))+(IF(Atletas!E287="Juvenil 44kg",1,IF(Atletas!E287="Juvenil 48kg",2,IF(Atletas!E287="Juvenil 52kg",3,IF(Atletas!E287="Juvenil 56kg",4,IF(Atletas!E287="Juvenil 60kg",5,IF(Atletas!E287="Juvenil 65kg",6,IF(Atletas!E287="Juvenil 70kg",7,IF(Atletas!E287="Juvenil 75kg",8,IF(Atletas!E287="Juvenil 82kg",9,IF(Atletas!E287="Juvenil 90kg",10,IF(Atletas!E287="Juvenil 100kg",11,IF(Atletas!E287="Adulto 48kg",12,IF(Atletas!E287="Adulto 52kg",13,IF(Atletas!E287="Adulto 56kg",14,IF(Atletas!E287="Adulto 60kg",15,IF(Atletas!E287="Adulto 65kg",16,IF(Atletas!E287="Adulto 70kg",17,IF(Atletas!E287="Adulto 75kg",18,IF(Atletas!E287="Adulto 82kg",19,IF(Atletas!E287="Adulto 90kg",20,IF(Atletas!E287="Adulto 100kg",21,IF(Atletas!E287="Adulto +100kg",22,""))))))))))))))))))))))))</f>
        <v/>
      </c>
      <c r="AX296" s="6" t="str">
        <f>IF(Atletas!F287="","",IF(Atletas!B287="Feminino",100,IF(Atletas!B287="Masculino",200,""))+(IF(Atletas!F287="Adulto 48kg",1,IF(Atletas!F287="Adulto 56kg",2,IF(Atletas!F287="Adulto 65kg",3,IF(Atletas!F287="Adulto 75kg",4,IF(Atletas!F287="Adulto +75kg",5,IF(Atletas!F287="Adulto 52kg",6,IF(Atletas!F287="Adulto 60kg",7,IF(Atletas!F287="Adulto 70kg",8,IF(Atletas!F287="Adulto 80kg",9,IF(Atletas!F287="Adulto 90kg",10,IF(Atletas!F287="Adulto +90kg",11,"")))))))))))))</f>
        <v/>
      </c>
      <c r="BC296" s="6" t="str">
        <f>IF(Atletas!G287="","",IF(Atletas!B287="Feminino",10,IF(Atletas!B287="Masculino",20,""))+(IF(Atletas!G287="Baduanjin A",1,IF(Atletas!G287="Baduanjin B",2))))</f>
        <v/>
      </c>
      <c r="BF296" s="52" t="str">
        <f>IF(Atletas!H287="","",IF(Atletas!B287="Feminino",100,IF(Atletas!B287="Masculino",200,""))+(IF(Atletas!H287="Changquan Mirim",1,IF(Atletas!H287="Nanquan Mirim",2,IF(Atletas!H287="Taijiquan Mirim",3,IF(Atletas!H287="Changquan Grupo C",4,IF(Atletas!H287="Nanquan Grupo C",5,IF(Atletas!H287="Taijiquan Grupo C",6,IF(Atletas!H287="Changquan Grupo B",7,IF(Atletas!H287="Nanquan Grupo B",8,IF(Atletas!H287="Taijiquan Grupo B",9,IF(Atletas!H287="Changquan Grupo A",10,IF(Atletas!H287="Nanquan Grupo A",11,IF(Atletas!H287="Taijiquan Grupo A",12,IF(Atletas!H287="Changquan Opcional",13,IF(Atletas!H287="Nanquan Opcional",14,IF(Atletas!H287="Taijiquan Opcional",15,IF(Atletas!H287="Changquan Adulto",16,IF(Atletas!H287="Nanquan Adulto",17,IF(Atletas!H287="Taijiquan Adulto",18,""))))))))))))))))))))</f>
        <v/>
      </c>
      <c r="BG296" s="52" t="str">
        <f>IF(Atletas!I287="","",IF(Atletas!B287="Feminino",100,IF(Atletas!B287="Masculino",200,""))+(IF(Atletas!I287="Daoshu Mirim",19,IF(Atletas!I287="Jianshu Mirim",20,IF(Atletas!I287="Nandao Mirim",21,IF(Atletas!I287="Taijijian Mirim",22,IF(Atletas!I287="Daoshu Grupo C",23,IF(Atletas!I287="Jianshu Grupo C",24,IF(Atletas!I287="Nandao Grupo C",25,IF(Atletas!I287="Taijijian Grupo C",26,IF(Atletas!I287="Daoshu Grupo B",27,IF(Atletas!I287="Jianshu Grupo B",28,IF(Atletas!I287="Nandao Grupo B",29,IF(Atletas!I287="Taijijian Grupo B",30,IF(Atletas!I287="Daoshu Grupo A",31,IF(Atletas!I287="Jianshu Grupo A",32,IF(Atletas!I287="Nandao Grupo A",33,IF(Atletas!I287="Taijijian Grupo A",34,IF(Atletas!I287="Daoshu Opcional",35,IF(Atletas!I287="Jianshu Opcional",36,IF(Atletas!I287="Nandao Opcional",37,IF(Atletas!I287="Taijijian Opcional",38,IF(Atletas!I287="Daoshu Adulto",39,IF(Atletas!I287="Jianshu Adulto",40,IF(Atletas!I287="Nandao Adulto",41,IF(Atletas!I287="Taijijian Adulto",42,""))))))))))))))))))))))))))</f>
        <v/>
      </c>
      <c r="BH296" s="52" t="str">
        <f>IF(Atletas!J287="","",IF(Atletas!B287="Feminino",100,IF(Atletas!B287="Masculino",200,""))+(IF(Atletas!J287="Gunshu Mirim",43,IF(Atletas!J287="Qiangshu Mirim",44,IF(Atletas!J287="Nangun Mirim",45,IF(Atletas!J287="Gunshu Grupo C",46,IF(Atletas!J287="Qiangshu Grupo C",47,IF(Atletas!J287="Nangun Grupo C",48,IF(Atletas!J287="Gunshu Grupo B",49,IF(Atletas!J287="Qiangshu Grupo B",50,IF(Atletas!J287="Nangun Grupo B",51,IF(Atletas!J287="Gunshu Grupo A",52,IF(Atletas!J287="Qiangshu Grupo A",53,IF(Atletas!J287="Nangun Grupo A",54,IF(Atletas!J287="Gunshu Opcional",55,IF(Atletas!J287="Qiangshu Opcional",56,IF(Atletas!J287="Nangun Opcional",57,IF(Atletas!J287="Gunshu Adulto",58,IF(Atletas!J287="Qiangshu Adulto",59,IF(Atletas!J287="Nangun Adulto",60,IF(Atletas!J287="Taijishan Grupo B",61,IF(Atletas!J287="Taijishan Grupo A",62,""))))))))))))))))))))))</f>
        <v/>
      </c>
      <c r="BM296" s="50" t="str">
        <f>IF(Atletas!K287="","",IF(Atletas!B287="Feminino",100,IF(Atletas!B287="Masculino",200,""))+(IF(Atletas!K287="Equipe 1 Grupo B",1,IF(Atletas!K287="Equipe 2 Grupo B",2,IF(Atletas!K287="Equipe 1 Grupo A",3,IF(Atletas!K287="Equipe 2 Grupo A",4,IF(Atletas!K287="Equipe 1 Adulto",5,IF(Atletas!K287="Equipe 2 Adulto",6,""))))))))</f>
        <v/>
      </c>
      <c r="BR296" s="50" t="str">
        <f>IF(Atletas!L287="","",IF(Atletas!X287&lt;&gt;"",10000,0)+(IF(Atletas!B287="Feminino",1000,IF(Atletas!B287="Masculino",2000,""))+IF(Atletas!L287="Choylayfut A",1,IF(Atletas!L287="Hunggar A",2,IF(Atletas!L287="Wuzuquan A",3,IF(Atletas!L287="Wingchun A",4,IF(Atletas!L287="Outra Mão de Sul A",5,IF(Atletas!L287="Choylayfut B",6,IF(Atletas!L287="Hunggar B",7,IF(Atletas!L287="Wuzuquan B",8,IF(Atletas!L287="Wingchun B",9,IF(Atletas!L287="Outra Mão de Sul B",10,IF(Atletas!L287="Choylayfut C",11,IF(Atletas!L287="Hunggar C",12,IF(Atletas!L287="Wuzuquan C",13,IF(Atletas!L287="Wingchun C",14,IF(Atletas!L287="Outra Mão de Sul C",15,IF(Atletas!L287="Choylayfut D",16,IF(Atletas!L287="Hunggar D",17,IF(Atletas!L287="Wuzuquan D",18,IF(Atletas!L287="Wingchun D",19,IF(Atletas!L287="Outra Mão de Sul D",20,IF(Atletas!L287="Choylayfut E",21,IF(Atletas!L287="Hunggar E",22,IF(Atletas!L287="Wuzuquan E",23,IF(Atletas!L287="Wingchun E",24,IF(Atletas!L287="Outra Mão de Sul E",25,IF(Atletas!L287="Choylayfut F",26,IF(Atletas!L287="Hunggar F",27,IF(Atletas!L287="Wuzuquan F",28,IF(Atletas!L287="Wingchun F",29,IF(Atletas!L287="Outra Mão de Sul F",30,IF(Atletas!L287="Dishuquan A",31,IF(Atletas!L287="Dishuquan B",32,IF(Atletas!L287="Dishuquan C",33,IF(Atletas!L287="Dishuquan D",34,IF(Atletas!L287="Dishuquan E",35,IF(Atletas!L287="Dishuquan F",36,""))))))))))))))))))))))))))))))))))))))</f>
        <v/>
      </c>
      <c r="BS296" s="50" t="str">
        <f>IF(Atletas!M287="","",IF(Atletas!X287&lt;&gt;"",10000,0)+(IF(Atletas!B287="Feminino",1000,IF(Atletas!B287="Masculino",2000,""))+(IF(Atletas!M287="Chaquan A",101,IF(Atletas!M287="Emeiquan A",102,IF(Atletas!M287="Fanziquan A",103,IF(Atletas!M287="Huaquan A",104,IF(Atletas!M287="Hongquan A",105,IF(Atletas!M287="Paoquan A",106,IF(Atletas!M287="Piguaquan A",107,IF(Atletas!M287="Shaolinquan A",108,IF(Atletas!M287="Tanglangquan A",109,IF(Atletas!M287="Yingzhaoquan A",110,IF(Atletas!M287="Tongbeiquan A",111,IF(Atletas!M287="Wudangquan A",112,IF(Atletas!M287="Outros Estilos A",113,IF(Atletas!M287="Chaquan B",114,IF(Atletas!M287="Emeiquan B",115,IF(Atletas!M287="Fanziquan B",116,IF(Atletas!M287="Huaquan B",117,IF(Atletas!M287="Hongquan B",118,IF(Atletas!M287="Paoquan B",119,IF(Atletas!M287="Piguaquan B",120,IF(Atletas!M287="Shaolinquan B",121,IF(Atletas!M287="Tanglangquan B",122,IF(Atletas!M287="Yingzhaoquan B",123,IF(Atletas!M287="Tongbeiquan B",124,IF(Atletas!M287="Wudangquan B",125,IF(Atletas!M287="Outros Estilos B",126,IF(Atletas!M287="Chaquan C",127,IF(Atletas!M287="Emeiquan C",128,IF(Atletas!M287="Fanziquan C",129,IF(Atletas!M287="Huaquan C",130,IF(Atletas!M287="Hongquan C",131,IF(Atletas!M287="Paoquan C",132,IF(Atletas!M287="Piguaquan C",133,IF(Atletas!M287="Shaolinquan C",134,IF(Atletas!M287="Tanglangquan C",135,IF(Atletas!M287="Yingzhaoquan C",136,IF(Atletas!M287="Tongbeiquan C",137,IF(Atletas!M287="Wudangquan C",138,IF(Atletas!M287="Outros Estilos C",139,0))))))))))))))))))))))))))))))))))))))))))</f>
        <v/>
      </c>
      <c r="BT296" s="50" t="str">
        <f>IF(Atletas!M287="","",IF(Atletas!X287&lt;&gt;"",10000,0)+(IF(Atletas!B287="Feminino",1000,IF(Atletas!B287="Masculino",2000,""))+(IF(Atletas!M287="Chaquan D",140,IF(Atletas!M287="Emeiquan D",141,IF(Atletas!M287="Fanziquan D",142,IF(Atletas!M287="Huaquan D",143,IF(Atletas!M287="Hongquan D",144,IF(Atletas!M287="Paoquan D",145,IF(Atletas!M287="Piguaquan D",146,IF(Atletas!M287="Shaolinquan D",147,IF(Atletas!M287="Tanglangquan D",148,IF(Atletas!M287="Yingzhaoquan D",149,IF(Atletas!M287="Tongbeiquan D",150,IF(Atletas!M287="Wudangquan D",151,IF(Atletas!M287="Outros Estilos D",152,IF(Atletas!M287="Chaquan E",153,IF(Atletas!M287="Emeiquan E",154,IF(Atletas!M287="Fanziquan E",155,IF(Atletas!M287="Huaquan E",156,IF(Atletas!M287="Hongquan E",157,IF(Atletas!M287="Paoquan E",158,IF(Atletas!M287="Piguaquan E",159,IF(Atletas!M287="Shaolinquan E",160,IF(Atletas!M287="Tanglangquan E",161,IF(Atletas!M287="Yingzhaoquan E",162,IF(Atletas!M287="Tongbeiquan E",163,IF(Atletas!M287="Wudangquan E",164,IF(Atletas!M287="Outros Estilos E",165,IF(Atletas!M287="Chaquan F",166,IF(Atletas!M287="Emeiquan F",167,IF(Atletas!M287="Fanziquan F",168,IF(Atletas!M287="Huaquan F",169,IF(Atletas!M287="Hongquan F",170,IF(Atletas!M287="Paoquan F",171,IF(Atletas!M287="Piguaquan F",172,IF(Atletas!M287="Shaolinquan F",173,IF(Atletas!M287="Tanglangquan F",174,IF(Atletas!M287="Yingzhaoquan F",175,IF(Atletas!M287="Tongbeiquan F",176,IF(Atletas!M287="Wudangquan F",177,IF(Atletas!M287="Outros Estilos F",178,0))))))))))))))))))))))))))))))))))))))))))</f>
        <v/>
      </c>
      <c r="BU296" s="50" t="str">
        <f>IF(Atletas!N287="","",IF(Atletas!X287&lt;&gt;"",10000,0)+(IF(Atletas!B287="Feminino",1000,IF(Atletas!B287="Masculino",2000,""))+(IF(Atletas!N287="Ditangquan A",201,IF(Atletas!N287="Houquan A",202,IF(Atletas!N287="Zuiquan A",203,IF(Atletas!N287="Ditangquan B",204,IF(Atletas!N287="Houquan B",205,IF(Atletas!N287="Zuiquan B",206,IF(Atletas!N287="Ditangquan C",207,IF(Atletas!N287="Houquan C",208,IF(Atletas!N287="Zuiquan C",209,IF(Atletas!N287="Ditangquan D",210,IF(Atletas!N287="Houquan D",211,IF(Atletas!N287="Zuiquan D",212,IF(Atletas!N287="Ditangquan E",213,IF(Atletas!N287="Houquan E",214,IF(Atletas!N287="Zuiquan E",215,IF(Atletas!N287="Ditangquan F",216,IF(Atletas!N287="Houquan F",217,IF(Atletas!N287="Zuiquan F",218,"")))))))))))))))))))))</f>
        <v/>
      </c>
      <c r="BV296" s="50" t="str">
        <f>IF(Atletas!O287="","",IF(Atletas!X287&lt;&gt;"",10000,0)+IF(Atletas!B287="Feminino",1000,IF(Atletas!B287="Masculino",2000,""))+IF(Atletas!O287="Yang A",301,IF(Atletas!O287="Chen A",302,IF(Atletas!O287="Sun A",303,IF(Atletas!O287="Wu A",304,IF(Atletas!O287="Wu-Hao A",305,IF(Atletas!O287="Outro Taijiquan A",306,IF(Atletas!O287="Yang B",307,IF(Atletas!O287="Chen B",308,IF(Atletas!O287="Sun B",309,IF(Atletas!O287="Wu B",310,IF(Atletas!O287="Wu-Hao B",311,IF(Atletas!O287="Outro Taijiquan B",312,IF(Atletas!O287="Yang C",313,IF(Atletas!O287="Chen C",314,IF(Atletas!O287="Sun C",315,IF(Atletas!O287="Wu C",316,IF(Atletas!O287="Wu-Hao C",317,IF(Atletas!O287="Outro Taijiquan C",318,IF(Atletas!O287="Yang D",319,IF(Atletas!O287="Chen D",320,IF(Atletas!O287="Sun D",321,IF(Atletas!O287="Wu D",322,IF(Atletas!O287="Wu-Hao D",323,IF(Atletas!O287="Outro Taijiquan D",324,IF(Atletas!O287="Yang E",325,IF(Atletas!O287="Chen E",326,IF(Atletas!O287="Sun E",327,IF(Atletas!O287="Wu E",328,IF(Atletas!O287="Wu-Hao E",329,IF(Atletas!O287="Outro Taijiquan E",330,IF(Atletas!O287="Yang F",331,IF(Atletas!O287="Chen F",332,IF(Atletas!O287="Sun F",333,IF(Atletas!O287="Wu F",334,IF(Atletas!O287="Wu-Hao F",335,IF(Atletas!O287="Outro Taijiquan F",336,"")))))))))))))))))))))))))))))))))))))</f>
        <v/>
      </c>
      <c r="BW296" s="50" t="str">
        <f>IF(Atletas!P287="","",IF(Atletas!X287&lt;&gt;"",10000,0)+IF(Atletas!B287="Feminino",1000,IF(Atletas!B287="Masculino",2000,""))+IF(OR(Atletas!P287="Yang 26 A",Atletas!P287="Yang 40 A"),401,IF(OR(Atletas!P287="Chen 25 A",Atletas!P287="Chen 36 A",Atletas!P287="Chen 56 A"),402,IF(Atletas!P287="Sun 73 A",403,IF(Atletas!P287="Wu 45 A",404,IF(Atletas!P287="Wu-Hao 46 A",405,IF(OR(Atletas!P287="Taijiquan 16 A",Atletas!P287="Taijiquan 24 A",Atletas!P287="Taijiquan 32 A",Atletas!P287="Taijiquan 42 A"),406,IF(OR(Atletas!P287="Yang 26 B",Atletas!P287="Yang 40 B"),407,IF(OR(Atletas!P287="Chen 25 B",Atletas!P287="Chen 36 B",Atletas!P287="Chen 56 B"),408,IF(Atletas!P287="Sun 73 B",409,IF(Atletas!P287="Wu 45 B",410,IF(Atletas!P287="Wu-Hao 46 B",411,IF(OR(Atletas!P287="Taijiquan 16 B",Atletas!P287="Taijiquan 24 B",Atletas!P287="Taijiquan 32 B",Atletas!P287="Taijiquan 42 B"),412,IF(OR(Atletas!P287="Yang 26 C",Atletas!P287="Yang 40 C"),413,IF(OR(Atletas!P287="Chen 25 C",Atletas!P287="Chen 36 C",Atletas!P287="Chen 56 C"),414,IF(Atletas!P287="Sun 73 C",415,IF(Atletas!P287="Wu 45 C",416,IF(Atletas!P287="Wu-Hao 46 C",417,IF(OR(Atletas!P287="Taijiquan 16 C",Atletas!P287="Taijiquan 24 C",Atletas!P287="Taijiquan 32 C",Atletas!P287="Taijiquan 42 C"),418,0)))))))))))))))))))</f>
        <v/>
      </c>
      <c r="BX296" s="50" t="str">
        <f>IF(Atletas!P287="","",IF(Atletas!X287&lt;&gt;"",10000,0)+IF(Atletas!B287="Feminino",1000,IF(Atletas!B287="Masculino",2000,""))+IF(OR(Atletas!P287="Yang 26 D",Atletas!P287="Yang 40 D"),419,IF(OR(Atletas!P287="Chen 25 D",Atletas!P287="Chen 36 D",Atletas!P287="Chen 56 D"),420,IF(Atletas!P287="Sun 73 D",421,IF(Atletas!P287="Wu 45 D",422,IF(Atletas!P287="Wu-Hao 46 D",423,IF(OR(Atletas!P287="Taijiquan 16 D",Atletas!P287="Taijiquan 24 D",Atletas!P287="Taijiquan 32 D",Atletas!P287="Taijiquan 42 D"),424,IF(OR(Atletas!P287="Yang 26 E",Atletas!P287="Yang 40 E"),425,IF(OR(Atletas!P287="Chen 25 E",Atletas!P287="Chen 36 E",Atletas!P287="Chen 56 E"),426,IF(Atletas!P287="Sun 73 E",427,IF(Atletas!P287="Wu 45 E",428,IF(Atletas!P287="Wu-Hao 46 E",429,IF(OR(Atletas!P287="Taijiquan 16 E",Atletas!P287="Taijiquan 24 E",Atletas!P287="Taijiquan 32 E",Atletas!P287="Taijiquan 42 E"),430,IF(OR(Atletas!P287="Yang 26 F",Atletas!P287="Yang 40 F"),431,IF(OR(Atletas!P287="Chen 25 F",Atletas!P287="Chen 36 F",Atletas!P287="Chen 56 F"),432,IF(Atletas!P287="Sun 73 F",433,IF(Atletas!P287="Wu 45 F",434,IF(Atletas!P287="Wu-Hao 46 F",435,IF(OR(Atletas!P287="Taijiquan 16 F",Atletas!P287="Taijiquan 24 F",Atletas!P287="Taijiquan 32 F",Atletas!P287="Taijiquan 42 F"),436,0)))))))))))))))))))</f>
        <v/>
      </c>
      <c r="BY296" s="50" t="str">
        <f>IF(Atletas!Q287="","",IF(Atletas!X287&lt;&gt;"",10000,0)+IF(Atletas!B287="Feminino",1000,IF(Atletas!B287="Masculino",2000,""))+IF(Atletas!Q287="Xingyiquan A",501,IF(Atletas!Q287="Baguazhang A",502,IF(Atletas!Q287="Outro Estilo Interno A",503,IF(Atletas!Q287="Xingyiquan B",504,IF(Atletas!Q287="Baguazhang B",505,IF(Atletas!Q287="Outro Estilo Interno B",506,IF(Atletas!Q287="Xingyiquan C",507,IF(Atletas!Q287="Baguazhang C",508,IF(Atletas!Q287="Outro Estilo Interno C",509,IF(Atletas!Q287="Xingyiquan D",510,IF(Atletas!Q287="Baguazhang D",511,IF(Atletas!Q287="Outro Estilo Interno D",512,IF(Atletas!Q287="Xingyiquan E",513,IF(Atletas!Q287="Baguazhang E",514,IF(Atletas!Q287="Outro Estilo Interno E",515,IF(Atletas!Q287="Xingyiquan F",516,IF(Atletas!Q287="Baguazhang F",517,IF(Atletas!Q287="Outro Estilo Interno F",518, "")))))))))))))))))))</f>
        <v/>
      </c>
      <c r="BZ296" s="50" t="str">
        <f>IF(Atletas!R287="","",IF(Atletas!X287&lt;&gt;"",10000,0)+IF(Atletas!B287="Feminino",1000,IF(Atletas!B287="Masculino",2000,""))+IF(Atletas!R287="Dao A",601,IF(Atletas!R287="Jian A",602,IF(Atletas!R287="Bishou A",603,IF(Atletas!R287="Shanzi A",604,IF(Atletas!R287="Outra Arma Curta A",605,IF(Atletas!R287="Dao B",606,IF(Atletas!R287="Jian B",607,IF(Atletas!R287="Bishou B",608,IF(Atletas!R287="Shanzi B",609,IF(Atletas!R287="Outra Arma Curta B",610,IF(Atletas!R287="Dao C",611,IF(Atletas!R287="Jian C",612,IF(Atletas!R287="Bishou C",613,IF(Atletas!R287="Shanzi C",614,IF(Atletas!R287="Outra Arma Curta C",615,IF(Atletas!R287="Dao D",616,IF(Atletas!R287="Jian D",617,IF(Atletas!R287="Bishou D",618,IF(Atletas!R287="Shanzi D",619,IF(Atletas!R287="Outra Arma Curta D",620,IF(Atletas!R287="Dao E",621,IF(Atletas!R287="Jian E",622,IF(Atletas!R287="Bishou E",623,IF(Atletas!R287="Shanzi E",624,IF(Atletas!R287="Outra Arma Curta E",625,IF(Atletas!R287="Dao F",626,IF(Atletas!R287="Jian F",627,IF(Atletas!R287="Bishou F",628,IF(Atletas!R287="Shanzi F",629,IF(Atletas!R287="Outra Arma Curta F",630, "")))))))))))))))))))))))))))))))</f>
        <v/>
      </c>
      <c r="CA296" s="50" t="str">
        <f>IF(Atletas!S287="","",IF(Atletas!X287&lt;&gt;"",10000,0)+IF(Atletas!B287="Feminino",1000,IF(Atletas!B287="Masculino",2000,""))+IF(Atletas!S287="Gun A",701,IF(Atletas!S287="Qiang A",702,IF(Atletas!S287="Pudao / Guandao A",703,IF(Atletas!S287="Outra Arma Longa A",704,IF(Atletas!S287="Gun B",705,IF(Atletas!S287="Qiang B",706,IF(Atletas!S287="Pudao / Guandao B",707,IF(Atletas!S287="Outra Arma Longa B",708,IF(Atletas!S287="Gun C",709,IF(Atletas!S287="Qiang C",710,IF(Atletas!S287="Pudao / Guandao C",711,IF(Atletas!S287="Outra Arma Longa C",712,IF(Atletas!S287="Gun D",713,IF(Atletas!S287="Qiang D",714,IF(Atletas!S287="Pudao / Guandao D",715,IF(Atletas!S287="Outra Arma Longa D",716,IF(Atletas!S287="Gun E",717,IF(Atletas!S287="Qiang E",718,IF(Atletas!S287="Pudao / Guandao E",719,IF(Atletas!S287="Outra Arma Longa E",720,IF(Atletas!S287="Gun F",721,IF(Atletas!S287="Qiang F",722,IF(Atletas!S287="Pudao / Guandao F",723,IF(Atletas!S287="Outra Arma Longa F",724,"")))))))))))))))))))))))))</f>
        <v/>
      </c>
      <c r="CB296" s="50" t="str">
        <f>IF(Atletas!T287="","",IF(Atletas!X287&lt;&gt;"",10000,0)+IF(Atletas!B287="Feminino",1000,IF(Atletas!B287="Masculino",2000,""))+IF(Atletas!T287="Outra Arma Dupla A",801,IF(Atletas!T287="Arma Maleável A",802,IF(Atletas!T287="Outra Arma Dupla B",803,IF(Atletas!T287="Arma Maleável B",804,IF(Atletas!T287="Outra Arma Dupla C",805,IF(Atletas!T287="Arma Maleável C",806,IF(Atletas!T287="Outra Arma Dupla D",807,IF(Atletas!T287="Arma Maleável D",808,IF(Atletas!T287="Outra Arma Dupla E",809,IF(Atletas!T287="Arma Maleável E",810,IF(Atletas!T287="Outra Arma Dupla F",811,IF(Atletas!T287="Arma Maleável F",812,IF(Atletas!T287="Shuangdao A",813,IF(Atletas!T287="Shuangdao B",814,IF(Atletas!T287="Shuangdao C",815,IF(Atletas!T287="Shuangdao D",816,IF(Atletas!T287="Shuangdao E",817,IF(Atletas!T287="Shuangdao F",818,"")))))))))))))))))))</f>
        <v/>
      </c>
      <c r="CC296" s="50" t="str">
        <f>IF(Atletas!U287="","",IF(Atletas!X287&lt;&gt;"",10000,0)+IF(Atletas!B287="Feminino",1000,IF(Atletas!B287="Masculino",2000,""))+IF(OR(Atletas!U287="Taijijian Yang A",Atletas!U287="Taijijian Yang Standard A"),901,IF(OR(Atletas!U287="Taijijian Chen A", Atletas!U287="Taijijian Chen Standard A"),902,IF(Atletas!U287="Taijijian Sun A",903,IF(Atletas!U287="Taijijian Wu A",904,IF(Atletas!U287="Taijijian Wu-Hao A",905,IF(OR(Atletas!U287="Taijijian 32 A",Atletas!U287="Taijijian 42 A"),906,IF(OR(Atletas!U287="Taijijian Yang B",Atletas!U287="Taijijian Yang Standard B"),907,IF(OR(Atletas!U287="Taijijian Chen B", Atletas!U287="Taijijian Chen Standard B"),908,IF(Atletas!U287="Taijijian Sun B",909,IF(Atletas!U287="Taijijian Wu B",910,IF(Atletas!U287="Taijijian Wu-Hao B",911,IF(OR(Atletas!U287="Taijijian 32 B",Atletas!U287="Taijijian 42 B"),912,IF(OR(Atletas!U287="Taijijian Yang C",Atletas!U287="Taijijian Yang Standard C"),913,IF(OR(Atletas!U287="Taijijian Chen C", Atletas!U287="Taijijian Chen Standard C"),914,IF(Atletas!U287="Taijijian Sun C",915,IF(Atletas!U287="Taijijian Wu C",916,IF(Atletas!U287="Taijijian Wu-Hao C",917,IF(OR(Atletas!U287="Taijijian 32 C",Atletas!U287="Taijijian 42 C"),918,IF(OR(Atletas!U287="Taijijian Yang D",Atletas!U287="Taijijian Yang Standard D"),919,IF(OR(Atletas!U287="Taijijian Chen D", Atletas!U287="Taijijian Chen Standard D"),920,IF(Atletas!U287="Taijijian Sun D",921,IF(Atletas!U287="Taijijian Wu D",922,IF(Atletas!U287="Taijijian Wu-Hao D",923,IF(OR(Atletas!U287="Taijijian 32 D",Atletas!U287="Taijijian 42 D"),924,IF(OR(Atletas!U287="Taijijian Yang E",Atletas!U287="Taijijian Yang Standard E"),925,IF(OR(Atletas!U287="Taijijian Chen E", Atletas!U287="Taijijian Chen Standard E"),926,IF(Atletas!U287="Taijijian Sun E",927,IF(Atletas!U287="Taijijian Wu E",928,IF(Atletas!U287="Taijijian Wu-Hao E",929,IF(OR(Atletas!U287="Taijijian 32 E",Atletas!U287="Taijijian 42 E"),930,IF(OR(Atletas!U287="Taijijian Yang F",Atletas!U287="Taijijian Yang Standard F"),931,IF(OR(Atletas!U287="Taijijian Chen F", Atletas!U287="Taijijian Chen Standard F"),932,IF(Atletas!U287="Taijijian Sun F",933,IF(Atletas!U287="Taijijian Wu F",934,IF(Atletas!U287="Taijijian Wu-Hao F",935,IF(OR(Atletas!U287="Taijijian 32 F",Atletas!U287="Taijijian 42 F"),936,"")))))))))))))))))))))))))))))))))))))</f>
        <v/>
      </c>
      <c r="CD296" s="50" t="str">
        <f>IF(Atletas!V287="","",IF(Atletas!X287&lt;&gt;"",10000,0)+IF(Atletas!B287="Feminino",1000,IF(Atletas!B287="Masculino",2000,""))+IF(Atletas!V287="Taijidao A",937,IF(Atletas!V287="TaijiShanzi A",938,IF(Atletas!V287="Taijiqiang A",939,IF(Atletas!V287="Bagua de Arma A",940,IF(Atletas!V287="Xingyi de Arma A",941,IF(Atletas!V287="Taijidao B",942,IF(Atletas!V287="TaijiShanzi B",943,IF(Atletas!V287="Taijiqiang B",944,IF(Atletas!V287="Bagua de Arma B",945,IF(Atletas!V287="Xingyi de Arma B",946,IF(Atletas!V287="Taijidao C",947,IF(Atletas!V287="TaijiShanzi C",948,IF(Atletas!V287="Taijiqiang C",949,IF(Atletas!V287="Bagua de Arma C",950,IF(Atletas!V287="Xingyi de Arma C",951,IF(Atletas!V287="Taijidao D",952,IF(Atletas!V287="TaijiShanzi D",953,IF(Atletas!V287="Taijiqiang D",954,IF(Atletas!V287="Bagua de Arma D",955,IF(Atletas!V287="Xingyi de Arma D",956,IF(Atletas!V287="Taijidao E",957,IF(Atletas!V287="TaijiShanzi E",958,IF(Atletas!V287="Taijiqiang E",959,IF(Atletas!V287="Bagua de Arma E",960,IF(Atletas!V287="Xingyi de Arma E",961,IF(Atletas!V287="Taijidao F",962,IF(Atletas!V287="TaijiShanzi F",963,IF(Atletas!V287="Taijiqiang F",964,IF(Atletas!V287="Bagua de Arma F",965,IF(Atletas!V287="Xingyi de Arma F",966,"")))))))))))))))))))))))))))))))</f>
        <v/>
      </c>
      <c r="CE296" s="66" t="str">
        <f>IF(CF296&lt;&gt;"","Outra Arma Dupla E","")</f>
        <v/>
      </c>
      <c r="CF296" s="66" t="str">
        <f>IF(COUNTIF(BR:CD,1809)&gt;0,COUNTIF(BR:CD,1809),"")</f>
        <v/>
      </c>
      <c r="CG296" s="66" t="str">
        <f>IF(CH296&lt;&gt;"","Outra Arma Dupla E","")</f>
        <v/>
      </c>
      <c r="CH296" s="66" t="str">
        <f>IF(COUNTIF(BT:CF,2809)&gt;0,COUNTIF(BT:CF,2809),"")</f>
        <v/>
      </c>
      <c r="CI296" s="66" t="str">
        <f>IF(CJ297&lt;&gt;"","Taijijian Sun B","")</f>
        <v/>
      </c>
      <c r="CJ296" s="66" t="str">
        <f>IF(COUNTIF(BR:CD,11908)&gt;0,COUNTIF(BR:CD,11908),"")</f>
        <v/>
      </c>
      <c r="CK296" s="66" t="str">
        <f>IF(CL296&lt;&gt;"","Taijijian Chen B","")</f>
        <v/>
      </c>
      <c r="CL296" s="66" t="str">
        <f>IF(COUNTIF(BR:CD,12908)&gt;0,COUNTIF(BR:CD,12908),"")</f>
        <v/>
      </c>
      <c r="CM296" s="50" t="str">
        <f xml:space="preserve"> IF(Atletas!W287="","",IF(Atletas!W287="Duilian de Mãos BC - Equipe 1",1,IF(Atletas!W287="Duilian de Mãos BC - Equipe 2",2,IF(Atletas!W287="Duilian de Armas BC - Equipe 1",3,IF(Atletas!W287="Duilian de Armas BC - Equipe 2",4,IF(Atletas!W287="Duilian de Mãos DE - Equipe 1",5,IF(Atletas!W287="Duilian de Mãos DE - Equipe 2",6,IF(Atletas!W287="Duilian de Armas DE - Equipe 1",7,IF(Atletas!W287="Duilian de Armas DE - Equipe 2",8,IF(Atletas!W287="Duilian de Tuishou - Equipe 1",9,IF(Atletas!W287="Duilian de Tuishou - Equipe 2",10,IF(Atletas!W287="Grupo Externo ABC - Equipe 1",11,IF(Atletas!W287="Grupo Externo ABC - Equipe 2",12,IF(Atletas!W287="Grupo Interno ABC - Equipe 1",13,IF(Atletas!W287="Grupo Interno ABC - Equipe 2",14,IF(Atletas!W287="Grupo Externo DEF - Equipe 1",15,IF(Atletas!W287="Grupo Externo DEF - Equipe 2",16,IF(Atletas!W287="Grupo Interno DEF - Equipe 1",17,IF(Atletas!W287="Grupo Interno DEF - Equipe 2",18,"")))))))))))))))))))</f>
        <v/>
      </c>
    </row>
    <row r="297" spans="2:91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 t="str">
        <f t="array" ref="Z297">IFERROR(INDEX(CE$7:CE$348,SMALL(IF(CE$7:CE$348&lt;&gt;"",ROW(CE$7:CE$348)-ROW(CE$7)+1),ROWS(CE$7:CE296))),"")</f>
        <v/>
      </c>
      <c r="AA297" s="3" t="str">
        <f t="array" ref="AA297">IFERROR(INDEX(CF$7:CF$348,SMALL(IF(CF$7:CF$348&lt;&gt;"",ROW(CF$7:CF$348)-ROW(CF$7)+1),ROWS(CF$7:CF296))),"")</f>
        <v/>
      </c>
      <c r="AB297" s="3" t="str">
        <f t="array" ref="AB297">IFERROR(INDEX(CG$7:CG$348,SMALL(IF(CG$7:CG$348&lt;&gt;"",ROW(CG$7:CG$348)-ROW(CG$7)+1),ROWS(CG$7:CG296))),"")</f>
        <v/>
      </c>
      <c r="AC297" s="3" t="str">
        <f t="array" ref="AC297">IFERROR(INDEX(CH$7:CH$348,SMALL(IF(CH$7:CH$348&lt;&gt;"",ROW(CH$7:CH$348)-ROW(CH$7)+1),ROWS(CH$7:CH296))),"")</f>
        <v/>
      </c>
      <c r="AD297" s="3" t="str">
        <f t="array" ref="AD297">IFERROR(INDEX(CI$7:CI$377,SMALL(IF(CI$7:CI$377&lt;&gt;"",ROW(CI$7:CI$377)-ROW(CI$7)+1),ROWS(CI$7:CI295))),"")</f>
        <v/>
      </c>
      <c r="AE297" s="3" t="str">
        <f t="array" ref="AE297">IFERROR(INDEX(CJ$7:CJ$378,SMALL(IF(CJ$7:CJ$378&lt;&gt;"",ROW(CJ$7:CJ$378)-ROW(CJ$7)+1),ROWS(CJ$7:CJ296))),"")</f>
        <v/>
      </c>
      <c r="AF297" s="3" t="str">
        <f t="array" ref="AF297">IFERROR(INDEX(CK$7:CK$378,SMALL(IF(CK$7:CK$378&lt;&gt;"",ROW(CK$7:CK$378)-ROW(CK$7)+1),ROWS(CK$7:CK296))),"")</f>
        <v/>
      </c>
      <c r="AG297" s="3" t="str">
        <f t="array" ref="AG297">IFERROR(INDEX(CL$7:CL$378,SMALL(IF(CL$7:CL$378&lt;&gt;"",ROW(CL$7:CL$378)-ROW(CL$7)+1),ROWS(CL$7:CL296))),"")</f>
        <v/>
      </c>
      <c r="AH297" s="3"/>
      <c r="AI297" s="3"/>
      <c r="AJ297" s="3"/>
      <c r="AK297" s="3"/>
      <c r="AL297" s="3"/>
      <c r="AM297" s="3"/>
      <c r="AN297" s="52" t="str">
        <f>IF(Atletas!D288="","",IF(Atletas!B288="Feminino",100,IF(Atletas!B288="Masculino",200,""))+(IF(Atletas!D288="Kids 30kg",1,IF(Atletas!D288="Kids 32kg",2, IF(Atletas!D288="Kids 34kg",3,IF(Atletas!D288="Kids 36kg",4,IF(Atletas!D288="Kids 39kg",5,IF(Atletas!D288="Kids 42kg",6,IF(Atletas!D288="Kids 45kg",7, IF(Atletas!D288="Infantil 39kg",8,IF(Atletas!D288="Infantil 42kg",9,IF(Atletas!D288="Infantil 45kg",10,IF(Atletas!D288="Infantil 48kg",11,IF(Atletas!D288="Infantil 52kg",12,IF(Atletas!D288="Infantil 56kg",13,IF(Atletas!D288="Infantil 60kg",14,IF(Atletas!D288="Juvenil 48kg",15,IF(Atletas!D288="Juvenil 52kg",16,IF(Atletas!D288="Juvenil 56kg",17,IF(Atletas!D288="Juvenil 60kg",18,IF(Atletas!D288="Juvenil 65kg",19,IF(Atletas!D288="Juvenil 70kg",20,IF(Atletas!D288="Juvenil 75kg",21,IF(Atletas!D288="Juvenil 80kg",22, IF(Atletas!D288="Juvenil 85kg",23,IF(Atletas!D288="Adulto 48kg",24,IF(Atletas!D288="Adulto 52kg",25,IF(Atletas!D288="Adulto 56kg",26,IF(Atletas!D288="Adulto 60kg",27,IF(Atletas!D288="Adulto 65kg",28,IF(Atletas!D288="Adulto 70kg",29,IF(Atletas!D288="Adulto 75kg",30,IF(Atletas!D288="Adulto 80kg",31,IF(Atletas!D288="Adulto 85kg",32,IF(Atletas!D288="Adulto 90kg",33,IF(Atletas!D288="Adulto 100kg",34, IF(Atletas!D288="Adulto +100kg",35,"")))))))))))))))))))))))))))))))))))))</f>
        <v/>
      </c>
      <c r="AS297" s="6" t="str">
        <f>IF(Atletas!E288="","",IF(Atletas!B288="Feminino",100,IF(Atletas!B288="Masculino",200,""))+(IF(Atletas!E288="Juvenil 44kg",1,IF(Atletas!E288="Juvenil 48kg",2,IF(Atletas!E288="Juvenil 52kg",3,IF(Atletas!E288="Juvenil 56kg",4,IF(Atletas!E288="Juvenil 60kg",5,IF(Atletas!E288="Juvenil 65kg",6,IF(Atletas!E288="Juvenil 70kg",7,IF(Atletas!E288="Juvenil 75kg",8,IF(Atletas!E288="Juvenil 82kg",9,IF(Atletas!E288="Juvenil 90kg",10,IF(Atletas!E288="Juvenil 100kg",11,IF(Atletas!E288="Adulto 48kg",12,IF(Atletas!E288="Adulto 52kg",13,IF(Atletas!E288="Adulto 56kg",14,IF(Atletas!E288="Adulto 60kg",15,IF(Atletas!E288="Adulto 65kg",16,IF(Atletas!E288="Adulto 70kg",17,IF(Atletas!E288="Adulto 75kg",18,IF(Atletas!E288="Adulto 82kg",19,IF(Atletas!E288="Adulto 90kg",20,IF(Atletas!E288="Adulto 100kg",21,IF(Atletas!E288="Adulto +100kg",22,""))))))))))))))))))))))))</f>
        <v/>
      </c>
      <c r="AX297" s="6" t="str">
        <f>IF(Atletas!F288="","",IF(Atletas!B288="Feminino",100,IF(Atletas!B288="Masculino",200,""))+(IF(Atletas!F288="Adulto 48kg",1,IF(Atletas!F288="Adulto 56kg",2,IF(Atletas!F288="Adulto 65kg",3,IF(Atletas!F288="Adulto 75kg",4,IF(Atletas!F288="Adulto +75kg",5,IF(Atletas!F288="Adulto 52kg",6,IF(Atletas!F288="Adulto 60kg",7,IF(Atletas!F288="Adulto 70kg",8,IF(Atletas!F288="Adulto 80kg",9,IF(Atletas!F288="Adulto 90kg",10,IF(Atletas!F288="Adulto +90kg",11,"")))))))))))))</f>
        <v/>
      </c>
      <c r="BC297" s="6" t="str">
        <f>IF(Atletas!G288="","",IF(Atletas!B288="Feminino",10,IF(Atletas!B288="Masculino",20,""))+(IF(Atletas!G288="Baduanjin A",1,IF(Atletas!G288="Baduanjin B",2))))</f>
        <v/>
      </c>
      <c r="BF297" s="52" t="str">
        <f>IF(Atletas!H288="","",IF(Atletas!B288="Feminino",100,IF(Atletas!B288="Masculino",200,""))+(IF(Atletas!H288="Changquan Mirim",1,IF(Atletas!H288="Nanquan Mirim",2,IF(Atletas!H288="Taijiquan Mirim",3,IF(Atletas!H288="Changquan Grupo C",4,IF(Atletas!H288="Nanquan Grupo C",5,IF(Atletas!H288="Taijiquan Grupo C",6,IF(Atletas!H288="Changquan Grupo B",7,IF(Atletas!H288="Nanquan Grupo B",8,IF(Atletas!H288="Taijiquan Grupo B",9,IF(Atletas!H288="Changquan Grupo A",10,IF(Atletas!H288="Nanquan Grupo A",11,IF(Atletas!H288="Taijiquan Grupo A",12,IF(Atletas!H288="Changquan Opcional",13,IF(Atletas!H288="Nanquan Opcional",14,IF(Atletas!H288="Taijiquan Opcional",15,IF(Atletas!H288="Changquan Adulto",16,IF(Atletas!H288="Nanquan Adulto",17,IF(Atletas!H288="Taijiquan Adulto",18,""))))))))))))))))))))</f>
        <v/>
      </c>
      <c r="BG297" s="52" t="str">
        <f>IF(Atletas!I288="","",IF(Atletas!B288="Feminino",100,IF(Atletas!B288="Masculino",200,""))+(IF(Atletas!I288="Daoshu Mirim",19,IF(Atletas!I288="Jianshu Mirim",20,IF(Atletas!I288="Nandao Mirim",21,IF(Atletas!I288="Taijijian Mirim",22,IF(Atletas!I288="Daoshu Grupo C",23,IF(Atletas!I288="Jianshu Grupo C",24,IF(Atletas!I288="Nandao Grupo C",25,IF(Atletas!I288="Taijijian Grupo C",26,IF(Atletas!I288="Daoshu Grupo B",27,IF(Atletas!I288="Jianshu Grupo B",28,IF(Atletas!I288="Nandao Grupo B",29,IF(Atletas!I288="Taijijian Grupo B",30,IF(Atletas!I288="Daoshu Grupo A",31,IF(Atletas!I288="Jianshu Grupo A",32,IF(Atletas!I288="Nandao Grupo A",33,IF(Atletas!I288="Taijijian Grupo A",34,IF(Atletas!I288="Daoshu Opcional",35,IF(Atletas!I288="Jianshu Opcional",36,IF(Atletas!I288="Nandao Opcional",37,IF(Atletas!I288="Taijijian Opcional",38,IF(Atletas!I288="Daoshu Adulto",39,IF(Atletas!I288="Jianshu Adulto",40,IF(Atletas!I288="Nandao Adulto",41,IF(Atletas!I288="Taijijian Adulto",42,""))))))))))))))))))))))))))</f>
        <v/>
      </c>
      <c r="BH297" s="52" t="str">
        <f>IF(Atletas!J288="","",IF(Atletas!B288="Feminino",100,IF(Atletas!B288="Masculino",200,""))+(IF(Atletas!J288="Gunshu Mirim",43,IF(Atletas!J288="Qiangshu Mirim",44,IF(Atletas!J288="Nangun Mirim",45,IF(Atletas!J288="Gunshu Grupo C",46,IF(Atletas!J288="Qiangshu Grupo C",47,IF(Atletas!J288="Nangun Grupo C",48,IF(Atletas!J288="Gunshu Grupo B",49,IF(Atletas!J288="Qiangshu Grupo B",50,IF(Atletas!J288="Nangun Grupo B",51,IF(Atletas!J288="Gunshu Grupo A",52,IF(Atletas!J288="Qiangshu Grupo A",53,IF(Atletas!J288="Nangun Grupo A",54,IF(Atletas!J288="Gunshu Opcional",55,IF(Atletas!J288="Qiangshu Opcional",56,IF(Atletas!J288="Nangun Opcional",57,IF(Atletas!J288="Gunshu Adulto",58,IF(Atletas!J288="Qiangshu Adulto",59,IF(Atletas!J288="Nangun Adulto",60,IF(Atletas!J288="Taijishan Grupo B",61,IF(Atletas!J288="Taijishan Grupo A",62,""))))))))))))))))))))))</f>
        <v/>
      </c>
      <c r="BM297" s="50" t="str">
        <f>IF(Atletas!K288="","",IF(Atletas!B288="Feminino",100,IF(Atletas!B288="Masculino",200,""))+(IF(Atletas!K288="Equipe 1 Grupo B",1,IF(Atletas!K288="Equipe 2 Grupo B",2,IF(Atletas!K288="Equipe 1 Grupo A",3,IF(Atletas!K288="Equipe 2 Grupo A",4,IF(Atletas!K288="Equipe 1 Adulto",5,IF(Atletas!K288="Equipe 2 Adulto",6,""))))))))</f>
        <v/>
      </c>
      <c r="BR297" s="50" t="str">
        <f>IF(Atletas!L288="","",IF(Atletas!X288&lt;&gt;"",10000,0)+(IF(Atletas!B288="Feminino",1000,IF(Atletas!B288="Masculino",2000,""))+IF(Atletas!L288="Choylayfut A",1,IF(Atletas!L288="Hunggar A",2,IF(Atletas!L288="Wuzuquan A",3,IF(Atletas!L288="Wingchun A",4,IF(Atletas!L288="Outra Mão de Sul A",5,IF(Atletas!L288="Choylayfut B",6,IF(Atletas!L288="Hunggar B",7,IF(Atletas!L288="Wuzuquan B",8,IF(Atletas!L288="Wingchun B",9,IF(Atletas!L288="Outra Mão de Sul B",10,IF(Atletas!L288="Choylayfut C",11,IF(Atletas!L288="Hunggar C",12,IF(Atletas!L288="Wuzuquan C",13,IF(Atletas!L288="Wingchun C",14,IF(Atletas!L288="Outra Mão de Sul C",15,IF(Atletas!L288="Choylayfut D",16,IF(Atletas!L288="Hunggar D",17,IF(Atletas!L288="Wuzuquan D",18,IF(Atletas!L288="Wingchun D",19,IF(Atletas!L288="Outra Mão de Sul D",20,IF(Atletas!L288="Choylayfut E",21,IF(Atletas!L288="Hunggar E",22,IF(Atletas!L288="Wuzuquan E",23,IF(Atletas!L288="Wingchun E",24,IF(Atletas!L288="Outra Mão de Sul E",25,IF(Atletas!L288="Choylayfut F",26,IF(Atletas!L288="Hunggar F",27,IF(Atletas!L288="Wuzuquan F",28,IF(Atletas!L288="Wingchun F",29,IF(Atletas!L288="Outra Mão de Sul F",30,IF(Atletas!L288="Dishuquan A",31,IF(Atletas!L288="Dishuquan B",32,IF(Atletas!L288="Dishuquan C",33,IF(Atletas!L288="Dishuquan D",34,IF(Atletas!L288="Dishuquan E",35,IF(Atletas!L288="Dishuquan F",36,""))))))))))))))))))))))))))))))))))))))</f>
        <v/>
      </c>
      <c r="BS297" s="50" t="str">
        <f>IF(Atletas!M288="","",IF(Atletas!X288&lt;&gt;"",10000,0)+(IF(Atletas!B288="Feminino",1000,IF(Atletas!B288="Masculino",2000,""))+(IF(Atletas!M288="Chaquan A",101,IF(Atletas!M288="Emeiquan A",102,IF(Atletas!M288="Fanziquan A",103,IF(Atletas!M288="Huaquan A",104,IF(Atletas!M288="Hongquan A",105,IF(Atletas!M288="Paoquan A",106,IF(Atletas!M288="Piguaquan A",107,IF(Atletas!M288="Shaolinquan A",108,IF(Atletas!M288="Tanglangquan A",109,IF(Atletas!M288="Yingzhaoquan A",110,IF(Atletas!M288="Tongbeiquan A",111,IF(Atletas!M288="Wudangquan A",112,IF(Atletas!M288="Outros Estilos A",113,IF(Atletas!M288="Chaquan B",114,IF(Atletas!M288="Emeiquan B",115,IF(Atletas!M288="Fanziquan B",116,IF(Atletas!M288="Huaquan B",117,IF(Atletas!M288="Hongquan B",118,IF(Atletas!M288="Paoquan B",119,IF(Atletas!M288="Piguaquan B",120,IF(Atletas!M288="Shaolinquan B",121,IF(Atletas!M288="Tanglangquan B",122,IF(Atletas!M288="Yingzhaoquan B",123,IF(Atletas!M288="Tongbeiquan B",124,IF(Atletas!M288="Wudangquan B",125,IF(Atletas!M288="Outros Estilos B",126,IF(Atletas!M288="Chaquan C",127,IF(Atletas!M288="Emeiquan C",128,IF(Atletas!M288="Fanziquan C",129,IF(Atletas!M288="Huaquan C",130,IF(Atletas!M288="Hongquan C",131,IF(Atletas!M288="Paoquan C",132,IF(Atletas!M288="Piguaquan C",133,IF(Atletas!M288="Shaolinquan C",134,IF(Atletas!M288="Tanglangquan C",135,IF(Atletas!M288="Yingzhaoquan C",136,IF(Atletas!M288="Tongbeiquan C",137,IF(Atletas!M288="Wudangquan C",138,IF(Atletas!M288="Outros Estilos C",139,0))))))))))))))))))))))))))))))))))))))))))</f>
        <v/>
      </c>
      <c r="BT297" s="50" t="str">
        <f>IF(Atletas!M288="","",IF(Atletas!X288&lt;&gt;"",10000,0)+(IF(Atletas!B288="Feminino",1000,IF(Atletas!B288="Masculino",2000,""))+(IF(Atletas!M288="Chaquan D",140,IF(Atletas!M288="Emeiquan D",141,IF(Atletas!M288="Fanziquan D",142,IF(Atletas!M288="Huaquan D",143,IF(Atletas!M288="Hongquan D",144,IF(Atletas!M288="Paoquan D",145,IF(Atletas!M288="Piguaquan D",146,IF(Atletas!M288="Shaolinquan D",147,IF(Atletas!M288="Tanglangquan D",148,IF(Atletas!M288="Yingzhaoquan D",149,IF(Atletas!M288="Tongbeiquan D",150,IF(Atletas!M288="Wudangquan D",151,IF(Atletas!M288="Outros Estilos D",152,IF(Atletas!M288="Chaquan E",153,IF(Atletas!M288="Emeiquan E",154,IF(Atletas!M288="Fanziquan E",155,IF(Atletas!M288="Huaquan E",156,IF(Atletas!M288="Hongquan E",157,IF(Atletas!M288="Paoquan E",158,IF(Atletas!M288="Piguaquan E",159,IF(Atletas!M288="Shaolinquan E",160,IF(Atletas!M288="Tanglangquan E",161,IF(Atletas!M288="Yingzhaoquan E",162,IF(Atletas!M288="Tongbeiquan E",163,IF(Atletas!M288="Wudangquan E",164,IF(Atletas!M288="Outros Estilos E",165,IF(Atletas!M288="Chaquan F",166,IF(Atletas!M288="Emeiquan F",167,IF(Atletas!M288="Fanziquan F",168,IF(Atletas!M288="Huaquan F",169,IF(Atletas!M288="Hongquan F",170,IF(Atletas!M288="Paoquan F",171,IF(Atletas!M288="Piguaquan F",172,IF(Atletas!M288="Shaolinquan F",173,IF(Atletas!M288="Tanglangquan F",174,IF(Atletas!M288="Yingzhaoquan F",175,IF(Atletas!M288="Tongbeiquan F",176,IF(Atletas!M288="Wudangquan F",177,IF(Atletas!M288="Outros Estilos F",178,0))))))))))))))))))))))))))))))))))))))))))</f>
        <v/>
      </c>
      <c r="BU297" s="50" t="str">
        <f>IF(Atletas!N288="","",IF(Atletas!X288&lt;&gt;"",10000,0)+(IF(Atletas!B288="Feminino",1000,IF(Atletas!B288="Masculino",2000,""))+(IF(Atletas!N288="Ditangquan A",201,IF(Atletas!N288="Houquan A",202,IF(Atletas!N288="Zuiquan A",203,IF(Atletas!N288="Ditangquan B",204,IF(Atletas!N288="Houquan B",205,IF(Atletas!N288="Zuiquan B",206,IF(Atletas!N288="Ditangquan C",207,IF(Atletas!N288="Houquan C",208,IF(Atletas!N288="Zuiquan C",209,IF(Atletas!N288="Ditangquan D",210,IF(Atletas!N288="Houquan D",211,IF(Atletas!N288="Zuiquan D",212,IF(Atletas!N288="Ditangquan E",213,IF(Atletas!N288="Houquan E",214,IF(Atletas!N288="Zuiquan E",215,IF(Atletas!N288="Ditangquan F",216,IF(Atletas!N288="Houquan F",217,IF(Atletas!N288="Zuiquan F",218,"")))))))))))))))))))))</f>
        <v/>
      </c>
      <c r="BV297" s="50" t="str">
        <f>IF(Atletas!O288="","",IF(Atletas!X288&lt;&gt;"",10000,0)+IF(Atletas!B288="Feminino",1000,IF(Atletas!B288="Masculino",2000,""))+IF(Atletas!O288="Yang A",301,IF(Atletas!O288="Chen A",302,IF(Atletas!O288="Sun A",303,IF(Atletas!O288="Wu A",304,IF(Atletas!O288="Wu-Hao A",305,IF(Atletas!O288="Outro Taijiquan A",306,IF(Atletas!O288="Yang B",307,IF(Atletas!O288="Chen B",308,IF(Atletas!O288="Sun B",309,IF(Atletas!O288="Wu B",310,IF(Atletas!O288="Wu-Hao B",311,IF(Atletas!O288="Outro Taijiquan B",312,IF(Atletas!O288="Yang C",313,IF(Atletas!O288="Chen C",314,IF(Atletas!O288="Sun C",315,IF(Atletas!O288="Wu C",316,IF(Atletas!O288="Wu-Hao C",317,IF(Atletas!O288="Outro Taijiquan C",318,IF(Atletas!O288="Yang D",319,IF(Atletas!O288="Chen D",320,IF(Atletas!O288="Sun D",321,IF(Atletas!O288="Wu D",322,IF(Atletas!O288="Wu-Hao D",323,IF(Atletas!O288="Outro Taijiquan D",324,IF(Atletas!O288="Yang E",325,IF(Atletas!O288="Chen E",326,IF(Atletas!O288="Sun E",327,IF(Atletas!O288="Wu E",328,IF(Atletas!O288="Wu-Hao E",329,IF(Atletas!O288="Outro Taijiquan E",330,IF(Atletas!O288="Yang F",331,IF(Atletas!O288="Chen F",332,IF(Atletas!O288="Sun F",333,IF(Atletas!O288="Wu F",334,IF(Atletas!O288="Wu-Hao F",335,IF(Atletas!O288="Outro Taijiquan F",336,"")))))))))))))))))))))))))))))))))))))</f>
        <v/>
      </c>
      <c r="BW297" s="50" t="str">
        <f>IF(Atletas!P288="","",IF(Atletas!X288&lt;&gt;"",10000,0)+IF(Atletas!B288="Feminino",1000,IF(Atletas!B288="Masculino",2000,""))+IF(OR(Atletas!P288="Yang 26 A",Atletas!P288="Yang 40 A"),401,IF(OR(Atletas!P288="Chen 25 A",Atletas!P288="Chen 36 A",Atletas!P288="Chen 56 A"),402,IF(Atletas!P288="Sun 73 A",403,IF(Atletas!P288="Wu 45 A",404,IF(Atletas!P288="Wu-Hao 46 A",405,IF(OR(Atletas!P288="Taijiquan 16 A",Atletas!P288="Taijiquan 24 A",Atletas!P288="Taijiquan 32 A",Atletas!P288="Taijiquan 42 A"),406,IF(OR(Atletas!P288="Yang 26 B",Atletas!P288="Yang 40 B"),407,IF(OR(Atletas!P288="Chen 25 B",Atletas!P288="Chen 36 B",Atletas!P288="Chen 56 B"),408,IF(Atletas!P288="Sun 73 B",409,IF(Atletas!P288="Wu 45 B",410,IF(Atletas!P288="Wu-Hao 46 B",411,IF(OR(Atletas!P288="Taijiquan 16 B",Atletas!P288="Taijiquan 24 B",Atletas!P288="Taijiquan 32 B",Atletas!P288="Taijiquan 42 B"),412,IF(OR(Atletas!P288="Yang 26 C",Atletas!P288="Yang 40 C"),413,IF(OR(Atletas!P288="Chen 25 C",Atletas!P288="Chen 36 C",Atletas!P288="Chen 56 C"),414,IF(Atletas!P288="Sun 73 C",415,IF(Atletas!P288="Wu 45 C",416,IF(Atletas!P288="Wu-Hao 46 C",417,IF(OR(Atletas!P288="Taijiquan 16 C",Atletas!P288="Taijiquan 24 C",Atletas!P288="Taijiquan 32 C",Atletas!P288="Taijiquan 42 C"),418,0)))))))))))))))))))</f>
        <v/>
      </c>
      <c r="BX297" s="50" t="str">
        <f>IF(Atletas!P288="","",IF(Atletas!X288&lt;&gt;"",10000,0)+IF(Atletas!B288="Feminino",1000,IF(Atletas!B288="Masculino",2000,""))+IF(OR(Atletas!P288="Yang 26 D",Atletas!P288="Yang 40 D"),419,IF(OR(Atletas!P288="Chen 25 D",Atletas!P288="Chen 36 D",Atletas!P288="Chen 56 D"),420,IF(Atletas!P288="Sun 73 D",421,IF(Atletas!P288="Wu 45 D",422,IF(Atletas!P288="Wu-Hao 46 D",423,IF(OR(Atletas!P288="Taijiquan 16 D",Atletas!P288="Taijiquan 24 D",Atletas!P288="Taijiquan 32 D",Atletas!P288="Taijiquan 42 D"),424,IF(OR(Atletas!P288="Yang 26 E",Atletas!P288="Yang 40 E"),425,IF(OR(Atletas!P288="Chen 25 E",Atletas!P288="Chen 36 E",Atletas!P288="Chen 56 E"),426,IF(Atletas!P288="Sun 73 E",427,IF(Atletas!P288="Wu 45 E",428,IF(Atletas!P288="Wu-Hao 46 E",429,IF(OR(Atletas!P288="Taijiquan 16 E",Atletas!P288="Taijiquan 24 E",Atletas!P288="Taijiquan 32 E",Atletas!P288="Taijiquan 42 E"),430,IF(OR(Atletas!P288="Yang 26 F",Atletas!P288="Yang 40 F"),431,IF(OR(Atletas!P288="Chen 25 F",Atletas!P288="Chen 36 F",Atletas!P288="Chen 56 F"),432,IF(Atletas!P288="Sun 73 F",433,IF(Atletas!P288="Wu 45 F",434,IF(Atletas!P288="Wu-Hao 46 F",435,IF(OR(Atletas!P288="Taijiquan 16 F",Atletas!P288="Taijiquan 24 F",Atletas!P288="Taijiquan 32 F",Atletas!P288="Taijiquan 42 F"),436,0)))))))))))))))))))</f>
        <v/>
      </c>
      <c r="BY297" s="50" t="str">
        <f>IF(Atletas!Q288="","",IF(Atletas!X288&lt;&gt;"",10000,0)+IF(Atletas!B288="Feminino",1000,IF(Atletas!B288="Masculino",2000,""))+IF(Atletas!Q288="Xingyiquan A",501,IF(Atletas!Q288="Baguazhang A",502,IF(Atletas!Q288="Outro Estilo Interno A",503,IF(Atletas!Q288="Xingyiquan B",504,IF(Atletas!Q288="Baguazhang B",505,IF(Atletas!Q288="Outro Estilo Interno B",506,IF(Atletas!Q288="Xingyiquan C",507,IF(Atletas!Q288="Baguazhang C",508,IF(Atletas!Q288="Outro Estilo Interno C",509,IF(Atletas!Q288="Xingyiquan D",510,IF(Atletas!Q288="Baguazhang D",511,IF(Atletas!Q288="Outro Estilo Interno D",512,IF(Atletas!Q288="Xingyiquan E",513,IF(Atletas!Q288="Baguazhang E",514,IF(Atletas!Q288="Outro Estilo Interno E",515,IF(Atletas!Q288="Xingyiquan F",516,IF(Atletas!Q288="Baguazhang F",517,IF(Atletas!Q288="Outro Estilo Interno F",518, "")))))))))))))))))))</f>
        <v/>
      </c>
      <c r="BZ297" s="50" t="str">
        <f>IF(Atletas!R288="","",IF(Atletas!X288&lt;&gt;"",10000,0)+IF(Atletas!B288="Feminino",1000,IF(Atletas!B288="Masculino",2000,""))+IF(Atletas!R288="Dao A",601,IF(Atletas!R288="Jian A",602,IF(Atletas!R288="Bishou A",603,IF(Atletas!R288="Shanzi A",604,IF(Atletas!R288="Outra Arma Curta A",605,IF(Atletas!R288="Dao B",606,IF(Atletas!R288="Jian B",607,IF(Atletas!R288="Bishou B",608,IF(Atletas!R288="Shanzi B",609,IF(Atletas!R288="Outra Arma Curta B",610,IF(Atletas!R288="Dao C",611,IF(Atletas!R288="Jian C",612,IF(Atletas!R288="Bishou C",613,IF(Atletas!R288="Shanzi C",614,IF(Atletas!R288="Outra Arma Curta C",615,IF(Atletas!R288="Dao D",616,IF(Atletas!R288="Jian D",617,IF(Atletas!R288="Bishou D",618,IF(Atletas!R288="Shanzi D",619,IF(Atletas!R288="Outra Arma Curta D",620,IF(Atletas!R288="Dao E",621,IF(Atletas!R288="Jian E",622,IF(Atletas!R288="Bishou E",623,IF(Atletas!R288="Shanzi E",624,IF(Atletas!R288="Outra Arma Curta E",625,IF(Atletas!R288="Dao F",626,IF(Atletas!R288="Jian F",627,IF(Atletas!R288="Bishou F",628,IF(Atletas!R288="Shanzi F",629,IF(Atletas!R288="Outra Arma Curta F",630, "")))))))))))))))))))))))))))))))</f>
        <v/>
      </c>
      <c r="CA297" s="50" t="str">
        <f>IF(Atletas!S288="","",IF(Atletas!X288&lt;&gt;"",10000,0)+IF(Atletas!B288="Feminino",1000,IF(Atletas!B288="Masculino",2000,""))+IF(Atletas!S288="Gun A",701,IF(Atletas!S288="Qiang A",702,IF(Atletas!S288="Pudao / Guandao A",703,IF(Atletas!S288="Outra Arma Longa A",704,IF(Atletas!S288="Gun B",705,IF(Atletas!S288="Qiang B",706,IF(Atletas!S288="Pudao / Guandao B",707,IF(Atletas!S288="Outra Arma Longa B",708,IF(Atletas!S288="Gun C",709,IF(Atletas!S288="Qiang C",710,IF(Atletas!S288="Pudao / Guandao C",711,IF(Atletas!S288="Outra Arma Longa C",712,IF(Atletas!S288="Gun D",713,IF(Atletas!S288="Qiang D",714,IF(Atletas!S288="Pudao / Guandao D",715,IF(Atletas!S288="Outra Arma Longa D",716,IF(Atletas!S288="Gun E",717,IF(Atletas!S288="Qiang E",718,IF(Atletas!S288="Pudao / Guandao E",719,IF(Atletas!S288="Outra Arma Longa E",720,IF(Atletas!S288="Gun F",721,IF(Atletas!S288="Qiang F",722,IF(Atletas!S288="Pudao / Guandao F",723,IF(Atletas!S288="Outra Arma Longa F",724,"")))))))))))))))))))))))))</f>
        <v/>
      </c>
      <c r="CB297" s="50" t="str">
        <f>IF(Atletas!T288="","",IF(Atletas!X288&lt;&gt;"",10000,0)+IF(Atletas!B288="Feminino",1000,IF(Atletas!B288="Masculino",2000,""))+IF(Atletas!T288="Outra Arma Dupla A",801,IF(Atletas!T288="Arma Maleável A",802,IF(Atletas!T288="Outra Arma Dupla B",803,IF(Atletas!T288="Arma Maleável B",804,IF(Atletas!T288="Outra Arma Dupla C",805,IF(Atletas!T288="Arma Maleável C",806,IF(Atletas!T288="Outra Arma Dupla D",807,IF(Atletas!T288="Arma Maleável D",808,IF(Atletas!T288="Outra Arma Dupla E",809,IF(Atletas!T288="Arma Maleável E",810,IF(Atletas!T288="Outra Arma Dupla F",811,IF(Atletas!T288="Arma Maleável F",812,IF(Atletas!T288="Shuangdao A",813,IF(Atletas!T288="Shuangdao B",814,IF(Atletas!T288="Shuangdao C",815,IF(Atletas!T288="Shuangdao D",816,IF(Atletas!T288="Shuangdao E",817,IF(Atletas!T288="Shuangdao F",818,"")))))))))))))))))))</f>
        <v/>
      </c>
      <c r="CC297" s="50" t="str">
        <f>IF(Atletas!U288="","",IF(Atletas!X288&lt;&gt;"",10000,0)+IF(Atletas!B288="Feminino",1000,IF(Atletas!B288="Masculino",2000,""))+IF(OR(Atletas!U288="Taijijian Yang A",Atletas!U288="Taijijian Yang Standard A"),901,IF(OR(Atletas!U288="Taijijian Chen A", Atletas!U288="Taijijian Chen Standard A"),902,IF(Atletas!U288="Taijijian Sun A",903,IF(Atletas!U288="Taijijian Wu A",904,IF(Atletas!U288="Taijijian Wu-Hao A",905,IF(OR(Atletas!U288="Taijijian 32 A",Atletas!U288="Taijijian 42 A"),906,IF(OR(Atletas!U288="Taijijian Yang B",Atletas!U288="Taijijian Yang Standard B"),907,IF(OR(Atletas!U288="Taijijian Chen B", Atletas!U288="Taijijian Chen Standard B"),908,IF(Atletas!U288="Taijijian Sun B",909,IF(Atletas!U288="Taijijian Wu B",910,IF(Atletas!U288="Taijijian Wu-Hao B",911,IF(OR(Atletas!U288="Taijijian 32 B",Atletas!U288="Taijijian 42 B"),912,IF(OR(Atletas!U288="Taijijian Yang C",Atletas!U288="Taijijian Yang Standard C"),913,IF(OR(Atletas!U288="Taijijian Chen C", Atletas!U288="Taijijian Chen Standard C"),914,IF(Atletas!U288="Taijijian Sun C",915,IF(Atletas!U288="Taijijian Wu C",916,IF(Atletas!U288="Taijijian Wu-Hao C",917,IF(OR(Atletas!U288="Taijijian 32 C",Atletas!U288="Taijijian 42 C"),918,IF(OR(Atletas!U288="Taijijian Yang D",Atletas!U288="Taijijian Yang Standard D"),919,IF(OR(Atletas!U288="Taijijian Chen D", Atletas!U288="Taijijian Chen Standard D"),920,IF(Atletas!U288="Taijijian Sun D",921,IF(Atletas!U288="Taijijian Wu D",922,IF(Atletas!U288="Taijijian Wu-Hao D",923,IF(OR(Atletas!U288="Taijijian 32 D",Atletas!U288="Taijijian 42 D"),924,IF(OR(Atletas!U288="Taijijian Yang E",Atletas!U288="Taijijian Yang Standard E"),925,IF(OR(Atletas!U288="Taijijian Chen E", Atletas!U288="Taijijian Chen Standard E"),926,IF(Atletas!U288="Taijijian Sun E",927,IF(Atletas!U288="Taijijian Wu E",928,IF(Atletas!U288="Taijijian Wu-Hao E",929,IF(OR(Atletas!U288="Taijijian 32 E",Atletas!U288="Taijijian 42 E"),930,IF(OR(Atletas!U288="Taijijian Yang F",Atletas!U288="Taijijian Yang Standard F"),931,IF(OR(Atletas!U288="Taijijian Chen F", Atletas!U288="Taijijian Chen Standard F"),932,IF(Atletas!U288="Taijijian Sun F",933,IF(Atletas!U288="Taijijian Wu F",934,IF(Atletas!U288="Taijijian Wu-Hao F",935,IF(OR(Atletas!U288="Taijijian 32 F",Atletas!U288="Taijijian 42 F"),936,"")))))))))))))))))))))))))))))))))))))</f>
        <v/>
      </c>
      <c r="CD297" s="50" t="str">
        <f>IF(Atletas!V288="","",IF(Atletas!X288&lt;&gt;"",10000,0)+IF(Atletas!B288="Feminino",1000,IF(Atletas!B288="Masculino",2000,""))+IF(Atletas!V288="Taijidao A",937,IF(Atletas!V288="TaijiShanzi A",938,IF(Atletas!V288="Taijiqiang A",939,IF(Atletas!V288="Bagua de Arma A",940,IF(Atletas!V288="Xingyi de Arma A",941,IF(Atletas!V288="Taijidao B",942,IF(Atletas!V288="TaijiShanzi B",943,IF(Atletas!V288="Taijiqiang B",944,IF(Atletas!V288="Bagua de Arma B",945,IF(Atletas!V288="Xingyi de Arma B",946,IF(Atletas!V288="Taijidao C",947,IF(Atletas!V288="TaijiShanzi C",948,IF(Atletas!V288="Taijiqiang C",949,IF(Atletas!V288="Bagua de Arma C",950,IF(Atletas!V288="Xingyi de Arma C",951,IF(Atletas!V288="Taijidao D",952,IF(Atletas!V288="TaijiShanzi D",953,IF(Atletas!V288="Taijiqiang D",954,IF(Atletas!V288="Bagua de Arma D",955,IF(Atletas!V288="Xingyi de Arma D",956,IF(Atletas!V288="Taijidao E",957,IF(Atletas!V288="TaijiShanzi E",958,IF(Atletas!V288="Taijiqiang E",959,IF(Atletas!V288="Bagua de Arma E",960,IF(Atletas!V288="Xingyi de Arma E",961,IF(Atletas!V288="Taijidao F",962,IF(Atletas!V288="TaijiShanzi F",963,IF(Atletas!V288="Taijiqiang F",964,IF(Atletas!V288="Bagua de Arma F",965,IF(Atletas!V288="Xingyi de Arma F",966,"")))))))))))))))))))))))))))))))</f>
        <v/>
      </c>
      <c r="CE297" s="66" t="str">
        <f>IF(CF297&lt;&gt;"","Outra Arma Maleável E","")</f>
        <v/>
      </c>
      <c r="CF297" s="66" t="str">
        <f>IF(COUNTIF(BR:CD,1810)&gt;0,COUNTIF(BR:CD,1810),"")</f>
        <v/>
      </c>
      <c r="CG297" s="66" t="str">
        <f>IF(CH297&lt;&gt;"","Outra Arma Maleável E","")</f>
        <v/>
      </c>
      <c r="CH297" s="66" t="str">
        <f>IF(COUNTIF(BT:CF,2810)&gt;0,COUNTIF(BT:CF,2810),"")</f>
        <v/>
      </c>
      <c r="CI297" s="66" t="str">
        <f>IF(CJ298&lt;&gt;"","Taijijian Wu B","")</f>
        <v/>
      </c>
      <c r="CJ297" s="66" t="str">
        <f>IF(COUNTIF(BR:CD,11909)&gt;0,COUNTIF(BR:CD,11909),"")</f>
        <v/>
      </c>
      <c r="CK297" s="66" t="str">
        <f>IF(CL297&lt;&gt;"","Taijijian Sun B","")</f>
        <v/>
      </c>
      <c r="CL297" s="66" t="str">
        <f>IF(COUNTIF(BR:CD,12909)&gt;0,COUNTIF(BR:CD,12909),"")</f>
        <v/>
      </c>
      <c r="CM297" s="50" t="str">
        <f xml:space="preserve"> IF(Atletas!W288="","",IF(Atletas!W288="Duilian de Mãos BC - Equipe 1",1,IF(Atletas!W288="Duilian de Mãos BC - Equipe 2",2,IF(Atletas!W288="Duilian de Armas BC - Equipe 1",3,IF(Atletas!W288="Duilian de Armas BC - Equipe 2",4,IF(Atletas!W288="Duilian de Mãos DE - Equipe 1",5,IF(Atletas!W288="Duilian de Mãos DE - Equipe 2",6,IF(Atletas!W288="Duilian de Armas DE - Equipe 1",7,IF(Atletas!W288="Duilian de Armas DE - Equipe 2",8,IF(Atletas!W288="Duilian de Tuishou - Equipe 1",9,IF(Atletas!W288="Duilian de Tuishou - Equipe 2",10,IF(Atletas!W288="Grupo Externo ABC - Equipe 1",11,IF(Atletas!W288="Grupo Externo ABC - Equipe 2",12,IF(Atletas!W288="Grupo Interno ABC - Equipe 1",13,IF(Atletas!W288="Grupo Interno ABC - Equipe 2",14,IF(Atletas!W288="Grupo Externo DEF - Equipe 1",15,IF(Atletas!W288="Grupo Externo DEF - Equipe 2",16,IF(Atletas!W288="Grupo Interno DEF - Equipe 1",17,IF(Atletas!W288="Grupo Interno DEF - Equipe 2",18,"")))))))))))))))))))</f>
        <v/>
      </c>
    </row>
    <row r="298" spans="2:91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 t="str">
        <f t="array" ref="Z298">IFERROR(INDEX(CE$7:CE$348,SMALL(IF(CE$7:CE$348&lt;&gt;"",ROW(CE$7:CE$348)-ROW(CE$7)+1),ROWS(CE$7:CE297))),"")</f>
        <v/>
      </c>
      <c r="AA298" s="3" t="str">
        <f t="array" ref="AA298">IFERROR(INDEX(CF$7:CF$348,SMALL(IF(CF$7:CF$348&lt;&gt;"",ROW(CF$7:CF$348)-ROW(CF$7)+1),ROWS(CF$7:CF297))),"")</f>
        <v/>
      </c>
      <c r="AB298" s="3" t="str">
        <f t="array" ref="AB298">IFERROR(INDEX(CG$7:CG$348,SMALL(IF(CG$7:CG$348&lt;&gt;"",ROW(CG$7:CG$348)-ROW(CG$7)+1),ROWS(CG$7:CG297))),"")</f>
        <v/>
      </c>
      <c r="AC298" s="3" t="str">
        <f t="array" ref="AC298">IFERROR(INDEX(CH$7:CH$348,SMALL(IF(CH$7:CH$348&lt;&gt;"",ROW(CH$7:CH$348)-ROW(CH$7)+1),ROWS(CH$7:CH297))),"")</f>
        <v/>
      </c>
      <c r="AD298" s="3" t="str">
        <f t="array" ref="AD298">IFERROR(INDEX(CI$7:CI$377,SMALL(IF(CI$7:CI$377&lt;&gt;"",ROW(CI$7:CI$377)-ROW(CI$7)+1),ROWS(CI$7:CI296))),"")</f>
        <v/>
      </c>
      <c r="AE298" s="3" t="str">
        <f t="array" ref="AE298">IFERROR(INDEX(CJ$7:CJ$378,SMALL(IF(CJ$7:CJ$378&lt;&gt;"",ROW(CJ$7:CJ$378)-ROW(CJ$7)+1),ROWS(CJ$7:CJ297))),"")</f>
        <v/>
      </c>
      <c r="AF298" s="3" t="str">
        <f t="array" ref="AF298">IFERROR(INDEX(CK$7:CK$378,SMALL(IF(CK$7:CK$378&lt;&gt;"",ROW(CK$7:CK$378)-ROW(CK$7)+1),ROWS(CK$7:CK297))),"")</f>
        <v/>
      </c>
      <c r="AG298" s="3" t="str">
        <f t="array" ref="AG298">IFERROR(INDEX(CL$7:CL$378,SMALL(IF(CL$7:CL$378&lt;&gt;"",ROW(CL$7:CL$378)-ROW(CL$7)+1),ROWS(CL$7:CL297))),"")</f>
        <v/>
      </c>
      <c r="AH298" s="3"/>
      <c r="AI298" s="3"/>
      <c r="AJ298" s="3"/>
      <c r="AK298" s="3"/>
      <c r="AL298" s="3"/>
      <c r="AM298" s="3"/>
      <c r="AN298" s="52" t="str">
        <f>IF(Atletas!D289="","",IF(Atletas!B289="Feminino",100,IF(Atletas!B289="Masculino",200,""))+(IF(Atletas!D289="Kids 30kg",1,IF(Atletas!D289="Kids 32kg",2, IF(Atletas!D289="Kids 34kg",3,IF(Atletas!D289="Kids 36kg",4,IF(Atletas!D289="Kids 39kg",5,IF(Atletas!D289="Kids 42kg",6,IF(Atletas!D289="Kids 45kg",7, IF(Atletas!D289="Infantil 39kg",8,IF(Atletas!D289="Infantil 42kg",9,IF(Atletas!D289="Infantil 45kg",10,IF(Atletas!D289="Infantil 48kg",11,IF(Atletas!D289="Infantil 52kg",12,IF(Atletas!D289="Infantil 56kg",13,IF(Atletas!D289="Infantil 60kg",14,IF(Atletas!D289="Juvenil 48kg",15,IF(Atletas!D289="Juvenil 52kg",16,IF(Atletas!D289="Juvenil 56kg",17,IF(Atletas!D289="Juvenil 60kg",18,IF(Atletas!D289="Juvenil 65kg",19,IF(Atletas!D289="Juvenil 70kg",20,IF(Atletas!D289="Juvenil 75kg",21,IF(Atletas!D289="Juvenil 80kg",22, IF(Atletas!D289="Juvenil 85kg",23,IF(Atletas!D289="Adulto 48kg",24,IF(Atletas!D289="Adulto 52kg",25,IF(Atletas!D289="Adulto 56kg",26,IF(Atletas!D289="Adulto 60kg",27,IF(Atletas!D289="Adulto 65kg",28,IF(Atletas!D289="Adulto 70kg",29,IF(Atletas!D289="Adulto 75kg",30,IF(Atletas!D289="Adulto 80kg",31,IF(Atletas!D289="Adulto 85kg",32,IF(Atletas!D289="Adulto 90kg",33,IF(Atletas!D289="Adulto 100kg",34, IF(Atletas!D289="Adulto +100kg",35,"")))))))))))))))))))))))))))))))))))))</f>
        <v/>
      </c>
      <c r="AS298" s="6" t="str">
        <f>IF(Atletas!E289="","",IF(Atletas!B289="Feminino",100,IF(Atletas!B289="Masculino",200,""))+(IF(Atletas!E289="Juvenil 44kg",1,IF(Atletas!E289="Juvenil 48kg",2,IF(Atletas!E289="Juvenil 52kg",3,IF(Atletas!E289="Juvenil 56kg",4,IF(Atletas!E289="Juvenil 60kg",5,IF(Atletas!E289="Juvenil 65kg",6,IF(Atletas!E289="Juvenil 70kg",7,IF(Atletas!E289="Juvenil 75kg",8,IF(Atletas!E289="Juvenil 82kg",9,IF(Atletas!E289="Juvenil 90kg",10,IF(Atletas!E289="Juvenil 100kg",11,IF(Atletas!E289="Adulto 48kg",12,IF(Atletas!E289="Adulto 52kg",13,IF(Atletas!E289="Adulto 56kg",14,IF(Atletas!E289="Adulto 60kg",15,IF(Atletas!E289="Adulto 65kg",16,IF(Atletas!E289="Adulto 70kg",17,IF(Atletas!E289="Adulto 75kg",18,IF(Atletas!E289="Adulto 82kg",19,IF(Atletas!E289="Adulto 90kg",20,IF(Atletas!E289="Adulto 100kg",21,IF(Atletas!E289="Adulto +100kg",22,""))))))))))))))))))))))))</f>
        <v/>
      </c>
      <c r="AX298" s="6" t="str">
        <f>IF(Atletas!F289="","",IF(Atletas!B289="Feminino",100,IF(Atletas!B289="Masculino",200,""))+(IF(Atletas!F289="Adulto 48kg",1,IF(Atletas!F289="Adulto 56kg",2,IF(Atletas!F289="Adulto 65kg",3,IF(Atletas!F289="Adulto 75kg",4,IF(Atletas!F289="Adulto +75kg",5,IF(Atletas!F289="Adulto 52kg",6,IF(Atletas!F289="Adulto 60kg",7,IF(Atletas!F289="Adulto 70kg",8,IF(Atletas!F289="Adulto 80kg",9,IF(Atletas!F289="Adulto 90kg",10,IF(Atletas!F289="Adulto +90kg",11,"")))))))))))))</f>
        <v/>
      </c>
      <c r="BC298" s="6" t="str">
        <f>IF(Atletas!G289="","",IF(Atletas!B289="Feminino",10,IF(Atletas!B289="Masculino",20,""))+(IF(Atletas!G289="Baduanjin A",1,IF(Atletas!G289="Baduanjin B",2))))</f>
        <v/>
      </c>
      <c r="BF298" s="52" t="str">
        <f>IF(Atletas!H289="","",IF(Atletas!B289="Feminino",100,IF(Atletas!B289="Masculino",200,""))+(IF(Atletas!H289="Changquan Mirim",1,IF(Atletas!H289="Nanquan Mirim",2,IF(Atletas!H289="Taijiquan Mirim",3,IF(Atletas!H289="Changquan Grupo C",4,IF(Atletas!H289="Nanquan Grupo C",5,IF(Atletas!H289="Taijiquan Grupo C",6,IF(Atletas!H289="Changquan Grupo B",7,IF(Atletas!H289="Nanquan Grupo B",8,IF(Atletas!H289="Taijiquan Grupo B",9,IF(Atletas!H289="Changquan Grupo A",10,IF(Atletas!H289="Nanquan Grupo A",11,IF(Atletas!H289="Taijiquan Grupo A",12,IF(Atletas!H289="Changquan Opcional",13,IF(Atletas!H289="Nanquan Opcional",14,IF(Atletas!H289="Taijiquan Opcional",15,IF(Atletas!H289="Changquan Adulto",16,IF(Atletas!H289="Nanquan Adulto",17,IF(Atletas!H289="Taijiquan Adulto",18,""))))))))))))))))))))</f>
        <v/>
      </c>
      <c r="BG298" s="52" t="str">
        <f>IF(Atletas!I289="","",IF(Atletas!B289="Feminino",100,IF(Atletas!B289="Masculino",200,""))+(IF(Atletas!I289="Daoshu Mirim",19,IF(Atletas!I289="Jianshu Mirim",20,IF(Atletas!I289="Nandao Mirim",21,IF(Atletas!I289="Taijijian Mirim",22,IF(Atletas!I289="Daoshu Grupo C",23,IF(Atletas!I289="Jianshu Grupo C",24,IF(Atletas!I289="Nandao Grupo C",25,IF(Atletas!I289="Taijijian Grupo C",26,IF(Atletas!I289="Daoshu Grupo B",27,IF(Atletas!I289="Jianshu Grupo B",28,IF(Atletas!I289="Nandao Grupo B",29,IF(Atletas!I289="Taijijian Grupo B",30,IF(Atletas!I289="Daoshu Grupo A",31,IF(Atletas!I289="Jianshu Grupo A",32,IF(Atletas!I289="Nandao Grupo A",33,IF(Atletas!I289="Taijijian Grupo A",34,IF(Atletas!I289="Daoshu Opcional",35,IF(Atletas!I289="Jianshu Opcional",36,IF(Atletas!I289="Nandao Opcional",37,IF(Atletas!I289="Taijijian Opcional",38,IF(Atletas!I289="Daoshu Adulto",39,IF(Atletas!I289="Jianshu Adulto",40,IF(Atletas!I289="Nandao Adulto",41,IF(Atletas!I289="Taijijian Adulto",42,""))))))))))))))))))))))))))</f>
        <v/>
      </c>
      <c r="BH298" s="52" t="str">
        <f>IF(Atletas!J289="","",IF(Atletas!B289="Feminino",100,IF(Atletas!B289="Masculino",200,""))+(IF(Atletas!J289="Gunshu Mirim",43,IF(Atletas!J289="Qiangshu Mirim",44,IF(Atletas!J289="Nangun Mirim",45,IF(Atletas!J289="Gunshu Grupo C",46,IF(Atletas!J289="Qiangshu Grupo C",47,IF(Atletas!J289="Nangun Grupo C",48,IF(Atletas!J289="Gunshu Grupo B",49,IF(Atletas!J289="Qiangshu Grupo B",50,IF(Atletas!J289="Nangun Grupo B",51,IF(Atletas!J289="Gunshu Grupo A",52,IF(Atletas!J289="Qiangshu Grupo A",53,IF(Atletas!J289="Nangun Grupo A",54,IF(Atletas!J289="Gunshu Opcional",55,IF(Atletas!J289="Qiangshu Opcional",56,IF(Atletas!J289="Nangun Opcional",57,IF(Atletas!J289="Gunshu Adulto",58,IF(Atletas!J289="Qiangshu Adulto",59,IF(Atletas!J289="Nangun Adulto",60,IF(Atletas!J289="Taijishan Grupo B",61,IF(Atletas!J289="Taijishan Grupo A",62,""))))))))))))))))))))))</f>
        <v/>
      </c>
      <c r="BM298" s="50" t="str">
        <f>IF(Atletas!K289="","",IF(Atletas!B289="Feminino",100,IF(Atletas!B289="Masculino",200,""))+(IF(Atletas!K289="Equipe 1 Grupo B",1,IF(Atletas!K289="Equipe 2 Grupo B",2,IF(Atletas!K289="Equipe 1 Grupo A",3,IF(Atletas!K289="Equipe 2 Grupo A",4,IF(Atletas!K289="Equipe 1 Adulto",5,IF(Atletas!K289="Equipe 2 Adulto",6,""))))))))</f>
        <v/>
      </c>
      <c r="BR298" s="50" t="str">
        <f>IF(Atletas!L289="","",IF(Atletas!X289&lt;&gt;"",10000,0)+(IF(Atletas!B289="Feminino",1000,IF(Atletas!B289="Masculino",2000,""))+IF(Atletas!L289="Choylayfut A",1,IF(Atletas!L289="Hunggar A",2,IF(Atletas!L289="Wuzuquan A",3,IF(Atletas!L289="Wingchun A",4,IF(Atletas!L289="Outra Mão de Sul A",5,IF(Atletas!L289="Choylayfut B",6,IF(Atletas!L289="Hunggar B",7,IF(Atletas!L289="Wuzuquan B",8,IF(Atletas!L289="Wingchun B",9,IF(Atletas!L289="Outra Mão de Sul B",10,IF(Atletas!L289="Choylayfut C",11,IF(Atletas!L289="Hunggar C",12,IF(Atletas!L289="Wuzuquan C",13,IF(Atletas!L289="Wingchun C",14,IF(Atletas!L289="Outra Mão de Sul C",15,IF(Atletas!L289="Choylayfut D",16,IF(Atletas!L289="Hunggar D",17,IF(Atletas!L289="Wuzuquan D",18,IF(Atletas!L289="Wingchun D",19,IF(Atletas!L289="Outra Mão de Sul D",20,IF(Atletas!L289="Choylayfut E",21,IF(Atletas!L289="Hunggar E",22,IF(Atletas!L289="Wuzuquan E",23,IF(Atletas!L289="Wingchun E",24,IF(Atletas!L289="Outra Mão de Sul E",25,IF(Atletas!L289="Choylayfut F",26,IF(Atletas!L289="Hunggar F",27,IF(Atletas!L289="Wuzuquan F",28,IF(Atletas!L289="Wingchun F",29,IF(Atletas!L289="Outra Mão de Sul F",30,IF(Atletas!L289="Dishuquan A",31,IF(Atletas!L289="Dishuquan B",32,IF(Atletas!L289="Dishuquan C",33,IF(Atletas!L289="Dishuquan D",34,IF(Atletas!L289="Dishuquan E",35,IF(Atletas!L289="Dishuquan F",36,""))))))))))))))))))))))))))))))))))))))</f>
        <v/>
      </c>
      <c r="BS298" s="50" t="str">
        <f>IF(Atletas!M289="","",IF(Atletas!X289&lt;&gt;"",10000,0)+(IF(Atletas!B289="Feminino",1000,IF(Atletas!B289="Masculino",2000,""))+(IF(Atletas!M289="Chaquan A",101,IF(Atletas!M289="Emeiquan A",102,IF(Atletas!M289="Fanziquan A",103,IF(Atletas!M289="Huaquan A",104,IF(Atletas!M289="Hongquan A",105,IF(Atletas!M289="Paoquan A",106,IF(Atletas!M289="Piguaquan A",107,IF(Atletas!M289="Shaolinquan A",108,IF(Atletas!M289="Tanglangquan A",109,IF(Atletas!M289="Yingzhaoquan A",110,IF(Atletas!M289="Tongbeiquan A",111,IF(Atletas!M289="Wudangquan A",112,IF(Atletas!M289="Outros Estilos A",113,IF(Atletas!M289="Chaquan B",114,IF(Atletas!M289="Emeiquan B",115,IF(Atletas!M289="Fanziquan B",116,IF(Atletas!M289="Huaquan B",117,IF(Atletas!M289="Hongquan B",118,IF(Atletas!M289="Paoquan B",119,IF(Atletas!M289="Piguaquan B",120,IF(Atletas!M289="Shaolinquan B",121,IF(Atletas!M289="Tanglangquan B",122,IF(Atletas!M289="Yingzhaoquan B",123,IF(Atletas!M289="Tongbeiquan B",124,IF(Atletas!M289="Wudangquan B",125,IF(Atletas!M289="Outros Estilos B",126,IF(Atletas!M289="Chaquan C",127,IF(Atletas!M289="Emeiquan C",128,IF(Atletas!M289="Fanziquan C",129,IF(Atletas!M289="Huaquan C",130,IF(Atletas!M289="Hongquan C",131,IF(Atletas!M289="Paoquan C",132,IF(Atletas!M289="Piguaquan C",133,IF(Atletas!M289="Shaolinquan C",134,IF(Atletas!M289="Tanglangquan C",135,IF(Atletas!M289="Yingzhaoquan C",136,IF(Atletas!M289="Tongbeiquan C",137,IF(Atletas!M289="Wudangquan C",138,IF(Atletas!M289="Outros Estilos C",139,0))))))))))))))))))))))))))))))))))))))))))</f>
        <v/>
      </c>
      <c r="BT298" s="50" t="str">
        <f>IF(Atletas!M289="","",IF(Atletas!X289&lt;&gt;"",10000,0)+(IF(Atletas!B289="Feminino",1000,IF(Atletas!B289="Masculino",2000,""))+(IF(Atletas!M289="Chaquan D",140,IF(Atletas!M289="Emeiquan D",141,IF(Atletas!M289="Fanziquan D",142,IF(Atletas!M289="Huaquan D",143,IF(Atletas!M289="Hongquan D",144,IF(Atletas!M289="Paoquan D",145,IF(Atletas!M289="Piguaquan D",146,IF(Atletas!M289="Shaolinquan D",147,IF(Atletas!M289="Tanglangquan D",148,IF(Atletas!M289="Yingzhaoquan D",149,IF(Atletas!M289="Tongbeiquan D",150,IF(Atletas!M289="Wudangquan D",151,IF(Atletas!M289="Outros Estilos D",152,IF(Atletas!M289="Chaquan E",153,IF(Atletas!M289="Emeiquan E",154,IF(Atletas!M289="Fanziquan E",155,IF(Atletas!M289="Huaquan E",156,IF(Atletas!M289="Hongquan E",157,IF(Atletas!M289="Paoquan E",158,IF(Atletas!M289="Piguaquan E",159,IF(Atletas!M289="Shaolinquan E",160,IF(Atletas!M289="Tanglangquan E",161,IF(Atletas!M289="Yingzhaoquan E",162,IF(Atletas!M289="Tongbeiquan E",163,IF(Atletas!M289="Wudangquan E",164,IF(Atletas!M289="Outros Estilos E",165,IF(Atletas!M289="Chaquan F",166,IF(Atletas!M289="Emeiquan F",167,IF(Atletas!M289="Fanziquan F",168,IF(Atletas!M289="Huaquan F",169,IF(Atletas!M289="Hongquan F",170,IF(Atletas!M289="Paoquan F",171,IF(Atletas!M289="Piguaquan F",172,IF(Atletas!M289="Shaolinquan F",173,IF(Atletas!M289="Tanglangquan F",174,IF(Atletas!M289="Yingzhaoquan F",175,IF(Atletas!M289="Tongbeiquan F",176,IF(Atletas!M289="Wudangquan F",177,IF(Atletas!M289="Outros Estilos F",178,0))))))))))))))))))))))))))))))))))))))))))</f>
        <v/>
      </c>
      <c r="BU298" s="50" t="str">
        <f>IF(Atletas!N289="","",IF(Atletas!X289&lt;&gt;"",10000,0)+(IF(Atletas!B289="Feminino",1000,IF(Atletas!B289="Masculino",2000,""))+(IF(Atletas!N289="Ditangquan A",201,IF(Atletas!N289="Houquan A",202,IF(Atletas!N289="Zuiquan A",203,IF(Atletas!N289="Ditangquan B",204,IF(Atletas!N289="Houquan B",205,IF(Atletas!N289="Zuiquan B",206,IF(Atletas!N289="Ditangquan C",207,IF(Atletas!N289="Houquan C",208,IF(Atletas!N289="Zuiquan C",209,IF(Atletas!N289="Ditangquan D",210,IF(Atletas!N289="Houquan D",211,IF(Atletas!N289="Zuiquan D",212,IF(Atletas!N289="Ditangquan E",213,IF(Atletas!N289="Houquan E",214,IF(Atletas!N289="Zuiquan E",215,IF(Atletas!N289="Ditangquan F",216,IF(Atletas!N289="Houquan F",217,IF(Atletas!N289="Zuiquan F",218,"")))))))))))))))))))))</f>
        <v/>
      </c>
      <c r="BV298" s="50" t="str">
        <f>IF(Atletas!O289="","",IF(Atletas!X289&lt;&gt;"",10000,0)+IF(Atletas!B289="Feminino",1000,IF(Atletas!B289="Masculino",2000,""))+IF(Atletas!O289="Yang A",301,IF(Atletas!O289="Chen A",302,IF(Atletas!O289="Sun A",303,IF(Atletas!O289="Wu A",304,IF(Atletas!O289="Wu-Hao A",305,IF(Atletas!O289="Outro Taijiquan A",306,IF(Atletas!O289="Yang B",307,IF(Atletas!O289="Chen B",308,IF(Atletas!O289="Sun B",309,IF(Atletas!O289="Wu B",310,IF(Atletas!O289="Wu-Hao B",311,IF(Atletas!O289="Outro Taijiquan B",312,IF(Atletas!O289="Yang C",313,IF(Atletas!O289="Chen C",314,IF(Atletas!O289="Sun C",315,IF(Atletas!O289="Wu C",316,IF(Atletas!O289="Wu-Hao C",317,IF(Atletas!O289="Outro Taijiquan C",318,IF(Atletas!O289="Yang D",319,IF(Atletas!O289="Chen D",320,IF(Atletas!O289="Sun D",321,IF(Atletas!O289="Wu D",322,IF(Atletas!O289="Wu-Hao D",323,IF(Atletas!O289="Outro Taijiquan D",324,IF(Atletas!O289="Yang E",325,IF(Atletas!O289="Chen E",326,IF(Atletas!O289="Sun E",327,IF(Atletas!O289="Wu E",328,IF(Atletas!O289="Wu-Hao E",329,IF(Atletas!O289="Outro Taijiquan E",330,IF(Atletas!O289="Yang F",331,IF(Atletas!O289="Chen F",332,IF(Atletas!O289="Sun F",333,IF(Atletas!O289="Wu F",334,IF(Atletas!O289="Wu-Hao F",335,IF(Atletas!O289="Outro Taijiquan F",336,"")))))))))))))))))))))))))))))))))))))</f>
        <v/>
      </c>
      <c r="BW298" s="50" t="str">
        <f>IF(Atletas!P289="","",IF(Atletas!X289&lt;&gt;"",10000,0)+IF(Atletas!B289="Feminino",1000,IF(Atletas!B289="Masculino",2000,""))+IF(OR(Atletas!P289="Yang 26 A",Atletas!P289="Yang 40 A"),401,IF(OR(Atletas!P289="Chen 25 A",Atletas!P289="Chen 36 A",Atletas!P289="Chen 56 A"),402,IF(Atletas!P289="Sun 73 A",403,IF(Atletas!P289="Wu 45 A",404,IF(Atletas!P289="Wu-Hao 46 A",405,IF(OR(Atletas!P289="Taijiquan 16 A",Atletas!P289="Taijiquan 24 A",Atletas!P289="Taijiquan 32 A",Atletas!P289="Taijiquan 42 A"),406,IF(OR(Atletas!P289="Yang 26 B",Atletas!P289="Yang 40 B"),407,IF(OR(Atletas!P289="Chen 25 B",Atletas!P289="Chen 36 B",Atletas!P289="Chen 56 B"),408,IF(Atletas!P289="Sun 73 B",409,IF(Atletas!P289="Wu 45 B",410,IF(Atletas!P289="Wu-Hao 46 B",411,IF(OR(Atletas!P289="Taijiquan 16 B",Atletas!P289="Taijiquan 24 B",Atletas!P289="Taijiquan 32 B",Atletas!P289="Taijiquan 42 B"),412,IF(OR(Atletas!P289="Yang 26 C",Atletas!P289="Yang 40 C"),413,IF(OR(Atletas!P289="Chen 25 C",Atletas!P289="Chen 36 C",Atletas!P289="Chen 56 C"),414,IF(Atletas!P289="Sun 73 C",415,IF(Atletas!P289="Wu 45 C",416,IF(Atletas!P289="Wu-Hao 46 C",417,IF(OR(Atletas!P289="Taijiquan 16 C",Atletas!P289="Taijiquan 24 C",Atletas!P289="Taijiquan 32 C",Atletas!P289="Taijiquan 42 C"),418,0)))))))))))))))))))</f>
        <v/>
      </c>
      <c r="BX298" s="50" t="str">
        <f>IF(Atletas!P289="","",IF(Atletas!X289&lt;&gt;"",10000,0)+IF(Atletas!B289="Feminino",1000,IF(Atletas!B289="Masculino",2000,""))+IF(OR(Atletas!P289="Yang 26 D",Atletas!P289="Yang 40 D"),419,IF(OR(Atletas!P289="Chen 25 D",Atletas!P289="Chen 36 D",Atletas!P289="Chen 56 D"),420,IF(Atletas!P289="Sun 73 D",421,IF(Atletas!P289="Wu 45 D",422,IF(Atletas!P289="Wu-Hao 46 D",423,IF(OR(Atletas!P289="Taijiquan 16 D",Atletas!P289="Taijiquan 24 D",Atletas!P289="Taijiquan 32 D",Atletas!P289="Taijiquan 42 D"),424,IF(OR(Atletas!P289="Yang 26 E",Atletas!P289="Yang 40 E"),425,IF(OR(Atletas!P289="Chen 25 E",Atletas!P289="Chen 36 E",Atletas!P289="Chen 56 E"),426,IF(Atletas!P289="Sun 73 E",427,IF(Atletas!P289="Wu 45 E",428,IF(Atletas!P289="Wu-Hao 46 E",429,IF(OR(Atletas!P289="Taijiquan 16 E",Atletas!P289="Taijiquan 24 E",Atletas!P289="Taijiquan 32 E",Atletas!P289="Taijiquan 42 E"),430,IF(OR(Atletas!P289="Yang 26 F",Atletas!P289="Yang 40 F"),431,IF(OR(Atletas!P289="Chen 25 F",Atletas!P289="Chen 36 F",Atletas!P289="Chen 56 F"),432,IF(Atletas!P289="Sun 73 F",433,IF(Atletas!P289="Wu 45 F",434,IF(Atletas!P289="Wu-Hao 46 F",435,IF(OR(Atletas!P289="Taijiquan 16 F",Atletas!P289="Taijiquan 24 F",Atletas!P289="Taijiquan 32 F",Atletas!P289="Taijiquan 42 F"),436,0)))))))))))))))))))</f>
        <v/>
      </c>
      <c r="BY298" s="50" t="str">
        <f>IF(Atletas!Q289="","",IF(Atletas!X289&lt;&gt;"",10000,0)+IF(Atletas!B289="Feminino",1000,IF(Atletas!B289="Masculino",2000,""))+IF(Atletas!Q289="Xingyiquan A",501,IF(Atletas!Q289="Baguazhang A",502,IF(Atletas!Q289="Outro Estilo Interno A",503,IF(Atletas!Q289="Xingyiquan B",504,IF(Atletas!Q289="Baguazhang B",505,IF(Atletas!Q289="Outro Estilo Interno B",506,IF(Atletas!Q289="Xingyiquan C",507,IF(Atletas!Q289="Baguazhang C",508,IF(Atletas!Q289="Outro Estilo Interno C",509,IF(Atletas!Q289="Xingyiquan D",510,IF(Atletas!Q289="Baguazhang D",511,IF(Atletas!Q289="Outro Estilo Interno D",512,IF(Atletas!Q289="Xingyiquan E",513,IF(Atletas!Q289="Baguazhang E",514,IF(Atletas!Q289="Outro Estilo Interno E",515,IF(Atletas!Q289="Xingyiquan F",516,IF(Atletas!Q289="Baguazhang F",517,IF(Atletas!Q289="Outro Estilo Interno F",518, "")))))))))))))))))))</f>
        <v/>
      </c>
      <c r="BZ298" s="50" t="str">
        <f>IF(Atletas!R289="","",IF(Atletas!X289&lt;&gt;"",10000,0)+IF(Atletas!B289="Feminino",1000,IF(Atletas!B289="Masculino",2000,""))+IF(Atletas!R289="Dao A",601,IF(Atletas!R289="Jian A",602,IF(Atletas!R289="Bishou A",603,IF(Atletas!R289="Shanzi A",604,IF(Atletas!R289="Outra Arma Curta A",605,IF(Atletas!R289="Dao B",606,IF(Atletas!R289="Jian B",607,IF(Atletas!R289="Bishou B",608,IF(Atletas!R289="Shanzi B",609,IF(Atletas!R289="Outra Arma Curta B",610,IF(Atletas!R289="Dao C",611,IF(Atletas!R289="Jian C",612,IF(Atletas!R289="Bishou C",613,IF(Atletas!R289="Shanzi C",614,IF(Atletas!R289="Outra Arma Curta C",615,IF(Atletas!R289="Dao D",616,IF(Atletas!R289="Jian D",617,IF(Atletas!R289="Bishou D",618,IF(Atletas!R289="Shanzi D",619,IF(Atletas!R289="Outra Arma Curta D",620,IF(Atletas!R289="Dao E",621,IF(Atletas!R289="Jian E",622,IF(Atletas!R289="Bishou E",623,IF(Atletas!R289="Shanzi E",624,IF(Atletas!R289="Outra Arma Curta E",625,IF(Atletas!R289="Dao F",626,IF(Atletas!R289="Jian F",627,IF(Atletas!R289="Bishou F",628,IF(Atletas!R289="Shanzi F",629,IF(Atletas!R289="Outra Arma Curta F",630, "")))))))))))))))))))))))))))))))</f>
        <v/>
      </c>
      <c r="CA298" s="50" t="str">
        <f>IF(Atletas!S289="","",IF(Atletas!X289&lt;&gt;"",10000,0)+IF(Atletas!B289="Feminino",1000,IF(Atletas!B289="Masculino",2000,""))+IF(Atletas!S289="Gun A",701,IF(Atletas!S289="Qiang A",702,IF(Atletas!S289="Pudao / Guandao A",703,IF(Atletas!S289="Outra Arma Longa A",704,IF(Atletas!S289="Gun B",705,IF(Atletas!S289="Qiang B",706,IF(Atletas!S289="Pudao / Guandao B",707,IF(Atletas!S289="Outra Arma Longa B",708,IF(Atletas!S289="Gun C",709,IF(Atletas!S289="Qiang C",710,IF(Atletas!S289="Pudao / Guandao C",711,IF(Atletas!S289="Outra Arma Longa C",712,IF(Atletas!S289="Gun D",713,IF(Atletas!S289="Qiang D",714,IF(Atletas!S289="Pudao / Guandao D",715,IF(Atletas!S289="Outra Arma Longa D",716,IF(Atletas!S289="Gun E",717,IF(Atletas!S289="Qiang E",718,IF(Atletas!S289="Pudao / Guandao E",719,IF(Atletas!S289="Outra Arma Longa E",720,IF(Atletas!S289="Gun F",721,IF(Atletas!S289="Qiang F",722,IF(Atletas!S289="Pudao / Guandao F",723,IF(Atletas!S289="Outra Arma Longa F",724,"")))))))))))))))))))))))))</f>
        <v/>
      </c>
      <c r="CB298" s="50" t="str">
        <f>IF(Atletas!T289="","",IF(Atletas!X289&lt;&gt;"",10000,0)+IF(Atletas!B289="Feminino",1000,IF(Atletas!B289="Masculino",2000,""))+IF(Atletas!T289="Outra Arma Dupla A",801,IF(Atletas!T289="Arma Maleável A",802,IF(Atletas!T289="Outra Arma Dupla B",803,IF(Atletas!T289="Arma Maleável B",804,IF(Atletas!T289="Outra Arma Dupla C",805,IF(Atletas!T289="Arma Maleável C",806,IF(Atletas!T289="Outra Arma Dupla D",807,IF(Atletas!T289="Arma Maleável D",808,IF(Atletas!T289="Outra Arma Dupla E",809,IF(Atletas!T289="Arma Maleável E",810,IF(Atletas!T289="Outra Arma Dupla F",811,IF(Atletas!T289="Arma Maleável F",812,IF(Atletas!T289="Shuangdao A",813,IF(Atletas!T289="Shuangdao B",814,IF(Atletas!T289="Shuangdao C",815,IF(Atletas!T289="Shuangdao D",816,IF(Atletas!T289="Shuangdao E",817,IF(Atletas!T289="Shuangdao F",818,"")))))))))))))))))))</f>
        <v/>
      </c>
      <c r="CC298" s="50" t="str">
        <f>IF(Atletas!U289="","",IF(Atletas!X289&lt;&gt;"",10000,0)+IF(Atletas!B289="Feminino",1000,IF(Atletas!B289="Masculino",2000,""))+IF(OR(Atletas!U289="Taijijian Yang A",Atletas!U289="Taijijian Yang Standard A"),901,IF(OR(Atletas!U289="Taijijian Chen A", Atletas!U289="Taijijian Chen Standard A"),902,IF(Atletas!U289="Taijijian Sun A",903,IF(Atletas!U289="Taijijian Wu A",904,IF(Atletas!U289="Taijijian Wu-Hao A",905,IF(OR(Atletas!U289="Taijijian 32 A",Atletas!U289="Taijijian 42 A"),906,IF(OR(Atletas!U289="Taijijian Yang B",Atletas!U289="Taijijian Yang Standard B"),907,IF(OR(Atletas!U289="Taijijian Chen B", Atletas!U289="Taijijian Chen Standard B"),908,IF(Atletas!U289="Taijijian Sun B",909,IF(Atletas!U289="Taijijian Wu B",910,IF(Atletas!U289="Taijijian Wu-Hao B",911,IF(OR(Atletas!U289="Taijijian 32 B",Atletas!U289="Taijijian 42 B"),912,IF(OR(Atletas!U289="Taijijian Yang C",Atletas!U289="Taijijian Yang Standard C"),913,IF(OR(Atletas!U289="Taijijian Chen C", Atletas!U289="Taijijian Chen Standard C"),914,IF(Atletas!U289="Taijijian Sun C",915,IF(Atletas!U289="Taijijian Wu C",916,IF(Atletas!U289="Taijijian Wu-Hao C",917,IF(OR(Atletas!U289="Taijijian 32 C",Atletas!U289="Taijijian 42 C"),918,IF(OR(Atletas!U289="Taijijian Yang D",Atletas!U289="Taijijian Yang Standard D"),919,IF(OR(Atletas!U289="Taijijian Chen D", Atletas!U289="Taijijian Chen Standard D"),920,IF(Atletas!U289="Taijijian Sun D",921,IF(Atletas!U289="Taijijian Wu D",922,IF(Atletas!U289="Taijijian Wu-Hao D",923,IF(OR(Atletas!U289="Taijijian 32 D",Atletas!U289="Taijijian 42 D"),924,IF(OR(Atletas!U289="Taijijian Yang E",Atletas!U289="Taijijian Yang Standard E"),925,IF(OR(Atletas!U289="Taijijian Chen E", Atletas!U289="Taijijian Chen Standard E"),926,IF(Atletas!U289="Taijijian Sun E",927,IF(Atletas!U289="Taijijian Wu E",928,IF(Atletas!U289="Taijijian Wu-Hao E",929,IF(OR(Atletas!U289="Taijijian 32 E",Atletas!U289="Taijijian 42 E"),930,IF(OR(Atletas!U289="Taijijian Yang F",Atletas!U289="Taijijian Yang Standard F"),931,IF(OR(Atletas!U289="Taijijian Chen F", Atletas!U289="Taijijian Chen Standard F"),932,IF(Atletas!U289="Taijijian Sun F",933,IF(Atletas!U289="Taijijian Wu F",934,IF(Atletas!U289="Taijijian Wu-Hao F",935,IF(OR(Atletas!U289="Taijijian 32 F",Atletas!U289="Taijijian 42 F"),936,"")))))))))))))))))))))))))))))))))))))</f>
        <v/>
      </c>
      <c r="CD298" s="50" t="str">
        <f>IF(Atletas!V289="","",IF(Atletas!X289&lt;&gt;"",10000,0)+IF(Atletas!B289="Feminino",1000,IF(Atletas!B289="Masculino",2000,""))+IF(Atletas!V289="Taijidao A",937,IF(Atletas!V289="TaijiShanzi A",938,IF(Atletas!V289="Taijiqiang A",939,IF(Atletas!V289="Bagua de Arma A",940,IF(Atletas!V289="Xingyi de Arma A",941,IF(Atletas!V289="Taijidao B",942,IF(Atletas!V289="TaijiShanzi B",943,IF(Atletas!V289="Taijiqiang B",944,IF(Atletas!V289="Bagua de Arma B",945,IF(Atletas!V289="Xingyi de Arma B",946,IF(Atletas!V289="Taijidao C",947,IF(Atletas!V289="TaijiShanzi C",948,IF(Atletas!V289="Taijiqiang C",949,IF(Atletas!V289="Bagua de Arma C",950,IF(Atletas!V289="Xingyi de Arma C",951,IF(Atletas!V289="Taijidao D",952,IF(Atletas!V289="TaijiShanzi D",953,IF(Atletas!V289="Taijiqiang D",954,IF(Atletas!V289="Bagua de Arma D",955,IF(Atletas!V289="Xingyi de Arma D",956,IF(Atletas!V289="Taijidao E",957,IF(Atletas!V289="TaijiShanzi E",958,IF(Atletas!V289="Taijiqiang E",959,IF(Atletas!V289="Bagua de Arma E",960,IF(Atletas!V289="Xingyi de Arma E",961,IF(Atletas!V289="Taijidao F",962,IF(Atletas!V289="TaijiShanzi F",963,IF(Atletas!V289="Taijiqiang F",964,IF(Atletas!V289="Bagua de Arma F",965,IF(Atletas!V289="Xingyi de Arma F",966,"")))))))))))))))))))))))))))))))</f>
        <v/>
      </c>
      <c r="CE298" s="66" t="str">
        <f>IF(CF298&lt;&gt;"","Shuangdao F","")</f>
        <v/>
      </c>
      <c r="CF298" s="66" t="str">
        <f>IF(COUNTIF(BR:CD,1818)&gt;0,COUNTIF(BR:CD,1818),"")</f>
        <v/>
      </c>
      <c r="CG298" s="66" t="str">
        <f>IF(CH298&lt;&gt;"","Shuangdao F","")</f>
        <v/>
      </c>
      <c r="CH298" s="66" t="str">
        <f>IF(COUNTIF(BT:CF,2818)&gt;0,COUNTIF(BT:CF,2818),"")</f>
        <v/>
      </c>
      <c r="CI298" s="66" t="str">
        <f>IF(CJ299&lt;&gt;"","Taijijian Wu-Hao B","")</f>
        <v/>
      </c>
      <c r="CJ298" s="66" t="str">
        <f>IF(COUNTIF(BR:CD,11910)&gt;0,COUNTIF(BR:CD,11910),"")</f>
        <v/>
      </c>
      <c r="CK298" s="66" t="str">
        <f>IF(CL298&lt;&gt;"","Taijijian Wu B","")</f>
        <v/>
      </c>
      <c r="CL298" s="66" t="str">
        <f>IF(COUNTIF(BR:CD,12910)&gt;0,COUNTIF(BR:CD,12910),"")</f>
        <v/>
      </c>
      <c r="CM298" s="50" t="str">
        <f xml:space="preserve"> IF(Atletas!W289="","",IF(Atletas!W289="Duilian de Mãos BC - Equipe 1",1,IF(Atletas!W289="Duilian de Mãos BC - Equipe 2",2,IF(Atletas!W289="Duilian de Armas BC - Equipe 1",3,IF(Atletas!W289="Duilian de Armas BC - Equipe 2",4,IF(Atletas!W289="Duilian de Mãos DE - Equipe 1",5,IF(Atletas!W289="Duilian de Mãos DE - Equipe 2",6,IF(Atletas!W289="Duilian de Armas DE - Equipe 1",7,IF(Atletas!W289="Duilian de Armas DE - Equipe 2",8,IF(Atletas!W289="Duilian de Tuishou - Equipe 1",9,IF(Atletas!W289="Duilian de Tuishou - Equipe 2",10,IF(Atletas!W289="Grupo Externo ABC - Equipe 1",11,IF(Atletas!W289="Grupo Externo ABC - Equipe 2",12,IF(Atletas!W289="Grupo Interno ABC - Equipe 1",13,IF(Atletas!W289="Grupo Interno ABC - Equipe 2",14,IF(Atletas!W289="Grupo Externo DEF - Equipe 1",15,IF(Atletas!W289="Grupo Externo DEF - Equipe 2",16,IF(Atletas!W289="Grupo Interno DEF - Equipe 1",17,IF(Atletas!W289="Grupo Interno DEF - Equipe 2",18,"")))))))))))))))))))</f>
        <v/>
      </c>
    </row>
    <row r="299" spans="2:9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 t="str">
        <f t="array" ref="Z299">IFERROR(INDEX(CE$7:CE$348,SMALL(IF(CE$7:CE$348&lt;&gt;"",ROW(CE$7:CE$348)-ROW(CE$7)+1),ROWS(CE$7:CE298))),"")</f>
        <v/>
      </c>
      <c r="AA299" s="3" t="str">
        <f t="array" ref="AA299">IFERROR(INDEX(CF$7:CF$348,SMALL(IF(CF$7:CF$348&lt;&gt;"",ROW(CF$7:CF$348)-ROW(CF$7)+1),ROWS(CF$7:CF298))),"")</f>
        <v/>
      </c>
      <c r="AB299" s="3" t="str">
        <f t="array" ref="AB299">IFERROR(INDEX(CG$7:CG$348,SMALL(IF(CG$7:CG$348&lt;&gt;"",ROW(CG$7:CG$348)-ROW(CG$7)+1),ROWS(CG$7:CG298))),"")</f>
        <v/>
      </c>
      <c r="AC299" s="3" t="str">
        <f t="array" ref="AC299">IFERROR(INDEX(CH$7:CH$348,SMALL(IF(CH$7:CH$348&lt;&gt;"",ROW(CH$7:CH$348)-ROW(CH$7)+1),ROWS(CH$7:CH298))),"")</f>
        <v/>
      </c>
      <c r="AD299" s="3" t="str">
        <f t="array" ref="AD299">IFERROR(INDEX(CI$7:CI$377,SMALL(IF(CI$7:CI$377&lt;&gt;"",ROW(CI$7:CI$377)-ROW(CI$7)+1),ROWS(CI$7:CI297))),"")</f>
        <v/>
      </c>
      <c r="AE299" s="3" t="str">
        <f t="array" ref="AE299">IFERROR(INDEX(CJ$7:CJ$378,SMALL(IF(CJ$7:CJ$378&lt;&gt;"",ROW(CJ$7:CJ$378)-ROW(CJ$7)+1),ROWS(CJ$7:CJ298))),"")</f>
        <v/>
      </c>
      <c r="AF299" s="3" t="str">
        <f t="array" ref="AF299">IFERROR(INDEX(CK$7:CK$378,SMALL(IF(CK$7:CK$378&lt;&gt;"",ROW(CK$7:CK$378)-ROW(CK$7)+1),ROWS(CK$7:CK298))),"")</f>
        <v/>
      </c>
      <c r="AG299" s="3" t="str">
        <f t="array" ref="AG299">IFERROR(INDEX(CL$7:CL$378,SMALL(IF(CL$7:CL$378&lt;&gt;"",ROW(CL$7:CL$378)-ROW(CL$7)+1),ROWS(CL$7:CL298))),"")</f>
        <v/>
      </c>
      <c r="AH299" s="3"/>
      <c r="AI299" s="3"/>
      <c r="AJ299" s="3"/>
      <c r="AK299" s="3"/>
      <c r="AL299" s="3"/>
      <c r="AM299" s="3"/>
      <c r="AN299" s="52" t="str">
        <f>IF(Atletas!D290="","",IF(Atletas!B290="Feminino",100,IF(Atletas!B290="Masculino",200,""))+(IF(Atletas!D290="Kids 30kg",1,IF(Atletas!D290="Kids 32kg",2, IF(Atletas!D290="Kids 34kg",3,IF(Atletas!D290="Kids 36kg",4,IF(Atletas!D290="Kids 39kg",5,IF(Atletas!D290="Kids 42kg",6,IF(Atletas!D290="Kids 45kg",7, IF(Atletas!D290="Infantil 39kg",8,IF(Atletas!D290="Infantil 42kg",9,IF(Atletas!D290="Infantil 45kg",10,IF(Atletas!D290="Infantil 48kg",11,IF(Atletas!D290="Infantil 52kg",12,IF(Atletas!D290="Infantil 56kg",13,IF(Atletas!D290="Infantil 60kg",14,IF(Atletas!D290="Juvenil 48kg",15,IF(Atletas!D290="Juvenil 52kg",16,IF(Atletas!D290="Juvenil 56kg",17,IF(Atletas!D290="Juvenil 60kg",18,IF(Atletas!D290="Juvenil 65kg",19,IF(Atletas!D290="Juvenil 70kg",20,IF(Atletas!D290="Juvenil 75kg",21,IF(Atletas!D290="Juvenil 80kg",22, IF(Atletas!D290="Juvenil 85kg",23,IF(Atletas!D290="Adulto 48kg",24,IF(Atletas!D290="Adulto 52kg",25,IF(Atletas!D290="Adulto 56kg",26,IF(Atletas!D290="Adulto 60kg",27,IF(Atletas!D290="Adulto 65kg",28,IF(Atletas!D290="Adulto 70kg",29,IF(Atletas!D290="Adulto 75kg",30,IF(Atletas!D290="Adulto 80kg",31,IF(Atletas!D290="Adulto 85kg",32,IF(Atletas!D290="Adulto 90kg",33,IF(Atletas!D290="Adulto 100kg",34, IF(Atletas!D290="Adulto +100kg",35,"")))))))))))))))))))))))))))))))))))))</f>
        <v/>
      </c>
      <c r="AS299" s="6" t="str">
        <f>IF(Atletas!E290="","",IF(Atletas!B290="Feminino",100,IF(Atletas!B290="Masculino",200,""))+(IF(Atletas!E290="Juvenil 44kg",1,IF(Atletas!E290="Juvenil 48kg",2,IF(Atletas!E290="Juvenil 52kg",3,IF(Atletas!E290="Juvenil 56kg",4,IF(Atletas!E290="Juvenil 60kg",5,IF(Atletas!E290="Juvenil 65kg",6,IF(Atletas!E290="Juvenil 70kg",7,IF(Atletas!E290="Juvenil 75kg",8,IF(Atletas!E290="Juvenil 82kg",9,IF(Atletas!E290="Juvenil 90kg",10,IF(Atletas!E290="Juvenil 100kg",11,IF(Atletas!E290="Adulto 48kg",12,IF(Atletas!E290="Adulto 52kg",13,IF(Atletas!E290="Adulto 56kg",14,IF(Atletas!E290="Adulto 60kg",15,IF(Atletas!E290="Adulto 65kg",16,IF(Atletas!E290="Adulto 70kg",17,IF(Atletas!E290="Adulto 75kg",18,IF(Atletas!E290="Adulto 82kg",19,IF(Atletas!E290="Adulto 90kg",20,IF(Atletas!E290="Adulto 100kg",21,IF(Atletas!E290="Adulto +100kg",22,""))))))))))))))))))))))))</f>
        <v/>
      </c>
      <c r="AX299" s="6" t="str">
        <f>IF(Atletas!F290="","",IF(Atletas!B290="Feminino",100,IF(Atletas!B290="Masculino",200,""))+(IF(Atletas!F290="Adulto 48kg",1,IF(Atletas!F290="Adulto 56kg",2,IF(Atletas!F290="Adulto 65kg",3,IF(Atletas!F290="Adulto 75kg",4,IF(Atletas!F290="Adulto +75kg",5,IF(Atletas!F290="Adulto 52kg",6,IF(Atletas!F290="Adulto 60kg",7,IF(Atletas!F290="Adulto 70kg",8,IF(Atletas!F290="Adulto 80kg",9,IF(Atletas!F290="Adulto 90kg",10,IF(Atletas!F290="Adulto +90kg",11,"")))))))))))))</f>
        <v/>
      </c>
      <c r="BC299" s="6" t="str">
        <f>IF(Atletas!G290="","",IF(Atletas!B290="Feminino",10,IF(Atletas!B290="Masculino",20,""))+(IF(Atletas!G290="Baduanjin A",1,IF(Atletas!G290="Baduanjin B",2))))</f>
        <v/>
      </c>
      <c r="BF299" s="52" t="str">
        <f>IF(Atletas!H290="","",IF(Atletas!B290="Feminino",100,IF(Atletas!B290="Masculino",200,""))+(IF(Atletas!H290="Changquan Mirim",1,IF(Atletas!H290="Nanquan Mirim",2,IF(Atletas!H290="Taijiquan Mirim",3,IF(Atletas!H290="Changquan Grupo C",4,IF(Atletas!H290="Nanquan Grupo C",5,IF(Atletas!H290="Taijiquan Grupo C",6,IF(Atletas!H290="Changquan Grupo B",7,IF(Atletas!H290="Nanquan Grupo B",8,IF(Atletas!H290="Taijiquan Grupo B",9,IF(Atletas!H290="Changquan Grupo A",10,IF(Atletas!H290="Nanquan Grupo A",11,IF(Atletas!H290="Taijiquan Grupo A",12,IF(Atletas!H290="Changquan Opcional",13,IF(Atletas!H290="Nanquan Opcional",14,IF(Atletas!H290="Taijiquan Opcional",15,IF(Atletas!H290="Changquan Adulto",16,IF(Atletas!H290="Nanquan Adulto",17,IF(Atletas!H290="Taijiquan Adulto",18,""))))))))))))))))))))</f>
        <v/>
      </c>
      <c r="BG299" s="52" t="str">
        <f>IF(Atletas!I290="","",IF(Atletas!B290="Feminino",100,IF(Atletas!B290="Masculino",200,""))+(IF(Atletas!I290="Daoshu Mirim",19,IF(Atletas!I290="Jianshu Mirim",20,IF(Atletas!I290="Nandao Mirim",21,IF(Atletas!I290="Taijijian Mirim",22,IF(Atletas!I290="Daoshu Grupo C",23,IF(Atletas!I290="Jianshu Grupo C",24,IF(Atletas!I290="Nandao Grupo C",25,IF(Atletas!I290="Taijijian Grupo C",26,IF(Atletas!I290="Daoshu Grupo B",27,IF(Atletas!I290="Jianshu Grupo B",28,IF(Atletas!I290="Nandao Grupo B",29,IF(Atletas!I290="Taijijian Grupo B",30,IF(Atletas!I290="Daoshu Grupo A",31,IF(Atletas!I290="Jianshu Grupo A",32,IF(Atletas!I290="Nandao Grupo A",33,IF(Atletas!I290="Taijijian Grupo A",34,IF(Atletas!I290="Daoshu Opcional",35,IF(Atletas!I290="Jianshu Opcional",36,IF(Atletas!I290="Nandao Opcional",37,IF(Atletas!I290="Taijijian Opcional",38,IF(Atletas!I290="Daoshu Adulto",39,IF(Atletas!I290="Jianshu Adulto",40,IF(Atletas!I290="Nandao Adulto",41,IF(Atletas!I290="Taijijian Adulto",42,""))))))))))))))))))))))))))</f>
        <v/>
      </c>
      <c r="BH299" s="52" t="str">
        <f>IF(Atletas!J290="","",IF(Atletas!B290="Feminino",100,IF(Atletas!B290="Masculino",200,""))+(IF(Atletas!J290="Gunshu Mirim",43,IF(Atletas!J290="Qiangshu Mirim",44,IF(Atletas!J290="Nangun Mirim",45,IF(Atletas!J290="Gunshu Grupo C",46,IF(Atletas!J290="Qiangshu Grupo C",47,IF(Atletas!J290="Nangun Grupo C",48,IF(Atletas!J290="Gunshu Grupo B",49,IF(Atletas!J290="Qiangshu Grupo B",50,IF(Atletas!J290="Nangun Grupo B",51,IF(Atletas!J290="Gunshu Grupo A",52,IF(Atletas!J290="Qiangshu Grupo A",53,IF(Atletas!J290="Nangun Grupo A",54,IF(Atletas!J290="Gunshu Opcional",55,IF(Atletas!J290="Qiangshu Opcional",56,IF(Atletas!J290="Nangun Opcional",57,IF(Atletas!J290="Gunshu Adulto",58,IF(Atletas!J290="Qiangshu Adulto",59,IF(Atletas!J290="Nangun Adulto",60,IF(Atletas!J290="Taijishan Grupo B",61,IF(Atletas!J290="Taijishan Grupo A",62,""))))))))))))))))))))))</f>
        <v/>
      </c>
      <c r="BM299" s="50" t="str">
        <f>IF(Atletas!K290="","",IF(Atletas!B290="Feminino",100,IF(Atletas!B290="Masculino",200,""))+(IF(Atletas!K290="Equipe 1 Grupo B",1,IF(Atletas!K290="Equipe 2 Grupo B",2,IF(Atletas!K290="Equipe 1 Grupo A",3,IF(Atletas!K290="Equipe 2 Grupo A",4,IF(Atletas!K290="Equipe 1 Adulto",5,IF(Atletas!K290="Equipe 2 Adulto",6,""))))))))</f>
        <v/>
      </c>
      <c r="BR299" s="50" t="str">
        <f>IF(Atletas!L290="","",IF(Atletas!X290&lt;&gt;"",10000,0)+(IF(Atletas!B290="Feminino",1000,IF(Atletas!B290="Masculino",2000,""))+IF(Atletas!L290="Choylayfut A",1,IF(Atletas!L290="Hunggar A",2,IF(Atletas!L290="Wuzuquan A",3,IF(Atletas!L290="Wingchun A",4,IF(Atletas!L290="Outra Mão de Sul A",5,IF(Atletas!L290="Choylayfut B",6,IF(Atletas!L290="Hunggar B",7,IF(Atletas!L290="Wuzuquan B",8,IF(Atletas!L290="Wingchun B",9,IF(Atletas!L290="Outra Mão de Sul B",10,IF(Atletas!L290="Choylayfut C",11,IF(Atletas!L290="Hunggar C",12,IF(Atletas!L290="Wuzuquan C",13,IF(Atletas!L290="Wingchun C",14,IF(Atletas!L290="Outra Mão de Sul C",15,IF(Atletas!L290="Choylayfut D",16,IF(Atletas!L290="Hunggar D",17,IF(Atletas!L290="Wuzuquan D",18,IF(Atletas!L290="Wingchun D",19,IF(Atletas!L290="Outra Mão de Sul D",20,IF(Atletas!L290="Choylayfut E",21,IF(Atletas!L290="Hunggar E",22,IF(Atletas!L290="Wuzuquan E",23,IF(Atletas!L290="Wingchun E",24,IF(Atletas!L290="Outra Mão de Sul E",25,IF(Atletas!L290="Choylayfut F",26,IF(Atletas!L290="Hunggar F",27,IF(Atletas!L290="Wuzuquan F",28,IF(Atletas!L290="Wingchun F",29,IF(Atletas!L290="Outra Mão de Sul F",30,IF(Atletas!L290="Dishuquan A",31,IF(Atletas!L290="Dishuquan B",32,IF(Atletas!L290="Dishuquan C",33,IF(Atletas!L290="Dishuquan D",34,IF(Atletas!L290="Dishuquan E",35,IF(Atletas!L290="Dishuquan F",36,""))))))))))))))))))))))))))))))))))))))</f>
        <v/>
      </c>
      <c r="BS299" s="50" t="str">
        <f>IF(Atletas!M290="","",IF(Atletas!X290&lt;&gt;"",10000,0)+(IF(Atletas!B290="Feminino",1000,IF(Atletas!B290="Masculino",2000,""))+(IF(Atletas!M290="Chaquan A",101,IF(Atletas!M290="Emeiquan A",102,IF(Atletas!M290="Fanziquan A",103,IF(Atletas!M290="Huaquan A",104,IF(Atletas!M290="Hongquan A",105,IF(Atletas!M290="Paoquan A",106,IF(Atletas!M290="Piguaquan A",107,IF(Atletas!M290="Shaolinquan A",108,IF(Atletas!M290="Tanglangquan A",109,IF(Atletas!M290="Yingzhaoquan A",110,IF(Atletas!M290="Tongbeiquan A",111,IF(Atletas!M290="Wudangquan A",112,IF(Atletas!M290="Outros Estilos A",113,IF(Atletas!M290="Chaquan B",114,IF(Atletas!M290="Emeiquan B",115,IF(Atletas!M290="Fanziquan B",116,IF(Atletas!M290="Huaquan B",117,IF(Atletas!M290="Hongquan B",118,IF(Atletas!M290="Paoquan B",119,IF(Atletas!M290="Piguaquan B",120,IF(Atletas!M290="Shaolinquan B",121,IF(Atletas!M290="Tanglangquan B",122,IF(Atletas!M290="Yingzhaoquan B",123,IF(Atletas!M290="Tongbeiquan B",124,IF(Atletas!M290="Wudangquan B",125,IF(Atletas!M290="Outros Estilos B",126,IF(Atletas!M290="Chaquan C",127,IF(Atletas!M290="Emeiquan C",128,IF(Atletas!M290="Fanziquan C",129,IF(Atletas!M290="Huaquan C",130,IF(Atletas!M290="Hongquan C",131,IF(Atletas!M290="Paoquan C",132,IF(Atletas!M290="Piguaquan C",133,IF(Atletas!M290="Shaolinquan C",134,IF(Atletas!M290="Tanglangquan C",135,IF(Atletas!M290="Yingzhaoquan C",136,IF(Atletas!M290="Tongbeiquan C",137,IF(Atletas!M290="Wudangquan C",138,IF(Atletas!M290="Outros Estilos C",139,0))))))))))))))))))))))))))))))))))))))))))</f>
        <v/>
      </c>
      <c r="BT299" s="50" t="str">
        <f>IF(Atletas!M290="","",IF(Atletas!X290&lt;&gt;"",10000,0)+(IF(Atletas!B290="Feminino",1000,IF(Atletas!B290="Masculino",2000,""))+(IF(Atletas!M290="Chaquan D",140,IF(Atletas!M290="Emeiquan D",141,IF(Atletas!M290="Fanziquan D",142,IF(Atletas!M290="Huaquan D",143,IF(Atletas!M290="Hongquan D",144,IF(Atletas!M290="Paoquan D",145,IF(Atletas!M290="Piguaquan D",146,IF(Atletas!M290="Shaolinquan D",147,IF(Atletas!M290="Tanglangquan D",148,IF(Atletas!M290="Yingzhaoquan D",149,IF(Atletas!M290="Tongbeiquan D",150,IF(Atletas!M290="Wudangquan D",151,IF(Atletas!M290="Outros Estilos D",152,IF(Atletas!M290="Chaquan E",153,IF(Atletas!M290="Emeiquan E",154,IF(Atletas!M290="Fanziquan E",155,IF(Atletas!M290="Huaquan E",156,IF(Atletas!M290="Hongquan E",157,IF(Atletas!M290="Paoquan E",158,IF(Atletas!M290="Piguaquan E",159,IF(Atletas!M290="Shaolinquan E",160,IF(Atletas!M290="Tanglangquan E",161,IF(Atletas!M290="Yingzhaoquan E",162,IF(Atletas!M290="Tongbeiquan E",163,IF(Atletas!M290="Wudangquan E",164,IF(Atletas!M290="Outros Estilos E",165,IF(Atletas!M290="Chaquan F",166,IF(Atletas!M290="Emeiquan F",167,IF(Atletas!M290="Fanziquan F",168,IF(Atletas!M290="Huaquan F",169,IF(Atletas!M290="Hongquan F",170,IF(Atletas!M290="Paoquan F",171,IF(Atletas!M290="Piguaquan F",172,IF(Atletas!M290="Shaolinquan F",173,IF(Atletas!M290="Tanglangquan F",174,IF(Atletas!M290="Yingzhaoquan F",175,IF(Atletas!M290="Tongbeiquan F",176,IF(Atletas!M290="Wudangquan F",177,IF(Atletas!M290="Outros Estilos F",178,0))))))))))))))))))))))))))))))))))))))))))</f>
        <v/>
      </c>
      <c r="BU299" s="50" t="str">
        <f>IF(Atletas!N290="","",IF(Atletas!X290&lt;&gt;"",10000,0)+(IF(Atletas!B290="Feminino",1000,IF(Atletas!B290="Masculino",2000,""))+(IF(Atletas!N290="Ditangquan A",201,IF(Atletas!N290="Houquan A",202,IF(Atletas!N290="Zuiquan A",203,IF(Atletas!N290="Ditangquan B",204,IF(Atletas!N290="Houquan B",205,IF(Atletas!N290="Zuiquan B",206,IF(Atletas!N290="Ditangquan C",207,IF(Atletas!N290="Houquan C",208,IF(Atletas!N290="Zuiquan C",209,IF(Atletas!N290="Ditangquan D",210,IF(Atletas!N290="Houquan D",211,IF(Atletas!N290="Zuiquan D",212,IF(Atletas!N290="Ditangquan E",213,IF(Atletas!N290="Houquan E",214,IF(Atletas!N290="Zuiquan E",215,IF(Atletas!N290="Ditangquan F",216,IF(Atletas!N290="Houquan F",217,IF(Atletas!N290="Zuiquan F",218,"")))))))))))))))))))))</f>
        <v/>
      </c>
      <c r="BV299" s="50" t="str">
        <f>IF(Atletas!O290="","",IF(Atletas!X290&lt;&gt;"",10000,0)+IF(Atletas!B290="Feminino",1000,IF(Atletas!B290="Masculino",2000,""))+IF(Atletas!O290="Yang A",301,IF(Atletas!O290="Chen A",302,IF(Atletas!O290="Sun A",303,IF(Atletas!O290="Wu A",304,IF(Atletas!O290="Wu-Hao A",305,IF(Atletas!O290="Outro Taijiquan A",306,IF(Atletas!O290="Yang B",307,IF(Atletas!O290="Chen B",308,IF(Atletas!O290="Sun B",309,IF(Atletas!O290="Wu B",310,IF(Atletas!O290="Wu-Hao B",311,IF(Atletas!O290="Outro Taijiquan B",312,IF(Atletas!O290="Yang C",313,IF(Atletas!O290="Chen C",314,IF(Atletas!O290="Sun C",315,IF(Atletas!O290="Wu C",316,IF(Atletas!O290="Wu-Hao C",317,IF(Atletas!O290="Outro Taijiquan C",318,IF(Atletas!O290="Yang D",319,IF(Atletas!O290="Chen D",320,IF(Atletas!O290="Sun D",321,IF(Atletas!O290="Wu D",322,IF(Atletas!O290="Wu-Hao D",323,IF(Atletas!O290="Outro Taijiquan D",324,IF(Atletas!O290="Yang E",325,IF(Atletas!O290="Chen E",326,IF(Atletas!O290="Sun E",327,IF(Atletas!O290="Wu E",328,IF(Atletas!O290="Wu-Hao E",329,IF(Atletas!O290="Outro Taijiquan E",330,IF(Atletas!O290="Yang F",331,IF(Atletas!O290="Chen F",332,IF(Atletas!O290="Sun F",333,IF(Atletas!O290="Wu F",334,IF(Atletas!O290="Wu-Hao F",335,IF(Atletas!O290="Outro Taijiquan F",336,"")))))))))))))))))))))))))))))))))))))</f>
        <v/>
      </c>
      <c r="BW299" s="50" t="str">
        <f>IF(Atletas!P290="","",IF(Atletas!X290&lt;&gt;"",10000,0)+IF(Atletas!B290="Feminino",1000,IF(Atletas!B290="Masculino",2000,""))+IF(OR(Atletas!P290="Yang 26 A",Atletas!P290="Yang 40 A"),401,IF(OR(Atletas!P290="Chen 25 A",Atletas!P290="Chen 36 A",Atletas!P290="Chen 56 A"),402,IF(Atletas!P290="Sun 73 A",403,IF(Atletas!P290="Wu 45 A",404,IF(Atletas!P290="Wu-Hao 46 A",405,IF(OR(Atletas!P290="Taijiquan 16 A",Atletas!P290="Taijiquan 24 A",Atletas!P290="Taijiquan 32 A",Atletas!P290="Taijiquan 42 A"),406,IF(OR(Atletas!P290="Yang 26 B",Atletas!P290="Yang 40 B"),407,IF(OR(Atletas!P290="Chen 25 B",Atletas!P290="Chen 36 B",Atletas!P290="Chen 56 B"),408,IF(Atletas!P290="Sun 73 B",409,IF(Atletas!P290="Wu 45 B",410,IF(Atletas!P290="Wu-Hao 46 B",411,IF(OR(Atletas!P290="Taijiquan 16 B",Atletas!P290="Taijiquan 24 B",Atletas!P290="Taijiquan 32 B",Atletas!P290="Taijiquan 42 B"),412,IF(OR(Atletas!P290="Yang 26 C",Atletas!P290="Yang 40 C"),413,IF(OR(Atletas!P290="Chen 25 C",Atletas!P290="Chen 36 C",Atletas!P290="Chen 56 C"),414,IF(Atletas!P290="Sun 73 C",415,IF(Atletas!P290="Wu 45 C",416,IF(Atletas!P290="Wu-Hao 46 C",417,IF(OR(Atletas!P290="Taijiquan 16 C",Atletas!P290="Taijiquan 24 C",Atletas!P290="Taijiquan 32 C",Atletas!P290="Taijiquan 42 C"),418,0)))))))))))))))))))</f>
        <v/>
      </c>
      <c r="BX299" s="50" t="str">
        <f>IF(Atletas!P290="","",IF(Atletas!X290&lt;&gt;"",10000,0)+IF(Atletas!B290="Feminino",1000,IF(Atletas!B290="Masculino",2000,""))+IF(OR(Atletas!P290="Yang 26 D",Atletas!P290="Yang 40 D"),419,IF(OR(Atletas!P290="Chen 25 D",Atletas!P290="Chen 36 D",Atletas!P290="Chen 56 D"),420,IF(Atletas!P290="Sun 73 D",421,IF(Atletas!P290="Wu 45 D",422,IF(Atletas!P290="Wu-Hao 46 D",423,IF(OR(Atletas!P290="Taijiquan 16 D",Atletas!P290="Taijiquan 24 D",Atletas!P290="Taijiquan 32 D",Atletas!P290="Taijiquan 42 D"),424,IF(OR(Atletas!P290="Yang 26 E",Atletas!P290="Yang 40 E"),425,IF(OR(Atletas!P290="Chen 25 E",Atletas!P290="Chen 36 E",Atletas!P290="Chen 56 E"),426,IF(Atletas!P290="Sun 73 E",427,IF(Atletas!P290="Wu 45 E",428,IF(Atletas!P290="Wu-Hao 46 E",429,IF(OR(Atletas!P290="Taijiquan 16 E",Atletas!P290="Taijiquan 24 E",Atletas!P290="Taijiquan 32 E",Atletas!P290="Taijiquan 42 E"),430,IF(OR(Atletas!P290="Yang 26 F",Atletas!P290="Yang 40 F"),431,IF(OR(Atletas!P290="Chen 25 F",Atletas!P290="Chen 36 F",Atletas!P290="Chen 56 F"),432,IF(Atletas!P290="Sun 73 F",433,IF(Atletas!P290="Wu 45 F",434,IF(Atletas!P290="Wu-Hao 46 F",435,IF(OR(Atletas!P290="Taijiquan 16 F",Atletas!P290="Taijiquan 24 F",Atletas!P290="Taijiquan 32 F",Atletas!P290="Taijiquan 42 F"),436,0)))))))))))))))))))</f>
        <v/>
      </c>
      <c r="BY299" s="50" t="str">
        <f>IF(Atletas!Q290="","",IF(Atletas!X290&lt;&gt;"",10000,0)+IF(Atletas!B290="Feminino",1000,IF(Atletas!B290="Masculino",2000,""))+IF(Atletas!Q290="Xingyiquan A",501,IF(Atletas!Q290="Baguazhang A",502,IF(Atletas!Q290="Outro Estilo Interno A",503,IF(Atletas!Q290="Xingyiquan B",504,IF(Atletas!Q290="Baguazhang B",505,IF(Atletas!Q290="Outro Estilo Interno B",506,IF(Atletas!Q290="Xingyiquan C",507,IF(Atletas!Q290="Baguazhang C",508,IF(Atletas!Q290="Outro Estilo Interno C",509,IF(Atletas!Q290="Xingyiquan D",510,IF(Atletas!Q290="Baguazhang D",511,IF(Atletas!Q290="Outro Estilo Interno D",512,IF(Atletas!Q290="Xingyiquan E",513,IF(Atletas!Q290="Baguazhang E",514,IF(Atletas!Q290="Outro Estilo Interno E",515,IF(Atletas!Q290="Xingyiquan F",516,IF(Atletas!Q290="Baguazhang F",517,IF(Atletas!Q290="Outro Estilo Interno F",518, "")))))))))))))))))))</f>
        <v/>
      </c>
      <c r="BZ299" s="50" t="str">
        <f>IF(Atletas!R290="","",IF(Atletas!X290&lt;&gt;"",10000,0)+IF(Atletas!B290="Feminino",1000,IF(Atletas!B290="Masculino",2000,""))+IF(Atletas!R290="Dao A",601,IF(Atletas!R290="Jian A",602,IF(Atletas!R290="Bishou A",603,IF(Atletas!R290="Shanzi A",604,IF(Atletas!R290="Outra Arma Curta A",605,IF(Atletas!R290="Dao B",606,IF(Atletas!R290="Jian B",607,IF(Atletas!R290="Bishou B",608,IF(Atletas!R290="Shanzi B",609,IF(Atletas!R290="Outra Arma Curta B",610,IF(Atletas!R290="Dao C",611,IF(Atletas!R290="Jian C",612,IF(Atletas!R290="Bishou C",613,IF(Atletas!R290="Shanzi C",614,IF(Atletas!R290="Outra Arma Curta C",615,IF(Atletas!R290="Dao D",616,IF(Atletas!R290="Jian D",617,IF(Atletas!R290="Bishou D",618,IF(Atletas!R290="Shanzi D",619,IF(Atletas!R290="Outra Arma Curta D",620,IF(Atletas!R290="Dao E",621,IF(Atletas!R290="Jian E",622,IF(Atletas!R290="Bishou E",623,IF(Atletas!R290="Shanzi E",624,IF(Atletas!R290="Outra Arma Curta E",625,IF(Atletas!R290="Dao F",626,IF(Atletas!R290="Jian F",627,IF(Atletas!R290="Bishou F",628,IF(Atletas!R290="Shanzi F",629,IF(Atletas!R290="Outra Arma Curta F",630, "")))))))))))))))))))))))))))))))</f>
        <v/>
      </c>
      <c r="CA299" s="50" t="str">
        <f>IF(Atletas!S290="","",IF(Atletas!X290&lt;&gt;"",10000,0)+IF(Atletas!B290="Feminino",1000,IF(Atletas!B290="Masculino",2000,""))+IF(Atletas!S290="Gun A",701,IF(Atletas!S290="Qiang A",702,IF(Atletas!S290="Pudao / Guandao A",703,IF(Atletas!S290="Outra Arma Longa A",704,IF(Atletas!S290="Gun B",705,IF(Atletas!S290="Qiang B",706,IF(Atletas!S290="Pudao / Guandao B",707,IF(Atletas!S290="Outra Arma Longa B",708,IF(Atletas!S290="Gun C",709,IF(Atletas!S290="Qiang C",710,IF(Atletas!S290="Pudao / Guandao C",711,IF(Atletas!S290="Outra Arma Longa C",712,IF(Atletas!S290="Gun D",713,IF(Atletas!S290="Qiang D",714,IF(Atletas!S290="Pudao / Guandao D",715,IF(Atletas!S290="Outra Arma Longa D",716,IF(Atletas!S290="Gun E",717,IF(Atletas!S290="Qiang E",718,IF(Atletas!S290="Pudao / Guandao E",719,IF(Atletas!S290="Outra Arma Longa E",720,IF(Atletas!S290="Gun F",721,IF(Atletas!S290="Qiang F",722,IF(Atletas!S290="Pudao / Guandao F",723,IF(Atletas!S290="Outra Arma Longa F",724,"")))))))))))))))))))))))))</f>
        <v/>
      </c>
      <c r="CB299" s="50" t="str">
        <f>IF(Atletas!T290="","",IF(Atletas!X290&lt;&gt;"",10000,0)+IF(Atletas!B290="Feminino",1000,IF(Atletas!B290="Masculino",2000,""))+IF(Atletas!T290="Outra Arma Dupla A",801,IF(Atletas!T290="Arma Maleável A",802,IF(Atletas!T290="Outra Arma Dupla B",803,IF(Atletas!T290="Arma Maleável B",804,IF(Atletas!T290="Outra Arma Dupla C",805,IF(Atletas!T290="Arma Maleável C",806,IF(Atletas!T290="Outra Arma Dupla D",807,IF(Atletas!T290="Arma Maleável D",808,IF(Atletas!T290="Outra Arma Dupla E",809,IF(Atletas!T290="Arma Maleável E",810,IF(Atletas!T290="Outra Arma Dupla F",811,IF(Atletas!T290="Arma Maleável F",812,IF(Atletas!T290="Shuangdao A",813,IF(Atletas!T290="Shuangdao B",814,IF(Atletas!T290="Shuangdao C",815,IF(Atletas!T290="Shuangdao D",816,IF(Atletas!T290="Shuangdao E",817,IF(Atletas!T290="Shuangdao F",818,"")))))))))))))))))))</f>
        <v/>
      </c>
      <c r="CC299" s="50" t="str">
        <f>IF(Atletas!U290="","",IF(Atletas!X290&lt;&gt;"",10000,0)+IF(Atletas!B290="Feminino",1000,IF(Atletas!B290="Masculino",2000,""))+IF(OR(Atletas!U290="Taijijian Yang A",Atletas!U290="Taijijian Yang Standard A"),901,IF(OR(Atletas!U290="Taijijian Chen A", Atletas!U290="Taijijian Chen Standard A"),902,IF(Atletas!U290="Taijijian Sun A",903,IF(Atletas!U290="Taijijian Wu A",904,IF(Atletas!U290="Taijijian Wu-Hao A",905,IF(OR(Atletas!U290="Taijijian 32 A",Atletas!U290="Taijijian 42 A"),906,IF(OR(Atletas!U290="Taijijian Yang B",Atletas!U290="Taijijian Yang Standard B"),907,IF(OR(Atletas!U290="Taijijian Chen B", Atletas!U290="Taijijian Chen Standard B"),908,IF(Atletas!U290="Taijijian Sun B",909,IF(Atletas!U290="Taijijian Wu B",910,IF(Atletas!U290="Taijijian Wu-Hao B",911,IF(OR(Atletas!U290="Taijijian 32 B",Atletas!U290="Taijijian 42 B"),912,IF(OR(Atletas!U290="Taijijian Yang C",Atletas!U290="Taijijian Yang Standard C"),913,IF(OR(Atletas!U290="Taijijian Chen C", Atletas!U290="Taijijian Chen Standard C"),914,IF(Atletas!U290="Taijijian Sun C",915,IF(Atletas!U290="Taijijian Wu C",916,IF(Atletas!U290="Taijijian Wu-Hao C",917,IF(OR(Atletas!U290="Taijijian 32 C",Atletas!U290="Taijijian 42 C"),918,IF(OR(Atletas!U290="Taijijian Yang D",Atletas!U290="Taijijian Yang Standard D"),919,IF(OR(Atletas!U290="Taijijian Chen D", Atletas!U290="Taijijian Chen Standard D"),920,IF(Atletas!U290="Taijijian Sun D",921,IF(Atletas!U290="Taijijian Wu D",922,IF(Atletas!U290="Taijijian Wu-Hao D",923,IF(OR(Atletas!U290="Taijijian 32 D",Atletas!U290="Taijijian 42 D"),924,IF(OR(Atletas!U290="Taijijian Yang E",Atletas!U290="Taijijian Yang Standard E"),925,IF(OR(Atletas!U290="Taijijian Chen E", Atletas!U290="Taijijian Chen Standard E"),926,IF(Atletas!U290="Taijijian Sun E",927,IF(Atletas!U290="Taijijian Wu E",928,IF(Atletas!U290="Taijijian Wu-Hao E",929,IF(OR(Atletas!U290="Taijijian 32 E",Atletas!U290="Taijijian 42 E"),930,IF(OR(Atletas!U290="Taijijian Yang F",Atletas!U290="Taijijian Yang Standard F"),931,IF(OR(Atletas!U290="Taijijian Chen F", Atletas!U290="Taijijian Chen Standard F"),932,IF(Atletas!U290="Taijijian Sun F",933,IF(Atletas!U290="Taijijian Wu F",934,IF(Atletas!U290="Taijijian Wu-Hao F",935,IF(OR(Atletas!U290="Taijijian 32 F",Atletas!U290="Taijijian 42 F"),936,"")))))))))))))))))))))))))))))))))))))</f>
        <v/>
      </c>
      <c r="CD299" s="50" t="str">
        <f>IF(Atletas!V290="","",IF(Atletas!X290&lt;&gt;"",10000,0)+IF(Atletas!B290="Feminino",1000,IF(Atletas!B290="Masculino",2000,""))+IF(Atletas!V290="Taijidao A",937,IF(Atletas!V290="TaijiShanzi A",938,IF(Atletas!V290="Taijiqiang A",939,IF(Atletas!V290="Bagua de Arma A",940,IF(Atletas!V290="Xingyi de Arma A",941,IF(Atletas!V290="Taijidao B",942,IF(Atletas!V290="TaijiShanzi B",943,IF(Atletas!V290="Taijiqiang B",944,IF(Atletas!V290="Bagua de Arma B",945,IF(Atletas!V290="Xingyi de Arma B",946,IF(Atletas!V290="Taijidao C",947,IF(Atletas!V290="TaijiShanzi C",948,IF(Atletas!V290="Taijiqiang C",949,IF(Atletas!V290="Bagua de Arma C",950,IF(Atletas!V290="Xingyi de Arma C",951,IF(Atletas!V290="Taijidao D",952,IF(Atletas!V290="TaijiShanzi D",953,IF(Atletas!V290="Taijiqiang D",954,IF(Atletas!V290="Bagua de Arma D",955,IF(Atletas!V290="Xingyi de Arma D",956,IF(Atletas!V290="Taijidao E",957,IF(Atletas!V290="TaijiShanzi E",958,IF(Atletas!V290="Taijiqiang E",959,IF(Atletas!V290="Bagua de Arma E",960,IF(Atletas!V290="Xingyi de Arma E",961,IF(Atletas!V290="Taijidao F",962,IF(Atletas!V290="TaijiShanzi F",963,IF(Atletas!V290="Taijiqiang F",964,IF(Atletas!V290="Bagua de Arma F",965,IF(Atletas!V290="Xingyi de Arma F",966,"")))))))))))))))))))))))))))))))</f>
        <v/>
      </c>
      <c r="CE299" s="66" t="str">
        <f>IF(CF299&lt;&gt;"","Outra Arma Dupla F","")</f>
        <v/>
      </c>
      <c r="CF299" s="66" t="str">
        <f>IF(COUNTIF(BR:CD,1811)&gt;0,COUNTIF(BR:CD,1811),"")</f>
        <v/>
      </c>
      <c r="CG299" s="66" t="str">
        <f>IF(CH299&lt;&gt;"","Outra Arma Dupla F","")</f>
        <v/>
      </c>
      <c r="CH299" s="66" t="str">
        <f>IF(COUNTIF(BR:CD,2811)&gt;0,COUNTIF(BR:CD,2811),"")</f>
        <v/>
      </c>
      <c r="CI299" s="66" t="str">
        <f>IF(CJ300&lt;&gt;"","Taijijian Combinado B","")</f>
        <v/>
      </c>
      <c r="CJ299" s="66" t="str">
        <f>IF(COUNTIF(BR:CD,11911)&gt;0,COUNTIF(BR:CD,11911),"")</f>
        <v/>
      </c>
      <c r="CK299" s="66" t="str">
        <f>IF(CL299&lt;&gt;"","Taijijian Wu-Hao B","")</f>
        <v/>
      </c>
      <c r="CL299" s="66" t="str">
        <f>IF(COUNTIF(BR:CD,12911)&gt;0,COUNTIF(BR:CD,12911),"")</f>
        <v/>
      </c>
      <c r="CM299" s="50" t="str">
        <f xml:space="preserve"> IF(Atletas!W290="","",IF(Atletas!W290="Duilian de Mãos BC - Equipe 1",1,IF(Atletas!W290="Duilian de Mãos BC - Equipe 2",2,IF(Atletas!W290="Duilian de Armas BC - Equipe 1",3,IF(Atletas!W290="Duilian de Armas BC - Equipe 2",4,IF(Atletas!W290="Duilian de Mãos DE - Equipe 1",5,IF(Atletas!W290="Duilian de Mãos DE - Equipe 2",6,IF(Atletas!W290="Duilian de Armas DE - Equipe 1",7,IF(Atletas!W290="Duilian de Armas DE - Equipe 2",8,IF(Atletas!W290="Duilian de Tuishou - Equipe 1",9,IF(Atletas!W290="Duilian de Tuishou - Equipe 2",10,IF(Atletas!W290="Grupo Externo ABC - Equipe 1",11,IF(Atletas!W290="Grupo Externo ABC - Equipe 2",12,IF(Atletas!W290="Grupo Interno ABC - Equipe 1",13,IF(Atletas!W290="Grupo Interno ABC - Equipe 2",14,IF(Atletas!W290="Grupo Externo DEF - Equipe 1",15,IF(Atletas!W290="Grupo Externo DEF - Equipe 2",16,IF(Atletas!W290="Grupo Interno DEF - Equipe 1",17,IF(Atletas!W290="Grupo Interno DEF - Equipe 2",18,"")))))))))))))))))))</f>
        <v/>
      </c>
    </row>
    <row r="300" spans="2:91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 t="str">
        <f t="array" ref="Z300">IFERROR(INDEX(CE$7:CE$348,SMALL(IF(CE$7:CE$348&lt;&gt;"",ROW(CE$7:CE$348)-ROW(CE$7)+1),ROWS(CE$7:CE299))),"")</f>
        <v/>
      </c>
      <c r="AA300" s="3" t="str">
        <f t="array" ref="AA300">IFERROR(INDEX(CF$7:CF$348,SMALL(IF(CF$7:CF$348&lt;&gt;"",ROW(CF$7:CF$348)-ROW(CF$7)+1),ROWS(CF$7:CF299))),"")</f>
        <v/>
      </c>
      <c r="AB300" s="3" t="str">
        <f t="array" ref="AB300">IFERROR(INDEX(CG$7:CG$348,SMALL(IF(CG$7:CG$348&lt;&gt;"",ROW(CG$7:CG$348)-ROW(CG$7)+1),ROWS(CG$7:CG299))),"")</f>
        <v/>
      </c>
      <c r="AC300" s="3" t="str">
        <f t="array" ref="AC300">IFERROR(INDEX(CH$7:CH$348,SMALL(IF(CH$7:CH$348&lt;&gt;"",ROW(CH$7:CH$348)-ROW(CH$7)+1),ROWS(CH$7:CH299))),"")</f>
        <v/>
      </c>
      <c r="AD300" s="3" t="str">
        <f t="array" ref="AD300">IFERROR(INDEX(CI$7:CI$377,SMALL(IF(CI$7:CI$377&lt;&gt;"",ROW(CI$7:CI$377)-ROW(CI$7)+1),ROWS(CI$7:CI298))),"")</f>
        <v/>
      </c>
      <c r="AE300" s="3" t="str">
        <f t="array" ref="AE300">IFERROR(INDEX(CJ$7:CJ$378,SMALL(IF(CJ$7:CJ$378&lt;&gt;"",ROW(CJ$7:CJ$378)-ROW(CJ$7)+1),ROWS(CJ$7:CJ299))),"")</f>
        <v/>
      </c>
      <c r="AF300" s="3" t="str">
        <f t="array" ref="AF300">IFERROR(INDEX(CK$7:CK$378,SMALL(IF(CK$7:CK$378&lt;&gt;"",ROW(CK$7:CK$378)-ROW(CK$7)+1),ROWS(CK$7:CK299))),"")</f>
        <v/>
      </c>
      <c r="AG300" s="3" t="str">
        <f t="array" ref="AG300">IFERROR(INDEX(CL$7:CL$378,SMALL(IF(CL$7:CL$378&lt;&gt;"",ROW(CL$7:CL$378)-ROW(CL$7)+1),ROWS(CL$7:CL299))),"")</f>
        <v/>
      </c>
      <c r="AH300" s="3"/>
      <c r="AI300" s="3"/>
      <c r="AJ300" s="3"/>
      <c r="AK300" s="3"/>
      <c r="AL300" s="3"/>
      <c r="AM300" s="3"/>
      <c r="AN300" s="52" t="str">
        <f>IF(Atletas!D291="","",IF(Atletas!B291="Feminino",100,IF(Atletas!B291="Masculino",200,""))+(IF(Atletas!D291="Kids 30kg",1,IF(Atletas!D291="Kids 32kg",2, IF(Atletas!D291="Kids 34kg",3,IF(Atletas!D291="Kids 36kg",4,IF(Atletas!D291="Kids 39kg",5,IF(Atletas!D291="Kids 42kg",6,IF(Atletas!D291="Kids 45kg",7, IF(Atletas!D291="Infantil 39kg",8,IF(Atletas!D291="Infantil 42kg",9,IF(Atletas!D291="Infantil 45kg",10,IF(Atletas!D291="Infantil 48kg",11,IF(Atletas!D291="Infantil 52kg",12,IF(Atletas!D291="Infantil 56kg",13,IF(Atletas!D291="Infantil 60kg",14,IF(Atletas!D291="Juvenil 48kg",15,IF(Atletas!D291="Juvenil 52kg",16,IF(Atletas!D291="Juvenil 56kg",17,IF(Atletas!D291="Juvenil 60kg",18,IF(Atletas!D291="Juvenil 65kg",19,IF(Atletas!D291="Juvenil 70kg",20,IF(Atletas!D291="Juvenil 75kg",21,IF(Atletas!D291="Juvenil 80kg",22, IF(Atletas!D291="Juvenil 85kg",23,IF(Atletas!D291="Adulto 48kg",24,IF(Atletas!D291="Adulto 52kg",25,IF(Atletas!D291="Adulto 56kg",26,IF(Atletas!D291="Adulto 60kg",27,IF(Atletas!D291="Adulto 65kg",28,IF(Atletas!D291="Adulto 70kg",29,IF(Atletas!D291="Adulto 75kg",30,IF(Atletas!D291="Adulto 80kg",31,IF(Atletas!D291="Adulto 85kg",32,IF(Atletas!D291="Adulto 90kg",33,IF(Atletas!D291="Adulto 100kg",34, IF(Atletas!D291="Adulto +100kg",35,"")))))))))))))))))))))))))))))))))))))</f>
        <v/>
      </c>
      <c r="AS300" s="6" t="str">
        <f>IF(Atletas!E291="","",IF(Atletas!B291="Feminino",100,IF(Atletas!B291="Masculino",200,""))+(IF(Atletas!E291="Juvenil 44kg",1,IF(Atletas!E291="Juvenil 48kg",2,IF(Atletas!E291="Juvenil 52kg",3,IF(Atletas!E291="Juvenil 56kg",4,IF(Atletas!E291="Juvenil 60kg",5,IF(Atletas!E291="Juvenil 65kg",6,IF(Atletas!E291="Juvenil 70kg",7,IF(Atletas!E291="Juvenil 75kg",8,IF(Atletas!E291="Juvenil 82kg",9,IF(Atletas!E291="Juvenil 90kg",10,IF(Atletas!E291="Juvenil 100kg",11,IF(Atletas!E291="Adulto 48kg",12,IF(Atletas!E291="Adulto 52kg",13,IF(Atletas!E291="Adulto 56kg",14,IF(Atletas!E291="Adulto 60kg",15,IF(Atletas!E291="Adulto 65kg",16,IF(Atletas!E291="Adulto 70kg",17,IF(Atletas!E291="Adulto 75kg",18,IF(Atletas!E291="Adulto 82kg",19,IF(Atletas!E291="Adulto 90kg",20,IF(Atletas!E291="Adulto 100kg",21,IF(Atletas!E291="Adulto +100kg",22,""))))))))))))))))))))))))</f>
        <v/>
      </c>
      <c r="AX300" s="6" t="str">
        <f>IF(Atletas!F291="","",IF(Atletas!B291="Feminino",100,IF(Atletas!B291="Masculino",200,""))+(IF(Atletas!F291="Adulto 48kg",1,IF(Atletas!F291="Adulto 56kg",2,IF(Atletas!F291="Adulto 65kg",3,IF(Atletas!F291="Adulto 75kg",4,IF(Atletas!F291="Adulto +75kg",5,IF(Atletas!F291="Adulto 52kg",6,IF(Atletas!F291="Adulto 60kg",7,IF(Atletas!F291="Adulto 70kg",8,IF(Atletas!F291="Adulto 80kg",9,IF(Atletas!F291="Adulto 90kg",10,IF(Atletas!F291="Adulto +90kg",11,"")))))))))))))</f>
        <v/>
      </c>
      <c r="BC300" s="6" t="str">
        <f>IF(Atletas!G291="","",IF(Atletas!B291="Feminino",10,IF(Atletas!B291="Masculino",20,""))+(IF(Atletas!G291="Baduanjin A",1,IF(Atletas!G291="Baduanjin B",2))))</f>
        <v/>
      </c>
      <c r="BF300" s="52" t="str">
        <f>IF(Atletas!H291="","",IF(Atletas!B291="Feminino",100,IF(Atletas!B291="Masculino",200,""))+(IF(Atletas!H291="Changquan Mirim",1,IF(Atletas!H291="Nanquan Mirim",2,IF(Atletas!H291="Taijiquan Mirim",3,IF(Atletas!H291="Changquan Grupo C",4,IF(Atletas!H291="Nanquan Grupo C",5,IF(Atletas!H291="Taijiquan Grupo C",6,IF(Atletas!H291="Changquan Grupo B",7,IF(Atletas!H291="Nanquan Grupo B",8,IF(Atletas!H291="Taijiquan Grupo B",9,IF(Atletas!H291="Changquan Grupo A",10,IF(Atletas!H291="Nanquan Grupo A",11,IF(Atletas!H291="Taijiquan Grupo A",12,IF(Atletas!H291="Changquan Opcional",13,IF(Atletas!H291="Nanquan Opcional",14,IF(Atletas!H291="Taijiquan Opcional",15,IF(Atletas!H291="Changquan Adulto",16,IF(Atletas!H291="Nanquan Adulto",17,IF(Atletas!H291="Taijiquan Adulto",18,""))))))))))))))))))))</f>
        <v/>
      </c>
      <c r="BG300" s="52" t="str">
        <f>IF(Atletas!I291="","",IF(Atletas!B291="Feminino",100,IF(Atletas!B291="Masculino",200,""))+(IF(Atletas!I291="Daoshu Mirim",19,IF(Atletas!I291="Jianshu Mirim",20,IF(Atletas!I291="Nandao Mirim",21,IF(Atletas!I291="Taijijian Mirim",22,IF(Atletas!I291="Daoshu Grupo C",23,IF(Atletas!I291="Jianshu Grupo C",24,IF(Atletas!I291="Nandao Grupo C",25,IF(Atletas!I291="Taijijian Grupo C",26,IF(Atletas!I291="Daoshu Grupo B",27,IF(Atletas!I291="Jianshu Grupo B",28,IF(Atletas!I291="Nandao Grupo B",29,IF(Atletas!I291="Taijijian Grupo B",30,IF(Atletas!I291="Daoshu Grupo A",31,IF(Atletas!I291="Jianshu Grupo A",32,IF(Atletas!I291="Nandao Grupo A",33,IF(Atletas!I291="Taijijian Grupo A",34,IF(Atletas!I291="Daoshu Opcional",35,IF(Atletas!I291="Jianshu Opcional",36,IF(Atletas!I291="Nandao Opcional",37,IF(Atletas!I291="Taijijian Opcional",38,IF(Atletas!I291="Daoshu Adulto",39,IF(Atletas!I291="Jianshu Adulto",40,IF(Atletas!I291="Nandao Adulto",41,IF(Atletas!I291="Taijijian Adulto",42,""))))))))))))))))))))))))))</f>
        <v/>
      </c>
      <c r="BH300" s="52" t="str">
        <f>IF(Atletas!J291="","",IF(Atletas!B291="Feminino",100,IF(Atletas!B291="Masculino",200,""))+(IF(Atletas!J291="Gunshu Mirim",43,IF(Atletas!J291="Qiangshu Mirim",44,IF(Atletas!J291="Nangun Mirim",45,IF(Atletas!J291="Gunshu Grupo C",46,IF(Atletas!J291="Qiangshu Grupo C",47,IF(Atletas!J291="Nangun Grupo C",48,IF(Atletas!J291="Gunshu Grupo B",49,IF(Atletas!J291="Qiangshu Grupo B",50,IF(Atletas!J291="Nangun Grupo B",51,IF(Atletas!J291="Gunshu Grupo A",52,IF(Atletas!J291="Qiangshu Grupo A",53,IF(Atletas!J291="Nangun Grupo A",54,IF(Atletas!J291="Gunshu Opcional",55,IF(Atletas!J291="Qiangshu Opcional",56,IF(Atletas!J291="Nangun Opcional",57,IF(Atletas!J291="Gunshu Adulto",58,IF(Atletas!J291="Qiangshu Adulto",59,IF(Atletas!J291="Nangun Adulto",60,IF(Atletas!J291="Taijishan Grupo B",61,IF(Atletas!J291="Taijishan Grupo A",62,""))))))))))))))))))))))</f>
        <v/>
      </c>
      <c r="BM300" s="50" t="str">
        <f>IF(Atletas!K291="","",IF(Atletas!B291="Feminino",100,IF(Atletas!B291="Masculino",200,""))+(IF(Atletas!K291="Equipe 1 Grupo B",1,IF(Atletas!K291="Equipe 2 Grupo B",2,IF(Atletas!K291="Equipe 1 Grupo A",3,IF(Atletas!K291="Equipe 2 Grupo A",4,IF(Atletas!K291="Equipe 1 Adulto",5,IF(Atletas!K291="Equipe 2 Adulto",6,""))))))))</f>
        <v/>
      </c>
      <c r="BR300" s="50" t="str">
        <f>IF(Atletas!L291="","",IF(Atletas!X291&lt;&gt;"",10000,0)+(IF(Atletas!B291="Feminino",1000,IF(Atletas!B291="Masculino",2000,""))+IF(Atletas!L291="Choylayfut A",1,IF(Atletas!L291="Hunggar A",2,IF(Atletas!L291="Wuzuquan A",3,IF(Atletas!L291="Wingchun A",4,IF(Atletas!L291="Outra Mão de Sul A",5,IF(Atletas!L291="Choylayfut B",6,IF(Atletas!L291="Hunggar B",7,IF(Atletas!L291="Wuzuquan B",8,IF(Atletas!L291="Wingchun B",9,IF(Atletas!L291="Outra Mão de Sul B",10,IF(Atletas!L291="Choylayfut C",11,IF(Atletas!L291="Hunggar C",12,IF(Atletas!L291="Wuzuquan C",13,IF(Atletas!L291="Wingchun C",14,IF(Atletas!L291="Outra Mão de Sul C",15,IF(Atletas!L291="Choylayfut D",16,IF(Atletas!L291="Hunggar D",17,IF(Atletas!L291="Wuzuquan D",18,IF(Atletas!L291="Wingchun D",19,IF(Atletas!L291="Outra Mão de Sul D",20,IF(Atletas!L291="Choylayfut E",21,IF(Atletas!L291="Hunggar E",22,IF(Atletas!L291="Wuzuquan E",23,IF(Atletas!L291="Wingchun E",24,IF(Atletas!L291="Outra Mão de Sul E",25,IF(Atletas!L291="Choylayfut F",26,IF(Atletas!L291="Hunggar F",27,IF(Atletas!L291="Wuzuquan F",28,IF(Atletas!L291="Wingchun F",29,IF(Atletas!L291="Outra Mão de Sul F",30,IF(Atletas!L291="Dishuquan A",31,IF(Atletas!L291="Dishuquan B",32,IF(Atletas!L291="Dishuquan C",33,IF(Atletas!L291="Dishuquan D",34,IF(Atletas!L291="Dishuquan E",35,IF(Atletas!L291="Dishuquan F",36,""))))))))))))))))))))))))))))))))))))))</f>
        <v/>
      </c>
      <c r="BS300" s="50" t="str">
        <f>IF(Atletas!M291="","",IF(Atletas!X291&lt;&gt;"",10000,0)+(IF(Atletas!B291="Feminino",1000,IF(Atletas!B291="Masculino",2000,""))+(IF(Atletas!M291="Chaquan A",101,IF(Atletas!M291="Emeiquan A",102,IF(Atletas!M291="Fanziquan A",103,IF(Atletas!M291="Huaquan A",104,IF(Atletas!M291="Hongquan A",105,IF(Atletas!M291="Paoquan A",106,IF(Atletas!M291="Piguaquan A",107,IF(Atletas!M291="Shaolinquan A",108,IF(Atletas!M291="Tanglangquan A",109,IF(Atletas!M291="Yingzhaoquan A",110,IF(Atletas!M291="Tongbeiquan A",111,IF(Atletas!M291="Wudangquan A",112,IF(Atletas!M291="Outros Estilos A",113,IF(Atletas!M291="Chaquan B",114,IF(Atletas!M291="Emeiquan B",115,IF(Atletas!M291="Fanziquan B",116,IF(Atletas!M291="Huaquan B",117,IF(Atletas!M291="Hongquan B",118,IF(Atletas!M291="Paoquan B",119,IF(Atletas!M291="Piguaquan B",120,IF(Atletas!M291="Shaolinquan B",121,IF(Atletas!M291="Tanglangquan B",122,IF(Atletas!M291="Yingzhaoquan B",123,IF(Atletas!M291="Tongbeiquan B",124,IF(Atletas!M291="Wudangquan B",125,IF(Atletas!M291="Outros Estilos B",126,IF(Atletas!M291="Chaquan C",127,IF(Atletas!M291="Emeiquan C",128,IF(Atletas!M291="Fanziquan C",129,IF(Atletas!M291="Huaquan C",130,IF(Atletas!M291="Hongquan C",131,IF(Atletas!M291="Paoquan C",132,IF(Atletas!M291="Piguaquan C",133,IF(Atletas!M291="Shaolinquan C",134,IF(Atletas!M291="Tanglangquan C",135,IF(Atletas!M291="Yingzhaoquan C",136,IF(Atletas!M291="Tongbeiquan C",137,IF(Atletas!M291="Wudangquan C",138,IF(Atletas!M291="Outros Estilos C",139,0))))))))))))))))))))))))))))))))))))))))))</f>
        <v/>
      </c>
      <c r="BT300" s="50" t="str">
        <f>IF(Atletas!M291="","",IF(Atletas!X291&lt;&gt;"",10000,0)+(IF(Atletas!B291="Feminino",1000,IF(Atletas!B291="Masculino",2000,""))+(IF(Atletas!M291="Chaquan D",140,IF(Atletas!M291="Emeiquan D",141,IF(Atletas!M291="Fanziquan D",142,IF(Atletas!M291="Huaquan D",143,IF(Atletas!M291="Hongquan D",144,IF(Atletas!M291="Paoquan D",145,IF(Atletas!M291="Piguaquan D",146,IF(Atletas!M291="Shaolinquan D",147,IF(Atletas!M291="Tanglangquan D",148,IF(Atletas!M291="Yingzhaoquan D",149,IF(Atletas!M291="Tongbeiquan D",150,IF(Atletas!M291="Wudangquan D",151,IF(Atletas!M291="Outros Estilos D",152,IF(Atletas!M291="Chaquan E",153,IF(Atletas!M291="Emeiquan E",154,IF(Atletas!M291="Fanziquan E",155,IF(Atletas!M291="Huaquan E",156,IF(Atletas!M291="Hongquan E",157,IF(Atletas!M291="Paoquan E",158,IF(Atletas!M291="Piguaquan E",159,IF(Atletas!M291="Shaolinquan E",160,IF(Atletas!M291="Tanglangquan E",161,IF(Atletas!M291="Yingzhaoquan E",162,IF(Atletas!M291="Tongbeiquan E",163,IF(Atletas!M291="Wudangquan E",164,IF(Atletas!M291="Outros Estilos E",165,IF(Atletas!M291="Chaquan F",166,IF(Atletas!M291="Emeiquan F",167,IF(Atletas!M291="Fanziquan F",168,IF(Atletas!M291="Huaquan F",169,IF(Atletas!M291="Hongquan F",170,IF(Atletas!M291="Paoquan F",171,IF(Atletas!M291="Piguaquan F",172,IF(Atletas!M291="Shaolinquan F",173,IF(Atletas!M291="Tanglangquan F",174,IF(Atletas!M291="Yingzhaoquan F",175,IF(Atletas!M291="Tongbeiquan F",176,IF(Atletas!M291="Wudangquan F",177,IF(Atletas!M291="Outros Estilos F",178,0))))))))))))))))))))))))))))))))))))))))))</f>
        <v/>
      </c>
      <c r="BU300" s="50" t="str">
        <f>IF(Atletas!N291="","",IF(Atletas!X291&lt;&gt;"",10000,0)+(IF(Atletas!B291="Feminino",1000,IF(Atletas!B291="Masculino",2000,""))+(IF(Atletas!N291="Ditangquan A",201,IF(Atletas!N291="Houquan A",202,IF(Atletas!N291="Zuiquan A",203,IF(Atletas!N291="Ditangquan B",204,IF(Atletas!N291="Houquan B",205,IF(Atletas!N291="Zuiquan B",206,IF(Atletas!N291="Ditangquan C",207,IF(Atletas!N291="Houquan C",208,IF(Atletas!N291="Zuiquan C",209,IF(Atletas!N291="Ditangquan D",210,IF(Atletas!N291="Houquan D",211,IF(Atletas!N291="Zuiquan D",212,IF(Atletas!N291="Ditangquan E",213,IF(Atletas!N291="Houquan E",214,IF(Atletas!N291="Zuiquan E",215,IF(Atletas!N291="Ditangquan F",216,IF(Atletas!N291="Houquan F",217,IF(Atletas!N291="Zuiquan F",218,"")))))))))))))))))))))</f>
        <v/>
      </c>
      <c r="BV300" s="50" t="str">
        <f>IF(Atletas!O291="","",IF(Atletas!X291&lt;&gt;"",10000,0)+IF(Atletas!B291="Feminino",1000,IF(Atletas!B291="Masculino",2000,""))+IF(Atletas!O291="Yang A",301,IF(Atletas!O291="Chen A",302,IF(Atletas!O291="Sun A",303,IF(Atletas!O291="Wu A",304,IF(Atletas!O291="Wu-Hao A",305,IF(Atletas!O291="Outro Taijiquan A",306,IF(Atletas!O291="Yang B",307,IF(Atletas!O291="Chen B",308,IF(Atletas!O291="Sun B",309,IF(Atletas!O291="Wu B",310,IF(Atletas!O291="Wu-Hao B",311,IF(Atletas!O291="Outro Taijiquan B",312,IF(Atletas!O291="Yang C",313,IF(Atletas!O291="Chen C",314,IF(Atletas!O291="Sun C",315,IF(Atletas!O291="Wu C",316,IF(Atletas!O291="Wu-Hao C",317,IF(Atletas!O291="Outro Taijiquan C",318,IF(Atletas!O291="Yang D",319,IF(Atletas!O291="Chen D",320,IF(Atletas!O291="Sun D",321,IF(Atletas!O291="Wu D",322,IF(Atletas!O291="Wu-Hao D",323,IF(Atletas!O291="Outro Taijiquan D",324,IF(Atletas!O291="Yang E",325,IF(Atletas!O291="Chen E",326,IF(Atletas!O291="Sun E",327,IF(Atletas!O291="Wu E",328,IF(Atletas!O291="Wu-Hao E",329,IF(Atletas!O291="Outro Taijiquan E",330,IF(Atletas!O291="Yang F",331,IF(Atletas!O291="Chen F",332,IF(Atletas!O291="Sun F",333,IF(Atletas!O291="Wu F",334,IF(Atletas!O291="Wu-Hao F",335,IF(Atletas!O291="Outro Taijiquan F",336,"")))))))))))))))))))))))))))))))))))))</f>
        <v/>
      </c>
      <c r="BW300" s="50" t="str">
        <f>IF(Atletas!P291="","",IF(Atletas!X291&lt;&gt;"",10000,0)+IF(Atletas!B291="Feminino",1000,IF(Atletas!B291="Masculino",2000,""))+IF(OR(Atletas!P291="Yang 26 A",Atletas!P291="Yang 40 A"),401,IF(OR(Atletas!P291="Chen 25 A",Atletas!P291="Chen 36 A",Atletas!P291="Chen 56 A"),402,IF(Atletas!P291="Sun 73 A",403,IF(Atletas!P291="Wu 45 A",404,IF(Atletas!P291="Wu-Hao 46 A",405,IF(OR(Atletas!P291="Taijiquan 16 A",Atletas!P291="Taijiquan 24 A",Atletas!P291="Taijiquan 32 A",Atletas!P291="Taijiquan 42 A"),406,IF(OR(Atletas!P291="Yang 26 B",Atletas!P291="Yang 40 B"),407,IF(OR(Atletas!P291="Chen 25 B",Atletas!P291="Chen 36 B",Atletas!P291="Chen 56 B"),408,IF(Atletas!P291="Sun 73 B",409,IF(Atletas!P291="Wu 45 B",410,IF(Atletas!P291="Wu-Hao 46 B",411,IF(OR(Atletas!P291="Taijiquan 16 B",Atletas!P291="Taijiquan 24 B",Atletas!P291="Taijiquan 32 B",Atletas!P291="Taijiquan 42 B"),412,IF(OR(Atletas!P291="Yang 26 C",Atletas!P291="Yang 40 C"),413,IF(OR(Atletas!P291="Chen 25 C",Atletas!P291="Chen 36 C",Atletas!P291="Chen 56 C"),414,IF(Atletas!P291="Sun 73 C",415,IF(Atletas!P291="Wu 45 C",416,IF(Atletas!P291="Wu-Hao 46 C",417,IF(OR(Atletas!P291="Taijiquan 16 C",Atletas!P291="Taijiquan 24 C",Atletas!P291="Taijiquan 32 C",Atletas!P291="Taijiquan 42 C"),418,0)))))))))))))))))))</f>
        <v/>
      </c>
      <c r="BX300" s="50" t="str">
        <f>IF(Atletas!P291="","",IF(Atletas!X291&lt;&gt;"",10000,0)+IF(Atletas!B291="Feminino",1000,IF(Atletas!B291="Masculino",2000,""))+IF(OR(Atletas!P291="Yang 26 D",Atletas!P291="Yang 40 D"),419,IF(OR(Atletas!P291="Chen 25 D",Atletas!P291="Chen 36 D",Atletas!P291="Chen 56 D"),420,IF(Atletas!P291="Sun 73 D",421,IF(Atletas!P291="Wu 45 D",422,IF(Atletas!P291="Wu-Hao 46 D",423,IF(OR(Atletas!P291="Taijiquan 16 D",Atletas!P291="Taijiquan 24 D",Atletas!P291="Taijiquan 32 D",Atletas!P291="Taijiquan 42 D"),424,IF(OR(Atletas!P291="Yang 26 E",Atletas!P291="Yang 40 E"),425,IF(OR(Atletas!P291="Chen 25 E",Atletas!P291="Chen 36 E",Atletas!P291="Chen 56 E"),426,IF(Atletas!P291="Sun 73 E",427,IF(Atletas!P291="Wu 45 E",428,IF(Atletas!P291="Wu-Hao 46 E",429,IF(OR(Atletas!P291="Taijiquan 16 E",Atletas!P291="Taijiquan 24 E",Atletas!P291="Taijiquan 32 E",Atletas!P291="Taijiquan 42 E"),430,IF(OR(Atletas!P291="Yang 26 F",Atletas!P291="Yang 40 F"),431,IF(OR(Atletas!P291="Chen 25 F",Atletas!P291="Chen 36 F",Atletas!P291="Chen 56 F"),432,IF(Atletas!P291="Sun 73 F",433,IF(Atletas!P291="Wu 45 F",434,IF(Atletas!P291="Wu-Hao 46 F",435,IF(OR(Atletas!P291="Taijiquan 16 F",Atletas!P291="Taijiquan 24 F",Atletas!P291="Taijiquan 32 F",Atletas!P291="Taijiquan 42 F"),436,0)))))))))))))))))))</f>
        <v/>
      </c>
      <c r="BY300" s="50" t="str">
        <f>IF(Atletas!Q291="","",IF(Atletas!X291&lt;&gt;"",10000,0)+IF(Atletas!B291="Feminino",1000,IF(Atletas!B291="Masculino",2000,""))+IF(Atletas!Q291="Xingyiquan A",501,IF(Atletas!Q291="Baguazhang A",502,IF(Atletas!Q291="Outro Estilo Interno A",503,IF(Atletas!Q291="Xingyiquan B",504,IF(Atletas!Q291="Baguazhang B",505,IF(Atletas!Q291="Outro Estilo Interno B",506,IF(Atletas!Q291="Xingyiquan C",507,IF(Atletas!Q291="Baguazhang C",508,IF(Atletas!Q291="Outro Estilo Interno C",509,IF(Atletas!Q291="Xingyiquan D",510,IF(Atletas!Q291="Baguazhang D",511,IF(Atletas!Q291="Outro Estilo Interno D",512,IF(Atletas!Q291="Xingyiquan E",513,IF(Atletas!Q291="Baguazhang E",514,IF(Atletas!Q291="Outro Estilo Interno E",515,IF(Atletas!Q291="Xingyiquan F",516,IF(Atletas!Q291="Baguazhang F",517,IF(Atletas!Q291="Outro Estilo Interno F",518, "")))))))))))))))))))</f>
        <v/>
      </c>
      <c r="BZ300" s="50" t="str">
        <f>IF(Atletas!R291="","",IF(Atletas!X291&lt;&gt;"",10000,0)+IF(Atletas!B291="Feminino",1000,IF(Atletas!B291="Masculino",2000,""))+IF(Atletas!R291="Dao A",601,IF(Atletas!R291="Jian A",602,IF(Atletas!R291="Bishou A",603,IF(Atletas!R291="Shanzi A",604,IF(Atletas!R291="Outra Arma Curta A",605,IF(Atletas!R291="Dao B",606,IF(Atletas!R291="Jian B",607,IF(Atletas!R291="Bishou B",608,IF(Atletas!R291="Shanzi B",609,IF(Atletas!R291="Outra Arma Curta B",610,IF(Atletas!R291="Dao C",611,IF(Atletas!R291="Jian C",612,IF(Atletas!R291="Bishou C",613,IF(Atletas!R291="Shanzi C",614,IF(Atletas!R291="Outra Arma Curta C",615,IF(Atletas!R291="Dao D",616,IF(Atletas!R291="Jian D",617,IF(Atletas!R291="Bishou D",618,IF(Atletas!R291="Shanzi D",619,IF(Atletas!R291="Outra Arma Curta D",620,IF(Atletas!R291="Dao E",621,IF(Atletas!R291="Jian E",622,IF(Atletas!R291="Bishou E",623,IF(Atletas!R291="Shanzi E",624,IF(Atletas!R291="Outra Arma Curta E",625,IF(Atletas!R291="Dao F",626,IF(Atletas!R291="Jian F",627,IF(Atletas!R291="Bishou F",628,IF(Atletas!R291="Shanzi F",629,IF(Atletas!R291="Outra Arma Curta F",630, "")))))))))))))))))))))))))))))))</f>
        <v/>
      </c>
      <c r="CA300" s="50" t="str">
        <f>IF(Atletas!S291="","",IF(Atletas!X291&lt;&gt;"",10000,0)+IF(Atletas!B291="Feminino",1000,IF(Atletas!B291="Masculino",2000,""))+IF(Atletas!S291="Gun A",701,IF(Atletas!S291="Qiang A",702,IF(Atletas!S291="Pudao / Guandao A",703,IF(Atletas!S291="Outra Arma Longa A",704,IF(Atletas!S291="Gun B",705,IF(Atletas!S291="Qiang B",706,IF(Atletas!S291="Pudao / Guandao B",707,IF(Atletas!S291="Outra Arma Longa B",708,IF(Atletas!S291="Gun C",709,IF(Atletas!S291="Qiang C",710,IF(Atletas!S291="Pudao / Guandao C",711,IF(Atletas!S291="Outra Arma Longa C",712,IF(Atletas!S291="Gun D",713,IF(Atletas!S291="Qiang D",714,IF(Atletas!S291="Pudao / Guandao D",715,IF(Atletas!S291="Outra Arma Longa D",716,IF(Atletas!S291="Gun E",717,IF(Atletas!S291="Qiang E",718,IF(Atletas!S291="Pudao / Guandao E",719,IF(Atletas!S291="Outra Arma Longa E",720,IF(Atletas!S291="Gun F",721,IF(Atletas!S291="Qiang F",722,IF(Atletas!S291="Pudao / Guandao F",723,IF(Atletas!S291="Outra Arma Longa F",724,"")))))))))))))))))))))))))</f>
        <v/>
      </c>
      <c r="CB300" s="50" t="str">
        <f>IF(Atletas!T291="","",IF(Atletas!X291&lt;&gt;"",10000,0)+IF(Atletas!B291="Feminino",1000,IF(Atletas!B291="Masculino",2000,""))+IF(Atletas!T291="Outra Arma Dupla A",801,IF(Atletas!T291="Arma Maleável A",802,IF(Atletas!T291="Outra Arma Dupla B",803,IF(Atletas!T291="Arma Maleável B",804,IF(Atletas!T291="Outra Arma Dupla C",805,IF(Atletas!T291="Arma Maleável C",806,IF(Atletas!T291="Outra Arma Dupla D",807,IF(Atletas!T291="Arma Maleável D",808,IF(Atletas!T291="Outra Arma Dupla E",809,IF(Atletas!T291="Arma Maleável E",810,IF(Atletas!T291="Outra Arma Dupla F",811,IF(Atletas!T291="Arma Maleável F",812,IF(Atletas!T291="Shuangdao A",813,IF(Atletas!T291="Shuangdao B",814,IF(Atletas!T291="Shuangdao C",815,IF(Atletas!T291="Shuangdao D",816,IF(Atletas!T291="Shuangdao E",817,IF(Atletas!T291="Shuangdao F",818,"")))))))))))))))))))</f>
        <v/>
      </c>
      <c r="CC300" s="50" t="str">
        <f>IF(Atletas!U291="","",IF(Atletas!X291&lt;&gt;"",10000,0)+IF(Atletas!B291="Feminino",1000,IF(Atletas!B291="Masculino",2000,""))+IF(OR(Atletas!U291="Taijijian Yang A",Atletas!U291="Taijijian Yang Standard A"),901,IF(OR(Atletas!U291="Taijijian Chen A", Atletas!U291="Taijijian Chen Standard A"),902,IF(Atletas!U291="Taijijian Sun A",903,IF(Atletas!U291="Taijijian Wu A",904,IF(Atletas!U291="Taijijian Wu-Hao A",905,IF(OR(Atletas!U291="Taijijian 32 A",Atletas!U291="Taijijian 42 A"),906,IF(OR(Atletas!U291="Taijijian Yang B",Atletas!U291="Taijijian Yang Standard B"),907,IF(OR(Atletas!U291="Taijijian Chen B", Atletas!U291="Taijijian Chen Standard B"),908,IF(Atletas!U291="Taijijian Sun B",909,IF(Atletas!U291="Taijijian Wu B",910,IF(Atletas!U291="Taijijian Wu-Hao B",911,IF(OR(Atletas!U291="Taijijian 32 B",Atletas!U291="Taijijian 42 B"),912,IF(OR(Atletas!U291="Taijijian Yang C",Atletas!U291="Taijijian Yang Standard C"),913,IF(OR(Atletas!U291="Taijijian Chen C", Atletas!U291="Taijijian Chen Standard C"),914,IF(Atletas!U291="Taijijian Sun C",915,IF(Atletas!U291="Taijijian Wu C",916,IF(Atletas!U291="Taijijian Wu-Hao C",917,IF(OR(Atletas!U291="Taijijian 32 C",Atletas!U291="Taijijian 42 C"),918,IF(OR(Atletas!U291="Taijijian Yang D",Atletas!U291="Taijijian Yang Standard D"),919,IF(OR(Atletas!U291="Taijijian Chen D", Atletas!U291="Taijijian Chen Standard D"),920,IF(Atletas!U291="Taijijian Sun D",921,IF(Atletas!U291="Taijijian Wu D",922,IF(Atletas!U291="Taijijian Wu-Hao D",923,IF(OR(Atletas!U291="Taijijian 32 D",Atletas!U291="Taijijian 42 D"),924,IF(OR(Atletas!U291="Taijijian Yang E",Atletas!U291="Taijijian Yang Standard E"),925,IF(OR(Atletas!U291="Taijijian Chen E", Atletas!U291="Taijijian Chen Standard E"),926,IF(Atletas!U291="Taijijian Sun E",927,IF(Atletas!U291="Taijijian Wu E",928,IF(Atletas!U291="Taijijian Wu-Hao E",929,IF(OR(Atletas!U291="Taijijian 32 E",Atletas!U291="Taijijian 42 E"),930,IF(OR(Atletas!U291="Taijijian Yang F",Atletas!U291="Taijijian Yang Standard F"),931,IF(OR(Atletas!U291="Taijijian Chen F", Atletas!U291="Taijijian Chen Standard F"),932,IF(Atletas!U291="Taijijian Sun F",933,IF(Atletas!U291="Taijijian Wu F",934,IF(Atletas!U291="Taijijian Wu-Hao F",935,IF(OR(Atletas!U291="Taijijian 32 F",Atletas!U291="Taijijian 42 F"),936,"")))))))))))))))))))))))))))))))))))))</f>
        <v/>
      </c>
      <c r="CD300" s="50" t="str">
        <f>IF(Atletas!V291="","",IF(Atletas!X291&lt;&gt;"",10000,0)+IF(Atletas!B291="Feminino",1000,IF(Atletas!B291="Masculino",2000,""))+IF(Atletas!V291="Taijidao A",937,IF(Atletas!V291="TaijiShanzi A",938,IF(Atletas!V291="Taijiqiang A",939,IF(Atletas!V291="Bagua de Arma A",940,IF(Atletas!V291="Xingyi de Arma A",941,IF(Atletas!V291="Taijidao B",942,IF(Atletas!V291="TaijiShanzi B",943,IF(Atletas!V291="Taijiqiang B",944,IF(Atletas!V291="Bagua de Arma B",945,IF(Atletas!V291="Xingyi de Arma B",946,IF(Atletas!V291="Taijidao C",947,IF(Atletas!V291="TaijiShanzi C",948,IF(Atletas!V291="Taijiqiang C",949,IF(Atletas!V291="Bagua de Arma C",950,IF(Atletas!V291="Xingyi de Arma C",951,IF(Atletas!V291="Taijidao D",952,IF(Atletas!V291="TaijiShanzi D",953,IF(Atletas!V291="Taijiqiang D",954,IF(Atletas!V291="Bagua de Arma D",955,IF(Atletas!V291="Xingyi de Arma D",956,IF(Atletas!V291="Taijidao E",957,IF(Atletas!V291="TaijiShanzi E",958,IF(Atletas!V291="Taijiqiang E",959,IF(Atletas!V291="Bagua de Arma E",960,IF(Atletas!V291="Xingyi de Arma E",961,IF(Atletas!V291="Taijidao F",962,IF(Atletas!V291="TaijiShanzi F",963,IF(Atletas!V291="Taijiqiang F",964,IF(Atletas!V291="Bagua de Arma F",965,IF(Atletas!V291="Xingyi de Arma F",966,"")))))))))))))))))))))))))))))))</f>
        <v/>
      </c>
      <c r="CE300" s="66" t="str">
        <f>IF(CF300&lt;&gt;"","Outra Arma Maleável F","")</f>
        <v/>
      </c>
      <c r="CF300" s="66" t="str">
        <f>IF(COUNTIF(BR:CD,1812)&gt;0,COUNTIF(BR:CD,1812),"")</f>
        <v/>
      </c>
      <c r="CG300" s="66" t="str">
        <f>IF(CH300&lt;&gt;"","Outra Arma Maleável F","")</f>
        <v/>
      </c>
      <c r="CH300" s="66" t="str">
        <f>IF(COUNTIF(BR:CD,2812)&gt;0,COUNTIF(BR:CD,2812),"")</f>
        <v/>
      </c>
      <c r="CI300" s="66" t="str">
        <f>IF(CJ301&lt;&gt;"","Taijijian Yang C","")</f>
        <v/>
      </c>
      <c r="CJ300" s="66" t="str">
        <f>IF(COUNTIF(BR:CD,11912)&gt;0,COUNTIF(BR:CD,11912),"")</f>
        <v/>
      </c>
      <c r="CK300" s="66" t="str">
        <f>IF(CL300&lt;&gt;"","Taijijian Combinado B","")</f>
        <v/>
      </c>
      <c r="CL300" s="66" t="str">
        <f>IF(COUNTIF(BR:CD,12912)&gt;0,COUNTIF(BR:CD,12912),"")</f>
        <v/>
      </c>
      <c r="CM300" s="50" t="str">
        <f xml:space="preserve"> IF(Atletas!W291="","",IF(Atletas!W291="Duilian de Mãos BC - Equipe 1",1,IF(Atletas!W291="Duilian de Mãos BC - Equipe 2",2,IF(Atletas!W291="Duilian de Armas BC - Equipe 1",3,IF(Atletas!W291="Duilian de Armas BC - Equipe 2",4,IF(Atletas!W291="Duilian de Mãos DE - Equipe 1",5,IF(Atletas!W291="Duilian de Mãos DE - Equipe 2",6,IF(Atletas!W291="Duilian de Armas DE - Equipe 1",7,IF(Atletas!W291="Duilian de Armas DE - Equipe 2",8,IF(Atletas!W291="Duilian de Tuishou - Equipe 1",9,IF(Atletas!W291="Duilian de Tuishou - Equipe 2",10,IF(Atletas!W291="Grupo Externo ABC - Equipe 1",11,IF(Atletas!W291="Grupo Externo ABC - Equipe 2",12,IF(Atletas!W291="Grupo Interno ABC - Equipe 1",13,IF(Atletas!W291="Grupo Interno ABC - Equipe 2",14,IF(Atletas!W291="Grupo Externo DEF - Equipe 1",15,IF(Atletas!W291="Grupo Externo DEF - Equipe 2",16,IF(Atletas!W291="Grupo Interno DEF - Equipe 1",17,IF(Atletas!W291="Grupo Interno DEF - Equipe 2",18,"")))))))))))))))))))</f>
        <v/>
      </c>
    </row>
    <row r="301" spans="2:91">
      <c r="AN301" s="52" t="str">
        <f>IF(Atletas!D292="","",IF(Atletas!B292="Feminino",100,IF(Atletas!B292="Masculino",200,""))+(IF(Atletas!D292="Kids 30kg",1,IF(Atletas!D292="Kids 32kg",2, IF(Atletas!D292="Kids 34kg",3,IF(Atletas!D292="Kids 36kg",4,IF(Atletas!D292="Kids 39kg",5,IF(Atletas!D292="Kids 42kg",6,IF(Atletas!D292="Kids 45kg",7, IF(Atletas!D292="Infantil 39kg",8,IF(Atletas!D292="Infantil 42kg",9,IF(Atletas!D292="Infantil 45kg",10,IF(Atletas!D292="Infantil 48kg",11,IF(Atletas!D292="Infantil 52kg",12,IF(Atletas!D292="Infantil 56kg",13,IF(Atletas!D292="Infantil 60kg",14,IF(Atletas!D292="Juvenil 48kg",15,IF(Atletas!D292="Juvenil 52kg",16,IF(Atletas!D292="Juvenil 56kg",17,IF(Atletas!D292="Juvenil 60kg",18,IF(Atletas!D292="Juvenil 65kg",19,IF(Atletas!D292="Juvenil 70kg",20,IF(Atletas!D292="Juvenil 75kg",21,IF(Atletas!D292="Juvenil 80kg",22, IF(Atletas!D292="Juvenil 85kg",23,IF(Atletas!D292="Adulto 48kg",24,IF(Atletas!D292="Adulto 52kg",25,IF(Atletas!D292="Adulto 56kg",26,IF(Atletas!D292="Adulto 60kg",27,IF(Atletas!D292="Adulto 65kg",28,IF(Atletas!D292="Adulto 70kg",29,IF(Atletas!D292="Adulto 75kg",30,IF(Atletas!D292="Adulto 80kg",31,IF(Atletas!D292="Adulto 85kg",32,IF(Atletas!D292="Adulto 90kg",33,IF(Atletas!D292="Adulto 100kg",34, IF(Atletas!D292="Adulto +100kg",35,"")))))))))))))))))))))))))))))))))))))</f>
        <v/>
      </c>
      <c r="AS301" s="6" t="str">
        <f>IF(Atletas!E292="","",IF(Atletas!B292="Feminino",100,IF(Atletas!B292="Masculino",200,""))+(IF(Atletas!E292="Juvenil 44kg",1,IF(Atletas!E292="Juvenil 48kg",2,IF(Atletas!E292="Juvenil 52kg",3,IF(Atletas!E292="Juvenil 56kg",4,IF(Atletas!E292="Juvenil 60kg",5,IF(Atletas!E292="Juvenil 65kg",6,IF(Atletas!E292="Juvenil 70kg",7,IF(Atletas!E292="Juvenil 75kg",8,IF(Atletas!E292="Juvenil 82kg",9,IF(Atletas!E292="Juvenil 90kg",10,IF(Atletas!E292="Juvenil 100kg",11,IF(Atletas!E292="Adulto 48kg",12,IF(Atletas!E292="Adulto 52kg",13,IF(Atletas!E292="Adulto 56kg",14,IF(Atletas!E292="Adulto 60kg",15,IF(Atletas!E292="Adulto 65kg",16,IF(Atletas!E292="Adulto 70kg",17,IF(Atletas!E292="Adulto 75kg",18,IF(Atletas!E292="Adulto 82kg",19,IF(Atletas!E292="Adulto 90kg",20,IF(Atletas!E292="Adulto 100kg",21,IF(Atletas!E292="Adulto +100kg",22,""))))))))))))))))))))))))</f>
        <v/>
      </c>
      <c r="AX301" s="6" t="str">
        <f>IF(Atletas!F292="","",IF(Atletas!B292="Feminino",100,IF(Atletas!B292="Masculino",200,""))+(IF(Atletas!F292="Adulto 48kg",1,IF(Atletas!F292="Adulto 56kg",2,IF(Atletas!F292="Adulto 65kg",3,IF(Atletas!F292="Adulto 75kg",4,IF(Atletas!F292="Adulto +75kg",5,IF(Atletas!F292="Adulto 52kg",6,IF(Atletas!F292="Adulto 60kg",7,IF(Atletas!F292="Adulto 70kg",8,IF(Atletas!F292="Adulto 80kg",9,IF(Atletas!F292="Adulto 90kg",10,IF(Atletas!F292="Adulto +90kg",11,"")))))))))))))</f>
        <v/>
      </c>
      <c r="BC301" s="6" t="str">
        <f>IF(Atletas!G292="","",IF(Atletas!B292="Feminino",10,IF(Atletas!B292="Masculino",20,""))+(IF(Atletas!G292="Baduanjin A",1,IF(Atletas!G292="Baduanjin B",2))))</f>
        <v/>
      </c>
      <c r="BF301" s="52" t="str">
        <f>IF(Atletas!H292="","",IF(Atletas!B292="Feminino",100,IF(Atletas!B292="Masculino",200,""))+(IF(Atletas!H292="Changquan Mirim",1,IF(Atletas!H292="Nanquan Mirim",2,IF(Atletas!H292="Taijiquan Mirim",3,IF(Atletas!H292="Changquan Grupo C",4,IF(Atletas!H292="Nanquan Grupo C",5,IF(Atletas!H292="Taijiquan Grupo C",6,IF(Atletas!H292="Changquan Grupo B",7,IF(Atletas!H292="Nanquan Grupo B",8,IF(Atletas!H292="Taijiquan Grupo B",9,IF(Atletas!H292="Changquan Grupo A",10,IF(Atletas!H292="Nanquan Grupo A",11,IF(Atletas!H292="Taijiquan Grupo A",12,IF(Atletas!H292="Changquan Opcional",13,IF(Atletas!H292="Nanquan Opcional",14,IF(Atletas!H292="Taijiquan Opcional",15,IF(Atletas!H292="Changquan Adulto",16,IF(Atletas!H292="Nanquan Adulto",17,IF(Atletas!H292="Taijiquan Adulto",18,""))))))))))))))))))))</f>
        <v/>
      </c>
      <c r="BG301" s="52" t="str">
        <f>IF(Atletas!I292="","",IF(Atletas!B292="Feminino",100,IF(Atletas!B292="Masculino",200,""))+(IF(Atletas!I292="Daoshu Mirim",19,IF(Atletas!I292="Jianshu Mirim",20,IF(Atletas!I292="Nandao Mirim",21,IF(Atletas!I292="Taijijian Mirim",22,IF(Atletas!I292="Daoshu Grupo C",23,IF(Atletas!I292="Jianshu Grupo C",24,IF(Atletas!I292="Nandao Grupo C",25,IF(Atletas!I292="Taijijian Grupo C",26,IF(Atletas!I292="Daoshu Grupo B",27,IF(Atletas!I292="Jianshu Grupo B",28,IF(Atletas!I292="Nandao Grupo B",29,IF(Atletas!I292="Taijijian Grupo B",30,IF(Atletas!I292="Daoshu Grupo A",31,IF(Atletas!I292="Jianshu Grupo A",32,IF(Atletas!I292="Nandao Grupo A",33,IF(Atletas!I292="Taijijian Grupo A",34,IF(Atletas!I292="Daoshu Opcional",35,IF(Atletas!I292="Jianshu Opcional",36,IF(Atletas!I292="Nandao Opcional",37,IF(Atletas!I292="Taijijian Opcional",38,IF(Atletas!I292="Daoshu Adulto",39,IF(Atletas!I292="Jianshu Adulto",40,IF(Atletas!I292="Nandao Adulto",41,IF(Atletas!I292="Taijijian Adulto",42,""))))))))))))))))))))))))))</f>
        <v/>
      </c>
      <c r="BH301" s="52" t="str">
        <f>IF(Atletas!J292="","",IF(Atletas!B292="Feminino",100,IF(Atletas!B292="Masculino",200,""))+(IF(Atletas!J292="Gunshu Mirim",43,IF(Atletas!J292="Qiangshu Mirim",44,IF(Atletas!J292="Nangun Mirim",45,IF(Atletas!J292="Gunshu Grupo C",46,IF(Atletas!J292="Qiangshu Grupo C",47,IF(Atletas!J292="Nangun Grupo C",48,IF(Atletas!J292="Gunshu Grupo B",49,IF(Atletas!J292="Qiangshu Grupo B",50,IF(Atletas!J292="Nangun Grupo B",51,IF(Atletas!J292="Gunshu Grupo A",52,IF(Atletas!J292="Qiangshu Grupo A",53,IF(Atletas!J292="Nangun Grupo A",54,IF(Atletas!J292="Gunshu Opcional",55,IF(Atletas!J292="Qiangshu Opcional",56,IF(Atletas!J292="Nangun Opcional",57,IF(Atletas!J292="Gunshu Adulto",58,IF(Atletas!J292="Qiangshu Adulto",59,IF(Atletas!J292="Nangun Adulto",60,IF(Atletas!J292="Taijishan Grupo B",61,IF(Atletas!J292="Taijishan Grupo A",62,""))))))))))))))))))))))</f>
        <v/>
      </c>
      <c r="BM301" s="50" t="str">
        <f>IF(Atletas!K292="","",IF(Atletas!B292="Feminino",100,IF(Atletas!B292="Masculino",200,""))+(IF(Atletas!K292="Equipe 1 Grupo B",1,IF(Atletas!K292="Equipe 2 Grupo B",2,IF(Atletas!K292="Equipe 1 Grupo A",3,IF(Atletas!K292="Equipe 2 Grupo A",4,IF(Atletas!K292="Equipe 1 Adulto",5,IF(Atletas!K292="Equipe 2 Adulto",6,""))))))))</f>
        <v/>
      </c>
      <c r="BR301" s="50" t="str">
        <f>IF(Atletas!L292="","",IF(Atletas!X292&lt;&gt;"",10000,0)+(IF(Atletas!B292="Feminino",1000,IF(Atletas!B292="Masculino",2000,""))+IF(Atletas!L292="Choylayfut A",1,IF(Atletas!L292="Hunggar A",2,IF(Atletas!L292="Wuzuquan A",3,IF(Atletas!L292="Wingchun A",4,IF(Atletas!L292="Outra Mão de Sul A",5,IF(Atletas!L292="Choylayfut B",6,IF(Atletas!L292="Hunggar B",7,IF(Atletas!L292="Wuzuquan B",8,IF(Atletas!L292="Wingchun B",9,IF(Atletas!L292="Outra Mão de Sul B",10,IF(Atletas!L292="Choylayfut C",11,IF(Atletas!L292="Hunggar C",12,IF(Atletas!L292="Wuzuquan C",13,IF(Atletas!L292="Wingchun C",14,IF(Atletas!L292="Outra Mão de Sul C",15,IF(Atletas!L292="Choylayfut D",16,IF(Atletas!L292="Hunggar D",17,IF(Atletas!L292="Wuzuquan D",18,IF(Atletas!L292="Wingchun D",19,IF(Atletas!L292="Outra Mão de Sul D",20,IF(Atletas!L292="Choylayfut E",21,IF(Atletas!L292="Hunggar E",22,IF(Atletas!L292="Wuzuquan E",23,IF(Atletas!L292="Wingchun E",24,IF(Atletas!L292="Outra Mão de Sul E",25,IF(Atletas!L292="Choylayfut F",26,IF(Atletas!L292="Hunggar F",27,IF(Atletas!L292="Wuzuquan F",28,IF(Atletas!L292="Wingchun F",29,IF(Atletas!L292="Outra Mão de Sul F",30,IF(Atletas!L292="Dishuquan A",31,IF(Atletas!L292="Dishuquan B",32,IF(Atletas!L292="Dishuquan C",33,IF(Atletas!L292="Dishuquan D",34,IF(Atletas!L292="Dishuquan E",35,IF(Atletas!L292="Dishuquan F",36,""))))))))))))))))))))))))))))))))))))))</f>
        <v/>
      </c>
      <c r="BS301" s="50" t="str">
        <f>IF(Atletas!M292="","",IF(Atletas!X292&lt;&gt;"",10000,0)+(IF(Atletas!B292="Feminino",1000,IF(Atletas!B292="Masculino",2000,""))+(IF(Atletas!M292="Chaquan A",101,IF(Atletas!M292="Emeiquan A",102,IF(Atletas!M292="Fanziquan A",103,IF(Atletas!M292="Huaquan A",104,IF(Atletas!M292="Hongquan A",105,IF(Atletas!M292="Paoquan A",106,IF(Atletas!M292="Piguaquan A",107,IF(Atletas!M292="Shaolinquan A",108,IF(Atletas!M292="Tanglangquan A",109,IF(Atletas!M292="Yingzhaoquan A",110,IF(Atletas!M292="Tongbeiquan A",111,IF(Atletas!M292="Wudangquan A",112,IF(Atletas!M292="Outros Estilos A",113,IF(Atletas!M292="Chaquan B",114,IF(Atletas!M292="Emeiquan B",115,IF(Atletas!M292="Fanziquan B",116,IF(Atletas!M292="Huaquan B",117,IF(Atletas!M292="Hongquan B",118,IF(Atletas!M292="Paoquan B",119,IF(Atletas!M292="Piguaquan B",120,IF(Atletas!M292="Shaolinquan B",121,IF(Atletas!M292="Tanglangquan B",122,IF(Atletas!M292="Yingzhaoquan B",123,IF(Atletas!M292="Tongbeiquan B",124,IF(Atletas!M292="Wudangquan B",125,IF(Atletas!M292="Outros Estilos B",126,IF(Atletas!M292="Chaquan C",127,IF(Atletas!M292="Emeiquan C",128,IF(Atletas!M292="Fanziquan C",129,IF(Atletas!M292="Huaquan C",130,IF(Atletas!M292="Hongquan C",131,IF(Atletas!M292="Paoquan C",132,IF(Atletas!M292="Piguaquan C",133,IF(Atletas!M292="Shaolinquan C",134,IF(Atletas!M292="Tanglangquan C",135,IF(Atletas!M292="Yingzhaoquan C",136,IF(Atletas!M292="Tongbeiquan C",137,IF(Atletas!M292="Wudangquan C",138,IF(Atletas!M292="Outros Estilos C",139,0))))))))))))))))))))))))))))))))))))))))))</f>
        <v/>
      </c>
      <c r="BT301" s="50" t="str">
        <f>IF(Atletas!M292="","",IF(Atletas!X292&lt;&gt;"",10000,0)+(IF(Atletas!B292="Feminino",1000,IF(Atletas!B292="Masculino",2000,""))+(IF(Atletas!M292="Chaquan D",140,IF(Atletas!M292="Emeiquan D",141,IF(Atletas!M292="Fanziquan D",142,IF(Atletas!M292="Huaquan D",143,IF(Atletas!M292="Hongquan D",144,IF(Atletas!M292="Paoquan D",145,IF(Atletas!M292="Piguaquan D",146,IF(Atletas!M292="Shaolinquan D",147,IF(Atletas!M292="Tanglangquan D",148,IF(Atletas!M292="Yingzhaoquan D",149,IF(Atletas!M292="Tongbeiquan D",150,IF(Atletas!M292="Wudangquan D",151,IF(Atletas!M292="Outros Estilos D",152,IF(Atletas!M292="Chaquan E",153,IF(Atletas!M292="Emeiquan E",154,IF(Atletas!M292="Fanziquan E",155,IF(Atletas!M292="Huaquan E",156,IF(Atletas!M292="Hongquan E",157,IF(Atletas!M292="Paoquan E",158,IF(Atletas!M292="Piguaquan E",159,IF(Atletas!M292="Shaolinquan E",160,IF(Atletas!M292="Tanglangquan E",161,IF(Atletas!M292="Yingzhaoquan E",162,IF(Atletas!M292="Tongbeiquan E",163,IF(Atletas!M292="Wudangquan E",164,IF(Atletas!M292="Outros Estilos E",165,IF(Atletas!M292="Chaquan F",166,IF(Atletas!M292="Emeiquan F",167,IF(Atletas!M292="Fanziquan F",168,IF(Atletas!M292="Huaquan F",169,IF(Atletas!M292="Hongquan F",170,IF(Atletas!M292="Paoquan F",171,IF(Atletas!M292="Piguaquan F",172,IF(Atletas!M292="Shaolinquan F",173,IF(Atletas!M292="Tanglangquan F",174,IF(Atletas!M292="Yingzhaoquan F",175,IF(Atletas!M292="Tongbeiquan F",176,IF(Atletas!M292="Wudangquan F",177,IF(Atletas!M292="Outros Estilos F",178,0))))))))))))))))))))))))))))))))))))))))))</f>
        <v/>
      </c>
      <c r="BU301" s="50" t="str">
        <f>IF(Atletas!N292="","",IF(Atletas!X292&lt;&gt;"",10000,0)+(IF(Atletas!B292="Feminino",1000,IF(Atletas!B292="Masculino",2000,""))+(IF(Atletas!N292="Ditangquan A",201,IF(Atletas!N292="Houquan A",202,IF(Atletas!N292="Zuiquan A",203,IF(Atletas!N292="Ditangquan B",204,IF(Atletas!N292="Houquan B",205,IF(Atletas!N292="Zuiquan B",206,IF(Atletas!N292="Ditangquan C",207,IF(Atletas!N292="Houquan C",208,IF(Atletas!N292="Zuiquan C",209,IF(Atletas!N292="Ditangquan D",210,IF(Atletas!N292="Houquan D",211,IF(Atletas!N292="Zuiquan D",212,IF(Atletas!N292="Ditangquan E",213,IF(Atletas!N292="Houquan E",214,IF(Atletas!N292="Zuiquan E",215,IF(Atletas!N292="Ditangquan F",216,IF(Atletas!N292="Houquan F",217,IF(Atletas!N292="Zuiquan F",218,"")))))))))))))))))))))</f>
        <v/>
      </c>
      <c r="BV301" s="50" t="str">
        <f>IF(Atletas!O292="","",IF(Atletas!X292&lt;&gt;"",10000,0)+IF(Atletas!B292="Feminino",1000,IF(Atletas!B292="Masculino",2000,""))+IF(Atletas!O292="Yang A",301,IF(Atletas!O292="Chen A",302,IF(Atletas!O292="Sun A",303,IF(Atletas!O292="Wu A",304,IF(Atletas!O292="Wu-Hao A",305,IF(Atletas!O292="Outro Taijiquan A",306,IF(Atletas!O292="Yang B",307,IF(Atletas!O292="Chen B",308,IF(Atletas!O292="Sun B",309,IF(Atletas!O292="Wu B",310,IF(Atletas!O292="Wu-Hao B",311,IF(Atletas!O292="Outro Taijiquan B",312,IF(Atletas!O292="Yang C",313,IF(Atletas!O292="Chen C",314,IF(Atletas!O292="Sun C",315,IF(Atletas!O292="Wu C",316,IF(Atletas!O292="Wu-Hao C",317,IF(Atletas!O292="Outro Taijiquan C",318,IF(Atletas!O292="Yang D",319,IF(Atletas!O292="Chen D",320,IF(Atletas!O292="Sun D",321,IF(Atletas!O292="Wu D",322,IF(Atletas!O292="Wu-Hao D",323,IF(Atletas!O292="Outro Taijiquan D",324,IF(Atletas!O292="Yang E",325,IF(Atletas!O292="Chen E",326,IF(Atletas!O292="Sun E",327,IF(Atletas!O292="Wu E",328,IF(Atletas!O292="Wu-Hao E",329,IF(Atletas!O292="Outro Taijiquan E",330,IF(Atletas!O292="Yang F",331,IF(Atletas!O292="Chen F",332,IF(Atletas!O292="Sun F",333,IF(Atletas!O292="Wu F",334,IF(Atletas!O292="Wu-Hao F",335,IF(Atletas!O292="Outro Taijiquan F",336,"")))))))))))))))))))))))))))))))))))))</f>
        <v/>
      </c>
      <c r="BW301" s="50" t="str">
        <f>IF(Atletas!P292="","",IF(Atletas!X292&lt;&gt;"",10000,0)+IF(Atletas!B292="Feminino",1000,IF(Atletas!B292="Masculino",2000,""))+IF(OR(Atletas!P292="Yang 26 A",Atletas!P292="Yang 40 A"),401,IF(OR(Atletas!P292="Chen 25 A",Atletas!P292="Chen 36 A",Atletas!P292="Chen 56 A"),402,IF(Atletas!P292="Sun 73 A",403,IF(Atletas!P292="Wu 45 A",404,IF(Atletas!P292="Wu-Hao 46 A",405,IF(OR(Atletas!P292="Taijiquan 16 A",Atletas!P292="Taijiquan 24 A",Atletas!P292="Taijiquan 32 A",Atletas!P292="Taijiquan 42 A"),406,IF(OR(Atletas!P292="Yang 26 B",Atletas!P292="Yang 40 B"),407,IF(OR(Atletas!P292="Chen 25 B",Atletas!P292="Chen 36 B",Atletas!P292="Chen 56 B"),408,IF(Atletas!P292="Sun 73 B",409,IF(Atletas!P292="Wu 45 B",410,IF(Atletas!P292="Wu-Hao 46 B",411,IF(OR(Atletas!P292="Taijiquan 16 B",Atletas!P292="Taijiquan 24 B",Atletas!P292="Taijiquan 32 B",Atletas!P292="Taijiquan 42 B"),412,IF(OR(Atletas!P292="Yang 26 C",Atletas!P292="Yang 40 C"),413,IF(OR(Atletas!P292="Chen 25 C",Atletas!P292="Chen 36 C",Atletas!P292="Chen 56 C"),414,IF(Atletas!P292="Sun 73 C",415,IF(Atletas!P292="Wu 45 C",416,IF(Atletas!P292="Wu-Hao 46 C",417,IF(OR(Atletas!P292="Taijiquan 16 C",Atletas!P292="Taijiquan 24 C",Atletas!P292="Taijiquan 32 C",Atletas!P292="Taijiquan 42 C"),418,0)))))))))))))))))))</f>
        <v/>
      </c>
      <c r="BX301" s="50" t="str">
        <f>IF(Atletas!P292="","",IF(Atletas!X292&lt;&gt;"",10000,0)+IF(Atletas!B292="Feminino",1000,IF(Atletas!B292="Masculino",2000,""))+IF(OR(Atletas!P292="Yang 26 D",Atletas!P292="Yang 40 D"),419,IF(OR(Atletas!P292="Chen 25 D",Atletas!P292="Chen 36 D",Atletas!P292="Chen 56 D"),420,IF(Atletas!P292="Sun 73 D",421,IF(Atletas!P292="Wu 45 D",422,IF(Atletas!P292="Wu-Hao 46 D",423,IF(OR(Atletas!P292="Taijiquan 16 D",Atletas!P292="Taijiquan 24 D",Atletas!P292="Taijiquan 32 D",Atletas!P292="Taijiquan 42 D"),424,IF(OR(Atletas!P292="Yang 26 E",Atletas!P292="Yang 40 E"),425,IF(OR(Atletas!P292="Chen 25 E",Atletas!P292="Chen 36 E",Atletas!P292="Chen 56 E"),426,IF(Atletas!P292="Sun 73 E",427,IF(Atletas!P292="Wu 45 E",428,IF(Atletas!P292="Wu-Hao 46 E",429,IF(OR(Atletas!P292="Taijiquan 16 E",Atletas!P292="Taijiquan 24 E",Atletas!P292="Taijiquan 32 E",Atletas!P292="Taijiquan 42 E"),430,IF(OR(Atletas!P292="Yang 26 F",Atletas!P292="Yang 40 F"),431,IF(OR(Atletas!P292="Chen 25 F",Atletas!P292="Chen 36 F",Atletas!P292="Chen 56 F"),432,IF(Atletas!P292="Sun 73 F",433,IF(Atletas!P292="Wu 45 F",434,IF(Atletas!P292="Wu-Hao 46 F",435,IF(OR(Atletas!P292="Taijiquan 16 F",Atletas!P292="Taijiquan 24 F",Atletas!P292="Taijiquan 32 F",Atletas!P292="Taijiquan 42 F"),436,0)))))))))))))))))))</f>
        <v/>
      </c>
      <c r="BY301" s="50" t="str">
        <f>IF(Atletas!Q292="","",IF(Atletas!X292&lt;&gt;"",10000,0)+IF(Atletas!B292="Feminino",1000,IF(Atletas!B292="Masculino",2000,""))+IF(Atletas!Q292="Xingyiquan A",501,IF(Atletas!Q292="Baguazhang A",502,IF(Atletas!Q292="Outro Estilo Interno A",503,IF(Atletas!Q292="Xingyiquan B",504,IF(Atletas!Q292="Baguazhang B",505,IF(Atletas!Q292="Outro Estilo Interno B",506,IF(Atletas!Q292="Xingyiquan C",507,IF(Atletas!Q292="Baguazhang C",508,IF(Atletas!Q292="Outro Estilo Interno C",509,IF(Atletas!Q292="Xingyiquan D",510,IF(Atletas!Q292="Baguazhang D",511,IF(Atletas!Q292="Outro Estilo Interno D",512,IF(Atletas!Q292="Xingyiquan E",513,IF(Atletas!Q292="Baguazhang E",514,IF(Atletas!Q292="Outro Estilo Interno E",515,IF(Atletas!Q292="Xingyiquan F",516,IF(Atletas!Q292="Baguazhang F",517,IF(Atletas!Q292="Outro Estilo Interno F",518, "")))))))))))))))))))</f>
        <v/>
      </c>
      <c r="BZ301" s="50" t="str">
        <f>IF(Atletas!R292="","",IF(Atletas!X292&lt;&gt;"",10000,0)+IF(Atletas!B292="Feminino",1000,IF(Atletas!B292="Masculino",2000,""))+IF(Atletas!R292="Dao A",601,IF(Atletas!R292="Jian A",602,IF(Atletas!R292="Bishou A",603,IF(Atletas!R292="Shanzi A",604,IF(Atletas!R292="Outra Arma Curta A",605,IF(Atletas!R292="Dao B",606,IF(Atletas!R292="Jian B",607,IF(Atletas!R292="Bishou B",608,IF(Atletas!R292="Shanzi B",609,IF(Atletas!R292="Outra Arma Curta B",610,IF(Atletas!R292="Dao C",611,IF(Atletas!R292="Jian C",612,IF(Atletas!R292="Bishou C",613,IF(Atletas!R292="Shanzi C",614,IF(Atletas!R292="Outra Arma Curta C",615,IF(Atletas!R292="Dao D",616,IF(Atletas!R292="Jian D",617,IF(Atletas!R292="Bishou D",618,IF(Atletas!R292="Shanzi D",619,IF(Atletas!R292="Outra Arma Curta D",620,IF(Atletas!R292="Dao E",621,IF(Atletas!R292="Jian E",622,IF(Atletas!R292="Bishou E",623,IF(Atletas!R292="Shanzi E",624,IF(Atletas!R292="Outra Arma Curta E",625,IF(Atletas!R292="Dao F",626,IF(Atletas!R292="Jian F",627,IF(Atletas!R292="Bishou F",628,IF(Atletas!R292="Shanzi F",629,IF(Atletas!R292="Outra Arma Curta F",630, "")))))))))))))))))))))))))))))))</f>
        <v/>
      </c>
      <c r="CA301" s="50" t="str">
        <f>IF(Atletas!S292="","",IF(Atletas!X292&lt;&gt;"",10000,0)+IF(Atletas!B292="Feminino",1000,IF(Atletas!B292="Masculino",2000,""))+IF(Atletas!S292="Gun A",701,IF(Atletas!S292="Qiang A",702,IF(Atletas!S292="Pudao / Guandao A",703,IF(Atletas!S292="Outra Arma Longa A",704,IF(Atletas!S292="Gun B",705,IF(Atletas!S292="Qiang B",706,IF(Atletas!S292="Pudao / Guandao B",707,IF(Atletas!S292="Outra Arma Longa B",708,IF(Atletas!S292="Gun C",709,IF(Atletas!S292="Qiang C",710,IF(Atletas!S292="Pudao / Guandao C",711,IF(Atletas!S292="Outra Arma Longa C",712,IF(Atletas!S292="Gun D",713,IF(Atletas!S292="Qiang D",714,IF(Atletas!S292="Pudao / Guandao D",715,IF(Atletas!S292="Outra Arma Longa D",716,IF(Atletas!S292="Gun E",717,IF(Atletas!S292="Qiang E",718,IF(Atletas!S292="Pudao / Guandao E",719,IF(Atletas!S292="Outra Arma Longa E",720,IF(Atletas!S292="Gun F",721,IF(Atletas!S292="Qiang F",722,IF(Atletas!S292="Pudao / Guandao F",723,IF(Atletas!S292="Outra Arma Longa F",724,"")))))))))))))))))))))))))</f>
        <v/>
      </c>
      <c r="CB301" s="50" t="str">
        <f>IF(Atletas!T292="","",IF(Atletas!X292&lt;&gt;"",10000,0)+IF(Atletas!B292="Feminino",1000,IF(Atletas!B292="Masculino",2000,""))+IF(Atletas!T292="Outra Arma Dupla A",801,IF(Atletas!T292="Arma Maleável A",802,IF(Atletas!T292="Outra Arma Dupla B",803,IF(Atletas!T292="Arma Maleável B",804,IF(Atletas!T292="Outra Arma Dupla C",805,IF(Atletas!T292="Arma Maleável C",806,IF(Atletas!T292="Outra Arma Dupla D",807,IF(Atletas!T292="Arma Maleável D",808,IF(Atletas!T292="Outra Arma Dupla E",809,IF(Atletas!T292="Arma Maleável E",810,IF(Atletas!T292="Outra Arma Dupla F",811,IF(Atletas!T292="Arma Maleável F",812,IF(Atletas!T292="Shuangdao A",813,IF(Atletas!T292="Shuangdao B",814,IF(Atletas!T292="Shuangdao C",815,IF(Atletas!T292="Shuangdao D",816,IF(Atletas!T292="Shuangdao E",817,IF(Atletas!T292="Shuangdao F",818,"")))))))))))))))))))</f>
        <v/>
      </c>
      <c r="CC301" s="50" t="str">
        <f>IF(Atletas!U292="","",IF(Atletas!X292&lt;&gt;"",10000,0)+IF(Atletas!B292="Feminino",1000,IF(Atletas!B292="Masculino",2000,""))+IF(OR(Atletas!U292="Taijijian Yang A",Atletas!U292="Taijijian Yang Standard A"),901,IF(OR(Atletas!U292="Taijijian Chen A", Atletas!U292="Taijijian Chen Standard A"),902,IF(Atletas!U292="Taijijian Sun A",903,IF(Atletas!U292="Taijijian Wu A",904,IF(Atletas!U292="Taijijian Wu-Hao A",905,IF(OR(Atletas!U292="Taijijian 32 A",Atletas!U292="Taijijian 42 A"),906,IF(OR(Atletas!U292="Taijijian Yang B",Atletas!U292="Taijijian Yang Standard B"),907,IF(OR(Atletas!U292="Taijijian Chen B", Atletas!U292="Taijijian Chen Standard B"),908,IF(Atletas!U292="Taijijian Sun B",909,IF(Atletas!U292="Taijijian Wu B",910,IF(Atletas!U292="Taijijian Wu-Hao B",911,IF(OR(Atletas!U292="Taijijian 32 B",Atletas!U292="Taijijian 42 B"),912,IF(OR(Atletas!U292="Taijijian Yang C",Atletas!U292="Taijijian Yang Standard C"),913,IF(OR(Atletas!U292="Taijijian Chen C", Atletas!U292="Taijijian Chen Standard C"),914,IF(Atletas!U292="Taijijian Sun C",915,IF(Atletas!U292="Taijijian Wu C",916,IF(Atletas!U292="Taijijian Wu-Hao C",917,IF(OR(Atletas!U292="Taijijian 32 C",Atletas!U292="Taijijian 42 C"),918,IF(OR(Atletas!U292="Taijijian Yang D",Atletas!U292="Taijijian Yang Standard D"),919,IF(OR(Atletas!U292="Taijijian Chen D", Atletas!U292="Taijijian Chen Standard D"),920,IF(Atletas!U292="Taijijian Sun D",921,IF(Atletas!U292="Taijijian Wu D",922,IF(Atletas!U292="Taijijian Wu-Hao D",923,IF(OR(Atletas!U292="Taijijian 32 D",Atletas!U292="Taijijian 42 D"),924,IF(OR(Atletas!U292="Taijijian Yang E",Atletas!U292="Taijijian Yang Standard E"),925,IF(OR(Atletas!U292="Taijijian Chen E", Atletas!U292="Taijijian Chen Standard E"),926,IF(Atletas!U292="Taijijian Sun E",927,IF(Atletas!U292="Taijijian Wu E",928,IF(Atletas!U292="Taijijian Wu-Hao E",929,IF(OR(Atletas!U292="Taijijian 32 E",Atletas!U292="Taijijian 42 E"),930,IF(OR(Atletas!U292="Taijijian Yang F",Atletas!U292="Taijijian Yang Standard F"),931,IF(OR(Atletas!U292="Taijijian Chen F", Atletas!U292="Taijijian Chen Standard F"),932,IF(Atletas!U292="Taijijian Sun F",933,IF(Atletas!U292="Taijijian Wu F",934,IF(Atletas!U292="Taijijian Wu-Hao F",935,IF(OR(Atletas!U292="Taijijian 32 F",Atletas!U292="Taijijian 42 F"),936,"")))))))))))))))))))))))))))))))))))))</f>
        <v/>
      </c>
      <c r="CD301" s="50" t="str">
        <f>IF(Atletas!V292="","",IF(Atletas!X292&lt;&gt;"",10000,0)+IF(Atletas!B292="Feminino",1000,IF(Atletas!B292="Masculino",2000,""))+IF(Atletas!V292="Taijidao A",937,IF(Atletas!V292="TaijiShanzi A",938,IF(Atletas!V292="Taijiqiang A",939,IF(Atletas!V292="Bagua de Arma A",940,IF(Atletas!V292="Xingyi de Arma A",941,IF(Atletas!V292="Taijidao B",942,IF(Atletas!V292="TaijiShanzi B",943,IF(Atletas!V292="Taijiqiang B",944,IF(Atletas!V292="Bagua de Arma B",945,IF(Atletas!V292="Xingyi de Arma B",946,IF(Atletas!V292="Taijidao C",947,IF(Atletas!V292="TaijiShanzi C",948,IF(Atletas!V292="Taijiqiang C",949,IF(Atletas!V292="Bagua de Arma C",950,IF(Atletas!V292="Xingyi de Arma C",951,IF(Atletas!V292="Taijidao D",952,IF(Atletas!V292="TaijiShanzi D",953,IF(Atletas!V292="Taijiqiang D",954,IF(Atletas!V292="Bagua de Arma D",955,IF(Atletas!V292="Xingyi de Arma D",956,IF(Atletas!V292="Taijidao E",957,IF(Atletas!V292="TaijiShanzi E",958,IF(Atletas!V292="Taijiqiang E",959,IF(Atletas!V292="Bagua de Arma E",960,IF(Atletas!V292="Xingyi de Arma E",961,IF(Atletas!V292="Taijidao F",962,IF(Atletas!V292="TaijiShanzi F",963,IF(Atletas!V292="Taijiqiang F",964,IF(Atletas!V292="Bagua de Arma F",965,IF(Atletas!V292="Xingyi de Arma F",966,"")))))))))))))))))))))))))))))))</f>
        <v/>
      </c>
      <c r="CE301" s="66" t="str">
        <f>IF(CF301&lt;&gt;"","Taijijian Yang A","")</f>
        <v/>
      </c>
      <c r="CF301" s="66" t="str">
        <f>IF(COUNTIF(BR:CD,1901)&gt;0,COUNTIF(BR:CD,1901),"")</f>
        <v/>
      </c>
      <c r="CG301" s="66" t="str">
        <f>IF(CH301&lt;&gt;"","Taijijian Yang A","")</f>
        <v/>
      </c>
      <c r="CH301" s="66" t="str">
        <f>IF(COUNTIF(BR:CD,2901)&gt;0,COUNTIF(BR:CD,2901),"")</f>
        <v/>
      </c>
      <c r="CI301" s="66" t="str">
        <f>IF(CJ302&lt;&gt;"","Taijijian Chen C","")</f>
        <v/>
      </c>
      <c r="CJ301" s="66" t="str">
        <f>IF(COUNTIF(BR:CD,11913)&gt;0,COUNTIF(BR:CD,11913),"")</f>
        <v/>
      </c>
      <c r="CK301" s="66" t="str">
        <f>IF(CL301&lt;&gt;"","Taijijian Yang C","")</f>
        <v/>
      </c>
      <c r="CL301" s="66" t="str">
        <f>IF(COUNTIF(BR:CD,12913)&gt;0,COUNTIF(BR:CD,12913),"")</f>
        <v/>
      </c>
      <c r="CM301" s="50" t="str">
        <f xml:space="preserve"> IF(Atletas!W292="","",IF(Atletas!W292="Duilian de Mãos BC - Equipe 1",1,IF(Atletas!W292="Duilian de Mãos BC - Equipe 2",2,IF(Atletas!W292="Duilian de Armas BC - Equipe 1",3,IF(Atletas!W292="Duilian de Armas BC - Equipe 2",4,IF(Atletas!W292="Duilian de Mãos DE - Equipe 1",5,IF(Atletas!W292="Duilian de Mãos DE - Equipe 2",6,IF(Atletas!W292="Duilian de Armas DE - Equipe 1",7,IF(Atletas!W292="Duilian de Armas DE - Equipe 2",8,IF(Atletas!W292="Duilian de Tuishou - Equipe 1",9,IF(Atletas!W292="Duilian de Tuishou - Equipe 2",10,IF(Atletas!W292="Grupo Externo ABC - Equipe 1",11,IF(Atletas!W292="Grupo Externo ABC - Equipe 2",12,IF(Atletas!W292="Grupo Interno ABC - Equipe 1",13,IF(Atletas!W292="Grupo Interno ABC - Equipe 2",14,IF(Atletas!W292="Grupo Externo DEF - Equipe 1",15,IF(Atletas!W292="Grupo Externo DEF - Equipe 2",16,IF(Atletas!W292="Grupo Interno DEF - Equipe 1",17,IF(Atletas!W292="Grupo Interno DEF - Equipe 2",18,"")))))))))))))))))))</f>
        <v/>
      </c>
    </row>
    <row r="302" spans="2:91">
      <c r="AN302" s="52" t="str">
        <f>IF(Atletas!D293="","",IF(Atletas!B293="Feminino",100,IF(Atletas!B293="Masculino",200,""))+(IF(Atletas!D293="Kids 30kg",1,IF(Atletas!D293="Kids 32kg",2, IF(Atletas!D293="Kids 34kg",3,IF(Atletas!D293="Kids 36kg",4,IF(Atletas!D293="Kids 39kg",5,IF(Atletas!D293="Kids 42kg",6,IF(Atletas!D293="Kids 45kg",7, IF(Atletas!D293="Infantil 39kg",8,IF(Atletas!D293="Infantil 42kg",9,IF(Atletas!D293="Infantil 45kg",10,IF(Atletas!D293="Infantil 48kg",11,IF(Atletas!D293="Infantil 52kg",12,IF(Atletas!D293="Infantil 56kg",13,IF(Atletas!D293="Infantil 60kg",14,IF(Atletas!D293="Juvenil 48kg",15,IF(Atletas!D293="Juvenil 52kg",16,IF(Atletas!D293="Juvenil 56kg",17,IF(Atletas!D293="Juvenil 60kg",18,IF(Atletas!D293="Juvenil 65kg",19,IF(Atletas!D293="Juvenil 70kg",20,IF(Atletas!D293="Juvenil 75kg",21,IF(Atletas!D293="Juvenil 80kg",22, IF(Atletas!D293="Juvenil 85kg",23,IF(Atletas!D293="Adulto 48kg",24,IF(Atletas!D293="Adulto 52kg",25,IF(Atletas!D293="Adulto 56kg",26,IF(Atletas!D293="Adulto 60kg",27,IF(Atletas!D293="Adulto 65kg",28,IF(Atletas!D293="Adulto 70kg",29,IF(Atletas!D293="Adulto 75kg",30,IF(Atletas!D293="Adulto 80kg",31,IF(Atletas!D293="Adulto 85kg",32,IF(Atletas!D293="Adulto 90kg",33,IF(Atletas!D293="Adulto 100kg",34, IF(Atletas!D293="Adulto +100kg",35,"")))))))))))))))))))))))))))))))))))))</f>
        <v/>
      </c>
      <c r="AS302" s="6" t="str">
        <f>IF(Atletas!E293="","",IF(Atletas!B293="Feminino",100,IF(Atletas!B293="Masculino",200,""))+(IF(Atletas!E293="Juvenil 44kg",1,IF(Atletas!E293="Juvenil 48kg",2,IF(Atletas!E293="Juvenil 52kg",3,IF(Atletas!E293="Juvenil 56kg",4,IF(Atletas!E293="Juvenil 60kg",5,IF(Atletas!E293="Juvenil 65kg",6,IF(Atletas!E293="Juvenil 70kg",7,IF(Atletas!E293="Juvenil 75kg",8,IF(Atletas!E293="Juvenil 82kg",9,IF(Atletas!E293="Juvenil 90kg",10,IF(Atletas!E293="Juvenil 100kg",11,IF(Atletas!E293="Adulto 48kg",12,IF(Atletas!E293="Adulto 52kg",13,IF(Atletas!E293="Adulto 56kg",14,IF(Atletas!E293="Adulto 60kg",15,IF(Atletas!E293="Adulto 65kg",16,IF(Atletas!E293="Adulto 70kg",17,IF(Atletas!E293="Adulto 75kg",18,IF(Atletas!E293="Adulto 82kg",19,IF(Atletas!E293="Adulto 90kg",20,IF(Atletas!E293="Adulto 100kg",21,IF(Atletas!E293="Adulto +100kg",22,""))))))))))))))))))))))))</f>
        <v/>
      </c>
      <c r="AX302" s="6" t="str">
        <f>IF(Atletas!F293="","",IF(Atletas!B293="Feminino",100,IF(Atletas!B293="Masculino",200,""))+(IF(Atletas!F293="Adulto 48kg",1,IF(Atletas!F293="Adulto 56kg",2,IF(Atletas!F293="Adulto 65kg",3,IF(Atletas!F293="Adulto 75kg",4,IF(Atletas!F293="Adulto +75kg",5,IF(Atletas!F293="Adulto 52kg",6,IF(Atletas!F293="Adulto 60kg",7,IF(Atletas!F293="Adulto 70kg",8,IF(Atletas!F293="Adulto 80kg",9,IF(Atletas!F293="Adulto 90kg",10,IF(Atletas!F293="Adulto +90kg",11,"")))))))))))))</f>
        <v/>
      </c>
      <c r="BC302" s="6" t="str">
        <f>IF(Atletas!G293="","",IF(Atletas!B293="Feminino",10,IF(Atletas!B293="Masculino",20,""))+(IF(Atletas!G293="Baduanjin A",1,IF(Atletas!G293="Baduanjin B",2))))</f>
        <v/>
      </c>
      <c r="BF302" s="52" t="str">
        <f>IF(Atletas!H293="","",IF(Atletas!B293="Feminino",100,IF(Atletas!B293="Masculino",200,""))+(IF(Atletas!H293="Changquan Mirim",1,IF(Atletas!H293="Nanquan Mirim",2,IF(Atletas!H293="Taijiquan Mirim",3,IF(Atletas!H293="Changquan Grupo C",4,IF(Atletas!H293="Nanquan Grupo C",5,IF(Atletas!H293="Taijiquan Grupo C",6,IF(Atletas!H293="Changquan Grupo B",7,IF(Atletas!H293="Nanquan Grupo B",8,IF(Atletas!H293="Taijiquan Grupo B",9,IF(Atletas!H293="Changquan Grupo A",10,IF(Atletas!H293="Nanquan Grupo A",11,IF(Atletas!H293="Taijiquan Grupo A",12,IF(Atletas!H293="Changquan Opcional",13,IF(Atletas!H293="Nanquan Opcional",14,IF(Atletas!H293="Taijiquan Opcional",15,IF(Atletas!H293="Changquan Adulto",16,IF(Atletas!H293="Nanquan Adulto",17,IF(Atletas!H293="Taijiquan Adulto",18,""))))))))))))))))))))</f>
        <v/>
      </c>
      <c r="BG302" s="52" t="str">
        <f>IF(Atletas!I293="","",IF(Atletas!B293="Feminino",100,IF(Atletas!B293="Masculino",200,""))+(IF(Atletas!I293="Daoshu Mirim",19,IF(Atletas!I293="Jianshu Mirim",20,IF(Atletas!I293="Nandao Mirim",21,IF(Atletas!I293="Taijijian Mirim",22,IF(Atletas!I293="Daoshu Grupo C",23,IF(Atletas!I293="Jianshu Grupo C",24,IF(Atletas!I293="Nandao Grupo C",25,IF(Atletas!I293="Taijijian Grupo C",26,IF(Atletas!I293="Daoshu Grupo B",27,IF(Atletas!I293="Jianshu Grupo B",28,IF(Atletas!I293="Nandao Grupo B",29,IF(Atletas!I293="Taijijian Grupo B",30,IF(Atletas!I293="Daoshu Grupo A",31,IF(Atletas!I293="Jianshu Grupo A",32,IF(Atletas!I293="Nandao Grupo A",33,IF(Atletas!I293="Taijijian Grupo A",34,IF(Atletas!I293="Daoshu Opcional",35,IF(Atletas!I293="Jianshu Opcional",36,IF(Atletas!I293="Nandao Opcional",37,IF(Atletas!I293="Taijijian Opcional",38,IF(Atletas!I293="Daoshu Adulto",39,IF(Atletas!I293="Jianshu Adulto",40,IF(Atletas!I293="Nandao Adulto",41,IF(Atletas!I293="Taijijian Adulto",42,""))))))))))))))))))))))))))</f>
        <v/>
      </c>
      <c r="BH302" s="52" t="str">
        <f>IF(Atletas!J293="","",IF(Atletas!B293="Feminino",100,IF(Atletas!B293="Masculino",200,""))+(IF(Atletas!J293="Gunshu Mirim",43,IF(Atletas!J293="Qiangshu Mirim",44,IF(Atletas!J293="Nangun Mirim",45,IF(Atletas!J293="Gunshu Grupo C",46,IF(Atletas!J293="Qiangshu Grupo C",47,IF(Atletas!J293="Nangun Grupo C",48,IF(Atletas!J293="Gunshu Grupo B",49,IF(Atletas!J293="Qiangshu Grupo B",50,IF(Atletas!J293="Nangun Grupo B",51,IF(Atletas!J293="Gunshu Grupo A",52,IF(Atletas!J293="Qiangshu Grupo A",53,IF(Atletas!J293="Nangun Grupo A",54,IF(Atletas!J293="Gunshu Opcional",55,IF(Atletas!J293="Qiangshu Opcional",56,IF(Atletas!J293="Nangun Opcional",57,IF(Atletas!J293="Gunshu Adulto",58,IF(Atletas!J293="Qiangshu Adulto",59,IF(Atletas!J293="Nangun Adulto",60,IF(Atletas!J293="Taijishan Grupo B",61,IF(Atletas!J293="Taijishan Grupo A",62,""))))))))))))))))))))))</f>
        <v/>
      </c>
      <c r="BM302" s="50" t="str">
        <f>IF(Atletas!K293="","",IF(Atletas!B293="Feminino",100,IF(Atletas!B293="Masculino",200,""))+(IF(Atletas!K293="Equipe 1 Grupo B",1,IF(Atletas!K293="Equipe 2 Grupo B",2,IF(Atletas!K293="Equipe 1 Grupo A",3,IF(Atletas!K293="Equipe 2 Grupo A",4,IF(Atletas!K293="Equipe 1 Adulto",5,IF(Atletas!K293="Equipe 2 Adulto",6,""))))))))</f>
        <v/>
      </c>
      <c r="BR302" s="50" t="str">
        <f>IF(Atletas!L293="","",IF(Atletas!X293&lt;&gt;"",10000,0)+(IF(Atletas!B293="Feminino",1000,IF(Atletas!B293="Masculino",2000,""))+IF(Atletas!L293="Choylayfut A",1,IF(Atletas!L293="Hunggar A",2,IF(Atletas!L293="Wuzuquan A",3,IF(Atletas!L293="Wingchun A",4,IF(Atletas!L293="Outra Mão de Sul A",5,IF(Atletas!L293="Choylayfut B",6,IF(Atletas!L293="Hunggar B",7,IF(Atletas!L293="Wuzuquan B",8,IF(Atletas!L293="Wingchun B",9,IF(Atletas!L293="Outra Mão de Sul B",10,IF(Atletas!L293="Choylayfut C",11,IF(Atletas!L293="Hunggar C",12,IF(Atletas!L293="Wuzuquan C",13,IF(Atletas!L293="Wingchun C",14,IF(Atletas!L293="Outra Mão de Sul C",15,IF(Atletas!L293="Choylayfut D",16,IF(Atletas!L293="Hunggar D",17,IF(Atletas!L293="Wuzuquan D",18,IF(Atletas!L293="Wingchun D",19,IF(Atletas!L293="Outra Mão de Sul D",20,IF(Atletas!L293="Choylayfut E",21,IF(Atletas!L293="Hunggar E",22,IF(Atletas!L293="Wuzuquan E",23,IF(Atletas!L293="Wingchun E",24,IF(Atletas!L293="Outra Mão de Sul E",25,IF(Atletas!L293="Choylayfut F",26,IF(Atletas!L293="Hunggar F",27,IF(Atletas!L293="Wuzuquan F",28,IF(Atletas!L293="Wingchun F",29,IF(Atletas!L293="Outra Mão de Sul F",30,IF(Atletas!L293="Dishuquan A",31,IF(Atletas!L293="Dishuquan B",32,IF(Atletas!L293="Dishuquan C",33,IF(Atletas!L293="Dishuquan D",34,IF(Atletas!L293="Dishuquan E",35,IF(Atletas!L293="Dishuquan F",36,""))))))))))))))))))))))))))))))))))))))</f>
        <v/>
      </c>
      <c r="BS302" s="50" t="str">
        <f>IF(Atletas!M293="","",IF(Atletas!X293&lt;&gt;"",10000,0)+(IF(Atletas!B293="Feminino",1000,IF(Atletas!B293="Masculino",2000,""))+(IF(Atletas!M293="Chaquan A",101,IF(Atletas!M293="Emeiquan A",102,IF(Atletas!M293="Fanziquan A",103,IF(Atletas!M293="Huaquan A",104,IF(Atletas!M293="Hongquan A",105,IF(Atletas!M293="Paoquan A",106,IF(Atletas!M293="Piguaquan A",107,IF(Atletas!M293="Shaolinquan A",108,IF(Atletas!M293="Tanglangquan A",109,IF(Atletas!M293="Yingzhaoquan A",110,IF(Atletas!M293="Tongbeiquan A",111,IF(Atletas!M293="Wudangquan A",112,IF(Atletas!M293="Outros Estilos A",113,IF(Atletas!M293="Chaquan B",114,IF(Atletas!M293="Emeiquan B",115,IF(Atletas!M293="Fanziquan B",116,IF(Atletas!M293="Huaquan B",117,IF(Atletas!M293="Hongquan B",118,IF(Atletas!M293="Paoquan B",119,IF(Atletas!M293="Piguaquan B",120,IF(Atletas!M293="Shaolinquan B",121,IF(Atletas!M293="Tanglangquan B",122,IF(Atletas!M293="Yingzhaoquan B",123,IF(Atletas!M293="Tongbeiquan B",124,IF(Atletas!M293="Wudangquan B",125,IF(Atletas!M293="Outros Estilos B",126,IF(Atletas!M293="Chaquan C",127,IF(Atletas!M293="Emeiquan C",128,IF(Atletas!M293="Fanziquan C",129,IF(Atletas!M293="Huaquan C",130,IF(Atletas!M293="Hongquan C",131,IF(Atletas!M293="Paoquan C",132,IF(Atletas!M293="Piguaquan C",133,IF(Atletas!M293="Shaolinquan C",134,IF(Atletas!M293="Tanglangquan C",135,IF(Atletas!M293="Yingzhaoquan C",136,IF(Atletas!M293="Tongbeiquan C",137,IF(Atletas!M293="Wudangquan C",138,IF(Atletas!M293="Outros Estilos C",139,0))))))))))))))))))))))))))))))))))))))))))</f>
        <v/>
      </c>
      <c r="BT302" s="50" t="str">
        <f>IF(Atletas!M293="","",IF(Atletas!X293&lt;&gt;"",10000,0)+(IF(Atletas!B293="Feminino",1000,IF(Atletas!B293="Masculino",2000,""))+(IF(Atletas!M293="Chaquan D",140,IF(Atletas!M293="Emeiquan D",141,IF(Atletas!M293="Fanziquan D",142,IF(Atletas!M293="Huaquan D",143,IF(Atletas!M293="Hongquan D",144,IF(Atletas!M293="Paoquan D",145,IF(Atletas!M293="Piguaquan D",146,IF(Atletas!M293="Shaolinquan D",147,IF(Atletas!M293="Tanglangquan D",148,IF(Atletas!M293="Yingzhaoquan D",149,IF(Atletas!M293="Tongbeiquan D",150,IF(Atletas!M293="Wudangquan D",151,IF(Atletas!M293="Outros Estilos D",152,IF(Atletas!M293="Chaquan E",153,IF(Atletas!M293="Emeiquan E",154,IF(Atletas!M293="Fanziquan E",155,IF(Atletas!M293="Huaquan E",156,IF(Atletas!M293="Hongquan E",157,IF(Atletas!M293="Paoquan E",158,IF(Atletas!M293="Piguaquan E",159,IF(Atletas!M293="Shaolinquan E",160,IF(Atletas!M293="Tanglangquan E",161,IF(Atletas!M293="Yingzhaoquan E",162,IF(Atletas!M293="Tongbeiquan E",163,IF(Atletas!M293="Wudangquan E",164,IF(Atletas!M293="Outros Estilos E",165,IF(Atletas!M293="Chaquan F",166,IF(Atletas!M293="Emeiquan F",167,IF(Atletas!M293="Fanziquan F",168,IF(Atletas!M293="Huaquan F",169,IF(Atletas!M293="Hongquan F",170,IF(Atletas!M293="Paoquan F",171,IF(Atletas!M293="Piguaquan F",172,IF(Atletas!M293="Shaolinquan F",173,IF(Atletas!M293="Tanglangquan F",174,IF(Atletas!M293="Yingzhaoquan F",175,IF(Atletas!M293="Tongbeiquan F",176,IF(Atletas!M293="Wudangquan F",177,IF(Atletas!M293="Outros Estilos F",178,0))))))))))))))))))))))))))))))))))))))))))</f>
        <v/>
      </c>
      <c r="BU302" s="50" t="str">
        <f>IF(Atletas!N293="","",IF(Atletas!X293&lt;&gt;"",10000,0)+(IF(Atletas!B293="Feminino",1000,IF(Atletas!B293="Masculino",2000,""))+(IF(Atletas!N293="Ditangquan A",201,IF(Atletas!N293="Houquan A",202,IF(Atletas!N293="Zuiquan A",203,IF(Atletas!N293="Ditangquan B",204,IF(Atletas!N293="Houquan B",205,IF(Atletas!N293="Zuiquan B",206,IF(Atletas!N293="Ditangquan C",207,IF(Atletas!N293="Houquan C",208,IF(Atletas!N293="Zuiquan C",209,IF(Atletas!N293="Ditangquan D",210,IF(Atletas!N293="Houquan D",211,IF(Atletas!N293="Zuiquan D",212,IF(Atletas!N293="Ditangquan E",213,IF(Atletas!N293="Houquan E",214,IF(Atletas!N293="Zuiquan E",215,IF(Atletas!N293="Ditangquan F",216,IF(Atletas!N293="Houquan F",217,IF(Atletas!N293="Zuiquan F",218,"")))))))))))))))))))))</f>
        <v/>
      </c>
      <c r="BV302" s="50" t="str">
        <f>IF(Atletas!O293="","",IF(Atletas!X293&lt;&gt;"",10000,0)+IF(Atletas!B293="Feminino",1000,IF(Atletas!B293="Masculino",2000,""))+IF(Atletas!O293="Yang A",301,IF(Atletas!O293="Chen A",302,IF(Atletas!O293="Sun A",303,IF(Atletas!O293="Wu A",304,IF(Atletas!O293="Wu-Hao A",305,IF(Atletas!O293="Outro Taijiquan A",306,IF(Atletas!O293="Yang B",307,IF(Atletas!O293="Chen B",308,IF(Atletas!O293="Sun B",309,IF(Atletas!O293="Wu B",310,IF(Atletas!O293="Wu-Hao B",311,IF(Atletas!O293="Outro Taijiquan B",312,IF(Atletas!O293="Yang C",313,IF(Atletas!O293="Chen C",314,IF(Atletas!O293="Sun C",315,IF(Atletas!O293="Wu C",316,IF(Atletas!O293="Wu-Hao C",317,IF(Atletas!O293="Outro Taijiquan C",318,IF(Atletas!O293="Yang D",319,IF(Atletas!O293="Chen D",320,IF(Atletas!O293="Sun D",321,IF(Atletas!O293="Wu D",322,IF(Atletas!O293="Wu-Hao D",323,IF(Atletas!O293="Outro Taijiquan D",324,IF(Atletas!O293="Yang E",325,IF(Atletas!O293="Chen E",326,IF(Atletas!O293="Sun E",327,IF(Atletas!O293="Wu E",328,IF(Atletas!O293="Wu-Hao E",329,IF(Atletas!O293="Outro Taijiquan E",330,IF(Atletas!O293="Yang F",331,IF(Atletas!O293="Chen F",332,IF(Atletas!O293="Sun F",333,IF(Atletas!O293="Wu F",334,IF(Atletas!O293="Wu-Hao F",335,IF(Atletas!O293="Outro Taijiquan F",336,"")))))))))))))))))))))))))))))))))))))</f>
        <v/>
      </c>
      <c r="BW302" s="50" t="str">
        <f>IF(Atletas!P293="","",IF(Atletas!X293&lt;&gt;"",10000,0)+IF(Atletas!B293="Feminino",1000,IF(Atletas!B293="Masculino",2000,""))+IF(OR(Atletas!P293="Yang 26 A",Atletas!P293="Yang 40 A"),401,IF(OR(Atletas!P293="Chen 25 A",Atletas!P293="Chen 36 A",Atletas!P293="Chen 56 A"),402,IF(Atletas!P293="Sun 73 A",403,IF(Atletas!P293="Wu 45 A",404,IF(Atletas!P293="Wu-Hao 46 A",405,IF(OR(Atletas!P293="Taijiquan 16 A",Atletas!P293="Taijiquan 24 A",Atletas!P293="Taijiquan 32 A",Atletas!P293="Taijiquan 42 A"),406,IF(OR(Atletas!P293="Yang 26 B",Atletas!P293="Yang 40 B"),407,IF(OR(Atletas!P293="Chen 25 B",Atletas!P293="Chen 36 B",Atletas!P293="Chen 56 B"),408,IF(Atletas!P293="Sun 73 B",409,IF(Atletas!P293="Wu 45 B",410,IF(Atletas!P293="Wu-Hao 46 B",411,IF(OR(Atletas!P293="Taijiquan 16 B",Atletas!P293="Taijiquan 24 B",Atletas!P293="Taijiquan 32 B",Atletas!P293="Taijiquan 42 B"),412,IF(OR(Atletas!P293="Yang 26 C",Atletas!P293="Yang 40 C"),413,IF(OR(Atletas!P293="Chen 25 C",Atletas!P293="Chen 36 C",Atletas!P293="Chen 56 C"),414,IF(Atletas!P293="Sun 73 C",415,IF(Atletas!P293="Wu 45 C",416,IF(Atletas!P293="Wu-Hao 46 C",417,IF(OR(Atletas!P293="Taijiquan 16 C",Atletas!P293="Taijiquan 24 C",Atletas!P293="Taijiquan 32 C",Atletas!P293="Taijiquan 42 C"),418,0)))))))))))))))))))</f>
        <v/>
      </c>
      <c r="BX302" s="50" t="str">
        <f>IF(Atletas!P293="","",IF(Atletas!X293&lt;&gt;"",10000,0)+IF(Atletas!B293="Feminino",1000,IF(Atletas!B293="Masculino",2000,""))+IF(OR(Atletas!P293="Yang 26 D",Atletas!P293="Yang 40 D"),419,IF(OR(Atletas!P293="Chen 25 D",Atletas!P293="Chen 36 D",Atletas!P293="Chen 56 D"),420,IF(Atletas!P293="Sun 73 D",421,IF(Atletas!P293="Wu 45 D",422,IF(Atletas!P293="Wu-Hao 46 D",423,IF(OR(Atletas!P293="Taijiquan 16 D",Atletas!P293="Taijiquan 24 D",Atletas!P293="Taijiquan 32 D",Atletas!P293="Taijiquan 42 D"),424,IF(OR(Atletas!P293="Yang 26 E",Atletas!P293="Yang 40 E"),425,IF(OR(Atletas!P293="Chen 25 E",Atletas!P293="Chen 36 E",Atletas!P293="Chen 56 E"),426,IF(Atletas!P293="Sun 73 E",427,IF(Atletas!P293="Wu 45 E",428,IF(Atletas!P293="Wu-Hao 46 E",429,IF(OR(Atletas!P293="Taijiquan 16 E",Atletas!P293="Taijiquan 24 E",Atletas!P293="Taijiquan 32 E",Atletas!P293="Taijiquan 42 E"),430,IF(OR(Atletas!P293="Yang 26 F",Atletas!P293="Yang 40 F"),431,IF(OR(Atletas!P293="Chen 25 F",Atletas!P293="Chen 36 F",Atletas!P293="Chen 56 F"),432,IF(Atletas!P293="Sun 73 F",433,IF(Atletas!P293="Wu 45 F",434,IF(Atletas!P293="Wu-Hao 46 F",435,IF(OR(Atletas!P293="Taijiquan 16 F",Atletas!P293="Taijiquan 24 F",Atletas!P293="Taijiquan 32 F",Atletas!P293="Taijiquan 42 F"),436,0)))))))))))))))))))</f>
        <v/>
      </c>
      <c r="BY302" s="50" t="str">
        <f>IF(Atletas!Q293="","",IF(Atletas!X293&lt;&gt;"",10000,0)+IF(Atletas!B293="Feminino",1000,IF(Atletas!B293="Masculino",2000,""))+IF(Atletas!Q293="Xingyiquan A",501,IF(Atletas!Q293="Baguazhang A",502,IF(Atletas!Q293="Outro Estilo Interno A",503,IF(Atletas!Q293="Xingyiquan B",504,IF(Atletas!Q293="Baguazhang B",505,IF(Atletas!Q293="Outro Estilo Interno B",506,IF(Atletas!Q293="Xingyiquan C",507,IF(Atletas!Q293="Baguazhang C",508,IF(Atletas!Q293="Outro Estilo Interno C",509,IF(Atletas!Q293="Xingyiquan D",510,IF(Atletas!Q293="Baguazhang D",511,IF(Atletas!Q293="Outro Estilo Interno D",512,IF(Atletas!Q293="Xingyiquan E",513,IF(Atletas!Q293="Baguazhang E",514,IF(Atletas!Q293="Outro Estilo Interno E",515,IF(Atletas!Q293="Xingyiquan F",516,IF(Atletas!Q293="Baguazhang F",517,IF(Atletas!Q293="Outro Estilo Interno F",518, "")))))))))))))))))))</f>
        <v/>
      </c>
      <c r="BZ302" s="50" t="str">
        <f>IF(Atletas!R293="","",IF(Atletas!X293&lt;&gt;"",10000,0)+IF(Atletas!B293="Feminino",1000,IF(Atletas!B293="Masculino",2000,""))+IF(Atletas!R293="Dao A",601,IF(Atletas!R293="Jian A",602,IF(Atletas!R293="Bishou A",603,IF(Atletas!R293="Shanzi A",604,IF(Atletas!R293="Outra Arma Curta A",605,IF(Atletas!R293="Dao B",606,IF(Atletas!R293="Jian B",607,IF(Atletas!R293="Bishou B",608,IF(Atletas!R293="Shanzi B",609,IF(Atletas!R293="Outra Arma Curta B",610,IF(Atletas!R293="Dao C",611,IF(Atletas!R293="Jian C",612,IF(Atletas!R293="Bishou C",613,IF(Atletas!R293="Shanzi C",614,IF(Atletas!R293="Outra Arma Curta C",615,IF(Atletas!R293="Dao D",616,IF(Atletas!R293="Jian D",617,IF(Atletas!R293="Bishou D",618,IF(Atletas!R293="Shanzi D",619,IF(Atletas!R293="Outra Arma Curta D",620,IF(Atletas!R293="Dao E",621,IF(Atletas!R293="Jian E",622,IF(Atletas!R293="Bishou E",623,IF(Atletas!R293="Shanzi E",624,IF(Atletas!R293="Outra Arma Curta E",625,IF(Atletas!R293="Dao F",626,IF(Atletas!R293="Jian F",627,IF(Atletas!R293="Bishou F",628,IF(Atletas!R293="Shanzi F",629,IF(Atletas!R293="Outra Arma Curta F",630, "")))))))))))))))))))))))))))))))</f>
        <v/>
      </c>
      <c r="CA302" s="50" t="str">
        <f>IF(Atletas!S293="","",IF(Atletas!X293&lt;&gt;"",10000,0)+IF(Atletas!B293="Feminino",1000,IF(Atletas!B293="Masculino",2000,""))+IF(Atletas!S293="Gun A",701,IF(Atletas!S293="Qiang A",702,IF(Atletas!S293="Pudao / Guandao A",703,IF(Atletas!S293="Outra Arma Longa A",704,IF(Atletas!S293="Gun B",705,IF(Atletas!S293="Qiang B",706,IF(Atletas!S293="Pudao / Guandao B",707,IF(Atletas!S293="Outra Arma Longa B",708,IF(Atletas!S293="Gun C",709,IF(Atletas!S293="Qiang C",710,IF(Atletas!S293="Pudao / Guandao C",711,IF(Atletas!S293="Outra Arma Longa C",712,IF(Atletas!S293="Gun D",713,IF(Atletas!S293="Qiang D",714,IF(Atletas!S293="Pudao / Guandao D",715,IF(Atletas!S293="Outra Arma Longa D",716,IF(Atletas!S293="Gun E",717,IF(Atletas!S293="Qiang E",718,IF(Atletas!S293="Pudao / Guandao E",719,IF(Atletas!S293="Outra Arma Longa E",720,IF(Atletas!S293="Gun F",721,IF(Atletas!S293="Qiang F",722,IF(Atletas!S293="Pudao / Guandao F",723,IF(Atletas!S293="Outra Arma Longa F",724,"")))))))))))))))))))))))))</f>
        <v/>
      </c>
      <c r="CB302" s="50" t="str">
        <f>IF(Atletas!T293="","",IF(Atletas!X293&lt;&gt;"",10000,0)+IF(Atletas!B293="Feminino",1000,IF(Atletas!B293="Masculino",2000,""))+IF(Atletas!T293="Outra Arma Dupla A",801,IF(Atletas!T293="Arma Maleável A",802,IF(Atletas!T293="Outra Arma Dupla B",803,IF(Atletas!T293="Arma Maleável B",804,IF(Atletas!T293="Outra Arma Dupla C",805,IF(Atletas!T293="Arma Maleável C",806,IF(Atletas!T293="Outra Arma Dupla D",807,IF(Atletas!T293="Arma Maleável D",808,IF(Atletas!T293="Outra Arma Dupla E",809,IF(Atletas!T293="Arma Maleável E",810,IF(Atletas!T293="Outra Arma Dupla F",811,IF(Atletas!T293="Arma Maleável F",812,IF(Atletas!T293="Shuangdao A",813,IF(Atletas!T293="Shuangdao B",814,IF(Atletas!T293="Shuangdao C",815,IF(Atletas!T293="Shuangdao D",816,IF(Atletas!T293="Shuangdao E",817,IF(Atletas!T293="Shuangdao F",818,"")))))))))))))))))))</f>
        <v/>
      </c>
      <c r="CC302" s="50" t="str">
        <f>IF(Atletas!U293="","",IF(Atletas!X293&lt;&gt;"",10000,0)+IF(Atletas!B293="Feminino",1000,IF(Atletas!B293="Masculino",2000,""))+IF(OR(Atletas!U293="Taijijian Yang A",Atletas!U293="Taijijian Yang Standard A"),901,IF(OR(Atletas!U293="Taijijian Chen A", Atletas!U293="Taijijian Chen Standard A"),902,IF(Atletas!U293="Taijijian Sun A",903,IF(Atletas!U293="Taijijian Wu A",904,IF(Atletas!U293="Taijijian Wu-Hao A",905,IF(OR(Atletas!U293="Taijijian 32 A",Atletas!U293="Taijijian 42 A"),906,IF(OR(Atletas!U293="Taijijian Yang B",Atletas!U293="Taijijian Yang Standard B"),907,IF(OR(Atletas!U293="Taijijian Chen B", Atletas!U293="Taijijian Chen Standard B"),908,IF(Atletas!U293="Taijijian Sun B",909,IF(Atletas!U293="Taijijian Wu B",910,IF(Atletas!U293="Taijijian Wu-Hao B",911,IF(OR(Atletas!U293="Taijijian 32 B",Atletas!U293="Taijijian 42 B"),912,IF(OR(Atletas!U293="Taijijian Yang C",Atletas!U293="Taijijian Yang Standard C"),913,IF(OR(Atletas!U293="Taijijian Chen C", Atletas!U293="Taijijian Chen Standard C"),914,IF(Atletas!U293="Taijijian Sun C",915,IF(Atletas!U293="Taijijian Wu C",916,IF(Atletas!U293="Taijijian Wu-Hao C",917,IF(OR(Atletas!U293="Taijijian 32 C",Atletas!U293="Taijijian 42 C"),918,IF(OR(Atletas!U293="Taijijian Yang D",Atletas!U293="Taijijian Yang Standard D"),919,IF(OR(Atletas!U293="Taijijian Chen D", Atletas!U293="Taijijian Chen Standard D"),920,IF(Atletas!U293="Taijijian Sun D",921,IF(Atletas!U293="Taijijian Wu D",922,IF(Atletas!U293="Taijijian Wu-Hao D",923,IF(OR(Atletas!U293="Taijijian 32 D",Atletas!U293="Taijijian 42 D"),924,IF(OR(Atletas!U293="Taijijian Yang E",Atletas!U293="Taijijian Yang Standard E"),925,IF(OR(Atletas!U293="Taijijian Chen E", Atletas!U293="Taijijian Chen Standard E"),926,IF(Atletas!U293="Taijijian Sun E",927,IF(Atletas!U293="Taijijian Wu E",928,IF(Atletas!U293="Taijijian Wu-Hao E",929,IF(OR(Atletas!U293="Taijijian 32 E",Atletas!U293="Taijijian 42 E"),930,IF(OR(Atletas!U293="Taijijian Yang F",Atletas!U293="Taijijian Yang Standard F"),931,IF(OR(Atletas!U293="Taijijian Chen F", Atletas!U293="Taijijian Chen Standard F"),932,IF(Atletas!U293="Taijijian Sun F",933,IF(Atletas!U293="Taijijian Wu F",934,IF(Atletas!U293="Taijijian Wu-Hao F",935,IF(OR(Atletas!U293="Taijijian 32 F",Atletas!U293="Taijijian 42 F"),936,"")))))))))))))))))))))))))))))))))))))</f>
        <v/>
      </c>
      <c r="CD302" s="50" t="str">
        <f>IF(Atletas!V293="","",IF(Atletas!X293&lt;&gt;"",10000,0)+IF(Atletas!B293="Feminino",1000,IF(Atletas!B293="Masculino",2000,""))+IF(Atletas!V293="Taijidao A",937,IF(Atletas!V293="TaijiShanzi A",938,IF(Atletas!V293="Taijiqiang A",939,IF(Atletas!V293="Bagua de Arma A",940,IF(Atletas!V293="Xingyi de Arma A",941,IF(Atletas!V293="Taijidao B",942,IF(Atletas!V293="TaijiShanzi B",943,IF(Atletas!V293="Taijiqiang B",944,IF(Atletas!V293="Bagua de Arma B",945,IF(Atletas!V293="Xingyi de Arma B",946,IF(Atletas!V293="Taijidao C",947,IF(Atletas!V293="TaijiShanzi C",948,IF(Atletas!V293="Taijiqiang C",949,IF(Atletas!V293="Bagua de Arma C",950,IF(Atletas!V293="Xingyi de Arma C",951,IF(Atletas!V293="Taijidao D",952,IF(Atletas!V293="TaijiShanzi D",953,IF(Atletas!V293="Taijiqiang D",954,IF(Atletas!V293="Bagua de Arma D",955,IF(Atletas!V293="Xingyi de Arma D",956,IF(Atletas!V293="Taijidao E",957,IF(Atletas!V293="TaijiShanzi E",958,IF(Atletas!V293="Taijiqiang E",959,IF(Atletas!V293="Bagua de Arma E",960,IF(Atletas!V293="Xingyi de Arma E",961,IF(Atletas!V293="Taijidao F",962,IF(Atletas!V293="TaijiShanzi F",963,IF(Atletas!V293="Taijiqiang F",964,IF(Atletas!V293="Bagua de Arma F",965,IF(Atletas!V293="Xingyi de Arma F",966,"")))))))))))))))))))))))))))))))</f>
        <v/>
      </c>
      <c r="CE302" s="66" t="str">
        <f>IF(CF302&lt;&gt;"","Taijijian Chen A","")</f>
        <v/>
      </c>
      <c r="CF302" s="66" t="str">
        <f>IF(COUNTIF(BR:CD,1902)&gt;0,COUNTIF(BR:CD,1902),"")</f>
        <v/>
      </c>
      <c r="CG302" s="66" t="str">
        <f>IF(CH302&lt;&gt;"","Taijijian Chen A","")</f>
        <v/>
      </c>
      <c r="CH302" s="66" t="str">
        <f>IF(COUNTIF(BR:CD,2902)&gt;0,COUNTIF(BR:CD,2902),"")</f>
        <v/>
      </c>
      <c r="CI302" s="66" t="str">
        <f>IF(CJ303&lt;&gt;"","Taijijian Sun C","")</f>
        <v/>
      </c>
      <c r="CJ302" s="66" t="str">
        <f>IF(COUNTIF(BR:CD,11914)&gt;0,COUNTIF(BR:CD,11914),"")</f>
        <v/>
      </c>
      <c r="CK302" s="66" t="str">
        <f>IF(CL302&lt;&gt;"","Taijijian Chen C","")</f>
        <v/>
      </c>
      <c r="CL302" s="66" t="str">
        <f>IF(COUNTIF(BR:CD,12914)&gt;0,COUNTIF(BR:CD,12914),"")</f>
        <v/>
      </c>
      <c r="CM302" s="50" t="str">
        <f xml:space="preserve"> IF(Atletas!W293="","",IF(Atletas!W293="Duilian de Mãos BC - Equipe 1",1,IF(Atletas!W293="Duilian de Mãos BC - Equipe 2",2,IF(Atletas!W293="Duilian de Armas BC - Equipe 1",3,IF(Atletas!W293="Duilian de Armas BC - Equipe 2",4,IF(Atletas!W293="Duilian de Mãos DE - Equipe 1",5,IF(Atletas!W293="Duilian de Mãos DE - Equipe 2",6,IF(Atletas!W293="Duilian de Armas DE - Equipe 1",7,IF(Atletas!W293="Duilian de Armas DE - Equipe 2",8,IF(Atletas!W293="Duilian de Tuishou - Equipe 1",9,IF(Atletas!W293="Duilian de Tuishou - Equipe 2",10,IF(Atletas!W293="Grupo Externo ABC - Equipe 1",11,IF(Atletas!W293="Grupo Externo ABC - Equipe 2",12,IF(Atletas!W293="Grupo Interno ABC - Equipe 1",13,IF(Atletas!W293="Grupo Interno ABC - Equipe 2",14,IF(Atletas!W293="Grupo Externo DEF - Equipe 1",15,IF(Atletas!W293="Grupo Externo DEF - Equipe 2",16,IF(Atletas!W293="Grupo Interno DEF - Equipe 1",17,IF(Atletas!W293="Grupo Interno DEF - Equipe 2",18,"")))))))))))))))))))</f>
        <v/>
      </c>
    </row>
    <row r="303" spans="2:91">
      <c r="AN303" s="52" t="str">
        <f>IF(Atletas!D294="","",IF(Atletas!B294="Feminino",100,IF(Atletas!B294="Masculino",200,""))+(IF(Atletas!D294="Kids 30kg",1,IF(Atletas!D294="Kids 32kg",2, IF(Atletas!D294="Kids 34kg",3,IF(Atletas!D294="Kids 36kg",4,IF(Atletas!D294="Kids 39kg",5,IF(Atletas!D294="Kids 42kg",6,IF(Atletas!D294="Kids 45kg",7, IF(Atletas!D294="Infantil 39kg",8,IF(Atletas!D294="Infantil 42kg",9,IF(Atletas!D294="Infantil 45kg",10,IF(Atletas!D294="Infantil 48kg",11,IF(Atletas!D294="Infantil 52kg",12,IF(Atletas!D294="Infantil 56kg",13,IF(Atletas!D294="Infantil 60kg",14,IF(Atletas!D294="Juvenil 48kg",15,IF(Atletas!D294="Juvenil 52kg",16,IF(Atletas!D294="Juvenil 56kg",17,IF(Atletas!D294="Juvenil 60kg",18,IF(Atletas!D294="Juvenil 65kg",19,IF(Atletas!D294="Juvenil 70kg",20,IF(Atletas!D294="Juvenil 75kg",21,IF(Atletas!D294="Juvenil 80kg",22, IF(Atletas!D294="Juvenil 85kg",23,IF(Atletas!D294="Adulto 48kg",24,IF(Atletas!D294="Adulto 52kg",25,IF(Atletas!D294="Adulto 56kg",26,IF(Atletas!D294="Adulto 60kg",27,IF(Atletas!D294="Adulto 65kg",28,IF(Atletas!D294="Adulto 70kg",29,IF(Atletas!D294="Adulto 75kg",30,IF(Atletas!D294="Adulto 80kg",31,IF(Atletas!D294="Adulto 85kg",32,IF(Atletas!D294="Adulto 90kg",33,IF(Atletas!D294="Adulto 100kg",34, IF(Atletas!D294="Adulto +100kg",35,"")))))))))))))))))))))))))))))))))))))</f>
        <v/>
      </c>
      <c r="AS303" s="6" t="str">
        <f>IF(Atletas!E294="","",IF(Atletas!B294="Feminino",100,IF(Atletas!B294="Masculino",200,""))+(IF(Atletas!E294="Juvenil 44kg",1,IF(Atletas!E294="Juvenil 48kg",2,IF(Atletas!E294="Juvenil 52kg",3,IF(Atletas!E294="Juvenil 56kg",4,IF(Atletas!E294="Juvenil 60kg",5,IF(Atletas!E294="Juvenil 65kg",6,IF(Atletas!E294="Juvenil 70kg",7,IF(Atletas!E294="Juvenil 75kg",8,IF(Atletas!E294="Juvenil 82kg",9,IF(Atletas!E294="Juvenil 90kg",10,IF(Atletas!E294="Juvenil 100kg",11,IF(Atletas!E294="Adulto 48kg",12,IF(Atletas!E294="Adulto 52kg",13,IF(Atletas!E294="Adulto 56kg",14,IF(Atletas!E294="Adulto 60kg",15,IF(Atletas!E294="Adulto 65kg",16,IF(Atletas!E294="Adulto 70kg",17,IF(Atletas!E294="Adulto 75kg",18,IF(Atletas!E294="Adulto 82kg",19,IF(Atletas!E294="Adulto 90kg",20,IF(Atletas!E294="Adulto 100kg",21,IF(Atletas!E294="Adulto +100kg",22,""))))))))))))))))))))))))</f>
        <v/>
      </c>
      <c r="AX303" s="6" t="str">
        <f>IF(Atletas!F294="","",IF(Atletas!B294="Feminino",100,IF(Atletas!B294="Masculino",200,""))+(IF(Atletas!F294="Adulto 48kg",1,IF(Atletas!F294="Adulto 56kg",2,IF(Atletas!F294="Adulto 65kg",3,IF(Atletas!F294="Adulto 75kg",4,IF(Atletas!F294="Adulto +75kg",5,IF(Atletas!F294="Adulto 52kg",6,IF(Atletas!F294="Adulto 60kg",7,IF(Atletas!F294="Adulto 70kg",8,IF(Atletas!F294="Adulto 80kg",9,IF(Atletas!F294="Adulto 90kg",10,IF(Atletas!F294="Adulto +90kg",11,"")))))))))))))</f>
        <v/>
      </c>
      <c r="BC303" s="6" t="str">
        <f>IF(Atletas!G294="","",IF(Atletas!B294="Feminino",10,IF(Atletas!B294="Masculino",20,""))+(IF(Atletas!G294="Baduanjin A",1,IF(Atletas!G294="Baduanjin B",2))))</f>
        <v/>
      </c>
      <c r="BF303" s="52" t="str">
        <f>IF(Atletas!H294="","",IF(Atletas!B294="Feminino",100,IF(Atletas!B294="Masculino",200,""))+(IF(Atletas!H294="Changquan Mirim",1,IF(Atletas!H294="Nanquan Mirim",2,IF(Atletas!H294="Taijiquan Mirim",3,IF(Atletas!H294="Changquan Grupo C",4,IF(Atletas!H294="Nanquan Grupo C",5,IF(Atletas!H294="Taijiquan Grupo C",6,IF(Atletas!H294="Changquan Grupo B",7,IF(Atletas!H294="Nanquan Grupo B",8,IF(Atletas!H294="Taijiquan Grupo B",9,IF(Atletas!H294="Changquan Grupo A",10,IF(Atletas!H294="Nanquan Grupo A",11,IF(Atletas!H294="Taijiquan Grupo A",12,IF(Atletas!H294="Changquan Opcional",13,IF(Atletas!H294="Nanquan Opcional",14,IF(Atletas!H294="Taijiquan Opcional",15,IF(Atletas!H294="Changquan Adulto",16,IF(Atletas!H294="Nanquan Adulto",17,IF(Atletas!H294="Taijiquan Adulto",18,""))))))))))))))))))))</f>
        <v/>
      </c>
      <c r="BG303" s="52" t="str">
        <f>IF(Atletas!I294="","",IF(Atletas!B294="Feminino",100,IF(Atletas!B294="Masculino",200,""))+(IF(Atletas!I294="Daoshu Mirim",19,IF(Atletas!I294="Jianshu Mirim",20,IF(Atletas!I294="Nandao Mirim",21,IF(Atletas!I294="Taijijian Mirim",22,IF(Atletas!I294="Daoshu Grupo C",23,IF(Atletas!I294="Jianshu Grupo C",24,IF(Atletas!I294="Nandao Grupo C",25,IF(Atletas!I294="Taijijian Grupo C",26,IF(Atletas!I294="Daoshu Grupo B",27,IF(Atletas!I294="Jianshu Grupo B",28,IF(Atletas!I294="Nandao Grupo B",29,IF(Atletas!I294="Taijijian Grupo B",30,IF(Atletas!I294="Daoshu Grupo A",31,IF(Atletas!I294="Jianshu Grupo A",32,IF(Atletas!I294="Nandao Grupo A",33,IF(Atletas!I294="Taijijian Grupo A",34,IF(Atletas!I294="Daoshu Opcional",35,IF(Atletas!I294="Jianshu Opcional",36,IF(Atletas!I294="Nandao Opcional",37,IF(Atletas!I294="Taijijian Opcional",38,IF(Atletas!I294="Daoshu Adulto",39,IF(Atletas!I294="Jianshu Adulto",40,IF(Atletas!I294="Nandao Adulto",41,IF(Atletas!I294="Taijijian Adulto",42,""))))))))))))))))))))))))))</f>
        <v/>
      </c>
      <c r="BH303" s="52" t="str">
        <f>IF(Atletas!J294="","",IF(Atletas!B294="Feminino",100,IF(Atletas!B294="Masculino",200,""))+(IF(Atletas!J294="Gunshu Mirim",43,IF(Atletas!J294="Qiangshu Mirim",44,IF(Atletas!J294="Nangun Mirim",45,IF(Atletas!J294="Gunshu Grupo C",46,IF(Atletas!J294="Qiangshu Grupo C",47,IF(Atletas!J294="Nangun Grupo C",48,IF(Atletas!J294="Gunshu Grupo B",49,IF(Atletas!J294="Qiangshu Grupo B",50,IF(Atletas!J294="Nangun Grupo B",51,IF(Atletas!J294="Gunshu Grupo A",52,IF(Atletas!J294="Qiangshu Grupo A",53,IF(Atletas!J294="Nangun Grupo A",54,IF(Atletas!J294="Gunshu Opcional",55,IF(Atletas!J294="Qiangshu Opcional",56,IF(Atletas!J294="Nangun Opcional",57,IF(Atletas!J294="Gunshu Adulto",58,IF(Atletas!J294="Qiangshu Adulto",59,IF(Atletas!J294="Nangun Adulto",60,IF(Atletas!J294="Taijishan Grupo B",61,IF(Atletas!J294="Taijishan Grupo A",62,""))))))))))))))))))))))</f>
        <v/>
      </c>
      <c r="BM303" s="50" t="str">
        <f>IF(Atletas!K294="","",IF(Atletas!B294="Feminino",100,IF(Atletas!B294="Masculino",200,""))+(IF(Atletas!K294="Equipe 1 Grupo B",1,IF(Atletas!K294="Equipe 2 Grupo B",2,IF(Atletas!K294="Equipe 1 Grupo A",3,IF(Atletas!K294="Equipe 2 Grupo A",4,IF(Atletas!K294="Equipe 1 Adulto",5,IF(Atletas!K294="Equipe 2 Adulto",6,""))))))))</f>
        <v/>
      </c>
      <c r="BR303" s="50" t="str">
        <f>IF(Atletas!L294="","",IF(Atletas!X294&lt;&gt;"",10000,0)+(IF(Atletas!B294="Feminino",1000,IF(Atletas!B294="Masculino",2000,""))+IF(Atletas!L294="Choylayfut A",1,IF(Atletas!L294="Hunggar A",2,IF(Atletas!L294="Wuzuquan A",3,IF(Atletas!L294="Wingchun A",4,IF(Atletas!L294="Outra Mão de Sul A",5,IF(Atletas!L294="Choylayfut B",6,IF(Atletas!L294="Hunggar B",7,IF(Atletas!L294="Wuzuquan B",8,IF(Atletas!L294="Wingchun B",9,IF(Atletas!L294="Outra Mão de Sul B",10,IF(Atletas!L294="Choylayfut C",11,IF(Atletas!L294="Hunggar C",12,IF(Atletas!L294="Wuzuquan C",13,IF(Atletas!L294="Wingchun C",14,IF(Atletas!L294="Outra Mão de Sul C",15,IF(Atletas!L294="Choylayfut D",16,IF(Atletas!L294="Hunggar D",17,IF(Atletas!L294="Wuzuquan D",18,IF(Atletas!L294="Wingchun D",19,IF(Atletas!L294="Outra Mão de Sul D",20,IF(Atletas!L294="Choylayfut E",21,IF(Atletas!L294="Hunggar E",22,IF(Atletas!L294="Wuzuquan E",23,IF(Atletas!L294="Wingchun E",24,IF(Atletas!L294="Outra Mão de Sul E",25,IF(Atletas!L294="Choylayfut F",26,IF(Atletas!L294="Hunggar F",27,IF(Atletas!L294="Wuzuquan F",28,IF(Atletas!L294="Wingchun F",29,IF(Atletas!L294="Outra Mão de Sul F",30,IF(Atletas!L294="Dishuquan A",31,IF(Atletas!L294="Dishuquan B",32,IF(Atletas!L294="Dishuquan C",33,IF(Atletas!L294="Dishuquan D",34,IF(Atletas!L294="Dishuquan E",35,IF(Atletas!L294="Dishuquan F",36,""))))))))))))))))))))))))))))))))))))))</f>
        <v/>
      </c>
      <c r="BS303" s="50" t="str">
        <f>IF(Atletas!M294="","",IF(Atletas!X294&lt;&gt;"",10000,0)+(IF(Atletas!B294="Feminino",1000,IF(Atletas!B294="Masculino",2000,""))+(IF(Atletas!M294="Chaquan A",101,IF(Atletas!M294="Emeiquan A",102,IF(Atletas!M294="Fanziquan A",103,IF(Atletas!M294="Huaquan A",104,IF(Atletas!M294="Hongquan A",105,IF(Atletas!M294="Paoquan A",106,IF(Atletas!M294="Piguaquan A",107,IF(Atletas!M294="Shaolinquan A",108,IF(Atletas!M294="Tanglangquan A",109,IF(Atletas!M294="Yingzhaoquan A",110,IF(Atletas!M294="Tongbeiquan A",111,IF(Atletas!M294="Wudangquan A",112,IF(Atletas!M294="Outros Estilos A",113,IF(Atletas!M294="Chaquan B",114,IF(Atletas!M294="Emeiquan B",115,IF(Atletas!M294="Fanziquan B",116,IF(Atletas!M294="Huaquan B",117,IF(Atletas!M294="Hongquan B",118,IF(Atletas!M294="Paoquan B",119,IF(Atletas!M294="Piguaquan B",120,IF(Atletas!M294="Shaolinquan B",121,IF(Atletas!M294="Tanglangquan B",122,IF(Atletas!M294="Yingzhaoquan B",123,IF(Atletas!M294="Tongbeiquan B",124,IF(Atletas!M294="Wudangquan B",125,IF(Atletas!M294="Outros Estilos B",126,IF(Atletas!M294="Chaquan C",127,IF(Atletas!M294="Emeiquan C",128,IF(Atletas!M294="Fanziquan C",129,IF(Atletas!M294="Huaquan C",130,IF(Atletas!M294="Hongquan C",131,IF(Atletas!M294="Paoquan C",132,IF(Atletas!M294="Piguaquan C",133,IF(Atletas!M294="Shaolinquan C",134,IF(Atletas!M294="Tanglangquan C",135,IF(Atletas!M294="Yingzhaoquan C",136,IF(Atletas!M294="Tongbeiquan C",137,IF(Atletas!M294="Wudangquan C",138,IF(Atletas!M294="Outros Estilos C",139,0))))))))))))))))))))))))))))))))))))))))))</f>
        <v/>
      </c>
      <c r="BT303" s="50" t="str">
        <f>IF(Atletas!M294="","",IF(Atletas!X294&lt;&gt;"",10000,0)+(IF(Atletas!B294="Feminino",1000,IF(Atletas!B294="Masculino",2000,""))+(IF(Atletas!M294="Chaquan D",140,IF(Atletas!M294="Emeiquan D",141,IF(Atletas!M294="Fanziquan D",142,IF(Atletas!M294="Huaquan D",143,IF(Atletas!M294="Hongquan D",144,IF(Atletas!M294="Paoquan D",145,IF(Atletas!M294="Piguaquan D",146,IF(Atletas!M294="Shaolinquan D",147,IF(Atletas!M294="Tanglangquan D",148,IF(Atletas!M294="Yingzhaoquan D",149,IF(Atletas!M294="Tongbeiquan D",150,IF(Atletas!M294="Wudangquan D",151,IF(Atletas!M294="Outros Estilos D",152,IF(Atletas!M294="Chaquan E",153,IF(Atletas!M294="Emeiquan E",154,IF(Atletas!M294="Fanziquan E",155,IF(Atletas!M294="Huaquan E",156,IF(Atletas!M294="Hongquan E",157,IF(Atletas!M294="Paoquan E",158,IF(Atletas!M294="Piguaquan E",159,IF(Atletas!M294="Shaolinquan E",160,IF(Atletas!M294="Tanglangquan E",161,IF(Atletas!M294="Yingzhaoquan E",162,IF(Atletas!M294="Tongbeiquan E",163,IF(Atletas!M294="Wudangquan E",164,IF(Atletas!M294="Outros Estilos E",165,IF(Atletas!M294="Chaquan F",166,IF(Atletas!M294="Emeiquan F",167,IF(Atletas!M294="Fanziquan F",168,IF(Atletas!M294="Huaquan F",169,IF(Atletas!M294="Hongquan F",170,IF(Atletas!M294="Paoquan F",171,IF(Atletas!M294="Piguaquan F",172,IF(Atletas!M294="Shaolinquan F",173,IF(Atletas!M294="Tanglangquan F",174,IF(Atletas!M294="Yingzhaoquan F",175,IF(Atletas!M294="Tongbeiquan F",176,IF(Atletas!M294="Wudangquan F",177,IF(Atletas!M294="Outros Estilos F",178,0))))))))))))))))))))))))))))))))))))))))))</f>
        <v/>
      </c>
      <c r="BU303" s="50" t="str">
        <f>IF(Atletas!N294="","",IF(Atletas!X294&lt;&gt;"",10000,0)+(IF(Atletas!B294="Feminino",1000,IF(Atletas!B294="Masculino",2000,""))+(IF(Atletas!N294="Ditangquan A",201,IF(Atletas!N294="Houquan A",202,IF(Atletas!N294="Zuiquan A",203,IF(Atletas!N294="Ditangquan B",204,IF(Atletas!N294="Houquan B",205,IF(Atletas!N294="Zuiquan B",206,IF(Atletas!N294="Ditangquan C",207,IF(Atletas!N294="Houquan C",208,IF(Atletas!N294="Zuiquan C",209,IF(Atletas!N294="Ditangquan D",210,IF(Atletas!N294="Houquan D",211,IF(Atletas!N294="Zuiquan D",212,IF(Atletas!N294="Ditangquan E",213,IF(Atletas!N294="Houquan E",214,IF(Atletas!N294="Zuiquan E",215,IF(Atletas!N294="Ditangquan F",216,IF(Atletas!N294="Houquan F",217,IF(Atletas!N294="Zuiquan F",218,"")))))))))))))))))))))</f>
        <v/>
      </c>
      <c r="BV303" s="50" t="str">
        <f>IF(Atletas!O294="","",IF(Atletas!X294&lt;&gt;"",10000,0)+IF(Atletas!B294="Feminino",1000,IF(Atletas!B294="Masculino",2000,""))+IF(Atletas!O294="Yang A",301,IF(Atletas!O294="Chen A",302,IF(Atletas!O294="Sun A",303,IF(Atletas!O294="Wu A",304,IF(Atletas!O294="Wu-Hao A",305,IF(Atletas!O294="Outro Taijiquan A",306,IF(Atletas!O294="Yang B",307,IF(Atletas!O294="Chen B",308,IF(Atletas!O294="Sun B",309,IF(Atletas!O294="Wu B",310,IF(Atletas!O294="Wu-Hao B",311,IF(Atletas!O294="Outro Taijiquan B",312,IF(Atletas!O294="Yang C",313,IF(Atletas!O294="Chen C",314,IF(Atletas!O294="Sun C",315,IF(Atletas!O294="Wu C",316,IF(Atletas!O294="Wu-Hao C",317,IF(Atletas!O294="Outro Taijiquan C",318,IF(Atletas!O294="Yang D",319,IF(Atletas!O294="Chen D",320,IF(Atletas!O294="Sun D",321,IF(Atletas!O294="Wu D",322,IF(Atletas!O294="Wu-Hao D",323,IF(Atletas!O294="Outro Taijiquan D",324,IF(Atletas!O294="Yang E",325,IF(Atletas!O294="Chen E",326,IF(Atletas!O294="Sun E",327,IF(Atletas!O294="Wu E",328,IF(Atletas!O294="Wu-Hao E",329,IF(Atletas!O294="Outro Taijiquan E",330,IF(Atletas!O294="Yang F",331,IF(Atletas!O294="Chen F",332,IF(Atletas!O294="Sun F",333,IF(Atletas!O294="Wu F",334,IF(Atletas!O294="Wu-Hao F",335,IF(Atletas!O294="Outro Taijiquan F",336,"")))))))))))))))))))))))))))))))))))))</f>
        <v/>
      </c>
      <c r="BW303" s="50" t="str">
        <f>IF(Atletas!P294="","",IF(Atletas!X294&lt;&gt;"",10000,0)+IF(Atletas!B294="Feminino",1000,IF(Atletas!B294="Masculino",2000,""))+IF(OR(Atletas!P294="Yang 26 A",Atletas!P294="Yang 40 A"),401,IF(OR(Atletas!P294="Chen 25 A",Atletas!P294="Chen 36 A",Atletas!P294="Chen 56 A"),402,IF(Atletas!P294="Sun 73 A",403,IF(Atletas!P294="Wu 45 A",404,IF(Atletas!P294="Wu-Hao 46 A",405,IF(OR(Atletas!P294="Taijiquan 16 A",Atletas!P294="Taijiquan 24 A",Atletas!P294="Taijiquan 32 A",Atletas!P294="Taijiquan 42 A"),406,IF(OR(Atletas!P294="Yang 26 B",Atletas!P294="Yang 40 B"),407,IF(OR(Atletas!P294="Chen 25 B",Atletas!P294="Chen 36 B",Atletas!P294="Chen 56 B"),408,IF(Atletas!P294="Sun 73 B",409,IF(Atletas!P294="Wu 45 B",410,IF(Atletas!P294="Wu-Hao 46 B",411,IF(OR(Atletas!P294="Taijiquan 16 B",Atletas!P294="Taijiquan 24 B",Atletas!P294="Taijiquan 32 B",Atletas!P294="Taijiquan 42 B"),412,IF(OR(Atletas!P294="Yang 26 C",Atletas!P294="Yang 40 C"),413,IF(OR(Atletas!P294="Chen 25 C",Atletas!P294="Chen 36 C",Atletas!P294="Chen 56 C"),414,IF(Atletas!P294="Sun 73 C",415,IF(Atletas!P294="Wu 45 C",416,IF(Atletas!P294="Wu-Hao 46 C",417,IF(OR(Atletas!P294="Taijiquan 16 C",Atletas!P294="Taijiquan 24 C",Atletas!P294="Taijiquan 32 C",Atletas!P294="Taijiquan 42 C"),418,0)))))))))))))))))))</f>
        <v/>
      </c>
      <c r="BX303" s="50" t="str">
        <f>IF(Atletas!P294="","",IF(Atletas!X294&lt;&gt;"",10000,0)+IF(Atletas!B294="Feminino",1000,IF(Atletas!B294="Masculino",2000,""))+IF(OR(Atletas!P294="Yang 26 D",Atletas!P294="Yang 40 D"),419,IF(OR(Atletas!P294="Chen 25 D",Atletas!P294="Chen 36 D",Atletas!P294="Chen 56 D"),420,IF(Atletas!P294="Sun 73 D",421,IF(Atletas!P294="Wu 45 D",422,IF(Atletas!P294="Wu-Hao 46 D",423,IF(OR(Atletas!P294="Taijiquan 16 D",Atletas!P294="Taijiquan 24 D",Atletas!P294="Taijiquan 32 D",Atletas!P294="Taijiquan 42 D"),424,IF(OR(Atletas!P294="Yang 26 E",Atletas!P294="Yang 40 E"),425,IF(OR(Atletas!P294="Chen 25 E",Atletas!P294="Chen 36 E",Atletas!P294="Chen 56 E"),426,IF(Atletas!P294="Sun 73 E",427,IF(Atletas!P294="Wu 45 E",428,IF(Atletas!P294="Wu-Hao 46 E",429,IF(OR(Atletas!P294="Taijiquan 16 E",Atletas!P294="Taijiquan 24 E",Atletas!P294="Taijiquan 32 E",Atletas!P294="Taijiquan 42 E"),430,IF(OR(Atletas!P294="Yang 26 F",Atletas!P294="Yang 40 F"),431,IF(OR(Atletas!P294="Chen 25 F",Atletas!P294="Chen 36 F",Atletas!P294="Chen 56 F"),432,IF(Atletas!P294="Sun 73 F",433,IF(Atletas!P294="Wu 45 F",434,IF(Atletas!P294="Wu-Hao 46 F",435,IF(OR(Atletas!P294="Taijiquan 16 F",Atletas!P294="Taijiquan 24 F",Atletas!P294="Taijiquan 32 F",Atletas!P294="Taijiquan 42 F"),436,0)))))))))))))))))))</f>
        <v/>
      </c>
      <c r="BY303" s="50" t="str">
        <f>IF(Atletas!Q294="","",IF(Atletas!X294&lt;&gt;"",10000,0)+IF(Atletas!B294="Feminino",1000,IF(Atletas!B294="Masculino",2000,""))+IF(Atletas!Q294="Xingyiquan A",501,IF(Atletas!Q294="Baguazhang A",502,IF(Atletas!Q294="Outro Estilo Interno A",503,IF(Atletas!Q294="Xingyiquan B",504,IF(Atletas!Q294="Baguazhang B",505,IF(Atletas!Q294="Outro Estilo Interno B",506,IF(Atletas!Q294="Xingyiquan C",507,IF(Atletas!Q294="Baguazhang C",508,IF(Atletas!Q294="Outro Estilo Interno C",509,IF(Atletas!Q294="Xingyiquan D",510,IF(Atletas!Q294="Baguazhang D",511,IF(Atletas!Q294="Outro Estilo Interno D",512,IF(Atletas!Q294="Xingyiquan E",513,IF(Atletas!Q294="Baguazhang E",514,IF(Atletas!Q294="Outro Estilo Interno E",515,IF(Atletas!Q294="Xingyiquan F",516,IF(Atletas!Q294="Baguazhang F",517,IF(Atletas!Q294="Outro Estilo Interno F",518, "")))))))))))))))))))</f>
        <v/>
      </c>
      <c r="BZ303" s="50" t="str">
        <f>IF(Atletas!R294="","",IF(Atletas!X294&lt;&gt;"",10000,0)+IF(Atletas!B294="Feminino",1000,IF(Atletas!B294="Masculino",2000,""))+IF(Atletas!R294="Dao A",601,IF(Atletas!R294="Jian A",602,IF(Atletas!R294="Bishou A",603,IF(Atletas!R294="Shanzi A",604,IF(Atletas!R294="Outra Arma Curta A",605,IF(Atletas!R294="Dao B",606,IF(Atletas!R294="Jian B",607,IF(Atletas!R294="Bishou B",608,IF(Atletas!R294="Shanzi B",609,IF(Atletas!R294="Outra Arma Curta B",610,IF(Atletas!R294="Dao C",611,IF(Atletas!R294="Jian C",612,IF(Atletas!R294="Bishou C",613,IF(Atletas!R294="Shanzi C",614,IF(Atletas!R294="Outra Arma Curta C",615,IF(Atletas!R294="Dao D",616,IF(Atletas!R294="Jian D",617,IF(Atletas!R294="Bishou D",618,IF(Atletas!R294="Shanzi D",619,IF(Atletas!R294="Outra Arma Curta D",620,IF(Atletas!R294="Dao E",621,IF(Atletas!R294="Jian E",622,IF(Atletas!R294="Bishou E",623,IF(Atletas!R294="Shanzi E",624,IF(Atletas!R294="Outra Arma Curta E",625,IF(Atletas!R294="Dao F",626,IF(Atletas!R294="Jian F",627,IF(Atletas!R294="Bishou F",628,IF(Atletas!R294="Shanzi F",629,IF(Atletas!R294="Outra Arma Curta F",630, "")))))))))))))))))))))))))))))))</f>
        <v/>
      </c>
      <c r="CA303" s="50" t="str">
        <f>IF(Atletas!S294="","",IF(Atletas!X294&lt;&gt;"",10000,0)+IF(Atletas!B294="Feminino",1000,IF(Atletas!B294="Masculino",2000,""))+IF(Atletas!S294="Gun A",701,IF(Atletas!S294="Qiang A",702,IF(Atletas!S294="Pudao / Guandao A",703,IF(Atletas!S294="Outra Arma Longa A",704,IF(Atletas!S294="Gun B",705,IF(Atletas!S294="Qiang B",706,IF(Atletas!S294="Pudao / Guandao B",707,IF(Atletas!S294="Outra Arma Longa B",708,IF(Atletas!S294="Gun C",709,IF(Atletas!S294="Qiang C",710,IF(Atletas!S294="Pudao / Guandao C",711,IF(Atletas!S294="Outra Arma Longa C",712,IF(Atletas!S294="Gun D",713,IF(Atletas!S294="Qiang D",714,IF(Atletas!S294="Pudao / Guandao D",715,IF(Atletas!S294="Outra Arma Longa D",716,IF(Atletas!S294="Gun E",717,IF(Atletas!S294="Qiang E",718,IF(Atletas!S294="Pudao / Guandao E",719,IF(Atletas!S294="Outra Arma Longa E",720,IF(Atletas!S294="Gun F",721,IF(Atletas!S294="Qiang F",722,IF(Atletas!S294="Pudao / Guandao F",723,IF(Atletas!S294="Outra Arma Longa F",724,"")))))))))))))))))))))))))</f>
        <v/>
      </c>
      <c r="CB303" s="50" t="str">
        <f>IF(Atletas!T294="","",IF(Atletas!X294&lt;&gt;"",10000,0)+IF(Atletas!B294="Feminino",1000,IF(Atletas!B294="Masculino",2000,""))+IF(Atletas!T294="Outra Arma Dupla A",801,IF(Atletas!T294="Arma Maleável A",802,IF(Atletas!T294="Outra Arma Dupla B",803,IF(Atletas!T294="Arma Maleável B",804,IF(Atletas!T294="Outra Arma Dupla C",805,IF(Atletas!T294="Arma Maleável C",806,IF(Atletas!T294="Outra Arma Dupla D",807,IF(Atletas!T294="Arma Maleável D",808,IF(Atletas!T294="Outra Arma Dupla E",809,IF(Atletas!T294="Arma Maleável E",810,IF(Atletas!T294="Outra Arma Dupla F",811,IF(Atletas!T294="Arma Maleável F",812,IF(Atletas!T294="Shuangdao A",813,IF(Atletas!T294="Shuangdao B",814,IF(Atletas!T294="Shuangdao C",815,IF(Atletas!T294="Shuangdao D",816,IF(Atletas!T294="Shuangdao E",817,IF(Atletas!T294="Shuangdao F",818,"")))))))))))))))))))</f>
        <v/>
      </c>
      <c r="CC303" s="50" t="str">
        <f>IF(Atletas!U294="","",IF(Atletas!X294&lt;&gt;"",10000,0)+IF(Atletas!B294="Feminino",1000,IF(Atletas!B294="Masculino",2000,""))+IF(OR(Atletas!U294="Taijijian Yang A",Atletas!U294="Taijijian Yang Standard A"),901,IF(OR(Atletas!U294="Taijijian Chen A", Atletas!U294="Taijijian Chen Standard A"),902,IF(Atletas!U294="Taijijian Sun A",903,IF(Atletas!U294="Taijijian Wu A",904,IF(Atletas!U294="Taijijian Wu-Hao A",905,IF(OR(Atletas!U294="Taijijian 32 A",Atletas!U294="Taijijian 42 A"),906,IF(OR(Atletas!U294="Taijijian Yang B",Atletas!U294="Taijijian Yang Standard B"),907,IF(OR(Atletas!U294="Taijijian Chen B", Atletas!U294="Taijijian Chen Standard B"),908,IF(Atletas!U294="Taijijian Sun B",909,IF(Atletas!U294="Taijijian Wu B",910,IF(Atletas!U294="Taijijian Wu-Hao B",911,IF(OR(Atletas!U294="Taijijian 32 B",Atletas!U294="Taijijian 42 B"),912,IF(OR(Atletas!U294="Taijijian Yang C",Atletas!U294="Taijijian Yang Standard C"),913,IF(OR(Atletas!U294="Taijijian Chen C", Atletas!U294="Taijijian Chen Standard C"),914,IF(Atletas!U294="Taijijian Sun C",915,IF(Atletas!U294="Taijijian Wu C",916,IF(Atletas!U294="Taijijian Wu-Hao C",917,IF(OR(Atletas!U294="Taijijian 32 C",Atletas!U294="Taijijian 42 C"),918,IF(OR(Atletas!U294="Taijijian Yang D",Atletas!U294="Taijijian Yang Standard D"),919,IF(OR(Atletas!U294="Taijijian Chen D", Atletas!U294="Taijijian Chen Standard D"),920,IF(Atletas!U294="Taijijian Sun D",921,IF(Atletas!U294="Taijijian Wu D",922,IF(Atletas!U294="Taijijian Wu-Hao D",923,IF(OR(Atletas!U294="Taijijian 32 D",Atletas!U294="Taijijian 42 D"),924,IF(OR(Atletas!U294="Taijijian Yang E",Atletas!U294="Taijijian Yang Standard E"),925,IF(OR(Atletas!U294="Taijijian Chen E", Atletas!U294="Taijijian Chen Standard E"),926,IF(Atletas!U294="Taijijian Sun E",927,IF(Atletas!U294="Taijijian Wu E",928,IF(Atletas!U294="Taijijian Wu-Hao E",929,IF(OR(Atletas!U294="Taijijian 32 E",Atletas!U294="Taijijian 42 E"),930,IF(OR(Atletas!U294="Taijijian Yang F",Atletas!U294="Taijijian Yang Standard F"),931,IF(OR(Atletas!U294="Taijijian Chen F", Atletas!U294="Taijijian Chen Standard F"),932,IF(Atletas!U294="Taijijian Sun F",933,IF(Atletas!U294="Taijijian Wu F",934,IF(Atletas!U294="Taijijian Wu-Hao F",935,IF(OR(Atletas!U294="Taijijian 32 F",Atletas!U294="Taijijian 42 F"),936,"")))))))))))))))))))))))))))))))))))))</f>
        <v/>
      </c>
      <c r="CD303" s="50" t="str">
        <f>IF(Atletas!V294="","",IF(Atletas!X294&lt;&gt;"",10000,0)+IF(Atletas!B294="Feminino",1000,IF(Atletas!B294="Masculino",2000,""))+IF(Atletas!V294="Taijidao A",937,IF(Atletas!V294="TaijiShanzi A",938,IF(Atletas!V294="Taijiqiang A",939,IF(Atletas!V294="Bagua de Arma A",940,IF(Atletas!V294="Xingyi de Arma A",941,IF(Atletas!V294="Taijidao B",942,IF(Atletas!V294="TaijiShanzi B",943,IF(Atletas!V294="Taijiqiang B",944,IF(Atletas!V294="Bagua de Arma B",945,IF(Atletas!V294="Xingyi de Arma B",946,IF(Atletas!V294="Taijidao C",947,IF(Atletas!V294="TaijiShanzi C",948,IF(Atletas!V294="Taijiqiang C",949,IF(Atletas!V294="Bagua de Arma C",950,IF(Atletas!V294="Xingyi de Arma C",951,IF(Atletas!V294="Taijidao D",952,IF(Atletas!V294="TaijiShanzi D",953,IF(Atletas!V294="Taijiqiang D",954,IF(Atletas!V294="Bagua de Arma D",955,IF(Atletas!V294="Xingyi de Arma D",956,IF(Atletas!V294="Taijidao E",957,IF(Atletas!V294="TaijiShanzi E",958,IF(Atletas!V294="Taijiqiang E",959,IF(Atletas!V294="Bagua de Arma E",960,IF(Atletas!V294="Xingyi de Arma E",961,IF(Atletas!V294="Taijidao F",962,IF(Atletas!V294="TaijiShanzi F",963,IF(Atletas!V294="Taijiqiang F",964,IF(Atletas!V294="Bagua de Arma F",965,IF(Atletas!V294="Xingyi de Arma F",966,"")))))))))))))))))))))))))))))))</f>
        <v/>
      </c>
      <c r="CE303" s="66" t="str">
        <f>IF(CF303&lt;&gt;"","Taijijian Sun A","")</f>
        <v/>
      </c>
      <c r="CF303" s="66" t="str">
        <f>IF(COUNTIF(BR:CD,1903)&gt;0,COUNTIF(BR:CD,1903),"")</f>
        <v/>
      </c>
      <c r="CG303" s="66" t="str">
        <f>IF(CH303&lt;&gt;"","Taijijian Sun A","")</f>
        <v/>
      </c>
      <c r="CH303" s="66" t="str">
        <f>IF(COUNTIF(BR:CD,2903)&gt;0,COUNTIF(BR:CD,2903),"")</f>
        <v/>
      </c>
      <c r="CI303" s="66" t="str">
        <f>IF(CJ304&lt;&gt;"","Taijijian Wu C","")</f>
        <v/>
      </c>
      <c r="CJ303" s="66" t="str">
        <f>IF(COUNTIF(BR:CD,11915)&gt;0,COUNTIF(BR:CD,11915),"")</f>
        <v/>
      </c>
      <c r="CK303" s="66" t="str">
        <f>IF(CL303&lt;&gt;"","Taijijian Sun C","")</f>
        <v/>
      </c>
      <c r="CL303" s="66" t="str">
        <f>IF(COUNTIF(BR:CD,12915)&gt;0,COUNTIF(BR:CD,12915),"")</f>
        <v/>
      </c>
      <c r="CM303" s="50" t="str">
        <f xml:space="preserve"> IF(Atletas!W294="","",IF(Atletas!W294="Duilian de Mãos BC - Equipe 1",1,IF(Atletas!W294="Duilian de Mãos BC - Equipe 2",2,IF(Atletas!W294="Duilian de Armas BC - Equipe 1",3,IF(Atletas!W294="Duilian de Armas BC - Equipe 2",4,IF(Atletas!W294="Duilian de Mãos DE - Equipe 1",5,IF(Atletas!W294="Duilian de Mãos DE - Equipe 2",6,IF(Atletas!W294="Duilian de Armas DE - Equipe 1",7,IF(Atletas!W294="Duilian de Armas DE - Equipe 2",8,IF(Atletas!W294="Duilian de Tuishou - Equipe 1",9,IF(Atletas!W294="Duilian de Tuishou - Equipe 2",10,IF(Atletas!W294="Grupo Externo ABC - Equipe 1",11,IF(Atletas!W294="Grupo Externo ABC - Equipe 2",12,IF(Atletas!W294="Grupo Interno ABC - Equipe 1",13,IF(Atletas!W294="Grupo Interno ABC - Equipe 2",14,IF(Atletas!W294="Grupo Externo DEF - Equipe 1",15,IF(Atletas!W294="Grupo Externo DEF - Equipe 2",16,IF(Atletas!W294="Grupo Interno DEF - Equipe 1",17,IF(Atletas!W294="Grupo Interno DEF - Equipe 2",18,"")))))))))))))))))))</f>
        <v/>
      </c>
    </row>
    <row r="304" spans="2:91">
      <c r="AN304" s="52" t="str">
        <f>IF(Atletas!D295="","",IF(Atletas!B295="Feminino",100,IF(Atletas!B295="Masculino",200,""))+(IF(Atletas!D295="Kids 30kg",1,IF(Atletas!D295="Kids 32kg",2, IF(Atletas!D295="Kids 34kg",3,IF(Atletas!D295="Kids 36kg",4,IF(Atletas!D295="Kids 39kg",5,IF(Atletas!D295="Kids 42kg",6,IF(Atletas!D295="Kids 45kg",7, IF(Atletas!D295="Infantil 39kg",8,IF(Atletas!D295="Infantil 42kg",9,IF(Atletas!D295="Infantil 45kg",10,IF(Atletas!D295="Infantil 48kg",11,IF(Atletas!D295="Infantil 52kg",12,IF(Atletas!D295="Infantil 56kg",13,IF(Atletas!D295="Infantil 60kg",14,IF(Atletas!D295="Juvenil 48kg",15,IF(Atletas!D295="Juvenil 52kg",16,IF(Atletas!D295="Juvenil 56kg",17,IF(Atletas!D295="Juvenil 60kg",18,IF(Atletas!D295="Juvenil 65kg",19,IF(Atletas!D295="Juvenil 70kg",20,IF(Atletas!D295="Juvenil 75kg",21,IF(Atletas!D295="Juvenil 80kg",22, IF(Atletas!D295="Juvenil 85kg",23,IF(Atletas!D295="Adulto 48kg",24,IF(Atletas!D295="Adulto 52kg",25,IF(Atletas!D295="Adulto 56kg",26,IF(Atletas!D295="Adulto 60kg",27,IF(Atletas!D295="Adulto 65kg",28,IF(Atletas!D295="Adulto 70kg",29,IF(Atletas!D295="Adulto 75kg",30,IF(Atletas!D295="Adulto 80kg",31,IF(Atletas!D295="Adulto 85kg",32,IF(Atletas!D295="Adulto 90kg",33,IF(Atletas!D295="Adulto 100kg",34, IF(Atletas!D295="Adulto +100kg",35,"")))))))))))))))))))))))))))))))))))))</f>
        <v/>
      </c>
      <c r="AS304" s="6" t="str">
        <f>IF(Atletas!E295="","",IF(Atletas!B295="Feminino",100,IF(Atletas!B295="Masculino",200,""))+(IF(Atletas!E295="Juvenil 44kg",1,IF(Atletas!E295="Juvenil 48kg",2,IF(Atletas!E295="Juvenil 52kg",3,IF(Atletas!E295="Juvenil 56kg",4,IF(Atletas!E295="Juvenil 60kg",5,IF(Atletas!E295="Juvenil 65kg",6,IF(Atletas!E295="Juvenil 70kg",7,IF(Atletas!E295="Juvenil 75kg",8,IF(Atletas!E295="Juvenil 82kg",9,IF(Atletas!E295="Juvenil 90kg",10,IF(Atletas!E295="Juvenil 100kg",11,IF(Atletas!E295="Adulto 48kg",12,IF(Atletas!E295="Adulto 52kg",13,IF(Atletas!E295="Adulto 56kg",14,IF(Atletas!E295="Adulto 60kg",15,IF(Atletas!E295="Adulto 65kg",16,IF(Atletas!E295="Adulto 70kg",17,IF(Atletas!E295="Adulto 75kg",18,IF(Atletas!E295="Adulto 82kg",19,IF(Atletas!E295="Adulto 90kg",20,IF(Atletas!E295="Adulto 100kg",21,IF(Atletas!E295="Adulto +100kg",22,""))))))))))))))))))))))))</f>
        <v/>
      </c>
      <c r="AX304" s="6" t="str">
        <f>IF(Atletas!F295="","",IF(Atletas!B295="Feminino",100,IF(Atletas!B295="Masculino",200,""))+(IF(Atletas!F295="Adulto 48kg",1,IF(Atletas!F295="Adulto 56kg",2,IF(Atletas!F295="Adulto 65kg",3,IF(Atletas!F295="Adulto 75kg",4,IF(Atletas!F295="Adulto +75kg",5,IF(Atletas!F295="Adulto 52kg",6,IF(Atletas!F295="Adulto 60kg",7,IF(Atletas!F295="Adulto 70kg",8,IF(Atletas!F295="Adulto 80kg",9,IF(Atletas!F295="Adulto 90kg",10,IF(Atletas!F295="Adulto +90kg",11,"")))))))))))))</f>
        <v/>
      </c>
      <c r="BC304" s="6" t="str">
        <f>IF(Atletas!G295="","",IF(Atletas!B295="Feminino",10,IF(Atletas!B295="Masculino",20,""))+(IF(Atletas!G295="Baduanjin A",1,IF(Atletas!G295="Baduanjin B",2))))</f>
        <v/>
      </c>
      <c r="BF304" s="52" t="str">
        <f>IF(Atletas!H295="","",IF(Atletas!B295="Feminino",100,IF(Atletas!B295="Masculino",200,""))+(IF(Atletas!H295="Changquan Mirim",1,IF(Atletas!H295="Nanquan Mirim",2,IF(Atletas!H295="Taijiquan Mirim",3,IF(Atletas!H295="Changquan Grupo C",4,IF(Atletas!H295="Nanquan Grupo C",5,IF(Atletas!H295="Taijiquan Grupo C",6,IF(Atletas!H295="Changquan Grupo B",7,IF(Atletas!H295="Nanquan Grupo B",8,IF(Atletas!H295="Taijiquan Grupo B",9,IF(Atletas!H295="Changquan Grupo A",10,IF(Atletas!H295="Nanquan Grupo A",11,IF(Atletas!H295="Taijiquan Grupo A",12,IF(Atletas!H295="Changquan Opcional",13,IF(Atletas!H295="Nanquan Opcional",14,IF(Atletas!H295="Taijiquan Opcional",15,IF(Atletas!H295="Changquan Adulto",16,IF(Atletas!H295="Nanquan Adulto",17,IF(Atletas!H295="Taijiquan Adulto",18,""))))))))))))))))))))</f>
        <v/>
      </c>
      <c r="BG304" s="52" t="str">
        <f>IF(Atletas!I295="","",IF(Atletas!B295="Feminino",100,IF(Atletas!B295="Masculino",200,""))+(IF(Atletas!I295="Daoshu Mirim",19,IF(Atletas!I295="Jianshu Mirim",20,IF(Atletas!I295="Nandao Mirim",21,IF(Atletas!I295="Taijijian Mirim",22,IF(Atletas!I295="Daoshu Grupo C",23,IF(Atletas!I295="Jianshu Grupo C",24,IF(Atletas!I295="Nandao Grupo C",25,IF(Atletas!I295="Taijijian Grupo C",26,IF(Atletas!I295="Daoshu Grupo B",27,IF(Atletas!I295="Jianshu Grupo B",28,IF(Atletas!I295="Nandao Grupo B",29,IF(Atletas!I295="Taijijian Grupo B",30,IF(Atletas!I295="Daoshu Grupo A",31,IF(Atletas!I295="Jianshu Grupo A",32,IF(Atletas!I295="Nandao Grupo A",33,IF(Atletas!I295="Taijijian Grupo A",34,IF(Atletas!I295="Daoshu Opcional",35,IF(Atletas!I295="Jianshu Opcional",36,IF(Atletas!I295="Nandao Opcional",37,IF(Atletas!I295="Taijijian Opcional",38,IF(Atletas!I295="Daoshu Adulto",39,IF(Atletas!I295="Jianshu Adulto",40,IF(Atletas!I295="Nandao Adulto",41,IF(Atletas!I295="Taijijian Adulto",42,""))))))))))))))))))))))))))</f>
        <v/>
      </c>
      <c r="BH304" s="52" t="str">
        <f>IF(Atletas!J295="","",IF(Atletas!B295="Feminino",100,IF(Atletas!B295="Masculino",200,""))+(IF(Atletas!J295="Gunshu Mirim",43,IF(Atletas!J295="Qiangshu Mirim",44,IF(Atletas!J295="Nangun Mirim",45,IF(Atletas!J295="Gunshu Grupo C",46,IF(Atletas!J295="Qiangshu Grupo C",47,IF(Atletas!J295="Nangun Grupo C",48,IF(Atletas!J295="Gunshu Grupo B",49,IF(Atletas!J295="Qiangshu Grupo B",50,IF(Atletas!J295="Nangun Grupo B",51,IF(Atletas!J295="Gunshu Grupo A",52,IF(Atletas!J295="Qiangshu Grupo A",53,IF(Atletas!J295="Nangun Grupo A",54,IF(Atletas!J295="Gunshu Opcional",55,IF(Atletas!J295="Qiangshu Opcional",56,IF(Atletas!J295="Nangun Opcional",57,IF(Atletas!J295="Gunshu Adulto",58,IF(Atletas!J295="Qiangshu Adulto",59,IF(Atletas!J295="Nangun Adulto",60,IF(Atletas!J295="Taijishan Grupo B",61,IF(Atletas!J295="Taijishan Grupo A",62,""))))))))))))))))))))))</f>
        <v/>
      </c>
      <c r="BM304" s="50" t="str">
        <f>IF(Atletas!K295="","",IF(Atletas!B295="Feminino",100,IF(Atletas!B295="Masculino",200,""))+(IF(Atletas!K295="Equipe 1 Grupo B",1,IF(Atletas!K295="Equipe 2 Grupo B",2,IF(Atletas!K295="Equipe 1 Grupo A",3,IF(Atletas!K295="Equipe 2 Grupo A",4,IF(Atletas!K295="Equipe 1 Adulto",5,IF(Atletas!K295="Equipe 2 Adulto",6,""))))))))</f>
        <v/>
      </c>
      <c r="BR304" s="50" t="str">
        <f>IF(Atletas!L295="","",IF(Atletas!X295&lt;&gt;"",10000,0)+(IF(Atletas!B295="Feminino",1000,IF(Atletas!B295="Masculino",2000,""))+IF(Atletas!L295="Choylayfut A",1,IF(Atletas!L295="Hunggar A",2,IF(Atletas!L295="Wuzuquan A",3,IF(Atletas!L295="Wingchun A",4,IF(Atletas!L295="Outra Mão de Sul A",5,IF(Atletas!L295="Choylayfut B",6,IF(Atletas!L295="Hunggar B",7,IF(Atletas!L295="Wuzuquan B",8,IF(Atletas!L295="Wingchun B",9,IF(Atletas!L295="Outra Mão de Sul B",10,IF(Atletas!L295="Choylayfut C",11,IF(Atletas!L295="Hunggar C",12,IF(Atletas!L295="Wuzuquan C",13,IF(Atletas!L295="Wingchun C",14,IF(Atletas!L295="Outra Mão de Sul C",15,IF(Atletas!L295="Choylayfut D",16,IF(Atletas!L295="Hunggar D",17,IF(Atletas!L295="Wuzuquan D",18,IF(Atletas!L295="Wingchun D",19,IF(Atletas!L295="Outra Mão de Sul D",20,IF(Atletas!L295="Choylayfut E",21,IF(Atletas!L295="Hunggar E",22,IF(Atletas!L295="Wuzuquan E",23,IF(Atletas!L295="Wingchun E",24,IF(Atletas!L295="Outra Mão de Sul E",25,IF(Atletas!L295="Choylayfut F",26,IF(Atletas!L295="Hunggar F",27,IF(Atletas!L295="Wuzuquan F",28,IF(Atletas!L295="Wingchun F",29,IF(Atletas!L295="Outra Mão de Sul F",30,IF(Atletas!L295="Dishuquan A",31,IF(Atletas!L295="Dishuquan B",32,IF(Atletas!L295="Dishuquan C",33,IF(Atletas!L295="Dishuquan D",34,IF(Atletas!L295="Dishuquan E",35,IF(Atletas!L295="Dishuquan F",36,""))))))))))))))))))))))))))))))))))))))</f>
        <v/>
      </c>
      <c r="BS304" s="50" t="str">
        <f>IF(Atletas!M295="","",IF(Atletas!X295&lt;&gt;"",10000,0)+(IF(Atletas!B295="Feminino",1000,IF(Atletas!B295="Masculino",2000,""))+(IF(Atletas!M295="Chaquan A",101,IF(Atletas!M295="Emeiquan A",102,IF(Atletas!M295="Fanziquan A",103,IF(Atletas!M295="Huaquan A",104,IF(Atletas!M295="Hongquan A",105,IF(Atletas!M295="Paoquan A",106,IF(Atletas!M295="Piguaquan A",107,IF(Atletas!M295="Shaolinquan A",108,IF(Atletas!M295="Tanglangquan A",109,IF(Atletas!M295="Yingzhaoquan A",110,IF(Atletas!M295="Tongbeiquan A",111,IF(Atletas!M295="Wudangquan A",112,IF(Atletas!M295="Outros Estilos A",113,IF(Atletas!M295="Chaquan B",114,IF(Atletas!M295="Emeiquan B",115,IF(Atletas!M295="Fanziquan B",116,IF(Atletas!M295="Huaquan B",117,IF(Atletas!M295="Hongquan B",118,IF(Atletas!M295="Paoquan B",119,IF(Atletas!M295="Piguaquan B",120,IF(Atletas!M295="Shaolinquan B",121,IF(Atletas!M295="Tanglangquan B",122,IF(Atletas!M295="Yingzhaoquan B",123,IF(Atletas!M295="Tongbeiquan B",124,IF(Atletas!M295="Wudangquan B",125,IF(Atletas!M295="Outros Estilos B",126,IF(Atletas!M295="Chaquan C",127,IF(Atletas!M295="Emeiquan C",128,IF(Atletas!M295="Fanziquan C",129,IF(Atletas!M295="Huaquan C",130,IF(Atletas!M295="Hongquan C",131,IF(Atletas!M295="Paoquan C",132,IF(Atletas!M295="Piguaquan C",133,IF(Atletas!M295="Shaolinquan C",134,IF(Atletas!M295="Tanglangquan C",135,IF(Atletas!M295="Yingzhaoquan C",136,IF(Atletas!M295="Tongbeiquan C",137,IF(Atletas!M295="Wudangquan C",138,IF(Atletas!M295="Outros Estilos C",139,0))))))))))))))))))))))))))))))))))))))))))</f>
        <v/>
      </c>
      <c r="BT304" s="50" t="str">
        <f>IF(Atletas!M295="","",IF(Atletas!X295&lt;&gt;"",10000,0)+(IF(Atletas!B295="Feminino",1000,IF(Atletas!B295="Masculino",2000,""))+(IF(Atletas!M295="Chaquan D",140,IF(Atletas!M295="Emeiquan D",141,IF(Atletas!M295="Fanziquan D",142,IF(Atletas!M295="Huaquan D",143,IF(Atletas!M295="Hongquan D",144,IF(Atletas!M295="Paoquan D",145,IF(Atletas!M295="Piguaquan D",146,IF(Atletas!M295="Shaolinquan D",147,IF(Atletas!M295="Tanglangquan D",148,IF(Atletas!M295="Yingzhaoquan D",149,IF(Atletas!M295="Tongbeiquan D",150,IF(Atletas!M295="Wudangquan D",151,IF(Atletas!M295="Outros Estilos D",152,IF(Atletas!M295="Chaquan E",153,IF(Atletas!M295="Emeiquan E",154,IF(Atletas!M295="Fanziquan E",155,IF(Atletas!M295="Huaquan E",156,IF(Atletas!M295="Hongquan E",157,IF(Atletas!M295="Paoquan E",158,IF(Atletas!M295="Piguaquan E",159,IF(Atletas!M295="Shaolinquan E",160,IF(Atletas!M295="Tanglangquan E",161,IF(Atletas!M295="Yingzhaoquan E",162,IF(Atletas!M295="Tongbeiquan E",163,IF(Atletas!M295="Wudangquan E",164,IF(Atletas!M295="Outros Estilos E",165,IF(Atletas!M295="Chaquan F",166,IF(Atletas!M295="Emeiquan F",167,IF(Atletas!M295="Fanziquan F",168,IF(Atletas!M295="Huaquan F",169,IF(Atletas!M295="Hongquan F",170,IF(Atletas!M295="Paoquan F",171,IF(Atletas!M295="Piguaquan F",172,IF(Atletas!M295="Shaolinquan F",173,IF(Atletas!M295="Tanglangquan F",174,IF(Atletas!M295="Yingzhaoquan F",175,IF(Atletas!M295="Tongbeiquan F",176,IF(Atletas!M295="Wudangquan F",177,IF(Atletas!M295="Outros Estilos F",178,0))))))))))))))))))))))))))))))))))))))))))</f>
        <v/>
      </c>
      <c r="BU304" s="50" t="str">
        <f>IF(Atletas!N295="","",IF(Atletas!X295&lt;&gt;"",10000,0)+(IF(Atletas!B295="Feminino",1000,IF(Atletas!B295="Masculino",2000,""))+(IF(Atletas!N295="Ditangquan A",201,IF(Atletas!N295="Houquan A",202,IF(Atletas!N295="Zuiquan A",203,IF(Atletas!N295="Ditangquan B",204,IF(Atletas!N295="Houquan B",205,IF(Atletas!N295="Zuiquan B",206,IF(Atletas!N295="Ditangquan C",207,IF(Atletas!N295="Houquan C",208,IF(Atletas!N295="Zuiquan C",209,IF(Atletas!N295="Ditangquan D",210,IF(Atletas!N295="Houquan D",211,IF(Atletas!N295="Zuiquan D",212,IF(Atletas!N295="Ditangquan E",213,IF(Atletas!N295="Houquan E",214,IF(Atletas!N295="Zuiquan E",215,IF(Atletas!N295="Ditangquan F",216,IF(Atletas!N295="Houquan F",217,IF(Atletas!N295="Zuiquan F",218,"")))))))))))))))))))))</f>
        <v/>
      </c>
      <c r="BV304" s="50" t="str">
        <f>IF(Atletas!O295="","",IF(Atletas!X295&lt;&gt;"",10000,0)+IF(Atletas!B295="Feminino",1000,IF(Atletas!B295="Masculino",2000,""))+IF(Atletas!O295="Yang A",301,IF(Atletas!O295="Chen A",302,IF(Atletas!O295="Sun A",303,IF(Atletas!O295="Wu A",304,IF(Atletas!O295="Wu-Hao A",305,IF(Atletas!O295="Outro Taijiquan A",306,IF(Atletas!O295="Yang B",307,IF(Atletas!O295="Chen B",308,IF(Atletas!O295="Sun B",309,IF(Atletas!O295="Wu B",310,IF(Atletas!O295="Wu-Hao B",311,IF(Atletas!O295="Outro Taijiquan B",312,IF(Atletas!O295="Yang C",313,IF(Atletas!O295="Chen C",314,IF(Atletas!O295="Sun C",315,IF(Atletas!O295="Wu C",316,IF(Atletas!O295="Wu-Hao C",317,IF(Atletas!O295="Outro Taijiquan C",318,IF(Atletas!O295="Yang D",319,IF(Atletas!O295="Chen D",320,IF(Atletas!O295="Sun D",321,IF(Atletas!O295="Wu D",322,IF(Atletas!O295="Wu-Hao D",323,IF(Atletas!O295="Outro Taijiquan D",324,IF(Atletas!O295="Yang E",325,IF(Atletas!O295="Chen E",326,IF(Atletas!O295="Sun E",327,IF(Atletas!O295="Wu E",328,IF(Atletas!O295="Wu-Hao E",329,IF(Atletas!O295="Outro Taijiquan E",330,IF(Atletas!O295="Yang F",331,IF(Atletas!O295="Chen F",332,IF(Atletas!O295="Sun F",333,IF(Atletas!O295="Wu F",334,IF(Atletas!O295="Wu-Hao F",335,IF(Atletas!O295="Outro Taijiquan F",336,"")))))))))))))))))))))))))))))))))))))</f>
        <v/>
      </c>
      <c r="BW304" s="50" t="str">
        <f>IF(Atletas!P295="","",IF(Atletas!X295&lt;&gt;"",10000,0)+IF(Atletas!B295="Feminino",1000,IF(Atletas!B295="Masculino",2000,""))+IF(OR(Atletas!P295="Yang 26 A",Atletas!P295="Yang 40 A"),401,IF(OR(Atletas!P295="Chen 25 A",Atletas!P295="Chen 36 A",Atletas!P295="Chen 56 A"),402,IF(Atletas!P295="Sun 73 A",403,IF(Atletas!P295="Wu 45 A",404,IF(Atletas!P295="Wu-Hao 46 A",405,IF(OR(Atletas!P295="Taijiquan 16 A",Atletas!P295="Taijiquan 24 A",Atletas!P295="Taijiquan 32 A",Atletas!P295="Taijiquan 42 A"),406,IF(OR(Atletas!P295="Yang 26 B",Atletas!P295="Yang 40 B"),407,IF(OR(Atletas!P295="Chen 25 B",Atletas!P295="Chen 36 B",Atletas!P295="Chen 56 B"),408,IF(Atletas!P295="Sun 73 B",409,IF(Atletas!P295="Wu 45 B",410,IF(Atletas!P295="Wu-Hao 46 B",411,IF(OR(Atletas!P295="Taijiquan 16 B",Atletas!P295="Taijiquan 24 B",Atletas!P295="Taijiquan 32 B",Atletas!P295="Taijiquan 42 B"),412,IF(OR(Atletas!P295="Yang 26 C",Atletas!P295="Yang 40 C"),413,IF(OR(Atletas!P295="Chen 25 C",Atletas!P295="Chen 36 C",Atletas!P295="Chen 56 C"),414,IF(Atletas!P295="Sun 73 C",415,IF(Atletas!P295="Wu 45 C",416,IF(Atletas!P295="Wu-Hao 46 C",417,IF(OR(Atletas!P295="Taijiquan 16 C",Atletas!P295="Taijiquan 24 C",Atletas!P295="Taijiquan 32 C",Atletas!P295="Taijiquan 42 C"),418,0)))))))))))))))))))</f>
        <v/>
      </c>
      <c r="BX304" s="50" t="str">
        <f>IF(Atletas!P295="","",IF(Atletas!X295&lt;&gt;"",10000,0)+IF(Atletas!B295="Feminino",1000,IF(Atletas!B295="Masculino",2000,""))+IF(OR(Atletas!P295="Yang 26 D",Atletas!P295="Yang 40 D"),419,IF(OR(Atletas!P295="Chen 25 D",Atletas!P295="Chen 36 D",Atletas!P295="Chen 56 D"),420,IF(Atletas!P295="Sun 73 D",421,IF(Atletas!P295="Wu 45 D",422,IF(Atletas!P295="Wu-Hao 46 D",423,IF(OR(Atletas!P295="Taijiquan 16 D",Atletas!P295="Taijiquan 24 D",Atletas!P295="Taijiquan 32 D",Atletas!P295="Taijiquan 42 D"),424,IF(OR(Atletas!P295="Yang 26 E",Atletas!P295="Yang 40 E"),425,IF(OR(Atletas!P295="Chen 25 E",Atletas!P295="Chen 36 E",Atletas!P295="Chen 56 E"),426,IF(Atletas!P295="Sun 73 E",427,IF(Atletas!P295="Wu 45 E",428,IF(Atletas!P295="Wu-Hao 46 E",429,IF(OR(Atletas!P295="Taijiquan 16 E",Atletas!P295="Taijiquan 24 E",Atletas!P295="Taijiquan 32 E",Atletas!P295="Taijiquan 42 E"),430,IF(OR(Atletas!P295="Yang 26 F",Atletas!P295="Yang 40 F"),431,IF(OR(Atletas!P295="Chen 25 F",Atletas!P295="Chen 36 F",Atletas!P295="Chen 56 F"),432,IF(Atletas!P295="Sun 73 F",433,IF(Atletas!P295="Wu 45 F",434,IF(Atletas!P295="Wu-Hao 46 F",435,IF(OR(Atletas!P295="Taijiquan 16 F",Atletas!P295="Taijiquan 24 F",Atletas!P295="Taijiquan 32 F",Atletas!P295="Taijiquan 42 F"),436,0)))))))))))))))))))</f>
        <v/>
      </c>
      <c r="BY304" s="50" t="str">
        <f>IF(Atletas!Q295="","",IF(Atletas!X295&lt;&gt;"",10000,0)+IF(Atletas!B295="Feminino",1000,IF(Atletas!B295="Masculino",2000,""))+IF(Atletas!Q295="Xingyiquan A",501,IF(Atletas!Q295="Baguazhang A",502,IF(Atletas!Q295="Outro Estilo Interno A",503,IF(Atletas!Q295="Xingyiquan B",504,IF(Atletas!Q295="Baguazhang B",505,IF(Atletas!Q295="Outro Estilo Interno B",506,IF(Atletas!Q295="Xingyiquan C",507,IF(Atletas!Q295="Baguazhang C",508,IF(Atletas!Q295="Outro Estilo Interno C",509,IF(Atletas!Q295="Xingyiquan D",510,IF(Atletas!Q295="Baguazhang D",511,IF(Atletas!Q295="Outro Estilo Interno D",512,IF(Atletas!Q295="Xingyiquan E",513,IF(Atletas!Q295="Baguazhang E",514,IF(Atletas!Q295="Outro Estilo Interno E",515,IF(Atletas!Q295="Xingyiquan F",516,IF(Atletas!Q295="Baguazhang F",517,IF(Atletas!Q295="Outro Estilo Interno F",518, "")))))))))))))))))))</f>
        <v/>
      </c>
      <c r="BZ304" s="50" t="str">
        <f>IF(Atletas!R295="","",IF(Atletas!X295&lt;&gt;"",10000,0)+IF(Atletas!B295="Feminino",1000,IF(Atletas!B295="Masculino",2000,""))+IF(Atletas!R295="Dao A",601,IF(Atletas!R295="Jian A",602,IF(Atletas!R295="Bishou A",603,IF(Atletas!R295="Shanzi A",604,IF(Atletas!R295="Outra Arma Curta A",605,IF(Atletas!R295="Dao B",606,IF(Atletas!R295="Jian B",607,IF(Atletas!R295="Bishou B",608,IF(Atletas!R295="Shanzi B",609,IF(Atletas!R295="Outra Arma Curta B",610,IF(Atletas!R295="Dao C",611,IF(Atletas!R295="Jian C",612,IF(Atletas!R295="Bishou C",613,IF(Atletas!R295="Shanzi C",614,IF(Atletas!R295="Outra Arma Curta C",615,IF(Atletas!R295="Dao D",616,IF(Atletas!R295="Jian D",617,IF(Atletas!R295="Bishou D",618,IF(Atletas!R295="Shanzi D",619,IF(Atletas!R295="Outra Arma Curta D",620,IF(Atletas!R295="Dao E",621,IF(Atletas!R295="Jian E",622,IF(Atletas!R295="Bishou E",623,IF(Atletas!R295="Shanzi E",624,IF(Atletas!R295="Outra Arma Curta E",625,IF(Atletas!R295="Dao F",626,IF(Atletas!R295="Jian F",627,IF(Atletas!R295="Bishou F",628,IF(Atletas!R295="Shanzi F",629,IF(Atletas!R295="Outra Arma Curta F",630, "")))))))))))))))))))))))))))))))</f>
        <v/>
      </c>
      <c r="CA304" s="50" t="str">
        <f>IF(Atletas!S295="","",IF(Atletas!X295&lt;&gt;"",10000,0)+IF(Atletas!B295="Feminino",1000,IF(Atletas!B295="Masculino",2000,""))+IF(Atletas!S295="Gun A",701,IF(Atletas!S295="Qiang A",702,IF(Atletas!S295="Pudao / Guandao A",703,IF(Atletas!S295="Outra Arma Longa A",704,IF(Atletas!S295="Gun B",705,IF(Atletas!S295="Qiang B",706,IF(Atletas!S295="Pudao / Guandao B",707,IF(Atletas!S295="Outra Arma Longa B",708,IF(Atletas!S295="Gun C",709,IF(Atletas!S295="Qiang C",710,IF(Atletas!S295="Pudao / Guandao C",711,IF(Atletas!S295="Outra Arma Longa C",712,IF(Atletas!S295="Gun D",713,IF(Atletas!S295="Qiang D",714,IF(Atletas!S295="Pudao / Guandao D",715,IF(Atletas!S295="Outra Arma Longa D",716,IF(Atletas!S295="Gun E",717,IF(Atletas!S295="Qiang E",718,IF(Atletas!S295="Pudao / Guandao E",719,IF(Atletas!S295="Outra Arma Longa E",720,IF(Atletas!S295="Gun F",721,IF(Atletas!S295="Qiang F",722,IF(Atletas!S295="Pudao / Guandao F",723,IF(Atletas!S295="Outra Arma Longa F",724,"")))))))))))))))))))))))))</f>
        <v/>
      </c>
      <c r="CB304" s="50" t="str">
        <f>IF(Atletas!T295="","",IF(Atletas!X295&lt;&gt;"",10000,0)+IF(Atletas!B295="Feminino",1000,IF(Atletas!B295="Masculino",2000,""))+IF(Atletas!T295="Outra Arma Dupla A",801,IF(Atletas!T295="Arma Maleável A",802,IF(Atletas!T295="Outra Arma Dupla B",803,IF(Atletas!T295="Arma Maleável B",804,IF(Atletas!T295="Outra Arma Dupla C",805,IF(Atletas!T295="Arma Maleável C",806,IF(Atletas!T295="Outra Arma Dupla D",807,IF(Atletas!T295="Arma Maleável D",808,IF(Atletas!T295="Outra Arma Dupla E",809,IF(Atletas!T295="Arma Maleável E",810,IF(Atletas!T295="Outra Arma Dupla F",811,IF(Atletas!T295="Arma Maleável F",812,IF(Atletas!T295="Shuangdao A",813,IF(Atletas!T295="Shuangdao B",814,IF(Atletas!T295="Shuangdao C",815,IF(Atletas!T295="Shuangdao D",816,IF(Atletas!T295="Shuangdao E",817,IF(Atletas!T295="Shuangdao F",818,"")))))))))))))))))))</f>
        <v/>
      </c>
      <c r="CC304" s="50" t="str">
        <f>IF(Atletas!U295="","",IF(Atletas!X295&lt;&gt;"",10000,0)+IF(Atletas!B295="Feminino",1000,IF(Atletas!B295="Masculino",2000,""))+IF(OR(Atletas!U295="Taijijian Yang A",Atletas!U295="Taijijian Yang Standard A"),901,IF(OR(Atletas!U295="Taijijian Chen A", Atletas!U295="Taijijian Chen Standard A"),902,IF(Atletas!U295="Taijijian Sun A",903,IF(Atletas!U295="Taijijian Wu A",904,IF(Atletas!U295="Taijijian Wu-Hao A",905,IF(OR(Atletas!U295="Taijijian 32 A",Atletas!U295="Taijijian 42 A"),906,IF(OR(Atletas!U295="Taijijian Yang B",Atletas!U295="Taijijian Yang Standard B"),907,IF(OR(Atletas!U295="Taijijian Chen B", Atletas!U295="Taijijian Chen Standard B"),908,IF(Atletas!U295="Taijijian Sun B",909,IF(Atletas!U295="Taijijian Wu B",910,IF(Atletas!U295="Taijijian Wu-Hao B",911,IF(OR(Atletas!U295="Taijijian 32 B",Atletas!U295="Taijijian 42 B"),912,IF(OR(Atletas!U295="Taijijian Yang C",Atletas!U295="Taijijian Yang Standard C"),913,IF(OR(Atletas!U295="Taijijian Chen C", Atletas!U295="Taijijian Chen Standard C"),914,IF(Atletas!U295="Taijijian Sun C",915,IF(Atletas!U295="Taijijian Wu C",916,IF(Atletas!U295="Taijijian Wu-Hao C",917,IF(OR(Atletas!U295="Taijijian 32 C",Atletas!U295="Taijijian 42 C"),918,IF(OR(Atletas!U295="Taijijian Yang D",Atletas!U295="Taijijian Yang Standard D"),919,IF(OR(Atletas!U295="Taijijian Chen D", Atletas!U295="Taijijian Chen Standard D"),920,IF(Atletas!U295="Taijijian Sun D",921,IF(Atletas!U295="Taijijian Wu D",922,IF(Atletas!U295="Taijijian Wu-Hao D",923,IF(OR(Atletas!U295="Taijijian 32 D",Atletas!U295="Taijijian 42 D"),924,IF(OR(Atletas!U295="Taijijian Yang E",Atletas!U295="Taijijian Yang Standard E"),925,IF(OR(Atletas!U295="Taijijian Chen E", Atletas!U295="Taijijian Chen Standard E"),926,IF(Atletas!U295="Taijijian Sun E",927,IF(Atletas!U295="Taijijian Wu E",928,IF(Atletas!U295="Taijijian Wu-Hao E",929,IF(OR(Atletas!U295="Taijijian 32 E",Atletas!U295="Taijijian 42 E"),930,IF(OR(Atletas!U295="Taijijian Yang F",Atletas!U295="Taijijian Yang Standard F"),931,IF(OR(Atletas!U295="Taijijian Chen F", Atletas!U295="Taijijian Chen Standard F"),932,IF(Atletas!U295="Taijijian Sun F",933,IF(Atletas!U295="Taijijian Wu F",934,IF(Atletas!U295="Taijijian Wu-Hao F",935,IF(OR(Atletas!U295="Taijijian 32 F",Atletas!U295="Taijijian 42 F"),936,"")))))))))))))))))))))))))))))))))))))</f>
        <v/>
      </c>
      <c r="CD304" s="50" t="str">
        <f>IF(Atletas!V295="","",IF(Atletas!X295&lt;&gt;"",10000,0)+IF(Atletas!B295="Feminino",1000,IF(Atletas!B295="Masculino",2000,""))+IF(Atletas!V295="Taijidao A",937,IF(Atletas!V295="TaijiShanzi A",938,IF(Atletas!V295="Taijiqiang A",939,IF(Atletas!V295="Bagua de Arma A",940,IF(Atletas!V295="Xingyi de Arma A",941,IF(Atletas!V295="Taijidao B",942,IF(Atletas!V295="TaijiShanzi B",943,IF(Atletas!V295="Taijiqiang B",944,IF(Atletas!V295="Bagua de Arma B",945,IF(Atletas!V295="Xingyi de Arma B",946,IF(Atletas!V295="Taijidao C",947,IF(Atletas!V295="TaijiShanzi C",948,IF(Atletas!V295="Taijiqiang C",949,IF(Atletas!V295="Bagua de Arma C",950,IF(Atletas!V295="Xingyi de Arma C",951,IF(Atletas!V295="Taijidao D",952,IF(Atletas!V295="TaijiShanzi D",953,IF(Atletas!V295="Taijiqiang D",954,IF(Atletas!V295="Bagua de Arma D",955,IF(Atletas!V295="Xingyi de Arma D",956,IF(Atletas!V295="Taijidao E",957,IF(Atletas!V295="TaijiShanzi E",958,IF(Atletas!V295="Taijiqiang E",959,IF(Atletas!V295="Bagua de Arma E",960,IF(Atletas!V295="Xingyi de Arma E",961,IF(Atletas!V295="Taijidao F",962,IF(Atletas!V295="TaijiShanzi F",963,IF(Atletas!V295="Taijiqiang F",964,IF(Atletas!V295="Bagua de Arma F",965,IF(Atletas!V295="Xingyi de Arma F",966,"")))))))))))))))))))))))))))))))</f>
        <v/>
      </c>
      <c r="CE304" s="66" t="str">
        <f>IF(CF304&lt;&gt;"","Taijijian Wu A","")</f>
        <v/>
      </c>
      <c r="CF304" s="66" t="str">
        <f>IF(COUNTIF(BR:CD,1904)&gt;0,COUNTIF(BR:CD,1904),"")</f>
        <v/>
      </c>
      <c r="CG304" s="66" t="str">
        <f>IF(CH304&lt;&gt;"","Taijijian Wu A","")</f>
        <v/>
      </c>
      <c r="CH304" s="66" t="str">
        <f>IF(COUNTIF(BR:CD,2904)&gt;0,COUNTIF(BR:CD,2904),"")</f>
        <v/>
      </c>
      <c r="CI304" s="66" t="str">
        <f>IF(CJ305&lt;&gt;"","Taijijian Wu-Hao C","")</f>
        <v/>
      </c>
      <c r="CJ304" s="66" t="str">
        <f>IF(COUNTIF(BR:CD,11916)&gt;0,COUNTIF(BR:CD,11916),"")</f>
        <v/>
      </c>
      <c r="CK304" s="66" t="str">
        <f>IF(CL304&lt;&gt;"","Taijijian Wu C","")</f>
        <v/>
      </c>
      <c r="CL304" s="66" t="str">
        <f>IF(COUNTIF(BR:CD,12916)&gt;0,COUNTIF(BR:CD,12916),"")</f>
        <v/>
      </c>
      <c r="CM304" s="50" t="str">
        <f xml:space="preserve"> IF(Atletas!W295="","",IF(Atletas!W295="Duilian de Mãos BC - Equipe 1",1,IF(Atletas!W295="Duilian de Mãos BC - Equipe 2",2,IF(Atletas!W295="Duilian de Armas BC - Equipe 1",3,IF(Atletas!W295="Duilian de Armas BC - Equipe 2",4,IF(Atletas!W295="Duilian de Mãos DE - Equipe 1",5,IF(Atletas!W295="Duilian de Mãos DE - Equipe 2",6,IF(Atletas!W295="Duilian de Armas DE - Equipe 1",7,IF(Atletas!W295="Duilian de Armas DE - Equipe 2",8,IF(Atletas!W295="Duilian de Tuishou - Equipe 1",9,IF(Atletas!W295="Duilian de Tuishou - Equipe 2",10,IF(Atletas!W295="Grupo Externo ABC - Equipe 1",11,IF(Atletas!W295="Grupo Externo ABC - Equipe 2",12,IF(Atletas!W295="Grupo Interno ABC - Equipe 1",13,IF(Atletas!W295="Grupo Interno ABC - Equipe 2",14,IF(Atletas!W295="Grupo Externo DEF - Equipe 1",15,IF(Atletas!W295="Grupo Externo DEF - Equipe 2",16,IF(Atletas!W295="Grupo Interno DEF - Equipe 1",17,IF(Atletas!W295="Grupo Interno DEF - Equipe 2",18,"")))))))))))))))))))</f>
        <v/>
      </c>
    </row>
    <row r="305" spans="40:91">
      <c r="AN305" s="52" t="str">
        <f>IF(Atletas!D296="","",IF(Atletas!B296="Feminino",100,IF(Atletas!B296="Masculino",200,""))+(IF(Atletas!D296="Kids 30kg",1,IF(Atletas!D296="Kids 32kg",2, IF(Atletas!D296="Kids 34kg",3,IF(Atletas!D296="Kids 36kg",4,IF(Atletas!D296="Kids 39kg",5,IF(Atletas!D296="Kids 42kg",6,IF(Atletas!D296="Kids 45kg",7, IF(Atletas!D296="Infantil 39kg",8,IF(Atletas!D296="Infantil 42kg",9,IF(Atletas!D296="Infantil 45kg",10,IF(Atletas!D296="Infantil 48kg",11,IF(Atletas!D296="Infantil 52kg",12,IF(Atletas!D296="Infantil 56kg",13,IF(Atletas!D296="Infantil 60kg",14,IF(Atletas!D296="Juvenil 48kg",15,IF(Atletas!D296="Juvenil 52kg",16,IF(Atletas!D296="Juvenil 56kg",17,IF(Atletas!D296="Juvenil 60kg",18,IF(Atletas!D296="Juvenil 65kg",19,IF(Atletas!D296="Juvenil 70kg",20,IF(Atletas!D296="Juvenil 75kg",21,IF(Atletas!D296="Juvenil 80kg",22, IF(Atletas!D296="Juvenil 85kg",23,IF(Atletas!D296="Adulto 48kg",24,IF(Atletas!D296="Adulto 52kg",25,IF(Atletas!D296="Adulto 56kg",26,IF(Atletas!D296="Adulto 60kg",27,IF(Atletas!D296="Adulto 65kg",28,IF(Atletas!D296="Adulto 70kg",29,IF(Atletas!D296="Adulto 75kg",30,IF(Atletas!D296="Adulto 80kg",31,IF(Atletas!D296="Adulto 85kg",32,IF(Atletas!D296="Adulto 90kg",33,IF(Atletas!D296="Adulto 100kg",34, IF(Atletas!D296="Adulto +100kg",35,"")))))))))))))))))))))))))))))))))))))</f>
        <v/>
      </c>
      <c r="AS305" s="6" t="str">
        <f>IF(Atletas!E296="","",IF(Atletas!B296="Feminino",100,IF(Atletas!B296="Masculino",200,""))+(IF(Atletas!E296="Juvenil 44kg",1,IF(Atletas!E296="Juvenil 48kg",2,IF(Atletas!E296="Juvenil 52kg",3,IF(Atletas!E296="Juvenil 56kg",4,IF(Atletas!E296="Juvenil 60kg",5,IF(Atletas!E296="Juvenil 65kg",6,IF(Atletas!E296="Juvenil 70kg",7,IF(Atletas!E296="Juvenil 75kg",8,IF(Atletas!E296="Juvenil 82kg",9,IF(Atletas!E296="Juvenil 90kg",10,IF(Atletas!E296="Juvenil 100kg",11,IF(Atletas!E296="Adulto 48kg",12,IF(Atletas!E296="Adulto 52kg",13,IF(Atletas!E296="Adulto 56kg",14,IF(Atletas!E296="Adulto 60kg",15,IF(Atletas!E296="Adulto 65kg",16,IF(Atletas!E296="Adulto 70kg",17,IF(Atletas!E296="Adulto 75kg",18,IF(Atletas!E296="Adulto 82kg",19,IF(Atletas!E296="Adulto 90kg",20,IF(Atletas!E296="Adulto 100kg",21,IF(Atletas!E296="Adulto +100kg",22,""))))))))))))))))))))))))</f>
        <v/>
      </c>
      <c r="AX305" s="6" t="str">
        <f>IF(Atletas!F296="","",IF(Atletas!B296="Feminino",100,IF(Atletas!B296="Masculino",200,""))+(IF(Atletas!F296="Adulto 48kg",1,IF(Atletas!F296="Adulto 56kg",2,IF(Atletas!F296="Adulto 65kg",3,IF(Atletas!F296="Adulto 75kg",4,IF(Atletas!F296="Adulto +75kg",5,IF(Atletas!F296="Adulto 52kg",6,IF(Atletas!F296="Adulto 60kg",7,IF(Atletas!F296="Adulto 70kg",8,IF(Atletas!F296="Adulto 80kg",9,IF(Atletas!F296="Adulto 90kg",10,IF(Atletas!F296="Adulto +90kg",11,"")))))))))))))</f>
        <v/>
      </c>
      <c r="BC305" s="6" t="str">
        <f>IF(Atletas!G296="","",IF(Atletas!B296="Feminino",10,IF(Atletas!B296="Masculino",20,""))+(IF(Atletas!G296="Baduanjin A",1,IF(Atletas!G296="Baduanjin B",2))))</f>
        <v/>
      </c>
      <c r="BF305" s="52" t="str">
        <f>IF(Atletas!H296="","",IF(Atletas!B296="Feminino",100,IF(Atletas!B296="Masculino",200,""))+(IF(Atletas!H296="Changquan Mirim",1,IF(Atletas!H296="Nanquan Mirim",2,IF(Atletas!H296="Taijiquan Mirim",3,IF(Atletas!H296="Changquan Grupo C",4,IF(Atletas!H296="Nanquan Grupo C",5,IF(Atletas!H296="Taijiquan Grupo C",6,IF(Atletas!H296="Changquan Grupo B",7,IF(Atletas!H296="Nanquan Grupo B",8,IF(Atletas!H296="Taijiquan Grupo B",9,IF(Atletas!H296="Changquan Grupo A",10,IF(Atletas!H296="Nanquan Grupo A",11,IF(Atletas!H296="Taijiquan Grupo A",12,IF(Atletas!H296="Changquan Opcional",13,IF(Atletas!H296="Nanquan Opcional",14,IF(Atletas!H296="Taijiquan Opcional",15,IF(Atletas!H296="Changquan Adulto",16,IF(Atletas!H296="Nanquan Adulto",17,IF(Atletas!H296="Taijiquan Adulto",18,""))))))))))))))))))))</f>
        <v/>
      </c>
      <c r="BG305" s="52" t="str">
        <f>IF(Atletas!I296="","",IF(Atletas!B296="Feminino",100,IF(Atletas!B296="Masculino",200,""))+(IF(Atletas!I296="Daoshu Mirim",19,IF(Atletas!I296="Jianshu Mirim",20,IF(Atletas!I296="Nandao Mirim",21,IF(Atletas!I296="Taijijian Mirim",22,IF(Atletas!I296="Daoshu Grupo C",23,IF(Atletas!I296="Jianshu Grupo C",24,IF(Atletas!I296="Nandao Grupo C",25,IF(Atletas!I296="Taijijian Grupo C",26,IF(Atletas!I296="Daoshu Grupo B",27,IF(Atletas!I296="Jianshu Grupo B",28,IF(Atletas!I296="Nandao Grupo B",29,IF(Atletas!I296="Taijijian Grupo B",30,IF(Atletas!I296="Daoshu Grupo A",31,IF(Atletas!I296="Jianshu Grupo A",32,IF(Atletas!I296="Nandao Grupo A",33,IF(Atletas!I296="Taijijian Grupo A",34,IF(Atletas!I296="Daoshu Opcional",35,IF(Atletas!I296="Jianshu Opcional",36,IF(Atletas!I296="Nandao Opcional",37,IF(Atletas!I296="Taijijian Opcional",38,IF(Atletas!I296="Daoshu Adulto",39,IF(Atletas!I296="Jianshu Adulto",40,IF(Atletas!I296="Nandao Adulto",41,IF(Atletas!I296="Taijijian Adulto",42,""))))))))))))))))))))))))))</f>
        <v/>
      </c>
      <c r="BH305" s="52" t="str">
        <f>IF(Atletas!J296="","",IF(Atletas!B296="Feminino",100,IF(Atletas!B296="Masculino",200,""))+(IF(Atletas!J296="Gunshu Mirim",43,IF(Atletas!J296="Qiangshu Mirim",44,IF(Atletas!J296="Nangun Mirim",45,IF(Atletas!J296="Gunshu Grupo C",46,IF(Atletas!J296="Qiangshu Grupo C",47,IF(Atletas!J296="Nangun Grupo C",48,IF(Atletas!J296="Gunshu Grupo B",49,IF(Atletas!J296="Qiangshu Grupo B",50,IF(Atletas!J296="Nangun Grupo B",51,IF(Atletas!J296="Gunshu Grupo A",52,IF(Atletas!J296="Qiangshu Grupo A",53,IF(Atletas!J296="Nangun Grupo A",54,IF(Atletas!J296="Gunshu Opcional",55,IF(Atletas!J296="Qiangshu Opcional",56,IF(Atletas!J296="Nangun Opcional",57,IF(Atletas!J296="Gunshu Adulto",58,IF(Atletas!J296="Qiangshu Adulto",59,IF(Atletas!J296="Nangun Adulto",60,IF(Atletas!J296="Taijishan Grupo B",61,IF(Atletas!J296="Taijishan Grupo A",62,""))))))))))))))))))))))</f>
        <v/>
      </c>
      <c r="BM305" s="50" t="str">
        <f>IF(Atletas!K296="","",IF(Atletas!B296="Feminino",100,IF(Atletas!B296="Masculino",200,""))+(IF(Atletas!K296="Equipe 1 Grupo B",1,IF(Atletas!K296="Equipe 2 Grupo B",2,IF(Atletas!K296="Equipe 1 Grupo A",3,IF(Atletas!K296="Equipe 2 Grupo A",4,IF(Atletas!K296="Equipe 1 Adulto",5,IF(Atletas!K296="Equipe 2 Adulto",6,""))))))))</f>
        <v/>
      </c>
      <c r="BR305" s="50" t="str">
        <f>IF(Atletas!L296="","",IF(Atletas!X296&lt;&gt;"",10000,0)+(IF(Atletas!B296="Feminino",1000,IF(Atletas!B296="Masculino",2000,""))+IF(Atletas!L296="Choylayfut A",1,IF(Atletas!L296="Hunggar A",2,IF(Atletas!L296="Wuzuquan A",3,IF(Atletas!L296="Wingchun A",4,IF(Atletas!L296="Outra Mão de Sul A",5,IF(Atletas!L296="Choylayfut B",6,IF(Atletas!L296="Hunggar B",7,IF(Atletas!L296="Wuzuquan B",8,IF(Atletas!L296="Wingchun B",9,IF(Atletas!L296="Outra Mão de Sul B",10,IF(Atletas!L296="Choylayfut C",11,IF(Atletas!L296="Hunggar C",12,IF(Atletas!L296="Wuzuquan C",13,IF(Atletas!L296="Wingchun C",14,IF(Atletas!L296="Outra Mão de Sul C",15,IF(Atletas!L296="Choylayfut D",16,IF(Atletas!L296="Hunggar D",17,IF(Atletas!L296="Wuzuquan D",18,IF(Atletas!L296="Wingchun D",19,IF(Atletas!L296="Outra Mão de Sul D",20,IF(Atletas!L296="Choylayfut E",21,IF(Atletas!L296="Hunggar E",22,IF(Atletas!L296="Wuzuquan E",23,IF(Atletas!L296="Wingchun E",24,IF(Atletas!L296="Outra Mão de Sul E",25,IF(Atletas!L296="Choylayfut F",26,IF(Atletas!L296="Hunggar F",27,IF(Atletas!L296="Wuzuquan F",28,IF(Atletas!L296="Wingchun F",29,IF(Atletas!L296="Outra Mão de Sul F",30,IF(Atletas!L296="Dishuquan A",31,IF(Atletas!L296="Dishuquan B",32,IF(Atletas!L296="Dishuquan C",33,IF(Atletas!L296="Dishuquan D",34,IF(Atletas!L296="Dishuquan E",35,IF(Atletas!L296="Dishuquan F",36,""))))))))))))))))))))))))))))))))))))))</f>
        <v/>
      </c>
      <c r="BS305" s="50" t="str">
        <f>IF(Atletas!M296="","",IF(Atletas!X296&lt;&gt;"",10000,0)+(IF(Atletas!B296="Feminino",1000,IF(Atletas!B296="Masculino",2000,""))+(IF(Atletas!M296="Chaquan A",101,IF(Atletas!M296="Emeiquan A",102,IF(Atletas!M296="Fanziquan A",103,IF(Atletas!M296="Huaquan A",104,IF(Atletas!M296="Hongquan A",105,IF(Atletas!M296="Paoquan A",106,IF(Atletas!M296="Piguaquan A",107,IF(Atletas!M296="Shaolinquan A",108,IF(Atletas!M296="Tanglangquan A",109,IF(Atletas!M296="Yingzhaoquan A",110,IF(Atletas!M296="Tongbeiquan A",111,IF(Atletas!M296="Wudangquan A",112,IF(Atletas!M296="Outros Estilos A",113,IF(Atletas!M296="Chaquan B",114,IF(Atletas!M296="Emeiquan B",115,IF(Atletas!M296="Fanziquan B",116,IF(Atletas!M296="Huaquan B",117,IF(Atletas!M296="Hongquan B",118,IF(Atletas!M296="Paoquan B",119,IF(Atletas!M296="Piguaquan B",120,IF(Atletas!M296="Shaolinquan B",121,IF(Atletas!M296="Tanglangquan B",122,IF(Atletas!M296="Yingzhaoquan B",123,IF(Atletas!M296="Tongbeiquan B",124,IF(Atletas!M296="Wudangquan B",125,IF(Atletas!M296="Outros Estilos B",126,IF(Atletas!M296="Chaquan C",127,IF(Atletas!M296="Emeiquan C",128,IF(Atletas!M296="Fanziquan C",129,IF(Atletas!M296="Huaquan C",130,IF(Atletas!M296="Hongquan C",131,IF(Atletas!M296="Paoquan C",132,IF(Atletas!M296="Piguaquan C",133,IF(Atletas!M296="Shaolinquan C",134,IF(Atletas!M296="Tanglangquan C",135,IF(Atletas!M296="Yingzhaoquan C",136,IF(Atletas!M296="Tongbeiquan C",137,IF(Atletas!M296="Wudangquan C",138,IF(Atletas!M296="Outros Estilos C",139,0))))))))))))))))))))))))))))))))))))))))))</f>
        <v/>
      </c>
      <c r="BT305" s="50" t="str">
        <f>IF(Atletas!M296="","",IF(Atletas!X296&lt;&gt;"",10000,0)+(IF(Atletas!B296="Feminino",1000,IF(Atletas!B296="Masculino",2000,""))+(IF(Atletas!M296="Chaquan D",140,IF(Atletas!M296="Emeiquan D",141,IF(Atletas!M296="Fanziquan D",142,IF(Atletas!M296="Huaquan D",143,IF(Atletas!M296="Hongquan D",144,IF(Atletas!M296="Paoquan D",145,IF(Atletas!M296="Piguaquan D",146,IF(Atletas!M296="Shaolinquan D",147,IF(Atletas!M296="Tanglangquan D",148,IF(Atletas!M296="Yingzhaoquan D",149,IF(Atletas!M296="Tongbeiquan D",150,IF(Atletas!M296="Wudangquan D",151,IF(Atletas!M296="Outros Estilos D",152,IF(Atletas!M296="Chaquan E",153,IF(Atletas!M296="Emeiquan E",154,IF(Atletas!M296="Fanziquan E",155,IF(Atletas!M296="Huaquan E",156,IF(Atletas!M296="Hongquan E",157,IF(Atletas!M296="Paoquan E",158,IF(Atletas!M296="Piguaquan E",159,IF(Atletas!M296="Shaolinquan E",160,IF(Atletas!M296="Tanglangquan E",161,IF(Atletas!M296="Yingzhaoquan E",162,IF(Atletas!M296="Tongbeiquan E",163,IF(Atletas!M296="Wudangquan E",164,IF(Atletas!M296="Outros Estilos E",165,IF(Atletas!M296="Chaquan F",166,IF(Atletas!M296="Emeiquan F",167,IF(Atletas!M296="Fanziquan F",168,IF(Atletas!M296="Huaquan F",169,IF(Atletas!M296="Hongquan F",170,IF(Atletas!M296="Paoquan F",171,IF(Atletas!M296="Piguaquan F",172,IF(Atletas!M296="Shaolinquan F",173,IF(Atletas!M296="Tanglangquan F",174,IF(Atletas!M296="Yingzhaoquan F",175,IF(Atletas!M296="Tongbeiquan F",176,IF(Atletas!M296="Wudangquan F",177,IF(Atletas!M296="Outros Estilos F",178,0))))))))))))))))))))))))))))))))))))))))))</f>
        <v/>
      </c>
      <c r="BU305" s="50" t="str">
        <f>IF(Atletas!N296="","",IF(Atletas!X296&lt;&gt;"",10000,0)+(IF(Atletas!B296="Feminino",1000,IF(Atletas!B296="Masculino",2000,""))+(IF(Atletas!N296="Ditangquan A",201,IF(Atletas!N296="Houquan A",202,IF(Atletas!N296="Zuiquan A",203,IF(Atletas!N296="Ditangquan B",204,IF(Atletas!N296="Houquan B",205,IF(Atletas!N296="Zuiquan B",206,IF(Atletas!N296="Ditangquan C",207,IF(Atletas!N296="Houquan C",208,IF(Atletas!N296="Zuiquan C",209,IF(Atletas!N296="Ditangquan D",210,IF(Atletas!N296="Houquan D",211,IF(Atletas!N296="Zuiquan D",212,IF(Atletas!N296="Ditangquan E",213,IF(Atletas!N296="Houquan E",214,IF(Atletas!N296="Zuiquan E",215,IF(Atletas!N296="Ditangquan F",216,IF(Atletas!N296="Houquan F",217,IF(Atletas!N296="Zuiquan F",218,"")))))))))))))))))))))</f>
        <v/>
      </c>
      <c r="BV305" s="50" t="str">
        <f>IF(Atletas!O296="","",IF(Atletas!X296&lt;&gt;"",10000,0)+IF(Atletas!B296="Feminino",1000,IF(Atletas!B296="Masculino",2000,""))+IF(Atletas!O296="Yang A",301,IF(Atletas!O296="Chen A",302,IF(Atletas!O296="Sun A",303,IF(Atletas!O296="Wu A",304,IF(Atletas!O296="Wu-Hao A",305,IF(Atletas!O296="Outro Taijiquan A",306,IF(Atletas!O296="Yang B",307,IF(Atletas!O296="Chen B",308,IF(Atletas!O296="Sun B",309,IF(Atletas!O296="Wu B",310,IF(Atletas!O296="Wu-Hao B",311,IF(Atletas!O296="Outro Taijiquan B",312,IF(Atletas!O296="Yang C",313,IF(Atletas!O296="Chen C",314,IF(Atletas!O296="Sun C",315,IF(Atletas!O296="Wu C",316,IF(Atletas!O296="Wu-Hao C",317,IF(Atletas!O296="Outro Taijiquan C",318,IF(Atletas!O296="Yang D",319,IF(Atletas!O296="Chen D",320,IF(Atletas!O296="Sun D",321,IF(Atletas!O296="Wu D",322,IF(Atletas!O296="Wu-Hao D",323,IF(Atletas!O296="Outro Taijiquan D",324,IF(Atletas!O296="Yang E",325,IF(Atletas!O296="Chen E",326,IF(Atletas!O296="Sun E",327,IF(Atletas!O296="Wu E",328,IF(Atletas!O296="Wu-Hao E",329,IF(Atletas!O296="Outro Taijiquan E",330,IF(Atletas!O296="Yang F",331,IF(Atletas!O296="Chen F",332,IF(Atletas!O296="Sun F",333,IF(Atletas!O296="Wu F",334,IF(Atletas!O296="Wu-Hao F",335,IF(Atletas!O296="Outro Taijiquan F",336,"")))))))))))))))))))))))))))))))))))))</f>
        <v/>
      </c>
      <c r="BW305" s="50" t="str">
        <f>IF(Atletas!P296="","",IF(Atletas!X296&lt;&gt;"",10000,0)+IF(Atletas!B296="Feminino",1000,IF(Atletas!B296="Masculino",2000,""))+IF(OR(Atletas!P296="Yang 26 A",Atletas!P296="Yang 40 A"),401,IF(OR(Atletas!P296="Chen 25 A",Atletas!P296="Chen 36 A",Atletas!P296="Chen 56 A"),402,IF(Atletas!P296="Sun 73 A",403,IF(Atletas!P296="Wu 45 A",404,IF(Atletas!P296="Wu-Hao 46 A",405,IF(OR(Atletas!P296="Taijiquan 16 A",Atletas!P296="Taijiquan 24 A",Atletas!P296="Taijiquan 32 A",Atletas!P296="Taijiquan 42 A"),406,IF(OR(Atletas!P296="Yang 26 B",Atletas!P296="Yang 40 B"),407,IF(OR(Atletas!P296="Chen 25 B",Atletas!P296="Chen 36 B",Atletas!P296="Chen 56 B"),408,IF(Atletas!P296="Sun 73 B",409,IF(Atletas!P296="Wu 45 B",410,IF(Atletas!P296="Wu-Hao 46 B",411,IF(OR(Atletas!P296="Taijiquan 16 B",Atletas!P296="Taijiquan 24 B",Atletas!P296="Taijiquan 32 B",Atletas!P296="Taijiquan 42 B"),412,IF(OR(Atletas!P296="Yang 26 C",Atletas!P296="Yang 40 C"),413,IF(OR(Atletas!P296="Chen 25 C",Atletas!P296="Chen 36 C",Atletas!P296="Chen 56 C"),414,IF(Atletas!P296="Sun 73 C",415,IF(Atletas!P296="Wu 45 C",416,IF(Atletas!P296="Wu-Hao 46 C",417,IF(OR(Atletas!P296="Taijiquan 16 C",Atletas!P296="Taijiquan 24 C",Atletas!P296="Taijiquan 32 C",Atletas!P296="Taijiquan 42 C"),418,0)))))))))))))))))))</f>
        <v/>
      </c>
      <c r="BX305" s="50" t="str">
        <f>IF(Atletas!P296="","",IF(Atletas!X296&lt;&gt;"",10000,0)+IF(Atletas!B296="Feminino",1000,IF(Atletas!B296="Masculino",2000,""))+IF(OR(Atletas!P296="Yang 26 D",Atletas!P296="Yang 40 D"),419,IF(OR(Atletas!P296="Chen 25 D",Atletas!P296="Chen 36 D",Atletas!P296="Chen 56 D"),420,IF(Atletas!P296="Sun 73 D",421,IF(Atletas!P296="Wu 45 D",422,IF(Atletas!P296="Wu-Hao 46 D",423,IF(OR(Atletas!P296="Taijiquan 16 D",Atletas!P296="Taijiquan 24 D",Atletas!P296="Taijiquan 32 D",Atletas!P296="Taijiquan 42 D"),424,IF(OR(Atletas!P296="Yang 26 E",Atletas!P296="Yang 40 E"),425,IF(OR(Atletas!P296="Chen 25 E",Atletas!P296="Chen 36 E",Atletas!P296="Chen 56 E"),426,IF(Atletas!P296="Sun 73 E",427,IF(Atletas!P296="Wu 45 E",428,IF(Atletas!P296="Wu-Hao 46 E",429,IF(OR(Atletas!P296="Taijiquan 16 E",Atletas!P296="Taijiquan 24 E",Atletas!P296="Taijiquan 32 E",Atletas!P296="Taijiquan 42 E"),430,IF(OR(Atletas!P296="Yang 26 F",Atletas!P296="Yang 40 F"),431,IF(OR(Atletas!P296="Chen 25 F",Atletas!P296="Chen 36 F",Atletas!P296="Chen 56 F"),432,IF(Atletas!P296="Sun 73 F",433,IF(Atletas!P296="Wu 45 F",434,IF(Atletas!P296="Wu-Hao 46 F",435,IF(OR(Atletas!P296="Taijiquan 16 F",Atletas!P296="Taijiquan 24 F",Atletas!P296="Taijiquan 32 F",Atletas!P296="Taijiquan 42 F"),436,0)))))))))))))))))))</f>
        <v/>
      </c>
      <c r="BY305" s="50" t="str">
        <f>IF(Atletas!Q296="","",IF(Atletas!X296&lt;&gt;"",10000,0)+IF(Atletas!B296="Feminino",1000,IF(Atletas!B296="Masculino",2000,""))+IF(Atletas!Q296="Xingyiquan A",501,IF(Atletas!Q296="Baguazhang A",502,IF(Atletas!Q296="Outro Estilo Interno A",503,IF(Atletas!Q296="Xingyiquan B",504,IF(Atletas!Q296="Baguazhang B",505,IF(Atletas!Q296="Outro Estilo Interno B",506,IF(Atletas!Q296="Xingyiquan C",507,IF(Atletas!Q296="Baguazhang C",508,IF(Atletas!Q296="Outro Estilo Interno C",509,IF(Atletas!Q296="Xingyiquan D",510,IF(Atletas!Q296="Baguazhang D",511,IF(Atletas!Q296="Outro Estilo Interno D",512,IF(Atletas!Q296="Xingyiquan E",513,IF(Atletas!Q296="Baguazhang E",514,IF(Atletas!Q296="Outro Estilo Interno E",515,IF(Atletas!Q296="Xingyiquan F",516,IF(Atletas!Q296="Baguazhang F",517,IF(Atletas!Q296="Outro Estilo Interno F",518, "")))))))))))))))))))</f>
        <v/>
      </c>
      <c r="BZ305" s="50" t="str">
        <f>IF(Atletas!R296="","",IF(Atletas!X296&lt;&gt;"",10000,0)+IF(Atletas!B296="Feminino",1000,IF(Atletas!B296="Masculino",2000,""))+IF(Atletas!R296="Dao A",601,IF(Atletas!R296="Jian A",602,IF(Atletas!R296="Bishou A",603,IF(Atletas!R296="Shanzi A",604,IF(Atletas!R296="Outra Arma Curta A",605,IF(Atletas!R296="Dao B",606,IF(Atletas!R296="Jian B",607,IF(Atletas!R296="Bishou B",608,IF(Atletas!R296="Shanzi B",609,IF(Atletas!R296="Outra Arma Curta B",610,IF(Atletas!R296="Dao C",611,IF(Atletas!R296="Jian C",612,IF(Atletas!R296="Bishou C",613,IF(Atletas!R296="Shanzi C",614,IF(Atletas!R296="Outra Arma Curta C",615,IF(Atletas!R296="Dao D",616,IF(Atletas!R296="Jian D",617,IF(Atletas!R296="Bishou D",618,IF(Atletas!R296="Shanzi D",619,IF(Atletas!R296="Outra Arma Curta D",620,IF(Atletas!R296="Dao E",621,IF(Atletas!R296="Jian E",622,IF(Atletas!R296="Bishou E",623,IF(Atletas!R296="Shanzi E",624,IF(Atletas!R296="Outra Arma Curta E",625,IF(Atletas!R296="Dao F",626,IF(Atletas!R296="Jian F",627,IF(Atletas!R296="Bishou F",628,IF(Atletas!R296="Shanzi F",629,IF(Atletas!R296="Outra Arma Curta F",630, "")))))))))))))))))))))))))))))))</f>
        <v/>
      </c>
      <c r="CA305" s="50" t="str">
        <f>IF(Atletas!S296="","",IF(Atletas!X296&lt;&gt;"",10000,0)+IF(Atletas!B296="Feminino",1000,IF(Atletas!B296="Masculino",2000,""))+IF(Atletas!S296="Gun A",701,IF(Atletas!S296="Qiang A",702,IF(Atletas!S296="Pudao / Guandao A",703,IF(Atletas!S296="Outra Arma Longa A",704,IF(Atletas!S296="Gun B",705,IF(Atletas!S296="Qiang B",706,IF(Atletas!S296="Pudao / Guandao B",707,IF(Atletas!S296="Outra Arma Longa B",708,IF(Atletas!S296="Gun C",709,IF(Atletas!S296="Qiang C",710,IF(Atletas!S296="Pudao / Guandao C",711,IF(Atletas!S296="Outra Arma Longa C",712,IF(Atletas!S296="Gun D",713,IF(Atletas!S296="Qiang D",714,IF(Atletas!S296="Pudao / Guandao D",715,IF(Atletas!S296="Outra Arma Longa D",716,IF(Atletas!S296="Gun E",717,IF(Atletas!S296="Qiang E",718,IF(Atletas!S296="Pudao / Guandao E",719,IF(Atletas!S296="Outra Arma Longa E",720,IF(Atletas!S296="Gun F",721,IF(Atletas!S296="Qiang F",722,IF(Atletas!S296="Pudao / Guandao F",723,IF(Atletas!S296="Outra Arma Longa F",724,"")))))))))))))))))))))))))</f>
        <v/>
      </c>
      <c r="CB305" s="50" t="str">
        <f>IF(Atletas!T296="","",IF(Atletas!X296&lt;&gt;"",10000,0)+IF(Atletas!B296="Feminino",1000,IF(Atletas!B296="Masculino",2000,""))+IF(Atletas!T296="Outra Arma Dupla A",801,IF(Atletas!T296="Arma Maleável A",802,IF(Atletas!T296="Outra Arma Dupla B",803,IF(Atletas!T296="Arma Maleável B",804,IF(Atletas!T296="Outra Arma Dupla C",805,IF(Atletas!T296="Arma Maleável C",806,IF(Atletas!T296="Outra Arma Dupla D",807,IF(Atletas!T296="Arma Maleável D",808,IF(Atletas!T296="Outra Arma Dupla E",809,IF(Atletas!T296="Arma Maleável E",810,IF(Atletas!T296="Outra Arma Dupla F",811,IF(Atletas!T296="Arma Maleável F",812,IF(Atletas!T296="Shuangdao A",813,IF(Atletas!T296="Shuangdao B",814,IF(Atletas!T296="Shuangdao C",815,IF(Atletas!T296="Shuangdao D",816,IF(Atletas!T296="Shuangdao E",817,IF(Atletas!T296="Shuangdao F",818,"")))))))))))))))))))</f>
        <v/>
      </c>
      <c r="CC305" s="50" t="str">
        <f>IF(Atletas!U296="","",IF(Atletas!X296&lt;&gt;"",10000,0)+IF(Atletas!B296="Feminino",1000,IF(Atletas!B296="Masculino",2000,""))+IF(OR(Atletas!U296="Taijijian Yang A",Atletas!U296="Taijijian Yang Standard A"),901,IF(OR(Atletas!U296="Taijijian Chen A", Atletas!U296="Taijijian Chen Standard A"),902,IF(Atletas!U296="Taijijian Sun A",903,IF(Atletas!U296="Taijijian Wu A",904,IF(Atletas!U296="Taijijian Wu-Hao A",905,IF(OR(Atletas!U296="Taijijian 32 A",Atletas!U296="Taijijian 42 A"),906,IF(OR(Atletas!U296="Taijijian Yang B",Atletas!U296="Taijijian Yang Standard B"),907,IF(OR(Atletas!U296="Taijijian Chen B", Atletas!U296="Taijijian Chen Standard B"),908,IF(Atletas!U296="Taijijian Sun B",909,IF(Atletas!U296="Taijijian Wu B",910,IF(Atletas!U296="Taijijian Wu-Hao B",911,IF(OR(Atletas!U296="Taijijian 32 B",Atletas!U296="Taijijian 42 B"),912,IF(OR(Atletas!U296="Taijijian Yang C",Atletas!U296="Taijijian Yang Standard C"),913,IF(OR(Atletas!U296="Taijijian Chen C", Atletas!U296="Taijijian Chen Standard C"),914,IF(Atletas!U296="Taijijian Sun C",915,IF(Atletas!U296="Taijijian Wu C",916,IF(Atletas!U296="Taijijian Wu-Hao C",917,IF(OR(Atletas!U296="Taijijian 32 C",Atletas!U296="Taijijian 42 C"),918,IF(OR(Atletas!U296="Taijijian Yang D",Atletas!U296="Taijijian Yang Standard D"),919,IF(OR(Atletas!U296="Taijijian Chen D", Atletas!U296="Taijijian Chen Standard D"),920,IF(Atletas!U296="Taijijian Sun D",921,IF(Atletas!U296="Taijijian Wu D",922,IF(Atletas!U296="Taijijian Wu-Hao D",923,IF(OR(Atletas!U296="Taijijian 32 D",Atletas!U296="Taijijian 42 D"),924,IF(OR(Atletas!U296="Taijijian Yang E",Atletas!U296="Taijijian Yang Standard E"),925,IF(OR(Atletas!U296="Taijijian Chen E", Atletas!U296="Taijijian Chen Standard E"),926,IF(Atletas!U296="Taijijian Sun E",927,IF(Atletas!U296="Taijijian Wu E",928,IF(Atletas!U296="Taijijian Wu-Hao E",929,IF(OR(Atletas!U296="Taijijian 32 E",Atletas!U296="Taijijian 42 E"),930,IF(OR(Atletas!U296="Taijijian Yang F",Atletas!U296="Taijijian Yang Standard F"),931,IF(OR(Atletas!U296="Taijijian Chen F", Atletas!U296="Taijijian Chen Standard F"),932,IF(Atletas!U296="Taijijian Sun F",933,IF(Atletas!U296="Taijijian Wu F",934,IF(Atletas!U296="Taijijian Wu-Hao F",935,IF(OR(Atletas!U296="Taijijian 32 F",Atletas!U296="Taijijian 42 F"),936,"")))))))))))))))))))))))))))))))))))))</f>
        <v/>
      </c>
      <c r="CD305" s="50" t="str">
        <f>IF(Atletas!V296="","",IF(Atletas!X296&lt;&gt;"",10000,0)+IF(Atletas!B296="Feminino",1000,IF(Atletas!B296="Masculino",2000,""))+IF(Atletas!V296="Taijidao A",937,IF(Atletas!V296="TaijiShanzi A",938,IF(Atletas!V296="Taijiqiang A",939,IF(Atletas!V296="Bagua de Arma A",940,IF(Atletas!V296="Xingyi de Arma A",941,IF(Atletas!V296="Taijidao B",942,IF(Atletas!V296="TaijiShanzi B",943,IF(Atletas!V296="Taijiqiang B",944,IF(Atletas!V296="Bagua de Arma B",945,IF(Atletas!V296="Xingyi de Arma B",946,IF(Atletas!V296="Taijidao C",947,IF(Atletas!V296="TaijiShanzi C",948,IF(Atletas!V296="Taijiqiang C",949,IF(Atletas!V296="Bagua de Arma C",950,IF(Atletas!V296="Xingyi de Arma C",951,IF(Atletas!V296="Taijidao D",952,IF(Atletas!V296="TaijiShanzi D",953,IF(Atletas!V296="Taijiqiang D",954,IF(Atletas!V296="Bagua de Arma D",955,IF(Atletas!V296="Xingyi de Arma D",956,IF(Atletas!V296="Taijidao E",957,IF(Atletas!V296="TaijiShanzi E",958,IF(Atletas!V296="Taijiqiang E",959,IF(Atletas!V296="Bagua de Arma E",960,IF(Atletas!V296="Xingyi de Arma E",961,IF(Atletas!V296="Taijidao F",962,IF(Atletas!V296="TaijiShanzi F",963,IF(Atletas!V296="Taijiqiang F",964,IF(Atletas!V296="Bagua de Arma F",965,IF(Atletas!V296="Xingyi de Arma F",966,"")))))))))))))))))))))))))))))))</f>
        <v/>
      </c>
      <c r="CE305" s="66" t="str">
        <f>IF(CF305&lt;&gt;"","Taijijian Wu-Hao A","")</f>
        <v/>
      </c>
      <c r="CF305" s="66" t="str">
        <f>IF(COUNTIF(BR:CD,1905)&gt;0,COUNTIF(BR:CD,1905),"")</f>
        <v/>
      </c>
      <c r="CG305" s="66" t="str">
        <f>IF(CH305&lt;&gt;"","Taijijian Wu-Hao A","")</f>
        <v/>
      </c>
      <c r="CH305" s="66" t="str">
        <f>IF(COUNTIF(BR:CD,2905)&gt;0,COUNTIF(BR:CD,2905),"")</f>
        <v/>
      </c>
      <c r="CI305" s="66" t="str">
        <f>IF(CJ306&lt;&gt;"","Taijijian Combinado C","")</f>
        <v/>
      </c>
      <c r="CJ305" s="66" t="str">
        <f>IF(COUNTIF(BR:CD,11917)&gt;0,COUNTIF(BR:CD,11917),"")</f>
        <v/>
      </c>
      <c r="CK305" s="66" t="str">
        <f>IF(CL305&lt;&gt;"","Taijijian Wu-Hao C","")</f>
        <v/>
      </c>
      <c r="CL305" s="66" t="str">
        <f>IF(COUNTIF(BR:CD,12917)&gt;0,COUNTIF(BR:CD,12917),"")</f>
        <v/>
      </c>
      <c r="CM305" s="50" t="str">
        <f xml:space="preserve"> IF(Atletas!W296="","",IF(Atletas!W296="Duilian de Mãos BC - Equipe 1",1,IF(Atletas!W296="Duilian de Mãos BC - Equipe 2",2,IF(Atletas!W296="Duilian de Armas BC - Equipe 1",3,IF(Atletas!W296="Duilian de Armas BC - Equipe 2",4,IF(Atletas!W296="Duilian de Mãos DE - Equipe 1",5,IF(Atletas!W296="Duilian de Mãos DE - Equipe 2",6,IF(Atletas!W296="Duilian de Armas DE - Equipe 1",7,IF(Atletas!W296="Duilian de Armas DE - Equipe 2",8,IF(Atletas!W296="Duilian de Tuishou - Equipe 1",9,IF(Atletas!W296="Duilian de Tuishou - Equipe 2",10,IF(Atletas!W296="Grupo Externo ABC - Equipe 1",11,IF(Atletas!W296="Grupo Externo ABC - Equipe 2",12,IF(Atletas!W296="Grupo Interno ABC - Equipe 1",13,IF(Atletas!W296="Grupo Interno ABC - Equipe 2",14,IF(Atletas!W296="Grupo Externo DEF - Equipe 1",15,IF(Atletas!W296="Grupo Externo DEF - Equipe 2",16,IF(Atletas!W296="Grupo Interno DEF - Equipe 1",17,IF(Atletas!W296="Grupo Interno DEF - Equipe 2",18,"")))))))))))))))))))</f>
        <v/>
      </c>
    </row>
    <row r="306" spans="40:91">
      <c r="AN306" s="52" t="str">
        <f>IF(Atletas!D297="","",IF(Atletas!B297="Feminino",100,IF(Atletas!B297="Masculino",200,""))+(IF(Atletas!D297="Kids 30kg",1,IF(Atletas!D297="Kids 32kg",2, IF(Atletas!D297="Kids 34kg",3,IF(Atletas!D297="Kids 36kg",4,IF(Atletas!D297="Kids 39kg",5,IF(Atletas!D297="Kids 42kg",6,IF(Atletas!D297="Kids 45kg",7, IF(Atletas!D297="Infantil 39kg",8,IF(Atletas!D297="Infantil 42kg",9,IF(Atletas!D297="Infantil 45kg",10,IF(Atletas!D297="Infantil 48kg",11,IF(Atletas!D297="Infantil 52kg",12,IF(Atletas!D297="Infantil 56kg",13,IF(Atletas!D297="Infantil 60kg",14,IF(Atletas!D297="Juvenil 48kg",15,IF(Atletas!D297="Juvenil 52kg",16,IF(Atletas!D297="Juvenil 56kg",17,IF(Atletas!D297="Juvenil 60kg",18,IF(Atletas!D297="Juvenil 65kg",19,IF(Atletas!D297="Juvenil 70kg",20,IF(Atletas!D297="Juvenil 75kg",21,IF(Atletas!D297="Juvenil 80kg",22, IF(Atletas!D297="Juvenil 85kg",23,IF(Atletas!D297="Adulto 48kg",24,IF(Atletas!D297="Adulto 52kg",25,IF(Atletas!D297="Adulto 56kg",26,IF(Atletas!D297="Adulto 60kg",27,IF(Atletas!D297="Adulto 65kg",28,IF(Atletas!D297="Adulto 70kg",29,IF(Atletas!D297="Adulto 75kg",30,IF(Atletas!D297="Adulto 80kg",31,IF(Atletas!D297="Adulto 85kg",32,IF(Atletas!D297="Adulto 90kg",33,IF(Atletas!D297="Adulto 100kg",34, IF(Atletas!D297="Adulto +100kg",35,"")))))))))))))))))))))))))))))))))))))</f>
        <v/>
      </c>
      <c r="AS306" s="6" t="str">
        <f>IF(Atletas!E297="","",IF(Atletas!B297="Feminino",100,IF(Atletas!B297="Masculino",200,""))+(IF(Atletas!E297="Juvenil 44kg",1,IF(Atletas!E297="Juvenil 48kg",2,IF(Atletas!E297="Juvenil 52kg",3,IF(Atletas!E297="Juvenil 56kg",4,IF(Atletas!E297="Juvenil 60kg",5,IF(Atletas!E297="Juvenil 65kg",6,IF(Atletas!E297="Juvenil 70kg",7,IF(Atletas!E297="Juvenil 75kg",8,IF(Atletas!E297="Juvenil 82kg",9,IF(Atletas!E297="Juvenil 90kg",10,IF(Atletas!E297="Juvenil 100kg",11,IF(Atletas!E297="Adulto 48kg",12,IF(Atletas!E297="Adulto 52kg",13,IF(Atletas!E297="Adulto 56kg",14,IF(Atletas!E297="Adulto 60kg",15,IF(Atletas!E297="Adulto 65kg",16,IF(Atletas!E297="Adulto 70kg",17,IF(Atletas!E297="Adulto 75kg",18,IF(Atletas!E297="Adulto 82kg",19,IF(Atletas!E297="Adulto 90kg",20,IF(Atletas!E297="Adulto 100kg",21,IF(Atletas!E297="Adulto +100kg",22,""))))))))))))))))))))))))</f>
        <v/>
      </c>
      <c r="AX306" s="6" t="str">
        <f>IF(Atletas!F297="","",IF(Atletas!B297="Feminino",100,IF(Atletas!B297="Masculino",200,""))+(IF(Atletas!F297="Adulto 48kg",1,IF(Atletas!F297="Adulto 56kg",2,IF(Atletas!F297="Adulto 65kg",3,IF(Atletas!F297="Adulto 75kg",4,IF(Atletas!F297="Adulto +75kg",5,IF(Atletas!F297="Adulto 52kg",6,IF(Atletas!F297="Adulto 60kg",7,IF(Atletas!F297="Adulto 70kg",8,IF(Atletas!F297="Adulto 80kg",9,IF(Atletas!F297="Adulto 90kg",10,IF(Atletas!F297="Adulto +90kg",11,"")))))))))))))</f>
        <v/>
      </c>
      <c r="BC306" s="6" t="str">
        <f>IF(Atletas!G297="","",IF(Atletas!B297="Feminino",10,IF(Atletas!B297="Masculino",20,""))+(IF(Atletas!G297="Baduanjin A",1,IF(Atletas!G297="Baduanjin B",2))))</f>
        <v/>
      </c>
      <c r="BF306" s="52" t="str">
        <f>IF(Atletas!H297="","",IF(Atletas!B297="Feminino",100,IF(Atletas!B297="Masculino",200,""))+(IF(Atletas!H297="Changquan Mirim",1,IF(Atletas!H297="Nanquan Mirim",2,IF(Atletas!H297="Taijiquan Mirim",3,IF(Atletas!H297="Changquan Grupo C",4,IF(Atletas!H297="Nanquan Grupo C",5,IF(Atletas!H297="Taijiquan Grupo C",6,IF(Atletas!H297="Changquan Grupo B",7,IF(Atletas!H297="Nanquan Grupo B",8,IF(Atletas!H297="Taijiquan Grupo B",9,IF(Atletas!H297="Changquan Grupo A",10,IF(Atletas!H297="Nanquan Grupo A",11,IF(Atletas!H297="Taijiquan Grupo A",12,IF(Atletas!H297="Changquan Opcional",13,IF(Atletas!H297="Nanquan Opcional",14,IF(Atletas!H297="Taijiquan Opcional",15,IF(Atletas!H297="Changquan Adulto",16,IF(Atletas!H297="Nanquan Adulto",17,IF(Atletas!H297="Taijiquan Adulto",18,""))))))))))))))))))))</f>
        <v/>
      </c>
      <c r="BG306" s="52" t="str">
        <f>IF(Atletas!I297="","",IF(Atletas!B297="Feminino",100,IF(Atletas!B297="Masculino",200,""))+(IF(Atletas!I297="Daoshu Mirim",19,IF(Atletas!I297="Jianshu Mirim",20,IF(Atletas!I297="Nandao Mirim",21,IF(Atletas!I297="Taijijian Mirim",22,IF(Atletas!I297="Daoshu Grupo C",23,IF(Atletas!I297="Jianshu Grupo C",24,IF(Atletas!I297="Nandao Grupo C",25,IF(Atletas!I297="Taijijian Grupo C",26,IF(Atletas!I297="Daoshu Grupo B",27,IF(Atletas!I297="Jianshu Grupo B",28,IF(Atletas!I297="Nandao Grupo B",29,IF(Atletas!I297="Taijijian Grupo B",30,IF(Atletas!I297="Daoshu Grupo A",31,IF(Atletas!I297="Jianshu Grupo A",32,IF(Atletas!I297="Nandao Grupo A",33,IF(Atletas!I297="Taijijian Grupo A",34,IF(Atletas!I297="Daoshu Opcional",35,IF(Atletas!I297="Jianshu Opcional",36,IF(Atletas!I297="Nandao Opcional",37,IF(Atletas!I297="Taijijian Opcional",38,IF(Atletas!I297="Daoshu Adulto",39,IF(Atletas!I297="Jianshu Adulto",40,IF(Atletas!I297="Nandao Adulto",41,IF(Atletas!I297="Taijijian Adulto",42,""))))))))))))))))))))))))))</f>
        <v/>
      </c>
      <c r="BH306" s="52" t="str">
        <f>IF(Atletas!J297="","",IF(Atletas!B297="Feminino",100,IF(Atletas!B297="Masculino",200,""))+(IF(Atletas!J297="Gunshu Mirim",43,IF(Atletas!J297="Qiangshu Mirim",44,IF(Atletas!J297="Nangun Mirim",45,IF(Atletas!J297="Gunshu Grupo C",46,IF(Atletas!J297="Qiangshu Grupo C",47,IF(Atletas!J297="Nangun Grupo C",48,IF(Atletas!J297="Gunshu Grupo B",49,IF(Atletas!J297="Qiangshu Grupo B",50,IF(Atletas!J297="Nangun Grupo B",51,IF(Atletas!J297="Gunshu Grupo A",52,IF(Atletas!J297="Qiangshu Grupo A",53,IF(Atletas!J297="Nangun Grupo A",54,IF(Atletas!J297="Gunshu Opcional",55,IF(Atletas!J297="Qiangshu Opcional",56,IF(Atletas!J297="Nangun Opcional",57,IF(Atletas!J297="Gunshu Adulto",58,IF(Atletas!J297="Qiangshu Adulto",59,IF(Atletas!J297="Nangun Adulto",60,IF(Atletas!J297="Taijishan Grupo B",61,IF(Atletas!J297="Taijishan Grupo A",62,""))))))))))))))))))))))</f>
        <v/>
      </c>
      <c r="BM306" s="50" t="str">
        <f>IF(Atletas!K297="","",IF(Atletas!B297="Feminino",100,IF(Atletas!B297="Masculino",200,""))+(IF(Atletas!K297="Equipe 1 Grupo B",1,IF(Atletas!K297="Equipe 2 Grupo B",2,IF(Atletas!K297="Equipe 1 Grupo A",3,IF(Atletas!K297="Equipe 2 Grupo A",4,IF(Atletas!K297="Equipe 1 Adulto",5,IF(Atletas!K297="Equipe 2 Adulto",6,""))))))))</f>
        <v/>
      </c>
      <c r="BR306" s="50" t="str">
        <f>IF(Atletas!L297="","",IF(Atletas!X297&lt;&gt;"",10000,0)+(IF(Atletas!B297="Feminino",1000,IF(Atletas!B297="Masculino",2000,""))+IF(Atletas!L297="Choylayfut A",1,IF(Atletas!L297="Hunggar A",2,IF(Atletas!L297="Wuzuquan A",3,IF(Atletas!L297="Wingchun A",4,IF(Atletas!L297="Outra Mão de Sul A",5,IF(Atletas!L297="Choylayfut B",6,IF(Atletas!L297="Hunggar B",7,IF(Atletas!L297="Wuzuquan B",8,IF(Atletas!L297="Wingchun B",9,IF(Atletas!L297="Outra Mão de Sul B",10,IF(Atletas!L297="Choylayfut C",11,IF(Atletas!L297="Hunggar C",12,IF(Atletas!L297="Wuzuquan C",13,IF(Atletas!L297="Wingchun C",14,IF(Atletas!L297="Outra Mão de Sul C",15,IF(Atletas!L297="Choylayfut D",16,IF(Atletas!L297="Hunggar D",17,IF(Atletas!L297="Wuzuquan D",18,IF(Atletas!L297="Wingchun D",19,IF(Atletas!L297="Outra Mão de Sul D",20,IF(Atletas!L297="Choylayfut E",21,IF(Atletas!L297="Hunggar E",22,IF(Atletas!L297="Wuzuquan E",23,IF(Atletas!L297="Wingchun E",24,IF(Atletas!L297="Outra Mão de Sul E",25,IF(Atletas!L297="Choylayfut F",26,IF(Atletas!L297="Hunggar F",27,IF(Atletas!L297="Wuzuquan F",28,IF(Atletas!L297="Wingchun F",29,IF(Atletas!L297="Outra Mão de Sul F",30,IF(Atletas!L297="Dishuquan A",31,IF(Atletas!L297="Dishuquan B",32,IF(Atletas!L297="Dishuquan C",33,IF(Atletas!L297="Dishuquan D",34,IF(Atletas!L297="Dishuquan E",35,IF(Atletas!L297="Dishuquan F",36,""))))))))))))))))))))))))))))))))))))))</f>
        <v/>
      </c>
      <c r="BS306" s="50" t="str">
        <f>IF(Atletas!M297="","",IF(Atletas!X297&lt;&gt;"",10000,0)+(IF(Atletas!B297="Feminino",1000,IF(Atletas!B297="Masculino",2000,""))+(IF(Atletas!M297="Chaquan A",101,IF(Atletas!M297="Emeiquan A",102,IF(Atletas!M297="Fanziquan A",103,IF(Atletas!M297="Huaquan A",104,IF(Atletas!M297="Hongquan A",105,IF(Atletas!M297="Paoquan A",106,IF(Atletas!M297="Piguaquan A",107,IF(Atletas!M297="Shaolinquan A",108,IF(Atletas!M297="Tanglangquan A",109,IF(Atletas!M297="Yingzhaoquan A",110,IF(Atletas!M297="Tongbeiquan A",111,IF(Atletas!M297="Wudangquan A",112,IF(Atletas!M297="Outros Estilos A",113,IF(Atletas!M297="Chaquan B",114,IF(Atletas!M297="Emeiquan B",115,IF(Atletas!M297="Fanziquan B",116,IF(Atletas!M297="Huaquan B",117,IF(Atletas!M297="Hongquan B",118,IF(Atletas!M297="Paoquan B",119,IF(Atletas!M297="Piguaquan B",120,IF(Atletas!M297="Shaolinquan B",121,IF(Atletas!M297="Tanglangquan B",122,IF(Atletas!M297="Yingzhaoquan B",123,IF(Atletas!M297="Tongbeiquan B",124,IF(Atletas!M297="Wudangquan B",125,IF(Atletas!M297="Outros Estilos B",126,IF(Atletas!M297="Chaquan C",127,IF(Atletas!M297="Emeiquan C",128,IF(Atletas!M297="Fanziquan C",129,IF(Atletas!M297="Huaquan C",130,IF(Atletas!M297="Hongquan C",131,IF(Atletas!M297="Paoquan C",132,IF(Atletas!M297="Piguaquan C",133,IF(Atletas!M297="Shaolinquan C",134,IF(Atletas!M297="Tanglangquan C",135,IF(Atletas!M297="Yingzhaoquan C",136,IF(Atletas!M297="Tongbeiquan C",137,IF(Atletas!M297="Wudangquan C",138,IF(Atletas!M297="Outros Estilos C",139,0))))))))))))))))))))))))))))))))))))))))))</f>
        <v/>
      </c>
      <c r="BT306" s="50" t="str">
        <f>IF(Atletas!M297="","",IF(Atletas!X297&lt;&gt;"",10000,0)+(IF(Atletas!B297="Feminino",1000,IF(Atletas!B297="Masculino",2000,""))+(IF(Atletas!M297="Chaquan D",140,IF(Atletas!M297="Emeiquan D",141,IF(Atletas!M297="Fanziquan D",142,IF(Atletas!M297="Huaquan D",143,IF(Atletas!M297="Hongquan D",144,IF(Atletas!M297="Paoquan D",145,IF(Atletas!M297="Piguaquan D",146,IF(Atletas!M297="Shaolinquan D",147,IF(Atletas!M297="Tanglangquan D",148,IF(Atletas!M297="Yingzhaoquan D",149,IF(Atletas!M297="Tongbeiquan D",150,IF(Atletas!M297="Wudangquan D",151,IF(Atletas!M297="Outros Estilos D",152,IF(Atletas!M297="Chaquan E",153,IF(Atletas!M297="Emeiquan E",154,IF(Atletas!M297="Fanziquan E",155,IF(Atletas!M297="Huaquan E",156,IF(Atletas!M297="Hongquan E",157,IF(Atletas!M297="Paoquan E",158,IF(Atletas!M297="Piguaquan E",159,IF(Atletas!M297="Shaolinquan E",160,IF(Atletas!M297="Tanglangquan E",161,IF(Atletas!M297="Yingzhaoquan E",162,IF(Atletas!M297="Tongbeiquan E",163,IF(Atletas!M297="Wudangquan E",164,IF(Atletas!M297="Outros Estilos E",165,IF(Atletas!M297="Chaquan F",166,IF(Atletas!M297="Emeiquan F",167,IF(Atletas!M297="Fanziquan F",168,IF(Atletas!M297="Huaquan F",169,IF(Atletas!M297="Hongquan F",170,IF(Atletas!M297="Paoquan F",171,IF(Atletas!M297="Piguaquan F",172,IF(Atletas!M297="Shaolinquan F",173,IF(Atletas!M297="Tanglangquan F",174,IF(Atletas!M297="Yingzhaoquan F",175,IF(Atletas!M297="Tongbeiquan F",176,IF(Atletas!M297="Wudangquan F",177,IF(Atletas!M297="Outros Estilos F",178,0))))))))))))))))))))))))))))))))))))))))))</f>
        <v/>
      </c>
      <c r="BU306" s="50" t="str">
        <f>IF(Atletas!N297="","",IF(Atletas!X297&lt;&gt;"",10000,0)+(IF(Atletas!B297="Feminino",1000,IF(Atletas!B297="Masculino",2000,""))+(IF(Atletas!N297="Ditangquan A",201,IF(Atletas!N297="Houquan A",202,IF(Atletas!N297="Zuiquan A",203,IF(Atletas!N297="Ditangquan B",204,IF(Atletas!N297="Houquan B",205,IF(Atletas!N297="Zuiquan B",206,IF(Atletas!N297="Ditangquan C",207,IF(Atletas!N297="Houquan C",208,IF(Atletas!N297="Zuiquan C",209,IF(Atletas!N297="Ditangquan D",210,IF(Atletas!N297="Houquan D",211,IF(Atletas!N297="Zuiquan D",212,IF(Atletas!N297="Ditangquan E",213,IF(Atletas!N297="Houquan E",214,IF(Atletas!N297="Zuiquan E",215,IF(Atletas!N297="Ditangquan F",216,IF(Atletas!N297="Houquan F",217,IF(Atletas!N297="Zuiquan F",218,"")))))))))))))))))))))</f>
        <v/>
      </c>
      <c r="BV306" s="50" t="str">
        <f>IF(Atletas!O297="","",IF(Atletas!X297&lt;&gt;"",10000,0)+IF(Atletas!B297="Feminino",1000,IF(Atletas!B297="Masculino",2000,""))+IF(Atletas!O297="Yang A",301,IF(Atletas!O297="Chen A",302,IF(Atletas!O297="Sun A",303,IF(Atletas!O297="Wu A",304,IF(Atletas!O297="Wu-Hao A",305,IF(Atletas!O297="Outro Taijiquan A",306,IF(Atletas!O297="Yang B",307,IF(Atletas!O297="Chen B",308,IF(Atletas!O297="Sun B",309,IF(Atletas!O297="Wu B",310,IF(Atletas!O297="Wu-Hao B",311,IF(Atletas!O297="Outro Taijiquan B",312,IF(Atletas!O297="Yang C",313,IF(Atletas!O297="Chen C",314,IF(Atletas!O297="Sun C",315,IF(Atletas!O297="Wu C",316,IF(Atletas!O297="Wu-Hao C",317,IF(Atletas!O297="Outro Taijiquan C",318,IF(Atletas!O297="Yang D",319,IF(Atletas!O297="Chen D",320,IF(Atletas!O297="Sun D",321,IF(Atletas!O297="Wu D",322,IF(Atletas!O297="Wu-Hao D",323,IF(Atletas!O297="Outro Taijiquan D",324,IF(Atletas!O297="Yang E",325,IF(Atletas!O297="Chen E",326,IF(Atletas!O297="Sun E",327,IF(Atletas!O297="Wu E",328,IF(Atletas!O297="Wu-Hao E",329,IF(Atletas!O297="Outro Taijiquan E",330,IF(Atletas!O297="Yang F",331,IF(Atletas!O297="Chen F",332,IF(Atletas!O297="Sun F",333,IF(Atletas!O297="Wu F",334,IF(Atletas!O297="Wu-Hao F",335,IF(Atletas!O297="Outro Taijiquan F",336,"")))))))))))))))))))))))))))))))))))))</f>
        <v/>
      </c>
      <c r="BW306" s="50" t="str">
        <f>IF(Atletas!P297="","",IF(Atletas!X297&lt;&gt;"",10000,0)+IF(Atletas!B297="Feminino",1000,IF(Atletas!B297="Masculino",2000,""))+IF(OR(Atletas!P297="Yang 26 A",Atletas!P297="Yang 40 A"),401,IF(OR(Atletas!P297="Chen 25 A",Atletas!P297="Chen 36 A",Atletas!P297="Chen 56 A"),402,IF(Atletas!P297="Sun 73 A",403,IF(Atletas!P297="Wu 45 A",404,IF(Atletas!P297="Wu-Hao 46 A",405,IF(OR(Atletas!P297="Taijiquan 16 A",Atletas!P297="Taijiquan 24 A",Atletas!P297="Taijiquan 32 A",Atletas!P297="Taijiquan 42 A"),406,IF(OR(Atletas!P297="Yang 26 B",Atletas!P297="Yang 40 B"),407,IF(OR(Atletas!P297="Chen 25 B",Atletas!P297="Chen 36 B",Atletas!P297="Chen 56 B"),408,IF(Atletas!P297="Sun 73 B",409,IF(Atletas!P297="Wu 45 B",410,IF(Atletas!P297="Wu-Hao 46 B",411,IF(OR(Atletas!P297="Taijiquan 16 B",Atletas!P297="Taijiquan 24 B",Atletas!P297="Taijiquan 32 B",Atletas!P297="Taijiquan 42 B"),412,IF(OR(Atletas!P297="Yang 26 C",Atletas!P297="Yang 40 C"),413,IF(OR(Atletas!P297="Chen 25 C",Atletas!P297="Chen 36 C",Atletas!P297="Chen 56 C"),414,IF(Atletas!P297="Sun 73 C",415,IF(Atletas!P297="Wu 45 C",416,IF(Atletas!P297="Wu-Hao 46 C",417,IF(OR(Atletas!P297="Taijiquan 16 C",Atletas!P297="Taijiquan 24 C",Atletas!P297="Taijiquan 32 C",Atletas!P297="Taijiquan 42 C"),418,0)))))))))))))))))))</f>
        <v/>
      </c>
      <c r="BX306" s="50" t="str">
        <f>IF(Atletas!P297="","",IF(Atletas!X297&lt;&gt;"",10000,0)+IF(Atletas!B297="Feminino",1000,IF(Atletas!B297="Masculino",2000,""))+IF(OR(Atletas!P297="Yang 26 D",Atletas!P297="Yang 40 D"),419,IF(OR(Atletas!P297="Chen 25 D",Atletas!P297="Chen 36 D",Atletas!P297="Chen 56 D"),420,IF(Atletas!P297="Sun 73 D",421,IF(Atletas!P297="Wu 45 D",422,IF(Atletas!P297="Wu-Hao 46 D",423,IF(OR(Atletas!P297="Taijiquan 16 D",Atletas!P297="Taijiquan 24 D",Atletas!P297="Taijiquan 32 D",Atletas!P297="Taijiquan 42 D"),424,IF(OR(Atletas!P297="Yang 26 E",Atletas!P297="Yang 40 E"),425,IF(OR(Atletas!P297="Chen 25 E",Atletas!P297="Chen 36 E",Atletas!P297="Chen 56 E"),426,IF(Atletas!P297="Sun 73 E",427,IF(Atletas!P297="Wu 45 E",428,IF(Atletas!P297="Wu-Hao 46 E",429,IF(OR(Atletas!P297="Taijiquan 16 E",Atletas!P297="Taijiquan 24 E",Atletas!P297="Taijiquan 32 E",Atletas!P297="Taijiquan 42 E"),430,IF(OR(Atletas!P297="Yang 26 F",Atletas!P297="Yang 40 F"),431,IF(OR(Atletas!P297="Chen 25 F",Atletas!P297="Chen 36 F",Atletas!P297="Chen 56 F"),432,IF(Atletas!P297="Sun 73 F",433,IF(Atletas!P297="Wu 45 F",434,IF(Atletas!P297="Wu-Hao 46 F",435,IF(OR(Atletas!P297="Taijiquan 16 F",Atletas!P297="Taijiquan 24 F",Atletas!P297="Taijiquan 32 F",Atletas!P297="Taijiquan 42 F"),436,0)))))))))))))))))))</f>
        <v/>
      </c>
      <c r="BY306" s="50" t="str">
        <f>IF(Atletas!Q297="","",IF(Atletas!X297&lt;&gt;"",10000,0)+IF(Atletas!B297="Feminino",1000,IF(Atletas!B297="Masculino",2000,""))+IF(Atletas!Q297="Xingyiquan A",501,IF(Atletas!Q297="Baguazhang A",502,IF(Atletas!Q297="Outro Estilo Interno A",503,IF(Atletas!Q297="Xingyiquan B",504,IF(Atletas!Q297="Baguazhang B",505,IF(Atletas!Q297="Outro Estilo Interno B",506,IF(Atletas!Q297="Xingyiquan C",507,IF(Atletas!Q297="Baguazhang C",508,IF(Atletas!Q297="Outro Estilo Interno C",509,IF(Atletas!Q297="Xingyiquan D",510,IF(Atletas!Q297="Baguazhang D",511,IF(Atletas!Q297="Outro Estilo Interno D",512,IF(Atletas!Q297="Xingyiquan E",513,IF(Atletas!Q297="Baguazhang E",514,IF(Atletas!Q297="Outro Estilo Interno E",515,IF(Atletas!Q297="Xingyiquan F",516,IF(Atletas!Q297="Baguazhang F",517,IF(Atletas!Q297="Outro Estilo Interno F",518, "")))))))))))))))))))</f>
        <v/>
      </c>
      <c r="BZ306" s="50" t="str">
        <f>IF(Atletas!R297="","",IF(Atletas!X297&lt;&gt;"",10000,0)+IF(Atletas!B297="Feminino",1000,IF(Atletas!B297="Masculino",2000,""))+IF(Atletas!R297="Dao A",601,IF(Atletas!R297="Jian A",602,IF(Atletas!R297="Bishou A",603,IF(Atletas!R297="Shanzi A",604,IF(Atletas!R297="Outra Arma Curta A",605,IF(Atletas!R297="Dao B",606,IF(Atletas!R297="Jian B",607,IF(Atletas!R297="Bishou B",608,IF(Atletas!R297="Shanzi B",609,IF(Atletas!R297="Outra Arma Curta B",610,IF(Atletas!R297="Dao C",611,IF(Atletas!R297="Jian C",612,IF(Atletas!R297="Bishou C",613,IF(Atletas!R297="Shanzi C",614,IF(Atletas!R297="Outra Arma Curta C",615,IF(Atletas!R297="Dao D",616,IF(Atletas!R297="Jian D",617,IF(Atletas!R297="Bishou D",618,IF(Atletas!R297="Shanzi D",619,IF(Atletas!R297="Outra Arma Curta D",620,IF(Atletas!R297="Dao E",621,IF(Atletas!R297="Jian E",622,IF(Atletas!R297="Bishou E",623,IF(Atletas!R297="Shanzi E",624,IF(Atletas!R297="Outra Arma Curta E",625,IF(Atletas!R297="Dao F",626,IF(Atletas!R297="Jian F",627,IF(Atletas!R297="Bishou F",628,IF(Atletas!R297="Shanzi F",629,IF(Atletas!R297="Outra Arma Curta F",630, "")))))))))))))))))))))))))))))))</f>
        <v/>
      </c>
      <c r="CA306" s="50" t="str">
        <f>IF(Atletas!S297="","",IF(Atletas!X297&lt;&gt;"",10000,0)+IF(Atletas!B297="Feminino",1000,IF(Atletas!B297="Masculino",2000,""))+IF(Atletas!S297="Gun A",701,IF(Atletas!S297="Qiang A",702,IF(Atletas!S297="Pudao / Guandao A",703,IF(Atletas!S297="Outra Arma Longa A",704,IF(Atletas!S297="Gun B",705,IF(Atletas!S297="Qiang B",706,IF(Atletas!S297="Pudao / Guandao B",707,IF(Atletas!S297="Outra Arma Longa B",708,IF(Atletas!S297="Gun C",709,IF(Atletas!S297="Qiang C",710,IF(Atletas!S297="Pudao / Guandao C",711,IF(Atletas!S297="Outra Arma Longa C",712,IF(Atletas!S297="Gun D",713,IF(Atletas!S297="Qiang D",714,IF(Atletas!S297="Pudao / Guandao D",715,IF(Atletas!S297="Outra Arma Longa D",716,IF(Atletas!S297="Gun E",717,IF(Atletas!S297="Qiang E",718,IF(Atletas!S297="Pudao / Guandao E",719,IF(Atletas!S297="Outra Arma Longa E",720,IF(Atletas!S297="Gun F",721,IF(Atletas!S297="Qiang F",722,IF(Atletas!S297="Pudao / Guandao F",723,IF(Atletas!S297="Outra Arma Longa F",724,"")))))))))))))))))))))))))</f>
        <v/>
      </c>
      <c r="CB306" s="50" t="str">
        <f>IF(Atletas!T297="","",IF(Atletas!X297&lt;&gt;"",10000,0)+IF(Atletas!B297="Feminino",1000,IF(Atletas!B297="Masculino",2000,""))+IF(Atletas!T297="Outra Arma Dupla A",801,IF(Atletas!T297="Arma Maleável A",802,IF(Atletas!T297="Outra Arma Dupla B",803,IF(Atletas!T297="Arma Maleável B",804,IF(Atletas!T297="Outra Arma Dupla C",805,IF(Atletas!T297="Arma Maleável C",806,IF(Atletas!T297="Outra Arma Dupla D",807,IF(Atletas!T297="Arma Maleável D",808,IF(Atletas!T297="Outra Arma Dupla E",809,IF(Atletas!T297="Arma Maleável E",810,IF(Atletas!T297="Outra Arma Dupla F",811,IF(Atletas!T297="Arma Maleável F",812,IF(Atletas!T297="Shuangdao A",813,IF(Atletas!T297="Shuangdao B",814,IF(Atletas!T297="Shuangdao C",815,IF(Atletas!T297="Shuangdao D",816,IF(Atletas!T297="Shuangdao E",817,IF(Atletas!T297="Shuangdao F",818,"")))))))))))))))))))</f>
        <v/>
      </c>
      <c r="CC306" s="50" t="str">
        <f>IF(Atletas!U297="","",IF(Atletas!X297&lt;&gt;"",10000,0)+IF(Atletas!B297="Feminino",1000,IF(Atletas!B297="Masculino",2000,""))+IF(OR(Atletas!U297="Taijijian Yang A",Atletas!U297="Taijijian Yang Standard A"),901,IF(OR(Atletas!U297="Taijijian Chen A", Atletas!U297="Taijijian Chen Standard A"),902,IF(Atletas!U297="Taijijian Sun A",903,IF(Atletas!U297="Taijijian Wu A",904,IF(Atletas!U297="Taijijian Wu-Hao A",905,IF(OR(Atletas!U297="Taijijian 32 A",Atletas!U297="Taijijian 42 A"),906,IF(OR(Atletas!U297="Taijijian Yang B",Atletas!U297="Taijijian Yang Standard B"),907,IF(OR(Atletas!U297="Taijijian Chen B", Atletas!U297="Taijijian Chen Standard B"),908,IF(Atletas!U297="Taijijian Sun B",909,IF(Atletas!U297="Taijijian Wu B",910,IF(Atletas!U297="Taijijian Wu-Hao B",911,IF(OR(Atletas!U297="Taijijian 32 B",Atletas!U297="Taijijian 42 B"),912,IF(OR(Atletas!U297="Taijijian Yang C",Atletas!U297="Taijijian Yang Standard C"),913,IF(OR(Atletas!U297="Taijijian Chen C", Atletas!U297="Taijijian Chen Standard C"),914,IF(Atletas!U297="Taijijian Sun C",915,IF(Atletas!U297="Taijijian Wu C",916,IF(Atletas!U297="Taijijian Wu-Hao C",917,IF(OR(Atletas!U297="Taijijian 32 C",Atletas!U297="Taijijian 42 C"),918,IF(OR(Atletas!U297="Taijijian Yang D",Atletas!U297="Taijijian Yang Standard D"),919,IF(OR(Atletas!U297="Taijijian Chen D", Atletas!U297="Taijijian Chen Standard D"),920,IF(Atletas!U297="Taijijian Sun D",921,IF(Atletas!U297="Taijijian Wu D",922,IF(Atletas!U297="Taijijian Wu-Hao D",923,IF(OR(Atletas!U297="Taijijian 32 D",Atletas!U297="Taijijian 42 D"),924,IF(OR(Atletas!U297="Taijijian Yang E",Atletas!U297="Taijijian Yang Standard E"),925,IF(OR(Atletas!U297="Taijijian Chen E", Atletas!U297="Taijijian Chen Standard E"),926,IF(Atletas!U297="Taijijian Sun E",927,IF(Atletas!U297="Taijijian Wu E",928,IF(Atletas!U297="Taijijian Wu-Hao E",929,IF(OR(Atletas!U297="Taijijian 32 E",Atletas!U297="Taijijian 42 E"),930,IF(OR(Atletas!U297="Taijijian Yang F",Atletas!U297="Taijijian Yang Standard F"),931,IF(OR(Atletas!U297="Taijijian Chen F", Atletas!U297="Taijijian Chen Standard F"),932,IF(Atletas!U297="Taijijian Sun F",933,IF(Atletas!U297="Taijijian Wu F",934,IF(Atletas!U297="Taijijian Wu-Hao F",935,IF(OR(Atletas!U297="Taijijian 32 F",Atletas!U297="Taijijian 42 F"),936,"")))))))))))))))))))))))))))))))))))))</f>
        <v/>
      </c>
      <c r="CD306" s="50" t="str">
        <f>IF(Atletas!V297="","",IF(Atletas!X297&lt;&gt;"",10000,0)+IF(Atletas!B297="Feminino",1000,IF(Atletas!B297="Masculino",2000,""))+IF(Atletas!V297="Taijidao A",937,IF(Atletas!V297="TaijiShanzi A",938,IF(Atletas!V297="Taijiqiang A",939,IF(Atletas!V297="Bagua de Arma A",940,IF(Atletas!V297="Xingyi de Arma A",941,IF(Atletas!V297="Taijidao B",942,IF(Atletas!V297="TaijiShanzi B",943,IF(Atletas!V297="Taijiqiang B",944,IF(Atletas!V297="Bagua de Arma B",945,IF(Atletas!V297="Xingyi de Arma B",946,IF(Atletas!V297="Taijidao C",947,IF(Atletas!V297="TaijiShanzi C",948,IF(Atletas!V297="Taijiqiang C",949,IF(Atletas!V297="Bagua de Arma C",950,IF(Atletas!V297="Xingyi de Arma C",951,IF(Atletas!V297="Taijidao D",952,IF(Atletas!V297="TaijiShanzi D",953,IF(Atletas!V297="Taijiqiang D",954,IF(Atletas!V297="Bagua de Arma D",955,IF(Atletas!V297="Xingyi de Arma D",956,IF(Atletas!V297="Taijidao E",957,IF(Atletas!V297="TaijiShanzi E",958,IF(Atletas!V297="Taijiqiang E",959,IF(Atletas!V297="Bagua de Arma E",960,IF(Atletas!V297="Xingyi de Arma E",961,IF(Atletas!V297="Taijidao F",962,IF(Atletas!V297="TaijiShanzi F",963,IF(Atletas!V297="Taijiqiang F",964,IF(Atletas!V297="Bagua de Arma F",965,IF(Atletas!V297="Xingyi de Arma F",966,"")))))))))))))))))))))))))))))))</f>
        <v/>
      </c>
      <c r="CE306" s="66" t="str">
        <f>IF(CF306&lt;&gt;"","Taijijian Combinado A","")</f>
        <v/>
      </c>
      <c r="CF306" s="6" t="str">
        <f>IF(COUNTIF(BR:CD,1906)&gt;0,COUNTIF(BR:CD,1906),"")</f>
        <v/>
      </c>
      <c r="CG306" s="66" t="str">
        <f>IF(CH306&lt;&gt;"","Taijijian Combinado A","")</f>
        <v/>
      </c>
      <c r="CH306" s="66" t="str">
        <f>IF(COUNTIF(BR:CD,2906)&gt;0,COUNTIF(BR:CD,2906),"")</f>
        <v/>
      </c>
      <c r="CI306" s="66" t="str">
        <f>IF(CJ307&lt;&gt;"","Taijijian Yang D","")</f>
        <v/>
      </c>
      <c r="CJ306" s="66" t="str">
        <f>IF(COUNTIF(BR:CD,11918)&gt;0,COUNTIF(BR:CD,11918),"")</f>
        <v/>
      </c>
      <c r="CK306" s="66" t="str">
        <f>IF(CL306&lt;&gt;"","Taijijian Combinado C","")</f>
        <v/>
      </c>
      <c r="CL306" s="66" t="str">
        <f>IF(COUNTIF(BR:CD,12918)&gt;0,COUNTIF(BR:CD,12918),"")</f>
        <v/>
      </c>
      <c r="CM306" s="50" t="str">
        <f xml:space="preserve"> IF(Atletas!W297="","",IF(Atletas!W297="Duilian de Mãos BC - Equipe 1",1,IF(Atletas!W297="Duilian de Mãos BC - Equipe 2",2,IF(Atletas!W297="Duilian de Armas BC - Equipe 1",3,IF(Atletas!W297="Duilian de Armas BC - Equipe 2",4,IF(Atletas!W297="Duilian de Mãos DE - Equipe 1",5,IF(Atletas!W297="Duilian de Mãos DE - Equipe 2",6,IF(Atletas!W297="Duilian de Armas DE - Equipe 1",7,IF(Atletas!W297="Duilian de Armas DE - Equipe 2",8,IF(Atletas!W297="Duilian de Tuishou - Equipe 1",9,IF(Atletas!W297="Duilian de Tuishou - Equipe 2",10,IF(Atletas!W297="Grupo Externo ABC - Equipe 1",11,IF(Atletas!W297="Grupo Externo ABC - Equipe 2",12,IF(Atletas!W297="Grupo Interno ABC - Equipe 1",13,IF(Atletas!W297="Grupo Interno ABC - Equipe 2",14,IF(Atletas!W297="Grupo Externo DEF - Equipe 1",15,IF(Atletas!W297="Grupo Externo DEF - Equipe 2",16,IF(Atletas!W297="Grupo Interno DEF - Equipe 1",17,IF(Atletas!W297="Grupo Interno DEF - Equipe 2",18,"")))))))))))))))))))</f>
        <v/>
      </c>
    </row>
    <row r="307" spans="40:91">
      <c r="AN307" s="52" t="str">
        <f>IF(Atletas!D298="","",IF(Atletas!B298="Feminino",100,IF(Atletas!B298="Masculino",200,""))+(IF(Atletas!D298="Kids 30kg",1,IF(Atletas!D298="Kids 32kg",2, IF(Atletas!D298="Kids 34kg",3,IF(Atletas!D298="Kids 36kg",4,IF(Atletas!D298="Kids 39kg",5,IF(Atletas!D298="Kids 42kg",6,IF(Atletas!D298="Kids 45kg",7, IF(Atletas!D298="Infantil 39kg",8,IF(Atletas!D298="Infantil 42kg",9,IF(Atletas!D298="Infantil 45kg",10,IF(Atletas!D298="Infantil 48kg",11,IF(Atletas!D298="Infantil 52kg",12,IF(Atletas!D298="Infantil 56kg",13,IF(Atletas!D298="Infantil 60kg",14,IF(Atletas!D298="Juvenil 48kg",15,IF(Atletas!D298="Juvenil 52kg",16,IF(Atletas!D298="Juvenil 56kg",17,IF(Atletas!D298="Juvenil 60kg",18,IF(Atletas!D298="Juvenil 65kg",19,IF(Atletas!D298="Juvenil 70kg",20,IF(Atletas!D298="Juvenil 75kg",21,IF(Atletas!D298="Juvenil 80kg",22, IF(Atletas!D298="Juvenil 85kg",23,IF(Atletas!D298="Adulto 48kg",24,IF(Atletas!D298="Adulto 52kg",25,IF(Atletas!D298="Adulto 56kg",26,IF(Atletas!D298="Adulto 60kg",27,IF(Atletas!D298="Adulto 65kg",28,IF(Atletas!D298="Adulto 70kg",29,IF(Atletas!D298="Adulto 75kg",30,IF(Atletas!D298="Adulto 80kg",31,IF(Atletas!D298="Adulto 85kg",32,IF(Atletas!D298="Adulto 90kg",33,IF(Atletas!D298="Adulto 100kg",34, IF(Atletas!D298="Adulto +100kg",35,"")))))))))))))))))))))))))))))))))))))</f>
        <v/>
      </c>
      <c r="AS307" s="6" t="str">
        <f>IF(Atletas!E298="","",IF(Atletas!B298="Feminino",100,IF(Atletas!B298="Masculino",200,""))+(IF(Atletas!E298="Juvenil 44kg",1,IF(Atletas!E298="Juvenil 48kg",2,IF(Atletas!E298="Juvenil 52kg",3,IF(Atletas!E298="Juvenil 56kg",4,IF(Atletas!E298="Juvenil 60kg",5,IF(Atletas!E298="Juvenil 65kg",6,IF(Atletas!E298="Juvenil 70kg",7,IF(Atletas!E298="Juvenil 75kg",8,IF(Atletas!E298="Juvenil 82kg",9,IF(Atletas!E298="Juvenil 90kg",10,IF(Atletas!E298="Juvenil 100kg",11,IF(Atletas!E298="Adulto 48kg",12,IF(Atletas!E298="Adulto 52kg",13,IF(Atletas!E298="Adulto 56kg",14,IF(Atletas!E298="Adulto 60kg",15,IF(Atletas!E298="Adulto 65kg",16,IF(Atletas!E298="Adulto 70kg",17,IF(Atletas!E298="Adulto 75kg",18,IF(Atletas!E298="Adulto 82kg",19,IF(Atletas!E298="Adulto 90kg",20,IF(Atletas!E298="Adulto 100kg",21,IF(Atletas!E298="Adulto +100kg",22,""))))))))))))))))))))))))</f>
        <v/>
      </c>
      <c r="AX307" s="6" t="str">
        <f>IF(Atletas!F298="","",IF(Atletas!B298="Feminino",100,IF(Atletas!B298="Masculino",200,""))+(IF(Atletas!F298="Adulto 48kg",1,IF(Atletas!F298="Adulto 56kg",2,IF(Atletas!F298="Adulto 65kg",3,IF(Atletas!F298="Adulto 75kg",4,IF(Atletas!F298="Adulto +75kg",5,IF(Atletas!F298="Adulto 52kg",6,IF(Atletas!F298="Adulto 60kg",7,IF(Atletas!F298="Adulto 70kg",8,IF(Atletas!F298="Adulto 80kg",9,IF(Atletas!F298="Adulto 90kg",10,IF(Atletas!F298="Adulto +90kg",11,"")))))))))))))</f>
        <v/>
      </c>
      <c r="BC307" s="6" t="str">
        <f>IF(Atletas!G298="","",IF(Atletas!B298="Feminino",10,IF(Atletas!B298="Masculino",20,""))+(IF(Atletas!G298="Baduanjin A",1,IF(Atletas!G298="Baduanjin B",2))))</f>
        <v/>
      </c>
      <c r="BF307" s="52" t="str">
        <f>IF(Atletas!H298="","",IF(Atletas!B298="Feminino",100,IF(Atletas!B298="Masculino",200,""))+(IF(Atletas!H298="Changquan Mirim",1,IF(Atletas!H298="Nanquan Mirim",2,IF(Atletas!H298="Taijiquan Mirim",3,IF(Atletas!H298="Changquan Grupo C",4,IF(Atletas!H298="Nanquan Grupo C",5,IF(Atletas!H298="Taijiquan Grupo C",6,IF(Atletas!H298="Changquan Grupo B",7,IF(Atletas!H298="Nanquan Grupo B",8,IF(Atletas!H298="Taijiquan Grupo B",9,IF(Atletas!H298="Changquan Grupo A",10,IF(Atletas!H298="Nanquan Grupo A",11,IF(Atletas!H298="Taijiquan Grupo A",12,IF(Atletas!H298="Changquan Opcional",13,IF(Atletas!H298="Nanquan Opcional",14,IF(Atletas!H298="Taijiquan Opcional",15,IF(Atletas!H298="Changquan Adulto",16,IF(Atletas!H298="Nanquan Adulto",17,IF(Atletas!H298="Taijiquan Adulto",18,""))))))))))))))))))))</f>
        <v/>
      </c>
      <c r="BG307" s="52" t="str">
        <f>IF(Atletas!I298="","",IF(Atletas!B298="Feminino",100,IF(Atletas!B298="Masculino",200,""))+(IF(Atletas!I298="Daoshu Mirim",19,IF(Atletas!I298="Jianshu Mirim",20,IF(Atletas!I298="Nandao Mirim",21,IF(Atletas!I298="Taijijian Mirim",22,IF(Atletas!I298="Daoshu Grupo C",23,IF(Atletas!I298="Jianshu Grupo C",24,IF(Atletas!I298="Nandao Grupo C",25,IF(Atletas!I298="Taijijian Grupo C",26,IF(Atletas!I298="Daoshu Grupo B",27,IF(Atletas!I298="Jianshu Grupo B",28,IF(Atletas!I298="Nandao Grupo B",29,IF(Atletas!I298="Taijijian Grupo B",30,IF(Atletas!I298="Daoshu Grupo A",31,IF(Atletas!I298="Jianshu Grupo A",32,IF(Atletas!I298="Nandao Grupo A",33,IF(Atletas!I298="Taijijian Grupo A",34,IF(Atletas!I298="Daoshu Opcional",35,IF(Atletas!I298="Jianshu Opcional",36,IF(Atletas!I298="Nandao Opcional",37,IF(Atletas!I298="Taijijian Opcional",38,IF(Atletas!I298="Daoshu Adulto",39,IF(Atletas!I298="Jianshu Adulto",40,IF(Atletas!I298="Nandao Adulto",41,IF(Atletas!I298="Taijijian Adulto",42,""))))))))))))))))))))))))))</f>
        <v/>
      </c>
      <c r="BH307" s="52" t="str">
        <f>IF(Atletas!J298="","",IF(Atletas!B298="Feminino",100,IF(Atletas!B298="Masculino",200,""))+(IF(Atletas!J298="Gunshu Mirim",43,IF(Atletas!J298="Qiangshu Mirim",44,IF(Atletas!J298="Nangun Mirim",45,IF(Atletas!J298="Gunshu Grupo C",46,IF(Atletas!J298="Qiangshu Grupo C",47,IF(Atletas!J298="Nangun Grupo C",48,IF(Atletas!J298="Gunshu Grupo B",49,IF(Atletas!J298="Qiangshu Grupo B",50,IF(Atletas!J298="Nangun Grupo B",51,IF(Atletas!J298="Gunshu Grupo A",52,IF(Atletas!J298="Qiangshu Grupo A",53,IF(Atletas!J298="Nangun Grupo A",54,IF(Atletas!J298="Gunshu Opcional",55,IF(Atletas!J298="Qiangshu Opcional",56,IF(Atletas!J298="Nangun Opcional",57,IF(Atletas!J298="Gunshu Adulto",58,IF(Atletas!J298="Qiangshu Adulto",59,IF(Atletas!J298="Nangun Adulto",60,IF(Atletas!J298="Taijishan Grupo B",61,IF(Atletas!J298="Taijishan Grupo A",62,""))))))))))))))))))))))</f>
        <v/>
      </c>
      <c r="BM307" s="50" t="str">
        <f>IF(Atletas!K298="","",IF(Atletas!B298="Feminino",100,IF(Atletas!B298="Masculino",200,""))+(IF(Atletas!K298="Equipe 1 Grupo B",1,IF(Atletas!K298="Equipe 2 Grupo B",2,IF(Atletas!K298="Equipe 1 Grupo A",3,IF(Atletas!K298="Equipe 2 Grupo A",4,IF(Atletas!K298="Equipe 1 Adulto",5,IF(Atletas!K298="Equipe 2 Adulto",6,""))))))))</f>
        <v/>
      </c>
      <c r="BR307" s="50" t="str">
        <f>IF(Atletas!L298="","",IF(Atletas!X298&lt;&gt;"",10000,0)+(IF(Atletas!B298="Feminino",1000,IF(Atletas!B298="Masculino",2000,""))+IF(Atletas!L298="Choylayfut A",1,IF(Atletas!L298="Hunggar A",2,IF(Atletas!L298="Wuzuquan A",3,IF(Atletas!L298="Wingchun A",4,IF(Atletas!L298="Outra Mão de Sul A",5,IF(Atletas!L298="Choylayfut B",6,IF(Atletas!L298="Hunggar B",7,IF(Atletas!L298="Wuzuquan B",8,IF(Atletas!L298="Wingchun B",9,IF(Atletas!L298="Outra Mão de Sul B",10,IF(Atletas!L298="Choylayfut C",11,IF(Atletas!L298="Hunggar C",12,IF(Atletas!L298="Wuzuquan C",13,IF(Atletas!L298="Wingchun C",14,IF(Atletas!L298="Outra Mão de Sul C",15,IF(Atletas!L298="Choylayfut D",16,IF(Atletas!L298="Hunggar D",17,IF(Atletas!L298="Wuzuquan D",18,IF(Atletas!L298="Wingchun D",19,IF(Atletas!L298="Outra Mão de Sul D",20,IF(Atletas!L298="Choylayfut E",21,IF(Atletas!L298="Hunggar E",22,IF(Atletas!L298="Wuzuquan E",23,IF(Atletas!L298="Wingchun E",24,IF(Atletas!L298="Outra Mão de Sul E",25,IF(Atletas!L298="Choylayfut F",26,IF(Atletas!L298="Hunggar F",27,IF(Atletas!L298="Wuzuquan F",28,IF(Atletas!L298="Wingchun F",29,IF(Atletas!L298="Outra Mão de Sul F",30,IF(Atletas!L298="Dishuquan A",31,IF(Atletas!L298="Dishuquan B",32,IF(Atletas!L298="Dishuquan C",33,IF(Atletas!L298="Dishuquan D",34,IF(Atletas!L298="Dishuquan E",35,IF(Atletas!L298="Dishuquan F",36,""))))))))))))))))))))))))))))))))))))))</f>
        <v/>
      </c>
      <c r="BS307" s="50" t="str">
        <f>IF(Atletas!M298="","",IF(Atletas!X298&lt;&gt;"",10000,0)+(IF(Atletas!B298="Feminino",1000,IF(Atletas!B298="Masculino",2000,""))+(IF(Atletas!M298="Chaquan A",101,IF(Atletas!M298="Emeiquan A",102,IF(Atletas!M298="Fanziquan A",103,IF(Atletas!M298="Huaquan A",104,IF(Atletas!M298="Hongquan A",105,IF(Atletas!M298="Paoquan A",106,IF(Atletas!M298="Piguaquan A",107,IF(Atletas!M298="Shaolinquan A",108,IF(Atletas!M298="Tanglangquan A",109,IF(Atletas!M298="Yingzhaoquan A",110,IF(Atletas!M298="Tongbeiquan A",111,IF(Atletas!M298="Wudangquan A",112,IF(Atletas!M298="Outros Estilos A",113,IF(Atletas!M298="Chaquan B",114,IF(Atletas!M298="Emeiquan B",115,IF(Atletas!M298="Fanziquan B",116,IF(Atletas!M298="Huaquan B",117,IF(Atletas!M298="Hongquan B",118,IF(Atletas!M298="Paoquan B",119,IF(Atletas!M298="Piguaquan B",120,IF(Atletas!M298="Shaolinquan B",121,IF(Atletas!M298="Tanglangquan B",122,IF(Atletas!M298="Yingzhaoquan B",123,IF(Atletas!M298="Tongbeiquan B",124,IF(Atletas!M298="Wudangquan B",125,IF(Atletas!M298="Outros Estilos B",126,IF(Atletas!M298="Chaquan C",127,IF(Atletas!M298="Emeiquan C",128,IF(Atletas!M298="Fanziquan C",129,IF(Atletas!M298="Huaquan C",130,IF(Atletas!M298="Hongquan C",131,IF(Atletas!M298="Paoquan C",132,IF(Atletas!M298="Piguaquan C",133,IF(Atletas!M298="Shaolinquan C",134,IF(Atletas!M298="Tanglangquan C",135,IF(Atletas!M298="Yingzhaoquan C",136,IF(Atletas!M298="Tongbeiquan C",137,IF(Atletas!M298="Wudangquan C",138,IF(Atletas!M298="Outros Estilos C",139,0))))))))))))))))))))))))))))))))))))))))))</f>
        <v/>
      </c>
      <c r="BT307" s="50" t="str">
        <f>IF(Atletas!M298="","",IF(Atletas!X298&lt;&gt;"",10000,0)+(IF(Atletas!B298="Feminino",1000,IF(Atletas!B298="Masculino",2000,""))+(IF(Atletas!M298="Chaquan D",140,IF(Atletas!M298="Emeiquan D",141,IF(Atletas!M298="Fanziquan D",142,IF(Atletas!M298="Huaquan D",143,IF(Atletas!M298="Hongquan D",144,IF(Atletas!M298="Paoquan D",145,IF(Atletas!M298="Piguaquan D",146,IF(Atletas!M298="Shaolinquan D",147,IF(Atletas!M298="Tanglangquan D",148,IF(Atletas!M298="Yingzhaoquan D",149,IF(Atletas!M298="Tongbeiquan D",150,IF(Atletas!M298="Wudangquan D",151,IF(Atletas!M298="Outros Estilos D",152,IF(Atletas!M298="Chaquan E",153,IF(Atletas!M298="Emeiquan E",154,IF(Atletas!M298="Fanziquan E",155,IF(Atletas!M298="Huaquan E",156,IF(Atletas!M298="Hongquan E",157,IF(Atletas!M298="Paoquan E",158,IF(Atletas!M298="Piguaquan E",159,IF(Atletas!M298="Shaolinquan E",160,IF(Atletas!M298="Tanglangquan E",161,IF(Atletas!M298="Yingzhaoquan E",162,IF(Atletas!M298="Tongbeiquan E",163,IF(Atletas!M298="Wudangquan E",164,IF(Atletas!M298="Outros Estilos E",165,IF(Atletas!M298="Chaquan F",166,IF(Atletas!M298="Emeiquan F",167,IF(Atletas!M298="Fanziquan F",168,IF(Atletas!M298="Huaquan F",169,IF(Atletas!M298="Hongquan F",170,IF(Atletas!M298="Paoquan F",171,IF(Atletas!M298="Piguaquan F",172,IF(Atletas!M298="Shaolinquan F",173,IF(Atletas!M298="Tanglangquan F",174,IF(Atletas!M298="Yingzhaoquan F",175,IF(Atletas!M298="Tongbeiquan F",176,IF(Atletas!M298="Wudangquan F",177,IF(Atletas!M298="Outros Estilos F",178,0))))))))))))))))))))))))))))))))))))))))))</f>
        <v/>
      </c>
      <c r="BU307" s="50" t="str">
        <f>IF(Atletas!N298="","",IF(Atletas!X298&lt;&gt;"",10000,0)+(IF(Atletas!B298="Feminino",1000,IF(Atletas!B298="Masculino",2000,""))+(IF(Atletas!N298="Ditangquan A",201,IF(Atletas!N298="Houquan A",202,IF(Atletas!N298="Zuiquan A",203,IF(Atletas!N298="Ditangquan B",204,IF(Atletas!N298="Houquan B",205,IF(Atletas!N298="Zuiquan B",206,IF(Atletas!N298="Ditangquan C",207,IF(Atletas!N298="Houquan C",208,IF(Atletas!N298="Zuiquan C",209,IF(Atletas!N298="Ditangquan D",210,IF(Atletas!N298="Houquan D",211,IF(Atletas!N298="Zuiquan D",212,IF(Atletas!N298="Ditangquan E",213,IF(Atletas!N298="Houquan E",214,IF(Atletas!N298="Zuiquan E",215,IF(Atletas!N298="Ditangquan F",216,IF(Atletas!N298="Houquan F",217,IF(Atletas!N298="Zuiquan F",218,"")))))))))))))))))))))</f>
        <v/>
      </c>
      <c r="BV307" s="50" t="str">
        <f>IF(Atletas!O298="","",IF(Atletas!X298&lt;&gt;"",10000,0)+IF(Atletas!B298="Feminino",1000,IF(Atletas!B298="Masculino",2000,""))+IF(Atletas!O298="Yang A",301,IF(Atletas!O298="Chen A",302,IF(Atletas!O298="Sun A",303,IF(Atletas!O298="Wu A",304,IF(Atletas!O298="Wu-Hao A",305,IF(Atletas!O298="Outro Taijiquan A",306,IF(Atletas!O298="Yang B",307,IF(Atletas!O298="Chen B",308,IF(Atletas!O298="Sun B",309,IF(Atletas!O298="Wu B",310,IF(Atletas!O298="Wu-Hao B",311,IF(Atletas!O298="Outro Taijiquan B",312,IF(Atletas!O298="Yang C",313,IF(Atletas!O298="Chen C",314,IF(Atletas!O298="Sun C",315,IF(Atletas!O298="Wu C",316,IF(Atletas!O298="Wu-Hao C",317,IF(Atletas!O298="Outro Taijiquan C",318,IF(Atletas!O298="Yang D",319,IF(Atletas!O298="Chen D",320,IF(Atletas!O298="Sun D",321,IF(Atletas!O298="Wu D",322,IF(Atletas!O298="Wu-Hao D",323,IF(Atletas!O298="Outro Taijiquan D",324,IF(Atletas!O298="Yang E",325,IF(Atletas!O298="Chen E",326,IF(Atletas!O298="Sun E",327,IF(Atletas!O298="Wu E",328,IF(Atletas!O298="Wu-Hao E",329,IF(Atletas!O298="Outro Taijiquan E",330,IF(Atletas!O298="Yang F",331,IF(Atletas!O298="Chen F",332,IF(Atletas!O298="Sun F",333,IF(Atletas!O298="Wu F",334,IF(Atletas!O298="Wu-Hao F",335,IF(Atletas!O298="Outro Taijiquan F",336,"")))))))))))))))))))))))))))))))))))))</f>
        <v/>
      </c>
      <c r="BW307" s="50" t="str">
        <f>IF(Atletas!P298="","",IF(Atletas!X298&lt;&gt;"",10000,0)+IF(Atletas!B298="Feminino",1000,IF(Atletas!B298="Masculino",2000,""))+IF(OR(Atletas!P298="Yang 26 A",Atletas!P298="Yang 40 A"),401,IF(OR(Atletas!P298="Chen 25 A",Atletas!P298="Chen 36 A",Atletas!P298="Chen 56 A"),402,IF(Atletas!P298="Sun 73 A",403,IF(Atletas!P298="Wu 45 A",404,IF(Atletas!P298="Wu-Hao 46 A",405,IF(OR(Atletas!P298="Taijiquan 16 A",Atletas!P298="Taijiquan 24 A",Atletas!P298="Taijiquan 32 A",Atletas!P298="Taijiquan 42 A"),406,IF(OR(Atletas!P298="Yang 26 B",Atletas!P298="Yang 40 B"),407,IF(OR(Atletas!P298="Chen 25 B",Atletas!P298="Chen 36 B",Atletas!P298="Chen 56 B"),408,IF(Atletas!P298="Sun 73 B",409,IF(Atletas!P298="Wu 45 B",410,IF(Atletas!P298="Wu-Hao 46 B",411,IF(OR(Atletas!P298="Taijiquan 16 B",Atletas!P298="Taijiquan 24 B",Atletas!P298="Taijiquan 32 B",Atletas!P298="Taijiquan 42 B"),412,IF(OR(Atletas!P298="Yang 26 C",Atletas!P298="Yang 40 C"),413,IF(OR(Atletas!P298="Chen 25 C",Atletas!P298="Chen 36 C",Atletas!P298="Chen 56 C"),414,IF(Atletas!P298="Sun 73 C",415,IF(Atletas!P298="Wu 45 C",416,IF(Atletas!P298="Wu-Hao 46 C",417,IF(OR(Atletas!P298="Taijiquan 16 C",Atletas!P298="Taijiquan 24 C",Atletas!P298="Taijiquan 32 C",Atletas!P298="Taijiquan 42 C"),418,0)))))))))))))))))))</f>
        <v/>
      </c>
      <c r="BX307" s="50" t="str">
        <f>IF(Atletas!P298="","",IF(Atletas!X298&lt;&gt;"",10000,0)+IF(Atletas!B298="Feminino",1000,IF(Atletas!B298="Masculino",2000,""))+IF(OR(Atletas!P298="Yang 26 D",Atletas!P298="Yang 40 D"),419,IF(OR(Atletas!P298="Chen 25 D",Atletas!P298="Chen 36 D",Atletas!P298="Chen 56 D"),420,IF(Atletas!P298="Sun 73 D",421,IF(Atletas!P298="Wu 45 D",422,IF(Atletas!P298="Wu-Hao 46 D",423,IF(OR(Atletas!P298="Taijiquan 16 D",Atletas!P298="Taijiquan 24 D",Atletas!P298="Taijiquan 32 D",Atletas!P298="Taijiquan 42 D"),424,IF(OR(Atletas!P298="Yang 26 E",Atletas!P298="Yang 40 E"),425,IF(OR(Atletas!P298="Chen 25 E",Atletas!P298="Chen 36 E",Atletas!P298="Chen 56 E"),426,IF(Atletas!P298="Sun 73 E",427,IF(Atletas!P298="Wu 45 E",428,IF(Atletas!P298="Wu-Hao 46 E",429,IF(OR(Atletas!P298="Taijiquan 16 E",Atletas!P298="Taijiquan 24 E",Atletas!P298="Taijiquan 32 E",Atletas!P298="Taijiquan 42 E"),430,IF(OR(Atletas!P298="Yang 26 F",Atletas!P298="Yang 40 F"),431,IF(OR(Atletas!P298="Chen 25 F",Atletas!P298="Chen 36 F",Atletas!P298="Chen 56 F"),432,IF(Atletas!P298="Sun 73 F",433,IF(Atletas!P298="Wu 45 F",434,IF(Atletas!P298="Wu-Hao 46 F",435,IF(OR(Atletas!P298="Taijiquan 16 F",Atletas!P298="Taijiquan 24 F",Atletas!P298="Taijiquan 32 F",Atletas!P298="Taijiquan 42 F"),436,0)))))))))))))))))))</f>
        <v/>
      </c>
      <c r="BY307" s="50" t="str">
        <f>IF(Atletas!Q298="","",IF(Atletas!X298&lt;&gt;"",10000,0)+IF(Atletas!B298="Feminino",1000,IF(Atletas!B298="Masculino",2000,""))+IF(Atletas!Q298="Xingyiquan A",501,IF(Atletas!Q298="Baguazhang A",502,IF(Atletas!Q298="Outro Estilo Interno A",503,IF(Atletas!Q298="Xingyiquan B",504,IF(Atletas!Q298="Baguazhang B",505,IF(Atletas!Q298="Outro Estilo Interno B",506,IF(Atletas!Q298="Xingyiquan C",507,IF(Atletas!Q298="Baguazhang C",508,IF(Atletas!Q298="Outro Estilo Interno C",509,IF(Atletas!Q298="Xingyiquan D",510,IF(Atletas!Q298="Baguazhang D",511,IF(Atletas!Q298="Outro Estilo Interno D",512,IF(Atletas!Q298="Xingyiquan E",513,IF(Atletas!Q298="Baguazhang E",514,IF(Atletas!Q298="Outro Estilo Interno E",515,IF(Atletas!Q298="Xingyiquan F",516,IF(Atletas!Q298="Baguazhang F",517,IF(Atletas!Q298="Outro Estilo Interno F",518, "")))))))))))))))))))</f>
        <v/>
      </c>
      <c r="BZ307" s="50" t="str">
        <f>IF(Atletas!R298="","",IF(Atletas!X298&lt;&gt;"",10000,0)+IF(Atletas!B298="Feminino",1000,IF(Atletas!B298="Masculino",2000,""))+IF(Atletas!R298="Dao A",601,IF(Atletas!R298="Jian A",602,IF(Atletas!R298="Bishou A",603,IF(Atletas!R298="Shanzi A",604,IF(Atletas!R298="Outra Arma Curta A",605,IF(Atletas!R298="Dao B",606,IF(Atletas!R298="Jian B",607,IF(Atletas!R298="Bishou B",608,IF(Atletas!R298="Shanzi B",609,IF(Atletas!R298="Outra Arma Curta B",610,IF(Atletas!R298="Dao C",611,IF(Atletas!R298="Jian C",612,IF(Atletas!R298="Bishou C",613,IF(Atletas!R298="Shanzi C",614,IF(Atletas!R298="Outra Arma Curta C",615,IF(Atletas!R298="Dao D",616,IF(Atletas!R298="Jian D",617,IF(Atletas!R298="Bishou D",618,IF(Atletas!R298="Shanzi D",619,IF(Atletas!R298="Outra Arma Curta D",620,IF(Atletas!R298="Dao E",621,IF(Atletas!R298="Jian E",622,IF(Atletas!R298="Bishou E",623,IF(Atletas!R298="Shanzi E",624,IF(Atletas!R298="Outra Arma Curta E",625,IF(Atletas!R298="Dao F",626,IF(Atletas!R298="Jian F",627,IF(Atletas!R298="Bishou F",628,IF(Atletas!R298="Shanzi F",629,IF(Atletas!R298="Outra Arma Curta F",630, "")))))))))))))))))))))))))))))))</f>
        <v/>
      </c>
      <c r="CA307" s="50" t="str">
        <f>IF(Atletas!S298="","",IF(Atletas!X298&lt;&gt;"",10000,0)+IF(Atletas!B298="Feminino",1000,IF(Atletas!B298="Masculino",2000,""))+IF(Atletas!S298="Gun A",701,IF(Atletas!S298="Qiang A",702,IF(Atletas!S298="Pudao / Guandao A",703,IF(Atletas!S298="Outra Arma Longa A",704,IF(Atletas!S298="Gun B",705,IF(Atletas!S298="Qiang B",706,IF(Atletas!S298="Pudao / Guandao B",707,IF(Atletas!S298="Outra Arma Longa B",708,IF(Atletas!S298="Gun C",709,IF(Atletas!S298="Qiang C",710,IF(Atletas!S298="Pudao / Guandao C",711,IF(Atletas!S298="Outra Arma Longa C",712,IF(Atletas!S298="Gun D",713,IF(Atletas!S298="Qiang D",714,IF(Atletas!S298="Pudao / Guandao D",715,IF(Atletas!S298="Outra Arma Longa D",716,IF(Atletas!S298="Gun E",717,IF(Atletas!S298="Qiang E",718,IF(Atletas!S298="Pudao / Guandao E",719,IF(Atletas!S298="Outra Arma Longa E",720,IF(Atletas!S298="Gun F",721,IF(Atletas!S298="Qiang F",722,IF(Atletas!S298="Pudao / Guandao F",723,IF(Atletas!S298="Outra Arma Longa F",724,"")))))))))))))))))))))))))</f>
        <v/>
      </c>
      <c r="CB307" s="50" t="str">
        <f>IF(Atletas!T298="","",IF(Atletas!X298&lt;&gt;"",10000,0)+IF(Atletas!B298="Feminino",1000,IF(Atletas!B298="Masculino",2000,""))+IF(Atletas!T298="Outra Arma Dupla A",801,IF(Atletas!T298="Arma Maleável A",802,IF(Atletas!T298="Outra Arma Dupla B",803,IF(Atletas!T298="Arma Maleável B",804,IF(Atletas!T298="Outra Arma Dupla C",805,IF(Atletas!T298="Arma Maleável C",806,IF(Atletas!T298="Outra Arma Dupla D",807,IF(Atletas!T298="Arma Maleável D",808,IF(Atletas!T298="Outra Arma Dupla E",809,IF(Atletas!T298="Arma Maleável E",810,IF(Atletas!T298="Outra Arma Dupla F",811,IF(Atletas!T298="Arma Maleável F",812,IF(Atletas!T298="Shuangdao A",813,IF(Atletas!T298="Shuangdao B",814,IF(Atletas!T298="Shuangdao C",815,IF(Atletas!T298="Shuangdao D",816,IF(Atletas!T298="Shuangdao E",817,IF(Atletas!T298="Shuangdao F",818,"")))))))))))))))))))</f>
        <v/>
      </c>
      <c r="CC307" s="50" t="str">
        <f>IF(Atletas!U298="","",IF(Atletas!X298&lt;&gt;"",10000,0)+IF(Atletas!B298="Feminino",1000,IF(Atletas!B298="Masculino",2000,""))+IF(OR(Atletas!U298="Taijijian Yang A",Atletas!U298="Taijijian Yang Standard A"),901,IF(OR(Atletas!U298="Taijijian Chen A", Atletas!U298="Taijijian Chen Standard A"),902,IF(Atletas!U298="Taijijian Sun A",903,IF(Atletas!U298="Taijijian Wu A",904,IF(Atletas!U298="Taijijian Wu-Hao A",905,IF(OR(Atletas!U298="Taijijian 32 A",Atletas!U298="Taijijian 42 A"),906,IF(OR(Atletas!U298="Taijijian Yang B",Atletas!U298="Taijijian Yang Standard B"),907,IF(OR(Atletas!U298="Taijijian Chen B", Atletas!U298="Taijijian Chen Standard B"),908,IF(Atletas!U298="Taijijian Sun B",909,IF(Atletas!U298="Taijijian Wu B",910,IF(Atletas!U298="Taijijian Wu-Hao B",911,IF(OR(Atletas!U298="Taijijian 32 B",Atletas!U298="Taijijian 42 B"),912,IF(OR(Atletas!U298="Taijijian Yang C",Atletas!U298="Taijijian Yang Standard C"),913,IF(OR(Atletas!U298="Taijijian Chen C", Atletas!U298="Taijijian Chen Standard C"),914,IF(Atletas!U298="Taijijian Sun C",915,IF(Atletas!U298="Taijijian Wu C",916,IF(Atletas!U298="Taijijian Wu-Hao C",917,IF(OR(Atletas!U298="Taijijian 32 C",Atletas!U298="Taijijian 42 C"),918,IF(OR(Atletas!U298="Taijijian Yang D",Atletas!U298="Taijijian Yang Standard D"),919,IF(OR(Atletas!U298="Taijijian Chen D", Atletas!U298="Taijijian Chen Standard D"),920,IF(Atletas!U298="Taijijian Sun D",921,IF(Atletas!U298="Taijijian Wu D",922,IF(Atletas!U298="Taijijian Wu-Hao D",923,IF(OR(Atletas!U298="Taijijian 32 D",Atletas!U298="Taijijian 42 D"),924,IF(OR(Atletas!U298="Taijijian Yang E",Atletas!U298="Taijijian Yang Standard E"),925,IF(OR(Atletas!U298="Taijijian Chen E", Atletas!U298="Taijijian Chen Standard E"),926,IF(Atletas!U298="Taijijian Sun E",927,IF(Atletas!U298="Taijijian Wu E",928,IF(Atletas!U298="Taijijian Wu-Hao E",929,IF(OR(Atletas!U298="Taijijian 32 E",Atletas!U298="Taijijian 42 E"),930,IF(OR(Atletas!U298="Taijijian Yang F",Atletas!U298="Taijijian Yang Standard F"),931,IF(OR(Atletas!U298="Taijijian Chen F", Atletas!U298="Taijijian Chen Standard F"),932,IF(Atletas!U298="Taijijian Sun F",933,IF(Atletas!U298="Taijijian Wu F",934,IF(Atletas!U298="Taijijian Wu-Hao F",935,IF(OR(Atletas!U298="Taijijian 32 F",Atletas!U298="Taijijian 42 F"),936,"")))))))))))))))))))))))))))))))))))))</f>
        <v/>
      </c>
      <c r="CD307" s="50" t="str">
        <f>IF(Atletas!V298="","",IF(Atletas!X298&lt;&gt;"",10000,0)+IF(Atletas!B298="Feminino",1000,IF(Atletas!B298="Masculino",2000,""))+IF(Atletas!V298="Taijidao A",937,IF(Atletas!V298="TaijiShanzi A",938,IF(Atletas!V298="Taijiqiang A",939,IF(Atletas!V298="Bagua de Arma A",940,IF(Atletas!V298="Xingyi de Arma A",941,IF(Atletas!V298="Taijidao B",942,IF(Atletas!V298="TaijiShanzi B",943,IF(Atletas!V298="Taijiqiang B",944,IF(Atletas!V298="Bagua de Arma B",945,IF(Atletas!V298="Xingyi de Arma B",946,IF(Atletas!V298="Taijidao C",947,IF(Atletas!V298="TaijiShanzi C",948,IF(Atletas!V298="Taijiqiang C",949,IF(Atletas!V298="Bagua de Arma C",950,IF(Atletas!V298="Xingyi de Arma C",951,IF(Atletas!V298="Taijidao D",952,IF(Atletas!V298="TaijiShanzi D",953,IF(Atletas!V298="Taijiqiang D",954,IF(Atletas!V298="Bagua de Arma D",955,IF(Atletas!V298="Xingyi de Arma D",956,IF(Atletas!V298="Taijidao E",957,IF(Atletas!V298="TaijiShanzi E",958,IF(Atletas!V298="Taijiqiang E",959,IF(Atletas!V298="Bagua de Arma E",960,IF(Atletas!V298="Xingyi de Arma E",961,IF(Atletas!V298="Taijidao F",962,IF(Atletas!V298="TaijiShanzi F",963,IF(Atletas!V298="Taijiqiang F",964,IF(Atletas!V298="Bagua de Arma F",965,IF(Atletas!V298="Xingyi de Arma F",966,"")))))))))))))))))))))))))))))))</f>
        <v/>
      </c>
      <c r="CE307" s="66" t="str">
        <f>IF(CF307&lt;&gt;"","Taijijian Yang B","")</f>
        <v/>
      </c>
      <c r="CF307" s="6" t="str">
        <f>IF(COUNTIF(BR:CD,1907)&gt;0,COUNTIF(BR:CD,1907),"")</f>
        <v/>
      </c>
      <c r="CG307" s="66" t="str">
        <f>IF(CH307&lt;&gt;"","Taijijian Yang B","")</f>
        <v/>
      </c>
      <c r="CH307" s="66" t="str">
        <f>IF(COUNTIF(BR:CD,2907)&gt;0,COUNTIF(BR:CD,2907),"")</f>
        <v/>
      </c>
      <c r="CI307" s="66" t="str">
        <f>IF(CJ308&lt;&gt;"","Taijijian Chen D","")</f>
        <v/>
      </c>
      <c r="CJ307" s="66" t="str">
        <f>IF(COUNTIF(BR:CD,11919)&gt;0,COUNTIF(BR:CD,11919),"")</f>
        <v/>
      </c>
      <c r="CK307" s="66" t="str">
        <f>IF(CL307&lt;&gt;"","Taijijian Yang D","")</f>
        <v/>
      </c>
      <c r="CL307" s="66" t="str">
        <f>IF(COUNTIF(BR:CD,12919)&gt;0,COUNTIF(BR:CD,12919),"")</f>
        <v/>
      </c>
      <c r="CM307" s="50" t="str">
        <f xml:space="preserve"> IF(Atletas!W298="","",IF(Atletas!W298="Duilian de Mãos BC - Equipe 1",1,IF(Atletas!W298="Duilian de Mãos BC - Equipe 2",2,IF(Atletas!W298="Duilian de Armas BC - Equipe 1",3,IF(Atletas!W298="Duilian de Armas BC - Equipe 2",4,IF(Atletas!W298="Duilian de Mãos DE - Equipe 1",5,IF(Atletas!W298="Duilian de Mãos DE - Equipe 2",6,IF(Atletas!W298="Duilian de Armas DE - Equipe 1",7,IF(Atletas!W298="Duilian de Armas DE - Equipe 2",8,IF(Atletas!W298="Duilian de Tuishou - Equipe 1",9,IF(Atletas!W298="Duilian de Tuishou - Equipe 2",10,IF(Atletas!W298="Grupo Externo ABC - Equipe 1",11,IF(Atletas!W298="Grupo Externo ABC - Equipe 2",12,IF(Atletas!W298="Grupo Interno ABC - Equipe 1",13,IF(Atletas!W298="Grupo Interno ABC - Equipe 2",14,IF(Atletas!W298="Grupo Externo DEF - Equipe 1",15,IF(Atletas!W298="Grupo Externo DEF - Equipe 2",16,IF(Atletas!W298="Grupo Interno DEF - Equipe 1",17,IF(Atletas!W298="Grupo Interno DEF - Equipe 2",18,"")))))))))))))))))))</f>
        <v/>
      </c>
    </row>
    <row r="308" spans="40:91">
      <c r="AN308" s="52" t="str">
        <f>IF(Atletas!D299="","",IF(Atletas!B299="Feminino",100,IF(Atletas!B299="Masculino",200,""))+(IF(Atletas!D299="Kids 30kg",1,IF(Atletas!D299="Kids 32kg",2, IF(Atletas!D299="Kids 34kg",3,IF(Atletas!D299="Kids 36kg",4,IF(Atletas!D299="Kids 39kg",5,IF(Atletas!D299="Kids 42kg",6,IF(Atletas!D299="Kids 45kg",7, IF(Atletas!D299="Infantil 39kg",8,IF(Atletas!D299="Infantil 42kg",9,IF(Atletas!D299="Infantil 45kg",10,IF(Atletas!D299="Infantil 48kg",11,IF(Atletas!D299="Infantil 52kg",12,IF(Atletas!D299="Infantil 56kg",13,IF(Atletas!D299="Infantil 60kg",14,IF(Atletas!D299="Juvenil 48kg",15,IF(Atletas!D299="Juvenil 52kg",16,IF(Atletas!D299="Juvenil 56kg",17,IF(Atletas!D299="Juvenil 60kg",18,IF(Atletas!D299="Juvenil 65kg",19,IF(Atletas!D299="Juvenil 70kg",20,IF(Atletas!D299="Juvenil 75kg",21,IF(Atletas!D299="Juvenil 80kg",22, IF(Atletas!D299="Juvenil 85kg",23,IF(Atletas!D299="Adulto 48kg",24,IF(Atletas!D299="Adulto 52kg",25,IF(Atletas!D299="Adulto 56kg",26,IF(Atletas!D299="Adulto 60kg",27,IF(Atletas!D299="Adulto 65kg",28,IF(Atletas!D299="Adulto 70kg",29,IF(Atletas!D299="Adulto 75kg",30,IF(Atletas!D299="Adulto 80kg",31,IF(Atletas!D299="Adulto 85kg",32,IF(Atletas!D299="Adulto 90kg",33,IF(Atletas!D299="Adulto 100kg",34, IF(Atletas!D299="Adulto +100kg",35,"")))))))))))))))))))))))))))))))))))))</f>
        <v/>
      </c>
      <c r="AS308" s="6" t="str">
        <f>IF(Atletas!E299="","",IF(Atletas!B299="Feminino",100,IF(Atletas!B299="Masculino",200,""))+(IF(Atletas!E299="Juvenil 44kg",1,IF(Atletas!E299="Juvenil 48kg",2,IF(Atletas!E299="Juvenil 52kg",3,IF(Atletas!E299="Juvenil 56kg",4,IF(Atletas!E299="Juvenil 60kg",5,IF(Atletas!E299="Juvenil 65kg",6,IF(Atletas!E299="Juvenil 70kg",7,IF(Atletas!E299="Juvenil 75kg",8,IF(Atletas!E299="Juvenil 82kg",9,IF(Atletas!E299="Juvenil 90kg",10,IF(Atletas!E299="Juvenil 100kg",11,IF(Atletas!E299="Adulto 48kg",12,IF(Atletas!E299="Adulto 52kg",13,IF(Atletas!E299="Adulto 56kg",14,IF(Atletas!E299="Adulto 60kg",15,IF(Atletas!E299="Adulto 65kg",16,IF(Atletas!E299="Adulto 70kg",17,IF(Atletas!E299="Adulto 75kg",18,IF(Atletas!E299="Adulto 82kg",19,IF(Atletas!E299="Adulto 90kg",20,IF(Atletas!E299="Adulto 100kg",21,IF(Atletas!E299="Adulto +100kg",22,""))))))))))))))))))))))))</f>
        <v/>
      </c>
      <c r="AX308" s="6" t="str">
        <f>IF(Atletas!F299="","",IF(Atletas!B299="Feminino",100,IF(Atletas!B299="Masculino",200,""))+(IF(Atletas!F299="Adulto 48kg",1,IF(Atletas!F299="Adulto 56kg",2,IF(Atletas!F299="Adulto 65kg",3,IF(Atletas!F299="Adulto 75kg",4,IF(Atletas!F299="Adulto +75kg",5,IF(Atletas!F299="Adulto 52kg",6,IF(Atletas!F299="Adulto 60kg",7,IF(Atletas!F299="Adulto 70kg",8,IF(Atletas!F299="Adulto 80kg",9,IF(Atletas!F299="Adulto 90kg",10,IF(Atletas!F299="Adulto +90kg",11,"")))))))))))))</f>
        <v/>
      </c>
      <c r="BC308" s="6" t="str">
        <f>IF(Atletas!G299="","",IF(Atletas!B299="Feminino",10,IF(Atletas!B299="Masculino",20,""))+(IF(Atletas!G299="Baduanjin A",1,IF(Atletas!G299="Baduanjin B",2))))</f>
        <v/>
      </c>
      <c r="BF308" s="52" t="str">
        <f>IF(Atletas!H299="","",IF(Atletas!B299="Feminino",100,IF(Atletas!B299="Masculino",200,""))+(IF(Atletas!H299="Changquan Mirim",1,IF(Atletas!H299="Nanquan Mirim",2,IF(Atletas!H299="Taijiquan Mirim",3,IF(Atletas!H299="Changquan Grupo C",4,IF(Atletas!H299="Nanquan Grupo C",5,IF(Atletas!H299="Taijiquan Grupo C",6,IF(Atletas!H299="Changquan Grupo B",7,IF(Atletas!H299="Nanquan Grupo B",8,IF(Atletas!H299="Taijiquan Grupo B",9,IF(Atletas!H299="Changquan Grupo A",10,IF(Atletas!H299="Nanquan Grupo A",11,IF(Atletas!H299="Taijiquan Grupo A",12,IF(Atletas!H299="Changquan Opcional",13,IF(Atletas!H299="Nanquan Opcional",14,IF(Atletas!H299="Taijiquan Opcional",15,IF(Atletas!H299="Changquan Adulto",16,IF(Atletas!H299="Nanquan Adulto",17,IF(Atletas!H299="Taijiquan Adulto",18,""))))))))))))))))))))</f>
        <v/>
      </c>
      <c r="BG308" s="52" t="str">
        <f>IF(Atletas!I299="","",IF(Atletas!B299="Feminino",100,IF(Atletas!B299="Masculino",200,""))+(IF(Atletas!I299="Daoshu Mirim",19,IF(Atletas!I299="Jianshu Mirim",20,IF(Atletas!I299="Nandao Mirim",21,IF(Atletas!I299="Taijijian Mirim",22,IF(Atletas!I299="Daoshu Grupo C",23,IF(Atletas!I299="Jianshu Grupo C",24,IF(Atletas!I299="Nandao Grupo C",25,IF(Atletas!I299="Taijijian Grupo C",26,IF(Atletas!I299="Daoshu Grupo B",27,IF(Atletas!I299="Jianshu Grupo B",28,IF(Atletas!I299="Nandao Grupo B",29,IF(Atletas!I299="Taijijian Grupo B",30,IF(Atletas!I299="Daoshu Grupo A",31,IF(Atletas!I299="Jianshu Grupo A",32,IF(Atletas!I299="Nandao Grupo A",33,IF(Atletas!I299="Taijijian Grupo A",34,IF(Atletas!I299="Daoshu Opcional",35,IF(Atletas!I299="Jianshu Opcional",36,IF(Atletas!I299="Nandao Opcional",37,IF(Atletas!I299="Taijijian Opcional",38,IF(Atletas!I299="Daoshu Adulto",39,IF(Atletas!I299="Jianshu Adulto",40,IF(Atletas!I299="Nandao Adulto",41,IF(Atletas!I299="Taijijian Adulto",42,""))))))))))))))))))))))))))</f>
        <v/>
      </c>
      <c r="BH308" s="52" t="str">
        <f>IF(Atletas!J299="","",IF(Atletas!B299="Feminino",100,IF(Atletas!B299="Masculino",200,""))+(IF(Atletas!J299="Gunshu Mirim",43,IF(Atletas!J299="Qiangshu Mirim",44,IF(Atletas!J299="Nangun Mirim",45,IF(Atletas!J299="Gunshu Grupo C",46,IF(Atletas!J299="Qiangshu Grupo C",47,IF(Atletas!J299="Nangun Grupo C",48,IF(Atletas!J299="Gunshu Grupo B",49,IF(Atletas!J299="Qiangshu Grupo B",50,IF(Atletas!J299="Nangun Grupo B",51,IF(Atletas!J299="Gunshu Grupo A",52,IF(Atletas!J299="Qiangshu Grupo A",53,IF(Atletas!J299="Nangun Grupo A",54,IF(Atletas!J299="Gunshu Opcional",55,IF(Atletas!J299="Qiangshu Opcional",56,IF(Atletas!J299="Nangun Opcional",57,IF(Atletas!J299="Gunshu Adulto",58,IF(Atletas!J299="Qiangshu Adulto",59,IF(Atletas!J299="Nangun Adulto",60,IF(Atletas!J299="Taijishan Grupo B",61,IF(Atletas!J299="Taijishan Grupo A",62,""))))))))))))))))))))))</f>
        <v/>
      </c>
      <c r="BM308" s="50" t="str">
        <f>IF(Atletas!K299="","",IF(Atletas!B299="Feminino",100,IF(Atletas!B299="Masculino",200,""))+(IF(Atletas!K299="Equipe 1 Grupo B",1,IF(Atletas!K299="Equipe 2 Grupo B",2,IF(Atletas!K299="Equipe 1 Grupo A",3,IF(Atletas!K299="Equipe 2 Grupo A",4,IF(Atletas!K299="Equipe 1 Adulto",5,IF(Atletas!K299="Equipe 2 Adulto",6,""))))))))</f>
        <v/>
      </c>
      <c r="BR308" s="50" t="str">
        <f>IF(Atletas!L299="","",IF(Atletas!X299&lt;&gt;"",10000,0)+(IF(Atletas!B299="Feminino",1000,IF(Atletas!B299="Masculino",2000,""))+IF(Atletas!L299="Choylayfut A",1,IF(Atletas!L299="Hunggar A",2,IF(Atletas!L299="Wuzuquan A",3,IF(Atletas!L299="Wingchun A",4,IF(Atletas!L299="Outra Mão de Sul A",5,IF(Atletas!L299="Choylayfut B",6,IF(Atletas!L299="Hunggar B",7,IF(Atletas!L299="Wuzuquan B",8,IF(Atletas!L299="Wingchun B",9,IF(Atletas!L299="Outra Mão de Sul B",10,IF(Atletas!L299="Choylayfut C",11,IF(Atletas!L299="Hunggar C",12,IF(Atletas!L299="Wuzuquan C",13,IF(Atletas!L299="Wingchun C",14,IF(Atletas!L299="Outra Mão de Sul C",15,IF(Atletas!L299="Choylayfut D",16,IF(Atletas!L299="Hunggar D",17,IF(Atletas!L299="Wuzuquan D",18,IF(Atletas!L299="Wingchun D",19,IF(Atletas!L299="Outra Mão de Sul D",20,IF(Atletas!L299="Choylayfut E",21,IF(Atletas!L299="Hunggar E",22,IF(Atletas!L299="Wuzuquan E",23,IF(Atletas!L299="Wingchun E",24,IF(Atletas!L299="Outra Mão de Sul E",25,IF(Atletas!L299="Choylayfut F",26,IF(Atletas!L299="Hunggar F",27,IF(Atletas!L299="Wuzuquan F",28,IF(Atletas!L299="Wingchun F",29,IF(Atletas!L299="Outra Mão de Sul F",30,IF(Atletas!L299="Dishuquan A",31,IF(Atletas!L299="Dishuquan B",32,IF(Atletas!L299="Dishuquan C",33,IF(Atletas!L299="Dishuquan D",34,IF(Atletas!L299="Dishuquan E",35,IF(Atletas!L299="Dishuquan F",36,""))))))))))))))))))))))))))))))))))))))</f>
        <v/>
      </c>
      <c r="BS308" s="50" t="str">
        <f>IF(Atletas!M299="","",IF(Atletas!X299&lt;&gt;"",10000,0)+(IF(Atletas!B299="Feminino",1000,IF(Atletas!B299="Masculino",2000,""))+(IF(Atletas!M299="Chaquan A",101,IF(Atletas!M299="Emeiquan A",102,IF(Atletas!M299="Fanziquan A",103,IF(Atletas!M299="Huaquan A",104,IF(Atletas!M299="Hongquan A",105,IF(Atletas!M299="Paoquan A",106,IF(Atletas!M299="Piguaquan A",107,IF(Atletas!M299="Shaolinquan A",108,IF(Atletas!M299="Tanglangquan A",109,IF(Atletas!M299="Yingzhaoquan A",110,IF(Atletas!M299="Tongbeiquan A",111,IF(Atletas!M299="Wudangquan A",112,IF(Atletas!M299="Outros Estilos A",113,IF(Atletas!M299="Chaquan B",114,IF(Atletas!M299="Emeiquan B",115,IF(Atletas!M299="Fanziquan B",116,IF(Atletas!M299="Huaquan B",117,IF(Atletas!M299="Hongquan B",118,IF(Atletas!M299="Paoquan B",119,IF(Atletas!M299="Piguaquan B",120,IF(Atletas!M299="Shaolinquan B",121,IF(Atletas!M299="Tanglangquan B",122,IF(Atletas!M299="Yingzhaoquan B",123,IF(Atletas!M299="Tongbeiquan B",124,IF(Atletas!M299="Wudangquan B",125,IF(Atletas!M299="Outros Estilos B",126,IF(Atletas!M299="Chaquan C",127,IF(Atletas!M299="Emeiquan C",128,IF(Atletas!M299="Fanziquan C",129,IF(Atletas!M299="Huaquan C",130,IF(Atletas!M299="Hongquan C",131,IF(Atletas!M299="Paoquan C",132,IF(Atletas!M299="Piguaquan C",133,IF(Atletas!M299="Shaolinquan C",134,IF(Atletas!M299="Tanglangquan C",135,IF(Atletas!M299="Yingzhaoquan C",136,IF(Atletas!M299="Tongbeiquan C",137,IF(Atletas!M299="Wudangquan C",138,IF(Atletas!M299="Outros Estilos C",139,0))))))))))))))))))))))))))))))))))))))))))</f>
        <v/>
      </c>
      <c r="BT308" s="50" t="str">
        <f>IF(Atletas!M299="","",IF(Atletas!X299&lt;&gt;"",10000,0)+(IF(Atletas!B299="Feminino",1000,IF(Atletas!B299="Masculino",2000,""))+(IF(Atletas!M299="Chaquan D",140,IF(Atletas!M299="Emeiquan D",141,IF(Atletas!M299="Fanziquan D",142,IF(Atletas!M299="Huaquan D",143,IF(Atletas!M299="Hongquan D",144,IF(Atletas!M299="Paoquan D",145,IF(Atletas!M299="Piguaquan D",146,IF(Atletas!M299="Shaolinquan D",147,IF(Atletas!M299="Tanglangquan D",148,IF(Atletas!M299="Yingzhaoquan D",149,IF(Atletas!M299="Tongbeiquan D",150,IF(Atletas!M299="Wudangquan D",151,IF(Atletas!M299="Outros Estilos D",152,IF(Atletas!M299="Chaquan E",153,IF(Atletas!M299="Emeiquan E",154,IF(Atletas!M299="Fanziquan E",155,IF(Atletas!M299="Huaquan E",156,IF(Atletas!M299="Hongquan E",157,IF(Atletas!M299="Paoquan E",158,IF(Atletas!M299="Piguaquan E",159,IF(Atletas!M299="Shaolinquan E",160,IF(Atletas!M299="Tanglangquan E",161,IF(Atletas!M299="Yingzhaoquan E",162,IF(Atletas!M299="Tongbeiquan E",163,IF(Atletas!M299="Wudangquan E",164,IF(Atletas!M299="Outros Estilos E",165,IF(Atletas!M299="Chaquan F",166,IF(Atletas!M299="Emeiquan F",167,IF(Atletas!M299="Fanziquan F",168,IF(Atletas!M299="Huaquan F",169,IF(Atletas!M299="Hongquan F",170,IF(Atletas!M299="Paoquan F",171,IF(Atletas!M299="Piguaquan F",172,IF(Atletas!M299="Shaolinquan F",173,IF(Atletas!M299="Tanglangquan F",174,IF(Atletas!M299="Yingzhaoquan F",175,IF(Atletas!M299="Tongbeiquan F",176,IF(Atletas!M299="Wudangquan F",177,IF(Atletas!M299="Outros Estilos F",178,0))))))))))))))))))))))))))))))))))))))))))</f>
        <v/>
      </c>
      <c r="BU308" s="50" t="str">
        <f>IF(Atletas!N299="","",IF(Atletas!X299&lt;&gt;"",10000,0)+(IF(Atletas!B299="Feminino",1000,IF(Atletas!B299="Masculino",2000,""))+(IF(Atletas!N299="Ditangquan A",201,IF(Atletas!N299="Houquan A",202,IF(Atletas!N299="Zuiquan A",203,IF(Atletas!N299="Ditangquan B",204,IF(Atletas!N299="Houquan B",205,IF(Atletas!N299="Zuiquan B",206,IF(Atletas!N299="Ditangquan C",207,IF(Atletas!N299="Houquan C",208,IF(Atletas!N299="Zuiquan C",209,IF(Atletas!N299="Ditangquan D",210,IF(Atletas!N299="Houquan D",211,IF(Atletas!N299="Zuiquan D",212,IF(Atletas!N299="Ditangquan E",213,IF(Atletas!N299="Houquan E",214,IF(Atletas!N299="Zuiquan E",215,IF(Atletas!N299="Ditangquan F",216,IF(Atletas!N299="Houquan F",217,IF(Atletas!N299="Zuiquan F",218,"")))))))))))))))))))))</f>
        <v/>
      </c>
      <c r="BV308" s="50" t="str">
        <f>IF(Atletas!O299="","",IF(Atletas!X299&lt;&gt;"",10000,0)+IF(Atletas!B299="Feminino",1000,IF(Atletas!B299="Masculino",2000,""))+IF(Atletas!O299="Yang A",301,IF(Atletas!O299="Chen A",302,IF(Atletas!O299="Sun A",303,IF(Atletas!O299="Wu A",304,IF(Atletas!O299="Wu-Hao A",305,IF(Atletas!O299="Outro Taijiquan A",306,IF(Atletas!O299="Yang B",307,IF(Atletas!O299="Chen B",308,IF(Atletas!O299="Sun B",309,IF(Atletas!O299="Wu B",310,IF(Atletas!O299="Wu-Hao B",311,IF(Atletas!O299="Outro Taijiquan B",312,IF(Atletas!O299="Yang C",313,IF(Atletas!O299="Chen C",314,IF(Atletas!O299="Sun C",315,IF(Atletas!O299="Wu C",316,IF(Atletas!O299="Wu-Hao C",317,IF(Atletas!O299="Outro Taijiquan C",318,IF(Atletas!O299="Yang D",319,IF(Atletas!O299="Chen D",320,IF(Atletas!O299="Sun D",321,IF(Atletas!O299="Wu D",322,IF(Atletas!O299="Wu-Hao D",323,IF(Atletas!O299="Outro Taijiquan D",324,IF(Atletas!O299="Yang E",325,IF(Atletas!O299="Chen E",326,IF(Atletas!O299="Sun E",327,IF(Atletas!O299="Wu E",328,IF(Atletas!O299="Wu-Hao E",329,IF(Atletas!O299="Outro Taijiquan E",330,IF(Atletas!O299="Yang F",331,IF(Atletas!O299="Chen F",332,IF(Atletas!O299="Sun F",333,IF(Atletas!O299="Wu F",334,IF(Atletas!O299="Wu-Hao F",335,IF(Atletas!O299="Outro Taijiquan F",336,"")))))))))))))))))))))))))))))))))))))</f>
        <v/>
      </c>
      <c r="BW308" s="50" t="str">
        <f>IF(Atletas!P299="","",IF(Atletas!X299&lt;&gt;"",10000,0)+IF(Atletas!B299="Feminino",1000,IF(Atletas!B299="Masculino",2000,""))+IF(OR(Atletas!P299="Yang 26 A",Atletas!P299="Yang 40 A"),401,IF(OR(Atletas!P299="Chen 25 A",Atletas!P299="Chen 36 A",Atletas!P299="Chen 56 A"),402,IF(Atletas!P299="Sun 73 A",403,IF(Atletas!P299="Wu 45 A",404,IF(Atletas!P299="Wu-Hao 46 A",405,IF(OR(Atletas!P299="Taijiquan 16 A",Atletas!P299="Taijiquan 24 A",Atletas!P299="Taijiquan 32 A",Atletas!P299="Taijiquan 42 A"),406,IF(OR(Atletas!P299="Yang 26 B",Atletas!P299="Yang 40 B"),407,IF(OR(Atletas!P299="Chen 25 B",Atletas!P299="Chen 36 B",Atletas!P299="Chen 56 B"),408,IF(Atletas!P299="Sun 73 B",409,IF(Atletas!P299="Wu 45 B",410,IF(Atletas!P299="Wu-Hao 46 B",411,IF(OR(Atletas!P299="Taijiquan 16 B",Atletas!P299="Taijiquan 24 B",Atletas!P299="Taijiquan 32 B",Atletas!P299="Taijiquan 42 B"),412,IF(OR(Atletas!P299="Yang 26 C",Atletas!P299="Yang 40 C"),413,IF(OR(Atletas!P299="Chen 25 C",Atletas!P299="Chen 36 C",Atletas!P299="Chen 56 C"),414,IF(Atletas!P299="Sun 73 C",415,IF(Atletas!P299="Wu 45 C",416,IF(Atletas!P299="Wu-Hao 46 C",417,IF(OR(Atletas!P299="Taijiquan 16 C",Atletas!P299="Taijiquan 24 C",Atletas!P299="Taijiquan 32 C",Atletas!P299="Taijiquan 42 C"),418,0)))))))))))))))))))</f>
        <v/>
      </c>
      <c r="BX308" s="50" t="str">
        <f>IF(Atletas!P299="","",IF(Atletas!X299&lt;&gt;"",10000,0)+IF(Atletas!B299="Feminino",1000,IF(Atletas!B299="Masculino",2000,""))+IF(OR(Atletas!P299="Yang 26 D",Atletas!P299="Yang 40 D"),419,IF(OR(Atletas!P299="Chen 25 D",Atletas!P299="Chen 36 D",Atletas!P299="Chen 56 D"),420,IF(Atletas!P299="Sun 73 D",421,IF(Atletas!P299="Wu 45 D",422,IF(Atletas!P299="Wu-Hao 46 D",423,IF(OR(Atletas!P299="Taijiquan 16 D",Atletas!P299="Taijiquan 24 D",Atletas!P299="Taijiquan 32 D",Atletas!P299="Taijiquan 42 D"),424,IF(OR(Atletas!P299="Yang 26 E",Atletas!P299="Yang 40 E"),425,IF(OR(Atletas!P299="Chen 25 E",Atletas!P299="Chen 36 E",Atletas!P299="Chen 56 E"),426,IF(Atletas!P299="Sun 73 E",427,IF(Atletas!P299="Wu 45 E",428,IF(Atletas!P299="Wu-Hao 46 E",429,IF(OR(Atletas!P299="Taijiquan 16 E",Atletas!P299="Taijiquan 24 E",Atletas!P299="Taijiquan 32 E",Atletas!P299="Taijiquan 42 E"),430,IF(OR(Atletas!P299="Yang 26 F",Atletas!P299="Yang 40 F"),431,IF(OR(Atletas!P299="Chen 25 F",Atletas!P299="Chen 36 F",Atletas!P299="Chen 56 F"),432,IF(Atletas!P299="Sun 73 F",433,IF(Atletas!P299="Wu 45 F",434,IF(Atletas!P299="Wu-Hao 46 F",435,IF(OR(Atletas!P299="Taijiquan 16 F",Atletas!P299="Taijiquan 24 F",Atletas!P299="Taijiquan 32 F",Atletas!P299="Taijiquan 42 F"),436,0)))))))))))))))))))</f>
        <v/>
      </c>
      <c r="BY308" s="50" t="str">
        <f>IF(Atletas!Q299="","",IF(Atletas!X299&lt;&gt;"",10000,0)+IF(Atletas!B299="Feminino",1000,IF(Atletas!B299="Masculino",2000,""))+IF(Atletas!Q299="Xingyiquan A",501,IF(Atletas!Q299="Baguazhang A",502,IF(Atletas!Q299="Outro Estilo Interno A",503,IF(Atletas!Q299="Xingyiquan B",504,IF(Atletas!Q299="Baguazhang B",505,IF(Atletas!Q299="Outro Estilo Interno B",506,IF(Atletas!Q299="Xingyiquan C",507,IF(Atletas!Q299="Baguazhang C",508,IF(Atletas!Q299="Outro Estilo Interno C",509,IF(Atletas!Q299="Xingyiquan D",510,IF(Atletas!Q299="Baguazhang D",511,IF(Atletas!Q299="Outro Estilo Interno D",512,IF(Atletas!Q299="Xingyiquan E",513,IF(Atletas!Q299="Baguazhang E",514,IF(Atletas!Q299="Outro Estilo Interno E",515,IF(Atletas!Q299="Xingyiquan F",516,IF(Atletas!Q299="Baguazhang F",517,IF(Atletas!Q299="Outro Estilo Interno F",518, "")))))))))))))))))))</f>
        <v/>
      </c>
      <c r="BZ308" s="50" t="str">
        <f>IF(Atletas!R299="","",IF(Atletas!X299&lt;&gt;"",10000,0)+IF(Atletas!B299="Feminino",1000,IF(Atletas!B299="Masculino",2000,""))+IF(Atletas!R299="Dao A",601,IF(Atletas!R299="Jian A",602,IF(Atletas!R299="Bishou A",603,IF(Atletas!R299="Shanzi A",604,IF(Atletas!R299="Outra Arma Curta A",605,IF(Atletas!R299="Dao B",606,IF(Atletas!R299="Jian B",607,IF(Atletas!R299="Bishou B",608,IF(Atletas!R299="Shanzi B",609,IF(Atletas!R299="Outra Arma Curta B",610,IF(Atletas!R299="Dao C",611,IF(Atletas!R299="Jian C",612,IF(Atletas!R299="Bishou C",613,IF(Atletas!R299="Shanzi C",614,IF(Atletas!R299="Outra Arma Curta C",615,IF(Atletas!R299="Dao D",616,IF(Atletas!R299="Jian D",617,IF(Atletas!R299="Bishou D",618,IF(Atletas!R299="Shanzi D",619,IF(Atletas!R299="Outra Arma Curta D",620,IF(Atletas!R299="Dao E",621,IF(Atletas!R299="Jian E",622,IF(Atletas!R299="Bishou E",623,IF(Atletas!R299="Shanzi E",624,IF(Atletas!R299="Outra Arma Curta E",625,IF(Atletas!R299="Dao F",626,IF(Atletas!R299="Jian F",627,IF(Atletas!R299="Bishou F",628,IF(Atletas!R299="Shanzi F",629,IF(Atletas!R299="Outra Arma Curta F",630, "")))))))))))))))))))))))))))))))</f>
        <v/>
      </c>
      <c r="CA308" s="50" t="str">
        <f>IF(Atletas!S299="","",IF(Atletas!X299&lt;&gt;"",10000,0)+IF(Atletas!B299="Feminino",1000,IF(Atletas!B299="Masculino",2000,""))+IF(Atletas!S299="Gun A",701,IF(Atletas!S299="Qiang A",702,IF(Atletas!S299="Pudao / Guandao A",703,IF(Atletas!S299="Outra Arma Longa A",704,IF(Atletas!S299="Gun B",705,IF(Atletas!S299="Qiang B",706,IF(Atletas!S299="Pudao / Guandao B",707,IF(Atletas!S299="Outra Arma Longa B",708,IF(Atletas!S299="Gun C",709,IF(Atletas!S299="Qiang C",710,IF(Atletas!S299="Pudao / Guandao C",711,IF(Atletas!S299="Outra Arma Longa C",712,IF(Atletas!S299="Gun D",713,IF(Atletas!S299="Qiang D",714,IF(Atletas!S299="Pudao / Guandao D",715,IF(Atletas!S299="Outra Arma Longa D",716,IF(Atletas!S299="Gun E",717,IF(Atletas!S299="Qiang E",718,IF(Atletas!S299="Pudao / Guandao E",719,IF(Atletas!S299="Outra Arma Longa E",720,IF(Atletas!S299="Gun F",721,IF(Atletas!S299="Qiang F",722,IF(Atletas!S299="Pudao / Guandao F",723,IF(Atletas!S299="Outra Arma Longa F",724,"")))))))))))))))))))))))))</f>
        <v/>
      </c>
      <c r="CB308" s="50" t="str">
        <f>IF(Atletas!T299="","",IF(Atletas!X299&lt;&gt;"",10000,0)+IF(Atletas!B299="Feminino",1000,IF(Atletas!B299="Masculino",2000,""))+IF(Atletas!T299="Outra Arma Dupla A",801,IF(Atletas!T299="Arma Maleável A",802,IF(Atletas!T299="Outra Arma Dupla B",803,IF(Atletas!T299="Arma Maleável B",804,IF(Atletas!T299="Outra Arma Dupla C",805,IF(Atletas!T299="Arma Maleável C",806,IF(Atletas!T299="Outra Arma Dupla D",807,IF(Atletas!T299="Arma Maleável D",808,IF(Atletas!T299="Outra Arma Dupla E",809,IF(Atletas!T299="Arma Maleável E",810,IF(Atletas!T299="Outra Arma Dupla F",811,IF(Atletas!T299="Arma Maleável F",812,IF(Atletas!T299="Shuangdao A",813,IF(Atletas!T299="Shuangdao B",814,IF(Atletas!T299="Shuangdao C",815,IF(Atletas!T299="Shuangdao D",816,IF(Atletas!T299="Shuangdao E",817,IF(Atletas!T299="Shuangdao F",818,"")))))))))))))))))))</f>
        <v/>
      </c>
      <c r="CC308" s="50" t="str">
        <f>IF(Atletas!U299="","",IF(Atletas!X299&lt;&gt;"",10000,0)+IF(Atletas!B299="Feminino",1000,IF(Atletas!B299="Masculino",2000,""))+IF(OR(Atletas!U299="Taijijian Yang A",Atletas!U299="Taijijian Yang Standard A"),901,IF(OR(Atletas!U299="Taijijian Chen A", Atletas!U299="Taijijian Chen Standard A"),902,IF(Atletas!U299="Taijijian Sun A",903,IF(Atletas!U299="Taijijian Wu A",904,IF(Atletas!U299="Taijijian Wu-Hao A",905,IF(OR(Atletas!U299="Taijijian 32 A",Atletas!U299="Taijijian 42 A"),906,IF(OR(Atletas!U299="Taijijian Yang B",Atletas!U299="Taijijian Yang Standard B"),907,IF(OR(Atletas!U299="Taijijian Chen B", Atletas!U299="Taijijian Chen Standard B"),908,IF(Atletas!U299="Taijijian Sun B",909,IF(Atletas!U299="Taijijian Wu B",910,IF(Atletas!U299="Taijijian Wu-Hao B",911,IF(OR(Atletas!U299="Taijijian 32 B",Atletas!U299="Taijijian 42 B"),912,IF(OR(Atletas!U299="Taijijian Yang C",Atletas!U299="Taijijian Yang Standard C"),913,IF(OR(Atletas!U299="Taijijian Chen C", Atletas!U299="Taijijian Chen Standard C"),914,IF(Atletas!U299="Taijijian Sun C",915,IF(Atletas!U299="Taijijian Wu C",916,IF(Atletas!U299="Taijijian Wu-Hao C",917,IF(OR(Atletas!U299="Taijijian 32 C",Atletas!U299="Taijijian 42 C"),918,IF(OR(Atletas!U299="Taijijian Yang D",Atletas!U299="Taijijian Yang Standard D"),919,IF(OR(Atletas!U299="Taijijian Chen D", Atletas!U299="Taijijian Chen Standard D"),920,IF(Atletas!U299="Taijijian Sun D",921,IF(Atletas!U299="Taijijian Wu D",922,IF(Atletas!U299="Taijijian Wu-Hao D",923,IF(OR(Atletas!U299="Taijijian 32 D",Atletas!U299="Taijijian 42 D"),924,IF(OR(Atletas!U299="Taijijian Yang E",Atletas!U299="Taijijian Yang Standard E"),925,IF(OR(Atletas!U299="Taijijian Chen E", Atletas!U299="Taijijian Chen Standard E"),926,IF(Atletas!U299="Taijijian Sun E",927,IF(Atletas!U299="Taijijian Wu E",928,IF(Atletas!U299="Taijijian Wu-Hao E",929,IF(OR(Atletas!U299="Taijijian 32 E",Atletas!U299="Taijijian 42 E"),930,IF(OR(Atletas!U299="Taijijian Yang F",Atletas!U299="Taijijian Yang Standard F"),931,IF(OR(Atletas!U299="Taijijian Chen F", Atletas!U299="Taijijian Chen Standard F"),932,IF(Atletas!U299="Taijijian Sun F",933,IF(Atletas!U299="Taijijian Wu F",934,IF(Atletas!U299="Taijijian Wu-Hao F",935,IF(OR(Atletas!U299="Taijijian 32 F",Atletas!U299="Taijijian 42 F"),936,"")))))))))))))))))))))))))))))))))))))</f>
        <v/>
      </c>
      <c r="CD308" s="50" t="str">
        <f>IF(Atletas!V299="","",IF(Atletas!X299&lt;&gt;"",10000,0)+IF(Atletas!B299="Feminino",1000,IF(Atletas!B299="Masculino",2000,""))+IF(Atletas!V299="Taijidao A",937,IF(Atletas!V299="TaijiShanzi A",938,IF(Atletas!V299="Taijiqiang A",939,IF(Atletas!V299="Bagua de Arma A",940,IF(Atletas!V299="Xingyi de Arma A",941,IF(Atletas!V299="Taijidao B",942,IF(Atletas!V299="TaijiShanzi B",943,IF(Atletas!V299="Taijiqiang B",944,IF(Atletas!V299="Bagua de Arma B",945,IF(Atletas!V299="Xingyi de Arma B",946,IF(Atletas!V299="Taijidao C",947,IF(Atletas!V299="TaijiShanzi C",948,IF(Atletas!V299="Taijiqiang C",949,IF(Atletas!V299="Bagua de Arma C",950,IF(Atletas!V299="Xingyi de Arma C",951,IF(Atletas!V299="Taijidao D",952,IF(Atletas!V299="TaijiShanzi D",953,IF(Atletas!V299="Taijiqiang D",954,IF(Atletas!V299="Bagua de Arma D",955,IF(Atletas!V299="Xingyi de Arma D",956,IF(Atletas!V299="Taijidao E",957,IF(Atletas!V299="TaijiShanzi E",958,IF(Atletas!V299="Taijiqiang E",959,IF(Atletas!V299="Bagua de Arma E",960,IF(Atletas!V299="Xingyi de Arma E",961,IF(Atletas!V299="Taijidao F",962,IF(Atletas!V299="TaijiShanzi F",963,IF(Atletas!V299="Taijiqiang F",964,IF(Atletas!V299="Bagua de Arma F",965,IF(Atletas!V299="Xingyi de Arma F",966,"")))))))))))))))))))))))))))))))</f>
        <v/>
      </c>
      <c r="CE308" s="66" t="str">
        <f>IF(CF308&lt;&gt;"","Taijijian Chen B","")</f>
        <v/>
      </c>
      <c r="CF308" s="6" t="str">
        <f>IF(COUNTIF(BR:CD,1908)&gt;0,COUNTIF(BR:CD,1908),"")</f>
        <v/>
      </c>
      <c r="CG308" s="66" t="str">
        <f>IF(CH308&lt;&gt;"","Taijijian Chen B","")</f>
        <v/>
      </c>
      <c r="CH308" s="66" t="str">
        <f>IF(COUNTIF(BR:CD,2908)&gt;0,COUNTIF(BR:CD,2908),"")</f>
        <v/>
      </c>
      <c r="CI308" s="66" t="str">
        <f>IF(CJ309&lt;&gt;"","Taijijian Sun D","")</f>
        <v/>
      </c>
      <c r="CJ308" s="66" t="str">
        <f>IF(COUNTIF(BR:CD,11920)&gt;0,COUNTIF(BR:CD,11920),"")</f>
        <v/>
      </c>
      <c r="CK308" s="66" t="str">
        <f>IF(CL308&lt;&gt;"","Taijijian Chen D","")</f>
        <v/>
      </c>
      <c r="CL308" s="66" t="str">
        <f>IF(COUNTIF(BR:CD,12920)&gt;0,COUNTIF(BR:CD,12920),"")</f>
        <v/>
      </c>
      <c r="CM308" s="50" t="str">
        <f xml:space="preserve"> IF(Atletas!W299="","",IF(Atletas!W299="Duilian de Mãos BC - Equipe 1",1,IF(Atletas!W299="Duilian de Mãos BC - Equipe 2",2,IF(Atletas!W299="Duilian de Armas BC - Equipe 1",3,IF(Atletas!W299="Duilian de Armas BC - Equipe 2",4,IF(Atletas!W299="Duilian de Mãos DE - Equipe 1",5,IF(Atletas!W299="Duilian de Mãos DE - Equipe 2",6,IF(Atletas!W299="Duilian de Armas DE - Equipe 1",7,IF(Atletas!W299="Duilian de Armas DE - Equipe 2",8,IF(Atletas!W299="Duilian de Tuishou - Equipe 1",9,IF(Atletas!W299="Duilian de Tuishou - Equipe 2",10,IF(Atletas!W299="Grupo Externo ABC - Equipe 1",11,IF(Atletas!W299="Grupo Externo ABC - Equipe 2",12,IF(Atletas!W299="Grupo Interno ABC - Equipe 1",13,IF(Atletas!W299="Grupo Interno ABC - Equipe 2",14,IF(Atletas!W299="Grupo Externo DEF - Equipe 1",15,IF(Atletas!W299="Grupo Externo DEF - Equipe 2",16,IF(Atletas!W299="Grupo Interno DEF - Equipe 1",17,IF(Atletas!W299="Grupo Interno DEF - Equipe 2",18,"")))))))))))))))))))</f>
        <v/>
      </c>
    </row>
    <row r="309" spans="40:91">
      <c r="AN309" s="52" t="str">
        <f>IF(Atletas!D300="","",IF(Atletas!B300="Feminino",100,IF(Atletas!B300="Masculino",200,""))+(IF(Atletas!D300="Kids 30kg",1,IF(Atletas!D300="Kids 32kg",2, IF(Atletas!D300="Kids 34kg",3,IF(Atletas!D300="Kids 36kg",4,IF(Atletas!D300="Kids 39kg",5,IF(Atletas!D300="Kids 42kg",6,IF(Atletas!D300="Kids 45kg",7, IF(Atletas!D300="Infantil 39kg",8,IF(Atletas!D300="Infantil 42kg",9,IF(Atletas!D300="Infantil 45kg",10,IF(Atletas!D300="Infantil 48kg",11,IF(Atletas!D300="Infantil 52kg",12,IF(Atletas!D300="Infantil 56kg",13,IF(Atletas!D300="Infantil 60kg",14,IF(Atletas!D300="Juvenil 48kg",15,IF(Atletas!D300="Juvenil 52kg",16,IF(Atletas!D300="Juvenil 56kg",17,IF(Atletas!D300="Juvenil 60kg",18,IF(Atletas!D300="Juvenil 65kg",19,IF(Atletas!D300="Juvenil 70kg",20,IF(Atletas!D300="Juvenil 75kg",21,IF(Atletas!D300="Juvenil 80kg",22, IF(Atletas!D300="Juvenil 85kg",23,IF(Atletas!D300="Adulto 48kg",24,IF(Atletas!D300="Adulto 52kg",25,IF(Atletas!D300="Adulto 56kg",26,IF(Atletas!D300="Adulto 60kg",27,IF(Atletas!D300="Adulto 65kg",28,IF(Atletas!D300="Adulto 70kg",29,IF(Atletas!D300="Adulto 75kg",30,IF(Atletas!D300="Adulto 80kg",31,IF(Atletas!D300="Adulto 85kg",32,IF(Atletas!D300="Adulto 90kg",33,IF(Atletas!D300="Adulto 100kg",34, IF(Atletas!D300="Adulto +100kg",35,"")))))))))))))))))))))))))))))))))))))</f>
        <v/>
      </c>
      <c r="AS309" s="6" t="str">
        <f>IF(Atletas!E300="","",IF(Atletas!B300="Feminino",100,IF(Atletas!B300="Masculino",200,""))+(IF(Atletas!E300="Juvenil 44kg",1,IF(Atletas!E300="Juvenil 48kg",2,IF(Atletas!E300="Juvenil 52kg",3,IF(Atletas!E300="Juvenil 56kg",4,IF(Atletas!E300="Juvenil 60kg",5,IF(Atletas!E300="Juvenil 65kg",6,IF(Atletas!E300="Juvenil 70kg",7,IF(Atletas!E300="Juvenil 75kg",8,IF(Atletas!E300="Juvenil 82kg",9,IF(Atletas!E300="Juvenil 90kg",10,IF(Atletas!E300="Juvenil 100kg",11,IF(Atletas!E300="Adulto 48kg",12,IF(Atletas!E300="Adulto 52kg",13,IF(Atletas!E300="Adulto 56kg",14,IF(Atletas!E300="Adulto 60kg",15,IF(Atletas!E300="Adulto 65kg",16,IF(Atletas!E300="Adulto 70kg",17,IF(Atletas!E300="Adulto 75kg",18,IF(Atletas!E300="Adulto 82kg",19,IF(Atletas!E300="Adulto 90kg",20,IF(Atletas!E300="Adulto 100kg",21,IF(Atletas!E300="Adulto +100kg",22,""))))))))))))))))))))))))</f>
        <v/>
      </c>
      <c r="AX309" s="6" t="str">
        <f>IF(Atletas!F300="","",IF(Atletas!B300="Feminino",100,IF(Atletas!B300="Masculino",200,""))+(IF(Atletas!F300="Adulto 48kg",1,IF(Atletas!F300="Adulto 56kg",2,IF(Atletas!F300="Adulto 65kg",3,IF(Atletas!F300="Adulto 75kg",4,IF(Atletas!F300="Adulto +75kg",5,IF(Atletas!F300="Adulto 52kg",6,IF(Atletas!F300="Adulto 60kg",7,IF(Atletas!F300="Adulto 70kg",8,IF(Atletas!F300="Adulto 80kg",9,IF(Atletas!F300="Adulto 90kg",10,IF(Atletas!F300="Adulto +90kg",11,"")))))))))))))</f>
        <v/>
      </c>
      <c r="BC309" s="6" t="str">
        <f>IF(Atletas!G300="","",IF(Atletas!B300="Feminino",10,IF(Atletas!B300="Masculino",20,""))+(IF(Atletas!G300="Baduanjin A",1,IF(Atletas!G300="Baduanjin B",2))))</f>
        <v/>
      </c>
      <c r="BF309" s="52" t="str">
        <f>IF(Atletas!H300="","",IF(Atletas!B300="Feminino",100,IF(Atletas!B300="Masculino",200,""))+(IF(Atletas!H300="Changquan Mirim",1,IF(Atletas!H300="Nanquan Mirim",2,IF(Atletas!H300="Taijiquan Mirim",3,IF(Atletas!H300="Changquan Grupo C",4,IF(Atletas!H300="Nanquan Grupo C",5,IF(Atletas!H300="Taijiquan Grupo C",6,IF(Atletas!H300="Changquan Grupo B",7,IF(Atletas!H300="Nanquan Grupo B",8,IF(Atletas!H300="Taijiquan Grupo B",9,IF(Atletas!H300="Changquan Grupo A",10,IF(Atletas!H300="Nanquan Grupo A",11,IF(Atletas!H300="Taijiquan Grupo A",12,IF(Atletas!H300="Changquan Opcional",13,IF(Atletas!H300="Nanquan Opcional",14,IF(Atletas!H300="Taijiquan Opcional",15,IF(Atletas!H300="Changquan Adulto",16,IF(Atletas!H300="Nanquan Adulto",17,IF(Atletas!H300="Taijiquan Adulto",18,""))))))))))))))))))))</f>
        <v/>
      </c>
      <c r="BG309" s="52" t="str">
        <f>IF(Atletas!I300="","",IF(Atletas!B300="Feminino",100,IF(Atletas!B300="Masculino",200,""))+(IF(Atletas!I300="Daoshu Mirim",19,IF(Atletas!I300="Jianshu Mirim",20,IF(Atletas!I300="Nandao Mirim",21,IF(Atletas!I300="Taijijian Mirim",22,IF(Atletas!I300="Daoshu Grupo C",23,IF(Atletas!I300="Jianshu Grupo C",24,IF(Atletas!I300="Nandao Grupo C",25,IF(Atletas!I300="Taijijian Grupo C",26,IF(Atletas!I300="Daoshu Grupo B",27,IF(Atletas!I300="Jianshu Grupo B",28,IF(Atletas!I300="Nandao Grupo B",29,IF(Atletas!I300="Taijijian Grupo B",30,IF(Atletas!I300="Daoshu Grupo A",31,IF(Atletas!I300="Jianshu Grupo A",32,IF(Atletas!I300="Nandao Grupo A",33,IF(Atletas!I300="Taijijian Grupo A",34,IF(Atletas!I300="Daoshu Opcional",35,IF(Atletas!I300="Jianshu Opcional",36,IF(Atletas!I300="Nandao Opcional",37,IF(Atletas!I300="Taijijian Opcional",38,IF(Atletas!I300="Daoshu Adulto",39,IF(Atletas!I300="Jianshu Adulto",40,IF(Atletas!I300="Nandao Adulto",41,IF(Atletas!I300="Taijijian Adulto",42,""))))))))))))))))))))))))))</f>
        <v/>
      </c>
      <c r="BH309" s="52" t="str">
        <f>IF(Atletas!J300="","",IF(Atletas!B300="Feminino",100,IF(Atletas!B300="Masculino",200,""))+(IF(Atletas!J300="Gunshu Mirim",43,IF(Atletas!J300="Qiangshu Mirim",44,IF(Atletas!J300="Nangun Mirim",45,IF(Atletas!J300="Gunshu Grupo C",46,IF(Atletas!J300="Qiangshu Grupo C",47,IF(Atletas!J300="Nangun Grupo C",48,IF(Atletas!J300="Gunshu Grupo B",49,IF(Atletas!J300="Qiangshu Grupo B",50,IF(Atletas!J300="Nangun Grupo B",51,IF(Atletas!J300="Gunshu Grupo A",52,IF(Atletas!J300="Qiangshu Grupo A",53,IF(Atletas!J300="Nangun Grupo A",54,IF(Atletas!J300="Gunshu Opcional",55,IF(Atletas!J300="Qiangshu Opcional",56,IF(Atletas!J300="Nangun Opcional",57,IF(Atletas!J300="Gunshu Adulto",58,IF(Atletas!J300="Qiangshu Adulto",59,IF(Atletas!J300="Nangun Adulto",60,IF(Atletas!J300="Taijishan Grupo B",61,IF(Atletas!J300="Taijishan Grupo A",62,""))))))))))))))))))))))</f>
        <v/>
      </c>
      <c r="BM309" s="50" t="str">
        <f>IF(Atletas!K300="","",IF(Atletas!B300="Feminino",100,IF(Atletas!B300="Masculino",200,""))+(IF(Atletas!K300="Equipe 1 Grupo B",1,IF(Atletas!K300="Equipe 2 Grupo B",2,IF(Atletas!K300="Equipe 1 Grupo A",3,IF(Atletas!K300="Equipe 2 Grupo A",4,IF(Atletas!K300="Equipe 1 Adulto",5,IF(Atletas!K300="Equipe 2 Adulto",6,""))))))))</f>
        <v/>
      </c>
      <c r="BR309" s="50" t="str">
        <f>IF(Atletas!L300="","",IF(Atletas!X300&lt;&gt;"",10000,0)+(IF(Atletas!B300="Feminino",1000,IF(Atletas!B300="Masculino",2000,""))+IF(Atletas!L300="Choylayfut A",1,IF(Atletas!L300="Hunggar A",2,IF(Atletas!L300="Wuzuquan A",3,IF(Atletas!L300="Wingchun A",4,IF(Atletas!L300="Outra Mão de Sul A",5,IF(Atletas!L300="Choylayfut B",6,IF(Atletas!L300="Hunggar B",7,IF(Atletas!L300="Wuzuquan B",8,IF(Atletas!L300="Wingchun B",9,IF(Atletas!L300="Outra Mão de Sul B",10,IF(Atletas!L300="Choylayfut C",11,IF(Atletas!L300="Hunggar C",12,IF(Atletas!L300="Wuzuquan C",13,IF(Atletas!L300="Wingchun C",14,IF(Atletas!L300="Outra Mão de Sul C",15,IF(Atletas!L300="Choylayfut D",16,IF(Atletas!L300="Hunggar D",17,IF(Atletas!L300="Wuzuquan D",18,IF(Atletas!L300="Wingchun D",19,IF(Atletas!L300="Outra Mão de Sul D",20,IF(Atletas!L300="Choylayfut E",21,IF(Atletas!L300="Hunggar E",22,IF(Atletas!L300="Wuzuquan E",23,IF(Atletas!L300="Wingchun E",24,IF(Atletas!L300="Outra Mão de Sul E",25,IF(Atletas!L300="Choylayfut F",26,IF(Atletas!L300="Hunggar F",27,IF(Atletas!L300="Wuzuquan F",28,IF(Atletas!L300="Wingchun F",29,IF(Atletas!L300="Outra Mão de Sul F",30,IF(Atletas!L300="Dishuquan A",31,IF(Atletas!L300="Dishuquan B",32,IF(Atletas!L300="Dishuquan C",33,IF(Atletas!L300="Dishuquan D",34,IF(Atletas!L300="Dishuquan E",35,IF(Atletas!L300="Dishuquan F",36,""))))))))))))))))))))))))))))))))))))))</f>
        <v/>
      </c>
      <c r="BS309" s="50" t="str">
        <f>IF(Atletas!M300="","",IF(Atletas!X300&lt;&gt;"",10000,0)+(IF(Atletas!B300="Feminino",1000,IF(Atletas!B300="Masculino",2000,""))+(IF(Atletas!M300="Chaquan A",101,IF(Atletas!M300="Emeiquan A",102,IF(Atletas!M300="Fanziquan A",103,IF(Atletas!M300="Huaquan A",104,IF(Atletas!M300="Hongquan A",105,IF(Atletas!M300="Paoquan A",106,IF(Atletas!M300="Piguaquan A",107,IF(Atletas!M300="Shaolinquan A",108,IF(Atletas!M300="Tanglangquan A",109,IF(Atletas!M300="Yingzhaoquan A",110,IF(Atletas!M300="Tongbeiquan A",111,IF(Atletas!M300="Wudangquan A",112,IF(Atletas!M300="Outros Estilos A",113,IF(Atletas!M300="Chaquan B",114,IF(Atletas!M300="Emeiquan B",115,IF(Atletas!M300="Fanziquan B",116,IF(Atletas!M300="Huaquan B",117,IF(Atletas!M300="Hongquan B",118,IF(Atletas!M300="Paoquan B",119,IF(Atletas!M300="Piguaquan B",120,IF(Atletas!M300="Shaolinquan B",121,IF(Atletas!M300="Tanglangquan B",122,IF(Atletas!M300="Yingzhaoquan B",123,IF(Atletas!M300="Tongbeiquan B",124,IF(Atletas!M300="Wudangquan B",125,IF(Atletas!M300="Outros Estilos B",126,IF(Atletas!M300="Chaquan C",127,IF(Atletas!M300="Emeiquan C",128,IF(Atletas!M300="Fanziquan C",129,IF(Atletas!M300="Huaquan C",130,IF(Atletas!M300="Hongquan C",131,IF(Atletas!M300="Paoquan C",132,IF(Atletas!M300="Piguaquan C",133,IF(Atletas!M300="Shaolinquan C",134,IF(Atletas!M300="Tanglangquan C",135,IF(Atletas!M300="Yingzhaoquan C",136,IF(Atletas!M300="Tongbeiquan C",137,IF(Atletas!M300="Wudangquan C",138,IF(Atletas!M300="Outros Estilos C",139,0))))))))))))))))))))))))))))))))))))))))))</f>
        <v/>
      </c>
      <c r="BT309" s="50" t="str">
        <f>IF(Atletas!M300="","",IF(Atletas!X300&lt;&gt;"",10000,0)+(IF(Atletas!B300="Feminino",1000,IF(Atletas!B300="Masculino",2000,""))+(IF(Atletas!M300="Chaquan D",140,IF(Atletas!M300="Emeiquan D",141,IF(Atletas!M300="Fanziquan D",142,IF(Atletas!M300="Huaquan D",143,IF(Atletas!M300="Hongquan D",144,IF(Atletas!M300="Paoquan D",145,IF(Atletas!M300="Piguaquan D",146,IF(Atletas!M300="Shaolinquan D",147,IF(Atletas!M300="Tanglangquan D",148,IF(Atletas!M300="Yingzhaoquan D",149,IF(Atletas!M300="Tongbeiquan D",150,IF(Atletas!M300="Wudangquan D",151,IF(Atletas!M300="Outros Estilos D",152,IF(Atletas!M300="Chaquan E",153,IF(Atletas!M300="Emeiquan E",154,IF(Atletas!M300="Fanziquan E",155,IF(Atletas!M300="Huaquan E",156,IF(Atletas!M300="Hongquan E",157,IF(Atletas!M300="Paoquan E",158,IF(Atletas!M300="Piguaquan E",159,IF(Atletas!M300="Shaolinquan E",160,IF(Atletas!M300="Tanglangquan E",161,IF(Atletas!M300="Yingzhaoquan E",162,IF(Atletas!M300="Tongbeiquan E",163,IF(Atletas!M300="Wudangquan E",164,IF(Atletas!M300="Outros Estilos E",165,IF(Atletas!M300="Chaquan F",166,IF(Atletas!M300="Emeiquan F",167,IF(Atletas!M300="Fanziquan F",168,IF(Atletas!M300="Huaquan F",169,IF(Atletas!M300="Hongquan F",170,IF(Atletas!M300="Paoquan F",171,IF(Atletas!M300="Piguaquan F",172,IF(Atletas!M300="Shaolinquan F",173,IF(Atletas!M300="Tanglangquan F",174,IF(Atletas!M300="Yingzhaoquan F",175,IF(Atletas!M300="Tongbeiquan F",176,IF(Atletas!M300="Wudangquan F",177,IF(Atletas!M300="Outros Estilos F",178,0))))))))))))))))))))))))))))))))))))))))))</f>
        <v/>
      </c>
      <c r="BU309" s="50" t="str">
        <f>IF(Atletas!N300="","",IF(Atletas!X300&lt;&gt;"",10000,0)+(IF(Atletas!B300="Feminino",1000,IF(Atletas!B300="Masculino",2000,""))+(IF(Atletas!N300="Ditangquan A",201,IF(Atletas!N300="Houquan A",202,IF(Atletas!N300="Zuiquan A",203,IF(Atletas!N300="Ditangquan B",204,IF(Atletas!N300="Houquan B",205,IF(Atletas!N300="Zuiquan B",206,IF(Atletas!N300="Ditangquan C",207,IF(Atletas!N300="Houquan C",208,IF(Atletas!N300="Zuiquan C",209,IF(Atletas!N300="Ditangquan D",210,IF(Atletas!N300="Houquan D",211,IF(Atletas!N300="Zuiquan D",212,IF(Atletas!N300="Ditangquan E",213,IF(Atletas!N300="Houquan E",214,IF(Atletas!N300="Zuiquan E",215,IF(Atletas!N300="Ditangquan F",216,IF(Atletas!N300="Houquan F",217,IF(Atletas!N300="Zuiquan F",218,"")))))))))))))))))))))</f>
        <v/>
      </c>
      <c r="BV309" s="50" t="str">
        <f>IF(Atletas!O300="","",IF(Atletas!X300&lt;&gt;"",10000,0)+IF(Atletas!B300="Feminino",1000,IF(Atletas!B300="Masculino",2000,""))+IF(Atletas!O300="Yang A",301,IF(Atletas!O300="Chen A",302,IF(Atletas!O300="Sun A",303,IF(Atletas!O300="Wu A",304,IF(Atletas!O300="Wu-Hao A",305,IF(Atletas!O300="Outro Taijiquan A",306,IF(Atletas!O300="Yang B",307,IF(Atletas!O300="Chen B",308,IF(Atletas!O300="Sun B",309,IF(Atletas!O300="Wu B",310,IF(Atletas!O300="Wu-Hao B",311,IF(Atletas!O300="Outro Taijiquan B",312,IF(Atletas!O300="Yang C",313,IF(Atletas!O300="Chen C",314,IF(Atletas!O300="Sun C",315,IF(Atletas!O300="Wu C",316,IF(Atletas!O300="Wu-Hao C",317,IF(Atletas!O300="Outro Taijiquan C",318,IF(Atletas!O300="Yang D",319,IF(Atletas!O300="Chen D",320,IF(Atletas!O300="Sun D",321,IF(Atletas!O300="Wu D",322,IF(Atletas!O300="Wu-Hao D",323,IF(Atletas!O300="Outro Taijiquan D",324,IF(Atletas!O300="Yang E",325,IF(Atletas!O300="Chen E",326,IF(Atletas!O300="Sun E",327,IF(Atletas!O300="Wu E",328,IF(Atletas!O300="Wu-Hao E",329,IF(Atletas!O300="Outro Taijiquan E",330,IF(Atletas!O300="Yang F",331,IF(Atletas!O300="Chen F",332,IF(Atletas!O300="Sun F",333,IF(Atletas!O300="Wu F",334,IF(Atletas!O300="Wu-Hao F",335,IF(Atletas!O300="Outro Taijiquan F",336,"")))))))))))))))))))))))))))))))))))))</f>
        <v/>
      </c>
      <c r="BW309" s="50" t="str">
        <f>IF(Atletas!P300="","",IF(Atletas!X300&lt;&gt;"",10000,0)+IF(Atletas!B300="Feminino",1000,IF(Atletas!B300="Masculino",2000,""))+IF(OR(Atletas!P300="Yang 26 A",Atletas!P300="Yang 40 A"),401,IF(OR(Atletas!P300="Chen 25 A",Atletas!P300="Chen 36 A",Atletas!P300="Chen 56 A"),402,IF(Atletas!P300="Sun 73 A",403,IF(Atletas!P300="Wu 45 A",404,IF(Atletas!P300="Wu-Hao 46 A",405,IF(OR(Atletas!P300="Taijiquan 16 A",Atletas!P300="Taijiquan 24 A",Atletas!P300="Taijiquan 32 A",Atletas!P300="Taijiquan 42 A"),406,IF(OR(Atletas!P300="Yang 26 B",Atletas!P300="Yang 40 B"),407,IF(OR(Atletas!P300="Chen 25 B",Atletas!P300="Chen 36 B",Atletas!P300="Chen 56 B"),408,IF(Atletas!P300="Sun 73 B",409,IF(Atletas!P300="Wu 45 B",410,IF(Atletas!P300="Wu-Hao 46 B",411,IF(OR(Atletas!P300="Taijiquan 16 B",Atletas!P300="Taijiquan 24 B",Atletas!P300="Taijiquan 32 B",Atletas!P300="Taijiquan 42 B"),412,IF(OR(Atletas!P300="Yang 26 C",Atletas!P300="Yang 40 C"),413,IF(OR(Atletas!P300="Chen 25 C",Atletas!P300="Chen 36 C",Atletas!P300="Chen 56 C"),414,IF(Atletas!P300="Sun 73 C",415,IF(Atletas!P300="Wu 45 C",416,IF(Atletas!P300="Wu-Hao 46 C",417,IF(OR(Atletas!P300="Taijiquan 16 C",Atletas!P300="Taijiquan 24 C",Atletas!P300="Taijiquan 32 C",Atletas!P300="Taijiquan 42 C"),418,0)))))))))))))))))))</f>
        <v/>
      </c>
      <c r="BX309" s="50" t="str">
        <f>IF(Atletas!P300="","",IF(Atletas!X300&lt;&gt;"",10000,0)+IF(Atletas!B300="Feminino",1000,IF(Atletas!B300="Masculino",2000,""))+IF(OR(Atletas!P300="Yang 26 D",Atletas!P300="Yang 40 D"),419,IF(OR(Atletas!P300="Chen 25 D",Atletas!P300="Chen 36 D",Atletas!P300="Chen 56 D"),420,IF(Atletas!P300="Sun 73 D",421,IF(Atletas!P300="Wu 45 D",422,IF(Atletas!P300="Wu-Hao 46 D",423,IF(OR(Atletas!P300="Taijiquan 16 D",Atletas!P300="Taijiquan 24 D",Atletas!P300="Taijiquan 32 D",Atletas!P300="Taijiquan 42 D"),424,IF(OR(Atletas!P300="Yang 26 E",Atletas!P300="Yang 40 E"),425,IF(OR(Atletas!P300="Chen 25 E",Atletas!P300="Chen 36 E",Atletas!P300="Chen 56 E"),426,IF(Atletas!P300="Sun 73 E",427,IF(Atletas!P300="Wu 45 E",428,IF(Atletas!P300="Wu-Hao 46 E",429,IF(OR(Atletas!P300="Taijiquan 16 E",Atletas!P300="Taijiquan 24 E",Atletas!P300="Taijiquan 32 E",Atletas!P300="Taijiquan 42 E"),430,IF(OR(Atletas!P300="Yang 26 F",Atletas!P300="Yang 40 F"),431,IF(OR(Atletas!P300="Chen 25 F",Atletas!P300="Chen 36 F",Atletas!P300="Chen 56 F"),432,IF(Atletas!P300="Sun 73 F",433,IF(Atletas!P300="Wu 45 F",434,IF(Atletas!P300="Wu-Hao 46 F",435,IF(OR(Atletas!P300="Taijiquan 16 F",Atletas!P300="Taijiquan 24 F",Atletas!P300="Taijiquan 32 F",Atletas!P300="Taijiquan 42 F"),436,0)))))))))))))))))))</f>
        <v/>
      </c>
      <c r="BY309" s="50" t="str">
        <f>IF(Atletas!Q300="","",IF(Atletas!X300&lt;&gt;"",10000,0)+IF(Atletas!B300="Feminino",1000,IF(Atletas!B300="Masculino",2000,""))+IF(Atletas!Q300="Xingyiquan A",501,IF(Atletas!Q300="Baguazhang A",502,IF(Atletas!Q300="Outro Estilo Interno A",503,IF(Atletas!Q300="Xingyiquan B",504,IF(Atletas!Q300="Baguazhang B",505,IF(Atletas!Q300="Outro Estilo Interno B",506,IF(Atletas!Q300="Xingyiquan C",507,IF(Atletas!Q300="Baguazhang C",508,IF(Atletas!Q300="Outro Estilo Interno C",509,IF(Atletas!Q300="Xingyiquan D",510,IF(Atletas!Q300="Baguazhang D",511,IF(Atletas!Q300="Outro Estilo Interno D",512,IF(Atletas!Q300="Xingyiquan E",513,IF(Atletas!Q300="Baguazhang E",514,IF(Atletas!Q300="Outro Estilo Interno E",515,IF(Atletas!Q300="Xingyiquan F",516,IF(Atletas!Q300="Baguazhang F",517,IF(Atletas!Q300="Outro Estilo Interno F",518, "")))))))))))))))))))</f>
        <v/>
      </c>
      <c r="BZ309" s="50" t="str">
        <f>IF(Atletas!R300="","",IF(Atletas!X300&lt;&gt;"",10000,0)+IF(Atletas!B300="Feminino",1000,IF(Atletas!B300="Masculino",2000,""))+IF(Atletas!R300="Dao A",601,IF(Atletas!R300="Jian A",602,IF(Atletas!R300="Bishou A",603,IF(Atletas!R300="Shanzi A",604,IF(Atletas!R300="Outra Arma Curta A",605,IF(Atletas!R300="Dao B",606,IF(Atletas!R300="Jian B",607,IF(Atletas!R300="Bishou B",608,IF(Atletas!R300="Shanzi B",609,IF(Atletas!R300="Outra Arma Curta B",610,IF(Atletas!R300="Dao C",611,IF(Atletas!R300="Jian C",612,IF(Atletas!R300="Bishou C",613,IF(Atletas!R300="Shanzi C",614,IF(Atletas!R300="Outra Arma Curta C",615,IF(Atletas!R300="Dao D",616,IF(Atletas!R300="Jian D",617,IF(Atletas!R300="Bishou D",618,IF(Atletas!R300="Shanzi D",619,IF(Atletas!R300="Outra Arma Curta D",620,IF(Atletas!R300="Dao E",621,IF(Atletas!R300="Jian E",622,IF(Atletas!R300="Bishou E",623,IF(Atletas!R300="Shanzi E",624,IF(Atletas!R300="Outra Arma Curta E",625,IF(Atletas!R300="Dao F",626,IF(Atletas!R300="Jian F",627,IF(Atletas!R300="Bishou F",628,IF(Atletas!R300="Shanzi F",629,IF(Atletas!R300="Outra Arma Curta F",630, "")))))))))))))))))))))))))))))))</f>
        <v/>
      </c>
      <c r="CA309" s="50" t="str">
        <f>IF(Atletas!S300="","",IF(Atletas!X300&lt;&gt;"",10000,0)+IF(Atletas!B300="Feminino",1000,IF(Atletas!B300="Masculino",2000,""))+IF(Atletas!S300="Gun A",701,IF(Atletas!S300="Qiang A",702,IF(Atletas!S300="Pudao / Guandao A",703,IF(Atletas!S300="Outra Arma Longa A",704,IF(Atletas!S300="Gun B",705,IF(Atletas!S300="Qiang B",706,IF(Atletas!S300="Pudao / Guandao B",707,IF(Atletas!S300="Outra Arma Longa B",708,IF(Atletas!S300="Gun C",709,IF(Atletas!S300="Qiang C",710,IF(Atletas!S300="Pudao / Guandao C",711,IF(Atletas!S300="Outra Arma Longa C",712,IF(Atletas!S300="Gun D",713,IF(Atletas!S300="Qiang D",714,IF(Atletas!S300="Pudao / Guandao D",715,IF(Atletas!S300="Outra Arma Longa D",716,IF(Atletas!S300="Gun E",717,IF(Atletas!S300="Qiang E",718,IF(Atletas!S300="Pudao / Guandao E",719,IF(Atletas!S300="Outra Arma Longa E",720,IF(Atletas!S300="Gun F",721,IF(Atletas!S300="Qiang F",722,IF(Atletas!S300="Pudao / Guandao F",723,IF(Atletas!S300="Outra Arma Longa F",724,"")))))))))))))))))))))))))</f>
        <v/>
      </c>
      <c r="CB309" s="50" t="str">
        <f>IF(Atletas!T300="","",IF(Atletas!X300&lt;&gt;"",10000,0)+IF(Atletas!B300="Feminino",1000,IF(Atletas!B300="Masculino",2000,""))+IF(Atletas!T300="Outra Arma Dupla A",801,IF(Atletas!T300="Arma Maleável A",802,IF(Atletas!T300="Outra Arma Dupla B",803,IF(Atletas!T300="Arma Maleável B",804,IF(Atletas!T300="Outra Arma Dupla C",805,IF(Atletas!T300="Arma Maleável C",806,IF(Atletas!T300="Outra Arma Dupla D",807,IF(Atletas!T300="Arma Maleável D",808,IF(Atletas!T300="Outra Arma Dupla E",809,IF(Atletas!T300="Arma Maleável E",810,IF(Atletas!T300="Outra Arma Dupla F",811,IF(Atletas!T300="Arma Maleável F",812,IF(Atletas!T300="Shuangdao A",813,IF(Atletas!T300="Shuangdao B",814,IF(Atletas!T300="Shuangdao C",815,IF(Atletas!T300="Shuangdao D",816,IF(Atletas!T300="Shuangdao E",817,IF(Atletas!T300="Shuangdao F",818,"")))))))))))))))))))</f>
        <v/>
      </c>
      <c r="CC309" s="50" t="str">
        <f>IF(Atletas!U300="","",IF(Atletas!X300&lt;&gt;"",10000,0)+IF(Atletas!B300="Feminino",1000,IF(Atletas!B300="Masculino",2000,""))+IF(OR(Atletas!U300="Taijijian Yang A",Atletas!U300="Taijijian Yang Standard A"),901,IF(OR(Atletas!U300="Taijijian Chen A", Atletas!U300="Taijijian Chen Standard A"),902,IF(Atletas!U300="Taijijian Sun A",903,IF(Atletas!U300="Taijijian Wu A",904,IF(Atletas!U300="Taijijian Wu-Hao A",905,IF(OR(Atletas!U300="Taijijian 32 A",Atletas!U300="Taijijian 42 A"),906,IF(OR(Atletas!U300="Taijijian Yang B",Atletas!U300="Taijijian Yang Standard B"),907,IF(OR(Atletas!U300="Taijijian Chen B", Atletas!U300="Taijijian Chen Standard B"),908,IF(Atletas!U300="Taijijian Sun B",909,IF(Atletas!U300="Taijijian Wu B",910,IF(Atletas!U300="Taijijian Wu-Hao B",911,IF(OR(Atletas!U300="Taijijian 32 B",Atletas!U300="Taijijian 42 B"),912,IF(OR(Atletas!U300="Taijijian Yang C",Atletas!U300="Taijijian Yang Standard C"),913,IF(OR(Atletas!U300="Taijijian Chen C", Atletas!U300="Taijijian Chen Standard C"),914,IF(Atletas!U300="Taijijian Sun C",915,IF(Atletas!U300="Taijijian Wu C",916,IF(Atletas!U300="Taijijian Wu-Hao C",917,IF(OR(Atletas!U300="Taijijian 32 C",Atletas!U300="Taijijian 42 C"),918,IF(OR(Atletas!U300="Taijijian Yang D",Atletas!U300="Taijijian Yang Standard D"),919,IF(OR(Atletas!U300="Taijijian Chen D", Atletas!U300="Taijijian Chen Standard D"),920,IF(Atletas!U300="Taijijian Sun D",921,IF(Atletas!U300="Taijijian Wu D",922,IF(Atletas!U300="Taijijian Wu-Hao D",923,IF(OR(Atletas!U300="Taijijian 32 D",Atletas!U300="Taijijian 42 D"),924,IF(OR(Atletas!U300="Taijijian Yang E",Atletas!U300="Taijijian Yang Standard E"),925,IF(OR(Atletas!U300="Taijijian Chen E", Atletas!U300="Taijijian Chen Standard E"),926,IF(Atletas!U300="Taijijian Sun E",927,IF(Atletas!U300="Taijijian Wu E",928,IF(Atletas!U300="Taijijian Wu-Hao E",929,IF(OR(Atletas!U300="Taijijian 32 E",Atletas!U300="Taijijian 42 E"),930,IF(OR(Atletas!U300="Taijijian Yang F",Atletas!U300="Taijijian Yang Standard F"),931,IF(OR(Atletas!U300="Taijijian Chen F", Atletas!U300="Taijijian Chen Standard F"),932,IF(Atletas!U300="Taijijian Sun F",933,IF(Atletas!U300="Taijijian Wu F",934,IF(Atletas!U300="Taijijian Wu-Hao F",935,IF(OR(Atletas!U300="Taijijian 32 F",Atletas!U300="Taijijian 42 F"),936,"")))))))))))))))))))))))))))))))))))))</f>
        <v/>
      </c>
      <c r="CD309" s="50" t="str">
        <f>IF(Atletas!V300="","",IF(Atletas!X300&lt;&gt;"",10000,0)+IF(Atletas!B300="Feminino",1000,IF(Atletas!B300="Masculino",2000,""))+IF(Atletas!V300="Taijidao A",937,IF(Atletas!V300="TaijiShanzi A",938,IF(Atletas!V300="Taijiqiang A",939,IF(Atletas!V300="Bagua de Arma A",940,IF(Atletas!V300="Xingyi de Arma A",941,IF(Atletas!V300="Taijidao B",942,IF(Atletas!V300="TaijiShanzi B",943,IF(Atletas!V300="Taijiqiang B",944,IF(Atletas!V300="Bagua de Arma B",945,IF(Atletas!V300="Xingyi de Arma B",946,IF(Atletas!V300="Taijidao C",947,IF(Atletas!V300="TaijiShanzi C",948,IF(Atletas!V300="Taijiqiang C",949,IF(Atletas!V300="Bagua de Arma C",950,IF(Atletas!V300="Xingyi de Arma C",951,IF(Atletas!V300="Taijidao D",952,IF(Atletas!V300="TaijiShanzi D",953,IF(Atletas!V300="Taijiqiang D",954,IF(Atletas!V300="Bagua de Arma D",955,IF(Atletas!V300="Xingyi de Arma D",956,IF(Atletas!V300="Taijidao E",957,IF(Atletas!V300="TaijiShanzi E",958,IF(Atletas!V300="Taijiqiang E",959,IF(Atletas!V300="Bagua de Arma E",960,IF(Atletas!V300="Xingyi de Arma E",961,IF(Atletas!V300="Taijidao F",962,IF(Atletas!V300="TaijiShanzi F",963,IF(Atletas!V300="Taijiqiang F",964,IF(Atletas!V300="Bagua de Arma F",965,IF(Atletas!V300="Xingyi de Arma F",966,"")))))))))))))))))))))))))))))))</f>
        <v/>
      </c>
      <c r="CE309" s="66" t="str">
        <f>IF(CF309&lt;&gt;"","Taijijian Sun B","")</f>
        <v/>
      </c>
      <c r="CF309" s="6" t="str">
        <f>IF(COUNTIF(BR:CD,1909)&gt;0,COUNTIF(BR:CD,1909),"")</f>
        <v/>
      </c>
      <c r="CG309" s="66" t="str">
        <f>IF(CH309&lt;&gt;"","Taijijian Sun B","")</f>
        <v/>
      </c>
      <c r="CH309" s="66" t="str">
        <f>IF(COUNTIF(BR:CD,2909)&gt;0,COUNTIF(BR:CD,2909),"")</f>
        <v/>
      </c>
      <c r="CI309" s="66" t="str">
        <f>IF(CJ310&lt;&gt;"","Taijijian Wu D","")</f>
        <v/>
      </c>
      <c r="CJ309" s="66" t="str">
        <f>IF(COUNTIF(BR:CD,11921)&gt;0,COUNTIF(BR:CD,11921),"")</f>
        <v/>
      </c>
      <c r="CK309" s="66" t="str">
        <f>IF(CL309&lt;&gt;"","Taijijian Sun D","")</f>
        <v/>
      </c>
      <c r="CL309" s="66" t="str">
        <f>IF(COUNTIF(BR:CD,12921)&gt;0,COUNTIF(BR:CD,12921),"")</f>
        <v/>
      </c>
      <c r="CM309" s="50" t="str">
        <f xml:space="preserve"> IF(Atletas!W300="","",IF(Atletas!W300="Duilian de Mãos BC - Equipe 1",1,IF(Atletas!W300="Duilian de Mãos BC - Equipe 2",2,IF(Atletas!W300="Duilian de Armas BC - Equipe 1",3,IF(Atletas!W300="Duilian de Armas BC - Equipe 2",4,IF(Atletas!W300="Duilian de Mãos DE - Equipe 1",5,IF(Atletas!W300="Duilian de Mãos DE - Equipe 2",6,IF(Atletas!W300="Duilian de Armas DE - Equipe 1",7,IF(Atletas!W300="Duilian de Armas DE - Equipe 2",8,IF(Atletas!W300="Duilian de Tuishou - Equipe 1",9,IF(Atletas!W300="Duilian de Tuishou - Equipe 2",10,IF(Atletas!W300="Grupo Externo ABC - Equipe 1",11,IF(Atletas!W300="Grupo Externo ABC - Equipe 2",12,IF(Atletas!W300="Grupo Interno ABC - Equipe 1",13,IF(Atletas!W300="Grupo Interno ABC - Equipe 2",14,IF(Atletas!W300="Grupo Externo DEF - Equipe 1",15,IF(Atletas!W300="Grupo Externo DEF - Equipe 2",16,IF(Atletas!W300="Grupo Interno DEF - Equipe 1",17,IF(Atletas!W300="Grupo Interno DEF - Equipe 2",18,"")))))))))))))))))))</f>
        <v/>
      </c>
    </row>
    <row r="310" spans="40:91">
      <c r="AN310" s="52" t="str">
        <f>IF(Atletas!D301="","",IF(Atletas!B301="Feminino",100,IF(Atletas!B301="Masculino",200,""))+(IF(Atletas!D301="Kids 30kg",1,IF(Atletas!D301="Kids 32kg",2, IF(Atletas!D301="Kids 34kg",3,IF(Atletas!D301="Kids 36kg",4,IF(Atletas!D301="Kids 39kg",5,IF(Atletas!D301="Kids 42kg",6,IF(Atletas!D301="Kids 45kg",7, IF(Atletas!D301="Infantil 39kg",8,IF(Atletas!D301="Infantil 42kg",9,IF(Atletas!D301="Infantil 45kg",10,IF(Atletas!D301="Infantil 48kg",11,IF(Atletas!D301="Infantil 52kg",12,IF(Atletas!D301="Infantil 56kg",13,IF(Atletas!D301="Infantil 60kg",14,IF(Atletas!D301="Juvenil 48kg",15,IF(Atletas!D301="Juvenil 52kg",16,IF(Atletas!D301="Juvenil 56kg",17,IF(Atletas!D301="Juvenil 60kg",18,IF(Atletas!D301="Juvenil 65kg",19,IF(Atletas!D301="Juvenil 70kg",20,IF(Atletas!D301="Juvenil 75kg",21,IF(Atletas!D301="Juvenil 80kg",22, IF(Atletas!D301="Juvenil 85kg",23,IF(Atletas!D301="Adulto 48kg",24,IF(Atletas!D301="Adulto 52kg",25,IF(Atletas!D301="Adulto 56kg",26,IF(Atletas!D301="Adulto 60kg",27,IF(Atletas!D301="Adulto 65kg",28,IF(Atletas!D301="Adulto 70kg",29,IF(Atletas!D301="Adulto 75kg",30,IF(Atletas!D301="Adulto 80kg",31,IF(Atletas!D301="Adulto 85kg",32,IF(Atletas!D301="Adulto 90kg",33,IF(Atletas!D301="Adulto 100kg",34, IF(Atletas!D301="Adulto +100kg",35,"")))))))))))))))))))))))))))))))))))))</f>
        <v/>
      </c>
      <c r="AS310" s="6" t="str">
        <f>IF(Atletas!E301="","",IF(Atletas!B301="Feminino",100,IF(Atletas!B301="Masculino",200,""))+(IF(Atletas!E301="Juvenil 44kg",1,IF(Atletas!E301="Juvenil 48kg",2,IF(Atletas!E301="Juvenil 52kg",3,IF(Atletas!E301="Juvenil 56kg",4,IF(Atletas!E301="Juvenil 60kg",5,IF(Atletas!E301="Juvenil 65kg",6,IF(Atletas!E301="Juvenil 70kg",7,IF(Atletas!E301="Juvenil 75kg",8,IF(Atletas!E301="Juvenil 82kg",9,IF(Atletas!E301="Juvenil 90kg",10,IF(Atletas!E301="Juvenil 100kg",11,IF(Atletas!E301="Adulto 48kg",12,IF(Atletas!E301="Adulto 52kg",13,IF(Atletas!E301="Adulto 56kg",14,IF(Atletas!E301="Adulto 60kg",15,IF(Atletas!E301="Adulto 65kg",16,IF(Atletas!E301="Adulto 70kg",17,IF(Atletas!E301="Adulto 75kg",18,IF(Atletas!E301="Adulto 82kg",19,IF(Atletas!E301="Adulto 90kg",20,IF(Atletas!E301="Adulto 100kg",21,IF(Atletas!E301="Adulto +100kg",22,""))))))))))))))))))))))))</f>
        <v/>
      </c>
      <c r="AX310" s="6" t="str">
        <f>IF(Atletas!F301="","",IF(Atletas!B301="Feminino",100,IF(Atletas!B301="Masculino",200,""))+(IF(Atletas!F301="Adulto 48kg",1,IF(Atletas!F301="Adulto 56kg",2,IF(Atletas!F301="Adulto 65kg",3,IF(Atletas!F301="Adulto 75kg",4,IF(Atletas!F301="Adulto +75kg",5,IF(Atletas!F301="Adulto 52kg",6,IF(Atletas!F301="Adulto 60kg",7,IF(Atletas!F301="Adulto 70kg",8,IF(Atletas!F301="Adulto 80kg",9,IF(Atletas!F301="Adulto 90kg",10,IF(Atletas!F301="Adulto +90kg",11,"")))))))))))))</f>
        <v/>
      </c>
      <c r="BC310" s="6" t="str">
        <f>IF(Atletas!G301="","",IF(Atletas!B301="Feminino",10,IF(Atletas!B301="Masculino",20,""))+(IF(Atletas!G301="Baduanjin A",1,IF(Atletas!G301="Baduanjin B",2))))</f>
        <v/>
      </c>
      <c r="BF310" s="52" t="str">
        <f>IF(Atletas!H301="","",IF(Atletas!B301="Feminino",100,IF(Atletas!B301="Masculino",200,""))+(IF(Atletas!H301="Changquan Mirim",1,IF(Atletas!H301="Nanquan Mirim",2,IF(Atletas!H301="Taijiquan Mirim",3,IF(Atletas!H301="Changquan Grupo C",4,IF(Atletas!H301="Nanquan Grupo C",5,IF(Atletas!H301="Taijiquan Grupo C",6,IF(Atletas!H301="Changquan Grupo B",7,IF(Atletas!H301="Nanquan Grupo B",8,IF(Atletas!H301="Taijiquan Grupo B",9,IF(Atletas!H301="Changquan Grupo A",10,IF(Atletas!H301="Nanquan Grupo A",11,IF(Atletas!H301="Taijiquan Grupo A",12,IF(Atletas!H301="Changquan Opcional",13,IF(Atletas!H301="Nanquan Opcional",14,IF(Atletas!H301="Taijiquan Opcional",15,IF(Atletas!H301="Changquan Adulto",16,IF(Atletas!H301="Nanquan Adulto",17,IF(Atletas!H301="Taijiquan Adulto",18,""))))))))))))))))))))</f>
        <v/>
      </c>
      <c r="BG310" s="52" t="str">
        <f>IF(Atletas!I301="","",IF(Atletas!B301="Feminino",100,IF(Atletas!B301="Masculino",200,""))+(IF(Atletas!I301="Daoshu Mirim",19,IF(Atletas!I301="Jianshu Mirim",20,IF(Atletas!I301="Nandao Mirim",21,IF(Atletas!I301="Taijijian Mirim",22,IF(Atletas!I301="Daoshu Grupo C",23,IF(Atletas!I301="Jianshu Grupo C",24,IF(Atletas!I301="Nandao Grupo C",25,IF(Atletas!I301="Taijijian Grupo C",26,IF(Atletas!I301="Daoshu Grupo B",27,IF(Atletas!I301="Jianshu Grupo B",28,IF(Atletas!I301="Nandao Grupo B",29,IF(Atletas!I301="Taijijian Grupo B",30,IF(Atletas!I301="Daoshu Grupo A",31,IF(Atletas!I301="Jianshu Grupo A",32,IF(Atletas!I301="Nandao Grupo A",33,IF(Atletas!I301="Taijijian Grupo A",34,IF(Atletas!I301="Daoshu Opcional",35,IF(Atletas!I301="Jianshu Opcional",36,IF(Atletas!I301="Nandao Opcional",37,IF(Atletas!I301="Taijijian Opcional",38,IF(Atletas!I301="Daoshu Adulto",39,IF(Atletas!I301="Jianshu Adulto",40,IF(Atletas!I301="Nandao Adulto",41,IF(Atletas!I301="Taijijian Adulto",42,""))))))))))))))))))))))))))</f>
        <v/>
      </c>
      <c r="BH310" s="52" t="str">
        <f>IF(Atletas!J301="","",IF(Atletas!B301="Feminino",100,IF(Atletas!B301="Masculino",200,""))+(IF(Atletas!J301="Gunshu Mirim",43,IF(Atletas!J301="Qiangshu Mirim",44,IF(Atletas!J301="Nangun Mirim",45,IF(Atletas!J301="Gunshu Grupo C",46,IF(Atletas!J301="Qiangshu Grupo C",47,IF(Atletas!J301="Nangun Grupo C",48,IF(Atletas!J301="Gunshu Grupo B",49,IF(Atletas!J301="Qiangshu Grupo B",50,IF(Atletas!J301="Nangun Grupo B",51,IF(Atletas!J301="Gunshu Grupo A",52,IF(Atletas!J301="Qiangshu Grupo A",53,IF(Atletas!J301="Nangun Grupo A",54,IF(Atletas!J301="Gunshu Opcional",55,IF(Atletas!J301="Qiangshu Opcional",56,IF(Atletas!J301="Nangun Opcional",57,IF(Atletas!J301="Gunshu Adulto",58,IF(Atletas!J301="Qiangshu Adulto",59,IF(Atletas!J301="Nangun Adulto",60,IF(Atletas!J301="Taijishan Grupo B",61,IF(Atletas!J301="Taijishan Grupo A",62,""))))))))))))))))))))))</f>
        <v/>
      </c>
      <c r="BM310" s="50" t="str">
        <f>IF(Atletas!K301="","",IF(Atletas!B301="Feminino",100,IF(Atletas!B301="Masculino",200,""))+(IF(Atletas!K301="Equipe 1 Grupo B",1,IF(Atletas!K301="Equipe 2 Grupo B",2,IF(Atletas!K301="Equipe 1 Grupo A",3,IF(Atletas!K301="Equipe 2 Grupo A",4,IF(Atletas!K301="Equipe 1 Adulto",5,IF(Atletas!K301="Equipe 2 Adulto",6,""))))))))</f>
        <v/>
      </c>
      <c r="BR310" s="50" t="str">
        <f>IF(Atletas!L301="","",IF(Atletas!X301&lt;&gt;"",10000,0)+(IF(Atletas!B301="Feminino",1000,IF(Atletas!B301="Masculino",2000,""))+IF(Atletas!L301="Choylayfut A",1,IF(Atletas!L301="Hunggar A",2,IF(Atletas!L301="Wuzuquan A",3,IF(Atletas!L301="Wingchun A",4,IF(Atletas!L301="Outra Mão de Sul A",5,IF(Atletas!L301="Choylayfut B",6,IF(Atletas!L301="Hunggar B",7,IF(Atletas!L301="Wuzuquan B",8,IF(Atletas!L301="Wingchun B",9,IF(Atletas!L301="Outra Mão de Sul B",10,IF(Atletas!L301="Choylayfut C",11,IF(Atletas!L301="Hunggar C",12,IF(Atletas!L301="Wuzuquan C",13,IF(Atletas!L301="Wingchun C",14,IF(Atletas!L301="Outra Mão de Sul C",15,IF(Atletas!L301="Choylayfut D",16,IF(Atletas!L301="Hunggar D",17,IF(Atletas!L301="Wuzuquan D",18,IF(Atletas!L301="Wingchun D",19,IF(Atletas!L301="Outra Mão de Sul D",20,IF(Atletas!L301="Choylayfut E",21,IF(Atletas!L301="Hunggar E",22,IF(Atletas!L301="Wuzuquan E",23,IF(Atletas!L301="Wingchun E",24,IF(Atletas!L301="Outra Mão de Sul E",25,IF(Atletas!L301="Choylayfut F",26,IF(Atletas!L301="Hunggar F",27,IF(Atletas!L301="Wuzuquan F",28,IF(Atletas!L301="Wingchun F",29,IF(Atletas!L301="Outra Mão de Sul F",30,IF(Atletas!L301="Dishuquan A",31,IF(Atletas!L301="Dishuquan B",32,IF(Atletas!L301="Dishuquan C",33,IF(Atletas!L301="Dishuquan D",34,IF(Atletas!L301="Dishuquan E",35,IF(Atletas!L301="Dishuquan F",36,""))))))))))))))))))))))))))))))))))))))</f>
        <v/>
      </c>
      <c r="BS310" s="50" t="str">
        <f>IF(Atletas!M301="","",IF(Atletas!X301&lt;&gt;"",10000,0)+(IF(Atletas!B301="Feminino",1000,IF(Atletas!B301="Masculino",2000,""))+(IF(Atletas!M301="Chaquan A",101,IF(Atletas!M301="Emeiquan A",102,IF(Atletas!M301="Fanziquan A",103,IF(Atletas!M301="Huaquan A",104,IF(Atletas!M301="Hongquan A",105,IF(Atletas!M301="Paoquan A",106,IF(Atletas!M301="Piguaquan A",107,IF(Atletas!M301="Shaolinquan A",108,IF(Atletas!M301="Tanglangquan A",109,IF(Atletas!M301="Yingzhaoquan A",110,IF(Atletas!M301="Tongbeiquan A",111,IF(Atletas!M301="Wudangquan A",112,IF(Atletas!M301="Outros Estilos A",113,IF(Atletas!M301="Chaquan B",114,IF(Atletas!M301="Emeiquan B",115,IF(Atletas!M301="Fanziquan B",116,IF(Atletas!M301="Huaquan B",117,IF(Atletas!M301="Hongquan B",118,IF(Atletas!M301="Paoquan B",119,IF(Atletas!M301="Piguaquan B",120,IF(Atletas!M301="Shaolinquan B",121,IF(Atletas!M301="Tanglangquan B",122,IF(Atletas!M301="Yingzhaoquan B",123,IF(Atletas!M301="Tongbeiquan B",124,IF(Atletas!M301="Wudangquan B",125,IF(Atletas!M301="Outros Estilos B",126,IF(Atletas!M301="Chaquan C",127,IF(Atletas!M301="Emeiquan C",128,IF(Atletas!M301="Fanziquan C",129,IF(Atletas!M301="Huaquan C",130,IF(Atletas!M301="Hongquan C",131,IF(Atletas!M301="Paoquan C",132,IF(Atletas!M301="Piguaquan C",133,IF(Atletas!M301="Shaolinquan C",134,IF(Atletas!M301="Tanglangquan C",135,IF(Atletas!M301="Yingzhaoquan C",136,IF(Atletas!M301="Tongbeiquan C",137,IF(Atletas!M301="Wudangquan C",138,IF(Atletas!M301="Outros Estilos C",139,0))))))))))))))))))))))))))))))))))))))))))</f>
        <v/>
      </c>
      <c r="BT310" s="50" t="str">
        <f>IF(Atletas!M301="","",IF(Atletas!X301&lt;&gt;"",10000,0)+(IF(Atletas!B301="Feminino",1000,IF(Atletas!B301="Masculino",2000,""))+(IF(Atletas!M301="Chaquan D",140,IF(Atletas!M301="Emeiquan D",141,IF(Atletas!M301="Fanziquan D",142,IF(Atletas!M301="Huaquan D",143,IF(Atletas!M301="Hongquan D",144,IF(Atletas!M301="Paoquan D",145,IF(Atletas!M301="Piguaquan D",146,IF(Atletas!M301="Shaolinquan D",147,IF(Atletas!M301="Tanglangquan D",148,IF(Atletas!M301="Yingzhaoquan D",149,IF(Atletas!M301="Tongbeiquan D",150,IF(Atletas!M301="Wudangquan D",151,IF(Atletas!M301="Outros Estilos D",152,IF(Atletas!M301="Chaquan E",153,IF(Atletas!M301="Emeiquan E",154,IF(Atletas!M301="Fanziquan E",155,IF(Atletas!M301="Huaquan E",156,IF(Atletas!M301="Hongquan E",157,IF(Atletas!M301="Paoquan E",158,IF(Atletas!M301="Piguaquan E",159,IF(Atletas!M301="Shaolinquan E",160,IF(Atletas!M301="Tanglangquan E",161,IF(Atletas!M301="Yingzhaoquan E",162,IF(Atletas!M301="Tongbeiquan E",163,IF(Atletas!M301="Wudangquan E",164,IF(Atletas!M301="Outros Estilos E",165,IF(Atletas!M301="Chaquan F",166,IF(Atletas!M301="Emeiquan F",167,IF(Atletas!M301="Fanziquan F",168,IF(Atletas!M301="Huaquan F",169,IF(Atletas!M301="Hongquan F",170,IF(Atletas!M301="Paoquan F",171,IF(Atletas!M301="Piguaquan F",172,IF(Atletas!M301="Shaolinquan F",173,IF(Atletas!M301="Tanglangquan F",174,IF(Atletas!M301="Yingzhaoquan F",175,IF(Atletas!M301="Tongbeiquan F",176,IF(Atletas!M301="Wudangquan F",177,IF(Atletas!M301="Outros Estilos F",178,0))))))))))))))))))))))))))))))))))))))))))</f>
        <v/>
      </c>
      <c r="BU310" s="50" t="str">
        <f>IF(Atletas!N301="","",IF(Atletas!X301&lt;&gt;"",10000,0)+(IF(Atletas!B301="Feminino",1000,IF(Atletas!B301="Masculino",2000,""))+(IF(Atletas!N301="Ditangquan A",201,IF(Atletas!N301="Houquan A",202,IF(Atletas!N301="Zuiquan A",203,IF(Atletas!N301="Ditangquan B",204,IF(Atletas!N301="Houquan B",205,IF(Atletas!N301="Zuiquan B",206,IF(Atletas!N301="Ditangquan C",207,IF(Atletas!N301="Houquan C",208,IF(Atletas!N301="Zuiquan C",209,IF(Atletas!N301="Ditangquan D",210,IF(Atletas!N301="Houquan D",211,IF(Atletas!N301="Zuiquan D",212,IF(Atletas!N301="Ditangquan E",213,IF(Atletas!N301="Houquan E",214,IF(Atletas!N301="Zuiquan E",215,IF(Atletas!N301="Ditangquan F",216,IF(Atletas!N301="Houquan F",217,IF(Atletas!N301="Zuiquan F",218,"")))))))))))))))))))))</f>
        <v/>
      </c>
      <c r="BV310" s="50" t="str">
        <f>IF(Atletas!O301="","",IF(Atletas!X301&lt;&gt;"",10000,0)+IF(Atletas!B301="Feminino",1000,IF(Atletas!B301="Masculino",2000,""))+IF(Atletas!O301="Yang A",301,IF(Atletas!O301="Chen A",302,IF(Atletas!O301="Sun A",303,IF(Atletas!O301="Wu A",304,IF(Atletas!O301="Wu-Hao A",305,IF(Atletas!O301="Outro Taijiquan A",306,IF(Atletas!O301="Yang B",307,IF(Atletas!O301="Chen B",308,IF(Atletas!O301="Sun B",309,IF(Atletas!O301="Wu B",310,IF(Atletas!O301="Wu-Hao B",311,IF(Atletas!O301="Outro Taijiquan B",312,IF(Atletas!O301="Yang C",313,IF(Atletas!O301="Chen C",314,IF(Atletas!O301="Sun C",315,IF(Atletas!O301="Wu C",316,IF(Atletas!O301="Wu-Hao C",317,IF(Atletas!O301="Outro Taijiquan C",318,IF(Atletas!O301="Yang D",319,IF(Atletas!O301="Chen D",320,IF(Atletas!O301="Sun D",321,IF(Atletas!O301="Wu D",322,IF(Atletas!O301="Wu-Hao D",323,IF(Atletas!O301="Outro Taijiquan D",324,IF(Atletas!O301="Yang E",325,IF(Atletas!O301="Chen E",326,IF(Atletas!O301="Sun E",327,IF(Atletas!O301="Wu E",328,IF(Atletas!O301="Wu-Hao E",329,IF(Atletas!O301="Outro Taijiquan E",330,IF(Atletas!O301="Yang F",331,IF(Atletas!O301="Chen F",332,IF(Atletas!O301="Sun F",333,IF(Atletas!O301="Wu F",334,IF(Atletas!O301="Wu-Hao F",335,IF(Atletas!O301="Outro Taijiquan F",336,"")))))))))))))))))))))))))))))))))))))</f>
        <v/>
      </c>
      <c r="BW310" s="50" t="str">
        <f>IF(Atletas!P301="","",IF(Atletas!X301&lt;&gt;"",10000,0)+IF(Atletas!B301="Feminino",1000,IF(Atletas!B301="Masculino",2000,""))+IF(OR(Atletas!P301="Yang 26 A",Atletas!P301="Yang 40 A"),401,IF(OR(Atletas!P301="Chen 25 A",Atletas!P301="Chen 36 A",Atletas!P301="Chen 56 A"),402,IF(Atletas!P301="Sun 73 A",403,IF(Atletas!P301="Wu 45 A",404,IF(Atletas!P301="Wu-Hao 46 A",405,IF(OR(Atletas!P301="Taijiquan 16 A",Atletas!P301="Taijiquan 24 A",Atletas!P301="Taijiquan 32 A",Atletas!P301="Taijiquan 42 A"),406,IF(OR(Atletas!P301="Yang 26 B",Atletas!P301="Yang 40 B"),407,IF(OR(Atletas!P301="Chen 25 B",Atletas!P301="Chen 36 B",Atletas!P301="Chen 56 B"),408,IF(Atletas!P301="Sun 73 B",409,IF(Atletas!P301="Wu 45 B",410,IF(Atletas!P301="Wu-Hao 46 B",411,IF(OR(Atletas!P301="Taijiquan 16 B",Atletas!P301="Taijiquan 24 B",Atletas!P301="Taijiquan 32 B",Atletas!P301="Taijiquan 42 B"),412,IF(OR(Atletas!P301="Yang 26 C",Atletas!P301="Yang 40 C"),413,IF(OR(Atletas!P301="Chen 25 C",Atletas!P301="Chen 36 C",Atletas!P301="Chen 56 C"),414,IF(Atletas!P301="Sun 73 C",415,IF(Atletas!P301="Wu 45 C",416,IF(Atletas!P301="Wu-Hao 46 C",417,IF(OR(Atletas!P301="Taijiquan 16 C",Atletas!P301="Taijiquan 24 C",Atletas!P301="Taijiquan 32 C",Atletas!P301="Taijiquan 42 C"),418,0)))))))))))))))))))</f>
        <v/>
      </c>
      <c r="BX310" s="50" t="str">
        <f>IF(Atletas!P301="","",IF(Atletas!X301&lt;&gt;"",10000,0)+IF(Atletas!B301="Feminino",1000,IF(Atletas!B301="Masculino",2000,""))+IF(OR(Atletas!P301="Yang 26 D",Atletas!P301="Yang 40 D"),419,IF(OR(Atletas!P301="Chen 25 D",Atletas!P301="Chen 36 D",Atletas!P301="Chen 56 D"),420,IF(Atletas!P301="Sun 73 D",421,IF(Atletas!P301="Wu 45 D",422,IF(Atletas!P301="Wu-Hao 46 D",423,IF(OR(Atletas!P301="Taijiquan 16 D",Atletas!P301="Taijiquan 24 D",Atletas!P301="Taijiquan 32 D",Atletas!P301="Taijiquan 42 D"),424,IF(OR(Atletas!P301="Yang 26 E",Atletas!P301="Yang 40 E"),425,IF(OR(Atletas!P301="Chen 25 E",Atletas!P301="Chen 36 E",Atletas!P301="Chen 56 E"),426,IF(Atletas!P301="Sun 73 E",427,IF(Atletas!P301="Wu 45 E",428,IF(Atletas!P301="Wu-Hao 46 E",429,IF(OR(Atletas!P301="Taijiquan 16 E",Atletas!P301="Taijiquan 24 E",Atletas!P301="Taijiquan 32 E",Atletas!P301="Taijiquan 42 E"),430,IF(OR(Atletas!P301="Yang 26 F",Atletas!P301="Yang 40 F"),431,IF(OR(Atletas!P301="Chen 25 F",Atletas!P301="Chen 36 F",Atletas!P301="Chen 56 F"),432,IF(Atletas!P301="Sun 73 F",433,IF(Atletas!P301="Wu 45 F",434,IF(Atletas!P301="Wu-Hao 46 F",435,IF(OR(Atletas!P301="Taijiquan 16 F",Atletas!P301="Taijiquan 24 F",Atletas!P301="Taijiquan 32 F",Atletas!P301="Taijiquan 42 F"),436,0)))))))))))))))))))</f>
        <v/>
      </c>
      <c r="BY310" s="50" t="str">
        <f>IF(Atletas!Q301="","",IF(Atletas!X301&lt;&gt;"",10000,0)+IF(Atletas!B301="Feminino",1000,IF(Atletas!B301="Masculino",2000,""))+IF(Atletas!Q301="Xingyiquan A",501,IF(Atletas!Q301="Baguazhang A",502,IF(Atletas!Q301="Outro Estilo Interno A",503,IF(Atletas!Q301="Xingyiquan B",504,IF(Atletas!Q301="Baguazhang B",505,IF(Atletas!Q301="Outro Estilo Interno B",506,IF(Atletas!Q301="Xingyiquan C",507,IF(Atletas!Q301="Baguazhang C",508,IF(Atletas!Q301="Outro Estilo Interno C",509,IF(Atletas!Q301="Xingyiquan D",510,IF(Atletas!Q301="Baguazhang D",511,IF(Atletas!Q301="Outro Estilo Interno D",512,IF(Atletas!Q301="Xingyiquan E",513,IF(Atletas!Q301="Baguazhang E",514,IF(Atletas!Q301="Outro Estilo Interno E",515,IF(Atletas!Q301="Xingyiquan F",516,IF(Atletas!Q301="Baguazhang F",517,IF(Atletas!Q301="Outro Estilo Interno F",518, "")))))))))))))))))))</f>
        <v/>
      </c>
      <c r="BZ310" s="50" t="str">
        <f>IF(Atletas!R301="","",IF(Atletas!X301&lt;&gt;"",10000,0)+IF(Atletas!B301="Feminino",1000,IF(Atletas!B301="Masculino",2000,""))+IF(Atletas!R301="Dao A",601,IF(Atletas!R301="Jian A",602,IF(Atletas!R301="Bishou A",603,IF(Atletas!R301="Shanzi A",604,IF(Atletas!R301="Outra Arma Curta A",605,IF(Atletas!R301="Dao B",606,IF(Atletas!R301="Jian B",607,IF(Atletas!R301="Bishou B",608,IF(Atletas!R301="Shanzi B",609,IF(Atletas!R301="Outra Arma Curta B",610,IF(Atletas!R301="Dao C",611,IF(Atletas!R301="Jian C",612,IF(Atletas!R301="Bishou C",613,IF(Atletas!R301="Shanzi C",614,IF(Atletas!R301="Outra Arma Curta C",615,IF(Atletas!R301="Dao D",616,IF(Atletas!R301="Jian D",617,IF(Atletas!R301="Bishou D",618,IF(Atletas!R301="Shanzi D",619,IF(Atletas!R301="Outra Arma Curta D",620,IF(Atletas!R301="Dao E",621,IF(Atletas!R301="Jian E",622,IF(Atletas!R301="Bishou E",623,IF(Atletas!R301="Shanzi E",624,IF(Atletas!R301="Outra Arma Curta E",625,IF(Atletas!R301="Dao F",626,IF(Atletas!R301="Jian F",627,IF(Atletas!R301="Bishou F",628,IF(Atletas!R301="Shanzi F",629,IF(Atletas!R301="Outra Arma Curta F",630, "")))))))))))))))))))))))))))))))</f>
        <v/>
      </c>
      <c r="CA310" s="50" t="str">
        <f>IF(Atletas!S301="","",IF(Atletas!X301&lt;&gt;"",10000,0)+IF(Atletas!B301="Feminino",1000,IF(Atletas!B301="Masculino",2000,""))+IF(Atletas!S301="Gun A",701,IF(Atletas!S301="Qiang A",702,IF(Atletas!S301="Pudao / Guandao A",703,IF(Atletas!S301="Outra Arma Longa A",704,IF(Atletas!S301="Gun B",705,IF(Atletas!S301="Qiang B",706,IF(Atletas!S301="Pudao / Guandao B",707,IF(Atletas!S301="Outra Arma Longa B",708,IF(Atletas!S301="Gun C",709,IF(Atletas!S301="Qiang C",710,IF(Atletas!S301="Pudao / Guandao C",711,IF(Atletas!S301="Outra Arma Longa C",712,IF(Atletas!S301="Gun D",713,IF(Atletas!S301="Qiang D",714,IF(Atletas!S301="Pudao / Guandao D",715,IF(Atletas!S301="Outra Arma Longa D",716,IF(Atletas!S301="Gun E",717,IF(Atletas!S301="Qiang E",718,IF(Atletas!S301="Pudao / Guandao E",719,IF(Atletas!S301="Outra Arma Longa E",720,IF(Atletas!S301="Gun F",721,IF(Atletas!S301="Qiang F",722,IF(Atletas!S301="Pudao / Guandao F",723,IF(Atletas!S301="Outra Arma Longa F",724,"")))))))))))))))))))))))))</f>
        <v/>
      </c>
      <c r="CB310" s="50" t="str">
        <f>IF(Atletas!T301="","",IF(Atletas!X301&lt;&gt;"",10000,0)+IF(Atletas!B301="Feminino",1000,IF(Atletas!B301="Masculino",2000,""))+IF(Atletas!T301="Outra Arma Dupla A",801,IF(Atletas!T301="Arma Maleável A",802,IF(Atletas!T301="Outra Arma Dupla B",803,IF(Atletas!T301="Arma Maleável B",804,IF(Atletas!T301="Outra Arma Dupla C",805,IF(Atletas!T301="Arma Maleável C",806,IF(Atletas!T301="Outra Arma Dupla D",807,IF(Atletas!T301="Arma Maleável D",808,IF(Atletas!T301="Outra Arma Dupla E",809,IF(Atletas!T301="Arma Maleável E",810,IF(Atletas!T301="Outra Arma Dupla F",811,IF(Atletas!T301="Arma Maleável F",812,IF(Atletas!T301="Shuangdao A",813,IF(Atletas!T301="Shuangdao B",814,IF(Atletas!T301="Shuangdao C",815,IF(Atletas!T301="Shuangdao D",816,IF(Atletas!T301="Shuangdao E",817,IF(Atletas!T301="Shuangdao F",818,"")))))))))))))))))))</f>
        <v/>
      </c>
      <c r="CC310" s="50" t="str">
        <f>IF(Atletas!U301="","",IF(Atletas!X301&lt;&gt;"",10000,0)+IF(Atletas!B301="Feminino",1000,IF(Atletas!B301="Masculino",2000,""))+IF(OR(Atletas!U301="Taijijian Yang A",Atletas!U301="Taijijian Yang Standard A"),901,IF(OR(Atletas!U301="Taijijian Chen A", Atletas!U301="Taijijian Chen Standard A"),902,IF(Atletas!U301="Taijijian Sun A",903,IF(Atletas!U301="Taijijian Wu A",904,IF(Atletas!U301="Taijijian Wu-Hao A",905,IF(OR(Atletas!U301="Taijijian 32 A",Atletas!U301="Taijijian 42 A"),906,IF(OR(Atletas!U301="Taijijian Yang B",Atletas!U301="Taijijian Yang Standard B"),907,IF(OR(Atletas!U301="Taijijian Chen B", Atletas!U301="Taijijian Chen Standard B"),908,IF(Atletas!U301="Taijijian Sun B",909,IF(Atletas!U301="Taijijian Wu B",910,IF(Atletas!U301="Taijijian Wu-Hao B",911,IF(OR(Atletas!U301="Taijijian 32 B",Atletas!U301="Taijijian 42 B"),912,IF(OR(Atletas!U301="Taijijian Yang C",Atletas!U301="Taijijian Yang Standard C"),913,IF(OR(Atletas!U301="Taijijian Chen C", Atletas!U301="Taijijian Chen Standard C"),914,IF(Atletas!U301="Taijijian Sun C",915,IF(Atletas!U301="Taijijian Wu C",916,IF(Atletas!U301="Taijijian Wu-Hao C",917,IF(OR(Atletas!U301="Taijijian 32 C",Atletas!U301="Taijijian 42 C"),918,IF(OR(Atletas!U301="Taijijian Yang D",Atletas!U301="Taijijian Yang Standard D"),919,IF(OR(Atletas!U301="Taijijian Chen D", Atletas!U301="Taijijian Chen Standard D"),920,IF(Atletas!U301="Taijijian Sun D",921,IF(Atletas!U301="Taijijian Wu D",922,IF(Atletas!U301="Taijijian Wu-Hao D",923,IF(OR(Atletas!U301="Taijijian 32 D",Atletas!U301="Taijijian 42 D"),924,IF(OR(Atletas!U301="Taijijian Yang E",Atletas!U301="Taijijian Yang Standard E"),925,IF(OR(Atletas!U301="Taijijian Chen E", Atletas!U301="Taijijian Chen Standard E"),926,IF(Atletas!U301="Taijijian Sun E",927,IF(Atletas!U301="Taijijian Wu E",928,IF(Atletas!U301="Taijijian Wu-Hao E",929,IF(OR(Atletas!U301="Taijijian 32 E",Atletas!U301="Taijijian 42 E"),930,IF(OR(Atletas!U301="Taijijian Yang F",Atletas!U301="Taijijian Yang Standard F"),931,IF(OR(Atletas!U301="Taijijian Chen F", Atletas!U301="Taijijian Chen Standard F"),932,IF(Atletas!U301="Taijijian Sun F",933,IF(Atletas!U301="Taijijian Wu F",934,IF(Atletas!U301="Taijijian Wu-Hao F",935,IF(OR(Atletas!U301="Taijijian 32 F",Atletas!U301="Taijijian 42 F"),936,"")))))))))))))))))))))))))))))))))))))</f>
        <v/>
      </c>
      <c r="CD310" s="50" t="str">
        <f>IF(Atletas!V301="","",IF(Atletas!X301&lt;&gt;"",10000,0)+IF(Atletas!B301="Feminino",1000,IF(Atletas!B301="Masculino",2000,""))+IF(Atletas!V301="Taijidao A",937,IF(Atletas!V301="TaijiShanzi A",938,IF(Atletas!V301="Taijiqiang A",939,IF(Atletas!V301="Bagua de Arma A",940,IF(Atletas!V301="Xingyi de Arma A",941,IF(Atletas!V301="Taijidao B",942,IF(Atletas!V301="TaijiShanzi B",943,IF(Atletas!V301="Taijiqiang B",944,IF(Atletas!V301="Bagua de Arma B",945,IF(Atletas!V301="Xingyi de Arma B",946,IF(Atletas!V301="Taijidao C",947,IF(Atletas!V301="TaijiShanzi C",948,IF(Atletas!V301="Taijiqiang C",949,IF(Atletas!V301="Bagua de Arma C",950,IF(Atletas!V301="Xingyi de Arma C",951,IF(Atletas!V301="Taijidao D",952,IF(Atletas!V301="TaijiShanzi D",953,IF(Atletas!V301="Taijiqiang D",954,IF(Atletas!V301="Bagua de Arma D",955,IF(Atletas!V301="Xingyi de Arma D",956,IF(Atletas!V301="Taijidao E",957,IF(Atletas!V301="TaijiShanzi E",958,IF(Atletas!V301="Taijiqiang E",959,IF(Atletas!V301="Bagua de Arma E",960,IF(Atletas!V301="Xingyi de Arma E",961,IF(Atletas!V301="Taijidao F",962,IF(Atletas!V301="TaijiShanzi F",963,IF(Atletas!V301="Taijiqiang F",964,IF(Atletas!V301="Bagua de Arma F",965,IF(Atletas!V301="Xingyi de Arma F",966,"")))))))))))))))))))))))))))))))</f>
        <v/>
      </c>
      <c r="CE310" s="66" t="str">
        <f>IF(CF310&lt;&gt;"","Taijijian Wu B","")</f>
        <v/>
      </c>
      <c r="CF310" s="6" t="str">
        <f>IF(COUNTIF(BR:CD,1910)&gt;0,COUNTIF(BR:CD,1910),"")</f>
        <v/>
      </c>
      <c r="CG310" s="66" t="str">
        <f>IF(CH310&lt;&gt;"","Taijijian Wu B","")</f>
        <v/>
      </c>
      <c r="CH310" s="66" t="str">
        <f>IF(COUNTIF(BR:CD,2910)&gt;0,COUNTIF(BR:CD,2910),"")</f>
        <v/>
      </c>
      <c r="CI310" s="66" t="str">
        <f>IF(CJ311&lt;&gt;"","Taijijian Wu-Hao D","")</f>
        <v/>
      </c>
      <c r="CJ310" s="66" t="str">
        <f>IF(COUNTIF(BR:CD,11922)&gt;0,COUNTIF(BR:CD,11922),"")</f>
        <v/>
      </c>
      <c r="CK310" s="66" t="str">
        <f>IF(CL310&lt;&gt;"","Taijijian Wu D","")</f>
        <v/>
      </c>
      <c r="CL310" s="66" t="str">
        <f>IF(COUNTIF(BR:CD,12922)&gt;0,COUNTIF(BR:CD,12922),"")</f>
        <v/>
      </c>
      <c r="CM310" s="50" t="str">
        <f xml:space="preserve"> IF(Atletas!W301="","",IF(Atletas!W301="Duilian de Mãos BC - Equipe 1",1,IF(Atletas!W301="Duilian de Mãos BC - Equipe 2",2,IF(Atletas!W301="Duilian de Armas BC - Equipe 1",3,IF(Atletas!W301="Duilian de Armas BC - Equipe 2",4,IF(Atletas!W301="Duilian de Mãos DE - Equipe 1",5,IF(Atletas!W301="Duilian de Mãos DE - Equipe 2",6,IF(Atletas!W301="Duilian de Armas DE - Equipe 1",7,IF(Atletas!W301="Duilian de Armas DE - Equipe 2",8,IF(Atletas!W301="Duilian de Tuishou - Equipe 1",9,IF(Atletas!W301="Duilian de Tuishou - Equipe 2",10,IF(Atletas!W301="Grupo Externo ABC - Equipe 1",11,IF(Atletas!W301="Grupo Externo ABC - Equipe 2",12,IF(Atletas!W301="Grupo Interno ABC - Equipe 1",13,IF(Atletas!W301="Grupo Interno ABC - Equipe 2",14,IF(Atletas!W301="Grupo Externo DEF - Equipe 1",15,IF(Atletas!W301="Grupo Externo DEF - Equipe 2",16,IF(Atletas!W301="Grupo Interno DEF - Equipe 1",17,IF(Atletas!W301="Grupo Interno DEF - Equipe 2",18,"")))))))))))))))))))</f>
        <v/>
      </c>
    </row>
    <row r="311" spans="40:91">
      <c r="AN311" s="52" t="str">
        <f>IF(Atletas!D302="","",IF(Atletas!B302="Feminino",100,IF(Atletas!B302="Masculino",200,""))+(IF(Atletas!D302="Kids 30kg",1,IF(Atletas!D302="Kids 32kg",2, IF(Atletas!D302="Kids 34kg",3,IF(Atletas!D302="Kids 36kg",4,IF(Atletas!D302="Kids 39kg",5,IF(Atletas!D302="Kids 42kg",6,IF(Atletas!D302="Kids 45kg",7, IF(Atletas!D302="Infantil 39kg",8,IF(Atletas!D302="Infantil 42kg",9,IF(Atletas!D302="Infantil 45kg",10,IF(Atletas!D302="Infantil 48kg",11,IF(Atletas!D302="Infantil 52kg",12,IF(Atletas!D302="Infantil 56kg",13,IF(Atletas!D302="Infantil 60kg",14,IF(Atletas!D302="Juvenil 48kg",15,IF(Atletas!D302="Juvenil 52kg",16,IF(Atletas!D302="Juvenil 56kg",17,IF(Atletas!D302="Juvenil 60kg",18,IF(Atletas!D302="Juvenil 65kg",19,IF(Atletas!D302="Juvenil 70kg",20,IF(Atletas!D302="Juvenil 75kg",21,IF(Atletas!D302="Juvenil 80kg",22, IF(Atletas!D302="Juvenil 85kg",23,IF(Atletas!D302="Adulto 48kg",24,IF(Atletas!D302="Adulto 52kg",25,IF(Atletas!D302="Adulto 56kg",26,IF(Atletas!D302="Adulto 60kg",27,IF(Atletas!D302="Adulto 65kg",28,IF(Atletas!D302="Adulto 70kg",29,IF(Atletas!D302="Adulto 75kg",30,IF(Atletas!D302="Adulto 80kg",31,IF(Atletas!D302="Adulto 85kg",32,IF(Atletas!D302="Adulto 90kg",33,IF(Atletas!D302="Adulto 100kg",34, IF(Atletas!D302="Adulto +100kg",35,"")))))))))))))))))))))))))))))))))))))</f>
        <v/>
      </c>
      <c r="AS311" s="6" t="str">
        <f>IF(Atletas!E302="","",IF(Atletas!B302="Feminino",100,IF(Atletas!B302="Masculino",200,""))+(IF(Atletas!E302="Juvenil 44kg",1,IF(Atletas!E302="Juvenil 48kg",2,IF(Atletas!E302="Juvenil 52kg",3,IF(Atletas!E302="Juvenil 56kg",4,IF(Atletas!E302="Juvenil 60kg",5,IF(Atletas!E302="Juvenil 65kg",6,IF(Atletas!E302="Juvenil 70kg",7,IF(Atletas!E302="Juvenil 75kg",8,IF(Atletas!E302="Juvenil 82kg",9,IF(Atletas!E302="Juvenil 90kg",10,IF(Atletas!E302="Juvenil 100kg",11,IF(Atletas!E302="Adulto 48kg",12,IF(Atletas!E302="Adulto 52kg",13,IF(Atletas!E302="Adulto 56kg",14,IF(Atletas!E302="Adulto 60kg",15,IF(Atletas!E302="Adulto 65kg",16,IF(Atletas!E302="Adulto 70kg",17,IF(Atletas!E302="Adulto 75kg",18,IF(Atletas!E302="Adulto 82kg",19,IF(Atletas!E302="Adulto 90kg",20,IF(Atletas!E302="Adulto 100kg",21,IF(Atletas!E302="Adulto +100kg",22,""))))))))))))))))))))))))</f>
        <v/>
      </c>
      <c r="AX311" s="6" t="str">
        <f>IF(Atletas!F302="","",IF(Atletas!B302="Feminino",100,IF(Atletas!B302="Masculino",200,""))+(IF(Atletas!F302="Adulto 48kg",1,IF(Atletas!F302="Adulto 56kg",2,IF(Atletas!F302="Adulto 65kg",3,IF(Atletas!F302="Adulto 75kg",4,IF(Atletas!F302="Adulto +75kg",5,IF(Atletas!F302="Adulto 52kg",6,IF(Atletas!F302="Adulto 60kg",7,IF(Atletas!F302="Adulto 70kg",8,IF(Atletas!F302="Adulto 80kg",9,IF(Atletas!F302="Adulto 90kg",10,IF(Atletas!F302="Adulto +90kg",11,"")))))))))))))</f>
        <v/>
      </c>
      <c r="BC311" s="6" t="str">
        <f>IF(Atletas!G302="","",IF(Atletas!B302="Feminino",10,IF(Atletas!B302="Masculino",20,""))+(IF(Atletas!G302="Baduanjin A",1,IF(Atletas!G302="Baduanjin B",2))))</f>
        <v/>
      </c>
      <c r="BF311" s="52" t="str">
        <f>IF(Atletas!H302="","",IF(Atletas!B302="Feminino",100,IF(Atletas!B302="Masculino",200,""))+(IF(Atletas!H302="Changquan Mirim",1,IF(Atletas!H302="Nanquan Mirim",2,IF(Atletas!H302="Taijiquan Mirim",3,IF(Atletas!H302="Changquan Grupo C",4,IF(Atletas!H302="Nanquan Grupo C",5,IF(Atletas!H302="Taijiquan Grupo C",6,IF(Atletas!H302="Changquan Grupo B",7,IF(Atletas!H302="Nanquan Grupo B",8,IF(Atletas!H302="Taijiquan Grupo B",9,IF(Atletas!H302="Changquan Grupo A",10,IF(Atletas!H302="Nanquan Grupo A",11,IF(Atletas!H302="Taijiquan Grupo A",12,IF(Atletas!H302="Changquan Opcional",13,IF(Atletas!H302="Nanquan Opcional",14,IF(Atletas!H302="Taijiquan Opcional",15,IF(Atletas!H302="Changquan Adulto",16,IF(Atletas!H302="Nanquan Adulto",17,IF(Atletas!H302="Taijiquan Adulto",18,""))))))))))))))))))))</f>
        <v/>
      </c>
      <c r="BG311" s="52" t="str">
        <f>IF(Atletas!I302="","",IF(Atletas!B302="Feminino",100,IF(Atletas!B302="Masculino",200,""))+(IF(Atletas!I302="Daoshu Mirim",19,IF(Atletas!I302="Jianshu Mirim",20,IF(Atletas!I302="Nandao Mirim",21,IF(Atletas!I302="Taijijian Mirim",22,IF(Atletas!I302="Daoshu Grupo C",23,IF(Atletas!I302="Jianshu Grupo C",24,IF(Atletas!I302="Nandao Grupo C",25,IF(Atletas!I302="Taijijian Grupo C",26,IF(Atletas!I302="Daoshu Grupo B",27,IF(Atletas!I302="Jianshu Grupo B",28,IF(Atletas!I302="Nandao Grupo B",29,IF(Atletas!I302="Taijijian Grupo B",30,IF(Atletas!I302="Daoshu Grupo A",31,IF(Atletas!I302="Jianshu Grupo A",32,IF(Atletas!I302="Nandao Grupo A",33,IF(Atletas!I302="Taijijian Grupo A",34,IF(Atletas!I302="Daoshu Opcional",35,IF(Atletas!I302="Jianshu Opcional",36,IF(Atletas!I302="Nandao Opcional",37,IF(Atletas!I302="Taijijian Opcional",38,IF(Atletas!I302="Daoshu Adulto",39,IF(Atletas!I302="Jianshu Adulto",40,IF(Atletas!I302="Nandao Adulto",41,IF(Atletas!I302="Taijijian Adulto",42,""))))))))))))))))))))))))))</f>
        <v/>
      </c>
      <c r="BH311" s="52" t="str">
        <f>IF(Atletas!J302="","",IF(Atletas!B302="Feminino",100,IF(Atletas!B302="Masculino",200,""))+(IF(Atletas!J302="Gunshu Mirim",43,IF(Atletas!J302="Qiangshu Mirim",44,IF(Atletas!J302="Nangun Mirim",45,IF(Atletas!J302="Gunshu Grupo C",46,IF(Atletas!J302="Qiangshu Grupo C",47,IF(Atletas!J302="Nangun Grupo C",48,IF(Atletas!J302="Gunshu Grupo B",49,IF(Atletas!J302="Qiangshu Grupo B",50,IF(Atletas!J302="Nangun Grupo B",51,IF(Atletas!J302="Gunshu Grupo A",52,IF(Atletas!J302="Qiangshu Grupo A",53,IF(Atletas!J302="Nangun Grupo A",54,IF(Atletas!J302="Gunshu Opcional",55,IF(Atletas!J302="Qiangshu Opcional",56,IF(Atletas!J302="Nangun Opcional",57,IF(Atletas!J302="Gunshu Adulto",58,IF(Atletas!J302="Qiangshu Adulto",59,IF(Atletas!J302="Nangun Adulto",60,IF(Atletas!J302="Taijishan Grupo B",61,IF(Atletas!J302="Taijishan Grupo A",62,""))))))))))))))))))))))</f>
        <v/>
      </c>
      <c r="BM311" s="50" t="str">
        <f>IF(Atletas!K302="","",IF(Atletas!B302="Feminino",100,IF(Atletas!B302="Masculino",200,""))+(IF(Atletas!K302="Equipe 1 Grupo B",1,IF(Atletas!K302="Equipe 2 Grupo B",2,IF(Atletas!K302="Equipe 1 Grupo A",3,IF(Atletas!K302="Equipe 2 Grupo A",4,IF(Atletas!K302="Equipe 1 Adulto",5,IF(Atletas!K302="Equipe 2 Adulto",6,""))))))))</f>
        <v/>
      </c>
      <c r="BR311" s="50" t="str">
        <f>IF(Atletas!L302="","",IF(Atletas!X302&lt;&gt;"",10000,0)+(IF(Atletas!B302="Feminino",1000,IF(Atletas!B302="Masculino",2000,""))+IF(Atletas!L302="Choylayfut A",1,IF(Atletas!L302="Hunggar A",2,IF(Atletas!L302="Wuzuquan A",3,IF(Atletas!L302="Wingchun A",4,IF(Atletas!L302="Outra Mão de Sul A",5,IF(Atletas!L302="Choylayfut B",6,IF(Atletas!L302="Hunggar B",7,IF(Atletas!L302="Wuzuquan B",8,IF(Atletas!L302="Wingchun B",9,IF(Atletas!L302="Outra Mão de Sul B",10,IF(Atletas!L302="Choylayfut C",11,IF(Atletas!L302="Hunggar C",12,IF(Atletas!L302="Wuzuquan C",13,IF(Atletas!L302="Wingchun C",14,IF(Atletas!L302="Outra Mão de Sul C",15,IF(Atletas!L302="Choylayfut D",16,IF(Atletas!L302="Hunggar D",17,IF(Atletas!L302="Wuzuquan D",18,IF(Atletas!L302="Wingchun D",19,IF(Atletas!L302="Outra Mão de Sul D",20,IF(Atletas!L302="Choylayfut E",21,IF(Atletas!L302="Hunggar E",22,IF(Atletas!L302="Wuzuquan E",23,IF(Atletas!L302="Wingchun E",24,IF(Atletas!L302="Outra Mão de Sul E",25,IF(Atletas!L302="Choylayfut F",26,IF(Atletas!L302="Hunggar F",27,IF(Atletas!L302="Wuzuquan F",28,IF(Atletas!L302="Wingchun F",29,IF(Atletas!L302="Outra Mão de Sul F",30,IF(Atletas!L302="Dishuquan A",31,IF(Atletas!L302="Dishuquan B",32,IF(Atletas!L302="Dishuquan C",33,IF(Atletas!L302="Dishuquan D",34,IF(Atletas!L302="Dishuquan E",35,IF(Atletas!L302="Dishuquan F",36,""))))))))))))))))))))))))))))))))))))))</f>
        <v/>
      </c>
      <c r="BS311" s="50" t="str">
        <f>IF(Atletas!M302="","",IF(Atletas!X302&lt;&gt;"",10000,0)+(IF(Atletas!B302="Feminino",1000,IF(Atletas!B302="Masculino",2000,""))+(IF(Atletas!M302="Chaquan A",101,IF(Atletas!M302="Emeiquan A",102,IF(Atletas!M302="Fanziquan A",103,IF(Atletas!M302="Huaquan A",104,IF(Atletas!M302="Hongquan A",105,IF(Atletas!M302="Paoquan A",106,IF(Atletas!M302="Piguaquan A",107,IF(Atletas!M302="Shaolinquan A",108,IF(Atletas!M302="Tanglangquan A",109,IF(Atletas!M302="Yingzhaoquan A",110,IF(Atletas!M302="Tongbeiquan A",111,IF(Atletas!M302="Wudangquan A",112,IF(Atletas!M302="Outros Estilos A",113,IF(Atletas!M302="Chaquan B",114,IF(Atletas!M302="Emeiquan B",115,IF(Atletas!M302="Fanziquan B",116,IF(Atletas!M302="Huaquan B",117,IF(Atletas!M302="Hongquan B",118,IF(Atletas!M302="Paoquan B",119,IF(Atletas!M302="Piguaquan B",120,IF(Atletas!M302="Shaolinquan B",121,IF(Atletas!M302="Tanglangquan B",122,IF(Atletas!M302="Yingzhaoquan B",123,IF(Atletas!M302="Tongbeiquan B",124,IF(Atletas!M302="Wudangquan B",125,IF(Atletas!M302="Outros Estilos B",126,IF(Atletas!M302="Chaquan C",127,IF(Atletas!M302="Emeiquan C",128,IF(Atletas!M302="Fanziquan C",129,IF(Atletas!M302="Huaquan C",130,IF(Atletas!M302="Hongquan C",131,IF(Atletas!M302="Paoquan C",132,IF(Atletas!M302="Piguaquan C",133,IF(Atletas!M302="Shaolinquan C",134,IF(Atletas!M302="Tanglangquan C",135,IF(Atletas!M302="Yingzhaoquan C",136,IF(Atletas!M302="Tongbeiquan C",137,IF(Atletas!M302="Wudangquan C",138,IF(Atletas!M302="Outros Estilos C",139,0))))))))))))))))))))))))))))))))))))))))))</f>
        <v/>
      </c>
      <c r="BT311" s="50" t="str">
        <f>IF(Atletas!M302="","",IF(Atletas!X302&lt;&gt;"",10000,0)+(IF(Atletas!B302="Feminino",1000,IF(Atletas!B302="Masculino",2000,""))+(IF(Atletas!M302="Chaquan D",140,IF(Atletas!M302="Emeiquan D",141,IF(Atletas!M302="Fanziquan D",142,IF(Atletas!M302="Huaquan D",143,IF(Atletas!M302="Hongquan D",144,IF(Atletas!M302="Paoquan D",145,IF(Atletas!M302="Piguaquan D",146,IF(Atletas!M302="Shaolinquan D",147,IF(Atletas!M302="Tanglangquan D",148,IF(Atletas!M302="Yingzhaoquan D",149,IF(Atletas!M302="Tongbeiquan D",150,IF(Atletas!M302="Wudangquan D",151,IF(Atletas!M302="Outros Estilos D",152,IF(Atletas!M302="Chaquan E",153,IF(Atletas!M302="Emeiquan E",154,IF(Atletas!M302="Fanziquan E",155,IF(Atletas!M302="Huaquan E",156,IF(Atletas!M302="Hongquan E",157,IF(Atletas!M302="Paoquan E",158,IF(Atletas!M302="Piguaquan E",159,IF(Atletas!M302="Shaolinquan E",160,IF(Atletas!M302="Tanglangquan E",161,IF(Atletas!M302="Yingzhaoquan E",162,IF(Atletas!M302="Tongbeiquan E",163,IF(Atletas!M302="Wudangquan E",164,IF(Atletas!M302="Outros Estilos E",165,IF(Atletas!M302="Chaquan F",166,IF(Atletas!M302="Emeiquan F",167,IF(Atletas!M302="Fanziquan F",168,IF(Atletas!M302="Huaquan F",169,IF(Atletas!M302="Hongquan F",170,IF(Atletas!M302="Paoquan F",171,IF(Atletas!M302="Piguaquan F",172,IF(Atletas!M302="Shaolinquan F",173,IF(Atletas!M302="Tanglangquan F",174,IF(Atletas!M302="Yingzhaoquan F",175,IF(Atletas!M302="Tongbeiquan F",176,IF(Atletas!M302="Wudangquan F",177,IF(Atletas!M302="Outros Estilos F",178,0))))))))))))))))))))))))))))))))))))))))))</f>
        <v/>
      </c>
      <c r="BU311" s="50" t="str">
        <f>IF(Atletas!N302="","",IF(Atletas!X302&lt;&gt;"",10000,0)+(IF(Atletas!B302="Feminino",1000,IF(Atletas!B302="Masculino",2000,""))+(IF(Atletas!N302="Ditangquan A",201,IF(Atletas!N302="Houquan A",202,IF(Atletas!N302="Zuiquan A",203,IF(Atletas!N302="Ditangquan B",204,IF(Atletas!N302="Houquan B",205,IF(Atletas!N302="Zuiquan B",206,IF(Atletas!N302="Ditangquan C",207,IF(Atletas!N302="Houquan C",208,IF(Atletas!N302="Zuiquan C",209,IF(Atletas!N302="Ditangquan D",210,IF(Atletas!N302="Houquan D",211,IF(Atletas!N302="Zuiquan D",212,IF(Atletas!N302="Ditangquan E",213,IF(Atletas!N302="Houquan E",214,IF(Atletas!N302="Zuiquan E",215,IF(Atletas!N302="Ditangquan F",216,IF(Atletas!N302="Houquan F",217,IF(Atletas!N302="Zuiquan F",218,"")))))))))))))))))))))</f>
        <v/>
      </c>
      <c r="BV311" s="50" t="str">
        <f>IF(Atletas!O302="","",IF(Atletas!X302&lt;&gt;"",10000,0)+IF(Atletas!B302="Feminino",1000,IF(Atletas!B302="Masculino",2000,""))+IF(Atletas!O302="Yang A",301,IF(Atletas!O302="Chen A",302,IF(Atletas!O302="Sun A",303,IF(Atletas!O302="Wu A",304,IF(Atletas!O302="Wu-Hao A",305,IF(Atletas!O302="Outro Taijiquan A",306,IF(Atletas!O302="Yang B",307,IF(Atletas!O302="Chen B",308,IF(Atletas!O302="Sun B",309,IF(Atletas!O302="Wu B",310,IF(Atletas!O302="Wu-Hao B",311,IF(Atletas!O302="Outro Taijiquan B",312,IF(Atletas!O302="Yang C",313,IF(Atletas!O302="Chen C",314,IF(Atletas!O302="Sun C",315,IF(Atletas!O302="Wu C",316,IF(Atletas!O302="Wu-Hao C",317,IF(Atletas!O302="Outro Taijiquan C",318,IF(Atletas!O302="Yang D",319,IF(Atletas!O302="Chen D",320,IF(Atletas!O302="Sun D",321,IF(Atletas!O302="Wu D",322,IF(Atletas!O302="Wu-Hao D",323,IF(Atletas!O302="Outro Taijiquan D",324,IF(Atletas!O302="Yang E",325,IF(Atletas!O302="Chen E",326,IF(Atletas!O302="Sun E",327,IF(Atletas!O302="Wu E",328,IF(Atletas!O302="Wu-Hao E",329,IF(Atletas!O302="Outro Taijiquan E",330,IF(Atletas!O302="Yang F",331,IF(Atletas!O302="Chen F",332,IF(Atletas!O302="Sun F",333,IF(Atletas!O302="Wu F",334,IF(Atletas!O302="Wu-Hao F",335,IF(Atletas!O302="Outro Taijiquan F",336,"")))))))))))))))))))))))))))))))))))))</f>
        <v/>
      </c>
      <c r="BW311" s="50" t="str">
        <f>IF(Atletas!P302="","",IF(Atletas!X302&lt;&gt;"",10000,0)+IF(Atletas!B302="Feminino",1000,IF(Atletas!B302="Masculino",2000,""))+IF(OR(Atletas!P302="Yang 26 A",Atletas!P302="Yang 40 A"),401,IF(OR(Atletas!P302="Chen 25 A",Atletas!P302="Chen 36 A",Atletas!P302="Chen 56 A"),402,IF(Atletas!P302="Sun 73 A",403,IF(Atletas!P302="Wu 45 A",404,IF(Atletas!P302="Wu-Hao 46 A",405,IF(OR(Atletas!P302="Taijiquan 16 A",Atletas!P302="Taijiquan 24 A",Atletas!P302="Taijiquan 32 A",Atletas!P302="Taijiquan 42 A"),406,IF(OR(Atletas!P302="Yang 26 B",Atletas!P302="Yang 40 B"),407,IF(OR(Atletas!P302="Chen 25 B",Atletas!P302="Chen 36 B",Atletas!P302="Chen 56 B"),408,IF(Atletas!P302="Sun 73 B",409,IF(Atletas!P302="Wu 45 B",410,IF(Atletas!P302="Wu-Hao 46 B",411,IF(OR(Atletas!P302="Taijiquan 16 B",Atletas!P302="Taijiquan 24 B",Atletas!P302="Taijiquan 32 B",Atletas!P302="Taijiquan 42 B"),412,IF(OR(Atletas!P302="Yang 26 C",Atletas!P302="Yang 40 C"),413,IF(OR(Atletas!P302="Chen 25 C",Atletas!P302="Chen 36 C",Atletas!P302="Chen 56 C"),414,IF(Atletas!P302="Sun 73 C",415,IF(Atletas!P302="Wu 45 C",416,IF(Atletas!P302="Wu-Hao 46 C",417,IF(OR(Atletas!P302="Taijiquan 16 C",Atletas!P302="Taijiquan 24 C",Atletas!P302="Taijiquan 32 C",Atletas!P302="Taijiquan 42 C"),418,0)))))))))))))))))))</f>
        <v/>
      </c>
      <c r="BX311" s="50" t="str">
        <f>IF(Atletas!P302="","",IF(Atletas!X302&lt;&gt;"",10000,0)+IF(Atletas!B302="Feminino",1000,IF(Atletas!B302="Masculino",2000,""))+IF(OR(Atletas!P302="Yang 26 D",Atletas!P302="Yang 40 D"),419,IF(OR(Atletas!P302="Chen 25 D",Atletas!P302="Chen 36 D",Atletas!P302="Chen 56 D"),420,IF(Atletas!P302="Sun 73 D",421,IF(Atletas!P302="Wu 45 D",422,IF(Atletas!P302="Wu-Hao 46 D",423,IF(OR(Atletas!P302="Taijiquan 16 D",Atletas!P302="Taijiquan 24 D",Atletas!P302="Taijiquan 32 D",Atletas!P302="Taijiquan 42 D"),424,IF(OR(Atletas!P302="Yang 26 E",Atletas!P302="Yang 40 E"),425,IF(OR(Atletas!P302="Chen 25 E",Atletas!P302="Chen 36 E",Atletas!P302="Chen 56 E"),426,IF(Atletas!P302="Sun 73 E",427,IF(Atletas!P302="Wu 45 E",428,IF(Atletas!P302="Wu-Hao 46 E",429,IF(OR(Atletas!P302="Taijiquan 16 E",Atletas!P302="Taijiquan 24 E",Atletas!P302="Taijiquan 32 E",Atletas!P302="Taijiquan 42 E"),430,IF(OR(Atletas!P302="Yang 26 F",Atletas!P302="Yang 40 F"),431,IF(OR(Atletas!P302="Chen 25 F",Atletas!P302="Chen 36 F",Atletas!P302="Chen 56 F"),432,IF(Atletas!P302="Sun 73 F",433,IF(Atletas!P302="Wu 45 F",434,IF(Atletas!P302="Wu-Hao 46 F",435,IF(OR(Atletas!P302="Taijiquan 16 F",Atletas!P302="Taijiquan 24 F",Atletas!P302="Taijiquan 32 F",Atletas!P302="Taijiquan 42 F"),436,0)))))))))))))))))))</f>
        <v/>
      </c>
      <c r="BY311" s="50" t="str">
        <f>IF(Atletas!Q302="","",IF(Atletas!X302&lt;&gt;"",10000,0)+IF(Atletas!B302="Feminino",1000,IF(Atletas!B302="Masculino",2000,""))+IF(Atletas!Q302="Xingyiquan A",501,IF(Atletas!Q302="Baguazhang A",502,IF(Atletas!Q302="Outro Estilo Interno A",503,IF(Atletas!Q302="Xingyiquan B",504,IF(Atletas!Q302="Baguazhang B",505,IF(Atletas!Q302="Outro Estilo Interno B",506,IF(Atletas!Q302="Xingyiquan C",507,IF(Atletas!Q302="Baguazhang C",508,IF(Atletas!Q302="Outro Estilo Interno C",509,IF(Atletas!Q302="Xingyiquan D",510,IF(Atletas!Q302="Baguazhang D",511,IF(Atletas!Q302="Outro Estilo Interno D",512,IF(Atletas!Q302="Xingyiquan E",513,IF(Atletas!Q302="Baguazhang E",514,IF(Atletas!Q302="Outro Estilo Interno E",515,IF(Atletas!Q302="Xingyiquan F",516,IF(Atletas!Q302="Baguazhang F",517,IF(Atletas!Q302="Outro Estilo Interno F",518, "")))))))))))))))))))</f>
        <v/>
      </c>
      <c r="BZ311" s="50" t="str">
        <f>IF(Atletas!R302="","",IF(Atletas!X302&lt;&gt;"",10000,0)+IF(Atletas!B302="Feminino",1000,IF(Atletas!B302="Masculino",2000,""))+IF(Atletas!R302="Dao A",601,IF(Atletas!R302="Jian A",602,IF(Atletas!R302="Bishou A",603,IF(Atletas!R302="Shanzi A",604,IF(Atletas!R302="Outra Arma Curta A",605,IF(Atletas!R302="Dao B",606,IF(Atletas!R302="Jian B",607,IF(Atletas!R302="Bishou B",608,IF(Atletas!R302="Shanzi B",609,IF(Atletas!R302="Outra Arma Curta B",610,IF(Atletas!R302="Dao C",611,IF(Atletas!R302="Jian C",612,IF(Atletas!R302="Bishou C",613,IF(Atletas!R302="Shanzi C",614,IF(Atletas!R302="Outra Arma Curta C",615,IF(Atletas!R302="Dao D",616,IF(Atletas!R302="Jian D",617,IF(Atletas!R302="Bishou D",618,IF(Atletas!R302="Shanzi D",619,IF(Atletas!R302="Outra Arma Curta D",620,IF(Atletas!R302="Dao E",621,IF(Atletas!R302="Jian E",622,IF(Atletas!R302="Bishou E",623,IF(Atletas!R302="Shanzi E",624,IF(Atletas!R302="Outra Arma Curta E",625,IF(Atletas!R302="Dao F",626,IF(Atletas!R302="Jian F",627,IF(Atletas!R302="Bishou F",628,IF(Atletas!R302="Shanzi F",629,IF(Atletas!R302="Outra Arma Curta F",630, "")))))))))))))))))))))))))))))))</f>
        <v/>
      </c>
      <c r="CA311" s="50" t="str">
        <f>IF(Atletas!S302="","",IF(Atletas!X302&lt;&gt;"",10000,0)+IF(Atletas!B302="Feminino",1000,IF(Atletas!B302="Masculino",2000,""))+IF(Atletas!S302="Gun A",701,IF(Atletas!S302="Qiang A",702,IF(Atletas!S302="Pudao / Guandao A",703,IF(Atletas!S302="Outra Arma Longa A",704,IF(Atletas!S302="Gun B",705,IF(Atletas!S302="Qiang B",706,IF(Atletas!S302="Pudao / Guandao B",707,IF(Atletas!S302="Outra Arma Longa B",708,IF(Atletas!S302="Gun C",709,IF(Atletas!S302="Qiang C",710,IF(Atletas!S302="Pudao / Guandao C",711,IF(Atletas!S302="Outra Arma Longa C",712,IF(Atletas!S302="Gun D",713,IF(Atletas!S302="Qiang D",714,IF(Atletas!S302="Pudao / Guandao D",715,IF(Atletas!S302="Outra Arma Longa D",716,IF(Atletas!S302="Gun E",717,IF(Atletas!S302="Qiang E",718,IF(Atletas!S302="Pudao / Guandao E",719,IF(Atletas!S302="Outra Arma Longa E",720,IF(Atletas!S302="Gun F",721,IF(Atletas!S302="Qiang F",722,IF(Atletas!S302="Pudao / Guandao F",723,IF(Atletas!S302="Outra Arma Longa F",724,"")))))))))))))))))))))))))</f>
        <v/>
      </c>
      <c r="CB311" s="50" t="str">
        <f>IF(Atletas!T302="","",IF(Atletas!X302&lt;&gt;"",10000,0)+IF(Atletas!B302="Feminino",1000,IF(Atletas!B302="Masculino",2000,""))+IF(Atletas!T302="Outra Arma Dupla A",801,IF(Atletas!T302="Arma Maleável A",802,IF(Atletas!T302="Outra Arma Dupla B",803,IF(Atletas!T302="Arma Maleável B",804,IF(Atletas!T302="Outra Arma Dupla C",805,IF(Atletas!T302="Arma Maleável C",806,IF(Atletas!T302="Outra Arma Dupla D",807,IF(Atletas!T302="Arma Maleável D",808,IF(Atletas!T302="Outra Arma Dupla E",809,IF(Atletas!T302="Arma Maleável E",810,IF(Atletas!T302="Outra Arma Dupla F",811,IF(Atletas!T302="Arma Maleável F",812,IF(Atletas!T302="Shuangdao A",813,IF(Atletas!T302="Shuangdao B",814,IF(Atletas!T302="Shuangdao C",815,IF(Atletas!T302="Shuangdao D",816,IF(Atletas!T302="Shuangdao E",817,IF(Atletas!T302="Shuangdao F",818,"")))))))))))))))))))</f>
        <v/>
      </c>
      <c r="CC311" s="50" t="str">
        <f>IF(Atletas!U302="","",IF(Atletas!X302&lt;&gt;"",10000,0)+IF(Atletas!B302="Feminino",1000,IF(Atletas!B302="Masculino",2000,""))+IF(OR(Atletas!U302="Taijijian Yang A",Atletas!U302="Taijijian Yang Standard A"),901,IF(OR(Atletas!U302="Taijijian Chen A", Atletas!U302="Taijijian Chen Standard A"),902,IF(Atletas!U302="Taijijian Sun A",903,IF(Atletas!U302="Taijijian Wu A",904,IF(Atletas!U302="Taijijian Wu-Hao A",905,IF(OR(Atletas!U302="Taijijian 32 A",Atletas!U302="Taijijian 42 A"),906,IF(OR(Atletas!U302="Taijijian Yang B",Atletas!U302="Taijijian Yang Standard B"),907,IF(OR(Atletas!U302="Taijijian Chen B", Atletas!U302="Taijijian Chen Standard B"),908,IF(Atletas!U302="Taijijian Sun B",909,IF(Atletas!U302="Taijijian Wu B",910,IF(Atletas!U302="Taijijian Wu-Hao B",911,IF(OR(Atletas!U302="Taijijian 32 B",Atletas!U302="Taijijian 42 B"),912,IF(OR(Atletas!U302="Taijijian Yang C",Atletas!U302="Taijijian Yang Standard C"),913,IF(OR(Atletas!U302="Taijijian Chen C", Atletas!U302="Taijijian Chen Standard C"),914,IF(Atletas!U302="Taijijian Sun C",915,IF(Atletas!U302="Taijijian Wu C",916,IF(Atletas!U302="Taijijian Wu-Hao C",917,IF(OR(Atletas!U302="Taijijian 32 C",Atletas!U302="Taijijian 42 C"),918,IF(OR(Atletas!U302="Taijijian Yang D",Atletas!U302="Taijijian Yang Standard D"),919,IF(OR(Atletas!U302="Taijijian Chen D", Atletas!U302="Taijijian Chen Standard D"),920,IF(Atletas!U302="Taijijian Sun D",921,IF(Atletas!U302="Taijijian Wu D",922,IF(Atletas!U302="Taijijian Wu-Hao D",923,IF(OR(Atletas!U302="Taijijian 32 D",Atletas!U302="Taijijian 42 D"),924,IF(OR(Atletas!U302="Taijijian Yang E",Atletas!U302="Taijijian Yang Standard E"),925,IF(OR(Atletas!U302="Taijijian Chen E", Atletas!U302="Taijijian Chen Standard E"),926,IF(Atletas!U302="Taijijian Sun E",927,IF(Atletas!U302="Taijijian Wu E",928,IF(Atletas!U302="Taijijian Wu-Hao E",929,IF(OR(Atletas!U302="Taijijian 32 E",Atletas!U302="Taijijian 42 E"),930,IF(OR(Atletas!U302="Taijijian Yang F",Atletas!U302="Taijijian Yang Standard F"),931,IF(OR(Atletas!U302="Taijijian Chen F", Atletas!U302="Taijijian Chen Standard F"),932,IF(Atletas!U302="Taijijian Sun F",933,IF(Atletas!U302="Taijijian Wu F",934,IF(Atletas!U302="Taijijian Wu-Hao F",935,IF(OR(Atletas!U302="Taijijian 32 F",Atletas!U302="Taijijian 42 F"),936,"")))))))))))))))))))))))))))))))))))))</f>
        <v/>
      </c>
      <c r="CD311" s="50" t="str">
        <f>IF(Atletas!V302="","",IF(Atletas!X302&lt;&gt;"",10000,0)+IF(Atletas!B302="Feminino",1000,IF(Atletas!B302="Masculino",2000,""))+IF(Atletas!V302="Taijidao A",937,IF(Atletas!V302="TaijiShanzi A",938,IF(Atletas!V302="Taijiqiang A",939,IF(Atletas!V302="Bagua de Arma A",940,IF(Atletas!V302="Xingyi de Arma A",941,IF(Atletas!V302="Taijidao B",942,IF(Atletas!V302="TaijiShanzi B",943,IF(Atletas!V302="Taijiqiang B",944,IF(Atletas!V302="Bagua de Arma B",945,IF(Atletas!V302="Xingyi de Arma B",946,IF(Atletas!V302="Taijidao C",947,IF(Atletas!V302="TaijiShanzi C",948,IF(Atletas!V302="Taijiqiang C",949,IF(Atletas!V302="Bagua de Arma C",950,IF(Atletas!V302="Xingyi de Arma C",951,IF(Atletas!V302="Taijidao D",952,IF(Atletas!V302="TaijiShanzi D",953,IF(Atletas!V302="Taijiqiang D",954,IF(Atletas!V302="Bagua de Arma D",955,IF(Atletas!V302="Xingyi de Arma D",956,IF(Atletas!V302="Taijidao E",957,IF(Atletas!V302="TaijiShanzi E",958,IF(Atletas!V302="Taijiqiang E",959,IF(Atletas!V302="Bagua de Arma E",960,IF(Atletas!V302="Xingyi de Arma E",961,IF(Atletas!V302="Taijidao F",962,IF(Atletas!V302="TaijiShanzi F",963,IF(Atletas!V302="Taijiqiang F",964,IF(Atletas!V302="Bagua de Arma F",965,IF(Atletas!V302="Xingyi de Arma F",966,"")))))))))))))))))))))))))))))))</f>
        <v/>
      </c>
      <c r="CE311" s="66" t="str">
        <f>IF(CF311&lt;&gt;"","Taijijian Wu-Hao B","")</f>
        <v/>
      </c>
      <c r="CF311" s="6" t="str">
        <f>IF(COUNTIF(BR:CD,1911)&gt;0,COUNTIF(BR:CD,1911),"")</f>
        <v/>
      </c>
      <c r="CG311" s="66" t="str">
        <f>IF(CH311&lt;&gt;"","Taijijian Wu-Hao B","")</f>
        <v/>
      </c>
      <c r="CH311" s="66" t="str">
        <f>IF(COUNTIF(BR:CD,2911)&gt;0,COUNTIF(BR:CD,2911),"")</f>
        <v/>
      </c>
      <c r="CI311" s="66" t="str">
        <f>IF(CJ312&lt;&gt;"","Taijijian Combinado D","")</f>
        <v/>
      </c>
      <c r="CJ311" s="66" t="str">
        <f>IF(COUNTIF(BR:CD,11923)&gt;0,COUNTIF(BR:CD,11923),"")</f>
        <v/>
      </c>
      <c r="CK311" s="66" t="str">
        <f>IF(CL311&lt;&gt;"","Taijijian Wu-Hao D","")</f>
        <v/>
      </c>
      <c r="CL311" s="66" t="str">
        <f>IF(COUNTIF(BR:CD,12923)&gt;0,COUNTIF(BR:CD,12923),"")</f>
        <v/>
      </c>
      <c r="CM311" s="50" t="str">
        <f xml:space="preserve"> IF(Atletas!W302="","",IF(Atletas!W302="Duilian de Mãos BC - Equipe 1",1,IF(Atletas!W302="Duilian de Mãos BC - Equipe 2",2,IF(Atletas!W302="Duilian de Armas BC - Equipe 1",3,IF(Atletas!W302="Duilian de Armas BC - Equipe 2",4,IF(Atletas!W302="Duilian de Mãos DE - Equipe 1",5,IF(Atletas!W302="Duilian de Mãos DE - Equipe 2",6,IF(Atletas!W302="Duilian de Armas DE - Equipe 1",7,IF(Atletas!W302="Duilian de Armas DE - Equipe 2",8,IF(Atletas!W302="Duilian de Tuishou - Equipe 1",9,IF(Atletas!W302="Duilian de Tuishou - Equipe 2",10,IF(Atletas!W302="Grupo Externo ABC - Equipe 1",11,IF(Atletas!W302="Grupo Externo ABC - Equipe 2",12,IF(Atletas!W302="Grupo Interno ABC - Equipe 1",13,IF(Atletas!W302="Grupo Interno ABC - Equipe 2",14,IF(Atletas!W302="Grupo Externo DEF - Equipe 1",15,IF(Atletas!W302="Grupo Externo DEF - Equipe 2",16,IF(Atletas!W302="Grupo Interno DEF - Equipe 1",17,IF(Atletas!W302="Grupo Interno DEF - Equipe 2",18,"")))))))))))))))))))</f>
        <v/>
      </c>
    </row>
    <row r="312" spans="40:91">
      <c r="AN312" s="52" t="str">
        <f>IF(Atletas!D303="","",IF(Atletas!B303="Feminino",100,IF(Atletas!B303="Masculino",200,""))+(IF(Atletas!D303="Kids 30kg",1,IF(Atletas!D303="Kids 32kg",2, IF(Atletas!D303="Kids 34kg",3,IF(Atletas!D303="Kids 36kg",4,IF(Atletas!D303="Kids 39kg",5,IF(Atletas!D303="Kids 42kg",6,IF(Atletas!D303="Kids 45kg",7, IF(Atletas!D303="Infantil 39kg",8,IF(Atletas!D303="Infantil 42kg",9,IF(Atletas!D303="Infantil 45kg",10,IF(Atletas!D303="Infantil 48kg",11,IF(Atletas!D303="Infantil 52kg",12,IF(Atletas!D303="Infantil 56kg",13,IF(Atletas!D303="Infantil 60kg",14,IF(Atletas!D303="Juvenil 48kg",15,IF(Atletas!D303="Juvenil 52kg",16,IF(Atletas!D303="Juvenil 56kg",17,IF(Atletas!D303="Juvenil 60kg",18,IF(Atletas!D303="Juvenil 65kg",19,IF(Atletas!D303="Juvenil 70kg",20,IF(Atletas!D303="Juvenil 75kg",21,IF(Atletas!D303="Juvenil 80kg",22, IF(Atletas!D303="Juvenil 85kg",23,IF(Atletas!D303="Adulto 48kg",24,IF(Atletas!D303="Adulto 52kg",25,IF(Atletas!D303="Adulto 56kg",26,IF(Atletas!D303="Adulto 60kg",27,IF(Atletas!D303="Adulto 65kg",28,IF(Atletas!D303="Adulto 70kg",29,IF(Atletas!D303="Adulto 75kg",30,IF(Atletas!D303="Adulto 80kg",31,IF(Atletas!D303="Adulto 85kg",32,IF(Atletas!D303="Adulto 90kg",33,IF(Atletas!D303="Adulto 100kg",34, IF(Atletas!D303="Adulto +100kg",35,"")))))))))))))))))))))))))))))))))))))</f>
        <v/>
      </c>
      <c r="AS312" s="6" t="str">
        <f>IF(Atletas!E303="","",IF(Atletas!B303="Feminino",100,IF(Atletas!B303="Masculino",200,""))+(IF(Atletas!E303="Juvenil 44kg",1,IF(Atletas!E303="Juvenil 48kg",2,IF(Atletas!E303="Juvenil 52kg",3,IF(Atletas!E303="Juvenil 56kg",4,IF(Atletas!E303="Juvenil 60kg",5,IF(Atletas!E303="Juvenil 65kg",6,IF(Atletas!E303="Juvenil 70kg",7,IF(Atletas!E303="Juvenil 75kg",8,IF(Atletas!E303="Juvenil 82kg",9,IF(Atletas!E303="Juvenil 90kg",10,IF(Atletas!E303="Juvenil 100kg",11,IF(Atletas!E303="Adulto 48kg",12,IF(Atletas!E303="Adulto 52kg",13,IF(Atletas!E303="Adulto 56kg",14,IF(Atletas!E303="Adulto 60kg",15,IF(Atletas!E303="Adulto 65kg",16,IF(Atletas!E303="Adulto 70kg",17,IF(Atletas!E303="Adulto 75kg",18,IF(Atletas!E303="Adulto 82kg",19,IF(Atletas!E303="Adulto 90kg",20,IF(Atletas!E303="Adulto 100kg",21,IF(Atletas!E303="Adulto +100kg",22,""))))))))))))))))))))))))</f>
        <v/>
      </c>
      <c r="AX312" s="6" t="str">
        <f>IF(Atletas!F303="","",IF(Atletas!B303="Feminino",100,IF(Atletas!B303="Masculino",200,""))+(IF(Atletas!F303="Adulto 48kg",1,IF(Atletas!F303="Adulto 56kg",2,IF(Atletas!F303="Adulto 65kg",3,IF(Atletas!F303="Adulto 75kg",4,IF(Atletas!F303="Adulto +75kg",5,IF(Atletas!F303="Adulto 52kg",6,IF(Atletas!F303="Adulto 60kg",7,IF(Atletas!F303="Adulto 70kg",8,IF(Atletas!F303="Adulto 80kg",9,IF(Atletas!F303="Adulto 90kg",10,IF(Atletas!F303="Adulto +90kg",11,"")))))))))))))</f>
        <v/>
      </c>
      <c r="BC312" s="6" t="str">
        <f>IF(Atletas!G303="","",IF(Atletas!B303="Feminino",10,IF(Atletas!B303="Masculino",20,""))+(IF(Atletas!G303="Baduanjin A",1,IF(Atletas!G303="Baduanjin B",2))))</f>
        <v/>
      </c>
      <c r="BF312" s="52" t="str">
        <f>IF(Atletas!H303="","",IF(Atletas!B303="Feminino",100,IF(Atletas!B303="Masculino",200,""))+(IF(Atletas!H303="Changquan Mirim",1,IF(Atletas!H303="Nanquan Mirim",2,IF(Atletas!H303="Taijiquan Mirim",3,IF(Atletas!H303="Changquan Grupo C",4,IF(Atletas!H303="Nanquan Grupo C",5,IF(Atletas!H303="Taijiquan Grupo C",6,IF(Atletas!H303="Changquan Grupo B",7,IF(Atletas!H303="Nanquan Grupo B",8,IF(Atletas!H303="Taijiquan Grupo B",9,IF(Atletas!H303="Changquan Grupo A",10,IF(Atletas!H303="Nanquan Grupo A",11,IF(Atletas!H303="Taijiquan Grupo A",12,IF(Atletas!H303="Changquan Opcional",13,IF(Atletas!H303="Nanquan Opcional",14,IF(Atletas!H303="Taijiquan Opcional",15,IF(Atletas!H303="Changquan Adulto",16,IF(Atletas!H303="Nanquan Adulto",17,IF(Atletas!H303="Taijiquan Adulto",18,""))))))))))))))))))))</f>
        <v/>
      </c>
      <c r="BG312" s="52" t="str">
        <f>IF(Atletas!I303="","",IF(Atletas!B303="Feminino",100,IF(Atletas!B303="Masculino",200,""))+(IF(Atletas!I303="Daoshu Mirim",19,IF(Atletas!I303="Jianshu Mirim",20,IF(Atletas!I303="Nandao Mirim",21,IF(Atletas!I303="Taijijian Mirim",22,IF(Atletas!I303="Daoshu Grupo C",23,IF(Atletas!I303="Jianshu Grupo C",24,IF(Atletas!I303="Nandao Grupo C",25,IF(Atletas!I303="Taijijian Grupo C",26,IF(Atletas!I303="Daoshu Grupo B",27,IF(Atletas!I303="Jianshu Grupo B",28,IF(Atletas!I303="Nandao Grupo B",29,IF(Atletas!I303="Taijijian Grupo B",30,IF(Atletas!I303="Daoshu Grupo A",31,IF(Atletas!I303="Jianshu Grupo A",32,IF(Atletas!I303="Nandao Grupo A",33,IF(Atletas!I303="Taijijian Grupo A",34,IF(Atletas!I303="Daoshu Opcional",35,IF(Atletas!I303="Jianshu Opcional",36,IF(Atletas!I303="Nandao Opcional",37,IF(Atletas!I303="Taijijian Opcional",38,IF(Atletas!I303="Daoshu Adulto",39,IF(Atletas!I303="Jianshu Adulto",40,IF(Atletas!I303="Nandao Adulto",41,IF(Atletas!I303="Taijijian Adulto",42,""))))))))))))))))))))))))))</f>
        <v/>
      </c>
      <c r="BH312" s="52" t="str">
        <f>IF(Atletas!J303="","",IF(Atletas!B303="Feminino",100,IF(Atletas!B303="Masculino",200,""))+(IF(Atletas!J303="Gunshu Mirim",43,IF(Atletas!J303="Qiangshu Mirim",44,IF(Atletas!J303="Nangun Mirim",45,IF(Atletas!J303="Gunshu Grupo C",46,IF(Atletas!J303="Qiangshu Grupo C",47,IF(Atletas!J303="Nangun Grupo C",48,IF(Atletas!J303="Gunshu Grupo B",49,IF(Atletas!J303="Qiangshu Grupo B",50,IF(Atletas!J303="Nangun Grupo B",51,IF(Atletas!J303="Gunshu Grupo A",52,IF(Atletas!J303="Qiangshu Grupo A",53,IF(Atletas!J303="Nangun Grupo A",54,IF(Atletas!J303="Gunshu Opcional",55,IF(Atletas!J303="Qiangshu Opcional",56,IF(Atletas!J303="Nangun Opcional",57,IF(Atletas!J303="Gunshu Adulto",58,IF(Atletas!J303="Qiangshu Adulto",59,IF(Atletas!J303="Nangun Adulto",60,IF(Atletas!J303="Taijishan Grupo B",61,IF(Atletas!J303="Taijishan Grupo A",62,""))))))))))))))))))))))</f>
        <v/>
      </c>
      <c r="BM312" s="50" t="str">
        <f>IF(Atletas!K303="","",IF(Atletas!B303="Feminino",100,IF(Atletas!B303="Masculino",200,""))+(IF(Atletas!K303="Equipe 1 Grupo B",1,IF(Atletas!K303="Equipe 2 Grupo B",2,IF(Atletas!K303="Equipe 1 Grupo A",3,IF(Atletas!K303="Equipe 2 Grupo A",4,IF(Atletas!K303="Equipe 1 Adulto",5,IF(Atletas!K303="Equipe 2 Adulto",6,""))))))))</f>
        <v/>
      </c>
      <c r="BR312" s="50" t="str">
        <f>IF(Atletas!L303="","",IF(Atletas!X303&lt;&gt;"",10000,0)+(IF(Atletas!B303="Feminino",1000,IF(Atletas!B303="Masculino",2000,""))+IF(Atletas!L303="Choylayfut A",1,IF(Atletas!L303="Hunggar A",2,IF(Atletas!L303="Wuzuquan A",3,IF(Atletas!L303="Wingchun A",4,IF(Atletas!L303="Outra Mão de Sul A",5,IF(Atletas!L303="Choylayfut B",6,IF(Atletas!L303="Hunggar B",7,IF(Atletas!L303="Wuzuquan B",8,IF(Atletas!L303="Wingchun B",9,IF(Atletas!L303="Outra Mão de Sul B",10,IF(Atletas!L303="Choylayfut C",11,IF(Atletas!L303="Hunggar C",12,IF(Atletas!L303="Wuzuquan C",13,IF(Atletas!L303="Wingchun C",14,IF(Atletas!L303="Outra Mão de Sul C",15,IF(Atletas!L303="Choylayfut D",16,IF(Atletas!L303="Hunggar D",17,IF(Atletas!L303="Wuzuquan D",18,IF(Atletas!L303="Wingchun D",19,IF(Atletas!L303="Outra Mão de Sul D",20,IF(Atletas!L303="Choylayfut E",21,IF(Atletas!L303="Hunggar E",22,IF(Atletas!L303="Wuzuquan E",23,IF(Atletas!L303="Wingchun E",24,IF(Atletas!L303="Outra Mão de Sul E",25,IF(Atletas!L303="Choylayfut F",26,IF(Atletas!L303="Hunggar F",27,IF(Atletas!L303="Wuzuquan F",28,IF(Atletas!L303="Wingchun F",29,IF(Atletas!L303="Outra Mão de Sul F",30,IF(Atletas!L303="Dishuquan A",31,IF(Atletas!L303="Dishuquan B",32,IF(Atletas!L303="Dishuquan C",33,IF(Atletas!L303="Dishuquan D",34,IF(Atletas!L303="Dishuquan E",35,IF(Atletas!L303="Dishuquan F",36,""))))))))))))))))))))))))))))))))))))))</f>
        <v/>
      </c>
      <c r="BS312" s="50" t="str">
        <f>IF(Atletas!M303="","",IF(Atletas!X303&lt;&gt;"",10000,0)+(IF(Atletas!B303="Feminino",1000,IF(Atletas!B303="Masculino",2000,""))+(IF(Atletas!M303="Chaquan A",101,IF(Atletas!M303="Emeiquan A",102,IF(Atletas!M303="Fanziquan A",103,IF(Atletas!M303="Huaquan A",104,IF(Atletas!M303="Hongquan A",105,IF(Atletas!M303="Paoquan A",106,IF(Atletas!M303="Piguaquan A",107,IF(Atletas!M303="Shaolinquan A",108,IF(Atletas!M303="Tanglangquan A",109,IF(Atletas!M303="Yingzhaoquan A",110,IF(Atletas!M303="Tongbeiquan A",111,IF(Atletas!M303="Wudangquan A",112,IF(Atletas!M303="Outros Estilos A",113,IF(Atletas!M303="Chaquan B",114,IF(Atletas!M303="Emeiquan B",115,IF(Atletas!M303="Fanziquan B",116,IF(Atletas!M303="Huaquan B",117,IF(Atletas!M303="Hongquan B",118,IF(Atletas!M303="Paoquan B",119,IF(Atletas!M303="Piguaquan B",120,IF(Atletas!M303="Shaolinquan B",121,IF(Atletas!M303="Tanglangquan B",122,IF(Atletas!M303="Yingzhaoquan B",123,IF(Atletas!M303="Tongbeiquan B",124,IF(Atletas!M303="Wudangquan B",125,IF(Atletas!M303="Outros Estilos B",126,IF(Atletas!M303="Chaquan C",127,IF(Atletas!M303="Emeiquan C",128,IF(Atletas!M303="Fanziquan C",129,IF(Atletas!M303="Huaquan C",130,IF(Atletas!M303="Hongquan C",131,IF(Atletas!M303="Paoquan C",132,IF(Atletas!M303="Piguaquan C",133,IF(Atletas!M303="Shaolinquan C",134,IF(Atletas!M303="Tanglangquan C",135,IF(Atletas!M303="Yingzhaoquan C",136,IF(Atletas!M303="Tongbeiquan C",137,IF(Atletas!M303="Wudangquan C",138,IF(Atletas!M303="Outros Estilos C",139,0))))))))))))))))))))))))))))))))))))))))))</f>
        <v/>
      </c>
      <c r="BT312" s="50" t="str">
        <f>IF(Atletas!M303="","",IF(Atletas!X303&lt;&gt;"",10000,0)+(IF(Atletas!B303="Feminino",1000,IF(Atletas!B303="Masculino",2000,""))+(IF(Atletas!M303="Chaquan D",140,IF(Atletas!M303="Emeiquan D",141,IF(Atletas!M303="Fanziquan D",142,IF(Atletas!M303="Huaquan D",143,IF(Atletas!M303="Hongquan D",144,IF(Atletas!M303="Paoquan D",145,IF(Atletas!M303="Piguaquan D",146,IF(Atletas!M303="Shaolinquan D",147,IF(Atletas!M303="Tanglangquan D",148,IF(Atletas!M303="Yingzhaoquan D",149,IF(Atletas!M303="Tongbeiquan D",150,IF(Atletas!M303="Wudangquan D",151,IF(Atletas!M303="Outros Estilos D",152,IF(Atletas!M303="Chaquan E",153,IF(Atletas!M303="Emeiquan E",154,IF(Atletas!M303="Fanziquan E",155,IF(Atletas!M303="Huaquan E",156,IF(Atletas!M303="Hongquan E",157,IF(Atletas!M303="Paoquan E",158,IF(Atletas!M303="Piguaquan E",159,IF(Atletas!M303="Shaolinquan E",160,IF(Atletas!M303="Tanglangquan E",161,IF(Atletas!M303="Yingzhaoquan E",162,IF(Atletas!M303="Tongbeiquan E",163,IF(Atletas!M303="Wudangquan E",164,IF(Atletas!M303="Outros Estilos E",165,IF(Atletas!M303="Chaquan F",166,IF(Atletas!M303="Emeiquan F",167,IF(Atletas!M303="Fanziquan F",168,IF(Atletas!M303="Huaquan F",169,IF(Atletas!M303="Hongquan F",170,IF(Atletas!M303="Paoquan F",171,IF(Atletas!M303="Piguaquan F",172,IF(Atletas!M303="Shaolinquan F",173,IF(Atletas!M303="Tanglangquan F",174,IF(Atletas!M303="Yingzhaoquan F",175,IF(Atletas!M303="Tongbeiquan F",176,IF(Atletas!M303="Wudangquan F",177,IF(Atletas!M303="Outros Estilos F",178,0))))))))))))))))))))))))))))))))))))))))))</f>
        <v/>
      </c>
      <c r="BU312" s="50" t="str">
        <f>IF(Atletas!N303="","",IF(Atletas!X303&lt;&gt;"",10000,0)+(IF(Atletas!B303="Feminino",1000,IF(Atletas!B303="Masculino",2000,""))+(IF(Atletas!N303="Ditangquan A",201,IF(Atletas!N303="Houquan A",202,IF(Atletas!N303="Zuiquan A",203,IF(Atletas!N303="Ditangquan B",204,IF(Atletas!N303="Houquan B",205,IF(Atletas!N303="Zuiquan B",206,IF(Atletas!N303="Ditangquan C",207,IF(Atletas!N303="Houquan C",208,IF(Atletas!N303="Zuiquan C",209,IF(Atletas!N303="Ditangquan D",210,IF(Atletas!N303="Houquan D",211,IF(Atletas!N303="Zuiquan D",212,IF(Atletas!N303="Ditangquan E",213,IF(Atletas!N303="Houquan E",214,IF(Atletas!N303="Zuiquan E",215,IF(Atletas!N303="Ditangquan F",216,IF(Atletas!N303="Houquan F",217,IF(Atletas!N303="Zuiquan F",218,"")))))))))))))))))))))</f>
        <v/>
      </c>
      <c r="BV312" s="50" t="str">
        <f>IF(Atletas!O303="","",IF(Atletas!X303&lt;&gt;"",10000,0)+IF(Atletas!B303="Feminino",1000,IF(Atletas!B303="Masculino",2000,""))+IF(Atletas!O303="Yang A",301,IF(Atletas!O303="Chen A",302,IF(Atletas!O303="Sun A",303,IF(Atletas!O303="Wu A",304,IF(Atletas!O303="Wu-Hao A",305,IF(Atletas!O303="Outro Taijiquan A",306,IF(Atletas!O303="Yang B",307,IF(Atletas!O303="Chen B",308,IF(Atletas!O303="Sun B",309,IF(Atletas!O303="Wu B",310,IF(Atletas!O303="Wu-Hao B",311,IF(Atletas!O303="Outro Taijiquan B",312,IF(Atletas!O303="Yang C",313,IF(Atletas!O303="Chen C",314,IF(Atletas!O303="Sun C",315,IF(Atletas!O303="Wu C",316,IF(Atletas!O303="Wu-Hao C",317,IF(Atletas!O303="Outro Taijiquan C",318,IF(Atletas!O303="Yang D",319,IF(Atletas!O303="Chen D",320,IF(Atletas!O303="Sun D",321,IF(Atletas!O303="Wu D",322,IF(Atletas!O303="Wu-Hao D",323,IF(Atletas!O303="Outro Taijiquan D",324,IF(Atletas!O303="Yang E",325,IF(Atletas!O303="Chen E",326,IF(Atletas!O303="Sun E",327,IF(Atletas!O303="Wu E",328,IF(Atletas!O303="Wu-Hao E",329,IF(Atletas!O303="Outro Taijiquan E",330,IF(Atletas!O303="Yang F",331,IF(Atletas!O303="Chen F",332,IF(Atletas!O303="Sun F",333,IF(Atletas!O303="Wu F",334,IF(Atletas!O303="Wu-Hao F",335,IF(Atletas!O303="Outro Taijiquan F",336,"")))))))))))))))))))))))))))))))))))))</f>
        <v/>
      </c>
      <c r="BW312" s="50" t="str">
        <f>IF(Atletas!P303="","",IF(Atletas!X303&lt;&gt;"",10000,0)+IF(Atletas!B303="Feminino",1000,IF(Atletas!B303="Masculino",2000,""))+IF(OR(Atletas!P303="Yang 26 A",Atletas!P303="Yang 40 A"),401,IF(OR(Atletas!P303="Chen 25 A",Atletas!P303="Chen 36 A",Atletas!P303="Chen 56 A"),402,IF(Atletas!P303="Sun 73 A",403,IF(Atletas!P303="Wu 45 A",404,IF(Atletas!P303="Wu-Hao 46 A",405,IF(OR(Atletas!P303="Taijiquan 16 A",Atletas!P303="Taijiquan 24 A",Atletas!P303="Taijiquan 32 A",Atletas!P303="Taijiquan 42 A"),406,IF(OR(Atletas!P303="Yang 26 B",Atletas!P303="Yang 40 B"),407,IF(OR(Atletas!P303="Chen 25 B",Atletas!P303="Chen 36 B",Atletas!P303="Chen 56 B"),408,IF(Atletas!P303="Sun 73 B",409,IF(Atletas!P303="Wu 45 B",410,IF(Atletas!P303="Wu-Hao 46 B",411,IF(OR(Atletas!P303="Taijiquan 16 B",Atletas!P303="Taijiquan 24 B",Atletas!P303="Taijiquan 32 B",Atletas!P303="Taijiquan 42 B"),412,IF(OR(Atletas!P303="Yang 26 C",Atletas!P303="Yang 40 C"),413,IF(OR(Atletas!P303="Chen 25 C",Atletas!P303="Chen 36 C",Atletas!P303="Chen 56 C"),414,IF(Atletas!P303="Sun 73 C",415,IF(Atletas!P303="Wu 45 C",416,IF(Atletas!P303="Wu-Hao 46 C",417,IF(OR(Atletas!P303="Taijiquan 16 C",Atletas!P303="Taijiquan 24 C",Atletas!P303="Taijiquan 32 C",Atletas!P303="Taijiquan 42 C"),418,0)))))))))))))))))))</f>
        <v/>
      </c>
      <c r="BX312" s="50" t="str">
        <f>IF(Atletas!P303="","",IF(Atletas!X303&lt;&gt;"",10000,0)+IF(Atletas!B303="Feminino",1000,IF(Atletas!B303="Masculino",2000,""))+IF(OR(Atletas!P303="Yang 26 D",Atletas!P303="Yang 40 D"),419,IF(OR(Atletas!P303="Chen 25 D",Atletas!P303="Chen 36 D",Atletas!P303="Chen 56 D"),420,IF(Atletas!P303="Sun 73 D",421,IF(Atletas!P303="Wu 45 D",422,IF(Atletas!P303="Wu-Hao 46 D",423,IF(OR(Atletas!P303="Taijiquan 16 D",Atletas!P303="Taijiquan 24 D",Atletas!P303="Taijiquan 32 D",Atletas!P303="Taijiquan 42 D"),424,IF(OR(Atletas!P303="Yang 26 E",Atletas!P303="Yang 40 E"),425,IF(OR(Atletas!P303="Chen 25 E",Atletas!P303="Chen 36 E",Atletas!P303="Chen 56 E"),426,IF(Atletas!P303="Sun 73 E",427,IF(Atletas!P303="Wu 45 E",428,IF(Atletas!P303="Wu-Hao 46 E",429,IF(OR(Atletas!P303="Taijiquan 16 E",Atletas!P303="Taijiquan 24 E",Atletas!P303="Taijiquan 32 E",Atletas!P303="Taijiquan 42 E"),430,IF(OR(Atletas!P303="Yang 26 F",Atletas!P303="Yang 40 F"),431,IF(OR(Atletas!P303="Chen 25 F",Atletas!P303="Chen 36 F",Atletas!P303="Chen 56 F"),432,IF(Atletas!P303="Sun 73 F",433,IF(Atletas!P303="Wu 45 F",434,IF(Atletas!P303="Wu-Hao 46 F",435,IF(OR(Atletas!P303="Taijiquan 16 F",Atletas!P303="Taijiquan 24 F",Atletas!P303="Taijiquan 32 F",Atletas!P303="Taijiquan 42 F"),436,0)))))))))))))))))))</f>
        <v/>
      </c>
      <c r="BY312" s="50" t="str">
        <f>IF(Atletas!Q303="","",IF(Atletas!X303&lt;&gt;"",10000,0)+IF(Atletas!B303="Feminino",1000,IF(Atletas!B303="Masculino",2000,""))+IF(Atletas!Q303="Xingyiquan A",501,IF(Atletas!Q303="Baguazhang A",502,IF(Atletas!Q303="Outro Estilo Interno A",503,IF(Atletas!Q303="Xingyiquan B",504,IF(Atletas!Q303="Baguazhang B",505,IF(Atletas!Q303="Outro Estilo Interno B",506,IF(Atletas!Q303="Xingyiquan C",507,IF(Atletas!Q303="Baguazhang C",508,IF(Atletas!Q303="Outro Estilo Interno C",509,IF(Atletas!Q303="Xingyiquan D",510,IF(Atletas!Q303="Baguazhang D",511,IF(Atletas!Q303="Outro Estilo Interno D",512,IF(Atletas!Q303="Xingyiquan E",513,IF(Atletas!Q303="Baguazhang E",514,IF(Atletas!Q303="Outro Estilo Interno E",515,IF(Atletas!Q303="Xingyiquan F",516,IF(Atletas!Q303="Baguazhang F",517,IF(Atletas!Q303="Outro Estilo Interno F",518, "")))))))))))))))))))</f>
        <v/>
      </c>
      <c r="BZ312" s="50" t="str">
        <f>IF(Atletas!R303="","",IF(Atletas!X303&lt;&gt;"",10000,0)+IF(Atletas!B303="Feminino",1000,IF(Atletas!B303="Masculino",2000,""))+IF(Atletas!R303="Dao A",601,IF(Atletas!R303="Jian A",602,IF(Atletas!R303="Bishou A",603,IF(Atletas!R303="Shanzi A",604,IF(Atletas!R303="Outra Arma Curta A",605,IF(Atletas!R303="Dao B",606,IF(Atletas!R303="Jian B",607,IF(Atletas!R303="Bishou B",608,IF(Atletas!R303="Shanzi B",609,IF(Atletas!R303="Outra Arma Curta B",610,IF(Atletas!R303="Dao C",611,IF(Atletas!R303="Jian C",612,IF(Atletas!R303="Bishou C",613,IF(Atletas!R303="Shanzi C",614,IF(Atletas!R303="Outra Arma Curta C",615,IF(Atletas!R303="Dao D",616,IF(Atletas!R303="Jian D",617,IF(Atletas!R303="Bishou D",618,IF(Atletas!R303="Shanzi D",619,IF(Atletas!R303="Outra Arma Curta D",620,IF(Atletas!R303="Dao E",621,IF(Atletas!R303="Jian E",622,IF(Atletas!R303="Bishou E",623,IF(Atletas!R303="Shanzi E",624,IF(Atletas!R303="Outra Arma Curta E",625,IF(Atletas!R303="Dao F",626,IF(Atletas!R303="Jian F",627,IF(Atletas!R303="Bishou F",628,IF(Atletas!R303="Shanzi F",629,IF(Atletas!R303="Outra Arma Curta F",630, "")))))))))))))))))))))))))))))))</f>
        <v/>
      </c>
      <c r="CA312" s="50" t="str">
        <f>IF(Atletas!S303="","",IF(Atletas!X303&lt;&gt;"",10000,0)+IF(Atletas!B303="Feminino",1000,IF(Atletas!B303="Masculino",2000,""))+IF(Atletas!S303="Gun A",701,IF(Atletas!S303="Qiang A",702,IF(Atletas!S303="Pudao / Guandao A",703,IF(Atletas!S303="Outra Arma Longa A",704,IF(Atletas!S303="Gun B",705,IF(Atletas!S303="Qiang B",706,IF(Atletas!S303="Pudao / Guandao B",707,IF(Atletas!S303="Outra Arma Longa B",708,IF(Atletas!S303="Gun C",709,IF(Atletas!S303="Qiang C",710,IF(Atletas!S303="Pudao / Guandao C",711,IF(Atletas!S303="Outra Arma Longa C",712,IF(Atletas!S303="Gun D",713,IF(Atletas!S303="Qiang D",714,IF(Atletas!S303="Pudao / Guandao D",715,IF(Atletas!S303="Outra Arma Longa D",716,IF(Atletas!S303="Gun E",717,IF(Atletas!S303="Qiang E",718,IF(Atletas!S303="Pudao / Guandao E",719,IF(Atletas!S303="Outra Arma Longa E",720,IF(Atletas!S303="Gun F",721,IF(Atletas!S303="Qiang F",722,IF(Atletas!S303="Pudao / Guandao F",723,IF(Atletas!S303="Outra Arma Longa F",724,"")))))))))))))))))))))))))</f>
        <v/>
      </c>
      <c r="CB312" s="50" t="str">
        <f>IF(Atletas!T303="","",IF(Atletas!X303&lt;&gt;"",10000,0)+IF(Atletas!B303="Feminino",1000,IF(Atletas!B303="Masculino",2000,""))+IF(Atletas!T303="Outra Arma Dupla A",801,IF(Atletas!T303="Arma Maleável A",802,IF(Atletas!T303="Outra Arma Dupla B",803,IF(Atletas!T303="Arma Maleável B",804,IF(Atletas!T303="Outra Arma Dupla C",805,IF(Atletas!T303="Arma Maleável C",806,IF(Atletas!T303="Outra Arma Dupla D",807,IF(Atletas!T303="Arma Maleável D",808,IF(Atletas!T303="Outra Arma Dupla E",809,IF(Atletas!T303="Arma Maleável E",810,IF(Atletas!T303="Outra Arma Dupla F",811,IF(Atletas!T303="Arma Maleável F",812,IF(Atletas!T303="Shuangdao A",813,IF(Atletas!T303="Shuangdao B",814,IF(Atletas!T303="Shuangdao C",815,IF(Atletas!T303="Shuangdao D",816,IF(Atletas!T303="Shuangdao E",817,IF(Atletas!T303="Shuangdao F",818,"")))))))))))))))))))</f>
        <v/>
      </c>
      <c r="CC312" s="50" t="str">
        <f>IF(Atletas!U303="","",IF(Atletas!X303&lt;&gt;"",10000,0)+IF(Atletas!B303="Feminino",1000,IF(Atletas!B303="Masculino",2000,""))+IF(OR(Atletas!U303="Taijijian Yang A",Atletas!U303="Taijijian Yang Standard A"),901,IF(OR(Atletas!U303="Taijijian Chen A", Atletas!U303="Taijijian Chen Standard A"),902,IF(Atletas!U303="Taijijian Sun A",903,IF(Atletas!U303="Taijijian Wu A",904,IF(Atletas!U303="Taijijian Wu-Hao A",905,IF(OR(Atletas!U303="Taijijian 32 A",Atletas!U303="Taijijian 42 A"),906,IF(OR(Atletas!U303="Taijijian Yang B",Atletas!U303="Taijijian Yang Standard B"),907,IF(OR(Atletas!U303="Taijijian Chen B", Atletas!U303="Taijijian Chen Standard B"),908,IF(Atletas!U303="Taijijian Sun B",909,IF(Atletas!U303="Taijijian Wu B",910,IF(Atletas!U303="Taijijian Wu-Hao B",911,IF(OR(Atletas!U303="Taijijian 32 B",Atletas!U303="Taijijian 42 B"),912,IF(OR(Atletas!U303="Taijijian Yang C",Atletas!U303="Taijijian Yang Standard C"),913,IF(OR(Atletas!U303="Taijijian Chen C", Atletas!U303="Taijijian Chen Standard C"),914,IF(Atletas!U303="Taijijian Sun C",915,IF(Atletas!U303="Taijijian Wu C",916,IF(Atletas!U303="Taijijian Wu-Hao C",917,IF(OR(Atletas!U303="Taijijian 32 C",Atletas!U303="Taijijian 42 C"),918,IF(OR(Atletas!U303="Taijijian Yang D",Atletas!U303="Taijijian Yang Standard D"),919,IF(OR(Atletas!U303="Taijijian Chen D", Atletas!U303="Taijijian Chen Standard D"),920,IF(Atletas!U303="Taijijian Sun D",921,IF(Atletas!U303="Taijijian Wu D",922,IF(Atletas!U303="Taijijian Wu-Hao D",923,IF(OR(Atletas!U303="Taijijian 32 D",Atletas!U303="Taijijian 42 D"),924,IF(OR(Atletas!U303="Taijijian Yang E",Atletas!U303="Taijijian Yang Standard E"),925,IF(OR(Atletas!U303="Taijijian Chen E", Atletas!U303="Taijijian Chen Standard E"),926,IF(Atletas!U303="Taijijian Sun E",927,IF(Atletas!U303="Taijijian Wu E",928,IF(Atletas!U303="Taijijian Wu-Hao E",929,IF(OR(Atletas!U303="Taijijian 32 E",Atletas!U303="Taijijian 42 E"),930,IF(OR(Atletas!U303="Taijijian Yang F",Atletas!U303="Taijijian Yang Standard F"),931,IF(OR(Atletas!U303="Taijijian Chen F", Atletas!U303="Taijijian Chen Standard F"),932,IF(Atletas!U303="Taijijian Sun F",933,IF(Atletas!U303="Taijijian Wu F",934,IF(Atletas!U303="Taijijian Wu-Hao F",935,IF(OR(Atletas!U303="Taijijian 32 F",Atletas!U303="Taijijian 42 F"),936,"")))))))))))))))))))))))))))))))))))))</f>
        <v/>
      </c>
      <c r="CD312" s="50" t="str">
        <f>IF(Atletas!V303="","",IF(Atletas!X303&lt;&gt;"",10000,0)+IF(Atletas!B303="Feminino",1000,IF(Atletas!B303="Masculino",2000,""))+IF(Atletas!V303="Taijidao A",937,IF(Atletas!V303="TaijiShanzi A",938,IF(Atletas!V303="Taijiqiang A",939,IF(Atletas!V303="Bagua de Arma A",940,IF(Atletas!V303="Xingyi de Arma A",941,IF(Atletas!V303="Taijidao B",942,IF(Atletas!V303="TaijiShanzi B",943,IF(Atletas!V303="Taijiqiang B",944,IF(Atletas!V303="Bagua de Arma B",945,IF(Atletas!V303="Xingyi de Arma B",946,IF(Atletas!V303="Taijidao C",947,IF(Atletas!V303="TaijiShanzi C",948,IF(Atletas!V303="Taijiqiang C",949,IF(Atletas!V303="Bagua de Arma C",950,IF(Atletas!V303="Xingyi de Arma C",951,IF(Atletas!V303="Taijidao D",952,IF(Atletas!V303="TaijiShanzi D",953,IF(Atletas!V303="Taijiqiang D",954,IF(Atletas!V303="Bagua de Arma D",955,IF(Atletas!V303="Xingyi de Arma D",956,IF(Atletas!V303="Taijidao E",957,IF(Atletas!V303="TaijiShanzi E",958,IF(Atletas!V303="Taijiqiang E",959,IF(Atletas!V303="Bagua de Arma E",960,IF(Atletas!V303="Xingyi de Arma E",961,IF(Atletas!V303="Taijidao F",962,IF(Atletas!V303="TaijiShanzi F",963,IF(Atletas!V303="Taijiqiang F",964,IF(Atletas!V303="Bagua de Arma F",965,IF(Atletas!V303="Xingyi de Arma F",966,"")))))))))))))))))))))))))))))))</f>
        <v/>
      </c>
      <c r="CE312" s="66" t="str">
        <f>IF(CF312&lt;&gt;"","Taijijian Combinado B","")</f>
        <v/>
      </c>
      <c r="CF312" s="6" t="str">
        <f>IF(COUNTIF(BR:CD,1912)&gt;0,COUNTIF(BR:CD,1912),"")</f>
        <v/>
      </c>
      <c r="CG312" s="66" t="str">
        <f>IF(CH312&lt;&gt;"","Taijijian Combinado B","")</f>
        <v/>
      </c>
      <c r="CH312" s="66" t="str">
        <f>IF(COUNTIF(BR:CD,2912)&gt;0,COUNTIF(BR:CD,2912),"")</f>
        <v/>
      </c>
      <c r="CI312" s="66" t="str">
        <f>IF(CJ313&lt;&gt;"","Taijijian Yang E","")</f>
        <v/>
      </c>
      <c r="CJ312" s="66" t="str">
        <f>IF(COUNTIF(BR:CD,11924)&gt;0,COUNTIF(BR:CD,11924),"")</f>
        <v/>
      </c>
      <c r="CK312" s="66" t="str">
        <f>IF(CL312&lt;&gt;"","Taijijian Combinado D","")</f>
        <v/>
      </c>
      <c r="CL312" s="66" t="str">
        <f>IF(COUNTIF(BR:CD,12924)&gt;0,COUNTIF(BR:CD,12924),"")</f>
        <v/>
      </c>
      <c r="CM312" s="50" t="str">
        <f xml:space="preserve"> IF(Atletas!W303="","",IF(Atletas!W303="Duilian de Mãos BC - Equipe 1",1,IF(Atletas!W303="Duilian de Mãos BC - Equipe 2",2,IF(Atletas!W303="Duilian de Armas BC - Equipe 1",3,IF(Atletas!W303="Duilian de Armas BC - Equipe 2",4,IF(Atletas!W303="Duilian de Mãos DE - Equipe 1",5,IF(Atletas!W303="Duilian de Mãos DE - Equipe 2",6,IF(Atletas!W303="Duilian de Armas DE - Equipe 1",7,IF(Atletas!W303="Duilian de Armas DE - Equipe 2",8,IF(Atletas!W303="Duilian de Tuishou - Equipe 1",9,IF(Atletas!W303="Duilian de Tuishou - Equipe 2",10,IF(Atletas!W303="Grupo Externo ABC - Equipe 1",11,IF(Atletas!W303="Grupo Externo ABC - Equipe 2",12,IF(Atletas!W303="Grupo Interno ABC - Equipe 1",13,IF(Atletas!W303="Grupo Interno ABC - Equipe 2",14,IF(Atletas!W303="Grupo Externo DEF - Equipe 1",15,IF(Atletas!W303="Grupo Externo DEF - Equipe 2",16,IF(Atletas!W303="Grupo Interno DEF - Equipe 1",17,IF(Atletas!W303="Grupo Interno DEF - Equipe 2",18,"")))))))))))))))))))</f>
        <v/>
      </c>
    </row>
    <row r="313" spans="40:91">
      <c r="AN313" s="52" t="str">
        <f>IF(Atletas!D304="","",IF(Atletas!B304="Feminino",100,IF(Atletas!B304="Masculino",200,""))+(IF(Atletas!D304="Kids 30kg",1,IF(Atletas!D304="Kids 32kg",2, IF(Atletas!D304="Kids 34kg",3,IF(Atletas!D304="Kids 36kg",4,IF(Atletas!D304="Kids 39kg",5,IF(Atletas!D304="Kids 42kg",6,IF(Atletas!D304="Kids 45kg",7, IF(Atletas!D304="Infantil 39kg",8,IF(Atletas!D304="Infantil 42kg",9,IF(Atletas!D304="Infantil 45kg",10,IF(Atletas!D304="Infantil 48kg",11,IF(Atletas!D304="Infantil 52kg",12,IF(Atletas!D304="Infantil 56kg",13,IF(Atletas!D304="Infantil 60kg",14,IF(Atletas!D304="Juvenil 48kg",15,IF(Atletas!D304="Juvenil 52kg",16,IF(Atletas!D304="Juvenil 56kg",17,IF(Atletas!D304="Juvenil 60kg",18,IF(Atletas!D304="Juvenil 65kg",19,IF(Atletas!D304="Juvenil 70kg",20,IF(Atletas!D304="Juvenil 75kg",21,IF(Atletas!D304="Juvenil 80kg",22, IF(Atletas!D304="Juvenil 85kg",23,IF(Atletas!D304="Adulto 48kg",24,IF(Atletas!D304="Adulto 52kg",25,IF(Atletas!D304="Adulto 56kg",26,IF(Atletas!D304="Adulto 60kg",27,IF(Atletas!D304="Adulto 65kg",28,IF(Atletas!D304="Adulto 70kg",29,IF(Atletas!D304="Adulto 75kg",30,IF(Atletas!D304="Adulto 80kg",31,IF(Atletas!D304="Adulto 85kg",32,IF(Atletas!D304="Adulto 90kg",33,IF(Atletas!D304="Adulto 100kg",34, IF(Atletas!D304="Adulto +100kg",35,"")))))))))))))))))))))))))))))))))))))</f>
        <v/>
      </c>
      <c r="AS313" s="6" t="str">
        <f>IF(Atletas!E304="","",IF(Atletas!B304="Feminino",100,IF(Atletas!B304="Masculino",200,""))+(IF(Atletas!E304="Juvenil 44kg",1,IF(Atletas!E304="Juvenil 48kg",2,IF(Atletas!E304="Juvenil 52kg",3,IF(Atletas!E304="Juvenil 56kg",4,IF(Atletas!E304="Juvenil 60kg",5,IF(Atletas!E304="Juvenil 65kg",6,IF(Atletas!E304="Juvenil 70kg",7,IF(Atletas!E304="Juvenil 75kg",8,IF(Atletas!E304="Juvenil 82kg",9,IF(Atletas!E304="Juvenil 90kg",10,IF(Atletas!E304="Juvenil 100kg",11,IF(Atletas!E304="Adulto 48kg",12,IF(Atletas!E304="Adulto 52kg",13,IF(Atletas!E304="Adulto 56kg",14,IF(Atletas!E304="Adulto 60kg",15,IF(Atletas!E304="Adulto 65kg",16,IF(Atletas!E304="Adulto 70kg",17,IF(Atletas!E304="Adulto 75kg",18,IF(Atletas!E304="Adulto 82kg",19,IF(Atletas!E304="Adulto 90kg",20,IF(Atletas!E304="Adulto 100kg",21,IF(Atletas!E304="Adulto +100kg",22,""))))))))))))))))))))))))</f>
        <v/>
      </c>
      <c r="AX313" s="6" t="str">
        <f>IF(Atletas!F304="","",IF(Atletas!B304="Feminino",100,IF(Atletas!B304="Masculino",200,""))+(IF(Atletas!F304="Adulto 48kg",1,IF(Atletas!F304="Adulto 56kg",2,IF(Atletas!F304="Adulto 65kg",3,IF(Atletas!F304="Adulto 75kg",4,IF(Atletas!F304="Adulto +75kg",5,IF(Atletas!F304="Adulto 52kg",6,IF(Atletas!F304="Adulto 60kg",7,IF(Atletas!F304="Adulto 70kg",8,IF(Atletas!F304="Adulto 80kg",9,IF(Atletas!F304="Adulto 90kg",10,IF(Atletas!F304="Adulto +90kg",11,"")))))))))))))</f>
        <v/>
      </c>
      <c r="BC313" s="6" t="str">
        <f>IF(Atletas!G304="","",IF(Atletas!B304="Feminino",10,IF(Atletas!B304="Masculino",20,""))+(IF(Atletas!G304="Baduanjin A",1,IF(Atletas!G304="Baduanjin B",2))))</f>
        <v/>
      </c>
      <c r="BF313" s="52" t="str">
        <f>IF(Atletas!H304="","",IF(Atletas!B304="Feminino",100,IF(Atletas!B304="Masculino",200,""))+(IF(Atletas!H304="Changquan Mirim",1,IF(Atletas!H304="Nanquan Mirim",2,IF(Atletas!H304="Taijiquan Mirim",3,IF(Atletas!H304="Changquan Grupo C",4,IF(Atletas!H304="Nanquan Grupo C",5,IF(Atletas!H304="Taijiquan Grupo C",6,IF(Atletas!H304="Changquan Grupo B",7,IF(Atletas!H304="Nanquan Grupo B",8,IF(Atletas!H304="Taijiquan Grupo B",9,IF(Atletas!H304="Changquan Grupo A",10,IF(Atletas!H304="Nanquan Grupo A",11,IF(Atletas!H304="Taijiquan Grupo A",12,IF(Atletas!H304="Changquan Opcional",13,IF(Atletas!H304="Nanquan Opcional",14,IF(Atletas!H304="Taijiquan Opcional",15,IF(Atletas!H304="Changquan Adulto",16,IF(Atletas!H304="Nanquan Adulto",17,IF(Atletas!H304="Taijiquan Adulto",18,""))))))))))))))))))))</f>
        <v/>
      </c>
      <c r="BG313" s="52" t="str">
        <f>IF(Atletas!I304="","",IF(Atletas!B304="Feminino",100,IF(Atletas!B304="Masculino",200,""))+(IF(Atletas!I304="Daoshu Mirim",19,IF(Atletas!I304="Jianshu Mirim",20,IF(Atletas!I304="Nandao Mirim",21,IF(Atletas!I304="Taijijian Mirim",22,IF(Atletas!I304="Daoshu Grupo C",23,IF(Atletas!I304="Jianshu Grupo C",24,IF(Atletas!I304="Nandao Grupo C",25,IF(Atletas!I304="Taijijian Grupo C",26,IF(Atletas!I304="Daoshu Grupo B",27,IF(Atletas!I304="Jianshu Grupo B",28,IF(Atletas!I304="Nandao Grupo B",29,IF(Atletas!I304="Taijijian Grupo B",30,IF(Atletas!I304="Daoshu Grupo A",31,IF(Atletas!I304="Jianshu Grupo A",32,IF(Atletas!I304="Nandao Grupo A",33,IF(Atletas!I304="Taijijian Grupo A",34,IF(Atletas!I304="Daoshu Opcional",35,IF(Atletas!I304="Jianshu Opcional",36,IF(Atletas!I304="Nandao Opcional",37,IF(Atletas!I304="Taijijian Opcional",38,IF(Atletas!I304="Daoshu Adulto",39,IF(Atletas!I304="Jianshu Adulto",40,IF(Atletas!I304="Nandao Adulto",41,IF(Atletas!I304="Taijijian Adulto",42,""))))))))))))))))))))))))))</f>
        <v/>
      </c>
      <c r="BH313" s="52" t="str">
        <f>IF(Atletas!J304="","",IF(Atletas!B304="Feminino",100,IF(Atletas!B304="Masculino",200,""))+(IF(Atletas!J304="Gunshu Mirim",43,IF(Atletas!J304="Qiangshu Mirim",44,IF(Atletas!J304="Nangun Mirim",45,IF(Atletas!J304="Gunshu Grupo C",46,IF(Atletas!J304="Qiangshu Grupo C",47,IF(Atletas!J304="Nangun Grupo C",48,IF(Atletas!J304="Gunshu Grupo B",49,IF(Atletas!J304="Qiangshu Grupo B",50,IF(Atletas!J304="Nangun Grupo B",51,IF(Atletas!J304="Gunshu Grupo A",52,IF(Atletas!J304="Qiangshu Grupo A",53,IF(Atletas!J304="Nangun Grupo A",54,IF(Atletas!J304="Gunshu Opcional",55,IF(Atletas!J304="Qiangshu Opcional",56,IF(Atletas!J304="Nangun Opcional",57,IF(Atletas!J304="Gunshu Adulto",58,IF(Atletas!J304="Qiangshu Adulto",59,IF(Atletas!J304="Nangun Adulto",60,IF(Atletas!J304="Taijishan Grupo B",61,IF(Atletas!J304="Taijishan Grupo A",62,""))))))))))))))))))))))</f>
        <v/>
      </c>
      <c r="BM313" s="50" t="str">
        <f>IF(Atletas!K304="","",IF(Atletas!B304="Feminino",100,IF(Atletas!B304="Masculino",200,""))+(IF(Atletas!K304="Equipe 1 Grupo B",1,IF(Atletas!K304="Equipe 2 Grupo B",2,IF(Atletas!K304="Equipe 1 Grupo A",3,IF(Atletas!K304="Equipe 2 Grupo A",4,IF(Atletas!K304="Equipe 1 Adulto",5,IF(Atletas!K304="Equipe 2 Adulto",6,""))))))))</f>
        <v/>
      </c>
      <c r="BR313" s="50" t="str">
        <f>IF(Atletas!L304="","",IF(Atletas!X304&lt;&gt;"",10000,0)+(IF(Atletas!B304="Feminino",1000,IF(Atletas!B304="Masculino",2000,""))+IF(Atletas!L304="Choylayfut A",1,IF(Atletas!L304="Hunggar A",2,IF(Atletas!L304="Wuzuquan A",3,IF(Atletas!L304="Wingchun A",4,IF(Atletas!L304="Outra Mão de Sul A",5,IF(Atletas!L304="Choylayfut B",6,IF(Atletas!L304="Hunggar B",7,IF(Atletas!L304="Wuzuquan B",8,IF(Atletas!L304="Wingchun B",9,IF(Atletas!L304="Outra Mão de Sul B",10,IF(Atletas!L304="Choylayfut C",11,IF(Atletas!L304="Hunggar C",12,IF(Atletas!L304="Wuzuquan C",13,IF(Atletas!L304="Wingchun C",14,IF(Atletas!L304="Outra Mão de Sul C",15,IF(Atletas!L304="Choylayfut D",16,IF(Atletas!L304="Hunggar D",17,IF(Atletas!L304="Wuzuquan D",18,IF(Atletas!L304="Wingchun D",19,IF(Atletas!L304="Outra Mão de Sul D",20,IF(Atletas!L304="Choylayfut E",21,IF(Atletas!L304="Hunggar E",22,IF(Atletas!L304="Wuzuquan E",23,IF(Atletas!L304="Wingchun E",24,IF(Atletas!L304="Outra Mão de Sul E",25,IF(Atletas!L304="Choylayfut F",26,IF(Atletas!L304="Hunggar F",27,IF(Atletas!L304="Wuzuquan F",28,IF(Atletas!L304="Wingchun F",29,IF(Atletas!L304="Outra Mão de Sul F",30,IF(Atletas!L304="Dishuquan A",31,IF(Atletas!L304="Dishuquan B",32,IF(Atletas!L304="Dishuquan C",33,IF(Atletas!L304="Dishuquan D",34,IF(Atletas!L304="Dishuquan E",35,IF(Atletas!L304="Dishuquan F",36,""))))))))))))))))))))))))))))))))))))))</f>
        <v/>
      </c>
      <c r="BS313" s="50" t="str">
        <f>IF(Atletas!M304="","",IF(Atletas!X304&lt;&gt;"",10000,0)+(IF(Atletas!B304="Feminino",1000,IF(Atletas!B304="Masculino",2000,""))+(IF(Atletas!M304="Chaquan A",101,IF(Atletas!M304="Emeiquan A",102,IF(Atletas!M304="Fanziquan A",103,IF(Atletas!M304="Huaquan A",104,IF(Atletas!M304="Hongquan A",105,IF(Atletas!M304="Paoquan A",106,IF(Atletas!M304="Piguaquan A",107,IF(Atletas!M304="Shaolinquan A",108,IF(Atletas!M304="Tanglangquan A",109,IF(Atletas!M304="Yingzhaoquan A",110,IF(Atletas!M304="Tongbeiquan A",111,IF(Atletas!M304="Wudangquan A",112,IF(Atletas!M304="Outros Estilos A",113,IF(Atletas!M304="Chaquan B",114,IF(Atletas!M304="Emeiquan B",115,IF(Atletas!M304="Fanziquan B",116,IF(Atletas!M304="Huaquan B",117,IF(Atletas!M304="Hongquan B",118,IF(Atletas!M304="Paoquan B",119,IF(Atletas!M304="Piguaquan B",120,IF(Atletas!M304="Shaolinquan B",121,IF(Atletas!M304="Tanglangquan B",122,IF(Atletas!M304="Yingzhaoquan B",123,IF(Atletas!M304="Tongbeiquan B",124,IF(Atletas!M304="Wudangquan B",125,IF(Atletas!M304="Outros Estilos B",126,IF(Atletas!M304="Chaquan C",127,IF(Atletas!M304="Emeiquan C",128,IF(Atletas!M304="Fanziquan C",129,IF(Atletas!M304="Huaquan C",130,IF(Atletas!M304="Hongquan C",131,IF(Atletas!M304="Paoquan C",132,IF(Atletas!M304="Piguaquan C",133,IF(Atletas!M304="Shaolinquan C",134,IF(Atletas!M304="Tanglangquan C",135,IF(Atletas!M304="Yingzhaoquan C",136,IF(Atletas!M304="Tongbeiquan C",137,IF(Atletas!M304="Wudangquan C",138,IF(Atletas!M304="Outros Estilos C",139,0))))))))))))))))))))))))))))))))))))))))))</f>
        <v/>
      </c>
      <c r="BT313" s="50" t="str">
        <f>IF(Atletas!M304="","",IF(Atletas!X304&lt;&gt;"",10000,0)+(IF(Atletas!B304="Feminino",1000,IF(Atletas!B304="Masculino",2000,""))+(IF(Atletas!M304="Chaquan D",140,IF(Atletas!M304="Emeiquan D",141,IF(Atletas!M304="Fanziquan D",142,IF(Atletas!M304="Huaquan D",143,IF(Atletas!M304="Hongquan D",144,IF(Atletas!M304="Paoquan D",145,IF(Atletas!M304="Piguaquan D",146,IF(Atletas!M304="Shaolinquan D",147,IF(Atletas!M304="Tanglangquan D",148,IF(Atletas!M304="Yingzhaoquan D",149,IF(Atletas!M304="Tongbeiquan D",150,IF(Atletas!M304="Wudangquan D",151,IF(Atletas!M304="Outros Estilos D",152,IF(Atletas!M304="Chaquan E",153,IF(Atletas!M304="Emeiquan E",154,IF(Atletas!M304="Fanziquan E",155,IF(Atletas!M304="Huaquan E",156,IF(Atletas!M304="Hongquan E",157,IF(Atletas!M304="Paoquan E",158,IF(Atletas!M304="Piguaquan E",159,IF(Atletas!M304="Shaolinquan E",160,IF(Atletas!M304="Tanglangquan E",161,IF(Atletas!M304="Yingzhaoquan E",162,IF(Atletas!M304="Tongbeiquan E",163,IF(Atletas!M304="Wudangquan E",164,IF(Atletas!M304="Outros Estilos E",165,IF(Atletas!M304="Chaquan F",166,IF(Atletas!M304="Emeiquan F",167,IF(Atletas!M304="Fanziquan F",168,IF(Atletas!M304="Huaquan F",169,IF(Atletas!M304="Hongquan F",170,IF(Atletas!M304="Paoquan F",171,IF(Atletas!M304="Piguaquan F",172,IF(Atletas!M304="Shaolinquan F",173,IF(Atletas!M304="Tanglangquan F",174,IF(Atletas!M304="Yingzhaoquan F",175,IF(Atletas!M304="Tongbeiquan F",176,IF(Atletas!M304="Wudangquan F",177,IF(Atletas!M304="Outros Estilos F",178,0))))))))))))))))))))))))))))))))))))))))))</f>
        <v/>
      </c>
      <c r="BU313" s="50" t="str">
        <f>IF(Atletas!N304="","",IF(Atletas!X304&lt;&gt;"",10000,0)+(IF(Atletas!B304="Feminino",1000,IF(Atletas!B304="Masculino",2000,""))+(IF(Atletas!N304="Ditangquan A",201,IF(Atletas!N304="Houquan A",202,IF(Atletas!N304="Zuiquan A",203,IF(Atletas!N304="Ditangquan B",204,IF(Atletas!N304="Houquan B",205,IF(Atletas!N304="Zuiquan B",206,IF(Atletas!N304="Ditangquan C",207,IF(Atletas!N304="Houquan C",208,IF(Atletas!N304="Zuiquan C",209,IF(Atletas!N304="Ditangquan D",210,IF(Atletas!N304="Houquan D",211,IF(Atletas!N304="Zuiquan D",212,IF(Atletas!N304="Ditangquan E",213,IF(Atletas!N304="Houquan E",214,IF(Atletas!N304="Zuiquan E",215,IF(Atletas!N304="Ditangquan F",216,IF(Atletas!N304="Houquan F",217,IF(Atletas!N304="Zuiquan F",218,"")))))))))))))))))))))</f>
        <v/>
      </c>
      <c r="BV313" s="50" t="str">
        <f>IF(Atletas!O304="","",IF(Atletas!X304&lt;&gt;"",10000,0)+IF(Atletas!B304="Feminino",1000,IF(Atletas!B304="Masculino",2000,""))+IF(Atletas!O304="Yang A",301,IF(Atletas!O304="Chen A",302,IF(Atletas!O304="Sun A",303,IF(Atletas!O304="Wu A",304,IF(Atletas!O304="Wu-Hao A",305,IF(Atletas!O304="Outro Taijiquan A",306,IF(Atletas!O304="Yang B",307,IF(Atletas!O304="Chen B",308,IF(Atletas!O304="Sun B",309,IF(Atletas!O304="Wu B",310,IF(Atletas!O304="Wu-Hao B",311,IF(Atletas!O304="Outro Taijiquan B",312,IF(Atletas!O304="Yang C",313,IF(Atletas!O304="Chen C",314,IF(Atletas!O304="Sun C",315,IF(Atletas!O304="Wu C",316,IF(Atletas!O304="Wu-Hao C",317,IF(Atletas!O304="Outro Taijiquan C",318,IF(Atletas!O304="Yang D",319,IF(Atletas!O304="Chen D",320,IF(Atletas!O304="Sun D",321,IF(Atletas!O304="Wu D",322,IF(Atletas!O304="Wu-Hao D",323,IF(Atletas!O304="Outro Taijiquan D",324,IF(Atletas!O304="Yang E",325,IF(Atletas!O304="Chen E",326,IF(Atletas!O304="Sun E",327,IF(Atletas!O304="Wu E",328,IF(Atletas!O304="Wu-Hao E",329,IF(Atletas!O304="Outro Taijiquan E",330,IF(Atletas!O304="Yang F",331,IF(Atletas!O304="Chen F",332,IF(Atletas!O304="Sun F",333,IF(Atletas!O304="Wu F",334,IF(Atletas!O304="Wu-Hao F",335,IF(Atletas!O304="Outro Taijiquan F",336,"")))))))))))))))))))))))))))))))))))))</f>
        <v/>
      </c>
      <c r="BW313" s="50" t="str">
        <f>IF(Atletas!P304="","",IF(Atletas!X304&lt;&gt;"",10000,0)+IF(Atletas!B304="Feminino",1000,IF(Atletas!B304="Masculino",2000,""))+IF(OR(Atletas!P304="Yang 26 A",Atletas!P304="Yang 40 A"),401,IF(OR(Atletas!P304="Chen 25 A",Atletas!P304="Chen 36 A",Atletas!P304="Chen 56 A"),402,IF(Atletas!P304="Sun 73 A",403,IF(Atletas!P304="Wu 45 A",404,IF(Atletas!P304="Wu-Hao 46 A",405,IF(OR(Atletas!P304="Taijiquan 16 A",Atletas!P304="Taijiquan 24 A",Atletas!P304="Taijiquan 32 A",Atletas!P304="Taijiquan 42 A"),406,IF(OR(Atletas!P304="Yang 26 B",Atletas!P304="Yang 40 B"),407,IF(OR(Atletas!P304="Chen 25 B",Atletas!P304="Chen 36 B",Atletas!P304="Chen 56 B"),408,IF(Atletas!P304="Sun 73 B",409,IF(Atletas!P304="Wu 45 B",410,IF(Atletas!P304="Wu-Hao 46 B",411,IF(OR(Atletas!P304="Taijiquan 16 B",Atletas!P304="Taijiquan 24 B",Atletas!P304="Taijiquan 32 B",Atletas!P304="Taijiquan 42 B"),412,IF(OR(Atletas!P304="Yang 26 C",Atletas!P304="Yang 40 C"),413,IF(OR(Atletas!P304="Chen 25 C",Atletas!P304="Chen 36 C",Atletas!P304="Chen 56 C"),414,IF(Atletas!P304="Sun 73 C",415,IF(Atletas!P304="Wu 45 C",416,IF(Atletas!P304="Wu-Hao 46 C",417,IF(OR(Atletas!P304="Taijiquan 16 C",Atletas!P304="Taijiquan 24 C",Atletas!P304="Taijiquan 32 C",Atletas!P304="Taijiquan 42 C"),418,0)))))))))))))))))))</f>
        <v/>
      </c>
      <c r="BX313" s="50" t="str">
        <f>IF(Atletas!P304="","",IF(Atletas!X304&lt;&gt;"",10000,0)+IF(Atletas!B304="Feminino",1000,IF(Atletas!B304="Masculino",2000,""))+IF(OR(Atletas!P304="Yang 26 D",Atletas!P304="Yang 40 D"),419,IF(OR(Atletas!P304="Chen 25 D",Atletas!P304="Chen 36 D",Atletas!P304="Chen 56 D"),420,IF(Atletas!P304="Sun 73 D",421,IF(Atletas!P304="Wu 45 D",422,IF(Atletas!P304="Wu-Hao 46 D",423,IF(OR(Atletas!P304="Taijiquan 16 D",Atletas!P304="Taijiquan 24 D",Atletas!P304="Taijiquan 32 D",Atletas!P304="Taijiquan 42 D"),424,IF(OR(Atletas!P304="Yang 26 E",Atletas!P304="Yang 40 E"),425,IF(OR(Atletas!P304="Chen 25 E",Atletas!P304="Chen 36 E",Atletas!P304="Chen 56 E"),426,IF(Atletas!P304="Sun 73 E",427,IF(Atletas!P304="Wu 45 E",428,IF(Atletas!P304="Wu-Hao 46 E",429,IF(OR(Atletas!P304="Taijiquan 16 E",Atletas!P304="Taijiquan 24 E",Atletas!P304="Taijiquan 32 E",Atletas!P304="Taijiquan 42 E"),430,IF(OR(Atletas!P304="Yang 26 F",Atletas!P304="Yang 40 F"),431,IF(OR(Atletas!P304="Chen 25 F",Atletas!P304="Chen 36 F",Atletas!P304="Chen 56 F"),432,IF(Atletas!P304="Sun 73 F",433,IF(Atletas!P304="Wu 45 F",434,IF(Atletas!P304="Wu-Hao 46 F",435,IF(OR(Atletas!P304="Taijiquan 16 F",Atletas!P304="Taijiquan 24 F",Atletas!P304="Taijiquan 32 F",Atletas!P304="Taijiquan 42 F"),436,0)))))))))))))))))))</f>
        <v/>
      </c>
      <c r="BY313" s="50" t="str">
        <f>IF(Atletas!Q304="","",IF(Atletas!X304&lt;&gt;"",10000,0)+IF(Atletas!B304="Feminino",1000,IF(Atletas!B304="Masculino",2000,""))+IF(Atletas!Q304="Xingyiquan A",501,IF(Atletas!Q304="Baguazhang A",502,IF(Atletas!Q304="Outro Estilo Interno A",503,IF(Atletas!Q304="Xingyiquan B",504,IF(Atletas!Q304="Baguazhang B",505,IF(Atletas!Q304="Outro Estilo Interno B",506,IF(Atletas!Q304="Xingyiquan C",507,IF(Atletas!Q304="Baguazhang C",508,IF(Atletas!Q304="Outro Estilo Interno C",509,IF(Atletas!Q304="Xingyiquan D",510,IF(Atletas!Q304="Baguazhang D",511,IF(Atletas!Q304="Outro Estilo Interno D",512,IF(Atletas!Q304="Xingyiquan E",513,IF(Atletas!Q304="Baguazhang E",514,IF(Atletas!Q304="Outro Estilo Interno E",515,IF(Atletas!Q304="Xingyiquan F",516,IF(Atletas!Q304="Baguazhang F",517,IF(Atletas!Q304="Outro Estilo Interno F",518, "")))))))))))))))))))</f>
        <v/>
      </c>
      <c r="BZ313" s="50" t="str">
        <f>IF(Atletas!R304="","",IF(Atletas!X304&lt;&gt;"",10000,0)+IF(Atletas!B304="Feminino",1000,IF(Atletas!B304="Masculino",2000,""))+IF(Atletas!R304="Dao A",601,IF(Atletas!R304="Jian A",602,IF(Atletas!R304="Bishou A",603,IF(Atletas!R304="Shanzi A",604,IF(Atletas!R304="Outra Arma Curta A",605,IF(Atletas!R304="Dao B",606,IF(Atletas!R304="Jian B",607,IF(Atletas!R304="Bishou B",608,IF(Atletas!R304="Shanzi B",609,IF(Atletas!R304="Outra Arma Curta B",610,IF(Atletas!R304="Dao C",611,IF(Atletas!R304="Jian C",612,IF(Atletas!R304="Bishou C",613,IF(Atletas!R304="Shanzi C",614,IF(Atletas!R304="Outra Arma Curta C",615,IF(Atletas!R304="Dao D",616,IF(Atletas!R304="Jian D",617,IF(Atletas!R304="Bishou D",618,IF(Atletas!R304="Shanzi D",619,IF(Atletas!R304="Outra Arma Curta D",620,IF(Atletas!R304="Dao E",621,IF(Atletas!R304="Jian E",622,IF(Atletas!R304="Bishou E",623,IF(Atletas!R304="Shanzi E",624,IF(Atletas!R304="Outra Arma Curta E",625,IF(Atletas!R304="Dao F",626,IF(Atletas!R304="Jian F",627,IF(Atletas!R304="Bishou F",628,IF(Atletas!R304="Shanzi F",629,IF(Atletas!R304="Outra Arma Curta F",630, "")))))))))))))))))))))))))))))))</f>
        <v/>
      </c>
      <c r="CA313" s="50" t="str">
        <f>IF(Atletas!S304="","",IF(Atletas!X304&lt;&gt;"",10000,0)+IF(Atletas!B304="Feminino",1000,IF(Atletas!B304="Masculino",2000,""))+IF(Atletas!S304="Gun A",701,IF(Atletas!S304="Qiang A",702,IF(Atletas!S304="Pudao / Guandao A",703,IF(Atletas!S304="Outra Arma Longa A",704,IF(Atletas!S304="Gun B",705,IF(Atletas!S304="Qiang B",706,IF(Atletas!S304="Pudao / Guandao B",707,IF(Atletas!S304="Outra Arma Longa B",708,IF(Atletas!S304="Gun C",709,IF(Atletas!S304="Qiang C",710,IF(Atletas!S304="Pudao / Guandao C",711,IF(Atletas!S304="Outra Arma Longa C",712,IF(Atletas!S304="Gun D",713,IF(Atletas!S304="Qiang D",714,IF(Atletas!S304="Pudao / Guandao D",715,IF(Atletas!S304="Outra Arma Longa D",716,IF(Atletas!S304="Gun E",717,IF(Atletas!S304="Qiang E",718,IF(Atletas!S304="Pudao / Guandao E",719,IF(Atletas!S304="Outra Arma Longa E",720,IF(Atletas!S304="Gun F",721,IF(Atletas!S304="Qiang F",722,IF(Atletas!S304="Pudao / Guandao F",723,IF(Atletas!S304="Outra Arma Longa F",724,"")))))))))))))))))))))))))</f>
        <v/>
      </c>
      <c r="CB313" s="50" t="str">
        <f>IF(Atletas!T304="","",IF(Atletas!X304&lt;&gt;"",10000,0)+IF(Atletas!B304="Feminino",1000,IF(Atletas!B304="Masculino",2000,""))+IF(Atletas!T304="Outra Arma Dupla A",801,IF(Atletas!T304="Arma Maleável A",802,IF(Atletas!T304="Outra Arma Dupla B",803,IF(Atletas!T304="Arma Maleável B",804,IF(Atletas!T304="Outra Arma Dupla C",805,IF(Atletas!T304="Arma Maleável C",806,IF(Atletas!T304="Outra Arma Dupla D",807,IF(Atletas!T304="Arma Maleável D",808,IF(Atletas!T304="Outra Arma Dupla E",809,IF(Atletas!T304="Arma Maleável E",810,IF(Atletas!T304="Outra Arma Dupla F",811,IF(Atletas!T304="Arma Maleável F",812,IF(Atletas!T304="Shuangdao A",813,IF(Atletas!T304="Shuangdao B",814,IF(Atletas!T304="Shuangdao C",815,IF(Atletas!T304="Shuangdao D",816,IF(Atletas!T304="Shuangdao E",817,IF(Atletas!T304="Shuangdao F",818,"")))))))))))))))))))</f>
        <v/>
      </c>
      <c r="CC313" s="50" t="str">
        <f>IF(Atletas!U304="","",IF(Atletas!X304&lt;&gt;"",10000,0)+IF(Atletas!B304="Feminino",1000,IF(Atletas!B304="Masculino",2000,""))+IF(OR(Atletas!U304="Taijijian Yang A",Atletas!U304="Taijijian Yang Standard A"),901,IF(OR(Atletas!U304="Taijijian Chen A", Atletas!U304="Taijijian Chen Standard A"),902,IF(Atletas!U304="Taijijian Sun A",903,IF(Atletas!U304="Taijijian Wu A",904,IF(Atletas!U304="Taijijian Wu-Hao A",905,IF(OR(Atletas!U304="Taijijian 32 A",Atletas!U304="Taijijian 42 A"),906,IF(OR(Atletas!U304="Taijijian Yang B",Atletas!U304="Taijijian Yang Standard B"),907,IF(OR(Atletas!U304="Taijijian Chen B", Atletas!U304="Taijijian Chen Standard B"),908,IF(Atletas!U304="Taijijian Sun B",909,IF(Atletas!U304="Taijijian Wu B",910,IF(Atletas!U304="Taijijian Wu-Hao B",911,IF(OR(Atletas!U304="Taijijian 32 B",Atletas!U304="Taijijian 42 B"),912,IF(OR(Atletas!U304="Taijijian Yang C",Atletas!U304="Taijijian Yang Standard C"),913,IF(OR(Atletas!U304="Taijijian Chen C", Atletas!U304="Taijijian Chen Standard C"),914,IF(Atletas!U304="Taijijian Sun C",915,IF(Atletas!U304="Taijijian Wu C",916,IF(Atletas!U304="Taijijian Wu-Hao C",917,IF(OR(Atletas!U304="Taijijian 32 C",Atletas!U304="Taijijian 42 C"),918,IF(OR(Atletas!U304="Taijijian Yang D",Atletas!U304="Taijijian Yang Standard D"),919,IF(OR(Atletas!U304="Taijijian Chen D", Atletas!U304="Taijijian Chen Standard D"),920,IF(Atletas!U304="Taijijian Sun D",921,IF(Atletas!U304="Taijijian Wu D",922,IF(Atletas!U304="Taijijian Wu-Hao D",923,IF(OR(Atletas!U304="Taijijian 32 D",Atletas!U304="Taijijian 42 D"),924,IF(OR(Atletas!U304="Taijijian Yang E",Atletas!U304="Taijijian Yang Standard E"),925,IF(OR(Atletas!U304="Taijijian Chen E", Atletas!U304="Taijijian Chen Standard E"),926,IF(Atletas!U304="Taijijian Sun E",927,IF(Atletas!U304="Taijijian Wu E",928,IF(Atletas!U304="Taijijian Wu-Hao E",929,IF(OR(Atletas!U304="Taijijian 32 E",Atletas!U304="Taijijian 42 E"),930,IF(OR(Atletas!U304="Taijijian Yang F",Atletas!U304="Taijijian Yang Standard F"),931,IF(OR(Atletas!U304="Taijijian Chen F", Atletas!U304="Taijijian Chen Standard F"),932,IF(Atletas!U304="Taijijian Sun F",933,IF(Atletas!U304="Taijijian Wu F",934,IF(Atletas!U304="Taijijian Wu-Hao F",935,IF(OR(Atletas!U304="Taijijian 32 F",Atletas!U304="Taijijian 42 F"),936,"")))))))))))))))))))))))))))))))))))))</f>
        <v/>
      </c>
      <c r="CD313" s="50" t="str">
        <f>IF(Atletas!V304="","",IF(Atletas!X304&lt;&gt;"",10000,0)+IF(Atletas!B304="Feminino",1000,IF(Atletas!B304="Masculino",2000,""))+IF(Atletas!V304="Taijidao A",937,IF(Atletas!V304="TaijiShanzi A",938,IF(Atletas!V304="Taijiqiang A",939,IF(Atletas!V304="Bagua de Arma A",940,IF(Atletas!V304="Xingyi de Arma A",941,IF(Atletas!V304="Taijidao B",942,IF(Atletas!V304="TaijiShanzi B",943,IF(Atletas!V304="Taijiqiang B",944,IF(Atletas!V304="Bagua de Arma B",945,IF(Atletas!V304="Xingyi de Arma B",946,IF(Atletas!V304="Taijidao C",947,IF(Atletas!V304="TaijiShanzi C",948,IF(Atletas!V304="Taijiqiang C",949,IF(Atletas!V304="Bagua de Arma C",950,IF(Atletas!V304="Xingyi de Arma C",951,IF(Atletas!V304="Taijidao D",952,IF(Atletas!V304="TaijiShanzi D",953,IF(Atletas!V304="Taijiqiang D",954,IF(Atletas!V304="Bagua de Arma D",955,IF(Atletas!V304="Xingyi de Arma D",956,IF(Atletas!V304="Taijidao E",957,IF(Atletas!V304="TaijiShanzi E",958,IF(Atletas!V304="Taijiqiang E",959,IF(Atletas!V304="Bagua de Arma E",960,IF(Atletas!V304="Xingyi de Arma E",961,IF(Atletas!V304="Taijidao F",962,IF(Atletas!V304="TaijiShanzi F",963,IF(Atletas!V304="Taijiqiang F",964,IF(Atletas!V304="Bagua de Arma F",965,IF(Atletas!V304="Xingyi de Arma F",966,"")))))))))))))))))))))))))))))))</f>
        <v/>
      </c>
      <c r="CE313" s="66" t="str">
        <f>IF(CF313&lt;&gt;"","Taijijian Yang C","")</f>
        <v/>
      </c>
      <c r="CF313" s="6" t="str">
        <f>IF(COUNTIF(BR:CD,1913)&gt;0,COUNTIF(BR:CD,1913),"")</f>
        <v/>
      </c>
      <c r="CG313" s="66" t="str">
        <f>IF(CH313&lt;&gt;"","Taijijian Yang C","")</f>
        <v/>
      </c>
      <c r="CH313" s="66" t="str">
        <f>IF(COUNTIF(BR:CD,2913)&gt;0,COUNTIF(BR:CD,2913),"")</f>
        <v/>
      </c>
      <c r="CI313" s="66" t="str">
        <f>IF(CJ314&lt;&gt;"","Taijijian Chen E","")</f>
        <v/>
      </c>
      <c r="CJ313" s="66" t="str">
        <f>IF(COUNTIF(BR:CD,11925)&gt;0,COUNTIF(BR:CD,11925),"")</f>
        <v/>
      </c>
      <c r="CK313" s="66" t="str">
        <f>IF(CL313&lt;&gt;"","Taijijian Yang E","")</f>
        <v/>
      </c>
      <c r="CL313" s="66" t="str">
        <f>IF(COUNTIF(BR:CD,12925)&gt;0,COUNTIF(BR:CD,12925),"")</f>
        <v/>
      </c>
      <c r="CM313" s="50" t="str">
        <f xml:space="preserve"> IF(Atletas!W304="","",IF(Atletas!W304="Duilian de Mãos BC - Equipe 1",1,IF(Atletas!W304="Duilian de Mãos BC - Equipe 2",2,IF(Atletas!W304="Duilian de Armas BC - Equipe 1",3,IF(Atletas!W304="Duilian de Armas BC - Equipe 2",4,IF(Atletas!W304="Duilian de Mãos DE - Equipe 1",5,IF(Atletas!W304="Duilian de Mãos DE - Equipe 2",6,IF(Atletas!W304="Duilian de Armas DE - Equipe 1",7,IF(Atletas!W304="Duilian de Armas DE - Equipe 2",8,IF(Atletas!W304="Duilian de Tuishou - Equipe 1",9,IF(Atletas!W304="Duilian de Tuishou - Equipe 2",10,IF(Atletas!W304="Grupo Externo ABC - Equipe 1",11,IF(Atletas!W304="Grupo Externo ABC - Equipe 2",12,IF(Atletas!W304="Grupo Interno ABC - Equipe 1",13,IF(Atletas!W304="Grupo Interno ABC - Equipe 2",14,IF(Atletas!W304="Grupo Externo DEF - Equipe 1",15,IF(Atletas!W304="Grupo Externo DEF - Equipe 2",16,IF(Atletas!W304="Grupo Interno DEF - Equipe 1",17,IF(Atletas!W304="Grupo Interno DEF - Equipe 2",18,"")))))))))))))))))))</f>
        <v/>
      </c>
    </row>
    <row r="314" spans="40:91">
      <c r="AN314" s="52" t="str">
        <f>IF(Atletas!D305="","",IF(Atletas!B305="Feminino",100,IF(Atletas!B305="Masculino",200,""))+(IF(Atletas!D305="Kids 30kg",1,IF(Atletas!D305="Kids 32kg",2, IF(Atletas!D305="Kids 34kg",3,IF(Atletas!D305="Kids 36kg",4,IF(Atletas!D305="Kids 39kg",5,IF(Atletas!D305="Kids 42kg",6,IF(Atletas!D305="Kids 45kg",7, IF(Atletas!D305="Infantil 39kg",8,IF(Atletas!D305="Infantil 42kg",9,IF(Atletas!D305="Infantil 45kg",10,IF(Atletas!D305="Infantil 48kg",11,IF(Atletas!D305="Infantil 52kg",12,IF(Atletas!D305="Infantil 56kg",13,IF(Atletas!D305="Infantil 60kg",14,IF(Atletas!D305="Juvenil 48kg",15,IF(Atletas!D305="Juvenil 52kg",16,IF(Atletas!D305="Juvenil 56kg",17,IF(Atletas!D305="Juvenil 60kg",18,IF(Atletas!D305="Juvenil 65kg",19,IF(Atletas!D305="Juvenil 70kg",20,IF(Atletas!D305="Juvenil 75kg",21,IF(Atletas!D305="Juvenil 80kg",22, IF(Atletas!D305="Juvenil 85kg",23,IF(Atletas!D305="Adulto 48kg",24,IF(Atletas!D305="Adulto 52kg",25,IF(Atletas!D305="Adulto 56kg",26,IF(Atletas!D305="Adulto 60kg",27,IF(Atletas!D305="Adulto 65kg",28,IF(Atletas!D305="Adulto 70kg",29,IF(Atletas!D305="Adulto 75kg",30,IF(Atletas!D305="Adulto 80kg",31,IF(Atletas!D305="Adulto 85kg",32,IF(Atletas!D305="Adulto 90kg",33,IF(Atletas!D305="Adulto 100kg",34, IF(Atletas!D305="Adulto +100kg",35,"")))))))))))))))))))))))))))))))))))))</f>
        <v/>
      </c>
      <c r="AS314" s="6" t="str">
        <f>IF(Atletas!E305="","",IF(Atletas!B305="Feminino",100,IF(Atletas!B305="Masculino",200,""))+(IF(Atletas!E305="Juvenil 44kg",1,IF(Atletas!E305="Juvenil 48kg",2,IF(Atletas!E305="Juvenil 52kg",3,IF(Atletas!E305="Juvenil 56kg",4,IF(Atletas!E305="Juvenil 60kg",5,IF(Atletas!E305="Juvenil 65kg",6,IF(Atletas!E305="Juvenil 70kg",7,IF(Atletas!E305="Juvenil 75kg",8,IF(Atletas!E305="Juvenil 82kg",9,IF(Atletas!E305="Juvenil 90kg",10,IF(Atletas!E305="Juvenil 100kg",11,IF(Atletas!E305="Adulto 48kg",12,IF(Atletas!E305="Adulto 52kg",13,IF(Atletas!E305="Adulto 56kg",14,IF(Atletas!E305="Adulto 60kg",15,IF(Atletas!E305="Adulto 65kg",16,IF(Atletas!E305="Adulto 70kg",17,IF(Atletas!E305="Adulto 75kg",18,IF(Atletas!E305="Adulto 82kg",19,IF(Atletas!E305="Adulto 90kg",20,IF(Atletas!E305="Adulto 100kg",21,IF(Atletas!E305="Adulto +100kg",22,""))))))))))))))))))))))))</f>
        <v/>
      </c>
      <c r="AX314" s="6" t="str">
        <f>IF(Atletas!F305="","",IF(Atletas!B305="Feminino",100,IF(Atletas!B305="Masculino",200,""))+(IF(Atletas!F305="Adulto 48kg",1,IF(Atletas!F305="Adulto 56kg",2,IF(Atletas!F305="Adulto 65kg",3,IF(Atletas!F305="Adulto 75kg",4,IF(Atletas!F305="Adulto +75kg",5,IF(Atletas!F305="Adulto 52kg",6,IF(Atletas!F305="Adulto 60kg",7,IF(Atletas!F305="Adulto 70kg",8,IF(Atletas!F305="Adulto 80kg",9,IF(Atletas!F305="Adulto 90kg",10,IF(Atletas!F305="Adulto +90kg",11,"")))))))))))))</f>
        <v/>
      </c>
      <c r="BC314" s="6" t="str">
        <f>IF(Atletas!G305="","",IF(Atletas!B305="Feminino",10,IF(Atletas!B305="Masculino",20,""))+(IF(Atletas!G305="Baduanjin A",1,IF(Atletas!G305="Baduanjin B",2))))</f>
        <v/>
      </c>
      <c r="BF314" s="52" t="str">
        <f>IF(Atletas!H305="","",IF(Atletas!B305="Feminino",100,IF(Atletas!B305="Masculino",200,""))+(IF(Atletas!H305="Changquan Mirim",1,IF(Atletas!H305="Nanquan Mirim",2,IF(Atletas!H305="Taijiquan Mirim",3,IF(Atletas!H305="Changquan Grupo C",4,IF(Atletas!H305="Nanquan Grupo C",5,IF(Atletas!H305="Taijiquan Grupo C",6,IF(Atletas!H305="Changquan Grupo B",7,IF(Atletas!H305="Nanquan Grupo B",8,IF(Atletas!H305="Taijiquan Grupo B",9,IF(Atletas!H305="Changquan Grupo A",10,IF(Atletas!H305="Nanquan Grupo A",11,IF(Atletas!H305="Taijiquan Grupo A",12,IF(Atletas!H305="Changquan Opcional",13,IF(Atletas!H305="Nanquan Opcional",14,IF(Atletas!H305="Taijiquan Opcional",15,IF(Atletas!H305="Changquan Adulto",16,IF(Atletas!H305="Nanquan Adulto",17,IF(Atletas!H305="Taijiquan Adulto",18,""))))))))))))))))))))</f>
        <v/>
      </c>
      <c r="BG314" s="52" t="str">
        <f>IF(Atletas!I305="","",IF(Atletas!B305="Feminino",100,IF(Atletas!B305="Masculino",200,""))+(IF(Atletas!I305="Daoshu Mirim",19,IF(Atletas!I305="Jianshu Mirim",20,IF(Atletas!I305="Nandao Mirim",21,IF(Atletas!I305="Taijijian Mirim",22,IF(Atletas!I305="Daoshu Grupo C",23,IF(Atletas!I305="Jianshu Grupo C",24,IF(Atletas!I305="Nandao Grupo C",25,IF(Atletas!I305="Taijijian Grupo C",26,IF(Atletas!I305="Daoshu Grupo B",27,IF(Atletas!I305="Jianshu Grupo B",28,IF(Atletas!I305="Nandao Grupo B",29,IF(Atletas!I305="Taijijian Grupo B",30,IF(Atletas!I305="Daoshu Grupo A",31,IF(Atletas!I305="Jianshu Grupo A",32,IF(Atletas!I305="Nandao Grupo A",33,IF(Atletas!I305="Taijijian Grupo A",34,IF(Atletas!I305="Daoshu Opcional",35,IF(Atletas!I305="Jianshu Opcional",36,IF(Atletas!I305="Nandao Opcional",37,IF(Atletas!I305="Taijijian Opcional",38,IF(Atletas!I305="Daoshu Adulto",39,IF(Atletas!I305="Jianshu Adulto",40,IF(Atletas!I305="Nandao Adulto",41,IF(Atletas!I305="Taijijian Adulto",42,""))))))))))))))))))))))))))</f>
        <v/>
      </c>
      <c r="BH314" s="52" t="str">
        <f>IF(Atletas!J305="","",IF(Atletas!B305="Feminino",100,IF(Atletas!B305="Masculino",200,""))+(IF(Atletas!J305="Gunshu Mirim",43,IF(Atletas!J305="Qiangshu Mirim",44,IF(Atletas!J305="Nangun Mirim",45,IF(Atletas!J305="Gunshu Grupo C",46,IF(Atletas!J305="Qiangshu Grupo C",47,IF(Atletas!J305="Nangun Grupo C",48,IF(Atletas!J305="Gunshu Grupo B",49,IF(Atletas!J305="Qiangshu Grupo B",50,IF(Atletas!J305="Nangun Grupo B",51,IF(Atletas!J305="Gunshu Grupo A",52,IF(Atletas!J305="Qiangshu Grupo A",53,IF(Atletas!J305="Nangun Grupo A",54,IF(Atletas!J305="Gunshu Opcional",55,IF(Atletas!J305="Qiangshu Opcional",56,IF(Atletas!J305="Nangun Opcional",57,IF(Atletas!J305="Gunshu Adulto",58,IF(Atletas!J305="Qiangshu Adulto",59,IF(Atletas!J305="Nangun Adulto",60,IF(Atletas!J305="Taijishan Grupo B",61,IF(Atletas!J305="Taijishan Grupo A",62,""))))))))))))))))))))))</f>
        <v/>
      </c>
      <c r="BM314" s="50" t="str">
        <f>IF(Atletas!K305="","",IF(Atletas!B305="Feminino",100,IF(Atletas!B305="Masculino",200,""))+(IF(Atletas!K305="Equipe 1 Grupo B",1,IF(Atletas!K305="Equipe 2 Grupo B",2,IF(Atletas!K305="Equipe 1 Grupo A",3,IF(Atletas!K305="Equipe 2 Grupo A",4,IF(Atletas!K305="Equipe 1 Adulto",5,IF(Atletas!K305="Equipe 2 Adulto",6,""))))))))</f>
        <v/>
      </c>
      <c r="BR314" s="50" t="str">
        <f>IF(Atletas!L305="","",IF(Atletas!X305&lt;&gt;"",10000,0)+(IF(Atletas!B305="Feminino",1000,IF(Atletas!B305="Masculino",2000,""))+IF(Atletas!L305="Choylayfut A",1,IF(Atletas!L305="Hunggar A",2,IF(Atletas!L305="Wuzuquan A",3,IF(Atletas!L305="Wingchun A",4,IF(Atletas!L305="Outra Mão de Sul A",5,IF(Atletas!L305="Choylayfut B",6,IF(Atletas!L305="Hunggar B",7,IF(Atletas!L305="Wuzuquan B",8,IF(Atletas!L305="Wingchun B",9,IF(Atletas!L305="Outra Mão de Sul B",10,IF(Atletas!L305="Choylayfut C",11,IF(Atletas!L305="Hunggar C",12,IF(Atletas!L305="Wuzuquan C",13,IF(Atletas!L305="Wingchun C",14,IF(Atletas!L305="Outra Mão de Sul C",15,IF(Atletas!L305="Choylayfut D",16,IF(Atletas!L305="Hunggar D",17,IF(Atletas!L305="Wuzuquan D",18,IF(Atletas!L305="Wingchun D",19,IF(Atletas!L305="Outra Mão de Sul D",20,IF(Atletas!L305="Choylayfut E",21,IF(Atletas!L305="Hunggar E",22,IF(Atletas!L305="Wuzuquan E",23,IF(Atletas!L305="Wingchun E",24,IF(Atletas!L305="Outra Mão de Sul E",25,IF(Atletas!L305="Choylayfut F",26,IF(Atletas!L305="Hunggar F",27,IF(Atletas!L305="Wuzuquan F",28,IF(Atletas!L305="Wingchun F",29,IF(Atletas!L305="Outra Mão de Sul F",30,IF(Atletas!L305="Dishuquan A",31,IF(Atletas!L305="Dishuquan B",32,IF(Atletas!L305="Dishuquan C",33,IF(Atletas!L305="Dishuquan D",34,IF(Atletas!L305="Dishuquan E",35,IF(Atletas!L305="Dishuquan F",36,""))))))))))))))))))))))))))))))))))))))</f>
        <v/>
      </c>
      <c r="BS314" s="50" t="str">
        <f>IF(Atletas!M305="","",IF(Atletas!X305&lt;&gt;"",10000,0)+(IF(Atletas!B305="Feminino",1000,IF(Atletas!B305="Masculino",2000,""))+(IF(Atletas!M305="Chaquan A",101,IF(Atletas!M305="Emeiquan A",102,IF(Atletas!M305="Fanziquan A",103,IF(Atletas!M305="Huaquan A",104,IF(Atletas!M305="Hongquan A",105,IF(Atletas!M305="Paoquan A",106,IF(Atletas!M305="Piguaquan A",107,IF(Atletas!M305="Shaolinquan A",108,IF(Atletas!M305="Tanglangquan A",109,IF(Atletas!M305="Yingzhaoquan A",110,IF(Atletas!M305="Tongbeiquan A",111,IF(Atletas!M305="Wudangquan A",112,IF(Atletas!M305="Outros Estilos A",113,IF(Atletas!M305="Chaquan B",114,IF(Atletas!M305="Emeiquan B",115,IF(Atletas!M305="Fanziquan B",116,IF(Atletas!M305="Huaquan B",117,IF(Atletas!M305="Hongquan B",118,IF(Atletas!M305="Paoquan B",119,IF(Atletas!M305="Piguaquan B",120,IF(Atletas!M305="Shaolinquan B",121,IF(Atletas!M305="Tanglangquan B",122,IF(Atletas!M305="Yingzhaoquan B",123,IF(Atletas!M305="Tongbeiquan B",124,IF(Atletas!M305="Wudangquan B",125,IF(Atletas!M305="Outros Estilos B",126,IF(Atletas!M305="Chaquan C",127,IF(Atletas!M305="Emeiquan C",128,IF(Atletas!M305="Fanziquan C",129,IF(Atletas!M305="Huaquan C",130,IF(Atletas!M305="Hongquan C",131,IF(Atletas!M305="Paoquan C",132,IF(Atletas!M305="Piguaquan C",133,IF(Atletas!M305="Shaolinquan C",134,IF(Atletas!M305="Tanglangquan C",135,IF(Atletas!M305="Yingzhaoquan C",136,IF(Atletas!M305="Tongbeiquan C",137,IF(Atletas!M305="Wudangquan C",138,IF(Atletas!M305="Outros Estilos C",139,0))))))))))))))))))))))))))))))))))))))))))</f>
        <v/>
      </c>
      <c r="BT314" s="50" t="str">
        <f>IF(Atletas!M305="","",IF(Atletas!X305&lt;&gt;"",10000,0)+(IF(Atletas!B305="Feminino",1000,IF(Atletas!B305="Masculino",2000,""))+(IF(Atletas!M305="Chaquan D",140,IF(Atletas!M305="Emeiquan D",141,IF(Atletas!M305="Fanziquan D",142,IF(Atletas!M305="Huaquan D",143,IF(Atletas!M305="Hongquan D",144,IF(Atletas!M305="Paoquan D",145,IF(Atletas!M305="Piguaquan D",146,IF(Atletas!M305="Shaolinquan D",147,IF(Atletas!M305="Tanglangquan D",148,IF(Atletas!M305="Yingzhaoquan D",149,IF(Atletas!M305="Tongbeiquan D",150,IF(Atletas!M305="Wudangquan D",151,IF(Atletas!M305="Outros Estilos D",152,IF(Atletas!M305="Chaquan E",153,IF(Atletas!M305="Emeiquan E",154,IF(Atletas!M305="Fanziquan E",155,IF(Atletas!M305="Huaquan E",156,IF(Atletas!M305="Hongquan E",157,IF(Atletas!M305="Paoquan E",158,IF(Atletas!M305="Piguaquan E",159,IF(Atletas!M305="Shaolinquan E",160,IF(Atletas!M305="Tanglangquan E",161,IF(Atletas!M305="Yingzhaoquan E",162,IF(Atletas!M305="Tongbeiquan E",163,IF(Atletas!M305="Wudangquan E",164,IF(Atletas!M305="Outros Estilos E",165,IF(Atletas!M305="Chaquan F",166,IF(Atletas!M305="Emeiquan F",167,IF(Atletas!M305="Fanziquan F",168,IF(Atletas!M305="Huaquan F",169,IF(Atletas!M305="Hongquan F",170,IF(Atletas!M305="Paoquan F",171,IF(Atletas!M305="Piguaquan F",172,IF(Atletas!M305="Shaolinquan F",173,IF(Atletas!M305="Tanglangquan F",174,IF(Atletas!M305="Yingzhaoquan F",175,IF(Atletas!M305="Tongbeiquan F",176,IF(Atletas!M305="Wudangquan F",177,IF(Atletas!M305="Outros Estilos F",178,0))))))))))))))))))))))))))))))))))))))))))</f>
        <v/>
      </c>
      <c r="BU314" s="50" t="str">
        <f>IF(Atletas!N305="","",IF(Atletas!X305&lt;&gt;"",10000,0)+(IF(Atletas!B305="Feminino",1000,IF(Atletas!B305="Masculino",2000,""))+(IF(Atletas!N305="Ditangquan A",201,IF(Atletas!N305="Houquan A",202,IF(Atletas!N305="Zuiquan A",203,IF(Atletas!N305="Ditangquan B",204,IF(Atletas!N305="Houquan B",205,IF(Atletas!N305="Zuiquan B",206,IF(Atletas!N305="Ditangquan C",207,IF(Atletas!N305="Houquan C",208,IF(Atletas!N305="Zuiquan C",209,IF(Atletas!N305="Ditangquan D",210,IF(Atletas!N305="Houquan D",211,IF(Atletas!N305="Zuiquan D",212,IF(Atletas!N305="Ditangquan E",213,IF(Atletas!N305="Houquan E",214,IF(Atletas!N305="Zuiquan E",215,IF(Atletas!N305="Ditangquan F",216,IF(Atletas!N305="Houquan F",217,IF(Atletas!N305="Zuiquan F",218,"")))))))))))))))))))))</f>
        <v/>
      </c>
      <c r="BV314" s="50" t="str">
        <f>IF(Atletas!O305="","",IF(Atletas!X305&lt;&gt;"",10000,0)+IF(Atletas!B305="Feminino",1000,IF(Atletas!B305="Masculino",2000,""))+IF(Atletas!O305="Yang A",301,IF(Atletas!O305="Chen A",302,IF(Atletas!O305="Sun A",303,IF(Atletas!O305="Wu A",304,IF(Atletas!O305="Wu-Hao A",305,IF(Atletas!O305="Outro Taijiquan A",306,IF(Atletas!O305="Yang B",307,IF(Atletas!O305="Chen B",308,IF(Atletas!O305="Sun B",309,IF(Atletas!O305="Wu B",310,IF(Atletas!O305="Wu-Hao B",311,IF(Atletas!O305="Outro Taijiquan B",312,IF(Atletas!O305="Yang C",313,IF(Atletas!O305="Chen C",314,IF(Atletas!O305="Sun C",315,IF(Atletas!O305="Wu C",316,IF(Atletas!O305="Wu-Hao C",317,IF(Atletas!O305="Outro Taijiquan C",318,IF(Atletas!O305="Yang D",319,IF(Atletas!O305="Chen D",320,IF(Atletas!O305="Sun D",321,IF(Atletas!O305="Wu D",322,IF(Atletas!O305="Wu-Hao D",323,IF(Atletas!O305="Outro Taijiquan D",324,IF(Atletas!O305="Yang E",325,IF(Atletas!O305="Chen E",326,IF(Atletas!O305="Sun E",327,IF(Atletas!O305="Wu E",328,IF(Atletas!O305="Wu-Hao E",329,IF(Atletas!O305="Outro Taijiquan E",330,IF(Atletas!O305="Yang F",331,IF(Atletas!O305="Chen F",332,IF(Atletas!O305="Sun F",333,IF(Atletas!O305="Wu F",334,IF(Atletas!O305="Wu-Hao F",335,IF(Atletas!O305="Outro Taijiquan F",336,"")))))))))))))))))))))))))))))))))))))</f>
        <v/>
      </c>
      <c r="BW314" s="50" t="str">
        <f>IF(Atletas!P305="","",IF(Atletas!X305&lt;&gt;"",10000,0)+IF(Atletas!B305="Feminino",1000,IF(Atletas!B305="Masculino",2000,""))+IF(OR(Atletas!P305="Yang 26 A",Atletas!P305="Yang 40 A"),401,IF(OR(Atletas!P305="Chen 25 A",Atletas!P305="Chen 36 A",Atletas!P305="Chen 56 A"),402,IF(Atletas!P305="Sun 73 A",403,IF(Atletas!P305="Wu 45 A",404,IF(Atletas!P305="Wu-Hao 46 A",405,IF(OR(Atletas!P305="Taijiquan 16 A",Atletas!P305="Taijiquan 24 A",Atletas!P305="Taijiquan 32 A",Atletas!P305="Taijiquan 42 A"),406,IF(OR(Atletas!P305="Yang 26 B",Atletas!P305="Yang 40 B"),407,IF(OR(Atletas!P305="Chen 25 B",Atletas!P305="Chen 36 B",Atletas!P305="Chen 56 B"),408,IF(Atletas!P305="Sun 73 B",409,IF(Atletas!P305="Wu 45 B",410,IF(Atletas!P305="Wu-Hao 46 B",411,IF(OR(Atletas!P305="Taijiquan 16 B",Atletas!P305="Taijiquan 24 B",Atletas!P305="Taijiquan 32 B",Atletas!P305="Taijiquan 42 B"),412,IF(OR(Atletas!P305="Yang 26 C",Atletas!P305="Yang 40 C"),413,IF(OR(Atletas!P305="Chen 25 C",Atletas!P305="Chen 36 C",Atletas!P305="Chen 56 C"),414,IF(Atletas!P305="Sun 73 C",415,IF(Atletas!P305="Wu 45 C",416,IF(Atletas!P305="Wu-Hao 46 C",417,IF(OR(Atletas!P305="Taijiquan 16 C",Atletas!P305="Taijiquan 24 C",Atletas!P305="Taijiquan 32 C",Atletas!P305="Taijiquan 42 C"),418,0)))))))))))))))))))</f>
        <v/>
      </c>
      <c r="BX314" s="50" t="str">
        <f>IF(Atletas!P305="","",IF(Atletas!X305&lt;&gt;"",10000,0)+IF(Atletas!B305="Feminino",1000,IF(Atletas!B305="Masculino",2000,""))+IF(OR(Atletas!P305="Yang 26 D",Atletas!P305="Yang 40 D"),419,IF(OR(Atletas!P305="Chen 25 D",Atletas!P305="Chen 36 D",Atletas!P305="Chen 56 D"),420,IF(Atletas!P305="Sun 73 D",421,IF(Atletas!P305="Wu 45 D",422,IF(Atletas!P305="Wu-Hao 46 D",423,IF(OR(Atletas!P305="Taijiquan 16 D",Atletas!P305="Taijiquan 24 D",Atletas!P305="Taijiquan 32 D",Atletas!P305="Taijiquan 42 D"),424,IF(OR(Atletas!P305="Yang 26 E",Atletas!P305="Yang 40 E"),425,IF(OR(Atletas!P305="Chen 25 E",Atletas!P305="Chen 36 E",Atletas!P305="Chen 56 E"),426,IF(Atletas!P305="Sun 73 E",427,IF(Atletas!P305="Wu 45 E",428,IF(Atletas!P305="Wu-Hao 46 E",429,IF(OR(Atletas!P305="Taijiquan 16 E",Atletas!P305="Taijiquan 24 E",Atletas!P305="Taijiquan 32 E",Atletas!P305="Taijiquan 42 E"),430,IF(OR(Atletas!P305="Yang 26 F",Atletas!P305="Yang 40 F"),431,IF(OR(Atletas!P305="Chen 25 F",Atletas!P305="Chen 36 F",Atletas!P305="Chen 56 F"),432,IF(Atletas!P305="Sun 73 F",433,IF(Atletas!P305="Wu 45 F",434,IF(Atletas!P305="Wu-Hao 46 F",435,IF(OR(Atletas!P305="Taijiquan 16 F",Atletas!P305="Taijiquan 24 F",Atletas!P305="Taijiquan 32 F",Atletas!P305="Taijiquan 42 F"),436,0)))))))))))))))))))</f>
        <v/>
      </c>
      <c r="BY314" s="50" t="str">
        <f>IF(Atletas!Q305="","",IF(Atletas!X305&lt;&gt;"",10000,0)+IF(Atletas!B305="Feminino",1000,IF(Atletas!B305="Masculino",2000,""))+IF(Atletas!Q305="Xingyiquan A",501,IF(Atletas!Q305="Baguazhang A",502,IF(Atletas!Q305="Outro Estilo Interno A",503,IF(Atletas!Q305="Xingyiquan B",504,IF(Atletas!Q305="Baguazhang B",505,IF(Atletas!Q305="Outro Estilo Interno B",506,IF(Atletas!Q305="Xingyiquan C",507,IF(Atletas!Q305="Baguazhang C",508,IF(Atletas!Q305="Outro Estilo Interno C",509,IF(Atletas!Q305="Xingyiquan D",510,IF(Atletas!Q305="Baguazhang D",511,IF(Atletas!Q305="Outro Estilo Interno D",512,IF(Atletas!Q305="Xingyiquan E",513,IF(Atletas!Q305="Baguazhang E",514,IF(Atletas!Q305="Outro Estilo Interno E",515,IF(Atletas!Q305="Xingyiquan F",516,IF(Atletas!Q305="Baguazhang F",517,IF(Atletas!Q305="Outro Estilo Interno F",518, "")))))))))))))))))))</f>
        <v/>
      </c>
      <c r="BZ314" s="50" t="str">
        <f>IF(Atletas!R305="","",IF(Atletas!X305&lt;&gt;"",10000,0)+IF(Atletas!B305="Feminino",1000,IF(Atletas!B305="Masculino",2000,""))+IF(Atletas!R305="Dao A",601,IF(Atletas!R305="Jian A",602,IF(Atletas!R305="Bishou A",603,IF(Atletas!R305="Shanzi A",604,IF(Atletas!R305="Outra Arma Curta A",605,IF(Atletas!R305="Dao B",606,IF(Atletas!R305="Jian B",607,IF(Atletas!R305="Bishou B",608,IF(Atletas!R305="Shanzi B",609,IF(Atletas!R305="Outra Arma Curta B",610,IF(Atletas!R305="Dao C",611,IF(Atletas!R305="Jian C",612,IF(Atletas!R305="Bishou C",613,IF(Atletas!R305="Shanzi C",614,IF(Atletas!R305="Outra Arma Curta C",615,IF(Atletas!R305="Dao D",616,IF(Atletas!R305="Jian D",617,IF(Atletas!R305="Bishou D",618,IF(Atletas!R305="Shanzi D",619,IF(Atletas!R305="Outra Arma Curta D",620,IF(Atletas!R305="Dao E",621,IF(Atletas!R305="Jian E",622,IF(Atletas!R305="Bishou E",623,IF(Atletas!R305="Shanzi E",624,IF(Atletas!R305="Outra Arma Curta E",625,IF(Atletas!R305="Dao F",626,IF(Atletas!R305="Jian F",627,IF(Atletas!R305="Bishou F",628,IF(Atletas!R305="Shanzi F",629,IF(Atletas!R305="Outra Arma Curta F",630, "")))))))))))))))))))))))))))))))</f>
        <v/>
      </c>
      <c r="CA314" s="50" t="str">
        <f>IF(Atletas!S305="","",IF(Atletas!X305&lt;&gt;"",10000,0)+IF(Atletas!B305="Feminino",1000,IF(Atletas!B305="Masculino",2000,""))+IF(Atletas!S305="Gun A",701,IF(Atletas!S305="Qiang A",702,IF(Atletas!S305="Pudao / Guandao A",703,IF(Atletas!S305="Outra Arma Longa A",704,IF(Atletas!S305="Gun B",705,IF(Atletas!S305="Qiang B",706,IF(Atletas!S305="Pudao / Guandao B",707,IF(Atletas!S305="Outra Arma Longa B",708,IF(Atletas!S305="Gun C",709,IF(Atletas!S305="Qiang C",710,IF(Atletas!S305="Pudao / Guandao C",711,IF(Atletas!S305="Outra Arma Longa C",712,IF(Atletas!S305="Gun D",713,IF(Atletas!S305="Qiang D",714,IF(Atletas!S305="Pudao / Guandao D",715,IF(Atletas!S305="Outra Arma Longa D",716,IF(Atletas!S305="Gun E",717,IF(Atletas!S305="Qiang E",718,IF(Atletas!S305="Pudao / Guandao E",719,IF(Atletas!S305="Outra Arma Longa E",720,IF(Atletas!S305="Gun F",721,IF(Atletas!S305="Qiang F",722,IF(Atletas!S305="Pudao / Guandao F",723,IF(Atletas!S305="Outra Arma Longa F",724,"")))))))))))))))))))))))))</f>
        <v/>
      </c>
      <c r="CB314" s="50" t="str">
        <f>IF(Atletas!T305="","",IF(Atletas!X305&lt;&gt;"",10000,0)+IF(Atletas!B305="Feminino",1000,IF(Atletas!B305="Masculino",2000,""))+IF(Atletas!T305="Outra Arma Dupla A",801,IF(Atletas!T305="Arma Maleável A",802,IF(Atletas!T305="Outra Arma Dupla B",803,IF(Atletas!T305="Arma Maleável B",804,IF(Atletas!T305="Outra Arma Dupla C",805,IF(Atletas!T305="Arma Maleável C",806,IF(Atletas!T305="Outra Arma Dupla D",807,IF(Atletas!T305="Arma Maleável D",808,IF(Atletas!T305="Outra Arma Dupla E",809,IF(Atletas!T305="Arma Maleável E",810,IF(Atletas!T305="Outra Arma Dupla F",811,IF(Atletas!T305="Arma Maleável F",812,IF(Atletas!T305="Shuangdao A",813,IF(Atletas!T305="Shuangdao B",814,IF(Atletas!T305="Shuangdao C",815,IF(Atletas!T305="Shuangdao D",816,IF(Atletas!T305="Shuangdao E",817,IF(Atletas!T305="Shuangdao F",818,"")))))))))))))))))))</f>
        <v/>
      </c>
      <c r="CC314" s="50" t="str">
        <f>IF(Atletas!U305="","",IF(Atletas!X305&lt;&gt;"",10000,0)+IF(Atletas!B305="Feminino",1000,IF(Atletas!B305="Masculino",2000,""))+IF(OR(Atletas!U305="Taijijian Yang A",Atletas!U305="Taijijian Yang Standard A"),901,IF(OR(Atletas!U305="Taijijian Chen A", Atletas!U305="Taijijian Chen Standard A"),902,IF(Atletas!U305="Taijijian Sun A",903,IF(Atletas!U305="Taijijian Wu A",904,IF(Atletas!U305="Taijijian Wu-Hao A",905,IF(OR(Atletas!U305="Taijijian 32 A",Atletas!U305="Taijijian 42 A"),906,IF(OR(Atletas!U305="Taijijian Yang B",Atletas!U305="Taijijian Yang Standard B"),907,IF(OR(Atletas!U305="Taijijian Chen B", Atletas!U305="Taijijian Chen Standard B"),908,IF(Atletas!U305="Taijijian Sun B",909,IF(Atletas!U305="Taijijian Wu B",910,IF(Atletas!U305="Taijijian Wu-Hao B",911,IF(OR(Atletas!U305="Taijijian 32 B",Atletas!U305="Taijijian 42 B"),912,IF(OR(Atletas!U305="Taijijian Yang C",Atletas!U305="Taijijian Yang Standard C"),913,IF(OR(Atletas!U305="Taijijian Chen C", Atletas!U305="Taijijian Chen Standard C"),914,IF(Atletas!U305="Taijijian Sun C",915,IF(Atletas!U305="Taijijian Wu C",916,IF(Atletas!U305="Taijijian Wu-Hao C",917,IF(OR(Atletas!U305="Taijijian 32 C",Atletas!U305="Taijijian 42 C"),918,IF(OR(Atletas!U305="Taijijian Yang D",Atletas!U305="Taijijian Yang Standard D"),919,IF(OR(Atletas!U305="Taijijian Chen D", Atletas!U305="Taijijian Chen Standard D"),920,IF(Atletas!U305="Taijijian Sun D",921,IF(Atletas!U305="Taijijian Wu D",922,IF(Atletas!U305="Taijijian Wu-Hao D",923,IF(OR(Atletas!U305="Taijijian 32 D",Atletas!U305="Taijijian 42 D"),924,IF(OR(Atletas!U305="Taijijian Yang E",Atletas!U305="Taijijian Yang Standard E"),925,IF(OR(Atletas!U305="Taijijian Chen E", Atletas!U305="Taijijian Chen Standard E"),926,IF(Atletas!U305="Taijijian Sun E",927,IF(Atletas!U305="Taijijian Wu E",928,IF(Atletas!U305="Taijijian Wu-Hao E",929,IF(OR(Atletas!U305="Taijijian 32 E",Atletas!U305="Taijijian 42 E"),930,IF(OR(Atletas!U305="Taijijian Yang F",Atletas!U305="Taijijian Yang Standard F"),931,IF(OR(Atletas!U305="Taijijian Chen F", Atletas!U305="Taijijian Chen Standard F"),932,IF(Atletas!U305="Taijijian Sun F",933,IF(Atletas!U305="Taijijian Wu F",934,IF(Atletas!U305="Taijijian Wu-Hao F",935,IF(OR(Atletas!U305="Taijijian 32 F",Atletas!U305="Taijijian 42 F"),936,"")))))))))))))))))))))))))))))))))))))</f>
        <v/>
      </c>
      <c r="CD314" s="50" t="str">
        <f>IF(Atletas!V305="","",IF(Atletas!X305&lt;&gt;"",10000,0)+IF(Atletas!B305="Feminino",1000,IF(Atletas!B305="Masculino",2000,""))+IF(Atletas!V305="Taijidao A",937,IF(Atletas!V305="TaijiShanzi A",938,IF(Atletas!V305="Taijiqiang A",939,IF(Atletas!V305="Bagua de Arma A",940,IF(Atletas!V305="Xingyi de Arma A",941,IF(Atletas!V305="Taijidao B",942,IF(Atletas!V305="TaijiShanzi B",943,IF(Atletas!V305="Taijiqiang B",944,IF(Atletas!V305="Bagua de Arma B",945,IF(Atletas!V305="Xingyi de Arma B",946,IF(Atletas!V305="Taijidao C",947,IF(Atletas!V305="TaijiShanzi C",948,IF(Atletas!V305="Taijiqiang C",949,IF(Atletas!V305="Bagua de Arma C",950,IF(Atletas!V305="Xingyi de Arma C",951,IF(Atletas!V305="Taijidao D",952,IF(Atletas!V305="TaijiShanzi D",953,IF(Atletas!V305="Taijiqiang D",954,IF(Atletas!V305="Bagua de Arma D",955,IF(Atletas!V305="Xingyi de Arma D",956,IF(Atletas!V305="Taijidao E",957,IF(Atletas!V305="TaijiShanzi E",958,IF(Atletas!V305="Taijiqiang E",959,IF(Atletas!V305="Bagua de Arma E",960,IF(Atletas!V305="Xingyi de Arma E",961,IF(Atletas!V305="Taijidao F",962,IF(Atletas!V305="TaijiShanzi F",963,IF(Atletas!V305="Taijiqiang F",964,IF(Atletas!V305="Bagua de Arma F",965,IF(Atletas!V305="Xingyi de Arma F",966,"")))))))))))))))))))))))))))))))</f>
        <v/>
      </c>
      <c r="CE314" s="66" t="str">
        <f>IF(CF314&lt;&gt;"","Taijijian Chen C","")</f>
        <v/>
      </c>
      <c r="CF314" s="6" t="str">
        <f>IF(COUNTIF(BR:CD,1914)&gt;0,COUNTIF(BR:CD,1914),"")</f>
        <v/>
      </c>
      <c r="CG314" s="66" t="str">
        <f>IF(CH314&lt;&gt;"","Taijijian Chen C","")</f>
        <v/>
      </c>
      <c r="CH314" s="66" t="str">
        <f>IF(COUNTIF(BR:CD,2914)&gt;0,COUNTIF(BR:CD,2914),"")</f>
        <v/>
      </c>
      <c r="CI314" s="66" t="str">
        <f>IF(CJ315&lt;&gt;"","Taijijian Sun E","")</f>
        <v/>
      </c>
      <c r="CJ314" s="66" t="str">
        <f>IF(COUNTIF(BR:CD,11926)&gt;0,COUNTIF(BR:CD,11926),"")</f>
        <v/>
      </c>
      <c r="CK314" s="66" t="str">
        <f>IF(CL314&lt;&gt;"","Taijijian Chen E","")</f>
        <v/>
      </c>
      <c r="CL314" s="66" t="str">
        <f>IF(COUNTIF(BR:CD,12926)&gt;0,COUNTIF(BR:CD,12926),"")</f>
        <v/>
      </c>
      <c r="CM314" s="50" t="str">
        <f xml:space="preserve"> IF(Atletas!W305="","",IF(Atletas!W305="Duilian de Mãos BC - Equipe 1",1,IF(Atletas!W305="Duilian de Mãos BC - Equipe 2",2,IF(Atletas!W305="Duilian de Armas BC - Equipe 1",3,IF(Atletas!W305="Duilian de Armas BC - Equipe 2",4,IF(Atletas!W305="Duilian de Mãos DE - Equipe 1",5,IF(Atletas!W305="Duilian de Mãos DE - Equipe 2",6,IF(Atletas!W305="Duilian de Armas DE - Equipe 1",7,IF(Atletas!W305="Duilian de Armas DE - Equipe 2",8,IF(Atletas!W305="Duilian de Tuishou - Equipe 1",9,IF(Atletas!W305="Duilian de Tuishou - Equipe 2",10,IF(Atletas!W305="Grupo Externo ABC - Equipe 1",11,IF(Atletas!W305="Grupo Externo ABC - Equipe 2",12,IF(Atletas!W305="Grupo Interno ABC - Equipe 1",13,IF(Atletas!W305="Grupo Interno ABC - Equipe 2",14,IF(Atletas!W305="Grupo Externo DEF - Equipe 1",15,IF(Atletas!W305="Grupo Externo DEF - Equipe 2",16,IF(Atletas!W305="Grupo Interno DEF - Equipe 1",17,IF(Atletas!W305="Grupo Interno DEF - Equipe 2",18,"")))))))))))))))))))</f>
        <v/>
      </c>
    </row>
    <row r="315" spans="40:91">
      <c r="AN315" s="52" t="str">
        <f>IF(Atletas!D306="","",IF(Atletas!B306="Feminino",100,IF(Atletas!B306="Masculino",200,""))+(IF(Atletas!D306="Kids 30kg",1,IF(Atletas!D306="Kids 32kg",2, IF(Atletas!D306="Kids 34kg",3,IF(Atletas!D306="Kids 36kg",4,IF(Atletas!D306="Kids 39kg",5,IF(Atletas!D306="Kids 42kg",6,IF(Atletas!D306="Kids 45kg",7, IF(Atletas!D306="Infantil 39kg",8,IF(Atletas!D306="Infantil 42kg",9,IF(Atletas!D306="Infantil 45kg",10,IF(Atletas!D306="Infantil 48kg",11,IF(Atletas!D306="Infantil 52kg",12,IF(Atletas!D306="Infantil 56kg",13,IF(Atletas!D306="Infantil 60kg",14,IF(Atletas!D306="Juvenil 48kg",15,IF(Atletas!D306="Juvenil 52kg",16,IF(Atletas!D306="Juvenil 56kg",17,IF(Atletas!D306="Juvenil 60kg",18,IF(Atletas!D306="Juvenil 65kg",19,IF(Atletas!D306="Juvenil 70kg",20,IF(Atletas!D306="Juvenil 75kg",21,IF(Atletas!D306="Juvenil 80kg",22, IF(Atletas!D306="Juvenil 85kg",23,IF(Atletas!D306="Adulto 48kg",24,IF(Atletas!D306="Adulto 52kg",25,IF(Atletas!D306="Adulto 56kg",26,IF(Atletas!D306="Adulto 60kg",27,IF(Atletas!D306="Adulto 65kg",28,IF(Atletas!D306="Adulto 70kg",29,IF(Atletas!D306="Adulto 75kg",30,IF(Atletas!D306="Adulto 80kg",31,IF(Atletas!D306="Adulto 85kg",32,IF(Atletas!D306="Adulto 90kg",33,IF(Atletas!D306="Adulto 100kg",34, IF(Atletas!D306="Adulto +100kg",35,"")))))))))))))))))))))))))))))))))))))</f>
        <v/>
      </c>
      <c r="AS315" s="6" t="str">
        <f>IF(Atletas!E306="","",IF(Atletas!B306="Feminino",100,IF(Atletas!B306="Masculino",200,""))+(IF(Atletas!E306="Juvenil 44kg",1,IF(Atletas!E306="Juvenil 48kg",2,IF(Atletas!E306="Juvenil 52kg",3,IF(Atletas!E306="Juvenil 56kg",4,IF(Atletas!E306="Juvenil 60kg",5,IF(Atletas!E306="Juvenil 65kg",6,IF(Atletas!E306="Juvenil 70kg",7,IF(Atletas!E306="Juvenil 75kg",8,IF(Atletas!E306="Juvenil 82kg",9,IF(Atletas!E306="Juvenil 90kg",10,IF(Atletas!E306="Juvenil 100kg",11,IF(Atletas!E306="Adulto 48kg",12,IF(Atletas!E306="Adulto 52kg",13,IF(Atletas!E306="Adulto 56kg",14,IF(Atletas!E306="Adulto 60kg",15,IF(Atletas!E306="Adulto 65kg",16,IF(Atletas!E306="Adulto 70kg",17,IF(Atletas!E306="Adulto 75kg",18,IF(Atletas!E306="Adulto 82kg",19,IF(Atletas!E306="Adulto 90kg",20,IF(Atletas!E306="Adulto 100kg",21,IF(Atletas!E306="Adulto +100kg",22,""))))))))))))))))))))))))</f>
        <v/>
      </c>
      <c r="AX315" s="6" t="str">
        <f>IF(Atletas!F306="","",IF(Atletas!B306="Feminino",100,IF(Atletas!B306="Masculino",200,""))+(IF(Atletas!F306="Adulto 48kg",1,IF(Atletas!F306="Adulto 56kg",2,IF(Atletas!F306="Adulto 65kg",3,IF(Atletas!F306="Adulto 75kg",4,IF(Atletas!F306="Adulto +75kg",5,IF(Atletas!F306="Adulto 52kg",6,IF(Atletas!F306="Adulto 60kg",7,IF(Atletas!F306="Adulto 70kg",8,IF(Atletas!F306="Adulto 80kg",9,IF(Atletas!F306="Adulto 90kg",10,IF(Atletas!F306="Adulto +90kg",11,"")))))))))))))</f>
        <v/>
      </c>
      <c r="BC315" s="6" t="str">
        <f>IF(Atletas!G306="","",IF(Atletas!B306="Feminino",10,IF(Atletas!B306="Masculino",20,""))+(IF(Atletas!G306="Baduanjin A",1,IF(Atletas!G306="Baduanjin B",2))))</f>
        <v/>
      </c>
      <c r="BF315" s="52" t="str">
        <f>IF(Atletas!H306="","",IF(Atletas!B306="Feminino",100,IF(Atletas!B306="Masculino",200,""))+(IF(Atletas!H306="Changquan Mirim",1,IF(Atletas!H306="Nanquan Mirim",2,IF(Atletas!H306="Taijiquan Mirim",3,IF(Atletas!H306="Changquan Grupo C",4,IF(Atletas!H306="Nanquan Grupo C",5,IF(Atletas!H306="Taijiquan Grupo C",6,IF(Atletas!H306="Changquan Grupo B",7,IF(Atletas!H306="Nanquan Grupo B",8,IF(Atletas!H306="Taijiquan Grupo B",9,IF(Atletas!H306="Changquan Grupo A",10,IF(Atletas!H306="Nanquan Grupo A",11,IF(Atletas!H306="Taijiquan Grupo A",12,IF(Atletas!H306="Changquan Opcional",13,IF(Atletas!H306="Nanquan Opcional",14,IF(Atletas!H306="Taijiquan Opcional",15,IF(Atletas!H306="Changquan Adulto",16,IF(Atletas!H306="Nanquan Adulto",17,IF(Atletas!H306="Taijiquan Adulto",18,""))))))))))))))))))))</f>
        <v/>
      </c>
      <c r="BG315" s="52" t="str">
        <f>IF(Atletas!I306="","",IF(Atletas!B306="Feminino",100,IF(Atletas!B306="Masculino",200,""))+(IF(Atletas!I306="Daoshu Mirim",19,IF(Atletas!I306="Jianshu Mirim",20,IF(Atletas!I306="Nandao Mirim",21,IF(Atletas!I306="Taijijian Mirim",22,IF(Atletas!I306="Daoshu Grupo C",23,IF(Atletas!I306="Jianshu Grupo C",24,IF(Atletas!I306="Nandao Grupo C",25,IF(Atletas!I306="Taijijian Grupo C",26,IF(Atletas!I306="Daoshu Grupo B",27,IF(Atletas!I306="Jianshu Grupo B",28,IF(Atletas!I306="Nandao Grupo B",29,IF(Atletas!I306="Taijijian Grupo B",30,IF(Atletas!I306="Daoshu Grupo A",31,IF(Atletas!I306="Jianshu Grupo A",32,IF(Atletas!I306="Nandao Grupo A",33,IF(Atletas!I306="Taijijian Grupo A",34,IF(Atletas!I306="Daoshu Opcional",35,IF(Atletas!I306="Jianshu Opcional",36,IF(Atletas!I306="Nandao Opcional",37,IF(Atletas!I306="Taijijian Opcional",38,IF(Atletas!I306="Daoshu Adulto",39,IF(Atletas!I306="Jianshu Adulto",40,IF(Atletas!I306="Nandao Adulto",41,IF(Atletas!I306="Taijijian Adulto",42,""))))))))))))))))))))))))))</f>
        <v/>
      </c>
      <c r="BH315" s="52" t="str">
        <f>IF(Atletas!J306="","",IF(Atletas!B306="Feminino",100,IF(Atletas!B306="Masculino",200,""))+(IF(Atletas!J306="Gunshu Mirim",43,IF(Atletas!J306="Qiangshu Mirim",44,IF(Atletas!J306="Nangun Mirim",45,IF(Atletas!J306="Gunshu Grupo C",46,IF(Atletas!J306="Qiangshu Grupo C",47,IF(Atletas!J306="Nangun Grupo C",48,IF(Atletas!J306="Gunshu Grupo B",49,IF(Atletas!J306="Qiangshu Grupo B",50,IF(Atletas!J306="Nangun Grupo B",51,IF(Atletas!J306="Gunshu Grupo A",52,IF(Atletas!J306="Qiangshu Grupo A",53,IF(Atletas!J306="Nangun Grupo A",54,IF(Atletas!J306="Gunshu Opcional",55,IF(Atletas!J306="Qiangshu Opcional",56,IF(Atletas!J306="Nangun Opcional",57,IF(Atletas!J306="Gunshu Adulto",58,IF(Atletas!J306="Qiangshu Adulto",59,IF(Atletas!J306="Nangun Adulto",60,IF(Atletas!J306="Taijishan Grupo B",61,IF(Atletas!J306="Taijishan Grupo A",62,""))))))))))))))))))))))</f>
        <v/>
      </c>
      <c r="BM315" s="50" t="str">
        <f>IF(Atletas!K306="","",IF(Atletas!B306="Feminino",100,IF(Atletas!B306="Masculino",200,""))+(IF(Atletas!K306="Equipe 1 Grupo B",1,IF(Atletas!K306="Equipe 2 Grupo B",2,IF(Atletas!K306="Equipe 1 Grupo A",3,IF(Atletas!K306="Equipe 2 Grupo A",4,IF(Atletas!K306="Equipe 1 Adulto",5,IF(Atletas!K306="Equipe 2 Adulto",6,""))))))))</f>
        <v/>
      </c>
      <c r="BR315" s="50" t="str">
        <f>IF(Atletas!L306="","",IF(Atletas!X306&lt;&gt;"",10000,0)+(IF(Atletas!B306="Feminino",1000,IF(Atletas!B306="Masculino",2000,""))+IF(Atletas!L306="Choylayfut A",1,IF(Atletas!L306="Hunggar A",2,IF(Atletas!L306="Wuzuquan A",3,IF(Atletas!L306="Wingchun A",4,IF(Atletas!L306="Outra Mão de Sul A",5,IF(Atletas!L306="Choylayfut B",6,IF(Atletas!L306="Hunggar B",7,IF(Atletas!L306="Wuzuquan B",8,IF(Atletas!L306="Wingchun B",9,IF(Atletas!L306="Outra Mão de Sul B",10,IF(Atletas!L306="Choylayfut C",11,IF(Atletas!L306="Hunggar C",12,IF(Atletas!L306="Wuzuquan C",13,IF(Atletas!L306="Wingchun C",14,IF(Atletas!L306="Outra Mão de Sul C",15,IF(Atletas!L306="Choylayfut D",16,IF(Atletas!L306="Hunggar D",17,IF(Atletas!L306="Wuzuquan D",18,IF(Atletas!L306="Wingchun D",19,IF(Atletas!L306="Outra Mão de Sul D",20,IF(Atletas!L306="Choylayfut E",21,IF(Atletas!L306="Hunggar E",22,IF(Atletas!L306="Wuzuquan E",23,IF(Atletas!L306="Wingchun E",24,IF(Atletas!L306="Outra Mão de Sul E",25,IF(Atletas!L306="Choylayfut F",26,IF(Atletas!L306="Hunggar F",27,IF(Atletas!L306="Wuzuquan F",28,IF(Atletas!L306="Wingchun F",29,IF(Atletas!L306="Outra Mão de Sul F",30,IF(Atletas!L306="Dishuquan A",31,IF(Atletas!L306="Dishuquan B",32,IF(Atletas!L306="Dishuquan C",33,IF(Atletas!L306="Dishuquan D",34,IF(Atletas!L306="Dishuquan E",35,IF(Atletas!L306="Dishuquan F",36,""))))))))))))))))))))))))))))))))))))))</f>
        <v/>
      </c>
      <c r="BS315" s="50" t="str">
        <f>IF(Atletas!M306="","",IF(Atletas!X306&lt;&gt;"",10000,0)+(IF(Atletas!B306="Feminino",1000,IF(Atletas!B306="Masculino",2000,""))+(IF(Atletas!M306="Chaquan A",101,IF(Atletas!M306="Emeiquan A",102,IF(Atletas!M306="Fanziquan A",103,IF(Atletas!M306="Huaquan A",104,IF(Atletas!M306="Hongquan A",105,IF(Atletas!M306="Paoquan A",106,IF(Atletas!M306="Piguaquan A",107,IF(Atletas!M306="Shaolinquan A",108,IF(Atletas!M306="Tanglangquan A",109,IF(Atletas!M306="Yingzhaoquan A",110,IF(Atletas!M306="Tongbeiquan A",111,IF(Atletas!M306="Wudangquan A",112,IF(Atletas!M306="Outros Estilos A",113,IF(Atletas!M306="Chaquan B",114,IF(Atletas!M306="Emeiquan B",115,IF(Atletas!M306="Fanziquan B",116,IF(Atletas!M306="Huaquan B",117,IF(Atletas!M306="Hongquan B",118,IF(Atletas!M306="Paoquan B",119,IF(Atletas!M306="Piguaquan B",120,IF(Atletas!M306="Shaolinquan B",121,IF(Atletas!M306="Tanglangquan B",122,IF(Atletas!M306="Yingzhaoquan B",123,IF(Atletas!M306="Tongbeiquan B",124,IF(Atletas!M306="Wudangquan B",125,IF(Atletas!M306="Outros Estilos B",126,IF(Atletas!M306="Chaquan C",127,IF(Atletas!M306="Emeiquan C",128,IF(Atletas!M306="Fanziquan C",129,IF(Atletas!M306="Huaquan C",130,IF(Atletas!M306="Hongquan C",131,IF(Atletas!M306="Paoquan C",132,IF(Atletas!M306="Piguaquan C",133,IF(Atletas!M306="Shaolinquan C",134,IF(Atletas!M306="Tanglangquan C",135,IF(Atletas!M306="Yingzhaoquan C",136,IF(Atletas!M306="Tongbeiquan C",137,IF(Atletas!M306="Wudangquan C",138,IF(Atletas!M306="Outros Estilos C",139,0))))))))))))))))))))))))))))))))))))))))))</f>
        <v/>
      </c>
      <c r="BT315" s="50" t="str">
        <f>IF(Atletas!M306="","",IF(Atletas!X306&lt;&gt;"",10000,0)+(IF(Atletas!B306="Feminino",1000,IF(Atletas!B306="Masculino",2000,""))+(IF(Atletas!M306="Chaquan D",140,IF(Atletas!M306="Emeiquan D",141,IF(Atletas!M306="Fanziquan D",142,IF(Atletas!M306="Huaquan D",143,IF(Atletas!M306="Hongquan D",144,IF(Atletas!M306="Paoquan D",145,IF(Atletas!M306="Piguaquan D",146,IF(Atletas!M306="Shaolinquan D",147,IF(Atletas!M306="Tanglangquan D",148,IF(Atletas!M306="Yingzhaoquan D",149,IF(Atletas!M306="Tongbeiquan D",150,IF(Atletas!M306="Wudangquan D",151,IF(Atletas!M306="Outros Estilos D",152,IF(Atletas!M306="Chaquan E",153,IF(Atletas!M306="Emeiquan E",154,IF(Atletas!M306="Fanziquan E",155,IF(Atletas!M306="Huaquan E",156,IF(Atletas!M306="Hongquan E",157,IF(Atletas!M306="Paoquan E",158,IF(Atletas!M306="Piguaquan E",159,IF(Atletas!M306="Shaolinquan E",160,IF(Atletas!M306="Tanglangquan E",161,IF(Atletas!M306="Yingzhaoquan E",162,IF(Atletas!M306="Tongbeiquan E",163,IF(Atletas!M306="Wudangquan E",164,IF(Atletas!M306="Outros Estilos E",165,IF(Atletas!M306="Chaquan F",166,IF(Atletas!M306="Emeiquan F",167,IF(Atletas!M306="Fanziquan F",168,IF(Atletas!M306="Huaquan F",169,IF(Atletas!M306="Hongquan F",170,IF(Atletas!M306="Paoquan F",171,IF(Atletas!M306="Piguaquan F",172,IF(Atletas!M306="Shaolinquan F",173,IF(Atletas!M306="Tanglangquan F",174,IF(Atletas!M306="Yingzhaoquan F",175,IF(Atletas!M306="Tongbeiquan F",176,IF(Atletas!M306="Wudangquan F",177,IF(Atletas!M306="Outros Estilos F",178,0))))))))))))))))))))))))))))))))))))))))))</f>
        <v/>
      </c>
      <c r="BU315" s="50" t="str">
        <f>IF(Atletas!N306="","",IF(Atletas!X306&lt;&gt;"",10000,0)+(IF(Atletas!B306="Feminino",1000,IF(Atletas!B306="Masculino",2000,""))+(IF(Atletas!N306="Ditangquan A",201,IF(Atletas!N306="Houquan A",202,IF(Atletas!N306="Zuiquan A",203,IF(Atletas!N306="Ditangquan B",204,IF(Atletas!N306="Houquan B",205,IF(Atletas!N306="Zuiquan B",206,IF(Atletas!N306="Ditangquan C",207,IF(Atletas!N306="Houquan C",208,IF(Atletas!N306="Zuiquan C",209,IF(Atletas!N306="Ditangquan D",210,IF(Atletas!N306="Houquan D",211,IF(Atletas!N306="Zuiquan D",212,IF(Atletas!N306="Ditangquan E",213,IF(Atletas!N306="Houquan E",214,IF(Atletas!N306="Zuiquan E",215,IF(Atletas!N306="Ditangquan F",216,IF(Atletas!N306="Houquan F",217,IF(Atletas!N306="Zuiquan F",218,"")))))))))))))))))))))</f>
        <v/>
      </c>
      <c r="BV315" s="50" t="str">
        <f>IF(Atletas!O306="","",IF(Atletas!X306&lt;&gt;"",10000,0)+IF(Atletas!B306="Feminino",1000,IF(Atletas!B306="Masculino",2000,""))+IF(Atletas!O306="Yang A",301,IF(Atletas!O306="Chen A",302,IF(Atletas!O306="Sun A",303,IF(Atletas!O306="Wu A",304,IF(Atletas!O306="Wu-Hao A",305,IF(Atletas!O306="Outro Taijiquan A",306,IF(Atletas!O306="Yang B",307,IF(Atletas!O306="Chen B",308,IF(Atletas!O306="Sun B",309,IF(Atletas!O306="Wu B",310,IF(Atletas!O306="Wu-Hao B",311,IF(Atletas!O306="Outro Taijiquan B",312,IF(Atletas!O306="Yang C",313,IF(Atletas!O306="Chen C",314,IF(Atletas!O306="Sun C",315,IF(Atletas!O306="Wu C",316,IF(Atletas!O306="Wu-Hao C",317,IF(Atletas!O306="Outro Taijiquan C",318,IF(Atletas!O306="Yang D",319,IF(Atletas!O306="Chen D",320,IF(Atletas!O306="Sun D",321,IF(Atletas!O306="Wu D",322,IF(Atletas!O306="Wu-Hao D",323,IF(Atletas!O306="Outro Taijiquan D",324,IF(Atletas!O306="Yang E",325,IF(Atletas!O306="Chen E",326,IF(Atletas!O306="Sun E",327,IF(Atletas!O306="Wu E",328,IF(Atletas!O306="Wu-Hao E",329,IF(Atletas!O306="Outro Taijiquan E",330,IF(Atletas!O306="Yang F",331,IF(Atletas!O306="Chen F",332,IF(Atletas!O306="Sun F",333,IF(Atletas!O306="Wu F",334,IF(Atletas!O306="Wu-Hao F",335,IF(Atletas!O306="Outro Taijiquan F",336,"")))))))))))))))))))))))))))))))))))))</f>
        <v/>
      </c>
      <c r="BW315" s="50" t="str">
        <f>IF(Atletas!P306="","",IF(Atletas!X306&lt;&gt;"",10000,0)+IF(Atletas!B306="Feminino",1000,IF(Atletas!B306="Masculino",2000,""))+IF(OR(Atletas!P306="Yang 26 A",Atletas!P306="Yang 40 A"),401,IF(OR(Atletas!P306="Chen 25 A",Atletas!P306="Chen 36 A",Atletas!P306="Chen 56 A"),402,IF(Atletas!P306="Sun 73 A",403,IF(Atletas!P306="Wu 45 A",404,IF(Atletas!P306="Wu-Hao 46 A",405,IF(OR(Atletas!P306="Taijiquan 16 A",Atletas!P306="Taijiquan 24 A",Atletas!P306="Taijiquan 32 A",Atletas!P306="Taijiquan 42 A"),406,IF(OR(Atletas!P306="Yang 26 B",Atletas!P306="Yang 40 B"),407,IF(OR(Atletas!P306="Chen 25 B",Atletas!P306="Chen 36 B",Atletas!P306="Chen 56 B"),408,IF(Atletas!P306="Sun 73 B",409,IF(Atletas!P306="Wu 45 B",410,IF(Atletas!P306="Wu-Hao 46 B",411,IF(OR(Atletas!P306="Taijiquan 16 B",Atletas!P306="Taijiquan 24 B",Atletas!P306="Taijiquan 32 B",Atletas!P306="Taijiquan 42 B"),412,IF(OR(Atletas!P306="Yang 26 C",Atletas!P306="Yang 40 C"),413,IF(OR(Atletas!P306="Chen 25 C",Atletas!P306="Chen 36 C",Atletas!P306="Chen 56 C"),414,IF(Atletas!P306="Sun 73 C",415,IF(Atletas!P306="Wu 45 C",416,IF(Atletas!P306="Wu-Hao 46 C",417,IF(OR(Atletas!P306="Taijiquan 16 C",Atletas!P306="Taijiquan 24 C",Atletas!P306="Taijiquan 32 C",Atletas!P306="Taijiquan 42 C"),418,0)))))))))))))))))))</f>
        <v/>
      </c>
      <c r="BX315" s="50" t="str">
        <f>IF(Atletas!P306="","",IF(Atletas!X306&lt;&gt;"",10000,0)+IF(Atletas!B306="Feminino",1000,IF(Atletas!B306="Masculino",2000,""))+IF(OR(Atletas!P306="Yang 26 D",Atletas!P306="Yang 40 D"),419,IF(OR(Atletas!P306="Chen 25 D",Atletas!P306="Chen 36 D",Atletas!P306="Chen 56 D"),420,IF(Atletas!P306="Sun 73 D",421,IF(Atletas!P306="Wu 45 D",422,IF(Atletas!P306="Wu-Hao 46 D",423,IF(OR(Atletas!P306="Taijiquan 16 D",Atletas!P306="Taijiquan 24 D",Atletas!P306="Taijiquan 32 D",Atletas!P306="Taijiquan 42 D"),424,IF(OR(Atletas!P306="Yang 26 E",Atletas!P306="Yang 40 E"),425,IF(OR(Atletas!P306="Chen 25 E",Atletas!P306="Chen 36 E",Atletas!P306="Chen 56 E"),426,IF(Atletas!P306="Sun 73 E",427,IF(Atletas!P306="Wu 45 E",428,IF(Atletas!P306="Wu-Hao 46 E",429,IF(OR(Atletas!P306="Taijiquan 16 E",Atletas!P306="Taijiquan 24 E",Atletas!P306="Taijiquan 32 E",Atletas!P306="Taijiquan 42 E"),430,IF(OR(Atletas!P306="Yang 26 F",Atletas!P306="Yang 40 F"),431,IF(OR(Atletas!P306="Chen 25 F",Atletas!P306="Chen 36 F",Atletas!P306="Chen 56 F"),432,IF(Atletas!P306="Sun 73 F",433,IF(Atletas!P306="Wu 45 F",434,IF(Atletas!P306="Wu-Hao 46 F",435,IF(OR(Atletas!P306="Taijiquan 16 F",Atletas!P306="Taijiquan 24 F",Atletas!P306="Taijiquan 32 F",Atletas!P306="Taijiquan 42 F"),436,0)))))))))))))))))))</f>
        <v/>
      </c>
      <c r="BY315" s="50" t="str">
        <f>IF(Atletas!Q306="","",IF(Atletas!X306&lt;&gt;"",10000,0)+IF(Atletas!B306="Feminino",1000,IF(Atletas!B306="Masculino",2000,""))+IF(Atletas!Q306="Xingyiquan A",501,IF(Atletas!Q306="Baguazhang A",502,IF(Atletas!Q306="Outro Estilo Interno A",503,IF(Atletas!Q306="Xingyiquan B",504,IF(Atletas!Q306="Baguazhang B",505,IF(Atletas!Q306="Outro Estilo Interno B",506,IF(Atletas!Q306="Xingyiquan C",507,IF(Atletas!Q306="Baguazhang C",508,IF(Atletas!Q306="Outro Estilo Interno C",509,IF(Atletas!Q306="Xingyiquan D",510,IF(Atletas!Q306="Baguazhang D",511,IF(Atletas!Q306="Outro Estilo Interno D",512,IF(Atletas!Q306="Xingyiquan E",513,IF(Atletas!Q306="Baguazhang E",514,IF(Atletas!Q306="Outro Estilo Interno E",515,IF(Atletas!Q306="Xingyiquan F",516,IF(Atletas!Q306="Baguazhang F",517,IF(Atletas!Q306="Outro Estilo Interno F",518, "")))))))))))))))))))</f>
        <v/>
      </c>
      <c r="BZ315" s="50" t="str">
        <f>IF(Atletas!R306="","",IF(Atletas!X306&lt;&gt;"",10000,0)+IF(Atletas!B306="Feminino",1000,IF(Atletas!B306="Masculino",2000,""))+IF(Atletas!R306="Dao A",601,IF(Atletas!R306="Jian A",602,IF(Atletas!R306="Bishou A",603,IF(Atletas!R306="Shanzi A",604,IF(Atletas!R306="Outra Arma Curta A",605,IF(Atletas!R306="Dao B",606,IF(Atletas!R306="Jian B",607,IF(Atletas!R306="Bishou B",608,IF(Atletas!R306="Shanzi B",609,IF(Atletas!R306="Outra Arma Curta B",610,IF(Atletas!R306="Dao C",611,IF(Atletas!R306="Jian C",612,IF(Atletas!R306="Bishou C",613,IF(Atletas!R306="Shanzi C",614,IF(Atletas!R306="Outra Arma Curta C",615,IF(Atletas!R306="Dao D",616,IF(Atletas!R306="Jian D",617,IF(Atletas!R306="Bishou D",618,IF(Atletas!R306="Shanzi D",619,IF(Atletas!R306="Outra Arma Curta D",620,IF(Atletas!R306="Dao E",621,IF(Atletas!R306="Jian E",622,IF(Atletas!R306="Bishou E",623,IF(Atletas!R306="Shanzi E",624,IF(Atletas!R306="Outra Arma Curta E",625,IF(Atletas!R306="Dao F",626,IF(Atletas!R306="Jian F",627,IF(Atletas!R306="Bishou F",628,IF(Atletas!R306="Shanzi F",629,IF(Atletas!R306="Outra Arma Curta F",630, "")))))))))))))))))))))))))))))))</f>
        <v/>
      </c>
      <c r="CA315" s="50" t="str">
        <f>IF(Atletas!S306="","",IF(Atletas!X306&lt;&gt;"",10000,0)+IF(Atletas!B306="Feminino",1000,IF(Atletas!B306="Masculino",2000,""))+IF(Atletas!S306="Gun A",701,IF(Atletas!S306="Qiang A",702,IF(Atletas!S306="Pudao / Guandao A",703,IF(Atletas!S306="Outra Arma Longa A",704,IF(Atletas!S306="Gun B",705,IF(Atletas!S306="Qiang B",706,IF(Atletas!S306="Pudao / Guandao B",707,IF(Atletas!S306="Outra Arma Longa B",708,IF(Atletas!S306="Gun C",709,IF(Atletas!S306="Qiang C",710,IF(Atletas!S306="Pudao / Guandao C",711,IF(Atletas!S306="Outra Arma Longa C",712,IF(Atletas!S306="Gun D",713,IF(Atletas!S306="Qiang D",714,IF(Atletas!S306="Pudao / Guandao D",715,IF(Atletas!S306="Outra Arma Longa D",716,IF(Atletas!S306="Gun E",717,IF(Atletas!S306="Qiang E",718,IF(Atletas!S306="Pudao / Guandao E",719,IF(Atletas!S306="Outra Arma Longa E",720,IF(Atletas!S306="Gun F",721,IF(Atletas!S306="Qiang F",722,IF(Atletas!S306="Pudao / Guandao F",723,IF(Atletas!S306="Outra Arma Longa F",724,"")))))))))))))))))))))))))</f>
        <v/>
      </c>
      <c r="CB315" s="50" t="str">
        <f>IF(Atletas!T306="","",IF(Atletas!X306&lt;&gt;"",10000,0)+IF(Atletas!B306="Feminino",1000,IF(Atletas!B306="Masculino",2000,""))+IF(Atletas!T306="Outra Arma Dupla A",801,IF(Atletas!T306="Arma Maleável A",802,IF(Atletas!T306="Outra Arma Dupla B",803,IF(Atletas!T306="Arma Maleável B",804,IF(Atletas!T306="Outra Arma Dupla C",805,IF(Atletas!T306="Arma Maleável C",806,IF(Atletas!T306="Outra Arma Dupla D",807,IF(Atletas!T306="Arma Maleável D",808,IF(Atletas!T306="Outra Arma Dupla E",809,IF(Atletas!T306="Arma Maleável E",810,IF(Atletas!T306="Outra Arma Dupla F",811,IF(Atletas!T306="Arma Maleável F",812,IF(Atletas!T306="Shuangdao A",813,IF(Atletas!T306="Shuangdao B",814,IF(Atletas!T306="Shuangdao C",815,IF(Atletas!T306="Shuangdao D",816,IF(Atletas!T306="Shuangdao E",817,IF(Atletas!T306="Shuangdao F",818,"")))))))))))))))))))</f>
        <v/>
      </c>
      <c r="CC315" s="50" t="str">
        <f>IF(Atletas!U306="","",IF(Atletas!X306&lt;&gt;"",10000,0)+IF(Atletas!B306="Feminino",1000,IF(Atletas!B306="Masculino",2000,""))+IF(OR(Atletas!U306="Taijijian Yang A",Atletas!U306="Taijijian Yang Standard A"),901,IF(OR(Atletas!U306="Taijijian Chen A", Atletas!U306="Taijijian Chen Standard A"),902,IF(Atletas!U306="Taijijian Sun A",903,IF(Atletas!U306="Taijijian Wu A",904,IF(Atletas!U306="Taijijian Wu-Hao A",905,IF(OR(Atletas!U306="Taijijian 32 A",Atletas!U306="Taijijian 42 A"),906,IF(OR(Atletas!U306="Taijijian Yang B",Atletas!U306="Taijijian Yang Standard B"),907,IF(OR(Atletas!U306="Taijijian Chen B", Atletas!U306="Taijijian Chen Standard B"),908,IF(Atletas!U306="Taijijian Sun B",909,IF(Atletas!U306="Taijijian Wu B",910,IF(Atletas!U306="Taijijian Wu-Hao B",911,IF(OR(Atletas!U306="Taijijian 32 B",Atletas!U306="Taijijian 42 B"),912,IF(OR(Atletas!U306="Taijijian Yang C",Atletas!U306="Taijijian Yang Standard C"),913,IF(OR(Atletas!U306="Taijijian Chen C", Atletas!U306="Taijijian Chen Standard C"),914,IF(Atletas!U306="Taijijian Sun C",915,IF(Atletas!U306="Taijijian Wu C",916,IF(Atletas!U306="Taijijian Wu-Hao C",917,IF(OR(Atletas!U306="Taijijian 32 C",Atletas!U306="Taijijian 42 C"),918,IF(OR(Atletas!U306="Taijijian Yang D",Atletas!U306="Taijijian Yang Standard D"),919,IF(OR(Atletas!U306="Taijijian Chen D", Atletas!U306="Taijijian Chen Standard D"),920,IF(Atletas!U306="Taijijian Sun D",921,IF(Atletas!U306="Taijijian Wu D",922,IF(Atletas!U306="Taijijian Wu-Hao D",923,IF(OR(Atletas!U306="Taijijian 32 D",Atletas!U306="Taijijian 42 D"),924,IF(OR(Atletas!U306="Taijijian Yang E",Atletas!U306="Taijijian Yang Standard E"),925,IF(OR(Atletas!U306="Taijijian Chen E", Atletas!U306="Taijijian Chen Standard E"),926,IF(Atletas!U306="Taijijian Sun E",927,IF(Atletas!U306="Taijijian Wu E",928,IF(Atletas!U306="Taijijian Wu-Hao E",929,IF(OR(Atletas!U306="Taijijian 32 E",Atletas!U306="Taijijian 42 E"),930,IF(OR(Atletas!U306="Taijijian Yang F",Atletas!U306="Taijijian Yang Standard F"),931,IF(OR(Atletas!U306="Taijijian Chen F", Atletas!U306="Taijijian Chen Standard F"),932,IF(Atletas!U306="Taijijian Sun F",933,IF(Atletas!U306="Taijijian Wu F",934,IF(Atletas!U306="Taijijian Wu-Hao F",935,IF(OR(Atletas!U306="Taijijian 32 F",Atletas!U306="Taijijian 42 F"),936,"")))))))))))))))))))))))))))))))))))))</f>
        <v/>
      </c>
      <c r="CD315" s="50" t="str">
        <f>IF(Atletas!V306="","",IF(Atletas!X306&lt;&gt;"",10000,0)+IF(Atletas!B306="Feminino",1000,IF(Atletas!B306="Masculino",2000,""))+IF(Atletas!V306="Taijidao A",937,IF(Atletas!V306="TaijiShanzi A",938,IF(Atletas!V306="Taijiqiang A",939,IF(Atletas!V306="Bagua de Arma A",940,IF(Atletas!V306="Xingyi de Arma A",941,IF(Atletas!V306="Taijidao B",942,IF(Atletas!V306="TaijiShanzi B",943,IF(Atletas!V306="Taijiqiang B",944,IF(Atletas!V306="Bagua de Arma B",945,IF(Atletas!V306="Xingyi de Arma B",946,IF(Atletas!V306="Taijidao C",947,IF(Atletas!V306="TaijiShanzi C",948,IF(Atletas!V306="Taijiqiang C",949,IF(Atletas!V306="Bagua de Arma C",950,IF(Atletas!V306="Xingyi de Arma C",951,IF(Atletas!V306="Taijidao D",952,IF(Atletas!V306="TaijiShanzi D",953,IF(Atletas!V306="Taijiqiang D",954,IF(Atletas!V306="Bagua de Arma D",955,IF(Atletas!V306="Xingyi de Arma D",956,IF(Atletas!V306="Taijidao E",957,IF(Atletas!V306="TaijiShanzi E",958,IF(Atletas!V306="Taijiqiang E",959,IF(Atletas!V306="Bagua de Arma E",960,IF(Atletas!V306="Xingyi de Arma E",961,IF(Atletas!V306="Taijidao F",962,IF(Atletas!V306="TaijiShanzi F",963,IF(Atletas!V306="Taijiqiang F",964,IF(Atletas!V306="Bagua de Arma F",965,IF(Atletas!V306="Xingyi de Arma F",966,"")))))))))))))))))))))))))))))))</f>
        <v/>
      </c>
      <c r="CE315" s="66" t="str">
        <f>IF(CF315&lt;&gt;"","Taijijian Sun C","")</f>
        <v/>
      </c>
      <c r="CF315" s="6" t="str">
        <f>IF(COUNTIF(BR:CD,1915)&gt;0,COUNTIF(BR:CD,1915),"")</f>
        <v/>
      </c>
      <c r="CG315" s="66" t="str">
        <f>IF(CH315&lt;&gt;"","Taijijian Sun C","")</f>
        <v/>
      </c>
      <c r="CH315" s="66" t="str">
        <f>IF(COUNTIF(BR:CD,2915)&gt;0,COUNTIF(BR:CD,2915),"")</f>
        <v/>
      </c>
      <c r="CI315" s="66" t="str">
        <f>IF(CJ316&lt;&gt;"","Taijijian Wu E","")</f>
        <v/>
      </c>
      <c r="CJ315" s="66" t="str">
        <f>IF(COUNTIF(BR:CD,11927)&gt;0,COUNTIF(BR:CD,11927),"")</f>
        <v/>
      </c>
      <c r="CK315" s="66" t="str">
        <f>IF(CL315&lt;&gt;"","Taijijian Sun E","")</f>
        <v/>
      </c>
      <c r="CL315" s="66" t="str">
        <f>IF(COUNTIF(BR:CD,12927)&gt;0,COUNTIF(BR:CD,12927),"")</f>
        <v/>
      </c>
      <c r="CM315" s="50" t="str">
        <f xml:space="preserve"> IF(Atletas!W306="","",IF(Atletas!W306="Duilian de Mãos BC - Equipe 1",1,IF(Atletas!W306="Duilian de Mãos BC - Equipe 2",2,IF(Atletas!W306="Duilian de Armas BC - Equipe 1",3,IF(Atletas!W306="Duilian de Armas BC - Equipe 2",4,IF(Atletas!W306="Duilian de Mãos DE - Equipe 1",5,IF(Atletas!W306="Duilian de Mãos DE - Equipe 2",6,IF(Atletas!W306="Duilian de Armas DE - Equipe 1",7,IF(Atletas!W306="Duilian de Armas DE - Equipe 2",8,IF(Atletas!W306="Duilian de Tuishou - Equipe 1",9,IF(Atletas!W306="Duilian de Tuishou - Equipe 2",10,IF(Atletas!W306="Grupo Externo ABC - Equipe 1",11,IF(Atletas!W306="Grupo Externo ABC - Equipe 2",12,IF(Atletas!W306="Grupo Interno ABC - Equipe 1",13,IF(Atletas!W306="Grupo Interno ABC - Equipe 2",14,IF(Atletas!W306="Grupo Externo DEF - Equipe 1",15,IF(Atletas!W306="Grupo Externo DEF - Equipe 2",16,IF(Atletas!W306="Grupo Interno DEF - Equipe 1",17,IF(Atletas!W306="Grupo Interno DEF - Equipe 2",18,"")))))))))))))))))))</f>
        <v/>
      </c>
    </row>
    <row r="316" spans="40:91">
      <c r="AN316" s="52" t="str">
        <f>IF(Atletas!D307="","",IF(Atletas!B307="Feminino",100,IF(Atletas!B307="Masculino",200,""))+(IF(Atletas!D307="Kids 30kg",1,IF(Atletas!D307="Kids 32kg",2, IF(Atletas!D307="Kids 34kg",3,IF(Atletas!D307="Kids 36kg",4,IF(Atletas!D307="Kids 39kg",5,IF(Atletas!D307="Kids 42kg",6,IF(Atletas!D307="Kids 45kg",7, IF(Atletas!D307="Infantil 39kg",8,IF(Atletas!D307="Infantil 42kg",9,IF(Atletas!D307="Infantil 45kg",10,IF(Atletas!D307="Infantil 48kg",11,IF(Atletas!D307="Infantil 52kg",12,IF(Atletas!D307="Infantil 56kg",13,IF(Atletas!D307="Infantil 60kg",14,IF(Atletas!D307="Juvenil 48kg",15,IF(Atletas!D307="Juvenil 52kg",16,IF(Atletas!D307="Juvenil 56kg",17,IF(Atletas!D307="Juvenil 60kg",18,IF(Atletas!D307="Juvenil 65kg",19,IF(Atletas!D307="Juvenil 70kg",20,IF(Atletas!D307="Juvenil 75kg",21,IF(Atletas!D307="Juvenil 80kg",22, IF(Atletas!D307="Juvenil 85kg",23,IF(Atletas!D307="Adulto 48kg",24,IF(Atletas!D307="Adulto 52kg",25,IF(Atletas!D307="Adulto 56kg",26,IF(Atletas!D307="Adulto 60kg",27,IF(Atletas!D307="Adulto 65kg",28,IF(Atletas!D307="Adulto 70kg",29,IF(Atletas!D307="Adulto 75kg",30,IF(Atletas!D307="Adulto 80kg",31,IF(Atletas!D307="Adulto 85kg",32,IF(Atletas!D307="Adulto 90kg",33,IF(Atletas!D307="Adulto 100kg",34, IF(Atletas!D307="Adulto +100kg",35,"")))))))))))))))))))))))))))))))))))))</f>
        <v/>
      </c>
      <c r="AS316" s="6" t="str">
        <f>IF(Atletas!E307="","",IF(Atletas!B307="Feminino",100,IF(Atletas!B307="Masculino",200,""))+(IF(Atletas!E307="Juvenil 44kg",1,IF(Atletas!E307="Juvenil 48kg",2,IF(Atletas!E307="Juvenil 52kg",3,IF(Atletas!E307="Juvenil 56kg",4,IF(Atletas!E307="Juvenil 60kg",5,IF(Atletas!E307="Juvenil 65kg",6,IF(Atletas!E307="Juvenil 70kg",7,IF(Atletas!E307="Juvenil 75kg",8,IF(Atletas!E307="Juvenil 82kg",9,IF(Atletas!E307="Juvenil 90kg",10,IF(Atletas!E307="Juvenil 100kg",11,IF(Atletas!E307="Adulto 48kg",12,IF(Atletas!E307="Adulto 52kg",13,IF(Atletas!E307="Adulto 56kg",14,IF(Atletas!E307="Adulto 60kg",15,IF(Atletas!E307="Adulto 65kg",16,IF(Atletas!E307="Adulto 70kg",17,IF(Atletas!E307="Adulto 75kg",18,IF(Atletas!E307="Adulto 82kg",19,IF(Atletas!E307="Adulto 90kg",20,IF(Atletas!E307="Adulto 100kg",21,IF(Atletas!E307="Adulto +100kg",22,""))))))))))))))))))))))))</f>
        <v/>
      </c>
      <c r="AX316" s="6" t="str">
        <f>IF(Atletas!F307="","",IF(Atletas!B307="Feminino",100,IF(Atletas!B307="Masculino",200,""))+(IF(Atletas!F307="Adulto 48kg",1,IF(Atletas!F307="Adulto 56kg",2,IF(Atletas!F307="Adulto 65kg",3,IF(Atletas!F307="Adulto 75kg",4,IF(Atletas!F307="Adulto +75kg",5,IF(Atletas!F307="Adulto 52kg",6,IF(Atletas!F307="Adulto 60kg",7,IF(Atletas!F307="Adulto 70kg",8,IF(Atletas!F307="Adulto 80kg",9,IF(Atletas!F307="Adulto 90kg",10,IF(Atletas!F307="Adulto +90kg",11,"")))))))))))))</f>
        <v/>
      </c>
      <c r="BC316" s="6" t="str">
        <f>IF(Atletas!G307="","",IF(Atletas!B307="Feminino",10,IF(Atletas!B307="Masculino",20,""))+(IF(Atletas!G307="Baduanjin A",1,IF(Atletas!G307="Baduanjin B",2))))</f>
        <v/>
      </c>
      <c r="BF316" s="52" t="str">
        <f>IF(Atletas!H307="","",IF(Atletas!B307="Feminino",100,IF(Atletas!B307="Masculino",200,""))+(IF(Atletas!H307="Changquan Mirim",1,IF(Atletas!H307="Nanquan Mirim",2,IF(Atletas!H307="Taijiquan Mirim",3,IF(Atletas!H307="Changquan Grupo C",4,IF(Atletas!H307="Nanquan Grupo C",5,IF(Atletas!H307="Taijiquan Grupo C",6,IF(Atletas!H307="Changquan Grupo B",7,IF(Atletas!H307="Nanquan Grupo B",8,IF(Atletas!H307="Taijiquan Grupo B",9,IF(Atletas!H307="Changquan Grupo A",10,IF(Atletas!H307="Nanquan Grupo A",11,IF(Atletas!H307="Taijiquan Grupo A",12,IF(Atletas!H307="Changquan Opcional",13,IF(Atletas!H307="Nanquan Opcional",14,IF(Atletas!H307="Taijiquan Opcional",15,IF(Atletas!H307="Changquan Adulto",16,IF(Atletas!H307="Nanquan Adulto",17,IF(Atletas!H307="Taijiquan Adulto",18,""))))))))))))))))))))</f>
        <v/>
      </c>
      <c r="BG316" s="52" t="str">
        <f>IF(Atletas!I307="","",IF(Atletas!B307="Feminino",100,IF(Atletas!B307="Masculino",200,""))+(IF(Atletas!I307="Daoshu Mirim",19,IF(Atletas!I307="Jianshu Mirim",20,IF(Atletas!I307="Nandao Mirim",21,IF(Atletas!I307="Taijijian Mirim",22,IF(Atletas!I307="Daoshu Grupo C",23,IF(Atletas!I307="Jianshu Grupo C",24,IF(Atletas!I307="Nandao Grupo C",25,IF(Atletas!I307="Taijijian Grupo C",26,IF(Atletas!I307="Daoshu Grupo B",27,IF(Atletas!I307="Jianshu Grupo B",28,IF(Atletas!I307="Nandao Grupo B",29,IF(Atletas!I307="Taijijian Grupo B",30,IF(Atletas!I307="Daoshu Grupo A",31,IF(Atletas!I307="Jianshu Grupo A",32,IF(Atletas!I307="Nandao Grupo A",33,IF(Atletas!I307="Taijijian Grupo A",34,IF(Atletas!I307="Daoshu Opcional",35,IF(Atletas!I307="Jianshu Opcional",36,IF(Atletas!I307="Nandao Opcional",37,IF(Atletas!I307="Taijijian Opcional",38,IF(Atletas!I307="Daoshu Adulto",39,IF(Atletas!I307="Jianshu Adulto",40,IF(Atletas!I307="Nandao Adulto",41,IF(Atletas!I307="Taijijian Adulto",42,""))))))))))))))))))))))))))</f>
        <v/>
      </c>
      <c r="BH316" s="52" t="str">
        <f>IF(Atletas!J307="","",IF(Atletas!B307="Feminino",100,IF(Atletas!B307="Masculino",200,""))+(IF(Atletas!J307="Gunshu Mirim",43,IF(Atletas!J307="Qiangshu Mirim",44,IF(Atletas!J307="Nangun Mirim",45,IF(Atletas!J307="Gunshu Grupo C",46,IF(Atletas!J307="Qiangshu Grupo C",47,IF(Atletas!J307="Nangun Grupo C",48,IF(Atletas!J307="Gunshu Grupo B",49,IF(Atletas!J307="Qiangshu Grupo B",50,IF(Atletas!J307="Nangun Grupo B",51,IF(Atletas!J307="Gunshu Grupo A",52,IF(Atletas!J307="Qiangshu Grupo A",53,IF(Atletas!J307="Nangun Grupo A",54,IF(Atletas!J307="Gunshu Opcional",55,IF(Atletas!J307="Qiangshu Opcional",56,IF(Atletas!J307="Nangun Opcional",57,IF(Atletas!J307="Gunshu Adulto",58,IF(Atletas!J307="Qiangshu Adulto",59,IF(Atletas!J307="Nangun Adulto",60,IF(Atletas!J307="Taijishan Grupo B",61,IF(Atletas!J307="Taijishan Grupo A",62,""))))))))))))))))))))))</f>
        <v/>
      </c>
      <c r="BM316" s="50" t="str">
        <f>IF(Atletas!K307="","",IF(Atletas!B307="Feminino",100,IF(Atletas!B307="Masculino",200,""))+(IF(Atletas!K307="Equipe 1 Grupo B",1,IF(Atletas!K307="Equipe 2 Grupo B",2,IF(Atletas!K307="Equipe 1 Grupo A",3,IF(Atletas!K307="Equipe 2 Grupo A",4,IF(Atletas!K307="Equipe 1 Adulto",5,IF(Atletas!K307="Equipe 2 Adulto",6,""))))))))</f>
        <v/>
      </c>
      <c r="BR316" s="50" t="str">
        <f>IF(Atletas!L307="","",IF(Atletas!X307&lt;&gt;"",10000,0)+(IF(Atletas!B307="Feminino",1000,IF(Atletas!B307="Masculino",2000,""))+IF(Atletas!L307="Choylayfut A",1,IF(Atletas!L307="Hunggar A",2,IF(Atletas!L307="Wuzuquan A",3,IF(Atletas!L307="Wingchun A",4,IF(Atletas!L307="Outra Mão de Sul A",5,IF(Atletas!L307="Choylayfut B",6,IF(Atletas!L307="Hunggar B",7,IF(Atletas!L307="Wuzuquan B",8,IF(Atletas!L307="Wingchun B",9,IF(Atletas!L307="Outra Mão de Sul B",10,IF(Atletas!L307="Choylayfut C",11,IF(Atletas!L307="Hunggar C",12,IF(Atletas!L307="Wuzuquan C",13,IF(Atletas!L307="Wingchun C",14,IF(Atletas!L307="Outra Mão de Sul C",15,IF(Atletas!L307="Choylayfut D",16,IF(Atletas!L307="Hunggar D",17,IF(Atletas!L307="Wuzuquan D",18,IF(Atletas!L307="Wingchun D",19,IF(Atletas!L307="Outra Mão de Sul D",20,IF(Atletas!L307="Choylayfut E",21,IF(Atletas!L307="Hunggar E",22,IF(Atletas!L307="Wuzuquan E",23,IF(Atletas!L307="Wingchun E",24,IF(Atletas!L307="Outra Mão de Sul E",25,IF(Atletas!L307="Choylayfut F",26,IF(Atletas!L307="Hunggar F",27,IF(Atletas!L307="Wuzuquan F",28,IF(Atletas!L307="Wingchun F",29,IF(Atletas!L307="Outra Mão de Sul F",30,IF(Atletas!L307="Dishuquan A",31,IF(Atletas!L307="Dishuquan B",32,IF(Atletas!L307="Dishuquan C",33,IF(Atletas!L307="Dishuquan D",34,IF(Atletas!L307="Dishuquan E",35,IF(Atletas!L307="Dishuquan F",36,""))))))))))))))))))))))))))))))))))))))</f>
        <v/>
      </c>
      <c r="BS316" s="50" t="str">
        <f>IF(Atletas!M307="","",IF(Atletas!X307&lt;&gt;"",10000,0)+(IF(Atletas!B307="Feminino",1000,IF(Atletas!B307="Masculino",2000,""))+(IF(Atletas!M307="Chaquan A",101,IF(Atletas!M307="Emeiquan A",102,IF(Atletas!M307="Fanziquan A",103,IF(Atletas!M307="Huaquan A",104,IF(Atletas!M307="Hongquan A",105,IF(Atletas!M307="Paoquan A",106,IF(Atletas!M307="Piguaquan A",107,IF(Atletas!M307="Shaolinquan A",108,IF(Atletas!M307="Tanglangquan A",109,IF(Atletas!M307="Yingzhaoquan A",110,IF(Atletas!M307="Tongbeiquan A",111,IF(Atletas!M307="Wudangquan A",112,IF(Atletas!M307="Outros Estilos A",113,IF(Atletas!M307="Chaquan B",114,IF(Atletas!M307="Emeiquan B",115,IF(Atletas!M307="Fanziquan B",116,IF(Atletas!M307="Huaquan B",117,IF(Atletas!M307="Hongquan B",118,IF(Atletas!M307="Paoquan B",119,IF(Atletas!M307="Piguaquan B",120,IF(Atletas!M307="Shaolinquan B",121,IF(Atletas!M307="Tanglangquan B",122,IF(Atletas!M307="Yingzhaoquan B",123,IF(Atletas!M307="Tongbeiquan B",124,IF(Atletas!M307="Wudangquan B",125,IF(Atletas!M307="Outros Estilos B",126,IF(Atletas!M307="Chaquan C",127,IF(Atletas!M307="Emeiquan C",128,IF(Atletas!M307="Fanziquan C",129,IF(Atletas!M307="Huaquan C",130,IF(Atletas!M307="Hongquan C",131,IF(Atletas!M307="Paoquan C",132,IF(Atletas!M307="Piguaquan C",133,IF(Atletas!M307="Shaolinquan C",134,IF(Atletas!M307="Tanglangquan C",135,IF(Atletas!M307="Yingzhaoquan C",136,IF(Atletas!M307="Tongbeiquan C",137,IF(Atletas!M307="Wudangquan C",138,IF(Atletas!M307="Outros Estilos C",139,0))))))))))))))))))))))))))))))))))))))))))</f>
        <v/>
      </c>
      <c r="BT316" s="50" t="str">
        <f>IF(Atletas!M307="","",IF(Atletas!X307&lt;&gt;"",10000,0)+(IF(Atletas!B307="Feminino",1000,IF(Atletas!B307="Masculino",2000,""))+(IF(Atletas!M307="Chaquan D",140,IF(Atletas!M307="Emeiquan D",141,IF(Atletas!M307="Fanziquan D",142,IF(Atletas!M307="Huaquan D",143,IF(Atletas!M307="Hongquan D",144,IF(Atletas!M307="Paoquan D",145,IF(Atletas!M307="Piguaquan D",146,IF(Atletas!M307="Shaolinquan D",147,IF(Atletas!M307="Tanglangquan D",148,IF(Atletas!M307="Yingzhaoquan D",149,IF(Atletas!M307="Tongbeiquan D",150,IF(Atletas!M307="Wudangquan D",151,IF(Atletas!M307="Outros Estilos D",152,IF(Atletas!M307="Chaquan E",153,IF(Atletas!M307="Emeiquan E",154,IF(Atletas!M307="Fanziquan E",155,IF(Atletas!M307="Huaquan E",156,IF(Atletas!M307="Hongquan E",157,IF(Atletas!M307="Paoquan E",158,IF(Atletas!M307="Piguaquan E",159,IF(Atletas!M307="Shaolinquan E",160,IF(Atletas!M307="Tanglangquan E",161,IF(Atletas!M307="Yingzhaoquan E",162,IF(Atletas!M307="Tongbeiquan E",163,IF(Atletas!M307="Wudangquan E",164,IF(Atletas!M307="Outros Estilos E",165,IF(Atletas!M307="Chaquan F",166,IF(Atletas!M307="Emeiquan F",167,IF(Atletas!M307="Fanziquan F",168,IF(Atletas!M307="Huaquan F",169,IF(Atletas!M307="Hongquan F",170,IF(Atletas!M307="Paoquan F",171,IF(Atletas!M307="Piguaquan F",172,IF(Atletas!M307="Shaolinquan F",173,IF(Atletas!M307="Tanglangquan F",174,IF(Atletas!M307="Yingzhaoquan F",175,IF(Atletas!M307="Tongbeiquan F",176,IF(Atletas!M307="Wudangquan F",177,IF(Atletas!M307="Outros Estilos F",178,0))))))))))))))))))))))))))))))))))))))))))</f>
        <v/>
      </c>
      <c r="BU316" s="50" t="str">
        <f>IF(Atletas!N307="","",IF(Atletas!X307&lt;&gt;"",10000,0)+(IF(Atletas!B307="Feminino",1000,IF(Atletas!B307="Masculino",2000,""))+(IF(Atletas!N307="Ditangquan A",201,IF(Atletas!N307="Houquan A",202,IF(Atletas!N307="Zuiquan A",203,IF(Atletas!N307="Ditangquan B",204,IF(Atletas!N307="Houquan B",205,IF(Atletas!N307="Zuiquan B",206,IF(Atletas!N307="Ditangquan C",207,IF(Atletas!N307="Houquan C",208,IF(Atletas!N307="Zuiquan C",209,IF(Atletas!N307="Ditangquan D",210,IF(Atletas!N307="Houquan D",211,IF(Atletas!N307="Zuiquan D",212,IF(Atletas!N307="Ditangquan E",213,IF(Atletas!N307="Houquan E",214,IF(Atletas!N307="Zuiquan E",215,IF(Atletas!N307="Ditangquan F",216,IF(Atletas!N307="Houquan F",217,IF(Atletas!N307="Zuiquan F",218,"")))))))))))))))))))))</f>
        <v/>
      </c>
      <c r="BV316" s="50" t="str">
        <f>IF(Atletas!O307="","",IF(Atletas!X307&lt;&gt;"",10000,0)+IF(Atletas!B307="Feminino",1000,IF(Atletas!B307="Masculino",2000,""))+IF(Atletas!O307="Yang A",301,IF(Atletas!O307="Chen A",302,IF(Atletas!O307="Sun A",303,IF(Atletas!O307="Wu A",304,IF(Atletas!O307="Wu-Hao A",305,IF(Atletas!O307="Outro Taijiquan A",306,IF(Atletas!O307="Yang B",307,IF(Atletas!O307="Chen B",308,IF(Atletas!O307="Sun B",309,IF(Atletas!O307="Wu B",310,IF(Atletas!O307="Wu-Hao B",311,IF(Atletas!O307="Outro Taijiquan B",312,IF(Atletas!O307="Yang C",313,IF(Atletas!O307="Chen C",314,IF(Atletas!O307="Sun C",315,IF(Atletas!O307="Wu C",316,IF(Atletas!O307="Wu-Hao C",317,IF(Atletas!O307="Outro Taijiquan C",318,IF(Atletas!O307="Yang D",319,IF(Atletas!O307="Chen D",320,IF(Atletas!O307="Sun D",321,IF(Atletas!O307="Wu D",322,IF(Atletas!O307="Wu-Hao D",323,IF(Atletas!O307="Outro Taijiquan D",324,IF(Atletas!O307="Yang E",325,IF(Atletas!O307="Chen E",326,IF(Atletas!O307="Sun E",327,IF(Atletas!O307="Wu E",328,IF(Atletas!O307="Wu-Hao E",329,IF(Atletas!O307="Outro Taijiquan E",330,IF(Atletas!O307="Yang F",331,IF(Atletas!O307="Chen F",332,IF(Atletas!O307="Sun F",333,IF(Atletas!O307="Wu F",334,IF(Atletas!O307="Wu-Hao F",335,IF(Atletas!O307="Outro Taijiquan F",336,"")))))))))))))))))))))))))))))))))))))</f>
        <v/>
      </c>
      <c r="BW316" s="50" t="str">
        <f>IF(Atletas!P307="","",IF(Atletas!X307&lt;&gt;"",10000,0)+IF(Atletas!B307="Feminino",1000,IF(Atletas!B307="Masculino",2000,""))+IF(OR(Atletas!P307="Yang 26 A",Atletas!P307="Yang 40 A"),401,IF(OR(Atletas!P307="Chen 25 A",Atletas!P307="Chen 36 A",Atletas!P307="Chen 56 A"),402,IF(Atletas!P307="Sun 73 A",403,IF(Atletas!P307="Wu 45 A",404,IF(Atletas!P307="Wu-Hao 46 A",405,IF(OR(Atletas!P307="Taijiquan 16 A",Atletas!P307="Taijiquan 24 A",Atletas!P307="Taijiquan 32 A",Atletas!P307="Taijiquan 42 A"),406,IF(OR(Atletas!P307="Yang 26 B",Atletas!P307="Yang 40 B"),407,IF(OR(Atletas!P307="Chen 25 B",Atletas!P307="Chen 36 B",Atletas!P307="Chen 56 B"),408,IF(Atletas!P307="Sun 73 B",409,IF(Atletas!P307="Wu 45 B",410,IF(Atletas!P307="Wu-Hao 46 B",411,IF(OR(Atletas!P307="Taijiquan 16 B",Atletas!P307="Taijiquan 24 B",Atletas!P307="Taijiquan 32 B",Atletas!P307="Taijiquan 42 B"),412,IF(OR(Atletas!P307="Yang 26 C",Atletas!P307="Yang 40 C"),413,IF(OR(Atletas!P307="Chen 25 C",Atletas!P307="Chen 36 C",Atletas!P307="Chen 56 C"),414,IF(Atletas!P307="Sun 73 C",415,IF(Atletas!P307="Wu 45 C",416,IF(Atletas!P307="Wu-Hao 46 C",417,IF(OR(Atletas!P307="Taijiquan 16 C",Atletas!P307="Taijiquan 24 C",Atletas!P307="Taijiquan 32 C",Atletas!P307="Taijiquan 42 C"),418,0)))))))))))))))))))</f>
        <v/>
      </c>
      <c r="BX316" s="50" t="str">
        <f>IF(Atletas!P307="","",IF(Atletas!X307&lt;&gt;"",10000,0)+IF(Atletas!B307="Feminino",1000,IF(Atletas!B307="Masculino",2000,""))+IF(OR(Atletas!P307="Yang 26 D",Atletas!P307="Yang 40 D"),419,IF(OR(Atletas!P307="Chen 25 D",Atletas!P307="Chen 36 D",Atletas!P307="Chen 56 D"),420,IF(Atletas!P307="Sun 73 D",421,IF(Atletas!P307="Wu 45 D",422,IF(Atletas!P307="Wu-Hao 46 D",423,IF(OR(Atletas!P307="Taijiquan 16 D",Atletas!P307="Taijiquan 24 D",Atletas!P307="Taijiquan 32 D",Atletas!P307="Taijiquan 42 D"),424,IF(OR(Atletas!P307="Yang 26 E",Atletas!P307="Yang 40 E"),425,IF(OR(Atletas!P307="Chen 25 E",Atletas!P307="Chen 36 E",Atletas!P307="Chen 56 E"),426,IF(Atletas!P307="Sun 73 E",427,IF(Atletas!P307="Wu 45 E",428,IF(Atletas!P307="Wu-Hao 46 E",429,IF(OR(Atletas!P307="Taijiquan 16 E",Atletas!P307="Taijiquan 24 E",Atletas!P307="Taijiquan 32 E",Atletas!P307="Taijiquan 42 E"),430,IF(OR(Atletas!P307="Yang 26 F",Atletas!P307="Yang 40 F"),431,IF(OR(Atletas!P307="Chen 25 F",Atletas!P307="Chen 36 F",Atletas!P307="Chen 56 F"),432,IF(Atletas!P307="Sun 73 F",433,IF(Atletas!P307="Wu 45 F",434,IF(Atletas!P307="Wu-Hao 46 F",435,IF(OR(Atletas!P307="Taijiquan 16 F",Atletas!P307="Taijiquan 24 F",Atletas!P307="Taijiquan 32 F",Atletas!P307="Taijiquan 42 F"),436,0)))))))))))))))))))</f>
        <v/>
      </c>
      <c r="BY316" s="50" t="str">
        <f>IF(Atletas!Q307="","",IF(Atletas!X307&lt;&gt;"",10000,0)+IF(Atletas!B307="Feminino",1000,IF(Atletas!B307="Masculino",2000,""))+IF(Atletas!Q307="Xingyiquan A",501,IF(Atletas!Q307="Baguazhang A",502,IF(Atletas!Q307="Outro Estilo Interno A",503,IF(Atletas!Q307="Xingyiquan B",504,IF(Atletas!Q307="Baguazhang B",505,IF(Atletas!Q307="Outro Estilo Interno B",506,IF(Atletas!Q307="Xingyiquan C",507,IF(Atletas!Q307="Baguazhang C",508,IF(Atletas!Q307="Outro Estilo Interno C",509,IF(Atletas!Q307="Xingyiquan D",510,IF(Atletas!Q307="Baguazhang D",511,IF(Atletas!Q307="Outro Estilo Interno D",512,IF(Atletas!Q307="Xingyiquan E",513,IF(Atletas!Q307="Baguazhang E",514,IF(Atletas!Q307="Outro Estilo Interno E",515,IF(Atletas!Q307="Xingyiquan F",516,IF(Atletas!Q307="Baguazhang F",517,IF(Atletas!Q307="Outro Estilo Interno F",518, "")))))))))))))))))))</f>
        <v/>
      </c>
      <c r="BZ316" s="50" t="str">
        <f>IF(Atletas!R307="","",IF(Atletas!X307&lt;&gt;"",10000,0)+IF(Atletas!B307="Feminino",1000,IF(Atletas!B307="Masculino",2000,""))+IF(Atletas!R307="Dao A",601,IF(Atletas!R307="Jian A",602,IF(Atletas!R307="Bishou A",603,IF(Atletas!R307="Shanzi A",604,IF(Atletas!R307="Outra Arma Curta A",605,IF(Atletas!R307="Dao B",606,IF(Atletas!R307="Jian B",607,IF(Atletas!R307="Bishou B",608,IF(Atletas!R307="Shanzi B",609,IF(Atletas!R307="Outra Arma Curta B",610,IF(Atletas!R307="Dao C",611,IF(Atletas!R307="Jian C",612,IF(Atletas!R307="Bishou C",613,IF(Atletas!R307="Shanzi C",614,IF(Atletas!R307="Outra Arma Curta C",615,IF(Atletas!R307="Dao D",616,IF(Atletas!R307="Jian D",617,IF(Atletas!R307="Bishou D",618,IF(Atletas!R307="Shanzi D",619,IF(Atletas!R307="Outra Arma Curta D",620,IF(Atletas!R307="Dao E",621,IF(Atletas!R307="Jian E",622,IF(Atletas!R307="Bishou E",623,IF(Atletas!R307="Shanzi E",624,IF(Atletas!R307="Outra Arma Curta E",625,IF(Atletas!R307="Dao F",626,IF(Atletas!R307="Jian F",627,IF(Atletas!R307="Bishou F",628,IF(Atletas!R307="Shanzi F",629,IF(Atletas!R307="Outra Arma Curta F",630, "")))))))))))))))))))))))))))))))</f>
        <v/>
      </c>
      <c r="CA316" s="50" t="str">
        <f>IF(Atletas!S307="","",IF(Atletas!X307&lt;&gt;"",10000,0)+IF(Atletas!B307="Feminino",1000,IF(Atletas!B307="Masculino",2000,""))+IF(Atletas!S307="Gun A",701,IF(Atletas!S307="Qiang A",702,IF(Atletas!S307="Pudao / Guandao A",703,IF(Atletas!S307="Outra Arma Longa A",704,IF(Atletas!S307="Gun B",705,IF(Atletas!S307="Qiang B",706,IF(Atletas!S307="Pudao / Guandao B",707,IF(Atletas!S307="Outra Arma Longa B",708,IF(Atletas!S307="Gun C",709,IF(Atletas!S307="Qiang C",710,IF(Atletas!S307="Pudao / Guandao C",711,IF(Atletas!S307="Outra Arma Longa C",712,IF(Atletas!S307="Gun D",713,IF(Atletas!S307="Qiang D",714,IF(Atletas!S307="Pudao / Guandao D",715,IF(Atletas!S307="Outra Arma Longa D",716,IF(Atletas!S307="Gun E",717,IF(Atletas!S307="Qiang E",718,IF(Atletas!S307="Pudao / Guandao E",719,IF(Atletas!S307="Outra Arma Longa E",720,IF(Atletas!S307="Gun F",721,IF(Atletas!S307="Qiang F",722,IF(Atletas!S307="Pudao / Guandao F",723,IF(Atletas!S307="Outra Arma Longa F",724,"")))))))))))))))))))))))))</f>
        <v/>
      </c>
      <c r="CB316" s="50" t="str">
        <f>IF(Atletas!T307="","",IF(Atletas!X307&lt;&gt;"",10000,0)+IF(Atletas!B307="Feminino",1000,IF(Atletas!B307="Masculino",2000,""))+IF(Atletas!T307="Outra Arma Dupla A",801,IF(Atletas!T307="Arma Maleável A",802,IF(Atletas!T307="Outra Arma Dupla B",803,IF(Atletas!T307="Arma Maleável B",804,IF(Atletas!T307="Outra Arma Dupla C",805,IF(Atletas!T307="Arma Maleável C",806,IF(Atletas!T307="Outra Arma Dupla D",807,IF(Atletas!T307="Arma Maleável D",808,IF(Atletas!T307="Outra Arma Dupla E",809,IF(Atletas!T307="Arma Maleável E",810,IF(Atletas!T307="Outra Arma Dupla F",811,IF(Atletas!T307="Arma Maleável F",812,IF(Atletas!T307="Shuangdao A",813,IF(Atletas!T307="Shuangdao B",814,IF(Atletas!T307="Shuangdao C",815,IF(Atletas!T307="Shuangdao D",816,IF(Atletas!T307="Shuangdao E",817,IF(Atletas!T307="Shuangdao F",818,"")))))))))))))))))))</f>
        <v/>
      </c>
      <c r="CC316" s="50" t="str">
        <f>IF(Atletas!U307="","",IF(Atletas!X307&lt;&gt;"",10000,0)+IF(Atletas!B307="Feminino",1000,IF(Atletas!B307="Masculino",2000,""))+IF(OR(Atletas!U307="Taijijian Yang A",Atletas!U307="Taijijian Yang Standard A"),901,IF(OR(Atletas!U307="Taijijian Chen A", Atletas!U307="Taijijian Chen Standard A"),902,IF(Atletas!U307="Taijijian Sun A",903,IF(Atletas!U307="Taijijian Wu A",904,IF(Atletas!U307="Taijijian Wu-Hao A",905,IF(OR(Atletas!U307="Taijijian 32 A",Atletas!U307="Taijijian 42 A"),906,IF(OR(Atletas!U307="Taijijian Yang B",Atletas!U307="Taijijian Yang Standard B"),907,IF(OR(Atletas!U307="Taijijian Chen B", Atletas!U307="Taijijian Chen Standard B"),908,IF(Atletas!U307="Taijijian Sun B",909,IF(Atletas!U307="Taijijian Wu B",910,IF(Atletas!U307="Taijijian Wu-Hao B",911,IF(OR(Atletas!U307="Taijijian 32 B",Atletas!U307="Taijijian 42 B"),912,IF(OR(Atletas!U307="Taijijian Yang C",Atletas!U307="Taijijian Yang Standard C"),913,IF(OR(Atletas!U307="Taijijian Chen C", Atletas!U307="Taijijian Chen Standard C"),914,IF(Atletas!U307="Taijijian Sun C",915,IF(Atletas!U307="Taijijian Wu C",916,IF(Atletas!U307="Taijijian Wu-Hao C",917,IF(OR(Atletas!U307="Taijijian 32 C",Atletas!U307="Taijijian 42 C"),918,IF(OR(Atletas!U307="Taijijian Yang D",Atletas!U307="Taijijian Yang Standard D"),919,IF(OR(Atletas!U307="Taijijian Chen D", Atletas!U307="Taijijian Chen Standard D"),920,IF(Atletas!U307="Taijijian Sun D",921,IF(Atletas!U307="Taijijian Wu D",922,IF(Atletas!U307="Taijijian Wu-Hao D",923,IF(OR(Atletas!U307="Taijijian 32 D",Atletas!U307="Taijijian 42 D"),924,IF(OR(Atletas!U307="Taijijian Yang E",Atletas!U307="Taijijian Yang Standard E"),925,IF(OR(Atletas!U307="Taijijian Chen E", Atletas!U307="Taijijian Chen Standard E"),926,IF(Atletas!U307="Taijijian Sun E",927,IF(Atletas!U307="Taijijian Wu E",928,IF(Atletas!U307="Taijijian Wu-Hao E",929,IF(OR(Atletas!U307="Taijijian 32 E",Atletas!U307="Taijijian 42 E"),930,IF(OR(Atletas!U307="Taijijian Yang F",Atletas!U307="Taijijian Yang Standard F"),931,IF(OR(Atletas!U307="Taijijian Chen F", Atletas!U307="Taijijian Chen Standard F"),932,IF(Atletas!U307="Taijijian Sun F",933,IF(Atletas!U307="Taijijian Wu F",934,IF(Atletas!U307="Taijijian Wu-Hao F",935,IF(OR(Atletas!U307="Taijijian 32 F",Atletas!U307="Taijijian 42 F"),936,"")))))))))))))))))))))))))))))))))))))</f>
        <v/>
      </c>
      <c r="CD316" s="50" t="str">
        <f>IF(Atletas!V307="","",IF(Atletas!X307&lt;&gt;"",10000,0)+IF(Atletas!B307="Feminino",1000,IF(Atletas!B307="Masculino",2000,""))+IF(Atletas!V307="Taijidao A",937,IF(Atletas!V307="TaijiShanzi A",938,IF(Atletas!V307="Taijiqiang A",939,IF(Atletas!V307="Bagua de Arma A",940,IF(Atletas!V307="Xingyi de Arma A",941,IF(Atletas!V307="Taijidao B",942,IF(Atletas!V307="TaijiShanzi B",943,IF(Atletas!V307="Taijiqiang B",944,IF(Atletas!V307="Bagua de Arma B",945,IF(Atletas!V307="Xingyi de Arma B",946,IF(Atletas!V307="Taijidao C",947,IF(Atletas!V307="TaijiShanzi C",948,IF(Atletas!V307="Taijiqiang C",949,IF(Atletas!V307="Bagua de Arma C",950,IF(Atletas!V307="Xingyi de Arma C",951,IF(Atletas!V307="Taijidao D",952,IF(Atletas!V307="TaijiShanzi D",953,IF(Atletas!V307="Taijiqiang D",954,IF(Atletas!V307="Bagua de Arma D",955,IF(Atletas!V307="Xingyi de Arma D",956,IF(Atletas!V307="Taijidao E",957,IF(Atletas!V307="TaijiShanzi E",958,IF(Atletas!V307="Taijiqiang E",959,IF(Atletas!V307="Bagua de Arma E",960,IF(Atletas!V307="Xingyi de Arma E",961,IF(Atletas!V307="Taijidao F",962,IF(Atletas!V307="TaijiShanzi F",963,IF(Atletas!V307="Taijiqiang F",964,IF(Atletas!V307="Bagua de Arma F",965,IF(Atletas!V307="Xingyi de Arma F",966,"")))))))))))))))))))))))))))))))</f>
        <v/>
      </c>
      <c r="CE316" s="66" t="str">
        <f>IF(CF316&lt;&gt;"","Taijijian Wu C","")</f>
        <v/>
      </c>
      <c r="CF316" s="6" t="str">
        <f>IF(COUNTIF(BR:CD,1916)&gt;0,COUNTIF(BR:CD,1916),"")</f>
        <v/>
      </c>
      <c r="CG316" s="66" t="str">
        <f>IF(CH316&lt;&gt;"","Taijijian Wu C","")</f>
        <v/>
      </c>
      <c r="CH316" s="66" t="str">
        <f>IF(COUNTIF(BR:CD,2916)&gt;0,COUNTIF(BR:CD,2916),"")</f>
        <v/>
      </c>
      <c r="CI316" s="66" t="str">
        <f>IF(CJ317&lt;&gt;"","Taijijian Wu-Hao E","")</f>
        <v/>
      </c>
      <c r="CJ316" s="66" t="str">
        <f>IF(COUNTIF(BR:CD,11928)&gt;0,COUNTIF(BR:CD,11928),"")</f>
        <v/>
      </c>
      <c r="CK316" s="66" t="str">
        <f>IF(CL316&lt;&gt;"","Taijijian Wu E","")</f>
        <v/>
      </c>
      <c r="CL316" s="66" t="str">
        <f>IF(COUNTIF(BR:CD,12928)&gt;0,COUNTIF(BR:CD,12928),"")</f>
        <v/>
      </c>
      <c r="CM316" s="50" t="str">
        <f xml:space="preserve"> IF(Atletas!W307="","",IF(Atletas!W307="Duilian de Mãos BC - Equipe 1",1,IF(Atletas!W307="Duilian de Mãos BC - Equipe 2",2,IF(Atletas!W307="Duilian de Armas BC - Equipe 1",3,IF(Atletas!W307="Duilian de Armas BC - Equipe 2",4,IF(Atletas!W307="Duilian de Mãos DE - Equipe 1",5,IF(Atletas!W307="Duilian de Mãos DE - Equipe 2",6,IF(Atletas!W307="Duilian de Armas DE - Equipe 1",7,IF(Atletas!W307="Duilian de Armas DE - Equipe 2",8,IF(Atletas!W307="Duilian de Tuishou - Equipe 1",9,IF(Atletas!W307="Duilian de Tuishou - Equipe 2",10,IF(Atletas!W307="Grupo Externo ABC - Equipe 1",11,IF(Atletas!W307="Grupo Externo ABC - Equipe 2",12,IF(Atletas!W307="Grupo Interno ABC - Equipe 1",13,IF(Atletas!W307="Grupo Interno ABC - Equipe 2",14,IF(Atletas!W307="Grupo Externo DEF - Equipe 1",15,IF(Atletas!W307="Grupo Externo DEF - Equipe 2",16,IF(Atletas!W307="Grupo Interno DEF - Equipe 1",17,IF(Atletas!W307="Grupo Interno DEF - Equipe 2",18,"")))))))))))))))))))</f>
        <v/>
      </c>
    </row>
    <row r="317" spans="40:91">
      <c r="AN317" s="52" t="str">
        <f>IF(Atletas!D308="","",IF(Atletas!B308="Feminino",100,IF(Atletas!B308="Masculino",200,""))+(IF(Atletas!D308="Kids 30kg",1,IF(Atletas!D308="Kids 32kg",2, IF(Atletas!D308="Kids 34kg",3,IF(Atletas!D308="Kids 36kg",4,IF(Atletas!D308="Kids 39kg",5,IF(Atletas!D308="Kids 42kg",6,IF(Atletas!D308="Kids 45kg",7, IF(Atletas!D308="Infantil 39kg",8,IF(Atletas!D308="Infantil 42kg",9,IF(Atletas!D308="Infantil 45kg",10,IF(Atletas!D308="Infantil 48kg",11,IF(Atletas!D308="Infantil 52kg",12,IF(Atletas!D308="Infantil 56kg",13,IF(Atletas!D308="Infantil 60kg",14,IF(Atletas!D308="Juvenil 48kg",15,IF(Atletas!D308="Juvenil 52kg",16,IF(Atletas!D308="Juvenil 56kg",17,IF(Atletas!D308="Juvenil 60kg",18,IF(Atletas!D308="Juvenil 65kg",19,IF(Atletas!D308="Juvenil 70kg",20,IF(Atletas!D308="Juvenil 75kg",21,IF(Atletas!D308="Juvenil 80kg",22, IF(Atletas!D308="Juvenil 85kg",23,IF(Atletas!D308="Adulto 48kg",24,IF(Atletas!D308="Adulto 52kg",25,IF(Atletas!D308="Adulto 56kg",26,IF(Atletas!D308="Adulto 60kg",27,IF(Atletas!D308="Adulto 65kg",28,IF(Atletas!D308="Adulto 70kg",29,IF(Atletas!D308="Adulto 75kg",30,IF(Atletas!D308="Adulto 80kg",31,IF(Atletas!D308="Adulto 85kg",32,IF(Atletas!D308="Adulto 90kg",33,IF(Atletas!D308="Adulto 100kg",34, IF(Atletas!D308="Adulto +100kg",35,"")))))))))))))))))))))))))))))))))))))</f>
        <v/>
      </c>
      <c r="AS317" s="6" t="str">
        <f>IF(Atletas!E308="","",IF(Atletas!B308="Feminino",100,IF(Atletas!B308="Masculino",200,""))+(IF(Atletas!E308="Juvenil 44kg",1,IF(Atletas!E308="Juvenil 48kg",2,IF(Atletas!E308="Juvenil 52kg",3,IF(Atletas!E308="Juvenil 56kg",4,IF(Atletas!E308="Juvenil 60kg",5,IF(Atletas!E308="Juvenil 65kg",6,IF(Atletas!E308="Juvenil 70kg",7,IF(Atletas!E308="Juvenil 75kg",8,IF(Atletas!E308="Juvenil 82kg",9,IF(Atletas!E308="Juvenil 90kg",10,IF(Atletas!E308="Juvenil 100kg",11,IF(Atletas!E308="Adulto 48kg",12,IF(Atletas!E308="Adulto 52kg",13,IF(Atletas!E308="Adulto 56kg",14,IF(Atletas!E308="Adulto 60kg",15,IF(Atletas!E308="Adulto 65kg",16,IF(Atletas!E308="Adulto 70kg",17,IF(Atletas!E308="Adulto 75kg",18,IF(Atletas!E308="Adulto 82kg",19,IF(Atletas!E308="Adulto 90kg",20,IF(Atletas!E308="Adulto 100kg",21,IF(Atletas!E308="Adulto +100kg",22,""))))))))))))))))))))))))</f>
        <v/>
      </c>
      <c r="AX317" s="6" t="str">
        <f>IF(Atletas!F308="","",IF(Atletas!B308="Feminino",100,IF(Atletas!B308="Masculino",200,""))+(IF(Atletas!F308="Adulto 48kg",1,IF(Atletas!F308="Adulto 56kg",2,IF(Atletas!F308="Adulto 65kg",3,IF(Atletas!F308="Adulto 75kg",4,IF(Atletas!F308="Adulto +75kg",5,IF(Atletas!F308="Adulto 52kg",6,IF(Atletas!F308="Adulto 60kg",7,IF(Atletas!F308="Adulto 70kg",8,IF(Atletas!F308="Adulto 80kg",9,IF(Atletas!F308="Adulto 90kg",10,IF(Atletas!F308="Adulto +90kg",11,"")))))))))))))</f>
        <v/>
      </c>
      <c r="BC317" s="6" t="str">
        <f>IF(Atletas!G308="","",IF(Atletas!B308="Feminino",10,IF(Atletas!B308="Masculino",20,""))+(IF(Atletas!G308="Baduanjin A",1,IF(Atletas!G308="Baduanjin B",2))))</f>
        <v/>
      </c>
      <c r="BF317" s="52" t="str">
        <f>IF(Atletas!H308="","",IF(Atletas!B308="Feminino",100,IF(Atletas!B308="Masculino",200,""))+(IF(Atletas!H308="Changquan Mirim",1,IF(Atletas!H308="Nanquan Mirim",2,IF(Atletas!H308="Taijiquan Mirim",3,IF(Atletas!H308="Changquan Grupo C",4,IF(Atletas!H308="Nanquan Grupo C",5,IF(Atletas!H308="Taijiquan Grupo C",6,IF(Atletas!H308="Changquan Grupo B",7,IF(Atletas!H308="Nanquan Grupo B",8,IF(Atletas!H308="Taijiquan Grupo B",9,IF(Atletas!H308="Changquan Grupo A",10,IF(Atletas!H308="Nanquan Grupo A",11,IF(Atletas!H308="Taijiquan Grupo A",12,IF(Atletas!H308="Changquan Opcional",13,IF(Atletas!H308="Nanquan Opcional",14,IF(Atletas!H308="Taijiquan Opcional",15,IF(Atletas!H308="Changquan Adulto",16,IF(Atletas!H308="Nanquan Adulto",17,IF(Atletas!H308="Taijiquan Adulto",18,""))))))))))))))))))))</f>
        <v/>
      </c>
      <c r="BG317" s="52" t="str">
        <f>IF(Atletas!I308="","",IF(Atletas!B308="Feminino",100,IF(Atletas!B308="Masculino",200,""))+(IF(Atletas!I308="Daoshu Mirim",19,IF(Atletas!I308="Jianshu Mirim",20,IF(Atletas!I308="Nandao Mirim",21,IF(Atletas!I308="Taijijian Mirim",22,IF(Atletas!I308="Daoshu Grupo C",23,IF(Atletas!I308="Jianshu Grupo C",24,IF(Atletas!I308="Nandao Grupo C",25,IF(Atletas!I308="Taijijian Grupo C",26,IF(Atletas!I308="Daoshu Grupo B",27,IF(Atletas!I308="Jianshu Grupo B",28,IF(Atletas!I308="Nandao Grupo B",29,IF(Atletas!I308="Taijijian Grupo B",30,IF(Atletas!I308="Daoshu Grupo A",31,IF(Atletas!I308="Jianshu Grupo A",32,IF(Atletas!I308="Nandao Grupo A",33,IF(Atletas!I308="Taijijian Grupo A",34,IF(Atletas!I308="Daoshu Opcional",35,IF(Atletas!I308="Jianshu Opcional",36,IF(Atletas!I308="Nandao Opcional",37,IF(Atletas!I308="Taijijian Opcional",38,IF(Atletas!I308="Daoshu Adulto",39,IF(Atletas!I308="Jianshu Adulto",40,IF(Atletas!I308="Nandao Adulto",41,IF(Atletas!I308="Taijijian Adulto",42,""))))))))))))))))))))))))))</f>
        <v/>
      </c>
      <c r="BH317" s="52" t="str">
        <f>IF(Atletas!J308="","",IF(Atletas!B308="Feminino",100,IF(Atletas!B308="Masculino",200,""))+(IF(Atletas!J308="Gunshu Mirim",43,IF(Atletas!J308="Qiangshu Mirim",44,IF(Atletas!J308="Nangun Mirim",45,IF(Atletas!J308="Gunshu Grupo C",46,IF(Atletas!J308="Qiangshu Grupo C",47,IF(Atletas!J308="Nangun Grupo C",48,IF(Atletas!J308="Gunshu Grupo B",49,IF(Atletas!J308="Qiangshu Grupo B",50,IF(Atletas!J308="Nangun Grupo B",51,IF(Atletas!J308="Gunshu Grupo A",52,IF(Atletas!J308="Qiangshu Grupo A",53,IF(Atletas!J308="Nangun Grupo A",54,IF(Atletas!J308="Gunshu Opcional",55,IF(Atletas!J308="Qiangshu Opcional",56,IF(Atletas!J308="Nangun Opcional",57,IF(Atletas!J308="Gunshu Adulto",58,IF(Atletas!J308="Qiangshu Adulto",59,IF(Atletas!J308="Nangun Adulto",60,IF(Atletas!J308="Taijishan Grupo B",61,IF(Atletas!J308="Taijishan Grupo A",62,""))))))))))))))))))))))</f>
        <v/>
      </c>
      <c r="BM317" s="50" t="str">
        <f>IF(Atletas!K308="","",IF(Atletas!B308="Feminino",100,IF(Atletas!B308="Masculino",200,""))+(IF(Atletas!K308="Equipe 1 Grupo B",1,IF(Atletas!K308="Equipe 2 Grupo B",2,IF(Atletas!K308="Equipe 1 Grupo A",3,IF(Atletas!K308="Equipe 2 Grupo A",4,IF(Atletas!K308="Equipe 1 Adulto",5,IF(Atletas!K308="Equipe 2 Adulto",6,""))))))))</f>
        <v/>
      </c>
      <c r="BR317" s="50" t="str">
        <f>IF(Atletas!L308="","",IF(Atletas!X308&lt;&gt;"",10000,0)+(IF(Atletas!B308="Feminino",1000,IF(Atletas!B308="Masculino",2000,""))+IF(Atletas!L308="Choylayfut A",1,IF(Atletas!L308="Hunggar A",2,IF(Atletas!L308="Wuzuquan A",3,IF(Atletas!L308="Wingchun A",4,IF(Atletas!L308="Outra Mão de Sul A",5,IF(Atletas!L308="Choylayfut B",6,IF(Atletas!L308="Hunggar B",7,IF(Atletas!L308="Wuzuquan B",8,IF(Atletas!L308="Wingchun B",9,IF(Atletas!L308="Outra Mão de Sul B",10,IF(Atletas!L308="Choylayfut C",11,IF(Atletas!L308="Hunggar C",12,IF(Atletas!L308="Wuzuquan C",13,IF(Atletas!L308="Wingchun C",14,IF(Atletas!L308="Outra Mão de Sul C",15,IF(Atletas!L308="Choylayfut D",16,IF(Atletas!L308="Hunggar D",17,IF(Atletas!L308="Wuzuquan D",18,IF(Atletas!L308="Wingchun D",19,IF(Atletas!L308="Outra Mão de Sul D",20,IF(Atletas!L308="Choylayfut E",21,IF(Atletas!L308="Hunggar E",22,IF(Atletas!L308="Wuzuquan E",23,IF(Atletas!L308="Wingchun E",24,IF(Atletas!L308="Outra Mão de Sul E",25,IF(Atletas!L308="Choylayfut F",26,IF(Atletas!L308="Hunggar F",27,IF(Atletas!L308="Wuzuquan F",28,IF(Atletas!L308="Wingchun F",29,IF(Atletas!L308="Outra Mão de Sul F",30,IF(Atletas!L308="Dishuquan A",31,IF(Atletas!L308="Dishuquan B",32,IF(Atletas!L308="Dishuquan C",33,IF(Atletas!L308="Dishuquan D",34,IF(Atletas!L308="Dishuquan E",35,IF(Atletas!L308="Dishuquan F",36,""))))))))))))))))))))))))))))))))))))))</f>
        <v/>
      </c>
      <c r="BS317" s="50" t="str">
        <f>IF(Atletas!M308="","",IF(Atletas!X308&lt;&gt;"",10000,0)+(IF(Atletas!B308="Feminino",1000,IF(Atletas!B308="Masculino",2000,""))+(IF(Atletas!M308="Chaquan A",101,IF(Atletas!M308="Emeiquan A",102,IF(Atletas!M308="Fanziquan A",103,IF(Atletas!M308="Huaquan A",104,IF(Atletas!M308="Hongquan A",105,IF(Atletas!M308="Paoquan A",106,IF(Atletas!M308="Piguaquan A",107,IF(Atletas!M308="Shaolinquan A",108,IF(Atletas!M308="Tanglangquan A",109,IF(Atletas!M308="Yingzhaoquan A",110,IF(Atletas!M308="Tongbeiquan A",111,IF(Atletas!M308="Wudangquan A",112,IF(Atletas!M308="Outros Estilos A",113,IF(Atletas!M308="Chaquan B",114,IF(Atletas!M308="Emeiquan B",115,IF(Atletas!M308="Fanziquan B",116,IF(Atletas!M308="Huaquan B",117,IF(Atletas!M308="Hongquan B",118,IF(Atletas!M308="Paoquan B",119,IF(Atletas!M308="Piguaquan B",120,IF(Atletas!M308="Shaolinquan B",121,IF(Atletas!M308="Tanglangquan B",122,IF(Atletas!M308="Yingzhaoquan B",123,IF(Atletas!M308="Tongbeiquan B",124,IF(Atletas!M308="Wudangquan B",125,IF(Atletas!M308="Outros Estilos B",126,IF(Atletas!M308="Chaquan C",127,IF(Atletas!M308="Emeiquan C",128,IF(Atletas!M308="Fanziquan C",129,IF(Atletas!M308="Huaquan C",130,IF(Atletas!M308="Hongquan C",131,IF(Atletas!M308="Paoquan C",132,IF(Atletas!M308="Piguaquan C",133,IF(Atletas!M308="Shaolinquan C",134,IF(Atletas!M308="Tanglangquan C",135,IF(Atletas!M308="Yingzhaoquan C",136,IF(Atletas!M308="Tongbeiquan C",137,IF(Atletas!M308="Wudangquan C",138,IF(Atletas!M308="Outros Estilos C",139,0))))))))))))))))))))))))))))))))))))))))))</f>
        <v/>
      </c>
      <c r="BT317" s="50" t="str">
        <f>IF(Atletas!M308="","",IF(Atletas!X308&lt;&gt;"",10000,0)+(IF(Atletas!B308="Feminino",1000,IF(Atletas!B308="Masculino",2000,""))+(IF(Atletas!M308="Chaquan D",140,IF(Atletas!M308="Emeiquan D",141,IF(Atletas!M308="Fanziquan D",142,IF(Atletas!M308="Huaquan D",143,IF(Atletas!M308="Hongquan D",144,IF(Atletas!M308="Paoquan D",145,IF(Atletas!M308="Piguaquan D",146,IF(Atletas!M308="Shaolinquan D",147,IF(Atletas!M308="Tanglangquan D",148,IF(Atletas!M308="Yingzhaoquan D",149,IF(Atletas!M308="Tongbeiquan D",150,IF(Atletas!M308="Wudangquan D",151,IF(Atletas!M308="Outros Estilos D",152,IF(Atletas!M308="Chaquan E",153,IF(Atletas!M308="Emeiquan E",154,IF(Atletas!M308="Fanziquan E",155,IF(Atletas!M308="Huaquan E",156,IF(Atletas!M308="Hongquan E",157,IF(Atletas!M308="Paoquan E",158,IF(Atletas!M308="Piguaquan E",159,IF(Atletas!M308="Shaolinquan E",160,IF(Atletas!M308="Tanglangquan E",161,IF(Atletas!M308="Yingzhaoquan E",162,IF(Atletas!M308="Tongbeiquan E",163,IF(Atletas!M308="Wudangquan E",164,IF(Atletas!M308="Outros Estilos E",165,IF(Atletas!M308="Chaquan F",166,IF(Atletas!M308="Emeiquan F",167,IF(Atletas!M308="Fanziquan F",168,IF(Atletas!M308="Huaquan F",169,IF(Atletas!M308="Hongquan F",170,IF(Atletas!M308="Paoquan F",171,IF(Atletas!M308="Piguaquan F",172,IF(Atletas!M308="Shaolinquan F",173,IF(Atletas!M308="Tanglangquan F",174,IF(Atletas!M308="Yingzhaoquan F",175,IF(Atletas!M308="Tongbeiquan F",176,IF(Atletas!M308="Wudangquan F",177,IF(Atletas!M308="Outros Estilos F",178,0))))))))))))))))))))))))))))))))))))))))))</f>
        <v/>
      </c>
      <c r="BU317" s="50" t="str">
        <f>IF(Atletas!N308="","",IF(Atletas!X308&lt;&gt;"",10000,0)+(IF(Atletas!B308="Feminino",1000,IF(Atletas!B308="Masculino",2000,""))+(IF(Atletas!N308="Ditangquan A",201,IF(Atletas!N308="Houquan A",202,IF(Atletas!N308="Zuiquan A",203,IF(Atletas!N308="Ditangquan B",204,IF(Atletas!N308="Houquan B",205,IF(Atletas!N308="Zuiquan B",206,IF(Atletas!N308="Ditangquan C",207,IF(Atletas!N308="Houquan C",208,IF(Atletas!N308="Zuiquan C",209,IF(Atletas!N308="Ditangquan D",210,IF(Atletas!N308="Houquan D",211,IF(Atletas!N308="Zuiquan D",212,IF(Atletas!N308="Ditangquan E",213,IF(Atletas!N308="Houquan E",214,IF(Atletas!N308="Zuiquan E",215,IF(Atletas!N308="Ditangquan F",216,IF(Atletas!N308="Houquan F",217,IF(Atletas!N308="Zuiquan F",218,"")))))))))))))))))))))</f>
        <v/>
      </c>
      <c r="BV317" s="50" t="str">
        <f>IF(Atletas!O308="","",IF(Atletas!X308&lt;&gt;"",10000,0)+IF(Atletas!B308="Feminino",1000,IF(Atletas!B308="Masculino",2000,""))+IF(Atletas!O308="Yang A",301,IF(Atletas!O308="Chen A",302,IF(Atletas!O308="Sun A",303,IF(Atletas!O308="Wu A",304,IF(Atletas!O308="Wu-Hao A",305,IF(Atletas!O308="Outro Taijiquan A",306,IF(Atletas!O308="Yang B",307,IF(Atletas!O308="Chen B",308,IF(Atletas!O308="Sun B",309,IF(Atletas!O308="Wu B",310,IF(Atletas!O308="Wu-Hao B",311,IF(Atletas!O308="Outro Taijiquan B",312,IF(Atletas!O308="Yang C",313,IF(Atletas!O308="Chen C",314,IF(Atletas!O308="Sun C",315,IF(Atletas!O308="Wu C",316,IF(Atletas!O308="Wu-Hao C",317,IF(Atletas!O308="Outro Taijiquan C",318,IF(Atletas!O308="Yang D",319,IF(Atletas!O308="Chen D",320,IF(Atletas!O308="Sun D",321,IF(Atletas!O308="Wu D",322,IF(Atletas!O308="Wu-Hao D",323,IF(Atletas!O308="Outro Taijiquan D",324,IF(Atletas!O308="Yang E",325,IF(Atletas!O308="Chen E",326,IF(Atletas!O308="Sun E",327,IF(Atletas!O308="Wu E",328,IF(Atletas!O308="Wu-Hao E",329,IF(Atletas!O308="Outro Taijiquan E",330,IF(Atletas!O308="Yang F",331,IF(Atletas!O308="Chen F",332,IF(Atletas!O308="Sun F",333,IF(Atletas!O308="Wu F",334,IF(Atletas!O308="Wu-Hao F",335,IF(Atletas!O308="Outro Taijiquan F",336,"")))))))))))))))))))))))))))))))))))))</f>
        <v/>
      </c>
      <c r="BW317" s="50" t="str">
        <f>IF(Atletas!P308="","",IF(Atletas!X308&lt;&gt;"",10000,0)+IF(Atletas!B308="Feminino",1000,IF(Atletas!B308="Masculino",2000,""))+IF(OR(Atletas!P308="Yang 26 A",Atletas!P308="Yang 40 A"),401,IF(OR(Atletas!P308="Chen 25 A",Atletas!P308="Chen 36 A",Atletas!P308="Chen 56 A"),402,IF(Atletas!P308="Sun 73 A",403,IF(Atletas!P308="Wu 45 A",404,IF(Atletas!P308="Wu-Hao 46 A",405,IF(OR(Atletas!P308="Taijiquan 16 A",Atletas!P308="Taijiquan 24 A",Atletas!P308="Taijiquan 32 A",Atletas!P308="Taijiquan 42 A"),406,IF(OR(Atletas!P308="Yang 26 B",Atletas!P308="Yang 40 B"),407,IF(OR(Atletas!P308="Chen 25 B",Atletas!P308="Chen 36 B",Atletas!P308="Chen 56 B"),408,IF(Atletas!P308="Sun 73 B",409,IF(Atletas!P308="Wu 45 B",410,IF(Atletas!P308="Wu-Hao 46 B",411,IF(OR(Atletas!P308="Taijiquan 16 B",Atletas!P308="Taijiquan 24 B",Atletas!P308="Taijiquan 32 B",Atletas!P308="Taijiquan 42 B"),412,IF(OR(Atletas!P308="Yang 26 C",Atletas!P308="Yang 40 C"),413,IF(OR(Atletas!P308="Chen 25 C",Atletas!P308="Chen 36 C",Atletas!P308="Chen 56 C"),414,IF(Atletas!P308="Sun 73 C",415,IF(Atletas!P308="Wu 45 C",416,IF(Atletas!P308="Wu-Hao 46 C",417,IF(OR(Atletas!P308="Taijiquan 16 C",Atletas!P308="Taijiquan 24 C",Atletas!P308="Taijiquan 32 C",Atletas!P308="Taijiquan 42 C"),418,0)))))))))))))))))))</f>
        <v/>
      </c>
      <c r="BX317" s="50" t="str">
        <f>IF(Atletas!P308="","",IF(Atletas!X308&lt;&gt;"",10000,0)+IF(Atletas!B308="Feminino",1000,IF(Atletas!B308="Masculino",2000,""))+IF(OR(Atletas!P308="Yang 26 D",Atletas!P308="Yang 40 D"),419,IF(OR(Atletas!P308="Chen 25 D",Atletas!P308="Chen 36 D",Atletas!P308="Chen 56 D"),420,IF(Atletas!P308="Sun 73 D",421,IF(Atletas!P308="Wu 45 D",422,IF(Atletas!P308="Wu-Hao 46 D",423,IF(OR(Atletas!P308="Taijiquan 16 D",Atletas!P308="Taijiquan 24 D",Atletas!P308="Taijiquan 32 D",Atletas!P308="Taijiquan 42 D"),424,IF(OR(Atletas!P308="Yang 26 E",Atletas!P308="Yang 40 E"),425,IF(OR(Atletas!P308="Chen 25 E",Atletas!P308="Chen 36 E",Atletas!P308="Chen 56 E"),426,IF(Atletas!P308="Sun 73 E",427,IF(Atletas!P308="Wu 45 E",428,IF(Atletas!P308="Wu-Hao 46 E",429,IF(OR(Atletas!P308="Taijiquan 16 E",Atletas!P308="Taijiquan 24 E",Atletas!P308="Taijiquan 32 E",Atletas!P308="Taijiquan 42 E"),430,IF(OR(Atletas!P308="Yang 26 F",Atletas!P308="Yang 40 F"),431,IF(OR(Atletas!P308="Chen 25 F",Atletas!P308="Chen 36 F",Atletas!P308="Chen 56 F"),432,IF(Atletas!P308="Sun 73 F",433,IF(Atletas!P308="Wu 45 F",434,IF(Atletas!P308="Wu-Hao 46 F",435,IF(OR(Atletas!P308="Taijiquan 16 F",Atletas!P308="Taijiquan 24 F",Atletas!P308="Taijiquan 32 F",Atletas!P308="Taijiquan 42 F"),436,0)))))))))))))))))))</f>
        <v/>
      </c>
      <c r="BY317" s="50" t="str">
        <f>IF(Atletas!Q308="","",IF(Atletas!X308&lt;&gt;"",10000,0)+IF(Atletas!B308="Feminino",1000,IF(Atletas!B308="Masculino",2000,""))+IF(Atletas!Q308="Xingyiquan A",501,IF(Atletas!Q308="Baguazhang A",502,IF(Atletas!Q308="Outro Estilo Interno A",503,IF(Atletas!Q308="Xingyiquan B",504,IF(Atletas!Q308="Baguazhang B",505,IF(Atletas!Q308="Outro Estilo Interno B",506,IF(Atletas!Q308="Xingyiquan C",507,IF(Atletas!Q308="Baguazhang C",508,IF(Atletas!Q308="Outro Estilo Interno C",509,IF(Atletas!Q308="Xingyiquan D",510,IF(Atletas!Q308="Baguazhang D",511,IF(Atletas!Q308="Outro Estilo Interno D",512,IF(Atletas!Q308="Xingyiquan E",513,IF(Atletas!Q308="Baguazhang E",514,IF(Atletas!Q308="Outro Estilo Interno E",515,IF(Atletas!Q308="Xingyiquan F",516,IF(Atletas!Q308="Baguazhang F",517,IF(Atletas!Q308="Outro Estilo Interno F",518, "")))))))))))))))))))</f>
        <v/>
      </c>
      <c r="BZ317" s="50" t="str">
        <f>IF(Atletas!R308="","",IF(Atletas!X308&lt;&gt;"",10000,0)+IF(Atletas!B308="Feminino",1000,IF(Atletas!B308="Masculino",2000,""))+IF(Atletas!R308="Dao A",601,IF(Atletas!R308="Jian A",602,IF(Atletas!R308="Bishou A",603,IF(Atletas!R308="Shanzi A",604,IF(Atletas!R308="Outra Arma Curta A",605,IF(Atletas!R308="Dao B",606,IF(Atletas!R308="Jian B",607,IF(Atletas!R308="Bishou B",608,IF(Atletas!R308="Shanzi B",609,IF(Atletas!R308="Outra Arma Curta B",610,IF(Atletas!R308="Dao C",611,IF(Atletas!R308="Jian C",612,IF(Atletas!R308="Bishou C",613,IF(Atletas!R308="Shanzi C",614,IF(Atletas!R308="Outra Arma Curta C",615,IF(Atletas!R308="Dao D",616,IF(Atletas!R308="Jian D",617,IF(Atletas!R308="Bishou D",618,IF(Atletas!R308="Shanzi D",619,IF(Atletas!R308="Outra Arma Curta D",620,IF(Atletas!R308="Dao E",621,IF(Atletas!R308="Jian E",622,IF(Atletas!R308="Bishou E",623,IF(Atletas!R308="Shanzi E",624,IF(Atletas!R308="Outra Arma Curta E",625,IF(Atletas!R308="Dao F",626,IF(Atletas!R308="Jian F",627,IF(Atletas!R308="Bishou F",628,IF(Atletas!R308="Shanzi F",629,IF(Atletas!R308="Outra Arma Curta F",630, "")))))))))))))))))))))))))))))))</f>
        <v/>
      </c>
      <c r="CA317" s="50" t="str">
        <f>IF(Atletas!S308="","",IF(Atletas!X308&lt;&gt;"",10000,0)+IF(Atletas!B308="Feminino",1000,IF(Atletas!B308="Masculino",2000,""))+IF(Atletas!S308="Gun A",701,IF(Atletas!S308="Qiang A",702,IF(Atletas!S308="Pudao / Guandao A",703,IF(Atletas!S308="Outra Arma Longa A",704,IF(Atletas!S308="Gun B",705,IF(Atletas!S308="Qiang B",706,IF(Atletas!S308="Pudao / Guandao B",707,IF(Atletas!S308="Outra Arma Longa B",708,IF(Atletas!S308="Gun C",709,IF(Atletas!S308="Qiang C",710,IF(Atletas!S308="Pudao / Guandao C",711,IF(Atletas!S308="Outra Arma Longa C",712,IF(Atletas!S308="Gun D",713,IF(Atletas!S308="Qiang D",714,IF(Atletas!S308="Pudao / Guandao D",715,IF(Atletas!S308="Outra Arma Longa D",716,IF(Atletas!S308="Gun E",717,IF(Atletas!S308="Qiang E",718,IF(Atletas!S308="Pudao / Guandao E",719,IF(Atletas!S308="Outra Arma Longa E",720,IF(Atletas!S308="Gun F",721,IF(Atletas!S308="Qiang F",722,IF(Atletas!S308="Pudao / Guandao F",723,IF(Atletas!S308="Outra Arma Longa F",724,"")))))))))))))))))))))))))</f>
        <v/>
      </c>
      <c r="CB317" s="50" t="str">
        <f>IF(Atletas!T308="","",IF(Atletas!X308&lt;&gt;"",10000,0)+IF(Atletas!B308="Feminino",1000,IF(Atletas!B308="Masculino",2000,""))+IF(Atletas!T308="Outra Arma Dupla A",801,IF(Atletas!T308="Arma Maleável A",802,IF(Atletas!T308="Outra Arma Dupla B",803,IF(Atletas!T308="Arma Maleável B",804,IF(Atletas!T308="Outra Arma Dupla C",805,IF(Atletas!T308="Arma Maleável C",806,IF(Atletas!T308="Outra Arma Dupla D",807,IF(Atletas!T308="Arma Maleável D",808,IF(Atletas!T308="Outra Arma Dupla E",809,IF(Atletas!T308="Arma Maleável E",810,IF(Atletas!T308="Outra Arma Dupla F",811,IF(Atletas!T308="Arma Maleável F",812,IF(Atletas!T308="Shuangdao A",813,IF(Atletas!T308="Shuangdao B",814,IF(Atletas!T308="Shuangdao C",815,IF(Atletas!T308="Shuangdao D",816,IF(Atletas!T308="Shuangdao E",817,IF(Atletas!T308="Shuangdao F",818,"")))))))))))))))))))</f>
        <v/>
      </c>
      <c r="CC317" s="50" t="str">
        <f>IF(Atletas!U308="","",IF(Atletas!X308&lt;&gt;"",10000,0)+IF(Atletas!B308="Feminino",1000,IF(Atletas!B308="Masculino",2000,""))+IF(OR(Atletas!U308="Taijijian Yang A",Atletas!U308="Taijijian Yang Standard A"),901,IF(OR(Atletas!U308="Taijijian Chen A", Atletas!U308="Taijijian Chen Standard A"),902,IF(Atletas!U308="Taijijian Sun A",903,IF(Atletas!U308="Taijijian Wu A",904,IF(Atletas!U308="Taijijian Wu-Hao A",905,IF(OR(Atletas!U308="Taijijian 32 A",Atletas!U308="Taijijian 42 A"),906,IF(OR(Atletas!U308="Taijijian Yang B",Atletas!U308="Taijijian Yang Standard B"),907,IF(OR(Atletas!U308="Taijijian Chen B", Atletas!U308="Taijijian Chen Standard B"),908,IF(Atletas!U308="Taijijian Sun B",909,IF(Atletas!U308="Taijijian Wu B",910,IF(Atletas!U308="Taijijian Wu-Hao B",911,IF(OR(Atletas!U308="Taijijian 32 B",Atletas!U308="Taijijian 42 B"),912,IF(OR(Atletas!U308="Taijijian Yang C",Atletas!U308="Taijijian Yang Standard C"),913,IF(OR(Atletas!U308="Taijijian Chen C", Atletas!U308="Taijijian Chen Standard C"),914,IF(Atletas!U308="Taijijian Sun C",915,IF(Atletas!U308="Taijijian Wu C",916,IF(Atletas!U308="Taijijian Wu-Hao C",917,IF(OR(Atletas!U308="Taijijian 32 C",Atletas!U308="Taijijian 42 C"),918,IF(OR(Atletas!U308="Taijijian Yang D",Atletas!U308="Taijijian Yang Standard D"),919,IF(OR(Atletas!U308="Taijijian Chen D", Atletas!U308="Taijijian Chen Standard D"),920,IF(Atletas!U308="Taijijian Sun D",921,IF(Atletas!U308="Taijijian Wu D",922,IF(Atletas!U308="Taijijian Wu-Hao D",923,IF(OR(Atletas!U308="Taijijian 32 D",Atletas!U308="Taijijian 42 D"),924,IF(OR(Atletas!U308="Taijijian Yang E",Atletas!U308="Taijijian Yang Standard E"),925,IF(OR(Atletas!U308="Taijijian Chen E", Atletas!U308="Taijijian Chen Standard E"),926,IF(Atletas!U308="Taijijian Sun E",927,IF(Atletas!U308="Taijijian Wu E",928,IF(Atletas!U308="Taijijian Wu-Hao E",929,IF(OR(Atletas!U308="Taijijian 32 E",Atletas!U308="Taijijian 42 E"),930,IF(OR(Atletas!U308="Taijijian Yang F",Atletas!U308="Taijijian Yang Standard F"),931,IF(OR(Atletas!U308="Taijijian Chen F", Atletas!U308="Taijijian Chen Standard F"),932,IF(Atletas!U308="Taijijian Sun F",933,IF(Atletas!U308="Taijijian Wu F",934,IF(Atletas!U308="Taijijian Wu-Hao F",935,IF(OR(Atletas!U308="Taijijian 32 F",Atletas!U308="Taijijian 42 F"),936,"")))))))))))))))))))))))))))))))))))))</f>
        <v/>
      </c>
      <c r="CD317" s="50" t="str">
        <f>IF(Atletas!V308="","",IF(Atletas!X308&lt;&gt;"",10000,0)+IF(Atletas!B308="Feminino",1000,IF(Atletas!B308="Masculino",2000,""))+IF(Atletas!V308="Taijidao A",937,IF(Atletas!V308="TaijiShanzi A",938,IF(Atletas!V308="Taijiqiang A",939,IF(Atletas!V308="Bagua de Arma A",940,IF(Atletas!V308="Xingyi de Arma A",941,IF(Atletas!V308="Taijidao B",942,IF(Atletas!V308="TaijiShanzi B",943,IF(Atletas!V308="Taijiqiang B",944,IF(Atletas!V308="Bagua de Arma B",945,IF(Atletas!V308="Xingyi de Arma B",946,IF(Atletas!V308="Taijidao C",947,IF(Atletas!V308="TaijiShanzi C",948,IF(Atletas!V308="Taijiqiang C",949,IF(Atletas!V308="Bagua de Arma C",950,IF(Atletas!V308="Xingyi de Arma C",951,IF(Atletas!V308="Taijidao D",952,IF(Atletas!V308="TaijiShanzi D",953,IF(Atletas!V308="Taijiqiang D",954,IF(Atletas!V308="Bagua de Arma D",955,IF(Atletas!V308="Xingyi de Arma D",956,IF(Atletas!V308="Taijidao E",957,IF(Atletas!V308="TaijiShanzi E",958,IF(Atletas!V308="Taijiqiang E",959,IF(Atletas!V308="Bagua de Arma E",960,IF(Atletas!V308="Xingyi de Arma E",961,IF(Atletas!V308="Taijidao F",962,IF(Atletas!V308="TaijiShanzi F",963,IF(Atletas!V308="Taijiqiang F",964,IF(Atletas!V308="Bagua de Arma F",965,IF(Atletas!V308="Xingyi de Arma F",966,"")))))))))))))))))))))))))))))))</f>
        <v/>
      </c>
      <c r="CE317" s="66" t="str">
        <f>IF(CF317&lt;&gt;"","Taijijian Wu-Hao C","")</f>
        <v/>
      </c>
      <c r="CF317" s="6" t="str">
        <f>IF(COUNTIF(BR:CD,1917)&gt;0,COUNTIF(BR:CD,1917),"")</f>
        <v/>
      </c>
      <c r="CG317" s="66" t="str">
        <f>IF(CH317&lt;&gt;"","Taijijian Wu-Hao C","")</f>
        <v/>
      </c>
      <c r="CH317" s="66" t="str">
        <f>IF(COUNTIF(BR:CD,2917)&gt;0,COUNTIF(BR:CD,2917),"")</f>
        <v/>
      </c>
      <c r="CI317" s="66" t="str">
        <f>IF(CJ318&lt;&gt;"","Taijijian Combinado E","")</f>
        <v/>
      </c>
      <c r="CJ317" s="66" t="str">
        <f>IF(COUNTIF(BR:CD,11929)&gt;0,COUNTIF(BR:CD,11929),"")</f>
        <v/>
      </c>
      <c r="CK317" s="66" t="str">
        <f>IF(CL317&lt;&gt;"","Taijijian Wu-Hao E","")</f>
        <v/>
      </c>
      <c r="CL317" s="66" t="str">
        <f>IF(COUNTIF(BR:CD,12929)&gt;0,COUNTIF(BR:CD,12929),"")</f>
        <v/>
      </c>
      <c r="CM317" s="50" t="str">
        <f xml:space="preserve"> IF(Atletas!W308="","",IF(Atletas!W308="Duilian de Mãos BC - Equipe 1",1,IF(Atletas!W308="Duilian de Mãos BC - Equipe 2",2,IF(Atletas!W308="Duilian de Armas BC - Equipe 1",3,IF(Atletas!W308="Duilian de Armas BC - Equipe 2",4,IF(Atletas!W308="Duilian de Mãos DE - Equipe 1",5,IF(Atletas!W308="Duilian de Mãos DE - Equipe 2",6,IF(Atletas!W308="Duilian de Armas DE - Equipe 1",7,IF(Atletas!W308="Duilian de Armas DE - Equipe 2",8,IF(Atletas!W308="Duilian de Tuishou - Equipe 1",9,IF(Atletas!W308="Duilian de Tuishou - Equipe 2",10,IF(Atletas!W308="Grupo Externo ABC - Equipe 1",11,IF(Atletas!W308="Grupo Externo ABC - Equipe 2",12,IF(Atletas!W308="Grupo Interno ABC - Equipe 1",13,IF(Atletas!W308="Grupo Interno ABC - Equipe 2",14,IF(Atletas!W308="Grupo Externo DEF - Equipe 1",15,IF(Atletas!W308="Grupo Externo DEF - Equipe 2",16,IF(Atletas!W308="Grupo Interno DEF - Equipe 1",17,IF(Atletas!W308="Grupo Interno DEF - Equipe 2",18,"")))))))))))))))))))</f>
        <v/>
      </c>
    </row>
    <row r="318" spans="40:91">
      <c r="AN318" s="52" t="str">
        <f>IF(Atletas!D309="","",IF(Atletas!B309="Feminino",100,IF(Atletas!B309="Masculino",200,""))+(IF(Atletas!D309="Kids 30kg",1,IF(Atletas!D309="Kids 32kg",2, IF(Atletas!D309="Kids 34kg",3,IF(Atletas!D309="Kids 36kg",4,IF(Atletas!D309="Kids 39kg",5,IF(Atletas!D309="Kids 42kg",6,IF(Atletas!D309="Kids 45kg",7, IF(Atletas!D309="Infantil 39kg",8,IF(Atletas!D309="Infantil 42kg",9,IF(Atletas!D309="Infantil 45kg",10,IF(Atletas!D309="Infantil 48kg",11,IF(Atletas!D309="Infantil 52kg",12,IF(Atletas!D309="Infantil 56kg",13,IF(Atletas!D309="Infantil 60kg",14,IF(Atletas!D309="Juvenil 48kg",15,IF(Atletas!D309="Juvenil 52kg",16,IF(Atletas!D309="Juvenil 56kg",17,IF(Atletas!D309="Juvenil 60kg",18,IF(Atletas!D309="Juvenil 65kg",19,IF(Atletas!D309="Juvenil 70kg",20,IF(Atletas!D309="Juvenil 75kg",21,IF(Atletas!D309="Juvenil 80kg",22, IF(Atletas!D309="Juvenil 85kg",23,IF(Atletas!D309="Adulto 48kg",24,IF(Atletas!D309="Adulto 52kg",25,IF(Atletas!D309="Adulto 56kg",26,IF(Atletas!D309="Adulto 60kg",27,IF(Atletas!D309="Adulto 65kg",28,IF(Atletas!D309="Adulto 70kg",29,IF(Atletas!D309="Adulto 75kg",30,IF(Atletas!D309="Adulto 80kg",31,IF(Atletas!D309="Adulto 85kg",32,IF(Atletas!D309="Adulto 90kg",33,IF(Atletas!D309="Adulto 100kg",34, IF(Atletas!D309="Adulto +100kg",35,"")))))))))))))))))))))))))))))))))))))</f>
        <v/>
      </c>
      <c r="AS318" s="6" t="str">
        <f>IF(Atletas!E309="","",IF(Atletas!B309="Feminino",100,IF(Atletas!B309="Masculino",200,""))+(IF(Atletas!E309="Juvenil 44kg",1,IF(Atletas!E309="Juvenil 48kg",2,IF(Atletas!E309="Juvenil 52kg",3,IF(Atletas!E309="Juvenil 56kg",4,IF(Atletas!E309="Juvenil 60kg",5,IF(Atletas!E309="Juvenil 65kg",6,IF(Atletas!E309="Juvenil 70kg",7,IF(Atletas!E309="Juvenil 75kg",8,IF(Atletas!E309="Juvenil 82kg",9,IF(Atletas!E309="Juvenil 90kg",10,IF(Atletas!E309="Juvenil 100kg",11,IF(Atletas!E309="Adulto 48kg",12,IF(Atletas!E309="Adulto 52kg",13,IF(Atletas!E309="Adulto 56kg",14,IF(Atletas!E309="Adulto 60kg",15,IF(Atletas!E309="Adulto 65kg",16,IF(Atletas!E309="Adulto 70kg",17,IF(Atletas!E309="Adulto 75kg",18,IF(Atletas!E309="Adulto 82kg",19,IF(Atletas!E309="Adulto 90kg",20,IF(Atletas!E309="Adulto 100kg",21,IF(Atletas!E309="Adulto +100kg",22,""))))))))))))))))))))))))</f>
        <v/>
      </c>
      <c r="AX318" s="6" t="str">
        <f>IF(Atletas!F309="","",IF(Atletas!B309="Feminino",100,IF(Atletas!B309="Masculino",200,""))+(IF(Atletas!F309="Adulto 48kg",1,IF(Atletas!F309="Adulto 56kg",2,IF(Atletas!F309="Adulto 65kg",3,IF(Atletas!F309="Adulto 75kg",4,IF(Atletas!F309="Adulto +75kg",5,IF(Atletas!F309="Adulto 52kg",6,IF(Atletas!F309="Adulto 60kg",7,IF(Atletas!F309="Adulto 70kg",8,IF(Atletas!F309="Adulto 80kg",9,IF(Atletas!F309="Adulto 90kg",10,IF(Atletas!F309="Adulto +90kg",11,"")))))))))))))</f>
        <v/>
      </c>
      <c r="BC318" s="6" t="str">
        <f>IF(Atletas!G309="","",IF(Atletas!B309="Feminino",10,IF(Atletas!B309="Masculino",20,""))+(IF(Atletas!G309="Baduanjin A",1,IF(Atletas!G309="Baduanjin B",2))))</f>
        <v/>
      </c>
      <c r="BF318" s="52" t="str">
        <f>IF(Atletas!H309="","",IF(Atletas!B309="Feminino",100,IF(Atletas!B309="Masculino",200,""))+(IF(Atletas!H309="Changquan Mirim",1,IF(Atletas!H309="Nanquan Mirim",2,IF(Atletas!H309="Taijiquan Mirim",3,IF(Atletas!H309="Changquan Grupo C",4,IF(Atletas!H309="Nanquan Grupo C",5,IF(Atletas!H309="Taijiquan Grupo C",6,IF(Atletas!H309="Changquan Grupo B",7,IF(Atletas!H309="Nanquan Grupo B",8,IF(Atletas!H309="Taijiquan Grupo B",9,IF(Atletas!H309="Changquan Grupo A",10,IF(Atletas!H309="Nanquan Grupo A",11,IF(Atletas!H309="Taijiquan Grupo A",12,IF(Atletas!H309="Changquan Opcional",13,IF(Atletas!H309="Nanquan Opcional",14,IF(Atletas!H309="Taijiquan Opcional",15,IF(Atletas!H309="Changquan Adulto",16,IF(Atletas!H309="Nanquan Adulto",17,IF(Atletas!H309="Taijiquan Adulto",18,""))))))))))))))))))))</f>
        <v/>
      </c>
      <c r="BG318" s="52" t="str">
        <f>IF(Atletas!I309="","",IF(Atletas!B309="Feminino",100,IF(Atletas!B309="Masculino",200,""))+(IF(Atletas!I309="Daoshu Mirim",19,IF(Atletas!I309="Jianshu Mirim",20,IF(Atletas!I309="Nandao Mirim",21,IF(Atletas!I309="Taijijian Mirim",22,IF(Atletas!I309="Daoshu Grupo C",23,IF(Atletas!I309="Jianshu Grupo C",24,IF(Atletas!I309="Nandao Grupo C",25,IF(Atletas!I309="Taijijian Grupo C",26,IF(Atletas!I309="Daoshu Grupo B",27,IF(Atletas!I309="Jianshu Grupo B",28,IF(Atletas!I309="Nandao Grupo B",29,IF(Atletas!I309="Taijijian Grupo B",30,IF(Atletas!I309="Daoshu Grupo A",31,IF(Atletas!I309="Jianshu Grupo A",32,IF(Atletas!I309="Nandao Grupo A",33,IF(Atletas!I309="Taijijian Grupo A",34,IF(Atletas!I309="Daoshu Opcional",35,IF(Atletas!I309="Jianshu Opcional",36,IF(Atletas!I309="Nandao Opcional",37,IF(Atletas!I309="Taijijian Opcional",38,IF(Atletas!I309="Daoshu Adulto",39,IF(Atletas!I309="Jianshu Adulto",40,IF(Atletas!I309="Nandao Adulto",41,IF(Atletas!I309="Taijijian Adulto",42,""))))))))))))))))))))))))))</f>
        <v/>
      </c>
      <c r="BH318" s="52" t="str">
        <f>IF(Atletas!J309="","",IF(Atletas!B309="Feminino",100,IF(Atletas!B309="Masculino",200,""))+(IF(Atletas!J309="Gunshu Mirim",43,IF(Atletas!J309="Qiangshu Mirim",44,IF(Atletas!J309="Nangun Mirim",45,IF(Atletas!J309="Gunshu Grupo C",46,IF(Atletas!J309="Qiangshu Grupo C",47,IF(Atletas!J309="Nangun Grupo C",48,IF(Atletas!J309="Gunshu Grupo B",49,IF(Atletas!J309="Qiangshu Grupo B",50,IF(Atletas!J309="Nangun Grupo B",51,IF(Atletas!J309="Gunshu Grupo A",52,IF(Atletas!J309="Qiangshu Grupo A",53,IF(Atletas!J309="Nangun Grupo A",54,IF(Atletas!J309="Gunshu Opcional",55,IF(Atletas!J309="Qiangshu Opcional",56,IF(Atletas!J309="Nangun Opcional",57,IF(Atletas!J309="Gunshu Adulto",58,IF(Atletas!J309="Qiangshu Adulto",59,IF(Atletas!J309="Nangun Adulto",60,IF(Atletas!J309="Taijishan Grupo B",61,IF(Atletas!J309="Taijishan Grupo A",62,""))))))))))))))))))))))</f>
        <v/>
      </c>
      <c r="BM318" s="50" t="str">
        <f>IF(Atletas!K309="","",IF(Atletas!B309="Feminino",100,IF(Atletas!B309="Masculino",200,""))+(IF(Atletas!K309="Equipe 1 Grupo B",1,IF(Atletas!K309="Equipe 2 Grupo B",2,IF(Atletas!K309="Equipe 1 Grupo A",3,IF(Atletas!K309="Equipe 2 Grupo A",4,IF(Atletas!K309="Equipe 1 Adulto",5,IF(Atletas!K309="Equipe 2 Adulto",6,""))))))))</f>
        <v/>
      </c>
      <c r="BR318" s="50" t="str">
        <f>IF(Atletas!L309="","",IF(Atletas!X309&lt;&gt;"",10000,0)+(IF(Atletas!B309="Feminino",1000,IF(Atletas!B309="Masculino",2000,""))+IF(Atletas!L309="Choylayfut A",1,IF(Atletas!L309="Hunggar A",2,IF(Atletas!L309="Wuzuquan A",3,IF(Atletas!L309="Wingchun A",4,IF(Atletas!L309="Outra Mão de Sul A",5,IF(Atletas!L309="Choylayfut B",6,IF(Atletas!L309="Hunggar B",7,IF(Atletas!L309="Wuzuquan B",8,IF(Atletas!L309="Wingchun B",9,IF(Atletas!L309="Outra Mão de Sul B",10,IF(Atletas!L309="Choylayfut C",11,IF(Atletas!L309="Hunggar C",12,IF(Atletas!L309="Wuzuquan C",13,IF(Atletas!L309="Wingchun C",14,IF(Atletas!L309="Outra Mão de Sul C",15,IF(Atletas!L309="Choylayfut D",16,IF(Atletas!L309="Hunggar D",17,IF(Atletas!L309="Wuzuquan D",18,IF(Atletas!L309="Wingchun D",19,IF(Atletas!L309="Outra Mão de Sul D",20,IF(Atletas!L309="Choylayfut E",21,IF(Atletas!L309="Hunggar E",22,IF(Atletas!L309="Wuzuquan E",23,IF(Atletas!L309="Wingchun E",24,IF(Atletas!L309="Outra Mão de Sul E",25,IF(Atletas!L309="Choylayfut F",26,IF(Atletas!L309="Hunggar F",27,IF(Atletas!L309="Wuzuquan F",28,IF(Atletas!L309="Wingchun F",29,IF(Atletas!L309="Outra Mão de Sul F",30,IF(Atletas!L309="Dishuquan A",31,IF(Atletas!L309="Dishuquan B",32,IF(Atletas!L309="Dishuquan C",33,IF(Atletas!L309="Dishuquan D",34,IF(Atletas!L309="Dishuquan E",35,IF(Atletas!L309="Dishuquan F",36,""))))))))))))))))))))))))))))))))))))))</f>
        <v/>
      </c>
      <c r="BS318" s="50" t="str">
        <f>IF(Atletas!M309="","",IF(Atletas!X309&lt;&gt;"",10000,0)+(IF(Atletas!B309="Feminino",1000,IF(Atletas!B309="Masculino",2000,""))+(IF(Atletas!M309="Chaquan A",101,IF(Atletas!M309="Emeiquan A",102,IF(Atletas!M309="Fanziquan A",103,IF(Atletas!M309="Huaquan A",104,IF(Atletas!M309="Hongquan A",105,IF(Atletas!M309="Paoquan A",106,IF(Atletas!M309="Piguaquan A",107,IF(Atletas!M309="Shaolinquan A",108,IF(Atletas!M309="Tanglangquan A",109,IF(Atletas!M309="Yingzhaoquan A",110,IF(Atletas!M309="Tongbeiquan A",111,IF(Atletas!M309="Wudangquan A",112,IF(Atletas!M309="Outros Estilos A",113,IF(Atletas!M309="Chaquan B",114,IF(Atletas!M309="Emeiquan B",115,IF(Atletas!M309="Fanziquan B",116,IF(Atletas!M309="Huaquan B",117,IF(Atletas!M309="Hongquan B",118,IF(Atletas!M309="Paoquan B",119,IF(Atletas!M309="Piguaquan B",120,IF(Atletas!M309="Shaolinquan B",121,IF(Atletas!M309="Tanglangquan B",122,IF(Atletas!M309="Yingzhaoquan B",123,IF(Atletas!M309="Tongbeiquan B",124,IF(Atletas!M309="Wudangquan B",125,IF(Atletas!M309="Outros Estilos B",126,IF(Atletas!M309="Chaquan C",127,IF(Atletas!M309="Emeiquan C",128,IF(Atletas!M309="Fanziquan C",129,IF(Atletas!M309="Huaquan C",130,IF(Atletas!M309="Hongquan C",131,IF(Atletas!M309="Paoquan C",132,IF(Atletas!M309="Piguaquan C",133,IF(Atletas!M309="Shaolinquan C",134,IF(Atletas!M309="Tanglangquan C",135,IF(Atletas!M309="Yingzhaoquan C",136,IF(Atletas!M309="Tongbeiquan C",137,IF(Atletas!M309="Wudangquan C",138,IF(Atletas!M309="Outros Estilos C",139,0))))))))))))))))))))))))))))))))))))))))))</f>
        <v/>
      </c>
      <c r="BT318" s="50" t="str">
        <f>IF(Atletas!M309="","",IF(Atletas!X309&lt;&gt;"",10000,0)+(IF(Atletas!B309="Feminino",1000,IF(Atletas!B309="Masculino",2000,""))+(IF(Atletas!M309="Chaquan D",140,IF(Atletas!M309="Emeiquan D",141,IF(Atletas!M309="Fanziquan D",142,IF(Atletas!M309="Huaquan D",143,IF(Atletas!M309="Hongquan D",144,IF(Atletas!M309="Paoquan D",145,IF(Atletas!M309="Piguaquan D",146,IF(Atletas!M309="Shaolinquan D",147,IF(Atletas!M309="Tanglangquan D",148,IF(Atletas!M309="Yingzhaoquan D",149,IF(Atletas!M309="Tongbeiquan D",150,IF(Atletas!M309="Wudangquan D",151,IF(Atletas!M309="Outros Estilos D",152,IF(Atletas!M309="Chaquan E",153,IF(Atletas!M309="Emeiquan E",154,IF(Atletas!M309="Fanziquan E",155,IF(Atletas!M309="Huaquan E",156,IF(Atletas!M309="Hongquan E",157,IF(Atletas!M309="Paoquan E",158,IF(Atletas!M309="Piguaquan E",159,IF(Atletas!M309="Shaolinquan E",160,IF(Atletas!M309="Tanglangquan E",161,IF(Atletas!M309="Yingzhaoquan E",162,IF(Atletas!M309="Tongbeiquan E",163,IF(Atletas!M309="Wudangquan E",164,IF(Atletas!M309="Outros Estilos E",165,IF(Atletas!M309="Chaquan F",166,IF(Atletas!M309="Emeiquan F",167,IF(Atletas!M309="Fanziquan F",168,IF(Atletas!M309="Huaquan F",169,IF(Atletas!M309="Hongquan F",170,IF(Atletas!M309="Paoquan F",171,IF(Atletas!M309="Piguaquan F",172,IF(Atletas!M309="Shaolinquan F",173,IF(Atletas!M309="Tanglangquan F",174,IF(Atletas!M309="Yingzhaoquan F",175,IF(Atletas!M309="Tongbeiquan F",176,IF(Atletas!M309="Wudangquan F",177,IF(Atletas!M309="Outros Estilos F",178,0))))))))))))))))))))))))))))))))))))))))))</f>
        <v/>
      </c>
      <c r="BU318" s="50" t="str">
        <f>IF(Atletas!N309="","",IF(Atletas!X309&lt;&gt;"",10000,0)+(IF(Atletas!B309="Feminino",1000,IF(Atletas!B309="Masculino",2000,""))+(IF(Atletas!N309="Ditangquan A",201,IF(Atletas!N309="Houquan A",202,IF(Atletas!N309="Zuiquan A",203,IF(Atletas!N309="Ditangquan B",204,IF(Atletas!N309="Houquan B",205,IF(Atletas!N309="Zuiquan B",206,IF(Atletas!N309="Ditangquan C",207,IF(Atletas!N309="Houquan C",208,IF(Atletas!N309="Zuiquan C",209,IF(Atletas!N309="Ditangquan D",210,IF(Atletas!N309="Houquan D",211,IF(Atletas!N309="Zuiquan D",212,IF(Atletas!N309="Ditangquan E",213,IF(Atletas!N309="Houquan E",214,IF(Atletas!N309="Zuiquan E",215,IF(Atletas!N309="Ditangquan F",216,IF(Atletas!N309="Houquan F",217,IF(Atletas!N309="Zuiquan F",218,"")))))))))))))))))))))</f>
        <v/>
      </c>
      <c r="BV318" s="50" t="str">
        <f>IF(Atletas!O309="","",IF(Atletas!X309&lt;&gt;"",10000,0)+IF(Atletas!B309="Feminino",1000,IF(Atletas!B309="Masculino",2000,""))+IF(Atletas!O309="Yang A",301,IF(Atletas!O309="Chen A",302,IF(Atletas!O309="Sun A",303,IF(Atletas!O309="Wu A",304,IF(Atletas!O309="Wu-Hao A",305,IF(Atletas!O309="Outro Taijiquan A",306,IF(Atletas!O309="Yang B",307,IF(Atletas!O309="Chen B",308,IF(Atletas!O309="Sun B",309,IF(Atletas!O309="Wu B",310,IF(Atletas!O309="Wu-Hao B",311,IF(Atletas!O309="Outro Taijiquan B",312,IF(Atletas!O309="Yang C",313,IF(Atletas!O309="Chen C",314,IF(Atletas!O309="Sun C",315,IF(Atletas!O309="Wu C",316,IF(Atletas!O309="Wu-Hao C",317,IF(Atletas!O309="Outro Taijiquan C",318,IF(Atletas!O309="Yang D",319,IF(Atletas!O309="Chen D",320,IF(Atletas!O309="Sun D",321,IF(Atletas!O309="Wu D",322,IF(Atletas!O309="Wu-Hao D",323,IF(Atletas!O309="Outro Taijiquan D",324,IF(Atletas!O309="Yang E",325,IF(Atletas!O309="Chen E",326,IF(Atletas!O309="Sun E",327,IF(Atletas!O309="Wu E",328,IF(Atletas!O309="Wu-Hao E",329,IF(Atletas!O309="Outro Taijiquan E",330,IF(Atletas!O309="Yang F",331,IF(Atletas!O309="Chen F",332,IF(Atletas!O309="Sun F",333,IF(Atletas!O309="Wu F",334,IF(Atletas!O309="Wu-Hao F",335,IF(Atletas!O309="Outro Taijiquan F",336,"")))))))))))))))))))))))))))))))))))))</f>
        <v/>
      </c>
      <c r="BW318" s="50" t="str">
        <f>IF(Atletas!P309="","",IF(Atletas!X309&lt;&gt;"",10000,0)+IF(Atletas!B309="Feminino",1000,IF(Atletas!B309="Masculino",2000,""))+IF(OR(Atletas!P309="Yang 26 A",Atletas!P309="Yang 40 A"),401,IF(OR(Atletas!P309="Chen 25 A",Atletas!P309="Chen 36 A",Atletas!P309="Chen 56 A"),402,IF(Atletas!P309="Sun 73 A",403,IF(Atletas!P309="Wu 45 A",404,IF(Atletas!P309="Wu-Hao 46 A",405,IF(OR(Atletas!P309="Taijiquan 16 A",Atletas!P309="Taijiquan 24 A",Atletas!P309="Taijiquan 32 A",Atletas!P309="Taijiquan 42 A"),406,IF(OR(Atletas!P309="Yang 26 B",Atletas!P309="Yang 40 B"),407,IF(OR(Atletas!P309="Chen 25 B",Atletas!P309="Chen 36 B",Atletas!P309="Chen 56 B"),408,IF(Atletas!P309="Sun 73 B",409,IF(Atletas!P309="Wu 45 B",410,IF(Atletas!P309="Wu-Hao 46 B",411,IF(OR(Atletas!P309="Taijiquan 16 B",Atletas!P309="Taijiquan 24 B",Atletas!P309="Taijiquan 32 B",Atletas!P309="Taijiquan 42 B"),412,IF(OR(Atletas!P309="Yang 26 C",Atletas!P309="Yang 40 C"),413,IF(OR(Atletas!P309="Chen 25 C",Atletas!P309="Chen 36 C",Atletas!P309="Chen 56 C"),414,IF(Atletas!P309="Sun 73 C",415,IF(Atletas!P309="Wu 45 C",416,IF(Atletas!P309="Wu-Hao 46 C",417,IF(OR(Atletas!P309="Taijiquan 16 C",Atletas!P309="Taijiquan 24 C",Atletas!P309="Taijiquan 32 C",Atletas!P309="Taijiquan 42 C"),418,0)))))))))))))))))))</f>
        <v/>
      </c>
      <c r="BX318" s="50" t="str">
        <f>IF(Atletas!P309="","",IF(Atletas!X309&lt;&gt;"",10000,0)+IF(Atletas!B309="Feminino",1000,IF(Atletas!B309="Masculino",2000,""))+IF(OR(Atletas!P309="Yang 26 D",Atletas!P309="Yang 40 D"),419,IF(OR(Atletas!P309="Chen 25 D",Atletas!P309="Chen 36 D",Atletas!P309="Chen 56 D"),420,IF(Atletas!P309="Sun 73 D",421,IF(Atletas!P309="Wu 45 D",422,IF(Atletas!P309="Wu-Hao 46 D",423,IF(OR(Atletas!P309="Taijiquan 16 D",Atletas!P309="Taijiquan 24 D",Atletas!P309="Taijiquan 32 D",Atletas!P309="Taijiquan 42 D"),424,IF(OR(Atletas!P309="Yang 26 E",Atletas!P309="Yang 40 E"),425,IF(OR(Atletas!P309="Chen 25 E",Atletas!P309="Chen 36 E",Atletas!P309="Chen 56 E"),426,IF(Atletas!P309="Sun 73 E",427,IF(Atletas!P309="Wu 45 E",428,IF(Atletas!P309="Wu-Hao 46 E",429,IF(OR(Atletas!P309="Taijiquan 16 E",Atletas!P309="Taijiquan 24 E",Atletas!P309="Taijiquan 32 E",Atletas!P309="Taijiquan 42 E"),430,IF(OR(Atletas!P309="Yang 26 F",Atletas!P309="Yang 40 F"),431,IF(OR(Atletas!P309="Chen 25 F",Atletas!P309="Chen 36 F",Atletas!P309="Chen 56 F"),432,IF(Atletas!P309="Sun 73 F",433,IF(Atletas!P309="Wu 45 F",434,IF(Atletas!P309="Wu-Hao 46 F",435,IF(OR(Atletas!P309="Taijiquan 16 F",Atletas!P309="Taijiquan 24 F",Atletas!P309="Taijiquan 32 F",Atletas!P309="Taijiquan 42 F"),436,0)))))))))))))))))))</f>
        <v/>
      </c>
      <c r="BY318" s="50" t="str">
        <f>IF(Atletas!Q309="","",IF(Atletas!X309&lt;&gt;"",10000,0)+IF(Atletas!B309="Feminino",1000,IF(Atletas!B309="Masculino",2000,""))+IF(Atletas!Q309="Xingyiquan A",501,IF(Atletas!Q309="Baguazhang A",502,IF(Atletas!Q309="Outro Estilo Interno A",503,IF(Atletas!Q309="Xingyiquan B",504,IF(Atletas!Q309="Baguazhang B",505,IF(Atletas!Q309="Outro Estilo Interno B",506,IF(Atletas!Q309="Xingyiquan C",507,IF(Atletas!Q309="Baguazhang C",508,IF(Atletas!Q309="Outro Estilo Interno C",509,IF(Atletas!Q309="Xingyiquan D",510,IF(Atletas!Q309="Baguazhang D",511,IF(Atletas!Q309="Outro Estilo Interno D",512,IF(Atletas!Q309="Xingyiquan E",513,IF(Atletas!Q309="Baguazhang E",514,IF(Atletas!Q309="Outro Estilo Interno E",515,IF(Atletas!Q309="Xingyiquan F",516,IF(Atletas!Q309="Baguazhang F",517,IF(Atletas!Q309="Outro Estilo Interno F",518, "")))))))))))))))))))</f>
        <v/>
      </c>
      <c r="BZ318" s="50" t="str">
        <f>IF(Atletas!R309="","",IF(Atletas!X309&lt;&gt;"",10000,0)+IF(Atletas!B309="Feminino",1000,IF(Atletas!B309="Masculino",2000,""))+IF(Atletas!R309="Dao A",601,IF(Atletas!R309="Jian A",602,IF(Atletas!R309="Bishou A",603,IF(Atletas!R309="Shanzi A",604,IF(Atletas!R309="Outra Arma Curta A",605,IF(Atletas!R309="Dao B",606,IF(Atletas!R309="Jian B",607,IF(Atletas!R309="Bishou B",608,IF(Atletas!R309="Shanzi B",609,IF(Atletas!R309="Outra Arma Curta B",610,IF(Atletas!R309="Dao C",611,IF(Atletas!R309="Jian C",612,IF(Atletas!R309="Bishou C",613,IF(Atletas!R309="Shanzi C",614,IF(Atletas!R309="Outra Arma Curta C",615,IF(Atletas!R309="Dao D",616,IF(Atletas!R309="Jian D",617,IF(Atletas!R309="Bishou D",618,IF(Atletas!R309="Shanzi D",619,IF(Atletas!R309="Outra Arma Curta D",620,IF(Atletas!R309="Dao E",621,IF(Atletas!R309="Jian E",622,IF(Atletas!R309="Bishou E",623,IF(Atletas!R309="Shanzi E",624,IF(Atletas!R309="Outra Arma Curta E",625,IF(Atletas!R309="Dao F",626,IF(Atletas!R309="Jian F",627,IF(Atletas!R309="Bishou F",628,IF(Atletas!R309="Shanzi F",629,IF(Atletas!R309="Outra Arma Curta F",630, "")))))))))))))))))))))))))))))))</f>
        <v/>
      </c>
      <c r="CA318" s="50" t="str">
        <f>IF(Atletas!S309="","",IF(Atletas!X309&lt;&gt;"",10000,0)+IF(Atletas!B309="Feminino",1000,IF(Atletas!B309="Masculino",2000,""))+IF(Atletas!S309="Gun A",701,IF(Atletas!S309="Qiang A",702,IF(Atletas!S309="Pudao / Guandao A",703,IF(Atletas!S309="Outra Arma Longa A",704,IF(Atletas!S309="Gun B",705,IF(Atletas!S309="Qiang B",706,IF(Atletas!S309="Pudao / Guandao B",707,IF(Atletas!S309="Outra Arma Longa B",708,IF(Atletas!S309="Gun C",709,IF(Atletas!S309="Qiang C",710,IF(Atletas!S309="Pudao / Guandao C",711,IF(Atletas!S309="Outra Arma Longa C",712,IF(Atletas!S309="Gun D",713,IF(Atletas!S309="Qiang D",714,IF(Atletas!S309="Pudao / Guandao D",715,IF(Atletas!S309="Outra Arma Longa D",716,IF(Atletas!S309="Gun E",717,IF(Atletas!S309="Qiang E",718,IF(Atletas!S309="Pudao / Guandao E",719,IF(Atletas!S309="Outra Arma Longa E",720,IF(Atletas!S309="Gun F",721,IF(Atletas!S309="Qiang F",722,IF(Atletas!S309="Pudao / Guandao F",723,IF(Atletas!S309="Outra Arma Longa F",724,"")))))))))))))))))))))))))</f>
        <v/>
      </c>
      <c r="CB318" s="50" t="str">
        <f>IF(Atletas!T309="","",IF(Atletas!X309&lt;&gt;"",10000,0)+IF(Atletas!B309="Feminino",1000,IF(Atletas!B309="Masculino",2000,""))+IF(Atletas!T309="Outra Arma Dupla A",801,IF(Atletas!T309="Arma Maleável A",802,IF(Atletas!T309="Outra Arma Dupla B",803,IF(Atletas!T309="Arma Maleável B",804,IF(Atletas!T309="Outra Arma Dupla C",805,IF(Atletas!T309="Arma Maleável C",806,IF(Atletas!T309="Outra Arma Dupla D",807,IF(Atletas!T309="Arma Maleável D",808,IF(Atletas!T309="Outra Arma Dupla E",809,IF(Atletas!T309="Arma Maleável E",810,IF(Atletas!T309="Outra Arma Dupla F",811,IF(Atletas!T309="Arma Maleável F",812,IF(Atletas!T309="Shuangdao A",813,IF(Atletas!T309="Shuangdao B",814,IF(Atletas!T309="Shuangdao C",815,IF(Atletas!T309="Shuangdao D",816,IF(Atletas!T309="Shuangdao E",817,IF(Atletas!T309="Shuangdao F",818,"")))))))))))))))))))</f>
        <v/>
      </c>
      <c r="CC318" s="50" t="str">
        <f>IF(Atletas!U309="","",IF(Atletas!X309&lt;&gt;"",10000,0)+IF(Atletas!B309="Feminino",1000,IF(Atletas!B309="Masculino",2000,""))+IF(OR(Atletas!U309="Taijijian Yang A",Atletas!U309="Taijijian Yang Standard A"),901,IF(OR(Atletas!U309="Taijijian Chen A", Atletas!U309="Taijijian Chen Standard A"),902,IF(Atletas!U309="Taijijian Sun A",903,IF(Atletas!U309="Taijijian Wu A",904,IF(Atletas!U309="Taijijian Wu-Hao A",905,IF(OR(Atletas!U309="Taijijian 32 A",Atletas!U309="Taijijian 42 A"),906,IF(OR(Atletas!U309="Taijijian Yang B",Atletas!U309="Taijijian Yang Standard B"),907,IF(OR(Atletas!U309="Taijijian Chen B", Atletas!U309="Taijijian Chen Standard B"),908,IF(Atletas!U309="Taijijian Sun B",909,IF(Atletas!U309="Taijijian Wu B",910,IF(Atletas!U309="Taijijian Wu-Hao B",911,IF(OR(Atletas!U309="Taijijian 32 B",Atletas!U309="Taijijian 42 B"),912,IF(OR(Atletas!U309="Taijijian Yang C",Atletas!U309="Taijijian Yang Standard C"),913,IF(OR(Atletas!U309="Taijijian Chen C", Atletas!U309="Taijijian Chen Standard C"),914,IF(Atletas!U309="Taijijian Sun C",915,IF(Atletas!U309="Taijijian Wu C",916,IF(Atletas!U309="Taijijian Wu-Hao C",917,IF(OR(Atletas!U309="Taijijian 32 C",Atletas!U309="Taijijian 42 C"),918,IF(OR(Atletas!U309="Taijijian Yang D",Atletas!U309="Taijijian Yang Standard D"),919,IF(OR(Atletas!U309="Taijijian Chen D", Atletas!U309="Taijijian Chen Standard D"),920,IF(Atletas!U309="Taijijian Sun D",921,IF(Atletas!U309="Taijijian Wu D",922,IF(Atletas!U309="Taijijian Wu-Hao D",923,IF(OR(Atletas!U309="Taijijian 32 D",Atletas!U309="Taijijian 42 D"),924,IF(OR(Atletas!U309="Taijijian Yang E",Atletas!U309="Taijijian Yang Standard E"),925,IF(OR(Atletas!U309="Taijijian Chen E", Atletas!U309="Taijijian Chen Standard E"),926,IF(Atletas!U309="Taijijian Sun E",927,IF(Atletas!U309="Taijijian Wu E",928,IF(Atletas!U309="Taijijian Wu-Hao E",929,IF(OR(Atletas!U309="Taijijian 32 E",Atletas!U309="Taijijian 42 E"),930,IF(OR(Atletas!U309="Taijijian Yang F",Atletas!U309="Taijijian Yang Standard F"),931,IF(OR(Atletas!U309="Taijijian Chen F", Atletas!U309="Taijijian Chen Standard F"),932,IF(Atletas!U309="Taijijian Sun F",933,IF(Atletas!U309="Taijijian Wu F",934,IF(Atletas!U309="Taijijian Wu-Hao F",935,IF(OR(Atletas!U309="Taijijian 32 F",Atletas!U309="Taijijian 42 F"),936,"")))))))))))))))))))))))))))))))))))))</f>
        <v/>
      </c>
      <c r="CD318" s="50" t="str">
        <f>IF(Atletas!V309="","",IF(Atletas!X309&lt;&gt;"",10000,0)+IF(Atletas!B309="Feminino",1000,IF(Atletas!B309="Masculino",2000,""))+IF(Atletas!V309="Taijidao A",937,IF(Atletas!V309="TaijiShanzi A",938,IF(Atletas!V309="Taijiqiang A",939,IF(Atletas!V309="Bagua de Arma A",940,IF(Atletas!V309="Xingyi de Arma A",941,IF(Atletas!V309="Taijidao B",942,IF(Atletas!V309="TaijiShanzi B",943,IF(Atletas!V309="Taijiqiang B",944,IF(Atletas!V309="Bagua de Arma B",945,IF(Atletas!V309="Xingyi de Arma B",946,IF(Atletas!V309="Taijidao C",947,IF(Atletas!V309="TaijiShanzi C",948,IF(Atletas!V309="Taijiqiang C",949,IF(Atletas!V309="Bagua de Arma C",950,IF(Atletas!V309="Xingyi de Arma C",951,IF(Atletas!V309="Taijidao D",952,IF(Atletas!V309="TaijiShanzi D",953,IF(Atletas!V309="Taijiqiang D",954,IF(Atletas!V309="Bagua de Arma D",955,IF(Atletas!V309="Xingyi de Arma D",956,IF(Atletas!V309="Taijidao E",957,IF(Atletas!V309="TaijiShanzi E",958,IF(Atletas!V309="Taijiqiang E",959,IF(Atletas!V309="Bagua de Arma E",960,IF(Atletas!V309="Xingyi de Arma E",961,IF(Atletas!V309="Taijidao F",962,IF(Atletas!V309="TaijiShanzi F",963,IF(Atletas!V309="Taijiqiang F",964,IF(Atletas!V309="Bagua de Arma F",965,IF(Atletas!V309="Xingyi de Arma F",966,"")))))))))))))))))))))))))))))))</f>
        <v/>
      </c>
      <c r="CE318" s="66" t="str">
        <f>IF(CF318&lt;&gt;"","Taijijian Combinado C","")</f>
        <v/>
      </c>
      <c r="CF318" s="6" t="str">
        <f>IF(COUNTIF(BR:CD,1918)&gt;0,COUNTIF(BR:CD,1918),"")</f>
        <v/>
      </c>
      <c r="CG318" s="66" t="str">
        <f>IF(CH318&lt;&gt;"","Taijijian Combinado C","")</f>
        <v/>
      </c>
      <c r="CH318" s="66" t="str">
        <f>IF(COUNTIF(BR:CD,2918)&gt;0,COUNTIF(BR:CD,2918),"")</f>
        <v/>
      </c>
      <c r="CI318" s="66" t="str">
        <f>IF(CJ319&lt;&gt;"","Taijijian Yang F","")</f>
        <v/>
      </c>
      <c r="CJ318" s="66" t="str">
        <f>IF(COUNTIF(BR:CD,11930)&gt;0,COUNTIF(BR:CD,11930),"")</f>
        <v/>
      </c>
      <c r="CK318" s="66" t="str">
        <f>IF(CL318&lt;&gt;"","Taijijian Combinado E","")</f>
        <v/>
      </c>
      <c r="CL318" s="66" t="str">
        <f>IF(COUNTIF(BR:CD,12930)&gt;0,COUNTIF(BR:CD,12930),"")</f>
        <v/>
      </c>
      <c r="CM318" s="50" t="str">
        <f xml:space="preserve"> IF(Atletas!W309="","",IF(Atletas!W309="Duilian de Mãos BC - Equipe 1",1,IF(Atletas!W309="Duilian de Mãos BC - Equipe 2",2,IF(Atletas!W309="Duilian de Armas BC - Equipe 1",3,IF(Atletas!W309="Duilian de Armas BC - Equipe 2",4,IF(Atletas!W309="Duilian de Mãos DE - Equipe 1",5,IF(Atletas!W309="Duilian de Mãos DE - Equipe 2",6,IF(Atletas!W309="Duilian de Armas DE - Equipe 1",7,IF(Atletas!W309="Duilian de Armas DE - Equipe 2",8,IF(Atletas!W309="Duilian de Tuishou - Equipe 1",9,IF(Atletas!W309="Duilian de Tuishou - Equipe 2",10,IF(Atletas!W309="Grupo Externo ABC - Equipe 1",11,IF(Atletas!W309="Grupo Externo ABC - Equipe 2",12,IF(Atletas!W309="Grupo Interno ABC - Equipe 1",13,IF(Atletas!W309="Grupo Interno ABC - Equipe 2",14,IF(Atletas!W309="Grupo Externo DEF - Equipe 1",15,IF(Atletas!W309="Grupo Externo DEF - Equipe 2",16,IF(Atletas!W309="Grupo Interno DEF - Equipe 1",17,IF(Atletas!W309="Grupo Interno DEF - Equipe 2",18,"")))))))))))))))))))</f>
        <v/>
      </c>
    </row>
    <row r="319" spans="40:91">
      <c r="AN319" s="52" t="str">
        <f>IF(Atletas!D310="","",IF(Atletas!B310="Feminino",100,IF(Atletas!B310="Masculino",200,""))+(IF(Atletas!D310="Kids 30kg",1,IF(Atletas!D310="Kids 32kg",2, IF(Atletas!D310="Kids 34kg",3,IF(Atletas!D310="Kids 36kg",4,IF(Atletas!D310="Kids 39kg",5,IF(Atletas!D310="Kids 42kg",6,IF(Atletas!D310="Kids 45kg",7, IF(Atletas!D310="Infantil 39kg",8,IF(Atletas!D310="Infantil 42kg",9,IF(Atletas!D310="Infantil 45kg",10,IF(Atletas!D310="Infantil 48kg",11,IF(Atletas!D310="Infantil 52kg",12,IF(Atletas!D310="Infantil 56kg",13,IF(Atletas!D310="Infantil 60kg",14,IF(Atletas!D310="Juvenil 48kg",15,IF(Atletas!D310="Juvenil 52kg",16,IF(Atletas!D310="Juvenil 56kg",17,IF(Atletas!D310="Juvenil 60kg",18,IF(Atletas!D310="Juvenil 65kg",19,IF(Atletas!D310="Juvenil 70kg",20,IF(Atletas!D310="Juvenil 75kg",21,IF(Atletas!D310="Juvenil 80kg",22, IF(Atletas!D310="Juvenil 85kg",23,IF(Atletas!D310="Adulto 48kg",24,IF(Atletas!D310="Adulto 52kg",25,IF(Atletas!D310="Adulto 56kg",26,IF(Atletas!D310="Adulto 60kg",27,IF(Atletas!D310="Adulto 65kg",28,IF(Atletas!D310="Adulto 70kg",29,IF(Atletas!D310="Adulto 75kg",30,IF(Atletas!D310="Adulto 80kg",31,IF(Atletas!D310="Adulto 85kg",32,IF(Atletas!D310="Adulto 90kg",33,IF(Atletas!D310="Adulto 100kg",34, IF(Atletas!D310="Adulto +100kg",35,"")))))))))))))))))))))))))))))))))))))</f>
        <v/>
      </c>
      <c r="AS319" s="6" t="str">
        <f>IF(Atletas!E310="","",IF(Atletas!B310="Feminino",100,IF(Atletas!B310="Masculino",200,""))+(IF(Atletas!E310="Juvenil 44kg",1,IF(Atletas!E310="Juvenil 48kg",2,IF(Atletas!E310="Juvenil 52kg",3,IF(Atletas!E310="Juvenil 56kg",4,IF(Atletas!E310="Juvenil 60kg",5,IF(Atletas!E310="Juvenil 65kg",6,IF(Atletas!E310="Juvenil 70kg",7,IF(Atletas!E310="Juvenil 75kg",8,IF(Atletas!E310="Juvenil 82kg",9,IF(Atletas!E310="Juvenil 90kg",10,IF(Atletas!E310="Juvenil 100kg",11,IF(Atletas!E310="Adulto 48kg",12,IF(Atletas!E310="Adulto 52kg",13,IF(Atletas!E310="Adulto 56kg",14,IF(Atletas!E310="Adulto 60kg",15,IF(Atletas!E310="Adulto 65kg",16,IF(Atletas!E310="Adulto 70kg",17,IF(Atletas!E310="Adulto 75kg",18,IF(Atletas!E310="Adulto 82kg",19,IF(Atletas!E310="Adulto 90kg",20,IF(Atletas!E310="Adulto 100kg",21,IF(Atletas!E310="Adulto +100kg",22,""))))))))))))))))))))))))</f>
        <v/>
      </c>
      <c r="AX319" s="6" t="str">
        <f>IF(Atletas!F310="","",IF(Atletas!B310="Feminino",100,IF(Atletas!B310="Masculino",200,""))+(IF(Atletas!F310="Adulto 48kg",1,IF(Atletas!F310="Adulto 56kg",2,IF(Atletas!F310="Adulto 65kg",3,IF(Atletas!F310="Adulto 75kg",4,IF(Atletas!F310="Adulto +75kg",5,IF(Atletas!F310="Adulto 52kg",6,IF(Atletas!F310="Adulto 60kg",7,IF(Atletas!F310="Adulto 70kg",8,IF(Atletas!F310="Adulto 80kg",9,IF(Atletas!F310="Adulto 90kg",10,IF(Atletas!F310="Adulto +90kg",11,"")))))))))))))</f>
        <v/>
      </c>
      <c r="BC319" s="6" t="str">
        <f>IF(Atletas!G310="","",IF(Atletas!B310="Feminino",10,IF(Atletas!B310="Masculino",20,""))+(IF(Atletas!G310="Baduanjin A",1,IF(Atletas!G310="Baduanjin B",2))))</f>
        <v/>
      </c>
      <c r="BF319" s="52" t="str">
        <f>IF(Atletas!H310="","",IF(Atletas!B310="Feminino",100,IF(Atletas!B310="Masculino",200,""))+(IF(Atletas!H310="Changquan Mirim",1,IF(Atletas!H310="Nanquan Mirim",2,IF(Atletas!H310="Taijiquan Mirim",3,IF(Atletas!H310="Changquan Grupo C",4,IF(Atletas!H310="Nanquan Grupo C",5,IF(Atletas!H310="Taijiquan Grupo C",6,IF(Atletas!H310="Changquan Grupo B",7,IF(Atletas!H310="Nanquan Grupo B",8,IF(Atletas!H310="Taijiquan Grupo B",9,IF(Atletas!H310="Changquan Grupo A",10,IF(Atletas!H310="Nanquan Grupo A",11,IF(Atletas!H310="Taijiquan Grupo A",12,IF(Atletas!H310="Changquan Opcional",13,IF(Atletas!H310="Nanquan Opcional",14,IF(Atletas!H310="Taijiquan Opcional",15,IF(Atletas!H310="Changquan Adulto",16,IF(Atletas!H310="Nanquan Adulto",17,IF(Atletas!H310="Taijiquan Adulto",18,""))))))))))))))))))))</f>
        <v/>
      </c>
      <c r="BG319" s="52" t="str">
        <f>IF(Atletas!I310="","",IF(Atletas!B310="Feminino",100,IF(Atletas!B310="Masculino",200,""))+(IF(Atletas!I310="Daoshu Mirim",19,IF(Atletas!I310="Jianshu Mirim",20,IF(Atletas!I310="Nandao Mirim",21,IF(Atletas!I310="Taijijian Mirim",22,IF(Atletas!I310="Daoshu Grupo C",23,IF(Atletas!I310="Jianshu Grupo C",24,IF(Atletas!I310="Nandao Grupo C",25,IF(Atletas!I310="Taijijian Grupo C",26,IF(Atletas!I310="Daoshu Grupo B",27,IF(Atletas!I310="Jianshu Grupo B",28,IF(Atletas!I310="Nandao Grupo B",29,IF(Atletas!I310="Taijijian Grupo B",30,IF(Atletas!I310="Daoshu Grupo A",31,IF(Atletas!I310="Jianshu Grupo A",32,IF(Atletas!I310="Nandao Grupo A",33,IF(Atletas!I310="Taijijian Grupo A",34,IF(Atletas!I310="Daoshu Opcional",35,IF(Atletas!I310="Jianshu Opcional",36,IF(Atletas!I310="Nandao Opcional",37,IF(Atletas!I310="Taijijian Opcional",38,IF(Atletas!I310="Daoshu Adulto",39,IF(Atletas!I310="Jianshu Adulto",40,IF(Atletas!I310="Nandao Adulto",41,IF(Atletas!I310="Taijijian Adulto",42,""))))))))))))))))))))))))))</f>
        <v/>
      </c>
      <c r="BH319" s="52" t="str">
        <f>IF(Atletas!J310="","",IF(Atletas!B310="Feminino",100,IF(Atletas!B310="Masculino",200,""))+(IF(Atletas!J310="Gunshu Mirim",43,IF(Atletas!J310="Qiangshu Mirim",44,IF(Atletas!J310="Nangun Mirim",45,IF(Atletas!J310="Gunshu Grupo C",46,IF(Atletas!J310="Qiangshu Grupo C",47,IF(Atletas!J310="Nangun Grupo C",48,IF(Atletas!J310="Gunshu Grupo B",49,IF(Atletas!J310="Qiangshu Grupo B",50,IF(Atletas!J310="Nangun Grupo B",51,IF(Atletas!J310="Gunshu Grupo A",52,IF(Atletas!J310="Qiangshu Grupo A",53,IF(Atletas!J310="Nangun Grupo A",54,IF(Atletas!J310="Gunshu Opcional",55,IF(Atletas!J310="Qiangshu Opcional",56,IF(Atletas!J310="Nangun Opcional",57,IF(Atletas!J310="Gunshu Adulto",58,IF(Atletas!J310="Qiangshu Adulto",59,IF(Atletas!J310="Nangun Adulto",60,IF(Atletas!J310="Taijishan Grupo B",61,IF(Atletas!J310="Taijishan Grupo A",62,""))))))))))))))))))))))</f>
        <v/>
      </c>
      <c r="BM319" s="50" t="str">
        <f>IF(Atletas!K310="","",IF(Atletas!B310="Feminino",100,IF(Atletas!B310="Masculino",200,""))+(IF(Atletas!K310="Equipe 1 Grupo B",1,IF(Atletas!K310="Equipe 2 Grupo B",2,IF(Atletas!K310="Equipe 1 Grupo A",3,IF(Atletas!K310="Equipe 2 Grupo A",4,IF(Atletas!K310="Equipe 1 Adulto",5,IF(Atletas!K310="Equipe 2 Adulto",6,""))))))))</f>
        <v/>
      </c>
      <c r="BR319" s="50" t="str">
        <f>IF(Atletas!L310="","",IF(Atletas!X310&lt;&gt;"",10000,0)+(IF(Atletas!B310="Feminino",1000,IF(Atletas!B310="Masculino",2000,""))+IF(Atletas!L310="Choylayfut A",1,IF(Atletas!L310="Hunggar A",2,IF(Atletas!L310="Wuzuquan A",3,IF(Atletas!L310="Wingchun A",4,IF(Atletas!L310="Outra Mão de Sul A",5,IF(Atletas!L310="Choylayfut B",6,IF(Atletas!L310="Hunggar B",7,IF(Atletas!L310="Wuzuquan B",8,IF(Atletas!L310="Wingchun B",9,IF(Atletas!L310="Outra Mão de Sul B",10,IF(Atletas!L310="Choylayfut C",11,IF(Atletas!L310="Hunggar C",12,IF(Atletas!L310="Wuzuquan C",13,IF(Atletas!L310="Wingchun C",14,IF(Atletas!L310="Outra Mão de Sul C",15,IF(Atletas!L310="Choylayfut D",16,IF(Atletas!L310="Hunggar D",17,IF(Atletas!L310="Wuzuquan D",18,IF(Atletas!L310="Wingchun D",19,IF(Atletas!L310="Outra Mão de Sul D",20,IF(Atletas!L310="Choylayfut E",21,IF(Atletas!L310="Hunggar E",22,IF(Atletas!L310="Wuzuquan E",23,IF(Atletas!L310="Wingchun E",24,IF(Atletas!L310="Outra Mão de Sul E",25,IF(Atletas!L310="Choylayfut F",26,IF(Atletas!L310="Hunggar F",27,IF(Atletas!L310="Wuzuquan F",28,IF(Atletas!L310="Wingchun F",29,IF(Atletas!L310="Outra Mão de Sul F",30,IF(Atletas!L310="Dishuquan A",31,IF(Atletas!L310="Dishuquan B",32,IF(Atletas!L310="Dishuquan C",33,IF(Atletas!L310="Dishuquan D",34,IF(Atletas!L310="Dishuquan E",35,IF(Atletas!L310="Dishuquan F",36,""))))))))))))))))))))))))))))))))))))))</f>
        <v/>
      </c>
      <c r="BS319" s="50" t="str">
        <f>IF(Atletas!M310="","",IF(Atletas!X310&lt;&gt;"",10000,0)+(IF(Atletas!B310="Feminino",1000,IF(Atletas!B310="Masculino",2000,""))+(IF(Atletas!M310="Chaquan A",101,IF(Atletas!M310="Emeiquan A",102,IF(Atletas!M310="Fanziquan A",103,IF(Atletas!M310="Huaquan A",104,IF(Atletas!M310="Hongquan A",105,IF(Atletas!M310="Paoquan A",106,IF(Atletas!M310="Piguaquan A",107,IF(Atletas!M310="Shaolinquan A",108,IF(Atletas!M310="Tanglangquan A",109,IF(Atletas!M310="Yingzhaoquan A",110,IF(Atletas!M310="Tongbeiquan A",111,IF(Atletas!M310="Wudangquan A",112,IF(Atletas!M310="Outros Estilos A",113,IF(Atletas!M310="Chaquan B",114,IF(Atletas!M310="Emeiquan B",115,IF(Atletas!M310="Fanziquan B",116,IF(Atletas!M310="Huaquan B",117,IF(Atletas!M310="Hongquan B",118,IF(Atletas!M310="Paoquan B",119,IF(Atletas!M310="Piguaquan B",120,IF(Atletas!M310="Shaolinquan B",121,IF(Atletas!M310="Tanglangquan B",122,IF(Atletas!M310="Yingzhaoquan B",123,IF(Atletas!M310="Tongbeiquan B",124,IF(Atletas!M310="Wudangquan B",125,IF(Atletas!M310="Outros Estilos B",126,IF(Atletas!M310="Chaquan C",127,IF(Atletas!M310="Emeiquan C",128,IF(Atletas!M310="Fanziquan C",129,IF(Atletas!M310="Huaquan C",130,IF(Atletas!M310="Hongquan C",131,IF(Atletas!M310="Paoquan C",132,IF(Atletas!M310="Piguaquan C",133,IF(Atletas!M310="Shaolinquan C",134,IF(Atletas!M310="Tanglangquan C",135,IF(Atletas!M310="Yingzhaoquan C",136,IF(Atletas!M310="Tongbeiquan C",137,IF(Atletas!M310="Wudangquan C",138,IF(Atletas!M310="Outros Estilos C",139,0))))))))))))))))))))))))))))))))))))))))))</f>
        <v/>
      </c>
      <c r="BT319" s="50" t="str">
        <f>IF(Atletas!M310="","",IF(Atletas!X310&lt;&gt;"",10000,0)+(IF(Atletas!B310="Feminino",1000,IF(Atletas!B310="Masculino",2000,""))+(IF(Atletas!M310="Chaquan D",140,IF(Atletas!M310="Emeiquan D",141,IF(Atletas!M310="Fanziquan D",142,IF(Atletas!M310="Huaquan D",143,IF(Atletas!M310="Hongquan D",144,IF(Atletas!M310="Paoquan D",145,IF(Atletas!M310="Piguaquan D",146,IF(Atletas!M310="Shaolinquan D",147,IF(Atletas!M310="Tanglangquan D",148,IF(Atletas!M310="Yingzhaoquan D",149,IF(Atletas!M310="Tongbeiquan D",150,IF(Atletas!M310="Wudangquan D",151,IF(Atletas!M310="Outros Estilos D",152,IF(Atletas!M310="Chaquan E",153,IF(Atletas!M310="Emeiquan E",154,IF(Atletas!M310="Fanziquan E",155,IF(Atletas!M310="Huaquan E",156,IF(Atletas!M310="Hongquan E",157,IF(Atletas!M310="Paoquan E",158,IF(Atletas!M310="Piguaquan E",159,IF(Atletas!M310="Shaolinquan E",160,IF(Atletas!M310="Tanglangquan E",161,IF(Atletas!M310="Yingzhaoquan E",162,IF(Atletas!M310="Tongbeiquan E",163,IF(Atletas!M310="Wudangquan E",164,IF(Atletas!M310="Outros Estilos E",165,IF(Atletas!M310="Chaquan F",166,IF(Atletas!M310="Emeiquan F",167,IF(Atletas!M310="Fanziquan F",168,IF(Atletas!M310="Huaquan F",169,IF(Atletas!M310="Hongquan F",170,IF(Atletas!M310="Paoquan F",171,IF(Atletas!M310="Piguaquan F",172,IF(Atletas!M310="Shaolinquan F",173,IF(Atletas!M310="Tanglangquan F",174,IF(Atletas!M310="Yingzhaoquan F",175,IF(Atletas!M310="Tongbeiquan F",176,IF(Atletas!M310="Wudangquan F",177,IF(Atletas!M310="Outros Estilos F",178,0))))))))))))))))))))))))))))))))))))))))))</f>
        <v/>
      </c>
      <c r="BU319" s="50" t="str">
        <f>IF(Atletas!N310="","",IF(Atletas!X310&lt;&gt;"",10000,0)+(IF(Atletas!B310="Feminino",1000,IF(Atletas!B310="Masculino",2000,""))+(IF(Atletas!N310="Ditangquan A",201,IF(Atletas!N310="Houquan A",202,IF(Atletas!N310="Zuiquan A",203,IF(Atletas!N310="Ditangquan B",204,IF(Atletas!N310="Houquan B",205,IF(Atletas!N310="Zuiquan B",206,IF(Atletas!N310="Ditangquan C",207,IF(Atletas!N310="Houquan C",208,IF(Atletas!N310="Zuiquan C",209,IF(Atletas!N310="Ditangquan D",210,IF(Atletas!N310="Houquan D",211,IF(Atletas!N310="Zuiquan D",212,IF(Atletas!N310="Ditangquan E",213,IF(Atletas!N310="Houquan E",214,IF(Atletas!N310="Zuiquan E",215,IF(Atletas!N310="Ditangquan F",216,IF(Atletas!N310="Houquan F",217,IF(Atletas!N310="Zuiquan F",218,"")))))))))))))))))))))</f>
        <v/>
      </c>
      <c r="BV319" s="50" t="str">
        <f>IF(Atletas!O310="","",IF(Atletas!X310&lt;&gt;"",10000,0)+IF(Atletas!B310="Feminino",1000,IF(Atletas!B310="Masculino",2000,""))+IF(Atletas!O310="Yang A",301,IF(Atletas!O310="Chen A",302,IF(Atletas!O310="Sun A",303,IF(Atletas!O310="Wu A",304,IF(Atletas!O310="Wu-Hao A",305,IF(Atletas!O310="Outro Taijiquan A",306,IF(Atletas!O310="Yang B",307,IF(Atletas!O310="Chen B",308,IF(Atletas!O310="Sun B",309,IF(Atletas!O310="Wu B",310,IF(Atletas!O310="Wu-Hao B",311,IF(Atletas!O310="Outro Taijiquan B",312,IF(Atletas!O310="Yang C",313,IF(Atletas!O310="Chen C",314,IF(Atletas!O310="Sun C",315,IF(Atletas!O310="Wu C",316,IF(Atletas!O310="Wu-Hao C",317,IF(Atletas!O310="Outro Taijiquan C",318,IF(Atletas!O310="Yang D",319,IF(Atletas!O310="Chen D",320,IF(Atletas!O310="Sun D",321,IF(Atletas!O310="Wu D",322,IF(Atletas!O310="Wu-Hao D",323,IF(Atletas!O310="Outro Taijiquan D",324,IF(Atletas!O310="Yang E",325,IF(Atletas!O310="Chen E",326,IF(Atletas!O310="Sun E",327,IF(Atletas!O310="Wu E",328,IF(Atletas!O310="Wu-Hao E",329,IF(Atletas!O310="Outro Taijiquan E",330,IF(Atletas!O310="Yang F",331,IF(Atletas!O310="Chen F",332,IF(Atletas!O310="Sun F",333,IF(Atletas!O310="Wu F",334,IF(Atletas!O310="Wu-Hao F",335,IF(Atletas!O310="Outro Taijiquan F",336,"")))))))))))))))))))))))))))))))))))))</f>
        <v/>
      </c>
      <c r="BW319" s="50" t="str">
        <f>IF(Atletas!P310="","",IF(Atletas!X310&lt;&gt;"",10000,0)+IF(Atletas!B310="Feminino",1000,IF(Atletas!B310="Masculino",2000,""))+IF(OR(Atletas!P310="Yang 26 A",Atletas!P310="Yang 40 A"),401,IF(OR(Atletas!P310="Chen 25 A",Atletas!P310="Chen 36 A",Atletas!P310="Chen 56 A"),402,IF(Atletas!P310="Sun 73 A",403,IF(Atletas!P310="Wu 45 A",404,IF(Atletas!P310="Wu-Hao 46 A",405,IF(OR(Atletas!P310="Taijiquan 16 A",Atletas!P310="Taijiquan 24 A",Atletas!P310="Taijiquan 32 A",Atletas!P310="Taijiquan 42 A"),406,IF(OR(Atletas!P310="Yang 26 B",Atletas!P310="Yang 40 B"),407,IF(OR(Atletas!P310="Chen 25 B",Atletas!P310="Chen 36 B",Atletas!P310="Chen 56 B"),408,IF(Atletas!P310="Sun 73 B",409,IF(Atletas!P310="Wu 45 B",410,IF(Atletas!P310="Wu-Hao 46 B",411,IF(OR(Atletas!P310="Taijiquan 16 B",Atletas!P310="Taijiquan 24 B",Atletas!P310="Taijiquan 32 B",Atletas!P310="Taijiquan 42 B"),412,IF(OR(Atletas!P310="Yang 26 C",Atletas!P310="Yang 40 C"),413,IF(OR(Atletas!P310="Chen 25 C",Atletas!P310="Chen 36 C",Atletas!P310="Chen 56 C"),414,IF(Atletas!P310="Sun 73 C",415,IF(Atletas!P310="Wu 45 C",416,IF(Atletas!P310="Wu-Hao 46 C",417,IF(OR(Atletas!P310="Taijiquan 16 C",Atletas!P310="Taijiquan 24 C",Atletas!P310="Taijiquan 32 C",Atletas!P310="Taijiquan 42 C"),418,0)))))))))))))))))))</f>
        <v/>
      </c>
      <c r="BX319" s="50" t="str">
        <f>IF(Atletas!P310="","",IF(Atletas!X310&lt;&gt;"",10000,0)+IF(Atletas!B310="Feminino",1000,IF(Atletas!B310="Masculino",2000,""))+IF(OR(Atletas!P310="Yang 26 D",Atletas!P310="Yang 40 D"),419,IF(OR(Atletas!P310="Chen 25 D",Atletas!P310="Chen 36 D",Atletas!P310="Chen 56 D"),420,IF(Atletas!P310="Sun 73 D",421,IF(Atletas!P310="Wu 45 D",422,IF(Atletas!P310="Wu-Hao 46 D",423,IF(OR(Atletas!P310="Taijiquan 16 D",Atletas!P310="Taijiquan 24 D",Atletas!P310="Taijiquan 32 D",Atletas!P310="Taijiquan 42 D"),424,IF(OR(Atletas!P310="Yang 26 E",Atletas!P310="Yang 40 E"),425,IF(OR(Atletas!P310="Chen 25 E",Atletas!P310="Chen 36 E",Atletas!P310="Chen 56 E"),426,IF(Atletas!P310="Sun 73 E",427,IF(Atletas!P310="Wu 45 E",428,IF(Atletas!P310="Wu-Hao 46 E",429,IF(OR(Atletas!P310="Taijiquan 16 E",Atletas!P310="Taijiquan 24 E",Atletas!P310="Taijiquan 32 E",Atletas!P310="Taijiquan 42 E"),430,IF(OR(Atletas!P310="Yang 26 F",Atletas!P310="Yang 40 F"),431,IF(OR(Atletas!P310="Chen 25 F",Atletas!P310="Chen 36 F",Atletas!P310="Chen 56 F"),432,IF(Atletas!P310="Sun 73 F",433,IF(Atletas!P310="Wu 45 F",434,IF(Atletas!P310="Wu-Hao 46 F",435,IF(OR(Atletas!P310="Taijiquan 16 F",Atletas!P310="Taijiquan 24 F",Atletas!P310="Taijiquan 32 F",Atletas!P310="Taijiquan 42 F"),436,0)))))))))))))))))))</f>
        <v/>
      </c>
      <c r="BY319" s="50" t="str">
        <f>IF(Atletas!Q310="","",IF(Atletas!X310&lt;&gt;"",10000,0)+IF(Atletas!B310="Feminino",1000,IF(Atletas!B310="Masculino",2000,""))+IF(Atletas!Q310="Xingyiquan A",501,IF(Atletas!Q310="Baguazhang A",502,IF(Atletas!Q310="Outro Estilo Interno A",503,IF(Atletas!Q310="Xingyiquan B",504,IF(Atletas!Q310="Baguazhang B",505,IF(Atletas!Q310="Outro Estilo Interno B",506,IF(Atletas!Q310="Xingyiquan C",507,IF(Atletas!Q310="Baguazhang C",508,IF(Atletas!Q310="Outro Estilo Interno C",509,IF(Atletas!Q310="Xingyiquan D",510,IF(Atletas!Q310="Baguazhang D",511,IF(Atletas!Q310="Outro Estilo Interno D",512,IF(Atletas!Q310="Xingyiquan E",513,IF(Atletas!Q310="Baguazhang E",514,IF(Atletas!Q310="Outro Estilo Interno E",515,IF(Atletas!Q310="Xingyiquan F",516,IF(Atletas!Q310="Baguazhang F",517,IF(Atletas!Q310="Outro Estilo Interno F",518, "")))))))))))))))))))</f>
        <v/>
      </c>
      <c r="BZ319" s="50" t="str">
        <f>IF(Atletas!R310="","",IF(Atletas!X310&lt;&gt;"",10000,0)+IF(Atletas!B310="Feminino",1000,IF(Atletas!B310="Masculino",2000,""))+IF(Atletas!R310="Dao A",601,IF(Atletas!R310="Jian A",602,IF(Atletas!R310="Bishou A",603,IF(Atletas!R310="Shanzi A",604,IF(Atletas!R310="Outra Arma Curta A",605,IF(Atletas!R310="Dao B",606,IF(Atletas!R310="Jian B",607,IF(Atletas!R310="Bishou B",608,IF(Atletas!R310="Shanzi B",609,IF(Atletas!R310="Outra Arma Curta B",610,IF(Atletas!R310="Dao C",611,IF(Atletas!R310="Jian C",612,IF(Atletas!R310="Bishou C",613,IF(Atletas!R310="Shanzi C",614,IF(Atletas!R310="Outra Arma Curta C",615,IF(Atletas!R310="Dao D",616,IF(Atletas!R310="Jian D",617,IF(Atletas!R310="Bishou D",618,IF(Atletas!R310="Shanzi D",619,IF(Atletas!R310="Outra Arma Curta D",620,IF(Atletas!R310="Dao E",621,IF(Atletas!R310="Jian E",622,IF(Atletas!R310="Bishou E",623,IF(Atletas!R310="Shanzi E",624,IF(Atletas!R310="Outra Arma Curta E",625,IF(Atletas!R310="Dao F",626,IF(Atletas!R310="Jian F",627,IF(Atletas!R310="Bishou F",628,IF(Atletas!R310="Shanzi F",629,IF(Atletas!R310="Outra Arma Curta F",630, "")))))))))))))))))))))))))))))))</f>
        <v/>
      </c>
      <c r="CA319" s="50" t="str">
        <f>IF(Atletas!S310="","",IF(Atletas!X310&lt;&gt;"",10000,0)+IF(Atletas!B310="Feminino",1000,IF(Atletas!B310="Masculino",2000,""))+IF(Atletas!S310="Gun A",701,IF(Atletas!S310="Qiang A",702,IF(Atletas!S310="Pudao / Guandao A",703,IF(Atletas!S310="Outra Arma Longa A",704,IF(Atletas!S310="Gun B",705,IF(Atletas!S310="Qiang B",706,IF(Atletas!S310="Pudao / Guandao B",707,IF(Atletas!S310="Outra Arma Longa B",708,IF(Atletas!S310="Gun C",709,IF(Atletas!S310="Qiang C",710,IF(Atletas!S310="Pudao / Guandao C",711,IF(Atletas!S310="Outra Arma Longa C",712,IF(Atletas!S310="Gun D",713,IF(Atletas!S310="Qiang D",714,IF(Atletas!S310="Pudao / Guandao D",715,IF(Atletas!S310="Outra Arma Longa D",716,IF(Atletas!S310="Gun E",717,IF(Atletas!S310="Qiang E",718,IF(Atletas!S310="Pudao / Guandao E",719,IF(Atletas!S310="Outra Arma Longa E",720,IF(Atletas!S310="Gun F",721,IF(Atletas!S310="Qiang F",722,IF(Atletas!S310="Pudao / Guandao F",723,IF(Atletas!S310="Outra Arma Longa F",724,"")))))))))))))))))))))))))</f>
        <v/>
      </c>
      <c r="CB319" s="50" t="str">
        <f>IF(Atletas!T310="","",IF(Atletas!X310&lt;&gt;"",10000,0)+IF(Atletas!B310="Feminino",1000,IF(Atletas!B310="Masculino",2000,""))+IF(Atletas!T310="Outra Arma Dupla A",801,IF(Atletas!T310="Arma Maleável A",802,IF(Atletas!T310="Outra Arma Dupla B",803,IF(Atletas!T310="Arma Maleável B",804,IF(Atletas!T310="Outra Arma Dupla C",805,IF(Atletas!T310="Arma Maleável C",806,IF(Atletas!T310="Outra Arma Dupla D",807,IF(Atletas!T310="Arma Maleável D",808,IF(Atletas!T310="Outra Arma Dupla E",809,IF(Atletas!T310="Arma Maleável E",810,IF(Atletas!T310="Outra Arma Dupla F",811,IF(Atletas!T310="Arma Maleável F",812,IF(Atletas!T310="Shuangdao A",813,IF(Atletas!T310="Shuangdao B",814,IF(Atletas!T310="Shuangdao C",815,IF(Atletas!T310="Shuangdao D",816,IF(Atletas!T310="Shuangdao E",817,IF(Atletas!T310="Shuangdao F",818,"")))))))))))))))))))</f>
        <v/>
      </c>
      <c r="CC319" s="50" t="str">
        <f>IF(Atletas!U310="","",IF(Atletas!X310&lt;&gt;"",10000,0)+IF(Atletas!B310="Feminino",1000,IF(Atletas!B310="Masculino",2000,""))+IF(OR(Atletas!U310="Taijijian Yang A",Atletas!U310="Taijijian Yang Standard A"),901,IF(OR(Atletas!U310="Taijijian Chen A", Atletas!U310="Taijijian Chen Standard A"),902,IF(Atletas!U310="Taijijian Sun A",903,IF(Atletas!U310="Taijijian Wu A",904,IF(Atletas!U310="Taijijian Wu-Hao A",905,IF(OR(Atletas!U310="Taijijian 32 A",Atletas!U310="Taijijian 42 A"),906,IF(OR(Atletas!U310="Taijijian Yang B",Atletas!U310="Taijijian Yang Standard B"),907,IF(OR(Atletas!U310="Taijijian Chen B", Atletas!U310="Taijijian Chen Standard B"),908,IF(Atletas!U310="Taijijian Sun B",909,IF(Atletas!U310="Taijijian Wu B",910,IF(Atletas!U310="Taijijian Wu-Hao B",911,IF(OR(Atletas!U310="Taijijian 32 B",Atletas!U310="Taijijian 42 B"),912,IF(OR(Atletas!U310="Taijijian Yang C",Atletas!U310="Taijijian Yang Standard C"),913,IF(OR(Atletas!U310="Taijijian Chen C", Atletas!U310="Taijijian Chen Standard C"),914,IF(Atletas!U310="Taijijian Sun C",915,IF(Atletas!U310="Taijijian Wu C",916,IF(Atletas!U310="Taijijian Wu-Hao C",917,IF(OR(Atletas!U310="Taijijian 32 C",Atletas!U310="Taijijian 42 C"),918,IF(OR(Atletas!U310="Taijijian Yang D",Atletas!U310="Taijijian Yang Standard D"),919,IF(OR(Atletas!U310="Taijijian Chen D", Atletas!U310="Taijijian Chen Standard D"),920,IF(Atletas!U310="Taijijian Sun D",921,IF(Atletas!U310="Taijijian Wu D",922,IF(Atletas!U310="Taijijian Wu-Hao D",923,IF(OR(Atletas!U310="Taijijian 32 D",Atletas!U310="Taijijian 42 D"),924,IF(OR(Atletas!U310="Taijijian Yang E",Atletas!U310="Taijijian Yang Standard E"),925,IF(OR(Atletas!U310="Taijijian Chen E", Atletas!U310="Taijijian Chen Standard E"),926,IF(Atletas!U310="Taijijian Sun E",927,IF(Atletas!U310="Taijijian Wu E",928,IF(Atletas!U310="Taijijian Wu-Hao E",929,IF(OR(Atletas!U310="Taijijian 32 E",Atletas!U310="Taijijian 42 E"),930,IF(OR(Atletas!U310="Taijijian Yang F",Atletas!U310="Taijijian Yang Standard F"),931,IF(OR(Atletas!U310="Taijijian Chen F", Atletas!U310="Taijijian Chen Standard F"),932,IF(Atletas!U310="Taijijian Sun F",933,IF(Atletas!U310="Taijijian Wu F",934,IF(Atletas!U310="Taijijian Wu-Hao F",935,IF(OR(Atletas!U310="Taijijian 32 F",Atletas!U310="Taijijian 42 F"),936,"")))))))))))))))))))))))))))))))))))))</f>
        <v/>
      </c>
      <c r="CD319" s="50" t="str">
        <f>IF(Atletas!V310="","",IF(Atletas!X310&lt;&gt;"",10000,0)+IF(Atletas!B310="Feminino",1000,IF(Atletas!B310="Masculino",2000,""))+IF(Atletas!V310="Taijidao A",937,IF(Atletas!V310="TaijiShanzi A",938,IF(Atletas!V310="Taijiqiang A",939,IF(Atletas!V310="Bagua de Arma A",940,IF(Atletas!V310="Xingyi de Arma A",941,IF(Atletas!V310="Taijidao B",942,IF(Atletas!V310="TaijiShanzi B",943,IF(Atletas!V310="Taijiqiang B",944,IF(Atletas!V310="Bagua de Arma B",945,IF(Atletas!V310="Xingyi de Arma B",946,IF(Atletas!V310="Taijidao C",947,IF(Atletas!V310="TaijiShanzi C",948,IF(Atletas!V310="Taijiqiang C",949,IF(Atletas!V310="Bagua de Arma C",950,IF(Atletas!V310="Xingyi de Arma C",951,IF(Atletas!V310="Taijidao D",952,IF(Atletas!V310="TaijiShanzi D",953,IF(Atletas!V310="Taijiqiang D",954,IF(Atletas!V310="Bagua de Arma D",955,IF(Atletas!V310="Xingyi de Arma D",956,IF(Atletas!V310="Taijidao E",957,IF(Atletas!V310="TaijiShanzi E",958,IF(Atletas!V310="Taijiqiang E",959,IF(Atletas!V310="Bagua de Arma E",960,IF(Atletas!V310="Xingyi de Arma E",961,IF(Atletas!V310="Taijidao F",962,IF(Atletas!V310="TaijiShanzi F",963,IF(Atletas!V310="Taijiqiang F",964,IF(Atletas!V310="Bagua de Arma F",965,IF(Atletas!V310="Xingyi de Arma F",966,"")))))))))))))))))))))))))))))))</f>
        <v/>
      </c>
      <c r="CE319" s="66" t="str">
        <f>IF(CF319&lt;&gt;"","Taijijian Yang D","")</f>
        <v/>
      </c>
      <c r="CF319" s="6" t="str">
        <f>IF(COUNTIF(BR:CD,1919)&gt;0,COUNTIF(BR:CD,1919),"")</f>
        <v/>
      </c>
      <c r="CG319" s="66" t="str">
        <f>IF(CH319&lt;&gt;"","Taijijian Yang D","")</f>
        <v/>
      </c>
      <c r="CH319" s="66" t="str">
        <f>IF(COUNTIF(BR:CD,2919)&gt;0,COUNTIF(BR:CD,2919),"")</f>
        <v/>
      </c>
      <c r="CI319" s="66" t="str">
        <f>IF(CJ320&lt;&gt;"","Taijijian Chen F","")</f>
        <v/>
      </c>
      <c r="CJ319" s="66" t="str">
        <f>IF(COUNTIF(BR:CD,11931)&gt;0,COUNTIF(BR:CD,11931),"")</f>
        <v/>
      </c>
      <c r="CK319" s="66" t="str">
        <f>IF(CL319&lt;&gt;"","Taijijian Yang F","")</f>
        <v/>
      </c>
      <c r="CL319" s="66" t="str">
        <f>IF(COUNTIF(BR:CD,12931)&gt;0,COUNTIF(BR:CD,12931),"")</f>
        <v/>
      </c>
      <c r="CM319" s="50" t="str">
        <f xml:space="preserve"> IF(Atletas!W310="","",IF(Atletas!W310="Duilian de Mãos BC - Equipe 1",1,IF(Atletas!W310="Duilian de Mãos BC - Equipe 2",2,IF(Atletas!W310="Duilian de Armas BC - Equipe 1",3,IF(Atletas!W310="Duilian de Armas BC - Equipe 2",4,IF(Atletas!W310="Duilian de Mãos DE - Equipe 1",5,IF(Atletas!W310="Duilian de Mãos DE - Equipe 2",6,IF(Atletas!W310="Duilian de Armas DE - Equipe 1",7,IF(Atletas!W310="Duilian de Armas DE - Equipe 2",8,IF(Atletas!W310="Duilian de Tuishou - Equipe 1",9,IF(Atletas!W310="Duilian de Tuishou - Equipe 2",10,IF(Atletas!W310="Grupo Externo ABC - Equipe 1",11,IF(Atletas!W310="Grupo Externo ABC - Equipe 2",12,IF(Atletas!W310="Grupo Interno ABC - Equipe 1",13,IF(Atletas!W310="Grupo Interno ABC - Equipe 2",14,IF(Atletas!W310="Grupo Externo DEF - Equipe 1",15,IF(Atletas!W310="Grupo Externo DEF - Equipe 2",16,IF(Atletas!W310="Grupo Interno DEF - Equipe 1",17,IF(Atletas!W310="Grupo Interno DEF - Equipe 2",18,"")))))))))))))))))))</f>
        <v/>
      </c>
    </row>
    <row r="320" spans="40:91">
      <c r="AN320" s="52" t="str">
        <f>IF(Atletas!D311="","",IF(Atletas!B311="Feminino",100,IF(Atletas!B311="Masculino",200,""))+(IF(Atletas!D311="Kids 30kg",1,IF(Atletas!D311="Kids 32kg",2, IF(Atletas!D311="Kids 34kg",3,IF(Atletas!D311="Kids 36kg",4,IF(Atletas!D311="Kids 39kg",5,IF(Atletas!D311="Kids 42kg",6,IF(Atletas!D311="Kids 45kg",7, IF(Atletas!D311="Infantil 39kg",8,IF(Atletas!D311="Infantil 42kg",9,IF(Atletas!D311="Infantil 45kg",10,IF(Atletas!D311="Infantil 48kg",11,IF(Atletas!D311="Infantil 52kg",12,IF(Atletas!D311="Infantil 56kg",13,IF(Atletas!D311="Infantil 60kg",14,IF(Atletas!D311="Juvenil 48kg",15,IF(Atletas!D311="Juvenil 52kg",16,IF(Atletas!D311="Juvenil 56kg",17,IF(Atletas!D311="Juvenil 60kg",18,IF(Atletas!D311="Juvenil 65kg",19,IF(Atletas!D311="Juvenil 70kg",20,IF(Atletas!D311="Juvenil 75kg",21,IF(Atletas!D311="Juvenil 80kg",22, IF(Atletas!D311="Juvenil 85kg",23,IF(Atletas!D311="Adulto 48kg",24,IF(Atletas!D311="Adulto 52kg",25,IF(Atletas!D311="Adulto 56kg",26,IF(Atletas!D311="Adulto 60kg",27,IF(Atletas!D311="Adulto 65kg",28,IF(Atletas!D311="Adulto 70kg",29,IF(Atletas!D311="Adulto 75kg",30,IF(Atletas!D311="Adulto 80kg",31,IF(Atletas!D311="Adulto 85kg",32,IF(Atletas!D311="Adulto 90kg",33,IF(Atletas!D311="Adulto 100kg",34, IF(Atletas!D311="Adulto +100kg",35,"")))))))))))))))))))))))))))))))))))))</f>
        <v/>
      </c>
      <c r="AS320" s="6" t="str">
        <f>IF(Atletas!E311="","",IF(Atletas!B311="Feminino",100,IF(Atletas!B311="Masculino",200,""))+(IF(Atletas!E311="Juvenil 44kg",1,IF(Atletas!E311="Juvenil 48kg",2,IF(Atletas!E311="Juvenil 52kg",3,IF(Atletas!E311="Juvenil 56kg",4,IF(Atletas!E311="Juvenil 60kg",5,IF(Atletas!E311="Juvenil 65kg",6,IF(Atletas!E311="Juvenil 70kg",7,IF(Atletas!E311="Juvenil 75kg",8,IF(Atletas!E311="Juvenil 82kg",9,IF(Atletas!E311="Juvenil 90kg",10,IF(Atletas!E311="Juvenil 100kg",11,IF(Atletas!E311="Adulto 48kg",12,IF(Atletas!E311="Adulto 52kg",13,IF(Atletas!E311="Adulto 56kg",14,IF(Atletas!E311="Adulto 60kg",15,IF(Atletas!E311="Adulto 65kg",16,IF(Atletas!E311="Adulto 70kg",17,IF(Atletas!E311="Adulto 75kg",18,IF(Atletas!E311="Adulto 82kg",19,IF(Atletas!E311="Adulto 90kg",20,IF(Atletas!E311="Adulto 100kg",21,IF(Atletas!E311="Adulto +100kg",22,""))))))))))))))))))))))))</f>
        <v/>
      </c>
      <c r="AX320" s="6" t="str">
        <f>IF(Atletas!F311="","",IF(Atletas!B311="Feminino",100,IF(Atletas!B311="Masculino",200,""))+(IF(Atletas!F311="Adulto 48kg",1,IF(Atletas!F311="Adulto 56kg",2,IF(Atletas!F311="Adulto 65kg",3,IF(Atletas!F311="Adulto 75kg",4,IF(Atletas!F311="Adulto +75kg",5,IF(Atletas!F311="Adulto 52kg",6,IF(Atletas!F311="Adulto 60kg",7,IF(Atletas!F311="Adulto 70kg",8,IF(Atletas!F311="Adulto 80kg",9,IF(Atletas!F311="Adulto 90kg",10,IF(Atletas!F311="Adulto +90kg",11,"")))))))))))))</f>
        <v/>
      </c>
      <c r="BC320" s="6" t="str">
        <f>IF(Atletas!G311="","",IF(Atletas!B311="Feminino",10,IF(Atletas!B311="Masculino",20,""))+(IF(Atletas!G311="Baduanjin A",1,IF(Atletas!G311="Baduanjin B",2))))</f>
        <v/>
      </c>
      <c r="BF320" s="52" t="str">
        <f>IF(Atletas!H311="","",IF(Atletas!B311="Feminino",100,IF(Atletas!B311="Masculino",200,""))+(IF(Atletas!H311="Changquan Mirim",1,IF(Atletas!H311="Nanquan Mirim",2,IF(Atletas!H311="Taijiquan Mirim",3,IF(Atletas!H311="Changquan Grupo C",4,IF(Atletas!H311="Nanquan Grupo C",5,IF(Atletas!H311="Taijiquan Grupo C",6,IF(Atletas!H311="Changquan Grupo B",7,IF(Atletas!H311="Nanquan Grupo B",8,IF(Atletas!H311="Taijiquan Grupo B",9,IF(Atletas!H311="Changquan Grupo A",10,IF(Atletas!H311="Nanquan Grupo A",11,IF(Atletas!H311="Taijiquan Grupo A",12,IF(Atletas!H311="Changquan Opcional",13,IF(Atletas!H311="Nanquan Opcional",14,IF(Atletas!H311="Taijiquan Opcional",15,IF(Atletas!H311="Changquan Adulto",16,IF(Atletas!H311="Nanquan Adulto",17,IF(Atletas!H311="Taijiquan Adulto",18,""))))))))))))))))))))</f>
        <v/>
      </c>
      <c r="BG320" s="52" t="str">
        <f>IF(Atletas!I311="","",IF(Atletas!B311="Feminino",100,IF(Atletas!B311="Masculino",200,""))+(IF(Atletas!I311="Daoshu Mirim",19,IF(Atletas!I311="Jianshu Mirim",20,IF(Atletas!I311="Nandao Mirim",21,IF(Atletas!I311="Taijijian Mirim",22,IF(Atletas!I311="Daoshu Grupo C",23,IF(Atletas!I311="Jianshu Grupo C",24,IF(Atletas!I311="Nandao Grupo C",25,IF(Atletas!I311="Taijijian Grupo C",26,IF(Atletas!I311="Daoshu Grupo B",27,IF(Atletas!I311="Jianshu Grupo B",28,IF(Atletas!I311="Nandao Grupo B",29,IF(Atletas!I311="Taijijian Grupo B",30,IF(Atletas!I311="Daoshu Grupo A",31,IF(Atletas!I311="Jianshu Grupo A",32,IF(Atletas!I311="Nandao Grupo A",33,IF(Atletas!I311="Taijijian Grupo A",34,IF(Atletas!I311="Daoshu Opcional",35,IF(Atletas!I311="Jianshu Opcional",36,IF(Atletas!I311="Nandao Opcional",37,IF(Atletas!I311="Taijijian Opcional",38,IF(Atletas!I311="Daoshu Adulto",39,IF(Atletas!I311="Jianshu Adulto",40,IF(Atletas!I311="Nandao Adulto",41,IF(Atletas!I311="Taijijian Adulto",42,""))))))))))))))))))))))))))</f>
        <v/>
      </c>
      <c r="BH320" s="52" t="str">
        <f>IF(Atletas!J311="","",IF(Atletas!B311="Feminino",100,IF(Atletas!B311="Masculino",200,""))+(IF(Atletas!J311="Gunshu Mirim",43,IF(Atletas!J311="Qiangshu Mirim",44,IF(Atletas!J311="Nangun Mirim",45,IF(Atletas!J311="Gunshu Grupo C",46,IF(Atletas!J311="Qiangshu Grupo C",47,IF(Atletas!J311="Nangun Grupo C",48,IF(Atletas!J311="Gunshu Grupo B",49,IF(Atletas!J311="Qiangshu Grupo B",50,IF(Atletas!J311="Nangun Grupo B",51,IF(Atletas!J311="Gunshu Grupo A",52,IF(Atletas!J311="Qiangshu Grupo A",53,IF(Atletas!J311="Nangun Grupo A",54,IF(Atletas!J311="Gunshu Opcional",55,IF(Atletas!J311="Qiangshu Opcional",56,IF(Atletas!J311="Nangun Opcional",57,IF(Atletas!J311="Gunshu Adulto",58,IF(Atletas!J311="Qiangshu Adulto",59,IF(Atletas!J311="Nangun Adulto",60,IF(Atletas!J311="Taijishan Grupo B",61,IF(Atletas!J311="Taijishan Grupo A",62,""))))))))))))))))))))))</f>
        <v/>
      </c>
      <c r="BM320" s="50" t="str">
        <f>IF(Atletas!K311="","",IF(Atletas!B311="Feminino",100,IF(Atletas!B311="Masculino",200,""))+(IF(Atletas!K311="Equipe 1 Grupo B",1,IF(Atletas!K311="Equipe 2 Grupo B",2,IF(Atletas!K311="Equipe 1 Grupo A",3,IF(Atletas!K311="Equipe 2 Grupo A",4,IF(Atletas!K311="Equipe 1 Adulto",5,IF(Atletas!K311="Equipe 2 Adulto",6,""))))))))</f>
        <v/>
      </c>
      <c r="BR320" s="50" t="str">
        <f>IF(Atletas!L311="","",IF(Atletas!X311&lt;&gt;"",10000,0)+(IF(Atletas!B311="Feminino",1000,IF(Atletas!B311="Masculino",2000,""))+IF(Atletas!L311="Choylayfut A",1,IF(Atletas!L311="Hunggar A",2,IF(Atletas!L311="Wuzuquan A",3,IF(Atletas!L311="Wingchun A",4,IF(Atletas!L311="Outra Mão de Sul A",5,IF(Atletas!L311="Choylayfut B",6,IF(Atletas!L311="Hunggar B",7,IF(Atletas!L311="Wuzuquan B",8,IF(Atletas!L311="Wingchun B",9,IF(Atletas!L311="Outra Mão de Sul B",10,IF(Atletas!L311="Choylayfut C",11,IF(Atletas!L311="Hunggar C",12,IF(Atletas!L311="Wuzuquan C",13,IF(Atletas!L311="Wingchun C",14,IF(Atletas!L311="Outra Mão de Sul C",15,IF(Atletas!L311="Choylayfut D",16,IF(Atletas!L311="Hunggar D",17,IF(Atletas!L311="Wuzuquan D",18,IF(Atletas!L311="Wingchun D",19,IF(Atletas!L311="Outra Mão de Sul D",20,IF(Atletas!L311="Choylayfut E",21,IF(Atletas!L311="Hunggar E",22,IF(Atletas!L311="Wuzuquan E",23,IF(Atletas!L311="Wingchun E",24,IF(Atletas!L311="Outra Mão de Sul E",25,IF(Atletas!L311="Choylayfut F",26,IF(Atletas!L311="Hunggar F",27,IF(Atletas!L311="Wuzuquan F",28,IF(Atletas!L311="Wingchun F",29,IF(Atletas!L311="Outra Mão de Sul F",30,IF(Atletas!L311="Dishuquan A",31,IF(Atletas!L311="Dishuquan B",32,IF(Atletas!L311="Dishuquan C",33,IF(Atletas!L311="Dishuquan D",34,IF(Atletas!L311="Dishuquan E",35,IF(Atletas!L311="Dishuquan F",36,""))))))))))))))))))))))))))))))))))))))</f>
        <v/>
      </c>
      <c r="BS320" s="50" t="str">
        <f>IF(Atletas!M311="","",IF(Atletas!X311&lt;&gt;"",10000,0)+(IF(Atletas!B311="Feminino",1000,IF(Atletas!B311="Masculino",2000,""))+(IF(Atletas!M311="Chaquan A",101,IF(Atletas!M311="Emeiquan A",102,IF(Atletas!M311="Fanziquan A",103,IF(Atletas!M311="Huaquan A",104,IF(Atletas!M311="Hongquan A",105,IF(Atletas!M311="Paoquan A",106,IF(Atletas!M311="Piguaquan A",107,IF(Atletas!M311="Shaolinquan A",108,IF(Atletas!M311="Tanglangquan A",109,IF(Atletas!M311="Yingzhaoquan A",110,IF(Atletas!M311="Tongbeiquan A",111,IF(Atletas!M311="Wudangquan A",112,IF(Atletas!M311="Outros Estilos A",113,IF(Atletas!M311="Chaquan B",114,IF(Atletas!M311="Emeiquan B",115,IF(Atletas!M311="Fanziquan B",116,IF(Atletas!M311="Huaquan B",117,IF(Atletas!M311="Hongquan B",118,IF(Atletas!M311="Paoquan B",119,IF(Atletas!M311="Piguaquan B",120,IF(Atletas!M311="Shaolinquan B",121,IF(Atletas!M311="Tanglangquan B",122,IF(Atletas!M311="Yingzhaoquan B",123,IF(Atletas!M311="Tongbeiquan B",124,IF(Atletas!M311="Wudangquan B",125,IF(Atletas!M311="Outros Estilos B",126,IF(Atletas!M311="Chaquan C",127,IF(Atletas!M311="Emeiquan C",128,IF(Atletas!M311="Fanziquan C",129,IF(Atletas!M311="Huaquan C",130,IF(Atletas!M311="Hongquan C",131,IF(Atletas!M311="Paoquan C",132,IF(Atletas!M311="Piguaquan C",133,IF(Atletas!M311="Shaolinquan C",134,IF(Atletas!M311="Tanglangquan C",135,IF(Atletas!M311="Yingzhaoquan C",136,IF(Atletas!M311="Tongbeiquan C",137,IF(Atletas!M311="Wudangquan C",138,IF(Atletas!M311="Outros Estilos C",139,0))))))))))))))))))))))))))))))))))))))))))</f>
        <v/>
      </c>
      <c r="BT320" s="50" t="str">
        <f>IF(Atletas!M311="","",IF(Atletas!X311&lt;&gt;"",10000,0)+(IF(Atletas!B311="Feminino",1000,IF(Atletas!B311="Masculino",2000,""))+(IF(Atletas!M311="Chaquan D",140,IF(Atletas!M311="Emeiquan D",141,IF(Atletas!M311="Fanziquan D",142,IF(Atletas!M311="Huaquan D",143,IF(Atletas!M311="Hongquan D",144,IF(Atletas!M311="Paoquan D",145,IF(Atletas!M311="Piguaquan D",146,IF(Atletas!M311="Shaolinquan D",147,IF(Atletas!M311="Tanglangquan D",148,IF(Atletas!M311="Yingzhaoquan D",149,IF(Atletas!M311="Tongbeiquan D",150,IF(Atletas!M311="Wudangquan D",151,IF(Atletas!M311="Outros Estilos D",152,IF(Atletas!M311="Chaquan E",153,IF(Atletas!M311="Emeiquan E",154,IF(Atletas!M311="Fanziquan E",155,IF(Atletas!M311="Huaquan E",156,IF(Atletas!M311="Hongquan E",157,IF(Atletas!M311="Paoquan E",158,IF(Atletas!M311="Piguaquan E",159,IF(Atletas!M311="Shaolinquan E",160,IF(Atletas!M311="Tanglangquan E",161,IF(Atletas!M311="Yingzhaoquan E",162,IF(Atletas!M311="Tongbeiquan E",163,IF(Atletas!M311="Wudangquan E",164,IF(Atletas!M311="Outros Estilos E",165,IF(Atletas!M311="Chaquan F",166,IF(Atletas!M311="Emeiquan F",167,IF(Atletas!M311="Fanziquan F",168,IF(Atletas!M311="Huaquan F",169,IF(Atletas!M311="Hongquan F",170,IF(Atletas!M311="Paoquan F",171,IF(Atletas!M311="Piguaquan F",172,IF(Atletas!M311="Shaolinquan F",173,IF(Atletas!M311="Tanglangquan F",174,IF(Atletas!M311="Yingzhaoquan F",175,IF(Atletas!M311="Tongbeiquan F",176,IF(Atletas!M311="Wudangquan F",177,IF(Atletas!M311="Outros Estilos F",178,0))))))))))))))))))))))))))))))))))))))))))</f>
        <v/>
      </c>
      <c r="BU320" s="50" t="str">
        <f>IF(Atletas!N311="","",IF(Atletas!X311&lt;&gt;"",10000,0)+(IF(Atletas!B311="Feminino",1000,IF(Atletas!B311="Masculino",2000,""))+(IF(Atletas!N311="Ditangquan A",201,IF(Atletas!N311="Houquan A",202,IF(Atletas!N311="Zuiquan A",203,IF(Atletas!N311="Ditangquan B",204,IF(Atletas!N311="Houquan B",205,IF(Atletas!N311="Zuiquan B",206,IF(Atletas!N311="Ditangquan C",207,IF(Atletas!N311="Houquan C",208,IF(Atletas!N311="Zuiquan C",209,IF(Atletas!N311="Ditangquan D",210,IF(Atletas!N311="Houquan D",211,IF(Atletas!N311="Zuiquan D",212,IF(Atletas!N311="Ditangquan E",213,IF(Atletas!N311="Houquan E",214,IF(Atletas!N311="Zuiquan E",215,IF(Atletas!N311="Ditangquan F",216,IF(Atletas!N311="Houquan F",217,IF(Atletas!N311="Zuiquan F",218,"")))))))))))))))))))))</f>
        <v/>
      </c>
      <c r="BV320" s="50" t="str">
        <f>IF(Atletas!O311="","",IF(Atletas!X311&lt;&gt;"",10000,0)+IF(Atletas!B311="Feminino",1000,IF(Atletas!B311="Masculino",2000,""))+IF(Atletas!O311="Yang A",301,IF(Atletas!O311="Chen A",302,IF(Atletas!O311="Sun A",303,IF(Atletas!O311="Wu A",304,IF(Atletas!O311="Wu-Hao A",305,IF(Atletas!O311="Outro Taijiquan A",306,IF(Atletas!O311="Yang B",307,IF(Atletas!O311="Chen B",308,IF(Atletas!O311="Sun B",309,IF(Atletas!O311="Wu B",310,IF(Atletas!O311="Wu-Hao B",311,IF(Atletas!O311="Outro Taijiquan B",312,IF(Atletas!O311="Yang C",313,IF(Atletas!O311="Chen C",314,IF(Atletas!O311="Sun C",315,IF(Atletas!O311="Wu C",316,IF(Atletas!O311="Wu-Hao C",317,IF(Atletas!O311="Outro Taijiquan C",318,IF(Atletas!O311="Yang D",319,IF(Atletas!O311="Chen D",320,IF(Atletas!O311="Sun D",321,IF(Atletas!O311="Wu D",322,IF(Atletas!O311="Wu-Hao D",323,IF(Atletas!O311="Outro Taijiquan D",324,IF(Atletas!O311="Yang E",325,IF(Atletas!O311="Chen E",326,IF(Atletas!O311="Sun E",327,IF(Atletas!O311="Wu E",328,IF(Atletas!O311="Wu-Hao E",329,IF(Atletas!O311="Outro Taijiquan E",330,IF(Atletas!O311="Yang F",331,IF(Atletas!O311="Chen F",332,IF(Atletas!O311="Sun F",333,IF(Atletas!O311="Wu F",334,IF(Atletas!O311="Wu-Hao F",335,IF(Atletas!O311="Outro Taijiquan F",336,"")))))))))))))))))))))))))))))))))))))</f>
        <v/>
      </c>
      <c r="BW320" s="50" t="str">
        <f>IF(Atletas!P311="","",IF(Atletas!X311&lt;&gt;"",10000,0)+IF(Atletas!B311="Feminino",1000,IF(Atletas!B311="Masculino",2000,""))+IF(OR(Atletas!P311="Yang 26 A",Atletas!P311="Yang 40 A"),401,IF(OR(Atletas!P311="Chen 25 A",Atletas!P311="Chen 36 A",Atletas!P311="Chen 56 A"),402,IF(Atletas!P311="Sun 73 A",403,IF(Atletas!P311="Wu 45 A",404,IF(Atletas!P311="Wu-Hao 46 A",405,IF(OR(Atletas!P311="Taijiquan 16 A",Atletas!P311="Taijiquan 24 A",Atletas!P311="Taijiquan 32 A",Atletas!P311="Taijiquan 42 A"),406,IF(OR(Atletas!P311="Yang 26 B",Atletas!P311="Yang 40 B"),407,IF(OR(Atletas!P311="Chen 25 B",Atletas!P311="Chen 36 B",Atletas!P311="Chen 56 B"),408,IF(Atletas!P311="Sun 73 B",409,IF(Atletas!P311="Wu 45 B",410,IF(Atletas!P311="Wu-Hao 46 B",411,IF(OR(Atletas!P311="Taijiquan 16 B",Atletas!P311="Taijiquan 24 B",Atletas!P311="Taijiquan 32 B",Atletas!P311="Taijiquan 42 B"),412,IF(OR(Atletas!P311="Yang 26 C",Atletas!P311="Yang 40 C"),413,IF(OR(Atletas!P311="Chen 25 C",Atletas!P311="Chen 36 C",Atletas!P311="Chen 56 C"),414,IF(Atletas!P311="Sun 73 C",415,IF(Atletas!P311="Wu 45 C",416,IF(Atletas!P311="Wu-Hao 46 C",417,IF(OR(Atletas!P311="Taijiquan 16 C",Atletas!P311="Taijiquan 24 C",Atletas!P311="Taijiquan 32 C",Atletas!P311="Taijiquan 42 C"),418,0)))))))))))))))))))</f>
        <v/>
      </c>
      <c r="BX320" s="50" t="str">
        <f>IF(Atletas!P311="","",IF(Atletas!X311&lt;&gt;"",10000,0)+IF(Atletas!B311="Feminino",1000,IF(Atletas!B311="Masculino",2000,""))+IF(OR(Atletas!P311="Yang 26 D",Atletas!P311="Yang 40 D"),419,IF(OR(Atletas!P311="Chen 25 D",Atletas!P311="Chen 36 D",Atletas!P311="Chen 56 D"),420,IF(Atletas!P311="Sun 73 D",421,IF(Atletas!P311="Wu 45 D",422,IF(Atletas!P311="Wu-Hao 46 D",423,IF(OR(Atletas!P311="Taijiquan 16 D",Atletas!P311="Taijiquan 24 D",Atletas!P311="Taijiquan 32 D",Atletas!P311="Taijiquan 42 D"),424,IF(OR(Atletas!P311="Yang 26 E",Atletas!P311="Yang 40 E"),425,IF(OR(Atletas!P311="Chen 25 E",Atletas!P311="Chen 36 E",Atletas!P311="Chen 56 E"),426,IF(Atletas!P311="Sun 73 E",427,IF(Atletas!P311="Wu 45 E",428,IF(Atletas!P311="Wu-Hao 46 E",429,IF(OR(Atletas!P311="Taijiquan 16 E",Atletas!P311="Taijiquan 24 E",Atletas!P311="Taijiquan 32 E",Atletas!P311="Taijiquan 42 E"),430,IF(OR(Atletas!P311="Yang 26 F",Atletas!P311="Yang 40 F"),431,IF(OR(Atletas!P311="Chen 25 F",Atletas!P311="Chen 36 F",Atletas!P311="Chen 56 F"),432,IF(Atletas!P311="Sun 73 F",433,IF(Atletas!P311="Wu 45 F",434,IF(Atletas!P311="Wu-Hao 46 F",435,IF(OR(Atletas!P311="Taijiquan 16 F",Atletas!P311="Taijiquan 24 F",Atletas!P311="Taijiquan 32 F",Atletas!P311="Taijiquan 42 F"),436,0)))))))))))))))))))</f>
        <v/>
      </c>
      <c r="BY320" s="50" t="str">
        <f>IF(Atletas!Q311="","",IF(Atletas!X311&lt;&gt;"",10000,0)+IF(Atletas!B311="Feminino",1000,IF(Atletas!B311="Masculino",2000,""))+IF(Atletas!Q311="Xingyiquan A",501,IF(Atletas!Q311="Baguazhang A",502,IF(Atletas!Q311="Outro Estilo Interno A",503,IF(Atletas!Q311="Xingyiquan B",504,IF(Atletas!Q311="Baguazhang B",505,IF(Atletas!Q311="Outro Estilo Interno B",506,IF(Atletas!Q311="Xingyiquan C",507,IF(Atletas!Q311="Baguazhang C",508,IF(Atletas!Q311="Outro Estilo Interno C",509,IF(Atletas!Q311="Xingyiquan D",510,IF(Atletas!Q311="Baguazhang D",511,IF(Atletas!Q311="Outro Estilo Interno D",512,IF(Atletas!Q311="Xingyiquan E",513,IF(Atletas!Q311="Baguazhang E",514,IF(Atletas!Q311="Outro Estilo Interno E",515,IF(Atletas!Q311="Xingyiquan F",516,IF(Atletas!Q311="Baguazhang F",517,IF(Atletas!Q311="Outro Estilo Interno F",518, "")))))))))))))))))))</f>
        <v/>
      </c>
      <c r="BZ320" s="50" t="str">
        <f>IF(Atletas!R311="","",IF(Atletas!X311&lt;&gt;"",10000,0)+IF(Atletas!B311="Feminino",1000,IF(Atletas!B311="Masculino",2000,""))+IF(Atletas!R311="Dao A",601,IF(Atletas!R311="Jian A",602,IF(Atletas!R311="Bishou A",603,IF(Atletas!R311="Shanzi A",604,IF(Atletas!R311="Outra Arma Curta A",605,IF(Atletas!R311="Dao B",606,IF(Atletas!R311="Jian B",607,IF(Atletas!R311="Bishou B",608,IF(Atletas!R311="Shanzi B",609,IF(Atletas!R311="Outra Arma Curta B",610,IF(Atletas!R311="Dao C",611,IF(Atletas!R311="Jian C",612,IF(Atletas!R311="Bishou C",613,IF(Atletas!R311="Shanzi C",614,IF(Atletas!R311="Outra Arma Curta C",615,IF(Atletas!R311="Dao D",616,IF(Atletas!R311="Jian D",617,IF(Atletas!R311="Bishou D",618,IF(Atletas!R311="Shanzi D",619,IF(Atletas!R311="Outra Arma Curta D",620,IF(Atletas!R311="Dao E",621,IF(Atletas!R311="Jian E",622,IF(Atletas!R311="Bishou E",623,IF(Atletas!R311="Shanzi E",624,IF(Atletas!R311="Outra Arma Curta E",625,IF(Atletas!R311="Dao F",626,IF(Atletas!R311="Jian F",627,IF(Atletas!R311="Bishou F",628,IF(Atletas!R311="Shanzi F",629,IF(Atletas!R311="Outra Arma Curta F",630, "")))))))))))))))))))))))))))))))</f>
        <v/>
      </c>
      <c r="CA320" s="50" t="str">
        <f>IF(Atletas!S311="","",IF(Atletas!X311&lt;&gt;"",10000,0)+IF(Atletas!B311="Feminino",1000,IF(Atletas!B311="Masculino",2000,""))+IF(Atletas!S311="Gun A",701,IF(Atletas!S311="Qiang A",702,IF(Atletas!S311="Pudao / Guandao A",703,IF(Atletas!S311="Outra Arma Longa A",704,IF(Atletas!S311="Gun B",705,IF(Atletas!S311="Qiang B",706,IF(Atletas!S311="Pudao / Guandao B",707,IF(Atletas!S311="Outra Arma Longa B",708,IF(Atletas!S311="Gun C",709,IF(Atletas!S311="Qiang C",710,IF(Atletas!S311="Pudao / Guandao C",711,IF(Atletas!S311="Outra Arma Longa C",712,IF(Atletas!S311="Gun D",713,IF(Atletas!S311="Qiang D",714,IF(Atletas!S311="Pudao / Guandao D",715,IF(Atletas!S311="Outra Arma Longa D",716,IF(Atletas!S311="Gun E",717,IF(Atletas!S311="Qiang E",718,IF(Atletas!S311="Pudao / Guandao E",719,IF(Atletas!S311="Outra Arma Longa E",720,IF(Atletas!S311="Gun F",721,IF(Atletas!S311="Qiang F",722,IF(Atletas!S311="Pudao / Guandao F",723,IF(Atletas!S311="Outra Arma Longa F",724,"")))))))))))))))))))))))))</f>
        <v/>
      </c>
      <c r="CB320" s="50" t="str">
        <f>IF(Atletas!T311="","",IF(Atletas!X311&lt;&gt;"",10000,0)+IF(Atletas!B311="Feminino",1000,IF(Atletas!B311="Masculino",2000,""))+IF(Atletas!T311="Outra Arma Dupla A",801,IF(Atletas!T311="Arma Maleável A",802,IF(Atletas!T311="Outra Arma Dupla B",803,IF(Atletas!T311="Arma Maleável B",804,IF(Atletas!T311="Outra Arma Dupla C",805,IF(Atletas!T311="Arma Maleável C",806,IF(Atletas!T311="Outra Arma Dupla D",807,IF(Atletas!T311="Arma Maleável D",808,IF(Atletas!T311="Outra Arma Dupla E",809,IF(Atletas!T311="Arma Maleável E",810,IF(Atletas!T311="Outra Arma Dupla F",811,IF(Atletas!T311="Arma Maleável F",812,IF(Atletas!T311="Shuangdao A",813,IF(Atletas!T311="Shuangdao B",814,IF(Atletas!T311="Shuangdao C",815,IF(Atletas!T311="Shuangdao D",816,IF(Atletas!T311="Shuangdao E",817,IF(Atletas!T311="Shuangdao F",818,"")))))))))))))))))))</f>
        <v/>
      </c>
      <c r="CC320" s="50" t="str">
        <f>IF(Atletas!U311="","",IF(Atletas!X311&lt;&gt;"",10000,0)+IF(Atletas!B311="Feminino",1000,IF(Atletas!B311="Masculino",2000,""))+IF(OR(Atletas!U311="Taijijian Yang A",Atletas!U311="Taijijian Yang Standard A"),901,IF(OR(Atletas!U311="Taijijian Chen A", Atletas!U311="Taijijian Chen Standard A"),902,IF(Atletas!U311="Taijijian Sun A",903,IF(Atletas!U311="Taijijian Wu A",904,IF(Atletas!U311="Taijijian Wu-Hao A",905,IF(OR(Atletas!U311="Taijijian 32 A",Atletas!U311="Taijijian 42 A"),906,IF(OR(Atletas!U311="Taijijian Yang B",Atletas!U311="Taijijian Yang Standard B"),907,IF(OR(Atletas!U311="Taijijian Chen B", Atletas!U311="Taijijian Chen Standard B"),908,IF(Atletas!U311="Taijijian Sun B",909,IF(Atletas!U311="Taijijian Wu B",910,IF(Atletas!U311="Taijijian Wu-Hao B",911,IF(OR(Atletas!U311="Taijijian 32 B",Atletas!U311="Taijijian 42 B"),912,IF(OR(Atletas!U311="Taijijian Yang C",Atletas!U311="Taijijian Yang Standard C"),913,IF(OR(Atletas!U311="Taijijian Chen C", Atletas!U311="Taijijian Chen Standard C"),914,IF(Atletas!U311="Taijijian Sun C",915,IF(Atletas!U311="Taijijian Wu C",916,IF(Atletas!U311="Taijijian Wu-Hao C",917,IF(OR(Atletas!U311="Taijijian 32 C",Atletas!U311="Taijijian 42 C"),918,IF(OR(Atletas!U311="Taijijian Yang D",Atletas!U311="Taijijian Yang Standard D"),919,IF(OR(Atletas!U311="Taijijian Chen D", Atletas!U311="Taijijian Chen Standard D"),920,IF(Atletas!U311="Taijijian Sun D",921,IF(Atletas!U311="Taijijian Wu D",922,IF(Atletas!U311="Taijijian Wu-Hao D",923,IF(OR(Atletas!U311="Taijijian 32 D",Atletas!U311="Taijijian 42 D"),924,IF(OR(Atletas!U311="Taijijian Yang E",Atletas!U311="Taijijian Yang Standard E"),925,IF(OR(Atletas!U311="Taijijian Chen E", Atletas!U311="Taijijian Chen Standard E"),926,IF(Atletas!U311="Taijijian Sun E",927,IF(Atletas!U311="Taijijian Wu E",928,IF(Atletas!U311="Taijijian Wu-Hao E",929,IF(OR(Atletas!U311="Taijijian 32 E",Atletas!U311="Taijijian 42 E"),930,IF(OR(Atletas!U311="Taijijian Yang F",Atletas!U311="Taijijian Yang Standard F"),931,IF(OR(Atletas!U311="Taijijian Chen F", Atletas!U311="Taijijian Chen Standard F"),932,IF(Atletas!U311="Taijijian Sun F",933,IF(Atletas!U311="Taijijian Wu F",934,IF(Atletas!U311="Taijijian Wu-Hao F",935,IF(OR(Atletas!U311="Taijijian 32 F",Atletas!U311="Taijijian 42 F"),936,"")))))))))))))))))))))))))))))))))))))</f>
        <v/>
      </c>
      <c r="CD320" s="50" t="str">
        <f>IF(Atletas!V311="","",IF(Atletas!X311&lt;&gt;"",10000,0)+IF(Atletas!B311="Feminino",1000,IF(Atletas!B311="Masculino",2000,""))+IF(Atletas!V311="Taijidao A",937,IF(Atletas!V311="TaijiShanzi A",938,IF(Atletas!V311="Taijiqiang A",939,IF(Atletas!V311="Bagua de Arma A",940,IF(Atletas!V311="Xingyi de Arma A",941,IF(Atletas!V311="Taijidao B",942,IF(Atletas!V311="TaijiShanzi B",943,IF(Atletas!V311="Taijiqiang B",944,IF(Atletas!V311="Bagua de Arma B",945,IF(Atletas!V311="Xingyi de Arma B",946,IF(Atletas!V311="Taijidao C",947,IF(Atletas!V311="TaijiShanzi C",948,IF(Atletas!V311="Taijiqiang C",949,IF(Atletas!V311="Bagua de Arma C",950,IF(Atletas!V311="Xingyi de Arma C",951,IF(Atletas!V311="Taijidao D",952,IF(Atletas!V311="TaijiShanzi D",953,IF(Atletas!V311="Taijiqiang D",954,IF(Atletas!V311="Bagua de Arma D",955,IF(Atletas!V311="Xingyi de Arma D",956,IF(Atletas!V311="Taijidao E",957,IF(Atletas!V311="TaijiShanzi E",958,IF(Atletas!V311="Taijiqiang E",959,IF(Atletas!V311="Bagua de Arma E",960,IF(Atletas!V311="Xingyi de Arma E",961,IF(Atletas!V311="Taijidao F",962,IF(Atletas!V311="TaijiShanzi F",963,IF(Atletas!V311="Taijiqiang F",964,IF(Atletas!V311="Bagua de Arma F",965,IF(Atletas!V311="Xingyi de Arma F",966,"")))))))))))))))))))))))))))))))</f>
        <v/>
      </c>
      <c r="CE320" s="66" t="str">
        <f>IF(CF320&lt;&gt;"","Taijijian Chen D","")</f>
        <v/>
      </c>
      <c r="CF320" s="6" t="str">
        <f>IF(COUNTIF(BR:CD,1920)&gt;0,COUNTIF(BR:CD,1920),"")</f>
        <v/>
      </c>
      <c r="CG320" s="66" t="str">
        <f>IF(CH320&lt;&gt;"","Taijijian Chen D","")</f>
        <v/>
      </c>
      <c r="CH320" s="66" t="str">
        <f>IF(COUNTIF(BR:CD,2920)&gt;0,COUNTIF(BR:CD,2920),"")</f>
        <v/>
      </c>
      <c r="CI320" s="66" t="str">
        <f>IF(CJ321&lt;&gt;"","Taijijian Sun F","")</f>
        <v/>
      </c>
      <c r="CJ320" s="66" t="str">
        <f>IF(COUNTIF(BR:CD,11932)&gt;0,COUNTIF(BR:CD,11932),"")</f>
        <v/>
      </c>
      <c r="CK320" s="66" t="str">
        <f>IF(CL320&lt;&gt;"","Taijijian Chen F","")</f>
        <v/>
      </c>
      <c r="CL320" s="66" t="str">
        <f>IF(COUNTIF(BR:CD,12932)&gt;0,COUNTIF(BR:CD,12932),"")</f>
        <v/>
      </c>
      <c r="CM320" s="50" t="str">
        <f xml:space="preserve"> IF(Atletas!W311="","",IF(Atletas!W311="Duilian de Mãos BC - Equipe 1",1,IF(Atletas!W311="Duilian de Mãos BC - Equipe 2",2,IF(Atletas!W311="Duilian de Armas BC - Equipe 1",3,IF(Atletas!W311="Duilian de Armas BC - Equipe 2",4,IF(Atletas!W311="Duilian de Mãos DE - Equipe 1",5,IF(Atletas!W311="Duilian de Mãos DE - Equipe 2",6,IF(Atletas!W311="Duilian de Armas DE - Equipe 1",7,IF(Atletas!W311="Duilian de Armas DE - Equipe 2",8,IF(Atletas!W311="Duilian de Tuishou - Equipe 1",9,IF(Atletas!W311="Duilian de Tuishou - Equipe 2",10,IF(Atletas!W311="Grupo Externo ABC - Equipe 1",11,IF(Atletas!W311="Grupo Externo ABC - Equipe 2",12,IF(Atletas!W311="Grupo Interno ABC - Equipe 1",13,IF(Atletas!W311="Grupo Interno ABC - Equipe 2",14,IF(Atletas!W311="Grupo Externo DEF - Equipe 1",15,IF(Atletas!W311="Grupo Externo DEF - Equipe 2",16,IF(Atletas!W311="Grupo Interno DEF - Equipe 1",17,IF(Atletas!W311="Grupo Interno DEF - Equipe 2",18,"")))))))))))))))))))</f>
        <v/>
      </c>
    </row>
    <row r="321" spans="40:91">
      <c r="AN321" s="52" t="str">
        <f>IF(Atletas!D312="","",IF(Atletas!B312="Feminino",100,IF(Atletas!B312="Masculino",200,""))+(IF(Atletas!D312="Kids 30kg",1,IF(Atletas!D312="Kids 32kg",2, IF(Atletas!D312="Kids 34kg",3,IF(Atletas!D312="Kids 36kg",4,IF(Atletas!D312="Kids 39kg",5,IF(Atletas!D312="Kids 42kg",6,IF(Atletas!D312="Kids 45kg",7, IF(Atletas!D312="Infantil 39kg",8,IF(Atletas!D312="Infantil 42kg",9,IF(Atletas!D312="Infantil 45kg",10,IF(Atletas!D312="Infantil 48kg",11,IF(Atletas!D312="Infantil 52kg",12,IF(Atletas!D312="Infantil 56kg",13,IF(Atletas!D312="Infantil 60kg",14,IF(Atletas!D312="Juvenil 48kg",15,IF(Atletas!D312="Juvenil 52kg",16,IF(Atletas!D312="Juvenil 56kg",17,IF(Atletas!D312="Juvenil 60kg",18,IF(Atletas!D312="Juvenil 65kg",19,IF(Atletas!D312="Juvenil 70kg",20,IF(Atletas!D312="Juvenil 75kg",21,IF(Atletas!D312="Juvenil 80kg",22, IF(Atletas!D312="Juvenil 85kg",23,IF(Atletas!D312="Adulto 48kg",24,IF(Atletas!D312="Adulto 52kg",25,IF(Atletas!D312="Adulto 56kg",26,IF(Atletas!D312="Adulto 60kg",27,IF(Atletas!D312="Adulto 65kg",28,IF(Atletas!D312="Adulto 70kg",29,IF(Atletas!D312="Adulto 75kg",30,IF(Atletas!D312="Adulto 80kg",31,IF(Atletas!D312="Adulto 85kg",32,IF(Atletas!D312="Adulto 90kg",33,IF(Atletas!D312="Adulto 100kg",34, IF(Atletas!D312="Adulto +100kg",35,"")))))))))))))))))))))))))))))))))))))</f>
        <v/>
      </c>
      <c r="AS321" s="6" t="str">
        <f>IF(Atletas!E312="","",IF(Atletas!B312="Feminino",100,IF(Atletas!B312="Masculino",200,""))+(IF(Atletas!E312="Juvenil 44kg",1,IF(Atletas!E312="Juvenil 48kg",2,IF(Atletas!E312="Juvenil 52kg",3,IF(Atletas!E312="Juvenil 56kg",4,IF(Atletas!E312="Juvenil 60kg",5,IF(Atletas!E312="Juvenil 65kg",6,IF(Atletas!E312="Juvenil 70kg",7,IF(Atletas!E312="Juvenil 75kg",8,IF(Atletas!E312="Juvenil 82kg",9,IF(Atletas!E312="Juvenil 90kg",10,IF(Atletas!E312="Juvenil 100kg",11,IF(Atletas!E312="Adulto 48kg",12,IF(Atletas!E312="Adulto 52kg",13,IF(Atletas!E312="Adulto 56kg",14,IF(Atletas!E312="Adulto 60kg",15,IF(Atletas!E312="Adulto 65kg",16,IF(Atletas!E312="Adulto 70kg",17,IF(Atletas!E312="Adulto 75kg",18,IF(Atletas!E312="Adulto 82kg",19,IF(Atletas!E312="Adulto 90kg",20,IF(Atletas!E312="Adulto 100kg",21,IF(Atletas!E312="Adulto +100kg",22,""))))))))))))))))))))))))</f>
        <v/>
      </c>
      <c r="AX321" s="6" t="str">
        <f>IF(Atletas!F312="","",IF(Atletas!B312="Feminino",100,IF(Atletas!B312="Masculino",200,""))+(IF(Atletas!F312="Adulto 48kg",1,IF(Atletas!F312="Adulto 56kg",2,IF(Atletas!F312="Adulto 65kg",3,IF(Atletas!F312="Adulto 75kg",4,IF(Atletas!F312="Adulto +75kg",5,IF(Atletas!F312="Adulto 52kg",6,IF(Atletas!F312="Adulto 60kg",7,IF(Atletas!F312="Adulto 70kg",8,IF(Atletas!F312="Adulto 80kg",9,IF(Atletas!F312="Adulto 90kg",10,IF(Atletas!F312="Adulto +90kg",11,"")))))))))))))</f>
        <v/>
      </c>
      <c r="BC321" s="6" t="str">
        <f>IF(Atletas!G312="","",IF(Atletas!B312="Feminino",10,IF(Atletas!B312="Masculino",20,""))+(IF(Atletas!G312="Baduanjin A",1,IF(Atletas!G312="Baduanjin B",2))))</f>
        <v/>
      </c>
      <c r="BF321" s="52" t="str">
        <f>IF(Atletas!H312="","",IF(Atletas!B312="Feminino",100,IF(Atletas!B312="Masculino",200,""))+(IF(Atletas!H312="Changquan Mirim",1,IF(Atletas!H312="Nanquan Mirim",2,IF(Atletas!H312="Taijiquan Mirim",3,IF(Atletas!H312="Changquan Grupo C",4,IF(Atletas!H312="Nanquan Grupo C",5,IF(Atletas!H312="Taijiquan Grupo C",6,IF(Atletas!H312="Changquan Grupo B",7,IF(Atletas!H312="Nanquan Grupo B",8,IF(Atletas!H312="Taijiquan Grupo B",9,IF(Atletas!H312="Changquan Grupo A",10,IF(Atletas!H312="Nanquan Grupo A",11,IF(Atletas!H312="Taijiquan Grupo A",12,IF(Atletas!H312="Changquan Opcional",13,IF(Atletas!H312="Nanquan Opcional",14,IF(Atletas!H312="Taijiquan Opcional",15,IF(Atletas!H312="Changquan Adulto",16,IF(Atletas!H312="Nanquan Adulto",17,IF(Atletas!H312="Taijiquan Adulto",18,""))))))))))))))))))))</f>
        <v/>
      </c>
      <c r="BG321" s="52" t="str">
        <f>IF(Atletas!I312="","",IF(Atletas!B312="Feminino",100,IF(Atletas!B312="Masculino",200,""))+(IF(Atletas!I312="Daoshu Mirim",19,IF(Atletas!I312="Jianshu Mirim",20,IF(Atletas!I312="Nandao Mirim",21,IF(Atletas!I312="Taijijian Mirim",22,IF(Atletas!I312="Daoshu Grupo C",23,IF(Atletas!I312="Jianshu Grupo C",24,IF(Atletas!I312="Nandao Grupo C",25,IF(Atletas!I312="Taijijian Grupo C",26,IF(Atletas!I312="Daoshu Grupo B",27,IF(Atletas!I312="Jianshu Grupo B",28,IF(Atletas!I312="Nandao Grupo B",29,IF(Atletas!I312="Taijijian Grupo B",30,IF(Atletas!I312="Daoshu Grupo A",31,IF(Atletas!I312="Jianshu Grupo A",32,IF(Atletas!I312="Nandao Grupo A",33,IF(Atletas!I312="Taijijian Grupo A",34,IF(Atletas!I312="Daoshu Opcional",35,IF(Atletas!I312="Jianshu Opcional",36,IF(Atletas!I312="Nandao Opcional",37,IF(Atletas!I312="Taijijian Opcional",38,IF(Atletas!I312="Daoshu Adulto",39,IF(Atletas!I312="Jianshu Adulto",40,IF(Atletas!I312="Nandao Adulto",41,IF(Atletas!I312="Taijijian Adulto",42,""))))))))))))))))))))))))))</f>
        <v/>
      </c>
      <c r="BH321" s="52" t="str">
        <f>IF(Atletas!J312="","",IF(Atletas!B312="Feminino",100,IF(Atletas!B312="Masculino",200,""))+(IF(Atletas!J312="Gunshu Mirim",43,IF(Atletas!J312="Qiangshu Mirim",44,IF(Atletas!J312="Nangun Mirim",45,IF(Atletas!J312="Gunshu Grupo C",46,IF(Atletas!J312="Qiangshu Grupo C",47,IF(Atletas!J312="Nangun Grupo C",48,IF(Atletas!J312="Gunshu Grupo B",49,IF(Atletas!J312="Qiangshu Grupo B",50,IF(Atletas!J312="Nangun Grupo B",51,IF(Atletas!J312="Gunshu Grupo A",52,IF(Atletas!J312="Qiangshu Grupo A",53,IF(Atletas!J312="Nangun Grupo A",54,IF(Atletas!J312="Gunshu Opcional",55,IF(Atletas!J312="Qiangshu Opcional",56,IF(Atletas!J312="Nangun Opcional",57,IF(Atletas!J312="Gunshu Adulto",58,IF(Atletas!J312="Qiangshu Adulto",59,IF(Atletas!J312="Nangun Adulto",60,IF(Atletas!J312="Taijishan Grupo B",61,IF(Atletas!J312="Taijishan Grupo A",62,""))))))))))))))))))))))</f>
        <v/>
      </c>
      <c r="BM321" s="50" t="str">
        <f>IF(Atletas!K312="","",IF(Atletas!B312="Feminino",100,IF(Atletas!B312="Masculino",200,""))+(IF(Atletas!K312="Equipe 1 Grupo B",1,IF(Atletas!K312="Equipe 2 Grupo B",2,IF(Atletas!K312="Equipe 1 Grupo A",3,IF(Atletas!K312="Equipe 2 Grupo A",4,IF(Atletas!K312="Equipe 1 Adulto",5,IF(Atletas!K312="Equipe 2 Adulto",6,""))))))))</f>
        <v/>
      </c>
      <c r="BR321" s="50" t="str">
        <f>IF(Atletas!L312="","",IF(Atletas!X312&lt;&gt;"",10000,0)+(IF(Atletas!B312="Feminino",1000,IF(Atletas!B312="Masculino",2000,""))+IF(Atletas!L312="Choylayfut A",1,IF(Atletas!L312="Hunggar A",2,IF(Atletas!L312="Wuzuquan A",3,IF(Atletas!L312="Wingchun A",4,IF(Atletas!L312="Outra Mão de Sul A",5,IF(Atletas!L312="Choylayfut B",6,IF(Atletas!L312="Hunggar B",7,IF(Atletas!L312="Wuzuquan B",8,IF(Atletas!L312="Wingchun B",9,IF(Atletas!L312="Outra Mão de Sul B",10,IF(Atletas!L312="Choylayfut C",11,IF(Atletas!L312="Hunggar C",12,IF(Atletas!L312="Wuzuquan C",13,IF(Atletas!L312="Wingchun C",14,IF(Atletas!L312="Outra Mão de Sul C",15,IF(Atletas!L312="Choylayfut D",16,IF(Atletas!L312="Hunggar D",17,IF(Atletas!L312="Wuzuquan D",18,IF(Atletas!L312="Wingchun D",19,IF(Atletas!L312="Outra Mão de Sul D",20,IF(Atletas!L312="Choylayfut E",21,IF(Atletas!L312="Hunggar E",22,IF(Atletas!L312="Wuzuquan E",23,IF(Atletas!L312="Wingchun E",24,IF(Atletas!L312="Outra Mão de Sul E",25,IF(Atletas!L312="Choylayfut F",26,IF(Atletas!L312="Hunggar F",27,IF(Atletas!L312="Wuzuquan F",28,IF(Atletas!L312="Wingchun F",29,IF(Atletas!L312="Outra Mão de Sul F",30,IF(Atletas!L312="Dishuquan A",31,IF(Atletas!L312="Dishuquan B",32,IF(Atletas!L312="Dishuquan C",33,IF(Atletas!L312="Dishuquan D",34,IF(Atletas!L312="Dishuquan E",35,IF(Atletas!L312="Dishuquan F",36,""))))))))))))))))))))))))))))))))))))))</f>
        <v/>
      </c>
      <c r="BS321" s="50" t="str">
        <f>IF(Atletas!M312="","",IF(Atletas!X312&lt;&gt;"",10000,0)+(IF(Atletas!B312="Feminino",1000,IF(Atletas!B312="Masculino",2000,""))+(IF(Atletas!M312="Chaquan A",101,IF(Atletas!M312="Emeiquan A",102,IF(Atletas!M312="Fanziquan A",103,IF(Atletas!M312="Huaquan A",104,IF(Atletas!M312="Hongquan A",105,IF(Atletas!M312="Paoquan A",106,IF(Atletas!M312="Piguaquan A",107,IF(Atletas!M312="Shaolinquan A",108,IF(Atletas!M312="Tanglangquan A",109,IF(Atletas!M312="Yingzhaoquan A",110,IF(Atletas!M312="Tongbeiquan A",111,IF(Atletas!M312="Wudangquan A",112,IF(Atletas!M312="Outros Estilos A",113,IF(Atletas!M312="Chaquan B",114,IF(Atletas!M312="Emeiquan B",115,IF(Atletas!M312="Fanziquan B",116,IF(Atletas!M312="Huaquan B",117,IF(Atletas!M312="Hongquan B",118,IF(Atletas!M312="Paoquan B",119,IF(Atletas!M312="Piguaquan B",120,IF(Atletas!M312="Shaolinquan B",121,IF(Atletas!M312="Tanglangquan B",122,IF(Atletas!M312="Yingzhaoquan B",123,IF(Atletas!M312="Tongbeiquan B",124,IF(Atletas!M312="Wudangquan B",125,IF(Atletas!M312="Outros Estilos B",126,IF(Atletas!M312="Chaquan C",127,IF(Atletas!M312="Emeiquan C",128,IF(Atletas!M312="Fanziquan C",129,IF(Atletas!M312="Huaquan C",130,IF(Atletas!M312="Hongquan C",131,IF(Atletas!M312="Paoquan C",132,IF(Atletas!M312="Piguaquan C",133,IF(Atletas!M312="Shaolinquan C",134,IF(Atletas!M312="Tanglangquan C",135,IF(Atletas!M312="Yingzhaoquan C",136,IF(Atletas!M312="Tongbeiquan C",137,IF(Atletas!M312="Wudangquan C",138,IF(Atletas!M312="Outros Estilos C",139,0))))))))))))))))))))))))))))))))))))))))))</f>
        <v/>
      </c>
      <c r="BT321" s="50" t="str">
        <f>IF(Atletas!M312="","",IF(Atletas!X312&lt;&gt;"",10000,0)+(IF(Atletas!B312="Feminino",1000,IF(Atletas!B312="Masculino",2000,""))+(IF(Atletas!M312="Chaquan D",140,IF(Atletas!M312="Emeiquan D",141,IF(Atletas!M312="Fanziquan D",142,IF(Atletas!M312="Huaquan D",143,IF(Atletas!M312="Hongquan D",144,IF(Atletas!M312="Paoquan D",145,IF(Atletas!M312="Piguaquan D",146,IF(Atletas!M312="Shaolinquan D",147,IF(Atletas!M312="Tanglangquan D",148,IF(Atletas!M312="Yingzhaoquan D",149,IF(Atletas!M312="Tongbeiquan D",150,IF(Atletas!M312="Wudangquan D",151,IF(Atletas!M312="Outros Estilos D",152,IF(Atletas!M312="Chaquan E",153,IF(Atletas!M312="Emeiquan E",154,IF(Atletas!M312="Fanziquan E",155,IF(Atletas!M312="Huaquan E",156,IF(Atletas!M312="Hongquan E",157,IF(Atletas!M312="Paoquan E",158,IF(Atletas!M312="Piguaquan E",159,IF(Atletas!M312="Shaolinquan E",160,IF(Atletas!M312="Tanglangquan E",161,IF(Atletas!M312="Yingzhaoquan E",162,IF(Atletas!M312="Tongbeiquan E",163,IF(Atletas!M312="Wudangquan E",164,IF(Atletas!M312="Outros Estilos E",165,IF(Atletas!M312="Chaquan F",166,IF(Atletas!M312="Emeiquan F",167,IF(Atletas!M312="Fanziquan F",168,IF(Atletas!M312="Huaquan F",169,IF(Atletas!M312="Hongquan F",170,IF(Atletas!M312="Paoquan F",171,IF(Atletas!M312="Piguaquan F",172,IF(Atletas!M312="Shaolinquan F",173,IF(Atletas!M312="Tanglangquan F",174,IF(Atletas!M312="Yingzhaoquan F",175,IF(Atletas!M312="Tongbeiquan F",176,IF(Atletas!M312="Wudangquan F",177,IF(Atletas!M312="Outros Estilos F",178,0))))))))))))))))))))))))))))))))))))))))))</f>
        <v/>
      </c>
      <c r="BU321" s="50" t="str">
        <f>IF(Atletas!N312="","",IF(Atletas!X312&lt;&gt;"",10000,0)+(IF(Atletas!B312="Feminino",1000,IF(Atletas!B312="Masculino",2000,""))+(IF(Atletas!N312="Ditangquan A",201,IF(Atletas!N312="Houquan A",202,IF(Atletas!N312="Zuiquan A",203,IF(Atletas!N312="Ditangquan B",204,IF(Atletas!N312="Houquan B",205,IF(Atletas!N312="Zuiquan B",206,IF(Atletas!N312="Ditangquan C",207,IF(Atletas!N312="Houquan C",208,IF(Atletas!N312="Zuiquan C",209,IF(Atletas!N312="Ditangquan D",210,IF(Atletas!N312="Houquan D",211,IF(Atletas!N312="Zuiquan D",212,IF(Atletas!N312="Ditangquan E",213,IF(Atletas!N312="Houquan E",214,IF(Atletas!N312="Zuiquan E",215,IF(Atletas!N312="Ditangquan F",216,IF(Atletas!N312="Houquan F",217,IF(Atletas!N312="Zuiquan F",218,"")))))))))))))))))))))</f>
        <v/>
      </c>
      <c r="BV321" s="50" t="str">
        <f>IF(Atletas!O312="","",IF(Atletas!X312&lt;&gt;"",10000,0)+IF(Atletas!B312="Feminino",1000,IF(Atletas!B312="Masculino",2000,""))+IF(Atletas!O312="Yang A",301,IF(Atletas!O312="Chen A",302,IF(Atletas!O312="Sun A",303,IF(Atletas!O312="Wu A",304,IF(Atletas!O312="Wu-Hao A",305,IF(Atletas!O312="Outro Taijiquan A",306,IF(Atletas!O312="Yang B",307,IF(Atletas!O312="Chen B",308,IF(Atletas!O312="Sun B",309,IF(Atletas!O312="Wu B",310,IF(Atletas!O312="Wu-Hao B",311,IF(Atletas!O312="Outro Taijiquan B",312,IF(Atletas!O312="Yang C",313,IF(Atletas!O312="Chen C",314,IF(Atletas!O312="Sun C",315,IF(Atletas!O312="Wu C",316,IF(Atletas!O312="Wu-Hao C",317,IF(Atletas!O312="Outro Taijiquan C",318,IF(Atletas!O312="Yang D",319,IF(Atletas!O312="Chen D",320,IF(Atletas!O312="Sun D",321,IF(Atletas!O312="Wu D",322,IF(Atletas!O312="Wu-Hao D",323,IF(Atletas!O312="Outro Taijiquan D",324,IF(Atletas!O312="Yang E",325,IF(Atletas!O312="Chen E",326,IF(Atletas!O312="Sun E",327,IF(Atletas!O312="Wu E",328,IF(Atletas!O312="Wu-Hao E",329,IF(Atletas!O312="Outro Taijiquan E",330,IF(Atletas!O312="Yang F",331,IF(Atletas!O312="Chen F",332,IF(Atletas!O312="Sun F",333,IF(Atletas!O312="Wu F",334,IF(Atletas!O312="Wu-Hao F",335,IF(Atletas!O312="Outro Taijiquan F",336,"")))))))))))))))))))))))))))))))))))))</f>
        <v/>
      </c>
      <c r="BW321" s="50" t="str">
        <f>IF(Atletas!P312="","",IF(Atletas!X312&lt;&gt;"",10000,0)+IF(Atletas!B312="Feminino",1000,IF(Atletas!B312="Masculino",2000,""))+IF(OR(Atletas!P312="Yang 26 A",Atletas!P312="Yang 40 A"),401,IF(OR(Atletas!P312="Chen 25 A",Atletas!P312="Chen 36 A",Atletas!P312="Chen 56 A"),402,IF(Atletas!P312="Sun 73 A",403,IF(Atletas!P312="Wu 45 A",404,IF(Atletas!P312="Wu-Hao 46 A",405,IF(OR(Atletas!P312="Taijiquan 16 A",Atletas!P312="Taijiquan 24 A",Atletas!P312="Taijiquan 32 A",Atletas!P312="Taijiquan 42 A"),406,IF(OR(Atletas!P312="Yang 26 B",Atletas!P312="Yang 40 B"),407,IF(OR(Atletas!P312="Chen 25 B",Atletas!P312="Chen 36 B",Atletas!P312="Chen 56 B"),408,IF(Atletas!P312="Sun 73 B",409,IF(Atletas!P312="Wu 45 B",410,IF(Atletas!P312="Wu-Hao 46 B",411,IF(OR(Atletas!P312="Taijiquan 16 B",Atletas!P312="Taijiquan 24 B",Atletas!P312="Taijiquan 32 B",Atletas!P312="Taijiquan 42 B"),412,IF(OR(Atletas!P312="Yang 26 C",Atletas!P312="Yang 40 C"),413,IF(OR(Atletas!P312="Chen 25 C",Atletas!P312="Chen 36 C",Atletas!P312="Chen 56 C"),414,IF(Atletas!P312="Sun 73 C",415,IF(Atletas!P312="Wu 45 C",416,IF(Atletas!P312="Wu-Hao 46 C",417,IF(OR(Atletas!P312="Taijiquan 16 C",Atletas!P312="Taijiquan 24 C",Atletas!P312="Taijiquan 32 C",Atletas!P312="Taijiquan 42 C"),418,0)))))))))))))))))))</f>
        <v/>
      </c>
      <c r="BX321" s="50" t="str">
        <f>IF(Atletas!P312="","",IF(Atletas!X312&lt;&gt;"",10000,0)+IF(Atletas!B312="Feminino",1000,IF(Atletas!B312="Masculino",2000,""))+IF(OR(Atletas!P312="Yang 26 D",Atletas!P312="Yang 40 D"),419,IF(OR(Atletas!P312="Chen 25 D",Atletas!P312="Chen 36 D",Atletas!P312="Chen 56 D"),420,IF(Atletas!P312="Sun 73 D",421,IF(Atletas!P312="Wu 45 D",422,IF(Atletas!P312="Wu-Hao 46 D",423,IF(OR(Atletas!P312="Taijiquan 16 D",Atletas!P312="Taijiquan 24 D",Atletas!P312="Taijiquan 32 D",Atletas!P312="Taijiquan 42 D"),424,IF(OR(Atletas!P312="Yang 26 E",Atletas!P312="Yang 40 E"),425,IF(OR(Atletas!P312="Chen 25 E",Atletas!P312="Chen 36 E",Atletas!P312="Chen 56 E"),426,IF(Atletas!P312="Sun 73 E",427,IF(Atletas!P312="Wu 45 E",428,IF(Atletas!P312="Wu-Hao 46 E",429,IF(OR(Atletas!P312="Taijiquan 16 E",Atletas!P312="Taijiquan 24 E",Atletas!P312="Taijiquan 32 E",Atletas!P312="Taijiquan 42 E"),430,IF(OR(Atletas!P312="Yang 26 F",Atletas!P312="Yang 40 F"),431,IF(OR(Atletas!P312="Chen 25 F",Atletas!P312="Chen 36 F",Atletas!P312="Chen 56 F"),432,IF(Atletas!P312="Sun 73 F",433,IF(Atletas!P312="Wu 45 F",434,IF(Atletas!P312="Wu-Hao 46 F",435,IF(OR(Atletas!P312="Taijiquan 16 F",Atletas!P312="Taijiquan 24 F",Atletas!P312="Taijiquan 32 F",Atletas!P312="Taijiquan 42 F"),436,0)))))))))))))))))))</f>
        <v/>
      </c>
      <c r="BY321" s="50" t="str">
        <f>IF(Atletas!Q312="","",IF(Atletas!X312&lt;&gt;"",10000,0)+IF(Atletas!B312="Feminino",1000,IF(Atletas!B312="Masculino",2000,""))+IF(Atletas!Q312="Xingyiquan A",501,IF(Atletas!Q312="Baguazhang A",502,IF(Atletas!Q312="Outro Estilo Interno A",503,IF(Atletas!Q312="Xingyiquan B",504,IF(Atletas!Q312="Baguazhang B",505,IF(Atletas!Q312="Outro Estilo Interno B",506,IF(Atletas!Q312="Xingyiquan C",507,IF(Atletas!Q312="Baguazhang C",508,IF(Atletas!Q312="Outro Estilo Interno C",509,IF(Atletas!Q312="Xingyiquan D",510,IF(Atletas!Q312="Baguazhang D",511,IF(Atletas!Q312="Outro Estilo Interno D",512,IF(Atletas!Q312="Xingyiquan E",513,IF(Atletas!Q312="Baguazhang E",514,IF(Atletas!Q312="Outro Estilo Interno E",515,IF(Atletas!Q312="Xingyiquan F",516,IF(Atletas!Q312="Baguazhang F",517,IF(Atletas!Q312="Outro Estilo Interno F",518, "")))))))))))))))))))</f>
        <v/>
      </c>
      <c r="BZ321" s="50" t="str">
        <f>IF(Atletas!R312="","",IF(Atletas!X312&lt;&gt;"",10000,0)+IF(Atletas!B312="Feminino",1000,IF(Atletas!B312="Masculino",2000,""))+IF(Atletas!R312="Dao A",601,IF(Atletas!R312="Jian A",602,IF(Atletas!R312="Bishou A",603,IF(Atletas!R312="Shanzi A",604,IF(Atletas!R312="Outra Arma Curta A",605,IF(Atletas!R312="Dao B",606,IF(Atletas!R312="Jian B",607,IF(Atletas!R312="Bishou B",608,IF(Atletas!R312="Shanzi B",609,IF(Atletas!R312="Outra Arma Curta B",610,IF(Atletas!R312="Dao C",611,IF(Atletas!R312="Jian C",612,IF(Atletas!R312="Bishou C",613,IF(Atletas!R312="Shanzi C",614,IF(Atletas!R312="Outra Arma Curta C",615,IF(Atletas!R312="Dao D",616,IF(Atletas!R312="Jian D",617,IF(Atletas!R312="Bishou D",618,IF(Atletas!R312="Shanzi D",619,IF(Atletas!R312="Outra Arma Curta D",620,IF(Atletas!R312="Dao E",621,IF(Atletas!R312="Jian E",622,IF(Atletas!R312="Bishou E",623,IF(Atletas!R312="Shanzi E",624,IF(Atletas!R312="Outra Arma Curta E",625,IF(Atletas!R312="Dao F",626,IF(Atletas!R312="Jian F",627,IF(Atletas!R312="Bishou F",628,IF(Atletas!R312="Shanzi F",629,IF(Atletas!R312="Outra Arma Curta F",630, "")))))))))))))))))))))))))))))))</f>
        <v/>
      </c>
      <c r="CA321" s="50" t="str">
        <f>IF(Atletas!S312="","",IF(Atletas!X312&lt;&gt;"",10000,0)+IF(Atletas!B312="Feminino",1000,IF(Atletas!B312="Masculino",2000,""))+IF(Atletas!S312="Gun A",701,IF(Atletas!S312="Qiang A",702,IF(Atletas!S312="Pudao / Guandao A",703,IF(Atletas!S312="Outra Arma Longa A",704,IF(Atletas!S312="Gun B",705,IF(Atletas!S312="Qiang B",706,IF(Atletas!S312="Pudao / Guandao B",707,IF(Atletas!S312="Outra Arma Longa B",708,IF(Atletas!S312="Gun C",709,IF(Atletas!S312="Qiang C",710,IF(Atletas!S312="Pudao / Guandao C",711,IF(Atletas!S312="Outra Arma Longa C",712,IF(Atletas!S312="Gun D",713,IF(Atletas!S312="Qiang D",714,IF(Atletas!S312="Pudao / Guandao D",715,IF(Atletas!S312="Outra Arma Longa D",716,IF(Atletas!S312="Gun E",717,IF(Atletas!S312="Qiang E",718,IF(Atletas!S312="Pudao / Guandao E",719,IF(Atletas!S312="Outra Arma Longa E",720,IF(Atletas!S312="Gun F",721,IF(Atletas!S312="Qiang F",722,IF(Atletas!S312="Pudao / Guandao F",723,IF(Atletas!S312="Outra Arma Longa F",724,"")))))))))))))))))))))))))</f>
        <v/>
      </c>
      <c r="CB321" s="50" t="str">
        <f>IF(Atletas!T312="","",IF(Atletas!X312&lt;&gt;"",10000,0)+IF(Atletas!B312="Feminino",1000,IF(Atletas!B312="Masculino",2000,""))+IF(Atletas!T312="Outra Arma Dupla A",801,IF(Atletas!T312="Arma Maleável A",802,IF(Atletas!T312="Outra Arma Dupla B",803,IF(Atletas!T312="Arma Maleável B",804,IF(Atletas!T312="Outra Arma Dupla C",805,IF(Atletas!T312="Arma Maleável C",806,IF(Atletas!T312="Outra Arma Dupla D",807,IF(Atletas!T312="Arma Maleável D",808,IF(Atletas!T312="Outra Arma Dupla E",809,IF(Atletas!T312="Arma Maleável E",810,IF(Atletas!T312="Outra Arma Dupla F",811,IF(Atletas!T312="Arma Maleável F",812,IF(Atletas!T312="Shuangdao A",813,IF(Atletas!T312="Shuangdao B",814,IF(Atletas!T312="Shuangdao C",815,IF(Atletas!T312="Shuangdao D",816,IF(Atletas!T312="Shuangdao E",817,IF(Atletas!T312="Shuangdao F",818,"")))))))))))))))))))</f>
        <v/>
      </c>
      <c r="CC321" s="50" t="str">
        <f>IF(Atletas!U312="","",IF(Atletas!X312&lt;&gt;"",10000,0)+IF(Atletas!B312="Feminino",1000,IF(Atletas!B312="Masculino",2000,""))+IF(OR(Atletas!U312="Taijijian Yang A",Atletas!U312="Taijijian Yang Standard A"),901,IF(OR(Atletas!U312="Taijijian Chen A", Atletas!U312="Taijijian Chen Standard A"),902,IF(Atletas!U312="Taijijian Sun A",903,IF(Atletas!U312="Taijijian Wu A",904,IF(Atletas!U312="Taijijian Wu-Hao A",905,IF(OR(Atletas!U312="Taijijian 32 A",Atletas!U312="Taijijian 42 A"),906,IF(OR(Atletas!U312="Taijijian Yang B",Atletas!U312="Taijijian Yang Standard B"),907,IF(OR(Atletas!U312="Taijijian Chen B", Atletas!U312="Taijijian Chen Standard B"),908,IF(Atletas!U312="Taijijian Sun B",909,IF(Atletas!U312="Taijijian Wu B",910,IF(Atletas!U312="Taijijian Wu-Hao B",911,IF(OR(Atletas!U312="Taijijian 32 B",Atletas!U312="Taijijian 42 B"),912,IF(OR(Atletas!U312="Taijijian Yang C",Atletas!U312="Taijijian Yang Standard C"),913,IF(OR(Atletas!U312="Taijijian Chen C", Atletas!U312="Taijijian Chen Standard C"),914,IF(Atletas!U312="Taijijian Sun C",915,IF(Atletas!U312="Taijijian Wu C",916,IF(Atletas!U312="Taijijian Wu-Hao C",917,IF(OR(Atletas!U312="Taijijian 32 C",Atletas!U312="Taijijian 42 C"),918,IF(OR(Atletas!U312="Taijijian Yang D",Atletas!U312="Taijijian Yang Standard D"),919,IF(OR(Atletas!U312="Taijijian Chen D", Atletas!U312="Taijijian Chen Standard D"),920,IF(Atletas!U312="Taijijian Sun D",921,IF(Atletas!U312="Taijijian Wu D",922,IF(Atletas!U312="Taijijian Wu-Hao D",923,IF(OR(Atletas!U312="Taijijian 32 D",Atletas!U312="Taijijian 42 D"),924,IF(OR(Atletas!U312="Taijijian Yang E",Atletas!U312="Taijijian Yang Standard E"),925,IF(OR(Atletas!U312="Taijijian Chen E", Atletas!U312="Taijijian Chen Standard E"),926,IF(Atletas!U312="Taijijian Sun E",927,IF(Atletas!U312="Taijijian Wu E",928,IF(Atletas!U312="Taijijian Wu-Hao E",929,IF(OR(Atletas!U312="Taijijian 32 E",Atletas!U312="Taijijian 42 E"),930,IF(OR(Atletas!U312="Taijijian Yang F",Atletas!U312="Taijijian Yang Standard F"),931,IF(OR(Atletas!U312="Taijijian Chen F", Atletas!U312="Taijijian Chen Standard F"),932,IF(Atletas!U312="Taijijian Sun F",933,IF(Atletas!U312="Taijijian Wu F",934,IF(Atletas!U312="Taijijian Wu-Hao F",935,IF(OR(Atletas!U312="Taijijian 32 F",Atletas!U312="Taijijian 42 F"),936,"")))))))))))))))))))))))))))))))))))))</f>
        <v/>
      </c>
      <c r="CD321" s="50" t="str">
        <f>IF(Atletas!V312="","",IF(Atletas!X312&lt;&gt;"",10000,0)+IF(Atletas!B312="Feminino",1000,IF(Atletas!B312="Masculino",2000,""))+IF(Atletas!V312="Taijidao A",937,IF(Atletas!V312="TaijiShanzi A",938,IF(Atletas!V312="Taijiqiang A",939,IF(Atletas!V312="Bagua de Arma A",940,IF(Atletas!V312="Xingyi de Arma A",941,IF(Atletas!V312="Taijidao B",942,IF(Atletas!V312="TaijiShanzi B",943,IF(Atletas!V312="Taijiqiang B",944,IF(Atletas!V312="Bagua de Arma B",945,IF(Atletas!V312="Xingyi de Arma B",946,IF(Atletas!V312="Taijidao C",947,IF(Atletas!V312="TaijiShanzi C",948,IF(Atletas!V312="Taijiqiang C",949,IF(Atletas!V312="Bagua de Arma C",950,IF(Atletas!V312="Xingyi de Arma C",951,IF(Atletas!V312="Taijidao D",952,IF(Atletas!V312="TaijiShanzi D",953,IF(Atletas!V312="Taijiqiang D",954,IF(Atletas!V312="Bagua de Arma D",955,IF(Atletas!V312="Xingyi de Arma D",956,IF(Atletas!V312="Taijidao E",957,IF(Atletas!V312="TaijiShanzi E",958,IF(Atletas!V312="Taijiqiang E",959,IF(Atletas!V312="Bagua de Arma E",960,IF(Atletas!V312="Xingyi de Arma E",961,IF(Atletas!V312="Taijidao F",962,IF(Atletas!V312="TaijiShanzi F",963,IF(Atletas!V312="Taijiqiang F",964,IF(Atletas!V312="Bagua de Arma F",965,IF(Atletas!V312="Xingyi de Arma F",966,"")))))))))))))))))))))))))))))))</f>
        <v/>
      </c>
      <c r="CE321" s="66" t="str">
        <f>IF(CF321&lt;&gt;"","Taijijian Sun D","")</f>
        <v/>
      </c>
      <c r="CF321" s="6" t="str">
        <f>IF(COUNTIF(BR:CD,1921)&gt;0,COUNTIF(BR:CD,1921),"")</f>
        <v/>
      </c>
      <c r="CG321" s="66" t="str">
        <f>IF(CH321&lt;&gt;"","Taijijian Sun D","")</f>
        <v/>
      </c>
      <c r="CH321" s="66" t="str">
        <f>IF(COUNTIF(BR:CD,2921)&gt;0,COUNTIF(BR:CD,2921),"")</f>
        <v/>
      </c>
      <c r="CI321" s="66" t="str">
        <f>IF(CJ322&lt;&gt;"","Taijijian Wu F","")</f>
        <v/>
      </c>
      <c r="CJ321" s="66" t="str">
        <f>IF(COUNTIF(BR:CD,11933)&gt;0,COUNTIF(BR:CD,11933),"")</f>
        <v/>
      </c>
      <c r="CK321" s="66" t="str">
        <f>IF(CL321&lt;&gt;"","Taijijian Sun F","")</f>
        <v/>
      </c>
      <c r="CL321" s="66" t="str">
        <f>IF(COUNTIF(BR:CD,12933)&gt;0,COUNTIF(BR:CD,12933),"")</f>
        <v/>
      </c>
      <c r="CM321" s="50" t="str">
        <f xml:space="preserve"> IF(Atletas!W312="","",IF(Atletas!W312="Duilian de Mãos BC - Equipe 1",1,IF(Atletas!W312="Duilian de Mãos BC - Equipe 2",2,IF(Atletas!W312="Duilian de Armas BC - Equipe 1",3,IF(Atletas!W312="Duilian de Armas BC - Equipe 2",4,IF(Atletas!W312="Duilian de Mãos DE - Equipe 1",5,IF(Atletas!W312="Duilian de Mãos DE - Equipe 2",6,IF(Atletas!W312="Duilian de Armas DE - Equipe 1",7,IF(Atletas!W312="Duilian de Armas DE - Equipe 2",8,IF(Atletas!W312="Duilian de Tuishou - Equipe 1",9,IF(Atletas!W312="Duilian de Tuishou - Equipe 2",10,IF(Atletas!W312="Grupo Externo ABC - Equipe 1",11,IF(Atletas!W312="Grupo Externo ABC - Equipe 2",12,IF(Atletas!W312="Grupo Interno ABC - Equipe 1",13,IF(Atletas!W312="Grupo Interno ABC - Equipe 2",14,IF(Atletas!W312="Grupo Externo DEF - Equipe 1",15,IF(Atletas!W312="Grupo Externo DEF - Equipe 2",16,IF(Atletas!W312="Grupo Interno DEF - Equipe 1",17,IF(Atletas!W312="Grupo Interno DEF - Equipe 2",18,"")))))))))))))))))))</f>
        <v/>
      </c>
    </row>
    <row r="322" spans="40:91">
      <c r="AN322" s="52" t="str">
        <f>IF(Atletas!D313="","",IF(Atletas!B313="Feminino",100,IF(Atletas!B313="Masculino",200,""))+(IF(Atletas!D313="Kids 30kg",1,IF(Atletas!D313="Kids 32kg",2, IF(Atletas!D313="Kids 34kg",3,IF(Atletas!D313="Kids 36kg",4,IF(Atletas!D313="Kids 39kg",5,IF(Atletas!D313="Kids 42kg",6,IF(Atletas!D313="Kids 45kg",7, IF(Atletas!D313="Infantil 39kg",8,IF(Atletas!D313="Infantil 42kg",9,IF(Atletas!D313="Infantil 45kg",10,IF(Atletas!D313="Infantil 48kg",11,IF(Atletas!D313="Infantil 52kg",12,IF(Atletas!D313="Infantil 56kg",13,IF(Atletas!D313="Infantil 60kg",14,IF(Atletas!D313="Juvenil 48kg",15,IF(Atletas!D313="Juvenil 52kg",16,IF(Atletas!D313="Juvenil 56kg",17,IF(Atletas!D313="Juvenil 60kg",18,IF(Atletas!D313="Juvenil 65kg",19,IF(Atletas!D313="Juvenil 70kg",20,IF(Atletas!D313="Juvenil 75kg",21,IF(Atletas!D313="Juvenil 80kg",22, IF(Atletas!D313="Juvenil 85kg",23,IF(Atletas!D313="Adulto 48kg",24,IF(Atletas!D313="Adulto 52kg",25,IF(Atletas!D313="Adulto 56kg",26,IF(Atletas!D313="Adulto 60kg",27,IF(Atletas!D313="Adulto 65kg",28,IF(Atletas!D313="Adulto 70kg",29,IF(Atletas!D313="Adulto 75kg",30,IF(Atletas!D313="Adulto 80kg",31,IF(Atletas!D313="Adulto 85kg",32,IF(Atletas!D313="Adulto 90kg",33,IF(Atletas!D313="Adulto 100kg",34, IF(Atletas!D313="Adulto +100kg",35,"")))))))))))))))))))))))))))))))))))))</f>
        <v/>
      </c>
      <c r="AS322" s="6" t="str">
        <f>IF(Atletas!E313="","",IF(Atletas!B313="Feminino",100,IF(Atletas!B313="Masculino",200,""))+(IF(Atletas!E313="Juvenil 44kg",1,IF(Atletas!E313="Juvenil 48kg",2,IF(Atletas!E313="Juvenil 52kg",3,IF(Atletas!E313="Juvenil 56kg",4,IF(Atletas!E313="Juvenil 60kg",5,IF(Atletas!E313="Juvenil 65kg",6,IF(Atletas!E313="Juvenil 70kg",7,IF(Atletas!E313="Juvenil 75kg",8,IF(Atletas!E313="Juvenil 82kg",9,IF(Atletas!E313="Juvenil 90kg",10,IF(Atletas!E313="Juvenil 100kg",11,IF(Atletas!E313="Adulto 48kg",12,IF(Atletas!E313="Adulto 52kg",13,IF(Atletas!E313="Adulto 56kg",14,IF(Atletas!E313="Adulto 60kg",15,IF(Atletas!E313="Adulto 65kg",16,IF(Atletas!E313="Adulto 70kg",17,IF(Atletas!E313="Adulto 75kg",18,IF(Atletas!E313="Adulto 82kg",19,IF(Atletas!E313="Adulto 90kg",20,IF(Atletas!E313="Adulto 100kg",21,IF(Atletas!E313="Adulto +100kg",22,""))))))))))))))))))))))))</f>
        <v/>
      </c>
      <c r="AX322" s="6" t="str">
        <f>IF(Atletas!F313="","",IF(Atletas!B313="Feminino",100,IF(Atletas!B313="Masculino",200,""))+(IF(Atletas!F313="Adulto 48kg",1,IF(Atletas!F313="Adulto 56kg",2,IF(Atletas!F313="Adulto 65kg",3,IF(Atletas!F313="Adulto 75kg",4,IF(Atletas!F313="Adulto +75kg",5,IF(Atletas!F313="Adulto 52kg",6,IF(Atletas!F313="Adulto 60kg",7,IF(Atletas!F313="Adulto 70kg",8,IF(Atletas!F313="Adulto 80kg",9,IF(Atletas!F313="Adulto 90kg",10,IF(Atletas!F313="Adulto +90kg",11,"")))))))))))))</f>
        <v/>
      </c>
      <c r="BC322" s="6" t="str">
        <f>IF(Atletas!G313="","",IF(Atletas!B313="Feminino",10,IF(Atletas!B313="Masculino",20,""))+(IF(Atletas!G313="Baduanjin A",1,IF(Atletas!G313="Baduanjin B",2))))</f>
        <v/>
      </c>
      <c r="BF322" s="52" t="str">
        <f>IF(Atletas!H313="","",IF(Atletas!B313="Feminino",100,IF(Atletas!B313="Masculino",200,""))+(IF(Atletas!H313="Changquan Mirim",1,IF(Atletas!H313="Nanquan Mirim",2,IF(Atletas!H313="Taijiquan Mirim",3,IF(Atletas!H313="Changquan Grupo C",4,IF(Atletas!H313="Nanquan Grupo C",5,IF(Atletas!H313="Taijiquan Grupo C",6,IF(Atletas!H313="Changquan Grupo B",7,IF(Atletas!H313="Nanquan Grupo B",8,IF(Atletas!H313="Taijiquan Grupo B",9,IF(Atletas!H313="Changquan Grupo A",10,IF(Atletas!H313="Nanquan Grupo A",11,IF(Atletas!H313="Taijiquan Grupo A",12,IF(Atletas!H313="Changquan Opcional",13,IF(Atletas!H313="Nanquan Opcional",14,IF(Atletas!H313="Taijiquan Opcional",15,IF(Atletas!H313="Changquan Adulto",16,IF(Atletas!H313="Nanquan Adulto",17,IF(Atletas!H313="Taijiquan Adulto",18,""))))))))))))))))))))</f>
        <v/>
      </c>
      <c r="BG322" s="52" t="str">
        <f>IF(Atletas!I313="","",IF(Atletas!B313="Feminino",100,IF(Atletas!B313="Masculino",200,""))+(IF(Atletas!I313="Daoshu Mirim",19,IF(Atletas!I313="Jianshu Mirim",20,IF(Atletas!I313="Nandao Mirim",21,IF(Atletas!I313="Taijijian Mirim",22,IF(Atletas!I313="Daoshu Grupo C",23,IF(Atletas!I313="Jianshu Grupo C",24,IF(Atletas!I313="Nandao Grupo C",25,IF(Atletas!I313="Taijijian Grupo C",26,IF(Atletas!I313="Daoshu Grupo B",27,IF(Atletas!I313="Jianshu Grupo B",28,IF(Atletas!I313="Nandao Grupo B",29,IF(Atletas!I313="Taijijian Grupo B",30,IF(Atletas!I313="Daoshu Grupo A",31,IF(Atletas!I313="Jianshu Grupo A",32,IF(Atletas!I313="Nandao Grupo A",33,IF(Atletas!I313="Taijijian Grupo A",34,IF(Atletas!I313="Daoshu Opcional",35,IF(Atletas!I313="Jianshu Opcional",36,IF(Atletas!I313="Nandao Opcional",37,IF(Atletas!I313="Taijijian Opcional",38,IF(Atletas!I313="Daoshu Adulto",39,IF(Atletas!I313="Jianshu Adulto",40,IF(Atletas!I313="Nandao Adulto",41,IF(Atletas!I313="Taijijian Adulto",42,""))))))))))))))))))))))))))</f>
        <v/>
      </c>
      <c r="BH322" s="52" t="str">
        <f>IF(Atletas!J313="","",IF(Atletas!B313="Feminino",100,IF(Atletas!B313="Masculino",200,""))+(IF(Atletas!J313="Gunshu Mirim",43,IF(Atletas!J313="Qiangshu Mirim",44,IF(Atletas!J313="Nangun Mirim",45,IF(Atletas!J313="Gunshu Grupo C",46,IF(Atletas!J313="Qiangshu Grupo C",47,IF(Atletas!J313="Nangun Grupo C",48,IF(Atletas!J313="Gunshu Grupo B",49,IF(Atletas!J313="Qiangshu Grupo B",50,IF(Atletas!J313="Nangun Grupo B",51,IF(Atletas!J313="Gunshu Grupo A",52,IF(Atletas!J313="Qiangshu Grupo A",53,IF(Atletas!J313="Nangun Grupo A",54,IF(Atletas!J313="Gunshu Opcional",55,IF(Atletas!J313="Qiangshu Opcional",56,IF(Atletas!J313="Nangun Opcional",57,IF(Atletas!J313="Gunshu Adulto",58,IF(Atletas!J313="Qiangshu Adulto",59,IF(Atletas!J313="Nangun Adulto",60,IF(Atletas!J313="Taijishan Grupo B",61,IF(Atletas!J313="Taijishan Grupo A",62,""))))))))))))))))))))))</f>
        <v/>
      </c>
      <c r="BM322" s="50" t="str">
        <f>IF(Atletas!K313="","",IF(Atletas!B313="Feminino",100,IF(Atletas!B313="Masculino",200,""))+(IF(Atletas!K313="Equipe 1 Grupo B",1,IF(Atletas!K313="Equipe 2 Grupo B",2,IF(Atletas!K313="Equipe 1 Grupo A",3,IF(Atletas!K313="Equipe 2 Grupo A",4,IF(Atletas!K313="Equipe 1 Adulto",5,IF(Atletas!K313="Equipe 2 Adulto",6,""))))))))</f>
        <v/>
      </c>
      <c r="BR322" s="50" t="str">
        <f>IF(Atletas!L313="","",IF(Atletas!X313&lt;&gt;"",10000,0)+(IF(Atletas!B313="Feminino",1000,IF(Atletas!B313="Masculino",2000,""))+IF(Atletas!L313="Choylayfut A",1,IF(Atletas!L313="Hunggar A",2,IF(Atletas!L313="Wuzuquan A",3,IF(Atletas!L313="Wingchun A",4,IF(Atletas!L313="Outra Mão de Sul A",5,IF(Atletas!L313="Choylayfut B",6,IF(Atletas!L313="Hunggar B",7,IF(Atletas!L313="Wuzuquan B",8,IF(Atletas!L313="Wingchun B",9,IF(Atletas!L313="Outra Mão de Sul B",10,IF(Atletas!L313="Choylayfut C",11,IF(Atletas!L313="Hunggar C",12,IF(Atletas!L313="Wuzuquan C",13,IF(Atletas!L313="Wingchun C",14,IF(Atletas!L313="Outra Mão de Sul C",15,IF(Atletas!L313="Choylayfut D",16,IF(Atletas!L313="Hunggar D",17,IF(Atletas!L313="Wuzuquan D",18,IF(Atletas!L313="Wingchun D",19,IF(Atletas!L313="Outra Mão de Sul D",20,IF(Atletas!L313="Choylayfut E",21,IF(Atletas!L313="Hunggar E",22,IF(Atletas!L313="Wuzuquan E",23,IF(Atletas!L313="Wingchun E",24,IF(Atletas!L313="Outra Mão de Sul E",25,IF(Atletas!L313="Choylayfut F",26,IF(Atletas!L313="Hunggar F",27,IF(Atletas!L313="Wuzuquan F",28,IF(Atletas!L313="Wingchun F",29,IF(Atletas!L313="Outra Mão de Sul F",30,IF(Atletas!L313="Dishuquan A",31,IF(Atletas!L313="Dishuquan B",32,IF(Atletas!L313="Dishuquan C",33,IF(Atletas!L313="Dishuquan D",34,IF(Atletas!L313="Dishuquan E",35,IF(Atletas!L313="Dishuquan F",36,""))))))))))))))))))))))))))))))))))))))</f>
        <v/>
      </c>
      <c r="BS322" s="50" t="str">
        <f>IF(Atletas!M313="","",IF(Atletas!X313&lt;&gt;"",10000,0)+(IF(Atletas!B313="Feminino",1000,IF(Atletas!B313="Masculino",2000,""))+(IF(Atletas!M313="Chaquan A",101,IF(Atletas!M313="Emeiquan A",102,IF(Atletas!M313="Fanziquan A",103,IF(Atletas!M313="Huaquan A",104,IF(Atletas!M313="Hongquan A",105,IF(Atletas!M313="Paoquan A",106,IF(Atletas!M313="Piguaquan A",107,IF(Atletas!M313="Shaolinquan A",108,IF(Atletas!M313="Tanglangquan A",109,IF(Atletas!M313="Yingzhaoquan A",110,IF(Atletas!M313="Tongbeiquan A",111,IF(Atletas!M313="Wudangquan A",112,IF(Atletas!M313="Outros Estilos A",113,IF(Atletas!M313="Chaquan B",114,IF(Atletas!M313="Emeiquan B",115,IF(Atletas!M313="Fanziquan B",116,IF(Atletas!M313="Huaquan B",117,IF(Atletas!M313="Hongquan B",118,IF(Atletas!M313="Paoquan B",119,IF(Atletas!M313="Piguaquan B",120,IF(Atletas!M313="Shaolinquan B",121,IF(Atletas!M313="Tanglangquan B",122,IF(Atletas!M313="Yingzhaoquan B",123,IF(Atletas!M313="Tongbeiquan B",124,IF(Atletas!M313="Wudangquan B",125,IF(Atletas!M313="Outros Estilos B",126,IF(Atletas!M313="Chaquan C",127,IF(Atletas!M313="Emeiquan C",128,IF(Atletas!M313="Fanziquan C",129,IF(Atletas!M313="Huaquan C",130,IF(Atletas!M313="Hongquan C",131,IF(Atletas!M313="Paoquan C",132,IF(Atletas!M313="Piguaquan C",133,IF(Atletas!M313="Shaolinquan C",134,IF(Atletas!M313="Tanglangquan C",135,IF(Atletas!M313="Yingzhaoquan C",136,IF(Atletas!M313="Tongbeiquan C",137,IF(Atletas!M313="Wudangquan C",138,IF(Atletas!M313="Outros Estilos C",139,0))))))))))))))))))))))))))))))))))))))))))</f>
        <v/>
      </c>
      <c r="BT322" s="50" t="str">
        <f>IF(Atletas!M313="","",IF(Atletas!X313&lt;&gt;"",10000,0)+(IF(Atletas!B313="Feminino",1000,IF(Atletas!B313="Masculino",2000,""))+(IF(Atletas!M313="Chaquan D",140,IF(Atletas!M313="Emeiquan D",141,IF(Atletas!M313="Fanziquan D",142,IF(Atletas!M313="Huaquan D",143,IF(Atletas!M313="Hongquan D",144,IF(Atletas!M313="Paoquan D",145,IF(Atletas!M313="Piguaquan D",146,IF(Atletas!M313="Shaolinquan D",147,IF(Atletas!M313="Tanglangquan D",148,IF(Atletas!M313="Yingzhaoquan D",149,IF(Atletas!M313="Tongbeiquan D",150,IF(Atletas!M313="Wudangquan D",151,IF(Atletas!M313="Outros Estilos D",152,IF(Atletas!M313="Chaquan E",153,IF(Atletas!M313="Emeiquan E",154,IF(Atletas!M313="Fanziquan E",155,IF(Atletas!M313="Huaquan E",156,IF(Atletas!M313="Hongquan E",157,IF(Atletas!M313="Paoquan E",158,IF(Atletas!M313="Piguaquan E",159,IF(Atletas!M313="Shaolinquan E",160,IF(Atletas!M313="Tanglangquan E",161,IF(Atletas!M313="Yingzhaoquan E",162,IF(Atletas!M313="Tongbeiquan E",163,IF(Atletas!M313="Wudangquan E",164,IF(Atletas!M313="Outros Estilos E",165,IF(Atletas!M313="Chaquan F",166,IF(Atletas!M313="Emeiquan F",167,IF(Atletas!M313="Fanziquan F",168,IF(Atletas!M313="Huaquan F",169,IF(Atletas!M313="Hongquan F",170,IF(Atletas!M313="Paoquan F",171,IF(Atletas!M313="Piguaquan F",172,IF(Atletas!M313="Shaolinquan F",173,IF(Atletas!M313="Tanglangquan F",174,IF(Atletas!M313="Yingzhaoquan F",175,IF(Atletas!M313="Tongbeiquan F",176,IF(Atletas!M313="Wudangquan F",177,IF(Atletas!M313="Outros Estilos F",178,0))))))))))))))))))))))))))))))))))))))))))</f>
        <v/>
      </c>
      <c r="BU322" s="50" t="str">
        <f>IF(Atletas!N313="","",IF(Atletas!X313&lt;&gt;"",10000,0)+(IF(Atletas!B313="Feminino",1000,IF(Atletas!B313="Masculino",2000,""))+(IF(Atletas!N313="Ditangquan A",201,IF(Atletas!N313="Houquan A",202,IF(Atletas!N313="Zuiquan A",203,IF(Atletas!N313="Ditangquan B",204,IF(Atletas!N313="Houquan B",205,IF(Atletas!N313="Zuiquan B",206,IF(Atletas!N313="Ditangquan C",207,IF(Atletas!N313="Houquan C",208,IF(Atletas!N313="Zuiquan C",209,IF(Atletas!N313="Ditangquan D",210,IF(Atletas!N313="Houquan D",211,IF(Atletas!N313="Zuiquan D",212,IF(Atletas!N313="Ditangquan E",213,IF(Atletas!N313="Houquan E",214,IF(Atletas!N313="Zuiquan E",215,IF(Atletas!N313="Ditangquan F",216,IF(Atletas!N313="Houquan F",217,IF(Atletas!N313="Zuiquan F",218,"")))))))))))))))))))))</f>
        <v/>
      </c>
      <c r="BV322" s="50" t="str">
        <f>IF(Atletas!O313="","",IF(Atletas!X313&lt;&gt;"",10000,0)+IF(Atletas!B313="Feminino",1000,IF(Atletas!B313="Masculino",2000,""))+IF(Atletas!O313="Yang A",301,IF(Atletas!O313="Chen A",302,IF(Atletas!O313="Sun A",303,IF(Atletas!O313="Wu A",304,IF(Atletas!O313="Wu-Hao A",305,IF(Atletas!O313="Outro Taijiquan A",306,IF(Atletas!O313="Yang B",307,IF(Atletas!O313="Chen B",308,IF(Atletas!O313="Sun B",309,IF(Atletas!O313="Wu B",310,IF(Atletas!O313="Wu-Hao B",311,IF(Atletas!O313="Outro Taijiquan B",312,IF(Atletas!O313="Yang C",313,IF(Atletas!O313="Chen C",314,IF(Atletas!O313="Sun C",315,IF(Atletas!O313="Wu C",316,IF(Atletas!O313="Wu-Hao C",317,IF(Atletas!O313="Outro Taijiquan C",318,IF(Atletas!O313="Yang D",319,IF(Atletas!O313="Chen D",320,IF(Atletas!O313="Sun D",321,IF(Atletas!O313="Wu D",322,IF(Atletas!O313="Wu-Hao D",323,IF(Atletas!O313="Outro Taijiquan D",324,IF(Atletas!O313="Yang E",325,IF(Atletas!O313="Chen E",326,IF(Atletas!O313="Sun E",327,IF(Atletas!O313="Wu E",328,IF(Atletas!O313="Wu-Hao E",329,IF(Atletas!O313="Outro Taijiquan E",330,IF(Atletas!O313="Yang F",331,IF(Atletas!O313="Chen F",332,IF(Atletas!O313="Sun F",333,IF(Atletas!O313="Wu F",334,IF(Atletas!O313="Wu-Hao F",335,IF(Atletas!O313="Outro Taijiquan F",336,"")))))))))))))))))))))))))))))))))))))</f>
        <v/>
      </c>
      <c r="BW322" s="50" t="str">
        <f>IF(Atletas!P313="","",IF(Atletas!X313&lt;&gt;"",10000,0)+IF(Atletas!B313="Feminino",1000,IF(Atletas!B313="Masculino",2000,""))+IF(OR(Atletas!P313="Yang 26 A",Atletas!P313="Yang 40 A"),401,IF(OR(Atletas!P313="Chen 25 A",Atletas!P313="Chen 36 A",Atletas!P313="Chen 56 A"),402,IF(Atletas!P313="Sun 73 A",403,IF(Atletas!P313="Wu 45 A",404,IF(Atletas!P313="Wu-Hao 46 A",405,IF(OR(Atletas!P313="Taijiquan 16 A",Atletas!P313="Taijiquan 24 A",Atletas!P313="Taijiquan 32 A",Atletas!P313="Taijiquan 42 A"),406,IF(OR(Atletas!P313="Yang 26 B",Atletas!P313="Yang 40 B"),407,IF(OR(Atletas!P313="Chen 25 B",Atletas!P313="Chen 36 B",Atletas!P313="Chen 56 B"),408,IF(Atletas!P313="Sun 73 B",409,IF(Atletas!P313="Wu 45 B",410,IF(Atletas!P313="Wu-Hao 46 B",411,IF(OR(Atletas!P313="Taijiquan 16 B",Atletas!P313="Taijiquan 24 B",Atletas!P313="Taijiquan 32 B",Atletas!P313="Taijiquan 42 B"),412,IF(OR(Atletas!P313="Yang 26 C",Atletas!P313="Yang 40 C"),413,IF(OR(Atletas!P313="Chen 25 C",Atletas!P313="Chen 36 C",Atletas!P313="Chen 56 C"),414,IF(Atletas!P313="Sun 73 C",415,IF(Atletas!P313="Wu 45 C",416,IF(Atletas!P313="Wu-Hao 46 C",417,IF(OR(Atletas!P313="Taijiquan 16 C",Atletas!P313="Taijiquan 24 C",Atletas!P313="Taijiquan 32 C",Atletas!P313="Taijiquan 42 C"),418,0)))))))))))))))))))</f>
        <v/>
      </c>
      <c r="BX322" s="50" t="str">
        <f>IF(Atletas!P313="","",IF(Atletas!X313&lt;&gt;"",10000,0)+IF(Atletas!B313="Feminino",1000,IF(Atletas!B313="Masculino",2000,""))+IF(OR(Atletas!P313="Yang 26 D",Atletas!P313="Yang 40 D"),419,IF(OR(Atletas!P313="Chen 25 D",Atletas!P313="Chen 36 D",Atletas!P313="Chen 56 D"),420,IF(Atletas!P313="Sun 73 D",421,IF(Atletas!P313="Wu 45 D",422,IF(Atletas!P313="Wu-Hao 46 D",423,IF(OR(Atletas!P313="Taijiquan 16 D",Atletas!P313="Taijiquan 24 D",Atletas!P313="Taijiquan 32 D",Atletas!P313="Taijiquan 42 D"),424,IF(OR(Atletas!P313="Yang 26 E",Atletas!P313="Yang 40 E"),425,IF(OR(Atletas!P313="Chen 25 E",Atletas!P313="Chen 36 E",Atletas!P313="Chen 56 E"),426,IF(Atletas!P313="Sun 73 E",427,IF(Atletas!P313="Wu 45 E",428,IF(Atletas!P313="Wu-Hao 46 E",429,IF(OR(Atletas!P313="Taijiquan 16 E",Atletas!P313="Taijiquan 24 E",Atletas!P313="Taijiquan 32 E",Atletas!P313="Taijiquan 42 E"),430,IF(OR(Atletas!P313="Yang 26 F",Atletas!P313="Yang 40 F"),431,IF(OR(Atletas!P313="Chen 25 F",Atletas!P313="Chen 36 F",Atletas!P313="Chen 56 F"),432,IF(Atletas!P313="Sun 73 F",433,IF(Atletas!P313="Wu 45 F",434,IF(Atletas!P313="Wu-Hao 46 F",435,IF(OR(Atletas!P313="Taijiquan 16 F",Atletas!P313="Taijiquan 24 F",Atletas!P313="Taijiquan 32 F",Atletas!P313="Taijiquan 42 F"),436,0)))))))))))))))))))</f>
        <v/>
      </c>
      <c r="BY322" s="50" t="str">
        <f>IF(Atletas!Q313="","",IF(Atletas!X313&lt;&gt;"",10000,0)+IF(Atletas!B313="Feminino",1000,IF(Atletas!B313="Masculino",2000,""))+IF(Atletas!Q313="Xingyiquan A",501,IF(Atletas!Q313="Baguazhang A",502,IF(Atletas!Q313="Outro Estilo Interno A",503,IF(Atletas!Q313="Xingyiquan B",504,IF(Atletas!Q313="Baguazhang B",505,IF(Atletas!Q313="Outro Estilo Interno B",506,IF(Atletas!Q313="Xingyiquan C",507,IF(Atletas!Q313="Baguazhang C",508,IF(Atletas!Q313="Outro Estilo Interno C",509,IF(Atletas!Q313="Xingyiquan D",510,IF(Atletas!Q313="Baguazhang D",511,IF(Atletas!Q313="Outro Estilo Interno D",512,IF(Atletas!Q313="Xingyiquan E",513,IF(Atletas!Q313="Baguazhang E",514,IF(Atletas!Q313="Outro Estilo Interno E",515,IF(Atletas!Q313="Xingyiquan F",516,IF(Atletas!Q313="Baguazhang F",517,IF(Atletas!Q313="Outro Estilo Interno F",518, "")))))))))))))))))))</f>
        <v/>
      </c>
      <c r="BZ322" s="50" t="str">
        <f>IF(Atletas!R313="","",IF(Atletas!X313&lt;&gt;"",10000,0)+IF(Atletas!B313="Feminino",1000,IF(Atletas!B313="Masculino",2000,""))+IF(Atletas!R313="Dao A",601,IF(Atletas!R313="Jian A",602,IF(Atletas!R313="Bishou A",603,IF(Atletas!R313="Shanzi A",604,IF(Atletas!R313="Outra Arma Curta A",605,IF(Atletas!R313="Dao B",606,IF(Atletas!R313="Jian B",607,IF(Atletas!R313="Bishou B",608,IF(Atletas!R313="Shanzi B",609,IF(Atletas!R313="Outra Arma Curta B",610,IF(Atletas!R313="Dao C",611,IF(Atletas!R313="Jian C",612,IF(Atletas!R313="Bishou C",613,IF(Atletas!R313="Shanzi C",614,IF(Atletas!R313="Outra Arma Curta C",615,IF(Atletas!R313="Dao D",616,IF(Atletas!R313="Jian D",617,IF(Atletas!R313="Bishou D",618,IF(Atletas!R313="Shanzi D",619,IF(Atletas!R313="Outra Arma Curta D",620,IF(Atletas!R313="Dao E",621,IF(Atletas!R313="Jian E",622,IF(Atletas!R313="Bishou E",623,IF(Atletas!R313="Shanzi E",624,IF(Atletas!R313="Outra Arma Curta E",625,IF(Atletas!R313="Dao F",626,IF(Atletas!R313="Jian F",627,IF(Atletas!R313="Bishou F",628,IF(Atletas!R313="Shanzi F",629,IF(Atletas!R313="Outra Arma Curta F",630, "")))))))))))))))))))))))))))))))</f>
        <v/>
      </c>
      <c r="CA322" s="50" t="str">
        <f>IF(Atletas!S313="","",IF(Atletas!X313&lt;&gt;"",10000,0)+IF(Atletas!B313="Feminino",1000,IF(Atletas!B313="Masculino",2000,""))+IF(Atletas!S313="Gun A",701,IF(Atletas!S313="Qiang A",702,IF(Atletas!S313="Pudao / Guandao A",703,IF(Atletas!S313="Outra Arma Longa A",704,IF(Atletas!S313="Gun B",705,IF(Atletas!S313="Qiang B",706,IF(Atletas!S313="Pudao / Guandao B",707,IF(Atletas!S313="Outra Arma Longa B",708,IF(Atletas!S313="Gun C",709,IF(Atletas!S313="Qiang C",710,IF(Atletas!S313="Pudao / Guandao C",711,IF(Atletas!S313="Outra Arma Longa C",712,IF(Atletas!S313="Gun D",713,IF(Atletas!S313="Qiang D",714,IF(Atletas!S313="Pudao / Guandao D",715,IF(Atletas!S313="Outra Arma Longa D",716,IF(Atletas!S313="Gun E",717,IF(Atletas!S313="Qiang E",718,IF(Atletas!S313="Pudao / Guandao E",719,IF(Atletas!S313="Outra Arma Longa E",720,IF(Atletas!S313="Gun F",721,IF(Atletas!S313="Qiang F",722,IF(Atletas!S313="Pudao / Guandao F",723,IF(Atletas!S313="Outra Arma Longa F",724,"")))))))))))))))))))))))))</f>
        <v/>
      </c>
      <c r="CB322" s="50" t="str">
        <f>IF(Atletas!T313="","",IF(Atletas!X313&lt;&gt;"",10000,0)+IF(Atletas!B313="Feminino",1000,IF(Atletas!B313="Masculino",2000,""))+IF(Atletas!T313="Outra Arma Dupla A",801,IF(Atletas!T313="Arma Maleável A",802,IF(Atletas!T313="Outra Arma Dupla B",803,IF(Atletas!T313="Arma Maleável B",804,IF(Atletas!T313="Outra Arma Dupla C",805,IF(Atletas!T313="Arma Maleável C",806,IF(Atletas!T313="Outra Arma Dupla D",807,IF(Atletas!T313="Arma Maleável D",808,IF(Atletas!T313="Outra Arma Dupla E",809,IF(Atletas!T313="Arma Maleável E",810,IF(Atletas!T313="Outra Arma Dupla F",811,IF(Atletas!T313="Arma Maleável F",812,IF(Atletas!T313="Shuangdao A",813,IF(Atletas!T313="Shuangdao B",814,IF(Atletas!T313="Shuangdao C",815,IF(Atletas!T313="Shuangdao D",816,IF(Atletas!T313="Shuangdao E",817,IF(Atletas!T313="Shuangdao F",818,"")))))))))))))))))))</f>
        <v/>
      </c>
      <c r="CC322" s="50" t="str">
        <f>IF(Atletas!U313="","",IF(Atletas!X313&lt;&gt;"",10000,0)+IF(Atletas!B313="Feminino",1000,IF(Atletas!B313="Masculino",2000,""))+IF(OR(Atletas!U313="Taijijian Yang A",Atletas!U313="Taijijian Yang Standard A"),901,IF(OR(Atletas!U313="Taijijian Chen A", Atletas!U313="Taijijian Chen Standard A"),902,IF(Atletas!U313="Taijijian Sun A",903,IF(Atletas!U313="Taijijian Wu A",904,IF(Atletas!U313="Taijijian Wu-Hao A",905,IF(OR(Atletas!U313="Taijijian 32 A",Atletas!U313="Taijijian 42 A"),906,IF(OR(Atletas!U313="Taijijian Yang B",Atletas!U313="Taijijian Yang Standard B"),907,IF(OR(Atletas!U313="Taijijian Chen B", Atletas!U313="Taijijian Chen Standard B"),908,IF(Atletas!U313="Taijijian Sun B",909,IF(Atletas!U313="Taijijian Wu B",910,IF(Atletas!U313="Taijijian Wu-Hao B",911,IF(OR(Atletas!U313="Taijijian 32 B",Atletas!U313="Taijijian 42 B"),912,IF(OR(Atletas!U313="Taijijian Yang C",Atletas!U313="Taijijian Yang Standard C"),913,IF(OR(Atletas!U313="Taijijian Chen C", Atletas!U313="Taijijian Chen Standard C"),914,IF(Atletas!U313="Taijijian Sun C",915,IF(Atletas!U313="Taijijian Wu C",916,IF(Atletas!U313="Taijijian Wu-Hao C",917,IF(OR(Atletas!U313="Taijijian 32 C",Atletas!U313="Taijijian 42 C"),918,IF(OR(Atletas!U313="Taijijian Yang D",Atletas!U313="Taijijian Yang Standard D"),919,IF(OR(Atletas!U313="Taijijian Chen D", Atletas!U313="Taijijian Chen Standard D"),920,IF(Atletas!U313="Taijijian Sun D",921,IF(Atletas!U313="Taijijian Wu D",922,IF(Atletas!U313="Taijijian Wu-Hao D",923,IF(OR(Atletas!U313="Taijijian 32 D",Atletas!U313="Taijijian 42 D"),924,IF(OR(Atletas!U313="Taijijian Yang E",Atletas!U313="Taijijian Yang Standard E"),925,IF(OR(Atletas!U313="Taijijian Chen E", Atletas!U313="Taijijian Chen Standard E"),926,IF(Atletas!U313="Taijijian Sun E",927,IF(Atletas!U313="Taijijian Wu E",928,IF(Atletas!U313="Taijijian Wu-Hao E",929,IF(OR(Atletas!U313="Taijijian 32 E",Atletas!U313="Taijijian 42 E"),930,IF(OR(Atletas!U313="Taijijian Yang F",Atletas!U313="Taijijian Yang Standard F"),931,IF(OR(Atletas!U313="Taijijian Chen F", Atletas!U313="Taijijian Chen Standard F"),932,IF(Atletas!U313="Taijijian Sun F",933,IF(Atletas!U313="Taijijian Wu F",934,IF(Atletas!U313="Taijijian Wu-Hao F",935,IF(OR(Atletas!U313="Taijijian 32 F",Atletas!U313="Taijijian 42 F"),936,"")))))))))))))))))))))))))))))))))))))</f>
        <v/>
      </c>
      <c r="CD322" s="50" t="str">
        <f>IF(Atletas!V313="","",IF(Atletas!X313&lt;&gt;"",10000,0)+IF(Atletas!B313="Feminino",1000,IF(Atletas!B313="Masculino",2000,""))+IF(Atletas!V313="Taijidao A",937,IF(Atletas!V313="TaijiShanzi A",938,IF(Atletas!V313="Taijiqiang A",939,IF(Atletas!V313="Bagua de Arma A",940,IF(Atletas!V313="Xingyi de Arma A",941,IF(Atletas!V313="Taijidao B",942,IF(Atletas!V313="TaijiShanzi B",943,IF(Atletas!V313="Taijiqiang B",944,IF(Atletas!V313="Bagua de Arma B",945,IF(Atletas!V313="Xingyi de Arma B",946,IF(Atletas!V313="Taijidao C",947,IF(Atletas!V313="TaijiShanzi C",948,IF(Atletas!V313="Taijiqiang C",949,IF(Atletas!V313="Bagua de Arma C",950,IF(Atletas!V313="Xingyi de Arma C",951,IF(Atletas!V313="Taijidao D",952,IF(Atletas!V313="TaijiShanzi D",953,IF(Atletas!V313="Taijiqiang D",954,IF(Atletas!V313="Bagua de Arma D",955,IF(Atletas!V313="Xingyi de Arma D",956,IF(Atletas!V313="Taijidao E",957,IF(Atletas!V313="TaijiShanzi E",958,IF(Atletas!V313="Taijiqiang E",959,IF(Atletas!V313="Bagua de Arma E",960,IF(Atletas!V313="Xingyi de Arma E",961,IF(Atletas!V313="Taijidao F",962,IF(Atletas!V313="TaijiShanzi F",963,IF(Atletas!V313="Taijiqiang F",964,IF(Atletas!V313="Bagua de Arma F",965,IF(Atletas!V313="Xingyi de Arma F",966,"")))))))))))))))))))))))))))))))</f>
        <v/>
      </c>
      <c r="CE322" s="66" t="str">
        <f>IF(CF322&lt;&gt;"","Taijijian Wu D","")</f>
        <v/>
      </c>
      <c r="CF322" s="6" t="str">
        <f>IF(COUNTIF(BR:CD,1922)&gt;0,COUNTIF(BR:CD,1922),"")</f>
        <v/>
      </c>
      <c r="CG322" s="66" t="str">
        <f>IF(CH322&lt;&gt;"","Taijijian Wu D","")</f>
        <v/>
      </c>
      <c r="CH322" s="66" t="str">
        <f>IF(COUNTIF(BR:CD,2922)&gt;0,COUNTIF(BR:CD,2922),"")</f>
        <v/>
      </c>
      <c r="CI322" s="66" t="str">
        <f>IF(CJ323&lt;&gt;"","Taijijian Wu-Hao F","")</f>
        <v/>
      </c>
      <c r="CJ322" s="66" t="str">
        <f>IF(COUNTIF(BR:CD,11934)&gt;0,COUNTIF(BR:CD,11934),"")</f>
        <v/>
      </c>
      <c r="CK322" s="66" t="str">
        <f>IF(CL322&lt;&gt;"","Taijijian Wu F","")</f>
        <v/>
      </c>
      <c r="CL322" s="66" t="str">
        <f>IF(COUNTIF(BR:CD,12934)&gt;0,COUNTIF(BR:CD,12934),"")</f>
        <v/>
      </c>
      <c r="CM322" s="50" t="str">
        <f xml:space="preserve"> IF(Atletas!W313="","",IF(Atletas!W313="Duilian de Mãos BC - Equipe 1",1,IF(Atletas!W313="Duilian de Mãos BC - Equipe 2",2,IF(Atletas!W313="Duilian de Armas BC - Equipe 1",3,IF(Atletas!W313="Duilian de Armas BC - Equipe 2",4,IF(Atletas!W313="Duilian de Mãos DE - Equipe 1",5,IF(Atletas!W313="Duilian de Mãos DE - Equipe 2",6,IF(Atletas!W313="Duilian de Armas DE - Equipe 1",7,IF(Atletas!W313="Duilian de Armas DE - Equipe 2",8,IF(Atletas!W313="Duilian de Tuishou - Equipe 1",9,IF(Atletas!W313="Duilian de Tuishou - Equipe 2",10,IF(Atletas!W313="Grupo Externo ABC - Equipe 1",11,IF(Atletas!W313="Grupo Externo ABC - Equipe 2",12,IF(Atletas!W313="Grupo Interno ABC - Equipe 1",13,IF(Atletas!W313="Grupo Interno ABC - Equipe 2",14,IF(Atletas!W313="Grupo Externo DEF - Equipe 1",15,IF(Atletas!W313="Grupo Externo DEF - Equipe 2",16,IF(Atletas!W313="Grupo Interno DEF - Equipe 1",17,IF(Atletas!W313="Grupo Interno DEF - Equipe 2",18,"")))))))))))))))))))</f>
        <v/>
      </c>
    </row>
    <row r="323" spans="40:91">
      <c r="AN323" s="52" t="str">
        <f>IF(Atletas!D314="","",IF(Atletas!B314="Feminino",100,IF(Atletas!B314="Masculino",200,""))+(IF(Atletas!D314="Kids 30kg",1,IF(Atletas!D314="Kids 32kg",2, IF(Atletas!D314="Kids 34kg",3,IF(Atletas!D314="Kids 36kg",4,IF(Atletas!D314="Kids 39kg",5,IF(Atletas!D314="Kids 42kg",6,IF(Atletas!D314="Kids 45kg",7, IF(Atletas!D314="Infantil 39kg",8,IF(Atletas!D314="Infantil 42kg",9,IF(Atletas!D314="Infantil 45kg",10,IF(Atletas!D314="Infantil 48kg",11,IF(Atletas!D314="Infantil 52kg",12,IF(Atletas!D314="Infantil 56kg",13,IF(Atletas!D314="Infantil 60kg",14,IF(Atletas!D314="Juvenil 48kg",15,IF(Atletas!D314="Juvenil 52kg",16,IF(Atletas!D314="Juvenil 56kg",17,IF(Atletas!D314="Juvenil 60kg",18,IF(Atletas!D314="Juvenil 65kg",19,IF(Atletas!D314="Juvenil 70kg",20,IF(Atletas!D314="Juvenil 75kg",21,IF(Atletas!D314="Juvenil 80kg",22, IF(Atletas!D314="Juvenil 85kg",23,IF(Atletas!D314="Adulto 48kg",24,IF(Atletas!D314="Adulto 52kg",25,IF(Atletas!D314="Adulto 56kg",26,IF(Atletas!D314="Adulto 60kg",27,IF(Atletas!D314="Adulto 65kg",28,IF(Atletas!D314="Adulto 70kg",29,IF(Atletas!D314="Adulto 75kg",30,IF(Atletas!D314="Adulto 80kg",31,IF(Atletas!D314="Adulto 85kg",32,IF(Atletas!D314="Adulto 90kg",33,IF(Atletas!D314="Adulto 100kg",34, IF(Atletas!D314="Adulto +100kg",35,"")))))))))))))))))))))))))))))))))))))</f>
        <v/>
      </c>
      <c r="AS323" s="6" t="str">
        <f>IF(Atletas!E314="","",IF(Atletas!B314="Feminino",100,IF(Atletas!B314="Masculino",200,""))+(IF(Atletas!E314="Juvenil 44kg",1,IF(Atletas!E314="Juvenil 48kg",2,IF(Atletas!E314="Juvenil 52kg",3,IF(Atletas!E314="Juvenil 56kg",4,IF(Atletas!E314="Juvenil 60kg",5,IF(Atletas!E314="Juvenil 65kg",6,IF(Atletas!E314="Juvenil 70kg",7,IF(Atletas!E314="Juvenil 75kg",8,IF(Atletas!E314="Juvenil 82kg",9,IF(Atletas!E314="Juvenil 90kg",10,IF(Atletas!E314="Juvenil 100kg",11,IF(Atletas!E314="Adulto 48kg",12,IF(Atletas!E314="Adulto 52kg",13,IF(Atletas!E314="Adulto 56kg",14,IF(Atletas!E314="Adulto 60kg",15,IF(Atletas!E314="Adulto 65kg",16,IF(Atletas!E314="Adulto 70kg",17,IF(Atletas!E314="Adulto 75kg",18,IF(Atletas!E314="Adulto 82kg",19,IF(Atletas!E314="Adulto 90kg",20,IF(Atletas!E314="Adulto 100kg",21,IF(Atletas!E314="Adulto +100kg",22,""))))))))))))))))))))))))</f>
        <v/>
      </c>
      <c r="AX323" s="6" t="str">
        <f>IF(Atletas!F314="","",IF(Atletas!B314="Feminino",100,IF(Atletas!B314="Masculino",200,""))+(IF(Atletas!F314="Adulto 48kg",1,IF(Atletas!F314="Adulto 56kg",2,IF(Atletas!F314="Adulto 65kg",3,IF(Atletas!F314="Adulto 75kg",4,IF(Atletas!F314="Adulto +75kg",5,IF(Atletas!F314="Adulto 52kg",6,IF(Atletas!F314="Adulto 60kg",7,IF(Atletas!F314="Adulto 70kg",8,IF(Atletas!F314="Adulto 80kg",9,IF(Atletas!F314="Adulto 90kg",10,IF(Atletas!F314="Adulto +90kg",11,"")))))))))))))</f>
        <v/>
      </c>
      <c r="BC323" s="6" t="str">
        <f>IF(Atletas!G314="","",IF(Atletas!B314="Feminino",10,IF(Atletas!B314="Masculino",20,""))+(IF(Atletas!G314="Baduanjin A",1,IF(Atletas!G314="Baduanjin B",2))))</f>
        <v/>
      </c>
      <c r="BF323" s="52" t="str">
        <f>IF(Atletas!H314="","",IF(Atletas!B314="Feminino",100,IF(Atletas!B314="Masculino",200,""))+(IF(Atletas!H314="Changquan Mirim",1,IF(Atletas!H314="Nanquan Mirim",2,IF(Atletas!H314="Taijiquan Mirim",3,IF(Atletas!H314="Changquan Grupo C",4,IF(Atletas!H314="Nanquan Grupo C",5,IF(Atletas!H314="Taijiquan Grupo C",6,IF(Atletas!H314="Changquan Grupo B",7,IF(Atletas!H314="Nanquan Grupo B",8,IF(Atletas!H314="Taijiquan Grupo B",9,IF(Atletas!H314="Changquan Grupo A",10,IF(Atletas!H314="Nanquan Grupo A",11,IF(Atletas!H314="Taijiquan Grupo A",12,IF(Atletas!H314="Changquan Opcional",13,IF(Atletas!H314="Nanquan Opcional",14,IF(Atletas!H314="Taijiquan Opcional",15,IF(Atletas!H314="Changquan Adulto",16,IF(Atletas!H314="Nanquan Adulto",17,IF(Atletas!H314="Taijiquan Adulto",18,""))))))))))))))))))))</f>
        <v/>
      </c>
      <c r="BG323" s="52" t="str">
        <f>IF(Atletas!I314="","",IF(Atletas!B314="Feminino",100,IF(Atletas!B314="Masculino",200,""))+(IF(Atletas!I314="Daoshu Mirim",19,IF(Atletas!I314="Jianshu Mirim",20,IF(Atletas!I314="Nandao Mirim",21,IF(Atletas!I314="Taijijian Mirim",22,IF(Atletas!I314="Daoshu Grupo C",23,IF(Atletas!I314="Jianshu Grupo C",24,IF(Atletas!I314="Nandao Grupo C",25,IF(Atletas!I314="Taijijian Grupo C",26,IF(Atletas!I314="Daoshu Grupo B",27,IF(Atletas!I314="Jianshu Grupo B",28,IF(Atletas!I314="Nandao Grupo B",29,IF(Atletas!I314="Taijijian Grupo B",30,IF(Atletas!I314="Daoshu Grupo A",31,IF(Atletas!I314="Jianshu Grupo A",32,IF(Atletas!I314="Nandao Grupo A",33,IF(Atletas!I314="Taijijian Grupo A",34,IF(Atletas!I314="Daoshu Opcional",35,IF(Atletas!I314="Jianshu Opcional",36,IF(Atletas!I314="Nandao Opcional",37,IF(Atletas!I314="Taijijian Opcional",38,IF(Atletas!I314="Daoshu Adulto",39,IF(Atletas!I314="Jianshu Adulto",40,IF(Atletas!I314="Nandao Adulto",41,IF(Atletas!I314="Taijijian Adulto",42,""))))))))))))))))))))))))))</f>
        <v/>
      </c>
      <c r="BH323" s="52" t="str">
        <f>IF(Atletas!J314="","",IF(Atletas!B314="Feminino",100,IF(Atletas!B314="Masculino",200,""))+(IF(Atletas!J314="Gunshu Mirim",43,IF(Atletas!J314="Qiangshu Mirim",44,IF(Atletas!J314="Nangun Mirim",45,IF(Atletas!J314="Gunshu Grupo C",46,IF(Atletas!J314="Qiangshu Grupo C",47,IF(Atletas!J314="Nangun Grupo C",48,IF(Atletas!J314="Gunshu Grupo B",49,IF(Atletas!J314="Qiangshu Grupo B",50,IF(Atletas!J314="Nangun Grupo B",51,IF(Atletas!J314="Gunshu Grupo A",52,IF(Atletas!J314="Qiangshu Grupo A",53,IF(Atletas!J314="Nangun Grupo A",54,IF(Atletas!J314="Gunshu Opcional",55,IF(Atletas!J314="Qiangshu Opcional",56,IF(Atletas!J314="Nangun Opcional",57,IF(Atletas!J314="Gunshu Adulto",58,IF(Atletas!J314="Qiangshu Adulto",59,IF(Atletas!J314="Nangun Adulto",60,IF(Atletas!J314="Taijishan Grupo B",61,IF(Atletas!J314="Taijishan Grupo A",62,""))))))))))))))))))))))</f>
        <v/>
      </c>
      <c r="BM323" s="50" t="str">
        <f>IF(Atletas!K314="","",IF(Atletas!B314="Feminino",100,IF(Atletas!B314="Masculino",200,""))+(IF(Atletas!K314="Equipe 1 Grupo B",1,IF(Atletas!K314="Equipe 2 Grupo B",2,IF(Atletas!K314="Equipe 1 Grupo A",3,IF(Atletas!K314="Equipe 2 Grupo A",4,IF(Atletas!K314="Equipe 1 Adulto",5,IF(Atletas!K314="Equipe 2 Adulto",6,""))))))))</f>
        <v/>
      </c>
      <c r="BR323" s="50" t="str">
        <f>IF(Atletas!L314="","",IF(Atletas!X314&lt;&gt;"",10000,0)+(IF(Atletas!B314="Feminino",1000,IF(Atletas!B314="Masculino",2000,""))+IF(Atletas!L314="Choylayfut A",1,IF(Atletas!L314="Hunggar A",2,IF(Atletas!L314="Wuzuquan A",3,IF(Atletas!L314="Wingchun A",4,IF(Atletas!L314="Outra Mão de Sul A",5,IF(Atletas!L314="Choylayfut B",6,IF(Atletas!L314="Hunggar B",7,IF(Atletas!L314="Wuzuquan B",8,IF(Atletas!L314="Wingchun B",9,IF(Atletas!L314="Outra Mão de Sul B",10,IF(Atletas!L314="Choylayfut C",11,IF(Atletas!L314="Hunggar C",12,IF(Atletas!L314="Wuzuquan C",13,IF(Atletas!L314="Wingchun C",14,IF(Atletas!L314="Outra Mão de Sul C",15,IF(Atletas!L314="Choylayfut D",16,IF(Atletas!L314="Hunggar D",17,IF(Atletas!L314="Wuzuquan D",18,IF(Atletas!L314="Wingchun D",19,IF(Atletas!L314="Outra Mão de Sul D",20,IF(Atletas!L314="Choylayfut E",21,IF(Atletas!L314="Hunggar E",22,IF(Atletas!L314="Wuzuquan E",23,IF(Atletas!L314="Wingchun E",24,IF(Atletas!L314="Outra Mão de Sul E",25,IF(Atletas!L314="Choylayfut F",26,IF(Atletas!L314="Hunggar F",27,IF(Atletas!L314="Wuzuquan F",28,IF(Atletas!L314="Wingchun F",29,IF(Atletas!L314="Outra Mão de Sul F",30,IF(Atletas!L314="Dishuquan A",31,IF(Atletas!L314="Dishuquan B",32,IF(Atletas!L314="Dishuquan C",33,IF(Atletas!L314="Dishuquan D",34,IF(Atletas!L314="Dishuquan E",35,IF(Atletas!L314="Dishuquan F",36,""))))))))))))))))))))))))))))))))))))))</f>
        <v/>
      </c>
      <c r="BS323" s="50" t="str">
        <f>IF(Atletas!M314="","",IF(Atletas!X314&lt;&gt;"",10000,0)+(IF(Atletas!B314="Feminino",1000,IF(Atletas!B314="Masculino",2000,""))+(IF(Atletas!M314="Chaquan A",101,IF(Atletas!M314="Emeiquan A",102,IF(Atletas!M314="Fanziquan A",103,IF(Atletas!M314="Huaquan A",104,IF(Atletas!M314="Hongquan A",105,IF(Atletas!M314="Paoquan A",106,IF(Atletas!M314="Piguaquan A",107,IF(Atletas!M314="Shaolinquan A",108,IF(Atletas!M314="Tanglangquan A",109,IF(Atletas!M314="Yingzhaoquan A",110,IF(Atletas!M314="Tongbeiquan A",111,IF(Atletas!M314="Wudangquan A",112,IF(Atletas!M314="Outros Estilos A",113,IF(Atletas!M314="Chaquan B",114,IF(Atletas!M314="Emeiquan B",115,IF(Atletas!M314="Fanziquan B",116,IF(Atletas!M314="Huaquan B",117,IF(Atletas!M314="Hongquan B",118,IF(Atletas!M314="Paoquan B",119,IF(Atletas!M314="Piguaquan B",120,IF(Atletas!M314="Shaolinquan B",121,IF(Atletas!M314="Tanglangquan B",122,IF(Atletas!M314="Yingzhaoquan B",123,IF(Atletas!M314="Tongbeiquan B",124,IF(Atletas!M314="Wudangquan B",125,IF(Atletas!M314="Outros Estilos B",126,IF(Atletas!M314="Chaquan C",127,IF(Atletas!M314="Emeiquan C",128,IF(Atletas!M314="Fanziquan C",129,IF(Atletas!M314="Huaquan C",130,IF(Atletas!M314="Hongquan C",131,IF(Atletas!M314="Paoquan C",132,IF(Atletas!M314="Piguaquan C",133,IF(Atletas!M314="Shaolinquan C",134,IF(Atletas!M314="Tanglangquan C",135,IF(Atletas!M314="Yingzhaoquan C",136,IF(Atletas!M314="Tongbeiquan C",137,IF(Atletas!M314="Wudangquan C",138,IF(Atletas!M314="Outros Estilos C",139,0))))))))))))))))))))))))))))))))))))))))))</f>
        <v/>
      </c>
      <c r="BT323" s="50" t="str">
        <f>IF(Atletas!M314="","",IF(Atletas!X314&lt;&gt;"",10000,0)+(IF(Atletas!B314="Feminino",1000,IF(Atletas!B314="Masculino",2000,""))+(IF(Atletas!M314="Chaquan D",140,IF(Atletas!M314="Emeiquan D",141,IF(Atletas!M314="Fanziquan D",142,IF(Atletas!M314="Huaquan D",143,IF(Atletas!M314="Hongquan D",144,IF(Atletas!M314="Paoquan D",145,IF(Atletas!M314="Piguaquan D",146,IF(Atletas!M314="Shaolinquan D",147,IF(Atletas!M314="Tanglangquan D",148,IF(Atletas!M314="Yingzhaoquan D",149,IF(Atletas!M314="Tongbeiquan D",150,IF(Atletas!M314="Wudangquan D",151,IF(Atletas!M314="Outros Estilos D",152,IF(Atletas!M314="Chaquan E",153,IF(Atletas!M314="Emeiquan E",154,IF(Atletas!M314="Fanziquan E",155,IF(Atletas!M314="Huaquan E",156,IF(Atletas!M314="Hongquan E",157,IF(Atletas!M314="Paoquan E",158,IF(Atletas!M314="Piguaquan E",159,IF(Atletas!M314="Shaolinquan E",160,IF(Atletas!M314="Tanglangquan E",161,IF(Atletas!M314="Yingzhaoquan E",162,IF(Atletas!M314="Tongbeiquan E",163,IF(Atletas!M314="Wudangquan E",164,IF(Atletas!M314="Outros Estilos E",165,IF(Atletas!M314="Chaquan F",166,IF(Atletas!M314="Emeiquan F",167,IF(Atletas!M314="Fanziquan F",168,IF(Atletas!M314="Huaquan F",169,IF(Atletas!M314="Hongquan F",170,IF(Atletas!M314="Paoquan F",171,IF(Atletas!M314="Piguaquan F",172,IF(Atletas!M314="Shaolinquan F",173,IF(Atletas!M314="Tanglangquan F",174,IF(Atletas!M314="Yingzhaoquan F",175,IF(Atletas!M314="Tongbeiquan F",176,IF(Atletas!M314="Wudangquan F",177,IF(Atletas!M314="Outros Estilos F",178,0))))))))))))))))))))))))))))))))))))))))))</f>
        <v/>
      </c>
      <c r="BU323" s="50" t="str">
        <f>IF(Atletas!N314="","",IF(Atletas!X314&lt;&gt;"",10000,0)+(IF(Atletas!B314="Feminino",1000,IF(Atletas!B314="Masculino",2000,""))+(IF(Atletas!N314="Ditangquan A",201,IF(Atletas!N314="Houquan A",202,IF(Atletas!N314="Zuiquan A",203,IF(Atletas!N314="Ditangquan B",204,IF(Atletas!N314="Houquan B",205,IF(Atletas!N314="Zuiquan B",206,IF(Atletas!N314="Ditangquan C",207,IF(Atletas!N314="Houquan C",208,IF(Atletas!N314="Zuiquan C",209,IF(Atletas!N314="Ditangquan D",210,IF(Atletas!N314="Houquan D",211,IF(Atletas!N314="Zuiquan D",212,IF(Atletas!N314="Ditangquan E",213,IF(Atletas!N314="Houquan E",214,IF(Atletas!N314="Zuiquan E",215,IF(Atletas!N314="Ditangquan F",216,IF(Atletas!N314="Houquan F",217,IF(Atletas!N314="Zuiquan F",218,"")))))))))))))))))))))</f>
        <v/>
      </c>
      <c r="BV323" s="50" t="str">
        <f>IF(Atletas!O314="","",IF(Atletas!X314&lt;&gt;"",10000,0)+IF(Atletas!B314="Feminino",1000,IF(Atletas!B314="Masculino",2000,""))+IF(Atletas!O314="Yang A",301,IF(Atletas!O314="Chen A",302,IF(Atletas!O314="Sun A",303,IF(Atletas!O314="Wu A",304,IF(Atletas!O314="Wu-Hao A",305,IF(Atletas!O314="Outro Taijiquan A",306,IF(Atletas!O314="Yang B",307,IF(Atletas!O314="Chen B",308,IF(Atletas!O314="Sun B",309,IF(Atletas!O314="Wu B",310,IF(Atletas!O314="Wu-Hao B",311,IF(Atletas!O314="Outro Taijiquan B",312,IF(Atletas!O314="Yang C",313,IF(Atletas!O314="Chen C",314,IF(Atletas!O314="Sun C",315,IF(Atletas!O314="Wu C",316,IF(Atletas!O314="Wu-Hao C",317,IF(Atletas!O314="Outro Taijiquan C",318,IF(Atletas!O314="Yang D",319,IF(Atletas!O314="Chen D",320,IF(Atletas!O314="Sun D",321,IF(Atletas!O314="Wu D",322,IF(Atletas!O314="Wu-Hao D",323,IF(Atletas!O314="Outro Taijiquan D",324,IF(Atletas!O314="Yang E",325,IF(Atletas!O314="Chen E",326,IF(Atletas!O314="Sun E",327,IF(Atletas!O314="Wu E",328,IF(Atletas!O314="Wu-Hao E",329,IF(Atletas!O314="Outro Taijiquan E",330,IF(Atletas!O314="Yang F",331,IF(Atletas!O314="Chen F",332,IF(Atletas!O314="Sun F",333,IF(Atletas!O314="Wu F",334,IF(Atletas!O314="Wu-Hao F",335,IF(Atletas!O314="Outro Taijiquan F",336,"")))))))))))))))))))))))))))))))))))))</f>
        <v/>
      </c>
      <c r="BW323" s="50" t="str">
        <f>IF(Atletas!P314="","",IF(Atletas!X314&lt;&gt;"",10000,0)+IF(Atletas!B314="Feminino",1000,IF(Atletas!B314="Masculino",2000,""))+IF(OR(Atletas!P314="Yang 26 A",Atletas!P314="Yang 40 A"),401,IF(OR(Atletas!P314="Chen 25 A",Atletas!P314="Chen 36 A",Atletas!P314="Chen 56 A"),402,IF(Atletas!P314="Sun 73 A",403,IF(Atletas!P314="Wu 45 A",404,IF(Atletas!P314="Wu-Hao 46 A",405,IF(OR(Atletas!P314="Taijiquan 16 A",Atletas!P314="Taijiquan 24 A",Atletas!P314="Taijiquan 32 A",Atletas!P314="Taijiquan 42 A"),406,IF(OR(Atletas!P314="Yang 26 B",Atletas!P314="Yang 40 B"),407,IF(OR(Atletas!P314="Chen 25 B",Atletas!P314="Chen 36 B",Atletas!P314="Chen 56 B"),408,IF(Atletas!P314="Sun 73 B",409,IF(Atletas!P314="Wu 45 B",410,IF(Atletas!P314="Wu-Hao 46 B",411,IF(OR(Atletas!P314="Taijiquan 16 B",Atletas!P314="Taijiquan 24 B",Atletas!P314="Taijiquan 32 B",Atletas!P314="Taijiquan 42 B"),412,IF(OR(Atletas!P314="Yang 26 C",Atletas!P314="Yang 40 C"),413,IF(OR(Atletas!P314="Chen 25 C",Atletas!P314="Chen 36 C",Atletas!P314="Chen 56 C"),414,IF(Atletas!P314="Sun 73 C",415,IF(Atletas!P314="Wu 45 C",416,IF(Atletas!P314="Wu-Hao 46 C",417,IF(OR(Atletas!P314="Taijiquan 16 C",Atletas!P314="Taijiquan 24 C",Atletas!P314="Taijiquan 32 C",Atletas!P314="Taijiquan 42 C"),418,0)))))))))))))))))))</f>
        <v/>
      </c>
      <c r="BX323" s="50" t="str">
        <f>IF(Atletas!P314="","",IF(Atletas!X314&lt;&gt;"",10000,0)+IF(Atletas!B314="Feminino",1000,IF(Atletas!B314="Masculino",2000,""))+IF(OR(Atletas!P314="Yang 26 D",Atletas!P314="Yang 40 D"),419,IF(OR(Atletas!P314="Chen 25 D",Atletas!P314="Chen 36 D",Atletas!P314="Chen 56 D"),420,IF(Atletas!P314="Sun 73 D",421,IF(Atletas!P314="Wu 45 D",422,IF(Atletas!P314="Wu-Hao 46 D",423,IF(OR(Atletas!P314="Taijiquan 16 D",Atletas!P314="Taijiquan 24 D",Atletas!P314="Taijiquan 32 D",Atletas!P314="Taijiquan 42 D"),424,IF(OR(Atletas!P314="Yang 26 E",Atletas!P314="Yang 40 E"),425,IF(OR(Atletas!P314="Chen 25 E",Atletas!P314="Chen 36 E",Atletas!P314="Chen 56 E"),426,IF(Atletas!P314="Sun 73 E",427,IF(Atletas!P314="Wu 45 E",428,IF(Atletas!P314="Wu-Hao 46 E",429,IF(OR(Atletas!P314="Taijiquan 16 E",Atletas!P314="Taijiquan 24 E",Atletas!P314="Taijiquan 32 E",Atletas!P314="Taijiquan 42 E"),430,IF(OR(Atletas!P314="Yang 26 F",Atletas!P314="Yang 40 F"),431,IF(OR(Atletas!P314="Chen 25 F",Atletas!P314="Chen 36 F",Atletas!P314="Chen 56 F"),432,IF(Atletas!P314="Sun 73 F",433,IF(Atletas!P314="Wu 45 F",434,IF(Atletas!P314="Wu-Hao 46 F",435,IF(OR(Atletas!P314="Taijiquan 16 F",Atletas!P314="Taijiquan 24 F",Atletas!P314="Taijiquan 32 F",Atletas!P314="Taijiquan 42 F"),436,0)))))))))))))))))))</f>
        <v/>
      </c>
      <c r="BY323" s="50" t="str">
        <f>IF(Atletas!Q314="","",IF(Atletas!X314&lt;&gt;"",10000,0)+IF(Atletas!B314="Feminino",1000,IF(Atletas!B314="Masculino",2000,""))+IF(Atletas!Q314="Xingyiquan A",501,IF(Atletas!Q314="Baguazhang A",502,IF(Atletas!Q314="Outro Estilo Interno A",503,IF(Atletas!Q314="Xingyiquan B",504,IF(Atletas!Q314="Baguazhang B",505,IF(Atletas!Q314="Outro Estilo Interno B",506,IF(Atletas!Q314="Xingyiquan C",507,IF(Atletas!Q314="Baguazhang C",508,IF(Atletas!Q314="Outro Estilo Interno C",509,IF(Atletas!Q314="Xingyiquan D",510,IF(Atletas!Q314="Baguazhang D",511,IF(Atletas!Q314="Outro Estilo Interno D",512,IF(Atletas!Q314="Xingyiquan E",513,IF(Atletas!Q314="Baguazhang E",514,IF(Atletas!Q314="Outro Estilo Interno E",515,IF(Atletas!Q314="Xingyiquan F",516,IF(Atletas!Q314="Baguazhang F",517,IF(Atletas!Q314="Outro Estilo Interno F",518, "")))))))))))))))))))</f>
        <v/>
      </c>
      <c r="BZ323" s="50" t="str">
        <f>IF(Atletas!R314="","",IF(Atletas!X314&lt;&gt;"",10000,0)+IF(Atletas!B314="Feminino",1000,IF(Atletas!B314="Masculino",2000,""))+IF(Atletas!R314="Dao A",601,IF(Atletas!R314="Jian A",602,IF(Atletas!R314="Bishou A",603,IF(Atletas!R314="Shanzi A",604,IF(Atletas!R314="Outra Arma Curta A",605,IF(Atletas!R314="Dao B",606,IF(Atletas!R314="Jian B",607,IF(Atletas!R314="Bishou B",608,IF(Atletas!R314="Shanzi B",609,IF(Atletas!R314="Outra Arma Curta B",610,IF(Atletas!R314="Dao C",611,IF(Atletas!R314="Jian C",612,IF(Atletas!R314="Bishou C",613,IF(Atletas!R314="Shanzi C",614,IF(Atletas!R314="Outra Arma Curta C",615,IF(Atletas!R314="Dao D",616,IF(Atletas!R314="Jian D",617,IF(Atletas!R314="Bishou D",618,IF(Atletas!R314="Shanzi D",619,IF(Atletas!R314="Outra Arma Curta D",620,IF(Atletas!R314="Dao E",621,IF(Atletas!R314="Jian E",622,IF(Atletas!R314="Bishou E",623,IF(Atletas!R314="Shanzi E",624,IF(Atletas!R314="Outra Arma Curta E",625,IF(Atletas!R314="Dao F",626,IF(Atletas!R314="Jian F",627,IF(Atletas!R314="Bishou F",628,IF(Atletas!R314="Shanzi F",629,IF(Atletas!R314="Outra Arma Curta F",630, "")))))))))))))))))))))))))))))))</f>
        <v/>
      </c>
      <c r="CA323" s="50" t="str">
        <f>IF(Atletas!S314="","",IF(Atletas!X314&lt;&gt;"",10000,0)+IF(Atletas!B314="Feminino",1000,IF(Atletas!B314="Masculino",2000,""))+IF(Atletas!S314="Gun A",701,IF(Atletas!S314="Qiang A",702,IF(Atletas!S314="Pudao / Guandao A",703,IF(Atletas!S314="Outra Arma Longa A",704,IF(Atletas!S314="Gun B",705,IF(Atletas!S314="Qiang B",706,IF(Atletas!S314="Pudao / Guandao B",707,IF(Atletas!S314="Outra Arma Longa B",708,IF(Atletas!S314="Gun C",709,IF(Atletas!S314="Qiang C",710,IF(Atletas!S314="Pudao / Guandao C",711,IF(Atletas!S314="Outra Arma Longa C",712,IF(Atletas!S314="Gun D",713,IF(Atletas!S314="Qiang D",714,IF(Atletas!S314="Pudao / Guandao D",715,IF(Atletas!S314="Outra Arma Longa D",716,IF(Atletas!S314="Gun E",717,IF(Atletas!S314="Qiang E",718,IF(Atletas!S314="Pudao / Guandao E",719,IF(Atletas!S314="Outra Arma Longa E",720,IF(Atletas!S314="Gun F",721,IF(Atletas!S314="Qiang F",722,IF(Atletas!S314="Pudao / Guandao F",723,IF(Atletas!S314="Outra Arma Longa F",724,"")))))))))))))))))))))))))</f>
        <v/>
      </c>
      <c r="CB323" s="50" t="str">
        <f>IF(Atletas!T314="","",IF(Atletas!X314&lt;&gt;"",10000,0)+IF(Atletas!B314="Feminino",1000,IF(Atletas!B314="Masculino",2000,""))+IF(Atletas!T314="Outra Arma Dupla A",801,IF(Atletas!T314="Arma Maleável A",802,IF(Atletas!T314="Outra Arma Dupla B",803,IF(Atletas!T314="Arma Maleável B",804,IF(Atletas!T314="Outra Arma Dupla C",805,IF(Atletas!T314="Arma Maleável C",806,IF(Atletas!T314="Outra Arma Dupla D",807,IF(Atletas!T314="Arma Maleável D",808,IF(Atletas!T314="Outra Arma Dupla E",809,IF(Atletas!T314="Arma Maleável E",810,IF(Atletas!T314="Outra Arma Dupla F",811,IF(Atletas!T314="Arma Maleável F",812,IF(Atletas!T314="Shuangdao A",813,IF(Atletas!T314="Shuangdao B",814,IF(Atletas!T314="Shuangdao C",815,IF(Atletas!T314="Shuangdao D",816,IF(Atletas!T314="Shuangdao E",817,IF(Atletas!T314="Shuangdao F",818,"")))))))))))))))))))</f>
        <v/>
      </c>
      <c r="CC323" s="50" t="str">
        <f>IF(Atletas!U314="","",IF(Atletas!X314&lt;&gt;"",10000,0)+IF(Atletas!B314="Feminino",1000,IF(Atletas!B314="Masculino",2000,""))+IF(OR(Atletas!U314="Taijijian Yang A",Atletas!U314="Taijijian Yang Standard A"),901,IF(OR(Atletas!U314="Taijijian Chen A", Atletas!U314="Taijijian Chen Standard A"),902,IF(Atletas!U314="Taijijian Sun A",903,IF(Atletas!U314="Taijijian Wu A",904,IF(Atletas!U314="Taijijian Wu-Hao A",905,IF(OR(Atletas!U314="Taijijian 32 A",Atletas!U314="Taijijian 42 A"),906,IF(OR(Atletas!U314="Taijijian Yang B",Atletas!U314="Taijijian Yang Standard B"),907,IF(OR(Atletas!U314="Taijijian Chen B", Atletas!U314="Taijijian Chen Standard B"),908,IF(Atletas!U314="Taijijian Sun B",909,IF(Atletas!U314="Taijijian Wu B",910,IF(Atletas!U314="Taijijian Wu-Hao B",911,IF(OR(Atletas!U314="Taijijian 32 B",Atletas!U314="Taijijian 42 B"),912,IF(OR(Atletas!U314="Taijijian Yang C",Atletas!U314="Taijijian Yang Standard C"),913,IF(OR(Atletas!U314="Taijijian Chen C", Atletas!U314="Taijijian Chen Standard C"),914,IF(Atletas!U314="Taijijian Sun C",915,IF(Atletas!U314="Taijijian Wu C",916,IF(Atletas!U314="Taijijian Wu-Hao C",917,IF(OR(Atletas!U314="Taijijian 32 C",Atletas!U314="Taijijian 42 C"),918,IF(OR(Atletas!U314="Taijijian Yang D",Atletas!U314="Taijijian Yang Standard D"),919,IF(OR(Atletas!U314="Taijijian Chen D", Atletas!U314="Taijijian Chen Standard D"),920,IF(Atletas!U314="Taijijian Sun D",921,IF(Atletas!U314="Taijijian Wu D",922,IF(Atletas!U314="Taijijian Wu-Hao D",923,IF(OR(Atletas!U314="Taijijian 32 D",Atletas!U314="Taijijian 42 D"),924,IF(OR(Atletas!U314="Taijijian Yang E",Atletas!U314="Taijijian Yang Standard E"),925,IF(OR(Atletas!U314="Taijijian Chen E", Atletas!U314="Taijijian Chen Standard E"),926,IF(Atletas!U314="Taijijian Sun E",927,IF(Atletas!U314="Taijijian Wu E",928,IF(Atletas!U314="Taijijian Wu-Hao E",929,IF(OR(Atletas!U314="Taijijian 32 E",Atletas!U314="Taijijian 42 E"),930,IF(OR(Atletas!U314="Taijijian Yang F",Atletas!U314="Taijijian Yang Standard F"),931,IF(OR(Atletas!U314="Taijijian Chen F", Atletas!U314="Taijijian Chen Standard F"),932,IF(Atletas!U314="Taijijian Sun F",933,IF(Atletas!U314="Taijijian Wu F",934,IF(Atletas!U314="Taijijian Wu-Hao F",935,IF(OR(Atletas!U314="Taijijian 32 F",Atletas!U314="Taijijian 42 F"),936,"")))))))))))))))))))))))))))))))))))))</f>
        <v/>
      </c>
      <c r="CD323" s="50" t="str">
        <f>IF(Atletas!V314="","",IF(Atletas!X314&lt;&gt;"",10000,0)+IF(Atletas!B314="Feminino",1000,IF(Atletas!B314="Masculino",2000,""))+IF(Atletas!V314="Taijidao A",937,IF(Atletas!V314="TaijiShanzi A",938,IF(Atletas!V314="Taijiqiang A",939,IF(Atletas!V314="Bagua de Arma A",940,IF(Atletas!V314="Xingyi de Arma A",941,IF(Atletas!V314="Taijidao B",942,IF(Atletas!V314="TaijiShanzi B",943,IF(Atletas!V314="Taijiqiang B",944,IF(Atletas!V314="Bagua de Arma B",945,IF(Atletas!V314="Xingyi de Arma B",946,IF(Atletas!V314="Taijidao C",947,IF(Atletas!V314="TaijiShanzi C",948,IF(Atletas!V314="Taijiqiang C",949,IF(Atletas!V314="Bagua de Arma C",950,IF(Atletas!V314="Xingyi de Arma C",951,IF(Atletas!V314="Taijidao D",952,IF(Atletas!V314="TaijiShanzi D",953,IF(Atletas!V314="Taijiqiang D",954,IF(Atletas!V314="Bagua de Arma D",955,IF(Atletas!V314="Xingyi de Arma D",956,IF(Atletas!V314="Taijidao E",957,IF(Atletas!V314="TaijiShanzi E",958,IF(Atletas!V314="Taijiqiang E",959,IF(Atletas!V314="Bagua de Arma E",960,IF(Atletas!V314="Xingyi de Arma E",961,IF(Atletas!V314="Taijidao F",962,IF(Atletas!V314="TaijiShanzi F",963,IF(Atletas!V314="Taijiqiang F",964,IF(Atletas!V314="Bagua de Arma F",965,IF(Atletas!V314="Xingyi de Arma F",966,"")))))))))))))))))))))))))))))))</f>
        <v/>
      </c>
      <c r="CE323" s="66" t="str">
        <f>IF(CF323&lt;&gt;"","Taijijian Wu-Hao D","")</f>
        <v/>
      </c>
      <c r="CF323" s="6" t="str">
        <f>IF(COUNTIF(BR:CD,1923)&gt;0,COUNTIF(BR:CD,1923),"")</f>
        <v/>
      </c>
      <c r="CG323" s="66" t="str">
        <f>IF(CH323&lt;&gt;"","Taijijian Wu-Hao D","")</f>
        <v/>
      </c>
      <c r="CH323" s="66" t="str">
        <f>IF(COUNTIF(BR:CD,2923)&gt;0,COUNTIF(BR:CD,2923),"")</f>
        <v/>
      </c>
      <c r="CI323" s="66" t="str">
        <f>IF(CJ324&lt;&gt;"","Taijijian Combinado F","")</f>
        <v/>
      </c>
      <c r="CJ323" s="66" t="str">
        <f>IF(COUNTIF(BR:CD,11935)&gt;0,COUNTIF(BR:CD,11935),"")</f>
        <v/>
      </c>
      <c r="CK323" s="66" t="str">
        <f>IF(CL323&lt;&gt;"","Taijijian Wu-Hao F","")</f>
        <v/>
      </c>
      <c r="CL323" s="66" t="str">
        <f>IF(COUNTIF(BR:CD,12935)&gt;0,COUNTIF(BR:CD,12935),"")</f>
        <v/>
      </c>
      <c r="CM323" s="50" t="str">
        <f xml:space="preserve"> IF(Atletas!W314="","",IF(Atletas!W314="Duilian de Mãos BC - Equipe 1",1,IF(Atletas!W314="Duilian de Mãos BC - Equipe 2",2,IF(Atletas!W314="Duilian de Armas BC - Equipe 1",3,IF(Atletas!W314="Duilian de Armas BC - Equipe 2",4,IF(Atletas!W314="Duilian de Mãos DE - Equipe 1",5,IF(Atletas!W314="Duilian de Mãos DE - Equipe 2",6,IF(Atletas!W314="Duilian de Armas DE - Equipe 1",7,IF(Atletas!W314="Duilian de Armas DE - Equipe 2",8,IF(Atletas!W314="Duilian de Tuishou - Equipe 1",9,IF(Atletas!W314="Duilian de Tuishou - Equipe 2",10,IF(Atletas!W314="Grupo Externo ABC - Equipe 1",11,IF(Atletas!W314="Grupo Externo ABC - Equipe 2",12,IF(Atletas!W314="Grupo Interno ABC - Equipe 1",13,IF(Atletas!W314="Grupo Interno ABC - Equipe 2",14,IF(Atletas!W314="Grupo Externo DEF - Equipe 1",15,IF(Atletas!W314="Grupo Externo DEF - Equipe 2",16,IF(Atletas!W314="Grupo Interno DEF - Equipe 1",17,IF(Atletas!W314="Grupo Interno DEF - Equipe 2",18,"")))))))))))))))))))</f>
        <v/>
      </c>
    </row>
    <row r="324" spans="40:91">
      <c r="AN324" s="52" t="str">
        <f>IF(Atletas!D315="","",IF(Atletas!B315="Feminino",100,IF(Atletas!B315="Masculino",200,""))+(IF(Atletas!D315="Kids 30kg",1,IF(Atletas!D315="Kids 32kg",2, IF(Atletas!D315="Kids 34kg",3,IF(Atletas!D315="Kids 36kg",4,IF(Atletas!D315="Kids 39kg",5,IF(Atletas!D315="Kids 42kg",6,IF(Atletas!D315="Kids 45kg",7, IF(Atletas!D315="Infantil 39kg",8,IF(Atletas!D315="Infantil 42kg",9,IF(Atletas!D315="Infantil 45kg",10,IF(Atletas!D315="Infantil 48kg",11,IF(Atletas!D315="Infantil 52kg",12,IF(Atletas!D315="Infantil 56kg",13,IF(Atletas!D315="Infantil 60kg",14,IF(Atletas!D315="Juvenil 48kg",15,IF(Atletas!D315="Juvenil 52kg",16,IF(Atletas!D315="Juvenil 56kg",17,IF(Atletas!D315="Juvenil 60kg",18,IF(Atletas!D315="Juvenil 65kg",19,IF(Atletas!D315="Juvenil 70kg",20,IF(Atletas!D315="Juvenil 75kg",21,IF(Atletas!D315="Juvenil 80kg",22, IF(Atletas!D315="Juvenil 85kg",23,IF(Atletas!D315="Adulto 48kg",24,IF(Atletas!D315="Adulto 52kg",25,IF(Atletas!D315="Adulto 56kg",26,IF(Atletas!D315="Adulto 60kg",27,IF(Atletas!D315="Adulto 65kg",28,IF(Atletas!D315="Adulto 70kg",29,IF(Atletas!D315="Adulto 75kg",30,IF(Atletas!D315="Adulto 80kg",31,IF(Atletas!D315="Adulto 85kg",32,IF(Atletas!D315="Adulto 90kg",33,IF(Atletas!D315="Adulto 100kg",34, IF(Atletas!D315="Adulto +100kg",35,"")))))))))))))))))))))))))))))))))))))</f>
        <v/>
      </c>
      <c r="AS324" s="6" t="str">
        <f>IF(Atletas!E315="","",IF(Atletas!B315="Feminino",100,IF(Atletas!B315="Masculino",200,""))+(IF(Atletas!E315="Juvenil 44kg",1,IF(Atletas!E315="Juvenil 48kg",2,IF(Atletas!E315="Juvenil 52kg",3,IF(Atletas!E315="Juvenil 56kg",4,IF(Atletas!E315="Juvenil 60kg",5,IF(Atletas!E315="Juvenil 65kg",6,IF(Atletas!E315="Juvenil 70kg",7,IF(Atletas!E315="Juvenil 75kg",8,IF(Atletas!E315="Juvenil 82kg",9,IF(Atletas!E315="Juvenil 90kg",10,IF(Atletas!E315="Juvenil 100kg",11,IF(Atletas!E315="Adulto 48kg",12,IF(Atletas!E315="Adulto 52kg",13,IF(Atletas!E315="Adulto 56kg",14,IF(Atletas!E315="Adulto 60kg",15,IF(Atletas!E315="Adulto 65kg",16,IF(Atletas!E315="Adulto 70kg",17,IF(Atletas!E315="Adulto 75kg",18,IF(Atletas!E315="Adulto 82kg",19,IF(Atletas!E315="Adulto 90kg",20,IF(Atletas!E315="Adulto 100kg",21,IF(Atletas!E315="Adulto +100kg",22,""))))))))))))))))))))))))</f>
        <v/>
      </c>
      <c r="AX324" s="6" t="str">
        <f>IF(Atletas!F315="","",IF(Atletas!B315="Feminino",100,IF(Atletas!B315="Masculino",200,""))+(IF(Atletas!F315="Adulto 48kg",1,IF(Atletas!F315="Adulto 56kg",2,IF(Atletas!F315="Adulto 65kg",3,IF(Atletas!F315="Adulto 75kg",4,IF(Atletas!F315="Adulto +75kg",5,IF(Atletas!F315="Adulto 52kg",6,IF(Atletas!F315="Adulto 60kg",7,IF(Atletas!F315="Adulto 70kg",8,IF(Atletas!F315="Adulto 80kg",9,IF(Atletas!F315="Adulto 90kg",10,IF(Atletas!F315="Adulto +90kg",11,"")))))))))))))</f>
        <v/>
      </c>
      <c r="BC324" s="6" t="str">
        <f>IF(Atletas!G315="","",IF(Atletas!B315="Feminino",10,IF(Atletas!B315="Masculino",20,""))+(IF(Atletas!G315="Baduanjin A",1,IF(Atletas!G315="Baduanjin B",2))))</f>
        <v/>
      </c>
      <c r="BF324" s="52" t="str">
        <f>IF(Atletas!H315="","",IF(Atletas!B315="Feminino",100,IF(Atletas!B315="Masculino",200,""))+(IF(Atletas!H315="Changquan Mirim",1,IF(Atletas!H315="Nanquan Mirim",2,IF(Atletas!H315="Taijiquan Mirim",3,IF(Atletas!H315="Changquan Grupo C",4,IF(Atletas!H315="Nanquan Grupo C",5,IF(Atletas!H315="Taijiquan Grupo C",6,IF(Atletas!H315="Changquan Grupo B",7,IF(Atletas!H315="Nanquan Grupo B",8,IF(Atletas!H315="Taijiquan Grupo B",9,IF(Atletas!H315="Changquan Grupo A",10,IF(Atletas!H315="Nanquan Grupo A",11,IF(Atletas!H315="Taijiquan Grupo A",12,IF(Atletas!H315="Changquan Opcional",13,IF(Atletas!H315="Nanquan Opcional",14,IF(Atletas!H315="Taijiquan Opcional",15,IF(Atletas!H315="Changquan Adulto",16,IF(Atletas!H315="Nanquan Adulto",17,IF(Atletas!H315="Taijiquan Adulto",18,""))))))))))))))))))))</f>
        <v/>
      </c>
      <c r="BG324" s="52" t="str">
        <f>IF(Atletas!I315="","",IF(Atletas!B315="Feminino",100,IF(Atletas!B315="Masculino",200,""))+(IF(Atletas!I315="Daoshu Mirim",19,IF(Atletas!I315="Jianshu Mirim",20,IF(Atletas!I315="Nandao Mirim",21,IF(Atletas!I315="Taijijian Mirim",22,IF(Atletas!I315="Daoshu Grupo C",23,IF(Atletas!I315="Jianshu Grupo C",24,IF(Atletas!I315="Nandao Grupo C",25,IF(Atletas!I315="Taijijian Grupo C",26,IF(Atletas!I315="Daoshu Grupo B",27,IF(Atletas!I315="Jianshu Grupo B",28,IF(Atletas!I315="Nandao Grupo B",29,IF(Atletas!I315="Taijijian Grupo B",30,IF(Atletas!I315="Daoshu Grupo A",31,IF(Atletas!I315="Jianshu Grupo A",32,IF(Atletas!I315="Nandao Grupo A",33,IF(Atletas!I315="Taijijian Grupo A",34,IF(Atletas!I315="Daoshu Opcional",35,IF(Atletas!I315="Jianshu Opcional",36,IF(Atletas!I315="Nandao Opcional",37,IF(Atletas!I315="Taijijian Opcional",38,IF(Atletas!I315="Daoshu Adulto",39,IF(Atletas!I315="Jianshu Adulto",40,IF(Atletas!I315="Nandao Adulto",41,IF(Atletas!I315="Taijijian Adulto",42,""))))))))))))))))))))))))))</f>
        <v/>
      </c>
      <c r="BH324" s="52" t="str">
        <f>IF(Atletas!J315="","",IF(Atletas!B315="Feminino",100,IF(Atletas!B315="Masculino",200,""))+(IF(Atletas!J315="Gunshu Mirim",43,IF(Atletas!J315="Qiangshu Mirim",44,IF(Atletas!J315="Nangun Mirim",45,IF(Atletas!J315="Gunshu Grupo C",46,IF(Atletas!J315="Qiangshu Grupo C",47,IF(Atletas!J315="Nangun Grupo C",48,IF(Atletas!J315="Gunshu Grupo B",49,IF(Atletas!J315="Qiangshu Grupo B",50,IF(Atletas!J315="Nangun Grupo B",51,IF(Atletas!J315="Gunshu Grupo A",52,IF(Atletas!J315="Qiangshu Grupo A",53,IF(Atletas!J315="Nangun Grupo A",54,IF(Atletas!J315="Gunshu Opcional",55,IF(Atletas!J315="Qiangshu Opcional",56,IF(Atletas!J315="Nangun Opcional",57,IF(Atletas!J315="Gunshu Adulto",58,IF(Atletas!J315="Qiangshu Adulto",59,IF(Atletas!J315="Nangun Adulto",60,IF(Atletas!J315="Taijishan Grupo B",61,IF(Atletas!J315="Taijishan Grupo A",62,""))))))))))))))))))))))</f>
        <v/>
      </c>
      <c r="BM324" s="50" t="str">
        <f>IF(Atletas!K315="","",IF(Atletas!B315="Feminino",100,IF(Atletas!B315="Masculino",200,""))+(IF(Atletas!K315="Equipe 1 Grupo B",1,IF(Atletas!K315="Equipe 2 Grupo B",2,IF(Atletas!K315="Equipe 1 Grupo A",3,IF(Atletas!K315="Equipe 2 Grupo A",4,IF(Atletas!K315="Equipe 1 Adulto",5,IF(Atletas!K315="Equipe 2 Adulto",6,""))))))))</f>
        <v/>
      </c>
      <c r="BR324" s="50" t="str">
        <f>IF(Atletas!L315="","",IF(Atletas!X315&lt;&gt;"",10000,0)+(IF(Atletas!B315="Feminino",1000,IF(Atletas!B315="Masculino",2000,""))+IF(Atletas!L315="Choylayfut A",1,IF(Atletas!L315="Hunggar A",2,IF(Atletas!L315="Wuzuquan A",3,IF(Atletas!L315="Wingchun A",4,IF(Atletas!L315="Outra Mão de Sul A",5,IF(Atletas!L315="Choylayfut B",6,IF(Atletas!L315="Hunggar B",7,IF(Atletas!L315="Wuzuquan B",8,IF(Atletas!L315="Wingchun B",9,IF(Atletas!L315="Outra Mão de Sul B",10,IF(Atletas!L315="Choylayfut C",11,IF(Atletas!L315="Hunggar C",12,IF(Atletas!L315="Wuzuquan C",13,IF(Atletas!L315="Wingchun C",14,IF(Atletas!L315="Outra Mão de Sul C",15,IF(Atletas!L315="Choylayfut D",16,IF(Atletas!L315="Hunggar D",17,IF(Atletas!L315="Wuzuquan D",18,IF(Atletas!L315="Wingchun D",19,IF(Atletas!L315="Outra Mão de Sul D",20,IF(Atletas!L315="Choylayfut E",21,IF(Atletas!L315="Hunggar E",22,IF(Atletas!L315="Wuzuquan E",23,IF(Atletas!L315="Wingchun E",24,IF(Atletas!L315="Outra Mão de Sul E",25,IF(Atletas!L315="Choylayfut F",26,IF(Atletas!L315="Hunggar F",27,IF(Atletas!L315="Wuzuquan F",28,IF(Atletas!L315="Wingchun F",29,IF(Atletas!L315="Outra Mão de Sul F",30,IF(Atletas!L315="Dishuquan A",31,IF(Atletas!L315="Dishuquan B",32,IF(Atletas!L315="Dishuquan C",33,IF(Atletas!L315="Dishuquan D",34,IF(Atletas!L315="Dishuquan E",35,IF(Atletas!L315="Dishuquan F",36,""))))))))))))))))))))))))))))))))))))))</f>
        <v/>
      </c>
      <c r="BS324" s="50" t="str">
        <f>IF(Atletas!M315="","",IF(Atletas!X315&lt;&gt;"",10000,0)+(IF(Atletas!B315="Feminino",1000,IF(Atletas!B315="Masculino",2000,""))+(IF(Atletas!M315="Chaquan A",101,IF(Atletas!M315="Emeiquan A",102,IF(Atletas!M315="Fanziquan A",103,IF(Atletas!M315="Huaquan A",104,IF(Atletas!M315="Hongquan A",105,IF(Atletas!M315="Paoquan A",106,IF(Atletas!M315="Piguaquan A",107,IF(Atletas!M315="Shaolinquan A",108,IF(Atletas!M315="Tanglangquan A",109,IF(Atletas!M315="Yingzhaoquan A",110,IF(Atletas!M315="Tongbeiquan A",111,IF(Atletas!M315="Wudangquan A",112,IF(Atletas!M315="Outros Estilos A",113,IF(Atletas!M315="Chaquan B",114,IF(Atletas!M315="Emeiquan B",115,IF(Atletas!M315="Fanziquan B",116,IF(Atletas!M315="Huaquan B",117,IF(Atletas!M315="Hongquan B",118,IF(Atletas!M315="Paoquan B",119,IF(Atletas!M315="Piguaquan B",120,IF(Atletas!M315="Shaolinquan B",121,IF(Atletas!M315="Tanglangquan B",122,IF(Atletas!M315="Yingzhaoquan B",123,IF(Atletas!M315="Tongbeiquan B",124,IF(Atletas!M315="Wudangquan B",125,IF(Atletas!M315="Outros Estilos B",126,IF(Atletas!M315="Chaquan C",127,IF(Atletas!M315="Emeiquan C",128,IF(Atletas!M315="Fanziquan C",129,IF(Atletas!M315="Huaquan C",130,IF(Atletas!M315="Hongquan C",131,IF(Atletas!M315="Paoquan C",132,IF(Atletas!M315="Piguaquan C",133,IF(Atletas!M315="Shaolinquan C",134,IF(Atletas!M315="Tanglangquan C",135,IF(Atletas!M315="Yingzhaoquan C",136,IF(Atletas!M315="Tongbeiquan C",137,IF(Atletas!M315="Wudangquan C",138,IF(Atletas!M315="Outros Estilos C",139,0))))))))))))))))))))))))))))))))))))))))))</f>
        <v/>
      </c>
      <c r="BT324" s="50" t="str">
        <f>IF(Atletas!M315="","",IF(Atletas!X315&lt;&gt;"",10000,0)+(IF(Atletas!B315="Feminino",1000,IF(Atletas!B315="Masculino",2000,""))+(IF(Atletas!M315="Chaquan D",140,IF(Atletas!M315="Emeiquan D",141,IF(Atletas!M315="Fanziquan D",142,IF(Atletas!M315="Huaquan D",143,IF(Atletas!M315="Hongquan D",144,IF(Atletas!M315="Paoquan D",145,IF(Atletas!M315="Piguaquan D",146,IF(Atletas!M315="Shaolinquan D",147,IF(Atletas!M315="Tanglangquan D",148,IF(Atletas!M315="Yingzhaoquan D",149,IF(Atletas!M315="Tongbeiquan D",150,IF(Atletas!M315="Wudangquan D",151,IF(Atletas!M315="Outros Estilos D",152,IF(Atletas!M315="Chaquan E",153,IF(Atletas!M315="Emeiquan E",154,IF(Atletas!M315="Fanziquan E",155,IF(Atletas!M315="Huaquan E",156,IF(Atletas!M315="Hongquan E",157,IF(Atletas!M315="Paoquan E",158,IF(Atletas!M315="Piguaquan E",159,IF(Atletas!M315="Shaolinquan E",160,IF(Atletas!M315="Tanglangquan E",161,IF(Atletas!M315="Yingzhaoquan E",162,IF(Atletas!M315="Tongbeiquan E",163,IF(Atletas!M315="Wudangquan E",164,IF(Atletas!M315="Outros Estilos E",165,IF(Atletas!M315="Chaquan F",166,IF(Atletas!M315="Emeiquan F",167,IF(Atletas!M315="Fanziquan F",168,IF(Atletas!M315="Huaquan F",169,IF(Atletas!M315="Hongquan F",170,IF(Atletas!M315="Paoquan F",171,IF(Atletas!M315="Piguaquan F",172,IF(Atletas!M315="Shaolinquan F",173,IF(Atletas!M315="Tanglangquan F",174,IF(Atletas!M315="Yingzhaoquan F",175,IF(Atletas!M315="Tongbeiquan F",176,IF(Atletas!M315="Wudangquan F",177,IF(Atletas!M315="Outros Estilos F",178,0))))))))))))))))))))))))))))))))))))))))))</f>
        <v/>
      </c>
      <c r="BU324" s="50" t="str">
        <f>IF(Atletas!N315="","",IF(Atletas!X315&lt;&gt;"",10000,0)+(IF(Atletas!B315="Feminino",1000,IF(Atletas!B315="Masculino",2000,""))+(IF(Atletas!N315="Ditangquan A",201,IF(Atletas!N315="Houquan A",202,IF(Atletas!N315="Zuiquan A",203,IF(Atletas!N315="Ditangquan B",204,IF(Atletas!N315="Houquan B",205,IF(Atletas!N315="Zuiquan B",206,IF(Atletas!N315="Ditangquan C",207,IF(Atletas!N315="Houquan C",208,IF(Atletas!N315="Zuiquan C",209,IF(Atletas!N315="Ditangquan D",210,IF(Atletas!N315="Houquan D",211,IF(Atletas!N315="Zuiquan D",212,IF(Atletas!N315="Ditangquan E",213,IF(Atletas!N315="Houquan E",214,IF(Atletas!N315="Zuiquan E",215,IF(Atletas!N315="Ditangquan F",216,IF(Atletas!N315="Houquan F",217,IF(Atletas!N315="Zuiquan F",218,"")))))))))))))))))))))</f>
        <v/>
      </c>
      <c r="BV324" s="50" t="str">
        <f>IF(Atletas!O315="","",IF(Atletas!X315&lt;&gt;"",10000,0)+IF(Atletas!B315="Feminino",1000,IF(Atletas!B315="Masculino",2000,""))+IF(Atletas!O315="Yang A",301,IF(Atletas!O315="Chen A",302,IF(Atletas!O315="Sun A",303,IF(Atletas!O315="Wu A",304,IF(Atletas!O315="Wu-Hao A",305,IF(Atletas!O315="Outro Taijiquan A",306,IF(Atletas!O315="Yang B",307,IF(Atletas!O315="Chen B",308,IF(Atletas!O315="Sun B",309,IF(Atletas!O315="Wu B",310,IF(Atletas!O315="Wu-Hao B",311,IF(Atletas!O315="Outro Taijiquan B",312,IF(Atletas!O315="Yang C",313,IF(Atletas!O315="Chen C",314,IF(Atletas!O315="Sun C",315,IF(Atletas!O315="Wu C",316,IF(Atletas!O315="Wu-Hao C",317,IF(Atletas!O315="Outro Taijiquan C",318,IF(Atletas!O315="Yang D",319,IF(Atletas!O315="Chen D",320,IF(Atletas!O315="Sun D",321,IF(Atletas!O315="Wu D",322,IF(Atletas!O315="Wu-Hao D",323,IF(Atletas!O315="Outro Taijiquan D",324,IF(Atletas!O315="Yang E",325,IF(Atletas!O315="Chen E",326,IF(Atletas!O315="Sun E",327,IF(Atletas!O315="Wu E",328,IF(Atletas!O315="Wu-Hao E",329,IF(Atletas!O315="Outro Taijiquan E",330,IF(Atletas!O315="Yang F",331,IF(Atletas!O315="Chen F",332,IF(Atletas!O315="Sun F",333,IF(Atletas!O315="Wu F",334,IF(Atletas!O315="Wu-Hao F",335,IF(Atletas!O315="Outro Taijiquan F",336,"")))))))))))))))))))))))))))))))))))))</f>
        <v/>
      </c>
      <c r="BW324" s="50" t="str">
        <f>IF(Atletas!P315="","",IF(Atletas!X315&lt;&gt;"",10000,0)+IF(Atletas!B315="Feminino",1000,IF(Atletas!B315="Masculino",2000,""))+IF(OR(Atletas!P315="Yang 26 A",Atletas!P315="Yang 40 A"),401,IF(OR(Atletas!P315="Chen 25 A",Atletas!P315="Chen 36 A",Atletas!P315="Chen 56 A"),402,IF(Atletas!P315="Sun 73 A",403,IF(Atletas!P315="Wu 45 A",404,IF(Atletas!P315="Wu-Hao 46 A",405,IF(OR(Atletas!P315="Taijiquan 16 A",Atletas!P315="Taijiquan 24 A",Atletas!P315="Taijiquan 32 A",Atletas!P315="Taijiquan 42 A"),406,IF(OR(Atletas!P315="Yang 26 B",Atletas!P315="Yang 40 B"),407,IF(OR(Atletas!P315="Chen 25 B",Atletas!P315="Chen 36 B",Atletas!P315="Chen 56 B"),408,IF(Atletas!P315="Sun 73 B",409,IF(Atletas!P315="Wu 45 B",410,IF(Atletas!P315="Wu-Hao 46 B",411,IF(OR(Atletas!P315="Taijiquan 16 B",Atletas!P315="Taijiquan 24 B",Atletas!P315="Taijiquan 32 B",Atletas!P315="Taijiquan 42 B"),412,IF(OR(Atletas!P315="Yang 26 C",Atletas!P315="Yang 40 C"),413,IF(OR(Atletas!P315="Chen 25 C",Atletas!P315="Chen 36 C",Atletas!P315="Chen 56 C"),414,IF(Atletas!P315="Sun 73 C",415,IF(Atletas!P315="Wu 45 C",416,IF(Atletas!P315="Wu-Hao 46 C",417,IF(OR(Atletas!P315="Taijiquan 16 C",Atletas!P315="Taijiquan 24 C",Atletas!P315="Taijiquan 32 C",Atletas!P315="Taijiquan 42 C"),418,0)))))))))))))))))))</f>
        <v/>
      </c>
      <c r="BX324" s="50" t="str">
        <f>IF(Atletas!P315="","",IF(Atletas!X315&lt;&gt;"",10000,0)+IF(Atletas!B315="Feminino",1000,IF(Atletas!B315="Masculino",2000,""))+IF(OR(Atletas!P315="Yang 26 D",Atletas!P315="Yang 40 D"),419,IF(OR(Atletas!P315="Chen 25 D",Atletas!P315="Chen 36 D",Atletas!P315="Chen 56 D"),420,IF(Atletas!P315="Sun 73 D",421,IF(Atletas!P315="Wu 45 D",422,IF(Atletas!P315="Wu-Hao 46 D",423,IF(OR(Atletas!P315="Taijiquan 16 D",Atletas!P315="Taijiquan 24 D",Atletas!P315="Taijiquan 32 D",Atletas!P315="Taijiquan 42 D"),424,IF(OR(Atletas!P315="Yang 26 E",Atletas!P315="Yang 40 E"),425,IF(OR(Atletas!P315="Chen 25 E",Atletas!P315="Chen 36 E",Atletas!P315="Chen 56 E"),426,IF(Atletas!P315="Sun 73 E",427,IF(Atletas!P315="Wu 45 E",428,IF(Atletas!P315="Wu-Hao 46 E",429,IF(OR(Atletas!P315="Taijiquan 16 E",Atletas!P315="Taijiquan 24 E",Atletas!P315="Taijiquan 32 E",Atletas!P315="Taijiquan 42 E"),430,IF(OR(Atletas!P315="Yang 26 F",Atletas!P315="Yang 40 F"),431,IF(OR(Atletas!P315="Chen 25 F",Atletas!P315="Chen 36 F",Atletas!P315="Chen 56 F"),432,IF(Atletas!P315="Sun 73 F",433,IF(Atletas!P315="Wu 45 F",434,IF(Atletas!P315="Wu-Hao 46 F",435,IF(OR(Atletas!P315="Taijiquan 16 F",Atletas!P315="Taijiquan 24 F",Atletas!P315="Taijiquan 32 F",Atletas!P315="Taijiquan 42 F"),436,0)))))))))))))))))))</f>
        <v/>
      </c>
      <c r="BY324" s="50" t="str">
        <f>IF(Atletas!Q315="","",IF(Atletas!X315&lt;&gt;"",10000,0)+IF(Atletas!B315="Feminino",1000,IF(Atletas!B315="Masculino",2000,""))+IF(Atletas!Q315="Xingyiquan A",501,IF(Atletas!Q315="Baguazhang A",502,IF(Atletas!Q315="Outro Estilo Interno A",503,IF(Atletas!Q315="Xingyiquan B",504,IF(Atletas!Q315="Baguazhang B",505,IF(Atletas!Q315="Outro Estilo Interno B",506,IF(Atletas!Q315="Xingyiquan C",507,IF(Atletas!Q315="Baguazhang C",508,IF(Atletas!Q315="Outro Estilo Interno C",509,IF(Atletas!Q315="Xingyiquan D",510,IF(Atletas!Q315="Baguazhang D",511,IF(Atletas!Q315="Outro Estilo Interno D",512,IF(Atletas!Q315="Xingyiquan E",513,IF(Atletas!Q315="Baguazhang E",514,IF(Atletas!Q315="Outro Estilo Interno E",515,IF(Atletas!Q315="Xingyiquan F",516,IF(Atletas!Q315="Baguazhang F",517,IF(Atletas!Q315="Outro Estilo Interno F",518, "")))))))))))))))))))</f>
        <v/>
      </c>
      <c r="BZ324" s="50" t="str">
        <f>IF(Atletas!R315="","",IF(Atletas!X315&lt;&gt;"",10000,0)+IF(Atletas!B315="Feminino",1000,IF(Atletas!B315="Masculino",2000,""))+IF(Atletas!R315="Dao A",601,IF(Atletas!R315="Jian A",602,IF(Atletas!R315="Bishou A",603,IF(Atletas!R315="Shanzi A",604,IF(Atletas!R315="Outra Arma Curta A",605,IF(Atletas!R315="Dao B",606,IF(Atletas!R315="Jian B",607,IF(Atletas!R315="Bishou B",608,IF(Atletas!R315="Shanzi B",609,IF(Atletas!R315="Outra Arma Curta B",610,IF(Atletas!R315="Dao C",611,IF(Atletas!R315="Jian C",612,IF(Atletas!R315="Bishou C",613,IF(Atletas!R315="Shanzi C",614,IF(Atletas!R315="Outra Arma Curta C",615,IF(Atletas!R315="Dao D",616,IF(Atletas!R315="Jian D",617,IF(Atletas!R315="Bishou D",618,IF(Atletas!R315="Shanzi D",619,IF(Atletas!R315="Outra Arma Curta D",620,IF(Atletas!R315="Dao E",621,IF(Atletas!R315="Jian E",622,IF(Atletas!R315="Bishou E",623,IF(Atletas!R315="Shanzi E",624,IF(Atletas!R315="Outra Arma Curta E",625,IF(Atletas!R315="Dao F",626,IF(Atletas!R315="Jian F",627,IF(Atletas!R315="Bishou F",628,IF(Atletas!R315="Shanzi F",629,IF(Atletas!R315="Outra Arma Curta F",630, "")))))))))))))))))))))))))))))))</f>
        <v/>
      </c>
      <c r="CA324" s="50" t="str">
        <f>IF(Atletas!S315="","",IF(Atletas!X315&lt;&gt;"",10000,0)+IF(Atletas!B315="Feminino",1000,IF(Atletas!B315="Masculino",2000,""))+IF(Atletas!S315="Gun A",701,IF(Atletas!S315="Qiang A",702,IF(Atletas!S315="Pudao / Guandao A",703,IF(Atletas!S315="Outra Arma Longa A",704,IF(Atletas!S315="Gun B",705,IF(Atletas!S315="Qiang B",706,IF(Atletas!S315="Pudao / Guandao B",707,IF(Atletas!S315="Outra Arma Longa B",708,IF(Atletas!S315="Gun C",709,IF(Atletas!S315="Qiang C",710,IF(Atletas!S315="Pudao / Guandao C",711,IF(Atletas!S315="Outra Arma Longa C",712,IF(Atletas!S315="Gun D",713,IF(Atletas!S315="Qiang D",714,IF(Atletas!S315="Pudao / Guandao D",715,IF(Atletas!S315="Outra Arma Longa D",716,IF(Atletas!S315="Gun E",717,IF(Atletas!S315="Qiang E",718,IF(Atletas!S315="Pudao / Guandao E",719,IF(Atletas!S315="Outra Arma Longa E",720,IF(Atletas!S315="Gun F",721,IF(Atletas!S315="Qiang F",722,IF(Atletas!S315="Pudao / Guandao F",723,IF(Atletas!S315="Outra Arma Longa F",724,"")))))))))))))))))))))))))</f>
        <v/>
      </c>
      <c r="CB324" s="50" t="str">
        <f>IF(Atletas!T315="","",IF(Atletas!X315&lt;&gt;"",10000,0)+IF(Atletas!B315="Feminino",1000,IF(Atletas!B315="Masculino",2000,""))+IF(Atletas!T315="Outra Arma Dupla A",801,IF(Atletas!T315="Arma Maleável A",802,IF(Atletas!T315="Outra Arma Dupla B",803,IF(Atletas!T315="Arma Maleável B",804,IF(Atletas!T315="Outra Arma Dupla C",805,IF(Atletas!T315="Arma Maleável C",806,IF(Atletas!T315="Outra Arma Dupla D",807,IF(Atletas!T315="Arma Maleável D",808,IF(Atletas!T315="Outra Arma Dupla E",809,IF(Atletas!T315="Arma Maleável E",810,IF(Atletas!T315="Outra Arma Dupla F",811,IF(Atletas!T315="Arma Maleável F",812,IF(Atletas!T315="Shuangdao A",813,IF(Atletas!T315="Shuangdao B",814,IF(Atletas!T315="Shuangdao C",815,IF(Atletas!T315="Shuangdao D",816,IF(Atletas!T315="Shuangdao E",817,IF(Atletas!T315="Shuangdao F",818,"")))))))))))))))))))</f>
        <v/>
      </c>
      <c r="CC324" s="50" t="str">
        <f>IF(Atletas!U315="","",IF(Atletas!X315&lt;&gt;"",10000,0)+IF(Atletas!B315="Feminino",1000,IF(Atletas!B315="Masculino",2000,""))+IF(OR(Atletas!U315="Taijijian Yang A",Atletas!U315="Taijijian Yang Standard A"),901,IF(OR(Atletas!U315="Taijijian Chen A", Atletas!U315="Taijijian Chen Standard A"),902,IF(Atletas!U315="Taijijian Sun A",903,IF(Atletas!U315="Taijijian Wu A",904,IF(Atletas!U315="Taijijian Wu-Hao A",905,IF(OR(Atletas!U315="Taijijian 32 A",Atletas!U315="Taijijian 42 A"),906,IF(OR(Atletas!U315="Taijijian Yang B",Atletas!U315="Taijijian Yang Standard B"),907,IF(OR(Atletas!U315="Taijijian Chen B", Atletas!U315="Taijijian Chen Standard B"),908,IF(Atletas!U315="Taijijian Sun B",909,IF(Atletas!U315="Taijijian Wu B",910,IF(Atletas!U315="Taijijian Wu-Hao B",911,IF(OR(Atletas!U315="Taijijian 32 B",Atletas!U315="Taijijian 42 B"),912,IF(OR(Atletas!U315="Taijijian Yang C",Atletas!U315="Taijijian Yang Standard C"),913,IF(OR(Atletas!U315="Taijijian Chen C", Atletas!U315="Taijijian Chen Standard C"),914,IF(Atletas!U315="Taijijian Sun C",915,IF(Atletas!U315="Taijijian Wu C",916,IF(Atletas!U315="Taijijian Wu-Hao C",917,IF(OR(Atletas!U315="Taijijian 32 C",Atletas!U315="Taijijian 42 C"),918,IF(OR(Atletas!U315="Taijijian Yang D",Atletas!U315="Taijijian Yang Standard D"),919,IF(OR(Atletas!U315="Taijijian Chen D", Atletas!U315="Taijijian Chen Standard D"),920,IF(Atletas!U315="Taijijian Sun D",921,IF(Atletas!U315="Taijijian Wu D",922,IF(Atletas!U315="Taijijian Wu-Hao D",923,IF(OR(Atletas!U315="Taijijian 32 D",Atletas!U315="Taijijian 42 D"),924,IF(OR(Atletas!U315="Taijijian Yang E",Atletas!U315="Taijijian Yang Standard E"),925,IF(OR(Atletas!U315="Taijijian Chen E", Atletas!U315="Taijijian Chen Standard E"),926,IF(Atletas!U315="Taijijian Sun E",927,IF(Atletas!U315="Taijijian Wu E",928,IF(Atletas!U315="Taijijian Wu-Hao E",929,IF(OR(Atletas!U315="Taijijian 32 E",Atletas!U315="Taijijian 42 E"),930,IF(OR(Atletas!U315="Taijijian Yang F",Atletas!U315="Taijijian Yang Standard F"),931,IF(OR(Atletas!U315="Taijijian Chen F", Atletas!U315="Taijijian Chen Standard F"),932,IF(Atletas!U315="Taijijian Sun F",933,IF(Atletas!U315="Taijijian Wu F",934,IF(Atletas!U315="Taijijian Wu-Hao F",935,IF(OR(Atletas!U315="Taijijian 32 F",Atletas!U315="Taijijian 42 F"),936,"")))))))))))))))))))))))))))))))))))))</f>
        <v/>
      </c>
      <c r="CD324" s="50" t="str">
        <f>IF(Atletas!V315="","",IF(Atletas!X315&lt;&gt;"",10000,0)+IF(Atletas!B315="Feminino",1000,IF(Atletas!B315="Masculino",2000,""))+IF(Atletas!V315="Taijidao A",937,IF(Atletas!V315="TaijiShanzi A",938,IF(Atletas!V315="Taijiqiang A",939,IF(Atletas!V315="Bagua de Arma A",940,IF(Atletas!V315="Xingyi de Arma A",941,IF(Atletas!V315="Taijidao B",942,IF(Atletas!V315="TaijiShanzi B",943,IF(Atletas!V315="Taijiqiang B",944,IF(Atletas!V315="Bagua de Arma B",945,IF(Atletas!V315="Xingyi de Arma B",946,IF(Atletas!V315="Taijidao C",947,IF(Atletas!V315="TaijiShanzi C",948,IF(Atletas!V315="Taijiqiang C",949,IF(Atletas!V315="Bagua de Arma C",950,IF(Atletas!V315="Xingyi de Arma C",951,IF(Atletas!V315="Taijidao D",952,IF(Atletas!V315="TaijiShanzi D",953,IF(Atletas!V315="Taijiqiang D",954,IF(Atletas!V315="Bagua de Arma D",955,IF(Atletas!V315="Xingyi de Arma D",956,IF(Atletas!V315="Taijidao E",957,IF(Atletas!V315="TaijiShanzi E",958,IF(Atletas!V315="Taijiqiang E",959,IF(Atletas!V315="Bagua de Arma E",960,IF(Atletas!V315="Xingyi de Arma E",961,IF(Atletas!V315="Taijidao F",962,IF(Atletas!V315="TaijiShanzi F",963,IF(Atletas!V315="Taijiqiang F",964,IF(Atletas!V315="Bagua de Arma F",965,IF(Atletas!V315="Xingyi de Arma F",966,"")))))))))))))))))))))))))))))))</f>
        <v/>
      </c>
      <c r="CE324" s="66" t="str">
        <f>IF(CF324&lt;&gt;"","Taijijian Combinado D","")</f>
        <v/>
      </c>
      <c r="CF324" s="6" t="str">
        <f>IF(COUNTIF(BR:CD,1924)&gt;0,COUNTIF(BR:CD,1924),"")</f>
        <v/>
      </c>
      <c r="CG324" s="66" t="str">
        <f>IF(CH324&lt;&gt;"","Taijijian Combinado D","")</f>
        <v/>
      </c>
      <c r="CH324" s="66" t="str">
        <f>IF(COUNTIF(BR:CD,2924)&gt;0,COUNTIF(BR:CD,2924),"")</f>
        <v/>
      </c>
      <c r="CI324" s="66" t="str">
        <f>IF(CJ325&lt;&gt;"","Taijidao A","")</f>
        <v/>
      </c>
      <c r="CJ324" s="66" t="str">
        <f>IF(COUNTIF(BR:CD,11936)&gt;0,COUNTIF(BR:CD,11936),"")</f>
        <v/>
      </c>
      <c r="CK324" s="66" t="str">
        <f>IF(CL324&lt;&gt;"","Taijijian Combinado F","")</f>
        <v/>
      </c>
      <c r="CL324" s="66" t="str">
        <f>IF(COUNTIF(BR:CD,12936)&gt;0,COUNTIF(BR:CD,12936),"")</f>
        <v/>
      </c>
      <c r="CM324" s="50" t="str">
        <f xml:space="preserve"> IF(Atletas!W315="","",IF(Atletas!W315="Duilian de Mãos BC - Equipe 1",1,IF(Atletas!W315="Duilian de Mãos BC - Equipe 2",2,IF(Atletas!W315="Duilian de Armas BC - Equipe 1",3,IF(Atletas!W315="Duilian de Armas BC - Equipe 2",4,IF(Atletas!W315="Duilian de Mãos DE - Equipe 1",5,IF(Atletas!W315="Duilian de Mãos DE - Equipe 2",6,IF(Atletas!W315="Duilian de Armas DE - Equipe 1",7,IF(Atletas!W315="Duilian de Armas DE - Equipe 2",8,IF(Atletas!W315="Duilian de Tuishou - Equipe 1",9,IF(Atletas!W315="Duilian de Tuishou - Equipe 2",10,IF(Atletas!W315="Grupo Externo ABC - Equipe 1",11,IF(Atletas!W315="Grupo Externo ABC - Equipe 2",12,IF(Atletas!W315="Grupo Interno ABC - Equipe 1",13,IF(Atletas!W315="Grupo Interno ABC - Equipe 2",14,IF(Atletas!W315="Grupo Externo DEF - Equipe 1",15,IF(Atletas!W315="Grupo Externo DEF - Equipe 2",16,IF(Atletas!W315="Grupo Interno DEF - Equipe 1",17,IF(Atletas!W315="Grupo Interno DEF - Equipe 2",18,"")))))))))))))))))))</f>
        <v/>
      </c>
    </row>
    <row r="325" spans="40:91">
      <c r="AN325" s="52" t="str">
        <f>IF(Atletas!D316="","",IF(Atletas!B316="Feminino",100,IF(Atletas!B316="Masculino",200,""))+(IF(Atletas!D316="Kids 30kg",1,IF(Atletas!D316="Kids 32kg",2, IF(Atletas!D316="Kids 34kg",3,IF(Atletas!D316="Kids 36kg",4,IF(Atletas!D316="Kids 39kg",5,IF(Atletas!D316="Kids 42kg",6,IF(Atletas!D316="Kids 45kg",7, IF(Atletas!D316="Infantil 39kg",8,IF(Atletas!D316="Infantil 42kg",9,IF(Atletas!D316="Infantil 45kg",10,IF(Atletas!D316="Infantil 48kg",11,IF(Atletas!D316="Infantil 52kg",12,IF(Atletas!D316="Infantil 56kg",13,IF(Atletas!D316="Infantil 60kg",14,IF(Atletas!D316="Juvenil 48kg",15,IF(Atletas!D316="Juvenil 52kg",16,IF(Atletas!D316="Juvenil 56kg",17,IF(Atletas!D316="Juvenil 60kg",18,IF(Atletas!D316="Juvenil 65kg",19,IF(Atletas!D316="Juvenil 70kg",20,IF(Atletas!D316="Juvenil 75kg",21,IF(Atletas!D316="Juvenil 80kg",22, IF(Atletas!D316="Juvenil 85kg",23,IF(Atletas!D316="Adulto 48kg",24,IF(Atletas!D316="Adulto 52kg",25,IF(Atletas!D316="Adulto 56kg",26,IF(Atletas!D316="Adulto 60kg",27,IF(Atletas!D316="Adulto 65kg",28,IF(Atletas!D316="Adulto 70kg",29,IF(Atletas!D316="Adulto 75kg",30,IF(Atletas!D316="Adulto 80kg",31,IF(Atletas!D316="Adulto 85kg",32,IF(Atletas!D316="Adulto 90kg",33,IF(Atletas!D316="Adulto 100kg",34, IF(Atletas!D316="Adulto +100kg",35,"")))))))))))))))))))))))))))))))))))))</f>
        <v/>
      </c>
      <c r="AS325" s="6" t="str">
        <f>IF(Atletas!E316="","",IF(Atletas!B316="Feminino",100,IF(Atletas!B316="Masculino",200,""))+(IF(Atletas!E316="Juvenil 44kg",1,IF(Atletas!E316="Juvenil 48kg",2,IF(Atletas!E316="Juvenil 52kg",3,IF(Atletas!E316="Juvenil 56kg",4,IF(Atletas!E316="Juvenil 60kg",5,IF(Atletas!E316="Juvenil 65kg",6,IF(Atletas!E316="Juvenil 70kg",7,IF(Atletas!E316="Juvenil 75kg",8,IF(Atletas!E316="Juvenil 82kg",9,IF(Atletas!E316="Juvenil 90kg",10,IF(Atletas!E316="Juvenil 100kg",11,IF(Atletas!E316="Adulto 48kg",12,IF(Atletas!E316="Adulto 52kg",13,IF(Atletas!E316="Adulto 56kg",14,IF(Atletas!E316="Adulto 60kg",15,IF(Atletas!E316="Adulto 65kg",16,IF(Atletas!E316="Adulto 70kg",17,IF(Atletas!E316="Adulto 75kg",18,IF(Atletas!E316="Adulto 82kg",19,IF(Atletas!E316="Adulto 90kg",20,IF(Atletas!E316="Adulto 100kg",21,IF(Atletas!E316="Adulto +100kg",22,""))))))))))))))))))))))))</f>
        <v/>
      </c>
      <c r="AX325" s="6" t="str">
        <f>IF(Atletas!F316="","",IF(Atletas!B316="Feminino",100,IF(Atletas!B316="Masculino",200,""))+(IF(Atletas!F316="Adulto 48kg",1,IF(Atletas!F316="Adulto 56kg",2,IF(Atletas!F316="Adulto 65kg",3,IF(Atletas!F316="Adulto 75kg",4,IF(Atletas!F316="Adulto +75kg",5,IF(Atletas!F316="Adulto 52kg",6,IF(Atletas!F316="Adulto 60kg",7,IF(Atletas!F316="Adulto 70kg",8,IF(Atletas!F316="Adulto 80kg",9,IF(Atletas!F316="Adulto 90kg",10,IF(Atletas!F316="Adulto +90kg",11,"")))))))))))))</f>
        <v/>
      </c>
      <c r="BC325" s="6" t="str">
        <f>IF(Atletas!G316="","",IF(Atletas!B316="Feminino",10,IF(Atletas!B316="Masculino",20,""))+(IF(Atletas!G316="Baduanjin A",1,IF(Atletas!G316="Baduanjin B",2))))</f>
        <v/>
      </c>
      <c r="BF325" s="52" t="str">
        <f>IF(Atletas!H316="","",IF(Atletas!B316="Feminino",100,IF(Atletas!B316="Masculino",200,""))+(IF(Atletas!H316="Changquan Mirim",1,IF(Atletas!H316="Nanquan Mirim",2,IF(Atletas!H316="Taijiquan Mirim",3,IF(Atletas!H316="Changquan Grupo C",4,IF(Atletas!H316="Nanquan Grupo C",5,IF(Atletas!H316="Taijiquan Grupo C",6,IF(Atletas!H316="Changquan Grupo B",7,IF(Atletas!H316="Nanquan Grupo B",8,IF(Atletas!H316="Taijiquan Grupo B",9,IF(Atletas!H316="Changquan Grupo A",10,IF(Atletas!H316="Nanquan Grupo A",11,IF(Atletas!H316="Taijiquan Grupo A",12,IF(Atletas!H316="Changquan Opcional",13,IF(Atletas!H316="Nanquan Opcional",14,IF(Atletas!H316="Taijiquan Opcional",15,IF(Atletas!H316="Changquan Adulto",16,IF(Atletas!H316="Nanquan Adulto",17,IF(Atletas!H316="Taijiquan Adulto",18,""))))))))))))))))))))</f>
        <v/>
      </c>
      <c r="BG325" s="52" t="str">
        <f>IF(Atletas!I316="","",IF(Atletas!B316="Feminino",100,IF(Atletas!B316="Masculino",200,""))+(IF(Atletas!I316="Daoshu Mirim",19,IF(Atletas!I316="Jianshu Mirim",20,IF(Atletas!I316="Nandao Mirim",21,IF(Atletas!I316="Taijijian Mirim",22,IF(Atletas!I316="Daoshu Grupo C",23,IF(Atletas!I316="Jianshu Grupo C",24,IF(Atletas!I316="Nandao Grupo C",25,IF(Atletas!I316="Taijijian Grupo C",26,IF(Atletas!I316="Daoshu Grupo B",27,IF(Atletas!I316="Jianshu Grupo B",28,IF(Atletas!I316="Nandao Grupo B",29,IF(Atletas!I316="Taijijian Grupo B",30,IF(Atletas!I316="Daoshu Grupo A",31,IF(Atletas!I316="Jianshu Grupo A",32,IF(Atletas!I316="Nandao Grupo A",33,IF(Atletas!I316="Taijijian Grupo A",34,IF(Atletas!I316="Daoshu Opcional",35,IF(Atletas!I316="Jianshu Opcional",36,IF(Atletas!I316="Nandao Opcional",37,IF(Atletas!I316="Taijijian Opcional",38,IF(Atletas!I316="Daoshu Adulto",39,IF(Atletas!I316="Jianshu Adulto",40,IF(Atletas!I316="Nandao Adulto",41,IF(Atletas!I316="Taijijian Adulto",42,""))))))))))))))))))))))))))</f>
        <v/>
      </c>
      <c r="BH325" s="52" t="str">
        <f>IF(Atletas!J316="","",IF(Atletas!B316="Feminino",100,IF(Atletas!B316="Masculino",200,""))+(IF(Atletas!J316="Gunshu Mirim",43,IF(Atletas!J316="Qiangshu Mirim",44,IF(Atletas!J316="Nangun Mirim",45,IF(Atletas!J316="Gunshu Grupo C",46,IF(Atletas!J316="Qiangshu Grupo C",47,IF(Atletas!J316="Nangun Grupo C",48,IF(Atletas!J316="Gunshu Grupo B",49,IF(Atletas!J316="Qiangshu Grupo B",50,IF(Atletas!J316="Nangun Grupo B",51,IF(Atletas!J316="Gunshu Grupo A",52,IF(Atletas!J316="Qiangshu Grupo A",53,IF(Atletas!J316="Nangun Grupo A",54,IF(Atletas!J316="Gunshu Opcional",55,IF(Atletas!J316="Qiangshu Opcional",56,IF(Atletas!J316="Nangun Opcional",57,IF(Atletas!J316="Gunshu Adulto",58,IF(Atletas!J316="Qiangshu Adulto",59,IF(Atletas!J316="Nangun Adulto",60,IF(Atletas!J316="Taijishan Grupo B",61,IF(Atletas!J316="Taijishan Grupo A",62,""))))))))))))))))))))))</f>
        <v/>
      </c>
      <c r="BM325" s="50" t="str">
        <f>IF(Atletas!K316="","",IF(Atletas!B316="Feminino",100,IF(Atletas!B316="Masculino",200,""))+(IF(Atletas!K316="Equipe 1 Grupo B",1,IF(Atletas!K316="Equipe 2 Grupo B",2,IF(Atletas!K316="Equipe 1 Grupo A",3,IF(Atletas!K316="Equipe 2 Grupo A",4,IF(Atletas!K316="Equipe 1 Adulto",5,IF(Atletas!K316="Equipe 2 Adulto",6,""))))))))</f>
        <v/>
      </c>
      <c r="BR325" s="50" t="str">
        <f>IF(Atletas!L316="","",IF(Atletas!X316&lt;&gt;"",10000,0)+(IF(Atletas!B316="Feminino",1000,IF(Atletas!B316="Masculino",2000,""))+IF(Atletas!L316="Choylayfut A",1,IF(Atletas!L316="Hunggar A",2,IF(Atletas!L316="Wuzuquan A",3,IF(Atletas!L316="Wingchun A",4,IF(Atletas!L316="Outra Mão de Sul A",5,IF(Atletas!L316="Choylayfut B",6,IF(Atletas!L316="Hunggar B",7,IF(Atletas!L316="Wuzuquan B",8,IF(Atletas!L316="Wingchun B",9,IF(Atletas!L316="Outra Mão de Sul B",10,IF(Atletas!L316="Choylayfut C",11,IF(Atletas!L316="Hunggar C",12,IF(Atletas!L316="Wuzuquan C",13,IF(Atletas!L316="Wingchun C",14,IF(Atletas!L316="Outra Mão de Sul C",15,IF(Atletas!L316="Choylayfut D",16,IF(Atletas!L316="Hunggar D",17,IF(Atletas!L316="Wuzuquan D",18,IF(Atletas!L316="Wingchun D",19,IF(Atletas!L316="Outra Mão de Sul D",20,IF(Atletas!L316="Choylayfut E",21,IF(Atletas!L316="Hunggar E",22,IF(Atletas!L316="Wuzuquan E",23,IF(Atletas!L316="Wingchun E",24,IF(Atletas!L316="Outra Mão de Sul E",25,IF(Atletas!L316="Choylayfut F",26,IF(Atletas!L316="Hunggar F",27,IF(Atletas!L316="Wuzuquan F",28,IF(Atletas!L316="Wingchun F",29,IF(Atletas!L316="Outra Mão de Sul F",30,IF(Atletas!L316="Dishuquan A",31,IF(Atletas!L316="Dishuquan B",32,IF(Atletas!L316="Dishuquan C",33,IF(Atletas!L316="Dishuquan D",34,IF(Atletas!L316="Dishuquan E",35,IF(Atletas!L316="Dishuquan F",36,""))))))))))))))))))))))))))))))))))))))</f>
        <v/>
      </c>
      <c r="BS325" s="50" t="str">
        <f>IF(Atletas!M316="","",IF(Atletas!X316&lt;&gt;"",10000,0)+(IF(Atletas!B316="Feminino",1000,IF(Atletas!B316="Masculino",2000,""))+(IF(Atletas!M316="Chaquan A",101,IF(Atletas!M316="Emeiquan A",102,IF(Atletas!M316="Fanziquan A",103,IF(Atletas!M316="Huaquan A",104,IF(Atletas!M316="Hongquan A",105,IF(Atletas!M316="Paoquan A",106,IF(Atletas!M316="Piguaquan A",107,IF(Atletas!M316="Shaolinquan A",108,IF(Atletas!M316="Tanglangquan A",109,IF(Atletas!M316="Yingzhaoquan A",110,IF(Atletas!M316="Tongbeiquan A",111,IF(Atletas!M316="Wudangquan A",112,IF(Atletas!M316="Outros Estilos A",113,IF(Atletas!M316="Chaquan B",114,IF(Atletas!M316="Emeiquan B",115,IF(Atletas!M316="Fanziquan B",116,IF(Atletas!M316="Huaquan B",117,IF(Atletas!M316="Hongquan B",118,IF(Atletas!M316="Paoquan B",119,IF(Atletas!M316="Piguaquan B",120,IF(Atletas!M316="Shaolinquan B",121,IF(Atletas!M316="Tanglangquan B",122,IF(Atletas!M316="Yingzhaoquan B",123,IF(Atletas!M316="Tongbeiquan B",124,IF(Atletas!M316="Wudangquan B",125,IF(Atletas!M316="Outros Estilos B",126,IF(Atletas!M316="Chaquan C",127,IF(Atletas!M316="Emeiquan C",128,IF(Atletas!M316="Fanziquan C",129,IF(Atletas!M316="Huaquan C",130,IF(Atletas!M316="Hongquan C",131,IF(Atletas!M316="Paoquan C",132,IF(Atletas!M316="Piguaquan C",133,IF(Atletas!M316="Shaolinquan C",134,IF(Atletas!M316="Tanglangquan C",135,IF(Atletas!M316="Yingzhaoquan C",136,IF(Atletas!M316="Tongbeiquan C",137,IF(Atletas!M316="Wudangquan C",138,IF(Atletas!M316="Outros Estilos C",139,0))))))))))))))))))))))))))))))))))))))))))</f>
        <v/>
      </c>
      <c r="BT325" s="50" t="str">
        <f>IF(Atletas!M316="","",IF(Atletas!X316&lt;&gt;"",10000,0)+(IF(Atletas!B316="Feminino",1000,IF(Atletas!B316="Masculino",2000,""))+(IF(Atletas!M316="Chaquan D",140,IF(Atletas!M316="Emeiquan D",141,IF(Atletas!M316="Fanziquan D",142,IF(Atletas!M316="Huaquan D",143,IF(Atletas!M316="Hongquan D",144,IF(Atletas!M316="Paoquan D",145,IF(Atletas!M316="Piguaquan D",146,IF(Atletas!M316="Shaolinquan D",147,IF(Atletas!M316="Tanglangquan D",148,IF(Atletas!M316="Yingzhaoquan D",149,IF(Atletas!M316="Tongbeiquan D",150,IF(Atletas!M316="Wudangquan D",151,IF(Atletas!M316="Outros Estilos D",152,IF(Atletas!M316="Chaquan E",153,IF(Atletas!M316="Emeiquan E",154,IF(Atletas!M316="Fanziquan E",155,IF(Atletas!M316="Huaquan E",156,IF(Atletas!M316="Hongquan E",157,IF(Atletas!M316="Paoquan E",158,IF(Atletas!M316="Piguaquan E",159,IF(Atletas!M316="Shaolinquan E",160,IF(Atletas!M316="Tanglangquan E",161,IF(Atletas!M316="Yingzhaoquan E",162,IF(Atletas!M316="Tongbeiquan E",163,IF(Atletas!M316="Wudangquan E",164,IF(Atletas!M316="Outros Estilos E",165,IF(Atletas!M316="Chaquan F",166,IF(Atletas!M316="Emeiquan F",167,IF(Atletas!M316="Fanziquan F",168,IF(Atletas!M316="Huaquan F",169,IF(Atletas!M316="Hongquan F",170,IF(Atletas!M316="Paoquan F",171,IF(Atletas!M316="Piguaquan F",172,IF(Atletas!M316="Shaolinquan F",173,IF(Atletas!M316="Tanglangquan F",174,IF(Atletas!M316="Yingzhaoquan F",175,IF(Atletas!M316="Tongbeiquan F",176,IF(Atletas!M316="Wudangquan F",177,IF(Atletas!M316="Outros Estilos F",178,0))))))))))))))))))))))))))))))))))))))))))</f>
        <v/>
      </c>
      <c r="BU325" s="50" t="str">
        <f>IF(Atletas!N316="","",IF(Atletas!X316&lt;&gt;"",10000,0)+(IF(Atletas!B316="Feminino",1000,IF(Atletas!B316="Masculino",2000,""))+(IF(Atletas!N316="Ditangquan A",201,IF(Atletas!N316="Houquan A",202,IF(Atletas!N316="Zuiquan A",203,IF(Atletas!N316="Ditangquan B",204,IF(Atletas!N316="Houquan B",205,IF(Atletas!N316="Zuiquan B",206,IF(Atletas!N316="Ditangquan C",207,IF(Atletas!N316="Houquan C",208,IF(Atletas!N316="Zuiquan C",209,IF(Atletas!N316="Ditangquan D",210,IF(Atletas!N316="Houquan D",211,IF(Atletas!N316="Zuiquan D",212,IF(Atletas!N316="Ditangquan E",213,IF(Atletas!N316="Houquan E",214,IF(Atletas!N316="Zuiquan E",215,IF(Atletas!N316="Ditangquan F",216,IF(Atletas!N316="Houquan F",217,IF(Atletas!N316="Zuiquan F",218,"")))))))))))))))))))))</f>
        <v/>
      </c>
      <c r="BV325" s="50" t="str">
        <f>IF(Atletas!O316="","",IF(Atletas!X316&lt;&gt;"",10000,0)+IF(Atletas!B316="Feminino",1000,IF(Atletas!B316="Masculino",2000,""))+IF(Atletas!O316="Yang A",301,IF(Atletas!O316="Chen A",302,IF(Atletas!O316="Sun A",303,IF(Atletas!O316="Wu A",304,IF(Atletas!O316="Wu-Hao A",305,IF(Atletas!O316="Outro Taijiquan A",306,IF(Atletas!O316="Yang B",307,IF(Atletas!O316="Chen B",308,IF(Atletas!O316="Sun B",309,IF(Atletas!O316="Wu B",310,IF(Atletas!O316="Wu-Hao B",311,IF(Atletas!O316="Outro Taijiquan B",312,IF(Atletas!O316="Yang C",313,IF(Atletas!O316="Chen C",314,IF(Atletas!O316="Sun C",315,IF(Atletas!O316="Wu C",316,IF(Atletas!O316="Wu-Hao C",317,IF(Atletas!O316="Outro Taijiquan C",318,IF(Atletas!O316="Yang D",319,IF(Atletas!O316="Chen D",320,IF(Atletas!O316="Sun D",321,IF(Atletas!O316="Wu D",322,IF(Atletas!O316="Wu-Hao D",323,IF(Atletas!O316="Outro Taijiquan D",324,IF(Atletas!O316="Yang E",325,IF(Atletas!O316="Chen E",326,IF(Atletas!O316="Sun E",327,IF(Atletas!O316="Wu E",328,IF(Atletas!O316="Wu-Hao E",329,IF(Atletas!O316="Outro Taijiquan E",330,IF(Atletas!O316="Yang F",331,IF(Atletas!O316="Chen F",332,IF(Atletas!O316="Sun F",333,IF(Atletas!O316="Wu F",334,IF(Atletas!O316="Wu-Hao F",335,IF(Atletas!O316="Outro Taijiquan F",336,"")))))))))))))))))))))))))))))))))))))</f>
        <v/>
      </c>
      <c r="BW325" s="50" t="str">
        <f>IF(Atletas!P316="","",IF(Atletas!X316&lt;&gt;"",10000,0)+IF(Atletas!B316="Feminino",1000,IF(Atletas!B316="Masculino",2000,""))+IF(OR(Atletas!P316="Yang 26 A",Atletas!P316="Yang 40 A"),401,IF(OR(Atletas!P316="Chen 25 A",Atletas!P316="Chen 36 A",Atletas!P316="Chen 56 A"),402,IF(Atletas!P316="Sun 73 A",403,IF(Atletas!P316="Wu 45 A",404,IF(Atletas!P316="Wu-Hao 46 A",405,IF(OR(Atletas!P316="Taijiquan 16 A",Atletas!P316="Taijiquan 24 A",Atletas!P316="Taijiquan 32 A",Atletas!P316="Taijiquan 42 A"),406,IF(OR(Atletas!P316="Yang 26 B",Atletas!P316="Yang 40 B"),407,IF(OR(Atletas!P316="Chen 25 B",Atletas!P316="Chen 36 B",Atletas!P316="Chen 56 B"),408,IF(Atletas!P316="Sun 73 B",409,IF(Atletas!P316="Wu 45 B",410,IF(Atletas!P316="Wu-Hao 46 B",411,IF(OR(Atletas!P316="Taijiquan 16 B",Atletas!P316="Taijiquan 24 B",Atletas!P316="Taijiquan 32 B",Atletas!P316="Taijiquan 42 B"),412,IF(OR(Atletas!P316="Yang 26 C",Atletas!P316="Yang 40 C"),413,IF(OR(Atletas!P316="Chen 25 C",Atletas!P316="Chen 36 C",Atletas!P316="Chen 56 C"),414,IF(Atletas!P316="Sun 73 C",415,IF(Atletas!P316="Wu 45 C",416,IF(Atletas!P316="Wu-Hao 46 C",417,IF(OR(Atletas!P316="Taijiquan 16 C",Atletas!P316="Taijiquan 24 C",Atletas!P316="Taijiquan 32 C",Atletas!P316="Taijiquan 42 C"),418,0)))))))))))))))))))</f>
        <v/>
      </c>
      <c r="BX325" s="50" t="str">
        <f>IF(Atletas!P316="","",IF(Atletas!X316&lt;&gt;"",10000,0)+IF(Atletas!B316="Feminino",1000,IF(Atletas!B316="Masculino",2000,""))+IF(OR(Atletas!P316="Yang 26 D",Atletas!P316="Yang 40 D"),419,IF(OR(Atletas!P316="Chen 25 D",Atletas!P316="Chen 36 D",Atletas!P316="Chen 56 D"),420,IF(Atletas!P316="Sun 73 D",421,IF(Atletas!P316="Wu 45 D",422,IF(Atletas!P316="Wu-Hao 46 D",423,IF(OR(Atletas!P316="Taijiquan 16 D",Atletas!P316="Taijiquan 24 D",Atletas!P316="Taijiquan 32 D",Atletas!P316="Taijiquan 42 D"),424,IF(OR(Atletas!P316="Yang 26 E",Atletas!P316="Yang 40 E"),425,IF(OR(Atletas!P316="Chen 25 E",Atletas!P316="Chen 36 E",Atletas!P316="Chen 56 E"),426,IF(Atletas!P316="Sun 73 E",427,IF(Atletas!P316="Wu 45 E",428,IF(Atletas!P316="Wu-Hao 46 E",429,IF(OR(Atletas!P316="Taijiquan 16 E",Atletas!P316="Taijiquan 24 E",Atletas!P316="Taijiquan 32 E",Atletas!P316="Taijiquan 42 E"),430,IF(OR(Atletas!P316="Yang 26 F",Atletas!P316="Yang 40 F"),431,IF(OR(Atletas!P316="Chen 25 F",Atletas!P316="Chen 36 F",Atletas!P316="Chen 56 F"),432,IF(Atletas!P316="Sun 73 F",433,IF(Atletas!P316="Wu 45 F",434,IF(Atletas!P316="Wu-Hao 46 F",435,IF(OR(Atletas!P316="Taijiquan 16 F",Atletas!P316="Taijiquan 24 F",Atletas!P316="Taijiquan 32 F",Atletas!P316="Taijiquan 42 F"),436,0)))))))))))))))))))</f>
        <v/>
      </c>
      <c r="BY325" s="50" t="str">
        <f>IF(Atletas!Q316="","",IF(Atletas!X316&lt;&gt;"",10000,0)+IF(Atletas!B316="Feminino",1000,IF(Atletas!B316="Masculino",2000,""))+IF(Atletas!Q316="Xingyiquan A",501,IF(Atletas!Q316="Baguazhang A",502,IF(Atletas!Q316="Outro Estilo Interno A",503,IF(Atletas!Q316="Xingyiquan B",504,IF(Atletas!Q316="Baguazhang B",505,IF(Atletas!Q316="Outro Estilo Interno B",506,IF(Atletas!Q316="Xingyiquan C",507,IF(Atletas!Q316="Baguazhang C",508,IF(Atletas!Q316="Outro Estilo Interno C",509,IF(Atletas!Q316="Xingyiquan D",510,IF(Atletas!Q316="Baguazhang D",511,IF(Atletas!Q316="Outro Estilo Interno D",512,IF(Atletas!Q316="Xingyiquan E",513,IF(Atletas!Q316="Baguazhang E",514,IF(Atletas!Q316="Outro Estilo Interno E",515,IF(Atletas!Q316="Xingyiquan F",516,IF(Atletas!Q316="Baguazhang F",517,IF(Atletas!Q316="Outro Estilo Interno F",518, "")))))))))))))))))))</f>
        <v/>
      </c>
      <c r="BZ325" s="50" t="str">
        <f>IF(Atletas!R316="","",IF(Atletas!X316&lt;&gt;"",10000,0)+IF(Atletas!B316="Feminino",1000,IF(Atletas!B316="Masculino",2000,""))+IF(Atletas!R316="Dao A",601,IF(Atletas!R316="Jian A",602,IF(Atletas!R316="Bishou A",603,IF(Atletas!R316="Shanzi A",604,IF(Atletas!R316="Outra Arma Curta A",605,IF(Atletas!R316="Dao B",606,IF(Atletas!R316="Jian B",607,IF(Atletas!R316="Bishou B",608,IF(Atletas!R316="Shanzi B",609,IF(Atletas!R316="Outra Arma Curta B",610,IF(Atletas!R316="Dao C",611,IF(Atletas!R316="Jian C",612,IF(Atletas!R316="Bishou C",613,IF(Atletas!R316="Shanzi C",614,IF(Atletas!R316="Outra Arma Curta C",615,IF(Atletas!R316="Dao D",616,IF(Atletas!R316="Jian D",617,IF(Atletas!R316="Bishou D",618,IF(Atletas!R316="Shanzi D",619,IF(Atletas!R316="Outra Arma Curta D",620,IF(Atletas!R316="Dao E",621,IF(Atletas!R316="Jian E",622,IF(Atletas!R316="Bishou E",623,IF(Atletas!R316="Shanzi E",624,IF(Atletas!R316="Outra Arma Curta E",625,IF(Atletas!R316="Dao F",626,IF(Atletas!R316="Jian F",627,IF(Atletas!R316="Bishou F",628,IF(Atletas!R316="Shanzi F",629,IF(Atletas!R316="Outra Arma Curta F",630, "")))))))))))))))))))))))))))))))</f>
        <v/>
      </c>
      <c r="CA325" s="50" t="str">
        <f>IF(Atletas!S316="","",IF(Atletas!X316&lt;&gt;"",10000,0)+IF(Atletas!B316="Feminino",1000,IF(Atletas!B316="Masculino",2000,""))+IF(Atletas!S316="Gun A",701,IF(Atletas!S316="Qiang A",702,IF(Atletas!S316="Pudao / Guandao A",703,IF(Atletas!S316="Outra Arma Longa A",704,IF(Atletas!S316="Gun B",705,IF(Atletas!S316="Qiang B",706,IF(Atletas!S316="Pudao / Guandao B",707,IF(Atletas!S316="Outra Arma Longa B",708,IF(Atletas!S316="Gun C",709,IF(Atletas!S316="Qiang C",710,IF(Atletas!S316="Pudao / Guandao C",711,IF(Atletas!S316="Outra Arma Longa C",712,IF(Atletas!S316="Gun D",713,IF(Atletas!S316="Qiang D",714,IF(Atletas!S316="Pudao / Guandao D",715,IF(Atletas!S316="Outra Arma Longa D",716,IF(Atletas!S316="Gun E",717,IF(Atletas!S316="Qiang E",718,IF(Atletas!S316="Pudao / Guandao E",719,IF(Atletas!S316="Outra Arma Longa E",720,IF(Atletas!S316="Gun F",721,IF(Atletas!S316="Qiang F",722,IF(Atletas!S316="Pudao / Guandao F",723,IF(Atletas!S316="Outra Arma Longa F",724,"")))))))))))))))))))))))))</f>
        <v/>
      </c>
      <c r="CB325" s="50" t="str">
        <f>IF(Atletas!T316="","",IF(Atletas!X316&lt;&gt;"",10000,0)+IF(Atletas!B316="Feminino",1000,IF(Atletas!B316="Masculino",2000,""))+IF(Atletas!T316="Outra Arma Dupla A",801,IF(Atletas!T316="Arma Maleável A",802,IF(Atletas!T316="Outra Arma Dupla B",803,IF(Atletas!T316="Arma Maleável B",804,IF(Atletas!T316="Outra Arma Dupla C",805,IF(Atletas!T316="Arma Maleável C",806,IF(Atletas!T316="Outra Arma Dupla D",807,IF(Atletas!T316="Arma Maleável D",808,IF(Atletas!T316="Outra Arma Dupla E",809,IF(Atletas!T316="Arma Maleável E",810,IF(Atletas!T316="Outra Arma Dupla F",811,IF(Atletas!T316="Arma Maleável F",812,IF(Atletas!T316="Shuangdao A",813,IF(Atletas!T316="Shuangdao B",814,IF(Atletas!T316="Shuangdao C",815,IF(Atletas!T316="Shuangdao D",816,IF(Atletas!T316="Shuangdao E",817,IF(Atletas!T316="Shuangdao F",818,"")))))))))))))))))))</f>
        <v/>
      </c>
      <c r="CC325" s="50" t="str">
        <f>IF(Atletas!U316="","",IF(Atletas!X316&lt;&gt;"",10000,0)+IF(Atletas!B316="Feminino",1000,IF(Atletas!B316="Masculino",2000,""))+IF(OR(Atletas!U316="Taijijian Yang A",Atletas!U316="Taijijian Yang Standard A"),901,IF(OR(Atletas!U316="Taijijian Chen A", Atletas!U316="Taijijian Chen Standard A"),902,IF(Atletas!U316="Taijijian Sun A",903,IF(Atletas!U316="Taijijian Wu A",904,IF(Atletas!U316="Taijijian Wu-Hao A",905,IF(OR(Atletas!U316="Taijijian 32 A",Atletas!U316="Taijijian 42 A"),906,IF(OR(Atletas!U316="Taijijian Yang B",Atletas!U316="Taijijian Yang Standard B"),907,IF(OR(Atletas!U316="Taijijian Chen B", Atletas!U316="Taijijian Chen Standard B"),908,IF(Atletas!U316="Taijijian Sun B",909,IF(Atletas!U316="Taijijian Wu B",910,IF(Atletas!U316="Taijijian Wu-Hao B",911,IF(OR(Atletas!U316="Taijijian 32 B",Atletas!U316="Taijijian 42 B"),912,IF(OR(Atletas!U316="Taijijian Yang C",Atletas!U316="Taijijian Yang Standard C"),913,IF(OR(Atletas!U316="Taijijian Chen C", Atletas!U316="Taijijian Chen Standard C"),914,IF(Atletas!U316="Taijijian Sun C",915,IF(Atletas!U316="Taijijian Wu C",916,IF(Atletas!U316="Taijijian Wu-Hao C",917,IF(OR(Atletas!U316="Taijijian 32 C",Atletas!U316="Taijijian 42 C"),918,IF(OR(Atletas!U316="Taijijian Yang D",Atletas!U316="Taijijian Yang Standard D"),919,IF(OR(Atletas!U316="Taijijian Chen D", Atletas!U316="Taijijian Chen Standard D"),920,IF(Atletas!U316="Taijijian Sun D",921,IF(Atletas!U316="Taijijian Wu D",922,IF(Atletas!U316="Taijijian Wu-Hao D",923,IF(OR(Atletas!U316="Taijijian 32 D",Atletas!U316="Taijijian 42 D"),924,IF(OR(Atletas!U316="Taijijian Yang E",Atletas!U316="Taijijian Yang Standard E"),925,IF(OR(Atletas!U316="Taijijian Chen E", Atletas!U316="Taijijian Chen Standard E"),926,IF(Atletas!U316="Taijijian Sun E",927,IF(Atletas!U316="Taijijian Wu E",928,IF(Atletas!U316="Taijijian Wu-Hao E",929,IF(OR(Atletas!U316="Taijijian 32 E",Atletas!U316="Taijijian 42 E"),930,IF(OR(Atletas!U316="Taijijian Yang F",Atletas!U316="Taijijian Yang Standard F"),931,IF(OR(Atletas!U316="Taijijian Chen F", Atletas!U316="Taijijian Chen Standard F"),932,IF(Atletas!U316="Taijijian Sun F",933,IF(Atletas!U316="Taijijian Wu F",934,IF(Atletas!U316="Taijijian Wu-Hao F",935,IF(OR(Atletas!U316="Taijijian 32 F",Atletas!U316="Taijijian 42 F"),936,"")))))))))))))))))))))))))))))))))))))</f>
        <v/>
      </c>
      <c r="CD325" s="50" t="str">
        <f>IF(Atletas!V316="","",IF(Atletas!X316&lt;&gt;"",10000,0)+IF(Atletas!B316="Feminino",1000,IF(Atletas!B316="Masculino",2000,""))+IF(Atletas!V316="Taijidao A",937,IF(Atletas!V316="TaijiShanzi A",938,IF(Atletas!V316="Taijiqiang A",939,IF(Atletas!V316="Bagua de Arma A",940,IF(Atletas!V316="Xingyi de Arma A",941,IF(Atletas!V316="Taijidao B",942,IF(Atletas!V316="TaijiShanzi B",943,IF(Atletas!V316="Taijiqiang B",944,IF(Atletas!V316="Bagua de Arma B",945,IF(Atletas!V316="Xingyi de Arma B",946,IF(Atletas!V316="Taijidao C",947,IF(Atletas!V316="TaijiShanzi C",948,IF(Atletas!V316="Taijiqiang C",949,IF(Atletas!V316="Bagua de Arma C",950,IF(Atletas!V316="Xingyi de Arma C",951,IF(Atletas!V316="Taijidao D",952,IF(Atletas!V316="TaijiShanzi D",953,IF(Atletas!V316="Taijiqiang D",954,IF(Atletas!V316="Bagua de Arma D",955,IF(Atletas!V316="Xingyi de Arma D",956,IF(Atletas!V316="Taijidao E",957,IF(Atletas!V316="TaijiShanzi E",958,IF(Atletas!V316="Taijiqiang E",959,IF(Atletas!V316="Bagua de Arma E",960,IF(Atletas!V316="Xingyi de Arma E",961,IF(Atletas!V316="Taijidao F",962,IF(Atletas!V316="TaijiShanzi F",963,IF(Atletas!V316="Taijiqiang F",964,IF(Atletas!V316="Bagua de Arma F",965,IF(Atletas!V316="Xingyi de Arma F",966,"")))))))))))))))))))))))))))))))</f>
        <v/>
      </c>
      <c r="CE325" s="66" t="str">
        <f>IF(CF325&lt;&gt;"","Taijijian Yang E","")</f>
        <v/>
      </c>
      <c r="CF325" s="6" t="str">
        <f>IF(COUNTIF(BR:CD,1925)&gt;0,COUNTIF(BR:CD,1925),"")</f>
        <v/>
      </c>
      <c r="CG325" s="66" t="str">
        <f>IF(CH325&lt;&gt;"","Taijijian Yang E","")</f>
        <v/>
      </c>
      <c r="CH325" s="66" t="str">
        <f>IF(COUNTIF(BR:CD,2925)&gt;0,COUNTIF(BR:CD,2925),"")</f>
        <v/>
      </c>
      <c r="CI325" s="66" t="str">
        <f>IF(CJ326&lt;&gt;"","Taijishan A","")</f>
        <v/>
      </c>
      <c r="CJ325" s="66" t="str">
        <f>IF(COUNTIF(BR:CD,11937)&gt;0,COUNTIF(BR:CD,11937),"")</f>
        <v/>
      </c>
      <c r="CK325" s="66" t="str">
        <f>IF(CL325&lt;&gt;"","Taijidao A","")</f>
        <v/>
      </c>
      <c r="CL325" s="66" t="str">
        <f>IF(COUNTIF(BR:CD,12937)&gt;0,COUNTIF(BR:CD,12937),"")</f>
        <v/>
      </c>
      <c r="CM325" s="50" t="str">
        <f xml:space="preserve"> IF(Atletas!W316="","",IF(Atletas!W316="Duilian de Mãos BC - Equipe 1",1,IF(Atletas!W316="Duilian de Mãos BC - Equipe 2",2,IF(Atletas!W316="Duilian de Armas BC - Equipe 1",3,IF(Atletas!W316="Duilian de Armas BC - Equipe 2",4,IF(Atletas!W316="Duilian de Mãos DE - Equipe 1",5,IF(Atletas!W316="Duilian de Mãos DE - Equipe 2",6,IF(Atletas!W316="Duilian de Armas DE - Equipe 1",7,IF(Atletas!W316="Duilian de Armas DE - Equipe 2",8,IF(Atletas!W316="Duilian de Tuishou - Equipe 1",9,IF(Atletas!W316="Duilian de Tuishou - Equipe 2",10,IF(Atletas!W316="Grupo Externo ABC - Equipe 1",11,IF(Atletas!W316="Grupo Externo ABC - Equipe 2",12,IF(Atletas!W316="Grupo Interno ABC - Equipe 1",13,IF(Atletas!W316="Grupo Interno ABC - Equipe 2",14,IF(Atletas!W316="Grupo Externo DEF - Equipe 1",15,IF(Atletas!W316="Grupo Externo DEF - Equipe 2",16,IF(Atletas!W316="Grupo Interno DEF - Equipe 1",17,IF(Atletas!W316="Grupo Interno DEF - Equipe 2",18,"")))))))))))))))))))</f>
        <v/>
      </c>
    </row>
    <row r="326" spans="40:91">
      <c r="AN326" s="52" t="str">
        <f>IF(Atletas!D317="","",IF(Atletas!B317="Feminino",100,IF(Atletas!B317="Masculino",200,""))+(IF(Atletas!D317="Kids 30kg",1,IF(Atletas!D317="Kids 32kg",2, IF(Atletas!D317="Kids 34kg",3,IF(Atletas!D317="Kids 36kg",4,IF(Atletas!D317="Kids 39kg",5,IF(Atletas!D317="Kids 42kg",6,IF(Atletas!D317="Kids 45kg",7, IF(Atletas!D317="Infantil 39kg",8,IF(Atletas!D317="Infantil 42kg",9,IF(Atletas!D317="Infantil 45kg",10,IF(Atletas!D317="Infantil 48kg",11,IF(Atletas!D317="Infantil 52kg",12,IF(Atletas!D317="Infantil 56kg",13,IF(Atletas!D317="Infantil 60kg",14,IF(Atletas!D317="Juvenil 48kg",15,IF(Atletas!D317="Juvenil 52kg",16,IF(Atletas!D317="Juvenil 56kg",17,IF(Atletas!D317="Juvenil 60kg",18,IF(Atletas!D317="Juvenil 65kg",19,IF(Atletas!D317="Juvenil 70kg",20,IF(Atletas!D317="Juvenil 75kg",21,IF(Atletas!D317="Juvenil 80kg",22, IF(Atletas!D317="Juvenil 85kg",23,IF(Atletas!D317="Adulto 48kg",24,IF(Atletas!D317="Adulto 52kg",25,IF(Atletas!D317="Adulto 56kg",26,IF(Atletas!D317="Adulto 60kg",27,IF(Atletas!D317="Adulto 65kg",28,IF(Atletas!D317="Adulto 70kg",29,IF(Atletas!D317="Adulto 75kg",30,IF(Atletas!D317="Adulto 80kg",31,IF(Atletas!D317="Adulto 85kg",32,IF(Atletas!D317="Adulto 90kg",33,IF(Atletas!D317="Adulto 100kg",34, IF(Atletas!D317="Adulto +100kg",35,"")))))))))))))))))))))))))))))))))))))</f>
        <v/>
      </c>
      <c r="AS326" s="6" t="str">
        <f>IF(Atletas!E317="","",IF(Atletas!B317="Feminino",100,IF(Atletas!B317="Masculino",200,""))+(IF(Atletas!E317="Juvenil 44kg",1,IF(Atletas!E317="Juvenil 48kg",2,IF(Atletas!E317="Juvenil 52kg",3,IF(Atletas!E317="Juvenil 56kg",4,IF(Atletas!E317="Juvenil 60kg",5,IF(Atletas!E317="Juvenil 65kg",6,IF(Atletas!E317="Juvenil 70kg",7,IF(Atletas!E317="Juvenil 75kg",8,IF(Atletas!E317="Juvenil 82kg",9,IF(Atletas!E317="Juvenil 90kg",10,IF(Atletas!E317="Juvenil 100kg",11,IF(Atletas!E317="Adulto 48kg",12,IF(Atletas!E317="Adulto 52kg",13,IF(Atletas!E317="Adulto 56kg",14,IF(Atletas!E317="Adulto 60kg",15,IF(Atletas!E317="Adulto 65kg",16,IF(Atletas!E317="Adulto 70kg",17,IF(Atletas!E317="Adulto 75kg",18,IF(Atletas!E317="Adulto 82kg",19,IF(Atletas!E317="Adulto 90kg",20,IF(Atletas!E317="Adulto 100kg",21,IF(Atletas!E317="Adulto +100kg",22,""))))))))))))))))))))))))</f>
        <v/>
      </c>
      <c r="AX326" s="6" t="str">
        <f>IF(Atletas!F317="","",IF(Atletas!B317="Feminino",100,IF(Atletas!B317="Masculino",200,""))+(IF(Atletas!F317="Adulto 48kg",1,IF(Atletas!F317="Adulto 56kg",2,IF(Atletas!F317="Adulto 65kg",3,IF(Atletas!F317="Adulto 75kg",4,IF(Atletas!F317="Adulto +75kg",5,IF(Atletas!F317="Adulto 52kg",6,IF(Atletas!F317="Adulto 60kg",7,IF(Atletas!F317="Adulto 70kg",8,IF(Atletas!F317="Adulto 80kg",9,IF(Atletas!F317="Adulto 90kg",10,IF(Atletas!F317="Adulto +90kg",11,"")))))))))))))</f>
        <v/>
      </c>
      <c r="BC326" s="6" t="str">
        <f>IF(Atletas!G317="","",IF(Atletas!B317="Feminino",10,IF(Atletas!B317="Masculino",20,""))+(IF(Atletas!G317="Baduanjin A",1,IF(Atletas!G317="Baduanjin B",2))))</f>
        <v/>
      </c>
      <c r="BF326" s="52" t="str">
        <f>IF(Atletas!H317="","",IF(Atletas!B317="Feminino",100,IF(Atletas!B317="Masculino",200,""))+(IF(Atletas!H317="Changquan Mirim",1,IF(Atletas!H317="Nanquan Mirim",2,IF(Atletas!H317="Taijiquan Mirim",3,IF(Atletas!H317="Changquan Grupo C",4,IF(Atletas!H317="Nanquan Grupo C",5,IF(Atletas!H317="Taijiquan Grupo C",6,IF(Atletas!H317="Changquan Grupo B",7,IF(Atletas!H317="Nanquan Grupo B",8,IF(Atletas!H317="Taijiquan Grupo B",9,IF(Atletas!H317="Changquan Grupo A",10,IF(Atletas!H317="Nanquan Grupo A",11,IF(Atletas!H317="Taijiquan Grupo A",12,IF(Atletas!H317="Changquan Opcional",13,IF(Atletas!H317="Nanquan Opcional",14,IF(Atletas!H317="Taijiquan Opcional",15,IF(Atletas!H317="Changquan Adulto",16,IF(Atletas!H317="Nanquan Adulto",17,IF(Atletas!H317="Taijiquan Adulto",18,""))))))))))))))))))))</f>
        <v/>
      </c>
      <c r="BG326" s="52" t="str">
        <f>IF(Atletas!I317="","",IF(Atletas!B317="Feminino",100,IF(Atletas!B317="Masculino",200,""))+(IF(Atletas!I317="Daoshu Mirim",19,IF(Atletas!I317="Jianshu Mirim",20,IF(Atletas!I317="Nandao Mirim",21,IF(Atletas!I317="Taijijian Mirim",22,IF(Atletas!I317="Daoshu Grupo C",23,IF(Atletas!I317="Jianshu Grupo C",24,IF(Atletas!I317="Nandao Grupo C",25,IF(Atletas!I317="Taijijian Grupo C",26,IF(Atletas!I317="Daoshu Grupo B",27,IF(Atletas!I317="Jianshu Grupo B",28,IF(Atletas!I317="Nandao Grupo B",29,IF(Atletas!I317="Taijijian Grupo B",30,IF(Atletas!I317="Daoshu Grupo A",31,IF(Atletas!I317="Jianshu Grupo A",32,IF(Atletas!I317="Nandao Grupo A",33,IF(Atletas!I317="Taijijian Grupo A",34,IF(Atletas!I317="Daoshu Opcional",35,IF(Atletas!I317="Jianshu Opcional",36,IF(Atletas!I317="Nandao Opcional",37,IF(Atletas!I317="Taijijian Opcional",38,IF(Atletas!I317="Daoshu Adulto",39,IF(Atletas!I317="Jianshu Adulto",40,IF(Atletas!I317="Nandao Adulto",41,IF(Atletas!I317="Taijijian Adulto",42,""))))))))))))))))))))))))))</f>
        <v/>
      </c>
      <c r="BH326" s="52" t="str">
        <f>IF(Atletas!J317="","",IF(Atletas!B317="Feminino",100,IF(Atletas!B317="Masculino",200,""))+(IF(Atletas!J317="Gunshu Mirim",43,IF(Atletas!J317="Qiangshu Mirim",44,IF(Atletas!J317="Nangun Mirim",45,IF(Atletas!J317="Gunshu Grupo C",46,IF(Atletas!J317="Qiangshu Grupo C",47,IF(Atletas!J317="Nangun Grupo C",48,IF(Atletas!J317="Gunshu Grupo B",49,IF(Atletas!J317="Qiangshu Grupo B",50,IF(Atletas!J317="Nangun Grupo B",51,IF(Atletas!J317="Gunshu Grupo A",52,IF(Atletas!J317="Qiangshu Grupo A",53,IF(Atletas!J317="Nangun Grupo A",54,IF(Atletas!J317="Gunshu Opcional",55,IF(Atletas!J317="Qiangshu Opcional",56,IF(Atletas!J317="Nangun Opcional",57,IF(Atletas!J317="Gunshu Adulto",58,IF(Atletas!J317="Qiangshu Adulto",59,IF(Atletas!J317="Nangun Adulto",60,IF(Atletas!J317="Taijishan Grupo B",61,IF(Atletas!J317="Taijishan Grupo A",62,""))))))))))))))))))))))</f>
        <v/>
      </c>
      <c r="BM326" s="50" t="str">
        <f>IF(Atletas!K317="","",IF(Atletas!B317="Feminino",100,IF(Atletas!B317="Masculino",200,""))+(IF(Atletas!K317="Equipe 1 Grupo B",1,IF(Atletas!K317="Equipe 2 Grupo B",2,IF(Atletas!K317="Equipe 1 Grupo A",3,IF(Atletas!K317="Equipe 2 Grupo A",4,IF(Atletas!K317="Equipe 1 Adulto",5,IF(Atletas!K317="Equipe 2 Adulto",6,""))))))))</f>
        <v/>
      </c>
      <c r="BR326" s="50" t="str">
        <f>IF(Atletas!L317="","",IF(Atletas!X317&lt;&gt;"",10000,0)+(IF(Atletas!B317="Feminino",1000,IF(Atletas!B317="Masculino",2000,""))+IF(Atletas!L317="Choylayfut A",1,IF(Atletas!L317="Hunggar A",2,IF(Atletas!L317="Wuzuquan A",3,IF(Atletas!L317="Wingchun A",4,IF(Atletas!L317="Outra Mão de Sul A",5,IF(Atletas!L317="Choylayfut B",6,IF(Atletas!L317="Hunggar B",7,IF(Atletas!L317="Wuzuquan B",8,IF(Atletas!L317="Wingchun B",9,IF(Atletas!L317="Outra Mão de Sul B",10,IF(Atletas!L317="Choylayfut C",11,IF(Atletas!L317="Hunggar C",12,IF(Atletas!L317="Wuzuquan C",13,IF(Atletas!L317="Wingchun C",14,IF(Atletas!L317="Outra Mão de Sul C",15,IF(Atletas!L317="Choylayfut D",16,IF(Atletas!L317="Hunggar D",17,IF(Atletas!L317="Wuzuquan D",18,IF(Atletas!L317="Wingchun D",19,IF(Atletas!L317="Outra Mão de Sul D",20,IF(Atletas!L317="Choylayfut E",21,IF(Atletas!L317="Hunggar E",22,IF(Atletas!L317="Wuzuquan E",23,IF(Atletas!L317="Wingchun E",24,IF(Atletas!L317="Outra Mão de Sul E",25,IF(Atletas!L317="Choylayfut F",26,IF(Atletas!L317="Hunggar F",27,IF(Atletas!L317="Wuzuquan F",28,IF(Atletas!L317="Wingchun F",29,IF(Atletas!L317="Outra Mão de Sul F",30,IF(Atletas!L317="Dishuquan A",31,IF(Atletas!L317="Dishuquan B",32,IF(Atletas!L317="Dishuquan C",33,IF(Atletas!L317="Dishuquan D",34,IF(Atletas!L317="Dishuquan E",35,IF(Atletas!L317="Dishuquan F",36,""))))))))))))))))))))))))))))))))))))))</f>
        <v/>
      </c>
      <c r="BS326" s="50" t="str">
        <f>IF(Atletas!M317="","",IF(Atletas!X317&lt;&gt;"",10000,0)+(IF(Atletas!B317="Feminino",1000,IF(Atletas!B317="Masculino",2000,""))+(IF(Atletas!M317="Chaquan A",101,IF(Atletas!M317="Emeiquan A",102,IF(Atletas!M317="Fanziquan A",103,IF(Atletas!M317="Huaquan A",104,IF(Atletas!M317="Hongquan A",105,IF(Atletas!M317="Paoquan A",106,IF(Atletas!M317="Piguaquan A",107,IF(Atletas!M317="Shaolinquan A",108,IF(Atletas!M317="Tanglangquan A",109,IF(Atletas!M317="Yingzhaoquan A",110,IF(Atletas!M317="Tongbeiquan A",111,IF(Atletas!M317="Wudangquan A",112,IF(Atletas!M317="Outros Estilos A",113,IF(Atletas!M317="Chaquan B",114,IF(Atletas!M317="Emeiquan B",115,IF(Atletas!M317="Fanziquan B",116,IF(Atletas!M317="Huaquan B",117,IF(Atletas!M317="Hongquan B",118,IF(Atletas!M317="Paoquan B",119,IF(Atletas!M317="Piguaquan B",120,IF(Atletas!M317="Shaolinquan B",121,IF(Atletas!M317="Tanglangquan B",122,IF(Atletas!M317="Yingzhaoquan B",123,IF(Atletas!M317="Tongbeiquan B",124,IF(Atletas!M317="Wudangquan B",125,IF(Atletas!M317="Outros Estilos B",126,IF(Atletas!M317="Chaquan C",127,IF(Atletas!M317="Emeiquan C",128,IF(Atletas!M317="Fanziquan C",129,IF(Atletas!M317="Huaquan C",130,IF(Atletas!M317="Hongquan C",131,IF(Atletas!M317="Paoquan C",132,IF(Atletas!M317="Piguaquan C",133,IF(Atletas!M317="Shaolinquan C",134,IF(Atletas!M317="Tanglangquan C",135,IF(Atletas!M317="Yingzhaoquan C",136,IF(Atletas!M317="Tongbeiquan C",137,IF(Atletas!M317="Wudangquan C",138,IF(Atletas!M317="Outros Estilos C",139,0))))))))))))))))))))))))))))))))))))))))))</f>
        <v/>
      </c>
      <c r="BT326" s="50" t="str">
        <f>IF(Atletas!M317="","",IF(Atletas!X317&lt;&gt;"",10000,0)+(IF(Atletas!B317="Feminino",1000,IF(Atletas!B317="Masculino",2000,""))+(IF(Atletas!M317="Chaquan D",140,IF(Atletas!M317="Emeiquan D",141,IF(Atletas!M317="Fanziquan D",142,IF(Atletas!M317="Huaquan D",143,IF(Atletas!M317="Hongquan D",144,IF(Atletas!M317="Paoquan D",145,IF(Atletas!M317="Piguaquan D",146,IF(Atletas!M317="Shaolinquan D",147,IF(Atletas!M317="Tanglangquan D",148,IF(Atletas!M317="Yingzhaoquan D",149,IF(Atletas!M317="Tongbeiquan D",150,IF(Atletas!M317="Wudangquan D",151,IF(Atletas!M317="Outros Estilos D",152,IF(Atletas!M317="Chaquan E",153,IF(Atletas!M317="Emeiquan E",154,IF(Atletas!M317="Fanziquan E",155,IF(Atletas!M317="Huaquan E",156,IF(Atletas!M317="Hongquan E",157,IF(Atletas!M317="Paoquan E",158,IF(Atletas!M317="Piguaquan E",159,IF(Atletas!M317="Shaolinquan E",160,IF(Atletas!M317="Tanglangquan E",161,IF(Atletas!M317="Yingzhaoquan E",162,IF(Atletas!M317="Tongbeiquan E",163,IF(Atletas!M317="Wudangquan E",164,IF(Atletas!M317="Outros Estilos E",165,IF(Atletas!M317="Chaquan F",166,IF(Atletas!M317="Emeiquan F",167,IF(Atletas!M317="Fanziquan F",168,IF(Atletas!M317="Huaquan F",169,IF(Atletas!M317="Hongquan F",170,IF(Atletas!M317="Paoquan F",171,IF(Atletas!M317="Piguaquan F",172,IF(Atletas!M317="Shaolinquan F",173,IF(Atletas!M317="Tanglangquan F",174,IF(Atletas!M317="Yingzhaoquan F",175,IF(Atletas!M317="Tongbeiquan F",176,IF(Atletas!M317="Wudangquan F",177,IF(Atletas!M317="Outros Estilos F",178,0))))))))))))))))))))))))))))))))))))))))))</f>
        <v/>
      </c>
      <c r="BU326" s="50" t="str">
        <f>IF(Atletas!N317="","",IF(Atletas!X317&lt;&gt;"",10000,0)+(IF(Atletas!B317="Feminino",1000,IF(Atletas!B317="Masculino",2000,""))+(IF(Atletas!N317="Ditangquan A",201,IF(Atletas!N317="Houquan A",202,IF(Atletas!N317="Zuiquan A",203,IF(Atletas!N317="Ditangquan B",204,IF(Atletas!N317="Houquan B",205,IF(Atletas!N317="Zuiquan B",206,IF(Atletas!N317="Ditangquan C",207,IF(Atletas!N317="Houquan C",208,IF(Atletas!N317="Zuiquan C",209,IF(Atletas!N317="Ditangquan D",210,IF(Atletas!N317="Houquan D",211,IF(Atletas!N317="Zuiquan D",212,IF(Atletas!N317="Ditangquan E",213,IF(Atletas!N317="Houquan E",214,IF(Atletas!N317="Zuiquan E",215,IF(Atletas!N317="Ditangquan F",216,IF(Atletas!N317="Houquan F",217,IF(Atletas!N317="Zuiquan F",218,"")))))))))))))))))))))</f>
        <v/>
      </c>
      <c r="BV326" s="50" t="str">
        <f>IF(Atletas!O317="","",IF(Atletas!X317&lt;&gt;"",10000,0)+IF(Atletas!B317="Feminino",1000,IF(Atletas!B317="Masculino",2000,""))+IF(Atletas!O317="Yang A",301,IF(Atletas!O317="Chen A",302,IF(Atletas!O317="Sun A",303,IF(Atletas!O317="Wu A",304,IF(Atletas!O317="Wu-Hao A",305,IF(Atletas!O317="Outro Taijiquan A",306,IF(Atletas!O317="Yang B",307,IF(Atletas!O317="Chen B",308,IF(Atletas!O317="Sun B",309,IF(Atletas!O317="Wu B",310,IF(Atletas!O317="Wu-Hao B",311,IF(Atletas!O317="Outro Taijiquan B",312,IF(Atletas!O317="Yang C",313,IF(Atletas!O317="Chen C",314,IF(Atletas!O317="Sun C",315,IF(Atletas!O317="Wu C",316,IF(Atletas!O317="Wu-Hao C",317,IF(Atletas!O317="Outro Taijiquan C",318,IF(Atletas!O317="Yang D",319,IF(Atletas!O317="Chen D",320,IF(Atletas!O317="Sun D",321,IF(Atletas!O317="Wu D",322,IF(Atletas!O317="Wu-Hao D",323,IF(Atletas!O317="Outro Taijiquan D",324,IF(Atletas!O317="Yang E",325,IF(Atletas!O317="Chen E",326,IF(Atletas!O317="Sun E",327,IF(Atletas!O317="Wu E",328,IF(Atletas!O317="Wu-Hao E",329,IF(Atletas!O317="Outro Taijiquan E",330,IF(Atletas!O317="Yang F",331,IF(Atletas!O317="Chen F",332,IF(Atletas!O317="Sun F",333,IF(Atletas!O317="Wu F",334,IF(Atletas!O317="Wu-Hao F",335,IF(Atletas!O317="Outro Taijiquan F",336,"")))))))))))))))))))))))))))))))))))))</f>
        <v/>
      </c>
      <c r="BW326" s="50" t="str">
        <f>IF(Atletas!P317="","",IF(Atletas!X317&lt;&gt;"",10000,0)+IF(Atletas!B317="Feminino",1000,IF(Atletas!B317="Masculino",2000,""))+IF(OR(Atletas!P317="Yang 26 A",Atletas!P317="Yang 40 A"),401,IF(OR(Atletas!P317="Chen 25 A",Atletas!P317="Chen 36 A",Atletas!P317="Chen 56 A"),402,IF(Atletas!P317="Sun 73 A",403,IF(Atletas!P317="Wu 45 A",404,IF(Atletas!P317="Wu-Hao 46 A",405,IF(OR(Atletas!P317="Taijiquan 16 A",Atletas!P317="Taijiquan 24 A",Atletas!P317="Taijiquan 32 A",Atletas!P317="Taijiquan 42 A"),406,IF(OR(Atletas!P317="Yang 26 B",Atletas!P317="Yang 40 B"),407,IF(OR(Atletas!P317="Chen 25 B",Atletas!P317="Chen 36 B",Atletas!P317="Chen 56 B"),408,IF(Atletas!P317="Sun 73 B",409,IF(Atletas!P317="Wu 45 B",410,IF(Atletas!P317="Wu-Hao 46 B",411,IF(OR(Atletas!P317="Taijiquan 16 B",Atletas!P317="Taijiquan 24 B",Atletas!P317="Taijiquan 32 B",Atletas!P317="Taijiquan 42 B"),412,IF(OR(Atletas!P317="Yang 26 C",Atletas!P317="Yang 40 C"),413,IF(OR(Atletas!P317="Chen 25 C",Atletas!P317="Chen 36 C",Atletas!P317="Chen 56 C"),414,IF(Atletas!P317="Sun 73 C",415,IF(Atletas!P317="Wu 45 C",416,IF(Atletas!P317="Wu-Hao 46 C",417,IF(OR(Atletas!P317="Taijiquan 16 C",Atletas!P317="Taijiquan 24 C",Atletas!P317="Taijiquan 32 C",Atletas!P317="Taijiquan 42 C"),418,0)))))))))))))))))))</f>
        <v/>
      </c>
      <c r="BX326" s="50" t="str">
        <f>IF(Atletas!P317="","",IF(Atletas!X317&lt;&gt;"",10000,0)+IF(Atletas!B317="Feminino",1000,IF(Atletas!B317="Masculino",2000,""))+IF(OR(Atletas!P317="Yang 26 D",Atletas!P317="Yang 40 D"),419,IF(OR(Atletas!P317="Chen 25 D",Atletas!P317="Chen 36 D",Atletas!P317="Chen 56 D"),420,IF(Atletas!P317="Sun 73 D",421,IF(Atletas!P317="Wu 45 D",422,IF(Atletas!P317="Wu-Hao 46 D",423,IF(OR(Atletas!P317="Taijiquan 16 D",Atletas!P317="Taijiquan 24 D",Atletas!P317="Taijiquan 32 D",Atletas!P317="Taijiquan 42 D"),424,IF(OR(Atletas!P317="Yang 26 E",Atletas!P317="Yang 40 E"),425,IF(OR(Atletas!P317="Chen 25 E",Atletas!P317="Chen 36 E",Atletas!P317="Chen 56 E"),426,IF(Atletas!P317="Sun 73 E",427,IF(Atletas!P317="Wu 45 E",428,IF(Atletas!P317="Wu-Hao 46 E",429,IF(OR(Atletas!P317="Taijiquan 16 E",Atletas!P317="Taijiquan 24 E",Atletas!P317="Taijiquan 32 E",Atletas!P317="Taijiquan 42 E"),430,IF(OR(Atletas!P317="Yang 26 F",Atletas!P317="Yang 40 F"),431,IF(OR(Atletas!P317="Chen 25 F",Atletas!P317="Chen 36 F",Atletas!P317="Chen 56 F"),432,IF(Atletas!P317="Sun 73 F",433,IF(Atletas!P317="Wu 45 F",434,IF(Atletas!P317="Wu-Hao 46 F",435,IF(OR(Atletas!P317="Taijiquan 16 F",Atletas!P317="Taijiquan 24 F",Atletas!P317="Taijiquan 32 F",Atletas!P317="Taijiquan 42 F"),436,0)))))))))))))))))))</f>
        <v/>
      </c>
      <c r="BY326" s="50" t="str">
        <f>IF(Atletas!Q317="","",IF(Atletas!X317&lt;&gt;"",10000,0)+IF(Atletas!B317="Feminino",1000,IF(Atletas!B317="Masculino",2000,""))+IF(Atletas!Q317="Xingyiquan A",501,IF(Atletas!Q317="Baguazhang A",502,IF(Atletas!Q317="Outro Estilo Interno A",503,IF(Atletas!Q317="Xingyiquan B",504,IF(Atletas!Q317="Baguazhang B",505,IF(Atletas!Q317="Outro Estilo Interno B",506,IF(Atletas!Q317="Xingyiquan C",507,IF(Atletas!Q317="Baguazhang C",508,IF(Atletas!Q317="Outro Estilo Interno C",509,IF(Atletas!Q317="Xingyiquan D",510,IF(Atletas!Q317="Baguazhang D",511,IF(Atletas!Q317="Outro Estilo Interno D",512,IF(Atletas!Q317="Xingyiquan E",513,IF(Atletas!Q317="Baguazhang E",514,IF(Atletas!Q317="Outro Estilo Interno E",515,IF(Atletas!Q317="Xingyiquan F",516,IF(Atletas!Q317="Baguazhang F",517,IF(Atletas!Q317="Outro Estilo Interno F",518, "")))))))))))))))))))</f>
        <v/>
      </c>
      <c r="BZ326" s="50" t="str">
        <f>IF(Atletas!R317="","",IF(Atletas!X317&lt;&gt;"",10000,0)+IF(Atletas!B317="Feminino",1000,IF(Atletas!B317="Masculino",2000,""))+IF(Atletas!R317="Dao A",601,IF(Atletas!R317="Jian A",602,IF(Atletas!R317="Bishou A",603,IF(Atletas!R317="Shanzi A",604,IF(Atletas!R317="Outra Arma Curta A",605,IF(Atletas!R317="Dao B",606,IF(Atletas!R317="Jian B",607,IF(Atletas!R317="Bishou B",608,IF(Atletas!R317="Shanzi B",609,IF(Atletas!R317="Outra Arma Curta B",610,IF(Atletas!R317="Dao C",611,IF(Atletas!R317="Jian C",612,IF(Atletas!R317="Bishou C",613,IF(Atletas!R317="Shanzi C",614,IF(Atletas!R317="Outra Arma Curta C",615,IF(Atletas!R317="Dao D",616,IF(Atletas!R317="Jian D",617,IF(Atletas!R317="Bishou D",618,IF(Atletas!R317="Shanzi D",619,IF(Atletas!R317="Outra Arma Curta D",620,IF(Atletas!R317="Dao E",621,IF(Atletas!R317="Jian E",622,IF(Atletas!R317="Bishou E",623,IF(Atletas!R317="Shanzi E",624,IF(Atletas!R317="Outra Arma Curta E",625,IF(Atletas!R317="Dao F",626,IF(Atletas!R317="Jian F",627,IF(Atletas!R317="Bishou F",628,IF(Atletas!R317="Shanzi F",629,IF(Atletas!R317="Outra Arma Curta F",630, "")))))))))))))))))))))))))))))))</f>
        <v/>
      </c>
      <c r="CA326" s="50" t="str">
        <f>IF(Atletas!S317="","",IF(Atletas!X317&lt;&gt;"",10000,0)+IF(Atletas!B317="Feminino",1000,IF(Atletas!B317="Masculino",2000,""))+IF(Atletas!S317="Gun A",701,IF(Atletas!S317="Qiang A",702,IF(Atletas!S317="Pudao / Guandao A",703,IF(Atletas!S317="Outra Arma Longa A",704,IF(Atletas!S317="Gun B",705,IF(Atletas!S317="Qiang B",706,IF(Atletas!S317="Pudao / Guandao B",707,IF(Atletas!S317="Outra Arma Longa B",708,IF(Atletas!S317="Gun C",709,IF(Atletas!S317="Qiang C",710,IF(Atletas!S317="Pudao / Guandao C",711,IF(Atletas!S317="Outra Arma Longa C",712,IF(Atletas!S317="Gun D",713,IF(Atletas!S317="Qiang D",714,IF(Atletas!S317="Pudao / Guandao D",715,IF(Atletas!S317="Outra Arma Longa D",716,IF(Atletas!S317="Gun E",717,IF(Atletas!S317="Qiang E",718,IF(Atletas!S317="Pudao / Guandao E",719,IF(Atletas!S317="Outra Arma Longa E",720,IF(Atletas!S317="Gun F",721,IF(Atletas!S317="Qiang F",722,IF(Atletas!S317="Pudao / Guandao F",723,IF(Atletas!S317="Outra Arma Longa F",724,"")))))))))))))))))))))))))</f>
        <v/>
      </c>
      <c r="CB326" s="50" t="str">
        <f>IF(Atletas!T317="","",IF(Atletas!X317&lt;&gt;"",10000,0)+IF(Atletas!B317="Feminino",1000,IF(Atletas!B317="Masculino",2000,""))+IF(Atletas!T317="Outra Arma Dupla A",801,IF(Atletas!T317="Arma Maleável A",802,IF(Atletas!T317="Outra Arma Dupla B",803,IF(Atletas!T317="Arma Maleável B",804,IF(Atletas!T317="Outra Arma Dupla C",805,IF(Atletas!T317="Arma Maleável C",806,IF(Atletas!T317="Outra Arma Dupla D",807,IF(Atletas!T317="Arma Maleável D",808,IF(Atletas!T317="Outra Arma Dupla E",809,IF(Atletas!T317="Arma Maleável E",810,IF(Atletas!T317="Outra Arma Dupla F",811,IF(Atletas!T317="Arma Maleável F",812,IF(Atletas!T317="Shuangdao A",813,IF(Atletas!T317="Shuangdao B",814,IF(Atletas!T317="Shuangdao C",815,IF(Atletas!T317="Shuangdao D",816,IF(Atletas!T317="Shuangdao E",817,IF(Atletas!T317="Shuangdao F",818,"")))))))))))))))))))</f>
        <v/>
      </c>
      <c r="CC326" s="50" t="str">
        <f>IF(Atletas!U317="","",IF(Atletas!X317&lt;&gt;"",10000,0)+IF(Atletas!B317="Feminino",1000,IF(Atletas!B317="Masculino",2000,""))+IF(OR(Atletas!U317="Taijijian Yang A",Atletas!U317="Taijijian Yang Standard A"),901,IF(OR(Atletas!U317="Taijijian Chen A", Atletas!U317="Taijijian Chen Standard A"),902,IF(Atletas!U317="Taijijian Sun A",903,IF(Atletas!U317="Taijijian Wu A",904,IF(Atletas!U317="Taijijian Wu-Hao A",905,IF(OR(Atletas!U317="Taijijian 32 A",Atletas!U317="Taijijian 42 A"),906,IF(OR(Atletas!U317="Taijijian Yang B",Atletas!U317="Taijijian Yang Standard B"),907,IF(OR(Atletas!U317="Taijijian Chen B", Atletas!U317="Taijijian Chen Standard B"),908,IF(Atletas!U317="Taijijian Sun B",909,IF(Atletas!U317="Taijijian Wu B",910,IF(Atletas!U317="Taijijian Wu-Hao B",911,IF(OR(Atletas!U317="Taijijian 32 B",Atletas!U317="Taijijian 42 B"),912,IF(OR(Atletas!U317="Taijijian Yang C",Atletas!U317="Taijijian Yang Standard C"),913,IF(OR(Atletas!U317="Taijijian Chen C", Atletas!U317="Taijijian Chen Standard C"),914,IF(Atletas!U317="Taijijian Sun C",915,IF(Atletas!U317="Taijijian Wu C",916,IF(Atletas!U317="Taijijian Wu-Hao C",917,IF(OR(Atletas!U317="Taijijian 32 C",Atletas!U317="Taijijian 42 C"),918,IF(OR(Atletas!U317="Taijijian Yang D",Atletas!U317="Taijijian Yang Standard D"),919,IF(OR(Atletas!U317="Taijijian Chen D", Atletas!U317="Taijijian Chen Standard D"),920,IF(Atletas!U317="Taijijian Sun D",921,IF(Atletas!U317="Taijijian Wu D",922,IF(Atletas!U317="Taijijian Wu-Hao D",923,IF(OR(Atletas!U317="Taijijian 32 D",Atletas!U317="Taijijian 42 D"),924,IF(OR(Atletas!U317="Taijijian Yang E",Atletas!U317="Taijijian Yang Standard E"),925,IF(OR(Atletas!U317="Taijijian Chen E", Atletas!U317="Taijijian Chen Standard E"),926,IF(Atletas!U317="Taijijian Sun E",927,IF(Atletas!U317="Taijijian Wu E",928,IF(Atletas!U317="Taijijian Wu-Hao E",929,IF(OR(Atletas!U317="Taijijian 32 E",Atletas!U317="Taijijian 42 E"),930,IF(OR(Atletas!U317="Taijijian Yang F",Atletas!U317="Taijijian Yang Standard F"),931,IF(OR(Atletas!U317="Taijijian Chen F", Atletas!U317="Taijijian Chen Standard F"),932,IF(Atletas!U317="Taijijian Sun F",933,IF(Atletas!U317="Taijijian Wu F",934,IF(Atletas!U317="Taijijian Wu-Hao F",935,IF(OR(Atletas!U317="Taijijian 32 F",Atletas!U317="Taijijian 42 F"),936,"")))))))))))))))))))))))))))))))))))))</f>
        <v/>
      </c>
      <c r="CD326" s="50" t="str">
        <f>IF(Atletas!V317="","",IF(Atletas!X317&lt;&gt;"",10000,0)+IF(Atletas!B317="Feminino",1000,IF(Atletas!B317="Masculino",2000,""))+IF(Atletas!V317="Taijidao A",937,IF(Atletas!V317="TaijiShanzi A",938,IF(Atletas!V317="Taijiqiang A",939,IF(Atletas!V317="Bagua de Arma A",940,IF(Atletas!V317="Xingyi de Arma A",941,IF(Atletas!V317="Taijidao B",942,IF(Atletas!V317="TaijiShanzi B",943,IF(Atletas!V317="Taijiqiang B",944,IF(Atletas!V317="Bagua de Arma B",945,IF(Atletas!V317="Xingyi de Arma B",946,IF(Atletas!V317="Taijidao C",947,IF(Atletas!V317="TaijiShanzi C",948,IF(Atletas!V317="Taijiqiang C",949,IF(Atletas!V317="Bagua de Arma C",950,IF(Atletas!V317="Xingyi de Arma C",951,IF(Atletas!V317="Taijidao D",952,IF(Atletas!V317="TaijiShanzi D",953,IF(Atletas!V317="Taijiqiang D",954,IF(Atletas!V317="Bagua de Arma D",955,IF(Atletas!V317="Xingyi de Arma D",956,IF(Atletas!V317="Taijidao E",957,IF(Atletas!V317="TaijiShanzi E",958,IF(Atletas!V317="Taijiqiang E",959,IF(Atletas!V317="Bagua de Arma E",960,IF(Atletas!V317="Xingyi de Arma E",961,IF(Atletas!V317="Taijidao F",962,IF(Atletas!V317="TaijiShanzi F",963,IF(Atletas!V317="Taijiqiang F",964,IF(Atletas!V317="Bagua de Arma F",965,IF(Atletas!V317="Xingyi de Arma F",966,"")))))))))))))))))))))))))))))))</f>
        <v/>
      </c>
      <c r="CE326" s="66" t="str">
        <f>IF(CF326&lt;&gt;"","Taijijian Chen E","")</f>
        <v/>
      </c>
      <c r="CF326" s="6" t="str">
        <f>IF(COUNTIF(BR:CD,1926)&gt;0,COUNTIF(BR:CD,1926),"")</f>
        <v/>
      </c>
      <c r="CG326" s="66" t="str">
        <f>IF(CH326&lt;&gt;"","Taijijian Chen E","")</f>
        <v/>
      </c>
      <c r="CH326" s="66" t="str">
        <f>IF(COUNTIF(BR:CD,2926)&gt;0,COUNTIF(BR:CD,2926),"")</f>
        <v/>
      </c>
      <c r="CI326" s="66" t="str">
        <f>IF(CJ327&lt;&gt;"","Taijiqiang A","")</f>
        <v/>
      </c>
      <c r="CJ326" s="66" t="str">
        <f>IF(COUNTIF(BR:CD,11938)&gt;0,COUNTIF(BR:CD,11938),"")</f>
        <v/>
      </c>
      <c r="CK326" s="66" t="str">
        <f>IF(CL326&lt;&gt;"","Taijishan A","")</f>
        <v/>
      </c>
      <c r="CL326" s="66" t="str">
        <f>IF(COUNTIF(BR:CD,12938)&gt;0,COUNTIF(BR:CD,12938),"")</f>
        <v/>
      </c>
      <c r="CM326" s="50" t="str">
        <f xml:space="preserve"> IF(Atletas!W317="","",IF(Atletas!W317="Duilian de Mãos BC - Equipe 1",1,IF(Atletas!W317="Duilian de Mãos BC - Equipe 2",2,IF(Atletas!W317="Duilian de Armas BC - Equipe 1",3,IF(Atletas!W317="Duilian de Armas BC - Equipe 2",4,IF(Atletas!W317="Duilian de Mãos DE - Equipe 1",5,IF(Atletas!W317="Duilian de Mãos DE - Equipe 2",6,IF(Atletas!W317="Duilian de Armas DE - Equipe 1",7,IF(Atletas!W317="Duilian de Armas DE - Equipe 2",8,IF(Atletas!W317="Duilian de Tuishou - Equipe 1",9,IF(Atletas!W317="Duilian de Tuishou - Equipe 2",10,IF(Atletas!W317="Grupo Externo ABC - Equipe 1",11,IF(Atletas!W317="Grupo Externo ABC - Equipe 2",12,IF(Atletas!W317="Grupo Interno ABC - Equipe 1",13,IF(Atletas!W317="Grupo Interno ABC - Equipe 2",14,IF(Atletas!W317="Grupo Externo DEF - Equipe 1",15,IF(Atletas!W317="Grupo Externo DEF - Equipe 2",16,IF(Atletas!W317="Grupo Interno DEF - Equipe 1",17,IF(Atletas!W317="Grupo Interno DEF - Equipe 2",18,"")))))))))))))))))))</f>
        <v/>
      </c>
    </row>
    <row r="327" spans="40:91">
      <c r="AN327" s="52" t="str">
        <f>IF(Atletas!D318="","",IF(Atletas!B318="Feminino",100,IF(Atletas!B318="Masculino",200,""))+(IF(Atletas!D318="Kids 30kg",1,IF(Atletas!D318="Kids 32kg",2, IF(Atletas!D318="Kids 34kg",3,IF(Atletas!D318="Kids 36kg",4,IF(Atletas!D318="Kids 39kg",5,IF(Atletas!D318="Kids 42kg",6,IF(Atletas!D318="Kids 45kg",7, IF(Atletas!D318="Infantil 39kg",8,IF(Atletas!D318="Infantil 42kg",9,IF(Atletas!D318="Infantil 45kg",10,IF(Atletas!D318="Infantil 48kg",11,IF(Atletas!D318="Infantil 52kg",12,IF(Atletas!D318="Infantil 56kg",13,IF(Atletas!D318="Infantil 60kg",14,IF(Atletas!D318="Juvenil 48kg",15,IF(Atletas!D318="Juvenil 52kg",16,IF(Atletas!D318="Juvenil 56kg",17,IF(Atletas!D318="Juvenil 60kg",18,IF(Atletas!D318="Juvenil 65kg",19,IF(Atletas!D318="Juvenil 70kg",20,IF(Atletas!D318="Juvenil 75kg",21,IF(Atletas!D318="Juvenil 80kg",22, IF(Atletas!D318="Juvenil 85kg",23,IF(Atletas!D318="Adulto 48kg",24,IF(Atletas!D318="Adulto 52kg",25,IF(Atletas!D318="Adulto 56kg",26,IF(Atletas!D318="Adulto 60kg",27,IF(Atletas!D318="Adulto 65kg",28,IF(Atletas!D318="Adulto 70kg",29,IF(Atletas!D318="Adulto 75kg",30,IF(Atletas!D318="Adulto 80kg",31,IF(Atletas!D318="Adulto 85kg",32,IF(Atletas!D318="Adulto 90kg",33,IF(Atletas!D318="Adulto 100kg",34, IF(Atletas!D318="Adulto +100kg",35,"")))))))))))))))))))))))))))))))))))))</f>
        <v/>
      </c>
      <c r="AS327" s="6" t="str">
        <f>IF(Atletas!E318="","",IF(Atletas!B318="Feminino",100,IF(Atletas!B318="Masculino",200,""))+(IF(Atletas!E318="Juvenil 44kg",1,IF(Atletas!E318="Juvenil 48kg",2,IF(Atletas!E318="Juvenil 52kg",3,IF(Atletas!E318="Juvenil 56kg",4,IF(Atletas!E318="Juvenil 60kg",5,IF(Atletas!E318="Juvenil 65kg",6,IF(Atletas!E318="Juvenil 70kg",7,IF(Atletas!E318="Juvenil 75kg",8,IF(Atletas!E318="Juvenil 82kg",9,IF(Atletas!E318="Juvenil 90kg",10,IF(Atletas!E318="Juvenil 100kg",11,IF(Atletas!E318="Adulto 48kg",12,IF(Atletas!E318="Adulto 52kg",13,IF(Atletas!E318="Adulto 56kg",14,IF(Atletas!E318="Adulto 60kg",15,IF(Atletas!E318="Adulto 65kg",16,IF(Atletas!E318="Adulto 70kg",17,IF(Atletas!E318="Adulto 75kg",18,IF(Atletas!E318="Adulto 82kg",19,IF(Atletas!E318="Adulto 90kg",20,IF(Atletas!E318="Adulto 100kg",21,IF(Atletas!E318="Adulto +100kg",22,""))))))))))))))))))))))))</f>
        <v/>
      </c>
      <c r="AX327" s="6" t="str">
        <f>IF(Atletas!F318="","",IF(Atletas!B318="Feminino",100,IF(Atletas!B318="Masculino",200,""))+(IF(Atletas!F318="Adulto 48kg",1,IF(Atletas!F318="Adulto 56kg",2,IF(Atletas!F318="Adulto 65kg",3,IF(Atletas!F318="Adulto 75kg",4,IF(Atletas!F318="Adulto +75kg",5,IF(Atletas!F318="Adulto 52kg",6,IF(Atletas!F318="Adulto 60kg",7,IF(Atletas!F318="Adulto 70kg",8,IF(Atletas!F318="Adulto 80kg",9,IF(Atletas!F318="Adulto 90kg",10,IF(Atletas!F318="Adulto +90kg",11,"")))))))))))))</f>
        <v/>
      </c>
      <c r="BC327" s="6" t="str">
        <f>IF(Atletas!G318="","",IF(Atletas!B318="Feminino",10,IF(Atletas!B318="Masculino",20,""))+(IF(Atletas!G318="Baduanjin A",1,IF(Atletas!G318="Baduanjin B",2))))</f>
        <v/>
      </c>
      <c r="BF327" s="52" t="str">
        <f>IF(Atletas!H318="","",IF(Atletas!B318="Feminino",100,IF(Atletas!B318="Masculino",200,""))+(IF(Atletas!H318="Changquan Mirim",1,IF(Atletas!H318="Nanquan Mirim",2,IF(Atletas!H318="Taijiquan Mirim",3,IF(Atletas!H318="Changquan Grupo C",4,IF(Atletas!H318="Nanquan Grupo C",5,IF(Atletas!H318="Taijiquan Grupo C",6,IF(Atletas!H318="Changquan Grupo B",7,IF(Atletas!H318="Nanquan Grupo B",8,IF(Atletas!H318="Taijiquan Grupo B",9,IF(Atletas!H318="Changquan Grupo A",10,IF(Atletas!H318="Nanquan Grupo A",11,IF(Atletas!H318="Taijiquan Grupo A",12,IF(Atletas!H318="Changquan Opcional",13,IF(Atletas!H318="Nanquan Opcional",14,IF(Atletas!H318="Taijiquan Opcional",15,IF(Atletas!H318="Changquan Adulto",16,IF(Atletas!H318="Nanquan Adulto",17,IF(Atletas!H318="Taijiquan Adulto",18,""))))))))))))))))))))</f>
        <v/>
      </c>
      <c r="BG327" s="52" t="str">
        <f>IF(Atletas!I318="","",IF(Atletas!B318="Feminino",100,IF(Atletas!B318="Masculino",200,""))+(IF(Atletas!I318="Daoshu Mirim",19,IF(Atletas!I318="Jianshu Mirim",20,IF(Atletas!I318="Nandao Mirim",21,IF(Atletas!I318="Taijijian Mirim",22,IF(Atletas!I318="Daoshu Grupo C",23,IF(Atletas!I318="Jianshu Grupo C",24,IF(Atletas!I318="Nandao Grupo C",25,IF(Atletas!I318="Taijijian Grupo C",26,IF(Atletas!I318="Daoshu Grupo B",27,IF(Atletas!I318="Jianshu Grupo B",28,IF(Atletas!I318="Nandao Grupo B",29,IF(Atletas!I318="Taijijian Grupo B",30,IF(Atletas!I318="Daoshu Grupo A",31,IF(Atletas!I318="Jianshu Grupo A",32,IF(Atletas!I318="Nandao Grupo A",33,IF(Atletas!I318="Taijijian Grupo A",34,IF(Atletas!I318="Daoshu Opcional",35,IF(Atletas!I318="Jianshu Opcional",36,IF(Atletas!I318="Nandao Opcional",37,IF(Atletas!I318="Taijijian Opcional",38,IF(Atletas!I318="Daoshu Adulto",39,IF(Atletas!I318="Jianshu Adulto",40,IF(Atletas!I318="Nandao Adulto",41,IF(Atletas!I318="Taijijian Adulto",42,""))))))))))))))))))))))))))</f>
        <v/>
      </c>
      <c r="BH327" s="52" t="str">
        <f>IF(Atletas!J318="","",IF(Atletas!B318="Feminino",100,IF(Atletas!B318="Masculino",200,""))+(IF(Atletas!J318="Gunshu Mirim",43,IF(Atletas!J318="Qiangshu Mirim",44,IF(Atletas!J318="Nangun Mirim",45,IF(Atletas!J318="Gunshu Grupo C",46,IF(Atletas!J318="Qiangshu Grupo C",47,IF(Atletas!J318="Nangun Grupo C",48,IF(Atletas!J318="Gunshu Grupo B",49,IF(Atletas!J318="Qiangshu Grupo B",50,IF(Atletas!J318="Nangun Grupo B",51,IF(Atletas!J318="Gunshu Grupo A",52,IF(Atletas!J318="Qiangshu Grupo A",53,IF(Atletas!J318="Nangun Grupo A",54,IF(Atletas!J318="Gunshu Opcional",55,IF(Atletas!J318="Qiangshu Opcional",56,IF(Atletas!J318="Nangun Opcional",57,IF(Atletas!J318="Gunshu Adulto",58,IF(Atletas!J318="Qiangshu Adulto",59,IF(Atletas!J318="Nangun Adulto",60,IF(Atletas!J318="Taijishan Grupo B",61,IF(Atletas!J318="Taijishan Grupo A",62,""))))))))))))))))))))))</f>
        <v/>
      </c>
      <c r="BM327" s="50" t="str">
        <f>IF(Atletas!K318="","",IF(Atletas!B318="Feminino",100,IF(Atletas!B318="Masculino",200,""))+(IF(Atletas!K318="Equipe 1 Grupo B",1,IF(Atletas!K318="Equipe 2 Grupo B",2,IF(Atletas!K318="Equipe 1 Grupo A",3,IF(Atletas!K318="Equipe 2 Grupo A",4,IF(Atletas!K318="Equipe 1 Adulto",5,IF(Atletas!K318="Equipe 2 Adulto",6,""))))))))</f>
        <v/>
      </c>
      <c r="BR327" s="50" t="str">
        <f>IF(Atletas!L318="","",IF(Atletas!X318&lt;&gt;"",10000,0)+(IF(Atletas!B318="Feminino",1000,IF(Atletas!B318="Masculino",2000,""))+IF(Atletas!L318="Choylayfut A",1,IF(Atletas!L318="Hunggar A",2,IF(Atletas!L318="Wuzuquan A",3,IF(Atletas!L318="Wingchun A",4,IF(Atletas!L318="Outra Mão de Sul A",5,IF(Atletas!L318="Choylayfut B",6,IF(Atletas!L318="Hunggar B",7,IF(Atletas!L318="Wuzuquan B",8,IF(Atletas!L318="Wingchun B",9,IF(Atletas!L318="Outra Mão de Sul B",10,IF(Atletas!L318="Choylayfut C",11,IF(Atletas!L318="Hunggar C",12,IF(Atletas!L318="Wuzuquan C",13,IF(Atletas!L318="Wingchun C",14,IF(Atletas!L318="Outra Mão de Sul C",15,IF(Atletas!L318="Choylayfut D",16,IF(Atletas!L318="Hunggar D",17,IF(Atletas!L318="Wuzuquan D",18,IF(Atletas!L318="Wingchun D",19,IF(Atletas!L318="Outra Mão de Sul D",20,IF(Atletas!L318="Choylayfut E",21,IF(Atletas!L318="Hunggar E",22,IF(Atletas!L318="Wuzuquan E",23,IF(Atletas!L318="Wingchun E",24,IF(Atletas!L318="Outra Mão de Sul E",25,IF(Atletas!L318="Choylayfut F",26,IF(Atletas!L318="Hunggar F",27,IF(Atletas!L318="Wuzuquan F",28,IF(Atletas!L318="Wingchun F",29,IF(Atletas!L318="Outra Mão de Sul F",30,IF(Atletas!L318="Dishuquan A",31,IF(Atletas!L318="Dishuquan B",32,IF(Atletas!L318="Dishuquan C",33,IF(Atletas!L318="Dishuquan D",34,IF(Atletas!L318="Dishuquan E",35,IF(Atletas!L318="Dishuquan F",36,""))))))))))))))))))))))))))))))))))))))</f>
        <v/>
      </c>
      <c r="BS327" s="50" t="str">
        <f>IF(Atletas!M318="","",IF(Atletas!X318&lt;&gt;"",10000,0)+(IF(Atletas!B318="Feminino",1000,IF(Atletas!B318="Masculino",2000,""))+(IF(Atletas!M318="Chaquan A",101,IF(Atletas!M318="Emeiquan A",102,IF(Atletas!M318="Fanziquan A",103,IF(Atletas!M318="Huaquan A",104,IF(Atletas!M318="Hongquan A",105,IF(Atletas!M318="Paoquan A",106,IF(Atletas!M318="Piguaquan A",107,IF(Atletas!M318="Shaolinquan A",108,IF(Atletas!M318="Tanglangquan A",109,IF(Atletas!M318="Yingzhaoquan A",110,IF(Atletas!M318="Tongbeiquan A",111,IF(Atletas!M318="Wudangquan A",112,IF(Atletas!M318="Outros Estilos A",113,IF(Atletas!M318="Chaquan B",114,IF(Atletas!M318="Emeiquan B",115,IF(Atletas!M318="Fanziquan B",116,IF(Atletas!M318="Huaquan B",117,IF(Atletas!M318="Hongquan B",118,IF(Atletas!M318="Paoquan B",119,IF(Atletas!M318="Piguaquan B",120,IF(Atletas!M318="Shaolinquan B",121,IF(Atletas!M318="Tanglangquan B",122,IF(Atletas!M318="Yingzhaoquan B",123,IF(Atletas!M318="Tongbeiquan B",124,IF(Atletas!M318="Wudangquan B",125,IF(Atletas!M318="Outros Estilos B",126,IF(Atletas!M318="Chaquan C",127,IF(Atletas!M318="Emeiquan C",128,IF(Atletas!M318="Fanziquan C",129,IF(Atletas!M318="Huaquan C",130,IF(Atletas!M318="Hongquan C",131,IF(Atletas!M318="Paoquan C",132,IF(Atletas!M318="Piguaquan C",133,IF(Atletas!M318="Shaolinquan C",134,IF(Atletas!M318="Tanglangquan C",135,IF(Atletas!M318="Yingzhaoquan C",136,IF(Atletas!M318="Tongbeiquan C",137,IF(Atletas!M318="Wudangquan C",138,IF(Atletas!M318="Outros Estilos C",139,0))))))))))))))))))))))))))))))))))))))))))</f>
        <v/>
      </c>
      <c r="BT327" s="50" t="str">
        <f>IF(Atletas!M318="","",IF(Atletas!X318&lt;&gt;"",10000,0)+(IF(Atletas!B318="Feminino",1000,IF(Atletas!B318="Masculino",2000,""))+(IF(Atletas!M318="Chaquan D",140,IF(Atletas!M318="Emeiquan D",141,IF(Atletas!M318="Fanziquan D",142,IF(Atletas!M318="Huaquan D",143,IF(Atletas!M318="Hongquan D",144,IF(Atletas!M318="Paoquan D",145,IF(Atletas!M318="Piguaquan D",146,IF(Atletas!M318="Shaolinquan D",147,IF(Atletas!M318="Tanglangquan D",148,IF(Atletas!M318="Yingzhaoquan D",149,IF(Atletas!M318="Tongbeiquan D",150,IF(Atletas!M318="Wudangquan D",151,IF(Atletas!M318="Outros Estilos D",152,IF(Atletas!M318="Chaquan E",153,IF(Atletas!M318="Emeiquan E",154,IF(Atletas!M318="Fanziquan E",155,IF(Atletas!M318="Huaquan E",156,IF(Atletas!M318="Hongquan E",157,IF(Atletas!M318="Paoquan E",158,IF(Atletas!M318="Piguaquan E",159,IF(Atletas!M318="Shaolinquan E",160,IF(Atletas!M318="Tanglangquan E",161,IF(Atletas!M318="Yingzhaoquan E",162,IF(Atletas!M318="Tongbeiquan E",163,IF(Atletas!M318="Wudangquan E",164,IF(Atletas!M318="Outros Estilos E",165,IF(Atletas!M318="Chaquan F",166,IF(Atletas!M318="Emeiquan F",167,IF(Atletas!M318="Fanziquan F",168,IF(Atletas!M318="Huaquan F",169,IF(Atletas!M318="Hongquan F",170,IF(Atletas!M318="Paoquan F",171,IF(Atletas!M318="Piguaquan F",172,IF(Atletas!M318="Shaolinquan F",173,IF(Atletas!M318="Tanglangquan F",174,IF(Atletas!M318="Yingzhaoquan F",175,IF(Atletas!M318="Tongbeiquan F",176,IF(Atletas!M318="Wudangquan F",177,IF(Atletas!M318="Outros Estilos F",178,0))))))))))))))))))))))))))))))))))))))))))</f>
        <v/>
      </c>
      <c r="BU327" s="50" t="str">
        <f>IF(Atletas!N318="","",IF(Atletas!X318&lt;&gt;"",10000,0)+(IF(Atletas!B318="Feminino",1000,IF(Atletas!B318="Masculino",2000,""))+(IF(Atletas!N318="Ditangquan A",201,IF(Atletas!N318="Houquan A",202,IF(Atletas!N318="Zuiquan A",203,IF(Atletas!N318="Ditangquan B",204,IF(Atletas!N318="Houquan B",205,IF(Atletas!N318="Zuiquan B",206,IF(Atletas!N318="Ditangquan C",207,IF(Atletas!N318="Houquan C",208,IF(Atletas!N318="Zuiquan C",209,IF(Atletas!N318="Ditangquan D",210,IF(Atletas!N318="Houquan D",211,IF(Atletas!N318="Zuiquan D",212,IF(Atletas!N318="Ditangquan E",213,IF(Atletas!N318="Houquan E",214,IF(Atletas!N318="Zuiquan E",215,IF(Atletas!N318="Ditangquan F",216,IF(Atletas!N318="Houquan F",217,IF(Atletas!N318="Zuiquan F",218,"")))))))))))))))))))))</f>
        <v/>
      </c>
      <c r="BV327" s="50" t="str">
        <f>IF(Atletas!O318="","",IF(Atletas!X318&lt;&gt;"",10000,0)+IF(Atletas!B318="Feminino",1000,IF(Atletas!B318="Masculino",2000,""))+IF(Atletas!O318="Yang A",301,IF(Atletas!O318="Chen A",302,IF(Atletas!O318="Sun A",303,IF(Atletas!O318="Wu A",304,IF(Atletas!O318="Wu-Hao A",305,IF(Atletas!O318="Outro Taijiquan A",306,IF(Atletas!O318="Yang B",307,IF(Atletas!O318="Chen B",308,IF(Atletas!O318="Sun B",309,IF(Atletas!O318="Wu B",310,IF(Atletas!O318="Wu-Hao B",311,IF(Atletas!O318="Outro Taijiquan B",312,IF(Atletas!O318="Yang C",313,IF(Atletas!O318="Chen C",314,IF(Atletas!O318="Sun C",315,IF(Atletas!O318="Wu C",316,IF(Atletas!O318="Wu-Hao C",317,IF(Atletas!O318="Outro Taijiquan C",318,IF(Atletas!O318="Yang D",319,IF(Atletas!O318="Chen D",320,IF(Atletas!O318="Sun D",321,IF(Atletas!O318="Wu D",322,IF(Atletas!O318="Wu-Hao D",323,IF(Atletas!O318="Outro Taijiquan D",324,IF(Atletas!O318="Yang E",325,IF(Atletas!O318="Chen E",326,IF(Atletas!O318="Sun E",327,IF(Atletas!O318="Wu E",328,IF(Atletas!O318="Wu-Hao E",329,IF(Atletas!O318="Outro Taijiquan E",330,IF(Atletas!O318="Yang F",331,IF(Atletas!O318="Chen F",332,IF(Atletas!O318="Sun F",333,IF(Atletas!O318="Wu F",334,IF(Atletas!O318="Wu-Hao F",335,IF(Atletas!O318="Outro Taijiquan F",336,"")))))))))))))))))))))))))))))))))))))</f>
        <v/>
      </c>
      <c r="BW327" s="50" t="str">
        <f>IF(Atletas!P318="","",IF(Atletas!X318&lt;&gt;"",10000,0)+IF(Atletas!B318="Feminino",1000,IF(Atletas!B318="Masculino",2000,""))+IF(OR(Atletas!P318="Yang 26 A",Atletas!P318="Yang 40 A"),401,IF(OR(Atletas!P318="Chen 25 A",Atletas!P318="Chen 36 A",Atletas!P318="Chen 56 A"),402,IF(Atletas!P318="Sun 73 A",403,IF(Atletas!P318="Wu 45 A",404,IF(Atletas!P318="Wu-Hao 46 A",405,IF(OR(Atletas!P318="Taijiquan 16 A",Atletas!P318="Taijiquan 24 A",Atletas!P318="Taijiquan 32 A",Atletas!P318="Taijiquan 42 A"),406,IF(OR(Atletas!P318="Yang 26 B",Atletas!P318="Yang 40 B"),407,IF(OR(Atletas!P318="Chen 25 B",Atletas!P318="Chen 36 B",Atletas!P318="Chen 56 B"),408,IF(Atletas!P318="Sun 73 B",409,IF(Atletas!P318="Wu 45 B",410,IF(Atletas!P318="Wu-Hao 46 B",411,IF(OR(Atletas!P318="Taijiquan 16 B",Atletas!P318="Taijiquan 24 B",Atletas!P318="Taijiquan 32 B",Atletas!P318="Taijiquan 42 B"),412,IF(OR(Atletas!P318="Yang 26 C",Atletas!P318="Yang 40 C"),413,IF(OR(Atletas!P318="Chen 25 C",Atletas!P318="Chen 36 C",Atletas!P318="Chen 56 C"),414,IF(Atletas!P318="Sun 73 C",415,IF(Atletas!P318="Wu 45 C",416,IF(Atletas!P318="Wu-Hao 46 C",417,IF(OR(Atletas!P318="Taijiquan 16 C",Atletas!P318="Taijiquan 24 C",Atletas!P318="Taijiquan 32 C",Atletas!P318="Taijiquan 42 C"),418,0)))))))))))))))))))</f>
        <v/>
      </c>
      <c r="BX327" s="50" t="str">
        <f>IF(Atletas!P318="","",IF(Atletas!X318&lt;&gt;"",10000,0)+IF(Atletas!B318="Feminino",1000,IF(Atletas!B318="Masculino",2000,""))+IF(OR(Atletas!P318="Yang 26 D",Atletas!P318="Yang 40 D"),419,IF(OR(Atletas!P318="Chen 25 D",Atletas!P318="Chen 36 D",Atletas!P318="Chen 56 D"),420,IF(Atletas!P318="Sun 73 D",421,IF(Atletas!P318="Wu 45 D",422,IF(Atletas!P318="Wu-Hao 46 D",423,IF(OR(Atletas!P318="Taijiquan 16 D",Atletas!P318="Taijiquan 24 D",Atletas!P318="Taijiquan 32 D",Atletas!P318="Taijiquan 42 D"),424,IF(OR(Atletas!P318="Yang 26 E",Atletas!P318="Yang 40 E"),425,IF(OR(Atletas!P318="Chen 25 E",Atletas!P318="Chen 36 E",Atletas!P318="Chen 56 E"),426,IF(Atletas!P318="Sun 73 E",427,IF(Atletas!P318="Wu 45 E",428,IF(Atletas!P318="Wu-Hao 46 E",429,IF(OR(Atletas!P318="Taijiquan 16 E",Atletas!P318="Taijiquan 24 E",Atletas!P318="Taijiquan 32 E",Atletas!P318="Taijiquan 42 E"),430,IF(OR(Atletas!P318="Yang 26 F",Atletas!P318="Yang 40 F"),431,IF(OR(Atletas!P318="Chen 25 F",Atletas!P318="Chen 36 F",Atletas!P318="Chen 56 F"),432,IF(Atletas!P318="Sun 73 F",433,IF(Atletas!P318="Wu 45 F",434,IF(Atletas!P318="Wu-Hao 46 F",435,IF(OR(Atletas!P318="Taijiquan 16 F",Atletas!P318="Taijiquan 24 F",Atletas!P318="Taijiquan 32 F",Atletas!P318="Taijiquan 42 F"),436,0)))))))))))))))))))</f>
        <v/>
      </c>
      <c r="BY327" s="50" t="str">
        <f>IF(Atletas!Q318="","",IF(Atletas!X318&lt;&gt;"",10000,0)+IF(Atletas!B318="Feminino",1000,IF(Atletas!B318="Masculino",2000,""))+IF(Atletas!Q318="Xingyiquan A",501,IF(Atletas!Q318="Baguazhang A",502,IF(Atletas!Q318="Outro Estilo Interno A",503,IF(Atletas!Q318="Xingyiquan B",504,IF(Atletas!Q318="Baguazhang B",505,IF(Atletas!Q318="Outro Estilo Interno B",506,IF(Atletas!Q318="Xingyiquan C",507,IF(Atletas!Q318="Baguazhang C",508,IF(Atletas!Q318="Outro Estilo Interno C",509,IF(Atletas!Q318="Xingyiquan D",510,IF(Atletas!Q318="Baguazhang D",511,IF(Atletas!Q318="Outro Estilo Interno D",512,IF(Atletas!Q318="Xingyiquan E",513,IF(Atletas!Q318="Baguazhang E",514,IF(Atletas!Q318="Outro Estilo Interno E",515,IF(Atletas!Q318="Xingyiquan F",516,IF(Atletas!Q318="Baguazhang F",517,IF(Atletas!Q318="Outro Estilo Interno F",518, "")))))))))))))))))))</f>
        <v/>
      </c>
      <c r="BZ327" s="50" t="str">
        <f>IF(Atletas!R318="","",IF(Atletas!X318&lt;&gt;"",10000,0)+IF(Atletas!B318="Feminino",1000,IF(Atletas!B318="Masculino",2000,""))+IF(Atletas!R318="Dao A",601,IF(Atletas!R318="Jian A",602,IF(Atletas!R318="Bishou A",603,IF(Atletas!R318="Shanzi A",604,IF(Atletas!R318="Outra Arma Curta A",605,IF(Atletas!R318="Dao B",606,IF(Atletas!R318="Jian B",607,IF(Atletas!R318="Bishou B",608,IF(Atletas!R318="Shanzi B",609,IF(Atletas!R318="Outra Arma Curta B",610,IF(Atletas!R318="Dao C",611,IF(Atletas!R318="Jian C",612,IF(Atletas!R318="Bishou C",613,IF(Atletas!R318="Shanzi C",614,IF(Atletas!R318="Outra Arma Curta C",615,IF(Atletas!R318="Dao D",616,IF(Atletas!R318="Jian D",617,IF(Atletas!R318="Bishou D",618,IF(Atletas!R318="Shanzi D",619,IF(Atletas!R318="Outra Arma Curta D",620,IF(Atletas!R318="Dao E",621,IF(Atletas!R318="Jian E",622,IF(Atletas!R318="Bishou E",623,IF(Atletas!R318="Shanzi E",624,IF(Atletas!R318="Outra Arma Curta E",625,IF(Atletas!R318="Dao F",626,IF(Atletas!R318="Jian F",627,IF(Atletas!R318="Bishou F",628,IF(Atletas!R318="Shanzi F",629,IF(Atletas!R318="Outra Arma Curta F",630, "")))))))))))))))))))))))))))))))</f>
        <v/>
      </c>
      <c r="CA327" s="50" t="str">
        <f>IF(Atletas!S318="","",IF(Atletas!X318&lt;&gt;"",10000,0)+IF(Atletas!B318="Feminino",1000,IF(Atletas!B318="Masculino",2000,""))+IF(Atletas!S318="Gun A",701,IF(Atletas!S318="Qiang A",702,IF(Atletas!S318="Pudao / Guandao A",703,IF(Atletas!S318="Outra Arma Longa A",704,IF(Atletas!S318="Gun B",705,IF(Atletas!S318="Qiang B",706,IF(Atletas!S318="Pudao / Guandao B",707,IF(Atletas!S318="Outra Arma Longa B",708,IF(Atletas!S318="Gun C",709,IF(Atletas!S318="Qiang C",710,IF(Atletas!S318="Pudao / Guandao C",711,IF(Atletas!S318="Outra Arma Longa C",712,IF(Atletas!S318="Gun D",713,IF(Atletas!S318="Qiang D",714,IF(Atletas!S318="Pudao / Guandao D",715,IF(Atletas!S318="Outra Arma Longa D",716,IF(Atletas!S318="Gun E",717,IF(Atletas!S318="Qiang E",718,IF(Atletas!S318="Pudao / Guandao E",719,IF(Atletas!S318="Outra Arma Longa E",720,IF(Atletas!S318="Gun F",721,IF(Atletas!S318="Qiang F",722,IF(Atletas!S318="Pudao / Guandao F",723,IF(Atletas!S318="Outra Arma Longa F",724,"")))))))))))))))))))))))))</f>
        <v/>
      </c>
      <c r="CB327" s="50" t="str">
        <f>IF(Atletas!T318="","",IF(Atletas!X318&lt;&gt;"",10000,0)+IF(Atletas!B318="Feminino",1000,IF(Atletas!B318="Masculino",2000,""))+IF(Atletas!T318="Outra Arma Dupla A",801,IF(Atletas!T318="Arma Maleável A",802,IF(Atletas!T318="Outra Arma Dupla B",803,IF(Atletas!T318="Arma Maleável B",804,IF(Atletas!T318="Outra Arma Dupla C",805,IF(Atletas!T318="Arma Maleável C",806,IF(Atletas!T318="Outra Arma Dupla D",807,IF(Atletas!T318="Arma Maleável D",808,IF(Atletas!T318="Outra Arma Dupla E",809,IF(Atletas!T318="Arma Maleável E",810,IF(Atletas!T318="Outra Arma Dupla F",811,IF(Atletas!T318="Arma Maleável F",812,IF(Atletas!T318="Shuangdao A",813,IF(Atletas!T318="Shuangdao B",814,IF(Atletas!T318="Shuangdao C",815,IF(Atletas!T318="Shuangdao D",816,IF(Atletas!T318="Shuangdao E",817,IF(Atletas!T318="Shuangdao F",818,"")))))))))))))))))))</f>
        <v/>
      </c>
      <c r="CC327" s="50" t="str">
        <f>IF(Atletas!U318="","",IF(Atletas!X318&lt;&gt;"",10000,0)+IF(Atletas!B318="Feminino",1000,IF(Atletas!B318="Masculino",2000,""))+IF(OR(Atletas!U318="Taijijian Yang A",Atletas!U318="Taijijian Yang Standard A"),901,IF(OR(Atletas!U318="Taijijian Chen A", Atletas!U318="Taijijian Chen Standard A"),902,IF(Atletas!U318="Taijijian Sun A",903,IF(Atletas!U318="Taijijian Wu A",904,IF(Atletas!U318="Taijijian Wu-Hao A",905,IF(OR(Atletas!U318="Taijijian 32 A",Atletas!U318="Taijijian 42 A"),906,IF(OR(Atletas!U318="Taijijian Yang B",Atletas!U318="Taijijian Yang Standard B"),907,IF(OR(Atletas!U318="Taijijian Chen B", Atletas!U318="Taijijian Chen Standard B"),908,IF(Atletas!U318="Taijijian Sun B",909,IF(Atletas!U318="Taijijian Wu B",910,IF(Atletas!U318="Taijijian Wu-Hao B",911,IF(OR(Atletas!U318="Taijijian 32 B",Atletas!U318="Taijijian 42 B"),912,IF(OR(Atletas!U318="Taijijian Yang C",Atletas!U318="Taijijian Yang Standard C"),913,IF(OR(Atletas!U318="Taijijian Chen C", Atletas!U318="Taijijian Chen Standard C"),914,IF(Atletas!U318="Taijijian Sun C",915,IF(Atletas!U318="Taijijian Wu C",916,IF(Atletas!U318="Taijijian Wu-Hao C",917,IF(OR(Atletas!U318="Taijijian 32 C",Atletas!U318="Taijijian 42 C"),918,IF(OR(Atletas!U318="Taijijian Yang D",Atletas!U318="Taijijian Yang Standard D"),919,IF(OR(Atletas!U318="Taijijian Chen D", Atletas!U318="Taijijian Chen Standard D"),920,IF(Atletas!U318="Taijijian Sun D",921,IF(Atletas!U318="Taijijian Wu D",922,IF(Atletas!U318="Taijijian Wu-Hao D",923,IF(OR(Atletas!U318="Taijijian 32 D",Atletas!U318="Taijijian 42 D"),924,IF(OR(Atletas!U318="Taijijian Yang E",Atletas!U318="Taijijian Yang Standard E"),925,IF(OR(Atletas!U318="Taijijian Chen E", Atletas!U318="Taijijian Chen Standard E"),926,IF(Atletas!U318="Taijijian Sun E",927,IF(Atletas!U318="Taijijian Wu E",928,IF(Atletas!U318="Taijijian Wu-Hao E",929,IF(OR(Atletas!U318="Taijijian 32 E",Atletas!U318="Taijijian 42 E"),930,IF(OR(Atletas!U318="Taijijian Yang F",Atletas!U318="Taijijian Yang Standard F"),931,IF(OR(Atletas!U318="Taijijian Chen F", Atletas!U318="Taijijian Chen Standard F"),932,IF(Atletas!U318="Taijijian Sun F",933,IF(Atletas!U318="Taijijian Wu F",934,IF(Atletas!U318="Taijijian Wu-Hao F",935,IF(OR(Atletas!U318="Taijijian 32 F",Atletas!U318="Taijijian 42 F"),936,"")))))))))))))))))))))))))))))))))))))</f>
        <v/>
      </c>
      <c r="CD327" s="50" t="str">
        <f>IF(Atletas!V318="","",IF(Atletas!X318&lt;&gt;"",10000,0)+IF(Atletas!B318="Feminino",1000,IF(Atletas!B318="Masculino",2000,""))+IF(Atletas!V318="Taijidao A",937,IF(Atletas!V318="TaijiShanzi A",938,IF(Atletas!V318="Taijiqiang A",939,IF(Atletas!V318="Bagua de Arma A",940,IF(Atletas!V318="Xingyi de Arma A",941,IF(Atletas!V318="Taijidao B",942,IF(Atletas!V318="TaijiShanzi B",943,IF(Atletas!V318="Taijiqiang B",944,IF(Atletas!V318="Bagua de Arma B",945,IF(Atletas!V318="Xingyi de Arma B",946,IF(Atletas!V318="Taijidao C",947,IF(Atletas!V318="TaijiShanzi C",948,IF(Atletas!V318="Taijiqiang C",949,IF(Atletas!V318="Bagua de Arma C",950,IF(Atletas!V318="Xingyi de Arma C",951,IF(Atletas!V318="Taijidao D",952,IF(Atletas!V318="TaijiShanzi D",953,IF(Atletas!V318="Taijiqiang D",954,IF(Atletas!V318="Bagua de Arma D",955,IF(Atletas!V318="Xingyi de Arma D",956,IF(Atletas!V318="Taijidao E",957,IF(Atletas!V318="TaijiShanzi E",958,IF(Atletas!V318="Taijiqiang E",959,IF(Atletas!V318="Bagua de Arma E",960,IF(Atletas!V318="Xingyi de Arma E",961,IF(Atletas!V318="Taijidao F",962,IF(Atletas!V318="TaijiShanzi F",963,IF(Atletas!V318="Taijiqiang F",964,IF(Atletas!V318="Bagua de Arma F",965,IF(Atletas!V318="Xingyi de Arma F",966,"")))))))))))))))))))))))))))))))</f>
        <v/>
      </c>
      <c r="CE327" s="66" t="str">
        <f>IF(CF327&lt;&gt;"","Taijijian Sun E","")</f>
        <v/>
      </c>
      <c r="CF327" s="6" t="str">
        <f>IF(COUNTIF(BR:CD,1927)&gt;0,COUNTIF(BR:CD,1927),"")</f>
        <v/>
      </c>
      <c r="CG327" s="66" t="str">
        <f>IF(CH327&lt;&gt;"","Taijijian Sun E","")</f>
        <v/>
      </c>
      <c r="CH327" s="66" t="str">
        <f>IF(COUNTIF(BR:CD,2927)&gt;0,COUNTIF(BR:CD,2927),"")</f>
        <v/>
      </c>
      <c r="CI327" s="66" t="str">
        <f>IF(CJ328&lt;&gt;"","Bagua de Arma A","")</f>
        <v/>
      </c>
      <c r="CJ327" s="66" t="str">
        <f>IF(COUNTIF(BR:CD,11939)&gt;0,COUNTIF(BR:CD,11939),"")</f>
        <v/>
      </c>
      <c r="CK327" s="66" t="str">
        <f>IF(CL327&lt;&gt;"","Taijiqiang A","")</f>
        <v/>
      </c>
      <c r="CL327" s="66" t="str">
        <f>IF(COUNTIF(BR:CD,12939)&gt;0,COUNTIF(BR:CD,12939),"")</f>
        <v/>
      </c>
      <c r="CM327" s="50" t="str">
        <f xml:space="preserve"> IF(Atletas!W318="","",IF(Atletas!W318="Duilian de Mãos BC - Equipe 1",1,IF(Atletas!W318="Duilian de Mãos BC - Equipe 2",2,IF(Atletas!W318="Duilian de Armas BC - Equipe 1",3,IF(Atletas!W318="Duilian de Armas BC - Equipe 2",4,IF(Atletas!W318="Duilian de Mãos DE - Equipe 1",5,IF(Atletas!W318="Duilian de Mãos DE - Equipe 2",6,IF(Atletas!W318="Duilian de Armas DE - Equipe 1",7,IF(Atletas!W318="Duilian de Armas DE - Equipe 2",8,IF(Atletas!W318="Duilian de Tuishou - Equipe 1",9,IF(Atletas!W318="Duilian de Tuishou - Equipe 2",10,IF(Atletas!W318="Grupo Externo ABC - Equipe 1",11,IF(Atletas!W318="Grupo Externo ABC - Equipe 2",12,IF(Atletas!W318="Grupo Interno ABC - Equipe 1",13,IF(Atletas!W318="Grupo Interno ABC - Equipe 2",14,IF(Atletas!W318="Grupo Externo DEF - Equipe 1",15,IF(Atletas!W318="Grupo Externo DEF - Equipe 2",16,IF(Atletas!W318="Grupo Interno DEF - Equipe 1",17,IF(Atletas!W318="Grupo Interno DEF - Equipe 2",18,"")))))))))))))))))))</f>
        <v/>
      </c>
    </row>
    <row r="328" spans="40:91">
      <c r="AN328" s="52" t="str">
        <f>IF(Atletas!D319="","",IF(Atletas!B319="Feminino",100,IF(Atletas!B319="Masculino",200,""))+(IF(Atletas!D319="Kids 30kg",1,IF(Atletas!D319="Kids 32kg",2, IF(Atletas!D319="Kids 34kg",3,IF(Atletas!D319="Kids 36kg",4,IF(Atletas!D319="Kids 39kg",5,IF(Atletas!D319="Kids 42kg",6,IF(Atletas!D319="Kids 45kg",7, IF(Atletas!D319="Infantil 39kg",8,IF(Atletas!D319="Infantil 42kg",9,IF(Atletas!D319="Infantil 45kg",10,IF(Atletas!D319="Infantil 48kg",11,IF(Atletas!D319="Infantil 52kg",12,IF(Atletas!D319="Infantil 56kg",13,IF(Atletas!D319="Infantil 60kg",14,IF(Atletas!D319="Juvenil 48kg",15,IF(Atletas!D319="Juvenil 52kg",16,IF(Atletas!D319="Juvenil 56kg",17,IF(Atletas!D319="Juvenil 60kg",18,IF(Atletas!D319="Juvenil 65kg",19,IF(Atletas!D319="Juvenil 70kg",20,IF(Atletas!D319="Juvenil 75kg",21,IF(Atletas!D319="Juvenil 80kg",22, IF(Atletas!D319="Juvenil 85kg",23,IF(Atletas!D319="Adulto 48kg",24,IF(Atletas!D319="Adulto 52kg",25,IF(Atletas!D319="Adulto 56kg",26,IF(Atletas!D319="Adulto 60kg",27,IF(Atletas!D319="Adulto 65kg",28,IF(Atletas!D319="Adulto 70kg",29,IF(Atletas!D319="Adulto 75kg",30,IF(Atletas!D319="Adulto 80kg",31,IF(Atletas!D319="Adulto 85kg",32,IF(Atletas!D319="Adulto 90kg",33,IF(Atletas!D319="Adulto 100kg",34, IF(Atletas!D319="Adulto +100kg",35,"")))))))))))))))))))))))))))))))))))))</f>
        <v/>
      </c>
      <c r="AS328" s="6" t="str">
        <f>IF(Atletas!E319="","",IF(Atletas!B319="Feminino",100,IF(Atletas!B319="Masculino",200,""))+(IF(Atletas!E319="Juvenil 44kg",1,IF(Atletas!E319="Juvenil 48kg",2,IF(Atletas!E319="Juvenil 52kg",3,IF(Atletas!E319="Juvenil 56kg",4,IF(Atletas!E319="Juvenil 60kg",5,IF(Atletas!E319="Juvenil 65kg",6,IF(Atletas!E319="Juvenil 70kg",7,IF(Atletas!E319="Juvenil 75kg",8,IF(Atletas!E319="Juvenil 82kg",9,IF(Atletas!E319="Juvenil 90kg",10,IF(Atletas!E319="Juvenil 100kg",11,IF(Atletas!E319="Adulto 48kg",12,IF(Atletas!E319="Adulto 52kg",13,IF(Atletas!E319="Adulto 56kg",14,IF(Atletas!E319="Adulto 60kg",15,IF(Atletas!E319="Adulto 65kg",16,IF(Atletas!E319="Adulto 70kg",17,IF(Atletas!E319="Adulto 75kg",18,IF(Atletas!E319="Adulto 82kg",19,IF(Atletas!E319="Adulto 90kg",20,IF(Atletas!E319="Adulto 100kg",21,IF(Atletas!E319="Adulto +100kg",22,""))))))))))))))))))))))))</f>
        <v/>
      </c>
      <c r="AX328" s="6" t="str">
        <f>IF(Atletas!F319="","",IF(Atletas!B319="Feminino",100,IF(Atletas!B319="Masculino",200,""))+(IF(Atletas!F319="Adulto 48kg",1,IF(Atletas!F319="Adulto 56kg",2,IF(Atletas!F319="Adulto 65kg",3,IF(Atletas!F319="Adulto 75kg",4,IF(Atletas!F319="Adulto +75kg",5,IF(Atletas!F319="Adulto 52kg",6,IF(Atletas!F319="Adulto 60kg",7,IF(Atletas!F319="Adulto 70kg",8,IF(Atletas!F319="Adulto 80kg",9,IF(Atletas!F319="Adulto 90kg",10,IF(Atletas!F319="Adulto +90kg",11,"")))))))))))))</f>
        <v/>
      </c>
      <c r="BC328" s="6" t="str">
        <f>IF(Atletas!G319="","",IF(Atletas!B319="Feminino",10,IF(Atletas!B319="Masculino",20,""))+(IF(Atletas!G319="Baduanjin A",1,IF(Atletas!G319="Baduanjin B",2))))</f>
        <v/>
      </c>
      <c r="BF328" s="52" t="str">
        <f>IF(Atletas!H319="","",IF(Atletas!B319="Feminino",100,IF(Atletas!B319="Masculino",200,""))+(IF(Atletas!H319="Changquan Mirim",1,IF(Atletas!H319="Nanquan Mirim",2,IF(Atletas!H319="Taijiquan Mirim",3,IF(Atletas!H319="Changquan Grupo C",4,IF(Atletas!H319="Nanquan Grupo C",5,IF(Atletas!H319="Taijiquan Grupo C",6,IF(Atletas!H319="Changquan Grupo B",7,IF(Atletas!H319="Nanquan Grupo B",8,IF(Atletas!H319="Taijiquan Grupo B",9,IF(Atletas!H319="Changquan Grupo A",10,IF(Atletas!H319="Nanquan Grupo A",11,IF(Atletas!H319="Taijiquan Grupo A",12,IF(Atletas!H319="Changquan Opcional",13,IF(Atletas!H319="Nanquan Opcional",14,IF(Atletas!H319="Taijiquan Opcional",15,IF(Atletas!H319="Changquan Adulto",16,IF(Atletas!H319="Nanquan Adulto",17,IF(Atletas!H319="Taijiquan Adulto",18,""))))))))))))))))))))</f>
        <v/>
      </c>
      <c r="BG328" s="52" t="str">
        <f>IF(Atletas!I319="","",IF(Atletas!B319="Feminino",100,IF(Atletas!B319="Masculino",200,""))+(IF(Atletas!I319="Daoshu Mirim",19,IF(Atletas!I319="Jianshu Mirim",20,IF(Atletas!I319="Nandao Mirim",21,IF(Atletas!I319="Taijijian Mirim",22,IF(Atletas!I319="Daoshu Grupo C",23,IF(Atletas!I319="Jianshu Grupo C",24,IF(Atletas!I319="Nandao Grupo C",25,IF(Atletas!I319="Taijijian Grupo C",26,IF(Atletas!I319="Daoshu Grupo B",27,IF(Atletas!I319="Jianshu Grupo B",28,IF(Atletas!I319="Nandao Grupo B",29,IF(Atletas!I319="Taijijian Grupo B",30,IF(Atletas!I319="Daoshu Grupo A",31,IF(Atletas!I319="Jianshu Grupo A",32,IF(Atletas!I319="Nandao Grupo A",33,IF(Atletas!I319="Taijijian Grupo A",34,IF(Atletas!I319="Daoshu Opcional",35,IF(Atletas!I319="Jianshu Opcional",36,IF(Atletas!I319="Nandao Opcional",37,IF(Atletas!I319="Taijijian Opcional",38,IF(Atletas!I319="Daoshu Adulto",39,IF(Atletas!I319="Jianshu Adulto",40,IF(Atletas!I319="Nandao Adulto",41,IF(Atletas!I319="Taijijian Adulto",42,""))))))))))))))))))))))))))</f>
        <v/>
      </c>
      <c r="BH328" s="52" t="str">
        <f>IF(Atletas!J319="","",IF(Atletas!B319="Feminino",100,IF(Atletas!B319="Masculino",200,""))+(IF(Atletas!J319="Gunshu Mirim",43,IF(Atletas!J319="Qiangshu Mirim",44,IF(Atletas!J319="Nangun Mirim",45,IF(Atletas!J319="Gunshu Grupo C",46,IF(Atletas!J319="Qiangshu Grupo C",47,IF(Atletas!J319="Nangun Grupo C",48,IF(Atletas!J319="Gunshu Grupo B",49,IF(Atletas!J319="Qiangshu Grupo B",50,IF(Atletas!J319="Nangun Grupo B",51,IF(Atletas!J319="Gunshu Grupo A",52,IF(Atletas!J319="Qiangshu Grupo A",53,IF(Atletas!J319="Nangun Grupo A",54,IF(Atletas!J319="Gunshu Opcional",55,IF(Atletas!J319="Qiangshu Opcional",56,IF(Atletas!J319="Nangun Opcional",57,IF(Atletas!J319="Gunshu Adulto",58,IF(Atletas!J319="Qiangshu Adulto",59,IF(Atletas!J319="Nangun Adulto",60,IF(Atletas!J319="Taijishan Grupo B",61,IF(Atletas!J319="Taijishan Grupo A",62,""))))))))))))))))))))))</f>
        <v/>
      </c>
      <c r="BM328" s="50" t="str">
        <f>IF(Atletas!K319="","",IF(Atletas!B319="Feminino",100,IF(Atletas!B319="Masculino",200,""))+(IF(Atletas!K319="Equipe 1 Grupo B",1,IF(Atletas!K319="Equipe 2 Grupo B",2,IF(Atletas!K319="Equipe 1 Grupo A",3,IF(Atletas!K319="Equipe 2 Grupo A",4,IF(Atletas!K319="Equipe 1 Adulto",5,IF(Atletas!K319="Equipe 2 Adulto",6,""))))))))</f>
        <v/>
      </c>
      <c r="BR328" s="50" t="str">
        <f>IF(Atletas!L319="","",IF(Atletas!X319&lt;&gt;"",10000,0)+(IF(Atletas!B319="Feminino",1000,IF(Atletas!B319="Masculino",2000,""))+IF(Atletas!L319="Choylayfut A",1,IF(Atletas!L319="Hunggar A",2,IF(Atletas!L319="Wuzuquan A",3,IF(Atletas!L319="Wingchun A",4,IF(Atletas!L319="Outra Mão de Sul A",5,IF(Atletas!L319="Choylayfut B",6,IF(Atletas!L319="Hunggar B",7,IF(Atletas!L319="Wuzuquan B",8,IF(Atletas!L319="Wingchun B",9,IF(Atletas!L319="Outra Mão de Sul B",10,IF(Atletas!L319="Choylayfut C",11,IF(Atletas!L319="Hunggar C",12,IF(Atletas!L319="Wuzuquan C",13,IF(Atletas!L319="Wingchun C",14,IF(Atletas!L319="Outra Mão de Sul C",15,IF(Atletas!L319="Choylayfut D",16,IF(Atletas!L319="Hunggar D",17,IF(Atletas!L319="Wuzuquan D",18,IF(Atletas!L319="Wingchun D",19,IF(Atletas!L319="Outra Mão de Sul D",20,IF(Atletas!L319="Choylayfut E",21,IF(Atletas!L319="Hunggar E",22,IF(Atletas!L319="Wuzuquan E",23,IF(Atletas!L319="Wingchun E",24,IF(Atletas!L319="Outra Mão de Sul E",25,IF(Atletas!L319="Choylayfut F",26,IF(Atletas!L319="Hunggar F",27,IF(Atletas!L319="Wuzuquan F",28,IF(Atletas!L319="Wingchun F",29,IF(Atletas!L319="Outra Mão de Sul F",30,IF(Atletas!L319="Dishuquan A",31,IF(Atletas!L319="Dishuquan B",32,IF(Atletas!L319="Dishuquan C",33,IF(Atletas!L319="Dishuquan D",34,IF(Atletas!L319="Dishuquan E",35,IF(Atletas!L319="Dishuquan F",36,""))))))))))))))))))))))))))))))))))))))</f>
        <v/>
      </c>
      <c r="BS328" s="50" t="str">
        <f>IF(Atletas!M319="","",IF(Atletas!X319&lt;&gt;"",10000,0)+(IF(Atletas!B319="Feminino",1000,IF(Atletas!B319="Masculino",2000,""))+(IF(Atletas!M319="Chaquan A",101,IF(Atletas!M319="Emeiquan A",102,IF(Atletas!M319="Fanziquan A",103,IF(Atletas!M319="Huaquan A",104,IF(Atletas!M319="Hongquan A",105,IF(Atletas!M319="Paoquan A",106,IF(Atletas!M319="Piguaquan A",107,IF(Atletas!M319="Shaolinquan A",108,IF(Atletas!M319="Tanglangquan A",109,IF(Atletas!M319="Yingzhaoquan A",110,IF(Atletas!M319="Tongbeiquan A",111,IF(Atletas!M319="Wudangquan A",112,IF(Atletas!M319="Outros Estilos A",113,IF(Atletas!M319="Chaquan B",114,IF(Atletas!M319="Emeiquan B",115,IF(Atletas!M319="Fanziquan B",116,IF(Atletas!M319="Huaquan B",117,IF(Atletas!M319="Hongquan B",118,IF(Atletas!M319="Paoquan B",119,IF(Atletas!M319="Piguaquan B",120,IF(Atletas!M319="Shaolinquan B",121,IF(Atletas!M319="Tanglangquan B",122,IF(Atletas!M319="Yingzhaoquan B",123,IF(Atletas!M319="Tongbeiquan B",124,IF(Atletas!M319="Wudangquan B",125,IF(Atletas!M319="Outros Estilos B",126,IF(Atletas!M319="Chaquan C",127,IF(Atletas!M319="Emeiquan C",128,IF(Atletas!M319="Fanziquan C",129,IF(Atletas!M319="Huaquan C",130,IF(Atletas!M319="Hongquan C",131,IF(Atletas!M319="Paoquan C",132,IF(Atletas!M319="Piguaquan C",133,IF(Atletas!M319="Shaolinquan C",134,IF(Atletas!M319="Tanglangquan C",135,IF(Atletas!M319="Yingzhaoquan C",136,IF(Atletas!M319="Tongbeiquan C",137,IF(Atletas!M319="Wudangquan C",138,IF(Atletas!M319="Outros Estilos C",139,0))))))))))))))))))))))))))))))))))))))))))</f>
        <v/>
      </c>
      <c r="BT328" s="50" t="str">
        <f>IF(Atletas!M319="","",IF(Atletas!X319&lt;&gt;"",10000,0)+(IF(Atletas!B319="Feminino",1000,IF(Atletas!B319="Masculino",2000,""))+(IF(Atletas!M319="Chaquan D",140,IF(Atletas!M319="Emeiquan D",141,IF(Atletas!M319="Fanziquan D",142,IF(Atletas!M319="Huaquan D",143,IF(Atletas!M319="Hongquan D",144,IF(Atletas!M319="Paoquan D",145,IF(Atletas!M319="Piguaquan D",146,IF(Atletas!M319="Shaolinquan D",147,IF(Atletas!M319="Tanglangquan D",148,IF(Atletas!M319="Yingzhaoquan D",149,IF(Atletas!M319="Tongbeiquan D",150,IF(Atletas!M319="Wudangquan D",151,IF(Atletas!M319="Outros Estilos D",152,IF(Atletas!M319="Chaquan E",153,IF(Atletas!M319="Emeiquan E",154,IF(Atletas!M319="Fanziquan E",155,IF(Atletas!M319="Huaquan E",156,IF(Atletas!M319="Hongquan E",157,IF(Atletas!M319="Paoquan E",158,IF(Atletas!M319="Piguaquan E",159,IF(Atletas!M319="Shaolinquan E",160,IF(Atletas!M319="Tanglangquan E",161,IF(Atletas!M319="Yingzhaoquan E",162,IF(Atletas!M319="Tongbeiquan E",163,IF(Atletas!M319="Wudangquan E",164,IF(Atletas!M319="Outros Estilos E",165,IF(Atletas!M319="Chaquan F",166,IF(Atletas!M319="Emeiquan F",167,IF(Atletas!M319="Fanziquan F",168,IF(Atletas!M319="Huaquan F",169,IF(Atletas!M319="Hongquan F",170,IF(Atletas!M319="Paoquan F",171,IF(Atletas!M319="Piguaquan F",172,IF(Atletas!M319="Shaolinquan F",173,IF(Atletas!M319="Tanglangquan F",174,IF(Atletas!M319="Yingzhaoquan F",175,IF(Atletas!M319="Tongbeiquan F",176,IF(Atletas!M319="Wudangquan F",177,IF(Atletas!M319="Outros Estilos F",178,0))))))))))))))))))))))))))))))))))))))))))</f>
        <v/>
      </c>
      <c r="BU328" s="50" t="str">
        <f>IF(Atletas!N319="","",IF(Atletas!X319&lt;&gt;"",10000,0)+(IF(Atletas!B319="Feminino",1000,IF(Atletas!B319="Masculino",2000,""))+(IF(Atletas!N319="Ditangquan A",201,IF(Atletas!N319="Houquan A",202,IF(Atletas!N319="Zuiquan A",203,IF(Atletas!N319="Ditangquan B",204,IF(Atletas!N319="Houquan B",205,IF(Atletas!N319="Zuiquan B",206,IF(Atletas!N319="Ditangquan C",207,IF(Atletas!N319="Houquan C",208,IF(Atletas!N319="Zuiquan C",209,IF(Atletas!N319="Ditangquan D",210,IF(Atletas!N319="Houquan D",211,IF(Atletas!N319="Zuiquan D",212,IF(Atletas!N319="Ditangquan E",213,IF(Atletas!N319="Houquan E",214,IF(Atletas!N319="Zuiquan E",215,IF(Atletas!N319="Ditangquan F",216,IF(Atletas!N319="Houquan F",217,IF(Atletas!N319="Zuiquan F",218,"")))))))))))))))))))))</f>
        <v/>
      </c>
      <c r="BV328" s="50" t="str">
        <f>IF(Atletas!O319="","",IF(Atletas!X319&lt;&gt;"",10000,0)+IF(Atletas!B319="Feminino",1000,IF(Atletas!B319="Masculino",2000,""))+IF(Atletas!O319="Yang A",301,IF(Atletas!O319="Chen A",302,IF(Atletas!O319="Sun A",303,IF(Atletas!O319="Wu A",304,IF(Atletas!O319="Wu-Hao A",305,IF(Atletas!O319="Outro Taijiquan A",306,IF(Atletas!O319="Yang B",307,IF(Atletas!O319="Chen B",308,IF(Atletas!O319="Sun B",309,IF(Atletas!O319="Wu B",310,IF(Atletas!O319="Wu-Hao B",311,IF(Atletas!O319="Outro Taijiquan B",312,IF(Atletas!O319="Yang C",313,IF(Atletas!O319="Chen C",314,IF(Atletas!O319="Sun C",315,IF(Atletas!O319="Wu C",316,IF(Atletas!O319="Wu-Hao C",317,IF(Atletas!O319="Outro Taijiquan C",318,IF(Atletas!O319="Yang D",319,IF(Atletas!O319="Chen D",320,IF(Atletas!O319="Sun D",321,IF(Atletas!O319="Wu D",322,IF(Atletas!O319="Wu-Hao D",323,IF(Atletas!O319="Outro Taijiquan D",324,IF(Atletas!O319="Yang E",325,IF(Atletas!O319="Chen E",326,IF(Atletas!O319="Sun E",327,IF(Atletas!O319="Wu E",328,IF(Atletas!O319="Wu-Hao E",329,IF(Atletas!O319="Outro Taijiquan E",330,IF(Atletas!O319="Yang F",331,IF(Atletas!O319="Chen F",332,IF(Atletas!O319="Sun F",333,IF(Atletas!O319="Wu F",334,IF(Atletas!O319="Wu-Hao F",335,IF(Atletas!O319="Outro Taijiquan F",336,"")))))))))))))))))))))))))))))))))))))</f>
        <v/>
      </c>
      <c r="BW328" s="50" t="str">
        <f>IF(Atletas!P319="","",IF(Atletas!X319&lt;&gt;"",10000,0)+IF(Atletas!B319="Feminino",1000,IF(Atletas!B319="Masculino",2000,""))+IF(OR(Atletas!P319="Yang 26 A",Atletas!P319="Yang 40 A"),401,IF(OR(Atletas!P319="Chen 25 A",Atletas!P319="Chen 36 A",Atletas!P319="Chen 56 A"),402,IF(Atletas!P319="Sun 73 A",403,IF(Atletas!P319="Wu 45 A",404,IF(Atletas!P319="Wu-Hao 46 A",405,IF(OR(Atletas!P319="Taijiquan 16 A",Atletas!P319="Taijiquan 24 A",Atletas!P319="Taijiquan 32 A",Atletas!P319="Taijiquan 42 A"),406,IF(OR(Atletas!P319="Yang 26 B",Atletas!P319="Yang 40 B"),407,IF(OR(Atletas!P319="Chen 25 B",Atletas!P319="Chen 36 B",Atletas!P319="Chen 56 B"),408,IF(Atletas!P319="Sun 73 B",409,IF(Atletas!P319="Wu 45 B",410,IF(Atletas!P319="Wu-Hao 46 B",411,IF(OR(Atletas!P319="Taijiquan 16 B",Atletas!P319="Taijiquan 24 B",Atletas!P319="Taijiquan 32 B",Atletas!P319="Taijiquan 42 B"),412,IF(OR(Atletas!P319="Yang 26 C",Atletas!P319="Yang 40 C"),413,IF(OR(Atletas!P319="Chen 25 C",Atletas!P319="Chen 36 C",Atletas!P319="Chen 56 C"),414,IF(Atletas!P319="Sun 73 C",415,IF(Atletas!P319="Wu 45 C",416,IF(Atletas!P319="Wu-Hao 46 C",417,IF(OR(Atletas!P319="Taijiquan 16 C",Atletas!P319="Taijiquan 24 C",Atletas!P319="Taijiquan 32 C",Atletas!P319="Taijiquan 42 C"),418,0)))))))))))))))))))</f>
        <v/>
      </c>
      <c r="BX328" s="50" t="str">
        <f>IF(Atletas!P319="","",IF(Atletas!X319&lt;&gt;"",10000,0)+IF(Atletas!B319="Feminino",1000,IF(Atletas!B319="Masculino",2000,""))+IF(OR(Atletas!P319="Yang 26 D",Atletas!P319="Yang 40 D"),419,IF(OR(Atletas!P319="Chen 25 D",Atletas!P319="Chen 36 D",Atletas!P319="Chen 56 D"),420,IF(Atletas!P319="Sun 73 D",421,IF(Atletas!P319="Wu 45 D",422,IF(Atletas!P319="Wu-Hao 46 D",423,IF(OR(Atletas!P319="Taijiquan 16 D",Atletas!P319="Taijiquan 24 D",Atletas!P319="Taijiquan 32 D",Atletas!P319="Taijiquan 42 D"),424,IF(OR(Atletas!P319="Yang 26 E",Atletas!P319="Yang 40 E"),425,IF(OR(Atletas!P319="Chen 25 E",Atletas!P319="Chen 36 E",Atletas!P319="Chen 56 E"),426,IF(Atletas!P319="Sun 73 E",427,IF(Atletas!P319="Wu 45 E",428,IF(Atletas!P319="Wu-Hao 46 E",429,IF(OR(Atletas!P319="Taijiquan 16 E",Atletas!P319="Taijiquan 24 E",Atletas!P319="Taijiquan 32 E",Atletas!P319="Taijiquan 42 E"),430,IF(OR(Atletas!P319="Yang 26 F",Atletas!P319="Yang 40 F"),431,IF(OR(Atletas!P319="Chen 25 F",Atletas!P319="Chen 36 F",Atletas!P319="Chen 56 F"),432,IF(Atletas!P319="Sun 73 F",433,IF(Atletas!P319="Wu 45 F",434,IF(Atletas!P319="Wu-Hao 46 F",435,IF(OR(Atletas!P319="Taijiquan 16 F",Atletas!P319="Taijiquan 24 F",Atletas!P319="Taijiquan 32 F",Atletas!P319="Taijiquan 42 F"),436,0)))))))))))))))))))</f>
        <v/>
      </c>
      <c r="BY328" s="50" t="str">
        <f>IF(Atletas!Q319="","",IF(Atletas!X319&lt;&gt;"",10000,0)+IF(Atletas!B319="Feminino",1000,IF(Atletas!B319="Masculino",2000,""))+IF(Atletas!Q319="Xingyiquan A",501,IF(Atletas!Q319="Baguazhang A",502,IF(Atletas!Q319="Outro Estilo Interno A",503,IF(Atletas!Q319="Xingyiquan B",504,IF(Atletas!Q319="Baguazhang B",505,IF(Atletas!Q319="Outro Estilo Interno B",506,IF(Atletas!Q319="Xingyiquan C",507,IF(Atletas!Q319="Baguazhang C",508,IF(Atletas!Q319="Outro Estilo Interno C",509,IF(Atletas!Q319="Xingyiquan D",510,IF(Atletas!Q319="Baguazhang D",511,IF(Atletas!Q319="Outro Estilo Interno D",512,IF(Atletas!Q319="Xingyiquan E",513,IF(Atletas!Q319="Baguazhang E",514,IF(Atletas!Q319="Outro Estilo Interno E",515,IF(Atletas!Q319="Xingyiquan F",516,IF(Atletas!Q319="Baguazhang F",517,IF(Atletas!Q319="Outro Estilo Interno F",518, "")))))))))))))))))))</f>
        <v/>
      </c>
      <c r="BZ328" s="50" t="str">
        <f>IF(Atletas!R319="","",IF(Atletas!X319&lt;&gt;"",10000,0)+IF(Atletas!B319="Feminino",1000,IF(Atletas!B319="Masculino",2000,""))+IF(Atletas!R319="Dao A",601,IF(Atletas!R319="Jian A",602,IF(Atletas!R319="Bishou A",603,IF(Atletas!R319="Shanzi A",604,IF(Atletas!R319="Outra Arma Curta A",605,IF(Atletas!R319="Dao B",606,IF(Atletas!R319="Jian B",607,IF(Atletas!R319="Bishou B",608,IF(Atletas!R319="Shanzi B",609,IF(Atletas!R319="Outra Arma Curta B",610,IF(Atletas!R319="Dao C",611,IF(Atletas!R319="Jian C",612,IF(Atletas!R319="Bishou C",613,IF(Atletas!R319="Shanzi C",614,IF(Atletas!R319="Outra Arma Curta C",615,IF(Atletas!R319="Dao D",616,IF(Atletas!R319="Jian D",617,IF(Atletas!R319="Bishou D",618,IF(Atletas!R319="Shanzi D",619,IF(Atletas!R319="Outra Arma Curta D",620,IF(Atletas!R319="Dao E",621,IF(Atletas!R319="Jian E",622,IF(Atletas!R319="Bishou E",623,IF(Atletas!R319="Shanzi E",624,IF(Atletas!R319="Outra Arma Curta E",625,IF(Atletas!R319="Dao F",626,IF(Atletas!R319="Jian F",627,IF(Atletas!R319="Bishou F",628,IF(Atletas!R319="Shanzi F",629,IF(Atletas!R319="Outra Arma Curta F",630, "")))))))))))))))))))))))))))))))</f>
        <v/>
      </c>
      <c r="CA328" s="50" t="str">
        <f>IF(Atletas!S319="","",IF(Atletas!X319&lt;&gt;"",10000,0)+IF(Atletas!B319="Feminino",1000,IF(Atletas!B319="Masculino",2000,""))+IF(Atletas!S319="Gun A",701,IF(Atletas!S319="Qiang A",702,IF(Atletas!S319="Pudao / Guandao A",703,IF(Atletas!S319="Outra Arma Longa A",704,IF(Atletas!S319="Gun B",705,IF(Atletas!S319="Qiang B",706,IF(Atletas!S319="Pudao / Guandao B",707,IF(Atletas!S319="Outra Arma Longa B",708,IF(Atletas!S319="Gun C",709,IF(Atletas!S319="Qiang C",710,IF(Atletas!S319="Pudao / Guandao C",711,IF(Atletas!S319="Outra Arma Longa C",712,IF(Atletas!S319="Gun D",713,IF(Atletas!S319="Qiang D",714,IF(Atletas!S319="Pudao / Guandao D",715,IF(Atletas!S319="Outra Arma Longa D",716,IF(Atletas!S319="Gun E",717,IF(Atletas!S319="Qiang E",718,IF(Atletas!S319="Pudao / Guandao E",719,IF(Atletas!S319="Outra Arma Longa E",720,IF(Atletas!S319="Gun F",721,IF(Atletas!S319="Qiang F",722,IF(Atletas!S319="Pudao / Guandao F",723,IF(Atletas!S319="Outra Arma Longa F",724,"")))))))))))))))))))))))))</f>
        <v/>
      </c>
      <c r="CB328" s="50" t="str">
        <f>IF(Atletas!T319="","",IF(Atletas!X319&lt;&gt;"",10000,0)+IF(Atletas!B319="Feminino",1000,IF(Atletas!B319="Masculino",2000,""))+IF(Atletas!T319="Outra Arma Dupla A",801,IF(Atletas!T319="Arma Maleável A",802,IF(Atletas!T319="Outra Arma Dupla B",803,IF(Atletas!T319="Arma Maleável B",804,IF(Atletas!T319="Outra Arma Dupla C",805,IF(Atletas!T319="Arma Maleável C",806,IF(Atletas!T319="Outra Arma Dupla D",807,IF(Atletas!T319="Arma Maleável D",808,IF(Atletas!T319="Outra Arma Dupla E",809,IF(Atletas!T319="Arma Maleável E",810,IF(Atletas!T319="Outra Arma Dupla F",811,IF(Atletas!T319="Arma Maleável F",812,IF(Atletas!T319="Shuangdao A",813,IF(Atletas!T319="Shuangdao B",814,IF(Atletas!T319="Shuangdao C",815,IF(Atletas!T319="Shuangdao D",816,IF(Atletas!T319="Shuangdao E",817,IF(Atletas!T319="Shuangdao F",818,"")))))))))))))))))))</f>
        <v/>
      </c>
      <c r="CC328" s="50" t="str">
        <f>IF(Atletas!U319="","",IF(Atletas!X319&lt;&gt;"",10000,0)+IF(Atletas!B319="Feminino",1000,IF(Atletas!B319="Masculino",2000,""))+IF(OR(Atletas!U319="Taijijian Yang A",Atletas!U319="Taijijian Yang Standard A"),901,IF(OR(Atletas!U319="Taijijian Chen A", Atletas!U319="Taijijian Chen Standard A"),902,IF(Atletas!U319="Taijijian Sun A",903,IF(Atletas!U319="Taijijian Wu A",904,IF(Atletas!U319="Taijijian Wu-Hao A",905,IF(OR(Atletas!U319="Taijijian 32 A",Atletas!U319="Taijijian 42 A"),906,IF(OR(Atletas!U319="Taijijian Yang B",Atletas!U319="Taijijian Yang Standard B"),907,IF(OR(Atletas!U319="Taijijian Chen B", Atletas!U319="Taijijian Chen Standard B"),908,IF(Atletas!U319="Taijijian Sun B",909,IF(Atletas!U319="Taijijian Wu B",910,IF(Atletas!U319="Taijijian Wu-Hao B",911,IF(OR(Atletas!U319="Taijijian 32 B",Atletas!U319="Taijijian 42 B"),912,IF(OR(Atletas!U319="Taijijian Yang C",Atletas!U319="Taijijian Yang Standard C"),913,IF(OR(Atletas!U319="Taijijian Chen C", Atletas!U319="Taijijian Chen Standard C"),914,IF(Atletas!U319="Taijijian Sun C",915,IF(Atletas!U319="Taijijian Wu C",916,IF(Atletas!U319="Taijijian Wu-Hao C",917,IF(OR(Atletas!U319="Taijijian 32 C",Atletas!U319="Taijijian 42 C"),918,IF(OR(Atletas!U319="Taijijian Yang D",Atletas!U319="Taijijian Yang Standard D"),919,IF(OR(Atletas!U319="Taijijian Chen D", Atletas!U319="Taijijian Chen Standard D"),920,IF(Atletas!U319="Taijijian Sun D",921,IF(Atletas!U319="Taijijian Wu D",922,IF(Atletas!U319="Taijijian Wu-Hao D",923,IF(OR(Atletas!U319="Taijijian 32 D",Atletas!U319="Taijijian 42 D"),924,IF(OR(Atletas!U319="Taijijian Yang E",Atletas!U319="Taijijian Yang Standard E"),925,IF(OR(Atletas!U319="Taijijian Chen E", Atletas!U319="Taijijian Chen Standard E"),926,IF(Atletas!U319="Taijijian Sun E",927,IF(Atletas!U319="Taijijian Wu E",928,IF(Atletas!U319="Taijijian Wu-Hao E",929,IF(OR(Atletas!U319="Taijijian 32 E",Atletas!U319="Taijijian 42 E"),930,IF(OR(Atletas!U319="Taijijian Yang F",Atletas!U319="Taijijian Yang Standard F"),931,IF(OR(Atletas!U319="Taijijian Chen F", Atletas!U319="Taijijian Chen Standard F"),932,IF(Atletas!U319="Taijijian Sun F",933,IF(Atletas!U319="Taijijian Wu F",934,IF(Atletas!U319="Taijijian Wu-Hao F",935,IF(OR(Atletas!U319="Taijijian 32 F",Atletas!U319="Taijijian 42 F"),936,"")))))))))))))))))))))))))))))))))))))</f>
        <v/>
      </c>
      <c r="CD328" s="50" t="str">
        <f>IF(Atletas!V319="","",IF(Atletas!X319&lt;&gt;"",10000,0)+IF(Atletas!B319="Feminino",1000,IF(Atletas!B319="Masculino",2000,""))+IF(Atletas!V319="Taijidao A",937,IF(Atletas!V319="TaijiShanzi A",938,IF(Atletas!V319="Taijiqiang A",939,IF(Atletas!V319="Bagua de Arma A",940,IF(Atletas!V319="Xingyi de Arma A",941,IF(Atletas!V319="Taijidao B",942,IF(Atletas!V319="TaijiShanzi B",943,IF(Atletas!V319="Taijiqiang B",944,IF(Atletas!V319="Bagua de Arma B",945,IF(Atletas!V319="Xingyi de Arma B",946,IF(Atletas!V319="Taijidao C",947,IF(Atletas!V319="TaijiShanzi C",948,IF(Atletas!V319="Taijiqiang C",949,IF(Atletas!V319="Bagua de Arma C",950,IF(Atletas!V319="Xingyi de Arma C",951,IF(Atletas!V319="Taijidao D",952,IF(Atletas!V319="TaijiShanzi D",953,IF(Atletas!V319="Taijiqiang D",954,IF(Atletas!V319="Bagua de Arma D",955,IF(Atletas!V319="Xingyi de Arma D",956,IF(Atletas!V319="Taijidao E",957,IF(Atletas!V319="TaijiShanzi E",958,IF(Atletas!V319="Taijiqiang E",959,IF(Atletas!V319="Bagua de Arma E",960,IF(Atletas!V319="Xingyi de Arma E",961,IF(Atletas!V319="Taijidao F",962,IF(Atletas!V319="TaijiShanzi F",963,IF(Atletas!V319="Taijiqiang F",964,IF(Atletas!V319="Bagua de Arma F",965,IF(Atletas!V319="Xingyi de Arma F",966,"")))))))))))))))))))))))))))))))</f>
        <v/>
      </c>
      <c r="CE328" s="66" t="str">
        <f>IF(CF328&lt;&gt;"","Taijijian Wu E","")</f>
        <v/>
      </c>
      <c r="CF328" s="6" t="str">
        <f>IF(COUNTIF(BR:CD,1928)&gt;0,COUNTIF(BR:CD,1928),"")</f>
        <v/>
      </c>
      <c r="CG328" s="66" t="str">
        <f>IF(CH328&lt;&gt;"","Taijijian Wu E","")</f>
        <v/>
      </c>
      <c r="CH328" s="66" t="str">
        <f>IF(COUNTIF(BR:CD,2928)&gt;0,COUNTIF(BR:CD,2928),"")</f>
        <v/>
      </c>
      <c r="CI328" s="66" t="str">
        <f>IF(CJ329&lt;&gt;"","Xingyi de Arma A","")</f>
        <v/>
      </c>
      <c r="CJ328" s="66" t="str">
        <f>IF(COUNTIF(BR:CD,11940)&gt;0,COUNTIF(BR:CD,11940),"")</f>
        <v/>
      </c>
      <c r="CK328" s="66" t="str">
        <f>IF(CL328&lt;&gt;"","Bagua de Arma A","")</f>
        <v/>
      </c>
      <c r="CL328" s="66" t="str">
        <f>IF(COUNTIF(BR:CD,12940)&gt;0,COUNTIF(BR:CD,12940),"")</f>
        <v/>
      </c>
      <c r="CM328" s="50" t="str">
        <f xml:space="preserve"> IF(Atletas!W319="","",IF(Atletas!W319="Duilian de Mãos BC - Equipe 1",1,IF(Atletas!W319="Duilian de Mãos BC - Equipe 2",2,IF(Atletas!W319="Duilian de Armas BC - Equipe 1",3,IF(Atletas!W319="Duilian de Armas BC - Equipe 2",4,IF(Atletas!W319="Duilian de Mãos DE - Equipe 1",5,IF(Atletas!W319="Duilian de Mãos DE - Equipe 2",6,IF(Atletas!W319="Duilian de Armas DE - Equipe 1",7,IF(Atletas!W319="Duilian de Armas DE - Equipe 2",8,IF(Atletas!W319="Duilian de Tuishou - Equipe 1",9,IF(Atletas!W319="Duilian de Tuishou - Equipe 2",10,IF(Atletas!W319="Grupo Externo ABC - Equipe 1",11,IF(Atletas!W319="Grupo Externo ABC - Equipe 2",12,IF(Atletas!W319="Grupo Interno ABC - Equipe 1",13,IF(Atletas!W319="Grupo Interno ABC - Equipe 2",14,IF(Atletas!W319="Grupo Externo DEF - Equipe 1",15,IF(Atletas!W319="Grupo Externo DEF - Equipe 2",16,IF(Atletas!W319="Grupo Interno DEF - Equipe 1",17,IF(Atletas!W319="Grupo Interno DEF - Equipe 2",18,"")))))))))))))))))))</f>
        <v/>
      </c>
    </row>
    <row r="329" spans="40:91">
      <c r="AN329" s="52" t="str">
        <f>IF(Atletas!D320="","",IF(Atletas!B320="Feminino",100,IF(Atletas!B320="Masculino",200,""))+(IF(Atletas!D320="Kids 30kg",1,IF(Atletas!D320="Kids 32kg",2, IF(Atletas!D320="Kids 34kg",3,IF(Atletas!D320="Kids 36kg",4,IF(Atletas!D320="Kids 39kg",5,IF(Atletas!D320="Kids 42kg",6,IF(Atletas!D320="Kids 45kg",7, IF(Atletas!D320="Infantil 39kg",8,IF(Atletas!D320="Infantil 42kg",9,IF(Atletas!D320="Infantil 45kg",10,IF(Atletas!D320="Infantil 48kg",11,IF(Atletas!D320="Infantil 52kg",12,IF(Atletas!D320="Infantil 56kg",13,IF(Atletas!D320="Infantil 60kg",14,IF(Atletas!D320="Juvenil 48kg",15,IF(Atletas!D320="Juvenil 52kg",16,IF(Atletas!D320="Juvenil 56kg",17,IF(Atletas!D320="Juvenil 60kg",18,IF(Atletas!D320="Juvenil 65kg",19,IF(Atletas!D320="Juvenil 70kg",20,IF(Atletas!D320="Juvenil 75kg",21,IF(Atletas!D320="Juvenil 80kg",22, IF(Atletas!D320="Juvenil 85kg",23,IF(Atletas!D320="Adulto 48kg",24,IF(Atletas!D320="Adulto 52kg",25,IF(Atletas!D320="Adulto 56kg",26,IF(Atletas!D320="Adulto 60kg",27,IF(Atletas!D320="Adulto 65kg",28,IF(Atletas!D320="Adulto 70kg",29,IF(Atletas!D320="Adulto 75kg",30,IF(Atletas!D320="Adulto 80kg",31,IF(Atletas!D320="Adulto 85kg",32,IF(Atletas!D320="Adulto 90kg",33,IF(Atletas!D320="Adulto 100kg",34, IF(Atletas!D320="Adulto +100kg",35,"")))))))))))))))))))))))))))))))))))))</f>
        <v/>
      </c>
      <c r="AS329" s="6" t="str">
        <f>IF(Atletas!E320="","",IF(Atletas!B320="Feminino",100,IF(Atletas!B320="Masculino",200,""))+(IF(Atletas!E320="Juvenil 44kg",1,IF(Atletas!E320="Juvenil 48kg",2,IF(Atletas!E320="Juvenil 52kg",3,IF(Atletas!E320="Juvenil 56kg",4,IF(Atletas!E320="Juvenil 60kg",5,IF(Atletas!E320="Juvenil 65kg",6,IF(Atletas!E320="Juvenil 70kg",7,IF(Atletas!E320="Juvenil 75kg",8,IF(Atletas!E320="Juvenil 82kg",9,IF(Atletas!E320="Juvenil 90kg",10,IF(Atletas!E320="Juvenil 100kg",11,IF(Atletas!E320="Adulto 48kg",12,IF(Atletas!E320="Adulto 52kg",13,IF(Atletas!E320="Adulto 56kg",14,IF(Atletas!E320="Adulto 60kg",15,IF(Atletas!E320="Adulto 65kg",16,IF(Atletas!E320="Adulto 70kg",17,IF(Atletas!E320="Adulto 75kg",18,IF(Atletas!E320="Adulto 82kg",19,IF(Atletas!E320="Adulto 90kg",20,IF(Atletas!E320="Adulto 100kg",21,IF(Atletas!E320="Adulto +100kg",22,""))))))))))))))))))))))))</f>
        <v/>
      </c>
      <c r="AX329" s="6" t="str">
        <f>IF(Atletas!F320="","",IF(Atletas!B320="Feminino",100,IF(Atletas!B320="Masculino",200,""))+(IF(Atletas!F320="Adulto 48kg",1,IF(Atletas!F320="Adulto 56kg",2,IF(Atletas!F320="Adulto 65kg",3,IF(Atletas!F320="Adulto 75kg",4,IF(Atletas!F320="Adulto +75kg",5,IF(Atletas!F320="Adulto 52kg",6,IF(Atletas!F320="Adulto 60kg",7,IF(Atletas!F320="Adulto 70kg",8,IF(Atletas!F320="Adulto 80kg",9,IF(Atletas!F320="Adulto 90kg",10,IF(Atletas!F320="Adulto +90kg",11,"")))))))))))))</f>
        <v/>
      </c>
      <c r="BC329" s="6" t="str">
        <f>IF(Atletas!G320="","",IF(Atletas!B320="Feminino",10,IF(Atletas!B320="Masculino",20,""))+(IF(Atletas!G320="Baduanjin A",1,IF(Atletas!G320="Baduanjin B",2))))</f>
        <v/>
      </c>
      <c r="BF329" s="52" t="str">
        <f>IF(Atletas!H320="","",IF(Atletas!B320="Feminino",100,IF(Atletas!B320="Masculino",200,""))+(IF(Atletas!H320="Changquan Mirim",1,IF(Atletas!H320="Nanquan Mirim",2,IF(Atletas!H320="Taijiquan Mirim",3,IF(Atletas!H320="Changquan Grupo C",4,IF(Atletas!H320="Nanquan Grupo C",5,IF(Atletas!H320="Taijiquan Grupo C",6,IF(Atletas!H320="Changquan Grupo B",7,IF(Atletas!H320="Nanquan Grupo B",8,IF(Atletas!H320="Taijiquan Grupo B",9,IF(Atletas!H320="Changquan Grupo A",10,IF(Atletas!H320="Nanquan Grupo A",11,IF(Atletas!H320="Taijiquan Grupo A",12,IF(Atletas!H320="Changquan Opcional",13,IF(Atletas!H320="Nanquan Opcional",14,IF(Atletas!H320="Taijiquan Opcional",15,IF(Atletas!H320="Changquan Adulto",16,IF(Atletas!H320="Nanquan Adulto",17,IF(Atletas!H320="Taijiquan Adulto",18,""))))))))))))))))))))</f>
        <v/>
      </c>
      <c r="BG329" s="52" t="str">
        <f>IF(Atletas!I320="","",IF(Atletas!B320="Feminino",100,IF(Atletas!B320="Masculino",200,""))+(IF(Atletas!I320="Daoshu Mirim",19,IF(Atletas!I320="Jianshu Mirim",20,IF(Atletas!I320="Nandao Mirim",21,IF(Atletas!I320="Taijijian Mirim",22,IF(Atletas!I320="Daoshu Grupo C",23,IF(Atletas!I320="Jianshu Grupo C",24,IF(Atletas!I320="Nandao Grupo C",25,IF(Atletas!I320="Taijijian Grupo C",26,IF(Atletas!I320="Daoshu Grupo B",27,IF(Atletas!I320="Jianshu Grupo B",28,IF(Atletas!I320="Nandao Grupo B",29,IF(Atletas!I320="Taijijian Grupo B",30,IF(Atletas!I320="Daoshu Grupo A",31,IF(Atletas!I320="Jianshu Grupo A",32,IF(Atletas!I320="Nandao Grupo A",33,IF(Atletas!I320="Taijijian Grupo A",34,IF(Atletas!I320="Daoshu Opcional",35,IF(Atletas!I320="Jianshu Opcional",36,IF(Atletas!I320="Nandao Opcional",37,IF(Atletas!I320="Taijijian Opcional",38,IF(Atletas!I320="Daoshu Adulto",39,IF(Atletas!I320="Jianshu Adulto",40,IF(Atletas!I320="Nandao Adulto",41,IF(Atletas!I320="Taijijian Adulto",42,""))))))))))))))))))))))))))</f>
        <v/>
      </c>
      <c r="BH329" s="52" t="str">
        <f>IF(Atletas!J320="","",IF(Atletas!B320="Feminino",100,IF(Atletas!B320="Masculino",200,""))+(IF(Atletas!J320="Gunshu Mirim",43,IF(Atletas!J320="Qiangshu Mirim",44,IF(Atletas!J320="Nangun Mirim",45,IF(Atletas!J320="Gunshu Grupo C",46,IF(Atletas!J320="Qiangshu Grupo C",47,IF(Atletas!J320="Nangun Grupo C",48,IF(Atletas!J320="Gunshu Grupo B",49,IF(Atletas!J320="Qiangshu Grupo B",50,IF(Atletas!J320="Nangun Grupo B",51,IF(Atletas!J320="Gunshu Grupo A",52,IF(Atletas!J320="Qiangshu Grupo A",53,IF(Atletas!J320="Nangun Grupo A",54,IF(Atletas!J320="Gunshu Opcional",55,IF(Atletas!J320="Qiangshu Opcional",56,IF(Atletas!J320="Nangun Opcional",57,IF(Atletas!J320="Gunshu Adulto",58,IF(Atletas!J320="Qiangshu Adulto",59,IF(Atletas!J320="Nangun Adulto",60,IF(Atletas!J320="Taijishan Grupo B",61,IF(Atletas!J320="Taijishan Grupo A",62,""))))))))))))))))))))))</f>
        <v/>
      </c>
      <c r="BM329" s="50" t="str">
        <f>IF(Atletas!K320="","",IF(Atletas!B320="Feminino",100,IF(Atletas!B320="Masculino",200,""))+(IF(Atletas!K320="Equipe 1 Grupo B",1,IF(Atletas!K320="Equipe 2 Grupo B",2,IF(Atletas!K320="Equipe 1 Grupo A",3,IF(Atletas!K320="Equipe 2 Grupo A",4,IF(Atletas!K320="Equipe 1 Adulto",5,IF(Atletas!K320="Equipe 2 Adulto",6,""))))))))</f>
        <v/>
      </c>
      <c r="BR329" s="50" t="str">
        <f>IF(Atletas!L320="","",IF(Atletas!X320&lt;&gt;"",10000,0)+(IF(Atletas!B320="Feminino",1000,IF(Atletas!B320="Masculino",2000,""))+IF(Atletas!L320="Choylayfut A",1,IF(Atletas!L320="Hunggar A",2,IF(Atletas!L320="Wuzuquan A",3,IF(Atletas!L320="Wingchun A",4,IF(Atletas!L320="Outra Mão de Sul A",5,IF(Atletas!L320="Choylayfut B",6,IF(Atletas!L320="Hunggar B",7,IF(Atletas!L320="Wuzuquan B",8,IF(Atletas!L320="Wingchun B",9,IF(Atletas!L320="Outra Mão de Sul B",10,IF(Atletas!L320="Choylayfut C",11,IF(Atletas!L320="Hunggar C",12,IF(Atletas!L320="Wuzuquan C",13,IF(Atletas!L320="Wingchun C",14,IF(Atletas!L320="Outra Mão de Sul C",15,IF(Atletas!L320="Choylayfut D",16,IF(Atletas!L320="Hunggar D",17,IF(Atletas!L320="Wuzuquan D",18,IF(Atletas!L320="Wingchun D",19,IF(Atletas!L320="Outra Mão de Sul D",20,IF(Atletas!L320="Choylayfut E",21,IF(Atletas!L320="Hunggar E",22,IF(Atletas!L320="Wuzuquan E",23,IF(Atletas!L320="Wingchun E",24,IF(Atletas!L320="Outra Mão de Sul E",25,IF(Atletas!L320="Choylayfut F",26,IF(Atletas!L320="Hunggar F",27,IF(Atletas!L320="Wuzuquan F",28,IF(Atletas!L320="Wingchun F",29,IF(Atletas!L320="Outra Mão de Sul F",30,IF(Atletas!L320="Dishuquan A",31,IF(Atletas!L320="Dishuquan B",32,IF(Atletas!L320="Dishuquan C",33,IF(Atletas!L320="Dishuquan D",34,IF(Atletas!L320="Dishuquan E",35,IF(Atletas!L320="Dishuquan F",36,""))))))))))))))))))))))))))))))))))))))</f>
        <v/>
      </c>
      <c r="BS329" s="50" t="str">
        <f>IF(Atletas!M320="","",IF(Atletas!X320&lt;&gt;"",10000,0)+(IF(Atletas!B320="Feminino",1000,IF(Atletas!B320="Masculino",2000,""))+(IF(Atletas!M320="Chaquan A",101,IF(Atletas!M320="Emeiquan A",102,IF(Atletas!M320="Fanziquan A",103,IF(Atletas!M320="Huaquan A",104,IF(Atletas!M320="Hongquan A",105,IF(Atletas!M320="Paoquan A",106,IF(Atletas!M320="Piguaquan A",107,IF(Atletas!M320="Shaolinquan A",108,IF(Atletas!M320="Tanglangquan A",109,IF(Atletas!M320="Yingzhaoquan A",110,IF(Atletas!M320="Tongbeiquan A",111,IF(Atletas!M320="Wudangquan A",112,IF(Atletas!M320="Outros Estilos A",113,IF(Atletas!M320="Chaquan B",114,IF(Atletas!M320="Emeiquan B",115,IF(Atletas!M320="Fanziquan B",116,IF(Atletas!M320="Huaquan B",117,IF(Atletas!M320="Hongquan B",118,IF(Atletas!M320="Paoquan B",119,IF(Atletas!M320="Piguaquan B",120,IF(Atletas!M320="Shaolinquan B",121,IF(Atletas!M320="Tanglangquan B",122,IF(Atletas!M320="Yingzhaoquan B",123,IF(Atletas!M320="Tongbeiquan B",124,IF(Atletas!M320="Wudangquan B",125,IF(Atletas!M320="Outros Estilos B",126,IF(Atletas!M320="Chaquan C",127,IF(Atletas!M320="Emeiquan C",128,IF(Atletas!M320="Fanziquan C",129,IF(Atletas!M320="Huaquan C",130,IF(Atletas!M320="Hongquan C",131,IF(Atletas!M320="Paoquan C",132,IF(Atletas!M320="Piguaquan C",133,IF(Atletas!M320="Shaolinquan C",134,IF(Atletas!M320="Tanglangquan C",135,IF(Atletas!M320="Yingzhaoquan C",136,IF(Atletas!M320="Tongbeiquan C",137,IF(Atletas!M320="Wudangquan C",138,IF(Atletas!M320="Outros Estilos C",139,0))))))))))))))))))))))))))))))))))))))))))</f>
        <v/>
      </c>
      <c r="BT329" s="50" t="str">
        <f>IF(Atletas!M320="","",IF(Atletas!X320&lt;&gt;"",10000,0)+(IF(Atletas!B320="Feminino",1000,IF(Atletas!B320="Masculino",2000,""))+(IF(Atletas!M320="Chaquan D",140,IF(Atletas!M320="Emeiquan D",141,IF(Atletas!M320="Fanziquan D",142,IF(Atletas!M320="Huaquan D",143,IF(Atletas!M320="Hongquan D",144,IF(Atletas!M320="Paoquan D",145,IF(Atletas!M320="Piguaquan D",146,IF(Atletas!M320="Shaolinquan D",147,IF(Atletas!M320="Tanglangquan D",148,IF(Atletas!M320="Yingzhaoquan D",149,IF(Atletas!M320="Tongbeiquan D",150,IF(Atletas!M320="Wudangquan D",151,IF(Atletas!M320="Outros Estilos D",152,IF(Atletas!M320="Chaquan E",153,IF(Atletas!M320="Emeiquan E",154,IF(Atletas!M320="Fanziquan E",155,IF(Atletas!M320="Huaquan E",156,IF(Atletas!M320="Hongquan E",157,IF(Atletas!M320="Paoquan E",158,IF(Atletas!M320="Piguaquan E",159,IF(Atletas!M320="Shaolinquan E",160,IF(Atletas!M320="Tanglangquan E",161,IF(Atletas!M320="Yingzhaoquan E",162,IF(Atletas!M320="Tongbeiquan E",163,IF(Atletas!M320="Wudangquan E",164,IF(Atletas!M320="Outros Estilos E",165,IF(Atletas!M320="Chaquan F",166,IF(Atletas!M320="Emeiquan F",167,IF(Atletas!M320="Fanziquan F",168,IF(Atletas!M320="Huaquan F",169,IF(Atletas!M320="Hongquan F",170,IF(Atletas!M320="Paoquan F",171,IF(Atletas!M320="Piguaquan F",172,IF(Atletas!M320="Shaolinquan F",173,IF(Atletas!M320="Tanglangquan F",174,IF(Atletas!M320="Yingzhaoquan F",175,IF(Atletas!M320="Tongbeiquan F",176,IF(Atletas!M320="Wudangquan F",177,IF(Atletas!M320="Outros Estilos F",178,0))))))))))))))))))))))))))))))))))))))))))</f>
        <v/>
      </c>
      <c r="BU329" s="50" t="str">
        <f>IF(Atletas!N320="","",IF(Atletas!X320&lt;&gt;"",10000,0)+(IF(Atletas!B320="Feminino",1000,IF(Atletas!B320="Masculino",2000,""))+(IF(Atletas!N320="Ditangquan A",201,IF(Atletas!N320="Houquan A",202,IF(Atletas!N320="Zuiquan A",203,IF(Atletas!N320="Ditangquan B",204,IF(Atletas!N320="Houquan B",205,IF(Atletas!N320="Zuiquan B",206,IF(Atletas!N320="Ditangquan C",207,IF(Atletas!N320="Houquan C",208,IF(Atletas!N320="Zuiquan C",209,IF(Atletas!N320="Ditangquan D",210,IF(Atletas!N320="Houquan D",211,IF(Atletas!N320="Zuiquan D",212,IF(Atletas!N320="Ditangquan E",213,IF(Atletas!N320="Houquan E",214,IF(Atletas!N320="Zuiquan E",215,IF(Atletas!N320="Ditangquan F",216,IF(Atletas!N320="Houquan F",217,IF(Atletas!N320="Zuiquan F",218,"")))))))))))))))))))))</f>
        <v/>
      </c>
      <c r="BV329" s="50" t="str">
        <f>IF(Atletas!O320="","",IF(Atletas!X320&lt;&gt;"",10000,0)+IF(Atletas!B320="Feminino",1000,IF(Atletas!B320="Masculino",2000,""))+IF(Atletas!O320="Yang A",301,IF(Atletas!O320="Chen A",302,IF(Atletas!O320="Sun A",303,IF(Atletas!O320="Wu A",304,IF(Atletas!O320="Wu-Hao A",305,IF(Atletas!O320="Outro Taijiquan A",306,IF(Atletas!O320="Yang B",307,IF(Atletas!O320="Chen B",308,IF(Atletas!O320="Sun B",309,IF(Atletas!O320="Wu B",310,IF(Atletas!O320="Wu-Hao B",311,IF(Atletas!O320="Outro Taijiquan B",312,IF(Atletas!O320="Yang C",313,IF(Atletas!O320="Chen C",314,IF(Atletas!O320="Sun C",315,IF(Atletas!O320="Wu C",316,IF(Atletas!O320="Wu-Hao C",317,IF(Atletas!O320="Outro Taijiquan C",318,IF(Atletas!O320="Yang D",319,IF(Atletas!O320="Chen D",320,IF(Atletas!O320="Sun D",321,IF(Atletas!O320="Wu D",322,IF(Atletas!O320="Wu-Hao D",323,IF(Atletas!O320="Outro Taijiquan D",324,IF(Atletas!O320="Yang E",325,IF(Atletas!O320="Chen E",326,IF(Atletas!O320="Sun E",327,IF(Atletas!O320="Wu E",328,IF(Atletas!O320="Wu-Hao E",329,IF(Atletas!O320="Outro Taijiquan E",330,IF(Atletas!O320="Yang F",331,IF(Atletas!O320="Chen F",332,IF(Atletas!O320="Sun F",333,IF(Atletas!O320="Wu F",334,IF(Atletas!O320="Wu-Hao F",335,IF(Atletas!O320="Outro Taijiquan F",336,"")))))))))))))))))))))))))))))))))))))</f>
        <v/>
      </c>
      <c r="BW329" s="50" t="str">
        <f>IF(Atletas!P320="","",IF(Atletas!X320&lt;&gt;"",10000,0)+IF(Atletas!B320="Feminino",1000,IF(Atletas!B320="Masculino",2000,""))+IF(OR(Atletas!P320="Yang 26 A",Atletas!P320="Yang 40 A"),401,IF(OR(Atletas!P320="Chen 25 A",Atletas!P320="Chen 36 A",Atletas!P320="Chen 56 A"),402,IF(Atletas!P320="Sun 73 A",403,IF(Atletas!P320="Wu 45 A",404,IF(Atletas!P320="Wu-Hao 46 A",405,IF(OR(Atletas!P320="Taijiquan 16 A",Atletas!P320="Taijiquan 24 A",Atletas!P320="Taijiquan 32 A",Atletas!P320="Taijiquan 42 A"),406,IF(OR(Atletas!P320="Yang 26 B",Atletas!P320="Yang 40 B"),407,IF(OR(Atletas!P320="Chen 25 B",Atletas!P320="Chen 36 B",Atletas!P320="Chen 56 B"),408,IF(Atletas!P320="Sun 73 B",409,IF(Atletas!P320="Wu 45 B",410,IF(Atletas!P320="Wu-Hao 46 B",411,IF(OR(Atletas!P320="Taijiquan 16 B",Atletas!P320="Taijiquan 24 B",Atletas!P320="Taijiquan 32 B",Atletas!P320="Taijiquan 42 B"),412,IF(OR(Atletas!P320="Yang 26 C",Atletas!P320="Yang 40 C"),413,IF(OR(Atletas!P320="Chen 25 C",Atletas!P320="Chen 36 C",Atletas!P320="Chen 56 C"),414,IF(Atletas!P320="Sun 73 C",415,IF(Atletas!P320="Wu 45 C",416,IF(Atletas!P320="Wu-Hao 46 C",417,IF(OR(Atletas!P320="Taijiquan 16 C",Atletas!P320="Taijiquan 24 C",Atletas!P320="Taijiquan 32 C",Atletas!P320="Taijiquan 42 C"),418,0)))))))))))))))))))</f>
        <v/>
      </c>
      <c r="BX329" s="50" t="str">
        <f>IF(Atletas!P320="","",IF(Atletas!X320&lt;&gt;"",10000,0)+IF(Atletas!B320="Feminino",1000,IF(Atletas!B320="Masculino",2000,""))+IF(OR(Atletas!P320="Yang 26 D",Atletas!P320="Yang 40 D"),419,IF(OR(Atletas!P320="Chen 25 D",Atletas!P320="Chen 36 D",Atletas!P320="Chen 56 D"),420,IF(Atletas!P320="Sun 73 D",421,IF(Atletas!P320="Wu 45 D",422,IF(Atletas!P320="Wu-Hao 46 D",423,IF(OR(Atletas!P320="Taijiquan 16 D",Atletas!P320="Taijiquan 24 D",Atletas!P320="Taijiquan 32 D",Atletas!P320="Taijiquan 42 D"),424,IF(OR(Atletas!P320="Yang 26 E",Atletas!P320="Yang 40 E"),425,IF(OR(Atletas!P320="Chen 25 E",Atletas!P320="Chen 36 E",Atletas!P320="Chen 56 E"),426,IF(Atletas!P320="Sun 73 E",427,IF(Atletas!P320="Wu 45 E",428,IF(Atletas!P320="Wu-Hao 46 E",429,IF(OR(Atletas!P320="Taijiquan 16 E",Atletas!P320="Taijiquan 24 E",Atletas!P320="Taijiquan 32 E",Atletas!P320="Taijiquan 42 E"),430,IF(OR(Atletas!P320="Yang 26 F",Atletas!P320="Yang 40 F"),431,IF(OR(Atletas!P320="Chen 25 F",Atletas!P320="Chen 36 F",Atletas!P320="Chen 56 F"),432,IF(Atletas!P320="Sun 73 F",433,IF(Atletas!P320="Wu 45 F",434,IF(Atletas!P320="Wu-Hao 46 F",435,IF(OR(Atletas!P320="Taijiquan 16 F",Atletas!P320="Taijiquan 24 F",Atletas!P320="Taijiquan 32 F",Atletas!P320="Taijiquan 42 F"),436,0)))))))))))))))))))</f>
        <v/>
      </c>
      <c r="BY329" s="50" t="str">
        <f>IF(Atletas!Q320="","",IF(Atletas!X320&lt;&gt;"",10000,0)+IF(Atletas!B320="Feminino",1000,IF(Atletas!B320="Masculino",2000,""))+IF(Atletas!Q320="Xingyiquan A",501,IF(Atletas!Q320="Baguazhang A",502,IF(Atletas!Q320="Outro Estilo Interno A",503,IF(Atletas!Q320="Xingyiquan B",504,IF(Atletas!Q320="Baguazhang B",505,IF(Atletas!Q320="Outro Estilo Interno B",506,IF(Atletas!Q320="Xingyiquan C",507,IF(Atletas!Q320="Baguazhang C",508,IF(Atletas!Q320="Outro Estilo Interno C",509,IF(Atletas!Q320="Xingyiquan D",510,IF(Atletas!Q320="Baguazhang D",511,IF(Atletas!Q320="Outro Estilo Interno D",512,IF(Atletas!Q320="Xingyiquan E",513,IF(Atletas!Q320="Baguazhang E",514,IF(Atletas!Q320="Outro Estilo Interno E",515,IF(Atletas!Q320="Xingyiquan F",516,IF(Atletas!Q320="Baguazhang F",517,IF(Atletas!Q320="Outro Estilo Interno F",518, "")))))))))))))))))))</f>
        <v/>
      </c>
      <c r="BZ329" s="50" t="str">
        <f>IF(Atletas!R320="","",IF(Atletas!X320&lt;&gt;"",10000,0)+IF(Atletas!B320="Feminino",1000,IF(Atletas!B320="Masculino",2000,""))+IF(Atletas!R320="Dao A",601,IF(Atletas!R320="Jian A",602,IF(Atletas!R320="Bishou A",603,IF(Atletas!R320="Shanzi A",604,IF(Atletas!R320="Outra Arma Curta A",605,IF(Atletas!R320="Dao B",606,IF(Atletas!R320="Jian B",607,IF(Atletas!R320="Bishou B",608,IF(Atletas!R320="Shanzi B",609,IF(Atletas!R320="Outra Arma Curta B",610,IF(Atletas!R320="Dao C",611,IF(Atletas!R320="Jian C",612,IF(Atletas!R320="Bishou C",613,IF(Atletas!R320="Shanzi C",614,IF(Atletas!R320="Outra Arma Curta C",615,IF(Atletas!R320="Dao D",616,IF(Atletas!R320="Jian D",617,IF(Atletas!R320="Bishou D",618,IF(Atletas!R320="Shanzi D",619,IF(Atletas!R320="Outra Arma Curta D",620,IF(Atletas!R320="Dao E",621,IF(Atletas!R320="Jian E",622,IF(Atletas!R320="Bishou E",623,IF(Atletas!R320="Shanzi E",624,IF(Atletas!R320="Outra Arma Curta E",625,IF(Atletas!R320="Dao F",626,IF(Atletas!R320="Jian F",627,IF(Atletas!R320="Bishou F",628,IF(Atletas!R320="Shanzi F",629,IF(Atletas!R320="Outra Arma Curta F",630, "")))))))))))))))))))))))))))))))</f>
        <v/>
      </c>
      <c r="CA329" s="50" t="str">
        <f>IF(Atletas!S320="","",IF(Atletas!X320&lt;&gt;"",10000,0)+IF(Atletas!B320="Feminino",1000,IF(Atletas!B320="Masculino",2000,""))+IF(Atletas!S320="Gun A",701,IF(Atletas!S320="Qiang A",702,IF(Atletas!S320="Pudao / Guandao A",703,IF(Atletas!S320="Outra Arma Longa A",704,IF(Atletas!S320="Gun B",705,IF(Atletas!S320="Qiang B",706,IF(Atletas!S320="Pudao / Guandao B",707,IF(Atletas!S320="Outra Arma Longa B",708,IF(Atletas!S320="Gun C",709,IF(Atletas!S320="Qiang C",710,IF(Atletas!S320="Pudao / Guandao C",711,IF(Atletas!S320="Outra Arma Longa C",712,IF(Atletas!S320="Gun D",713,IF(Atletas!S320="Qiang D",714,IF(Atletas!S320="Pudao / Guandao D",715,IF(Atletas!S320="Outra Arma Longa D",716,IF(Atletas!S320="Gun E",717,IF(Atletas!S320="Qiang E",718,IF(Atletas!S320="Pudao / Guandao E",719,IF(Atletas!S320="Outra Arma Longa E",720,IF(Atletas!S320="Gun F",721,IF(Atletas!S320="Qiang F",722,IF(Atletas!S320="Pudao / Guandao F",723,IF(Atletas!S320="Outra Arma Longa F",724,"")))))))))))))))))))))))))</f>
        <v/>
      </c>
      <c r="CB329" s="50" t="str">
        <f>IF(Atletas!T320="","",IF(Atletas!X320&lt;&gt;"",10000,0)+IF(Atletas!B320="Feminino",1000,IF(Atletas!B320="Masculino",2000,""))+IF(Atletas!T320="Outra Arma Dupla A",801,IF(Atletas!T320="Arma Maleável A",802,IF(Atletas!T320="Outra Arma Dupla B",803,IF(Atletas!T320="Arma Maleável B",804,IF(Atletas!T320="Outra Arma Dupla C",805,IF(Atletas!T320="Arma Maleável C",806,IF(Atletas!T320="Outra Arma Dupla D",807,IF(Atletas!T320="Arma Maleável D",808,IF(Atletas!T320="Outra Arma Dupla E",809,IF(Atletas!T320="Arma Maleável E",810,IF(Atletas!T320="Outra Arma Dupla F",811,IF(Atletas!T320="Arma Maleável F",812,IF(Atletas!T320="Shuangdao A",813,IF(Atletas!T320="Shuangdao B",814,IF(Atletas!T320="Shuangdao C",815,IF(Atletas!T320="Shuangdao D",816,IF(Atletas!T320="Shuangdao E",817,IF(Atletas!T320="Shuangdao F",818,"")))))))))))))))))))</f>
        <v/>
      </c>
      <c r="CC329" s="50" t="str">
        <f>IF(Atletas!U320="","",IF(Atletas!X320&lt;&gt;"",10000,0)+IF(Atletas!B320="Feminino",1000,IF(Atletas!B320="Masculino",2000,""))+IF(OR(Atletas!U320="Taijijian Yang A",Atletas!U320="Taijijian Yang Standard A"),901,IF(OR(Atletas!U320="Taijijian Chen A", Atletas!U320="Taijijian Chen Standard A"),902,IF(Atletas!U320="Taijijian Sun A",903,IF(Atletas!U320="Taijijian Wu A",904,IF(Atletas!U320="Taijijian Wu-Hao A",905,IF(OR(Atletas!U320="Taijijian 32 A",Atletas!U320="Taijijian 42 A"),906,IF(OR(Atletas!U320="Taijijian Yang B",Atletas!U320="Taijijian Yang Standard B"),907,IF(OR(Atletas!U320="Taijijian Chen B", Atletas!U320="Taijijian Chen Standard B"),908,IF(Atletas!U320="Taijijian Sun B",909,IF(Atletas!U320="Taijijian Wu B",910,IF(Atletas!U320="Taijijian Wu-Hao B",911,IF(OR(Atletas!U320="Taijijian 32 B",Atletas!U320="Taijijian 42 B"),912,IF(OR(Atletas!U320="Taijijian Yang C",Atletas!U320="Taijijian Yang Standard C"),913,IF(OR(Atletas!U320="Taijijian Chen C", Atletas!U320="Taijijian Chen Standard C"),914,IF(Atletas!U320="Taijijian Sun C",915,IF(Atletas!U320="Taijijian Wu C",916,IF(Atletas!U320="Taijijian Wu-Hao C",917,IF(OR(Atletas!U320="Taijijian 32 C",Atletas!U320="Taijijian 42 C"),918,IF(OR(Atletas!U320="Taijijian Yang D",Atletas!U320="Taijijian Yang Standard D"),919,IF(OR(Atletas!U320="Taijijian Chen D", Atletas!U320="Taijijian Chen Standard D"),920,IF(Atletas!U320="Taijijian Sun D",921,IF(Atletas!U320="Taijijian Wu D",922,IF(Atletas!U320="Taijijian Wu-Hao D",923,IF(OR(Atletas!U320="Taijijian 32 D",Atletas!U320="Taijijian 42 D"),924,IF(OR(Atletas!U320="Taijijian Yang E",Atletas!U320="Taijijian Yang Standard E"),925,IF(OR(Atletas!U320="Taijijian Chen E", Atletas!U320="Taijijian Chen Standard E"),926,IF(Atletas!U320="Taijijian Sun E",927,IF(Atletas!U320="Taijijian Wu E",928,IF(Atletas!U320="Taijijian Wu-Hao E",929,IF(OR(Atletas!U320="Taijijian 32 E",Atletas!U320="Taijijian 42 E"),930,IF(OR(Atletas!U320="Taijijian Yang F",Atletas!U320="Taijijian Yang Standard F"),931,IF(OR(Atletas!U320="Taijijian Chen F", Atletas!U320="Taijijian Chen Standard F"),932,IF(Atletas!U320="Taijijian Sun F",933,IF(Atletas!U320="Taijijian Wu F",934,IF(Atletas!U320="Taijijian Wu-Hao F",935,IF(OR(Atletas!U320="Taijijian 32 F",Atletas!U320="Taijijian 42 F"),936,"")))))))))))))))))))))))))))))))))))))</f>
        <v/>
      </c>
      <c r="CD329" s="50" t="str">
        <f>IF(Atletas!V320="","",IF(Atletas!X320&lt;&gt;"",10000,0)+IF(Atletas!B320="Feminino",1000,IF(Atletas!B320="Masculino",2000,""))+IF(Atletas!V320="Taijidao A",937,IF(Atletas!V320="TaijiShanzi A",938,IF(Atletas!V320="Taijiqiang A",939,IF(Atletas!V320="Bagua de Arma A",940,IF(Atletas!V320="Xingyi de Arma A",941,IF(Atletas!V320="Taijidao B",942,IF(Atletas!V320="TaijiShanzi B",943,IF(Atletas!V320="Taijiqiang B",944,IF(Atletas!V320="Bagua de Arma B",945,IF(Atletas!V320="Xingyi de Arma B",946,IF(Atletas!V320="Taijidao C",947,IF(Atletas!V320="TaijiShanzi C",948,IF(Atletas!V320="Taijiqiang C",949,IF(Atletas!V320="Bagua de Arma C",950,IF(Atletas!V320="Xingyi de Arma C",951,IF(Atletas!V320="Taijidao D",952,IF(Atletas!V320="TaijiShanzi D",953,IF(Atletas!V320="Taijiqiang D",954,IF(Atletas!V320="Bagua de Arma D",955,IF(Atletas!V320="Xingyi de Arma D",956,IF(Atletas!V320="Taijidao E",957,IF(Atletas!V320="TaijiShanzi E",958,IF(Atletas!V320="Taijiqiang E",959,IF(Atletas!V320="Bagua de Arma E",960,IF(Atletas!V320="Xingyi de Arma E",961,IF(Atletas!V320="Taijidao F",962,IF(Atletas!V320="TaijiShanzi F",963,IF(Atletas!V320="Taijiqiang F",964,IF(Atletas!V320="Bagua de Arma F",965,IF(Atletas!V320="Xingyi de Arma F",966,"")))))))))))))))))))))))))))))))</f>
        <v/>
      </c>
      <c r="CE329" s="66" t="str">
        <f>IF(CF329&lt;&gt;"","Taijijian Wu-Hao E","")</f>
        <v/>
      </c>
      <c r="CF329" s="6" t="str">
        <f>IF(COUNTIF(BR:CD,1929)&gt;0,COUNTIF(BR:CD,1929),"")</f>
        <v/>
      </c>
      <c r="CG329" s="66" t="str">
        <f>IF(CH329&lt;&gt;"","Taijijian Wu-Hao E","")</f>
        <v/>
      </c>
      <c r="CH329" s="66" t="str">
        <f>IF(COUNTIF(BR:CD,2929)&gt;0,COUNTIF(BR:CD,2929),"")</f>
        <v/>
      </c>
      <c r="CI329" s="66" t="str">
        <f>IF(CJ330&lt;&gt;"","Taijidao B","")</f>
        <v/>
      </c>
      <c r="CJ329" s="66" t="str">
        <f>IF(COUNTIF(BR:CD,11941)&gt;0,COUNTIF(BR:CD,11941),"")</f>
        <v/>
      </c>
      <c r="CK329" s="66" t="str">
        <f>IF(CL329&lt;&gt;"","Xingyi de Arma A","")</f>
        <v/>
      </c>
      <c r="CL329" s="66" t="str">
        <f>IF(COUNTIF(BR:CD,12941)&gt;0,COUNTIF(BR:CD,12941),"")</f>
        <v/>
      </c>
      <c r="CM329" s="50" t="str">
        <f xml:space="preserve"> IF(Atletas!W320="","",IF(Atletas!W320="Duilian de Mãos BC - Equipe 1",1,IF(Atletas!W320="Duilian de Mãos BC - Equipe 2",2,IF(Atletas!W320="Duilian de Armas BC - Equipe 1",3,IF(Atletas!W320="Duilian de Armas BC - Equipe 2",4,IF(Atletas!W320="Duilian de Mãos DE - Equipe 1",5,IF(Atletas!W320="Duilian de Mãos DE - Equipe 2",6,IF(Atletas!W320="Duilian de Armas DE - Equipe 1",7,IF(Atletas!W320="Duilian de Armas DE - Equipe 2",8,IF(Atletas!W320="Duilian de Tuishou - Equipe 1",9,IF(Atletas!W320="Duilian de Tuishou - Equipe 2",10,IF(Atletas!W320="Grupo Externo ABC - Equipe 1",11,IF(Atletas!W320="Grupo Externo ABC - Equipe 2",12,IF(Atletas!W320="Grupo Interno ABC - Equipe 1",13,IF(Atletas!W320="Grupo Interno ABC - Equipe 2",14,IF(Atletas!W320="Grupo Externo DEF - Equipe 1",15,IF(Atletas!W320="Grupo Externo DEF - Equipe 2",16,IF(Atletas!W320="Grupo Interno DEF - Equipe 1",17,IF(Atletas!W320="Grupo Interno DEF - Equipe 2",18,"")))))))))))))))))))</f>
        <v/>
      </c>
    </row>
    <row r="330" spans="40:91">
      <c r="AN330" s="52" t="str">
        <f>IF(Atletas!D321="","",IF(Atletas!B321="Feminino",100,IF(Atletas!B321="Masculino",200,""))+(IF(Atletas!D321="Kids 30kg",1,IF(Atletas!D321="Kids 32kg",2, IF(Atletas!D321="Kids 34kg",3,IF(Atletas!D321="Kids 36kg",4,IF(Atletas!D321="Kids 39kg",5,IF(Atletas!D321="Kids 42kg",6,IF(Atletas!D321="Kids 45kg",7, IF(Atletas!D321="Infantil 39kg",8,IF(Atletas!D321="Infantil 42kg",9,IF(Atletas!D321="Infantil 45kg",10,IF(Atletas!D321="Infantil 48kg",11,IF(Atletas!D321="Infantil 52kg",12,IF(Atletas!D321="Infantil 56kg",13,IF(Atletas!D321="Infantil 60kg",14,IF(Atletas!D321="Juvenil 48kg",15,IF(Atletas!D321="Juvenil 52kg",16,IF(Atletas!D321="Juvenil 56kg",17,IF(Atletas!D321="Juvenil 60kg",18,IF(Atletas!D321="Juvenil 65kg",19,IF(Atletas!D321="Juvenil 70kg",20,IF(Atletas!D321="Juvenil 75kg",21,IF(Atletas!D321="Juvenil 80kg",22, IF(Atletas!D321="Juvenil 85kg",23,IF(Atletas!D321="Adulto 48kg",24,IF(Atletas!D321="Adulto 52kg",25,IF(Atletas!D321="Adulto 56kg",26,IF(Atletas!D321="Adulto 60kg",27,IF(Atletas!D321="Adulto 65kg",28,IF(Atletas!D321="Adulto 70kg",29,IF(Atletas!D321="Adulto 75kg",30,IF(Atletas!D321="Adulto 80kg",31,IF(Atletas!D321="Adulto 85kg",32,IF(Atletas!D321="Adulto 90kg",33,IF(Atletas!D321="Adulto 100kg",34, IF(Atletas!D321="Adulto +100kg",35,"")))))))))))))))))))))))))))))))))))))</f>
        <v/>
      </c>
      <c r="AS330" s="6" t="str">
        <f>IF(Atletas!E321="","",IF(Atletas!B321="Feminino",100,IF(Atletas!B321="Masculino",200,""))+(IF(Atletas!E321="Juvenil 44kg",1,IF(Atletas!E321="Juvenil 48kg",2,IF(Atletas!E321="Juvenil 52kg",3,IF(Atletas!E321="Juvenil 56kg",4,IF(Atletas!E321="Juvenil 60kg",5,IF(Atletas!E321="Juvenil 65kg",6,IF(Atletas!E321="Juvenil 70kg",7,IF(Atletas!E321="Juvenil 75kg",8,IF(Atletas!E321="Juvenil 82kg",9,IF(Atletas!E321="Juvenil 90kg",10,IF(Atletas!E321="Juvenil 100kg",11,IF(Atletas!E321="Adulto 48kg",12,IF(Atletas!E321="Adulto 52kg",13,IF(Atletas!E321="Adulto 56kg",14,IF(Atletas!E321="Adulto 60kg",15,IF(Atletas!E321="Adulto 65kg",16,IF(Atletas!E321="Adulto 70kg",17,IF(Atletas!E321="Adulto 75kg",18,IF(Atletas!E321="Adulto 82kg",19,IF(Atletas!E321="Adulto 90kg",20,IF(Atletas!E321="Adulto 100kg",21,IF(Atletas!E321="Adulto +100kg",22,""))))))))))))))))))))))))</f>
        <v/>
      </c>
      <c r="AX330" s="6" t="str">
        <f>IF(Atletas!F321="","",IF(Atletas!B321="Feminino",100,IF(Atletas!B321="Masculino",200,""))+(IF(Atletas!F321="Adulto 48kg",1,IF(Atletas!F321="Adulto 56kg",2,IF(Atletas!F321="Adulto 65kg",3,IF(Atletas!F321="Adulto 75kg",4,IF(Atletas!F321="Adulto +75kg",5,IF(Atletas!F321="Adulto 52kg",6,IF(Atletas!F321="Adulto 60kg",7,IF(Atletas!F321="Adulto 70kg",8,IF(Atletas!F321="Adulto 80kg",9,IF(Atletas!F321="Adulto 90kg",10,IF(Atletas!F321="Adulto +90kg",11,"")))))))))))))</f>
        <v/>
      </c>
      <c r="BC330" s="6" t="str">
        <f>IF(Atletas!G321="","",IF(Atletas!B321="Feminino",10,IF(Atletas!B321="Masculino",20,""))+(IF(Atletas!G321="Baduanjin A",1,IF(Atletas!G321="Baduanjin B",2))))</f>
        <v/>
      </c>
      <c r="BF330" s="52" t="str">
        <f>IF(Atletas!H321="","",IF(Atletas!B321="Feminino",100,IF(Atletas!B321="Masculino",200,""))+(IF(Atletas!H321="Changquan Mirim",1,IF(Atletas!H321="Nanquan Mirim",2,IF(Atletas!H321="Taijiquan Mirim",3,IF(Atletas!H321="Changquan Grupo C",4,IF(Atletas!H321="Nanquan Grupo C",5,IF(Atletas!H321="Taijiquan Grupo C",6,IF(Atletas!H321="Changquan Grupo B",7,IF(Atletas!H321="Nanquan Grupo B",8,IF(Atletas!H321="Taijiquan Grupo B",9,IF(Atletas!H321="Changquan Grupo A",10,IF(Atletas!H321="Nanquan Grupo A",11,IF(Atletas!H321="Taijiquan Grupo A",12,IF(Atletas!H321="Changquan Opcional",13,IF(Atletas!H321="Nanquan Opcional",14,IF(Atletas!H321="Taijiquan Opcional",15,IF(Atletas!H321="Changquan Adulto",16,IF(Atletas!H321="Nanquan Adulto",17,IF(Atletas!H321="Taijiquan Adulto",18,""))))))))))))))))))))</f>
        <v/>
      </c>
      <c r="BG330" s="52" t="str">
        <f>IF(Atletas!I321="","",IF(Atletas!B321="Feminino",100,IF(Atletas!B321="Masculino",200,""))+(IF(Atletas!I321="Daoshu Mirim",19,IF(Atletas!I321="Jianshu Mirim",20,IF(Atletas!I321="Nandao Mirim",21,IF(Atletas!I321="Taijijian Mirim",22,IF(Atletas!I321="Daoshu Grupo C",23,IF(Atletas!I321="Jianshu Grupo C",24,IF(Atletas!I321="Nandao Grupo C",25,IF(Atletas!I321="Taijijian Grupo C",26,IF(Atletas!I321="Daoshu Grupo B",27,IF(Atletas!I321="Jianshu Grupo B",28,IF(Atletas!I321="Nandao Grupo B",29,IF(Atletas!I321="Taijijian Grupo B",30,IF(Atletas!I321="Daoshu Grupo A",31,IF(Atletas!I321="Jianshu Grupo A",32,IF(Atletas!I321="Nandao Grupo A",33,IF(Atletas!I321="Taijijian Grupo A",34,IF(Atletas!I321="Daoshu Opcional",35,IF(Atletas!I321="Jianshu Opcional",36,IF(Atletas!I321="Nandao Opcional",37,IF(Atletas!I321="Taijijian Opcional",38,IF(Atletas!I321="Daoshu Adulto",39,IF(Atletas!I321="Jianshu Adulto",40,IF(Atletas!I321="Nandao Adulto",41,IF(Atletas!I321="Taijijian Adulto",42,""))))))))))))))))))))))))))</f>
        <v/>
      </c>
      <c r="BH330" s="52" t="str">
        <f>IF(Atletas!J321="","",IF(Atletas!B321="Feminino",100,IF(Atletas!B321="Masculino",200,""))+(IF(Atletas!J321="Gunshu Mirim",43,IF(Atletas!J321="Qiangshu Mirim",44,IF(Atletas!J321="Nangun Mirim",45,IF(Atletas!J321="Gunshu Grupo C",46,IF(Atletas!J321="Qiangshu Grupo C",47,IF(Atletas!J321="Nangun Grupo C",48,IF(Atletas!J321="Gunshu Grupo B",49,IF(Atletas!J321="Qiangshu Grupo B",50,IF(Atletas!J321="Nangun Grupo B",51,IF(Atletas!J321="Gunshu Grupo A",52,IF(Atletas!J321="Qiangshu Grupo A",53,IF(Atletas!J321="Nangun Grupo A",54,IF(Atletas!J321="Gunshu Opcional",55,IF(Atletas!J321="Qiangshu Opcional",56,IF(Atletas!J321="Nangun Opcional",57,IF(Atletas!J321="Gunshu Adulto",58,IF(Atletas!J321="Qiangshu Adulto",59,IF(Atletas!J321="Nangun Adulto",60,IF(Atletas!J321="Taijishan Grupo B",61,IF(Atletas!J321="Taijishan Grupo A",62,""))))))))))))))))))))))</f>
        <v/>
      </c>
      <c r="BM330" s="50" t="str">
        <f>IF(Atletas!K321="","",IF(Atletas!B321="Feminino",100,IF(Atletas!B321="Masculino",200,""))+(IF(Atletas!K321="Equipe 1 Grupo B",1,IF(Atletas!K321="Equipe 2 Grupo B",2,IF(Atletas!K321="Equipe 1 Grupo A",3,IF(Atletas!K321="Equipe 2 Grupo A",4,IF(Atletas!K321="Equipe 1 Adulto",5,IF(Atletas!K321="Equipe 2 Adulto",6,""))))))))</f>
        <v/>
      </c>
      <c r="BR330" s="50" t="str">
        <f>IF(Atletas!L321="","",IF(Atletas!X321&lt;&gt;"",10000,0)+(IF(Atletas!B321="Feminino",1000,IF(Atletas!B321="Masculino",2000,""))+IF(Atletas!L321="Choylayfut A",1,IF(Atletas!L321="Hunggar A",2,IF(Atletas!L321="Wuzuquan A",3,IF(Atletas!L321="Wingchun A",4,IF(Atletas!L321="Outra Mão de Sul A",5,IF(Atletas!L321="Choylayfut B",6,IF(Atletas!L321="Hunggar B",7,IF(Atletas!L321="Wuzuquan B",8,IF(Atletas!L321="Wingchun B",9,IF(Atletas!L321="Outra Mão de Sul B",10,IF(Atletas!L321="Choylayfut C",11,IF(Atletas!L321="Hunggar C",12,IF(Atletas!L321="Wuzuquan C",13,IF(Atletas!L321="Wingchun C",14,IF(Atletas!L321="Outra Mão de Sul C",15,IF(Atletas!L321="Choylayfut D",16,IF(Atletas!L321="Hunggar D",17,IF(Atletas!L321="Wuzuquan D",18,IF(Atletas!L321="Wingchun D",19,IF(Atletas!L321="Outra Mão de Sul D",20,IF(Atletas!L321="Choylayfut E",21,IF(Atletas!L321="Hunggar E",22,IF(Atletas!L321="Wuzuquan E",23,IF(Atletas!L321="Wingchun E",24,IF(Atletas!L321="Outra Mão de Sul E",25,IF(Atletas!L321="Choylayfut F",26,IF(Atletas!L321="Hunggar F",27,IF(Atletas!L321="Wuzuquan F",28,IF(Atletas!L321="Wingchun F",29,IF(Atletas!L321="Outra Mão de Sul F",30,IF(Atletas!L321="Dishuquan A",31,IF(Atletas!L321="Dishuquan B",32,IF(Atletas!L321="Dishuquan C",33,IF(Atletas!L321="Dishuquan D",34,IF(Atletas!L321="Dishuquan E",35,IF(Atletas!L321="Dishuquan F",36,""))))))))))))))))))))))))))))))))))))))</f>
        <v/>
      </c>
      <c r="BS330" s="50" t="str">
        <f>IF(Atletas!M321="","",IF(Atletas!X321&lt;&gt;"",10000,0)+(IF(Atletas!B321="Feminino",1000,IF(Atletas!B321="Masculino",2000,""))+(IF(Atletas!M321="Chaquan A",101,IF(Atletas!M321="Emeiquan A",102,IF(Atletas!M321="Fanziquan A",103,IF(Atletas!M321="Huaquan A",104,IF(Atletas!M321="Hongquan A",105,IF(Atletas!M321="Paoquan A",106,IF(Atletas!M321="Piguaquan A",107,IF(Atletas!M321="Shaolinquan A",108,IF(Atletas!M321="Tanglangquan A",109,IF(Atletas!M321="Yingzhaoquan A",110,IF(Atletas!M321="Tongbeiquan A",111,IF(Atletas!M321="Wudangquan A",112,IF(Atletas!M321="Outros Estilos A",113,IF(Atletas!M321="Chaquan B",114,IF(Atletas!M321="Emeiquan B",115,IF(Atletas!M321="Fanziquan B",116,IF(Atletas!M321="Huaquan B",117,IF(Atletas!M321="Hongquan B",118,IF(Atletas!M321="Paoquan B",119,IF(Atletas!M321="Piguaquan B",120,IF(Atletas!M321="Shaolinquan B",121,IF(Atletas!M321="Tanglangquan B",122,IF(Atletas!M321="Yingzhaoquan B",123,IF(Atletas!M321="Tongbeiquan B",124,IF(Atletas!M321="Wudangquan B",125,IF(Atletas!M321="Outros Estilos B",126,IF(Atletas!M321="Chaquan C",127,IF(Atletas!M321="Emeiquan C",128,IF(Atletas!M321="Fanziquan C",129,IF(Atletas!M321="Huaquan C",130,IF(Atletas!M321="Hongquan C",131,IF(Atletas!M321="Paoquan C",132,IF(Atletas!M321="Piguaquan C",133,IF(Atletas!M321="Shaolinquan C",134,IF(Atletas!M321="Tanglangquan C",135,IF(Atletas!M321="Yingzhaoquan C",136,IF(Atletas!M321="Tongbeiquan C",137,IF(Atletas!M321="Wudangquan C",138,IF(Atletas!M321="Outros Estilos C",139,0))))))))))))))))))))))))))))))))))))))))))</f>
        <v/>
      </c>
      <c r="BT330" s="50" t="str">
        <f>IF(Atletas!M321="","",IF(Atletas!X321&lt;&gt;"",10000,0)+(IF(Atletas!B321="Feminino",1000,IF(Atletas!B321="Masculino",2000,""))+(IF(Atletas!M321="Chaquan D",140,IF(Atletas!M321="Emeiquan D",141,IF(Atletas!M321="Fanziquan D",142,IF(Atletas!M321="Huaquan D",143,IF(Atletas!M321="Hongquan D",144,IF(Atletas!M321="Paoquan D",145,IF(Atletas!M321="Piguaquan D",146,IF(Atletas!M321="Shaolinquan D",147,IF(Atletas!M321="Tanglangquan D",148,IF(Atletas!M321="Yingzhaoquan D",149,IF(Atletas!M321="Tongbeiquan D",150,IF(Atletas!M321="Wudangquan D",151,IF(Atletas!M321="Outros Estilos D",152,IF(Atletas!M321="Chaquan E",153,IF(Atletas!M321="Emeiquan E",154,IF(Atletas!M321="Fanziquan E",155,IF(Atletas!M321="Huaquan E",156,IF(Atletas!M321="Hongquan E",157,IF(Atletas!M321="Paoquan E",158,IF(Atletas!M321="Piguaquan E",159,IF(Atletas!M321="Shaolinquan E",160,IF(Atletas!M321="Tanglangquan E",161,IF(Atletas!M321="Yingzhaoquan E",162,IF(Atletas!M321="Tongbeiquan E",163,IF(Atletas!M321="Wudangquan E",164,IF(Atletas!M321="Outros Estilos E",165,IF(Atletas!M321="Chaquan F",166,IF(Atletas!M321="Emeiquan F",167,IF(Atletas!M321="Fanziquan F",168,IF(Atletas!M321="Huaquan F",169,IF(Atletas!M321="Hongquan F",170,IF(Atletas!M321="Paoquan F",171,IF(Atletas!M321="Piguaquan F",172,IF(Atletas!M321="Shaolinquan F",173,IF(Atletas!M321="Tanglangquan F",174,IF(Atletas!M321="Yingzhaoquan F",175,IF(Atletas!M321="Tongbeiquan F",176,IF(Atletas!M321="Wudangquan F",177,IF(Atletas!M321="Outros Estilos F",178,0))))))))))))))))))))))))))))))))))))))))))</f>
        <v/>
      </c>
      <c r="BU330" s="50" t="str">
        <f>IF(Atletas!N321="","",IF(Atletas!X321&lt;&gt;"",10000,0)+(IF(Atletas!B321="Feminino",1000,IF(Atletas!B321="Masculino",2000,""))+(IF(Atletas!N321="Ditangquan A",201,IF(Atletas!N321="Houquan A",202,IF(Atletas!N321="Zuiquan A",203,IF(Atletas!N321="Ditangquan B",204,IF(Atletas!N321="Houquan B",205,IF(Atletas!N321="Zuiquan B",206,IF(Atletas!N321="Ditangquan C",207,IF(Atletas!N321="Houquan C",208,IF(Atletas!N321="Zuiquan C",209,IF(Atletas!N321="Ditangquan D",210,IF(Atletas!N321="Houquan D",211,IF(Atletas!N321="Zuiquan D",212,IF(Atletas!N321="Ditangquan E",213,IF(Atletas!N321="Houquan E",214,IF(Atletas!N321="Zuiquan E",215,IF(Atletas!N321="Ditangquan F",216,IF(Atletas!N321="Houquan F",217,IF(Atletas!N321="Zuiquan F",218,"")))))))))))))))))))))</f>
        <v/>
      </c>
      <c r="BV330" s="50" t="str">
        <f>IF(Atletas!O321="","",IF(Atletas!X321&lt;&gt;"",10000,0)+IF(Atletas!B321="Feminino",1000,IF(Atletas!B321="Masculino",2000,""))+IF(Atletas!O321="Yang A",301,IF(Atletas!O321="Chen A",302,IF(Atletas!O321="Sun A",303,IF(Atletas!O321="Wu A",304,IF(Atletas!O321="Wu-Hao A",305,IF(Atletas!O321="Outro Taijiquan A",306,IF(Atletas!O321="Yang B",307,IF(Atletas!O321="Chen B",308,IF(Atletas!O321="Sun B",309,IF(Atletas!O321="Wu B",310,IF(Atletas!O321="Wu-Hao B",311,IF(Atletas!O321="Outro Taijiquan B",312,IF(Atletas!O321="Yang C",313,IF(Atletas!O321="Chen C",314,IF(Atletas!O321="Sun C",315,IF(Atletas!O321="Wu C",316,IF(Atletas!O321="Wu-Hao C",317,IF(Atletas!O321="Outro Taijiquan C",318,IF(Atletas!O321="Yang D",319,IF(Atletas!O321="Chen D",320,IF(Atletas!O321="Sun D",321,IF(Atletas!O321="Wu D",322,IF(Atletas!O321="Wu-Hao D",323,IF(Atletas!O321="Outro Taijiquan D",324,IF(Atletas!O321="Yang E",325,IF(Atletas!O321="Chen E",326,IF(Atletas!O321="Sun E",327,IF(Atletas!O321="Wu E",328,IF(Atletas!O321="Wu-Hao E",329,IF(Atletas!O321="Outro Taijiquan E",330,IF(Atletas!O321="Yang F",331,IF(Atletas!O321="Chen F",332,IF(Atletas!O321="Sun F",333,IF(Atletas!O321="Wu F",334,IF(Atletas!O321="Wu-Hao F",335,IF(Atletas!O321="Outro Taijiquan F",336,"")))))))))))))))))))))))))))))))))))))</f>
        <v/>
      </c>
      <c r="BW330" s="50" t="str">
        <f>IF(Atletas!P321="","",IF(Atletas!X321&lt;&gt;"",10000,0)+IF(Atletas!B321="Feminino",1000,IF(Atletas!B321="Masculino",2000,""))+IF(OR(Atletas!P321="Yang 26 A",Atletas!P321="Yang 40 A"),401,IF(OR(Atletas!P321="Chen 25 A",Atletas!P321="Chen 36 A",Atletas!P321="Chen 56 A"),402,IF(Atletas!P321="Sun 73 A",403,IF(Atletas!P321="Wu 45 A",404,IF(Atletas!P321="Wu-Hao 46 A",405,IF(OR(Atletas!P321="Taijiquan 16 A",Atletas!P321="Taijiquan 24 A",Atletas!P321="Taijiquan 32 A",Atletas!P321="Taijiquan 42 A"),406,IF(OR(Atletas!P321="Yang 26 B",Atletas!P321="Yang 40 B"),407,IF(OR(Atletas!P321="Chen 25 B",Atletas!P321="Chen 36 B",Atletas!P321="Chen 56 B"),408,IF(Atletas!P321="Sun 73 B",409,IF(Atletas!P321="Wu 45 B",410,IF(Atletas!P321="Wu-Hao 46 B",411,IF(OR(Atletas!P321="Taijiquan 16 B",Atletas!P321="Taijiquan 24 B",Atletas!P321="Taijiquan 32 B",Atletas!P321="Taijiquan 42 B"),412,IF(OR(Atletas!P321="Yang 26 C",Atletas!P321="Yang 40 C"),413,IF(OR(Atletas!P321="Chen 25 C",Atletas!P321="Chen 36 C",Atletas!P321="Chen 56 C"),414,IF(Atletas!P321="Sun 73 C",415,IF(Atletas!P321="Wu 45 C",416,IF(Atletas!P321="Wu-Hao 46 C",417,IF(OR(Atletas!P321="Taijiquan 16 C",Atletas!P321="Taijiquan 24 C",Atletas!P321="Taijiquan 32 C",Atletas!P321="Taijiquan 42 C"),418,0)))))))))))))))))))</f>
        <v/>
      </c>
      <c r="BX330" s="50" t="str">
        <f>IF(Atletas!P321="","",IF(Atletas!X321&lt;&gt;"",10000,0)+IF(Atletas!B321="Feminino",1000,IF(Atletas!B321="Masculino",2000,""))+IF(OR(Atletas!P321="Yang 26 D",Atletas!P321="Yang 40 D"),419,IF(OR(Atletas!P321="Chen 25 D",Atletas!P321="Chen 36 D",Atletas!P321="Chen 56 D"),420,IF(Atletas!P321="Sun 73 D",421,IF(Atletas!P321="Wu 45 D",422,IF(Atletas!P321="Wu-Hao 46 D",423,IF(OR(Atletas!P321="Taijiquan 16 D",Atletas!P321="Taijiquan 24 D",Atletas!P321="Taijiquan 32 D",Atletas!P321="Taijiquan 42 D"),424,IF(OR(Atletas!P321="Yang 26 E",Atletas!P321="Yang 40 E"),425,IF(OR(Atletas!P321="Chen 25 E",Atletas!P321="Chen 36 E",Atletas!P321="Chen 56 E"),426,IF(Atletas!P321="Sun 73 E",427,IF(Atletas!P321="Wu 45 E",428,IF(Atletas!P321="Wu-Hao 46 E",429,IF(OR(Atletas!P321="Taijiquan 16 E",Atletas!P321="Taijiquan 24 E",Atletas!P321="Taijiquan 32 E",Atletas!P321="Taijiquan 42 E"),430,IF(OR(Atletas!P321="Yang 26 F",Atletas!P321="Yang 40 F"),431,IF(OR(Atletas!P321="Chen 25 F",Atletas!P321="Chen 36 F",Atletas!P321="Chen 56 F"),432,IF(Atletas!P321="Sun 73 F",433,IF(Atletas!P321="Wu 45 F",434,IF(Atletas!P321="Wu-Hao 46 F",435,IF(OR(Atletas!P321="Taijiquan 16 F",Atletas!P321="Taijiquan 24 F",Atletas!P321="Taijiquan 32 F",Atletas!P321="Taijiquan 42 F"),436,0)))))))))))))))))))</f>
        <v/>
      </c>
      <c r="BY330" s="50" t="str">
        <f>IF(Atletas!Q321="","",IF(Atletas!X321&lt;&gt;"",10000,0)+IF(Atletas!B321="Feminino",1000,IF(Atletas!B321="Masculino",2000,""))+IF(Atletas!Q321="Xingyiquan A",501,IF(Atletas!Q321="Baguazhang A",502,IF(Atletas!Q321="Outro Estilo Interno A",503,IF(Atletas!Q321="Xingyiquan B",504,IF(Atletas!Q321="Baguazhang B",505,IF(Atletas!Q321="Outro Estilo Interno B",506,IF(Atletas!Q321="Xingyiquan C",507,IF(Atletas!Q321="Baguazhang C",508,IF(Atletas!Q321="Outro Estilo Interno C",509,IF(Atletas!Q321="Xingyiquan D",510,IF(Atletas!Q321="Baguazhang D",511,IF(Atletas!Q321="Outro Estilo Interno D",512,IF(Atletas!Q321="Xingyiquan E",513,IF(Atletas!Q321="Baguazhang E",514,IF(Atletas!Q321="Outro Estilo Interno E",515,IF(Atletas!Q321="Xingyiquan F",516,IF(Atletas!Q321="Baguazhang F",517,IF(Atletas!Q321="Outro Estilo Interno F",518, "")))))))))))))))))))</f>
        <v/>
      </c>
      <c r="BZ330" s="50" t="str">
        <f>IF(Atletas!R321="","",IF(Atletas!X321&lt;&gt;"",10000,0)+IF(Atletas!B321="Feminino",1000,IF(Atletas!B321="Masculino",2000,""))+IF(Atletas!R321="Dao A",601,IF(Atletas!R321="Jian A",602,IF(Atletas!R321="Bishou A",603,IF(Atletas!R321="Shanzi A",604,IF(Atletas!R321="Outra Arma Curta A",605,IF(Atletas!R321="Dao B",606,IF(Atletas!R321="Jian B",607,IF(Atletas!R321="Bishou B",608,IF(Atletas!R321="Shanzi B",609,IF(Atletas!R321="Outra Arma Curta B",610,IF(Atletas!R321="Dao C",611,IF(Atletas!R321="Jian C",612,IF(Atletas!R321="Bishou C",613,IF(Atletas!R321="Shanzi C",614,IF(Atletas!R321="Outra Arma Curta C",615,IF(Atletas!R321="Dao D",616,IF(Atletas!R321="Jian D",617,IF(Atletas!R321="Bishou D",618,IF(Atletas!R321="Shanzi D",619,IF(Atletas!R321="Outra Arma Curta D",620,IF(Atletas!R321="Dao E",621,IF(Atletas!R321="Jian E",622,IF(Atletas!R321="Bishou E",623,IF(Atletas!R321="Shanzi E",624,IF(Atletas!R321="Outra Arma Curta E",625,IF(Atletas!R321="Dao F",626,IF(Atletas!R321="Jian F",627,IF(Atletas!R321="Bishou F",628,IF(Atletas!R321="Shanzi F",629,IF(Atletas!R321="Outra Arma Curta F",630, "")))))))))))))))))))))))))))))))</f>
        <v/>
      </c>
      <c r="CA330" s="50" t="str">
        <f>IF(Atletas!S321="","",IF(Atletas!X321&lt;&gt;"",10000,0)+IF(Atletas!B321="Feminino",1000,IF(Atletas!B321="Masculino",2000,""))+IF(Atletas!S321="Gun A",701,IF(Atletas!S321="Qiang A",702,IF(Atletas!S321="Pudao / Guandao A",703,IF(Atletas!S321="Outra Arma Longa A",704,IF(Atletas!S321="Gun B",705,IF(Atletas!S321="Qiang B",706,IF(Atletas!S321="Pudao / Guandao B",707,IF(Atletas!S321="Outra Arma Longa B",708,IF(Atletas!S321="Gun C",709,IF(Atletas!S321="Qiang C",710,IF(Atletas!S321="Pudao / Guandao C",711,IF(Atletas!S321="Outra Arma Longa C",712,IF(Atletas!S321="Gun D",713,IF(Atletas!S321="Qiang D",714,IF(Atletas!S321="Pudao / Guandao D",715,IF(Atletas!S321="Outra Arma Longa D",716,IF(Atletas!S321="Gun E",717,IF(Atletas!S321="Qiang E",718,IF(Atletas!S321="Pudao / Guandao E",719,IF(Atletas!S321="Outra Arma Longa E",720,IF(Atletas!S321="Gun F",721,IF(Atletas!S321="Qiang F",722,IF(Atletas!S321="Pudao / Guandao F",723,IF(Atletas!S321="Outra Arma Longa F",724,"")))))))))))))))))))))))))</f>
        <v/>
      </c>
      <c r="CB330" s="50" t="str">
        <f>IF(Atletas!T321="","",IF(Atletas!X321&lt;&gt;"",10000,0)+IF(Atletas!B321="Feminino",1000,IF(Atletas!B321="Masculino",2000,""))+IF(Atletas!T321="Outra Arma Dupla A",801,IF(Atletas!T321="Arma Maleável A",802,IF(Atletas!T321="Outra Arma Dupla B",803,IF(Atletas!T321="Arma Maleável B",804,IF(Atletas!T321="Outra Arma Dupla C",805,IF(Atletas!T321="Arma Maleável C",806,IF(Atletas!T321="Outra Arma Dupla D",807,IF(Atletas!T321="Arma Maleável D",808,IF(Atletas!T321="Outra Arma Dupla E",809,IF(Atletas!T321="Arma Maleável E",810,IF(Atletas!T321="Outra Arma Dupla F",811,IF(Atletas!T321="Arma Maleável F",812,IF(Atletas!T321="Shuangdao A",813,IF(Atletas!T321="Shuangdao B",814,IF(Atletas!T321="Shuangdao C",815,IF(Atletas!T321="Shuangdao D",816,IF(Atletas!T321="Shuangdao E",817,IF(Atletas!T321="Shuangdao F",818,"")))))))))))))))))))</f>
        <v/>
      </c>
      <c r="CC330" s="50" t="str">
        <f>IF(Atletas!U321="","",IF(Atletas!X321&lt;&gt;"",10000,0)+IF(Atletas!B321="Feminino",1000,IF(Atletas!B321="Masculino",2000,""))+IF(OR(Atletas!U321="Taijijian Yang A",Atletas!U321="Taijijian Yang Standard A"),901,IF(OR(Atletas!U321="Taijijian Chen A", Atletas!U321="Taijijian Chen Standard A"),902,IF(Atletas!U321="Taijijian Sun A",903,IF(Atletas!U321="Taijijian Wu A",904,IF(Atletas!U321="Taijijian Wu-Hao A",905,IF(OR(Atletas!U321="Taijijian 32 A",Atletas!U321="Taijijian 42 A"),906,IF(OR(Atletas!U321="Taijijian Yang B",Atletas!U321="Taijijian Yang Standard B"),907,IF(OR(Atletas!U321="Taijijian Chen B", Atletas!U321="Taijijian Chen Standard B"),908,IF(Atletas!U321="Taijijian Sun B",909,IF(Atletas!U321="Taijijian Wu B",910,IF(Atletas!U321="Taijijian Wu-Hao B",911,IF(OR(Atletas!U321="Taijijian 32 B",Atletas!U321="Taijijian 42 B"),912,IF(OR(Atletas!U321="Taijijian Yang C",Atletas!U321="Taijijian Yang Standard C"),913,IF(OR(Atletas!U321="Taijijian Chen C", Atletas!U321="Taijijian Chen Standard C"),914,IF(Atletas!U321="Taijijian Sun C",915,IF(Atletas!U321="Taijijian Wu C",916,IF(Atletas!U321="Taijijian Wu-Hao C",917,IF(OR(Atletas!U321="Taijijian 32 C",Atletas!U321="Taijijian 42 C"),918,IF(OR(Atletas!U321="Taijijian Yang D",Atletas!U321="Taijijian Yang Standard D"),919,IF(OR(Atletas!U321="Taijijian Chen D", Atletas!U321="Taijijian Chen Standard D"),920,IF(Atletas!U321="Taijijian Sun D",921,IF(Atletas!U321="Taijijian Wu D",922,IF(Atletas!U321="Taijijian Wu-Hao D",923,IF(OR(Atletas!U321="Taijijian 32 D",Atletas!U321="Taijijian 42 D"),924,IF(OR(Atletas!U321="Taijijian Yang E",Atletas!U321="Taijijian Yang Standard E"),925,IF(OR(Atletas!U321="Taijijian Chen E", Atletas!U321="Taijijian Chen Standard E"),926,IF(Atletas!U321="Taijijian Sun E",927,IF(Atletas!U321="Taijijian Wu E",928,IF(Atletas!U321="Taijijian Wu-Hao E",929,IF(OR(Atletas!U321="Taijijian 32 E",Atletas!U321="Taijijian 42 E"),930,IF(OR(Atletas!U321="Taijijian Yang F",Atletas!U321="Taijijian Yang Standard F"),931,IF(OR(Atletas!U321="Taijijian Chen F", Atletas!U321="Taijijian Chen Standard F"),932,IF(Atletas!U321="Taijijian Sun F",933,IF(Atletas!U321="Taijijian Wu F",934,IF(Atletas!U321="Taijijian Wu-Hao F",935,IF(OR(Atletas!U321="Taijijian 32 F",Atletas!U321="Taijijian 42 F"),936,"")))))))))))))))))))))))))))))))))))))</f>
        <v/>
      </c>
      <c r="CD330" s="50" t="str">
        <f>IF(Atletas!V321="","",IF(Atletas!X321&lt;&gt;"",10000,0)+IF(Atletas!B321="Feminino",1000,IF(Atletas!B321="Masculino",2000,""))+IF(Atletas!V321="Taijidao A",937,IF(Atletas!V321="TaijiShanzi A",938,IF(Atletas!V321="Taijiqiang A",939,IF(Atletas!V321="Bagua de Arma A",940,IF(Atletas!V321="Xingyi de Arma A",941,IF(Atletas!V321="Taijidao B",942,IF(Atletas!V321="TaijiShanzi B",943,IF(Atletas!V321="Taijiqiang B",944,IF(Atletas!V321="Bagua de Arma B",945,IF(Atletas!V321="Xingyi de Arma B",946,IF(Atletas!V321="Taijidao C",947,IF(Atletas!V321="TaijiShanzi C",948,IF(Atletas!V321="Taijiqiang C",949,IF(Atletas!V321="Bagua de Arma C",950,IF(Atletas!V321="Xingyi de Arma C",951,IF(Atletas!V321="Taijidao D",952,IF(Atletas!V321="TaijiShanzi D",953,IF(Atletas!V321="Taijiqiang D",954,IF(Atletas!V321="Bagua de Arma D",955,IF(Atletas!V321="Xingyi de Arma D",956,IF(Atletas!V321="Taijidao E",957,IF(Atletas!V321="TaijiShanzi E",958,IF(Atletas!V321="Taijiqiang E",959,IF(Atletas!V321="Bagua de Arma E",960,IF(Atletas!V321="Xingyi de Arma E",961,IF(Atletas!V321="Taijidao F",962,IF(Atletas!V321="TaijiShanzi F",963,IF(Atletas!V321="Taijiqiang F",964,IF(Atletas!V321="Bagua de Arma F",965,IF(Atletas!V321="Xingyi de Arma F",966,"")))))))))))))))))))))))))))))))</f>
        <v/>
      </c>
      <c r="CE330" s="66" t="str">
        <f>IF(CF330&lt;&gt;"","Taijijian Combinado E","")</f>
        <v/>
      </c>
      <c r="CF330" s="6" t="str">
        <f>IF(COUNTIF(BR:CD,1930)&gt;0,COUNTIF(BR:CD,1930),"")</f>
        <v/>
      </c>
      <c r="CG330" s="66" t="str">
        <f>IF(CH330&lt;&gt;"","Taijijian Combinado E","")</f>
        <v/>
      </c>
      <c r="CH330" s="66" t="str">
        <f>IF(COUNTIF(BR:CD,2930)&gt;0,COUNTIF(BR:CD,2930),"")</f>
        <v/>
      </c>
      <c r="CI330" s="66" t="str">
        <f>IF(CJ331&lt;&gt;"","Taijishan B","")</f>
        <v/>
      </c>
      <c r="CJ330" s="66" t="str">
        <f>IF(COUNTIF(BR:CD,11942)&gt;0,COUNTIF(BR:CD,11942),"")</f>
        <v/>
      </c>
      <c r="CK330" s="66" t="str">
        <f>IF(CL330&lt;&gt;"","Taijidao B","")</f>
        <v/>
      </c>
      <c r="CL330" s="66" t="str">
        <f>IF(COUNTIF(BR:CD,12942)&gt;0,COUNTIF(BR:CD,12942),"")</f>
        <v/>
      </c>
      <c r="CM330" s="50" t="str">
        <f xml:space="preserve"> IF(Atletas!W321="","",IF(Atletas!W321="Duilian de Mãos BC - Equipe 1",1,IF(Atletas!W321="Duilian de Mãos BC - Equipe 2",2,IF(Atletas!W321="Duilian de Armas BC - Equipe 1",3,IF(Atletas!W321="Duilian de Armas BC - Equipe 2",4,IF(Atletas!W321="Duilian de Mãos DE - Equipe 1",5,IF(Atletas!W321="Duilian de Mãos DE - Equipe 2",6,IF(Atletas!W321="Duilian de Armas DE - Equipe 1",7,IF(Atletas!W321="Duilian de Armas DE - Equipe 2",8,IF(Atletas!W321="Duilian de Tuishou - Equipe 1",9,IF(Atletas!W321="Duilian de Tuishou - Equipe 2",10,IF(Atletas!W321="Grupo Externo ABC - Equipe 1",11,IF(Atletas!W321="Grupo Externo ABC - Equipe 2",12,IF(Atletas!W321="Grupo Interno ABC - Equipe 1",13,IF(Atletas!W321="Grupo Interno ABC - Equipe 2",14,IF(Atletas!W321="Grupo Externo DEF - Equipe 1",15,IF(Atletas!W321="Grupo Externo DEF - Equipe 2",16,IF(Atletas!W321="Grupo Interno DEF - Equipe 1",17,IF(Atletas!W321="Grupo Interno DEF - Equipe 2",18,"")))))))))))))))))))</f>
        <v/>
      </c>
    </row>
    <row r="331" spans="40:91">
      <c r="AN331" s="52" t="str">
        <f>IF(Atletas!D322="","",IF(Atletas!B322="Feminino",100,IF(Atletas!B322="Masculino",200,""))+(IF(Atletas!D322="Kids 30kg",1,IF(Atletas!D322="Kids 32kg",2, IF(Atletas!D322="Kids 34kg",3,IF(Atletas!D322="Kids 36kg",4,IF(Atletas!D322="Kids 39kg",5,IF(Atletas!D322="Kids 42kg",6,IF(Atletas!D322="Kids 45kg",7, IF(Atletas!D322="Infantil 39kg",8,IF(Atletas!D322="Infantil 42kg",9,IF(Atletas!D322="Infantil 45kg",10,IF(Atletas!D322="Infantil 48kg",11,IF(Atletas!D322="Infantil 52kg",12,IF(Atletas!D322="Infantil 56kg",13,IF(Atletas!D322="Infantil 60kg",14,IF(Atletas!D322="Juvenil 48kg",15,IF(Atletas!D322="Juvenil 52kg",16,IF(Atletas!D322="Juvenil 56kg",17,IF(Atletas!D322="Juvenil 60kg",18,IF(Atletas!D322="Juvenil 65kg",19,IF(Atletas!D322="Juvenil 70kg",20,IF(Atletas!D322="Juvenil 75kg",21,IF(Atletas!D322="Juvenil 80kg",22, IF(Atletas!D322="Juvenil 85kg",23,IF(Atletas!D322="Adulto 48kg",24,IF(Atletas!D322="Adulto 52kg",25,IF(Atletas!D322="Adulto 56kg",26,IF(Atletas!D322="Adulto 60kg",27,IF(Atletas!D322="Adulto 65kg",28,IF(Atletas!D322="Adulto 70kg",29,IF(Atletas!D322="Adulto 75kg",30,IF(Atletas!D322="Adulto 80kg",31,IF(Atletas!D322="Adulto 85kg",32,IF(Atletas!D322="Adulto 90kg",33,IF(Atletas!D322="Adulto 100kg",34, IF(Atletas!D322="Adulto +100kg",35,"")))))))))))))))))))))))))))))))))))))</f>
        <v/>
      </c>
      <c r="AS331" s="6" t="str">
        <f>IF(Atletas!E322="","",IF(Atletas!B322="Feminino",100,IF(Atletas!B322="Masculino",200,""))+(IF(Atletas!E322="Juvenil 44kg",1,IF(Atletas!E322="Juvenil 48kg",2,IF(Atletas!E322="Juvenil 52kg",3,IF(Atletas!E322="Juvenil 56kg",4,IF(Atletas!E322="Juvenil 60kg",5,IF(Atletas!E322="Juvenil 65kg",6,IF(Atletas!E322="Juvenil 70kg",7,IF(Atletas!E322="Juvenil 75kg",8,IF(Atletas!E322="Juvenil 82kg",9,IF(Atletas!E322="Juvenil 90kg",10,IF(Atletas!E322="Juvenil 100kg",11,IF(Atletas!E322="Adulto 48kg",12,IF(Atletas!E322="Adulto 52kg",13,IF(Atletas!E322="Adulto 56kg",14,IF(Atletas!E322="Adulto 60kg",15,IF(Atletas!E322="Adulto 65kg",16,IF(Atletas!E322="Adulto 70kg",17,IF(Atletas!E322="Adulto 75kg",18,IF(Atletas!E322="Adulto 82kg",19,IF(Atletas!E322="Adulto 90kg",20,IF(Atletas!E322="Adulto 100kg",21,IF(Atletas!E322="Adulto +100kg",22,""))))))))))))))))))))))))</f>
        <v/>
      </c>
      <c r="AX331" s="6" t="str">
        <f>IF(Atletas!F322="","",IF(Atletas!B322="Feminino",100,IF(Atletas!B322="Masculino",200,""))+(IF(Atletas!F322="Adulto 48kg",1,IF(Atletas!F322="Adulto 56kg",2,IF(Atletas!F322="Adulto 65kg",3,IF(Atletas!F322="Adulto 75kg",4,IF(Atletas!F322="Adulto +75kg",5,IF(Atletas!F322="Adulto 52kg",6,IF(Atletas!F322="Adulto 60kg",7,IF(Atletas!F322="Adulto 70kg",8,IF(Atletas!F322="Adulto 80kg",9,IF(Atletas!F322="Adulto 90kg",10,IF(Atletas!F322="Adulto +90kg",11,"")))))))))))))</f>
        <v/>
      </c>
      <c r="BC331" s="6" t="str">
        <f>IF(Atletas!G322="","",IF(Atletas!B322="Feminino",10,IF(Atletas!B322="Masculino",20,""))+(IF(Atletas!G322="Baduanjin A",1,IF(Atletas!G322="Baduanjin B",2))))</f>
        <v/>
      </c>
      <c r="BF331" s="52" t="str">
        <f>IF(Atletas!H322="","",IF(Atletas!B322="Feminino",100,IF(Atletas!B322="Masculino",200,""))+(IF(Atletas!H322="Changquan Mirim",1,IF(Atletas!H322="Nanquan Mirim",2,IF(Atletas!H322="Taijiquan Mirim",3,IF(Atletas!H322="Changquan Grupo C",4,IF(Atletas!H322="Nanquan Grupo C",5,IF(Atletas!H322="Taijiquan Grupo C",6,IF(Atletas!H322="Changquan Grupo B",7,IF(Atletas!H322="Nanquan Grupo B",8,IF(Atletas!H322="Taijiquan Grupo B",9,IF(Atletas!H322="Changquan Grupo A",10,IF(Atletas!H322="Nanquan Grupo A",11,IF(Atletas!H322="Taijiquan Grupo A",12,IF(Atletas!H322="Changquan Opcional",13,IF(Atletas!H322="Nanquan Opcional",14,IF(Atletas!H322="Taijiquan Opcional",15,IF(Atletas!H322="Changquan Adulto",16,IF(Atletas!H322="Nanquan Adulto",17,IF(Atletas!H322="Taijiquan Adulto",18,""))))))))))))))))))))</f>
        <v/>
      </c>
      <c r="BG331" s="52" t="str">
        <f>IF(Atletas!I322="","",IF(Atletas!B322="Feminino",100,IF(Atletas!B322="Masculino",200,""))+(IF(Atletas!I322="Daoshu Mirim",19,IF(Atletas!I322="Jianshu Mirim",20,IF(Atletas!I322="Nandao Mirim",21,IF(Atletas!I322="Taijijian Mirim",22,IF(Atletas!I322="Daoshu Grupo C",23,IF(Atletas!I322="Jianshu Grupo C",24,IF(Atletas!I322="Nandao Grupo C",25,IF(Atletas!I322="Taijijian Grupo C",26,IF(Atletas!I322="Daoshu Grupo B",27,IF(Atletas!I322="Jianshu Grupo B",28,IF(Atletas!I322="Nandao Grupo B",29,IF(Atletas!I322="Taijijian Grupo B",30,IF(Atletas!I322="Daoshu Grupo A",31,IF(Atletas!I322="Jianshu Grupo A",32,IF(Atletas!I322="Nandao Grupo A",33,IF(Atletas!I322="Taijijian Grupo A",34,IF(Atletas!I322="Daoshu Opcional",35,IF(Atletas!I322="Jianshu Opcional",36,IF(Atletas!I322="Nandao Opcional",37,IF(Atletas!I322="Taijijian Opcional",38,IF(Atletas!I322="Daoshu Adulto",39,IF(Atletas!I322="Jianshu Adulto",40,IF(Atletas!I322="Nandao Adulto",41,IF(Atletas!I322="Taijijian Adulto",42,""))))))))))))))))))))))))))</f>
        <v/>
      </c>
      <c r="BH331" s="52" t="str">
        <f>IF(Atletas!J322="","",IF(Atletas!B322="Feminino",100,IF(Atletas!B322="Masculino",200,""))+(IF(Atletas!J322="Gunshu Mirim",43,IF(Atletas!J322="Qiangshu Mirim",44,IF(Atletas!J322="Nangun Mirim",45,IF(Atletas!J322="Gunshu Grupo C",46,IF(Atletas!J322="Qiangshu Grupo C",47,IF(Atletas!J322="Nangun Grupo C",48,IF(Atletas!J322="Gunshu Grupo B",49,IF(Atletas!J322="Qiangshu Grupo B",50,IF(Atletas!J322="Nangun Grupo B",51,IF(Atletas!J322="Gunshu Grupo A",52,IF(Atletas!J322="Qiangshu Grupo A",53,IF(Atletas!J322="Nangun Grupo A",54,IF(Atletas!J322="Gunshu Opcional",55,IF(Atletas!J322="Qiangshu Opcional",56,IF(Atletas!J322="Nangun Opcional",57,IF(Atletas!J322="Gunshu Adulto",58,IF(Atletas!J322="Qiangshu Adulto",59,IF(Atletas!J322="Nangun Adulto",60,IF(Atletas!J322="Taijishan Grupo B",61,IF(Atletas!J322="Taijishan Grupo A",62,""))))))))))))))))))))))</f>
        <v/>
      </c>
      <c r="BM331" s="50" t="str">
        <f>IF(Atletas!K322="","",IF(Atletas!B322="Feminino",100,IF(Atletas!B322="Masculino",200,""))+(IF(Atletas!K322="Equipe 1 Grupo B",1,IF(Atletas!K322="Equipe 2 Grupo B",2,IF(Atletas!K322="Equipe 1 Grupo A",3,IF(Atletas!K322="Equipe 2 Grupo A",4,IF(Atletas!K322="Equipe 1 Adulto",5,IF(Atletas!K322="Equipe 2 Adulto",6,""))))))))</f>
        <v/>
      </c>
      <c r="BR331" s="50" t="str">
        <f>IF(Atletas!L322="","",IF(Atletas!X322&lt;&gt;"",10000,0)+(IF(Atletas!B322="Feminino",1000,IF(Atletas!B322="Masculino",2000,""))+IF(Atletas!L322="Choylayfut A",1,IF(Atletas!L322="Hunggar A",2,IF(Atletas!L322="Wuzuquan A",3,IF(Atletas!L322="Wingchun A",4,IF(Atletas!L322="Outra Mão de Sul A",5,IF(Atletas!L322="Choylayfut B",6,IF(Atletas!L322="Hunggar B",7,IF(Atletas!L322="Wuzuquan B",8,IF(Atletas!L322="Wingchun B",9,IF(Atletas!L322="Outra Mão de Sul B",10,IF(Atletas!L322="Choylayfut C",11,IF(Atletas!L322="Hunggar C",12,IF(Atletas!L322="Wuzuquan C",13,IF(Atletas!L322="Wingchun C",14,IF(Atletas!L322="Outra Mão de Sul C",15,IF(Atletas!L322="Choylayfut D",16,IF(Atletas!L322="Hunggar D",17,IF(Atletas!L322="Wuzuquan D",18,IF(Atletas!L322="Wingchun D",19,IF(Atletas!L322="Outra Mão de Sul D",20,IF(Atletas!L322="Choylayfut E",21,IF(Atletas!L322="Hunggar E",22,IF(Atletas!L322="Wuzuquan E",23,IF(Atletas!L322="Wingchun E",24,IF(Atletas!L322="Outra Mão de Sul E",25,IF(Atletas!L322="Choylayfut F",26,IF(Atletas!L322="Hunggar F",27,IF(Atletas!L322="Wuzuquan F",28,IF(Atletas!L322="Wingchun F",29,IF(Atletas!L322="Outra Mão de Sul F",30,IF(Atletas!L322="Dishuquan A",31,IF(Atletas!L322="Dishuquan B",32,IF(Atletas!L322="Dishuquan C",33,IF(Atletas!L322="Dishuquan D",34,IF(Atletas!L322="Dishuquan E",35,IF(Atletas!L322="Dishuquan F",36,""))))))))))))))))))))))))))))))))))))))</f>
        <v/>
      </c>
      <c r="BS331" s="50" t="str">
        <f>IF(Atletas!M322="","",IF(Atletas!X322&lt;&gt;"",10000,0)+(IF(Atletas!B322="Feminino",1000,IF(Atletas!B322="Masculino",2000,""))+(IF(Atletas!M322="Chaquan A",101,IF(Atletas!M322="Emeiquan A",102,IF(Atletas!M322="Fanziquan A",103,IF(Atletas!M322="Huaquan A",104,IF(Atletas!M322="Hongquan A",105,IF(Atletas!M322="Paoquan A",106,IF(Atletas!M322="Piguaquan A",107,IF(Atletas!M322="Shaolinquan A",108,IF(Atletas!M322="Tanglangquan A",109,IF(Atletas!M322="Yingzhaoquan A",110,IF(Atletas!M322="Tongbeiquan A",111,IF(Atletas!M322="Wudangquan A",112,IF(Atletas!M322="Outros Estilos A",113,IF(Atletas!M322="Chaquan B",114,IF(Atletas!M322="Emeiquan B",115,IF(Atletas!M322="Fanziquan B",116,IF(Atletas!M322="Huaquan B",117,IF(Atletas!M322="Hongquan B",118,IF(Atletas!M322="Paoquan B",119,IF(Atletas!M322="Piguaquan B",120,IF(Atletas!M322="Shaolinquan B",121,IF(Atletas!M322="Tanglangquan B",122,IF(Atletas!M322="Yingzhaoquan B",123,IF(Atletas!M322="Tongbeiquan B",124,IF(Atletas!M322="Wudangquan B",125,IF(Atletas!M322="Outros Estilos B",126,IF(Atletas!M322="Chaquan C",127,IF(Atletas!M322="Emeiquan C",128,IF(Atletas!M322="Fanziquan C",129,IF(Atletas!M322="Huaquan C",130,IF(Atletas!M322="Hongquan C",131,IF(Atletas!M322="Paoquan C",132,IF(Atletas!M322="Piguaquan C",133,IF(Atletas!M322="Shaolinquan C",134,IF(Atletas!M322="Tanglangquan C",135,IF(Atletas!M322="Yingzhaoquan C",136,IF(Atletas!M322="Tongbeiquan C",137,IF(Atletas!M322="Wudangquan C",138,IF(Atletas!M322="Outros Estilos C",139,0))))))))))))))))))))))))))))))))))))))))))</f>
        <v/>
      </c>
      <c r="BT331" s="50" t="str">
        <f>IF(Atletas!M322="","",IF(Atletas!X322&lt;&gt;"",10000,0)+(IF(Atletas!B322="Feminino",1000,IF(Atletas!B322="Masculino",2000,""))+(IF(Atletas!M322="Chaquan D",140,IF(Atletas!M322="Emeiquan D",141,IF(Atletas!M322="Fanziquan D",142,IF(Atletas!M322="Huaquan D",143,IF(Atletas!M322="Hongquan D",144,IF(Atletas!M322="Paoquan D",145,IF(Atletas!M322="Piguaquan D",146,IF(Atletas!M322="Shaolinquan D",147,IF(Atletas!M322="Tanglangquan D",148,IF(Atletas!M322="Yingzhaoquan D",149,IF(Atletas!M322="Tongbeiquan D",150,IF(Atletas!M322="Wudangquan D",151,IF(Atletas!M322="Outros Estilos D",152,IF(Atletas!M322="Chaquan E",153,IF(Atletas!M322="Emeiquan E",154,IF(Atletas!M322="Fanziquan E",155,IF(Atletas!M322="Huaquan E",156,IF(Atletas!M322="Hongquan E",157,IF(Atletas!M322="Paoquan E",158,IF(Atletas!M322="Piguaquan E",159,IF(Atletas!M322="Shaolinquan E",160,IF(Atletas!M322="Tanglangquan E",161,IF(Atletas!M322="Yingzhaoquan E",162,IF(Atletas!M322="Tongbeiquan E",163,IF(Atletas!M322="Wudangquan E",164,IF(Atletas!M322="Outros Estilos E",165,IF(Atletas!M322="Chaquan F",166,IF(Atletas!M322="Emeiquan F",167,IF(Atletas!M322="Fanziquan F",168,IF(Atletas!M322="Huaquan F",169,IF(Atletas!M322="Hongquan F",170,IF(Atletas!M322="Paoquan F",171,IF(Atletas!M322="Piguaquan F",172,IF(Atletas!M322="Shaolinquan F",173,IF(Atletas!M322="Tanglangquan F",174,IF(Atletas!M322="Yingzhaoquan F",175,IF(Atletas!M322="Tongbeiquan F",176,IF(Atletas!M322="Wudangquan F",177,IF(Atletas!M322="Outros Estilos F",178,0))))))))))))))))))))))))))))))))))))))))))</f>
        <v/>
      </c>
      <c r="BU331" s="50" t="str">
        <f>IF(Atletas!N322="","",IF(Atletas!X322&lt;&gt;"",10000,0)+(IF(Atletas!B322="Feminino",1000,IF(Atletas!B322="Masculino",2000,""))+(IF(Atletas!N322="Ditangquan A",201,IF(Atletas!N322="Houquan A",202,IF(Atletas!N322="Zuiquan A",203,IF(Atletas!N322="Ditangquan B",204,IF(Atletas!N322="Houquan B",205,IF(Atletas!N322="Zuiquan B",206,IF(Atletas!N322="Ditangquan C",207,IF(Atletas!N322="Houquan C",208,IF(Atletas!N322="Zuiquan C",209,IF(Atletas!N322="Ditangquan D",210,IF(Atletas!N322="Houquan D",211,IF(Atletas!N322="Zuiquan D",212,IF(Atletas!N322="Ditangquan E",213,IF(Atletas!N322="Houquan E",214,IF(Atletas!N322="Zuiquan E",215,IF(Atletas!N322="Ditangquan F",216,IF(Atletas!N322="Houquan F",217,IF(Atletas!N322="Zuiquan F",218,"")))))))))))))))))))))</f>
        <v/>
      </c>
      <c r="BV331" s="50" t="str">
        <f>IF(Atletas!O322="","",IF(Atletas!X322&lt;&gt;"",10000,0)+IF(Atletas!B322="Feminino",1000,IF(Atletas!B322="Masculino",2000,""))+IF(Atletas!O322="Yang A",301,IF(Atletas!O322="Chen A",302,IF(Atletas!O322="Sun A",303,IF(Atletas!O322="Wu A",304,IF(Atletas!O322="Wu-Hao A",305,IF(Atletas!O322="Outro Taijiquan A",306,IF(Atletas!O322="Yang B",307,IF(Atletas!O322="Chen B",308,IF(Atletas!O322="Sun B",309,IF(Atletas!O322="Wu B",310,IF(Atletas!O322="Wu-Hao B",311,IF(Atletas!O322="Outro Taijiquan B",312,IF(Atletas!O322="Yang C",313,IF(Atletas!O322="Chen C",314,IF(Atletas!O322="Sun C",315,IF(Atletas!O322="Wu C",316,IF(Atletas!O322="Wu-Hao C",317,IF(Atletas!O322="Outro Taijiquan C",318,IF(Atletas!O322="Yang D",319,IF(Atletas!O322="Chen D",320,IF(Atletas!O322="Sun D",321,IF(Atletas!O322="Wu D",322,IF(Atletas!O322="Wu-Hao D",323,IF(Atletas!O322="Outro Taijiquan D",324,IF(Atletas!O322="Yang E",325,IF(Atletas!O322="Chen E",326,IF(Atletas!O322="Sun E",327,IF(Atletas!O322="Wu E",328,IF(Atletas!O322="Wu-Hao E",329,IF(Atletas!O322="Outro Taijiquan E",330,IF(Atletas!O322="Yang F",331,IF(Atletas!O322="Chen F",332,IF(Atletas!O322="Sun F",333,IF(Atletas!O322="Wu F",334,IF(Atletas!O322="Wu-Hao F",335,IF(Atletas!O322="Outro Taijiquan F",336,"")))))))))))))))))))))))))))))))))))))</f>
        <v/>
      </c>
      <c r="BW331" s="50" t="str">
        <f>IF(Atletas!P322="","",IF(Atletas!X322&lt;&gt;"",10000,0)+IF(Atletas!B322="Feminino",1000,IF(Atletas!B322="Masculino",2000,""))+IF(OR(Atletas!P322="Yang 26 A",Atletas!P322="Yang 40 A"),401,IF(OR(Atletas!P322="Chen 25 A",Atletas!P322="Chen 36 A",Atletas!P322="Chen 56 A"),402,IF(Atletas!P322="Sun 73 A",403,IF(Atletas!P322="Wu 45 A",404,IF(Atletas!P322="Wu-Hao 46 A",405,IF(OR(Atletas!P322="Taijiquan 16 A",Atletas!P322="Taijiquan 24 A",Atletas!P322="Taijiquan 32 A",Atletas!P322="Taijiquan 42 A"),406,IF(OR(Atletas!P322="Yang 26 B",Atletas!P322="Yang 40 B"),407,IF(OR(Atletas!P322="Chen 25 B",Atletas!P322="Chen 36 B",Atletas!P322="Chen 56 B"),408,IF(Atletas!P322="Sun 73 B",409,IF(Atletas!P322="Wu 45 B",410,IF(Atletas!P322="Wu-Hao 46 B",411,IF(OR(Atletas!P322="Taijiquan 16 B",Atletas!P322="Taijiquan 24 B",Atletas!P322="Taijiquan 32 B",Atletas!P322="Taijiquan 42 B"),412,IF(OR(Atletas!P322="Yang 26 C",Atletas!P322="Yang 40 C"),413,IF(OR(Atletas!P322="Chen 25 C",Atletas!P322="Chen 36 C",Atletas!P322="Chen 56 C"),414,IF(Atletas!P322="Sun 73 C",415,IF(Atletas!P322="Wu 45 C",416,IF(Atletas!P322="Wu-Hao 46 C",417,IF(OR(Atletas!P322="Taijiquan 16 C",Atletas!P322="Taijiquan 24 C",Atletas!P322="Taijiquan 32 C",Atletas!P322="Taijiquan 42 C"),418,0)))))))))))))))))))</f>
        <v/>
      </c>
      <c r="BX331" s="50" t="str">
        <f>IF(Atletas!P322="","",IF(Atletas!X322&lt;&gt;"",10000,0)+IF(Atletas!B322="Feminino",1000,IF(Atletas!B322="Masculino",2000,""))+IF(OR(Atletas!P322="Yang 26 D",Atletas!P322="Yang 40 D"),419,IF(OR(Atletas!P322="Chen 25 D",Atletas!P322="Chen 36 D",Atletas!P322="Chen 56 D"),420,IF(Atletas!P322="Sun 73 D",421,IF(Atletas!P322="Wu 45 D",422,IF(Atletas!P322="Wu-Hao 46 D",423,IF(OR(Atletas!P322="Taijiquan 16 D",Atletas!P322="Taijiquan 24 D",Atletas!P322="Taijiquan 32 D",Atletas!P322="Taijiquan 42 D"),424,IF(OR(Atletas!P322="Yang 26 E",Atletas!P322="Yang 40 E"),425,IF(OR(Atletas!P322="Chen 25 E",Atletas!P322="Chen 36 E",Atletas!P322="Chen 56 E"),426,IF(Atletas!P322="Sun 73 E",427,IF(Atletas!P322="Wu 45 E",428,IF(Atletas!P322="Wu-Hao 46 E",429,IF(OR(Atletas!P322="Taijiquan 16 E",Atletas!P322="Taijiquan 24 E",Atletas!P322="Taijiquan 32 E",Atletas!P322="Taijiquan 42 E"),430,IF(OR(Atletas!P322="Yang 26 F",Atletas!P322="Yang 40 F"),431,IF(OR(Atletas!P322="Chen 25 F",Atletas!P322="Chen 36 F",Atletas!P322="Chen 56 F"),432,IF(Atletas!P322="Sun 73 F",433,IF(Atletas!P322="Wu 45 F",434,IF(Atletas!P322="Wu-Hao 46 F",435,IF(OR(Atletas!P322="Taijiquan 16 F",Atletas!P322="Taijiquan 24 F",Atletas!P322="Taijiquan 32 F",Atletas!P322="Taijiquan 42 F"),436,0)))))))))))))))))))</f>
        <v/>
      </c>
      <c r="BY331" s="50" t="str">
        <f>IF(Atletas!Q322="","",IF(Atletas!X322&lt;&gt;"",10000,0)+IF(Atletas!B322="Feminino",1000,IF(Atletas!B322="Masculino",2000,""))+IF(Atletas!Q322="Xingyiquan A",501,IF(Atletas!Q322="Baguazhang A",502,IF(Atletas!Q322="Outro Estilo Interno A",503,IF(Atletas!Q322="Xingyiquan B",504,IF(Atletas!Q322="Baguazhang B",505,IF(Atletas!Q322="Outro Estilo Interno B",506,IF(Atletas!Q322="Xingyiquan C",507,IF(Atletas!Q322="Baguazhang C",508,IF(Atletas!Q322="Outro Estilo Interno C",509,IF(Atletas!Q322="Xingyiquan D",510,IF(Atletas!Q322="Baguazhang D",511,IF(Atletas!Q322="Outro Estilo Interno D",512,IF(Atletas!Q322="Xingyiquan E",513,IF(Atletas!Q322="Baguazhang E",514,IF(Atletas!Q322="Outro Estilo Interno E",515,IF(Atletas!Q322="Xingyiquan F",516,IF(Atletas!Q322="Baguazhang F",517,IF(Atletas!Q322="Outro Estilo Interno F",518, "")))))))))))))))))))</f>
        <v/>
      </c>
      <c r="BZ331" s="50" t="str">
        <f>IF(Atletas!R322="","",IF(Atletas!X322&lt;&gt;"",10000,0)+IF(Atletas!B322="Feminino",1000,IF(Atletas!B322="Masculino",2000,""))+IF(Atletas!R322="Dao A",601,IF(Atletas!R322="Jian A",602,IF(Atletas!R322="Bishou A",603,IF(Atletas!R322="Shanzi A",604,IF(Atletas!R322="Outra Arma Curta A",605,IF(Atletas!R322="Dao B",606,IF(Atletas!R322="Jian B",607,IF(Atletas!R322="Bishou B",608,IF(Atletas!R322="Shanzi B",609,IF(Atletas!R322="Outra Arma Curta B",610,IF(Atletas!R322="Dao C",611,IF(Atletas!R322="Jian C",612,IF(Atletas!R322="Bishou C",613,IF(Atletas!R322="Shanzi C",614,IF(Atletas!R322="Outra Arma Curta C",615,IF(Atletas!R322="Dao D",616,IF(Atletas!R322="Jian D",617,IF(Atletas!R322="Bishou D",618,IF(Atletas!R322="Shanzi D",619,IF(Atletas!R322="Outra Arma Curta D",620,IF(Atletas!R322="Dao E",621,IF(Atletas!R322="Jian E",622,IF(Atletas!R322="Bishou E",623,IF(Atletas!R322="Shanzi E",624,IF(Atletas!R322="Outra Arma Curta E",625,IF(Atletas!R322="Dao F",626,IF(Atletas!R322="Jian F",627,IF(Atletas!R322="Bishou F",628,IF(Atletas!R322="Shanzi F",629,IF(Atletas!R322="Outra Arma Curta F",630, "")))))))))))))))))))))))))))))))</f>
        <v/>
      </c>
      <c r="CA331" s="50" t="str">
        <f>IF(Atletas!S322="","",IF(Atletas!X322&lt;&gt;"",10000,0)+IF(Atletas!B322="Feminino",1000,IF(Atletas!B322="Masculino",2000,""))+IF(Atletas!S322="Gun A",701,IF(Atletas!S322="Qiang A",702,IF(Atletas!S322="Pudao / Guandao A",703,IF(Atletas!S322="Outra Arma Longa A",704,IF(Atletas!S322="Gun B",705,IF(Atletas!S322="Qiang B",706,IF(Atletas!S322="Pudao / Guandao B",707,IF(Atletas!S322="Outra Arma Longa B",708,IF(Atletas!S322="Gun C",709,IF(Atletas!S322="Qiang C",710,IF(Atletas!S322="Pudao / Guandao C",711,IF(Atletas!S322="Outra Arma Longa C",712,IF(Atletas!S322="Gun D",713,IF(Atletas!S322="Qiang D",714,IF(Atletas!S322="Pudao / Guandao D",715,IF(Atletas!S322="Outra Arma Longa D",716,IF(Atletas!S322="Gun E",717,IF(Atletas!S322="Qiang E",718,IF(Atletas!S322="Pudao / Guandao E",719,IF(Atletas!S322="Outra Arma Longa E",720,IF(Atletas!S322="Gun F",721,IF(Atletas!S322="Qiang F",722,IF(Atletas!S322="Pudao / Guandao F",723,IF(Atletas!S322="Outra Arma Longa F",724,"")))))))))))))))))))))))))</f>
        <v/>
      </c>
      <c r="CB331" s="50" t="str">
        <f>IF(Atletas!T322="","",IF(Atletas!X322&lt;&gt;"",10000,0)+IF(Atletas!B322="Feminino",1000,IF(Atletas!B322="Masculino",2000,""))+IF(Atletas!T322="Outra Arma Dupla A",801,IF(Atletas!T322="Arma Maleável A",802,IF(Atletas!T322="Outra Arma Dupla B",803,IF(Atletas!T322="Arma Maleável B",804,IF(Atletas!T322="Outra Arma Dupla C",805,IF(Atletas!T322="Arma Maleável C",806,IF(Atletas!T322="Outra Arma Dupla D",807,IF(Atletas!T322="Arma Maleável D",808,IF(Atletas!T322="Outra Arma Dupla E",809,IF(Atletas!T322="Arma Maleável E",810,IF(Atletas!T322="Outra Arma Dupla F",811,IF(Atletas!T322="Arma Maleável F",812,IF(Atletas!T322="Shuangdao A",813,IF(Atletas!T322="Shuangdao B",814,IF(Atletas!T322="Shuangdao C",815,IF(Atletas!T322="Shuangdao D",816,IF(Atletas!T322="Shuangdao E",817,IF(Atletas!T322="Shuangdao F",818,"")))))))))))))))))))</f>
        <v/>
      </c>
      <c r="CC331" s="50" t="str">
        <f>IF(Atletas!U322="","",IF(Atletas!X322&lt;&gt;"",10000,0)+IF(Atletas!B322="Feminino",1000,IF(Atletas!B322="Masculino",2000,""))+IF(OR(Atletas!U322="Taijijian Yang A",Atletas!U322="Taijijian Yang Standard A"),901,IF(OR(Atletas!U322="Taijijian Chen A", Atletas!U322="Taijijian Chen Standard A"),902,IF(Atletas!U322="Taijijian Sun A",903,IF(Atletas!U322="Taijijian Wu A",904,IF(Atletas!U322="Taijijian Wu-Hao A",905,IF(OR(Atletas!U322="Taijijian 32 A",Atletas!U322="Taijijian 42 A"),906,IF(OR(Atletas!U322="Taijijian Yang B",Atletas!U322="Taijijian Yang Standard B"),907,IF(OR(Atletas!U322="Taijijian Chen B", Atletas!U322="Taijijian Chen Standard B"),908,IF(Atletas!U322="Taijijian Sun B",909,IF(Atletas!U322="Taijijian Wu B",910,IF(Atletas!U322="Taijijian Wu-Hao B",911,IF(OR(Atletas!U322="Taijijian 32 B",Atletas!U322="Taijijian 42 B"),912,IF(OR(Atletas!U322="Taijijian Yang C",Atletas!U322="Taijijian Yang Standard C"),913,IF(OR(Atletas!U322="Taijijian Chen C", Atletas!U322="Taijijian Chen Standard C"),914,IF(Atletas!U322="Taijijian Sun C",915,IF(Atletas!U322="Taijijian Wu C",916,IF(Atletas!U322="Taijijian Wu-Hao C",917,IF(OR(Atletas!U322="Taijijian 32 C",Atletas!U322="Taijijian 42 C"),918,IF(OR(Atletas!U322="Taijijian Yang D",Atletas!U322="Taijijian Yang Standard D"),919,IF(OR(Atletas!U322="Taijijian Chen D", Atletas!U322="Taijijian Chen Standard D"),920,IF(Atletas!U322="Taijijian Sun D",921,IF(Atletas!U322="Taijijian Wu D",922,IF(Atletas!U322="Taijijian Wu-Hao D",923,IF(OR(Atletas!U322="Taijijian 32 D",Atletas!U322="Taijijian 42 D"),924,IF(OR(Atletas!U322="Taijijian Yang E",Atletas!U322="Taijijian Yang Standard E"),925,IF(OR(Atletas!U322="Taijijian Chen E", Atletas!U322="Taijijian Chen Standard E"),926,IF(Atletas!U322="Taijijian Sun E",927,IF(Atletas!U322="Taijijian Wu E",928,IF(Atletas!U322="Taijijian Wu-Hao E",929,IF(OR(Atletas!U322="Taijijian 32 E",Atletas!U322="Taijijian 42 E"),930,IF(OR(Atletas!U322="Taijijian Yang F",Atletas!U322="Taijijian Yang Standard F"),931,IF(OR(Atletas!U322="Taijijian Chen F", Atletas!U322="Taijijian Chen Standard F"),932,IF(Atletas!U322="Taijijian Sun F",933,IF(Atletas!U322="Taijijian Wu F",934,IF(Atletas!U322="Taijijian Wu-Hao F",935,IF(OR(Atletas!U322="Taijijian 32 F",Atletas!U322="Taijijian 42 F"),936,"")))))))))))))))))))))))))))))))))))))</f>
        <v/>
      </c>
      <c r="CD331" s="50" t="str">
        <f>IF(Atletas!V322="","",IF(Atletas!X322&lt;&gt;"",10000,0)+IF(Atletas!B322="Feminino",1000,IF(Atletas!B322="Masculino",2000,""))+IF(Atletas!V322="Taijidao A",937,IF(Atletas!V322="TaijiShanzi A",938,IF(Atletas!V322="Taijiqiang A",939,IF(Atletas!V322="Bagua de Arma A",940,IF(Atletas!V322="Xingyi de Arma A",941,IF(Atletas!V322="Taijidao B",942,IF(Atletas!V322="TaijiShanzi B",943,IF(Atletas!V322="Taijiqiang B",944,IF(Atletas!V322="Bagua de Arma B",945,IF(Atletas!V322="Xingyi de Arma B",946,IF(Atletas!V322="Taijidao C",947,IF(Atletas!V322="TaijiShanzi C",948,IF(Atletas!V322="Taijiqiang C",949,IF(Atletas!V322="Bagua de Arma C",950,IF(Atletas!V322="Xingyi de Arma C",951,IF(Atletas!V322="Taijidao D",952,IF(Atletas!V322="TaijiShanzi D",953,IF(Atletas!V322="Taijiqiang D",954,IF(Atletas!V322="Bagua de Arma D",955,IF(Atletas!V322="Xingyi de Arma D",956,IF(Atletas!V322="Taijidao E",957,IF(Atletas!V322="TaijiShanzi E",958,IF(Atletas!V322="Taijiqiang E",959,IF(Atletas!V322="Bagua de Arma E",960,IF(Atletas!V322="Xingyi de Arma E",961,IF(Atletas!V322="Taijidao F",962,IF(Atletas!V322="TaijiShanzi F",963,IF(Atletas!V322="Taijiqiang F",964,IF(Atletas!V322="Bagua de Arma F",965,IF(Atletas!V322="Xingyi de Arma F",966,"")))))))))))))))))))))))))))))))</f>
        <v/>
      </c>
      <c r="CE331" s="66" t="str">
        <f>IF(CF331&lt;&gt;"","Taijijian Yang F","")</f>
        <v/>
      </c>
      <c r="CF331" s="6" t="str">
        <f>IF(COUNTIF(BR:CD,1931)&gt;0,COUNTIF(BR:CD,1931),"")</f>
        <v/>
      </c>
      <c r="CG331" s="66" t="str">
        <f>IF(CH331&lt;&gt;"","Taijijian Yang F","")</f>
        <v/>
      </c>
      <c r="CH331" s="66" t="str">
        <f>IF(COUNTIF(BR:CD,2931)&gt;0,COUNTIF(BR:CD,2931),"")</f>
        <v/>
      </c>
      <c r="CI331" s="66" t="str">
        <f>IF(CJ332&lt;&gt;"","Taijiqiang B","")</f>
        <v/>
      </c>
      <c r="CJ331" s="66" t="str">
        <f>IF(COUNTIF(BR:CD,11943)&gt;0,COUNTIF(BR:CD,11943),"")</f>
        <v/>
      </c>
      <c r="CK331" s="66" t="str">
        <f>IF(CL331&lt;&gt;"","Taijishan B","")</f>
        <v/>
      </c>
      <c r="CL331" s="66" t="str">
        <f>IF(COUNTIF(BR:CD,12943)&gt;0,COUNTIF(BR:CD,12943),"")</f>
        <v/>
      </c>
      <c r="CM331" s="50" t="str">
        <f xml:space="preserve"> IF(Atletas!W322="","",IF(Atletas!W322="Duilian de Mãos BC - Equipe 1",1,IF(Atletas!W322="Duilian de Mãos BC - Equipe 2",2,IF(Atletas!W322="Duilian de Armas BC - Equipe 1",3,IF(Atletas!W322="Duilian de Armas BC - Equipe 2",4,IF(Atletas!W322="Duilian de Mãos DE - Equipe 1",5,IF(Atletas!W322="Duilian de Mãos DE - Equipe 2",6,IF(Atletas!W322="Duilian de Armas DE - Equipe 1",7,IF(Atletas!W322="Duilian de Armas DE - Equipe 2",8,IF(Atletas!W322="Duilian de Tuishou - Equipe 1",9,IF(Atletas!W322="Duilian de Tuishou - Equipe 2",10,IF(Atletas!W322="Grupo Externo ABC - Equipe 1",11,IF(Atletas!W322="Grupo Externo ABC - Equipe 2",12,IF(Atletas!W322="Grupo Interno ABC - Equipe 1",13,IF(Atletas!W322="Grupo Interno ABC - Equipe 2",14,IF(Atletas!W322="Grupo Externo DEF - Equipe 1",15,IF(Atletas!W322="Grupo Externo DEF - Equipe 2",16,IF(Atletas!W322="Grupo Interno DEF - Equipe 1",17,IF(Atletas!W322="Grupo Interno DEF - Equipe 2",18,"")))))))))))))))))))</f>
        <v/>
      </c>
    </row>
    <row r="332" spans="40:91">
      <c r="AN332" s="52" t="str">
        <f>IF(Atletas!D323="","",IF(Atletas!B323="Feminino",100,IF(Atletas!B323="Masculino",200,""))+(IF(Atletas!D323="Kids 30kg",1,IF(Atletas!D323="Kids 32kg",2, IF(Atletas!D323="Kids 34kg",3,IF(Atletas!D323="Kids 36kg",4,IF(Atletas!D323="Kids 39kg",5,IF(Atletas!D323="Kids 42kg",6,IF(Atletas!D323="Kids 45kg",7, IF(Atletas!D323="Infantil 39kg",8,IF(Atletas!D323="Infantil 42kg",9,IF(Atletas!D323="Infantil 45kg",10,IF(Atletas!D323="Infantil 48kg",11,IF(Atletas!D323="Infantil 52kg",12,IF(Atletas!D323="Infantil 56kg",13,IF(Atletas!D323="Infantil 60kg",14,IF(Atletas!D323="Juvenil 48kg",15,IF(Atletas!D323="Juvenil 52kg",16,IF(Atletas!D323="Juvenil 56kg",17,IF(Atletas!D323="Juvenil 60kg",18,IF(Atletas!D323="Juvenil 65kg",19,IF(Atletas!D323="Juvenil 70kg",20,IF(Atletas!D323="Juvenil 75kg",21,IF(Atletas!D323="Juvenil 80kg",22, IF(Atletas!D323="Juvenil 85kg",23,IF(Atletas!D323="Adulto 48kg",24,IF(Atletas!D323="Adulto 52kg",25,IF(Atletas!D323="Adulto 56kg",26,IF(Atletas!D323="Adulto 60kg",27,IF(Atletas!D323="Adulto 65kg",28,IF(Atletas!D323="Adulto 70kg",29,IF(Atletas!D323="Adulto 75kg",30,IF(Atletas!D323="Adulto 80kg",31,IF(Atletas!D323="Adulto 85kg",32,IF(Atletas!D323="Adulto 90kg",33,IF(Atletas!D323="Adulto 100kg",34, IF(Atletas!D323="Adulto +100kg",35,"")))))))))))))))))))))))))))))))))))))</f>
        <v/>
      </c>
      <c r="AS332" s="6" t="str">
        <f>IF(Atletas!E323="","",IF(Atletas!B323="Feminino",100,IF(Atletas!B323="Masculino",200,""))+(IF(Atletas!E323="Juvenil 44kg",1,IF(Atletas!E323="Juvenil 48kg",2,IF(Atletas!E323="Juvenil 52kg",3,IF(Atletas!E323="Juvenil 56kg",4,IF(Atletas!E323="Juvenil 60kg",5,IF(Atletas!E323="Juvenil 65kg",6,IF(Atletas!E323="Juvenil 70kg",7,IF(Atletas!E323="Juvenil 75kg",8,IF(Atletas!E323="Juvenil 82kg",9,IF(Atletas!E323="Juvenil 90kg",10,IF(Atletas!E323="Juvenil 100kg",11,IF(Atletas!E323="Adulto 48kg",12,IF(Atletas!E323="Adulto 52kg",13,IF(Atletas!E323="Adulto 56kg",14,IF(Atletas!E323="Adulto 60kg",15,IF(Atletas!E323="Adulto 65kg",16,IF(Atletas!E323="Adulto 70kg",17,IF(Atletas!E323="Adulto 75kg",18,IF(Atletas!E323="Adulto 82kg",19,IF(Atletas!E323="Adulto 90kg",20,IF(Atletas!E323="Adulto 100kg",21,IF(Atletas!E323="Adulto +100kg",22,""))))))))))))))))))))))))</f>
        <v/>
      </c>
      <c r="AX332" s="6" t="str">
        <f>IF(Atletas!F323="","",IF(Atletas!B323="Feminino",100,IF(Atletas!B323="Masculino",200,""))+(IF(Atletas!F323="Adulto 48kg",1,IF(Atletas!F323="Adulto 56kg",2,IF(Atletas!F323="Adulto 65kg",3,IF(Atletas!F323="Adulto 75kg",4,IF(Atletas!F323="Adulto +75kg",5,IF(Atletas!F323="Adulto 52kg",6,IF(Atletas!F323="Adulto 60kg",7,IF(Atletas!F323="Adulto 70kg",8,IF(Atletas!F323="Adulto 80kg",9,IF(Atletas!F323="Adulto 90kg",10,IF(Atletas!F323="Adulto +90kg",11,"")))))))))))))</f>
        <v/>
      </c>
      <c r="BC332" s="6" t="str">
        <f>IF(Atletas!G323="","",IF(Atletas!B323="Feminino",10,IF(Atletas!B323="Masculino",20,""))+(IF(Atletas!G323="Baduanjin A",1,IF(Atletas!G323="Baduanjin B",2))))</f>
        <v/>
      </c>
      <c r="BF332" s="52" t="str">
        <f>IF(Atletas!H323="","",IF(Atletas!B323="Feminino",100,IF(Atletas!B323="Masculino",200,""))+(IF(Atletas!H323="Changquan Mirim",1,IF(Atletas!H323="Nanquan Mirim",2,IF(Atletas!H323="Taijiquan Mirim",3,IF(Atletas!H323="Changquan Grupo C",4,IF(Atletas!H323="Nanquan Grupo C",5,IF(Atletas!H323="Taijiquan Grupo C",6,IF(Atletas!H323="Changquan Grupo B",7,IF(Atletas!H323="Nanquan Grupo B",8,IF(Atletas!H323="Taijiquan Grupo B",9,IF(Atletas!H323="Changquan Grupo A",10,IF(Atletas!H323="Nanquan Grupo A",11,IF(Atletas!H323="Taijiquan Grupo A",12,IF(Atletas!H323="Changquan Opcional",13,IF(Atletas!H323="Nanquan Opcional",14,IF(Atletas!H323="Taijiquan Opcional",15,IF(Atletas!H323="Changquan Adulto",16,IF(Atletas!H323="Nanquan Adulto",17,IF(Atletas!H323="Taijiquan Adulto",18,""))))))))))))))))))))</f>
        <v/>
      </c>
      <c r="BG332" s="52" t="str">
        <f>IF(Atletas!I323="","",IF(Atletas!B323="Feminino",100,IF(Atletas!B323="Masculino",200,""))+(IF(Atletas!I323="Daoshu Mirim",19,IF(Atletas!I323="Jianshu Mirim",20,IF(Atletas!I323="Nandao Mirim",21,IF(Atletas!I323="Taijijian Mirim",22,IF(Atletas!I323="Daoshu Grupo C",23,IF(Atletas!I323="Jianshu Grupo C",24,IF(Atletas!I323="Nandao Grupo C",25,IF(Atletas!I323="Taijijian Grupo C",26,IF(Atletas!I323="Daoshu Grupo B",27,IF(Atletas!I323="Jianshu Grupo B",28,IF(Atletas!I323="Nandao Grupo B",29,IF(Atletas!I323="Taijijian Grupo B",30,IF(Atletas!I323="Daoshu Grupo A",31,IF(Atletas!I323="Jianshu Grupo A",32,IF(Atletas!I323="Nandao Grupo A",33,IF(Atletas!I323="Taijijian Grupo A",34,IF(Atletas!I323="Daoshu Opcional",35,IF(Atletas!I323="Jianshu Opcional",36,IF(Atletas!I323="Nandao Opcional",37,IF(Atletas!I323="Taijijian Opcional",38,IF(Atletas!I323="Daoshu Adulto",39,IF(Atletas!I323="Jianshu Adulto",40,IF(Atletas!I323="Nandao Adulto",41,IF(Atletas!I323="Taijijian Adulto",42,""))))))))))))))))))))))))))</f>
        <v/>
      </c>
      <c r="BH332" s="52" t="str">
        <f>IF(Atletas!J323="","",IF(Atletas!B323="Feminino",100,IF(Atletas!B323="Masculino",200,""))+(IF(Atletas!J323="Gunshu Mirim",43,IF(Atletas!J323="Qiangshu Mirim",44,IF(Atletas!J323="Nangun Mirim",45,IF(Atletas!J323="Gunshu Grupo C",46,IF(Atletas!J323="Qiangshu Grupo C",47,IF(Atletas!J323="Nangun Grupo C",48,IF(Atletas!J323="Gunshu Grupo B",49,IF(Atletas!J323="Qiangshu Grupo B",50,IF(Atletas!J323="Nangun Grupo B",51,IF(Atletas!J323="Gunshu Grupo A",52,IF(Atletas!J323="Qiangshu Grupo A",53,IF(Atletas!J323="Nangun Grupo A",54,IF(Atletas!J323="Gunshu Opcional",55,IF(Atletas!J323="Qiangshu Opcional",56,IF(Atletas!J323="Nangun Opcional",57,IF(Atletas!J323="Gunshu Adulto",58,IF(Atletas!J323="Qiangshu Adulto",59,IF(Atletas!J323="Nangun Adulto",60,IF(Atletas!J323="Taijishan Grupo B",61,IF(Atletas!J323="Taijishan Grupo A",62,""))))))))))))))))))))))</f>
        <v/>
      </c>
      <c r="BM332" s="50" t="str">
        <f>IF(Atletas!K323="","",IF(Atletas!B323="Feminino",100,IF(Atletas!B323="Masculino",200,""))+(IF(Atletas!K323="Equipe 1 Grupo B",1,IF(Atletas!K323="Equipe 2 Grupo B",2,IF(Atletas!K323="Equipe 1 Grupo A",3,IF(Atletas!K323="Equipe 2 Grupo A",4,IF(Atletas!K323="Equipe 1 Adulto",5,IF(Atletas!K323="Equipe 2 Adulto",6,""))))))))</f>
        <v/>
      </c>
      <c r="BR332" s="50" t="str">
        <f>IF(Atletas!L323="","",IF(Atletas!X323&lt;&gt;"",10000,0)+(IF(Atletas!B323="Feminino",1000,IF(Atletas!B323="Masculino",2000,""))+IF(Atletas!L323="Choylayfut A",1,IF(Atletas!L323="Hunggar A",2,IF(Atletas!L323="Wuzuquan A",3,IF(Atletas!L323="Wingchun A",4,IF(Atletas!L323="Outra Mão de Sul A",5,IF(Atletas!L323="Choylayfut B",6,IF(Atletas!L323="Hunggar B",7,IF(Atletas!L323="Wuzuquan B",8,IF(Atletas!L323="Wingchun B",9,IF(Atletas!L323="Outra Mão de Sul B",10,IF(Atletas!L323="Choylayfut C",11,IF(Atletas!L323="Hunggar C",12,IF(Atletas!L323="Wuzuquan C",13,IF(Atletas!L323="Wingchun C",14,IF(Atletas!L323="Outra Mão de Sul C",15,IF(Atletas!L323="Choylayfut D",16,IF(Atletas!L323="Hunggar D",17,IF(Atletas!L323="Wuzuquan D",18,IF(Atletas!L323="Wingchun D",19,IF(Atletas!L323="Outra Mão de Sul D",20,IF(Atletas!L323="Choylayfut E",21,IF(Atletas!L323="Hunggar E",22,IF(Atletas!L323="Wuzuquan E",23,IF(Atletas!L323="Wingchun E",24,IF(Atletas!L323="Outra Mão de Sul E",25,IF(Atletas!L323="Choylayfut F",26,IF(Atletas!L323="Hunggar F",27,IF(Atletas!L323="Wuzuquan F",28,IF(Atletas!L323="Wingchun F",29,IF(Atletas!L323="Outra Mão de Sul F",30,IF(Atletas!L323="Dishuquan A",31,IF(Atletas!L323="Dishuquan B",32,IF(Atletas!L323="Dishuquan C",33,IF(Atletas!L323="Dishuquan D",34,IF(Atletas!L323="Dishuquan E",35,IF(Atletas!L323="Dishuquan F",36,""))))))))))))))))))))))))))))))))))))))</f>
        <v/>
      </c>
      <c r="BS332" s="50" t="str">
        <f>IF(Atletas!M323="","",IF(Atletas!X323&lt;&gt;"",10000,0)+(IF(Atletas!B323="Feminino",1000,IF(Atletas!B323="Masculino",2000,""))+(IF(Atletas!M323="Chaquan A",101,IF(Atletas!M323="Emeiquan A",102,IF(Atletas!M323="Fanziquan A",103,IF(Atletas!M323="Huaquan A",104,IF(Atletas!M323="Hongquan A",105,IF(Atletas!M323="Paoquan A",106,IF(Atletas!M323="Piguaquan A",107,IF(Atletas!M323="Shaolinquan A",108,IF(Atletas!M323="Tanglangquan A",109,IF(Atletas!M323="Yingzhaoquan A",110,IF(Atletas!M323="Tongbeiquan A",111,IF(Atletas!M323="Wudangquan A",112,IF(Atletas!M323="Outros Estilos A",113,IF(Atletas!M323="Chaquan B",114,IF(Atletas!M323="Emeiquan B",115,IF(Atletas!M323="Fanziquan B",116,IF(Atletas!M323="Huaquan B",117,IF(Atletas!M323="Hongquan B",118,IF(Atletas!M323="Paoquan B",119,IF(Atletas!M323="Piguaquan B",120,IF(Atletas!M323="Shaolinquan B",121,IF(Atletas!M323="Tanglangquan B",122,IF(Atletas!M323="Yingzhaoquan B",123,IF(Atletas!M323="Tongbeiquan B",124,IF(Atletas!M323="Wudangquan B",125,IF(Atletas!M323="Outros Estilos B",126,IF(Atletas!M323="Chaquan C",127,IF(Atletas!M323="Emeiquan C",128,IF(Atletas!M323="Fanziquan C",129,IF(Atletas!M323="Huaquan C",130,IF(Atletas!M323="Hongquan C",131,IF(Atletas!M323="Paoquan C",132,IF(Atletas!M323="Piguaquan C",133,IF(Atletas!M323="Shaolinquan C",134,IF(Atletas!M323="Tanglangquan C",135,IF(Atletas!M323="Yingzhaoquan C",136,IF(Atletas!M323="Tongbeiquan C",137,IF(Atletas!M323="Wudangquan C",138,IF(Atletas!M323="Outros Estilos C",139,0))))))))))))))))))))))))))))))))))))))))))</f>
        <v/>
      </c>
      <c r="BT332" s="50" t="str">
        <f>IF(Atletas!M323="","",IF(Atletas!X323&lt;&gt;"",10000,0)+(IF(Atletas!B323="Feminino",1000,IF(Atletas!B323="Masculino",2000,""))+(IF(Atletas!M323="Chaquan D",140,IF(Atletas!M323="Emeiquan D",141,IF(Atletas!M323="Fanziquan D",142,IF(Atletas!M323="Huaquan D",143,IF(Atletas!M323="Hongquan D",144,IF(Atletas!M323="Paoquan D",145,IF(Atletas!M323="Piguaquan D",146,IF(Atletas!M323="Shaolinquan D",147,IF(Atletas!M323="Tanglangquan D",148,IF(Atletas!M323="Yingzhaoquan D",149,IF(Atletas!M323="Tongbeiquan D",150,IF(Atletas!M323="Wudangquan D",151,IF(Atletas!M323="Outros Estilos D",152,IF(Atletas!M323="Chaquan E",153,IF(Atletas!M323="Emeiquan E",154,IF(Atletas!M323="Fanziquan E",155,IF(Atletas!M323="Huaquan E",156,IF(Atletas!M323="Hongquan E",157,IF(Atletas!M323="Paoquan E",158,IF(Atletas!M323="Piguaquan E",159,IF(Atletas!M323="Shaolinquan E",160,IF(Atletas!M323="Tanglangquan E",161,IF(Atletas!M323="Yingzhaoquan E",162,IF(Atletas!M323="Tongbeiquan E",163,IF(Atletas!M323="Wudangquan E",164,IF(Atletas!M323="Outros Estilos E",165,IF(Atletas!M323="Chaquan F",166,IF(Atletas!M323="Emeiquan F",167,IF(Atletas!M323="Fanziquan F",168,IF(Atletas!M323="Huaquan F",169,IF(Atletas!M323="Hongquan F",170,IF(Atletas!M323="Paoquan F",171,IF(Atletas!M323="Piguaquan F",172,IF(Atletas!M323="Shaolinquan F",173,IF(Atletas!M323="Tanglangquan F",174,IF(Atletas!M323="Yingzhaoquan F",175,IF(Atletas!M323="Tongbeiquan F",176,IF(Atletas!M323="Wudangquan F",177,IF(Atletas!M323="Outros Estilos F",178,0))))))))))))))))))))))))))))))))))))))))))</f>
        <v/>
      </c>
      <c r="BU332" s="50" t="str">
        <f>IF(Atletas!N323="","",IF(Atletas!X323&lt;&gt;"",10000,0)+(IF(Atletas!B323="Feminino",1000,IF(Atletas!B323="Masculino",2000,""))+(IF(Atletas!N323="Ditangquan A",201,IF(Atletas!N323="Houquan A",202,IF(Atletas!N323="Zuiquan A",203,IF(Atletas!N323="Ditangquan B",204,IF(Atletas!N323="Houquan B",205,IF(Atletas!N323="Zuiquan B",206,IF(Atletas!N323="Ditangquan C",207,IF(Atletas!N323="Houquan C",208,IF(Atletas!N323="Zuiquan C",209,IF(Atletas!N323="Ditangquan D",210,IF(Atletas!N323="Houquan D",211,IF(Atletas!N323="Zuiquan D",212,IF(Atletas!N323="Ditangquan E",213,IF(Atletas!N323="Houquan E",214,IF(Atletas!N323="Zuiquan E",215,IF(Atletas!N323="Ditangquan F",216,IF(Atletas!N323="Houquan F",217,IF(Atletas!N323="Zuiquan F",218,"")))))))))))))))))))))</f>
        <v/>
      </c>
      <c r="BV332" s="50" t="str">
        <f>IF(Atletas!O323="","",IF(Atletas!X323&lt;&gt;"",10000,0)+IF(Atletas!B323="Feminino",1000,IF(Atletas!B323="Masculino",2000,""))+IF(Atletas!O323="Yang A",301,IF(Atletas!O323="Chen A",302,IF(Atletas!O323="Sun A",303,IF(Atletas!O323="Wu A",304,IF(Atletas!O323="Wu-Hao A",305,IF(Atletas!O323="Outro Taijiquan A",306,IF(Atletas!O323="Yang B",307,IF(Atletas!O323="Chen B",308,IF(Atletas!O323="Sun B",309,IF(Atletas!O323="Wu B",310,IF(Atletas!O323="Wu-Hao B",311,IF(Atletas!O323="Outro Taijiquan B",312,IF(Atletas!O323="Yang C",313,IF(Atletas!O323="Chen C",314,IF(Atletas!O323="Sun C",315,IF(Atletas!O323="Wu C",316,IF(Atletas!O323="Wu-Hao C",317,IF(Atletas!O323="Outro Taijiquan C",318,IF(Atletas!O323="Yang D",319,IF(Atletas!O323="Chen D",320,IF(Atletas!O323="Sun D",321,IF(Atletas!O323="Wu D",322,IF(Atletas!O323="Wu-Hao D",323,IF(Atletas!O323="Outro Taijiquan D",324,IF(Atletas!O323="Yang E",325,IF(Atletas!O323="Chen E",326,IF(Atletas!O323="Sun E",327,IF(Atletas!O323="Wu E",328,IF(Atletas!O323="Wu-Hao E",329,IF(Atletas!O323="Outro Taijiquan E",330,IF(Atletas!O323="Yang F",331,IF(Atletas!O323="Chen F",332,IF(Atletas!O323="Sun F",333,IF(Atletas!O323="Wu F",334,IF(Atletas!O323="Wu-Hao F",335,IF(Atletas!O323="Outro Taijiquan F",336,"")))))))))))))))))))))))))))))))))))))</f>
        <v/>
      </c>
      <c r="BW332" s="50" t="str">
        <f>IF(Atletas!P323="","",IF(Atletas!X323&lt;&gt;"",10000,0)+IF(Atletas!B323="Feminino",1000,IF(Atletas!B323="Masculino",2000,""))+IF(OR(Atletas!P323="Yang 26 A",Atletas!P323="Yang 40 A"),401,IF(OR(Atletas!P323="Chen 25 A",Atletas!P323="Chen 36 A",Atletas!P323="Chen 56 A"),402,IF(Atletas!P323="Sun 73 A",403,IF(Atletas!P323="Wu 45 A",404,IF(Atletas!P323="Wu-Hao 46 A",405,IF(OR(Atletas!P323="Taijiquan 16 A",Atletas!P323="Taijiquan 24 A",Atletas!P323="Taijiquan 32 A",Atletas!P323="Taijiquan 42 A"),406,IF(OR(Atletas!P323="Yang 26 B",Atletas!P323="Yang 40 B"),407,IF(OR(Atletas!P323="Chen 25 B",Atletas!P323="Chen 36 B",Atletas!P323="Chen 56 B"),408,IF(Atletas!P323="Sun 73 B",409,IF(Atletas!P323="Wu 45 B",410,IF(Atletas!P323="Wu-Hao 46 B",411,IF(OR(Atletas!P323="Taijiquan 16 B",Atletas!P323="Taijiquan 24 B",Atletas!P323="Taijiquan 32 B",Atletas!P323="Taijiquan 42 B"),412,IF(OR(Atletas!P323="Yang 26 C",Atletas!P323="Yang 40 C"),413,IF(OR(Atletas!P323="Chen 25 C",Atletas!P323="Chen 36 C",Atletas!P323="Chen 56 C"),414,IF(Atletas!P323="Sun 73 C",415,IF(Atletas!P323="Wu 45 C",416,IF(Atletas!P323="Wu-Hao 46 C",417,IF(OR(Atletas!P323="Taijiquan 16 C",Atletas!P323="Taijiquan 24 C",Atletas!P323="Taijiquan 32 C",Atletas!P323="Taijiquan 42 C"),418,0)))))))))))))))))))</f>
        <v/>
      </c>
      <c r="BX332" s="50" t="str">
        <f>IF(Atletas!P323="","",IF(Atletas!X323&lt;&gt;"",10000,0)+IF(Atletas!B323="Feminino",1000,IF(Atletas!B323="Masculino",2000,""))+IF(OR(Atletas!P323="Yang 26 D",Atletas!P323="Yang 40 D"),419,IF(OR(Atletas!P323="Chen 25 D",Atletas!P323="Chen 36 D",Atletas!P323="Chen 56 D"),420,IF(Atletas!P323="Sun 73 D",421,IF(Atletas!P323="Wu 45 D",422,IF(Atletas!P323="Wu-Hao 46 D",423,IF(OR(Atletas!P323="Taijiquan 16 D",Atletas!P323="Taijiquan 24 D",Atletas!P323="Taijiquan 32 D",Atletas!P323="Taijiquan 42 D"),424,IF(OR(Atletas!P323="Yang 26 E",Atletas!P323="Yang 40 E"),425,IF(OR(Atletas!P323="Chen 25 E",Atletas!P323="Chen 36 E",Atletas!P323="Chen 56 E"),426,IF(Atletas!P323="Sun 73 E",427,IF(Atletas!P323="Wu 45 E",428,IF(Atletas!P323="Wu-Hao 46 E",429,IF(OR(Atletas!P323="Taijiquan 16 E",Atletas!P323="Taijiquan 24 E",Atletas!P323="Taijiquan 32 E",Atletas!P323="Taijiquan 42 E"),430,IF(OR(Atletas!P323="Yang 26 F",Atletas!P323="Yang 40 F"),431,IF(OR(Atletas!P323="Chen 25 F",Atletas!P323="Chen 36 F",Atletas!P323="Chen 56 F"),432,IF(Atletas!P323="Sun 73 F",433,IF(Atletas!P323="Wu 45 F",434,IF(Atletas!P323="Wu-Hao 46 F",435,IF(OR(Atletas!P323="Taijiquan 16 F",Atletas!P323="Taijiquan 24 F",Atletas!P323="Taijiquan 32 F",Atletas!P323="Taijiquan 42 F"),436,0)))))))))))))))))))</f>
        <v/>
      </c>
      <c r="BY332" s="50" t="str">
        <f>IF(Atletas!Q323="","",IF(Atletas!X323&lt;&gt;"",10000,0)+IF(Atletas!B323="Feminino",1000,IF(Atletas!B323="Masculino",2000,""))+IF(Atletas!Q323="Xingyiquan A",501,IF(Atletas!Q323="Baguazhang A",502,IF(Atletas!Q323="Outro Estilo Interno A",503,IF(Atletas!Q323="Xingyiquan B",504,IF(Atletas!Q323="Baguazhang B",505,IF(Atletas!Q323="Outro Estilo Interno B",506,IF(Atletas!Q323="Xingyiquan C",507,IF(Atletas!Q323="Baguazhang C",508,IF(Atletas!Q323="Outro Estilo Interno C",509,IF(Atletas!Q323="Xingyiquan D",510,IF(Atletas!Q323="Baguazhang D",511,IF(Atletas!Q323="Outro Estilo Interno D",512,IF(Atletas!Q323="Xingyiquan E",513,IF(Atletas!Q323="Baguazhang E",514,IF(Atletas!Q323="Outro Estilo Interno E",515,IF(Atletas!Q323="Xingyiquan F",516,IF(Atletas!Q323="Baguazhang F",517,IF(Atletas!Q323="Outro Estilo Interno F",518, "")))))))))))))))))))</f>
        <v/>
      </c>
      <c r="BZ332" s="50" t="str">
        <f>IF(Atletas!R323="","",IF(Atletas!X323&lt;&gt;"",10000,0)+IF(Atletas!B323="Feminino",1000,IF(Atletas!B323="Masculino",2000,""))+IF(Atletas!R323="Dao A",601,IF(Atletas!R323="Jian A",602,IF(Atletas!R323="Bishou A",603,IF(Atletas!R323="Shanzi A",604,IF(Atletas!R323="Outra Arma Curta A",605,IF(Atletas!R323="Dao B",606,IF(Atletas!R323="Jian B",607,IF(Atletas!R323="Bishou B",608,IF(Atletas!R323="Shanzi B",609,IF(Atletas!R323="Outra Arma Curta B",610,IF(Atletas!R323="Dao C",611,IF(Atletas!R323="Jian C",612,IF(Atletas!R323="Bishou C",613,IF(Atletas!R323="Shanzi C",614,IF(Atletas!R323="Outra Arma Curta C",615,IF(Atletas!R323="Dao D",616,IF(Atletas!R323="Jian D",617,IF(Atletas!R323="Bishou D",618,IF(Atletas!R323="Shanzi D",619,IF(Atletas!R323="Outra Arma Curta D",620,IF(Atletas!R323="Dao E",621,IF(Atletas!R323="Jian E",622,IF(Atletas!R323="Bishou E",623,IF(Atletas!R323="Shanzi E",624,IF(Atletas!R323="Outra Arma Curta E",625,IF(Atletas!R323="Dao F",626,IF(Atletas!R323="Jian F",627,IF(Atletas!R323="Bishou F",628,IF(Atletas!R323="Shanzi F",629,IF(Atletas!R323="Outra Arma Curta F",630, "")))))))))))))))))))))))))))))))</f>
        <v/>
      </c>
      <c r="CA332" s="50" t="str">
        <f>IF(Atletas!S323="","",IF(Atletas!X323&lt;&gt;"",10000,0)+IF(Atletas!B323="Feminino",1000,IF(Atletas!B323="Masculino",2000,""))+IF(Atletas!S323="Gun A",701,IF(Atletas!S323="Qiang A",702,IF(Atletas!S323="Pudao / Guandao A",703,IF(Atletas!S323="Outra Arma Longa A",704,IF(Atletas!S323="Gun B",705,IF(Atletas!S323="Qiang B",706,IF(Atletas!S323="Pudao / Guandao B",707,IF(Atletas!S323="Outra Arma Longa B",708,IF(Atletas!S323="Gun C",709,IF(Atletas!S323="Qiang C",710,IF(Atletas!S323="Pudao / Guandao C",711,IF(Atletas!S323="Outra Arma Longa C",712,IF(Atletas!S323="Gun D",713,IF(Atletas!S323="Qiang D",714,IF(Atletas!S323="Pudao / Guandao D",715,IF(Atletas!S323="Outra Arma Longa D",716,IF(Atletas!S323="Gun E",717,IF(Atletas!S323="Qiang E",718,IF(Atletas!S323="Pudao / Guandao E",719,IF(Atletas!S323="Outra Arma Longa E",720,IF(Atletas!S323="Gun F",721,IF(Atletas!S323="Qiang F",722,IF(Atletas!S323="Pudao / Guandao F",723,IF(Atletas!S323="Outra Arma Longa F",724,"")))))))))))))))))))))))))</f>
        <v/>
      </c>
      <c r="CB332" s="50" t="str">
        <f>IF(Atletas!T323="","",IF(Atletas!X323&lt;&gt;"",10000,0)+IF(Atletas!B323="Feminino",1000,IF(Atletas!B323="Masculino",2000,""))+IF(Atletas!T323="Outra Arma Dupla A",801,IF(Atletas!T323="Arma Maleável A",802,IF(Atletas!T323="Outra Arma Dupla B",803,IF(Atletas!T323="Arma Maleável B",804,IF(Atletas!T323="Outra Arma Dupla C",805,IF(Atletas!T323="Arma Maleável C",806,IF(Atletas!T323="Outra Arma Dupla D",807,IF(Atletas!T323="Arma Maleável D",808,IF(Atletas!T323="Outra Arma Dupla E",809,IF(Atletas!T323="Arma Maleável E",810,IF(Atletas!T323="Outra Arma Dupla F",811,IF(Atletas!T323="Arma Maleável F",812,IF(Atletas!T323="Shuangdao A",813,IF(Atletas!T323="Shuangdao B",814,IF(Atletas!T323="Shuangdao C",815,IF(Atletas!T323="Shuangdao D",816,IF(Atletas!T323="Shuangdao E",817,IF(Atletas!T323="Shuangdao F",818,"")))))))))))))))))))</f>
        <v/>
      </c>
      <c r="CC332" s="50" t="str">
        <f>IF(Atletas!U323="","",IF(Atletas!X323&lt;&gt;"",10000,0)+IF(Atletas!B323="Feminino",1000,IF(Atletas!B323="Masculino",2000,""))+IF(OR(Atletas!U323="Taijijian Yang A",Atletas!U323="Taijijian Yang Standard A"),901,IF(OR(Atletas!U323="Taijijian Chen A", Atletas!U323="Taijijian Chen Standard A"),902,IF(Atletas!U323="Taijijian Sun A",903,IF(Atletas!U323="Taijijian Wu A",904,IF(Atletas!U323="Taijijian Wu-Hao A",905,IF(OR(Atletas!U323="Taijijian 32 A",Atletas!U323="Taijijian 42 A"),906,IF(OR(Atletas!U323="Taijijian Yang B",Atletas!U323="Taijijian Yang Standard B"),907,IF(OR(Atletas!U323="Taijijian Chen B", Atletas!U323="Taijijian Chen Standard B"),908,IF(Atletas!U323="Taijijian Sun B",909,IF(Atletas!U323="Taijijian Wu B",910,IF(Atletas!U323="Taijijian Wu-Hao B",911,IF(OR(Atletas!U323="Taijijian 32 B",Atletas!U323="Taijijian 42 B"),912,IF(OR(Atletas!U323="Taijijian Yang C",Atletas!U323="Taijijian Yang Standard C"),913,IF(OR(Atletas!U323="Taijijian Chen C", Atletas!U323="Taijijian Chen Standard C"),914,IF(Atletas!U323="Taijijian Sun C",915,IF(Atletas!U323="Taijijian Wu C",916,IF(Atletas!U323="Taijijian Wu-Hao C",917,IF(OR(Atletas!U323="Taijijian 32 C",Atletas!U323="Taijijian 42 C"),918,IF(OR(Atletas!U323="Taijijian Yang D",Atletas!U323="Taijijian Yang Standard D"),919,IF(OR(Atletas!U323="Taijijian Chen D", Atletas!U323="Taijijian Chen Standard D"),920,IF(Atletas!U323="Taijijian Sun D",921,IF(Atletas!U323="Taijijian Wu D",922,IF(Atletas!U323="Taijijian Wu-Hao D",923,IF(OR(Atletas!U323="Taijijian 32 D",Atletas!U323="Taijijian 42 D"),924,IF(OR(Atletas!U323="Taijijian Yang E",Atletas!U323="Taijijian Yang Standard E"),925,IF(OR(Atletas!U323="Taijijian Chen E", Atletas!U323="Taijijian Chen Standard E"),926,IF(Atletas!U323="Taijijian Sun E",927,IF(Atletas!U323="Taijijian Wu E",928,IF(Atletas!U323="Taijijian Wu-Hao E",929,IF(OR(Atletas!U323="Taijijian 32 E",Atletas!U323="Taijijian 42 E"),930,IF(OR(Atletas!U323="Taijijian Yang F",Atletas!U323="Taijijian Yang Standard F"),931,IF(OR(Atletas!U323="Taijijian Chen F", Atletas!U323="Taijijian Chen Standard F"),932,IF(Atletas!U323="Taijijian Sun F",933,IF(Atletas!U323="Taijijian Wu F",934,IF(Atletas!U323="Taijijian Wu-Hao F",935,IF(OR(Atletas!U323="Taijijian 32 F",Atletas!U323="Taijijian 42 F"),936,"")))))))))))))))))))))))))))))))))))))</f>
        <v/>
      </c>
      <c r="CD332" s="50" t="str">
        <f>IF(Atletas!V323="","",IF(Atletas!X323&lt;&gt;"",10000,0)+IF(Atletas!B323="Feminino",1000,IF(Atletas!B323="Masculino",2000,""))+IF(Atletas!V323="Taijidao A",937,IF(Atletas!V323="TaijiShanzi A",938,IF(Atletas!V323="Taijiqiang A",939,IF(Atletas!V323="Bagua de Arma A",940,IF(Atletas!V323="Xingyi de Arma A",941,IF(Atletas!V323="Taijidao B",942,IF(Atletas!V323="TaijiShanzi B",943,IF(Atletas!V323="Taijiqiang B",944,IF(Atletas!V323="Bagua de Arma B",945,IF(Atletas!V323="Xingyi de Arma B",946,IF(Atletas!V323="Taijidao C",947,IF(Atletas!V323="TaijiShanzi C",948,IF(Atletas!V323="Taijiqiang C",949,IF(Atletas!V323="Bagua de Arma C",950,IF(Atletas!V323="Xingyi de Arma C",951,IF(Atletas!V323="Taijidao D",952,IF(Atletas!V323="TaijiShanzi D",953,IF(Atletas!V323="Taijiqiang D",954,IF(Atletas!V323="Bagua de Arma D",955,IF(Atletas!V323="Xingyi de Arma D",956,IF(Atletas!V323="Taijidao E",957,IF(Atletas!V323="TaijiShanzi E",958,IF(Atletas!V323="Taijiqiang E",959,IF(Atletas!V323="Bagua de Arma E",960,IF(Atletas!V323="Xingyi de Arma E",961,IF(Atletas!V323="Taijidao F",962,IF(Atletas!V323="TaijiShanzi F",963,IF(Atletas!V323="Taijiqiang F",964,IF(Atletas!V323="Bagua de Arma F",965,IF(Atletas!V323="Xingyi de Arma F",966,"")))))))))))))))))))))))))))))))</f>
        <v/>
      </c>
      <c r="CE332" s="66" t="str">
        <f>IF(CF332&lt;&gt;"","Taijijian Chen F","")</f>
        <v/>
      </c>
      <c r="CF332" s="6" t="str">
        <f>IF(COUNTIF(BR:CD,1932)&gt;0,COUNTIF(BR:CD,1932),"")</f>
        <v/>
      </c>
      <c r="CG332" s="66" t="str">
        <f>IF(CH332&lt;&gt;"","Taijijian Chen F","")</f>
        <v/>
      </c>
      <c r="CH332" s="66" t="str">
        <f>IF(COUNTIF(BR:CD,2932)&gt;0,COUNTIF(BR:CD,2932),"")</f>
        <v/>
      </c>
      <c r="CI332" s="66" t="str">
        <f>IF(CJ333&lt;&gt;"","Bagua de Arma B","")</f>
        <v/>
      </c>
      <c r="CJ332" s="66" t="str">
        <f>IF(COUNTIF(BR:CD,11944)&gt;0,COUNTIF(BR:CD,11944),"")</f>
        <v/>
      </c>
      <c r="CK332" s="66" t="str">
        <f>IF(CL332&lt;&gt;"","Taijiqiang B","")</f>
        <v/>
      </c>
      <c r="CL332" s="66" t="str">
        <f>IF(COUNTIF(BR:CD,12944)&gt;0,COUNTIF(BR:CD,12944),"")</f>
        <v/>
      </c>
      <c r="CM332" s="50" t="str">
        <f xml:space="preserve"> IF(Atletas!W323="","",IF(Atletas!W323="Duilian de Mãos BC - Equipe 1",1,IF(Atletas!W323="Duilian de Mãos BC - Equipe 2",2,IF(Atletas!W323="Duilian de Armas BC - Equipe 1",3,IF(Atletas!W323="Duilian de Armas BC - Equipe 2",4,IF(Atletas!W323="Duilian de Mãos DE - Equipe 1",5,IF(Atletas!W323="Duilian de Mãos DE - Equipe 2",6,IF(Atletas!W323="Duilian de Armas DE - Equipe 1",7,IF(Atletas!W323="Duilian de Armas DE - Equipe 2",8,IF(Atletas!W323="Duilian de Tuishou - Equipe 1",9,IF(Atletas!W323="Duilian de Tuishou - Equipe 2",10,IF(Atletas!W323="Grupo Externo ABC - Equipe 1",11,IF(Atletas!W323="Grupo Externo ABC - Equipe 2",12,IF(Atletas!W323="Grupo Interno ABC - Equipe 1",13,IF(Atletas!W323="Grupo Interno ABC - Equipe 2",14,IF(Atletas!W323="Grupo Externo DEF - Equipe 1",15,IF(Atletas!W323="Grupo Externo DEF - Equipe 2",16,IF(Atletas!W323="Grupo Interno DEF - Equipe 1",17,IF(Atletas!W323="Grupo Interno DEF - Equipe 2",18,"")))))))))))))))))))</f>
        <v/>
      </c>
    </row>
    <row r="333" spans="40:91">
      <c r="AN333" s="52" t="str">
        <f>IF(Atletas!D324="","",IF(Atletas!B324="Feminino",100,IF(Atletas!B324="Masculino",200,""))+(IF(Atletas!D324="Kids 30kg",1,IF(Atletas!D324="Kids 32kg",2, IF(Atletas!D324="Kids 34kg",3,IF(Atletas!D324="Kids 36kg",4,IF(Atletas!D324="Kids 39kg",5,IF(Atletas!D324="Kids 42kg",6,IF(Atletas!D324="Kids 45kg",7, IF(Atletas!D324="Infantil 39kg",8,IF(Atletas!D324="Infantil 42kg",9,IF(Atletas!D324="Infantil 45kg",10,IF(Atletas!D324="Infantil 48kg",11,IF(Atletas!D324="Infantil 52kg",12,IF(Atletas!D324="Infantil 56kg",13,IF(Atletas!D324="Infantil 60kg",14,IF(Atletas!D324="Juvenil 48kg",15,IF(Atletas!D324="Juvenil 52kg",16,IF(Atletas!D324="Juvenil 56kg",17,IF(Atletas!D324="Juvenil 60kg",18,IF(Atletas!D324="Juvenil 65kg",19,IF(Atletas!D324="Juvenil 70kg",20,IF(Atletas!D324="Juvenil 75kg",21,IF(Atletas!D324="Juvenil 80kg",22, IF(Atletas!D324="Juvenil 85kg",23,IF(Atletas!D324="Adulto 48kg",24,IF(Atletas!D324="Adulto 52kg",25,IF(Atletas!D324="Adulto 56kg",26,IF(Atletas!D324="Adulto 60kg",27,IF(Atletas!D324="Adulto 65kg",28,IF(Atletas!D324="Adulto 70kg",29,IF(Atletas!D324="Adulto 75kg",30,IF(Atletas!D324="Adulto 80kg",31,IF(Atletas!D324="Adulto 85kg",32,IF(Atletas!D324="Adulto 90kg",33,IF(Atletas!D324="Adulto 100kg",34, IF(Atletas!D324="Adulto +100kg",35,"")))))))))))))))))))))))))))))))))))))</f>
        <v/>
      </c>
      <c r="AS333" s="6" t="str">
        <f>IF(Atletas!E324="","",IF(Atletas!B324="Feminino",100,IF(Atletas!B324="Masculino",200,""))+(IF(Atletas!E324="Juvenil 44kg",1,IF(Atletas!E324="Juvenil 48kg",2,IF(Atletas!E324="Juvenil 52kg",3,IF(Atletas!E324="Juvenil 56kg",4,IF(Atletas!E324="Juvenil 60kg",5,IF(Atletas!E324="Juvenil 65kg",6,IF(Atletas!E324="Juvenil 70kg",7,IF(Atletas!E324="Juvenil 75kg",8,IF(Atletas!E324="Juvenil 82kg",9,IF(Atletas!E324="Juvenil 90kg",10,IF(Atletas!E324="Juvenil 100kg",11,IF(Atletas!E324="Adulto 48kg",12,IF(Atletas!E324="Adulto 52kg",13,IF(Atletas!E324="Adulto 56kg",14,IF(Atletas!E324="Adulto 60kg",15,IF(Atletas!E324="Adulto 65kg",16,IF(Atletas!E324="Adulto 70kg",17,IF(Atletas!E324="Adulto 75kg",18,IF(Atletas!E324="Adulto 82kg",19,IF(Atletas!E324="Adulto 90kg",20,IF(Atletas!E324="Adulto 100kg",21,IF(Atletas!E324="Adulto +100kg",22,""))))))))))))))))))))))))</f>
        <v/>
      </c>
      <c r="AX333" s="6" t="str">
        <f>IF(Atletas!F324="","",IF(Atletas!B324="Feminino",100,IF(Atletas!B324="Masculino",200,""))+(IF(Atletas!F324="Adulto 48kg",1,IF(Atletas!F324="Adulto 56kg",2,IF(Atletas!F324="Adulto 65kg",3,IF(Atletas!F324="Adulto 75kg",4,IF(Atletas!F324="Adulto +75kg",5,IF(Atletas!F324="Adulto 52kg",6,IF(Atletas!F324="Adulto 60kg",7,IF(Atletas!F324="Adulto 70kg",8,IF(Atletas!F324="Adulto 80kg",9,IF(Atletas!F324="Adulto 90kg",10,IF(Atletas!F324="Adulto +90kg",11,"")))))))))))))</f>
        <v/>
      </c>
      <c r="BC333" s="6" t="str">
        <f>IF(Atletas!G324="","",IF(Atletas!B324="Feminino",10,IF(Atletas!B324="Masculino",20,""))+(IF(Atletas!G324="Baduanjin A",1,IF(Atletas!G324="Baduanjin B",2))))</f>
        <v/>
      </c>
      <c r="BF333" s="52" t="str">
        <f>IF(Atletas!H324="","",IF(Atletas!B324="Feminino",100,IF(Atletas!B324="Masculino",200,""))+(IF(Atletas!H324="Changquan Mirim",1,IF(Atletas!H324="Nanquan Mirim",2,IF(Atletas!H324="Taijiquan Mirim",3,IF(Atletas!H324="Changquan Grupo C",4,IF(Atletas!H324="Nanquan Grupo C",5,IF(Atletas!H324="Taijiquan Grupo C",6,IF(Atletas!H324="Changquan Grupo B",7,IF(Atletas!H324="Nanquan Grupo B",8,IF(Atletas!H324="Taijiquan Grupo B",9,IF(Atletas!H324="Changquan Grupo A",10,IF(Atletas!H324="Nanquan Grupo A",11,IF(Atletas!H324="Taijiquan Grupo A",12,IF(Atletas!H324="Changquan Opcional",13,IF(Atletas!H324="Nanquan Opcional",14,IF(Atletas!H324="Taijiquan Opcional",15,IF(Atletas!H324="Changquan Adulto",16,IF(Atletas!H324="Nanquan Adulto",17,IF(Atletas!H324="Taijiquan Adulto",18,""))))))))))))))))))))</f>
        <v/>
      </c>
      <c r="BG333" s="52" t="str">
        <f>IF(Atletas!I324="","",IF(Atletas!B324="Feminino",100,IF(Atletas!B324="Masculino",200,""))+(IF(Atletas!I324="Daoshu Mirim",19,IF(Atletas!I324="Jianshu Mirim",20,IF(Atletas!I324="Nandao Mirim",21,IF(Atletas!I324="Taijijian Mirim",22,IF(Atletas!I324="Daoshu Grupo C",23,IF(Atletas!I324="Jianshu Grupo C",24,IF(Atletas!I324="Nandao Grupo C",25,IF(Atletas!I324="Taijijian Grupo C",26,IF(Atletas!I324="Daoshu Grupo B",27,IF(Atletas!I324="Jianshu Grupo B",28,IF(Atletas!I324="Nandao Grupo B",29,IF(Atletas!I324="Taijijian Grupo B",30,IF(Atletas!I324="Daoshu Grupo A",31,IF(Atletas!I324="Jianshu Grupo A",32,IF(Atletas!I324="Nandao Grupo A",33,IF(Atletas!I324="Taijijian Grupo A",34,IF(Atletas!I324="Daoshu Opcional",35,IF(Atletas!I324="Jianshu Opcional",36,IF(Atletas!I324="Nandao Opcional",37,IF(Atletas!I324="Taijijian Opcional",38,IF(Atletas!I324="Daoshu Adulto",39,IF(Atletas!I324="Jianshu Adulto",40,IF(Atletas!I324="Nandao Adulto",41,IF(Atletas!I324="Taijijian Adulto",42,""))))))))))))))))))))))))))</f>
        <v/>
      </c>
      <c r="BH333" s="52" t="str">
        <f>IF(Atletas!J324="","",IF(Atletas!B324="Feminino",100,IF(Atletas!B324="Masculino",200,""))+(IF(Atletas!J324="Gunshu Mirim",43,IF(Atletas!J324="Qiangshu Mirim",44,IF(Atletas!J324="Nangun Mirim",45,IF(Atletas!J324="Gunshu Grupo C",46,IF(Atletas!J324="Qiangshu Grupo C",47,IF(Atletas!J324="Nangun Grupo C",48,IF(Atletas!J324="Gunshu Grupo B",49,IF(Atletas!J324="Qiangshu Grupo B",50,IF(Atletas!J324="Nangun Grupo B",51,IF(Atletas!J324="Gunshu Grupo A",52,IF(Atletas!J324="Qiangshu Grupo A",53,IF(Atletas!J324="Nangun Grupo A",54,IF(Atletas!J324="Gunshu Opcional",55,IF(Atletas!J324="Qiangshu Opcional",56,IF(Atletas!J324="Nangun Opcional",57,IF(Atletas!J324="Gunshu Adulto",58,IF(Atletas!J324="Qiangshu Adulto",59,IF(Atletas!J324="Nangun Adulto",60,IF(Atletas!J324="Taijishan Grupo B",61,IF(Atletas!J324="Taijishan Grupo A",62,""))))))))))))))))))))))</f>
        <v/>
      </c>
      <c r="BM333" s="50" t="str">
        <f>IF(Atletas!K324="","",IF(Atletas!B324="Feminino",100,IF(Atletas!B324="Masculino",200,""))+(IF(Atletas!K324="Equipe 1 Grupo B",1,IF(Atletas!K324="Equipe 2 Grupo B",2,IF(Atletas!K324="Equipe 1 Grupo A",3,IF(Atletas!K324="Equipe 2 Grupo A",4,IF(Atletas!K324="Equipe 1 Adulto",5,IF(Atletas!K324="Equipe 2 Adulto",6,""))))))))</f>
        <v/>
      </c>
      <c r="BR333" s="50" t="str">
        <f>IF(Atletas!L324="","",IF(Atletas!X324&lt;&gt;"",10000,0)+(IF(Atletas!B324="Feminino",1000,IF(Atletas!B324="Masculino",2000,""))+IF(Atletas!L324="Choylayfut A",1,IF(Atletas!L324="Hunggar A",2,IF(Atletas!L324="Wuzuquan A",3,IF(Atletas!L324="Wingchun A",4,IF(Atletas!L324="Outra Mão de Sul A",5,IF(Atletas!L324="Choylayfut B",6,IF(Atletas!L324="Hunggar B",7,IF(Atletas!L324="Wuzuquan B",8,IF(Atletas!L324="Wingchun B",9,IF(Atletas!L324="Outra Mão de Sul B",10,IF(Atletas!L324="Choylayfut C",11,IF(Atletas!L324="Hunggar C",12,IF(Atletas!L324="Wuzuquan C",13,IF(Atletas!L324="Wingchun C",14,IF(Atletas!L324="Outra Mão de Sul C",15,IF(Atletas!L324="Choylayfut D",16,IF(Atletas!L324="Hunggar D",17,IF(Atletas!L324="Wuzuquan D",18,IF(Atletas!L324="Wingchun D",19,IF(Atletas!L324="Outra Mão de Sul D",20,IF(Atletas!L324="Choylayfut E",21,IF(Atletas!L324="Hunggar E",22,IF(Atletas!L324="Wuzuquan E",23,IF(Atletas!L324="Wingchun E",24,IF(Atletas!L324="Outra Mão de Sul E",25,IF(Atletas!L324="Choylayfut F",26,IF(Atletas!L324="Hunggar F",27,IF(Atletas!L324="Wuzuquan F",28,IF(Atletas!L324="Wingchun F",29,IF(Atletas!L324="Outra Mão de Sul F",30,IF(Atletas!L324="Dishuquan A",31,IF(Atletas!L324="Dishuquan B",32,IF(Atletas!L324="Dishuquan C",33,IF(Atletas!L324="Dishuquan D",34,IF(Atletas!L324="Dishuquan E",35,IF(Atletas!L324="Dishuquan F",36,""))))))))))))))))))))))))))))))))))))))</f>
        <v/>
      </c>
      <c r="BS333" s="50" t="str">
        <f>IF(Atletas!M324="","",IF(Atletas!X324&lt;&gt;"",10000,0)+(IF(Atletas!B324="Feminino",1000,IF(Atletas!B324="Masculino",2000,""))+(IF(Atletas!M324="Chaquan A",101,IF(Atletas!M324="Emeiquan A",102,IF(Atletas!M324="Fanziquan A",103,IF(Atletas!M324="Huaquan A",104,IF(Atletas!M324="Hongquan A",105,IF(Atletas!M324="Paoquan A",106,IF(Atletas!M324="Piguaquan A",107,IF(Atletas!M324="Shaolinquan A",108,IF(Atletas!M324="Tanglangquan A",109,IF(Atletas!M324="Yingzhaoquan A",110,IF(Atletas!M324="Tongbeiquan A",111,IF(Atletas!M324="Wudangquan A",112,IF(Atletas!M324="Outros Estilos A",113,IF(Atletas!M324="Chaquan B",114,IF(Atletas!M324="Emeiquan B",115,IF(Atletas!M324="Fanziquan B",116,IF(Atletas!M324="Huaquan B",117,IF(Atletas!M324="Hongquan B",118,IF(Atletas!M324="Paoquan B",119,IF(Atletas!M324="Piguaquan B",120,IF(Atletas!M324="Shaolinquan B",121,IF(Atletas!M324="Tanglangquan B",122,IF(Atletas!M324="Yingzhaoquan B",123,IF(Atletas!M324="Tongbeiquan B",124,IF(Atletas!M324="Wudangquan B",125,IF(Atletas!M324="Outros Estilos B",126,IF(Atletas!M324="Chaquan C",127,IF(Atletas!M324="Emeiquan C",128,IF(Atletas!M324="Fanziquan C",129,IF(Atletas!M324="Huaquan C",130,IF(Atletas!M324="Hongquan C",131,IF(Atletas!M324="Paoquan C",132,IF(Atletas!M324="Piguaquan C",133,IF(Atletas!M324="Shaolinquan C",134,IF(Atletas!M324="Tanglangquan C",135,IF(Atletas!M324="Yingzhaoquan C",136,IF(Atletas!M324="Tongbeiquan C",137,IF(Atletas!M324="Wudangquan C",138,IF(Atletas!M324="Outros Estilos C",139,0))))))))))))))))))))))))))))))))))))))))))</f>
        <v/>
      </c>
      <c r="BT333" s="50" t="str">
        <f>IF(Atletas!M324="","",IF(Atletas!X324&lt;&gt;"",10000,0)+(IF(Atletas!B324="Feminino",1000,IF(Atletas!B324="Masculino",2000,""))+(IF(Atletas!M324="Chaquan D",140,IF(Atletas!M324="Emeiquan D",141,IF(Atletas!M324="Fanziquan D",142,IF(Atletas!M324="Huaquan D",143,IF(Atletas!M324="Hongquan D",144,IF(Atletas!M324="Paoquan D",145,IF(Atletas!M324="Piguaquan D",146,IF(Atletas!M324="Shaolinquan D",147,IF(Atletas!M324="Tanglangquan D",148,IF(Atletas!M324="Yingzhaoquan D",149,IF(Atletas!M324="Tongbeiquan D",150,IF(Atletas!M324="Wudangquan D",151,IF(Atletas!M324="Outros Estilos D",152,IF(Atletas!M324="Chaquan E",153,IF(Atletas!M324="Emeiquan E",154,IF(Atletas!M324="Fanziquan E",155,IF(Atletas!M324="Huaquan E",156,IF(Atletas!M324="Hongquan E",157,IF(Atletas!M324="Paoquan E",158,IF(Atletas!M324="Piguaquan E",159,IF(Atletas!M324="Shaolinquan E",160,IF(Atletas!M324="Tanglangquan E",161,IF(Atletas!M324="Yingzhaoquan E",162,IF(Atletas!M324="Tongbeiquan E",163,IF(Atletas!M324="Wudangquan E",164,IF(Atletas!M324="Outros Estilos E",165,IF(Atletas!M324="Chaquan F",166,IF(Atletas!M324="Emeiquan F",167,IF(Atletas!M324="Fanziquan F",168,IF(Atletas!M324="Huaquan F",169,IF(Atletas!M324="Hongquan F",170,IF(Atletas!M324="Paoquan F",171,IF(Atletas!M324="Piguaquan F",172,IF(Atletas!M324="Shaolinquan F",173,IF(Atletas!M324="Tanglangquan F",174,IF(Atletas!M324="Yingzhaoquan F",175,IF(Atletas!M324="Tongbeiquan F",176,IF(Atletas!M324="Wudangquan F",177,IF(Atletas!M324="Outros Estilos F",178,0))))))))))))))))))))))))))))))))))))))))))</f>
        <v/>
      </c>
      <c r="BU333" s="50" t="str">
        <f>IF(Atletas!N324="","",IF(Atletas!X324&lt;&gt;"",10000,0)+(IF(Atletas!B324="Feminino",1000,IF(Atletas!B324="Masculino",2000,""))+(IF(Atletas!N324="Ditangquan A",201,IF(Atletas!N324="Houquan A",202,IF(Atletas!N324="Zuiquan A",203,IF(Atletas!N324="Ditangquan B",204,IF(Atletas!N324="Houquan B",205,IF(Atletas!N324="Zuiquan B",206,IF(Atletas!N324="Ditangquan C",207,IF(Atletas!N324="Houquan C",208,IF(Atletas!N324="Zuiquan C",209,IF(Atletas!N324="Ditangquan D",210,IF(Atletas!N324="Houquan D",211,IF(Atletas!N324="Zuiquan D",212,IF(Atletas!N324="Ditangquan E",213,IF(Atletas!N324="Houquan E",214,IF(Atletas!N324="Zuiquan E",215,IF(Atletas!N324="Ditangquan F",216,IF(Atletas!N324="Houquan F",217,IF(Atletas!N324="Zuiquan F",218,"")))))))))))))))))))))</f>
        <v/>
      </c>
      <c r="BV333" s="50" t="str">
        <f>IF(Atletas!O324="","",IF(Atletas!X324&lt;&gt;"",10000,0)+IF(Atletas!B324="Feminino",1000,IF(Atletas!B324="Masculino",2000,""))+IF(Atletas!O324="Yang A",301,IF(Atletas!O324="Chen A",302,IF(Atletas!O324="Sun A",303,IF(Atletas!O324="Wu A",304,IF(Atletas!O324="Wu-Hao A",305,IF(Atletas!O324="Outro Taijiquan A",306,IF(Atletas!O324="Yang B",307,IF(Atletas!O324="Chen B",308,IF(Atletas!O324="Sun B",309,IF(Atletas!O324="Wu B",310,IF(Atletas!O324="Wu-Hao B",311,IF(Atletas!O324="Outro Taijiquan B",312,IF(Atletas!O324="Yang C",313,IF(Atletas!O324="Chen C",314,IF(Atletas!O324="Sun C",315,IF(Atletas!O324="Wu C",316,IF(Atletas!O324="Wu-Hao C",317,IF(Atletas!O324="Outro Taijiquan C",318,IF(Atletas!O324="Yang D",319,IF(Atletas!O324="Chen D",320,IF(Atletas!O324="Sun D",321,IF(Atletas!O324="Wu D",322,IF(Atletas!O324="Wu-Hao D",323,IF(Atletas!O324="Outro Taijiquan D",324,IF(Atletas!O324="Yang E",325,IF(Atletas!O324="Chen E",326,IF(Atletas!O324="Sun E",327,IF(Atletas!O324="Wu E",328,IF(Atletas!O324="Wu-Hao E",329,IF(Atletas!O324="Outro Taijiquan E",330,IF(Atletas!O324="Yang F",331,IF(Atletas!O324="Chen F",332,IF(Atletas!O324="Sun F",333,IF(Atletas!O324="Wu F",334,IF(Atletas!O324="Wu-Hao F",335,IF(Atletas!O324="Outro Taijiquan F",336,"")))))))))))))))))))))))))))))))))))))</f>
        <v/>
      </c>
      <c r="BW333" s="50" t="str">
        <f>IF(Atletas!P324="","",IF(Atletas!X324&lt;&gt;"",10000,0)+IF(Atletas!B324="Feminino",1000,IF(Atletas!B324="Masculino",2000,""))+IF(OR(Atletas!P324="Yang 26 A",Atletas!P324="Yang 40 A"),401,IF(OR(Atletas!P324="Chen 25 A",Atletas!P324="Chen 36 A",Atletas!P324="Chen 56 A"),402,IF(Atletas!P324="Sun 73 A",403,IF(Atletas!P324="Wu 45 A",404,IF(Atletas!P324="Wu-Hao 46 A",405,IF(OR(Atletas!P324="Taijiquan 16 A",Atletas!P324="Taijiquan 24 A",Atletas!P324="Taijiquan 32 A",Atletas!P324="Taijiquan 42 A"),406,IF(OR(Atletas!P324="Yang 26 B",Atletas!P324="Yang 40 B"),407,IF(OR(Atletas!P324="Chen 25 B",Atletas!P324="Chen 36 B",Atletas!P324="Chen 56 B"),408,IF(Atletas!P324="Sun 73 B",409,IF(Atletas!P324="Wu 45 B",410,IF(Atletas!P324="Wu-Hao 46 B",411,IF(OR(Atletas!P324="Taijiquan 16 B",Atletas!P324="Taijiquan 24 B",Atletas!P324="Taijiquan 32 B",Atletas!P324="Taijiquan 42 B"),412,IF(OR(Atletas!P324="Yang 26 C",Atletas!P324="Yang 40 C"),413,IF(OR(Atletas!P324="Chen 25 C",Atletas!P324="Chen 36 C",Atletas!P324="Chen 56 C"),414,IF(Atletas!P324="Sun 73 C",415,IF(Atletas!P324="Wu 45 C",416,IF(Atletas!P324="Wu-Hao 46 C",417,IF(OR(Atletas!P324="Taijiquan 16 C",Atletas!P324="Taijiquan 24 C",Atletas!P324="Taijiquan 32 C",Atletas!P324="Taijiquan 42 C"),418,0)))))))))))))))))))</f>
        <v/>
      </c>
      <c r="BX333" s="50" t="str">
        <f>IF(Atletas!P324="","",IF(Atletas!X324&lt;&gt;"",10000,0)+IF(Atletas!B324="Feminino",1000,IF(Atletas!B324="Masculino",2000,""))+IF(OR(Atletas!P324="Yang 26 D",Atletas!P324="Yang 40 D"),419,IF(OR(Atletas!P324="Chen 25 D",Atletas!P324="Chen 36 D",Atletas!P324="Chen 56 D"),420,IF(Atletas!P324="Sun 73 D",421,IF(Atletas!P324="Wu 45 D",422,IF(Atletas!P324="Wu-Hao 46 D",423,IF(OR(Atletas!P324="Taijiquan 16 D",Atletas!P324="Taijiquan 24 D",Atletas!P324="Taijiquan 32 D",Atletas!P324="Taijiquan 42 D"),424,IF(OR(Atletas!P324="Yang 26 E",Atletas!P324="Yang 40 E"),425,IF(OR(Atletas!P324="Chen 25 E",Atletas!P324="Chen 36 E",Atletas!P324="Chen 56 E"),426,IF(Atletas!P324="Sun 73 E",427,IF(Atletas!P324="Wu 45 E",428,IF(Atletas!P324="Wu-Hao 46 E",429,IF(OR(Atletas!P324="Taijiquan 16 E",Atletas!P324="Taijiquan 24 E",Atletas!P324="Taijiquan 32 E",Atletas!P324="Taijiquan 42 E"),430,IF(OR(Atletas!P324="Yang 26 F",Atletas!P324="Yang 40 F"),431,IF(OR(Atletas!P324="Chen 25 F",Atletas!P324="Chen 36 F",Atletas!P324="Chen 56 F"),432,IF(Atletas!P324="Sun 73 F",433,IF(Atletas!P324="Wu 45 F",434,IF(Atletas!P324="Wu-Hao 46 F",435,IF(OR(Atletas!P324="Taijiquan 16 F",Atletas!P324="Taijiquan 24 F",Atletas!P324="Taijiquan 32 F",Atletas!P324="Taijiquan 42 F"),436,0)))))))))))))))))))</f>
        <v/>
      </c>
      <c r="BY333" s="50" t="str">
        <f>IF(Atletas!Q324="","",IF(Atletas!X324&lt;&gt;"",10000,0)+IF(Atletas!B324="Feminino",1000,IF(Atletas!B324="Masculino",2000,""))+IF(Atletas!Q324="Xingyiquan A",501,IF(Atletas!Q324="Baguazhang A",502,IF(Atletas!Q324="Outro Estilo Interno A",503,IF(Atletas!Q324="Xingyiquan B",504,IF(Atletas!Q324="Baguazhang B",505,IF(Atletas!Q324="Outro Estilo Interno B",506,IF(Atletas!Q324="Xingyiquan C",507,IF(Atletas!Q324="Baguazhang C",508,IF(Atletas!Q324="Outro Estilo Interno C",509,IF(Atletas!Q324="Xingyiquan D",510,IF(Atletas!Q324="Baguazhang D",511,IF(Atletas!Q324="Outro Estilo Interno D",512,IF(Atletas!Q324="Xingyiquan E",513,IF(Atletas!Q324="Baguazhang E",514,IF(Atletas!Q324="Outro Estilo Interno E",515,IF(Atletas!Q324="Xingyiquan F",516,IF(Atletas!Q324="Baguazhang F",517,IF(Atletas!Q324="Outro Estilo Interno F",518, "")))))))))))))))))))</f>
        <v/>
      </c>
      <c r="BZ333" s="50" t="str">
        <f>IF(Atletas!R324="","",IF(Atletas!X324&lt;&gt;"",10000,0)+IF(Atletas!B324="Feminino",1000,IF(Atletas!B324="Masculino",2000,""))+IF(Atletas!R324="Dao A",601,IF(Atletas!R324="Jian A",602,IF(Atletas!R324="Bishou A",603,IF(Atletas!R324="Shanzi A",604,IF(Atletas!R324="Outra Arma Curta A",605,IF(Atletas!R324="Dao B",606,IF(Atletas!R324="Jian B",607,IF(Atletas!R324="Bishou B",608,IF(Atletas!R324="Shanzi B",609,IF(Atletas!R324="Outra Arma Curta B",610,IF(Atletas!R324="Dao C",611,IF(Atletas!R324="Jian C",612,IF(Atletas!R324="Bishou C",613,IF(Atletas!R324="Shanzi C",614,IF(Atletas!R324="Outra Arma Curta C",615,IF(Atletas!R324="Dao D",616,IF(Atletas!R324="Jian D",617,IF(Atletas!R324="Bishou D",618,IF(Atletas!R324="Shanzi D",619,IF(Atletas!R324="Outra Arma Curta D",620,IF(Atletas!R324="Dao E",621,IF(Atletas!R324="Jian E",622,IF(Atletas!R324="Bishou E",623,IF(Atletas!R324="Shanzi E",624,IF(Atletas!R324="Outra Arma Curta E",625,IF(Atletas!R324="Dao F",626,IF(Atletas!R324="Jian F",627,IF(Atletas!R324="Bishou F",628,IF(Atletas!R324="Shanzi F",629,IF(Atletas!R324="Outra Arma Curta F",630, "")))))))))))))))))))))))))))))))</f>
        <v/>
      </c>
      <c r="CA333" s="50" t="str">
        <f>IF(Atletas!S324="","",IF(Atletas!X324&lt;&gt;"",10000,0)+IF(Atletas!B324="Feminino",1000,IF(Atletas!B324="Masculino",2000,""))+IF(Atletas!S324="Gun A",701,IF(Atletas!S324="Qiang A",702,IF(Atletas!S324="Pudao / Guandao A",703,IF(Atletas!S324="Outra Arma Longa A",704,IF(Atletas!S324="Gun B",705,IF(Atletas!S324="Qiang B",706,IF(Atletas!S324="Pudao / Guandao B",707,IF(Atletas!S324="Outra Arma Longa B",708,IF(Atletas!S324="Gun C",709,IF(Atletas!S324="Qiang C",710,IF(Atletas!S324="Pudao / Guandao C",711,IF(Atletas!S324="Outra Arma Longa C",712,IF(Atletas!S324="Gun D",713,IF(Atletas!S324="Qiang D",714,IF(Atletas!S324="Pudao / Guandao D",715,IF(Atletas!S324="Outra Arma Longa D",716,IF(Atletas!S324="Gun E",717,IF(Atletas!S324="Qiang E",718,IF(Atletas!S324="Pudao / Guandao E",719,IF(Atletas!S324="Outra Arma Longa E",720,IF(Atletas!S324="Gun F",721,IF(Atletas!S324="Qiang F",722,IF(Atletas!S324="Pudao / Guandao F",723,IF(Atletas!S324="Outra Arma Longa F",724,"")))))))))))))))))))))))))</f>
        <v/>
      </c>
      <c r="CB333" s="50" t="str">
        <f>IF(Atletas!T324="","",IF(Atletas!X324&lt;&gt;"",10000,0)+IF(Atletas!B324="Feminino",1000,IF(Atletas!B324="Masculino",2000,""))+IF(Atletas!T324="Outra Arma Dupla A",801,IF(Atletas!T324="Arma Maleável A",802,IF(Atletas!T324="Outra Arma Dupla B",803,IF(Atletas!T324="Arma Maleável B",804,IF(Atletas!T324="Outra Arma Dupla C",805,IF(Atletas!T324="Arma Maleável C",806,IF(Atletas!T324="Outra Arma Dupla D",807,IF(Atletas!T324="Arma Maleável D",808,IF(Atletas!T324="Outra Arma Dupla E",809,IF(Atletas!T324="Arma Maleável E",810,IF(Atletas!T324="Outra Arma Dupla F",811,IF(Atletas!T324="Arma Maleável F",812,IF(Atletas!T324="Shuangdao A",813,IF(Atletas!T324="Shuangdao B",814,IF(Atletas!T324="Shuangdao C",815,IF(Atletas!T324="Shuangdao D",816,IF(Atletas!T324="Shuangdao E",817,IF(Atletas!T324="Shuangdao F",818,"")))))))))))))))))))</f>
        <v/>
      </c>
      <c r="CC333" s="50" t="str">
        <f>IF(Atletas!U324="","",IF(Atletas!X324&lt;&gt;"",10000,0)+IF(Atletas!B324="Feminino",1000,IF(Atletas!B324="Masculino",2000,""))+IF(OR(Atletas!U324="Taijijian Yang A",Atletas!U324="Taijijian Yang Standard A"),901,IF(OR(Atletas!U324="Taijijian Chen A", Atletas!U324="Taijijian Chen Standard A"),902,IF(Atletas!U324="Taijijian Sun A",903,IF(Atletas!U324="Taijijian Wu A",904,IF(Atletas!U324="Taijijian Wu-Hao A",905,IF(OR(Atletas!U324="Taijijian 32 A",Atletas!U324="Taijijian 42 A"),906,IF(OR(Atletas!U324="Taijijian Yang B",Atletas!U324="Taijijian Yang Standard B"),907,IF(OR(Atletas!U324="Taijijian Chen B", Atletas!U324="Taijijian Chen Standard B"),908,IF(Atletas!U324="Taijijian Sun B",909,IF(Atletas!U324="Taijijian Wu B",910,IF(Atletas!U324="Taijijian Wu-Hao B",911,IF(OR(Atletas!U324="Taijijian 32 B",Atletas!U324="Taijijian 42 B"),912,IF(OR(Atletas!U324="Taijijian Yang C",Atletas!U324="Taijijian Yang Standard C"),913,IF(OR(Atletas!U324="Taijijian Chen C", Atletas!U324="Taijijian Chen Standard C"),914,IF(Atletas!U324="Taijijian Sun C",915,IF(Atletas!U324="Taijijian Wu C",916,IF(Atletas!U324="Taijijian Wu-Hao C",917,IF(OR(Atletas!U324="Taijijian 32 C",Atletas!U324="Taijijian 42 C"),918,IF(OR(Atletas!U324="Taijijian Yang D",Atletas!U324="Taijijian Yang Standard D"),919,IF(OR(Atletas!U324="Taijijian Chen D", Atletas!U324="Taijijian Chen Standard D"),920,IF(Atletas!U324="Taijijian Sun D",921,IF(Atletas!U324="Taijijian Wu D",922,IF(Atletas!U324="Taijijian Wu-Hao D",923,IF(OR(Atletas!U324="Taijijian 32 D",Atletas!U324="Taijijian 42 D"),924,IF(OR(Atletas!U324="Taijijian Yang E",Atletas!U324="Taijijian Yang Standard E"),925,IF(OR(Atletas!U324="Taijijian Chen E", Atletas!U324="Taijijian Chen Standard E"),926,IF(Atletas!U324="Taijijian Sun E",927,IF(Atletas!U324="Taijijian Wu E",928,IF(Atletas!U324="Taijijian Wu-Hao E",929,IF(OR(Atletas!U324="Taijijian 32 E",Atletas!U324="Taijijian 42 E"),930,IF(OR(Atletas!U324="Taijijian Yang F",Atletas!U324="Taijijian Yang Standard F"),931,IF(OR(Atletas!U324="Taijijian Chen F", Atletas!U324="Taijijian Chen Standard F"),932,IF(Atletas!U324="Taijijian Sun F",933,IF(Atletas!U324="Taijijian Wu F",934,IF(Atletas!U324="Taijijian Wu-Hao F",935,IF(OR(Atletas!U324="Taijijian 32 F",Atletas!U324="Taijijian 42 F"),936,"")))))))))))))))))))))))))))))))))))))</f>
        <v/>
      </c>
      <c r="CD333" s="50" t="str">
        <f>IF(Atletas!V324="","",IF(Atletas!X324&lt;&gt;"",10000,0)+IF(Atletas!B324="Feminino",1000,IF(Atletas!B324="Masculino",2000,""))+IF(Atletas!V324="Taijidao A",937,IF(Atletas!V324="TaijiShanzi A",938,IF(Atletas!V324="Taijiqiang A",939,IF(Atletas!V324="Bagua de Arma A",940,IF(Atletas!V324="Xingyi de Arma A",941,IF(Atletas!V324="Taijidao B",942,IF(Atletas!V324="TaijiShanzi B",943,IF(Atletas!V324="Taijiqiang B",944,IF(Atletas!V324="Bagua de Arma B",945,IF(Atletas!V324="Xingyi de Arma B",946,IF(Atletas!V324="Taijidao C",947,IF(Atletas!V324="TaijiShanzi C",948,IF(Atletas!V324="Taijiqiang C",949,IF(Atletas!V324="Bagua de Arma C",950,IF(Atletas!V324="Xingyi de Arma C",951,IF(Atletas!V324="Taijidao D",952,IF(Atletas!V324="TaijiShanzi D",953,IF(Atletas!V324="Taijiqiang D",954,IF(Atletas!V324="Bagua de Arma D",955,IF(Atletas!V324="Xingyi de Arma D",956,IF(Atletas!V324="Taijidao E",957,IF(Atletas!V324="TaijiShanzi E",958,IF(Atletas!V324="Taijiqiang E",959,IF(Atletas!V324="Bagua de Arma E",960,IF(Atletas!V324="Xingyi de Arma E",961,IF(Atletas!V324="Taijidao F",962,IF(Atletas!V324="TaijiShanzi F",963,IF(Atletas!V324="Taijiqiang F",964,IF(Atletas!V324="Bagua de Arma F",965,IF(Atletas!V324="Xingyi de Arma F",966,"")))))))))))))))))))))))))))))))</f>
        <v/>
      </c>
      <c r="CE333" s="66" t="str">
        <f>IF(CF333&lt;&gt;"","Taijijian Sun F","")</f>
        <v/>
      </c>
      <c r="CF333" s="6" t="str">
        <f>IF(COUNTIF(BR:CD,1933)&gt;0,COUNTIF(BR:CD,1933),"")</f>
        <v/>
      </c>
      <c r="CG333" s="66" t="str">
        <f>IF(CH333&lt;&gt;"","Taijijian Sun F","")</f>
        <v/>
      </c>
      <c r="CH333" s="66" t="str">
        <f>IF(COUNTIF(BR:CD,2933)&gt;0,COUNTIF(BR:CD,2933),"")</f>
        <v/>
      </c>
      <c r="CI333" s="66" t="str">
        <f>IF(CJ334&lt;&gt;"","Xingyi de Arma B","")</f>
        <v/>
      </c>
      <c r="CJ333" s="66" t="str">
        <f>IF(COUNTIF(BR:CD,11945)&gt;0,COUNTIF(BR:CD,11945),"")</f>
        <v/>
      </c>
      <c r="CK333" s="66" t="str">
        <f>IF(CL333&lt;&gt;"","Bagua de Arma B","")</f>
        <v/>
      </c>
      <c r="CL333" s="66" t="str">
        <f>IF(COUNTIF(BR:CD,12945)&gt;0,COUNTIF(BR:CD,12945),"")</f>
        <v/>
      </c>
      <c r="CM333" s="50" t="str">
        <f xml:space="preserve"> IF(Atletas!W324="","",IF(Atletas!W324="Duilian de Mãos BC - Equipe 1",1,IF(Atletas!W324="Duilian de Mãos BC - Equipe 2",2,IF(Atletas!W324="Duilian de Armas BC - Equipe 1",3,IF(Atletas!W324="Duilian de Armas BC - Equipe 2",4,IF(Atletas!W324="Duilian de Mãos DE - Equipe 1",5,IF(Atletas!W324="Duilian de Mãos DE - Equipe 2",6,IF(Atletas!W324="Duilian de Armas DE - Equipe 1",7,IF(Atletas!W324="Duilian de Armas DE - Equipe 2",8,IF(Atletas!W324="Duilian de Tuishou - Equipe 1",9,IF(Atletas!W324="Duilian de Tuishou - Equipe 2",10,IF(Atletas!W324="Grupo Externo ABC - Equipe 1",11,IF(Atletas!W324="Grupo Externo ABC - Equipe 2",12,IF(Atletas!W324="Grupo Interno ABC - Equipe 1",13,IF(Atletas!W324="Grupo Interno ABC - Equipe 2",14,IF(Atletas!W324="Grupo Externo DEF - Equipe 1",15,IF(Atletas!W324="Grupo Externo DEF - Equipe 2",16,IF(Atletas!W324="Grupo Interno DEF - Equipe 1",17,IF(Atletas!W324="Grupo Interno DEF - Equipe 2",18,"")))))))))))))))))))</f>
        <v/>
      </c>
    </row>
    <row r="334" spans="40:91">
      <c r="AN334" s="52" t="str">
        <f>IF(Atletas!D325="","",IF(Atletas!B325="Feminino",100,IF(Atletas!B325="Masculino",200,""))+(IF(Atletas!D325="Kids 30kg",1,IF(Atletas!D325="Kids 32kg",2, IF(Atletas!D325="Kids 34kg",3,IF(Atletas!D325="Kids 36kg",4,IF(Atletas!D325="Kids 39kg",5,IF(Atletas!D325="Kids 42kg",6,IF(Atletas!D325="Kids 45kg",7, IF(Atletas!D325="Infantil 39kg",8,IF(Atletas!D325="Infantil 42kg",9,IF(Atletas!D325="Infantil 45kg",10,IF(Atletas!D325="Infantil 48kg",11,IF(Atletas!D325="Infantil 52kg",12,IF(Atletas!D325="Infantil 56kg",13,IF(Atletas!D325="Infantil 60kg",14,IF(Atletas!D325="Juvenil 48kg",15,IF(Atletas!D325="Juvenil 52kg",16,IF(Atletas!D325="Juvenil 56kg",17,IF(Atletas!D325="Juvenil 60kg",18,IF(Atletas!D325="Juvenil 65kg",19,IF(Atletas!D325="Juvenil 70kg",20,IF(Atletas!D325="Juvenil 75kg",21,IF(Atletas!D325="Juvenil 80kg",22, IF(Atletas!D325="Juvenil 85kg",23,IF(Atletas!D325="Adulto 48kg",24,IF(Atletas!D325="Adulto 52kg",25,IF(Atletas!D325="Adulto 56kg",26,IF(Atletas!D325="Adulto 60kg",27,IF(Atletas!D325="Adulto 65kg",28,IF(Atletas!D325="Adulto 70kg",29,IF(Atletas!D325="Adulto 75kg",30,IF(Atletas!D325="Adulto 80kg",31,IF(Atletas!D325="Adulto 85kg",32,IF(Atletas!D325="Adulto 90kg",33,IF(Atletas!D325="Adulto 100kg",34, IF(Atletas!D325="Adulto +100kg",35,"")))))))))))))))))))))))))))))))))))))</f>
        <v/>
      </c>
      <c r="AS334" s="6" t="str">
        <f>IF(Atletas!E325="","",IF(Atletas!B325="Feminino",100,IF(Atletas!B325="Masculino",200,""))+(IF(Atletas!E325="Juvenil 44kg",1,IF(Atletas!E325="Juvenil 48kg",2,IF(Atletas!E325="Juvenil 52kg",3,IF(Atletas!E325="Juvenil 56kg",4,IF(Atletas!E325="Juvenil 60kg",5,IF(Atletas!E325="Juvenil 65kg",6,IF(Atletas!E325="Juvenil 70kg",7,IF(Atletas!E325="Juvenil 75kg",8,IF(Atletas!E325="Juvenil 82kg",9,IF(Atletas!E325="Juvenil 90kg",10,IF(Atletas!E325="Juvenil 100kg",11,IF(Atletas!E325="Adulto 48kg",12,IF(Atletas!E325="Adulto 52kg",13,IF(Atletas!E325="Adulto 56kg",14,IF(Atletas!E325="Adulto 60kg",15,IF(Atletas!E325="Adulto 65kg",16,IF(Atletas!E325="Adulto 70kg",17,IF(Atletas!E325="Adulto 75kg",18,IF(Atletas!E325="Adulto 82kg",19,IF(Atletas!E325="Adulto 90kg",20,IF(Atletas!E325="Adulto 100kg",21,IF(Atletas!E325="Adulto +100kg",22,""))))))))))))))))))))))))</f>
        <v/>
      </c>
      <c r="AX334" s="6" t="str">
        <f>IF(Atletas!F325="","",IF(Atletas!B325="Feminino",100,IF(Atletas!B325="Masculino",200,""))+(IF(Atletas!F325="Adulto 48kg",1,IF(Atletas!F325="Adulto 56kg",2,IF(Atletas!F325="Adulto 65kg",3,IF(Atletas!F325="Adulto 75kg",4,IF(Atletas!F325="Adulto +75kg",5,IF(Atletas!F325="Adulto 52kg",6,IF(Atletas!F325="Adulto 60kg",7,IF(Atletas!F325="Adulto 70kg",8,IF(Atletas!F325="Adulto 80kg",9,IF(Atletas!F325="Adulto 90kg",10,IF(Atletas!F325="Adulto +90kg",11,"")))))))))))))</f>
        <v/>
      </c>
      <c r="BC334" s="6" t="str">
        <f>IF(Atletas!G325="","",IF(Atletas!B325="Feminino",10,IF(Atletas!B325="Masculino",20,""))+(IF(Atletas!G325="Baduanjin A",1,IF(Atletas!G325="Baduanjin B",2))))</f>
        <v/>
      </c>
      <c r="BF334" s="52" t="str">
        <f>IF(Atletas!H325="","",IF(Atletas!B325="Feminino",100,IF(Atletas!B325="Masculino",200,""))+(IF(Atletas!H325="Changquan Mirim",1,IF(Atletas!H325="Nanquan Mirim",2,IF(Atletas!H325="Taijiquan Mirim",3,IF(Atletas!H325="Changquan Grupo C",4,IF(Atletas!H325="Nanquan Grupo C",5,IF(Atletas!H325="Taijiquan Grupo C",6,IF(Atletas!H325="Changquan Grupo B",7,IF(Atletas!H325="Nanquan Grupo B",8,IF(Atletas!H325="Taijiquan Grupo B",9,IF(Atletas!H325="Changquan Grupo A",10,IF(Atletas!H325="Nanquan Grupo A",11,IF(Atletas!H325="Taijiquan Grupo A",12,IF(Atletas!H325="Changquan Opcional",13,IF(Atletas!H325="Nanquan Opcional",14,IF(Atletas!H325="Taijiquan Opcional",15,IF(Atletas!H325="Changquan Adulto",16,IF(Atletas!H325="Nanquan Adulto",17,IF(Atletas!H325="Taijiquan Adulto",18,""))))))))))))))))))))</f>
        <v/>
      </c>
      <c r="BG334" s="52" t="str">
        <f>IF(Atletas!I325="","",IF(Atletas!B325="Feminino",100,IF(Atletas!B325="Masculino",200,""))+(IF(Atletas!I325="Daoshu Mirim",19,IF(Atletas!I325="Jianshu Mirim",20,IF(Atletas!I325="Nandao Mirim",21,IF(Atletas!I325="Taijijian Mirim",22,IF(Atletas!I325="Daoshu Grupo C",23,IF(Atletas!I325="Jianshu Grupo C",24,IF(Atletas!I325="Nandao Grupo C",25,IF(Atletas!I325="Taijijian Grupo C",26,IF(Atletas!I325="Daoshu Grupo B",27,IF(Atletas!I325="Jianshu Grupo B",28,IF(Atletas!I325="Nandao Grupo B",29,IF(Atletas!I325="Taijijian Grupo B",30,IF(Atletas!I325="Daoshu Grupo A",31,IF(Atletas!I325="Jianshu Grupo A",32,IF(Atletas!I325="Nandao Grupo A",33,IF(Atletas!I325="Taijijian Grupo A",34,IF(Atletas!I325="Daoshu Opcional",35,IF(Atletas!I325="Jianshu Opcional",36,IF(Atletas!I325="Nandao Opcional",37,IF(Atletas!I325="Taijijian Opcional",38,IF(Atletas!I325="Daoshu Adulto",39,IF(Atletas!I325="Jianshu Adulto",40,IF(Atletas!I325="Nandao Adulto",41,IF(Atletas!I325="Taijijian Adulto",42,""))))))))))))))))))))))))))</f>
        <v/>
      </c>
      <c r="BH334" s="52" t="str">
        <f>IF(Atletas!J325="","",IF(Atletas!B325="Feminino",100,IF(Atletas!B325="Masculino",200,""))+(IF(Atletas!J325="Gunshu Mirim",43,IF(Atletas!J325="Qiangshu Mirim",44,IF(Atletas!J325="Nangun Mirim",45,IF(Atletas!J325="Gunshu Grupo C",46,IF(Atletas!J325="Qiangshu Grupo C",47,IF(Atletas!J325="Nangun Grupo C",48,IF(Atletas!J325="Gunshu Grupo B",49,IF(Atletas!J325="Qiangshu Grupo B",50,IF(Atletas!J325="Nangun Grupo B",51,IF(Atletas!J325="Gunshu Grupo A",52,IF(Atletas!J325="Qiangshu Grupo A",53,IF(Atletas!J325="Nangun Grupo A",54,IF(Atletas!J325="Gunshu Opcional",55,IF(Atletas!J325="Qiangshu Opcional",56,IF(Atletas!J325="Nangun Opcional",57,IF(Atletas!J325="Gunshu Adulto",58,IF(Atletas!J325="Qiangshu Adulto",59,IF(Atletas!J325="Nangun Adulto",60,IF(Atletas!J325="Taijishan Grupo B",61,IF(Atletas!J325="Taijishan Grupo A",62,""))))))))))))))))))))))</f>
        <v/>
      </c>
      <c r="BM334" s="50" t="str">
        <f>IF(Atletas!K325="","",IF(Atletas!B325="Feminino",100,IF(Atletas!B325="Masculino",200,""))+(IF(Atletas!K325="Equipe 1 Grupo B",1,IF(Atletas!K325="Equipe 2 Grupo B",2,IF(Atletas!K325="Equipe 1 Grupo A",3,IF(Atletas!K325="Equipe 2 Grupo A",4,IF(Atletas!K325="Equipe 1 Adulto",5,IF(Atletas!K325="Equipe 2 Adulto",6,""))))))))</f>
        <v/>
      </c>
      <c r="BR334" s="50" t="str">
        <f>IF(Atletas!L325="","",IF(Atletas!X325&lt;&gt;"",10000,0)+(IF(Atletas!B325="Feminino",1000,IF(Atletas!B325="Masculino",2000,""))+IF(Atletas!L325="Choylayfut A",1,IF(Atletas!L325="Hunggar A",2,IF(Atletas!L325="Wuzuquan A",3,IF(Atletas!L325="Wingchun A",4,IF(Atletas!L325="Outra Mão de Sul A",5,IF(Atletas!L325="Choylayfut B",6,IF(Atletas!L325="Hunggar B",7,IF(Atletas!L325="Wuzuquan B",8,IF(Atletas!L325="Wingchun B",9,IF(Atletas!L325="Outra Mão de Sul B",10,IF(Atletas!L325="Choylayfut C",11,IF(Atletas!L325="Hunggar C",12,IF(Atletas!L325="Wuzuquan C",13,IF(Atletas!L325="Wingchun C",14,IF(Atletas!L325="Outra Mão de Sul C",15,IF(Atletas!L325="Choylayfut D",16,IF(Atletas!L325="Hunggar D",17,IF(Atletas!L325="Wuzuquan D",18,IF(Atletas!L325="Wingchun D",19,IF(Atletas!L325="Outra Mão de Sul D",20,IF(Atletas!L325="Choylayfut E",21,IF(Atletas!L325="Hunggar E",22,IF(Atletas!L325="Wuzuquan E",23,IF(Atletas!L325="Wingchun E",24,IF(Atletas!L325="Outra Mão de Sul E",25,IF(Atletas!L325="Choylayfut F",26,IF(Atletas!L325="Hunggar F",27,IF(Atletas!L325="Wuzuquan F",28,IF(Atletas!L325="Wingchun F",29,IF(Atletas!L325="Outra Mão de Sul F",30,IF(Atletas!L325="Dishuquan A",31,IF(Atletas!L325="Dishuquan B",32,IF(Atletas!L325="Dishuquan C",33,IF(Atletas!L325="Dishuquan D",34,IF(Atletas!L325="Dishuquan E",35,IF(Atletas!L325="Dishuquan F",36,""))))))))))))))))))))))))))))))))))))))</f>
        <v/>
      </c>
      <c r="BS334" s="50" t="str">
        <f>IF(Atletas!M325="","",IF(Atletas!X325&lt;&gt;"",10000,0)+(IF(Atletas!B325="Feminino",1000,IF(Atletas!B325="Masculino",2000,""))+(IF(Atletas!M325="Chaquan A",101,IF(Atletas!M325="Emeiquan A",102,IF(Atletas!M325="Fanziquan A",103,IF(Atletas!M325="Huaquan A",104,IF(Atletas!M325="Hongquan A",105,IF(Atletas!M325="Paoquan A",106,IF(Atletas!M325="Piguaquan A",107,IF(Atletas!M325="Shaolinquan A",108,IF(Atletas!M325="Tanglangquan A",109,IF(Atletas!M325="Yingzhaoquan A",110,IF(Atletas!M325="Tongbeiquan A",111,IF(Atletas!M325="Wudangquan A",112,IF(Atletas!M325="Outros Estilos A",113,IF(Atletas!M325="Chaquan B",114,IF(Atletas!M325="Emeiquan B",115,IF(Atletas!M325="Fanziquan B",116,IF(Atletas!M325="Huaquan B",117,IF(Atletas!M325="Hongquan B",118,IF(Atletas!M325="Paoquan B",119,IF(Atletas!M325="Piguaquan B",120,IF(Atletas!M325="Shaolinquan B",121,IF(Atletas!M325="Tanglangquan B",122,IF(Atletas!M325="Yingzhaoquan B",123,IF(Atletas!M325="Tongbeiquan B",124,IF(Atletas!M325="Wudangquan B",125,IF(Atletas!M325="Outros Estilos B",126,IF(Atletas!M325="Chaquan C",127,IF(Atletas!M325="Emeiquan C",128,IF(Atletas!M325="Fanziquan C",129,IF(Atletas!M325="Huaquan C",130,IF(Atletas!M325="Hongquan C",131,IF(Atletas!M325="Paoquan C",132,IF(Atletas!M325="Piguaquan C",133,IF(Atletas!M325="Shaolinquan C",134,IF(Atletas!M325="Tanglangquan C",135,IF(Atletas!M325="Yingzhaoquan C",136,IF(Atletas!M325="Tongbeiquan C",137,IF(Atletas!M325="Wudangquan C",138,IF(Atletas!M325="Outros Estilos C",139,0))))))))))))))))))))))))))))))))))))))))))</f>
        <v/>
      </c>
      <c r="BT334" s="50" t="str">
        <f>IF(Atletas!M325="","",IF(Atletas!X325&lt;&gt;"",10000,0)+(IF(Atletas!B325="Feminino",1000,IF(Atletas!B325="Masculino",2000,""))+(IF(Atletas!M325="Chaquan D",140,IF(Atletas!M325="Emeiquan D",141,IF(Atletas!M325="Fanziquan D",142,IF(Atletas!M325="Huaquan D",143,IF(Atletas!M325="Hongquan D",144,IF(Atletas!M325="Paoquan D",145,IF(Atletas!M325="Piguaquan D",146,IF(Atletas!M325="Shaolinquan D",147,IF(Atletas!M325="Tanglangquan D",148,IF(Atletas!M325="Yingzhaoquan D",149,IF(Atletas!M325="Tongbeiquan D",150,IF(Atletas!M325="Wudangquan D",151,IF(Atletas!M325="Outros Estilos D",152,IF(Atletas!M325="Chaquan E",153,IF(Atletas!M325="Emeiquan E",154,IF(Atletas!M325="Fanziquan E",155,IF(Atletas!M325="Huaquan E",156,IF(Atletas!M325="Hongquan E",157,IF(Atletas!M325="Paoquan E",158,IF(Atletas!M325="Piguaquan E",159,IF(Atletas!M325="Shaolinquan E",160,IF(Atletas!M325="Tanglangquan E",161,IF(Atletas!M325="Yingzhaoquan E",162,IF(Atletas!M325="Tongbeiquan E",163,IF(Atletas!M325="Wudangquan E",164,IF(Atletas!M325="Outros Estilos E",165,IF(Atletas!M325="Chaquan F",166,IF(Atletas!M325="Emeiquan F",167,IF(Atletas!M325="Fanziquan F",168,IF(Atletas!M325="Huaquan F",169,IF(Atletas!M325="Hongquan F",170,IF(Atletas!M325="Paoquan F",171,IF(Atletas!M325="Piguaquan F",172,IF(Atletas!M325="Shaolinquan F",173,IF(Atletas!M325="Tanglangquan F",174,IF(Atletas!M325="Yingzhaoquan F",175,IF(Atletas!M325="Tongbeiquan F",176,IF(Atletas!M325="Wudangquan F",177,IF(Atletas!M325="Outros Estilos F",178,0))))))))))))))))))))))))))))))))))))))))))</f>
        <v/>
      </c>
      <c r="BU334" s="50" t="str">
        <f>IF(Atletas!N325="","",IF(Atletas!X325&lt;&gt;"",10000,0)+(IF(Atletas!B325="Feminino",1000,IF(Atletas!B325="Masculino",2000,""))+(IF(Atletas!N325="Ditangquan A",201,IF(Atletas!N325="Houquan A",202,IF(Atletas!N325="Zuiquan A",203,IF(Atletas!N325="Ditangquan B",204,IF(Atletas!N325="Houquan B",205,IF(Atletas!N325="Zuiquan B",206,IF(Atletas!N325="Ditangquan C",207,IF(Atletas!N325="Houquan C",208,IF(Atletas!N325="Zuiquan C",209,IF(Atletas!N325="Ditangquan D",210,IF(Atletas!N325="Houquan D",211,IF(Atletas!N325="Zuiquan D",212,IF(Atletas!N325="Ditangquan E",213,IF(Atletas!N325="Houquan E",214,IF(Atletas!N325="Zuiquan E",215,IF(Atletas!N325="Ditangquan F",216,IF(Atletas!N325="Houquan F",217,IF(Atletas!N325="Zuiquan F",218,"")))))))))))))))))))))</f>
        <v/>
      </c>
      <c r="BV334" s="50" t="str">
        <f>IF(Atletas!O325="","",IF(Atletas!X325&lt;&gt;"",10000,0)+IF(Atletas!B325="Feminino",1000,IF(Atletas!B325="Masculino",2000,""))+IF(Atletas!O325="Yang A",301,IF(Atletas!O325="Chen A",302,IF(Atletas!O325="Sun A",303,IF(Atletas!O325="Wu A",304,IF(Atletas!O325="Wu-Hao A",305,IF(Atletas!O325="Outro Taijiquan A",306,IF(Atletas!O325="Yang B",307,IF(Atletas!O325="Chen B",308,IF(Atletas!O325="Sun B",309,IF(Atletas!O325="Wu B",310,IF(Atletas!O325="Wu-Hao B",311,IF(Atletas!O325="Outro Taijiquan B",312,IF(Atletas!O325="Yang C",313,IF(Atletas!O325="Chen C",314,IF(Atletas!O325="Sun C",315,IF(Atletas!O325="Wu C",316,IF(Atletas!O325="Wu-Hao C",317,IF(Atletas!O325="Outro Taijiquan C",318,IF(Atletas!O325="Yang D",319,IF(Atletas!O325="Chen D",320,IF(Atletas!O325="Sun D",321,IF(Atletas!O325="Wu D",322,IF(Atletas!O325="Wu-Hao D",323,IF(Atletas!O325="Outro Taijiquan D",324,IF(Atletas!O325="Yang E",325,IF(Atletas!O325="Chen E",326,IF(Atletas!O325="Sun E",327,IF(Atletas!O325="Wu E",328,IF(Atletas!O325="Wu-Hao E",329,IF(Atletas!O325="Outro Taijiquan E",330,IF(Atletas!O325="Yang F",331,IF(Atletas!O325="Chen F",332,IF(Atletas!O325="Sun F",333,IF(Atletas!O325="Wu F",334,IF(Atletas!O325="Wu-Hao F",335,IF(Atletas!O325="Outro Taijiquan F",336,"")))))))))))))))))))))))))))))))))))))</f>
        <v/>
      </c>
      <c r="BW334" s="50" t="str">
        <f>IF(Atletas!P325="","",IF(Atletas!X325&lt;&gt;"",10000,0)+IF(Atletas!B325="Feminino",1000,IF(Atletas!B325="Masculino",2000,""))+IF(OR(Atletas!P325="Yang 26 A",Atletas!P325="Yang 40 A"),401,IF(OR(Atletas!P325="Chen 25 A",Atletas!P325="Chen 36 A",Atletas!P325="Chen 56 A"),402,IF(Atletas!P325="Sun 73 A",403,IF(Atletas!P325="Wu 45 A",404,IF(Atletas!P325="Wu-Hao 46 A",405,IF(OR(Atletas!P325="Taijiquan 16 A",Atletas!P325="Taijiquan 24 A",Atletas!P325="Taijiquan 32 A",Atletas!P325="Taijiquan 42 A"),406,IF(OR(Atletas!P325="Yang 26 B",Atletas!P325="Yang 40 B"),407,IF(OR(Atletas!P325="Chen 25 B",Atletas!P325="Chen 36 B",Atletas!P325="Chen 56 B"),408,IF(Atletas!P325="Sun 73 B",409,IF(Atletas!P325="Wu 45 B",410,IF(Atletas!P325="Wu-Hao 46 B",411,IF(OR(Atletas!P325="Taijiquan 16 B",Atletas!P325="Taijiquan 24 B",Atletas!P325="Taijiquan 32 B",Atletas!P325="Taijiquan 42 B"),412,IF(OR(Atletas!P325="Yang 26 C",Atletas!P325="Yang 40 C"),413,IF(OR(Atletas!P325="Chen 25 C",Atletas!P325="Chen 36 C",Atletas!P325="Chen 56 C"),414,IF(Atletas!P325="Sun 73 C",415,IF(Atletas!P325="Wu 45 C",416,IF(Atletas!P325="Wu-Hao 46 C",417,IF(OR(Atletas!P325="Taijiquan 16 C",Atletas!P325="Taijiquan 24 C",Atletas!P325="Taijiquan 32 C",Atletas!P325="Taijiquan 42 C"),418,0)))))))))))))))))))</f>
        <v/>
      </c>
      <c r="BX334" s="50" t="str">
        <f>IF(Atletas!P325="","",IF(Atletas!X325&lt;&gt;"",10000,0)+IF(Atletas!B325="Feminino",1000,IF(Atletas!B325="Masculino",2000,""))+IF(OR(Atletas!P325="Yang 26 D",Atletas!P325="Yang 40 D"),419,IF(OR(Atletas!P325="Chen 25 D",Atletas!P325="Chen 36 D",Atletas!P325="Chen 56 D"),420,IF(Atletas!P325="Sun 73 D",421,IF(Atletas!P325="Wu 45 D",422,IF(Atletas!P325="Wu-Hao 46 D",423,IF(OR(Atletas!P325="Taijiquan 16 D",Atletas!P325="Taijiquan 24 D",Atletas!P325="Taijiquan 32 D",Atletas!P325="Taijiquan 42 D"),424,IF(OR(Atletas!P325="Yang 26 E",Atletas!P325="Yang 40 E"),425,IF(OR(Atletas!P325="Chen 25 E",Atletas!P325="Chen 36 E",Atletas!P325="Chen 56 E"),426,IF(Atletas!P325="Sun 73 E",427,IF(Atletas!P325="Wu 45 E",428,IF(Atletas!P325="Wu-Hao 46 E",429,IF(OR(Atletas!P325="Taijiquan 16 E",Atletas!P325="Taijiquan 24 E",Atletas!P325="Taijiquan 32 E",Atletas!P325="Taijiquan 42 E"),430,IF(OR(Atletas!P325="Yang 26 F",Atletas!P325="Yang 40 F"),431,IF(OR(Atletas!P325="Chen 25 F",Atletas!P325="Chen 36 F",Atletas!P325="Chen 56 F"),432,IF(Atletas!P325="Sun 73 F",433,IF(Atletas!P325="Wu 45 F",434,IF(Atletas!P325="Wu-Hao 46 F",435,IF(OR(Atletas!P325="Taijiquan 16 F",Atletas!P325="Taijiquan 24 F",Atletas!P325="Taijiquan 32 F",Atletas!P325="Taijiquan 42 F"),436,0)))))))))))))))))))</f>
        <v/>
      </c>
      <c r="BY334" s="50" t="str">
        <f>IF(Atletas!Q325="","",IF(Atletas!X325&lt;&gt;"",10000,0)+IF(Atletas!B325="Feminino",1000,IF(Atletas!B325="Masculino",2000,""))+IF(Atletas!Q325="Xingyiquan A",501,IF(Atletas!Q325="Baguazhang A",502,IF(Atletas!Q325="Outro Estilo Interno A",503,IF(Atletas!Q325="Xingyiquan B",504,IF(Atletas!Q325="Baguazhang B",505,IF(Atletas!Q325="Outro Estilo Interno B",506,IF(Atletas!Q325="Xingyiquan C",507,IF(Atletas!Q325="Baguazhang C",508,IF(Atletas!Q325="Outro Estilo Interno C",509,IF(Atletas!Q325="Xingyiquan D",510,IF(Atletas!Q325="Baguazhang D",511,IF(Atletas!Q325="Outro Estilo Interno D",512,IF(Atletas!Q325="Xingyiquan E",513,IF(Atletas!Q325="Baguazhang E",514,IF(Atletas!Q325="Outro Estilo Interno E",515,IF(Atletas!Q325="Xingyiquan F",516,IF(Atletas!Q325="Baguazhang F",517,IF(Atletas!Q325="Outro Estilo Interno F",518, "")))))))))))))))))))</f>
        <v/>
      </c>
      <c r="BZ334" s="50" t="str">
        <f>IF(Atletas!R325="","",IF(Atletas!X325&lt;&gt;"",10000,0)+IF(Atletas!B325="Feminino",1000,IF(Atletas!B325="Masculino",2000,""))+IF(Atletas!R325="Dao A",601,IF(Atletas!R325="Jian A",602,IF(Atletas!R325="Bishou A",603,IF(Atletas!R325="Shanzi A",604,IF(Atletas!R325="Outra Arma Curta A",605,IF(Atletas!R325="Dao B",606,IF(Atletas!R325="Jian B",607,IF(Atletas!R325="Bishou B",608,IF(Atletas!R325="Shanzi B",609,IF(Atletas!R325="Outra Arma Curta B",610,IF(Atletas!R325="Dao C",611,IF(Atletas!R325="Jian C",612,IF(Atletas!R325="Bishou C",613,IF(Atletas!R325="Shanzi C",614,IF(Atletas!R325="Outra Arma Curta C",615,IF(Atletas!R325="Dao D",616,IF(Atletas!R325="Jian D",617,IF(Atletas!R325="Bishou D",618,IF(Atletas!R325="Shanzi D",619,IF(Atletas!R325="Outra Arma Curta D",620,IF(Atletas!R325="Dao E",621,IF(Atletas!R325="Jian E",622,IF(Atletas!R325="Bishou E",623,IF(Atletas!R325="Shanzi E",624,IF(Atletas!R325="Outra Arma Curta E",625,IF(Atletas!R325="Dao F",626,IF(Atletas!R325="Jian F",627,IF(Atletas!R325="Bishou F",628,IF(Atletas!R325="Shanzi F",629,IF(Atletas!R325="Outra Arma Curta F",630, "")))))))))))))))))))))))))))))))</f>
        <v/>
      </c>
      <c r="CA334" s="50" t="str">
        <f>IF(Atletas!S325="","",IF(Atletas!X325&lt;&gt;"",10000,0)+IF(Atletas!B325="Feminino",1000,IF(Atletas!B325="Masculino",2000,""))+IF(Atletas!S325="Gun A",701,IF(Atletas!S325="Qiang A",702,IF(Atletas!S325="Pudao / Guandao A",703,IF(Atletas!S325="Outra Arma Longa A",704,IF(Atletas!S325="Gun B",705,IF(Atletas!S325="Qiang B",706,IF(Atletas!S325="Pudao / Guandao B",707,IF(Atletas!S325="Outra Arma Longa B",708,IF(Atletas!S325="Gun C",709,IF(Atletas!S325="Qiang C",710,IF(Atletas!S325="Pudao / Guandao C",711,IF(Atletas!S325="Outra Arma Longa C",712,IF(Atletas!S325="Gun D",713,IF(Atletas!S325="Qiang D",714,IF(Atletas!S325="Pudao / Guandao D",715,IF(Atletas!S325="Outra Arma Longa D",716,IF(Atletas!S325="Gun E",717,IF(Atletas!S325="Qiang E",718,IF(Atletas!S325="Pudao / Guandao E",719,IF(Atletas!S325="Outra Arma Longa E",720,IF(Atletas!S325="Gun F",721,IF(Atletas!S325="Qiang F",722,IF(Atletas!S325="Pudao / Guandao F",723,IF(Atletas!S325="Outra Arma Longa F",724,"")))))))))))))))))))))))))</f>
        <v/>
      </c>
      <c r="CB334" s="50" t="str">
        <f>IF(Atletas!T325="","",IF(Atletas!X325&lt;&gt;"",10000,0)+IF(Atletas!B325="Feminino",1000,IF(Atletas!B325="Masculino",2000,""))+IF(Atletas!T325="Outra Arma Dupla A",801,IF(Atletas!T325="Arma Maleável A",802,IF(Atletas!T325="Outra Arma Dupla B",803,IF(Atletas!T325="Arma Maleável B",804,IF(Atletas!T325="Outra Arma Dupla C",805,IF(Atletas!T325="Arma Maleável C",806,IF(Atletas!T325="Outra Arma Dupla D",807,IF(Atletas!T325="Arma Maleável D",808,IF(Atletas!T325="Outra Arma Dupla E",809,IF(Atletas!T325="Arma Maleável E",810,IF(Atletas!T325="Outra Arma Dupla F",811,IF(Atletas!T325="Arma Maleável F",812,IF(Atletas!T325="Shuangdao A",813,IF(Atletas!T325="Shuangdao B",814,IF(Atletas!T325="Shuangdao C",815,IF(Atletas!T325="Shuangdao D",816,IF(Atletas!T325="Shuangdao E",817,IF(Atletas!T325="Shuangdao F",818,"")))))))))))))))))))</f>
        <v/>
      </c>
      <c r="CC334" s="50" t="str">
        <f>IF(Atletas!U325="","",IF(Atletas!X325&lt;&gt;"",10000,0)+IF(Atletas!B325="Feminino",1000,IF(Atletas!B325="Masculino",2000,""))+IF(OR(Atletas!U325="Taijijian Yang A",Atletas!U325="Taijijian Yang Standard A"),901,IF(OR(Atletas!U325="Taijijian Chen A", Atletas!U325="Taijijian Chen Standard A"),902,IF(Atletas!U325="Taijijian Sun A",903,IF(Atletas!U325="Taijijian Wu A",904,IF(Atletas!U325="Taijijian Wu-Hao A",905,IF(OR(Atletas!U325="Taijijian 32 A",Atletas!U325="Taijijian 42 A"),906,IF(OR(Atletas!U325="Taijijian Yang B",Atletas!U325="Taijijian Yang Standard B"),907,IF(OR(Atletas!U325="Taijijian Chen B", Atletas!U325="Taijijian Chen Standard B"),908,IF(Atletas!U325="Taijijian Sun B",909,IF(Atletas!U325="Taijijian Wu B",910,IF(Atletas!U325="Taijijian Wu-Hao B",911,IF(OR(Atletas!U325="Taijijian 32 B",Atletas!U325="Taijijian 42 B"),912,IF(OR(Atletas!U325="Taijijian Yang C",Atletas!U325="Taijijian Yang Standard C"),913,IF(OR(Atletas!U325="Taijijian Chen C", Atletas!U325="Taijijian Chen Standard C"),914,IF(Atletas!U325="Taijijian Sun C",915,IF(Atletas!U325="Taijijian Wu C",916,IF(Atletas!U325="Taijijian Wu-Hao C",917,IF(OR(Atletas!U325="Taijijian 32 C",Atletas!U325="Taijijian 42 C"),918,IF(OR(Atletas!U325="Taijijian Yang D",Atletas!U325="Taijijian Yang Standard D"),919,IF(OR(Atletas!U325="Taijijian Chen D", Atletas!U325="Taijijian Chen Standard D"),920,IF(Atletas!U325="Taijijian Sun D",921,IF(Atletas!U325="Taijijian Wu D",922,IF(Atletas!U325="Taijijian Wu-Hao D",923,IF(OR(Atletas!U325="Taijijian 32 D",Atletas!U325="Taijijian 42 D"),924,IF(OR(Atletas!U325="Taijijian Yang E",Atletas!U325="Taijijian Yang Standard E"),925,IF(OR(Atletas!U325="Taijijian Chen E", Atletas!U325="Taijijian Chen Standard E"),926,IF(Atletas!U325="Taijijian Sun E",927,IF(Atletas!U325="Taijijian Wu E",928,IF(Atletas!U325="Taijijian Wu-Hao E",929,IF(OR(Atletas!U325="Taijijian 32 E",Atletas!U325="Taijijian 42 E"),930,IF(OR(Atletas!U325="Taijijian Yang F",Atletas!U325="Taijijian Yang Standard F"),931,IF(OR(Atletas!U325="Taijijian Chen F", Atletas!U325="Taijijian Chen Standard F"),932,IF(Atletas!U325="Taijijian Sun F",933,IF(Atletas!U325="Taijijian Wu F",934,IF(Atletas!U325="Taijijian Wu-Hao F",935,IF(OR(Atletas!U325="Taijijian 32 F",Atletas!U325="Taijijian 42 F"),936,"")))))))))))))))))))))))))))))))))))))</f>
        <v/>
      </c>
      <c r="CD334" s="50" t="str">
        <f>IF(Atletas!V325="","",IF(Atletas!X325&lt;&gt;"",10000,0)+IF(Atletas!B325="Feminino",1000,IF(Atletas!B325="Masculino",2000,""))+IF(Atletas!V325="Taijidao A",937,IF(Atletas!V325="TaijiShanzi A",938,IF(Atletas!V325="Taijiqiang A",939,IF(Atletas!V325="Bagua de Arma A",940,IF(Atletas!V325="Xingyi de Arma A",941,IF(Atletas!V325="Taijidao B",942,IF(Atletas!V325="TaijiShanzi B",943,IF(Atletas!V325="Taijiqiang B",944,IF(Atletas!V325="Bagua de Arma B",945,IF(Atletas!V325="Xingyi de Arma B",946,IF(Atletas!V325="Taijidao C",947,IF(Atletas!V325="TaijiShanzi C",948,IF(Atletas!V325="Taijiqiang C",949,IF(Atletas!V325="Bagua de Arma C",950,IF(Atletas!V325="Xingyi de Arma C",951,IF(Atletas!V325="Taijidao D",952,IF(Atletas!V325="TaijiShanzi D",953,IF(Atletas!V325="Taijiqiang D",954,IF(Atletas!V325="Bagua de Arma D",955,IF(Atletas!V325="Xingyi de Arma D",956,IF(Atletas!V325="Taijidao E",957,IF(Atletas!V325="TaijiShanzi E",958,IF(Atletas!V325="Taijiqiang E",959,IF(Atletas!V325="Bagua de Arma E",960,IF(Atletas!V325="Xingyi de Arma E",961,IF(Atletas!V325="Taijidao F",962,IF(Atletas!V325="TaijiShanzi F",963,IF(Atletas!V325="Taijiqiang F",964,IF(Atletas!V325="Bagua de Arma F",965,IF(Atletas!V325="Xingyi de Arma F",966,"")))))))))))))))))))))))))))))))</f>
        <v/>
      </c>
      <c r="CE334" s="66" t="str">
        <f>IF(CF334&lt;&gt;"","Taijijian Wu F","")</f>
        <v/>
      </c>
      <c r="CF334" s="6" t="str">
        <f>IF(COUNTIF(BR:CD,1934)&gt;0,COUNTIF(BR:CD,1934),"")</f>
        <v/>
      </c>
      <c r="CG334" s="66" t="str">
        <f>IF(CH334&lt;&gt;"","Taijijian Wu F","")</f>
        <v/>
      </c>
      <c r="CH334" s="66" t="str">
        <f>IF(COUNTIF(BR:CD,2934)&gt;0,COUNTIF(BR:CD,2934),"")</f>
        <v/>
      </c>
      <c r="CI334" s="66" t="str">
        <f>IF(CJ335&lt;&gt;"","Taijidao C","")</f>
        <v/>
      </c>
      <c r="CJ334" s="66" t="str">
        <f>IF(COUNTIF(BR:CD,11946)&gt;0,COUNTIF(BR:CD,11946),"")</f>
        <v/>
      </c>
      <c r="CK334" s="66" t="str">
        <f>IF(CL334&lt;&gt;"","Xingyi de Arma B","")</f>
        <v/>
      </c>
      <c r="CL334" s="66" t="str">
        <f>IF(COUNTIF(BR:CD,12946)&gt;0,COUNTIF(BR:CD,12946),"")</f>
        <v/>
      </c>
      <c r="CM334" s="50" t="str">
        <f xml:space="preserve"> IF(Atletas!W325="","",IF(Atletas!W325="Duilian de Mãos BC - Equipe 1",1,IF(Atletas!W325="Duilian de Mãos BC - Equipe 2",2,IF(Atletas!W325="Duilian de Armas BC - Equipe 1",3,IF(Atletas!W325="Duilian de Armas BC - Equipe 2",4,IF(Atletas!W325="Duilian de Mãos DE - Equipe 1",5,IF(Atletas!W325="Duilian de Mãos DE - Equipe 2",6,IF(Atletas!W325="Duilian de Armas DE - Equipe 1",7,IF(Atletas!W325="Duilian de Armas DE - Equipe 2",8,IF(Atletas!W325="Duilian de Tuishou - Equipe 1",9,IF(Atletas!W325="Duilian de Tuishou - Equipe 2",10,IF(Atletas!W325="Grupo Externo ABC - Equipe 1",11,IF(Atletas!W325="Grupo Externo ABC - Equipe 2",12,IF(Atletas!W325="Grupo Interno ABC - Equipe 1",13,IF(Atletas!W325="Grupo Interno ABC - Equipe 2",14,IF(Atletas!W325="Grupo Externo DEF - Equipe 1",15,IF(Atletas!W325="Grupo Externo DEF - Equipe 2",16,IF(Atletas!W325="Grupo Interno DEF - Equipe 1",17,IF(Atletas!W325="Grupo Interno DEF - Equipe 2",18,"")))))))))))))))))))</f>
        <v/>
      </c>
    </row>
    <row r="335" spans="40:91">
      <c r="AN335" s="52" t="str">
        <f>IF(Atletas!D326="","",IF(Atletas!B326="Feminino",100,IF(Atletas!B326="Masculino",200,""))+(IF(Atletas!D326="Kids 30kg",1,IF(Atletas!D326="Kids 32kg",2, IF(Atletas!D326="Kids 34kg",3,IF(Atletas!D326="Kids 36kg",4,IF(Atletas!D326="Kids 39kg",5,IF(Atletas!D326="Kids 42kg",6,IF(Atletas!D326="Kids 45kg",7, IF(Atletas!D326="Infantil 39kg",8,IF(Atletas!D326="Infantil 42kg",9,IF(Atletas!D326="Infantil 45kg",10,IF(Atletas!D326="Infantil 48kg",11,IF(Atletas!D326="Infantil 52kg",12,IF(Atletas!D326="Infantil 56kg",13,IF(Atletas!D326="Infantil 60kg",14,IF(Atletas!D326="Juvenil 48kg",15,IF(Atletas!D326="Juvenil 52kg",16,IF(Atletas!D326="Juvenil 56kg",17,IF(Atletas!D326="Juvenil 60kg",18,IF(Atletas!D326="Juvenil 65kg",19,IF(Atletas!D326="Juvenil 70kg",20,IF(Atletas!D326="Juvenil 75kg",21,IF(Atletas!D326="Juvenil 80kg",22, IF(Atletas!D326="Juvenil 85kg",23,IF(Atletas!D326="Adulto 48kg",24,IF(Atletas!D326="Adulto 52kg",25,IF(Atletas!D326="Adulto 56kg",26,IF(Atletas!D326="Adulto 60kg",27,IF(Atletas!D326="Adulto 65kg",28,IF(Atletas!D326="Adulto 70kg",29,IF(Atletas!D326="Adulto 75kg",30,IF(Atletas!D326="Adulto 80kg",31,IF(Atletas!D326="Adulto 85kg",32,IF(Atletas!D326="Adulto 90kg",33,IF(Atletas!D326="Adulto 100kg",34, IF(Atletas!D326="Adulto +100kg",35,"")))))))))))))))))))))))))))))))))))))</f>
        <v/>
      </c>
      <c r="AS335" s="6" t="str">
        <f>IF(Atletas!E326="","",IF(Atletas!B326="Feminino",100,IF(Atletas!B326="Masculino",200,""))+(IF(Atletas!E326="Juvenil 44kg",1,IF(Atletas!E326="Juvenil 48kg",2,IF(Atletas!E326="Juvenil 52kg",3,IF(Atletas!E326="Juvenil 56kg",4,IF(Atletas!E326="Juvenil 60kg",5,IF(Atletas!E326="Juvenil 65kg",6,IF(Atletas!E326="Juvenil 70kg",7,IF(Atletas!E326="Juvenil 75kg",8,IF(Atletas!E326="Juvenil 82kg",9,IF(Atletas!E326="Juvenil 90kg",10,IF(Atletas!E326="Juvenil 100kg",11,IF(Atletas!E326="Adulto 48kg",12,IF(Atletas!E326="Adulto 52kg",13,IF(Atletas!E326="Adulto 56kg",14,IF(Atletas!E326="Adulto 60kg",15,IF(Atletas!E326="Adulto 65kg",16,IF(Atletas!E326="Adulto 70kg",17,IF(Atletas!E326="Adulto 75kg",18,IF(Atletas!E326="Adulto 82kg",19,IF(Atletas!E326="Adulto 90kg",20,IF(Atletas!E326="Adulto 100kg",21,IF(Atletas!E326="Adulto +100kg",22,""))))))))))))))))))))))))</f>
        <v/>
      </c>
      <c r="AX335" s="6" t="str">
        <f>IF(Atletas!F326="","",IF(Atletas!B326="Feminino",100,IF(Atletas!B326="Masculino",200,""))+(IF(Atletas!F326="Adulto 48kg",1,IF(Atletas!F326="Adulto 56kg",2,IF(Atletas!F326="Adulto 65kg",3,IF(Atletas!F326="Adulto 75kg",4,IF(Atletas!F326="Adulto +75kg",5,IF(Atletas!F326="Adulto 52kg",6,IF(Atletas!F326="Adulto 60kg",7,IF(Atletas!F326="Adulto 70kg",8,IF(Atletas!F326="Adulto 80kg",9,IF(Atletas!F326="Adulto 90kg",10,IF(Atletas!F326="Adulto +90kg",11,"")))))))))))))</f>
        <v/>
      </c>
      <c r="BC335" s="6" t="str">
        <f>IF(Atletas!G326="","",IF(Atletas!B326="Feminino",10,IF(Atletas!B326="Masculino",20,""))+(IF(Atletas!G326="Baduanjin A",1,IF(Atletas!G326="Baduanjin B",2))))</f>
        <v/>
      </c>
      <c r="BF335" s="52" t="str">
        <f>IF(Atletas!H326="","",IF(Atletas!B326="Feminino",100,IF(Atletas!B326="Masculino",200,""))+(IF(Atletas!H326="Changquan Mirim",1,IF(Atletas!H326="Nanquan Mirim",2,IF(Atletas!H326="Taijiquan Mirim",3,IF(Atletas!H326="Changquan Grupo C",4,IF(Atletas!H326="Nanquan Grupo C",5,IF(Atletas!H326="Taijiquan Grupo C",6,IF(Atletas!H326="Changquan Grupo B",7,IF(Atletas!H326="Nanquan Grupo B",8,IF(Atletas!H326="Taijiquan Grupo B",9,IF(Atletas!H326="Changquan Grupo A",10,IF(Atletas!H326="Nanquan Grupo A",11,IF(Atletas!H326="Taijiquan Grupo A",12,IF(Atletas!H326="Changquan Opcional",13,IF(Atletas!H326="Nanquan Opcional",14,IF(Atletas!H326="Taijiquan Opcional",15,IF(Atletas!H326="Changquan Adulto",16,IF(Atletas!H326="Nanquan Adulto",17,IF(Atletas!H326="Taijiquan Adulto",18,""))))))))))))))))))))</f>
        <v/>
      </c>
      <c r="BG335" s="52" t="str">
        <f>IF(Atletas!I326="","",IF(Atletas!B326="Feminino",100,IF(Atletas!B326="Masculino",200,""))+(IF(Atletas!I326="Daoshu Mirim",19,IF(Atletas!I326="Jianshu Mirim",20,IF(Atletas!I326="Nandao Mirim",21,IF(Atletas!I326="Taijijian Mirim",22,IF(Atletas!I326="Daoshu Grupo C",23,IF(Atletas!I326="Jianshu Grupo C",24,IF(Atletas!I326="Nandao Grupo C",25,IF(Atletas!I326="Taijijian Grupo C",26,IF(Atletas!I326="Daoshu Grupo B",27,IF(Atletas!I326="Jianshu Grupo B",28,IF(Atletas!I326="Nandao Grupo B",29,IF(Atletas!I326="Taijijian Grupo B",30,IF(Atletas!I326="Daoshu Grupo A",31,IF(Atletas!I326="Jianshu Grupo A",32,IF(Atletas!I326="Nandao Grupo A",33,IF(Atletas!I326="Taijijian Grupo A",34,IF(Atletas!I326="Daoshu Opcional",35,IF(Atletas!I326="Jianshu Opcional",36,IF(Atletas!I326="Nandao Opcional",37,IF(Atletas!I326="Taijijian Opcional",38,IF(Atletas!I326="Daoshu Adulto",39,IF(Atletas!I326="Jianshu Adulto",40,IF(Atletas!I326="Nandao Adulto",41,IF(Atletas!I326="Taijijian Adulto",42,""))))))))))))))))))))))))))</f>
        <v/>
      </c>
      <c r="BH335" s="52" t="str">
        <f>IF(Atletas!J326="","",IF(Atletas!B326="Feminino",100,IF(Atletas!B326="Masculino",200,""))+(IF(Atletas!J326="Gunshu Mirim",43,IF(Atletas!J326="Qiangshu Mirim",44,IF(Atletas!J326="Nangun Mirim",45,IF(Atletas!J326="Gunshu Grupo C",46,IF(Atletas!J326="Qiangshu Grupo C",47,IF(Atletas!J326="Nangun Grupo C",48,IF(Atletas!J326="Gunshu Grupo B",49,IF(Atletas!J326="Qiangshu Grupo B",50,IF(Atletas!J326="Nangun Grupo B",51,IF(Atletas!J326="Gunshu Grupo A",52,IF(Atletas!J326="Qiangshu Grupo A",53,IF(Atletas!J326="Nangun Grupo A",54,IF(Atletas!J326="Gunshu Opcional",55,IF(Atletas!J326="Qiangshu Opcional",56,IF(Atletas!J326="Nangun Opcional",57,IF(Atletas!J326="Gunshu Adulto",58,IF(Atletas!J326="Qiangshu Adulto",59,IF(Atletas!J326="Nangun Adulto",60,IF(Atletas!J326="Taijishan Grupo B",61,IF(Atletas!J326="Taijishan Grupo A",62,""))))))))))))))))))))))</f>
        <v/>
      </c>
      <c r="BM335" s="50" t="str">
        <f>IF(Atletas!K326="","",IF(Atletas!B326="Feminino",100,IF(Atletas!B326="Masculino",200,""))+(IF(Atletas!K326="Equipe 1 Grupo B",1,IF(Atletas!K326="Equipe 2 Grupo B",2,IF(Atletas!K326="Equipe 1 Grupo A",3,IF(Atletas!K326="Equipe 2 Grupo A",4,IF(Atletas!K326="Equipe 1 Adulto",5,IF(Atletas!K326="Equipe 2 Adulto",6,""))))))))</f>
        <v/>
      </c>
      <c r="BR335" s="50" t="str">
        <f>IF(Atletas!L326="","",IF(Atletas!X326&lt;&gt;"",10000,0)+(IF(Atletas!B326="Feminino",1000,IF(Atletas!B326="Masculino",2000,""))+IF(Atletas!L326="Choylayfut A",1,IF(Atletas!L326="Hunggar A",2,IF(Atletas!L326="Wuzuquan A",3,IF(Atletas!L326="Wingchun A",4,IF(Atletas!L326="Outra Mão de Sul A",5,IF(Atletas!L326="Choylayfut B",6,IF(Atletas!L326="Hunggar B",7,IF(Atletas!L326="Wuzuquan B",8,IF(Atletas!L326="Wingchun B",9,IF(Atletas!L326="Outra Mão de Sul B",10,IF(Atletas!L326="Choylayfut C",11,IF(Atletas!L326="Hunggar C",12,IF(Atletas!L326="Wuzuquan C",13,IF(Atletas!L326="Wingchun C",14,IF(Atletas!L326="Outra Mão de Sul C",15,IF(Atletas!L326="Choylayfut D",16,IF(Atletas!L326="Hunggar D",17,IF(Atletas!L326="Wuzuquan D",18,IF(Atletas!L326="Wingchun D",19,IF(Atletas!L326="Outra Mão de Sul D",20,IF(Atletas!L326="Choylayfut E",21,IF(Atletas!L326="Hunggar E",22,IF(Atletas!L326="Wuzuquan E",23,IF(Atletas!L326="Wingchun E",24,IF(Atletas!L326="Outra Mão de Sul E",25,IF(Atletas!L326="Choylayfut F",26,IF(Atletas!L326="Hunggar F",27,IF(Atletas!L326="Wuzuquan F",28,IF(Atletas!L326="Wingchun F",29,IF(Atletas!L326="Outra Mão de Sul F",30,IF(Atletas!L326="Dishuquan A",31,IF(Atletas!L326="Dishuquan B",32,IF(Atletas!L326="Dishuquan C",33,IF(Atletas!L326="Dishuquan D",34,IF(Atletas!L326="Dishuquan E",35,IF(Atletas!L326="Dishuquan F",36,""))))))))))))))))))))))))))))))))))))))</f>
        <v/>
      </c>
      <c r="BS335" s="50" t="str">
        <f>IF(Atletas!M326="","",IF(Atletas!X326&lt;&gt;"",10000,0)+(IF(Atletas!B326="Feminino",1000,IF(Atletas!B326="Masculino",2000,""))+(IF(Atletas!M326="Chaquan A",101,IF(Atletas!M326="Emeiquan A",102,IF(Atletas!M326="Fanziquan A",103,IF(Atletas!M326="Huaquan A",104,IF(Atletas!M326="Hongquan A",105,IF(Atletas!M326="Paoquan A",106,IF(Atletas!M326="Piguaquan A",107,IF(Atletas!M326="Shaolinquan A",108,IF(Atletas!M326="Tanglangquan A",109,IF(Atletas!M326="Yingzhaoquan A",110,IF(Atletas!M326="Tongbeiquan A",111,IF(Atletas!M326="Wudangquan A",112,IF(Atletas!M326="Outros Estilos A",113,IF(Atletas!M326="Chaquan B",114,IF(Atletas!M326="Emeiquan B",115,IF(Atletas!M326="Fanziquan B",116,IF(Atletas!M326="Huaquan B",117,IF(Atletas!M326="Hongquan B",118,IF(Atletas!M326="Paoquan B",119,IF(Atletas!M326="Piguaquan B",120,IF(Atletas!M326="Shaolinquan B",121,IF(Atletas!M326="Tanglangquan B",122,IF(Atletas!M326="Yingzhaoquan B",123,IF(Atletas!M326="Tongbeiquan B",124,IF(Atletas!M326="Wudangquan B",125,IF(Atletas!M326="Outros Estilos B",126,IF(Atletas!M326="Chaquan C",127,IF(Atletas!M326="Emeiquan C",128,IF(Atletas!M326="Fanziquan C",129,IF(Atletas!M326="Huaquan C",130,IF(Atletas!M326="Hongquan C",131,IF(Atletas!M326="Paoquan C",132,IF(Atletas!M326="Piguaquan C",133,IF(Atletas!M326="Shaolinquan C",134,IF(Atletas!M326="Tanglangquan C",135,IF(Atletas!M326="Yingzhaoquan C",136,IF(Atletas!M326="Tongbeiquan C",137,IF(Atletas!M326="Wudangquan C",138,IF(Atletas!M326="Outros Estilos C",139,0))))))))))))))))))))))))))))))))))))))))))</f>
        <v/>
      </c>
      <c r="BT335" s="50" t="str">
        <f>IF(Atletas!M326="","",IF(Atletas!X326&lt;&gt;"",10000,0)+(IF(Atletas!B326="Feminino",1000,IF(Atletas!B326="Masculino",2000,""))+(IF(Atletas!M326="Chaquan D",140,IF(Atletas!M326="Emeiquan D",141,IF(Atletas!M326="Fanziquan D",142,IF(Atletas!M326="Huaquan D",143,IF(Atletas!M326="Hongquan D",144,IF(Atletas!M326="Paoquan D",145,IF(Atletas!M326="Piguaquan D",146,IF(Atletas!M326="Shaolinquan D",147,IF(Atletas!M326="Tanglangquan D",148,IF(Atletas!M326="Yingzhaoquan D",149,IF(Atletas!M326="Tongbeiquan D",150,IF(Atletas!M326="Wudangquan D",151,IF(Atletas!M326="Outros Estilos D",152,IF(Atletas!M326="Chaquan E",153,IF(Atletas!M326="Emeiquan E",154,IF(Atletas!M326="Fanziquan E",155,IF(Atletas!M326="Huaquan E",156,IF(Atletas!M326="Hongquan E",157,IF(Atletas!M326="Paoquan E",158,IF(Atletas!M326="Piguaquan E",159,IF(Atletas!M326="Shaolinquan E",160,IF(Atletas!M326="Tanglangquan E",161,IF(Atletas!M326="Yingzhaoquan E",162,IF(Atletas!M326="Tongbeiquan E",163,IF(Atletas!M326="Wudangquan E",164,IF(Atletas!M326="Outros Estilos E",165,IF(Atletas!M326="Chaquan F",166,IF(Atletas!M326="Emeiquan F",167,IF(Atletas!M326="Fanziquan F",168,IF(Atletas!M326="Huaquan F",169,IF(Atletas!M326="Hongquan F",170,IF(Atletas!M326="Paoquan F",171,IF(Atletas!M326="Piguaquan F",172,IF(Atletas!M326="Shaolinquan F",173,IF(Atletas!M326="Tanglangquan F",174,IF(Atletas!M326="Yingzhaoquan F",175,IF(Atletas!M326="Tongbeiquan F",176,IF(Atletas!M326="Wudangquan F",177,IF(Atletas!M326="Outros Estilos F",178,0))))))))))))))))))))))))))))))))))))))))))</f>
        <v/>
      </c>
      <c r="BU335" s="50" t="str">
        <f>IF(Atletas!N326="","",IF(Atletas!X326&lt;&gt;"",10000,0)+(IF(Atletas!B326="Feminino",1000,IF(Atletas!B326="Masculino",2000,""))+(IF(Atletas!N326="Ditangquan A",201,IF(Atletas!N326="Houquan A",202,IF(Atletas!N326="Zuiquan A",203,IF(Atletas!N326="Ditangquan B",204,IF(Atletas!N326="Houquan B",205,IF(Atletas!N326="Zuiquan B",206,IF(Atletas!N326="Ditangquan C",207,IF(Atletas!N326="Houquan C",208,IF(Atletas!N326="Zuiquan C",209,IF(Atletas!N326="Ditangquan D",210,IF(Atletas!N326="Houquan D",211,IF(Atletas!N326="Zuiquan D",212,IF(Atletas!N326="Ditangquan E",213,IF(Atletas!N326="Houquan E",214,IF(Atletas!N326="Zuiquan E",215,IF(Atletas!N326="Ditangquan F",216,IF(Atletas!N326="Houquan F",217,IF(Atletas!N326="Zuiquan F",218,"")))))))))))))))))))))</f>
        <v/>
      </c>
      <c r="BV335" s="50" t="str">
        <f>IF(Atletas!O326="","",IF(Atletas!X326&lt;&gt;"",10000,0)+IF(Atletas!B326="Feminino",1000,IF(Atletas!B326="Masculino",2000,""))+IF(Atletas!O326="Yang A",301,IF(Atletas!O326="Chen A",302,IF(Atletas!O326="Sun A",303,IF(Atletas!O326="Wu A",304,IF(Atletas!O326="Wu-Hao A",305,IF(Atletas!O326="Outro Taijiquan A",306,IF(Atletas!O326="Yang B",307,IF(Atletas!O326="Chen B",308,IF(Atletas!O326="Sun B",309,IF(Atletas!O326="Wu B",310,IF(Atletas!O326="Wu-Hao B",311,IF(Atletas!O326="Outro Taijiquan B",312,IF(Atletas!O326="Yang C",313,IF(Atletas!O326="Chen C",314,IF(Atletas!O326="Sun C",315,IF(Atletas!O326="Wu C",316,IF(Atletas!O326="Wu-Hao C",317,IF(Atletas!O326="Outro Taijiquan C",318,IF(Atletas!O326="Yang D",319,IF(Atletas!O326="Chen D",320,IF(Atletas!O326="Sun D",321,IF(Atletas!O326="Wu D",322,IF(Atletas!O326="Wu-Hao D",323,IF(Atletas!O326="Outro Taijiquan D",324,IF(Atletas!O326="Yang E",325,IF(Atletas!O326="Chen E",326,IF(Atletas!O326="Sun E",327,IF(Atletas!O326="Wu E",328,IF(Atletas!O326="Wu-Hao E",329,IF(Atletas!O326="Outro Taijiquan E",330,IF(Atletas!O326="Yang F",331,IF(Atletas!O326="Chen F",332,IF(Atletas!O326="Sun F",333,IF(Atletas!O326="Wu F",334,IF(Atletas!O326="Wu-Hao F",335,IF(Atletas!O326="Outro Taijiquan F",336,"")))))))))))))))))))))))))))))))))))))</f>
        <v/>
      </c>
      <c r="BW335" s="50" t="str">
        <f>IF(Atletas!P326="","",IF(Atletas!X326&lt;&gt;"",10000,0)+IF(Atletas!B326="Feminino",1000,IF(Atletas!B326="Masculino",2000,""))+IF(OR(Atletas!P326="Yang 26 A",Atletas!P326="Yang 40 A"),401,IF(OR(Atletas!P326="Chen 25 A",Atletas!P326="Chen 36 A",Atletas!P326="Chen 56 A"),402,IF(Atletas!P326="Sun 73 A",403,IF(Atletas!P326="Wu 45 A",404,IF(Atletas!P326="Wu-Hao 46 A",405,IF(OR(Atletas!P326="Taijiquan 16 A",Atletas!P326="Taijiquan 24 A",Atletas!P326="Taijiquan 32 A",Atletas!P326="Taijiquan 42 A"),406,IF(OR(Atletas!P326="Yang 26 B",Atletas!P326="Yang 40 B"),407,IF(OR(Atletas!P326="Chen 25 B",Atletas!P326="Chen 36 B",Atletas!P326="Chen 56 B"),408,IF(Atletas!P326="Sun 73 B",409,IF(Atletas!P326="Wu 45 B",410,IF(Atletas!P326="Wu-Hao 46 B",411,IF(OR(Atletas!P326="Taijiquan 16 B",Atletas!P326="Taijiquan 24 B",Atletas!P326="Taijiquan 32 B",Atletas!P326="Taijiquan 42 B"),412,IF(OR(Atletas!P326="Yang 26 C",Atletas!P326="Yang 40 C"),413,IF(OR(Atletas!P326="Chen 25 C",Atletas!P326="Chen 36 C",Atletas!P326="Chen 56 C"),414,IF(Atletas!P326="Sun 73 C",415,IF(Atletas!P326="Wu 45 C",416,IF(Atletas!P326="Wu-Hao 46 C",417,IF(OR(Atletas!P326="Taijiquan 16 C",Atletas!P326="Taijiquan 24 C",Atletas!P326="Taijiquan 32 C",Atletas!P326="Taijiquan 42 C"),418,0)))))))))))))))))))</f>
        <v/>
      </c>
      <c r="BX335" s="50" t="str">
        <f>IF(Atletas!P326="","",IF(Atletas!X326&lt;&gt;"",10000,0)+IF(Atletas!B326="Feminino",1000,IF(Atletas!B326="Masculino",2000,""))+IF(OR(Atletas!P326="Yang 26 D",Atletas!P326="Yang 40 D"),419,IF(OR(Atletas!P326="Chen 25 D",Atletas!P326="Chen 36 D",Atletas!P326="Chen 56 D"),420,IF(Atletas!P326="Sun 73 D",421,IF(Atletas!P326="Wu 45 D",422,IF(Atletas!P326="Wu-Hao 46 D",423,IF(OR(Atletas!P326="Taijiquan 16 D",Atletas!P326="Taijiquan 24 D",Atletas!P326="Taijiquan 32 D",Atletas!P326="Taijiquan 42 D"),424,IF(OR(Atletas!P326="Yang 26 E",Atletas!P326="Yang 40 E"),425,IF(OR(Atletas!P326="Chen 25 E",Atletas!P326="Chen 36 E",Atletas!P326="Chen 56 E"),426,IF(Atletas!P326="Sun 73 E",427,IF(Atletas!P326="Wu 45 E",428,IF(Atletas!P326="Wu-Hao 46 E",429,IF(OR(Atletas!P326="Taijiquan 16 E",Atletas!P326="Taijiquan 24 E",Atletas!P326="Taijiquan 32 E",Atletas!P326="Taijiquan 42 E"),430,IF(OR(Atletas!P326="Yang 26 F",Atletas!P326="Yang 40 F"),431,IF(OR(Atletas!P326="Chen 25 F",Atletas!P326="Chen 36 F",Atletas!P326="Chen 56 F"),432,IF(Atletas!P326="Sun 73 F",433,IF(Atletas!P326="Wu 45 F",434,IF(Atletas!P326="Wu-Hao 46 F",435,IF(OR(Atletas!P326="Taijiquan 16 F",Atletas!P326="Taijiquan 24 F",Atletas!P326="Taijiquan 32 F",Atletas!P326="Taijiquan 42 F"),436,0)))))))))))))))))))</f>
        <v/>
      </c>
      <c r="BY335" s="50" t="str">
        <f>IF(Atletas!Q326="","",IF(Atletas!X326&lt;&gt;"",10000,0)+IF(Atletas!B326="Feminino",1000,IF(Atletas!B326="Masculino",2000,""))+IF(Atletas!Q326="Xingyiquan A",501,IF(Atletas!Q326="Baguazhang A",502,IF(Atletas!Q326="Outro Estilo Interno A",503,IF(Atletas!Q326="Xingyiquan B",504,IF(Atletas!Q326="Baguazhang B",505,IF(Atletas!Q326="Outro Estilo Interno B",506,IF(Atletas!Q326="Xingyiquan C",507,IF(Atletas!Q326="Baguazhang C",508,IF(Atletas!Q326="Outro Estilo Interno C",509,IF(Atletas!Q326="Xingyiquan D",510,IF(Atletas!Q326="Baguazhang D",511,IF(Atletas!Q326="Outro Estilo Interno D",512,IF(Atletas!Q326="Xingyiquan E",513,IF(Atletas!Q326="Baguazhang E",514,IF(Atletas!Q326="Outro Estilo Interno E",515,IF(Atletas!Q326="Xingyiquan F",516,IF(Atletas!Q326="Baguazhang F",517,IF(Atletas!Q326="Outro Estilo Interno F",518, "")))))))))))))))))))</f>
        <v/>
      </c>
      <c r="BZ335" s="50" t="str">
        <f>IF(Atletas!R326="","",IF(Atletas!X326&lt;&gt;"",10000,0)+IF(Atletas!B326="Feminino",1000,IF(Atletas!B326="Masculino",2000,""))+IF(Atletas!R326="Dao A",601,IF(Atletas!R326="Jian A",602,IF(Atletas!R326="Bishou A",603,IF(Atletas!R326="Shanzi A",604,IF(Atletas!R326="Outra Arma Curta A",605,IF(Atletas!R326="Dao B",606,IF(Atletas!R326="Jian B",607,IF(Atletas!R326="Bishou B",608,IF(Atletas!R326="Shanzi B",609,IF(Atletas!R326="Outra Arma Curta B",610,IF(Atletas!R326="Dao C",611,IF(Atletas!R326="Jian C",612,IF(Atletas!R326="Bishou C",613,IF(Atletas!R326="Shanzi C",614,IF(Atletas!R326="Outra Arma Curta C",615,IF(Atletas!R326="Dao D",616,IF(Atletas!R326="Jian D",617,IF(Atletas!R326="Bishou D",618,IF(Atletas!R326="Shanzi D",619,IF(Atletas!R326="Outra Arma Curta D",620,IF(Atletas!R326="Dao E",621,IF(Atletas!R326="Jian E",622,IF(Atletas!R326="Bishou E",623,IF(Atletas!R326="Shanzi E",624,IF(Atletas!R326="Outra Arma Curta E",625,IF(Atletas!R326="Dao F",626,IF(Atletas!R326="Jian F",627,IF(Atletas!R326="Bishou F",628,IF(Atletas!R326="Shanzi F",629,IF(Atletas!R326="Outra Arma Curta F",630, "")))))))))))))))))))))))))))))))</f>
        <v/>
      </c>
      <c r="CA335" s="50" t="str">
        <f>IF(Atletas!S326="","",IF(Atletas!X326&lt;&gt;"",10000,0)+IF(Atletas!B326="Feminino",1000,IF(Atletas!B326="Masculino",2000,""))+IF(Atletas!S326="Gun A",701,IF(Atletas!S326="Qiang A",702,IF(Atletas!S326="Pudao / Guandao A",703,IF(Atletas!S326="Outra Arma Longa A",704,IF(Atletas!S326="Gun B",705,IF(Atletas!S326="Qiang B",706,IF(Atletas!S326="Pudao / Guandao B",707,IF(Atletas!S326="Outra Arma Longa B",708,IF(Atletas!S326="Gun C",709,IF(Atletas!S326="Qiang C",710,IF(Atletas!S326="Pudao / Guandao C",711,IF(Atletas!S326="Outra Arma Longa C",712,IF(Atletas!S326="Gun D",713,IF(Atletas!S326="Qiang D",714,IF(Atletas!S326="Pudao / Guandao D",715,IF(Atletas!S326="Outra Arma Longa D",716,IF(Atletas!S326="Gun E",717,IF(Atletas!S326="Qiang E",718,IF(Atletas!S326="Pudao / Guandao E",719,IF(Atletas!S326="Outra Arma Longa E",720,IF(Atletas!S326="Gun F",721,IF(Atletas!S326="Qiang F",722,IF(Atletas!S326="Pudao / Guandao F",723,IF(Atletas!S326="Outra Arma Longa F",724,"")))))))))))))))))))))))))</f>
        <v/>
      </c>
      <c r="CB335" s="50" t="str">
        <f>IF(Atletas!T326="","",IF(Atletas!X326&lt;&gt;"",10000,0)+IF(Atletas!B326="Feminino",1000,IF(Atletas!B326="Masculino",2000,""))+IF(Atletas!T326="Outra Arma Dupla A",801,IF(Atletas!T326="Arma Maleável A",802,IF(Atletas!T326="Outra Arma Dupla B",803,IF(Atletas!T326="Arma Maleável B",804,IF(Atletas!T326="Outra Arma Dupla C",805,IF(Atletas!T326="Arma Maleável C",806,IF(Atletas!T326="Outra Arma Dupla D",807,IF(Atletas!T326="Arma Maleável D",808,IF(Atletas!T326="Outra Arma Dupla E",809,IF(Atletas!T326="Arma Maleável E",810,IF(Atletas!T326="Outra Arma Dupla F",811,IF(Atletas!T326="Arma Maleável F",812,IF(Atletas!T326="Shuangdao A",813,IF(Atletas!T326="Shuangdao B",814,IF(Atletas!T326="Shuangdao C",815,IF(Atletas!T326="Shuangdao D",816,IF(Atletas!T326="Shuangdao E",817,IF(Atletas!T326="Shuangdao F",818,"")))))))))))))))))))</f>
        <v/>
      </c>
      <c r="CC335" s="50" t="str">
        <f>IF(Atletas!U326="","",IF(Atletas!X326&lt;&gt;"",10000,0)+IF(Atletas!B326="Feminino",1000,IF(Atletas!B326="Masculino",2000,""))+IF(OR(Atletas!U326="Taijijian Yang A",Atletas!U326="Taijijian Yang Standard A"),901,IF(OR(Atletas!U326="Taijijian Chen A", Atletas!U326="Taijijian Chen Standard A"),902,IF(Atletas!U326="Taijijian Sun A",903,IF(Atletas!U326="Taijijian Wu A",904,IF(Atletas!U326="Taijijian Wu-Hao A",905,IF(OR(Atletas!U326="Taijijian 32 A",Atletas!U326="Taijijian 42 A"),906,IF(OR(Atletas!U326="Taijijian Yang B",Atletas!U326="Taijijian Yang Standard B"),907,IF(OR(Atletas!U326="Taijijian Chen B", Atletas!U326="Taijijian Chen Standard B"),908,IF(Atletas!U326="Taijijian Sun B",909,IF(Atletas!U326="Taijijian Wu B",910,IF(Atletas!U326="Taijijian Wu-Hao B",911,IF(OR(Atletas!U326="Taijijian 32 B",Atletas!U326="Taijijian 42 B"),912,IF(OR(Atletas!U326="Taijijian Yang C",Atletas!U326="Taijijian Yang Standard C"),913,IF(OR(Atletas!U326="Taijijian Chen C", Atletas!U326="Taijijian Chen Standard C"),914,IF(Atletas!U326="Taijijian Sun C",915,IF(Atletas!U326="Taijijian Wu C",916,IF(Atletas!U326="Taijijian Wu-Hao C",917,IF(OR(Atletas!U326="Taijijian 32 C",Atletas!U326="Taijijian 42 C"),918,IF(OR(Atletas!U326="Taijijian Yang D",Atletas!U326="Taijijian Yang Standard D"),919,IF(OR(Atletas!U326="Taijijian Chen D", Atletas!U326="Taijijian Chen Standard D"),920,IF(Atletas!U326="Taijijian Sun D",921,IF(Atletas!U326="Taijijian Wu D",922,IF(Atletas!U326="Taijijian Wu-Hao D",923,IF(OR(Atletas!U326="Taijijian 32 D",Atletas!U326="Taijijian 42 D"),924,IF(OR(Atletas!U326="Taijijian Yang E",Atletas!U326="Taijijian Yang Standard E"),925,IF(OR(Atletas!U326="Taijijian Chen E", Atletas!U326="Taijijian Chen Standard E"),926,IF(Atletas!U326="Taijijian Sun E",927,IF(Atletas!U326="Taijijian Wu E",928,IF(Atletas!U326="Taijijian Wu-Hao E",929,IF(OR(Atletas!U326="Taijijian 32 E",Atletas!U326="Taijijian 42 E"),930,IF(OR(Atletas!U326="Taijijian Yang F",Atletas!U326="Taijijian Yang Standard F"),931,IF(OR(Atletas!U326="Taijijian Chen F", Atletas!U326="Taijijian Chen Standard F"),932,IF(Atletas!U326="Taijijian Sun F",933,IF(Atletas!U326="Taijijian Wu F",934,IF(Atletas!U326="Taijijian Wu-Hao F",935,IF(OR(Atletas!U326="Taijijian 32 F",Atletas!U326="Taijijian 42 F"),936,"")))))))))))))))))))))))))))))))))))))</f>
        <v/>
      </c>
      <c r="CD335" s="50" t="str">
        <f>IF(Atletas!V326="","",IF(Atletas!X326&lt;&gt;"",10000,0)+IF(Atletas!B326="Feminino",1000,IF(Atletas!B326="Masculino",2000,""))+IF(Atletas!V326="Taijidao A",937,IF(Atletas!V326="TaijiShanzi A",938,IF(Atletas!V326="Taijiqiang A",939,IF(Atletas!V326="Bagua de Arma A",940,IF(Atletas!V326="Xingyi de Arma A",941,IF(Atletas!V326="Taijidao B",942,IF(Atletas!V326="TaijiShanzi B",943,IF(Atletas!V326="Taijiqiang B",944,IF(Atletas!V326="Bagua de Arma B",945,IF(Atletas!V326="Xingyi de Arma B",946,IF(Atletas!V326="Taijidao C",947,IF(Atletas!V326="TaijiShanzi C",948,IF(Atletas!V326="Taijiqiang C",949,IF(Atletas!V326="Bagua de Arma C",950,IF(Atletas!V326="Xingyi de Arma C",951,IF(Atletas!V326="Taijidao D",952,IF(Atletas!V326="TaijiShanzi D",953,IF(Atletas!V326="Taijiqiang D",954,IF(Atletas!V326="Bagua de Arma D",955,IF(Atletas!V326="Xingyi de Arma D",956,IF(Atletas!V326="Taijidao E",957,IF(Atletas!V326="TaijiShanzi E",958,IF(Atletas!V326="Taijiqiang E",959,IF(Atletas!V326="Bagua de Arma E",960,IF(Atletas!V326="Xingyi de Arma E",961,IF(Atletas!V326="Taijidao F",962,IF(Atletas!V326="TaijiShanzi F",963,IF(Atletas!V326="Taijiqiang F",964,IF(Atletas!V326="Bagua de Arma F",965,IF(Atletas!V326="Xingyi de Arma F",966,"")))))))))))))))))))))))))))))))</f>
        <v/>
      </c>
      <c r="CE335" s="66" t="str">
        <f>IF(CF335&lt;&gt;"","Taijijian Wu-Hao F","")</f>
        <v/>
      </c>
      <c r="CF335" s="6" t="str">
        <f>IF(COUNTIF(BR:CD,1935)&gt;0,COUNTIF(BR:CD,1935),"")</f>
        <v/>
      </c>
      <c r="CG335" s="66" t="str">
        <f>IF(CH335&lt;&gt;"","Taijijian Wu-Hao F","")</f>
        <v/>
      </c>
      <c r="CH335" s="66" t="str">
        <f>IF(COUNTIF(BR:CD,2935)&gt;0,COUNTIF(BR:CD,2935),"")</f>
        <v/>
      </c>
      <c r="CI335" s="66" t="str">
        <f>IF(CJ336&lt;&gt;"","Taijishan C","")</f>
        <v/>
      </c>
      <c r="CJ335" s="66" t="str">
        <f>IF(COUNTIF(BR:CD,11947)&gt;0,COUNTIF(BR:CD,11947),"")</f>
        <v/>
      </c>
      <c r="CK335" s="66" t="str">
        <f>IF(CL335&lt;&gt;"","Taijidao C","")</f>
        <v/>
      </c>
      <c r="CL335" s="66" t="str">
        <f>IF(COUNTIF(BR:CD,12947)&gt;0,COUNTIF(BR:CD,12947),"")</f>
        <v/>
      </c>
      <c r="CM335" s="50" t="str">
        <f xml:space="preserve"> IF(Atletas!W326="","",IF(Atletas!W326="Duilian de Mãos BC - Equipe 1",1,IF(Atletas!W326="Duilian de Mãos BC - Equipe 2",2,IF(Atletas!W326="Duilian de Armas BC - Equipe 1",3,IF(Atletas!W326="Duilian de Armas BC - Equipe 2",4,IF(Atletas!W326="Duilian de Mãos DE - Equipe 1",5,IF(Atletas!W326="Duilian de Mãos DE - Equipe 2",6,IF(Atletas!W326="Duilian de Armas DE - Equipe 1",7,IF(Atletas!W326="Duilian de Armas DE - Equipe 2",8,IF(Atletas!W326="Duilian de Tuishou - Equipe 1",9,IF(Atletas!W326="Duilian de Tuishou - Equipe 2",10,IF(Atletas!W326="Grupo Externo ABC - Equipe 1",11,IF(Atletas!W326="Grupo Externo ABC - Equipe 2",12,IF(Atletas!W326="Grupo Interno ABC - Equipe 1",13,IF(Atletas!W326="Grupo Interno ABC - Equipe 2",14,IF(Atletas!W326="Grupo Externo DEF - Equipe 1",15,IF(Atletas!W326="Grupo Externo DEF - Equipe 2",16,IF(Atletas!W326="Grupo Interno DEF - Equipe 1",17,IF(Atletas!W326="Grupo Interno DEF - Equipe 2",18,"")))))))))))))))))))</f>
        <v/>
      </c>
    </row>
    <row r="336" spans="40:91">
      <c r="AN336" s="52" t="str">
        <f>IF(Atletas!D327="","",IF(Atletas!B327="Feminino",100,IF(Atletas!B327="Masculino",200,""))+(IF(Atletas!D327="Kids 30kg",1,IF(Atletas!D327="Kids 32kg",2, IF(Atletas!D327="Kids 34kg",3,IF(Atletas!D327="Kids 36kg",4,IF(Atletas!D327="Kids 39kg",5,IF(Atletas!D327="Kids 42kg",6,IF(Atletas!D327="Kids 45kg",7, IF(Atletas!D327="Infantil 39kg",8,IF(Atletas!D327="Infantil 42kg",9,IF(Atletas!D327="Infantil 45kg",10,IF(Atletas!D327="Infantil 48kg",11,IF(Atletas!D327="Infantil 52kg",12,IF(Atletas!D327="Infantil 56kg",13,IF(Atletas!D327="Infantil 60kg",14,IF(Atletas!D327="Juvenil 48kg",15,IF(Atletas!D327="Juvenil 52kg",16,IF(Atletas!D327="Juvenil 56kg",17,IF(Atletas!D327="Juvenil 60kg",18,IF(Atletas!D327="Juvenil 65kg",19,IF(Atletas!D327="Juvenil 70kg",20,IF(Atletas!D327="Juvenil 75kg",21,IF(Atletas!D327="Juvenil 80kg",22, IF(Atletas!D327="Juvenil 85kg",23,IF(Atletas!D327="Adulto 48kg",24,IF(Atletas!D327="Adulto 52kg",25,IF(Atletas!D327="Adulto 56kg",26,IF(Atletas!D327="Adulto 60kg",27,IF(Atletas!D327="Adulto 65kg",28,IF(Atletas!D327="Adulto 70kg",29,IF(Atletas!D327="Adulto 75kg",30,IF(Atletas!D327="Adulto 80kg",31,IF(Atletas!D327="Adulto 85kg",32,IF(Atletas!D327="Adulto 90kg",33,IF(Atletas!D327="Adulto 100kg",34, IF(Atletas!D327="Adulto +100kg",35,"")))))))))))))))))))))))))))))))))))))</f>
        <v/>
      </c>
      <c r="AS336" s="6" t="str">
        <f>IF(Atletas!E327="","",IF(Atletas!B327="Feminino",100,IF(Atletas!B327="Masculino",200,""))+(IF(Atletas!E327="Juvenil 44kg",1,IF(Atletas!E327="Juvenil 48kg",2,IF(Atletas!E327="Juvenil 52kg",3,IF(Atletas!E327="Juvenil 56kg",4,IF(Atletas!E327="Juvenil 60kg",5,IF(Atletas!E327="Juvenil 65kg",6,IF(Atletas!E327="Juvenil 70kg",7,IF(Atletas!E327="Juvenil 75kg",8,IF(Atletas!E327="Juvenil 82kg",9,IF(Atletas!E327="Juvenil 90kg",10,IF(Atletas!E327="Juvenil 100kg",11,IF(Atletas!E327="Adulto 48kg",12,IF(Atletas!E327="Adulto 52kg",13,IF(Atletas!E327="Adulto 56kg",14,IF(Atletas!E327="Adulto 60kg",15,IF(Atletas!E327="Adulto 65kg",16,IF(Atletas!E327="Adulto 70kg",17,IF(Atletas!E327="Adulto 75kg",18,IF(Atletas!E327="Adulto 82kg",19,IF(Atletas!E327="Adulto 90kg",20,IF(Atletas!E327="Adulto 100kg",21,IF(Atletas!E327="Adulto +100kg",22,""))))))))))))))))))))))))</f>
        <v/>
      </c>
      <c r="AX336" s="6" t="str">
        <f>IF(Atletas!F327="","",IF(Atletas!B327="Feminino",100,IF(Atletas!B327="Masculino",200,""))+(IF(Atletas!F327="Adulto 48kg",1,IF(Atletas!F327="Adulto 56kg",2,IF(Atletas!F327="Adulto 65kg",3,IF(Atletas!F327="Adulto 75kg",4,IF(Atletas!F327="Adulto +75kg",5,IF(Atletas!F327="Adulto 52kg",6,IF(Atletas!F327="Adulto 60kg",7,IF(Atletas!F327="Adulto 70kg",8,IF(Atletas!F327="Adulto 80kg",9,IF(Atletas!F327="Adulto 90kg",10,IF(Atletas!F327="Adulto +90kg",11,"")))))))))))))</f>
        <v/>
      </c>
      <c r="BC336" s="6" t="str">
        <f>IF(Atletas!G327="","",IF(Atletas!B327="Feminino",10,IF(Atletas!B327="Masculino",20,""))+(IF(Atletas!G327="Baduanjin A",1,IF(Atletas!G327="Baduanjin B",2))))</f>
        <v/>
      </c>
      <c r="BF336" s="52" t="str">
        <f>IF(Atletas!H327="","",IF(Atletas!B327="Feminino",100,IF(Atletas!B327="Masculino",200,""))+(IF(Atletas!H327="Changquan Mirim",1,IF(Atletas!H327="Nanquan Mirim",2,IF(Atletas!H327="Taijiquan Mirim",3,IF(Atletas!H327="Changquan Grupo C",4,IF(Atletas!H327="Nanquan Grupo C",5,IF(Atletas!H327="Taijiquan Grupo C",6,IF(Atletas!H327="Changquan Grupo B",7,IF(Atletas!H327="Nanquan Grupo B",8,IF(Atletas!H327="Taijiquan Grupo B",9,IF(Atletas!H327="Changquan Grupo A",10,IF(Atletas!H327="Nanquan Grupo A",11,IF(Atletas!H327="Taijiquan Grupo A",12,IF(Atletas!H327="Changquan Opcional",13,IF(Atletas!H327="Nanquan Opcional",14,IF(Atletas!H327="Taijiquan Opcional",15,IF(Atletas!H327="Changquan Adulto",16,IF(Atletas!H327="Nanquan Adulto",17,IF(Atletas!H327="Taijiquan Adulto",18,""))))))))))))))))))))</f>
        <v/>
      </c>
      <c r="BG336" s="52" t="str">
        <f>IF(Atletas!I327="","",IF(Atletas!B327="Feminino",100,IF(Atletas!B327="Masculino",200,""))+(IF(Atletas!I327="Daoshu Mirim",19,IF(Atletas!I327="Jianshu Mirim",20,IF(Atletas!I327="Nandao Mirim",21,IF(Atletas!I327="Taijijian Mirim",22,IF(Atletas!I327="Daoshu Grupo C",23,IF(Atletas!I327="Jianshu Grupo C",24,IF(Atletas!I327="Nandao Grupo C",25,IF(Atletas!I327="Taijijian Grupo C",26,IF(Atletas!I327="Daoshu Grupo B",27,IF(Atletas!I327="Jianshu Grupo B",28,IF(Atletas!I327="Nandao Grupo B",29,IF(Atletas!I327="Taijijian Grupo B",30,IF(Atletas!I327="Daoshu Grupo A",31,IF(Atletas!I327="Jianshu Grupo A",32,IF(Atletas!I327="Nandao Grupo A",33,IF(Atletas!I327="Taijijian Grupo A",34,IF(Atletas!I327="Daoshu Opcional",35,IF(Atletas!I327="Jianshu Opcional",36,IF(Atletas!I327="Nandao Opcional",37,IF(Atletas!I327="Taijijian Opcional",38,IF(Atletas!I327="Daoshu Adulto",39,IF(Atletas!I327="Jianshu Adulto",40,IF(Atletas!I327="Nandao Adulto",41,IF(Atletas!I327="Taijijian Adulto",42,""))))))))))))))))))))))))))</f>
        <v/>
      </c>
      <c r="BH336" s="52" t="str">
        <f>IF(Atletas!J327="","",IF(Atletas!B327="Feminino",100,IF(Atletas!B327="Masculino",200,""))+(IF(Atletas!J327="Gunshu Mirim",43,IF(Atletas!J327="Qiangshu Mirim",44,IF(Atletas!J327="Nangun Mirim",45,IF(Atletas!J327="Gunshu Grupo C",46,IF(Atletas!J327="Qiangshu Grupo C",47,IF(Atletas!J327="Nangun Grupo C",48,IF(Atletas!J327="Gunshu Grupo B",49,IF(Atletas!J327="Qiangshu Grupo B",50,IF(Atletas!J327="Nangun Grupo B",51,IF(Atletas!J327="Gunshu Grupo A",52,IF(Atletas!J327="Qiangshu Grupo A",53,IF(Atletas!J327="Nangun Grupo A",54,IF(Atletas!J327="Gunshu Opcional",55,IF(Atletas!J327="Qiangshu Opcional",56,IF(Atletas!J327="Nangun Opcional",57,IF(Atletas!J327="Gunshu Adulto",58,IF(Atletas!J327="Qiangshu Adulto",59,IF(Atletas!J327="Nangun Adulto",60,IF(Atletas!J327="Taijishan Grupo B",61,IF(Atletas!J327="Taijishan Grupo A",62,""))))))))))))))))))))))</f>
        <v/>
      </c>
      <c r="BM336" s="50" t="str">
        <f>IF(Atletas!K327="","",IF(Atletas!B327="Feminino",100,IF(Atletas!B327="Masculino",200,""))+(IF(Atletas!K327="Equipe 1 Grupo B",1,IF(Atletas!K327="Equipe 2 Grupo B",2,IF(Atletas!K327="Equipe 1 Grupo A",3,IF(Atletas!K327="Equipe 2 Grupo A",4,IF(Atletas!K327="Equipe 1 Adulto",5,IF(Atletas!K327="Equipe 2 Adulto",6,""))))))))</f>
        <v/>
      </c>
      <c r="BR336" s="50" t="str">
        <f>IF(Atletas!L327="","",IF(Atletas!X327&lt;&gt;"",10000,0)+(IF(Atletas!B327="Feminino",1000,IF(Atletas!B327="Masculino",2000,""))+IF(Atletas!L327="Choylayfut A",1,IF(Atletas!L327="Hunggar A",2,IF(Atletas!L327="Wuzuquan A",3,IF(Atletas!L327="Wingchun A",4,IF(Atletas!L327="Outra Mão de Sul A",5,IF(Atletas!L327="Choylayfut B",6,IF(Atletas!L327="Hunggar B",7,IF(Atletas!L327="Wuzuquan B",8,IF(Atletas!L327="Wingchun B",9,IF(Atletas!L327="Outra Mão de Sul B",10,IF(Atletas!L327="Choylayfut C",11,IF(Atletas!L327="Hunggar C",12,IF(Atletas!L327="Wuzuquan C",13,IF(Atletas!L327="Wingchun C",14,IF(Atletas!L327="Outra Mão de Sul C",15,IF(Atletas!L327="Choylayfut D",16,IF(Atletas!L327="Hunggar D",17,IF(Atletas!L327="Wuzuquan D",18,IF(Atletas!L327="Wingchun D",19,IF(Atletas!L327="Outra Mão de Sul D",20,IF(Atletas!L327="Choylayfut E",21,IF(Atletas!L327="Hunggar E",22,IF(Atletas!L327="Wuzuquan E",23,IF(Atletas!L327="Wingchun E",24,IF(Atletas!L327="Outra Mão de Sul E",25,IF(Atletas!L327="Choylayfut F",26,IF(Atletas!L327="Hunggar F",27,IF(Atletas!L327="Wuzuquan F",28,IF(Atletas!L327="Wingchun F",29,IF(Atletas!L327="Outra Mão de Sul F",30,IF(Atletas!L327="Dishuquan A",31,IF(Atletas!L327="Dishuquan B",32,IF(Atletas!L327="Dishuquan C",33,IF(Atletas!L327="Dishuquan D",34,IF(Atletas!L327="Dishuquan E",35,IF(Atletas!L327="Dishuquan F",36,""))))))))))))))))))))))))))))))))))))))</f>
        <v/>
      </c>
      <c r="BS336" s="50" t="str">
        <f>IF(Atletas!M327="","",IF(Atletas!X327&lt;&gt;"",10000,0)+(IF(Atletas!B327="Feminino",1000,IF(Atletas!B327="Masculino",2000,""))+(IF(Atletas!M327="Chaquan A",101,IF(Atletas!M327="Emeiquan A",102,IF(Atletas!M327="Fanziquan A",103,IF(Atletas!M327="Huaquan A",104,IF(Atletas!M327="Hongquan A",105,IF(Atletas!M327="Paoquan A",106,IF(Atletas!M327="Piguaquan A",107,IF(Atletas!M327="Shaolinquan A",108,IF(Atletas!M327="Tanglangquan A",109,IF(Atletas!M327="Yingzhaoquan A",110,IF(Atletas!M327="Tongbeiquan A",111,IF(Atletas!M327="Wudangquan A",112,IF(Atletas!M327="Outros Estilos A",113,IF(Atletas!M327="Chaquan B",114,IF(Atletas!M327="Emeiquan B",115,IF(Atletas!M327="Fanziquan B",116,IF(Atletas!M327="Huaquan B",117,IF(Atletas!M327="Hongquan B",118,IF(Atletas!M327="Paoquan B",119,IF(Atletas!M327="Piguaquan B",120,IF(Atletas!M327="Shaolinquan B",121,IF(Atletas!M327="Tanglangquan B",122,IF(Atletas!M327="Yingzhaoquan B",123,IF(Atletas!M327="Tongbeiquan B",124,IF(Atletas!M327="Wudangquan B",125,IF(Atletas!M327="Outros Estilos B",126,IF(Atletas!M327="Chaquan C",127,IF(Atletas!M327="Emeiquan C",128,IF(Atletas!M327="Fanziquan C",129,IF(Atletas!M327="Huaquan C",130,IF(Atletas!M327="Hongquan C",131,IF(Atletas!M327="Paoquan C",132,IF(Atletas!M327="Piguaquan C",133,IF(Atletas!M327="Shaolinquan C",134,IF(Atletas!M327="Tanglangquan C",135,IF(Atletas!M327="Yingzhaoquan C",136,IF(Atletas!M327="Tongbeiquan C",137,IF(Atletas!M327="Wudangquan C",138,IF(Atletas!M327="Outros Estilos C",139,0))))))))))))))))))))))))))))))))))))))))))</f>
        <v/>
      </c>
      <c r="BT336" s="50" t="str">
        <f>IF(Atletas!M327="","",IF(Atletas!X327&lt;&gt;"",10000,0)+(IF(Atletas!B327="Feminino",1000,IF(Atletas!B327="Masculino",2000,""))+(IF(Atletas!M327="Chaquan D",140,IF(Atletas!M327="Emeiquan D",141,IF(Atletas!M327="Fanziquan D",142,IF(Atletas!M327="Huaquan D",143,IF(Atletas!M327="Hongquan D",144,IF(Atletas!M327="Paoquan D",145,IF(Atletas!M327="Piguaquan D",146,IF(Atletas!M327="Shaolinquan D",147,IF(Atletas!M327="Tanglangquan D",148,IF(Atletas!M327="Yingzhaoquan D",149,IF(Atletas!M327="Tongbeiquan D",150,IF(Atletas!M327="Wudangquan D",151,IF(Atletas!M327="Outros Estilos D",152,IF(Atletas!M327="Chaquan E",153,IF(Atletas!M327="Emeiquan E",154,IF(Atletas!M327="Fanziquan E",155,IF(Atletas!M327="Huaquan E",156,IF(Atletas!M327="Hongquan E",157,IF(Atletas!M327="Paoquan E",158,IF(Atletas!M327="Piguaquan E",159,IF(Atletas!M327="Shaolinquan E",160,IF(Atletas!M327="Tanglangquan E",161,IF(Atletas!M327="Yingzhaoquan E",162,IF(Atletas!M327="Tongbeiquan E",163,IF(Atletas!M327="Wudangquan E",164,IF(Atletas!M327="Outros Estilos E",165,IF(Atletas!M327="Chaquan F",166,IF(Atletas!M327="Emeiquan F",167,IF(Atletas!M327="Fanziquan F",168,IF(Atletas!M327="Huaquan F",169,IF(Atletas!M327="Hongquan F",170,IF(Atletas!M327="Paoquan F",171,IF(Atletas!M327="Piguaquan F",172,IF(Atletas!M327="Shaolinquan F",173,IF(Atletas!M327="Tanglangquan F",174,IF(Atletas!M327="Yingzhaoquan F",175,IF(Atletas!M327="Tongbeiquan F",176,IF(Atletas!M327="Wudangquan F",177,IF(Atletas!M327="Outros Estilos F",178,0))))))))))))))))))))))))))))))))))))))))))</f>
        <v/>
      </c>
      <c r="BU336" s="50" t="str">
        <f>IF(Atletas!N327="","",IF(Atletas!X327&lt;&gt;"",10000,0)+(IF(Atletas!B327="Feminino",1000,IF(Atletas!B327="Masculino",2000,""))+(IF(Atletas!N327="Ditangquan A",201,IF(Atletas!N327="Houquan A",202,IF(Atletas!N327="Zuiquan A",203,IF(Atletas!N327="Ditangquan B",204,IF(Atletas!N327="Houquan B",205,IF(Atletas!N327="Zuiquan B",206,IF(Atletas!N327="Ditangquan C",207,IF(Atletas!N327="Houquan C",208,IF(Atletas!N327="Zuiquan C",209,IF(Atletas!N327="Ditangquan D",210,IF(Atletas!N327="Houquan D",211,IF(Atletas!N327="Zuiquan D",212,IF(Atletas!N327="Ditangquan E",213,IF(Atletas!N327="Houquan E",214,IF(Atletas!N327="Zuiquan E",215,IF(Atletas!N327="Ditangquan F",216,IF(Atletas!N327="Houquan F",217,IF(Atletas!N327="Zuiquan F",218,"")))))))))))))))))))))</f>
        <v/>
      </c>
      <c r="BV336" s="50" t="str">
        <f>IF(Atletas!O327="","",IF(Atletas!X327&lt;&gt;"",10000,0)+IF(Atletas!B327="Feminino",1000,IF(Atletas!B327="Masculino",2000,""))+IF(Atletas!O327="Yang A",301,IF(Atletas!O327="Chen A",302,IF(Atletas!O327="Sun A",303,IF(Atletas!O327="Wu A",304,IF(Atletas!O327="Wu-Hao A",305,IF(Atletas!O327="Outro Taijiquan A",306,IF(Atletas!O327="Yang B",307,IF(Atletas!O327="Chen B",308,IF(Atletas!O327="Sun B",309,IF(Atletas!O327="Wu B",310,IF(Atletas!O327="Wu-Hao B",311,IF(Atletas!O327="Outro Taijiquan B",312,IF(Atletas!O327="Yang C",313,IF(Atletas!O327="Chen C",314,IF(Atletas!O327="Sun C",315,IF(Atletas!O327="Wu C",316,IF(Atletas!O327="Wu-Hao C",317,IF(Atletas!O327="Outro Taijiquan C",318,IF(Atletas!O327="Yang D",319,IF(Atletas!O327="Chen D",320,IF(Atletas!O327="Sun D",321,IF(Atletas!O327="Wu D",322,IF(Atletas!O327="Wu-Hao D",323,IF(Atletas!O327="Outro Taijiquan D",324,IF(Atletas!O327="Yang E",325,IF(Atletas!O327="Chen E",326,IF(Atletas!O327="Sun E",327,IF(Atletas!O327="Wu E",328,IF(Atletas!O327="Wu-Hao E",329,IF(Atletas!O327="Outro Taijiquan E",330,IF(Atletas!O327="Yang F",331,IF(Atletas!O327="Chen F",332,IF(Atletas!O327="Sun F",333,IF(Atletas!O327="Wu F",334,IF(Atletas!O327="Wu-Hao F",335,IF(Atletas!O327="Outro Taijiquan F",336,"")))))))))))))))))))))))))))))))))))))</f>
        <v/>
      </c>
      <c r="BW336" s="50" t="str">
        <f>IF(Atletas!P327="","",IF(Atletas!X327&lt;&gt;"",10000,0)+IF(Atletas!B327="Feminino",1000,IF(Atletas!B327="Masculino",2000,""))+IF(OR(Atletas!P327="Yang 26 A",Atletas!P327="Yang 40 A"),401,IF(OR(Atletas!P327="Chen 25 A",Atletas!P327="Chen 36 A",Atletas!P327="Chen 56 A"),402,IF(Atletas!P327="Sun 73 A",403,IF(Atletas!P327="Wu 45 A",404,IF(Atletas!P327="Wu-Hao 46 A",405,IF(OR(Atletas!P327="Taijiquan 16 A",Atletas!P327="Taijiquan 24 A",Atletas!P327="Taijiquan 32 A",Atletas!P327="Taijiquan 42 A"),406,IF(OR(Atletas!P327="Yang 26 B",Atletas!P327="Yang 40 B"),407,IF(OR(Atletas!P327="Chen 25 B",Atletas!P327="Chen 36 B",Atletas!P327="Chen 56 B"),408,IF(Atletas!P327="Sun 73 B",409,IF(Atletas!P327="Wu 45 B",410,IF(Atletas!P327="Wu-Hao 46 B",411,IF(OR(Atletas!P327="Taijiquan 16 B",Atletas!P327="Taijiquan 24 B",Atletas!P327="Taijiquan 32 B",Atletas!P327="Taijiquan 42 B"),412,IF(OR(Atletas!P327="Yang 26 C",Atletas!P327="Yang 40 C"),413,IF(OR(Atletas!P327="Chen 25 C",Atletas!P327="Chen 36 C",Atletas!P327="Chen 56 C"),414,IF(Atletas!P327="Sun 73 C",415,IF(Atletas!P327="Wu 45 C",416,IF(Atletas!P327="Wu-Hao 46 C",417,IF(OR(Atletas!P327="Taijiquan 16 C",Atletas!P327="Taijiquan 24 C",Atletas!P327="Taijiquan 32 C",Atletas!P327="Taijiquan 42 C"),418,0)))))))))))))))))))</f>
        <v/>
      </c>
      <c r="BX336" s="50" t="str">
        <f>IF(Atletas!P327="","",IF(Atletas!X327&lt;&gt;"",10000,0)+IF(Atletas!B327="Feminino",1000,IF(Atletas!B327="Masculino",2000,""))+IF(OR(Atletas!P327="Yang 26 D",Atletas!P327="Yang 40 D"),419,IF(OR(Atletas!P327="Chen 25 D",Atletas!P327="Chen 36 D",Atletas!P327="Chen 56 D"),420,IF(Atletas!P327="Sun 73 D",421,IF(Atletas!P327="Wu 45 D",422,IF(Atletas!P327="Wu-Hao 46 D",423,IF(OR(Atletas!P327="Taijiquan 16 D",Atletas!P327="Taijiquan 24 D",Atletas!P327="Taijiquan 32 D",Atletas!P327="Taijiquan 42 D"),424,IF(OR(Atletas!P327="Yang 26 E",Atletas!P327="Yang 40 E"),425,IF(OR(Atletas!P327="Chen 25 E",Atletas!P327="Chen 36 E",Atletas!P327="Chen 56 E"),426,IF(Atletas!P327="Sun 73 E",427,IF(Atletas!P327="Wu 45 E",428,IF(Atletas!P327="Wu-Hao 46 E",429,IF(OR(Atletas!P327="Taijiquan 16 E",Atletas!P327="Taijiquan 24 E",Atletas!P327="Taijiquan 32 E",Atletas!P327="Taijiquan 42 E"),430,IF(OR(Atletas!P327="Yang 26 F",Atletas!P327="Yang 40 F"),431,IF(OR(Atletas!P327="Chen 25 F",Atletas!P327="Chen 36 F",Atletas!P327="Chen 56 F"),432,IF(Atletas!P327="Sun 73 F",433,IF(Atletas!P327="Wu 45 F",434,IF(Atletas!P327="Wu-Hao 46 F",435,IF(OR(Atletas!P327="Taijiquan 16 F",Atletas!P327="Taijiquan 24 F",Atletas!P327="Taijiquan 32 F",Atletas!P327="Taijiquan 42 F"),436,0)))))))))))))))))))</f>
        <v/>
      </c>
      <c r="BY336" s="50" t="str">
        <f>IF(Atletas!Q327="","",IF(Atletas!X327&lt;&gt;"",10000,0)+IF(Atletas!B327="Feminino",1000,IF(Atletas!B327="Masculino",2000,""))+IF(Atletas!Q327="Xingyiquan A",501,IF(Atletas!Q327="Baguazhang A",502,IF(Atletas!Q327="Outro Estilo Interno A",503,IF(Atletas!Q327="Xingyiquan B",504,IF(Atletas!Q327="Baguazhang B",505,IF(Atletas!Q327="Outro Estilo Interno B",506,IF(Atletas!Q327="Xingyiquan C",507,IF(Atletas!Q327="Baguazhang C",508,IF(Atletas!Q327="Outro Estilo Interno C",509,IF(Atletas!Q327="Xingyiquan D",510,IF(Atletas!Q327="Baguazhang D",511,IF(Atletas!Q327="Outro Estilo Interno D",512,IF(Atletas!Q327="Xingyiquan E",513,IF(Atletas!Q327="Baguazhang E",514,IF(Atletas!Q327="Outro Estilo Interno E",515,IF(Atletas!Q327="Xingyiquan F",516,IF(Atletas!Q327="Baguazhang F",517,IF(Atletas!Q327="Outro Estilo Interno F",518, "")))))))))))))))))))</f>
        <v/>
      </c>
      <c r="BZ336" s="50" t="str">
        <f>IF(Atletas!R327="","",IF(Atletas!X327&lt;&gt;"",10000,0)+IF(Atletas!B327="Feminino",1000,IF(Atletas!B327="Masculino",2000,""))+IF(Atletas!R327="Dao A",601,IF(Atletas!R327="Jian A",602,IF(Atletas!R327="Bishou A",603,IF(Atletas!R327="Shanzi A",604,IF(Atletas!R327="Outra Arma Curta A",605,IF(Atletas!R327="Dao B",606,IF(Atletas!R327="Jian B",607,IF(Atletas!R327="Bishou B",608,IF(Atletas!R327="Shanzi B",609,IF(Atletas!R327="Outra Arma Curta B",610,IF(Atletas!R327="Dao C",611,IF(Atletas!R327="Jian C",612,IF(Atletas!R327="Bishou C",613,IF(Atletas!R327="Shanzi C",614,IF(Atletas!R327="Outra Arma Curta C",615,IF(Atletas!R327="Dao D",616,IF(Atletas!R327="Jian D",617,IF(Atletas!R327="Bishou D",618,IF(Atletas!R327="Shanzi D",619,IF(Atletas!R327="Outra Arma Curta D",620,IF(Atletas!R327="Dao E",621,IF(Atletas!R327="Jian E",622,IF(Atletas!R327="Bishou E",623,IF(Atletas!R327="Shanzi E",624,IF(Atletas!R327="Outra Arma Curta E",625,IF(Atletas!R327="Dao F",626,IF(Atletas!R327="Jian F",627,IF(Atletas!R327="Bishou F",628,IF(Atletas!R327="Shanzi F",629,IF(Atletas!R327="Outra Arma Curta F",630, "")))))))))))))))))))))))))))))))</f>
        <v/>
      </c>
      <c r="CA336" s="50" t="str">
        <f>IF(Atletas!S327="","",IF(Atletas!X327&lt;&gt;"",10000,0)+IF(Atletas!B327="Feminino",1000,IF(Atletas!B327="Masculino",2000,""))+IF(Atletas!S327="Gun A",701,IF(Atletas!S327="Qiang A",702,IF(Atletas!S327="Pudao / Guandao A",703,IF(Atletas!S327="Outra Arma Longa A",704,IF(Atletas!S327="Gun B",705,IF(Atletas!S327="Qiang B",706,IF(Atletas!S327="Pudao / Guandao B",707,IF(Atletas!S327="Outra Arma Longa B",708,IF(Atletas!S327="Gun C",709,IF(Atletas!S327="Qiang C",710,IF(Atletas!S327="Pudao / Guandao C",711,IF(Atletas!S327="Outra Arma Longa C",712,IF(Atletas!S327="Gun D",713,IF(Atletas!S327="Qiang D",714,IF(Atletas!S327="Pudao / Guandao D",715,IF(Atletas!S327="Outra Arma Longa D",716,IF(Atletas!S327="Gun E",717,IF(Atletas!S327="Qiang E",718,IF(Atletas!S327="Pudao / Guandao E",719,IF(Atletas!S327="Outra Arma Longa E",720,IF(Atletas!S327="Gun F",721,IF(Atletas!S327="Qiang F",722,IF(Atletas!S327="Pudao / Guandao F",723,IF(Atletas!S327="Outra Arma Longa F",724,"")))))))))))))))))))))))))</f>
        <v/>
      </c>
      <c r="CB336" s="50" t="str">
        <f>IF(Atletas!T327="","",IF(Atletas!X327&lt;&gt;"",10000,0)+IF(Atletas!B327="Feminino",1000,IF(Atletas!B327="Masculino",2000,""))+IF(Atletas!T327="Outra Arma Dupla A",801,IF(Atletas!T327="Arma Maleável A",802,IF(Atletas!T327="Outra Arma Dupla B",803,IF(Atletas!T327="Arma Maleável B",804,IF(Atletas!T327="Outra Arma Dupla C",805,IF(Atletas!T327="Arma Maleável C",806,IF(Atletas!T327="Outra Arma Dupla D",807,IF(Atletas!T327="Arma Maleável D",808,IF(Atletas!T327="Outra Arma Dupla E",809,IF(Atletas!T327="Arma Maleável E",810,IF(Atletas!T327="Outra Arma Dupla F",811,IF(Atletas!T327="Arma Maleável F",812,IF(Atletas!T327="Shuangdao A",813,IF(Atletas!T327="Shuangdao B",814,IF(Atletas!T327="Shuangdao C",815,IF(Atletas!T327="Shuangdao D",816,IF(Atletas!T327="Shuangdao E",817,IF(Atletas!T327="Shuangdao F",818,"")))))))))))))))))))</f>
        <v/>
      </c>
      <c r="CC336" s="50" t="str">
        <f>IF(Atletas!U327="","",IF(Atletas!X327&lt;&gt;"",10000,0)+IF(Atletas!B327="Feminino",1000,IF(Atletas!B327="Masculino",2000,""))+IF(OR(Atletas!U327="Taijijian Yang A",Atletas!U327="Taijijian Yang Standard A"),901,IF(OR(Atletas!U327="Taijijian Chen A", Atletas!U327="Taijijian Chen Standard A"),902,IF(Atletas!U327="Taijijian Sun A",903,IF(Atletas!U327="Taijijian Wu A",904,IF(Atletas!U327="Taijijian Wu-Hao A",905,IF(OR(Atletas!U327="Taijijian 32 A",Atletas!U327="Taijijian 42 A"),906,IF(OR(Atletas!U327="Taijijian Yang B",Atletas!U327="Taijijian Yang Standard B"),907,IF(OR(Atletas!U327="Taijijian Chen B", Atletas!U327="Taijijian Chen Standard B"),908,IF(Atletas!U327="Taijijian Sun B",909,IF(Atletas!U327="Taijijian Wu B",910,IF(Atletas!U327="Taijijian Wu-Hao B",911,IF(OR(Atletas!U327="Taijijian 32 B",Atletas!U327="Taijijian 42 B"),912,IF(OR(Atletas!U327="Taijijian Yang C",Atletas!U327="Taijijian Yang Standard C"),913,IF(OR(Atletas!U327="Taijijian Chen C", Atletas!U327="Taijijian Chen Standard C"),914,IF(Atletas!U327="Taijijian Sun C",915,IF(Atletas!U327="Taijijian Wu C",916,IF(Atletas!U327="Taijijian Wu-Hao C",917,IF(OR(Atletas!U327="Taijijian 32 C",Atletas!U327="Taijijian 42 C"),918,IF(OR(Atletas!U327="Taijijian Yang D",Atletas!U327="Taijijian Yang Standard D"),919,IF(OR(Atletas!U327="Taijijian Chen D", Atletas!U327="Taijijian Chen Standard D"),920,IF(Atletas!U327="Taijijian Sun D",921,IF(Atletas!U327="Taijijian Wu D",922,IF(Atletas!U327="Taijijian Wu-Hao D",923,IF(OR(Atletas!U327="Taijijian 32 D",Atletas!U327="Taijijian 42 D"),924,IF(OR(Atletas!U327="Taijijian Yang E",Atletas!U327="Taijijian Yang Standard E"),925,IF(OR(Atletas!U327="Taijijian Chen E", Atletas!U327="Taijijian Chen Standard E"),926,IF(Atletas!U327="Taijijian Sun E",927,IF(Atletas!U327="Taijijian Wu E",928,IF(Atletas!U327="Taijijian Wu-Hao E",929,IF(OR(Atletas!U327="Taijijian 32 E",Atletas!U327="Taijijian 42 E"),930,IF(OR(Atletas!U327="Taijijian Yang F",Atletas!U327="Taijijian Yang Standard F"),931,IF(OR(Atletas!U327="Taijijian Chen F", Atletas!U327="Taijijian Chen Standard F"),932,IF(Atletas!U327="Taijijian Sun F",933,IF(Atletas!U327="Taijijian Wu F",934,IF(Atletas!U327="Taijijian Wu-Hao F",935,IF(OR(Atletas!U327="Taijijian 32 F",Atletas!U327="Taijijian 42 F"),936,"")))))))))))))))))))))))))))))))))))))</f>
        <v/>
      </c>
      <c r="CD336" s="50" t="str">
        <f>IF(Atletas!V327="","",IF(Atletas!X327&lt;&gt;"",10000,0)+IF(Atletas!B327="Feminino",1000,IF(Atletas!B327="Masculino",2000,""))+IF(Atletas!V327="Taijidao A",937,IF(Atletas!V327="TaijiShanzi A",938,IF(Atletas!V327="Taijiqiang A",939,IF(Atletas!V327="Bagua de Arma A",940,IF(Atletas!V327="Xingyi de Arma A",941,IF(Atletas!V327="Taijidao B",942,IF(Atletas!V327="TaijiShanzi B",943,IF(Atletas!V327="Taijiqiang B",944,IF(Atletas!V327="Bagua de Arma B",945,IF(Atletas!V327="Xingyi de Arma B",946,IF(Atletas!V327="Taijidao C",947,IF(Atletas!V327="TaijiShanzi C",948,IF(Atletas!V327="Taijiqiang C",949,IF(Atletas!V327="Bagua de Arma C",950,IF(Atletas!V327="Xingyi de Arma C",951,IF(Atletas!V327="Taijidao D",952,IF(Atletas!V327="TaijiShanzi D",953,IF(Atletas!V327="Taijiqiang D",954,IF(Atletas!V327="Bagua de Arma D",955,IF(Atletas!V327="Xingyi de Arma D",956,IF(Atletas!V327="Taijidao E",957,IF(Atletas!V327="TaijiShanzi E",958,IF(Atletas!V327="Taijiqiang E",959,IF(Atletas!V327="Bagua de Arma E",960,IF(Atletas!V327="Xingyi de Arma E",961,IF(Atletas!V327="Taijidao F",962,IF(Atletas!V327="TaijiShanzi F",963,IF(Atletas!V327="Taijiqiang F",964,IF(Atletas!V327="Bagua de Arma F",965,IF(Atletas!V327="Xingyi de Arma F",966,"")))))))))))))))))))))))))))))))</f>
        <v/>
      </c>
      <c r="CE336" s="66" t="str">
        <f>IF(CF336&lt;&gt;"","Taijijian Combinado F","")</f>
        <v/>
      </c>
      <c r="CF336" s="6" t="str">
        <f>IF(COUNTIF(BR:CD,1936)&gt;0,COUNTIF(BR:CD,1936),"")</f>
        <v/>
      </c>
      <c r="CG336" s="66" t="str">
        <f>IF(CH336&lt;&gt;"","Taijijian Combinado F","")</f>
        <v/>
      </c>
      <c r="CH336" s="66" t="str">
        <f>IF(COUNTIF(BR:CD,2936)&gt;0,COUNTIF(BR:CD,2936),"")</f>
        <v/>
      </c>
      <c r="CI336" s="66" t="str">
        <f>IF(CJ337&lt;&gt;"","Taijiqiang C","")</f>
        <v/>
      </c>
      <c r="CJ336" s="66" t="str">
        <f>IF(COUNTIF(BR:CD,11948)&gt;0,COUNTIF(BR:CD,11948),"")</f>
        <v/>
      </c>
      <c r="CK336" s="66" t="str">
        <f>IF(CL336&lt;&gt;"","Taijishan C","")</f>
        <v/>
      </c>
      <c r="CL336" s="66" t="str">
        <f>IF(COUNTIF(BR:CD,12948)&gt;0,COUNTIF(BR:CD,12948),"")</f>
        <v/>
      </c>
      <c r="CM336" s="50" t="str">
        <f xml:space="preserve"> IF(Atletas!W327="","",IF(Atletas!W327="Duilian de Mãos BC - Equipe 1",1,IF(Atletas!W327="Duilian de Mãos BC - Equipe 2",2,IF(Atletas!W327="Duilian de Armas BC - Equipe 1",3,IF(Atletas!W327="Duilian de Armas BC - Equipe 2",4,IF(Atletas!W327="Duilian de Mãos DE - Equipe 1",5,IF(Atletas!W327="Duilian de Mãos DE - Equipe 2",6,IF(Atletas!W327="Duilian de Armas DE - Equipe 1",7,IF(Atletas!W327="Duilian de Armas DE - Equipe 2",8,IF(Atletas!W327="Duilian de Tuishou - Equipe 1",9,IF(Atletas!W327="Duilian de Tuishou - Equipe 2",10,IF(Atletas!W327="Grupo Externo ABC - Equipe 1",11,IF(Atletas!W327="Grupo Externo ABC - Equipe 2",12,IF(Atletas!W327="Grupo Interno ABC - Equipe 1",13,IF(Atletas!W327="Grupo Interno ABC - Equipe 2",14,IF(Atletas!W327="Grupo Externo DEF - Equipe 1",15,IF(Atletas!W327="Grupo Externo DEF - Equipe 2",16,IF(Atletas!W327="Grupo Interno DEF - Equipe 1",17,IF(Atletas!W327="Grupo Interno DEF - Equipe 2",18,"")))))))))))))))))))</f>
        <v/>
      </c>
    </row>
    <row r="337" spans="40:91">
      <c r="AN337" s="52" t="str">
        <f>IF(Atletas!D328="","",IF(Atletas!B328="Feminino",100,IF(Atletas!B328="Masculino",200,""))+(IF(Atletas!D328="Kids 30kg",1,IF(Atletas!D328="Kids 32kg",2, IF(Atletas!D328="Kids 34kg",3,IF(Atletas!D328="Kids 36kg",4,IF(Atletas!D328="Kids 39kg",5,IF(Atletas!D328="Kids 42kg",6,IF(Atletas!D328="Kids 45kg",7, IF(Atletas!D328="Infantil 39kg",8,IF(Atletas!D328="Infantil 42kg",9,IF(Atletas!D328="Infantil 45kg",10,IF(Atletas!D328="Infantil 48kg",11,IF(Atletas!D328="Infantil 52kg",12,IF(Atletas!D328="Infantil 56kg",13,IF(Atletas!D328="Infantil 60kg",14,IF(Atletas!D328="Juvenil 48kg",15,IF(Atletas!D328="Juvenil 52kg",16,IF(Atletas!D328="Juvenil 56kg",17,IF(Atletas!D328="Juvenil 60kg",18,IF(Atletas!D328="Juvenil 65kg",19,IF(Atletas!D328="Juvenil 70kg",20,IF(Atletas!D328="Juvenil 75kg",21,IF(Atletas!D328="Juvenil 80kg",22, IF(Atletas!D328="Juvenil 85kg",23,IF(Atletas!D328="Adulto 48kg",24,IF(Atletas!D328="Adulto 52kg",25,IF(Atletas!D328="Adulto 56kg",26,IF(Atletas!D328="Adulto 60kg",27,IF(Atletas!D328="Adulto 65kg",28,IF(Atletas!D328="Adulto 70kg",29,IF(Atletas!D328="Adulto 75kg",30,IF(Atletas!D328="Adulto 80kg",31,IF(Atletas!D328="Adulto 85kg",32,IF(Atletas!D328="Adulto 90kg",33,IF(Atletas!D328="Adulto 100kg",34, IF(Atletas!D328="Adulto +100kg",35,"")))))))))))))))))))))))))))))))))))))</f>
        <v/>
      </c>
      <c r="AS337" s="6" t="str">
        <f>IF(Atletas!E328="","",IF(Atletas!B328="Feminino",100,IF(Atletas!B328="Masculino",200,""))+(IF(Atletas!E328="Juvenil 44kg",1,IF(Atletas!E328="Juvenil 48kg",2,IF(Atletas!E328="Juvenil 52kg",3,IF(Atletas!E328="Juvenil 56kg",4,IF(Atletas!E328="Juvenil 60kg",5,IF(Atletas!E328="Juvenil 65kg",6,IF(Atletas!E328="Juvenil 70kg",7,IF(Atletas!E328="Juvenil 75kg",8,IF(Atletas!E328="Juvenil 82kg",9,IF(Atletas!E328="Juvenil 90kg",10,IF(Atletas!E328="Juvenil 100kg",11,IF(Atletas!E328="Adulto 48kg",12,IF(Atletas!E328="Adulto 52kg",13,IF(Atletas!E328="Adulto 56kg",14,IF(Atletas!E328="Adulto 60kg",15,IF(Atletas!E328="Adulto 65kg",16,IF(Atletas!E328="Adulto 70kg",17,IF(Atletas!E328="Adulto 75kg",18,IF(Atletas!E328="Adulto 82kg",19,IF(Atletas!E328="Adulto 90kg",20,IF(Atletas!E328="Adulto 100kg",21,IF(Atletas!E328="Adulto +100kg",22,""))))))))))))))))))))))))</f>
        <v/>
      </c>
      <c r="AX337" s="6" t="str">
        <f>IF(Atletas!F328="","",IF(Atletas!B328="Feminino",100,IF(Atletas!B328="Masculino",200,""))+(IF(Atletas!F328="Adulto 48kg",1,IF(Atletas!F328="Adulto 56kg",2,IF(Atletas!F328="Adulto 65kg",3,IF(Atletas!F328="Adulto 75kg",4,IF(Atletas!F328="Adulto +75kg",5,IF(Atletas!F328="Adulto 52kg",6,IF(Atletas!F328="Adulto 60kg",7,IF(Atletas!F328="Adulto 70kg",8,IF(Atletas!F328="Adulto 80kg",9,IF(Atletas!F328="Adulto 90kg",10,IF(Atletas!F328="Adulto +90kg",11,"")))))))))))))</f>
        <v/>
      </c>
      <c r="BC337" s="6" t="str">
        <f>IF(Atletas!G328="","",IF(Atletas!B328="Feminino",10,IF(Atletas!B328="Masculino",20,""))+(IF(Atletas!G328="Baduanjin A",1,IF(Atletas!G328="Baduanjin B",2))))</f>
        <v/>
      </c>
      <c r="BF337" s="52" t="str">
        <f>IF(Atletas!H328="","",IF(Atletas!B328="Feminino",100,IF(Atletas!B328="Masculino",200,""))+(IF(Atletas!H328="Changquan Mirim",1,IF(Atletas!H328="Nanquan Mirim",2,IF(Atletas!H328="Taijiquan Mirim",3,IF(Atletas!H328="Changquan Grupo C",4,IF(Atletas!H328="Nanquan Grupo C",5,IF(Atletas!H328="Taijiquan Grupo C",6,IF(Atletas!H328="Changquan Grupo B",7,IF(Atletas!H328="Nanquan Grupo B",8,IF(Atletas!H328="Taijiquan Grupo B",9,IF(Atletas!H328="Changquan Grupo A",10,IF(Atletas!H328="Nanquan Grupo A",11,IF(Atletas!H328="Taijiquan Grupo A",12,IF(Atletas!H328="Changquan Opcional",13,IF(Atletas!H328="Nanquan Opcional",14,IF(Atletas!H328="Taijiquan Opcional",15,IF(Atletas!H328="Changquan Adulto",16,IF(Atletas!H328="Nanquan Adulto",17,IF(Atletas!H328="Taijiquan Adulto",18,""))))))))))))))))))))</f>
        <v/>
      </c>
      <c r="BG337" s="52" t="str">
        <f>IF(Atletas!I328="","",IF(Atletas!B328="Feminino",100,IF(Atletas!B328="Masculino",200,""))+(IF(Atletas!I328="Daoshu Mirim",19,IF(Atletas!I328="Jianshu Mirim",20,IF(Atletas!I328="Nandao Mirim",21,IF(Atletas!I328="Taijijian Mirim",22,IF(Atletas!I328="Daoshu Grupo C",23,IF(Atletas!I328="Jianshu Grupo C",24,IF(Atletas!I328="Nandao Grupo C",25,IF(Atletas!I328="Taijijian Grupo C",26,IF(Atletas!I328="Daoshu Grupo B",27,IF(Atletas!I328="Jianshu Grupo B",28,IF(Atletas!I328="Nandao Grupo B",29,IF(Atletas!I328="Taijijian Grupo B",30,IF(Atletas!I328="Daoshu Grupo A",31,IF(Atletas!I328="Jianshu Grupo A",32,IF(Atletas!I328="Nandao Grupo A",33,IF(Atletas!I328="Taijijian Grupo A",34,IF(Atletas!I328="Daoshu Opcional",35,IF(Atletas!I328="Jianshu Opcional",36,IF(Atletas!I328="Nandao Opcional",37,IF(Atletas!I328="Taijijian Opcional",38,IF(Atletas!I328="Daoshu Adulto",39,IF(Atletas!I328="Jianshu Adulto",40,IF(Atletas!I328="Nandao Adulto",41,IF(Atletas!I328="Taijijian Adulto",42,""))))))))))))))))))))))))))</f>
        <v/>
      </c>
      <c r="BH337" s="52" t="str">
        <f>IF(Atletas!J328="","",IF(Atletas!B328="Feminino",100,IF(Atletas!B328="Masculino",200,""))+(IF(Atletas!J328="Gunshu Mirim",43,IF(Atletas!J328="Qiangshu Mirim",44,IF(Atletas!J328="Nangun Mirim",45,IF(Atletas!J328="Gunshu Grupo C",46,IF(Atletas!J328="Qiangshu Grupo C",47,IF(Atletas!J328="Nangun Grupo C",48,IF(Atletas!J328="Gunshu Grupo B",49,IF(Atletas!J328="Qiangshu Grupo B",50,IF(Atletas!J328="Nangun Grupo B",51,IF(Atletas!J328="Gunshu Grupo A",52,IF(Atletas!J328="Qiangshu Grupo A",53,IF(Atletas!J328="Nangun Grupo A",54,IF(Atletas!J328="Gunshu Opcional",55,IF(Atletas!J328="Qiangshu Opcional",56,IF(Atletas!J328="Nangun Opcional",57,IF(Atletas!J328="Gunshu Adulto",58,IF(Atletas!J328="Qiangshu Adulto",59,IF(Atletas!J328="Nangun Adulto",60,IF(Atletas!J328="Taijishan Grupo B",61,IF(Atletas!J328="Taijishan Grupo A",62,""))))))))))))))))))))))</f>
        <v/>
      </c>
      <c r="BM337" s="50" t="str">
        <f>IF(Atletas!K328="","",IF(Atletas!B328="Feminino",100,IF(Atletas!B328="Masculino",200,""))+(IF(Atletas!K328="Equipe 1 Grupo B",1,IF(Atletas!K328="Equipe 2 Grupo B",2,IF(Atletas!K328="Equipe 1 Grupo A",3,IF(Atletas!K328="Equipe 2 Grupo A",4,IF(Atletas!K328="Equipe 1 Adulto",5,IF(Atletas!K328="Equipe 2 Adulto",6,""))))))))</f>
        <v/>
      </c>
      <c r="BR337" s="50" t="str">
        <f>IF(Atletas!L328="","",IF(Atletas!X328&lt;&gt;"",10000,0)+(IF(Atletas!B328="Feminino",1000,IF(Atletas!B328="Masculino",2000,""))+IF(Atletas!L328="Choylayfut A",1,IF(Atletas!L328="Hunggar A",2,IF(Atletas!L328="Wuzuquan A",3,IF(Atletas!L328="Wingchun A",4,IF(Atletas!L328="Outra Mão de Sul A",5,IF(Atletas!L328="Choylayfut B",6,IF(Atletas!L328="Hunggar B",7,IF(Atletas!L328="Wuzuquan B",8,IF(Atletas!L328="Wingchun B",9,IF(Atletas!L328="Outra Mão de Sul B",10,IF(Atletas!L328="Choylayfut C",11,IF(Atletas!L328="Hunggar C",12,IF(Atletas!L328="Wuzuquan C",13,IF(Atletas!L328="Wingchun C",14,IF(Atletas!L328="Outra Mão de Sul C",15,IF(Atletas!L328="Choylayfut D",16,IF(Atletas!L328="Hunggar D",17,IF(Atletas!L328="Wuzuquan D",18,IF(Atletas!L328="Wingchun D",19,IF(Atletas!L328="Outra Mão de Sul D",20,IF(Atletas!L328="Choylayfut E",21,IF(Atletas!L328="Hunggar E",22,IF(Atletas!L328="Wuzuquan E",23,IF(Atletas!L328="Wingchun E",24,IF(Atletas!L328="Outra Mão de Sul E",25,IF(Atletas!L328="Choylayfut F",26,IF(Atletas!L328="Hunggar F",27,IF(Atletas!L328="Wuzuquan F",28,IF(Atletas!L328="Wingchun F",29,IF(Atletas!L328="Outra Mão de Sul F",30,IF(Atletas!L328="Dishuquan A",31,IF(Atletas!L328="Dishuquan B",32,IF(Atletas!L328="Dishuquan C",33,IF(Atletas!L328="Dishuquan D",34,IF(Atletas!L328="Dishuquan E",35,IF(Atletas!L328="Dishuquan F",36,""))))))))))))))))))))))))))))))))))))))</f>
        <v/>
      </c>
      <c r="BS337" s="50" t="str">
        <f>IF(Atletas!M328="","",IF(Atletas!X328&lt;&gt;"",10000,0)+(IF(Atletas!B328="Feminino",1000,IF(Atletas!B328="Masculino",2000,""))+(IF(Atletas!M328="Chaquan A",101,IF(Atletas!M328="Emeiquan A",102,IF(Atletas!M328="Fanziquan A",103,IF(Atletas!M328="Huaquan A",104,IF(Atletas!M328="Hongquan A",105,IF(Atletas!M328="Paoquan A",106,IF(Atletas!M328="Piguaquan A",107,IF(Atletas!M328="Shaolinquan A",108,IF(Atletas!M328="Tanglangquan A",109,IF(Atletas!M328="Yingzhaoquan A",110,IF(Atletas!M328="Tongbeiquan A",111,IF(Atletas!M328="Wudangquan A",112,IF(Atletas!M328="Outros Estilos A",113,IF(Atletas!M328="Chaquan B",114,IF(Atletas!M328="Emeiquan B",115,IF(Atletas!M328="Fanziquan B",116,IF(Atletas!M328="Huaquan B",117,IF(Atletas!M328="Hongquan B",118,IF(Atletas!M328="Paoquan B",119,IF(Atletas!M328="Piguaquan B",120,IF(Atletas!M328="Shaolinquan B",121,IF(Atletas!M328="Tanglangquan B",122,IF(Atletas!M328="Yingzhaoquan B",123,IF(Atletas!M328="Tongbeiquan B",124,IF(Atletas!M328="Wudangquan B",125,IF(Atletas!M328="Outros Estilos B",126,IF(Atletas!M328="Chaquan C",127,IF(Atletas!M328="Emeiquan C",128,IF(Atletas!M328="Fanziquan C",129,IF(Atletas!M328="Huaquan C",130,IF(Atletas!M328="Hongquan C",131,IF(Atletas!M328="Paoquan C",132,IF(Atletas!M328="Piguaquan C",133,IF(Atletas!M328="Shaolinquan C",134,IF(Atletas!M328="Tanglangquan C",135,IF(Atletas!M328="Yingzhaoquan C",136,IF(Atletas!M328="Tongbeiquan C",137,IF(Atletas!M328="Wudangquan C",138,IF(Atletas!M328="Outros Estilos C",139,0))))))))))))))))))))))))))))))))))))))))))</f>
        <v/>
      </c>
      <c r="BT337" s="50" t="str">
        <f>IF(Atletas!M328="","",IF(Atletas!X328&lt;&gt;"",10000,0)+(IF(Atletas!B328="Feminino",1000,IF(Atletas!B328="Masculino",2000,""))+(IF(Atletas!M328="Chaquan D",140,IF(Atletas!M328="Emeiquan D",141,IF(Atletas!M328="Fanziquan D",142,IF(Atletas!M328="Huaquan D",143,IF(Atletas!M328="Hongquan D",144,IF(Atletas!M328="Paoquan D",145,IF(Atletas!M328="Piguaquan D",146,IF(Atletas!M328="Shaolinquan D",147,IF(Atletas!M328="Tanglangquan D",148,IF(Atletas!M328="Yingzhaoquan D",149,IF(Atletas!M328="Tongbeiquan D",150,IF(Atletas!M328="Wudangquan D",151,IF(Atletas!M328="Outros Estilos D",152,IF(Atletas!M328="Chaquan E",153,IF(Atletas!M328="Emeiquan E",154,IF(Atletas!M328="Fanziquan E",155,IF(Atletas!M328="Huaquan E",156,IF(Atletas!M328="Hongquan E",157,IF(Atletas!M328="Paoquan E",158,IF(Atletas!M328="Piguaquan E",159,IF(Atletas!M328="Shaolinquan E",160,IF(Atletas!M328="Tanglangquan E",161,IF(Atletas!M328="Yingzhaoquan E",162,IF(Atletas!M328="Tongbeiquan E",163,IF(Atletas!M328="Wudangquan E",164,IF(Atletas!M328="Outros Estilos E",165,IF(Atletas!M328="Chaquan F",166,IF(Atletas!M328="Emeiquan F",167,IF(Atletas!M328="Fanziquan F",168,IF(Atletas!M328="Huaquan F",169,IF(Atletas!M328="Hongquan F",170,IF(Atletas!M328="Paoquan F",171,IF(Atletas!M328="Piguaquan F",172,IF(Atletas!M328="Shaolinquan F",173,IF(Atletas!M328="Tanglangquan F",174,IF(Atletas!M328="Yingzhaoquan F",175,IF(Atletas!M328="Tongbeiquan F",176,IF(Atletas!M328="Wudangquan F",177,IF(Atletas!M328="Outros Estilos F",178,0))))))))))))))))))))))))))))))))))))))))))</f>
        <v/>
      </c>
      <c r="BU337" s="50" t="str">
        <f>IF(Atletas!N328="","",IF(Atletas!X328&lt;&gt;"",10000,0)+(IF(Atletas!B328="Feminino",1000,IF(Atletas!B328="Masculino",2000,""))+(IF(Atletas!N328="Ditangquan A",201,IF(Atletas!N328="Houquan A",202,IF(Atletas!N328="Zuiquan A",203,IF(Atletas!N328="Ditangquan B",204,IF(Atletas!N328="Houquan B",205,IF(Atletas!N328="Zuiquan B",206,IF(Atletas!N328="Ditangquan C",207,IF(Atletas!N328="Houquan C",208,IF(Atletas!N328="Zuiquan C",209,IF(Atletas!N328="Ditangquan D",210,IF(Atletas!N328="Houquan D",211,IF(Atletas!N328="Zuiquan D",212,IF(Atletas!N328="Ditangquan E",213,IF(Atletas!N328="Houquan E",214,IF(Atletas!N328="Zuiquan E",215,IF(Atletas!N328="Ditangquan F",216,IF(Atletas!N328="Houquan F",217,IF(Atletas!N328="Zuiquan F",218,"")))))))))))))))))))))</f>
        <v/>
      </c>
      <c r="BV337" s="50" t="str">
        <f>IF(Atletas!O328="","",IF(Atletas!X328&lt;&gt;"",10000,0)+IF(Atletas!B328="Feminino",1000,IF(Atletas!B328="Masculino",2000,""))+IF(Atletas!O328="Yang A",301,IF(Atletas!O328="Chen A",302,IF(Atletas!O328="Sun A",303,IF(Atletas!O328="Wu A",304,IF(Atletas!O328="Wu-Hao A",305,IF(Atletas!O328="Outro Taijiquan A",306,IF(Atletas!O328="Yang B",307,IF(Atletas!O328="Chen B",308,IF(Atletas!O328="Sun B",309,IF(Atletas!O328="Wu B",310,IF(Atletas!O328="Wu-Hao B",311,IF(Atletas!O328="Outro Taijiquan B",312,IF(Atletas!O328="Yang C",313,IF(Atletas!O328="Chen C",314,IF(Atletas!O328="Sun C",315,IF(Atletas!O328="Wu C",316,IF(Atletas!O328="Wu-Hao C",317,IF(Atletas!O328="Outro Taijiquan C",318,IF(Atletas!O328="Yang D",319,IF(Atletas!O328="Chen D",320,IF(Atletas!O328="Sun D",321,IF(Atletas!O328="Wu D",322,IF(Atletas!O328="Wu-Hao D",323,IF(Atletas!O328="Outro Taijiquan D",324,IF(Atletas!O328="Yang E",325,IF(Atletas!O328="Chen E",326,IF(Atletas!O328="Sun E",327,IF(Atletas!O328="Wu E",328,IF(Atletas!O328="Wu-Hao E",329,IF(Atletas!O328="Outro Taijiquan E",330,IF(Atletas!O328="Yang F",331,IF(Atletas!O328="Chen F",332,IF(Atletas!O328="Sun F",333,IF(Atletas!O328="Wu F",334,IF(Atletas!O328="Wu-Hao F",335,IF(Atletas!O328="Outro Taijiquan F",336,"")))))))))))))))))))))))))))))))))))))</f>
        <v/>
      </c>
      <c r="BW337" s="50" t="str">
        <f>IF(Atletas!P328="","",IF(Atletas!X328&lt;&gt;"",10000,0)+IF(Atletas!B328="Feminino",1000,IF(Atletas!B328="Masculino",2000,""))+IF(OR(Atletas!P328="Yang 26 A",Atletas!P328="Yang 40 A"),401,IF(OR(Atletas!P328="Chen 25 A",Atletas!P328="Chen 36 A",Atletas!P328="Chen 56 A"),402,IF(Atletas!P328="Sun 73 A",403,IF(Atletas!P328="Wu 45 A",404,IF(Atletas!P328="Wu-Hao 46 A",405,IF(OR(Atletas!P328="Taijiquan 16 A",Atletas!P328="Taijiquan 24 A",Atletas!P328="Taijiquan 32 A",Atletas!P328="Taijiquan 42 A"),406,IF(OR(Atletas!P328="Yang 26 B",Atletas!P328="Yang 40 B"),407,IF(OR(Atletas!P328="Chen 25 B",Atletas!P328="Chen 36 B",Atletas!P328="Chen 56 B"),408,IF(Atletas!P328="Sun 73 B",409,IF(Atletas!P328="Wu 45 B",410,IF(Atletas!P328="Wu-Hao 46 B",411,IF(OR(Atletas!P328="Taijiquan 16 B",Atletas!P328="Taijiquan 24 B",Atletas!P328="Taijiquan 32 B",Atletas!P328="Taijiquan 42 B"),412,IF(OR(Atletas!P328="Yang 26 C",Atletas!P328="Yang 40 C"),413,IF(OR(Atletas!P328="Chen 25 C",Atletas!P328="Chen 36 C",Atletas!P328="Chen 56 C"),414,IF(Atletas!P328="Sun 73 C",415,IF(Atletas!P328="Wu 45 C",416,IF(Atletas!P328="Wu-Hao 46 C",417,IF(OR(Atletas!P328="Taijiquan 16 C",Atletas!P328="Taijiquan 24 C",Atletas!P328="Taijiquan 32 C",Atletas!P328="Taijiquan 42 C"),418,0)))))))))))))))))))</f>
        <v/>
      </c>
      <c r="BX337" s="50" t="str">
        <f>IF(Atletas!P328="","",IF(Atletas!X328&lt;&gt;"",10000,0)+IF(Atletas!B328="Feminino",1000,IF(Atletas!B328="Masculino",2000,""))+IF(OR(Atletas!P328="Yang 26 D",Atletas!P328="Yang 40 D"),419,IF(OR(Atletas!P328="Chen 25 D",Atletas!P328="Chen 36 D",Atletas!P328="Chen 56 D"),420,IF(Atletas!P328="Sun 73 D",421,IF(Atletas!P328="Wu 45 D",422,IF(Atletas!P328="Wu-Hao 46 D",423,IF(OR(Atletas!P328="Taijiquan 16 D",Atletas!P328="Taijiquan 24 D",Atletas!P328="Taijiquan 32 D",Atletas!P328="Taijiquan 42 D"),424,IF(OR(Atletas!P328="Yang 26 E",Atletas!P328="Yang 40 E"),425,IF(OR(Atletas!P328="Chen 25 E",Atletas!P328="Chen 36 E",Atletas!P328="Chen 56 E"),426,IF(Atletas!P328="Sun 73 E",427,IF(Atletas!P328="Wu 45 E",428,IF(Atletas!P328="Wu-Hao 46 E",429,IF(OR(Atletas!P328="Taijiquan 16 E",Atletas!P328="Taijiquan 24 E",Atletas!P328="Taijiquan 32 E",Atletas!P328="Taijiquan 42 E"),430,IF(OR(Atletas!P328="Yang 26 F",Atletas!P328="Yang 40 F"),431,IF(OR(Atletas!P328="Chen 25 F",Atletas!P328="Chen 36 F",Atletas!P328="Chen 56 F"),432,IF(Atletas!P328="Sun 73 F",433,IF(Atletas!P328="Wu 45 F",434,IF(Atletas!P328="Wu-Hao 46 F",435,IF(OR(Atletas!P328="Taijiquan 16 F",Atletas!P328="Taijiquan 24 F",Atletas!P328="Taijiquan 32 F",Atletas!P328="Taijiquan 42 F"),436,0)))))))))))))))))))</f>
        <v/>
      </c>
      <c r="BY337" s="50" t="str">
        <f>IF(Atletas!Q328="","",IF(Atletas!X328&lt;&gt;"",10000,0)+IF(Atletas!B328="Feminino",1000,IF(Atletas!B328="Masculino",2000,""))+IF(Atletas!Q328="Xingyiquan A",501,IF(Atletas!Q328="Baguazhang A",502,IF(Atletas!Q328="Outro Estilo Interno A",503,IF(Atletas!Q328="Xingyiquan B",504,IF(Atletas!Q328="Baguazhang B",505,IF(Atletas!Q328="Outro Estilo Interno B",506,IF(Atletas!Q328="Xingyiquan C",507,IF(Atletas!Q328="Baguazhang C",508,IF(Atletas!Q328="Outro Estilo Interno C",509,IF(Atletas!Q328="Xingyiquan D",510,IF(Atletas!Q328="Baguazhang D",511,IF(Atletas!Q328="Outro Estilo Interno D",512,IF(Atletas!Q328="Xingyiquan E",513,IF(Atletas!Q328="Baguazhang E",514,IF(Atletas!Q328="Outro Estilo Interno E",515,IF(Atletas!Q328="Xingyiquan F",516,IF(Atletas!Q328="Baguazhang F",517,IF(Atletas!Q328="Outro Estilo Interno F",518, "")))))))))))))))))))</f>
        <v/>
      </c>
      <c r="BZ337" s="50" t="str">
        <f>IF(Atletas!R328="","",IF(Atletas!X328&lt;&gt;"",10000,0)+IF(Atletas!B328="Feminino",1000,IF(Atletas!B328="Masculino",2000,""))+IF(Atletas!R328="Dao A",601,IF(Atletas!R328="Jian A",602,IF(Atletas!R328="Bishou A",603,IF(Atletas!R328="Shanzi A",604,IF(Atletas!R328="Outra Arma Curta A",605,IF(Atletas!R328="Dao B",606,IF(Atletas!R328="Jian B",607,IF(Atletas!R328="Bishou B",608,IF(Atletas!R328="Shanzi B",609,IF(Atletas!R328="Outra Arma Curta B",610,IF(Atletas!R328="Dao C",611,IF(Atletas!R328="Jian C",612,IF(Atletas!R328="Bishou C",613,IF(Atletas!R328="Shanzi C",614,IF(Atletas!R328="Outra Arma Curta C",615,IF(Atletas!R328="Dao D",616,IF(Atletas!R328="Jian D",617,IF(Atletas!R328="Bishou D",618,IF(Atletas!R328="Shanzi D",619,IF(Atletas!R328="Outra Arma Curta D",620,IF(Atletas!R328="Dao E",621,IF(Atletas!R328="Jian E",622,IF(Atletas!R328="Bishou E",623,IF(Atletas!R328="Shanzi E",624,IF(Atletas!R328="Outra Arma Curta E",625,IF(Atletas!R328="Dao F",626,IF(Atletas!R328="Jian F",627,IF(Atletas!R328="Bishou F",628,IF(Atletas!R328="Shanzi F",629,IF(Atletas!R328="Outra Arma Curta F",630, "")))))))))))))))))))))))))))))))</f>
        <v/>
      </c>
      <c r="CA337" s="50" t="str">
        <f>IF(Atletas!S328="","",IF(Atletas!X328&lt;&gt;"",10000,0)+IF(Atletas!B328="Feminino",1000,IF(Atletas!B328="Masculino",2000,""))+IF(Atletas!S328="Gun A",701,IF(Atletas!S328="Qiang A",702,IF(Atletas!S328="Pudao / Guandao A",703,IF(Atletas!S328="Outra Arma Longa A",704,IF(Atletas!S328="Gun B",705,IF(Atletas!S328="Qiang B",706,IF(Atletas!S328="Pudao / Guandao B",707,IF(Atletas!S328="Outra Arma Longa B",708,IF(Atletas!S328="Gun C",709,IF(Atletas!S328="Qiang C",710,IF(Atletas!S328="Pudao / Guandao C",711,IF(Atletas!S328="Outra Arma Longa C",712,IF(Atletas!S328="Gun D",713,IF(Atletas!S328="Qiang D",714,IF(Atletas!S328="Pudao / Guandao D",715,IF(Atletas!S328="Outra Arma Longa D",716,IF(Atletas!S328="Gun E",717,IF(Atletas!S328="Qiang E",718,IF(Atletas!S328="Pudao / Guandao E",719,IF(Atletas!S328="Outra Arma Longa E",720,IF(Atletas!S328="Gun F",721,IF(Atletas!S328="Qiang F",722,IF(Atletas!S328="Pudao / Guandao F",723,IF(Atletas!S328="Outra Arma Longa F",724,"")))))))))))))))))))))))))</f>
        <v/>
      </c>
      <c r="CB337" s="50" t="str">
        <f>IF(Atletas!T328="","",IF(Atletas!X328&lt;&gt;"",10000,0)+IF(Atletas!B328="Feminino",1000,IF(Atletas!B328="Masculino",2000,""))+IF(Atletas!T328="Outra Arma Dupla A",801,IF(Atletas!T328="Arma Maleável A",802,IF(Atletas!T328="Outra Arma Dupla B",803,IF(Atletas!T328="Arma Maleável B",804,IF(Atletas!T328="Outra Arma Dupla C",805,IF(Atletas!T328="Arma Maleável C",806,IF(Atletas!T328="Outra Arma Dupla D",807,IF(Atletas!T328="Arma Maleável D",808,IF(Atletas!T328="Outra Arma Dupla E",809,IF(Atletas!T328="Arma Maleável E",810,IF(Atletas!T328="Outra Arma Dupla F",811,IF(Atletas!T328="Arma Maleável F",812,IF(Atletas!T328="Shuangdao A",813,IF(Atletas!T328="Shuangdao B",814,IF(Atletas!T328="Shuangdao C",815,IF(Atletas!T328="Shuangdao D",816,IF(Atletas!T328="Shuangdao E",817,IF(Atletas!T328="Shuangdao F",818,"")))))))))))))))))))</f>
        <v/>
      </c>
      <c r="CC337" s="50" t="str">
        <f>IF(Atletas!U328="","",IF(Atletas!X328&lt;&gt;"",10000,0)+IF(Atletas!B328="Feminino",1000,IF(Atletas!B328="Masculino",2000,""))+IF(OR(Atletas!U328="Taijijian Yang A",Atletas!U328="Taijijian Yang Standard A"),901,IF(OR(Atletas!U328="Taijijian Chen A", Atletas!U328="Taijijian Chen Standard A"),902,IF(Atletas!U328="Taijijian Sun A",903,IF(Atletas!U328="Taijijian Wu A",904,IF(Atletas!U328="Taijijian Wu-Hao A",905,IF(OR(Atletas!U328="Taijijian 32 A",Atletas!U328="Taijijian 42 A"),906,IF(OR(Atletas!U328="Taijijian Yang B",Atletas!U328="Taijijian Yang Standard B"),907,IF(OR(Atletas!U328="Taijijian Chen B", Atletas!U328="Taijijian Chen Standard B"),908,IF(Atletas!U328="Taijijian Sun B",909,IF(Atletas!U328="Taijijian Wu B",910,IF(Atletas!U328="Taijijian Wu-Hao B",911,IF(OR(Atletas!U328="Taijijian 32 B",Atletas!U328="Taijijian 42 B"),912,IF(OR(Atletas!U328="Taijijian Yang C",Atletas!U328="Taijijian Yang Standard C"),913,IF(OR(Atletas!U328="Taijijian Chen C", Atletas!U328="Taijijian Chen Standard C"),914,IF(Atletas!U328="Taijijian Sun C",915,IF(Atletas!U328="Taijijian Wu C",916,IF(Atletas!U328="Taijijian Wu-Hao C",917,IF(OR(Atletas!U328="Taijijian 32 C",Atletas!U328="Taijijian 42 C"),918,IF(OR(Atletas!U328="Taijijian Yang D",Atletas!U328="Taijijian Yang Standard D"),919,IF(OR(Atletas!U328="Taijijian Chen D", Atletas!U328="Taijijian Chen Standard D"),920,IF(Atletas!U328="Taijijian Sun D",921,IF(Atletas!U328="Taijijian Wu D",922,IF(Atletas!U328="Taijijian Wu-Hao D",923,IF(OR(Atletas!U328="Taijijian 32 D",Atletas!U328="Taijijian 42 D"),924,IF(OR(Atletas!U328="Taijijian Yang E",Atletas!U328="Taijijian Yang Standard E"),925,IF(OR(Atletas!U328="Taijijian Chen E", Atletas!U328="Taijijian Chen Standard E"),926,IF(Atletas!U328="Taijijian Sun E",927,IF(Atletas!U328="Taijijian Wu E",928,IF(Atletas!U328="Taijijian Wu-Hao E",929,IF(OR(Atletas!U328="Taijijian 32 E",Atletas!U328="Taijijian 42 E"),930,IF(OR(Atletas!U328="Taijijian Yang F",Atletas!U328="Taijijian Yang Standard F"),931,IF(OR(Atletas!U328="Taijijian Chen F", Atletas!U328="Taijijian Chen Standard F"),932,IF(Atletas!U328="Taijijian Sun F",933,IF(Atletas!U328="Taijijian Wu F",934,IF(Atletas!U328="Taijijian Wu-Hao F",935,IF(OR(Atletas!U328="Taijijian 32 F",Atletas!U328="Taijijian 42 F"),936,"")))))))))))))))))))))))))))))))))))))</f>
        <v/>
      </c>
      <c r="CD337" s="50" t="str">
        <f>IF(Atletas!V328="","",IF(Atletas!X328&lt;&gt;"",10000,0)+IF(Atletas!B328="Feminino",1000,IF(Atletas!B328="Masculino",2000,""))+IF(Atletas!V328="Taijidao A",937,IF(Atletas!V328="TaijiShanzi A",938,IF(Atletas!V328="Taijiqiang A",939,IF(Atletas!V328="Bagua de Arma A",940,IF(Atletas!V328="Xingyi de Arma A",941,IF(Atletas!V328="Taijidao B",942,IF(Atletas!V328="TaijiShanzi B",943,IF(Atletas!V328="Taijiqiang B",944,IF(Atletas!V328="Bagua de Arma B",945,IF(Atletas!V328="Xingyi de Arma B",946,IF(Atletas!V328="Taijidao C",947,IF(Atletas!V328="TaijiShanzi C",948,IF(Atletas!V328="Taijiqiang C",949,IF(Atletas!V328="Bagua de Arma C",950,IF(Atletas!V328="Xingyi de Arma C",951,IF(Atletas!V328="Taijidao D",952,IF(Atletas!V328="TaijiShanzi D",953,IF(Atletas!V328="Taijiqiang D",954,IF(Atletas!V328="Bagua de Arma D",955,IF(Atletas!V328="Xingyi de Arma D",956,IF(Atletas!V328="Taijidao E",957,IF(Atletas!V328="TaijiShanzi E",958,IF(Atletas!V328="Taijiqiang E",959,IF(Atletas!V328="Bagua de Arma E",960,IF(Atletas!V328="Xingyi de Arma E",961,IF(Atletas!V328="Taijidao F",962,IF(Atletas!V328="TaijiShanzi F",963,IF(Atletas!V328="Taijiqiang F",964,IF(Atletas!V328="Bagua de Arma F",965,IF(Atletas!V328="Xingyi de Arma F",966,"")))))))))))))))))))))))))))))))</f>
        <v/>
      </c>
      <c r="CE337" s="66" t="str">
        <f>IF(CF337&lt;&gt;"","Taijidao A","")</f>
        <v/>
      </c>
      <c r="CF337" s="66" t="str">
        <f>IF(COUNTIF(BR:CD,1937)&gt;0,COUNTIF(BR:CD,1937),"")</f>
        <v/>
      </c>
      <c r="CG337" s="66" t="str">
        <f>IF(CH337&lt;&gt;"","Taijidao A","")</f>
        <v/>
      </c>
      <c r="CH337" s="66" t="str">
        <f>IF(COUNTIF(BR:CD,2937)&gt;0,COUNTIF(BR:CD,2937),"")</f>
        <v/>
      </c>
      <c r="CI337" s="66" t="str">
        <f>IF(CJ338&lt;&gt;"","Bagua de Arma C","")</f>
        <v/>
      </c>
      <c r="CJ337" s="66" t="str">
        <f>IF(COUNTIF(BR:CD,11949)&gt;0,COUNTIF(BR:CD,11949),"")</f>
        <v/>
      </c>
      <c r="CK337" s="66" t="str">
        <f>IF(CL337&lt;&gt;"","Taijiqiang C","")</f>
        <v/>
      </c>
      <c r="CL337" s="66" t="str">
        <f>IF(COUNTIF(BR:CD,12949)&gt;0,COUNTIF(BR:CD,12949),"")</f>
        <v/>
      </c>
      <c r="CM337" s="50" t="str">
        <f xml:space="preserve"> IF(Atletas!W328="","",IF(Atletas!W328="Duilian de Mãos BC - Equipe 1",1,IF(Atletas!W328="Duilian de Mãos BC - Equipe 2",2,IF(Atletas!W328="Duilian de Armas BC - Equipe 1",3,IF(Atletas!W328="Duilian de Armas BC - Equipe 2",4,IF(Atletas!W328="Duilian de Mãos DE - Equipe 1",5,IF(Atletas!W328="Duilian de Mãos DE - Equipe 2",6,IF(Atletas!W328="Duilian de Armas DE - Equipe 1",7,IF(Atletas!W328="Duilian de Armas DE - Equipe 2",8,IF(Atletas!W328="Duilian de Tuishou - Equipe 1",9,IF(Atletas!W328="Duilian de Tuishou - Equipe 2",10,IF(Atletas!W328="Grupo Externo ABC - Equipe 1",11,IF(Atletas!W328="Grupo Externo ABC - Equipe 2",12,IF(Atletas!W328="Grupo Interno ABC - Equipe 1",13,IF(Atletas!W328="Grupo Interno ABC - Equipe 2",14,IF(Atletas!W328="Grupo Externo DEF - Equipe 1",15,IF(Atletas!W328="Grupo Externo DEF - Equipe 2",16,IF(Atletas!W328="Grupo Interno DEF - Equipe 1",17,IF(Atletas!W328="Grupo Interno DEF - Equipe 2",18,"")))))))))))))))))))</f>
        <v/>
      </c>
    </row>
    <row r="338" spans="40:91">
      <c r="AN338" s="52" t="str">
        <f>IF(Atletas!D329="","",IF(Atletas!B329="Feminino",100,IF(Atletas!B329="Masculino",200,""))+(IF(Atletas!D329="Kids 30kg",1,IF(Atletas!D329="Kids 32kg",2, IF(Atletas!D329="Kids 34kg",3,IF(Atletas!D329="Kids 36kg",4,IF(Atletas!D329="Kids 39kg",5,IF(Atletas!D329="Kids 42kg",6,IF(Atletas!D329="Kids 45kg",7, IF(Atletas!D329="Infantil 39kg",8,IF(Atletas!D329="Infantil 42kg",9,IF(Atletas!D329="Infantil 45kg",10,IF(Atletas!D329="Infantil 48kg",11,IF(Atletas!D329="Infantil 52kg",12,IF(Atletas!D329="Infantil 56kg",13,IF(Atletas!D329="Infantil 60kg",14,IF(Atletas!D329="Juvenil 48kg",15,IF(Atletas!D329="Juvenil 52kg",16,IF(Atletas!D329="Juvenil 56kg",17,IF(Atletas!D329="Juvenil 60kg",18,IF(Atletas!D329="Juvenil 65kg",19,IF(Atletas!D329="Juvenil 70kg",20,IF(Atletas!D329="Juvenil 75kg",21,IF(Atletas!D329="Juvenil 80kg",22, IF(Atletas!D329="Juvenil 85kg",23,IF(Atletas!D329="Adulto 48kg",24,IF(Atletas!D329="Adulto 52kg",25,IF(Atletas!D329="Adulto 56kg",26,IF(Atletas!D329="Adulto 60kg",27,IF(Atletas!D329="Adulto 65kg",28,IF(Atletas!D329="Adulto 70kg",29,IF(Atletas!D329="Adulto 75kg",30,IF(Atletas!D329="Adulto 80kg",31,IF(Atletas!D329="Adulto 85kg",32,IF(Atletas!D329="Adulto 90kg",33,IF(Atletas!D329="Adulto 100kg",34, IF(Atletas!D329="Adulto +100kg",35,"")))))))))))))))))))))))))))))))))))))</f>
        <v/>
      </c>
      <c r="AS338" s="6" t="str">
        <f>IF(Atletas!E329="","",IF(Atletas!B329="Feminino",100,IF(Atletas!B329="Masculino",200,""))+(IF(Atletas!E329="Juvenil 44kg",1,IF(Atletas!E329="Juvenil 48kg",2,IF(Atletas!E329="Juvenil 52kg",3,IF(Atletas!E329="Juvenil 56kg",4,IF(Atletas!E329="Juvenil 60kg",5,IF(Atletas!E329="Juvenil 65kg",6,IF(Atletas!E329="Juvenil 70kg",7,IF(Atletas!E329="Juvenil 75kg",8,IF(Atletas!E329="Juvenil 82kg",9,IF(Atletas!E329="Juvenil 90kg",10,IF(Atletas!E329="Juvenil 100kg",11,IF(Atletas!E329="Adulto 48kg",12,IF(Atletas!E329="Adulto 52kg",13,IF(Atletas!E329="Adulto 56kg",14,IF(Atletas!E329="Adulto 60kg",15,IF(Atletas!E329="Adulto 65kg",16,IF(Atletas!E329="Adulto 70kg",17,IF(Atletas!E329="Adulto 75kg",18,IF(Atletas!E329="Adulto 82kg",19,IF(Atletas!E329="Adulto 90kg",20,IF(Atletas!E329="Adulto 100kg",21,IF(Atletas!E329="Adulto +100kg",22,""))))))))))))))))))))))))</f>
        <v/>
      </c>
      <c r="AX338" s="6" t="str">
        <f>IF(Atletas!F329="","",IF(Atletas!B329="Feminino",100,IF(Atletas!B329="Masculino",200,""))+(IF(Atletas!F329="Adulto 48kg",1,IF(Atletas!F329="Adulto 56kg",2,IF(Atletas!F329="Adulto 65kg",3,IF(Atletas!F329="Adulto 75kg",4,IF(Atletas!F329="Adulto +75kg",5,IF(Atletas!F329="Adulto 52kg",6,IF(Atletas!F329="Adulto 60kg",7,IF(Atletas!F329="Adulto 70kg",8,IF(Atletas!F329="Adulto 80kg",9,IF(Atletas!F329="Adulto 90kg",10,IF(Atletas!F329="Adulto +90kg",11,"")))))))))))))</f>
        <v/>
      </c>
      <c r="BC338" s="6" t="str">
        <f>IF(Atletas!G329="","",IF(Atletas!B329="Feminino",10,IF(Atletas!B329="Masculino",20,""))+(IF(Atletas!G329="Baduanjin A",1,IF(Atletas!G329="Baduanjin B",2))))</f>
        <v/>
      </c>
      <c r="BF338" s="52" t="str">
        <f>IF(Atletas!H329="","",IF(Atletas!B329="Feminino",100,IF(Atletas!B329="Masculino",200,""))+(IF(Atletas!H329="Changquan Mirim",1,IF(Atletas!H329="Nanquan Mirim",2,IF(Atletas!H329="Taijiquan Mirim",3,IF(Atletas!H329="Changquan Grupo C",4,IF(Atletas!H329="Nanquan Grupo C",5,IF(Atletas!H329="Taijiquan Grupo C",6,IF(Atletas!H329="Changquan Grupo B",7,IF(Atletas!H329="Nanquan Grupo B",8,IF(Atletas!H329="Taijiquan Grupo B",9,IF(Atletas!H329="Changquan Grupo A",10,IF(Atletas!H329="Nanquan Grupo A",11,IF(Atletas!H329="Taijiquan Grupo A",12,IF(Atletas!H329="Changquan Opcional",13,IF(Atletas!H329="Nanquan Opcional",14,IF(Atletas!H329="Taijiquan Opcional",15,IF(Atletas!H329="Changquan Adulto",16,IF(Atletas!H329="Nanquan Adulto",17,IF(Atletas!H329="Taijiquan Adulto",18,""))))))))))))))))))))</f>
        <v/>
      </c>
      <c r="BG338" s="52" t="str">
        <f>IF(Atletas!I329="","",IF(Atletas!B329="Feminino",100,IF(Atletas!B329="Masculino",200,""))+(IF(Atletas!I329="Daoshu Mirim",19,IF(Atletas!I329="Jianshu Mirim",20,IF(Atletas!I329="Nandao Mirim",21,IF(Atletas!I329="Taijijian Mirim",22,IF(Atletas!I329="Daoshu Grupo C",23,IF(Atletas!I329="Jianshu Grupo C",24,IF(Atletas!I329="Nandao Grupo C",25,IF(Atletas!I329="Taijijian Grupo C",26,IF(Atletas!I329="Daoshu Grupo B",27,IF(Atletas!I329="Jianshu Grupo B",28,IF(Atletas!I329="Nandao Grupo B",29,IF(Atletas!I329="Taijijian Grupo B",30,IF(Atletas!I329="Daoshu Grupo A",31,IF(Atletas!I329="Jianshu Grupo A",32,IF(Atletas!I329="Nandao Grupo A",33,IF(Atletas!I329="Taijijian Grupo A",34,IF(Atletas!I329="Daoshu Opcional",35,IF(Atletas!I329="Jianshu Opcional",36,IF(Atletas!I329="Nandao Opcional",37,IF(Atletas!I329="Taijijian Opcional",38,IF(Atletas!I329="Daoshu Adulto",39,IF(Atletas!I329="Jianshu Adulto",40,IF(Atletas!I329="Nandao Adulto",41,IF(Atletas!I329="Taijijian Adulto",42,""))))))))))))))))))))))))))</f>
        <v/>
      </c>
      <c r="BH338" s="52" t="str">
        <f>IF(Atletas!J329="","",IF(Atletas!B329="Feminino",100,IF(Atletas!B329="Masculino",200,""))+(IF(Atletas!J329="Gunshu Mirim",43,IF(Atletas!J329="Qiangshu Mirim",44,IF(Atletas!J329="Nangun Mirim",45,IF(Atletas!J329="Gunshu Grupo C",46,IF(Atletas!J329="Qiangshu Grupo C",47,IF(Atletas!J329="Nangun Grupo C",48,IF(Atletas!J329="Gunshu Grupo B",49,IF(Atletas!J329="Qiangshu Grupo B",50,IF(Atletas!J329="Nangun Grupo B",51,IF(Atletas!J329="Gunshu Grupo A",52,IF(Atletas!J329="Qiangshu Grupo A",53,IF(Atletas!J329="Nangun Grupo A",54,IF(Atletas!J329="Gunshu Opcional",55,IF(Atletas!J329="Qiangshu Opcional",56,IF(Atletas!J329="Nangun Opcional",57,IF(Atletas!J329="Gunshu Adulto",58,IF(Atletas!J329="Qiangshu Adulto",59,IF(Atletas!J329="Nangun Adulto",60,IF(Atletas!J329="Taijishan Grupo B",61,IF(Atletas!J329="Taijishan Grupo A",62,""))))))))))))))))))))))</f>
        <v/>
      </c>
      <c r="BM338" s="50" t="str">
        <f>IF(Atletas!K329="","",IF(Atletas!B329="Feminino",100,IF(Atletas!B329="Masculino",200,""))+(IF(Atletas!K329="Equipe 1 Grupo B",1,IF(Atletas!K329="Equipe 2 Grupo B",2,IF(Atletas!K329="Equipe 1 Grupo A",3,IF(Atletas!K329="Equipe 2 Grupo A",4,IF(Atletas!K329="Equipe 1 Adulto",5,IF(Atletas!K329="Equipe 2 Adulto",6,""))))))))</f>
        <v/>
      </c>
      <c r="BR338" s="50" t="str">
        <f>IF(Atletas!L329="","",IF(Atletas!X329&lt;&gt;"",10000,0)+(IF(Atletas!B329="Feminino",1000,IF(Atletas!B329="Masculino",2000,""))+IF(Atletas!L329="Choylayfut A",1,IF(Atletas!L329="Hunggar A",2,IF(Atletas!L329="Wuzuquan A",3,IF(Atletas!L329="Wingchun A",4,IF(Atletas!L329="Outra Mão de Sul A",5,IF(Atletas!L329="Choylayfut B",6,IF(Atletas!L329="Hunggar B",7,IF(Atletas!L329="Wuzuquan B",8,IF(Atletas!L329="Wingchun B",9,IF(Atletas!L329="Outra Mão de Sul B",10,IF(Atletas!L329="Choylayfut C",11,IF(Atletas!L329="Hunggar C",12,IF(Atletas!L329="Wuzuquan C",13,IF(Atletas!L329="Wingchun C",14,IF(Atletas!L329="Outra Mão de Sul C",15,IF(Atletas!L329="Choylayfut D",16,IF(Atletas!L329="Hunggar D",17,IF(Atletas!L329="Wuzuquan D",18,IF(Atletas!L329="Wingchun D",19,IF(Atletas!L329="Outra Mão de Sul D",20,IF(Atletas!L329="Choylayfut E",21,IF(Atletas!L329="Hunggar E",22,IF(Atletas!L329="Wuzuquan E",23,IF(Atletas!L329="Wingchun E",24,IF(Atletas!L329="Outra Mão de Sul E",25,IF(Atletas!L329="Choylayfut F",26,IF(Atletas!L329="Hunggar F",27,IF(Atletas!L329="Wuzuquan F",28,IF(Atletas!L329="Wingchun F",29,IF(Atletas!L329="Outra Mão de Sul F",30,IF(Atletas!L329="Dishuquan A",31,IF(Atletas!L329="Dishuquan B",32,IF(Atletas!L329="Dishuquan C",33,IF(Atletas!L329="Dishuquan D",34,IF(Atletas!L329="Dishuquan E",35,IF(Atletas!L329="Dishuquan F",36,""))))))))))))))))))))))))))))))))))))))</f>
        <v/>
      </c>
      <c r="BS338" s="50" t="str">
        <f>IF(Atletas!M329="","",IF(Atletas!X329&lt;&gt;"",10000,0)+(IF(Atletas!B329="Feminino",1000,IF(Atletas!B329="Masculino",2000,""))+(IF(Atletas!M329="Chaquan A",101,IF(Atletas!M329="Emeiquan A",102,IF(Atletas!M329="Fanziquan A",103,IF(Atletas!M329="Huaquan A",104,IF(Atletas!M329="Hongquan A",105,IF(Atletas!M329="Paoquan A",106,IF(Atletas!M329="Piguaquan A",107,IF(Atletas!M329="Shaolinquan A",108,IF(Atletas!M329="Tanglangquan A",109,IF(Atletas!M329="Yingzhaoquan A",110,IF(Atletas!M329="Tongbeiquan A",111,IF(Atletas!M329="Wudangquan A",112,IF(Atletas!M329="Outros Estilos A",113,IF(Atletas!M329="Chaquan B",114,IF(Atletas!M329="Emeiquan B",115,IF(Atletas!M329="Fanziquan B",116,IF(Atletas!M329="Huaquan B",117,IF(Atletas!M329="Hongquan B",118,IF(Atletas!M329="Paoquan B",119,IF(Atletas!M329="Piguaquan B",120,IF(Atletas!M329="Shaolinquan B",121,IF(Atletas!M329="Tanglangquan B",122,IF(Atletas!M329="Yingzhaoquan B",123,IF(Atletas!M329="Tongbeiquan B",124,IF(Atletas!M329="Wudangquan B",125,IF(Atletas!M329="Outros Estilos B",126,IF(Atletas!M329="Chaquan C",127,IF(Atletas!M329="Emeiquan C",128,IF(Atletas!M329="Fanziquan C",129,IF(Atletas!M329="Huaquan C",130,IF(Atletas!M329="Hongquan C",131,IF(Atletas!M329="Paoquan C",132,IF(Atletas!M329="Piguaquan C",133,IF(Atletas!M329="Shaolinquan C",134,IF(Atletas!M329="Tanglangquan C",135,IF(Atletas!M329="Yingzhaoquan C",136,IF(Atletas!M329="Tongbeiquan C",137,IF(Atletas!M329="Wudangquan C",138,IF(Atletas!M329="Outros Estilos C",139,0))))))))))))))))))))))))))))))))))))))))))</f>
        <v/>
      </c>
      <c r="BT338" s="50" t="str">
        <f>IF(Atletas!M329="","",IF(Atletas!X329&lt;&gt;"",10000,0)+(IF(Atletas!B329="Feminino",1000,IF(Atletas!B329="Masculino",2000,""))+(IF(Atletas!M329="Chaquan D",140,IF(Atletas!M329="Emeiquan D",141,IF(Atletas!M329="Fanziquan D",142,IF(Atletas!M329="Huaquan D",143,IF(Atletas!M329="Hongquan D",144,IF(Atletas!M329="Paoquan D",145,IF(Atletas!M329="Piguaquan D",146,IF(Atletas!M329="Shaolinquan D",147,IF(Atletas!M329="Tanglangquan D",148,IF(Atletas!M329="Yingzhaoquan D",149,IF(Atletas!M329="Tongbeiquan D",150,IF(Atletas!M329="Wudangquan D",151,IF(Atletas!M329="Outros Estilos D",152,IF(Atletas!M329="Chaquan E",153,IF(Atletas!M329="Emeiquan E",154,IF(Atletas!M329="Fanziquan E",155,IF(Atletas!M329="Huaquan E",156,IF(Atletas!M329="Hongquan E",157,IF(Atletas!M329="Paoquan E",158,IF(Atletas!M329="Piguaquan E",159,IF(Atletas!M329="Shaolinquan E",160,IF(Atletas!M329="Tanglangquan E",161,IF(Atletas!M329="Yingzhaoquan E",162,IF(Atletas!M329="Tongbeiquan E",163,IF(Atletas!M329="Wudangquan E",164,IF(Atletas!M329="Outros Estilos E",165,IF(Atletas!M329="Chaquan F",166,IF(Atletas!M329="Emeiquan F",167,IF(Atletas!M329="Fanziquan F",168,IF(Atletas!M329="Huaquan F",169,IF(Atletas!M329="Hongquan F",170,IF(Atletas!M329="Paoquan F",171,IF(Atletas!M329="Piguaquan F",172,IF(Atletas!M329="Shaolinquan F",173,IF(Atletas!M329="Tanglangquan F",174,IF(Atletas!M329="Yingzhaoquan F",175,IF(Atletas!M329="Tongbeiquan F",176,IF(Atletas!M329="Wudangquan F",177,IF(Atletas!M329="Outros Estilos F",178,0))))))))))))))))))))))))))))))))))))))))))</f>
        <v/>
      </c>
      <c r="BU338" s="50" t="str">
        <f>IF(Atletas!N329="","",IF(Atletas!X329&lt;&gt;"",10000,0)+(IF(Atletas!B329="Feminino",1000,IF(Atletas!B329="Masculino",2000,""))+(IF(Atletas!N329="Ditangquan A",201,IF(Atletas!N329="Houquan A",202,IF(Atletas!N329="Zuiquan A",203,IF(Atletas!N329="Ditangquan B",204,IF(Atletas!N329="Houquan B",205,IF(Atletas!N329="Zuiquan B",206,IF(Atletas!N329="Ditangquan C",207,IF(Atletas!N329="Houquan C",208,IF(Atletas!N329="Zuiquan C",209,IF(Atletas!N329="Ditangquan D",210,IF(Atletas!N329="Houquan D",211,IF(Atletas!N329="Zuiquan D",212,IF(Atletas!N329="Ditangquan E",213,IF(Atletas!N329="Houquan E",214,IF(Atletas!N329="Zuiquan E",215,IF(Atletas!N329="Ditangquan F",216,IF(Atletas!N329="Houquan F",217,IF(Atletas!N329="Zuiquan F",218,"")))))))))))))))))))))</f>
        <v/>
      </c>
      <c r="BV338" s="50" t="str">
        <f>IF(Atletas!O329="","",IF(Atletas!X329&lt;&gt;"",10000,0)+IF(Atletas!B329="Feminino",1000,IF(Atletas!B329="Masculino",2000,""))+IF(Atletas!O329="Yang A",301,IF(Atletas!O329="Chen A",302,IF(Atletas!O329="Sun A",303,IF(Atletas!O329="Wu A",304,IF(Atletas!O329="Wu-Hao A",305,IF(Atletas!O329="Outro Taijiquan A",306,IF(Atletas!O329="Yang B",307,IF(Atletas!O329="Chen B",308,IF(Atletas!O329="Sun B",309,IF(Atletas!O329="Wu B",310,IF(Atletas!O329="Wu-Hao B",311,IF(Atletas!O329="Outro Taijiquan B",312,IF(Atletas!O329="Yang C",313,IF(Atletas!O329="Chen C",314,IF(Atletas!O329="Sun C",315,IF(Atletas!O329="Wu C",316,IF(Atletas!O329="Wu-Hao C",317,IF(Atletas!O329="Outro Taijiquan C",318,IF(Atletas!O329="Yang D",319,IF(Atletas!O329="Chen D",320,IF(Atletas!O329="Sun D",321,IF(Atletas!O329="Wu D",322,IF(Atletas!O329="Wu-Hao D",323,IF(Atletas!O329="Outro Taijiquan D",324,IF(Atletas!O329="Yang E",325,IF(Atletas!O329="Chen E",326,IF(Atletas!O329="Sun E",327,IF(Atletas!O329="Wu E",328,IF(Atletas!O329="Wu-Hao E",329,IF(Atletas!O329="Outro Taijiquan E",330,IF(Atletas!O329="Yang F",331,IF(Atletas!O329="Chen F",332,IF(Atletas!O329="Sun F",333,IF(Atletas!O329="Wu F",334,IF(Atletas!O329="Wu-Hao F",335,IF(Atletas!O329="Outro Taijiquan F",336,"")))))))))))))))))))))))))))))))))))))</f>
        <v/>
      </c>
      <c r="BW338" s="50" t="str">
        <f>IF(Atletas!P329="","",IF(Atletas!X329&lt;&gt;"",10000,0)+IF(Atletas!B329="Feminino",1000,IF(Atletas!B329="Masculino",2000,""))+IF(OR(Atletas!P329="Yang 26 A",Atletas!P329="Yang 40 A"),401,IF(OR(Atletas!P329="Chen 25 A",Atletas!P329="Chen 36 A",Atletas!P329="Chen 56 A"),402,IF(Atletas!P329="Sun 73 A",403,IF(Atletas!P329="Wu 45 A",404,IF(Atletas!P329="Wu-Hao 46 A",405,IF(OR(Atletas!P329="Taijiquan 16 A",Atletas!P329="Taijiquan 24 A",Atletas!P329="Taijiquan 32 A",Atletas!P329="Taijiquan 42 A"),406,IF(OR(Atletas!P329="Yang 26 B",Atletas!P329="Yang 40 B"),407,IF(OR(Atletas!P329="Chen 25 B",Atletas!P329="Chen 36 B",Atletas!P329="Chen 56 B"),408,IF(Atletas!P329="Sun 73 B",409,IF(Atletas!P329="Wu 45 B",410,IF(Atletas!P329="Wu-Hao 46 B",411,IF(OR(Atletas!P329="Taijiquan 16 B",Atletas!P329="Taijiquan 24 B",Atletas!P329="Taijiquan 32 B",Atletas!P329="Taijiquan 42 B"),412,IF(OR(Atletas!P329="Yang 26 C",Atletas!P329="Yang 40 C"),413,IF(OR(Atletas!P329="Chen 25 C",Atletas!P329="Chen 36 C",Atletas!P329="Chen 56 C"),414,IF(Atletas!P329="Sun 73 C",415,IF(Atletas!P329="Wu 45 C",416,IF(Atletas!P329="Wu-Hao 46 C",417,IF(OR(Atletas!P329="Taijiquan 16 C",Atletas!P329="Taijiquan 24 C",Atletas!P329="Taijiquan 32 C",Atletas!P329="Taijiquan 42 C"),418,0)))))))))))))))))))</f>
        <v/>
      </c>
      <c r="BX338" s="50" t="str">
        <f>IF(Atletas!P329="","",IF(Atletas!X329&lt;&gt;"",10000,0)+IF(Atletas!B329="Feminino",1000,IF(Atletas!B329="Masculino",2000,""))+IF(OR(Atletas!P329="Yang 26 D",Atletas!P329="Yang 40 D"),419,IF(OR(Atletas!P329="Chen 25 D",Atletas!P329="Chen 36 D",Atletas!P329="Chen 56 D"),420,IF(Atletas!P329="Sun 73 D",421,IF(Atletas!P329="Wu 45 D",422,IF(Atletas!P329="Wu-Hao 46 D",423,IF(OR(Atletas!P329="Taijiquan 16 D",Atletas!P329="Taijiquan 24 D",Atletas!P329="Taijiquan 32 D",Atletas!P329="Taijiquan 42 D"),424,IF(OR(Atletas!P329="Yang 26 E",Atletas!P329="Yang 40 E"),425,IF(OR(Atletas!P329="Chen 25 E",Atletas!P329="Chen 36 E",Atletas!P329="Chen 56 E"),426,IF(Atletas!P329="Sun 73 E",427,IF(Atletas!P329="Wu 45 E",428,IF(Atletas!P329="Wu-Hao 46 E",429,IF(OR(Atletas!P329="Taijiquan 16 E",Atletas!P329="Taijiquan 24 E",Atletas!P329="Taijiquan 32 E",Atletas!P329="Taijiquan 42 E"),430,IF(OR(Atletas!P329="Yang 26 F",Atletas!P329="Yang 40 F"),431,IF(OR(Atletas!P329="Chen 25 F",Atletas!P329="Chen 36 F",Atletas!P329="Chen 56 F"),432,IF(Atletas!P329="Sun 73 F",433,IF(Atletas!P329="Wu 45 F",434,IF(Atletas!P329="Wu-Hao 46 F",435,IF(OR(Atletas!P329="Taijiquan 16 F",Atletas!P329="Taijiquan 24 F",Atletas!P329="Taijiquan 32 F",Atletas!P329="Taijiquan 42 F"),436,0)))))))))))))))))))</f>
        <v/>
      </c>
      <c r="BY338" s="50" t="str">
        <f>IF(Atletas!Q329="","",IF(Atletas!X329&lt;&gt;"",10000,0)+IF(Atletas!B329="Feminino",1000,IF(Atletas!B329="Masculino",2000,""))+IF(Atletas!Q329="Xingyiquan A",501,IF(Atletas!Q329="Baguazhang A",502,IF(Atletas!Q329="Outro Estilo Interno A",503,IF(Atletas!Q329="Xingyiquan B",504,IF(Atletas!Q329="Baguazhang B",505,IF(Atletas!Q329="Outro Estilo Interno B",506,IF(Atletas!Q329="Xingyiquan C",507,IF(Atletas!Q329="Baguazhang C",508,IF(Atletas!Q329="Outro Estilo Interno C",509,IF(Atletas!Q329="Xingyiquan D",510,IF(Atletas!Q329="Baguazhang D",511,IF(Atletas!Q329="Outro Estilo Interno D",512,IF(Atletas!Q329="Xingyiquan E",513,IF(Atletas!Q329="Baguazhang E",514,IF(Atletas!Q329="Outro Estilo Interno E",515,IF(Atletas!Q329="Xingyiquan F",516,IF(Atletas!Q329="Baguazhang F",517,IF(Atletas!Q329="Outro Estilo Interno F",518, "")))))))))))))))))))</f>
        <v/>
      </c>
      <c r="BZ338" s="50" t="str">
        <f>IF(Atletas!R329="","",IF(Atletas!X329&lt;&gt;"",10000,0)+IF(Atletas!B329="Feminino",1000,IF(Atletas!B329="Masculino",2000,""))+IF(Atletas!R329="Dao A",601,IF(Atletas!R329="Jian A",602,IF(Atletas!R329="Bishou A",603,IF(Atletas!R329="Shanzi A",604,IF(Atletas!R329="Outra Arma Curta A",605,IF(Atletas!R329="Dao B",606,IF(Atletas!R329="Jian B",607,IF(Atletas!R329="Bishou B",608,IF(Atletas!R329="Shanzi B",609,IF(Atletas!R329="Outra Arma Curta B",610,IF(Atletas!R329="Dao C",611,IF(Atletas!R329="Jian C",612,IF(Atletas!R329="Bishou C",613,IF(Atletas!R329="Shanzi C",614,IF(Atletas!R329="Outra Arma Curta C",615,IF(Atletas!R329="Dao D",616,IF(Atletas!R329="Jian D",617,IF(Atletas!R329="Bishou D",618,IF(Atletas!R329="Shanzi D",619,IF(Atletas!R329="Outra Arma Curta D",620,IF(Atletas!R329="Dao E",621,IF(Atletas!R329="Jian E",622,IF(Atletas!R329="Bishou E",623,IF(Atletas!R329="Shanzi E",624,IF(Atletas!R329="Outra Arma Curta E",625,IF(Atletas!R329="Dao F",626,IF(Atletas!R329="Jian F",627,IF(Atletas!R329="Bishou F",628,IF(Atletas!R329="Shanzi F",629,IF(Atletas!R329="Outra Arma Curta F",630, "")))))))))))))))))))))))))))))))</f>
        <v/>
      </c>
      <c r="CA338" s="50" t="str">
        <f>IF(Atletas!S329="","",IF(Atletas!X329&lt;&gt;"",10000,0)+IF(Atletas!B329="Feminino",1000,IF(Atletas!B329="Masculino",2000,""))+IF(Atletas!S329="Gun A",701,IF(Atletas!S329="Qiang A",702,IF(Atletas!S329="Pudao / Guandao A",703,IF(Atletas!S329="Outra Arma Longa A",704,IF(Atletas!S329="Gun B",705,IF(Atletas!S329="Qiang B",706,IF(Atletas!S329="Pudao / Guandao B",707,IF(Atletas!S329="Outra Arma Longa B",708,IF(Atletas!S329="Gun C",709,IF(Atletas!S329="Qiang C",710,IF(Atletas!S329="Pudao / Guandao C",711,IF(Atletas!S329="Outra Arma Longa C",712,IF(Atletas!S329="Gun D",713,IF(Atletas!S329="Qiang D",714,IF(Atletas!S329="Pudao / Guandao D",715,IF(Atletas!S329="Outra Arma Longa D",716,IF(Atletas!S329="Gun E",717,IF(Atletas!S329="Qiang E",718,IF(Atletas!S329="Pudao / Guandao E",719,IF(Atletas!S329="Outra Arma Longa E",720,IF(Atletas!S329="Gun F",721,IF(Atletas!S329="Qiang F",722,IF(Atletas!S329="Pudao / Guandao F",723,IF(Atletas!S329="Outra Arma Longa F",724,"")))))))))))))))))))))))))</f>
        <v/>
      </c>
      <c r="CB338" s="50" t="str">
        <f>IF(Atletas!T329="","",IF(Atletas!X329&lt;&gt;"",10000,0)+IF(Atletas!B329="Feminino",1000,IF(Atletas!B329="Masculino",2000,""))+IF(Atletas!T329="Outra Arma Dupla A",801,IF(Atletas!T329="Arma Maleável A",802,IF(Atletas!T329="Outra Arma Dupla B",803,IF(Atletas!T329="Arma Maleável B",804,IF(Atletas!T329="Outra Arma Dupla C",805,IF(Atletas!T329="Arma Maleável C",806,IF(Atletas!T329="Outra Arma Dupla D",807,IF(Atletas!T329="Arma Maleável D",808,IF(Atletas!T329="Outra Arma Dupla E",809,IF(Atletas!T329="Arma Maleável E",810,IF(Atletas!T329="Outra Arma Dupla F",811,IF(Atletas!T329="Arma Maleável F",812,IF(Atletas!T329="Shuangdao A",813,IF(Atletas!T329="Shuangdao B",814,IF(Atletas!T329="Shuangdao C",815,IF(Atletas!T329="Shuangdao D",816,IF(Atletas!T329="Shuangdao E",817,IF(Atletas!T329="Shuangdao F",818,"")))))))))))))))))))</f>
        <v/>
      </c>
      <c r="CC338" s="50" t="str">
        <f>IF(Atletas!U329="","",IF(Atletas!X329&lt;&gt;"",10000,0)+IF(Atletas!B329="Feminino",1000,IF(Atletas!B329="Masculino",2000,""))+IF(OR(Atletas!U329="Taijijian Yang A",Atletas!U329="Taijijian Yang Standard A"),901,IF(OR(Atletas!U329="Taijijian Chen A", Atletas!U329="Taijijian Chen Standard A"),902,IF(Atletas!U329="Taijijian Sun A",903,IF(Atletas!U329="Taijijian Wu A",904,IF(Atletas!U329="Taijijian Wu-Hao A",905,IF(OR(Atletas!U329="Taijijian 32 A",Atletas!U329="Taijijian 42 A"),906,IF(OR(Atletas!U329="Taijijian Yang B",Atletas!U329="Taijijian Yang Standard B"),907,IF(OR(Atletas!U329="Taijijian Chen B", Atletas!U329="Taijijian Chen Standard B"),908,IF(Atletas!U329="Taijijian Sun B",909,IF(Atletas!U329="Taijijian Wu B",910,IF(Atletas!U329="Taijijian Wu-Hao B",911,IF(OR(Atletas!U329="Taijijian 32 B",Atletas!U329="Taijijian 42 B"),912,IF(OR(Atletas!U329="Taijijian Yang C",Atletas!U329="Taijijian Yang Standard C"),913,IF(OR(Atletas!U329="Taijijian Chen C", Atletas!U329="Taijijian Chen Standard C"),914,IF(Atletas!U329="Taijijian Sun C",915,IF(Atletas!U329="Taijijian Wu C",916,IF(Atletas!U329="Taijijian Wu-Hao C",917,IF(OR(Atletas!U329="Taijijian 32 C",Atletas!U329="Taijijian 42 C"),918,IF(OR(Atletas!U329="Taijijian Yang D",Atletas!U329="Taijijian Yang Standard D"),919,IF(OR(Atletas!U329="Taijijian Chen D", Atletas!U329="Taijijian Chen Standard D"),920,IF(Atletas!U329="Taijijian Sun D",921,IF(Atletas!U329="Taijijian Wu D",922,IF(Atletas!U329="Taijijian Wu-Hao D",923,IF(OR(Atletas!U329="Taijijian 32 D",Atletas!U329="Taijijian 42 D"),924,IF(OR(Atletas!U329="Taijijian Yang E",Atletas!U329="Taijijian Yang Standard E"),925,IF(OR(Atletas!U329="Taijijian Chen E", Atletas!U329="Taijijian Chen Standard E"),926,IF(Atletas!U329="Taijijian Sun E",927,IF(Atletas!U329="Taijijian Wu E",928,IF(Atletas!U329="Taijijian Wu-Hao E",929,IF(OR(Atletas!U329="Taijijian 32 E",Atletas!U329="Taijijian 42 E"),930,IF(OR(Atletas!U329="Taijijian Yang F",Atletas!U329="Taijijian Yang Standard F"),931,IF(OR(Atletas!U329="Taijijian Chen F", Atletas!U329="Taijijian Chen Standard F"),932,IF(Atletas!U329="Taijijian Sun F",933,IF(Atletas!U329="Taijijian Wu F",934,IF(Atletas!U329="Taijijian Wu-Hao F",935,IF(OR(Atletas!U329="Taijijian 32 F",Atletas!U329="Taijijian 42 F"),936,"")))))))))))))))))))))))))))))))))))))</f>
        <v/>
      </c>
      <c r="CD338" s="50" t="str">
        <f>IF(Atletas!V329="","",IF(Atletas!X329&lt;&gt;"",10000,0)+IF(Atletas!B329="Feminino",1000,IF(Atletas!B329="Masculino",2000,""))+IF(Atletas!V329="Taijidao A",937,IF(Atletas!V329="TaijiShanzi A",938,IF(Atletas!V329="Taijiqiang A",939,IF(Atletas!V329="Bagua de Arma A",940,IF(Atletas!V329="Xingyi de Arma A",941,IF(Atletas!V329="Taijidao B",942,IF(Atletas!V329="TaijiShanzi B",943,IF(Atletas!V329="Taijiqiang B",944,IF(Atletas!V329="Bagua de Arma B",945,IF(Atletas!V329="Xingyi de Arma B",946,IF(Atletas!V329="Taijidao C",947,IF(Atletas!V329="TaijiShanzi C",948,IF(Atletas!V329="Taijiqiang C",949,IF(Atletas!V329="Bagua de Arma C",950,IF(Atletas!V329="Xingyi de Arma C",951,IF(Atletas!V329="Taijidao D",952,IF(Atletas!V329="TaijiShanzi D",953,IF(Atletas!V329="Taijiqiang D",954,IF(Atletas!V329="Bagua de Arma D",955,IF(Atletas!V329="Xingyi de Arma D",956,IF(Atletas!V329="Taijidao E",957,IF(Atletas!V329="TaijiShanzi E",958,IF(Atletas!V329="Taijiqiang E",959,IF(Atletas!V329="Bagua de Arma E",960,IF(Atletas!V329="Xingyi de Arma E",961,IF(Atletas!V329="Taijidao F",962,IF(Atletas!V329="TaijiShanzi F",963,IF(Atletas!V329="Taijiqiang F",964,IF(Atletas!V329="Bagua de Arma F",965,IF(Atletas!V329="Xingyi de Arma F",966,"")))))))))))))))))))))))))))))))</f>
        <v/>
      </c>
      <c r="CE338" s="66" t="str">
        <f>IF(CF338&lt;&gt;"","Taijishan A","")</f>
        <v/>
      </c>
      <c r="CF338" s="66" t="str">
        <f>IF(COUNTIF(BR:CD,1938)&gt;0,COUNTIF(BR:CD,1938),"")</f>
        <v/>
      </c>
      <c r="CG338" s="66" t="str">
        <f>IF(CH338&lt;&gt;"","Taijishan A","")</f>
        <v/>
      </c>
      <c r="CH338" s="66" t="str">
        <f>IF(COUNTIF(BR:CD,2938)&gt;0,COUNTIF(BR:CD,2938),"")</f>
        <v/>
      </c>
      <c r="CI338" s="66" t="str">
        <f>IF(CJ339&lt;&gt;"","Xingyi de Arma C","")</f>
        <v/>
      </c>
      <c r="CJ338" s="66" t="str">
        <f>IF(COUNTIF(BR:CD,11950)&gt;0,COUNTIF(BR:CD,11950),"")</f>
        <v/>
      </c>
      <c r="CK338" s="66" t="str">
        <f>IF(CL338&lt;&gt;"","Bagua de Arma C","")</f>
        <v/>
      </c>
      <c r="CL338" s="66" t="str">
        <f>IF(COUNTIF(BR:CD,12950)&gt;0,COUNTIF(BR:CD,12950),"")</f>
        <v/>
      </c>
      <c r="CM338" s="50" t="str">
        <f xml:space="preserve"> IF(Atletas!W329="","",IF(Atletas!W329="Duilian de Mãos BC - Equipe 1",1,IF(Atletas!W329="Duilian de Mãos BC - Equipe 2",2,IF(Atletas!W329="Duilian de Armas BC - Equipe 1",3,IF(Atletas!W329="Duilian de Armas BC - Equipe 2",4,IF(Atletas!W329="Duilian de Mãos DE - Equipe 1",5,IF(Atletas!W329="Duilian de Mãos DE - Equipe 2",6,IF(Atletas!W329="Duilian de Armas DE - Equipe 1",7,IF(Atletas!W329="Duilian de Armas DE - Equipe 2",8,IF(Atletas!W329="Duilian de Tuishou - Equipe 1",9,IF(Atletas!W329="Duilian de Tuishou - Equipe 2",10,IF(Atletas!W329="Grupo Externo ABC - Equipe 1",11,IF(Atletas!W329="Grupo Externo ABC - Equipe 2",12,IF(Atletas!W329="Grupo Interno ABC - Equipe 1",13,IF(Atletas!W329="Grupo Interno ABC - Equipe 2",14,IF(Atletas!W329="Grupo Externo DEF - Equipe 1",15,IF(Atletas!W329="Grupo Externo DEF - Equipe 2",16,IF(Atletas!W329="Grupo Interno DEF - Equipe 1",17,IF(Atletas!W329="Grupo Interno DEF - Equipe 2",18,"")))))))))))))))))))</f>
        <v/>
      </c>
    </row>
    <row r="339" spans="40:91">
      <c r="AN339" s="52" t="str">
        <f>IF(Atletas!D330="","",IF(Atletas!B330="Feminino",100,IF(Atletas!B330="Masculino",200,""))+(IF(Atletas!D330="Kids 30kg",1,IF(Atletas!D330="Kids 32kg",2, IF(Atletas!D330="Kids 34kg",3,IF(Atletas!D330="Kids 36kg",4,IF(Atletas!D330="Kids 39kg",5,IF(Atletas!D330="Kids 42kg",6,IF(Atletas!D330="Kids 45kg",7, IF(Atletas!D330="Infantil 39kg",8,IF(Atletas!D330="Infantil 42kg",9,IF(Atletas!D330="Infantil 45kg",10,IF(Atletas!D330="Infantil 48kg",11,IF(Atletas!D330="Infantil 52kg",12,IF(Atletas!D330="Infantil 56kg",13,IF(Atletas!D330="Infantil 60kg",14,IF(Atletas!D330="Juvenil 48kg",15,IF(Atletas!D330="Juvenil 52kg",16,IF(Atletas!D330="Juvenil 56kg",17,IF(Atletas!D330="Juvenil 60kg",18,IF(Atletas!D330="Juvenil 65kg",19,IF(Atletas!D330="Juvenil 70kg",20,IF(Atletas!D330="Juvenil 75kg",21,IF(Atletas!D330="Juvenil 80kg",22, IF(Atletas!D330="Juvenil 85kg",23,IF(Atletas!D330="Adulto 48kg",24,IF(Atletas!D330="Adulto 52kg",25,IF(Atletas!D330="Adulto 56kg",26,IF(Atletas!D330="Adulto 60kg",27,IF(Atletas!D330="Adulto 65kg",28,IF(Atletas!D330="Adulto 70kg",29,IF(Atletas!D330="Adulto 75kg",30,IF(Atletas!D330="Adulto 80kg",31,IF(Atletas!D330="Adulto 85kg",32,IF(Atletas!D330="Adulto 90kg",33,IF(Atletas!D330="Adulto 100kg",34, IF(Atletas!D330="Adulto +100kg",35,"")))))))))))))))))))))))))))))))))))))</f>
        <v/>
      </c>
      <c r="AS339" s="6" t="str">
        <f>IF(Atletas!E330="","",IF(Atletas!B330="Feminino",100,IF(Atletas!B330="Masculino",200,""))+(IF(Atletas!E330="Juvenil 44kg",1,IF(Atletas!E330="Juvenil 48kg",2,IF(Atletas!E330="Juvenil 52kg",3,IF(Atletas!E330="Juvenil 56kg",4,IF(Atletas!E330="Juvenil 60kg",5,IF(Atletas!E330="Juvenil 65kg",6,IF(Atletas!E330="Juvenil 70kg",7,IF(Atletas!E330="Juvenil 75kg",8,IF(Atletas!E330="Juvenil 82kg",9,IF(Atletas!E330="Juvenil 90kg",10,IF(Atletas!E330="Juvenil 100kg",11,IF(Atletas!E330="Adulto 48kg",12,IF(Atletas!E330="Adulto 52kg",13,IF(Atletas!E330="Adulto 56kg",14,IF(Atletas!E330="Adulto 60kg",15,IF(Atletas!E330="Adulto 65kg",16,IF(Atletas!E330="Adulto 70kg",17,IF(Atletas!E330="Adulto 75kg",18,IF(Atletas!E330="Adulto 82kg",19,IF(Atletas!E330="Adulto 90kg",20,IF(Atletas!E330="Adulto 100kg",21,IF(Atletas!E330="Adulto +100kg",22,""))))))))))))))))))))))))</f>
        <v/>
      </c>
      <c r="AX339" s="6" t="str">
        <f>IF(Atletas!F330="","",IF(Atletas!B330="Feminino",100,IF(Atletas!B330="Masculino",200,""))+(IF(Atletas!F330="Adulto 48kg",1,IF(Atletas!F330="Adulto 56kg",2,IF(Atletas!F330="Adulto 65kg",3,IF(Atletas!F330="Adulto 75kg",4,IF(Atletas!F330="Adulto +75kg",5,IF(Atletas!F330="Adulto 52kg",6,IF(Atletas!F330="Adulto 60kg",7,IF(Atletas!F330="Adulto 70kg",8,IF(Atletas!F330="Adulto 80kg",9,IF(Atletas!F330="Adulto 90kg",10,IF(Atletas!F330="Adulto +90kg",11,"")))))))))))))</f>
        <v/>
      </c>
      <c r="BC339" s="6" t="str">
        <f>IF(Atletas!G330="","",IF(Atletas!B330="Feminino",10,IF(Atletas!B330="Masculino",20,""))+(IF(Atletas!G330="Baduanjin A",1,IF(Atletas!G330="Baduanjin B",2))))</f>
        <v/>
      </c>
      <c r="BF339" s="52" t="str">
        <f>IF(Atletas!H330="","",IF(Atletas!B330="Feminino",100,IF(Atletas!B330="Masculino",200,""))+(IF(Atletas!H330="Changquan Mirim",1,IF(Atletas!H330="Nanquan Mirim",2,IF(Atletas!H330="Taijiquan Mirim",3,IF(Atletas!H330="Changquan Grupo C",4,IF(Atletas!H330="Nanquan Grupo C",5,IF(Atletas!H330="Taijiquan Grupo C",6,IF(Atletas!H330="Changquan Grupo B",7,IF(Atletas!H330="Nanquan Grupo B",8,IF(Atletas!H330="Taijiquan Grupo B",9,IF(Atletas!H330="Changquan Grupo A",10,IF(Atletas!H330="Nanquan Grupo A",11,IF(Atletas!H330="Taijiquan Grupo A",12,IF(Atletas!H330="Changquan Opcional",13,IF(Atletas!H330="Nanquan Opcional",14,IF(Atletas!H330="Taijiquan Opcional",15,IF(Atletas!H330="Changquan Adulto",16,IF(Atletas!H330="Nanquan Adulto",17,IF(Atletas!H330="Taijiquan Adulto",18,""))))))))))))))))))))</f>
        <v/>
      </c>
      <c r="BG339" s="52" t="str">
        <f>IF(Atletas!I330="","",IF(Atletas!B330="Feminino",100,IF(Atletas!B330="Masculino",200,""))+(IF(Atletas!I330="Daoshu Mirim",19,IF(Atletas!I330="Jianshu Mirim",20,IF(Atletas!I330="Nandao Mirim",21,IF(Atletas!I330="Taijijian Mirim",22,IF(Atletas!I330="Daoshu Grupo C",23,IF(Atletas!I330="Jianshu Grupo C",24,IF(Atletas!I330="Nandao Grupo C",25,IF(Atletas!I330="Taijijian Grupo C",26,IF(Atletas!I330="Daoshu Grupo B",27,IF(Atletas!I330="Jianshu Grupo B",28,IF(Atletas!I330="Nandao Grupo B",29,IF(Atletas!I330="Taijijian Grupo B",30,IF(Atletas!I330="Daoshu Grupo A",31,IF(Atletas!I330="Jianshu Grupo A",32,IF(Atletas!I330="Nandao Grupo A",33,IF(Atletas!I330="Taijijian Grupo A",34,IF(Atletas!I330="Daoshu Opcional",35,IF(Atletas!I330="Jianshu Opcional",36,IF(Atletas!I330="Nandao Opcional",37,IF(Atletas!I330="Taijijian Opcional",38,IF(Atletas!I330="Daoshu Adulto",39,IF(Atletas!I330="Jianshu Adulto",40,IF(Atletas!I330="Nandao Adulto",41,IF(Atletas!I330="Taijijian Adulto",42,""))))))))))))))))))))))))))</f>
        <v/>
      </c>
      <c r="BH339" s="52" t="str">
        <f>IF(Atletas!J330="","",IF(Atletas!B330="Feminino",100,IF(Atletas!B330="Masculino",200,""))+(IF(Atletas!J330="Gunshu Mirim",43,IF(Atletas!J330="Qiangshu Mirim",44,IF(Atletas!J330="Nangun Mirim",45,IF(Atletas!J330="Gunshu Grupo C",46,IF(Atletas!J330="Qiangshu Grupo C",47,IF(Atletas!J330="Nangun Grupo C",48,IF(Atletas!J330="Gunshu Grupo B",49,IF(Atletas!J330="Qiangshu Grupo B",50,IF(Atletas!J330="Nangun Grupo B",51,IF(Atletas!J330="Gunshu Grupo A",52,IF(Atletas!J330="Qiangshu Grupo A",53,IF(Atletas!J330="Nangun Grupo A",54,IF(Atletas!J330="Gunshu Opcional",55,IF(Atletas!J330="Qiangshu Opcional",56,IF(Atletas!J330="Nangun Opcional",57,IF(Atletas!J330="Gunshu Adulto",58,IF(Atletas!J330="Qiangshu Adulto",59,IF(Atletas!J330="Nangun Adulto",60,IF(Atletas!J330="Taijishan Grupo B",61,IF(Atletas!J330="Taijishan Grupo A",62,""))))))))))))))))))))))</f>
        <v/>
      </c>
      <c r="BM339" s="50" t="str">
        <f>IF(Atletas!K330="","",IF(Atletas!B330="Feminino",100,IF(Atletas!B330="Masculino",200,""))+(IF(Atletas!K330="Equipe 1 Grupo B",1,IF(Atletas!K330="Equipe 2 Grupo B",2,IF(Atletas!K330="Equipe 1 Grupo A",3,IF(Atletas!K330="Equipe 2 Grupo A",4,IF(Atletas!K330="Equipe 1 Adulto",5,IF(Atletas!K330="Equipe 2 Adulto",6,""))))))))</f>
        <v/>
      </c>
      <c r="BR339" s="50" t="str">
        <f>IF(Atletas!L330="","",IF(Atletas!X330&lt;&gt;"",10000,0)+(IF(Atletas!B330="Feminino",1000,IF(Atletas!B330="Masculino",2000,""))+IF(Atletas!L330="Choylayfut A",1,IF(Atletas!L330="Hunggar A",2,IF(Atletas!L330="Wuzuquan A",3,IF(Atletas!L330="Wingchun A",4,IF(Atletas!L330="Outra Mão de Sul A",5,IF(Atletas!L330="Choylayfut B",6,IF(Atletas!L330="Hunggar B",7,IF(Atletas!L330="Wuzuquan B",8,IF(Atletas!L330="Wingchun B",9,IF(Atletas!L330="Outra Mão de Sul B",10,IF(Atletas!L330="Choylayfut C",11,IF(Atletas!L330="Hunggar C",12,IF(Atletas!L330="Wuzuquan C",13,IF(Atletas!L330="Wingchun C",14,IF(Atletas!L330="Outra Mão de Sul C",15,IF(Atletas!L330="Choylayfut D",16,IF(Atletas!L330="Hunggar D",17,IF(Atletas!L330="Wuzuquan D",18,IF(Atletas!L330="Wingchun D",19,IF(Atletas!L330="Outra Mão de Sul D",20,IF(Atletas!L330="Choylayfut E",21,IF(Atletas!L330="Hunggar E",22,IF(Atletas!L330="Wuzuquan E",23,IF(Atletas!L330="Wingchun E",24,IF(Atletas!L330="Outra Mão de Sul E",25,IF(Atletas!L330="Choylayfut F",26,IF(Atletas!L330="Hunggar F",27,IF(Atletas!L330="Wuzuquan F",28,IF(Atletas!L330="Wingchun F",29,IF(Atletas!L330="Outra Mão de Sul F",30,IF(Atletas!L330="Dishuquan A",31,IF(Atletas!L330="Dishuquan B",32,IF(Atletas!L330="Dishuquan C",33,IF(Atletas!L330="Dishuquan D",34,IF(Atletas!L330="Dishuquan E",35,IF(Atletas!L330="Dishuquan F",36,""))))))))))))))))))))))))))))))))))))))</f>
        <v/>
      </c>
      <c r="BS339" s="50" t="str">
        <f>IF(Atletas!M330="","",IF(Atletas!X330&lt;&gt;"",10000,0)+(IF(Atletas!B330="Feminino",1000,IF(Atletas!B330="Masculino",2000,""))+(IF(Atletas!M330="Chaquan A",101,IF(Atletas!M330="Emeiquan A",102,IF(Atletas!M330="Fanziquan A",103,IF(Atletas!M330="Huaquan A",104,IF(Atletas!M330="Hongquan A",105,IF(Atletas!M330="Paoquan A",106,IF(Atletas!M330="Piguaquan A",107,IF(Atletas!M330="Shaolinquan A",108,IF(Atletas!M330="Tanglangquan A",109,IF(Atletas!M330="Yingzhaoquan A",110,IF(Atletas!M330="Tongbeiquan A",111,IF(Atletas!M330="Wudangquan A",112,IF(Atletas!M330="Outros Estilos A",113,IF(Atletas!M330="Chaquan B",114,IF(Atletas!M330="Emeiquan B",115,IF(Atletas!M330="Fanziquan B",116,IF(Atletas!M330="Huaquan B",117,IF(Atletas!M330="Hongquan B",118,IF(Atletas!M330="Paoquan B",119,IF(Atletas!M330="Piguaquan B",120,IF(Atletas!M330="Shaolinquan B",121,IF(Atletas!M330="Tanglangquan B",122,IF(Atletas!M330="Yingzhaoquan B",123,IF(Atletas!M330="Tongbeiquan B",124,IF(Atletas!M330="Wudangquan B",125,IF(Atletas!M330="Outros Estilos B",126,IF(Atletas!M330="Chaquan C",127,IF(Atletas!M330="Emeiquan C",128,IF(Atletas!M330="Fanziquan C",129,IF(Atletas!M330="Huaquan C",130,IF(Atletas!M330="Hongquan C",131,IF(Atletas!M330="Paoquan C",132,IF(Atletas!M330="Piguaquan C",133,IF(Atletas!M330="Shaolinquan C",134,IF(Atletas!M330="Tanglangquan C",135,IF(Atletas!M330="Yingzhaoquan C",136,IF(Atletas!M330="Tongbeiquan C",137,IF(Atletas!M330="Wudangquan C",138,IF(Atletas!M330="Outros Estilos C",139,0))))))))))))))))))))))))))))))))))))))))))</f>
        <v/>
      </c>
      <c r="BT339" s="50" t="str">
        <f>IF(Atletas!M330="","",IF(Atletas!X330&lt;&gt;"",10000,0)+(IF(Atletas!B330="Feminino",1000,IF(Atletas!B330="Masculino",2000,""))+(IF(Atletas!M330="Chaquan D",140,IF(Atletas!M330="Emeiquan D",141,IF(Atletas!M330="Fanziquan D",142,IF(Atletas!M330="Huaquan D",143,IF(Atletas!M330="Hongquan D",144,IF(Atletas!M330="Paoquan D",145,IF(Atletas!M330="Piguaquan D",146,IF(Atletas!M330="Shaolinquan D",147,IF(Atletas!M330="Tanglangquan D",148,IF(Atletas!M330="Yingzhaoquan D",149,IF(Atletas!M330="Tongbeiquan D",150,IF(Atletas!M330="Wudangquan D",151,IF(Atletas!M330="Outros Estilos D",152,IF(Atletas!M330="Chaquan E",153,IF(Atletas!M330="Emeiquan E",154,IF(Atletas!M330="Fanziquan E",155,IF(Atletas!M330="Huaquan E",156,IF(Atletas!M330="Hongquan E",157,IF(Atletas!M330="Paoquan E",158,IF(Atletas!M330="Piguaquan E",159,IF(Atletas!M330="Shaolinquan E",160,IF(Atletas!M330="Tanglangquan E",161,IF(Atletas!M330="Yingzhaoquan E",162,IF(Atletas!M330="Tongbeiquan E",163,IF(Atletas!M330="Wudangquan E",164,IF(Atletas!M330="Outros Estilos E",165,IF(Atletas!M330="Chaquan F",166,IF(Atletas!M330="Emeiquan F",167,IF(Atletas!M330="Fanziquan F",168,IF(Atletas!M330="Huaquan F",169,IF(Atletas!M330="Hongquan F",170,IF(Atletas!M330="Paoquan F",171,IF(Atletas!M330="Piguaquan F",172,IF(Atletas!M330="Shaolinquan F",173,IF(Atletas!M330="Tanglangquan F",174,IF(Atletas!M330="Yingzhaoquan F",175,IF(Atletas!M330="Tongbeiquan F",176,IF(Atletas!M330="Wudangquan F",177,IF(Atletas!M330="Outros Estilos F",178,0))))))))))))))))))))))))))))))))))))))))))</f>
        <v/>
      </c>
      <c r="BU339" s="50" t="str">
        <f>IF(Atletas!N330="","",IF(Atletas!X330&lt;&gt;"",10000,0)+(IF(Atletas!B330="Feminino",1000,IF(Atletas!B330="Masculino",2000,""))+(IF(Atletas!N330="Ditangquan A",201,IF(Atletas!N330="Houquan A",202,IF(Atletas!N330="Zuiquan A",203,IF(Atletas!N330="Ditangquan B",204,IF(Atletas!N330="Houquan B",205,IF(Atletas!N330="Zuiquan B",206,IF(Atletas!N330="Ditangquan C",207,IF(Atletas!N330="Houquan C",208,IF(Atletas!N330="Zuiquan C",209,IF(Atletas!N330="Ditangquan D",210,IF(Atletas!N330="Houquan D",211,IF(Atletas!N330="Zuiquan D",212,IF(Atletas!N330="Ditangquan E",213,IF(Atletas!N330="Houquan E",214,IF(Atletas!N330="Zuiquan E",215,IF(Atletas!N330="Ditangquan F",216,IF(Atletas!N330="Houquan F",217,IF(Atletas!N330="Zuiquan F",218,"")))))))))))))))))))))</f>
        <v/>
      </c>
      <c r="BV339" s="50" t="str">
        <f>IF(Atletas!O330="","",IF(Atletas!X330&lt;&gt;"",10000,0)+IF(Atletas!B330="Feminino",1000,IF(Atletas!B330="Masculino",2000,""))+IF(Atletas!O330="Yang A",301,IF(Atletas!O330="Chen A",302,IF(Atletas!O330="Sun A",303,IF(Atletas!O330="Wu A",304,IF(Atletas!O330="Wu-Hao A",305,IF(Atletas!O330="Outro Taijiquan A",306,IF(Atletas!O330="Yang B",307,IF(Atletas!O330="Chen B",308,IF(Atletas!O330="Sun B",309,IF(Atletas!O330="Wu B",310,IF(Atletas!O330="Wu-Hao B",311,IF(Atletas!O330="Outro Taijiquan B",312,IF(Atletas!O330="Yang C",313,IF(Atletas!O330="Chen C",314,IF(Atletas!O330="Sun C",315,IF(Atletas!O330="Wu C",316,IF(Atletas!O330="Wu-Hao C",317,IF(Atletas!O330="Outro Taijiquan C",318,IF(Atletas!O330="Yang D",319,IF(Atletas!O330="Chen D",320,IF(Atletas!O330="Sun D",321,IF(Atletas!O330="Wu D",322,IF(Atletas!O330="Wu-Hao D",323,IF(Atletas!O330="Outro Taijiquan D",324,IF(Atletas!O330="Yang E",325,IF(Atletas!O330="Chen E",326,IF(Atletas!O330="Sun E",327,IF(Atletas!O330="Wu E",328,IF(Atletas!O330="Wu-Hao E",329,IF(Atletas!O330="Outro Taijiquan E",330,IF(Atletas!O330="Yang F",331,IF(Atletas!O330="Chen F",332,IF(Atletas!O330="Sun F",333,IF(Atletas!O330="Wu F",334,IF(Atletas!O330="Wu-Hao F",335,IF(Atletas!O330="Outro Taijiquan F",336,"")))))))))))))))))))))))))))))))))))))</f>
        <v/>
      </c>
      <c r="BW339" s="50" t="str">
        <f>IF(Atletas!P330="","",IF(Atletas!X330&lt;&gt;"",10000,0)+IF(Atletas!B330="Feminino",1000,IF(Atletas!B330="Masculino",2000,""))+IF(OR(Atletas!P330="Yang 26 A",Atletas!P330="Yang 40 A"),401,IF(OR(Atletas!P330="Chen 25 A",Atletas!P330="Chen 36 A",Atletas!P330="Chen 56 A"),402,IF(Atletas!P330="Sun 73 A",403,IF(Atletas!P330="Wu 45 A",404,IF(Atletas!P330="Wu-Hao 46 A",405,IF(OR(Atletas!P330="Taijiquan 16 A",Atletas!P330="Taijiquan 24 A",Atletas!P330="Taijiquan 32 A",Atletas!P330="Taijiquan 42 A"),406,IF(OR(Atletas!P330="Yang 26 B",Atletas!P330="Yang 40 B"),407,IF(OR(Atletas!P330="Chen 25 B",Atletas!P330="Chen 36 B",Atletas!P330="Chen 56 B"),408,IF(Atletas!P330="Sun 73 B",409,IF(Atletas!P330="Wu 45 B",410,IF(Atletas!P330="Wu-Hao 46 B",411,IF(OR(Atletas!P330="Taijiquan 16 B",Atletas!P330="Taijiquan 24 B",Atletas!P330="Taijiquan 32 B",Atletas!P330="Taijiquan 42 B"),412,IF(OR(Atletas!P330="Yang 26 C",Atletas!P330="Yang 40 C"),413,IF(OR(Atletas!P330="Chen 25 C",Atletas!P330="Chen 36 C",Atletas!P330="Chen 56 C"),414,IF(Atletas!P330="Sun 73 C",415,IF(Atletas!P330="Wu 45 C",416,IF(Atletas!P330="Wu-Hao 46 C",417,IF(OR(Atletas!P330="Taijiquan 16 C",Atletas!P330="Taijiquan 24 C",Atletas!P330="Taijiquan 32 C",Atletas!P330="Taijiquan 42 C"),418,0)))))))))))))))))))</f>
        <v/>
      </c>
      <c r="BX339" s="50" t="str">
        <f>IF(Atletas!P330="","",IF(Atletas!X330&lt;&gt;"",10000,0)+IF(Atletas!B330="Feminino",1000,IF(Atletas!B330="Masculino",2000,""))+IF(OR(Atletas!P330="Yang 26 D",Atletas!P330="Yang 40 D"),419,IF(OR(Atletas!P330="Chen 25 D",Atletas!P330="Chen 36 D",Atletas!P330="Chen 56 D"),420,IF(Atletas!P330="Sun 73 D",421,IF(Atletas!P330="Wu 45 D",422,IF(Atletas!P330="Wu-Hao 46 D",423,IF(OR(Atletas!P330="Taijiquan 16 D",Atletas!P330="Taijiquan 24 D",Atletas!P330="Taijiquan 32 D",Atletas!P330="Taijiquan 42 D"),424,IF(OR(Atletas!P330="Yang 26 E",Atletas!P330="Yang 40 E"),425,IF(OR(Atletas!P330="Chen 25 E",Atletas!P330="Chen 36 E",Atletas!P330="Chen 56 E"),426,IF(Atletas!P330="Sun 73 E",427,IF(Atletas!P330="Wu 45 E",428,IF(Atletas!P330="Wu-Hao 46 E",429,IF(OR(Atletas!P330="Taijiquan 16 E",Atletas!P330="Taijiquan 24 E",Atletas!P330="Taijiquan 32 E",Atletas!P330="Taijiquan 42 E"),430,IF(OR(Atletas!P330="Yang 26 F",Atletas!P330="Yang 40 F"),431,IF(OR(Atletas!P330="Chen 25 F",Atletas!P330="Chen 36 F",Atletas!P330="Chen 56 F"),432,IF(Atletas!P330="Sun 73 F",433,IF(Atletas!P330="Wu 45 F",434,IF(Atletas!P330="Wu-Hao 46 F",435,IF(OR(Atletas!P330="Taijiquan 16 F",Atletas!P330="Taijiquan 24 F",Atletas!P330="Taijiquan 32 F",Atletas!P330="Taijiquan 42 F"),436,0)))))))))))))))))))</f>
        <v/>
      </c>
      <c r="BY339" s="50" t="str">
        <f>IF(Atletas!Q330="","",IF(Atletas!X330&lt;&gt;"",10000,0)+IF(Atletas!B330="Feminino",1000,IF(Atletas!B330="Masculino",2000,""))+IF(Atletas!Q330="Xingyiquan A",501,IF(Atletas!Q330="Baguazhang A",502,IF(Atletas!Q330="Outro Estilo Interno A",503,IF(Atletas!Q330="Xingyiquan B",504,IF(Atletas!Q330="Baguazhang B",505,IF(Atletas!Q330="Outro Estilo Interno B",506,IF(Atletas!Q330="Xingyiquan C",507,IF(Atletas!Q330="Baguazhang C",508,IF(Atletas!Q330="Outro Estilo Interno C",509,IF(Atletas!Q330="Xingyiquan D",510,IF(Atletas!Q330="Baguazhang D",511,IF(Atletas!Q330="Outro Estilo Interno D",512,IF(Atletas!Q330="Xingyiquan E",513,IF(Atletas!Q330="Baguazhang E",514,IF(Atletas!Q330="Outro Estilo Interno E",515,IF(Atletas!Q330="Xingyiquan F",516,IF(Atletas!Q330="Baguazhang F",517,IF(Atletas!Q330="Outro Estilo Interno F",518, "")))))))))))))))))))</f>
        <v/>
      </c>
      <c r="BZ339" s="50" t="str">
        <f>IF(Atletas!R330="","",IF(Atletas!X330&lt;&gt;"",10000,0)+IF(Atletas!B330="Feminino",1000,IF(Atletas!B330="Masculino",2000,""))+IF(Atletas!R330="Dao A",601,IF(Atletas!R330="Jian A",602,IF(Atletas!R330="Bishou A",603,IF(Atletas!R330="Shanzi A",604,IF(Atletas!R330="Outra Arma Curta A",605,IF(Atletas!R330="Dao B",606,IF(Atletas!R330="Jian B",607,IF(Atletas!R330="Bishou B",608,IF(Atletas!R330="Shanzi B",609,IF(Atletas!R330="Outra Arma Curta B",610,IF(Atletas!R330="Dao C",611,IF(Atletas!R330="Jian C",612,IF(Atletas!R330="Bishou C",613,IF(Atletas!R330="Shanzi C",614,IF(Atletas!R330="Outra Arma Curta C",615,IF(Atletas!R330="Dao D",616,IF(Atletas!R330="Jian D",617,IF(Atletas!R330="Bishou D",618,IF(Atletas!R330="Shanzi D",619,IF(Atletas!R330="Outra Arma Curta D",620,IF(Atletas!R330="Dao E",621,IF(Atletas!R330="Jian E",622,IF(Atletas!R330="Bishou E",623,IF(Atletas!R330="Shanzi E",624,IF(Atletas!R330="Outra Arma Curta E",625,IF(Atletas!R330="Dao F",626,IF(Atletas!R330="Jian F",627,IF(Atletas!R330="Bishou F",628,IF(Atletas!R330="Shanzi F",629,IF(Atletas!R330="Outra Arma Curta F",630, "")))))))))))))))))))))))))))))))</f>
        <v/>
      </c>
      <c r="CA339" s="50" t="str">
        <f>IF(Atletas!S330="","",IF(Atletas!X330&lt;&gt;"",10000,0)+IF(Atletas!B330="Feminino",1000,IF(Atletas!B330="Masculino",2000,""))+IF(Atletas!S330="Gun A",701,IF(Atletas!S330="Qiang A",702,IF(Atletas!S330="Pudao / Guandao A",703,IF(Atletas!S330="Outra Arma Longa A",704,IF(Atletas!S330="Gun B",705,IF(Atletas!S330="Qiang B",706,IF(Atletas!S330="Pudao / Guandao B",707,IF(Atletas!S330="Outra Arma Longa B",708,IF(Atletas!S330="Gun C",709,IF(Atletas!S330="Qiang C",710,IF(Atletas!S330="Pudao / Guandao C",711,IF(Atletas!S330="Outra Arma Longa C",712,IF(Atletas!S330="Gun D",713,IF(Atletas!S330="Qiang D",714,IF(Atletas!S330="Pudao / Guandao D",715,IF(Atletas!S330="Outra Arma Longa D",716,IF(Atletas!S330="Gun E",717,IF(Atletas!S330="Qiang E",718,IF(Atletas!S330="Pudao / Guandao E",719,IF(Atletas!S330="Outra Arma Longa E",720,IF(Atletas!S330="Gun F",721,IF(Atletas!S330="Qiang F",722,IF(Atletas!S330="Pudao / Guandao F",723,IF(Atletas!S330="Outra Arma Longa F",724,"")))))))))))))))))))))))))</f>
        <v/>
      </c>
      <c r="CB339" s="50" t="str">
        <f>IF(Atletas!T330="","",IF(Atletas!X330&lt;&gt;"",10000,0)+IF(Atletas!B330="Feminino",1000,IF(Atletas!B330="Masculino",2000,""))+IF(Atletas!T330="Outra Arma Dupla A",801,IF(Atletas!T330="Arma Maleável A",802,IF(Atletas!T330="Outra Arma Dupla B",803,IF(Atletas!T330="Arma Maleável B",804,IF(Atletas!T330="Outra Arma Dupla C",805,IF(Atletas!T330="Arma Maleável C",806,IF(Atletas!T330="Outra Arma Dupla D",807,IF(Atletas!T330="Arma Maleável D",808,IF(Atletas!T330="Outra Arma Dupla E",809,IF(Atletas!T330="Arma Maleável E",810,IF(Atletas!T330="Outra Arma Dupla F",811,IF(Atletas!T330="Arma Maleável F",812,IF(Atletas!T330="Shuangdao A",813,IF(Atletas!T330="Shuangdao B",814,IF(Atletas!T330="Shuangdao C",815,IF(Atletas!T330="Shuangdao D",816,IF(Atletas!T330="Shuangdao E",817,IF(Atletas!T330="Shuangdao F",818,"")))))))))))))))))))</f>
        <v/>
      </c>
      <c r="CC339" s="50" t="str">
        <f>IF(Atletas!U330="","",IF(Atletas!X330&lt;&gt;"",10000,0)+IF(Atletas!B330="Feminino",1000,IF(Atletas!B330="Masculino",2000,""))+IF(OR(Atletas!U330="Taijijian Yang A",Atletas!U330="Taijijian Yang Standard A"),901,IF(OR(Atletas!U330="Taijijian Chen A", Atletas!U330="Taijijian Chen Standard A"),902,IF(Atletas!U330="Taijijian Sun A",903,IF(Atletas!U330="Taijijian Wu A",904,IF(Atletas!U330="Taijijian Wu-Hao A",905,IF(OR(Atletas!U330="Taijijian 32 A",Atletas!U330="Taijijian 42 A"),906,IF(OR(Atletas!U330="Taijijian Yang B",Atletas!U330="Taijijian Yang Standard B"),907,IF(OR(Atletas!U330="Taijijian Chen B", Atletas!U330="Taijijian Chen Standard B"),908,IF(Atletas!U330="Taijijian Sun B",909,IF(Atletas!U330="Taijijian Wu B",910,IF(Atletas!U330="Taijijian Wu-Hao B",911,IF(OR(Atletas!U330="Taijijian 32 B",Atletas!U330="Taijijian 42 B"),912,IF(OR(Atletas!U330="Taijijian Yang C",Atletas!U330="Taijijian Yang Standard C"),913,IF(OR(Atletas!U330="Taijijian Chen C", Atletas!U330="Taijijian Chen Standard C"),914,IF(Atletas!U330="Taijijian Sun C",915,IF(Atletas!U330="Taijijian Wu C",916,IF(Atletas!U330="Taijijian Wu-Hao C",917,IF(OR(Atletas!U330="Taijijian 32 C",Atletas!U330="Taijijian 42 C"),918,IF(OR(Atletas!U330="Taijijian Yang D",Atletas!U330="Taijijian Yang Standard D"),919,IF(OR(Atletas!U330="Taijijian Chen D", Atletas!U330="Taijijian Chen Standard D"),920,IF(Atletas!U330="Taijijian Sun D",921,IF(Atletas!U330="Taijijian Wu D",922,IF(Atletas!U330="Taijijian Wu-Hao D",923,IF(OR(Atletas!U330="Taijijian 32 D",Atletas!U330="Taijijian 42 D"),924,IF(OR(Atletas!U330="Taijijian Yang E",Atletas!U330="Taijijian Yang Standard E"),925,IF(OR(Atletas!U330="Taijijian Chen E", Atletas!U330="Taijijian Chen Standard E"),926,IF(Atletas!U330="Taijijian Sun E",927,IF(Atletas!U330="Taijijian Wu E",928,IF(Atletas!U330="Taijijian Wu-Hao E",929,IF(OR(Atletas!U330="Taijijian 32 E",Atletas!U330="Taijijian 42 E"),930,IF(OR(Atletas!U330="Taijijian Yang F",Atletas!U330="Taijijian Yang Standard F"),931,IF(OR(Atletas!U330="Taijijian Chen F", Atletas!U330="Taijijian Chen Standard F"),932,IF(Atletas!U330="Taijijian Sun F",933,IF(Atletas!U330="Taijijian Wu F",934,IF(Atletas!U330="Taijijian Wu-Hao F",935,IF(OR(Atletas!U330="Taijijian 32 F",Atletas!U330="Taijijian 42 F"),936,"")))))))))))))))))))))))))))))))))))))</f>
        <v/>
      </c>
      <c r="CD339" s="50" t="str">
        <f>IF(Atletas!V330="","",IF(Atletas!X330&lt;&gt;"",10000,0)+IF(Atletas!B330="Feminino",1000,IF(Atletas!B330="Masculino",2000,""))+IF(Atletas!V330="Taijidao A",937,IF(Atletas!V330="TaijiShanzi A",938,IF(Atletas!V330="Taijiqiang A",939,IF(Atletas!V330="Bagua de Arma A",940,IF(Atletas!V330="Xingyi de Arma A",941,IF(Atletas!V330="Taijidao B",942,IF(Atletas!V330="TaijiShanzi B",943,IF(Atletas!V330="Taijiqiang B",944,IF(Atletas!V330="Bagua de Arma B",945,IF(Atletas!V330="Xingyi de Arma B",946,IF(Atletas!V330="Taijidao C",947,IF(Atletas!V330="TaijiShanzi C",948,IF(Atletas!V330="Taijiqiang C",949,IF(Atletas!V330="Bagua de Arma C",950,IF(Atletas!V330="Xingyi de Arma C",951,IF(Atletas!V330="Taijidao D",952,IF(Atletas!V330="TaijiShanzi D",953,IF(Atletas!V330="Taijiqiang D",954,IF(Atletas!V330="Bagua de Arma D",955,IF(Atletas!V330="Xingyi de Arma D",956,IF(Atletas!V330="Taijidao E",957,IF(Atletas!V330="TaijiShanzi E",958,IF(Atletas!V330="Taijiqiang E",959,IF(Atletas!V330="Bagua de Arma E",960,IF(Atletas!V330="Xingyi de Arma E",961,IF(Atletas!V330="Taijidao F",962,IF(Atletas!V330="TaijiShanzi F",963,IF(Atletas!V330="Taijiqiang F",964,IF(Atletas!V330="Bagua de Arma F",965,IF(Atletas!V330="Xingyi de Arma F",966,"")))))))))))))))))))))))))))))))</f>
        <v/>
      </c>
      <c r="CE339" s="66" t="str">
        <f>IF(CF339&lt;&gt;"","Taijiqiang A","")</f>
        <v/>
      </c>
      <c r="CF339" s="66" t="str">
        <f>IF(COUNTIF(BR:CD,1939)&gt;0,COUNTIF(BR:CD,1939),"")</f>
        <v/>
      </c>
      <c r="CG339" s="66" t="str">
        <f>IF(CH339&lt;&gt;"","Taijiqiang A","")</f>
        <v/>
      </c>
      <c r="CH339" s="66" t="str">
        <f>IF(COUNTIF(BR:CD,2939)&gt;0,COUNTIF(BR:CD,2939),"")</f>
        <v/>
      </c>
      <c r="CI339" s="66" t="str">
        <f>IF(CJ340&lt;&gt;"","Taijidao D","")</f>
        <v/>
      </c>
      <c r="CJ339" s="66" t="str">
        <f>IF(COUNTIF(BR:CD,11951)&gt;0,COUNTIF(BR:CD,11951),"")</f>
        <v/>
      </c>
      <c r="CK339" s="66" t="str">
        <f>IF(CL339&lt;&gt;"","Xingyi de Arma C","")</f>
        <v/>
      </c>
      <c r="CL339" s="66" t="str">
        <f>IF(COUNTIF(BR:CD,12951)&gt;0,COUNTIF(BR:CD,12951),"")</f>
        <v/>
      </c>
      <c r="CM339" s="50" t="str">
        <f xml:space="preserve"> IF(Atletas!W330="","",IF(Atletas!W330="Duilian de Mãos BC - Equipe 1",1,IF(Atletas!W330="Duilian de Mãos BC - Equipe 2",2,IF(Atletas!W330="Duilian de Armas BC - Equipe 1",3,IF(Atletas!W330="Duilian de Armas BC - Equipe 2",4,IF(Atletas!W330="Duilian de Mãos DE - Equipe 1",5,IF(Atletas!W330="Duilian de Mãos DE - Equipe 2",6,IF(Atletas!W330="Duilian de Armas DE - Equipe 1",7,IF(Atletas!W330="Duilian de Armas DE - Equipe 2",8,IF(Atletas!W330="Duilian de Tuishou - Equipe 1",9,IF(Atletas!W330="Duilian de Tuishou - Equipe 2",10,IF(Atletas!W330="Grupo Externo ABC - Equipe 1",11,IF(Atletas!W330="Grupo Externo ABC - Equipe 2",12,IF(Atletas!W330="Grupo Interno ABC - Equipe 1",13,IF(Atletas!W330="Grupo Interno ABC - Equipe 2",14,IF(Atletas!W330="Grupo Externo DEF - Equipe 1",15,IF(Atletas!W330="Grupo Externo DEF - Equipe 2",16,IF(Atletas!W330="Grupo Interno DEF - Equipe 1",17,IF(Atletas!W330="Grupo Interno DEF - Equipe 2",18,"")))))))))))))))))))</f>
        <v/>
      </c>
    </row>
    <row r="340" spans="40:91">
      <c r="AN340" s="52" t="str">
        <f>IF(Atletas!D331="","",IF(Atletas!B331="Feminino",100,IF(Atletas!B331="Masculino",200,""))+(IF(Atletas!D331="Kids 30kg",1,IF(Atletas!D331="Kids 32kg",2, IF(Atletas!D331="Kids 34kg",3,IF(Atletas!D331="Kids 36kg",4,IF(Atletas!D331="Kids 39kg",5,IF(Atletas!D331="Kids 42kg",6,IF(Atletas!D331="Kids 45kg",7, IF(Atletas!D331="Infantil 39kg",8,IF(Atletas!D331="Infantil 42kg",9,IF(Atletas!D331="Infantil 45kg",10,IF(Atletas!D331="Infantil 48kg",11,IF(Atletas!D331="Infantil 52kg",12,IF(Atletas!D331="Infantil 56kg",13,IF(Atletas!D331="Infantil 60kg",14,IF(Atletas!D331="Juvenil 48kg",15,IF(Atletas!D331="Juvenil 52kg",16,IF(Atletas!D331="Juvenil 56kg",17,IF(Atletas!D331="Juvenil 60kg",18,IF(Atletas!D331="Juvenil 65kg",19,IF(Atletas!D331="Juvenil 70kg",20,IF(Atletas!D331="Juvenil 75kg",21,IF(Atletas!D331="Juvenil 80kg",22, IF(Atletas!D331="Juvenil 85kg",23,IF(Atletas!D331="Adulto 48kg",24,IF(Atletas!D331="Adulto 52kg",25,IF(Atletas!D331="Adulto 56kg",26,IF(Atletas!D331="Adulto 60kg",27,IF(Atletas!D331="Adulto 65kg",28,IF(Atletas!D331="Adulto 70kg",29,IF(Atletas!D331="Adulto 75kg",30,IF(Atletas!D331="Adulto 80kg",31,IF(Atletas!D331="Adulto 85kg",32,IF(Atletas!D331="Adulto 90kg",33,IF(Atletas!D331="Adulto 100kg",34, IF(Atletas!D331="Adulto +100kg",35,"")))))))))))))))))))))))))))))))))))))</f>
        <v/>
      </c>
      <c r="AS340" s="6" t="str">
        <f>IF(Atletas!E331="","",IF(Atletas!B331="Feminino",100,IF(Atletas!B331="Masculino",200,""))+(IF(Atletas!E331="Juvenil 44kg",1,IF(Atletas!E331="Juvenil 48kg",2,IF(Atletas!E331="Juvenil 52kg",3,IF(Atletas!E331="Juvenil 56kg",4,IF(Atletas!E331="Juvenil 60kg",5,IF(Atletas!E331="Juvenil 65kg",6,IF(Atletas!E331="Juvenil 70kg",7,IF(Atletas!E331="Juvenil 75kg",8,IF(Atletas!E331="Juvenil 82kg",9,IF(Atletas!E331="Juvenil 90kg",10,IF(Atletas!E331="Juvenil 100kg",11,IF(Atletas!E331="Adulto 48kg",12,IF(Atletas!E331="Adulto 52kg",13,IF(Atletas!E331="Adulto 56kg",14,IF(Atletas!E331="Adulto 60kg",15,IF(Atletas!E331="Adulto 65kg",16,IF(Atletas!E331="Adulto 70kg",17,IF(Atletas!E331="Adulto 75kg",18,IF(Atletas!E331="Adulto 82kg",19,IF(Atletas!E331="Adulto 90kg",20,IF(Atletas!E331="Adulto 100kg",21,IF(Atletas!E331="Adulto +100kg",22,""))))))))))))))))))))))))</f>
        <v/>
      </c>
      <c r="AX340" s="6" t="str">
        <f>IF(Atletas!F331="","",IF(Atletas!B331="Feminino",100,IF(Atletas!B331="Masculino",200,""))+(IF(Atletas!F331="Adulto 48kg",1,IF(Atletas!F331="Adulto 56kg",2,IF(Atletas!F331="Adulto 65kg",3,IF(Atletas!F331="Adulto 75kg",4,IF(Atletas!F331="Adulto +75kg",5,IF(Atletas!F331="Adulto 52kg",6,IF(Atletas!F331="Adulto 60kg",7,IF(Atletas!F331="Adulto 70kg",8,IF(Atletas!F331="Adulto 80kg",9,IF(Atletas!F331="Adulto 90kg",10,IF(Atletas!F331="Adulto +90kg",11,"")))))))))))))</f>
        <v/>
      </c>
      <c r="BC340" s="6" t="str">
        <f>IF(Atletas!G331="","",IF(Atletas!B331="Feminino",10,IF(Atletas!B331="Masculino",20,""))+(IF(Atletas!G331="Baduanjin A",1,IF(Atletas!G331="Baduanjin B",2))))</f>
        <v/>
      </c>
      <c r="BF340" s="52" t="str">
        <f>IF(Atletas!H331="","",IF(Atletas!B331="Feminino",100,IF(Atletas!B331="Masculino",200,""))+(IF(Atletas!H331="Changquan Mirim",1,IF(Atletas!H331="Nanquan Mirim",2,IF(Atletas!H331="Taijiquan Mirim",3,IF(Atletas!H331="Changquan Grupo C",4,IF(Atletas!H331="Nanquan Grupo C",5,IF(Atletas!H331="Taijiquan Grupo C",6,IF(Atletas!H331="Changquan Grupo B",7,IF(Atletas!H331="Nanquan Grupo B",8,IF(Atletas!H331="Taijiquan Grupo B",9,IF(Atletas!H331="Changquan Grupo A",10,IF(Atletas!H331="Nanquan Grupo A",11,IF(Atletas!H331="Taijiquan Grupo A",12,IF(Atletas!H331="Changquan Opcional",13,IF(Atletas!H331="Nanquan Opcional",14,IF(Atletas!H331="Taijiquan Opcional",15,IF(Atletas!H331="Changquan Adulto",16,IF(Atletas!H331="Nanquan Adulto",17,IF(Atletas!H331="Taijiquan Adulto",18,""))))))))))))))))))))</f>
        <v/>
      </c>
      <c r="BG340" s="52" t="str">
        <f>IF(Atletas!I331="","",IF(Atletas!B331="Feminino",100,IF(Atletas!B331="Masculino",200,""))+(IF(Atletas!I331="Daoshu Mirim",19,IF(Atletas!I331="Jianshu Mirim",20,IF(Atletas!I331="Nandao Mirim",21,IF(Atletas!I331="Taijijian Mirim",22,IF(Atletas!I331="Daoshu Grupo C",23,IF(Atletas!I331="Jianshu Grupo C",24,IF(Atletas!I331="Nandao Grupo C",25,IF(Atletas!I331="Taijijian Grupo C",26,IF(Atletas!I331="Daoshu Grupo B",27,IF(Atletas!I331="Jianshu Grupo B",28,IF(Atletas!I331="Nandao Grupo B",29,IF(Atletas!I331="Taijijian Grupo B",30,IF(Atletas!I331="Daoshu Grupo A",31,IF(Atletas!I331="Jianshu Grupo A",32,IF(Atletas!I331="Nandao Grupo A",33,IF(Atletas!I331="Taijijian Grupo A",34,IF(Atletas!I331="Daoshu Opcional",35,IF(Atletas!I331="Jianshu Opcional",36,IF(Atletas!I331="Nandao Opcional",37,IF(Atletas!I331="Taijijian Opcional",38,IF(Atletas!I331="Daoshu Adulto",39,IF(Atletas!I331="Jianshu Adulto",40,IF(Atletas!I331="Nandao Adulto",41,IF(Atletas!I331="Taijijian Adulto",42,""))))))))))))))))))))))))))</f>
        <v/>
      </c>
      <c r="BH340" s="52" t="str">
        <f>IF(Atletas!J331="","",IF(Atletas!B331="Feminino",100,IF(Atletas!B331="Masculino",200,""))+(IF(Atletas!J331="Gunshu Mirim",43,IF(Atletas!J331="Qiangshu Mirim",44,IF(Atletas!J331="Nangun Mirim",45,IF(Atletas!J331="Gunshu Grupo C",46,IF(Atletas!J331="Qiangshu Grupo C",47,IF(Atletas!J331="Nangun Grupo C",48,IF(Atletas!J331="Gunshu Grupo B",49,IF(Atletas!J331="Qiangshu Grupo B",50,IF(Atletas!J331="Nangun Grupo B",51,IF(Atletas!J331="Gunshu Grupo A",52,IF(Atletas!J331="Qiangshu Grupo A",53,IF(Atletas!J331="Nangun Grupo A",54,IF(Atletas!J331="Gunshu Opcional",55,IF(Atletas!J331="Qiangshu Opcional",56,IF(Atletas!J331="Nangun Opcional",57,IF(Atletas!J331="Gunshu Adulto",58,IF(Atletas!J331="Qiangshu Adulto",59,IF(Atletas!J331="Nangun Adulto",60,IF(Atletas!J331="Taijishan Grupo B",61,IF(Atletas!J331="Taijishan Grupo A",62,""))))))))))))))))))))))</f>
        <v/>
      </c>
      <c r="BM340" s="50" t="str">
        <f>IF(Atletas!K331="","",IF(Atletas!B331="Feminino",100,IF(Atletas!B331="Masculino",200,""))+(IF(Atletas!K331="Equipe 1 Grupo B",1,IF(Atletas!K331="Equipe 2 Grupo B",2,IF(Atletas!K331="Equipe 1 Grupo A",3,IF(Atletas!K331="Equipe 2 Grupo A",4,IF(Atletas!K331="Equipe 1 Adulto",5,IF(Atletas!K331="Equipe 2 Adulto",6,""))))))))</f>
        <v/>
      </c>
      <c r="BR340" s="50" t="str">
        <f>IF(Atletas!L331="","",IF(Atletas!X331&lt;&gt;"",10000,0)+(IF(Atletas!B331="Feminino",1000,IF(Atletas!B331="Masculino",2000,""))+IF(Atletas!L331="Choylayfut A",1,IF(Atletas!L331="Hunggar A",2,IF(Atletas!L331="Wuzuquan A",3,IF(Atletas!L331="Wingchun A",4,IF(Atletas!L331="Outra Mão de Sul A",5,IF(Atletas!L331="Choylayfut B",6,IF(Atletas!L331="Hunggar B",7,IF(Atletas!L331="Wuzuquan B",8,IF(Atletas!L331="Wingchun B",9,IF(Atletas!L331="Outra Mão de Sul B",10,IF(Atletas!L331="Choylayfut C",11,IF(Atletas!L331="Hunggar C",12,IF(Atletas!L331="Wuzuquan C",13,IF(Atletas!L331="Wingchun C",14,IF(Atletas!L331="Outra Mão de Sul C",15,IF(Atletas!L331="Choylayfut D",16,IF(Atletas!L331="Hunggar D",17,IF(Atletas!L331="Wuzuquan D",18,IF(Atletas!L331="Wingchun D",19,IF(Atletas!L331="Outra Mão de Sul D",20,IF(Atletas!L331="Choylayfut E",21,IF(Atletas!L331="Hunggar E",22,IF(Atletas!L331="Wuzuquan E",23,IF(Atletas!L331="Wingchun E",24,IF(Atletas!L331="Outra Mão de Sul E",25,IF(Atletas!L331="Choylayfut F",26,IF(Atletas!L331="Hunggar F",27,IF(Atletas!L331="Wuzuquan F",28,IF(Atletas!L331="Wingchun F",29,IF(Atletas!L331="Outra Mão de Sul F",30,IF(Atletas!L331="Dishuquan A",31,IF(Atletas!L331="Dishuquan B",32,IF(Atletas!L331="Dishuquan C",33,IF(Atletas!L331="Dishuquan D",34,IF(Atletas!L331="Dishuquan E",35,IF(Atletas!L331="Dishuquan F",36,""))))))))))))))))))))))))))))))))))))))</f>
        <v/>
      </c>
      <c r="BS340" s="50" t="str">
        <f>IF(Atletas!M331="","",IF(Atletas!X331&lt;&gt;"",10000,0)+(IF(Atletas!B331="Feminino",1000,IF(Atletas!B331="Masculino",2000,""))+(IF(Atletas!M331="Chaquan A",101,IF(Atletas!M331="Emeiquan A",102,IF(Atletas!M331="Fanziquan A",103,IF(Atletas!M331="Huaquan A",104,IF(Atletas!M331="Hongquan A",105,IF(Atletas!M331="Paoquan A",106,IF(Atletas!M331="Piguaquan A",107,IF(Atletas!M331="Shaolinquan A",108,IF(Atletas!M331="Tanglangquan A",109,IF(Atletas!M331="Yingzhaoquan A",110,IF(Atletas!M331="Tongbeiquan A",111,IF(Atletas!M331="Wudangquan A",112,IF(Atletas!M331="Outros Estilos A",113,IF(Atletas!M331="Chaquan B",114,IF(Atletas!M331="Emeiquan B",115,IF(Atletas!M331="Fanziquan B",116,IF(Atletas!M331="Huaquan B",117,IF(Atletas!M331="Hongquan B",118,IF(Atletas!M331="Paoquan B",119,IF(Atletas!M331="Piguaquan B",120,IF(Atletas!M331="Shaolinquan B",121,IF(Atletas!M331="Tanglangquan B",122,IF(Atletas!M331="Yingzhaoquan B",123,IF(Atletas!M331="Tongbeiquan B",124,IF(Atletas!M331="Wudangquan B",125,IF(Atletas!M331="Outros Estilos B",126,IF(Atletas!M331="Chaquan C",127,IF(Atletas!M331="Emeiquan C",128,IF(Atletas!M331="Fanziquan C",129,IF(Atletas!M331="Huaquan C",130,IF(Atletas!M331="Hongquan C",131,IF(Atletas!M331="Paoquan C",132,IF(Atletas!M331="Piguaquan C",133,IF(Atletas!M331="Shaolinquan C",134,IF(Atletas!M331="Tanglangquan C",135,IF(Atletas!M331="Yingzhaoquan C",136,IF(Atletas!M331="Tongbeiquan C",137,IF(Atletas!M331="Wudangquan C",138,IF(Atletas!M331="Outros Estilos C",139,0))))))))))))))))))))))))))))))))))))))))))</f>
        <v/>
      </c>
      <c r="BT340" s="50" t="str">
        <f>IF(Atletas!M331="","",IF(Atletas!X331&lt;&gt;"",10000,0)+(IF(Atletas!B331="Feminino",1000,IF(Atletas!B331="Masculino",2000,""))+(IF(Atletas!M331="Chaquan D",140,IF(Atletas!M331="Emeiquan D",141,IF(Atletas!M331="Fanziquan D",142,IF(Atletas!M331="Huaquan D",143,IF(Atletas!M331="Hongquan D",144,IF(Atletas!M331="Paoquan D",145,IF(Atletas!M331="Piguaquan D",146,IF(Atletas!M331="Shaolinquan D",147,IF(Atletas!M331="Tanglangquan D",148,IF(Atletas!M331="Yingzhaoquan D",149,IF(Atletas!M331="Tongbeiquan D",150,IF(Atletas!M331="Wudangquan D",151,IF(Atletas!M331="Outros Estilos D",152,IF(Atletas!M331="Chaquan E",153,IF(Atletas!M331="Emeiquan E",154,IF(Atletas!M331="Fanziquan E",155,IF(Atletas!M331="Huaquan E",156,IF(Atletas!M331="Hongquan E",157,IF(Atletas!M331="Paoquan E",158,IF(Atletas!M331="Piguaquan E",159,IF(Atletas!M331="Shaolinquan E",160,IF(Atletas!M331="Tanglangquan E",161,IF(Atletas!M331="Yingzhaoquan E",162,IF(Atletas!M331="Tongbeiquan E",163,IF(Atletas!M331="Wudangquan E",164,IF(Atletas!M331="Outros Estilos E",165,IF(Atletas!M331="Chaquan F",166,IF(Atletas!M331="Emeiquan F",167,IF(Atletas!M331="Fanziquan F",168,IF(Atletas!M331="Huaquan F",169,IF(Atletas!M331="Hongquan F",170,IF(Atletas!M331="Paoquan F",171,IF(Atletas!M331="Piguaquan F",172,IF(Atletas!M331="Shaolinquan F",173,IF(Atletas!M331="Tanglangquan F",174,IF(Atletas!M331="Yingzhaoquan F",175,IF(Atletas!M331="Tongbeiquan F",176,IF(Atletas!M331="Wudangquan F",177,IF(Atletas!M331="Outros Estilos F",178,0))))))))))))))))))))))))))))))))))))))))))</f>
        <v/>
      </c>
      <c r="BU340" s="50" t="str">
        <f>IF(Atletas!N331="","",IF(Atletas!X331&lt;&gt;"",10000,0)+(IF(Atletas!B331="Feminino",1000,IF(Atletas!B331="Masculino",2000,""))+(IF(Atletas!N331="Ditangquan A",201,IF(Atletas!N331="Houquan A",202,IF(Atletas!N331="Zuiquan A",203,IF(Atletas!N331="Ditangquan B",204,IF(Atletas!N331="Houquan B",205,IF(Atletas!N331="Zuiquan B",206,IF(Atletas!N331="Ditangquan C",207,IF(Atletas!N331="Houquan C",208,IF(Atletas!N331="Zuiquan C",209,IF(Atletas!N331="Ditangquan D",210,IF(Atletas!N331="Houquan D",211,IF(Atletas!N331="Zuiquan D",212,IF(Atletas!N331="Ditangquan E",213,IF(Atletas!N331="Houquan E",214,IF(Atletas!N331="Zuiquan E",215,IF(Atletas!N331="Ditangquan F",216,IF(Atletas!N331="Houquan F",217,IF(Atletas!N331="Zuiquan F",218,"")))))))))))))))))))))</f>
        <v/>
      </c>
      <c r="BV340" s="50" t="str">
        <f>IF(Atletas!O331="","",IF(Atletas!X331&lt;&gt;"",10000,0)+IF(Atletas!B331="Feminino",1000,IF(Atletas!B331="Masculino",2000,""))+IF(Atletas!O331="Yang A",301,IF(Atletas!O331="Chen A",302,IF(Atletas!O331="Sun A",303,IF(Atletas!O331="Wu A",304,IF(Atletas!O331="Wu-Hao A",305,IF(Atletas!O331="Outro Taijiquan A",306,IF(Atletas!O331="Yang B",307,IF(Atletas!O331="Chen B",308,IF(Atletas!O331="Sun B",309,IF(Atletas!O331="Wu B",310,IF(Atletas!O331="Wu-Hao B",311,IF(Atletas!O331="Outro Taijiquan B",312,IF(Atletas!O331="Yang C",313,IF(Atletas!O331="Chen C",314,IF(Atletas!O331="Sun C",315,IF(Atletas!O331="Wu C",316,IF(Atletas!O331="Wu-Hao C",317,IF(Atletas!O331="Outro Taijiquan C",318,IF(Atletas!O331="Yang D",319,IF(Atletas!O331="Chen D",320,IF(Atletas!O331="Sun D",321,IF(Atletas!O331="Wu D",322,IF(Atletas!O331="Wu-Hao D",323,IF(Atletas!O331="Outro Taijiquan D",324,IF(Atletas!O331="Yang E",325,IF(Atletas!O331="Chen E",326,IF(Atletas!O331="Sun E",327,IF(Atletas!O331="Wu E",328,IF(Atletas!O331="Wu-Hao E",329,IF(Atletas!O331="Outro Taijiquan E",330,IF(Atletas!O331="Yang F",331,IF(Atletas!O331="Chen F",332,IF(Atletas!O331="Sun F",333,IF(Atletas!O331="Wu F",334,IF(Atletas!O331="Wu-Hao F",335,IF(Atletas!O331="Outro Taijiquan F",336,"")))))))))))))))))))))))))))))))))))))</f>
        <v/>
      </c>
      <c r="BW340" s="50" t="str">
        <f>IF(Atletas!P331="","",IF(Atletas!X331&lt;&gt;"",10000,0)+IF(Atletas!B331="Feminino",1000,IF(Atletas!B331="Masculino",2000,""))+IF(OR(Atletas!P331="Yang 26 A",Atletas!P331="Yang 40 A"),401,IF(OR(Atletas!P331="Chen 25 A",Atletas!P331="Chen 36 A",Atletas!P331="Chen 56 A"),402,IF(Atletas!P331="Sun 73 A",403,IF(Atletas!P331="Wu 45 A",404,IF(Atletas!P331="Wu-Hao 46 A",405,IF(OR(Atletas!P331="Taijiquan 16 A",Atletas!P331="Taijiquan 24 A",Atletas!P331="Taijiquan 32 A",Atletas!P331="Taijiquan 42 A"),406,IF(OR(Atletas!P331="Yang 26 B",Atletas!P331="Yang 40 B"),407,IF(OR(Atletas!P331="Chen 25 B",Atletas!P331="Chen 36 B",Atletas!P331="Chen 56 B"),408,IF(Atletas!P331="Sun 73 B",409,IF(Atletas!P331="Wu 45 B",410,IF(Atletas!P331="Wu-Hao 46 B",411,IF(OR(Atletas!P331="Taijiquan 16 B",Atletas!P331="Taijiquan 24 B",Atletas!P331="Taijiquan 32 B",Atletas!P331="Taijiquan 42 B"),412,IF(OR(Atletas!P331="Yang 26 C",Atletas!P331="Yang 40 C"),413,IF(OR(Atletas!P331="Chen 25 C",Atletas!P331="Chen 36 C",Atletas!P331="Chen 56 C"),414,IF(Atletas!P331="Sun 73 C",415,IF(Atletas!P331="Wu 45 C",416,IF(Atletas!P331="Wu-Hao 46 C",417,IF(OR(Atletas!P331="Taijiquan 16 C",Atletas!P331="Taijiquan 24 C",Atletas!P331="Taijiquan 32 C",Atletas!P331="Taijiquan 42 C"),418,0)))))))))))))))))))</f>
        <v/>
      </c>
      <c r="BX340" s="50" t="str">
        <f>IF(Atletas!P331="","",IF(Atletas!X331&lt;&gt;"",10000,0)+IF(Atletas!B331="Feminino",1000,IF(Atletas!B331="Masculino",2000,""))+IF(OR(Atletas!P331="Yang 26 D",Atletas!P331="Yang 40 D"),419,IF(OR(Atletas!P331="Chen 25 D",Atletas!P331="Chen 36 D",Atletas!P331="Chen 56 D"),420,IF(Atletas!P331="Sun 73 D",421,IF(Atletas!P331="Wu 45 D",422,IF(Atletas!P331="Wu-Hao 46 D",423,IF(OR(Atletas!P331="Taijiquan 16 D",Atletas!P331="Taijiquan 24 D",Atletas!P331="Taijiquan 32 D",Atletas!P331="Taijiquan 42 D"),424,IF(OR(Atletas!P331="Yang 26 E",Atletas!P331="Yang 40 E"),425,IF(OR(Atletas!P331="Chen 25 E",Atletas!P331="Chen 36 E",Atletas!P331="Chen 56 E"),426,IF(Atletas!P331="Sun 73 E",427,IF(Atletas!P331="Wu 45 E",428,IF(Atletas!P331="Wu-Hao 46 E",429,IF(OR(Atletas!P331="Taijiquan 16 E",Atletas!P331="Taijiquan 24 E",Atletas!P331="Taijiquan 32 E",Atletas!P331="Taijiquan 42 E"),430,IF(OR(Atletas!P331="Yang 26 F",Atletas!P331="Yang 40 F"),431,IF(OR(Atletas!P331="Chen 25 F",Atletas!P331="Chen 36 F",Atletas!P331="Chen 56 F"),432,IF(Atletas!P331="Sun 73 F",433,IF(Atletas!P331="Wu 45 F",434,IF(Atletas!P331="Wu-Hao 46 F",435,IF(OR(Atletas!P331="Taijiquan 16 F",Atletas!P331="Taijiquan 24 F",Atletas!P331="Taijiquan 32 F",Atletas!P331="Taijiquan 42 F"),436,0)))))))))))))))))))</f>
        <v/>
      </c>
      <c r="BY340" s="50" t="str">
        <f>IF(Atletas!Q331="","",IF(Atletas!X331&lt;&gt;"",10000,0)+IF(Atletas!B331="Feminino",1000,IF(Atletas!B331="Masculino",2000,""))+IF(Atletas!Q331="Xingyiquan A",501,IF(Atletas!Q331="Baguazhang A",502,IF(Atletas!Q331="Outro Estilo Interno A",503,IF(Atletas!Q331="Xingyiquan B",504,IF(Atletas!Q331="Baguazhang B",505,IF(Atletas!Q331="Outro Estilo Interno B",506,IF(Atletas!Q331="Xingyiquan C",507,IF(Atletas!Q331="Baguazhang C",508,IF(Atletas!Q331="Outro Estilo Interno C",509,IF(Atletas!Q331="Xingyiquan D",510,IF(Atletas!Q331="Baguazhang D",511,IF(Atletas!Q331="Outro Estilo Interno D",512,IF(Atletas!Q331="Xingyiquan E",513,IF(Atletas!Q331="Baguazhang E",514,IF(Atletas!Q331="Outro Estilo Interno E",515,IF(Atletas!Q331="Xingyiquan F",516,IF(Atletas!Q331="Baguazhang F",517,IF(Atletas!Q331="Outro Estilo Interno F",518, "")))))))))))))))))))</f>
        <v/>
      </c>
      <c r="BZ340" s="50" t="str">
        <f>IF(Atletas!R331="","",IF(Atletas!X331&lt;&gt;"",10000,0)+IF(Atletas!B331="Feminino",1000,IF(Atletas!B331="Masculino",2000,""))+IF(Atletas!R331="Dao A",601,IF(Atletas!R331="Jian A",602,IF(Atletas!R331="Bishou A",603,IF(Atletas!R331="Shanzi A",604,IF(Atletas!R331="Outra Arma Curta A",605,IF(Atletas!R331="Dao B",606,IF(Atletas!R331="Jian B",607,IF(Atletas!R331="Bishou B",608,IF(Atletas!R331="Shanzi B",609,IF(Atletas!R331="Outra Arma Curta B",610,IF(Atletas!R331="Dao C",611,IF(Atletas!R331="Jian C",612,IF(Atletas!R331="Bishou C",613,IF(Atletas!R331="Shanzi C",614,IF(Atletas!R331="Outra Arma Curta C",615,IF(Atletas!R331="Dao D",616,IF(Atletas!R331="Jian D",617,IF(Atletas!R331="Bishou D",618,IF(Atletas!R331="Shanzi D",619,IF(Atletas!R331="Outra Arma Curta D",620,IF(Atletas!R331="Dao E",621,IF(Atletas!R331="Jian E",622,IF(Atletas!R331="Bishou E",623,IF(Atletas!R331="Shanzi E",624,IF(Atletas!R331="Outra Arma Curta E",625,IF(Atletas!R331="Dao F",626,IF(Atletas!R331="Jian F",627,IF(Atletas!R331="Bishou F",628,IF(Atletas!R331="Shanzi F",629,IF(Atletas!R331="Outra Arma Curta F",630, "")))))))))))))))))))))))))))))))</f>
        <v/>
      </c>
      <c r="CA340" s="50" t="str">
        <f>IF(Atletas!S331="","",IF(Atletas!X331&lt;&gt;"",10000,0)+IF(Atletas!B331="Feminino",1000,IF(Atletas!B331="Masculino",2000,""))+IF(Atletas!S331="Gun A",701,IF(Atletas!S331="Qiang A",702,IF(Atletas!S331="Pudao / Guandao A",703,IF(Atletas!S331="Outra Arma Longa A",704,IF(Atletas!S331="Gun B",705,IF(Atletas!S331="Qiang B",706,IF(Atletas!S331="Pudao / Guandao B",707,IF(Atletas!S331="Outra Arma Longa B",708,IF(Atletas!S331="Gun C",709,IF(Atletas!S331="Qiang C",710,IF(Atletas!S331="Pudao / Guandao C",711,IF(Atletas!S331="Outra Arma Longa C",712,IF(Atletas!S331="Gun D",713,IF(Atletas!S331="Qiang D",714,IF(Atletas!S331="Pudao / Guandao D",715,IF(Atletas!S331="Outra Arma Longa D",716,IF(Atletas!S331="Gun E",717,IF(Atletas!S331="Qiang E",718,IF(Atletas!S331="Pudao / Guandao E",719,IF(Atletas!S331="Outra Arma Longa E",720,IF(Atletas!S331="Gun F",721,IF(Atletas!S331="Qiang F",722,IF(Atletas!S331="Pudao / Guandao F",723,IF(Atletas!S331="Outra Arma Longa F",724,"")))))))))))))))))))))))))</f>
        <v/>
      </c>
      <c r="CB340" s="50" t="str">
        <f>IF(Atletas!T331="","",IF(Atletas!X331&lt;&gt;"",10000,0)+IF(Atletas!B331="Feminino",1000,IF(Atletas!B331="Masculino",2000,""))+IF(Atletas!T331="Outra Arma Dupla A",801,IF(Atletas!T331="Arma Maleável A",802,IF(Atletas!T331="Outra Arma Dupla B",803,IF(Atletas!T331="Arma Maleável B",804,IF(Atletas!T331="Outra Arma Dupla C",805,IF(Atletas!T331="Arma Maleável C",806,IF(Atletas!T331="Outra Arma Dupla D",807,IF(Atletas!T331="Arma Maleável D",808,IF(Atletas!T331="Outra Arma Dupla E",809,IF(Atletas!T331="Arma Maleável E",810,IF(Atletas!T331="Outra Arma Dupla F",811,IF(Atletas!T331="Arma Maleável F",812,IF(Atletas!T331="Shuangdao A",813,IF(Atletas!T331="Shuangdao B",814,IF(Atletas!T331="Shuangdao C",815,IF(Atletas!T331="Shuangdao D",816,IF(Atletas!T331="Shuangdao E",817,IF(Atletas!T331="Shuangdao F",818,"")))))))))))))))))))</f>
        <v/>
      </c>
      <c r="CC340" s="50" t="str">
        <f>IF(Atletas!U331="","",IF(Atletas!X331&lt;&gt;"",10000,0)+IF(Atletas!B331="Feminino",1000,IF(Atletas!B331="Masculino",2000,""))+IF(OR(Atletas!U331="Taijijian Yang A",Atletas!U331="Taijijian Yang Standard A"),901,IF(OR(Atletas!U331="Taijijian Chen A", Atletas!U331="Taijijian Chen Standard A"),902,IF(Atletas!U331="Taijijian Sun A",903,IF(Atletas!U331="Taijijian Wu A",904,IF(Atletas!U331="Taijijian Wu-Hao A",905,IF(OR(Atletas!U331="Taijijian 32 A",Atletas!U331="Taijijian 42 A"),906,IF(OR(Atletas!U331="Taijijian Yang B",Atletas!U331="Taijijian Yang Standard B"),907,IF(OR(Atletas!U331="Taijijian Chen B", Atletas!U331="Taijijian Chen Standard B"),908,IF(Atletas!U331="Taijijian Sun B",909,IF(Atletas!U331="Taijijian Wu B",910,IF(Atletas!U331="Taijijian Wu-Hao B",911,IF(OR(Atletas!U331="Taijijian 32 B",Atletas!U331="Taijijian 42 B"),912,IF(OR(Atletas!U331="Taijijian Yang C",Atletas!U331="Taijijian Yang Standard C"),913,IF(OR(Atletas!U331="Taijijian Chen C", Atletas!U331="Taijijian Chen Standard C"),914,IF(Atletas!U331="Taijijian Sun C",915,IF(Atletas!U331="Taijijian Wu C",916,IF(Atletas!U331="Taijijian Wu-Hao C",917,IF(OR(Atletas!U331="Taijijian 32 C",Atletas!U331="Taijijian 42 C"),918,IF(OR(Atletas!U331="Taijijian Yang D",Atletas!U331="Taijijian Yang Standard D"),919,IF(OR(Atletas!U331="Taijijian Chen D", Atletas!U331="Taijijian Chen Standard D"),920,IF(Atletas!U331="Taijijian Sun D",921,IF(Atletas!U331="Taijijian Wu D",922,IF(Atletas!U331="Taijijian Wu-Hao D",923,IF(OR(Atletas!U331="Taijijian 32 D",Atletas!U331="Taijijian 42 D"),924,IF(OR(Atletas!U331="Taijijian Yang E",Atletas!U331="Taijijian Yang Standard E"),925,IF(OR(Atletas!U331="Taijijian Chen E", Atletas!U331="Taijijian Chen Standard E"),926,IF(Atletas!U331="Taijijian Sun E",927,IF(Atletas!U331="Taijijian Wu E",928,IF(Atletas!U331="Taijijian Wu-Hao E",929,IF(OR(Atletas!U331="Taijijian 32 E",Atletas!U331="Taijijian 42 E"),930,IF(OR(Atletas!U331="Taijijian Yang F",Atletas!U331="Taijijian Yang Standard F"),931,IF(OR(Atletas!U331="Taijijian Chen F", Atletas!U331="Taijijian Chen Standard F"),932,IF(Atletas!U331="Taijijian Sun F",933,IF(Atletas!U331="Taijijian Wu F",934,IF(Atletas!U331="Taijijian Wu-Hao F",935,IF(OR(Atletas!U331="Taijijian 32 F",Atletas!U331="Taijijian 42 F"),936,"")))))))))))))))))))))))))))))))))))))</f>
        <v/>
      </c>
      <c r="CD340" s="50" t="str">
        <f>IF(Atletas!V331="","",IF(Atletas!X331&lt;&gt;"",10000,0)+IF(Atletas!B331="Feminino",1000,IF(Atletas!B331="Masculino",2000,""))+IF(Atletas!V331="Taijidao A",937,IF(Atletas!V331="TaijiShanzi A",938,IF(Atletas!V331="Taijiqiang A",939,IF(Atletas!V331="Bagua de Arma A",940,IF(Atletas!V331="Xingyi de Arma A",941,IF(Atletas!V331="Taijidao B",942,IF(Atletas!V331="TaijiShanzi B",943,IF(Atletas!V331="Taijiqiang B",944,IF(Atletas!V331="Bagua de Arma B",945,IF(Atletas!V331="Xingyi de Arma B",946,IF(Atletas!V331="Taijidao C",947,IF(Atletas!V331="TaijiShanzi C",948,IF(Atletas!V331="Taijiqiang C",949,IF(Atletas!V331="Bagua de Arma C",950,IF(Atletas!V331="Xingyi de Arma C",951,IF(Atletas!V331="Taijidao D",952,IF(Atletas!V331="TaijiShanzi D",953,IF(Atletas!V331="Taijiqiang D",954,IF(Atletas!V331="Bagua de Arma D",955,IF(Atletas!V331="Xingyi de Arma D",956,IF(Atletas!V331="Taijidao E",957,IF(Atletas!V331="TaijiShanzi E",958,IF(Atletas!V331="Taijiqiang E",959,IF(Atletas!V331="Bagua de Arma E",960,IF(Atletas!V331="Xingyi de Arma E",961,IF(Atletas!V331="Taijidao F",962,IF(Atletas!V331="TaijiShanzi F",963,IF(Atletas!V331="Taijiqiang F",964,IF(Atletas!V331="Bagua de Arma F",965,IF(Atletas!V331="Xingyi de Arma F",966,"")))))))))))))))))))))))))))))))</f>
        <v/>
      </c>
      <c r="CE340" s="66" t="str">
        <f>IF(CF340&lt;&gt;"","Bagua de Arma A","")</f>
        <v/>
      </c>
      <c r="CF340" s="66" t="str">
        <f>IF(COUNTIF(BR:CD,1940)&gt;0,COUNTIF(BR:CD,1940),"")</f>
        <v/>
      </c>
      <c r="CG340" s="66" t="str">
        <f>IF(CH340&lt;&gt;"","Bagua de Arma A","")</f>
        <v/>
      </c>
      <c r="CH340" s="66" t="str">
        <f>IF(COUNTIF(BR:CD,2940)&gt;0,COUNTIF(BR:CD,2940),"")</f>
        <v/>
      </c>
      <c r="CI340" s="66" t="str">
        <f>IF(CJ341&lt;&gt;"","Taijishan D","")</f>
        <v/>
      </c>
      <c r="CJ340" s="66" t="str">
        <f>IF(COUNTIF(BR:CD,11952)&gt;0,COUNTIF(BR:CD,11952),"")</f>
        <v/>
      </c>
      <c r="CK340" s="66" t="str">
        <f>IF(CL340&lt;&gt;"","Taijidao D","")</f>
        <v/>
      </c>
      <c r="CL340" s="66" t="str">
        <f>IF(COUNTIF(BR:CD,12952)&gt;0,COUNTIF(BR:CD,12952),"")</f>
        <v/>
      </c>
      <c r="CM340" s="50" t="str">
        <f xml:space="preserve"> IF(Atletas!W331="","",IF(Atletas!W331="Duilian de Mãos BC - Equipe 1",1,IF(Atletas!W331="Duilian de Mãos BC - Equipe 2",2,IF(Atletas!W331="Duilian de Armas BC - Equipe 1",3,IF(Atletas!W331="Duilian de Armas BC - Equipe 2",4,IF(Atletas!W331="Duilian de Mãos DE - Equipe 1",5,IF(Atletas!W331="Duilian de Mãos DE - Equipe 2",6,IF(Atletas!W331="Duilian de Armas DE - Equipe 1",7,IF(Atletas!W331="Duilian de Armas DE - Equipe 2",8,IF(Atletas!W331="Duilian de Tuishou - Equipe 1",9,IF(Atletas!W331="Duilian de Tuishou - Equipe 2",10,IF(Atletas!W331="Grupo Externo ABC - Equipe 1",11,IF(Atletas!W331="Grupo Externo ABC - Equipe 2",12,IF(Atletas!W331="Grupo Interno ABC - Equipe 1",13,IF(Atletas!W331="Grupo Interno ABC - Equipe 2",14,IF(Atletas!W331="Grupo Externo DEF - Equipe 1",15,IF(Atletas!W331="Grupo Externo DEF - Equipe 2",16,IF(Atletas!W331="Grupo Interno DEF - Equipe 1",17,IF(Atletas!W331="Grupo Interno DEF - Equipe 2",18,"")))))))))))))))))))</f>
        <v/>
      </c>
    </row>
    <row r="341" spans="40:91">
      <c r="AN341" s="52" t="str">
        <f>IF(Atletas!D332="","",IF(Atletas!B332="Feminino",100,IF(Atletas!B332="Masculino",200,""))+(IF(Atletas!D332="Kids 30kg",1,IF(Atletas!D332="Kids 32kg",2, IF(Atletas!D332="Kids 34kg",3,IF(Atletas!D332="Kids 36kg",4,IF(Atletas!D332="Kids 39kg",5,IF(Atletas!D332="Kids 42kg",6,IF(Atletas!D332="Kids 45kg",7, IF(Atletas!D332="Infantil 39kg",8,IF(Atletas!D332="Infantil 42kg",9,IF(Atletas!D332="Infantil 45kg",10,IF(Atletas!D332="Infantil 48kg",11,IF(Atletas!D332="Infantil 52kg",12,IF(Atletas!D332="Infantil 56kg",13,IF(Atletas!D332="Infantil 60kg",14,IF(Atletas!D332="Juvenil 48kg",15,IF(Atletas!D332="Juvenil 52kg",16,IF(Atletas!D332="Juvenil 56kg",17,IF(Atletas!D332="Juvenil 60kg",18,IF(Atletas!D332="Juvenil 65kg",19,IF(Atletas!D332="Juvenil 70kg",20,IF(Atletas!D332="Juvenil 75kg",21,IF(Atletas!D332="Juvenil 80kg",22, IF(Atletas!D332="Juvenil 85kg",23,IF(Atletas!D332="Adulto 48kg",24,IF(Atletas!D332="Adulto 52kg",25,IF(Atletas!D332="Adulto 56kg",26,IF(Atletas!D332="Adulto 60kg",27,IF(Atletas!D332="Adulto 65kg",28,IF(Atletas!D332="Adulto 70kg",29,IF(Atletas!D332="Adulto 75kg",30,IF(Atletas!D332="Adulto 80kg",31,IF(Atletas!D332="Adulto 85kg",32,IF(Atletas!D332="Adulto 90kg",33,IF(Atletas!D332="Adulto 100kg",34, IF(Atletas!D332="Adulto +100kg",35,"")))))))))))))))))))))))))))))))))))))</f>
        <v/>
      </c>
      <c r="AS341" s="6" t="str">
        <f>IF(Atletas!E332="","",IF(Atletas!B332="Feminino",100,IF(Atletas!B332="Masculino",200,""))+(IF(Atletas!E332="Juvenil 44kg",1,IF(Atletas!E332="Juvenil 48kg",2,IF(Atletas!E332="Juvenil 52kg",3,IF(Atletas!E332="Juvenil 56kg",4,IF(Atletas!E332="Juvenil 60kg",5,IF(Atletas!E332="Juvenil 65kg",6,IF(Atletas!E332="Juvenil 70kg",7,IF(Atletas!E332="Juvenil 75kg",8,IF(Atletas!E332="Juvenil 82kg",9,IF(Atletas!E332="Juvenil 90kg",10,IF(Atletas!E332="Juvenil 100kg",11,IF(Atletas!E332="Adulto 48kg",12,IF(Atletas!E332="Adulto 52kg",13,IF(Atletas!E332="Adulto 56kg",14,IF(Atletas!E332="Adulto 60kg",15,IF(Atletas!E332="Adulto 65kg",16,IF(Atletas!E332="Adulto 70kg",17,IF(Atletas!E332="Adulto 75kg",18,IF(Atletas!E332="Adulto 82kg",19,IF(Atletas!E332="Adulto 90kg",20,IF(Atletas!E332="Adulto 100kg",21,IF(Atletas!E332="Adulto +100kg",22,""))))))))))))))))))))))))</f>
        <v/>
      </c>
      <c r="AX341" s="6" t="str">
        <f>IF(Atletas!F332="","",IF(Atletas!B332="Feminino",100,IF(Atletas!B332="Masculino",200,""))+(IF(Atletas!F332="Adulto 48kg",1,IF(Atletas!F332="Adulto 56kg",2,IF(Atletas!F332="Adulto 65kg",3,IF(Atletas!F332="Adulto 75kg",4,IF(Atletas!F332="Adulto +75kg",5,IF(Atletas!F332="Adulto 52kg",6,IF(Atletas!F332="Adulto 60kg",7,IF(Atletas!F332="Adulto 70kg",8,IF(Atletas!F332="Adulto 80kg",9,IF(Atletas!F332="Adulto 90kg",10,IF(Atletas!F332="Adulto +90kg",11,"")))))))))))))</f>
        <v/>
      </c>
      <c r="BC341" s="6" t="str">
        <f>IF(Atletas!G332="","",IF(Atletas!B332="Feminino",10,IF(Atletas!B332="Masculino",20,""))+(IF(Atletas!G332="Baduanjin A",1,IF(Atletas!G332="Baduanjin B",2))))</f>
        <v/>
      </c>
      <c r="BF341" s="52" t="str">
        <f>IF(Atletas!H332="","",IF(Atletas!B332="Feminino",100,IF(Atletas!B332="Masculino",200,""))+(IF(Atletas!H332="Changquan Mirim",1,IF(Atletas!H332="Nanquan Mirim",2,IF(Atletas!H332="Taijiquan Mirim",3,IF(Atletas!H332="Changquan Grupo C",4,IF(Atletas!H332="Nanquan Grupo C",5,IF(Atletas!H332="Taijiquan Grupo C",6,IF(Atletas!H332="Changquan Grupo B",7,IF(Atletas!H332="Nanquan Grupo B",8,IF(Atletas!H332="Taijiquan Grupo B",9,IF(Atletas!H332="Changquan Grupo A",10,IF(Atletas!H332="Nanquan Grupo A",11,IF(Atletas!H332="Taijiquan Grupo A",12,IF(Atletas!H332="Changquan Opcional",13,IF(Atletas!H332="Nanquan Opcional",14,IF(Atletas!H332="Taijiquan Opcional",15,IF(Atletas!H332="Changquan Adulto",16,IF(Atletas!H332="Nanquan Adulto",17,IF(Atletas!H332="Taijiquan Adulto",18,""))))))))))))))))))))</f>
        <v/>
      </c>
      <c r="BG341" s="52" t="str">
        <f>IF(Atletas!I332="","",IF(Atletas!B332="Feminino",100,IF(Atletas!B332="Masculino",200,""))+(IF(Atletas!I332="Daoshu Mirim",19,IF(Atletas!I332="Jianshu Mirim",20,IF(Atletas!I332="Nandao Mirim",21,IF(Atletas!I332="Taijijian Mirim",22,IF(Atletas!I332="Daoshu Grupo C",23,IF(Atletas!I332="Jianshu Grupo C",24,IF(Atletas!I332="Nandao Grupo C",25,IF(Atletas!I332="Taijijian Grupo C",26,IF(Atletas!I332="Daoshu Grupo B",27,IF(Atletas!I332="Jianshu Grupo B",28,IF(Atletas!I332="Nandao Grupo B",29,IF(Atletas!I332="Taijijian Grupo B",30,IF(Atletas!I332="Daoshu Grupo A",31,IF(Atletas!I332="Jianshu Grupo A",32,IF(Atletas!I332="Nandao Grupo A",33,IF(Atletas!I332="Taijijian Grupo A",34,IF(Atletas!I332="Daoshu Opcional",35,IF(Atletas!I332="Jianshu Opcional",36,IF(Atletas!I332="Nandao Opcional",37,IF(Atletas!I332="Taijijian Opcional",38,IF(Atletas!I332="Daoshu Adulto",39,IF(Atletas!I332="Jianshu Adulto",40,IF(Atletas!I332="Nandao Adulto",41,IF(Atletas!I332="Taijijian Adulto",42,""))))))))))))))))))))))))))</f>
        <v/>
      </c>
      <c r="BH341" s="52" t="str">
        <f>IF(Atletas!J332="","",IF(Atletas!B332="Feminino",100,IF(Atletas!B332="Masculino",200,""))+(IF(Atletas!J332="Gunshu Mirim",43,IF(Atletas!J332="Qiangshu Mirim",44,IF(Atletas!J332="Nangun Mirim",45,IF(Atletas!J332="Gunshu Grupo C",46,IF(Atletas!J332="Qiangshu Grupo C",47,IF(Atletas!J332="Nangun Grupo C",48,IF(Atletas!J332="Gunshu Grupo B",49,IF(Atletas!J332="Qiangshu Grupo B",50,IF(Atletas!J332="Nangun Grupo B",51,IF(Atletas!J332="Gunshu Grupo A",52,IF(Atletas!J332="Qiangshu Grupo A",53,IF(Atletas!J332="Nangun Grupo A",54,IF(Atletas!J332="Gunshu Opcional",55,IF(Atletas!J332="Qiangshu Opcional",56,IF(Atletas!J332="Nangun Opcional",57,IF(Atletas!J332="Gunshu Adulto",58,IF(Atletas!J332="Qiangshu Adulto",59,IF(Atletas!J332="Nangun Adulto",60,IF(Atletas!J332="Taijishan Grupo B",61,IF(Atletas!J332="Taijishan Grupo A",62,""))))))))))))))))))))))</f>
        <v/>
      </c>
      <c r="BM341" s="50" t="str">
        <f>IF(Atletas!K332="","",IF(Atletas!B332="Feminino",100,IF(Atletas!B332="Masculino",200,""))+(IF(Atletas!K332="Equipe 1 Grupo B",1,IF(Atletas!K332="Equipe 2 Grupo B",2,IF(Atletas!K332="Equipe 1 Grupo A",3,IF(Atletas!K332="Equipe 2 Grupo A",4,IF(Atletas!K332="Equipe 1 Adulto",5,IF(Atletas!K332="Equipe 2 Adulto",6,""))))))))</f>
        <v/>
      </c>
      <c r="BR341" s="50" t="str">
        <f>IF(Atletas!L332="","",IF(Atletas!X332&lt;&gt;"",10000,0)+(IF(Atletas!B332="Feminino",1000,IF(Atletas!B332="Masculino",2000,""))+IF(Atletas!L332="Choylayfut A",1,IF(Atletas!L332="Hunggar A",2,IF(Atletas!L332="Wuzuquan A",3,IF(Atletas!L332="Wingchun A",4,IF(Atletas!L332="Outra Mão de Sul A",5,IF(Atletas!L332="Choylayfut B",6,IF(Atletas!L332="Hunggar B",7,IF(Atletas!L332="Wuzuquan B",8,IF(Atletas!L332="Wingchun B",9,IF(Atletas!L332="Outra Mão de Sul B",10,IF(Atletas!L332="Choylayfut C",11,IF(Atletas!L332="Hunggar C",12,IF(Atletas!L332="Wuzuquan C",13,IF(Atletas!L332="Wingchun C",14,IF(Atletas!L332="Outra Mão de Sul C",15,IF(Atletas!L332="Choylayfut D",16,IF(Atletas!L332="Hunggar D",17,IF(Atletas!L332="Wuzuquan D",18,IF(Atletas!L332="Wingchun D",19,IF(Atletas!L332="Outra Mão de Sul D",20,IF(Atletas!L332="Choylayfut E",21,IF(Atletas!L332="Hunggar E",22,IF(Atletas!L332="Wuzuquan E",23,IF(Atletas!L332="Wingchun E",24,IF(Atletas!L332="Outra Mão de Sul E",25,IF(Atletas!L332="Choylayfut F",26,IF(Atletas!L332="Hunggar F",27,IF(Atletas!L332="Wuzuquan F",28,IF(Atletas!L332="Wingchun F",29,IF(Atletas!L332="Outra Mão de Sul F",30,IF(Atletas!L332="Dishuquan A",31,IF(Atletas!L332="Dishuquan B",32,IF(Atletas!L332="Dishuquan C",33,IF(Atletas!L332="Dishuquan D",34,IF(Atletas!L332="Dishuquan E",35,IF(Atletas!L332="Dishuquan F",36,""))))))))))))))))))))))))))))))))))))))</f>
        <v/>
      </c>
      <c r="BS341" s="50" t="str">
        <f>IF(Atletas!M332="","",IF(Atletas!X332&lt;&gt;"",10000,0)+(IF(Atletas!B332="Feminino",1000,IF(Atletas!B332="Masculino",2000,""))+(IF(Atletas!M332="Chaquan A",101,IF(Atletas!M332="Emeiquan A",102,IF(Atletas!M332="Fanziquan A",103,IF(Atletas!M332="Huaquan A",104,IF(Atletas!M332="Hongquan A",105,IF(Atletas!M332="Paoquan A",106,IF(Atletas!M332="Piguaquan A",107,IF(Atletas!M332="Shaolinquan A",108,IF(Atletas!M332="Tanglangquan A",109,IF(Atletas!M332="Yingzhaoquan A",110,IF(Atletas!M332="Tongbeiquan A",111,IF(Atletas!M332="Wudangquan A",112,IF(Atletas!M332="Outros Estilos A",113,IF(Atletas!M332="Chaquan B",114,IF(Atletas!M332="Emeiquan B",115,IF(Atletas!M332="Fanziquan B",116,IF(Atletas!M332="Huaquan B",117,IF(Atletas!M332="Hongquan B",118,IF(Atletas!M332="Paoquan B",119,IF(Atletas!M332="Piguaquan B",120,IF(Atletas!M332="Shaolinquan B",121,IF(Atletas!M332="Tanglangquan B",122,IF(Atletas!M332="Yingzhaoquan B",123,IF(Atletas!M332="Tongbeiquan B",124,IF(Atletas!M332="Wudangquan B",125,IF(Atletas!M332="Outros Estilos B",126,IF(Atletas!M332="Chaquan C",127,IF(Atletas!M332="Emeiquan C",128,IF(Atletas!M332="Fanziquan C",129,IF(Atletas!M332="Huaquan C",130,IF(Atletas!M332="Hongquan C",131,IF(Atletas!M332="Paoquan C",132,IF(Atletas!M332="Piguaquan C",133,IF(Atletas!M332="Shaolinquan C",134,IF(Atletas!M332="Tanglangquan C",135,IF(Atletas!M332="Yingzhaoquan C",136,IF(Atletas!M332="Tongbeiquan C",137,IF(Atletas!M332="Wudangquan C",138,IF(Atletas!M332="Outros Estilos C",139,0))))))))))))))))))))))))))))))))))))))))))</f>
        <v/>
      </c>
      <c r="BT341" s="50" t="str">
        <f>IF(Atletas!M332="","",IF(Atletas!X332&lt;&gt;"",10000,0)+(IF(Atletas!B332="Feminino",1000,IF(Atletas!B332="Masculino",2000,""))+(IF(Atletas!M332="Chaquan D",140,IF(Atletas!M332="Emeiquan D",141,IF(Atletas!M332="Fanziquan D",142,IF(Atletas!M332="Huaquan D",143,IF(Atletas!M332="Hongquan D",144,IF(Atletas!M332="Paoquan D",145,IF(Atletas!M332="Piguaquan D",146,IF(Atletas!M332="Shaolinquan D",147,IF(Atletas!M332="Tanglangquan D",148,IF(Atletas!M332="Yingzhaoquan D",149,IF(Atletas!M332="Tongbeiquan D",150,IF(Atletas!M332="Wudangquan D",151,IF(Atletas!M332="Outros Estilos D",152,IF(Atletas!M332="Chaquan E",153,IF(Atletas!M332="Emeiquan E",154,IF(Atletas!M332="Fanziquan E",155,IF(Atletas!M332="Huaquan E",156,IF(Atletas!M332="Hongquan E",157,IF(Atletas!M332="Paoquan E",158,IF(Atletas!M332="Piguaquan E",159,IF(Atletas!M332="Shaolinquan E",160,IF(Atletas!M332="Tanglangquan E",161,IF(Atletas!M332="Yingzhaoquan E",162,IF(Atletas!M332="Tongbeiquan E",163,IF(Atletas!M332="Wudangquan E",164,IF(Atletas!M332="Outros Estilos E",165,IF(Atletas!M332="Chaquan F",166,IF(Atletas!M332="Emeiquan F",167,IF(Atletas!M332="Fanziquan F",168,IF(Atletas!M332="Huaquan F",169,IF(Atletas!M332="Hongquan F",170,IF(Atletas!M332="Paoquan F",171,IF(Atletas!M332="Piguaquan F",172,IF(Atletas!M332="Shaolinquan F",173,IF(Atletas!M332="Tanglangquan F",174,IF(Atletas!M332="Yingzhaoquan F",175,IF(Atletas!M332="Tongbeiquan F",176,IF(Atletas!M332="Wudangquan F",177,IF(Atletas!M332="Outros Estilos F",178,0))))))))))))))))))))))))))))))))))))))))))</f>
        <v/>
      </c>
      <c r="BU341" s="50" t="str">
        <f>IF(Atletas!N332="","",IF(Atletas!X332&lt;&gt;"",10000,0)+(IF(Atletas!B332="Feminino",1000,IF(Atletas!B332="Masculino",2000,""))+(IF(Atletas!N332="Ditangquan A",201,IF(Atletas!N332="Houquan A",202,IF(Atletas!N332="Zuiquan A",203,IF(Atletas!N332="Ditangquan B",204,IF(Atletas!N332="Houquan B",205,IF(Atletas!N332="Zuiquan B",206,IF(Atletas!N332="Ditangquan C",207,IF(Atletas!N332="Houquan C",208,IF(Atletas!N332="Zuiquan C",209,IF(Atletas!N332="Ditangquan D",210,IF(Atletas!N332="Houquan D",211,IF(Atletas!N332="Zuiquan D",212,IF(Atletas!N332="Ditangquan E",213,IF(Atletas!N332="Houquan E",214,IF(Atletas!N332="Zuiquan E",215,IF(Atletas!N332="Ditangquan F",216,IF(Atletas!N332="Houquan F",217,IF(Atletas!N332="Zuiquan F",218,"")))))))))))))))))))))</f>
        <v/>
      </c>
      <c r="BV341" s="50" t="str">
        <f>IF(Atletas!O332="","",IF(Atletas!X332&lt;&gt;"",10000,0)+IF(Atletas!B332="Feminino",1000,IF(Atletas!B332="Masculino",2000,""))+IF(Atletas!O332="Yang A",301,IF(Atletas!O332="Chen A",302,IF(Atletas!O332="Sun A",303,IF(Atletas!O332="Wu A",304,IF(Atletas!O332="Wu-Hao A",305,IF(Atletas!O332="Outro Taijiquan A",306,IF(Atletas!O332="Yang B",307,IF(Atletas!O332="Chen B",308,IF(Atletas!O332="Sun B",309,IF(Atletas!O332="Wu B",310,IF(Atletas!O332="Wu-Hao B",311,IF(Atletas!O332="Outro Taijiquan B",312,IF(Atletas!O332="Yang C",313,IF(Atletas!O332="Chen C",314,IF(Atletas!O332="Sun C",315,IF(Atletas!O332="Wu C",316,IF(Atletas!O332="Wu-Hao C",317,IF(Atletas!O332="Outro Taijiquan C",318,IF(Atletas!O332="Yang D",319,IF(Atletas!O332="Chen D",320,IF(Atletas!O332="Sun D",321,IF(Atletas!O332="Wu D",322,IF(Atletas!O332="Wu-Hao D",323,IF(Atletas!O332="Outro Taijiquan D",324,IF(Atletas!O332="Yang E",325,IF(Atletas!O332="Chen E",326,IF(Atletas!O332="Sun E",327,IF(Atletas!O332="Wu E",328,IF(Atletas!O332="Wu-Hao E",329,IF(Atletas!O332="Outro Taijiquan E",330,IF(Atletas!O332="Yang F",331,IF(Atletas!O332="Chen F",332,IF(Atletas!O332="Sun F",333,IF(Atletas!O332="Wu F",334,IF(Atletas!O332="Wu-Hao F",335,IF(Atletas!O332="Outro Taijiquan F",336,"")))))))))))))))))))))))))))))))))))))</f>
        <v/>
      </c>
      <c r="BW341" s="50" t="str">
        <f>IF(Atletas!P332="","",IF(Atletas!X332&lt;&gt;"",10000,0)+IF(Atletas!B332="Feminino",1000,IF(Atletas!B332="Masculino",2000,""))+IF(OR(Atletas!P332="Yang 26 A",Atletas!P332="Yang 40 A"),401,IF(OR(Atletas!P332="Chen 25 A",Atletas!P332="Chen 36 A",Atletas!P332="Chen 56 A"),402,IF(Atletas!P332="Sun 73 A",403,IF(Atletas!P332="Wu 45 A",404,IF(Atletas!P332="Wu-Hao 46 A",405,IF(OR(Atletas!P332="Taijiquan 16 A",Atletas!P332="Taijiquan 24 A",Atletas!P332="Taijiquan 32 A",Atletas!P332="Taijiquan 42 A"),406,IF(OR(Atletas!P332="Yang 26 B",Atletas!P332="Yang 40 B"),407,IF(OR(Atletas!P332="Chen 25 B",Atletas!P332="Chen 36 B",Atletas!P332="Chen 56 B"),408,IF(Atletas!P332="Sun 73 B",409,IF(Atletas!P332="Wu 45 B",410,IF(Atletas!P332="Wu-Hao 46 B",411,IF(OR(Atletas!P332="Taijiquan 16 B",Atletas!P332="Taijiquan 24 B",Atletas!P332="Taijiquan 32 B",Atletas!P332="Taijiquan 42 B"),412,IF(OR(Atletas!P332="Yang 26 C",Atletas!P332="Yang 40 C"),413,IF(OR(Atletas!P332="Chen 25 C",Atletas!P332="Chen 36 C",Atletas!P332="Chen 56 C"),414,IF(Atletas!P332="Sun 73 C",415,IF(Atletas!P332="Wu 45 C",416,IF(Atletas!P332="Wu-Hao 46 C",417,IF(OR(Atletas!P332="Taijiquan 16 C",Atletas!P332="Taijiquan 24 C",Atletas!P332="Taijiquan 32 C",Atletas!P332="Taijiquan 42 C"),418,0)))))))))))))))))))</f>
        <v/>
      </c>
      <c r="BX341" s="50" t="str">
        <f>IF(Atletas!P332="","",IF(Atletas!X332&lt;&gt;"",10000,0)+IF(Atletas!B332="Feminino",1000,IF(Atletas!B332="Masculino",2000,""))+IF(OR(Atletas!P332="Yang 26 D",Atletas!P332="Yang 40 D"),419,IF(OR(Atletas!P332="Chen 25 D",Atletas!P332="Chen 36 D",Atletas!P332="Chen 56 D"),420,IF(Atletas!P332="Sun 73 D",421,IF(Atletas!P332="Wu 45 D",422,IF(Atletas!P332="Wu-Hao 46 D",423,IF(OR(Atletas!P332="Taijiquan 16 D",Atletas!P332="Taijiquan 24 D",Atletas!P332="Taijiquan 32 D",Atletas!P332="Taijiquan 42 D"),424,IF(OR(Atletas!P332="Yang 26 E",Atletas!P332="Yang 40 E"),425,IF(OR(Atletas!P332="Chen 25 E",Atletas!P332="Chen 36 E",Atletas!P332="Chen 56 E"),426,IF(Atletas!P332="Sun 73 E",427,IF(Atletas!P332="Wu 45 E",428,IF(Atletas!P332="Wu-Hao 46 E",429,IF(OR(Atletas!P332="Taijiquan 16 E",Atletas!P332="Taijiquan 24 E",Atletas!P332="Taijiquan 32 E",Atletas!P332="Taijiquan 42 E"),430,IF(OR(Atletas!P332="Yang 26 F",Atletas!P332="Yang 40 F"),431,IF(OR(Atletas!P332="Chen 25 F",Atletas!P332="Chen 36 F",Atletas!P332="Chen 56 F"),432,IF(Atletas!P332="Sun 73 F",433,IF(Atletas!P332="Wu 45 F",434,IF(Atletas!P332="Wu-Hao 46 F",435,IF(OR(Atletas!P332="Taijiquan 16 F",Atletas!P332="Taijiquan 24 F",Atletas!P332="Taijiquan 32 F",Atletas!P332="Taijiquan 42 F"),436,0)))))))))))))))))))</f>
        <v/>
      </c>
      <c r="BY341" s="50" t="str">
        <f>IF(Atletas!Q332="","",IF(Atletas!X332&lt;&gt;"",10000,0)+IF(Atletas!B332="Feminino",1000,IF(Atletas!B332="Masculino",2000,""))+IF(Atletas!Q332="Xingyiquan A",501,IF(Atletas!Q332="Baguazhang A",502,IF(Atletas!Q332="Outro Estilo Interno A",503,IF(Atletas!Q332="Xingyiquan B",504,IF(Atletas!Q332="Baguazhang B",505,IF(Atletas!Q332="Outro Estilo Interno B",506,IF(Atletas!Q332="Xingyiquan C",507,IF(Atletas!Q332="Baguazhang C",508,IF(Atletas!Q332="Outro Estilo Interno C",509,IF(Atletas!Q332="Xingyiquan D",510,IF(Atletas!Q332="Baguazhang D",511,IF(Atletas!Q332="Outro Estilo Interno D",512,IF(Atletas!Q332="Xingyiquan E",513,IF(Atletas!Q332="Baguazhang E",514,IF(Atletas!Q332="Outro Estilo Interno E",515,IF(Atletas!Q332="Xingyiquan F",516,IF(Atletas!Q332="Baguazhang F",517,IF(Atletas!Q332="Outro Estilo Interno F",518, "")))))))))))))))))))</f>
        <v/>
      </c>
      <c r="BZ341" s="50" t="str">
        <f>IF(Atletas!R332="","",IF(Atletas!X332&lt;&gt;"",10000,0)+IF(Atletas!B332="Feminino",1000,IF(Atletas!B332="Masculino",2000,""))+IF(Atletas!R332="Dao A",601,IF(Atletas!R332="Jian A",602,IF(Atletas!R332="Bishou A",603,IF(Atletas!R332="Shanzi A",604,IF(Atletas!R332="Outra Arma Curta A",605,IF(Atletas!R332="Dao B",606,IF(Atletas!R332="Jian B",607,IF(Atletas!R332="Bishou B",608,IF(Atletas!R332="Shanzi B",609,IF(Atletas!R332="Outra Arma Curta B",610,IF(Atletas!R332="Dao C",611,IF(Atletas!R332="Jian C",612,IF(Atletas!R332="Bishou C",613,IF(Atletas!R332="Shanzi C",614,IF(Atletas!R332="Outra Arma Curta C",615,IF(Atletas!R332="Dao D",616,IF(Atletas!R332="Jian D",617,IF(Atletas!R332="Bishou D",618,IF(Atletas!R332="Shanzi D",619,IF(Atletas!R332="Outra Arma Curta D",620,IF(Atletas!R332="Dao E",621,IF(Atletas!R332="Jian E",622,IF(Atletas!R332="Bishou E",623,IF(Atletas!R332="Shanzi E",624,IF(Atletas!R332="Outra Arma Curta E",625,IF(Atletas!R332="Dao F",626,IF(Atletas!R332="Jian F",627,IF(Atletas!R332="Bishou F",628,IF(Atletas!R332="Shanzi F",629,IF(Atletas!R332="Outra Arma Curta F",630, "")))))))))))))))))))))))))))))))</f>
        <v/>
      </c>
      <c r="CA341" s="50" t="str">
        <f>IF(Atletas!S332="","",IF(Atletas!X332&lt;&gt;"",10000,0)+IF(Atletas!B332="Feminino",1000,IF(Atletas!B332="Masculino",2000,""))+IF(Atletas!S332="Gun A",701,IF(Atletas!S332="Qiang A",702,IF(Atletas!S332="Pudao / Guandao A",703,IF(Atletas!S332="Outra Arma Longa A",704,IF(Atletas!S332="Gun B",705,IF(Atletas!S332="Qiang B",706,IF(Atletas!S332="Pudao / Guandao B",707,IF(Atletas!S332="Outra Arma Longa B",708,IF(Atletas!S332="Gun C",709,IF(Atletas!S332="Qiang C",710,IF(Atletas!S332="Pudao / Guandao C",711,IF(Atletas!S332="Outra Arma Longa C",712,IF(Atletas!S332="Gun D",713,IF(Atletas!S332="Qiang D",714,IF(Atletas!S332="Pudao / Guandao D",715,IF(Atletas!S332="Outra Arma Longa D",716,IF(Atletas!S332="Gun E",717,IF(Atletas!S332="Qiang E",718,IF(Atletas!S332="Pudao / Guandao E",719,IF(Atletas!S332="Outra Arma Longa E",720,IF(Atletas!S332="Gun F",721,IF(Atletas!S332="Qiang F",722,IF(Atletas!S332="Pudao / Guandao F",723,IF(Atletas!S332="Outra Arma Longa F",724,"")))))))))))))))))))))))))</f>
        <v/>
      </c>
      <c r="CB341" s="50" t="str">
        <f>IF(Atletas!T332="","",IF(Atletas!X332&lt;&gt;"",10000,0)+IF(Atletas!B332="Feminino",1000,IF(Atletas!B332="Masculino",2000,""))+IF(Atletas!T332="Outra Arma Dupla A",801,IF(Atletas!T332="Arma Maleável A",802,IF(Atletas!T332="Outra Arma Dupla B",803,IF(Atletas!T332="Arma Maleável B",804,IF(Atletas!T332="Outra Arma Dupla C",805,IF(Atletas!T332="Arma Maleável C",806,IF(Atletas!T332="Outra Arma Dupla D",807,IF(Atletas!T332="Arma Maleável D",808,IF(Atletas!T332="Outra Arma Dupla E",809,IF(Atletas!T332="Arma Maleável E",810,IF(Atletas!T332="Outra Arma Dupla F",811,IF(Atletas!T332="Arma Maleável F",812,IF(Atletas!T332="Shuangdao A",813,IF(Atletas!T332="Shuangdao B",814,IF(Atletas!T332="Shuangdao C",815,IF(Atletas!T332="Shuangdao D",816,IF(Atletas!T332="Shuangdao E",817,IF(Atletas!T332="Shuangdao F",818,"")))))))))))))))))))</f>
        <v/>
      </c>
      <c r="CC341" s="50" t="str">
        <f>IF(Atletas!U332="","",IF(Atletas!X332&lt;&gt;"",10000,0)+IF(Atletas!B332="Feminino",1000,IF(Atletas!B332="Masculino",2000,""))+IF(OR(Atletas!U332="Taijijian Yang A",Atletas!U332="Taijijian Yang Standard A"),901,IF(OR(Atletas!U332="Taijijian Chen A", Atletas!U332="Taijijian Chen Standard A"),902,IF(Atletas!U332="Taijijian Sun A",903,IF(Atletas!U332="Taijijian Wu A",904,IF(Atletas!U332="Taijijian Wu-Hao A",905,IF(OR(Atletas!U332="Taijijian 32 A",Atletas!U332="Taijijian 42 A"),906,IF(OR(Atletas!U332="Taijijian Yang B",Atletas!U332="Taijijian Yang Standard B"),907,IF(OR(Atletas!U332="Taijijian Chen B", Atletas!U332="Taijijian Chen Standard B"),908,IF(Atletas!U332="Taijijian Sun B",909,IF(Atletas!U332="Taijijian Wu B",910,IF(Atletas!U332="Taijijian Wu-Hao B",911,IF(OR(Atletas!U332="Taijijian 32 B",Atletas!U332="Taijijian 42 B"),912,IF(OR(Atletas!U332="Taijijian Yang C",Atletas!U332="Taijijian Yang Standard C"),913,IF(OR(Atletas!U332="Taijijian Chen C", Atletas!U332="Taijijian Chen Standard C"),914,IF(Atletas!U332="Taijijian Sun C",915,IF(Atletas!U332="Taijijian Wu C",916,IF(Atletas!U332="Taijijian Wu-Hao C",917,IF(OR(Atletas!U332="Taijijian 32 C",Atletas!U332="Taijijian 42 C"),918,IF(OR(Atletas!U332="Taijijian Yang D",Atletas!U332="Taijijian Yang Standard D"),919,IF(OR(Atletas!U332="Taijijian Chen D", Atletas!U332="Taijijian Chen Standard D"),920,IF(Atletas!U332="Taijijian Sun D",921,IF(Atletas!U332="Taijijian Wu D",922,IF(Atletas!U332="Taijijian Wu-Hao D",923,IF(OR(Atletas!U332="Taijijian 32 D",Atletas!U332="Taijijian 42 D"),924,IF(OR(Atletas!U332="Taijijian Yang E",Atletas!U332="Taijijian Yang Standard E"),925,IF(OR(Atletas!U332="Taijijian Chen E", Atletas!U332="Taijijian Chen Standard E"),926,IF(Atletas!U332="Taijijian Sun E",927,IF(Atletas!U332="Taijijian Wu E",928,IF(Atletas!U332="Taijijian Wu-Hao E",929,IF(OR(Atletas!U332="Taijijian 32 E",Atletas!U332="Taijijian 42 E"),930,IF(OR(Atletas!U332="Taijijian Yang F",Atletas!U332="Taijijian Yang Standard F"),931,IF(OR(Atletas!U332="Taijijian Chen F", Atletas!U332="Taijijian Chen Standard F"),932,IF(Atletas!U332="Taijijian Sun F",933,IF(Atletas!U332="Taijijian Wu F",934,IF(Atletas!U332="Taijijian Wu-Hao F",935,IF(OR(Atletas!U332="Taijijian 32 F",Atletas!U332="Taijijian 42 F"),936,"")))))))))))))))))))))))))))))))))))))</f>
        <v/>
      </c>
      <c r="CD341" s="50" t="str">
        <f>IF(Atletas!V332="","",IF(Atletas!X332&lt;&gt;"",10000,0)+IF(Atletas!B332="Feminino",1000,IF(Atletas!B332="Masculino",2000,""))+IF(Atletas!V332="Taijidao A",937,IF(Atletas!V332="TaijiShanzi A",938,IF(Atletas!V332="Taijiqiang A",939,IF(Atletas!V332="Bagua de Arma A",940,IF(Atletas!V332="Xingyi de Arma A",941,IF(Atletas!V332="Taijidao B",942,IF(Atletas!V332="TaijiShanzi B",943,IF(Atletas!V332="Taijiqiang B",944,IF(Atletas!V332="Bagua de Arma B",945,IF(Atletas!V332="Xingyi de Arma B",946,IF(Atletas!V332="Taijidao C",947,IF(Atletas!V332="TaijiShanzi C",948,IF(Atletas!V332="Taijiqiang C",949,IF(Atletas!V332="Bagua de Arma C",950,IF(Atletas!V332="Xingyi de Arma C",951,IF(Atletas!V332="Taijidao D",952,IF(Atletas!V332="TaijiShanzi D",953,IF(Atletas!V332="Taijiqiang D",954,IF(Atletas!V332="Bagua de Arma D",955,IF(Atletas!V332="Xingyi de Arma D",956,IF(Atletas!V332="Taijidao E",957,IF(Atletas!V332="TaijiShanzi E",958,IF(Atletas!V332="Taijiqiang E",959,IF(Atletas!V332="Bagua de Arma E",960,IF(Atletas!V332="Xingyi de Arma E",961,IF(Atletas!V332="Taijidao F",962,IF(Atletas!V332="TaijiShanzi F",963,IF(Atletas!V332="Taijiqiang F",964,IF(Atletas!V332="Bagua de Arma F",965,IF(Atletas!V332="Xingyi de Arma F",966,"")))))))))))))))))))))))))))))))</f>
        <v/>
      </c>
      <c r="CE341" s="66" t="str">
        <f>IF(CF341&lt;&gt;"","Xingyi de Arma A","")</f>
        <v/>
      </c>
      <c r="CF341" s="66" t="str">
        <f>IF(COUNTIF(BR:CD,1941)&gt;0,COUNTIF(BR:CD,1941),"")</f>
        <v/>
      </c>
      <c r="CG341" s="66" t="str">
        <f>IF(CH341&lt;&gt;"","Xingyi de Arma A","")</f>
        <v/>
      </c>
      <c r="CH341" s="66" t="str">
        <f>IF(COUNTIF(BR:CD,2941)&gt;0,COUNTIF(BR:CD,2941),"")</f>
        <v/>
      </c>
      <c r="CI341" s="66" t="str">
        <f>IF(CJ342&lt;&gt;"","Taijiqiang D","")</f>
        <v/>
      </c>
      <c r="CJ341" s="66" t="str">
        <f>IF(COUNTIF(BR:CD,11953)&gt;0,COUNTIF(BR:CD,11953),"")</f>
        <v/>
      </c>
      <c r="CK341" s="66" t="str">
        <f>IF(CL341&lt;&gt;"","Taijishan D","")</f>
        <v/>
      </c>
      <c r="CL341" s="66" t="str">
        <f>IF(COUNTIF(BR:CD,12953)&gt;0,COUNTIF(BR:CD,12953),"")</f>
        <v/>
      </c>
      <c r="CM341" s="50" t="str">
        <f xml:space="preserve"> IF(Atletas!W332="","",IF(Atletas!W332="Duilian de Mãos BC - Equipe 1",1,IF(Atletas!W332="Duilian de Mãos BC - Equipe 2",2,IF(Atletas!W332="Duilian de Armas BC - Equipe 1",3,IF(Atletas!W332="Duilian de Armas BC - Equipe 2",4,IF(Atletas!W332="Duilian de Mãos DE - Equipe 1",5,IF(Atletas!W332="Duilian de Mãos DE - Equipe 2",6,IF(Atletas!W332="Duilian de Armas DE - Equipe 1",7,IF(Atletas!W332="Duilian de Armas DE - Equipe 2",8,IF(Atletas!W332="Duilian de Tuishou - Equipe 1",9,IF(Atletas!W332="Duilian de Tuishou - Equipe 2",10,IF(Atletas!W332="Grupo Externo ABC - Equipe 1",11,IF(Atletas!W332="Grupo Externo ABC - Equipe 2",12,IF(Atletas!W332="Grupo Interno ABC - Equipe 1",13,IF(Atletas!W332="Grupo Interno ABC - Equipe 2",14,IF(Atletas!W332="Grupo Externo DEF - Equipe 1",15,IF(Atletas!W332="Grupo Externo DEF - Equipe 2",16,IF(Atletas!W332="Grupo Interno DEF - Equipe 1",17,IF(Atletas!W332="Grupo Interno DEF - Equipe 2",18,"")))))))))))))))))))</f>
        <v/>
      </c>
    </row>
    <row r="342" spans="40:91">
      <c r="AN342" s="52" t="str">
        <f>IF(Atletas!D333="","",IF(Atletas!B333="Feminino",100,IF(Atletas!B333="Masculino",200,""))+(IF(Atletas!D333="Kids 30kg",1,IF(Atletas!D333="Kids 32kg",2, IF(Atletas!D333="Kids 34kg",3,IF(Atletas!D333="Kids 36kg",4,IF(Atletas!D333="Kids 39kg",5,IF(Atletas!D333="Kids 42kg",6,IF(Atletas!D333="Kids 45kg",7, IF(Atletas!D333="Infantil 39kg",8,IF(Atletas!D333="Infantil 42kg",9,IF(Atletas!D333="Infantil 45kg",10,IF(Atletas!D333="Infantil 48kg",11,IF(Atletas!D333="Infantil 52kg",12,IF(Atletas!D333="Infantil 56kg",13,IF(Atletas!D333="Infantil 60kg",14,IF(Atletas!D333="Juvenil 48kg",15,IF(Atletas!D333="Juvenil 52kg",16,IF(Atletas!D333="Juvenil 56kg",17,IF(Atletas!D333="Juvenil 60kg",18,IF(Atletas!D333="Juvenil 65kg",19,IF(Atletas!D333="Juvenil 70kg",20,IF(Atletas!D333="Juvenil 75kg",21,IF(Atletas!D333="Juvenil 80kg",22, IF(Atletas!D333="Juvenil 85kg",23,IF(Atletas!D333="Adulto 48kg",24,IF(Atletas!D333="Adulto 52kg",25,IF(Atletas!D333="Adulto 56kg",26,IF(Atletas!D333="Adulto 60kg",27,IF(Atletas!D333="Adulto 65kg",28,IF(Atletas!D333="Adulto 70kg",29,IF(Atletas!D333="Adulto 75kg",30,IF(Atletas!D333="Adulto 80kg",31,IF(Atletas!D333="Adulto 85kg",32,IF(Atletas!D333="Adulto 90kg",33,IF(Atletas!D333="Adulto 100kg",34, IF(Atletas!D333="Adulto +100kg",35,"")))))))))))))))))))))))))))))))))))))</f>
        <v/>
      </c>
      <c r="AS342" s="6" t="str">
        <f>IF(Atletas!E333="","",IF(Atletas!B333="Feminino",100,IF(Atletas!B333="Masculino",200,""))+(IF(Atletas!E333="Juvenil 44kg",1,IF(Atletas!E333="Juvenil 48kg",2,IF(Atletas!E333="Juvenil 52kg",3,IF(Atletas!E333="Juvenil 56kg",4,IF(Atletas!E333="Juvenil 60kg",5,IF(Atletas!E333="Juvenil 65kg",6,IF(Atletas!E333="Juvenil 70kg",7,IF(Atletas!E333="Juvenil 75kg",8,IF(Atletas!E333="Juvenil 82kg",9,IF(Atletas!E333="Juvenil 90kg",10,IF(Atletas!E333="Juvenil 100kg",11,IF(Atletas!E333="Adulto 48kg",12,IF(Atletas!E333="Adulto 52kg",13,IF(Atletas!E333="Adulto 56kg",14,IF(Atletas!E333="Adulto 60kg",15,IF(Atletas!E333="Adulto 65kg",16,IF(Atletas!E333="Adulto 70kg",17,IF(Atletas!E333="Adulto 75kg",18,IF(Atletas!E333="Adulto 82kg",19,IF(Atletas!E333="Adulto 90kg",20,IF(Atletas!E333="Adulto 100kg",21,IF(Atletas!E333="Adulto +100kg",22,""))))))))))))))))))))))))</f>
        <v/>
      </c>
      <c r="AX342" s="6" t="str">
        <f>IF(Atletas!F333="","",IF(Atletas!B333="Feminino",100,IF(Atletas!B333="Masculino",200,""))+(IF(Atletas!F333="Adulto 48kg",1,IF(Atletas!F333="Adulto 56kg",2,IF(Atletas!F333="Adulto 65kg",3,IF(Atletas!F333="Adulto 75kg",4,IF(Atletas!F333="Adulto +75kg",5,IF(Atletas!F333="Adulto 52kg",6,IF(Atletas!F333="Adulto 60kg",7,IF(Atletas!F333="Adulto 70kg",8,IF(Atletas!F333="Adulto 80kg",9,IF(Atletas!F333="Adulto 90kg",10,IF(Atletas!F333="Adulto +90kg",11,"")))))))))))))</f>
        <v/>
      </c>
      <c r="BC342" s="6" t="str">
        <f>IF(Atletas!G333="","",IF(Atletas!B333="Feminino",10,IF(Atletas!B333="Masculino",20,""))+(IF(Atletas!G333="Baduanjin A",1,IF(Atletas!G333="Baduanjin B",2))))</f>
        <v/>
      </c>
      <c r="BF342" s="52" t="str">
        <f>IF(Atletas!H333="","",IF(Atletas!B333="Feminino",100,IF(Atletas!B333="Masculino",200,""))+(IF(Atletas!H333="Changquan Mirim",1,IF(Atletas!H333="Nanquan Mirim",2,IF(Atletas!H333="Taijiquan Mirim",3,IF(Atletas!H333="Changquan Grupo C",4,IF(Atletas!H333="Nanquan Grupo C",5,IF(Atletas!H333="Taijiquan Grupo C",6,IF(Atletas!H333="Changquan Grupo B",7,IF(Atletas!H333="Nanquan Grupo B",8,IF(Atletas!H333="Taijiquan Grupo B",9,IF(Atletas!H333="Changquan Grupo A",10,IF(Atletas!H333="Nanquan Grupo A",11,IF(Atletas!H333="Taijiquan Grupo A",12,IF(Atletas!H333="Changquan Opcional",13,IF(Atletas!H333="Nanquan Opcional",14,IF(Atletas!H333="Taijiquan Opcional",15,IF(Atletas!H333="Changquan Adulto",16,IF(Atletas!H333="Nanquan Adulto",17,IF(Atletas!H333="Taijiquan Adulto",18,""))))))))))))))))))))</f>
        <v/>
      </c>
      <c r="BG342" s="52" t="str">
        <f>IF(Atletas!I333="","",IF(Atletas!B333="Feminino",100,IF(Atletas!B333="Masculino",200,""))+(IF(Atletas!I333="Daoshu Mirim",19,IF(Atletas!I333="Jianshu Mirim",20,IF(Atletas!I333="Nandao Mirim",21,IF(Atletas!I333="Taijijian Mirim",22,IF(Atletas!I333="Daoshu Grupo C",23,IF(Atletas!I333="Jianshu Grupo C",24,IF(Atletas!I333="Nandao Grupo C",25,IF(Atletas!I333="Taijijian Grupo C",26,IF(Atletas!I333="Daoshu Grupo B",27,IF(Atletas!I333="Jianshu Grupo B",28,IF(Atletas!I333="Nandao Grupo B",29,IF(Atletas!I333="Taijijian Grupo B",30,IF(Atletas!I333="Daoshu Grupo A",31,IF(Atletas!I333="Jianshu Grupo A",32,IF(Atletas!I333="Nandao Grupo A",33,IF(Atletas!I333="Taijijian Grupo A",34,IF(Atletas!I333="Daoshu Opcional",35,IF(Atletas!I333="Jianshu Opcional",36,IF(Atletas!I333="Nandao Opcional",37,IF(Atletas!I333="Taijijian Opcional",38,IF(Atletas!I333="Daoshu Adulto",39,IF(Atletas!I333="Jianshu Adulto",40,IF(Atletas!I333="Nandao Adulto",41,IF(Atletas!I333="Taijijian Adulto",42,""))))))))))))))))))))))))))</f>
        <v/>
      </c>
      <c r="BH342" s="52" t="str">
        <f>IF(Atletas!J333="","",IF(Atletas!B333="Feminino",100,IF(Atletas!B333="Masculino",200,""))+(IF(Atletas!J333="Gunshu Mirim",43,IF(Atletas!J333="Qiangshu Mirim",44,IF(Atletas!J333="Nangun Mirim",45,IF(Atletas!J333="Gunshu Grupo C",46,IF(Atletas!J333="Qiangshu Grupo C",47,IF(Atletas!J333="Nangun Grupo C",48,IF(Atletas!J333="Gunshu Grupo B",49,IF(Atletas!J333="Qiangshu Grupo B",50,IF(Atletas!J333="Nangun Grupo B",51,IF(Atletas!J333="Gunshu Grupo A",52,IF(Atletas!J333="Qiangshu Grupo A",53,IF(Atletas!J333="Nangun Grupo A",54,IF(Atletas!J333="Gunshu Opcional",55,IF(Atletas!J333="Qiangshu Opcional",56,IF(Atletas!J333="Nangun Opcional",57,IF(Atletas!J333="Gunshu Adulto",58,IF(Atletas!J333="Qiangshu Adulto",59,IF(Atletas!J333="Nangun Adulto",60,IF(Atletas!J333="Taijishan Grupo B",61,IF(Atletas!J333="Taijishan Grupo A",62,""))))))))))))))))))))))</f>
        <v/>
      </c>
      <c r="BM342" s="50" t="str">
        <f>IF(Atletas!K333="","",IF(Atletas!B333="Feminino",100,IF(Atletas!B333="Masculino",200,""))+(IF(Atletas!K333="Equipe 1 Grupo B",1,IF(Atletas!K333="Equipe 2 Grupo B",2,IF(Atletas!K333="Equipe 1 Grupo A",3,IF(Atletas!K333="Equipe 2 Grupo A",4,IF(Atletas!K333="Equipe 1 Adulto",5,IF(Atletas!K333="Equipe 2 Adulto",6,""))))))))</f>
        <v/>
      </c>
      <c r="BR342" s="50" t="str">
        <f>IF(Atletas!L333="","",IF(Atletas!X333&lt;&gt;"",10000,0)+(IF(Atletas!B333="Feminino",1000,IF(Atletas!B333="Masculino",2000,""))+IF(Atletas!L333="Choylayfut A",1,IF(Atletas!L333="Hunggar A",2,IF(Atletas!L333="Wuzuquan A",3,IF(Atletas!L333="Wingchun A",4,IF(Atletas!L333="Outra Mão de Sul A",5,IF(Atletas!L333="Choylayfut B",6,IF(Atletas!L333="Hunggar B",7,IF(Atletas!L333="Wuzuquan B",8,IF(Atletas!L333="Wingchun B",9,IF(Atletas!L333="Outra Mão de Sul B",10,IF(Atletas!L333="Choylayfut C",11,IF(Atletas!L333="Hunggar C",12,IF(Atletas!L333="Wuzuquan C",13,IF(Atletas!L333="Wingchun C",14,IF(Atletas!L333="Outra Mão de Sul C",15,IF(Atletas!L333="Choylayfut D",16,IF(Atletas!L333="Hunggar D",17,IF(Atletas!L333="Wuzuquan D",18,IF(Atletas!L333="Wingchun D",19,IF(Atletas!L333="Outra Mão de Sul D",20,IF(Atletas!L333="Choylayfut E",21,IF(Atletas!L333="Hunggar E",22,IF(Atletas!L333="Wuzuquan E",23,IF(Atletas!L333="Wingchun E",24,IF(Atletas!L333="Outra Mão de Sul E",25,IF(Atletas!L333="Choylayfut F",26,IF(Atletas!L333="Hunggar F",27,IF(Atletas!L333="Wuzuquan F",28,IF(Atletas!L333="Wingchun F",29,IF(Atletas!L333="Outra Mão de Sul F",30,IF(Atletas!L333="Dishuquan A",31,IF(Atletas!L333="Dishuquan B",32,IF(Atletas!L333="Dishuquan C",33,IF(Atletas!L333="Dishuquan D",34,IF(Atletas!L333="Dishuquan E",35,IF(Atletas!L333="Dishuquan F",36,""))))))))))))))))))))))))))))))))))))))</f>
        <v/>
      </c>
      <c r="BS342" s="50" t="str">
        <f>IF(Atletas!M333="","",IF(Atletas!X333&lt;&gt;"",10000,0)+(IF(Atletas!B333="Feminino",1000,IF(Atletas!B333="Masculino",2000,""))+(IF(Atletas!M333="Chaquan A",101,IF(Atletas!M333="Emeiquan A",102,IF(Atletas!M333="Fanziquan A",103,IF(Atletas!M333="Huaquan A",104,IF(Atletas!M333="Hongquan A",105,IF(Atletas!M333="Paoquan A",106,IF(Atletas!M333="Piguaquan A",107,IF(Atletas!M333="Shaolinquan A",108,IF(Atletas!M333="Tanglangquan A",109,IF(Atletas!M333="Yingzhaoquan A",110,IF(Atletas!M333="Tongbeiquan A",111,IF(Atletas!M333="Wudangquan A",112,IF(Atletas!M333="Outros Estilos A",113,IF(Atletas!M333="Chaquan B",114,IF(Atletas!M333="Emeiquan B",115,IF(Atletas!M333="Fanziquan B",116,IF(Atletas!M333="Huaquan B",117,IF(Atletas!M333="Hongquan B",118,IF(Atletas!M333="Paoquan B",119,IF(Atletas!M333="Piguaquan B",120,IF(Atletas!M333="Shaolinquan B",121,IF(Atletas!M333="Tanglangquan B",122,IF(Atletas!M333="Yingzhaoquan B",123,IF(Atletas!M333="Tongbeiquan B",124,IF(Atletas!M333="Wudangquan B",125,IF(Atletas!M333="Outros Estilos B",126,IF(Atletas!M333="Chaquan C",127,IF(Atletas!M333="Emeiquan C",128,IF(Atletas!M333="Fanziquan C",129,IF(Atletas!M333="Huaquan C",130,IF(Atletas!M333="Hongquan C",131,IF(Atletas!M333="Paoquan C",132,IF(Atletas!M333="Piguaquan C",133,IF(Atletas!M333="Shaolinquan C",134,IF(Atletas!M333="Tanglangquan C",135,IF(Atletas!M333="Yingzhaoquan C",136,IF(Atletas!M333="Tongbeiquan C",137,IF(Atletas!M333="Wudangquan C",138,IF(Atletas!M333="Outros Estilos C",139,0))))))))))))))))))))))))))))))))))))))))))</f>
        <v/>
      </c>
      <c r="BT342" s="50" t="str">
        <f>IF(Atletas!M333="","",IF(Atletas!X333&lt;&gt;"",10000,0)+(IF(Atletas!B333="Feminino",1000,IF(Atletas!B333="Masculino",2000,""))+(IF(Atletas!M333="Chaquan D",140,IF(Atletas!M333="Emeiquan D",141,IF(Atletas!M333="Fanziquan D",142,IF(Atletas!M333="Huaquan D",143,IF(Atletas!M333="Hongquan D",144,IF(Atletas!M333="Paoquan D",145,IF(Atletas!M333="Piguaquan D",146,IF(Atletas!M333="Shaolinquan D",147,IF(Atletas!M333="Tanglangquan D",148,IF(Atletas!M333="Yingzhaoquan D",149,IF(Atletas!M333="Tongbeiquan D",150,IF(Atletas!M333="Wudangquan D",151,IF(Atletas!M333="Outros Estilos D",152,IF(Atletas!M333="Chaquan E",153,IF(Atletas!M333="Emeiquan E",154,IF(Atletas!M333="Fanziquan E",155,IF(Atletas!M333="Huaquan E",156,IF(Atletas!M333="Hongquan E",157,IF(Atletas!M333="Paoquan E",158,IF(Atletas!M333="Piguaquan E",159,IF(Atletas!M333="Shaolinquan E",160,IF(Atletas!M333="Tanglangquan E",161,IF(Atletas!M333="Yingzhaoquan E",162,IF(Atletas!M333="Tongbeiquan E",163,IF(Atletas!M333="Wudangquan E",164,IF(Atletas!M333="Outros Estilos E",165,IF(Atletas!M333="Chaquan F",166,IF(Atletas!M333="Emeiquan F",167,IF(Atletas!M333="Fanziquan F",168,IF(Atletas!M333="Huaquan F",169,IF(Atletas!M333="Hongquan F",170,IF(Atletas!M333="Paoquan F",171,IF(Atletas!M333="Piguaquan F",172,IF(Atletas!M333="Shaolinquan F",173,IF(Atletas!M333="Tanglangquan F",174,IF(Atletas!M333="Yingzhaoquan F",175,IF(Atletas!M333="Tongbeiquan F",176,IF(Atletas!M333="Wudangquan F",177,IF(Atletas!M333="Outros Estilos F",178,0))))))))))))))))))))))))))))))))))))))))))</f>
        <v/>
      </c>
      <c r="BU342" s="50" t="str">
        <f>IF(Atletas!N333="","",IF(Atletas!X333&lt;&gt;"",10000,0)+(IF(Atletas!B333="Feminino",1000,IF(Atletas!B333="Masculino",2000,""))+(IF(Atletas!N333="Ditangquan A",201,IF(Atletas!N333="Houquan A",202,IF(Atletas!N333="Zuiquan A",203,IF(Atletas!N333="Ditangquan B",204,IF(Atletas!N333="Houquan B",205,IF(Atletas!N333="Zuiquan B",206,IF(Atletas!N333="Ditangquan C",207,IF(Atletas!N333="Houquan C",208,IF(Atletas!N333="Zuiquan C",209,IF(Atletas!N333="Ditangquan D",210,IF(Atletas!N333="Houquan D",211,IF(Atletas!N333="Zuiquan D",212,IF(Atletas!N333="Ditangquan E",213,IF(Atletas!N333="Houquan E",214,IF(Atletas!N333="Zuiquan E",215,IF(Atletas!N333="Ditangquan F",216,IF(Atletas!N333="Houquan F",217,IF(Atletas!N333="Zuiquan F",218,"")))))))))))))))))))))</f>
        <v/>
      </c>
      <c r="BV342" s="50" t="str">
        <f>IF(Atletas!O333="","",IF(Atletas!X333&lt;&gt;"",10000,0)+IF(Atletas!B333="Feminino",1000,IF(Atletas!B333="Masculino",2000,""))+IF(Atletas!O333="Yang A",301,IF(Atletas!O333="Chen A",302,IF(Atletas!O333="Sun A",303,IF(Atletas!O333="Wu A",304,IF(Atletas!O333="Wu-Hao A",305,IF(Atletas!O333="Outro Taijiquan A",306,IF(Atletas!O333="Yang B",307,IF(Atletas!O333="Chen B",308,IF(Atletas!O333="Sun B",309,IF(Atletas!O333="Wu B",310,IF(Atletas!O333="Wu-Hao B",311,IF(Atletas!O333="Outro Taijiquan B",312,IF(Atletas!O333="Yang C",313,IF(Atletas!O333="Chen C",314,IF(Atletas!O333="Sun C",315,IF(Atletas!O333="Wu C",316,IF(Atletas!O333="Wu-Hao C",317,IF(Atletas!O333="Outro Taijiquan C",318,IF(Atletas!O333="Yang D",319,IF(Atletas!O333="Chen D",320,IF(Atletas!O333="Sun D",321,IF(Atletas!O333="Wu D",322,IF(Atletas!O333="Wu-Hao D",323,IF(Atletas!O333="Outro Taijiquan D",324,IF(Atletas!O333="Yang E",325,IF(Atletas!O333="Chen E",326,IF(Atletas!O333="Sun E",327,IF(Atletas!O333="Wu E",328,IF(Atletas!O333="Wu-Hao E",329,IF(Atletas!O333="Outro Taijiquan E",330,IF(Atletas!O333="Yang F",331,IF(Atletas!O333="Chen F",332,IF(Atletas!O333="Sun F",333,IF(Atletas!O333="Wu F",334,IF(Atletas!O333="Wu-Hao F",335,IF(Atletas!O333="Outro Taijiquan F",336,"")))))))))))))))))))))))))))))))))))))</f>
        <v/>
      </c>
      <c r="BW342" s="50" t="str">
        <f>IF(Atletas!P333="","",IF(Atletas!X333&lt;&gt;"",10000,0)+IF(Atletas!B333="Feminino",1000,IF(Atletas!B333="Masculino",2000,""))+IF(OR(Atletas!P333="Yang 26 A",Atletas!P333="Yang 40 A"),401,IF(OR(Atletas!P333="Chen 25 A",Atletas!P333="Chen 36 A",Atletas!P333="Chen 56 A"),402,IF(Atletas!P333="Sun 73 A",403,IF(Atletas!P333="Wu 45 A",404,IF(Atletas!P333="Wu-Hao 46 A",405,IF(OR(Atletas!P333="Taijiquan 16 A",Atletas!P333="Taijiquan 24 A",Atletas!P333="Taijiquan 32 A",Atletas!P333="Taijiquan 42 A"),406,IF(OR(Atletas!P333="Yang 26 B",Atletas!P333="Yang 40 B"),407,IF(OR(Atletas!P333="Chen 25 B",Atletas!P333="Chen 36 B",Atletas!P333="Chen 56 B"),408,IF(Atletas!P333="Sun 73 B",409,IF(Atletas!P333="Wu 45 B",410,IF(Atletas!P333="Wu-Hao 46 B",411,IF(OR(Atletas!P333="Taijiquan 16 B",Atletas!P333="Taijiquan 24 B",Atletas!P333="Taijiquan 32 B",Atletas!P333="Taijiquan 42 B"),412,IF(OR(Atletas!P333="Yang 26 C",Atletas!P333="Yang 40 C"),413,IF(OR(Atletas!P333="Chen 25 C",Atletas!P333="Chen 36 C",Atletas!P333="Chen 56 C"),414,IF(Atletas!P333="Sun 73 C",415,IF(Atletas!P333="Wu 45 C",416,IF(Atletas!P333="Wu-Hao 46 C",417,IF(OR(Atletas!P333="Taijiquan 16 C",Atletas!P333="Taijiquan 24 C",Atletas!P333="Taijiquan 32 C",Atletas!P333="Taijiquan 42 C"),418,0)))))))))))))))))))</f>
        <v/>
      </c>
      <c r="BX342" s="50" t="str">
        <f>IF(Atletas!P333="","",IF(Atletas!X333&lt;&gt;"",10000,0)+IF(Atletas!B333="Feminino",1000,IF(Atletas!B333="Masculino",2000,""))+IF(OR(Atletas!P333="Yang 26 D",Atletas!P333="Yang 40 D"),419,IF(OR(Atletas!P333="Chen 25 D",Atletas!P333="Chen 36 D",Atletas!P333="Chen 56 D"),420,IF(Atletas!P333="Sun 73 D",421,IF(Atletas!P333="Wu 45 D",422,IF(Atletas!P333="Wu-Hao 46 D",423,IF(OR(Atletas!P333="Taijiquan 16 D",Atletas!P333="Taijiquan 24 D",Atletas!P333="Taijiquan 32 D",Atletas!P333="Taijiquan 42 D"),424,IF(OR(Atletas!P333="Yang 26 E",Atletas!P333="Yang 40 E"),425,IF(OR(Atletas!P333="Chen 25 E",Atletas!P333="Chen 36 E",Atletas!P333="Chen 56 E"),426,IF(Atletas!P333="Sun 73 E",427,IF(Atletas!P333="Wu 45 E",428,IF(Atletas!P333="Wu-Hao 46 E",429,IF(OR(Atletas!P333="Taijiquan 16 E",Atletas!P333="Taijiquan 24 E",Atletas!P333="Taijiquan 32 E",Atletas!P333="Taijiquan 42 E"),430,IF(OR(Atletas!P333="Yang 26 F",Atletas!P333="Yang 40 F"),431,IF(OR(Atletas!P333="Chen 25 F",Atletas!P333="Chen 36 F",Atletas!P333="Chen 56 F"),432,IF(Atletas!P333="Sun 73 F",433,IF(Atletas!P333="Wu 45 F",434,IF(Atletas!P333="Wu-Hao 46 F",435,IF(OR(Atletas!P333="Taijiquan 16 F",Atletas!P333="Taijiquan 24 F",Atletas!P333="Taijiquan 32 F",Atletas!P333="Taijiquan 42 F"),436,0)))))))))))))))))))</f>
        <v/>
      </c>
      <c r="BY342" s="50" t="str">
        <f>IF(Atletas!Q333="","",IF(Atletas!X333&lt;&gt;"",10000,0)+IF(Atletas!B333="Feminino",1000,IF(Atletas!B333="Masculino",2000,""))+IF(Atletas!Q333="Xingyiquan A",501,IF(Atletas!Q333="Baguazhang A",502,IF(Atletas!Q333="Outro Estilo Interno A",503,IF(Atletas!Q333="Xingyiquan B",504,IF(Atletas!Q333="Baguazhang B",505,IF(Atletas!Q333="Outro Estilo Interno B",506,IF(Atletas!Q333="Xingyiquan C",507,IF(Atletas!Q333="Baguazhang C",508,IF(Atletas!Q333="Outro Estilo Interno C",509,IF(Atletas!Q333="Xingyiquan D",510,IF(Atletas!Q333="Baguazhang D",511,IF(Atletas!Q333="Outro Estilo Interno D",512,IF(Atletas!Q333="Xingyiquan E",513,IF(Atletas!Q333="Baguazhang E",514,IF(Atletas!Q333="Outro Estilo Interno E",515,IF(Atletas!Q333="Xingyiquan F",516,IF(Atletas!Q333="Baguazhang F",517,IF(Atletas!Q333="Outro Estilo Interno F",518, "")))))))))))))))))))</f>
        <v/>
      </c>
      <c r="BZ342" s="50" t="str">
        <f>IF(Atletas!R333="","",IF(Atletas!X333&lt;&gt;"",10000,0)+IF(Atletas!B333="Feminino",1000,IF(Atletas!B333="Masculino",2000,""))+IF(Atletas!R333="Dao A",601,IF(Atletas!R333="Jian A",602,IF(Atletas!R333="Bishou A",603,IF(Atletas!R333="Shanzi A",604,IF(Atletas!R333="Outra Arma Curta A",605,IF(Atletas!R333="Dao B",606,IF(Atletas!R333="Jian B",607,IF(Atletas!R333="Bishou B",608,IF(Atletas!R333="Shanzi B",609,IF(Atletas!R333="Outra Arma Curta B",610,IF(Atletas!R333="Dao C",611,IF(Atletas!R333="Jian C",612,IF(Atletas!R333="Bishou C",613,IF(Atletas!R333="Shanzi C",614,IF(Atletas!R333="Outra Arma Curta C",615,IF(Atletas!R333="Dao D",616,IF(Atletas!R333="Jian D",617,IF(Atletas!R333="Bishou D",618,IF(Atletas!R333="Shanzi D",619,IF(Atletas!R333="Outra Arma Curta D",620,IF(Atletas!R333="Dao E",621,IF(Atletas!R333="Jian E",622,IF(Atletas!R333="Bishou E",623,IF(Atletas!R333="Shanzi E",624,IF(Atletas!R333="Outra Arma Curta E",625,IF(Atletas!R333="Dao F",626,IF(Atletas!R333="Jian F",627,IF(Atletas!R333="Bishou F",628,IF(Atletas!R333="Shanzi F",629,IF(Atletas!R333="Outra Arma Curta F",630, "")))))))))))))))))))))))))))))))</f>
        <v/>
      </c>
      <c r="CA342" s="50" t="str">
        <f>IF(Atletas!S333="","",IF(Atletas!X333&lt;&gt;"",10000,0)+IF(Atletas!B333="Feminino",1000,IF(Atletas!B333="Masculino",2000,""))+IF(Atletas!S333="Gun A",701,IF(Atletas!S333="Qiang A",702,IF(Atletas!S333="Pudao / Guandao A",703,IF(Atletas!S333="Outra Arma Longa A",704,IF(Atletas!S333="Gun B",705,IF(Atletas!S333="Qiang B",706,IF(Atletas!S333="Pudao / Guandao B",707,IF(Atletas!S333="Outra Arma Longa B",708,IF(Atletas!S333="Gun C",709,IF(Atletas!S333="Qiang C",710,IF(Atletas!S333="Pudao / Guandao C",711,IF(Atletas!S333="Outra Arma Longa C",712,IF(Atletas!S333="Gun D",713,IF(Atletas!S333="Qiang D",714,IF(Atletas!S333="Pudao / Guandao D",715,IF(Atletas!S333="Outra Arma Longa D",716,IF(Atletas!S333="Gun E",717,IF(Atletas!S333="Qiang E",718,IF(Atletas!S333="Pudao / Guandao E",719,IF(Atletas!S333="Outra Arma Longa E",720,IF(Atletas!S333="Gun F",721,IF(Atletas!S333="Qiang F",722,IF(Atletas!S333="Pudao / Guandao F",723,IF(Atletas!S333="Outra Arma Longa F",724,"")))))))))))))))))))))))))</f>
        <v/>
      </c>
      <c r="CB342" s="50" t="str">
        <f>IF(Atletas!T333="","",IF(Atletas!X333&lt;&gt;"",10000,0)+IF(Atletas!B333="Feminino",1000,IF(Atletas!B333="Masculino",2000,""))+IF(Atletas!T333="Outra Arma Dupla A",801,IF(Atletas!T333="Arma Maleável A",802,IF(Atletas!T333="Outra Arma Dupla B",803,IF(Atletas!T333="Arma Maleável B",804,IF(Atletas!T333="Outra Arma Dupla C",805,IF(Atletas!T333="Arma Maleável C",806,IF(Atletas!T333="Outra Arma Dupla D",807,IF(Atletas!T333="Arma Maleável D",808,IF(Atletas!T333="Outra Arma Dupla E",809,IF(Atletas!T333="Arma Maleável E",810,IF(Atletas!T333="Outra Arma Dupla F",811,IF(Atletas!T333="Arma Maleável F",812,IF(Atletas!T333="Shuangdao A",813,IF(Atletas!T333="Shuangdao B",814,IF(Atletas!T333="Shuangdao C",815,IF(Atletas!T333="Shuangdao D",816,IF(Atletas!T333="Shuangdao E",817,IF(Atletas!T333="Shuangdao F",818,"")))))))))))))))))))</f>
        <v/>
      </c>
      <c r="CC342" s="50" t="str">
        <f>IF(Atletas!U333="","",IF(Atletas!X333&lt;&gt;"",10000,0)+IF(Atletas!B333="Feminino",1000,IF(Atletas!B333="Masculino",2000,""))+IF(OR(Atletas!U333="Taijijian Yang A",Atletas!U333="Taijijian Yang Standard A"),901,IF(OR(Atletas!U333="Taijijian Chen A", Atletas!U333="Taijijian Chen Standard A"),902,IF(Atletas!U333="Taijijian Sun A",903,IF(Atletas!U333="Taijijian Wu A",904,IF(Atletas!U333="Taijijian Wu-Hao A",905,IF(OR(Atletas!U333="Taijijian 32 A",Atletas!U333="Taijijian 42 A"),906,IF(OR(Atletas!U333="Taijijian Yang B",Atletas!U333="Taijijian Yang Standard B"),907,IF(OR(Atletas!U333="Taijijian Chen B", Atletas!U333="Taijijian Chen Standard B"),908,IF(Atletas!U333="Taijijian Sun B",909,IF(Atletas!U333="Taijijian Wu B",910,IF(Atletas!U333="Taijijian Wu-Hao B",911,IF(OR(Atletas!U333="Taijijian 32 B",Atletas!U333="Taijijian 42 B"),912,IF(OR(Atletas!U333="Taijijian Yang C",Atletas!U333="Taijijian Yang Standard C"),913,IF(OR(Atletas!U333="Taijijian Chen C", Atletas!U333="Taijijian Chen Standard C"),914,IF(Atletas!U333="Taijijian Sun C",915,IF(Atletas!U333="Taijijian Wu C",916,IF(Atletas!U333="Taijijian Wu-Hao C",917,IF(OR(Atletas!U333="Taijijian 32 C",Atletas!U333="Taijijian 42 C"),918,IF(OR(Atletas!U333="Taijijian Yang D",Atletas!U333="Taijijian Yang Standard D"),919,IF(OR(Atletas!U333="Taijijian Chen D", Atletas!U333="Taijijian Chen Standard D"),920,IF(Atletas!U333="Taijijian Sun D",921,IF(Atletas!U333="Taijijian Wu D",922,IF(Atletas!U333="Taijijian Wu-Hao D",923,IF(OR(Atletas!U333="Taijijian 32 D",Atletas!U333="Taijijian 42 D"),924,IF(OR(Atletas!U333="Taijijian Yang E",Atletas!U333="Taijijian Yang Standard E"),925,IF(OR(Atletas!U333="Taijijian Chen E", Atletas!U333="Taijijian Chen Standard E"),926,IF(Atletas!U333="Taijijian Sun E",927,IF(Atletas!U333="Taijijian Wu E",928,IF(Atletas!U333="Taijijian Wu-Hao E",929,IF(OR(Atletas!U333="Taijijian 32 E",Atletas!U333="Taijijian 42 E"),930,IF(OR(Atletas!U333="Taijijian Yang F",Atletas!U333="Taijijian Yang Standard F"),931,IF(OR(Atletas!U333="Taijijian Chen F", Atletas!U333="Taijijian Chen Standard F"),932,IF(Atletas!U333="Taijijian Sun F",933,IF(Atletas!U333="Taijijian Wu F",934,IF(Atletas!U333="Taijijian Wu-Hao F",935,IF(OR(Atletas!U333="Taijijian 32 F",Atletas!U333="Taijijian 42 F"),936,"")))))))))))))))))))))))))))))))))))))</f>
        <v/>
      </c>
      <c r="CD342" s="50" t="str">
        <f>IF(Atletas!V333="","",IF(Atletas!X333&lt;&gt;"",10000,0)+IF(Atletas!B333="Feminino",1000,IF(Atletas!B333="Masculino",2000,""))+IF(Atletas!V333="Taijidao A",937,IF(Atletas!V333="TaijiShanzi A",938,IF(Atletas!V333="Taijiqiang A",939,IF(Atletas!V333="Bagua de Arma A",940,IF(Atletas!V333="Xingyi de Arma A",941,IF(Atletas!V333="Taijidao B",942,IF(Atletas!V333="TaijiShanzi B",943,IF(Atletas!V333="Taijiqiang B",944,IF(Atletas!V333="Bagua de Arma B",945,IF(Atletas!V333="Xingyi de Arma B",946,IF(Atletas!V333="Taijidao C",947,IF(Atletas!V333="TaijiShanzi C",948,IF(Atletas!V333="Taijiqiang C",949,IF(Atletas!V333="Bagua de Arma C",950,IF(Atletas!V333="Xingyi de Arma C",951,IF(Atletas!V333="Taijidao D",952,IF(Atletas!V333="TaijiShanzi D",953,IF(Atletas!V333="Taijiqiang D",954,IF(Atletas!V333="Bagua de Arma D",955,IF(Atletas!V333="Xingyi de Arma D",956,IF(Atletas!V333="Taijidao E",957,IF(Atletas!V333="TaijiShanzi E",958,IF(Atletas!V333="Taijiqiang E",959,IF(Atletas!V333="Bagua de Arma E",960,IF(Atletas!V333="Xingyi de Arma E",961,IF(Atletas!V333="Taijidao F",962,IF(Atletas!V333="TaijiShanzi F",963,IF(Atletas!V333="Taijiqiang F",964,IF(Atletas!V333="Bagua de Arma F",965,IF(Atletas!V333="Xingyi de Arma F",966,"")))))))))))))))))))))))))))))))</f>
        <v/>
      </c>
      <c r="CE342" s="66" t="str">
        <f>IF(CF342&lt;&gt;"","Taijidao B","")</f>
        <v/>
      </c>
      <c r="CF342" s="66" t="str">
        <f>IF(COUNTIF(BR:CD,1942)&gt;0,COUNTIF(BR:CD,1942),"")</f>
        <v/>
      </c>
      <c r="CG342" s="66" t="str">
        <f>IF(CH342&lt;&gt;"","Taijidao B","")</f>
        <v/>
      </c>
      <c r="CH342" s="66" t="str">
        <f>IF(COUNTIF(BR:CD,2942)&gt;0,COUNTIF(BR:CD,2942),"")</f>
        <v/>
      </c>
      <c r="CI342" s="66" t="str">
        <f>IF(CJ343&lt;&gt;"","Bagua de Arma D","")</f>
        <v/>
      </c>
      <c r="CJ342" s="66" t="str">
        <f>IF(COUNTIF(BR:CD,11954)&gt;0,COUNTIF(BR:CD,11954),"")</f>
        <v/>
      </c>
      <c r="CK342" s="66" t="str">
        <f>IF(CL342&lt;&gt;"","Taijiqiang D","")</f>
        <v/>
      </c>
      <c r="CL342" s="66" t="str">
        <f>IF(COUNTIF(BR:CD,12954)&gt;0,COUNTIF(BR:CD,12954),"")</f>
        <v/>
      </c>
      <c r="CM342" s="50" t="str">
        <f xml:space="preserve"> IF(Atletas!W333="","",IF(Atletas!W333="Duilian de Mãos BC - Equipe 1",1,IF(Atletas!W333="Duilian de Mãos BC - Equipe 2",2,IF(Atletas!W333="Duilian de Armas BC - Equipe 1",3,IF(Atletas!W333="Duilian de Armas BC - Equipe 2",4,IF(Atletas!W333="Duilian de Mãos DE - Equipe 1",5,IF(Atletas!W333="Duilian de Mãos DE - Equipe 2",6,IF(Atletas!W333="Duilian de Armas DE - Equipe 1",7,IF(Atletas!W333="Duilian de Armas DE - Equipe 2",8,IF(Atletas!W333="Duilian de Tuishou - Equipe 1",9,IF(Atletas!W333="Duilian de Tuishou - Equipe 2",10,IF(Atletas!W333="Grupo Externo ABC - Equipe 1",11,IF(Atletas!W333="Grupo Externo ABC - Equipe 2",12,IF(Atletas!W333="Grupo Interno ABC - Equipe 1",13,IF(Atletas!W333="Grupo Interno ABC - Equipe 2",14,IF(Atletas!W333="Grupo Externo DEF - Equipe 1",15,IF(Atletas!W333="Grupo Externo DEF - Equipe 2",16,IF(Atletas!W333="Grupo Interno DEF - Equipe 1",17,IF(Atletas!W333="Grupo Interno DEF - Equipe 2",18,"")))))))))))))))))))</f>
        <v/>
      </c>
    </row>
    <row r="343" spans="40:91">
      <c r="AN343" s="52" t="str">
        <f>IF(Atletas!D334="","",IF(Atletas!B334="Feminino",100,IF(Atletas!B334="Masculino",200,""))+(IF(Atletas!D334="Kids 30kg",1,IF(Atletas!D334="Kids 32kg",2, IF(Atletas!D334="Kids 34kg",3,IF(Atletas!D334="Kids 36kg",4,IF(Atletas!D334="Kids 39kg",5,IF(Atletas!D334="Kids 42kg",6,IF(Atletas!D334="Kids 45kg",7, IF(Atletas!D334="Infantil 39kg",8,IF(Atletas!D334="Infantil 42kg",9,IF(Atletas!D334="Infantil 45kg",10,IF(Atletas!D334="Infantil 48kg",11,IF(Atletas!D334="Infantil 52kg",12,IF(Atletas!D334="Infantil 56kg",13,IF(Atletas!D334="Infantil 60kg",14,IF(Atletas!D334="Juvenil 48kg",15,IF(Atletas!D334="Juvenil 52kg",16,IF(Atletas!D334="Juvenil 56kg",17,IF(Atletas!D334="Juvenil 60kg",18,IF(Atletas!D334="Juvenil 65kg",19,IF(Atletas!D334="Juvenil 70kg",20,IF(Atletas!D334="Juvenil 75kg",21,IF(Atletas!D334="Juvenil 80kg",22, IF(Atletas!D334="Juvenil 85kg",23,IF(Atletas!D334="Adulto 48kg",24,IF(Atletas!D334="Adulto 52kg",25,IF(Atletas!D334="Adulto 56kg",26,IF(Atletas!D334="Adulto 60kg",27,IF(Atletas!D334="Adulto 65kg",28,IF(Atletas!D334="Adulto 70kg",29,IF(Atletas!D334="Adulto 75kg",30,IF(Atletas!D334="Adulto 80kg",31,IF(Atletas!D334="Adulto 85kg",32,IF(Atletas!D334="Adulto 90kg",33,IF(Atletas!D334="Adulto 100kg",34, IF(Atletas!D334="Adulto +100kg",35,"")))))))))))))))))))))))))))))))))))))</f>
        <v/>
      </c>
      <c r="AS343" s="6" t="str">
        <f>IF(Atletas!E334="","",IF(Atletas!B334="Feminino",100,IF(Atletas!B334="Masculino",200,""))+(IF(Atletas!E334="Juvenil 44kg",1,IF(Atletas!E334="Juvenil 48kg",2,IF(Atletas!E334="Juvenil 52kg",3,IF(Atletas!E334="Juvenil 56kg",4,IF(Atletas!E334="Juvenil 60kg",5,IF(Atletas!E334="Juvenil 65kg",6,IF(Atletas!E334="Juvenil 70kg",7,IF(Atletas!E334="Juvenil 75kg",8,IF(Atletas!E334="Juvenil 82kg",9,IF(Atletas!E334="Juvenil 90kg",10,IF(Atletas!E334="Juvenil 100kg",11,IF(Atletas!E334="Adulto 48kg",12,IF(Atletas!E334="Adulto 52kg",13,IF(Atletas!E334="Adulto 56kg",14,IF(Atletas!E334="Adulto 60kg",15,IF(Atletas!E334="Adulto 65kg",16,IF(Atletas!E334="Adulto 70kg",17,IF(Atletas!E334="Adulto 75kg",18,IF(Atletas!E334="Adulto 82kg",19,IF(Atletas!E334="Adulto 90kg",20,IF(Atletas!E334="Adulto 100kg",21,IF(Atletas!E334="Adulto +100kg",22,""))))))))))))))))))))))))</f>
        <v/>
      </c>
      <c r="AX343" s="6" t="str">
        <f>IF(Atletas!F334="","",IF(Atletas!B334="Feminino",100,IF(Atletas!B334="Masculino",200,""))+(IF(Atletas!F334="Adulto 48kg",1,IF(Atletas!F334="Adulto 56kg",2,IF(Atletas!F334="Adulto 65kg",3,IF(Atletas!F334="Adulto 75kg",4,IF(Atletas!F334="Adulto +75kg",5,IF(Atletas!F334="Adulto 52kg",6,IF(Atletas!F334="Adulto 60kg",7,IF(Atletas!F334="Adulto 70kg",8,IF(Atletas!F334="Adulto 80kg",9,IF(Atletas!F334="Adulto 90kg",10,IF(Atletas!F334="Adulto +90kg",11,"")))))))))))))</f>
        <v/>
      </c>
      <c r="BC343" s="6" t="str">
        <f>IF(Atletas!G334="","",IF(Atletas!B334="Feminino",10,IF(Atletas!B334="Masculino",20,""))+(IF(Atletas!G334="Baduanjin A",1,IF(Atletas!G334="Baduanjin B",2))))</f>
        <v/>
      </c>
      <c r="BF343" s="52" t="str">
        <f>IF(Atletas!H334="","",IF(Atletas!B334="Feminino",100,IF(Atletas!B334="Masculino",200,""))+(IF(Atletas!H334="Changquan Mirim",1,IF(Atletas!H334="Nanquan Mirim",2,IF(Atletas!H334="Taijiquan Mirim",3,IF(Atletas!H334="Changquan Grupo C",4,IF(Atletas!H334="Nanquan Grupo C",5,IF(Atletas!H334="Taijiquan Grupo C",6,IF(Atletas!H334="Changquan Grupo B",7,IF(Atletas!H334="Nanquan Grupo B",8,IF(Atletas!H334="Taijiquan Grupo B",9,IF(Atletas!H334="Changquan Grupo A",10,IF(Atletas!H334="Nanquan Grupo A",11,IF(Atletas!H334="Taijiquan Grupo A",12,IF(Atletas!H334="Changquan Opcional",13,IF(Atletas!H334="Nanquan Opcional",14,IF(Atletas!H334="Taijiquan Opcional",15,IF(Atletas!H334="Changquan Adulto",16,IF(Atletas!H334="Nanquan Adulto",17,IF(Atletas!H334="Taijiquan Adulto",18,""))))))))))))))))))))</f>
        <v/>
      </c>
      <c r="BG343" s="52" t="str">
        <f>IF(Atletas!I334="","",IF(Atletas!B334="Feminino",100,IF(Atletas!B334="Masculino",200,""))+(IF(Atletas!I334="Daoshu Mirim",19,IF(Atletas!I334="Jianshu Mirim",20,IF(Atletas!I334="Nandao Mirim",21,IF(Atletas!I334="Taijijian Mirim",22,IF(Atletas!I334="Daoshu Grupo C",23,IF(Atletas!I334="Jianshu Grupo C",24,IF(Atletas!I334="Nandao Grupo C",25,IF(Atletas!I334="Taijijian Grupo C",26,IF(Atletas!I334="Daoshu Grupo B",27,IF(Atletas!I334="Jianshu Grupo B",28,IF(Atletas!I334="Nandao Grupo B",29,IF(Atletas!I334="Taijijian Grupo B",30,IF(Atletas!I334="Daoshu Grupo A",31,IF(Atletas!I334="Jianshu Grupo A",32,IF(Atletas!I334="Nandao Grupo A",33,IF(Atletas!I334="Taijijian Grupo A",34,IF(Atletas!I334="Daoshu Opcional",35,IF(Atletas!I334="Jianshu Opcional",36,IF(Atletas!I334="Nandao Opcional",37,IF(Atletas!I334="Taijijian Opcional",38,IF(Atletas!I334="Daoshu Adulto",39,IF(Atletas!I334="Jianshu Adulto",40,IF(Atletas!I334="Nandao Adulto",41,IF(Atletas!I334="Taijijian Adulto",42,""))))))))))))))))))))))))))</f>
        <v/>
      </c>
      <c r="BH343" s="52" t="str">
        <f>IF(Atletas!J334="","",IF(Atletas!B334="Feminino",100,IF(Atletas!B334="Masculino",200,""))+(IF(Atletas!J334="Gunshu Mirim",43,IF(Atletas!J334="Qiangshu Mirim",44,IF(Atletas!J334="Nangun Mirim",45,IF(Atletas!J334="Gunshu Grupo C",46,IF(Atletas!J334="Qiangshu Grupo C",47,IF(Atletas!J334="Nangun Grupo C",48,IF(Atletas!J334="Gunshu Grupo B",49,IF(Atletas!J334="Qiangshu Grupo B",50,IF(Atletas!J334="Nangun Grupo B",51,IF(Atletas!J334="Gunshu Grupo A",52,IF(Atletas!J334="Qiangshu Grupo A",53,IF(Atletas!J334="Nangun Grupo A",54,IF(Atletas!J334="Gunshu Opcional",55,IF(Atletas!J334="Qiangshu Opcional",56,IF(Atletas!J334="Nangun Opcional",57,IF(Atletas!J334="Gunshu Adulto",58,IF(Atletas!J334="Qiangshu Adulto",59,IF(Atletas!J334="Nangun Adulto",60,IF(Atletas!J334="Taijishan Grupo B",61,IF(Atletas!J334="Taijishan Grupo A",62,""))))))))))))))))))))))</f>
        <v/>
      </c>
      <c r="BM343" s="50" t="str">
        <f>IF(Atletas!K334="","",IF(Atletas!B334="Feminino",100,IF(Atletas!B334="Masculino",200,""))+(IF(Atletas!K334="Equipe 1 Grupo B",1,IF(Atletas!K334="Equipe 2 Grupo B",2,IF(Atletas!K334="Equipe 1 Grupo A",3,IF(Atletas!K334="Equipe 2 Grupo A",4,IF(Atletas!K334="Equipe 1 Adulto",5,IF(Atletas!K334="Equipe 2 Adulto",6,""))))))))</f>
        <v/>
      </c>
      <c r="BR343" s="50" t="str">
        <f>IF(Atletas!L334="","",IF(Atletas!X334&lt;&gt;"",10000,0)+(IF(Atletas!B334="Feminino",1000,IF(Atletas!B334="Masculino",2000,""))+IF(Atletas!L334="Choylayfut A",1,IF(Atletas!L334="Hunggar A",2,IF(Atletas!L334="Wuzuquan A",3,IF(Atletas!L334="Wingchun A",4,IF(Atletas!L334="Outra Mão de Sul A",5,IF(Atletas!L334="Choylayfut B",6,IF(Atletas!L334="Hunggar B",7,IF(Atletas!L334="Wuzuquan B",8,IF(Atletas!L334="Wingchun B",9,IF(Atletas!L334="Outra Mão de Sul B",10,IF(Atletas!L334="Choylayfut C",11,IF(Atletas!L334="Hunggar C",12,IF(Atletas!L334="Wuzuquan C",13,IF(Atletas!L334="Wingchun C",14,IF(Atletas!L334="Outra Mão de Sul C",15,IF(Atletas!L334="Choylayfut D",16,IF(Atletas!L334="Hunggar D",17,IF(Atletas!L334="Wuzuquan D",18,IF(Atletas!L334="Wingchun D",19,IF(Atletas!L334="Outra Mão de Sul D",20,IF(Atletas!L334="Choylayfut E",21,IF(Atletas!L334="Hunggar E",22,IF(Atletas!L334="Wuzuquan E",23,IF(Atletas!L334="Wingchun E",24,IF(Atletas!L334="Outra Mão de Sul E",25,IF(Atletas!L334="Choylayfut F",26,IF(Atletas!L334="Hunggar F",27,IF(Atletas!L334="Wuzuquan F",28,IF(Atletas!L334="Wingchun F",29,IF(Atletas!L334="Outra Mão de Sul F",30,IF(Atletas!L334="Dishuquan A",31,IF(Atletas!L334="Dishuquan B",32,IF(Atletas!L334="Dishuquan C",33,IF(Atletas!L334="Dishuquan D",34,IF(Atletas!L334="Dishuquan E",35,IF(Atletas!L334="Dishuquan F",36,""))))))))))))))))))))))))))))))))))))))</f>
        <v/>
      </c>
      <c r="BS343" s="50" t="str">
        <f>IF(Atletas!M334="","",IF(Atletas!X334&lt;&gt;"",10000,0)+(IF(Atletas!B334="Feminino",1000,IF(Atletas!B334="Masculino",2000,""))+(IF(Atletas!M334="Chaquan A",101,IF(Atletas!M334="Emeiquan A",102,IF(Atletas!M334="Fanziquan A",103,IF(Atletas!M334="Huaquan A",104,IF(Atletas!M334="Hongquan A",105,IF(Atletas!M334="Paoquan A",106,IF(Atletas!M334="Piguaquan A",107,IF(Atletas!M334="Shaolinquan A",108,IF(Atletas!M334="Tanglangquan A",109,IF(Atletas!M334="Yingzhaoquan A",110,IF(Atletas!M334="Tongbeiquan A",111,IF(Atletas!M334="Wudangquan A",112,IF(Atletas!M334="Outros Estilos A",113,IF(Atletas!M334="Chaquan B",114,IF(Atletas!M334="Emeiquan B",115,IF(Atletas!M334="Fanziquan B",116,IF(Atletas!M334="Huaquan B",117,IF(Atletas!M334="Hongquan B",118,IF(Atletas!M334="Paoquan B",119,IF(Atletas!M334="Piguaquan B",120,IF(Atletas!M334="Shaolinquan B",121,IF(Atletas!M334="Tanglangquan B",122,IF(Atletas!M334="Yingzhaoquan B",123,IF(Atletas!M334="Tongbeiquan B",124,IF(Atletas!M334="Wudangquan B",125,IF(Atletas!M334="Outros Estilos B",126,IF(Atletas!M334="Chaquan C",127,IF(Atletas!M334="Emeiquan C",128,IF(Atletas!M334="Fanziquan C",129,IF(Atletas!M334="Huaquan C",130,IF(Atletas!M334="Hongquan C",131,IF(Atletas!M334="Paoquan C",132,IF(Atletas!M334="Piguaquan C",133,IF(Atletas!M334="Shaolinquan C",134,IF(Atletas!M334="Tanglangquan C",135,IF(Atletas!M334="Yingzhaoquan C",136,IF(Atletas!M334="Tongbeiquan C",137,IF(Atletas!M334="Wudangquan C",138,IF(Atletas!M334="Outros Estilos C",139,0))))))))))))))))))))))))))))))))))))))))))</f>
        <v/>
      </c>
      <c r="BT343" s="50" t="str">
        <f>IF(Atletas!M334="","",IF(Atletas!X334&lt;&gt;"",10000,0)+(IF(Atletas!B334="Feminino",1000,IF(Atletas!B334="Masculino",2000,""))+(IF(Atletas!M334="Chaquan D",140,IF(Atletas!M334="Emeiquan D",141,IF(Atletas!M334="Fanziquan D",142,IF(Atletas!M334="Huaquan D",143,IF(Atletas!M334="Hongquan D",144,IF(Atletas!M334="Paoquan D",145,IF(Atletas!M334="Piguaquan D",146,IF(Atletas!M334="Shaolinquan D",147,IF(Atletas!M334="Tanglangquan D",148,IF(Atletas!M334="Yingzhaoquan D",149,IF(Atletas!M334="Tongbeiquan D",150,IF(Atletas!M334="Wudangquan D",151,IF(Atletas!M334="Outros Estilos D",152,IF(Atletas!M334="Chaquan E",153,IF(Atletas!M334="Emeiquan E",154,IF(Atletas!M334="Fanziquan E",155,IF(Atletas!M334="Huaquan E",156,IF(Atletas!M334="Hongquan E",157,IF(Atletas!M334="Paoquan E",158,IF(Atletas!M334="Piguaquan E",159,IF(Atletas!M334="Shaolinquan E",160,IF(Atletas!M334="Tanglangquan E",161,IF(Atletas!M334="Yingzhaoquan E",162,IF(Atletas!M334="Tongbeiquan E",163,IF(Atletas!M334="Wudangquan E",164,IF(Atletas!M334="Outros Estilos E",165,IF(Atletas!M334="Chaquan F",166,IF(Atletas!M334="Emeiquan F",167,IF(Atletas!M334="Fanziquan F",168,IF(Atletas!M334="Huaquan F",169,IF(Atletas!M334="Hongquan F",170,IF(Atletas!M334="Paoquan F",171,IF(Atletas!M334="Piguaquan F",172,IF(Atletas!M334="Shaolinquan F",173,IF(Atletas!M334="Tanglangquan F",174,IF(Atletas!M334="Yingzhaoquan F",175,IF(Atletas!M334="Tongbeiquan F",176,IF(Atletas!M334="Wudangquan F",177,IF(Atletas!M334="Outros Estilos F",178,0))))))))))))))))))))))))))))))))))))))))))</f>
        <v/>
      </c>
      <c r="BU343" s="50" t="str">
        <f>IF(Atletas!N334="","",IF(Atletas!X334&lt;&gt;"",10000,0)+(IF(Atletas!B334="Feminino",1000,IF(Atletas!B334="Masculino",2000,""))+(IF(Atletas!N334="Ditangquan A",201,IF(Atletas!N334="Houquan A",202,IF(Atletas!N334="Zuiquan A",203,IF(Atletas!N334="Ditangquan B",204,IF(Atletas!N334="Houquan B",205,IF(Atletas!N334="Zuiquan B",206,IF(Atletas!N334="Ditangquan C",207,IF(Atletas!N334="Houquan C",208,IF(Atletas!N334="Zuiquan C",209,IF(Atletas!N334="Ditangquan D",210,IF(Atletas!N334="Houquan D",211,IF(Atletas!N334="Zuiquan D",212,IF(Atletas!N334="Ditangquan E",213,IF(Atletas!N334="Houquan E",214,IF(Atletas!N334="Zuiquan E",215,IF(Atletas!N334="Ditangquan F",216,IF(Atletas!N334="Houquan F",217,IF(Atletas!N334="Zuiquan F",218,"")))))))))))))))))))))</f>
        <v/>
      </c>
      <c r="BV343" s="50" t="str">
        <f>IF(Atletas!O334="","",IF(Atletas!X334&lt;&gt;"",10000,0)+IF(Atletas!B334="Feminino",1000,IF(Atletas!B334="Masculino",2000,""))+IF(Atletas!O334="Yang A",301,IF(Atletas!O334="Chen A",302,IF(Atletas!O334="Sun A",303,IF(Atletas!O334="Wu A",304,IF(Atletas!O334="Wu-Hao A",305,IF(Atletas!O334="Outro Taijiquan A",306,IF(Atletas!O334="Yang B",307,IF(Atletas!O334="Chen B",308,IF(Atletas!O334="Sun B",309,IF(Atletas!O334="Wu B",310,IF(Atletas!O334="Wu-Hao B",311,IF(Atletas!O334="Outro Taijiquan B",312,IF(Atletas!O334="Yang C",313,IF(Atletas!O334="Chen C",314,IF(Atletas!O334="Sun C",315,IF(Atletas!O334="Wu C",316,IF(Atletas!O334="Wu-Hao C",317,IF(Atletas!O334="Outro Taijiquan C",318,IF(Atletas!O334="Yang D",319,IF(Atletas!O334="Chen D",320,IF(Atletas!O334="Sun D",321,IF(Atletas!O334="Wu D",322,IF(Atletas!O334="Wu-Hao D",323,IF(Atletas!O334="Outro Taijiquan D",324,IF(Atletas!O334="Yang E",325,IF(Atletas!O334="Chen E",326,IF(Atletas!O334="Sun E",327,IF(Atletas!O334="Wu E",328,IF(Atletas!O334="Wu-Hao E",329,IF(Atletas!O334="Outro Taijiquan E",330,IF(Atletas!O334="Yang F",331,IF(Atletas!O334="Chen F",332,IF(Atletas!O334="Sun F",333,IF(Atletas!O334="Wu F",334,IF(Atletas!O334="Wu-Hao F",335,IF(Atletas!O334="Outro Taijiquan F",336,"")))))))))))))))))))))))))))))))))))))</f>
        <v/>
      </c>
      <c r="BW343" s="50" t="str">
        <f>IF(Atletas!P334="","",IF(Atletas!X334&lt;&gt;"",10000,0)+IF(Atletas!B334="Feminino",1000,IF(Atletas!B334="Masculino",2000,""))+IF(OR(Atletas!P334="Yang 26 A",Atletas!P334="Yang 40 A"),401,IF(OR(Atletas!P334="Chen 25 A",Atletas!P334="Chen 36 A",Atletas!P334="Chen 56 A"),402,IF(Atletas!P334="Sun 73 A",403,IF(Atletas!P334="Wu 45 A",404,IF(Atletas!P334="Wu-Hao 46 A",405,IF(OR(Atletas!P334="Taijiquan 16 A",Atletas!P334="Taijiquan 24 A",Atletas!P334="Taijiquan 32 A",Atletas!P334="Taijiquan 42 A"),406,IF(OR(Atletas!P334="Yang 26 B",Atletas!P334="Yang 40 B"),407,IF(OR(Atletas!P334="Chen 25 B",Atletas!P334="Chen 36 B",Atletas!P334="Chen 56 B"),408,IF(Atletas!P334="Sun 73 B",409,IF(Atletas!P334="Wu 45 B",410,IF(Atletas!P334="Wu-Hao 46 B",411,IF(OR(Atletas!P334="Taijiquan 16 B",Atletas!P334="Taijiquan 24 B",Atletas!P334="Taijiquan 32 B",Atletas!P334="Taijiquan 42 B"),412,IF(OR(Atletas!P334="Yang 26 C",Atletas!P334="Yang 40 C"),413,IF(OR(Atletas!P334="Chen 25 C",Atletas!P334="Chen 36 C",Atletas!P334="Chen 56 C"),414,IF(Atletas!P334="Sun 73 C",415,IF(Atletas!P334="Wu 45 C",416,IF(Atletas!P334="Wu-Hao 46 C",417,IF(OR(Atletas!P334="Taijiquan 16 C",Atletas!P334="Taijiquan 24 C",Atletas!P334="Taijiquan 32 C",Atletas!P334="Taijiquan 42 C"),418,0)))))))))))))))))))</f>
        <v/>
      </c>
      <c r="BX343" s="50" t="str">
        <f>IF(Atletas!P334="","",IF(Atletas!X334&lt;&gt;"",10000,0)+IF(Atletas!B334="Feminino",1000,IF(Atletas!B334="Masculino",2000,""))+IF(OR(Atletas!P334="Yang 26 D",Atletas!P334="Yang 40 D"),419,IF(OR(Atletas!P334="Chen 25 D",Atletas!P334="Chen 36 D",Atletas!P334="Chen 56 D"),420,IF(Atletas!P334="Sun 73 D",421,IF(Atletas!P334="Wu 45 D",422,IF(Atletas!P334="Wu-Hao 46 D",423,IF(OR(Atletas!P334="Taijiquan 16 D",Atletas!P334="Taijiquan 24 D",Atletas!P334="Taijiquan 32 D",Atletas!P334="Taijiquan 42 D"),424,IF(OR(Atletas!P334="Yang 26 E",Atletas!P334="Yang 40 E"),425,IF(OR(Atletas!P334="Chen 25 E",Atletas!P334="Chen 36 E",Atletas!P334="Chen 56 E"),426,IF(Atletas!P334="Sun 73 E",427,IF(Atletas!P334="Wu 45 E",428,IF(Atletas!P334="Wu-Hao 46 E",429,IF(OR(Atletas!P334="Taijiquan 16 E",Atletas!P334="Taijiquan 24 E",Atletas!P334="Taijiquan 32 E",Atletas!P334="Taijiquan 42 E"),430,IF(OR(Atletas!P334="Yang 26 F",Atletas!P334="Yang 40 F"),431,IF(OR(Atletas!P334="Chen 25 F",Atletas!P334="Chen 36 F",Atletas!P334="Chen 56 F"),432,IF(Atletas!P334="Sun 73 F",433,IF(Atletas!P334="Wu 45 F",434,IF(Atletas!P334="Wu-Hao 46 F",435,IF(OR(Atletas!P334="Taijiquan 16 F",Atletas!P334="Taijiquan 24 F",Atletas!P334="Taijiquan 32 F",Atletas!P334="Taijiquan 42 F"),436,0)))))))))))))))))))</f>
        <v/>
      </c>
      <c r="BY343" s="50" t="str">
        <f>IF(Atletas!Q334="","",IF(Atletas!X334&lt;&gt;"",10000,0)+IF(Atletas!B334="Feminino",1000,IF(Atletas!B334="Masculino",2000,""))+IF(Atletas!Q334="Xingyiquan A",501,IF(Atletas!Q334="Baguazhang A",502,IF(Atletas!Q334="Outro Estilo Interno A",503,IF(Atletas!Q334="Xingyiquan B",504,IF(Atletas!Q334="Baguazhang B",505,IF(Atletas!Q334="Outro Estilo Interno B",506,IF(Atletas!Q334="Xingyiquan C",507,IF(Atletas!Q334="Baguazhang C",508,IF(Atletas!Q334="Outro Estilo Interno C",509,IF(Atletas!Q334="Xingyiquan D",510,IF(Atletas!Q334="Baguazhang D",511,IF(Atletas!Q334="Outro Estilo Interno D",512,IF(Atletas!Q334="Xingyiquan E",513,IF(Atletas!Q334="Baguazhang E",514,IF(Atletas!Q334="Outro Estilo Interno E",515,IF(Atletas!Q334="Xingyiquan F",516,IF(Atletas!Q334="Baguazhang F",517,IF(Atletas!Q334="Outro Estilo Interno F",518, "")))))))))))))))))))</f>
        <v/>
      </c>
      <c r="BZ343" s="50" t="str">
        <f>IF(Atletas!R334="","",IF(Atletas!X334&lt;&gt;"",10000,0)+IF(Atletas!B334="Feminino",1000,IF(Atletas!B334="Masculino",2000,""))+IF(Atletas!R334="Dao A",601,IF(Atletas!R334="Jian A",602,IF(Atletas!R334="Bishou A",603,IF(Atletas!R334="Shanzi A",604,IF(Atletas!R334="Outra Arma Curta A",605,IF(Atletas!R334="Dao B",606,IF(Atletas!R334="Jian B",607,IF(Atletas!R334="Bishou B",608,IF(Atletas!R334="Shanzi B",609,IF(Atletas!R334="Outra Arma Curta B",610,IF(Atletas!R334="Dao C",611,IF(Atletas!R334="Jian C",612,IF(Atletas!R334="Bishou C",613,IF(Atletas!R334="Shanzi C",614,IF(Atletas!R334="Outra Arma Curta C",615,IF(Atletas!R334="Dao D",616,IF(Atletas!R334="Jian D",617,IF(Atletas!R334="Bishou D",618,IF(Atletas!R334="Shanzi D",619,IF(Atletas!R334="Outra Arma Curta D",620,IF(Atletas!R334="Dao E",621,IF(Atletas!R334="Jian E",622,IF(Atletas!R334="Bishou E",623,IF(Atletas!R334="Shanzi E",624,IF(Atletas!R334="Outra Arma Curta E",625,IF(Atletas!R334="Dao F",626,IF(Atletas!R334="Jian F",627,IF(Atletas!R334="Bishou F",628,IF(Atletas!R334="Shanzi F",629,IF(Atletas!R334="Outra Arma Curta F",630, "")))))))))))))))))))))))))))))))</f>
        <v/>
      </c>
      <c r="CA343" s="50" t="str">
        <f>IF(Atletas!S334="","",IF(Atletas!X334&lt;&gt;"",10000,0)+IF(Atletas!B334="Feminino",1000,IF(Atletas!B334="Masculino",2000,""))+IF(Atletas!S334="Gun A",701,IF(Atletas!S334="Qiang A",702,IF(Atletas!S334="Pudao / Guandao A",703,IF(Atletas!S334="Outra Arma Longa A",704,IF(Atletas!S334="Gun B",705,IF(Atletas!S334="Qiang B",706,IF(Atletas!S334="Pudao / Guandao B",707,IF(Atletas!S334="Outra Arma Longa B",708,IF(Atletas!S334="Gun C",709,IF(Atletas!S334="Qiang C",710,IF(Atletas!S334="Pudao / Guandao C",711,IF(Atletas!S334="Outra Arma Longa C",712,IF(Atletas!S334="Gun D",713,IF(Atletas!S334="Qiang D",714,IF(Atletas!S334="Pudao / Guandao D",715,IF(Atletas!S334="Outra Arma Longa D",716,IF(Atletas!S334="Gun E",717,IF(Atletas!S334="Qiang E",718,IF(Atletas!S334="Pudao / Guandao E",719,IF(Atletas!S334="Outra Arma Longa E",720,IF(Atletas!S334="Gun F",721,IF(Atletas!S334="Qiang F",722,IF(Atletas!S334="Pudao / Guandao F",723,IF(Atletas!S334="Outra Arma Longa F",724,"")))))))))))))))))))))))))</f>
        <v/>
      </c>
      <c r="CB343" s="50" t="str">
        <f>IF(Atletas!T334="","",IF(Atletas!X334&lt;&gt;"",10000,0)+IF(Atletas!B334="Feminino",1000,IF(Atletas!B334="Masculino",2000,""))+IF(Atletas!T334="Outra Arma Dupla A",801,IF(Atletas!T334="Arma Maleável A",802,IF(Atletas!T334="Outra Arma Dupla B",803,IF(Atletas!T334="Arma Maleável B",804,IF(Atletas!T334="Outra Arma Dupla C",805,IF(Atletas!T334="Arma Maleável C",806,IF(Atletas!T334="Outra Arma Dupla D",807,IF(Atletas!T334="Arma Maleável D",808,IF(Atletas!T334="Outra Arma Dupla E",809,IF(Atletas!T334="Arma Maleável E",810,IF(Atletas!T334="Outra Arma Dupla F",811,IF(Atletas!T334="Arma Maleável F",812,IF(Atletas!T334="Shuangdao A",813,IF(Atletas!T334="Shuangdao B",814,IF(Atletas!T334="Shuangdao C",815,IF(Atletas!T334="Shuangdao D",816,IF(Atletas!T334="Shuangdao E",817,IF(Atletas!T334="Shuangdao F",818,"")))))))))))))))))))</f>
        <v/>
      </c>
      <c r="CC343" s="50" t="str">
        <f>IF(Atletas!U334="","",IF(Atletas!X334&lt;&gt;"",10000,0)+IF(Atletas!B334="Feminino",1000,IF(Atletas!B334="Masculino",2000,""))+IF(OR(Atletas!U334="Taijijian Yang A",Atletas!U334="Taijijian Yang Standard A"),901,IF(OR(Atletas!U334="Taijijian Chen A", Atletas!U334="Taijijian Chen Standard A"),902,IF(Atletas!U334="Taijijian Sun A",903,IF(Atletas!U334="Taijijian Wu A",904,IF(Atletas!U334="Taijijian Wu-Hao A",905,IF(OR(Atletas!U334="Taijijian 32 A",Atletas!U334="Taijijian 42 A"),906,IF(OR(Atletas!U334="Taijijian Yang B",Atletas!U334="Taijijian Yang Standard B"),907,IF(OR(Atletas!U334="Taijijian Chen B", Atletas!U334="Taijijian Chen Standard B"),908,IF(Atletas!U334="Taijijian Sun B",909,IF(Atletas!U334="Taijijian Wu B",910,IF(Atletas!U334="Taijijian Wu-Hao B",911,IF(OR(Atletas!U334="Taijijian 32 B",Atletas!U334="Taijijian 42 B"),912,IF(OR(Atletas!U334="Taijijian Yang C",Atletas!U334="Taijijian Yang Standard C"),913,IF(OR(Atletas!U334="Taijijian Chen C", Atletas!U334="Taijijian Chen Standard C"),914,IF(Atletas!U334="Taijijian Sun C",915,IF(Atletas!U334="Taijijian Wu C",916,IF(Atletas!U334="Taijijian Wu-Hao C",917,IF(OR(Atletas!U334="Taijijian 32 C",Atletas!U334="Taijijian 42 C"),918,IF(OR(Atletas!U334="Taijijian Yang D",Atletas!U334="Taijijian Yang Standard D"),919,IF(OR(Atletas!U334="Taijijian Chen D", Atletas!U334="Taijijian Chen Standard D"),920,IF(Atletas!U334="Taijijian Sun D",921,IF(Atletas!U334="Taijijian Wu D",922,IF(Atletas!U334="Taijijian Wu-Hao D",923,IF(OR(Atletas!U334="Taijijian 32 D",Atletas!U334="Taijijian 42 D"),924,IF(OR(Atletas!U334="Taijijian Yang E",Atletas!U334="Taijijian Yang Standard E"),925,IF(OR(Atletas!U334="Taijijian Chen E", Atletas!U334="Taijijian Chen Standard E"),926,IF(Atletas!U334="Taijijian Sun E",927,IF(Atletas!U334="Taijijian Wu E",928,IF(Atletas!U334="Taijijian Wu-Hao E",929,IF(OR(Atletas!U334="Taijijian 32 E",Atletas!U334="Taijijian 42 E"),930,IF(OR(Atletas!U334="Taijijian Yang F",Atletas!U334="Taijijian Yang Standard F"),931,IF(OR(Atletas!U334="Taijijian Chen F", Atletas!U334="Taijijian Chen Standard F"),932,IF(Atletas!U334="Taijijian Sun F",933,IF(Atletas!U334="Taijijian Wu F",934,IF(Atletas!U334="Taijijian Wu-Hao F",935,IF(OR(Atletas!U334="Taijijian 32 F",Atletas!U334="Taijijian 42 F"),936,"")))))))))))))))))))))))))))))))))))))</f>
        <v/>
      </c>
      <c r="CD343" s="50" t="str">
        <f>IF(Atletas!V334="","",IF(Atletas!X334&lt;&gt;"",10000,0)+IF(Atletas!B334="Feminino",1000,IF(Atletas!B334="Masculino",2000,""))+IF(Atletas!V334="Taijidao A",937,IF(Atletas!V334="TaijiShanzi A",938,IF(Atletas!V334="Taijiqiang A",939,IF(Atletas!V334="Bagua de Arma A",940,IF(Atletas!V334="Xingyi de Arma A",941,IF(Atletas!V334="Taijidao B",942,IF(Atletas!V334="TaijiShanzi B",943,IF(Atletas!V334="Taijiqiang B",944,IF(Atletas!V334="Bagua de Arma B",945,IF(Atletas!V334="Xingyi de Arma B",946,IF(Atletas!V334="Taijidao C",947,IF(Atletas!V334="TaijiShanzi C",948,IF(Atletas!V334="Taijiqiang C",949,IF(Atletas!V334="Bagua de Arma C",950,IF(Atletas!V334="Xingyi de Arma C",951,IF(Atletas!V334="Taijidao D",952,IF(Atletas!V334="TaijiShanzi D",953,IF(Atletas!V334="Taijiqiang D",954,IF(Atletas!V334="Bagua de Arma D",955,IF(Atletas!V334="Xingyi de Arma D",956,IF(Atletas!V334="Taijidao E",957,IF(Atletas!V334="TaijiShanzi E",958,IF(Atletas!V334="Taijiqiang E",959,IF(Atletas!V334="Bagua de Arma E",960,IF(Atletas!V334="Xingyi de Arma E",961,IF(Atletas!V334="Taijidao F",962,IF(Atletas!V334="TaijiShanzi F",963,IF(Atletas!V334="Taijiqiang F",964,IF(Atletas!V334="Bagua de Arma F",965,IF(Atletas!V334="Xingyi de Arma F",966,"")))))))))))))))))))))))))))))))</f>
        <v/>
      </c>
      <c r="CE343" s="66" t="str">
        <f>IF(CF343&lt;&gt;"","Taijishan B","")</f>
        <v/>
      </c>
      <c r="CF343" s="66" t="str">
        <f>IF(COUNTIF(BR:CD,1943)&gt;0,COUNTIF(BR:CD,1943),"")</f>
        <v/>
      </c>
      <c r="CG343" s="66" t="str">
        <f>IF(CH343&lt;&gt;"","Taijishan B","")</f>
        <v/>
      </c>
      <c r="CH343" s="66" t="str">
        <f>IF(COUNTIF(BR:CD,2943)&gt;0,COUNTIF(BR:CD,2943),"")</f>
        <v/>
      </c>
      <c r="CI343" s="66" t="str">
        <f>IF(CJ344&lt;&gt;"","Xingyi de Arma D","")</f>
        <v/>
      </c>
      <c r="CJ343" s="66" t="str">
        <f>IF(COUNTIF(BR:CD,11955)&gt;0,COUNTIF(BR:CD,11955),"")</f>
        <v/>
      </c>
      <c r="CK343" s="66" t="str">
        <f>IF(CL343&lt;&gt;"","Bagua de Arma D","")</f>
        <v/>
      </c>
      <c r="CL343" s="66" t="str">
        <f>IF(COUNTIF(BR:CD,12955)&gt;0,COUNTIF(BR:CD,12955),"")</f>
        <v/>
      </c>
      <c r="CM343" s="50" t="str">
        <f xml:space="preserve"> IF(Atletas!W334="","",IF(Atletas!W334="Duilian de Mãos BC - Equipe 1",1,IF(Atletas!W334="Duilian de Mãos BC - Equipe 2",2,IF(Atletas!W334="Duilian de Armas BC - Equipe 1",3,IF(Atletas!W334="Duilian de Armas BC - Equipe 2",4,IF(Atletas!W334="Duilian de Mãos DE - Equipe 1",5,IF(Atletas!W334="Duilian de Mãos DE - Equipe 2",6,IF(Atletas!W334="Duilian de Armas DE - Equipe 1",7,IF(Atletas!W334="Duilian de Armas DE - Equipe 2",8,IF(Atletas!W334="Duilian de Tuishou - Equipe 1",9,IF(Atletas!W334="Duilian de Tuishou - Equipe 2",10,IF(Atletas!W334="Grupo Externo ABC - Equipe 1",11,IF(Atletas!W334="Grupo Externo ABC - Equipe 2",12,IF(Atletas!W334="Grupo Interno ABC - Equipe 1",13,IF(Atletas!W334="Grupo Interno ABC - Equipe 2",14,IF(Atletas!W334="Grupo Externo DEF - Equipe 1",15,IF(Atletas!W334="Grupo Externo DEF - Equipe 2",16,IF(Atletas!W334="Grupo Interno DEF - Equipe 1",17,IF(Atletas!W334="Grupo Interno DEF - Equipe 2",18,"")))))))))))))))))))</f>
        <v/>
      </c>
    </row>
    <row r="344" spans="40:91">
      <c r="AN344" s="52" t="str">
        <f>IF(Atletas!D335="","",IF(Atletas!B335="Feminino",100,IF(Atletas!B335="Masculino",200,""))+(IF(Atletas!D335="Kids 30kg",1,IF(Atletas!D335="Kids 32kg",2, IF(Atletas!D335="Kids 34kg",3,IF(Atletas!D335="Kids 36kg",4,IF(Atletas!D335="Kids 39kg",5,IF(Atletas!D335="Kids 42kg",6,IF(Atletas!D335="Kids 45kg",7, IF(Atletas!D335="Infantil 39kg",8,IF(Atletas!D335="Infantil 42kg",9,IF(Atletas!D335="Infantil 45kg",10,IF(Atletas!D335="Infantil 48kg",11,IF(Atletas!D335="Infantil 52kg",12,IF(Atletas!D335="Infantil 56kg",13,IF(Atletas!D335="Infantil 60kg",14,IF(Atletas!D335="Juvenil 48kg",15,IF(Atletas!D335="Juvenil 52kg",16,IF(Atletas!D335="Juvenil 56kg",17,IF(Atletas!D335="Juvenil 60kg",18,IF(Atletas!D335="Juvenil 65kg",19,IF(Atletas!D335="Juvenil 70kg",20,IF(Atletas!D335="Juvenil 75kg",21,IF(Atletas!D335="Juvenil 80kg",22, IF(Atletas!D335="Juvenil 85kg",23,IF(Atletas!D335="Adulto 48kg",24,IF(Atletas!D335="Adulto 52kg",25,IF(Atletas!D335="Adulto 56kg",26,IF(Atletas!D335="Adulto 60kg",27,IF(Atletas!D335="Adulto 65kg",28,IF(Atletas!D335="Adulto 70kg",29,IF(Atletas!D335="Adulto 75kg",30,IF(Atletas!D335="Adulto 80kg",31,IF(Atletas!D335="Adulto 85kg",32,IF(Atletas!D335="Adulto 90kg",33,IF(Atletas!D335="Adulto 100kg",34, IF(Atletas!D335="Adulto +100kg",35,"")))))))))))))))))))))))))))))))))))))</f>
        <v/>
      </c>
      <c r="AS344" s="6" t="str">
        <f>IF(Atletas!E335="","",IF(Atletas!B335="Feminino",100,IF(Atletas!B335="Masculino",200,""))+(IF(Atletas!E335="Juvenil 44kg",1,IF(Atletas!E335="Juvenil 48kg",2,IF(Atletas!E335="Juvenil 52kg",3,IF(Atletas!E335="Juvenil 56kg",4,IF(Atletas!E335="Juvenil 60kg",5,IF(Atletas!E335="Juvenil 65kg",6,IF(Atletas!E335="Juvenil 70kg",7,IF(Atletas!E335="Juvenil 75kg",8,IF(Atletas!E335="Juvenil 82kg",9,IF(Atletas!E335="Juvenil 90kg",10,IF(Atletas!E335="Juvenil 100kg",11,IF(Atletas!E335="Adulto 48kg",12,IF(Atletas!E335="Adulto 52kg",13,IF(Atletas!E335="Adulto 56kg",14,IF(Atletas!E335="Adulto 60kg",15,IF(Atletas!E335="Adulto 65kg",16,IF(Atletas!E335="Adulto 70kg",17,IF(Atletas!E335="Adulto 75kg",18,IF(Atletas!E335="Adulto 82kg",19,IF(Atletas!E335="Adulto 90kg",20,IF(Atletas!E335="Adulto 100kg",21,IF(Atletas!E335="Adulto +100kg",22,""))))))))))))))))))))))))</f>
        <v/>
      </c>
      <c r="AX344" s="6" t="str">
        <f>IF(Atletas!F335="","",IF(Atletas!B335="Feminino",100,IF(Atletas!B335="Masculino",200,""))+(IF(Atletas!F335="Adulto 48kg",1,IF(Atletas!F335="Adulto 56kg",2,IF(Atletas!F335="Adulto 65kg",3,IF(Atletas!F335="Adulto 75kg",4,IF(Atletas!F335="Adulto +75kg",5,IF(Atletas!F335="Adulto 52kg",6,IF(Atletas!F335="Adulto 60kg",7,IF(Atletas!F335="Adulto 70kg",8,IF(Atletas!F335="Adulto 80kg",9,IF(Atletas!F335="Adulto 90kg",10,IF(Atletas!F335="Adulto +90kg",11,"")))))))))))))</f>
        <v/>
      </c>
      <c r="BC344" s="6" t="str">
        <f>IF(Atletas!G335="","",IF(Atletas!B335="Feminino",10,IF(Atletas!B335="Masculino",20,""))+(IF(Atletas!G335="Baduanjin A",1,IF(Atletas!G335="Baduanjin B",2))))</f>
        <v/>
      </c>
      <c r="BF344" s="52" t="str">
        <f>IF(Atletas!H335="","",IF(Atletas!B335="Feminino",100,IF(Atletas!B335="Masculino",200,""))+(IF(Atletas!H335="Changquan Mirim",1,IF(Atletas!H335="Nanquan Mirim",2,IF(Atletas!H335="Taijiquan Mirim",3,IF(Atletas!H335="Changquan Grupo C",4,IF(Atletas!H335="Nanquan Grupo C",5,IF(Atletas!H335="Taijiquan Grupo C",6,IF(Atletas!H335="Changquan Grupo B",7,IF(Atletas!H335="Nanquan Grupo B",8,IF(Atletas!H335="Taijiquan Grupo B",9,IF(Atletas!H335="Changquan Grupo A",10,IF(Atletas!H335="Nanquan Grupo A",11,IF(Atletas!H335="Taijiquan Grupo A",12,IF(Atletas!H335="Changquan Opcional",13,IF(Atletas!H335="Nanquan Opcional",14,IF(Atletas!H335="Taijiquan Opcional",15,IF(Atletas!H335="Changquan Adulto",16,IF(Atletas!H335="Nanquan Adulto",17,IF(Atletas!H335="Taijiquan Adulto",18,""))))))))))))))))))))</f>
        <v/>
      </c>
      <c r="BG344" s="52" t="str">
        <f>IF(Atletas!I335="","",IF(Atletas!B335="Feminino",100,IF(Atletas!B335="Masculino",200,""))+(IF(Atletas!I335="Daoshu Mirim",19,IF(Atletas!I335="Jianshu Mirim",20,IF(Atletas!I335="Nandao Mirim",21,IF(Atletas!I335="Taijijian Mirim",22,IF(Atletas!I335="Daoshu Grupo C",23,IF(Atletas!I335="Jianshu Grupo C",24,IF(Atletas!I335="Nandao Grupo C",25,IF(Atletas!I335="Taijijian Grupo C",26,IF(Atletas!I335="Daoshu Grupo B",27,IF(Atletas!I335="Jianshu Grupo B",28,IF(Atletas!I335="Nandao Grupo B",29,IF(Atletas!I335="Taijijian Grupo B",30,IF(Atletas!I335="Daoshu Grupo A",31,IF(Atletas!I335="Jianshu Grupo A",32,IF(Atletas!I335="Nandao Grupo A",33,IF(Atletas!I335="Taijijian Grupo A",34,IF(Atletas!I335="Daoshu Opcional",35,IF(Atletas!I335="Jianshu Opcional",36,IF(Atletas!I335="Nandao Opcional",37,IF(Atletas!I335="Taijijian Opcional",38,IF(Atletas!I335="Daoshu Adulto",39,IF(Atletas!I335="Jianshu Adulto",40,IF(Atletas!I335="Nandao Adulto",41,IF(Atletas!I335="Taijijian Adulto",42,""))))))))))))))))))))))))))</f>
        <v/>
      </c>
      <c r="BH344" s="52" t="str">
        <f>IF(Atletas!J335="","",IF(Atletas!B335="Feminino",100,IF(Atletas!B335="Masculino",200,""))+(IF(Atletas!J335="Gunshu Mirim",43,IF(Atletas!J335="Qiangshu Mirim",44,IF(Atletas!J335="Nangun Mirim",45,IF(Atletas!J335="Gunshu Grupo C",46,IF(Atletas!J335="Qiangshu Grupo C",47,IF(Atletas!J335="Nangun Grupo C",48,IF(Atletas!J335="Gunshu Grupo B",49,IF(Atletas!J335="Qiangshu Grupo B",50,IF(Atletas!J335="Nangun Grupo B",51,IF(Atletas!J335="Gunshu Grupo A",52,IF(Atletas!J335="Qiangshu Grupo A",53,IF(Atletas!J335="Nangun Grupo A",54,IF(Atletas!J335="Gunshu Opcional",55,IF(Atletas!J335="Qiangshu Opcional",56,IF(Atletas!J335="Nangun Opcional",57,IF(Atletas!J335="Gunshu Adulto",58,IF(Atletas!J335="Qiangshu Adulto",59,IF(Atletas!J335="Nangun Adulto",60,IF(Atletas!J335="Taijishan Grupo B",61,IF(Atletas!J335="Taijishan Grupo A",62,""))))))))))))))))))))))</f>
        <v/>
      </c>
      <c r="BM344" s="50" t="str">
        <f>IF(Atletas!K335="","",IF(Atletas!B335="Feminino",100,IF(Atletas!B335="Masculino",200,""))+(IF(Atletas!K335="Equipe 1 Grupo B",1,IF(Atletas!K335="Equipe 2 Grupo B",2,IF(Atletas!K335="Equipe 1 Grupo A",3,IF(Atletas!K335="Equipe 2 Grupo A",4,IF(Atletas!K335="Equipe 1 Adulto",5,IF(Atletas!K335="Equipe 2 Adulto",6,""))))))))</f>
        <v/>
      </c>
      <c r="BR344" s="50" t="str">
        <f>IF(Atletas!L335="","",IF(Atletas!X335&lt;&gt;"",10000,0)+(IF(Atletas!B335="Feminino",1000,IF(Atletas!B335="Masculino",2000,""))+IF(Atletas!L335="Choylayfut A",1,IF(Atletas!L335="Hunggar A",2,IF(Atletas!L335="Wuzuquan A",3,IF(Atletas!L335="Wingchun A",4,IF(Atletas!L335="Outra Mão de Sul A",5,IF(Atletas!L335="Choylayfut B",6,IF(Atletas!L335="Hunggar B",7,IF(Atletas!L335="Wuzuquan B",8,IF(Atletas!L335="Wingchun B",9,IF(Atletas!L335="Outra Mão de Sul B",10,IF(Atletas!L335="Choylayfut C",11,IF(Atletas!L335="Hunggar C",12,IF(Atletas!L335="Wuzuquan C",13,IF(Atletas!L335="Wingchun C",14,IF(Atletas!L335="Outra Mão de Sul C",15,IF(Atletas!L335="Choylayfut D",16,IF(Atletas!L335="Hunggar D",17,IF(Atletas!L335="Wuzuquan D",18,IF(Atletas!L335="Wingchun D",19,IF(Atletas!L335="Outra Mão de Sul D",20,IF(Atletas!L335="Choylayfut E",21,IF(Atletas!L335="Hunggar E",22,IF(Atletas!L335="Wuzuquan E",23,IF(Atletas!L335="Wingchun E",24,IF(Atletas!L335="Outra Mão de Sul E",25,IF(Atletas!L335="Choylayfut F",26,IF(Atletas!L335="Hunggar F",27,IF(Atletas!L335="Wuzuquan F",28,IF(Atletas!L335="Wingchun F",29,IF(Atletas!L335="Outra Mão de Sul F",30,IF(Atletas!L335="Dishuquan A",31,IF(Atletas!L335="Dishuquan B",32,IF(Atletas!L335="Dishuquan C",33,IF(Atletas!L335="Dishuquan D",34,IF(Atletas!L335="Dishuquan E",35,IF(Atletas!L335="Dishuquan F",36,""))))))))))))))))))))))))))))))))))))))</f>
        <v/>
      </c>
      <c r="BS344" s="50" t="str">
        <f>IF(Atletas!M335="","",IF(Atletas!X335&lt;&gt;"",10000,0)+(IF(Atletas!B335="Feminino",1000,IF(Atletas!B335="Masculino",2000,""))+(IF(Atletas!M335="Chaquan A",101,IF(Atletas!M335="Emeiquan A",102,IF(Atletas!M335="Fanziquan A",103,IF(Atletas!M335="Huaquan A",104,IF(Atletas!M335="Hongquan A",105,IF(Atletas!M335="Paoquan A",106,IF(Atletas!M335="Piguaquan A",107,IF(Atletas!M335="Shaolinquan A",108,IF(Atletas!M335="Tanglangquan A",109,IF(Atletas!M335="Yingzhaoquan A",110,IF(Atletas!M335="Tongbeiquan A",111,IF(Atletas!M335="Wudangquan A",112,IF(Atletas!M335="Outros Estilos A",113,IF(Atletas!M335="Chaquan B",114,IF(Atletas!M335="Emeiquan B",115,IF(Atletas!M335="Fanziquan B",116,IF(Atletas!M335="Huaquan B",117,IF(Atletas!M335="Hongquan B",118,IF(Atletas!M335="Paoquan B",119,IF(Atletas!M335="Piguaquan B",120,IF(Atletas!M335="Shaolinquan B",121,IF(Atletas!M335="Tanglangquan B",122,IF(Atletas!M335="Yingzhaoquan B",123,IF(Atletas!M335="Tongbeiquan B",124,IF(Atletas!M335="Wudangquan B",125,IF(Atletas!M335="Outros Estilos B",126,IF(Atletas!M335="Chaquan C",127,IF(Atletas!M335="Emeiquan C",128,IF(Atletas!M335="Fanziquan C",129,IF(Atletas!M335="Huaquan C",130,IF(Atletas!M335="Hongquan C",131,IF(Atletas!M335="Paoquan C",132,IF(Atletas!M335="Piguaquan C",133,IF(Atletas!M335="Shaolinquan C",134,IF(Atletas!M335="Tanglangquan C",135,IF(Atletas!M335="Yingzhaoquan C",136,IF(Atletas!M335="Tongbeiquan C",137,IF(Atletas!M335="Wudangquan C",138,IF(Atletas!M335="Outros Estilos C",139,0))))))))))))))))))))))))))))))))))))))))))</f>
        <v/>
      </c>
      <c r="BT344" s="50" t="str">
        <f>IF(Atletas!M335="","",IF(Atletas!X335&lt;&gt;"",10000,0)+(IF(Atletas!B335="Feminino",1000,IF(Atletas!B335="Masculino",2000,""))+(IF(Atletas!M335="Chaquan D",140,IF(Atletas!M335="Emeiquan D",141,IF(Atletas!M335="Fanziquan D",142,IF(Atletas!M335="Huaquan D",143,IF(Atletas!M335="Hongquan D",144,IF(Atletas!M335="Paoquan D",145,IF(Atletas!M335="Piguaquan D",146,IF(Atletas!M335="Shaolinquan D",147,IF(Atletas!M335="Tanglangquan D",148,IF(Atletas!M335="Yingzhaoquan D",149,IF(Atletas!M335="Tongbeiquan D",150,IF(Atletas!M335="Wudangquan D",151,IF(Atletas!M335="Outros Estilos D",152,IF(Atletas!M335="Chaquan E",153,IF(Atletas!M335="Emeiquan E",154,IF(Atletas!M335="Fanziquan E",155,IF(Atletas!M335="Huaquan E",156,IF(Atletas!M335="Hongquan E",157,IF(Atletas!M335="Paoquan E",158,IF(Atletas!M335="Piguaquan E",159,IF(Atletas!M335="Shaolinquan E",160,IF(Atletas!M335="Tanglangquan E",161,IF(Atletas!M335="Yingzhaoquan E",162,IF(Atletas!M335="Tongbeiquan E",163,IF(Atletas!M335="Wudangquan E",164,IF(Atletas!M335="Outros Estilos E",165,IF(Atletas!M335="Chaquan F",166,IF(Atletas!M335="Emeiquan F",167,IF(Atletas!M335="Fanziquan F",168,IF(Atletas!M335="Huaquan F",169,IF(Atletas!M335="Hongquan F",170,IF(Atletas!M335="Paoquan F",171,IF(Atletas!M335="Piguaquan F",172,IF(Atletas!M335="Shaolinquan F",173,IF(Atletas!M335="Tanglangquan F",174,IF(Atletas!M335="Yingzhaoquan F",175,IF(Atletas!M335="Tongbeiquan F",176,IF(Atletas!M335="Wudangquan F",177,IF(Atletas!M335="Outros Estilos F",178,0))))))))))))))))))))))))))))))))))))))))))</f>
        <v/>
      </c>
      <c r="BU344" s="50" t="str">
        <f>IF(Atletas!N335="","",IF(Atletas!X335&lt;&gt;"",10000,0)+(IF(Atletas!B335="Feminino",1000,IF(Atletas!B335="Masculino",2000,""))+(IF(Atletas!N335="Ditangquan A",201,IF(Atletas!N335="Houquan A",202,IF(Atletas!N335="Zuiquan A",203,IF(Atletas!N335="Ditangquan B",204,IF(Atletas!N335="Houquan B",205,IF(Atletas!N335="Zuiquan B",206,IF(Atletas!N335="Ditangquan C",207,IF(Atletas!N335="Houquan C",208,IF(Atletas!N335="Zuiquan C",209,IF(Atletas!N335="Ditangquan D",210,IF(Atletas!N335="Houquan D",211,IF(Atletas!N335="Zuiquan D",212,IF(Atletas!N335="Ditangquan E",213,IF(Atletas!N335="Houquan E",214,IF(Atletas!N335="Zuiquan E",215,IF(Atletas!N335="Ditangquan F",216,IF(Atletas!N335="Houquan F",217,IF(Atletas!N335="Zuiquan F",218,"")))))))))))))))))))))</f>
        <v/>
      </c>
      <c r="BV344" s="50" t="str">
        <f>IF(Atletas!O335="","",IF(Atletas!X335&lt;&gt;"",10000,0)+IF(Atletas!B335="Feminino",1000,IF(Atletas!B335="Masculino",2000,""))+IF(Atletas!O335="Yang A",301,IF(Atletas!O335="Chen A",302,IF(Atletas!O335="Sun A",303,IF(Atletas!O335="Wu A",304,IF(Atletas!O335="Wu-Hao A",305,IF(Atletas!O335="Outro Taijiquan A",306,IF(Atletas!O335="Yang B",307,IF(Atletas!O335="Chen B",308,IF(Atletas!O335="Sun B",309,IF(Atletas!O335="Wu B",310,IF(Atletas!O335="Wu-Hao B",311,IF(Atletas!O335="Outro Taijiquan B",312,IF(Atletas!O335="Yang C",313,IF(Atletas!O335="Chen C",314,IF(Atletas!O335="Sun C",315,IF(Atletas!O335="Wu C",316,IF(Atletas!O335="Wu-Hao C",317,IF(Atletas!O335="Outro Taijiquan C",318,IF(Atletas!O335="Yang D",319,IF(Atletas!O335="Chen D",320,IF(Atletas!O335="Sun D",321,IF(Atletas!O335="Wu D",322,IF(Atletas!O335="Wu-Hao D",323,IF(Atletas!O335="Outro Taijiquan D",324,IF(Atletas!O335="Yang E",325,IF(Atletas!O335="Chen E",326,IF(Atletas!O335="Sun E",327,IF(Atletas!O335="Wu E",328,IF(Atletas!O335="Wu-Hao E",329,IF(Atletas!O335="Outro Taijiquan E",330,IF(Atletas!O335="Yang F",331,IF(Atletas!O335="Chen F",332,IF(Atletas!O335="Sun F",333,IF(Atletas!O335="Wu F",334,IF(Atletas!O335="Wu-Hao F",335,IF(Atletas!O335="Outro Taijiquan F",336,"")))))))))))))))))))))))))))))))))))))</f>
        <v/>
      </c>
      <c r="BW344" s="50" t="str">
        <f>IF(Atletas!P335="","",IF(Atletas!X335&lt;&gt;"",10000,0)+IF(Atletas!B335="Feminino",1000,IF(Atletas!B335="Masculino",2000,""))+IF(OR(Atletas!P335="Yang 26 A",Atletas!P335="Yang 40 A"),401,IF(OR(Atletas!P335="Chen 25 A",Atletas!P335="Chen 36 A",Atletas!P335="Chen 56 A"),402,IF(Atletas!P335="Sun 73 A",403,IF(Atletas!P335="Wu 45 A",404,IF(Atletas!P335="Wu-Hao 46 A",405,IF(OR(Atletas!P335="Taijiquan 16 A",Atletas!P335="Taijiquan 24 A",Atletas!P335="Taijiquan 32 A",Atletas!P335="Taijiquan 42 A"),406,IF(OR(Atletas!P335="Yang 26 B",Atletas!P335="Yang 40 B"),407,IF(OR(Atletas!P335="Chen 25 B",Atletas!P335="Chen 36 B",Atletas!P335="Chen 56 B"),408,IF(Atletas!P335="Sun 73 B",409,IF(Atletas!P335="Wu 45 B",410,IF(Atletas!P335="Wu-Hao 46 B",411,IF(OR(Atletas!P335="Taijiquan 16 B",Atletas!P335="Taijiquan 24 B",Atletas!P335="Taijiquan 32 B",Atletas!P335="Taijiquan 42 B"),412,IF(OR(Atletas!P335="Yang 26 C",Atletas!P335="Yang 40 C"),413,IF(OR(Atletas!P335="Chen 25 C",Atletas!P335="Chen 36 C",Atletas!P335="Chen 56 C"),414,IF(Atletas!P335="Sun 73 C",415,IF(Atletas!P335="Wu 45 C",416,IF(Atletas!P335="Wu-Hao 46 C",417,IF(OR(Atletas!P335="Taijiquan 16 C",Atletas!P335="Taijiquan 24 C",Atletas!P335="Taijiquan 32 C",Atletas!P335="Taijiquan 42 C"),418,0)))))))))))))))))))</f>
        <v/>
      </c>
      <c r="BX344" s="50" t="str">
        <f>IF(Atletas!P335="","",IF(Atletas!X335&lt;&gt;"",10000,0)+IF(Atletas!B335="Feminino",1000,IF(Atletas!B335="Masculino",2000,""))+IF(OR(Atletas!P335="Yang 26 D",Atletas!P335="Yang 40 D"),419,IF(OR(Atletas!P335="Chen 25 D",Atletas!P335="Chen 36 D",Atletas!P335="Chen 56 D"),420,IF(Atletas!P335="Sun 73 D",421,IF(Atletas!P335="Wu 45 D",422,IF(Atletas!P335="Wu-Hao 46 D",423,IF(OR(Atletas!P335="Taijiquan 16 D",Atletas!P335="Taijiquan 24 D",Atletas!P335="Taijiquan 32 D",Atletas!P335="Taijiquan 42 D"),424,IF(OR(Atletas!P335="Yang 26 E",Atletas!P335="Yang 40 E"),425,IF(OR(Atletas!P335="Chen 25 E",Atletas!P335="Chen 36 E",Atletas!P335="Chen 56 E"),426,IF(Atletas!P335="Sun 73 E",427,IF(Atletas!P335="Wu 45 E",428,IF(Atletas!P335="Wu-Hao 46 E",429,IF(OR(Atletas!P335="Taijiquan 16 E",Atletas!P335="Taijiquan 24 E",Atletas!P335="Taijiquan 32 E",Atletas!P335="Taijiquan 42 E"),430,IF(OR(Atletas!P335="Yang 26 F",Atletas!P335="Yang 40 F"),431,IF(OR(Atletas!P335="Chen 25 F",Atletas!P335="Chen 36 F",Atletas!P335="Chen 56 F"),432,IF(Atletas!P335="Sun 73 F",433,IF(Atletas!P335="Wu 45 F",434,IF(Atletas!P335="Wu-Hao 46 F",435,IF(OR(Atletas!P335="Taijiquan 16 F",Atletas!P335="Taijiquan 24 F",Atletas!P335="Taijiquan 32 F",Atletas!P335="Taijiquan 42 F"),436,0)))))))))))))))))))</f>
        <v/>
      </c>
      <c r="BY344" s="50" t="str">
        <f>IF(Atletas!Q335="","",IF(Atletas!X335&lt;&gt;"",10000,0)+IF(Atletas!B335="Feminino",1000,IF(Atletas!B335="Masculino",2000,""))+IF(Atletas!Q335="Xingyiquan A",501,IF(Atletas!Q335="Baguazhang A",502,IF(Atletas!Q335="Outro Estilo Interno A",503,IF(Atletas!Q335="Xingyiquan B",504,IF(Atletas!Q335="Baguazhang B",505,IF(Atletas!Q335="Outro Estilo Interno B",506,IF(Atletas!Q335="Xingyiquan C",507,IF(Atletas!Q335="Baguazhang C",508,IF(Atletas!Q335="Outro Estilo Interno C",509,IF(Atletas!Q335="Xingyiquan D",510,IF(Atletas!Q335="Baguazhang D",511,IF(Atletas!Q335="Outro Estilo Interno D",512,IF(Atletas!Q335="Xingyiquan E",513,IF(Atletas!Q335="Baguazhang E",514,IF(Atletas!Q335="Outro Estilo Interno E",515,IF(Atletas!Q335="Xingyiquan F",516,IF(Atletas!Q335="Baguazhang F",517,IF(Atletas!Q335="Outro Estilo Interno F",518, "")))))))))))))))))))</f>
        <v/>
      </c>
      <c r="BZ344" s="50" t="str">
        <f>IF(Atletas!R335="","",IF(Atletas!X335&lt;&gt;"",10000,0)+IF(Atletas!B335="Feminino",1000,IF(Atletas!B335="Masculino",2000,""))+IF(Atletas!R335="Dao A",601,IF(Atletas!R335="Jian A",602,IF(Atletas!R335="Bishou A",603,IF(Atletas!R335="Shanzi A",604,IF(Atletas!R335="Outra Arma Curta A",605,IF(Atletas!R335="Dao B",606,IF(Atletas!R335="Jian B",607,IF(Atletas!R335="Bishou B",608,IF(Atletas!R335="Shanzi B",609,IF(Atletas!R335="Outra Arma Curta B",610,IF(Atletas!R335="Dao C",611,IF(Atletas!R335="Jian C",612,IF(Atletas!R335="Bishou C",613,IF(Atletas!R335="Shanzi C",614,IF(Atletas!R335="Outra Arma Curta C",615,IF(Atletas!R335="Dao D",616,IF(Atletas!R335="Jian D",617,IF(Atletas!R335="Bishou D",618,IF(Atletas!R335="Shanzi D",619,IF(Atletas!R335="Outra Arma Curta D",620,IF(Atletas!R335="Dao E",621,IF(Atletas!R335="Jian E",622,IF(Atletas!R335="Bishou E",623,IF(Atletas!R335="Shanzi E",624,IF(Atletas!R335="Outra Arma Curta E",625,IF(Atletas!R335="Dao F",626,IF(Atletas!R335="Jian F",627,IF(Atletas!R335="Bishou F",628,IF(Atletas!R335="Shanzi F",629,IF(Atletas!R335="Outra Arma Curta F",630, "")))))))))))))))))))))))))))))))</f>
        <v/>
      </c>
      <c r="CA344" s="50" t="str">
        <f>IF(Atletas!S335="","",IF(Atletas!X335&lt;&gt;"",10000,0)+IF(Atletas!B335="Feminino",1000,IF(Atletas!B335="Masculino",2000,""))+IF(Atletas!S335="Gun A",701,IF(Atletas!S335="Qiang A",702,IF(Atletas!S335="Pudao / Guandao A",703,IF(Atletas!S335="Outra Arma Longa A",704,IF(Atletas!S335="Gun B",705,IF(Atletas!S335="Qiang B",706,IF(Atletas!S335="Pudao / Guandao B",707,IF(Atletas!S335="Outra Arma Longa B",708,IF(Atletas!S335="Gun C",709,IF(Atletas!S335="Qiang C",710,IF(Atletas!S335="Pudao / Guandao C",711,IF(Atletas!S335="Outra Arma Longa C",712,IF(Atletas!S335="Gun D",713,IF(Atletas!S335="Qiang D",714,IF(Atletas!S335="Pudao / Guandao D",715,IF(Atletas!S335="Outra Arma Longa D",716,IF(Atletas!S335="Gun E",717,IF(Atletas!S335="Qiang E",718,IF(Atletas!S335="Pudao / Guandao E",719,IF(Atletas!S335="Outra Arma Longa E",720,IF(Atletas!S335="Gun F",721,IF(Atletas!S335="Qiang F",722,IF(Atletas!S335="Pudao / Guandao F",723,IF(Atletas!S335="Outra Arma Longa F",724,"")))))))))))))))))))))))))</f>
        <v/>
      </c>
      <c r="CB344" s="50" t="str">
        <f>IF(Atletas!T335="","",IF(Atletas!X335&lt;&gt;"",10000,0)+IF(Atletas!B335="Feminino",1000,IF(Atletas!B335="Masculino",2000,""))+IF(Atletas!T335="Outra Arma Dupla A",801,IF(Atletas!T335="Arma Maleável A",802,IF(Atletas!T335="Outra Arma Dupla B",803,IF(Atletas!T335="Arma Maleável B",804,IF(Atletas!T335="Outra Arma Dupla C",805,IF(Atletas!T335="Arma Maleável C",806,IF(Atletas!T335="Outra Arma Dupla D",807,IF(Atletas!T335="Arma Maleável D",808,IF(Atletas!T335="Outra Arma Dupla E",809,IF(Atletas!T335="Arma Maleável E",810,IF(Atletas!T335="Outra Arma Dupla F",811,IF(Atletas!T335="Arma Maleável F",812,IF(Atletas!T335="Shuangdao A",813,IF(Atletas!T335="Shuangdao B",814,IF(Atletas!T335="Shuangdao C",815,IF(Atletas!T335="Shuangdao D",816,IF(Atletas!T335="Shuangdao E",817,IF(Atletas!T335="Shuangdao F",818,"")))))))))))))))))))</f>
        <v/>
      </c>
      <c r="CC344" s="50" t="str">
        <f>IF(Atletas!U335="","",IF(Atletas!X335&lt;&gt;"",10000,0)+IF(Atletas!B335="Feminino",1000,IF(Atletas!B335="Masculino",2000,""))+IF(OR(Atletas!U335="Taijijian Yang A",Atletas!U335="Taijijian Yang Standard A"),901,IF(OR(Atletas!U335="Taijijian Chen A", Atletas!U335="Taijijian Chen Standard A"),902,IF(Atletas!U335="Taijijian Sun A",903,IF(Atletas!U335="Taijijian Wu A",904,IF(Atletas!U335="Taijijian Wu-Hao A",905,IF(OR(Atletas!U335="Taijijian 32 A",Atletas!U335="Taijijian 42 A"),906,IF(OR(Atletas!U335="Taijijian Yang B",Atletas!U335="Taijijian Yang Standard B"),907,IF(OR(Atletas!U335="Taijijian Chen B", Atletas!U335="Taijijian Chen Standard B"),908,IF(Atletas!U335="Taijijian Sun B",909,IF(Atletas!U335="Taijijian Wu B",910,IF(Atletas!U335="Taijijian Wu-Hao B",911,IF(OR(Atletas!U335="Taijijian 32 B",Atletas!U335="Taijijian 42 B"),912,IF(OR(Atletas!U335="Taijijian Yang C",Atletas!U335="Taijijian Yang Standard C"),913,IF(OR(Atletas!U335="Taijijian Chen C", Atletas!U335="Taijijian Chen Standard C"),914,IF(Atletas!U335="Taijijian Sun C",915,IF(Atletas!U335="Taijijian Wu C",916,IF(Atletas!U335="Taijijian Wu-Hao C",917,IF(OR(Atletas!U335="Taijijian 32 C",Atletas!U335="Taijijian 42 C"),918,IF(OR(Atletas!U335="Taijijian Yang D",Atletas!U335="Taijijian Yang Standard D"),919,IF(OR(Atletas!U335="Taijijian Chen D", Atletas!U335="Taijijian Chen Standard D"),920,IF(Atletas!U335="Taijijian Sun D",921,IF(Atletas!U335="Taijijian Wu D",922,IF(Atletas!U335="Taijijian Wu-Hao D",923,IF(OR(Atletas!U335="Taijijian 32 D",Atletas!U335="Taijijian 42 D"),924,IF(OR(Atletas!U335="Taijijian Yang E",Atletas!U335="Taijijian Yang Standard E"),925,IF(OR(Atletas!U335="Taijijian Chen E", Atletas!U335="Taijijian Chen Standard E"),926,IF(Atletas!U335="Taijijian Sun E",927,IF(Atletas!U335="Taijijian Wu E",928,IF(Atletas!U335="Taijijian Wu-Hao E",929,IF(OR(Atletas!U335="Taijijian 32 E",Atletas!U335="Taijijian 42 E"),930,IF(OR(Atletas!U335="Taijijian Yang F",Atletas!U335="Taijijian Yang Standard F"),931,IF(OR(Atletas!U335="Taijijian Chen F", Atletas!U335="Taijijian Chen Standard F"),932,IF(Atletas!U335="Taijijian Sun F",933,IF(Atletas!U335="Taijijian Wu F",934,IF(Atletas!U335="Taijijian Wu-Hao F",935,IF(OR(Atletas!U335="Taijijian 32 F",Atletas!U335="Taijijian 42 F"),936,"")))))))))))))))))))))))))))))))))))))</f>
        <v/>
      </c>
      <c r="CD344" s="50" t="str">
        <f>IF(Atletas!V335="","",IF(Atletas!X335&lt;&gt;"",10000,0)+IF(Atletas!B335="Feminino",1000,IF(Atletas!B335="Masculino",2000,""))+IF(Atletas!V335="Taijidao A",937,IF(Atletas!V335="TaijiShanzi A",938,IF(Atletas!V335="Taijiqiang A",939,IF(Atletas!V335="Bagua de Arma A",940,IF(Atletas!V335="Xingyi de Arma A",941,IF(Atletas!V335="Taijidao B",942,IF(Atletas!V335="TaijiShanzi B",943,IF(Atletas!V335="Taijiqiang B",944,IF(Atletas!V335="Bagua de Arma B",945,IF(Atletas!V335="Xingyi de Arma B",946,IF(Atletas!V335="Taijidao C",947,IF(Atletas!V335="TaijiShanzi C",948,IF(Atletas!V335="Taijiqiang C",949,IF(Atletas!V335="Bagua de Arma C",950,IF(Atletas!V335="Xingyi de Arma C",951,IF(Atletas!V335="Taijidao D",952,IF(Atletas!V335="TaijiShanzi D",953,IF(Atletas!V335="Taijiqiang D",954,IF(Atletas!V335="Bagua de Arma D",955,IF(Atletas!V335="Xingyi de Arma D",956,IF(Atletas!V335="Taijidao E",957,IF(Atletas!V335="TaijiShanzi E",958,IF(Atletas!V335="Taijiqiang E",959,IF(Atletas!V335="Bagua de Arma E",960,IF(Atletas!V335="Xingyi de Arma E",961,IF(Atletas!V335="Taijidao F",962,IF(Atletas!V335="TaijiShanzi F",963,IF(Atletas!V335="Taijiqiang F",964,IF(Atletas!V335="Bagua de Arma F",965,IF(Atletas!V335="Xingyi de Arma F",966,"")))))))))))))))))))))))))))))))</f>
        <v/>
      </c>
      <c r="CE344" s="66" t="str">
        <f>IF(CF344&lt;&gt;"","Taijiqiang B","")</f>
        <v/>
      </c>
      <c r="CF344" s="66" t="str">
        <f>IF(COUNTIF(BR:CD,1944)&gt;0,COUNTIF(BR:CD,1944),"")</f>
        <v/>
      </c>
      <c r="CG344" s="66" t="str">
        <f>IF(CH344&lt;&gt;"","Taijiqiang B","")</f>
        <v/>
      </c>
      <c r="CH344" s="66" t="str">
        <f>IF(COUNTIF(BR:CD,2944)&gt;0,COUNTIF(BR:CD,2944),"")</f>
        <v/>
      </c>
      <c r="CI344" s="66" t="str">
        <f>IF(CJ345&lt;&gt;"","Taijidao E","")</f>
        <v/>
      </c>
      <c r="CJ344" s="66" t="str">
        <f>IF(COUNTIF(BR:CD,11956)&gt;0,COUNTIF(BR:CD,11956),"")</f>
        <v/>
      </c>
      <c r="CK344" s="66" t="str">
        <f>IF(CL344&lt;&gt;"","Xingyi de Arma D","")</f>
        <v/>
      </c>
      <c r="CL344" s="66" t="str">
        <f>IF(COUNTIF(BR:CD,12956)&gt;0,COUNTIF(BR:CD,12956),"")</f>
        <v/>
      </c>
      <c r="CM344" s="50" t="str">
        <f xml:space="preserve"> IF(Atletas!W335="","",IF(Atletas!W335="Duilian de Mãos BC - Equipe 1",1,IF(Atletas!W335="Duilian de Mãos BC - Equipe 2",2,IF(Atletas!W335="Duilian de Armas BC - Equipe 1",3,IF(Atletas!W335="Duilian de Armas BC - Equipe 2",4,IF(Atletas!W335="Duilian de Mãos DE - Equipe 1",5,IF(Atletas!W335="Duilian de Mãos DE - Equipe 2",6,IF(Atletas!W335="Duilian de Armas DE - Equipe 1",7,IF(Atletas!W335="Duilian de Armas DE - Equipe 2",8,IF(Atletas!W335="Duilian de Tuishou - Equipe 1",9,IF(Atletas!W335="Duilian de Tuishou - Equipe 2",10,IF(Atletas!W335="Grupo Externo ABC - Equipe 1",11,IF(Atletas!W335="Grupo Externo ABC - Equipe 2",12,IF(Atletas!W335="Grupo Interno ABC - Equipe 1",13,IF(Atletas!W335="Grupo Interno ABC - Equipe 2",14,IF(Atletas!W335="Grupo Externo DEF - Equipe 1",15,IF(Atletas!W335="Grupo Externo DEF - Equipe 2",16,IF(Atletas!W335="Grupo Interno DEF - Equipe 1",17,IF(Atletas!W335="Grupo Interno DEF - Equipe 2",18,"")))))))))))))))))))</f>
        <v/>
      </c>
    </row>
    <row r="345" spans="40:91">
      <c r="AN345" s="52" t="str">
        <f>IF(Atletas!D336="","",IF(Atletas!B336="Feminino",100,IF(Atletas!B336="Masculino",200,""))+(IF(Atletas!D336="Kids 30kg",1,IF(Atletas!D336="Kids 32kg",2, IF(Atletas!D336="Kids 34kg",3,IF(Atletas!D336="Kids 36kg",4,IF(Atletas!D336="Kids 39kg",5,IF(Atletas!D336="Kids 42kg",6,IF(Atletas!D336="Kids 45kg",7, IF(Atletas!D336="Infantil 39kg",8,IF(Atletas!D336="Infantil 42kg",9,IF(Atletas!D336="Infantil 45kg",10,IF(Atletas!D336="Infantil 48kg",11,IF(Atletas!D336="Infantil 52kg",12,IF(Atletas!D336="Infantil 56kg",13,IF(Atletas!D336="Infantil 60kg",14,IF(Atletas!D336="Juvenil 48kg",15,IF(Atletas!D336="Juvenil 52kg",16,IF(Atletas!D336="Juvenil 56kg",17,IF(Atletas!D336="Juvenil 60kg",18,IF(Atletas!D336="Juvenil 65kg",19,IF(Atletas!D336="Juvenil 70kg",20,IF(Atletas!D336="Juvenil 75kg",21,IF(Atletas!D336="Juvenil 80kg",22, IF(Atletas!D336="Juvenil 85kg",23,IF(Atletas!D336="Adulto 48kg",24,IF(Atletas!D336="Adulto 52kg",25,IF(Atletas!D336="Adulto 56kg",26,IF(Atletas!D336="Adulto 60kg",27,IF(Atletas!D336="Adulto 65kg",28,IF(Atletas!D336="Adulto 70kg",29,IF(Atletas!D336="Adulto 75kg",30,IF(Atletas!D336="Adulto 80kg",31,IF(Atletas!D336="Adulto 85kg",32,IF(Atletas!D336="Adulto 90kg",33,IF(Atletas!D336="Adulto 100kg",34, IF(Atletas!D336="Adulto +100kg",35,"")))))))))))))))))))))))))))))))))))))</f>
        <v/>
      </c>
      <c r="AS345" s="6" t="str">
        <f>IF(Atletas!E336="","",IF(Atletas!B336="Feminino",100,IF(Atletas!B336="Masculino",200,""))+(IF(Atletas!E336="Juvenil 44kg",1,IF(Atletas!E336="Juvenil 48kg",2,IF(Atletas!E336="Juvenil 52kg",3,IF(Atletas!E336="Juvenil 56kg",4,IF(Atletas!E336="Juvenil 60kg",5,IF(Atletas!E336="Juvenil 65kg",6,IF(Atletas!E336="Juvenil 70kg",7,IF(Atletas!E336="Juvenil 75kg",8,IF(Atletas!E336="Juvenil 82kg",9,IF(Atletas!E336="Juvenil 90kg",10,IF(Atletas!E336="Juvenil 100kg",11,IF(Atletas!E336="Adulto 48kg",12,IF(Atletas!E336="Adulto 52kg",13,IF(Atletas!E336="Adulto 56kg",14,IF(Atletas!E336="Adulto 60kg",15,IF(Atletas!E336="Adulto 65kg",16,IF(Atletas!E336="Adulto 70kg",17,IF(Atletas!E336="Adulto 75kg",18,IF(Atletas!E336="Adulto 82kg",19,IF(Atletas!E336="Adulto 90kg",20,IF(Atletas!E336="Adulto 100kg",21,IF(Atletas!E336="Adulto +100kg",22,""))))))))))))))))))))))))</f>
        <v/>
      </c>
      <c r="AX345" s="6" t="str">
        <f>IF(Atletas!F336="","",IF(Atletas!B336="Feminino",100,IF(Atletas!B336="Masculino",200,""))+(IF(Atletas!F336="Adulto 48kg",1,IF(Atletas!F336="Adulto 56kg",2,IF(Atletas!F336="Adulto 65kg",3,IF(Atletas!F336="Adulto 75kg",4,IF(Atletas!F336="Adulto +75kg",5,IF(Atletas!F336="Adulto 52kg",6,IF(Atletas!F336="Adulto 60kg",7,IF(Atletas!F336="Adulto 70kg",8,IF(Atletas!F336="Adulto 80kg",9,IF(Atletas!F336="Adulto 90kg",10,IF(Atletas!F336="Adulto +90kg",11,"")))))))))))))</f>
        <v/>
      </c>
      <c r="BC345" s="6" t="str">
        <f>IF(Atletas!G336="","",IF(Atletas!B336="Feminino",10,IF(Atletas!B336="Masculino",20,""))+(IF(Atletas!G336="Baduanjin A",1,IF(Atletas!G336="Baduanjin B",2))))</f>
        <v/>
      </c>
      <c r="BF345" s="52" t="str">
        <f>IF(Atletas!H336="","",IF(Atletas!B336="Feminino",100,IF(Atletas!B336="Masculino",200,""))+(IF(Atletas!H336="Changquan Mirim",1,IF(Atletas!H336="Nanquan Mirim",2,IF(Atletas!H336="Taijiquan Mirim",3,IF(Atletas!H336="Changquan Grupo C",4,IF(Atletas!H336="Nanquan Grupo C",5,IF(Atletas!H336="Taijiquan Grupo C",6,IF(Atletas!H336="Changquan Grupo B",7,IF(Atletas!H336="Nanquan Grupo B",8,IF(Atletas!H336="Taijiquan Grupo B",9,IF(Atletas!H336="Changquan Grupo A",10,IF(Atletas!H336="Nanquan Grupo A",11,IF(Atletas!H336="Taijiquan Grupo A",12,IF(Atletas!H336="Changquan Opcional",13,IF(Atletas!H336="Nanquan Opcional",14,IF(Atletas!H336="Taijiquan Opcional",15,IF(Atletas!H336="Changquan Adulto",16,IF(Atletas!H336="Nanquan Adulto",17,IF(Atletas!H336="Taijiquan Adulto",18,""))))))))))))))))))))</f>
        <v/>
      </c>
      <c r="BG345" s="52" t="str">
        <f>IF(Atletas!I336="","",IF(Atletas!B336="Feminino",100,IF(Atletas!B336="Masculino",200,""))+(IF(Atletas!I336="Daoshu Mirim",19,IF(Atletas!I336="Jianshu Mirim",20,IF(Atletas!I336="Nandao Mirim",21,IF(Atletas!I336="Taijijian Mirim",22,IF(Atletas!I336="Daoshu Grupo C",23,IF(Atletas!I336="Jianshu Grupo C",24,IF(Atletas!I336="Nandao Grupo C",25,IF(Atletas!I336="Taijijian Grupo C",26,IF(Atletas!I336="Daoshu Grupo B",27,IF(Atletas!I336="Jianshu Grupo B",28,IF(Atletas!I336="Nandao Grupo B",29,IF(Atletas!I336="Taijijian Grupo B",30,IF(Atletas!I336="Daoshu Grupo A",31,IF(Atletas!I336="Jianshu Grupo A",32,IF(Atletas!I336="Nandao Grupo A",33,IF(Atletas!I336="Taijijian Grupo A",34,IF(Atletas!I336="Daoshu Opcional",35,IF(Atletas!I336="Jianshu Opcional",36,IF(Atletas!I336="Nandao Opcional",37,IF(Atletas!I336="Taijijian Opcional",38,IF(Atletas!I336="Daoshu Adulto",39,IF(Atletas!I336="Jianshu Adulto",40,IF(Atletas!I336="Nandao Adulto",41,IF(Atletas!I336="Taijijian Adulto",42,""))))))))))))))))))))))))))</f>
        <v/>
      </c>
      <c r="BH345" s="52" t="str">
        <f>IF(Atletas!J336="","",IF(Atletas!B336="Feminino",100,IF(Atletas!B336="Masculino",200,""))+(IF(Atletas!J336="Gunshu Mirim",43,IF(Atletas!J336="Qiangshu Mirim",44,IF(Atletas!J336="Nangun Mirim",45,IF(Atletas!J336="Gunshu Grupo C",46,IF(Atletas!J336="Qiangshu Grupo C",47,IF(Atletas!J336="Nangun Grupo C",48,IF(Atletas!J336="Gunshu Grupo B",49,IF(Atletas!J336="Qiangshu Grupo B",50,IF(Atletas!J336="Nangun Grupo B",51,IF(Atletas!J336="Gunshu Grupo A",52,IF(Atletas!J336="Qiangshu Grupo A",53,IF(Atletas!J336="Nangun Grupo A",54,IF(Atletas!J336="Gunshu Opcional",55,IF(Atletas!J336="Qiangshu Opcional",56,IF(Atletas!J336="Nangun Opcional",57,IF(Atletas!J336="Gunshu Adulto",58,IF(Atletas!J336="Qiangshu Adulto",59,IF(Atletas!J336="Nangun Adulto",60,IF(Atletas!J336="Taijishan Grupo B",61,IF(Atletas!J336="Taijishan Grupo A",62,""))))))))))))))))))))))</f>
        <v/>
      </c>
      <c r="BM345" s="50" t="str">
        <f>IF(Atletas!K336="","",IF(Atletas!B336="Feminino",100,IF(Atletas!B336="Masculino",200,""))+(IF(Atletas!K336="Equipe 1 Grupo B",1,IF(Atletas!K336="Equipe 2 Grupo B",2,IF(Atletas!K336="Equipe 1 Grupo A",3,IF(Atletas!K336="Equipe 2 Grupo A",4,IF(Atletas!K336="Equipe 1 Adulto",5,IF(Atletas!K336="Equipe 2 Adulto",6,""))))))))</f>
        <v/>
      </c>
      <c r="BR345" s="50" t="str">
        <f>IF(Atletas!L336="","",IF(Atletas!X336&lt;&gt;"",10000,0)+(IF(Atletas!B336="Feminino",1000,IF(Atletas!B336="Masculino",2000,""))+IF(Atletas!L336="Choylayfut A",1,IF(Atletas!L336="Hunggar A",2,IF(Atletas!L336="Wuzuquan A",3,IF(Atletas!L336="Wingchun A",4,IF(Atletas!L336="Outra Mão de Sul A",5,IF(Atletas!L336="Choylayfut B",6,IF(Atletas!L336="Hunggar B",7,IF(Atletas!L336="Wuzuquan B",8,IF(Atletas!L336="Wingchun B",9,IF(Atletas!L336="Outra Mão de Sul B",10,IF(Atletas!L336="Choylayfut C",11,IF(Atletas!L336="Hunggar C",12,IF(Atletas!L336="Wuzuquan C",13,IF(Atletas!L336="Wingchun C",14,IF(Atletas!L336="Outra Mão de Sul C",15,IF(Atletas!L336="Choylayfut D",16,IF(Atletas!L336="Hunggar D",17,IF(Atletas!L336="Wuzuquan D",18,IF(Atletas!L336="Wingchun D",19,IF(Atletas!L336="Outra Mão de Sul D",20,IF(Atletas!L336="Choylayfut E",21,IF(Atletas!L336="Hunggar E",22,IF(Atletas!L336="Wuzuquan E",23,IF(Atletas!L336="Wingchun E",24,IF(Atletas!L336="Outra Mão de Sul E",25,IF(Atletas!L336="Choylayfut F",26,IF(Atletas!L336="Hunggar F",27,IF(Atletas!L336="Wuzuquan F",28,IF(Atletas!L336="Wingchun F",29,IF(Atletas!L336="Outra Mão de Sul F",30,IF(Atletas!L336="Dishuquan A",31,IF(Atletas!L336="Dishuquan B",32,IF(Atletas!L336="Dishuquan C",33,IF(Atletas!L336="Dishuquan D",34,IF(Atletas!L336="Dishuquan E",35,IF(Atletas!L336="Dishuquan F",36,""))))))))))))))))))))))))))))))))))))))</f>
        <v/>
      </c>
      <c r="BS345" s="50" t="str">
        <f>IF(Atletas!M336="","",IF(Atletas!X336&lt;&gt;"",10000,0)+(IF(Atletas!B336="Feminino",1000,IF(Atletas!B336="Masculino",2000,""))+(IF(Atletas!M336="Chaquan A",101,IF(Atletas!M336="Emeiquan A",102,IF(Atletas!M336="Fanziquan A",103,IF(Atletas!M336="Huaquan A",104,IF(Atletas!M336="Hongquan A",105,IF(Atletas!M336="Paoquan A",106,IF(Atletas!M336="Piguaquan A",107,IF(Atletas!M336="Shaolinquan A",108,IF(Atletas!M336="Tanglangquan A",109,IF(Atletas!M336="Yingzhaoquan A",110,IF(Atletas!M336="Tongbeiquan A",111,IF(Atletas!M336="Wudangquan A",112,IF(Atletas!M336="Outros Estilos A",113,IF(Atletas!M336="Chaquan B",114,IF(Atletas!M336="Emeiquan B",115,IF(Atletas!M336="Fanziquan B",116,IF(Atletas!M336="Huaquan B",117,IF(Atletas!M336="Hongquan B",118,IF(Atletas!M336="Paoquan B",119,IF(Atletas!M336="Piguaquan B",120,IF(Atletas!M336="Shaolinquan B",121,IF(Atletas!M336="Tanglangquan B",122,IF(Atletas!M336="Yingzhaoquan B",123,IF(Atletas!M336="Tongbeiquan B",124,IF(Atletas!M336="Wudangquan B",125,IF(Atletas!M336="Outros Estilos B",126,IF(Atletas!M336="Chaquan C",127,IF(Atletas!M336="Emeiquan C",128,IF(Atletas!M336="Fanziquan C",129,IF(Atletas!M336="Huaquan C",130,IF(Atletas!M336="Hongquan C",131,IF(Atletas!M336="Paoquan C",132,IF(Atletas!M336="Piguaquan C",133,IF(Atletas!M336="Shaolinquan C",134,IF(Atletas!M336="Tanglangquan C",135,IF(Atletas!M336="Yingzhaoquan C",136,IF(Atletas!M336="Tongbeiquan C",137,IF(Atletas!M336="Wudangquan C",138,IF(Atletas!M336="Outros Estilos C",139,0))))))))))))))))))))))))))))))))))))))))))</f>
        <v/>
      </c>
      <c r="BT345" s="50" t="str">
        <f>IF(Atletas!M336="","",IF(Atletas!X336&lt;&gt;"",10000,0)+(IF(Atletas!B336="Feminino",1000,IF(Atletas!B336="Masculino",2000,""))+(IF(Atletas!M336="Chaquan D",140,IF(Atletas!M336="Emeiquan D",141,IF(Atletas!M336="Fanziquan D",142,IF(Atletas!M336="Huaquan D",143,IF(Atletas!M336="Hongquan D",144,IF(Atletas!M336="Paoquan D",145,IF(Atletas!M336="Piguaquan D",146,IF(Atletas!M336="Shaolinquan D",147,IF(Atletas!M336="Tanglangquan D",148,IF(Atletas!M336="Yingzhaoquan D",149,IF(Atletas!M336="Tongbeiquan D",150,IF(Atletas!M336="Wudangquan D",151,IF(Atletas!M336="Outros Estilos D",152,IF(Atletas!M336="Chaquan E",153,IF(Atletas!M336="Emeiquan E",154,IF(Atletas!M336="Fanziquan E",155,IF(Atletas!M336="Huaquan E",156,IF(Atletas!M336="Hongquan E",157,IF(Atletas!M336="Paoquan E",158,IF(Atletas!M336="Piguaquan E",159,IF(Atletas!M336="Shaolinquan E",160,IF(Atletas!M336="Tanglangquan E",161,IF(Atletas!M336="Yingzhaoquan E",162,IF(Atletas!M336="Tongbeiquan E",163,IF(Atletas!M336="Wudangquan E",164,IF(Atletas!M336="Outros Estilos E",165,IF(Atletas!M336="Chaquan F",166,IF(Atletas!M336="Emeiquan F",167,IF(Atletas!M336="Fanziquan F",168,IF(Atletas!M336="Huaquan F",169,IF(Atletas!M336="Hongquan F",170,IF(Atletas!M336="Paoquan F",171,IF(Atletas!M336="Piguaquan F",172,IF(Atletas!M336="Shaolinquan F",173,IF(Atletas!M336="Tanglangquan F",174,IF(Atletas!M336="Yingzhaoquan F",175,IF(Atletas!M336="Tongbeiquan F",176,IF(Atletas!M336="Wudangquan F",177,IF(Atletas!M336="Outros Estilos F",178,0))))))))))))))))))))))))))))))))))))))))))</f>
        <v/>
      </c>
      <c r="BU345" s="50" t="str">
        <f>IF(Atletas!N336="","",IF(Atletas!X336&lt;&gt;"",10000,0)+(IF(Atletas!B336="Feminino",1000,IF(Atletas!B336="Masculino",2000,""))+(IF(Atletas!N336="Ditangquan A",201,IF(Atletas!N336="Houquan A",202,IF(Atletas!N336="Zuiquan A",203,IF(Atletas!N336="Ditangquan B",204,IF(Atletas!N336="Houquan B",205,IF(Atletas!N336="Zuiquan B",206,IF(Atletas!N336="Ditangquan C",207,IF(Atletas!N336="Houquan C",208,IF(Atletas!N336="Zuiquan C",209,IF(Atletas!N336="Ditangquan D",210,IF(Atletas!N336="Houquan D",211,IF(Atletas!N336="Zuiquan D",212,IF(Atletas!N336="Ditangquan E",213,IF(Atletas!N336="Houquan E",214,IF(Atletas!N336="Zuiquan E",215,IF(Atletas!N336="Ditangquan F",216,IF(Atletas!N336="Houquan F",217,IF(Atletas!N336="Zuiquan F",218,"")))))))))))))))))))))</f>
        <v/>
      </c>
      <c r="BV345" s="50" t="str">
        <f>IF(Atletas!O336="","",IF(Atletas!X336&lt;&gt;"",10000,0)+IF(Atletas!B336="Feminino",1000,IF(Atletas!B336="Masculino",2000,""))+IF(Atletas!O336="Yang A",301,IF(Atletas!O336="Chen A",302,IF(Atletas!O336="Sun A",303,IF(Atletas!O336="Wu A",304,IF(Atletas!O336="Wu-Hao A",305,IF(Atletas!O336="Outro Taijiquan A",306,IF(Atletas!O336="Yang B",307,IF(Atletas!O336="Chen B",308,IF(Atletas!O336="Sun B",309,IF(Atletas!O336="Wu B",310,IF(Atletas!O336="Wu-Hao B",311,IF(Atletas!O336="Outro Taijiquan B",312,IF(Atletas!O336="Yang C",313,IF(Atletas!O336="Chen C",314,IF(Atletas!O336="Sun C",315,IF(Atletas!O336="Wu C",316,IF(Atletas!O336="Wu-Hao C",317,IF(Atletas!O336="Outro Taijiquan C",318,IF(Atletas!O336="Yang D",319,IF(Atletas!O336="Chen D",320,IF(Atletas!O336="Sun D",321,IF(Atletas!O336="Wu D",322,IF(Atletas!O336="Wu-Hao D",323,IF(Atletas!O336="Outro Taijiquan D",324,IF(Atletas!O336="Yang E",325,IF(Atletas!O336="Chen E",326,IF(Atletas!O336="Sun E",327,IF(Atletas!O336="Wu E",328,IF(Atletas!O336="Wu-Hao E",329,IF(Atletas!O336="Outro Taijiquan E",330,IF(Atletas!O336="Yang F",331,IF(Atletas!O336="Chen F",332,IF(Atletas!O336="Sun F",333,IF(Atletas!O336="Wu F",334,IF(Atletas!O336="Wu-Hao F",335,IF(Atletas!O336="Outro Taijiquan F",336,"")))))))))))))))))))))))))))))))))))))</f>
        <v/>
      </c>
      <c r="BW345" s="50" t="str">
        <f>IF(Atletas!P336="","",IF(Atletas!X336&lt;&gt;"",10000,0)+IF(Atletas!B336="Feminino",1000,IF(Atletas!B336="Masculino",2000,""))+IF(OR(Atletas!P336="Yang 26 A",Atletas!P336="Yang 40 A"),401,IF(OR(Atletas!P336="Chen 25 A",Atletas!P336="Chen 36 A",Atletas!P336="Chen 56 A"),402,IF(Atletas!P336="Sun 73 A",403,IF(Atletas!P336="Wu 45 A",404,IF(Atletas!P336="Wu-Hao 46 A",405,IF(OR(Atletas!P336="Taijiquan 16 A",Atletas!P336="Taijiquan 24 A",Atletas!P336="Taijiquan 32 A",Atletas!P336="Taijiquan 42 A"),406,IF(OR(Atletas!P336="Yang 26 B",Atletas!P336="Yang 40 B"),407,IF(OR(Atletas!P336="Chen 25 B",Atletas!P336="Chen 36 B",Atletas!P336="Chen 56 B"),408,IF(Atletas!P336="Sun 73 B",409,IF(Atletas!P336="Wu 45 B",410,IF(Atletas!P336="Wu-Hao 46 B",411,IF(OR(Atletas!P336="Taijiquan 16 B",Atletas!P336="Taijiquan 24 B",Atletas!P336="Taijiquan 32 B",Atletas!P336="Taijiquan 42 B"),412,IF(OR(Atletas!P336="Yang 26 C",Atletas!P336="Yang 40 C"),413,IF(OR(Atletas!P336="Chen 25 C",Atletas!P336="Chen 36 C",Atletas!P336="Chen 56 C"),414,IF(Atletas!P336="Sun 73 C",415,IF(Atletas!P336="Wu 45 C",416,IF(Atletas!P336="Wu-Hao 46 C",417,IF(OR(Atletas!P336="Taijiquan 16 C",Atletas!P336="Taijiquan 24 C",Atletas!P336="Taijiquan 32 C",Atletas!P336="Taijiquan 42 C"),418,0)))))))))))))))))))</f>
        <v/>
      </c>
      <c r="BX345" s="50" t="str">
        <f>IF(Atletas!P336="","",IF(Atletas!X336&lt;&gt;"",10000,0)+IF(Atletas!B336="Feminino",1000,IF(Atletas!B336="Masculino",2000,""))+IF(OR(Atletas!P336="Yang 26 D",Atletas!P336="Yang 40 D"),419,IF(OR(Atletas!P336="Chen 25 D",Atletas!P336="Chen 36 D",Atletas!P336="Chen 56 D"),420,IF(Atletas!P336="Sun 73 D",421,IF(Atletas!P336="Wu 45 D",422,IF(Atletas!P336="Wu-Hao 46 D",423,IF(OR(Atletas!P336="Taijiquan 16 D",Atletas!P336="Taijiquan 24 D",Atletas!P336="Taijiquan 32 D",Atletas!P336="Taijiquan 42 D"),424,IF(OR(Atletas!P336="Yang 26 E",Atletas!P336="Yang 40 E"),425,IF(OR(Atletas!P336="Chen 25 E",Atletas!P336="Chen 36 E",Atletas!P336="Chen 56 E"),426,IF(Atletas!P336="Sun 73 E",427,IF(Atletas!P336="Wu 45 E",428,IF(Atletas!P336="Wu-Hao 46 E",429,IF(OR(Atletas!P336="Taijiquan 16 E",Atletas!P336="Taijiquan 24 E",Atletas!P336="Taijiquan 32 E",Atletas!P336="Taijiquan 42 E"),430,IF(OR(Atletas!P336="Yang 26 F",Atletas!P336="Yang 40 F"),431,IF(OR(Atletas!P336="Chen 25 F",Atletas!P336="Chen 36 F",Atletas!P336="Chen 56 F"),432,IF(Atletas!P336="Sun 73 F",433,IF(Atletas!P336="Wu 45 F",434,IF(Atletas!P336="Wu-Hao 46 F",435,IF(OR(Atletas!P336="Taijiquan 16 F",Atletas!P336="Taijiquan 24 F",Atletas!P336="Taijiquan 32 F",Atletas!P336="Taijiquan 42 F"),436,0)))))))))))))))))))</f>
        <v/>
      </c>
      <c r="BY345" s="50" t="str">
        <f>IF(Atletas!Q336="","",IF(Atletas!X336&lt;&gt;"",10000,0)+IF(Atletas!B336="Feminino",1000,IF(Atletas!B336="Masculino",2000,""))+IF(Atletas!Q336="Xingyiquan A",501,IF(Atletas!Q336="Baguazhang A",502,IF(Atletas!Q336="Outro Estilo Interno A",503,IF(Atletas!Q336="Xingyiquan B",504,IF(Atletas!Q336="Baguazhang B",505,IF(Atletas!Q336="Outro Estilo Interno B",506,IF(Atletas!Q336="Xingyiquan C",507,IF(Atletas!Q336="Baguazhang C",508,IF(Atletas!Q336="Outro Estilo Interno C",509,IF(Atletas!Q336="Xingyiquan D",510,IF(Atletas!Q336="Baguazhang D",511,IF(Atletas!Q336="Outro Estilo Interno D",512,IF(Atletas!Q336="Xingyiquan E",513,IF(Atletas!Q336="Baguazhang E",514,IF(Atletas!Q336="Outro Estilo Interno E",515,IF(Atletas!Q336="Xingyiquan F",516,IF(Atletas!Q336="Baguazhang F",517,IF(Atletas!Q336="Outro Estilo Interno F",518, "")))))))))))))))))))</f>
        <v/>
      </c>
      <c r="BZ345" s="50" t="str">
        <f>IF(Atletas!R336="","",IF(Atletas!X336&lt;&gt;"",10000,0)+IF(Atletas!B336="Feminino",1000,IF(Atletas!B336="Masculino",2000,""))+IF(Atletas!R336="Dao A",601,IF(Atletas!R336="Jian A",602,IF(Atletas!R336="Bishou A",603,IF(Atletas!R336="Shanzi A",604,IF(Atletas!R336="Outra Arma Curta A",605,IF(Atletas!R336="Dao B",606,IF(Atletas!R336="Jian B",607,IF(Atletas!R336="Bishou B",608,IF(Atletas!R336="Shanzi B",609,IF(Atletas!R336="Outra Arma Curta B",610,IF(Atletas!R336="Dao C",611,IF(Atletas!R336="Jian C",612,IF(Atletas!R336="Bishou C",613,IF(Atletas!R336="Shanzi C",614,IF(Atletas!R336="Outra Arma Curta C",615,IF(Atletas!R336="Dao D",616,IF(Atletas!R336="Jian D",617,IF(Atletas!R336="Bishou D",618,IF(Atletas!R336="Shanzi D",619,IF(Atletas!R336="Outra Arma Curta D",620,IF(Atletas!R336="Dao E",621,IF(Atletas!R336="Jian E",622,IF(Atletas!R336="Bishou E",623,IF(Atletas!R336="Shanzi E",624,IF(Atletas!R336="Outra Arma Curta E",625,IF(Atletas!R336="Dao F",626,IF(Atletas!R336="Jian F",627,IF(Atletas!R336="Bishou F",628,IF(Atletas!R336="Shanzi F",629,IF(Atletas!R336="Outra Arma Curta F",630, "")))))))))))))))))))))))))))))))</f>
        <v/>
      </c>
      <c r="CA345" s="50" t="str">
        <f>IF(Atletas!S336="","",IF(Atletas!X336&lt;&gt;"",10000,0)+IF(Atletas!B336="Feminino",1000,IF(Atletas!B336="Masculino",2000,""))+IF(Atletas!S336="Gun A",701,IF(Atletas!S336="Qiang A",702,IF(Atletas!S336="Pudao / Guandao A",703,IF(Atletas!S336="Outra Arma Longa A",704,IF(Atletas!S336="Gun B",705,IF(Atletas!S336="Qiang B",706,IF(Atletas!S336="Pudao / Guandao B",707,IF(Atletas!S336="Outra Arma Longa B",708,IF(Atletas!S336="Gun C",709,IF(Atletas!S336="Qiang C",710,IF(Atletas!S336="Pudao / Guandao C",711,IF(Atletas!S336="Outra Arma Longa C",712,IF(Atletas!S336="Gun D",713,IF(Atletas!S336="Qiang D",714,IF(Atletas!S336="Pudao / Guandao D",715,IF(Atletas!S336="Outra Arma Longa D",716,IF(Atletas!S336="Gun E",717,IF(Atletas!S336="Qiang E",718,IF(Atletas!S336="Pudao / Guandao E",719,IF(Atletas!S336="Outra Arma Longa E",720,IF(Atletas!S336="Gun F",721,IF(Atletas!S336="Qiang F",722,IF(Atletas!S336="Pudao / Guandao F",723,IF(Atletas!S336="Outra Arma Longa F",724,"")))))))))))))))))))))))))</f>
        <v/>
      </c>
      <c r="CB345" s="50" t="str">
        <f>IF(Atletas!T336="","",IF(Atletas!X336&lt;&gt;"",10000,0)+IF(Atletas!B336="Feminino",1000,IF(Atletas!B336="Masculino",2000,""))+IF(Atletas!T336="Outra Arma Dupla A",801,IF(Atletas!T336="Arma Maleável A",802,IF(Atletas!T336="Outra Arma Dupla B",803,IF(Atletas!T336="Arma Maleável B",804,IF(Atletas!T336="Outra Arma Dupla C",805,IF(Atletas!T336="Arma Maleável C",806,IF(Atletas!T336="Outra Arma Dupla D",807,IF(Atletas!T336="Arma Maleável D",808,IF(Atletas!T336="Outra Arma Dupla E",809,IF(Atletas!T336="Arma Maleável E",810,IF(Atletas!T336="Outra Arma Dupla F",811,IF(Atletas!T336="Arma Maleável F",812,IF(Atletas!T336="Shuangdao A",813,IF(Atletas!T336="Shuangdao B",814,IF(Atletas!T336="Shuangdao C",815,IF(Atletas!T336="Shuangdao D",816,IF(Atletas!T336="Shuangdao E",817,IF(Atletas!T336="Shuangdao F",818,"")))))))))))))))))))</f>
        <v/>
      </c>
      <c r="CC345" s="50" t="str">
        <f>IF(Atletas!U336="","",IF(Atletas!X336&lt;&gt;"",10000,0)+IF(Atletas!B336="Feminino",1000,IF(Atletas!B336="Masculino",2000,""))+IF(OR(Atletas!U336="Taijijian Yang A",Atletas!U336="Taijijian Yang Standard A"),901,IF(OR(Atletas!U336="Taijijian Chen A", Atletas!U336="Taijijian Chen Standard A"),902,IF(Atletas!U336="Taijijian Sun A",903,IF(Atletas!U336="Taijijian Wu A",904,IF(Atletas!U336="Taijijian Wu-Hao A",905,IF(OR(Atletas!U336="Taijijian 32 A",Atletas!U336="Taijijian 42 A"),906,IF(OR(Atletas!U336="Taijijian Yang B",Atletas!U336="Taijijian Yang Standard B"),907,IF(OR(Atletas!U336="Taijijian Chen B", Atletas!U336="Taijijian Chen Standard B"),908,IF(Atletas!U336="Taijijian Sun B",909,IF(Atletas!U336="Taijijian Wu B",910,IF(Atletas!U336="Taijijian Wu-Hao B",911,IF(OR(Atletas!U336="Taijijian 32 B",Atletas!U336="Taijijian 42 B"),912,IF(OR(Atletas!U336="Taijijian Yang C",Atletas!U336="Taijijian Yang Standard C"),913,IF(OR(Atletas!U336="Taijijian Chen C", Atletas!U336="Taijijian Chen Standard C"),914,IF(Atletas!U336="Taijijian Sun C",915,IF(Atletas!U336="Taijijian Wu C",916,IF(Atletas!U336="Taijijian Wu-Hao C",917,IF(OR(Atletas!U336="Taijijian 32 C",Atletas!U336="Taijijian 42 C"),918,IF(OR(Atletas!U336="Taijijian Yang D",Atletas!U336="Taijijian Yang Standard D"),919,IF(OR(Atletas!U336="Taijijian Chen D", Atletas!U336="Taijijian Chen Standard D"),920,IF(Atletas!U336="Taijijian Sun D",921,IF(Atletas!U336="Taijijian Wu D",922,IF(Atletas!U336="Taijijian Wu-Hao D",923,IF(OR(Atletas!U336="Taijijian 32 D",Atletas!U336="Taijijian 42 D"),924,IF(OR(Atletas!U336="Taijijian Yang E",Atletas!U336="Taijijian Yang Standard E"),925,IF(OR(Atletas!U336="Taijijian Chen E", Atletas!U336="Taijijian Chen Standard E"),926,IF(Atletas!U336="Taijijian Sun E",927,IF(Atletas!U336="Taijijian Wu E",928,IF(Atletas!U336="Taijijian Wu-Hao E",929,IF(OR(Atletas!U336="Taijijian 32 E",Atletas!U336="Taijijian 42 E"),930,IF(OR(Atletas!U336="Taijijian Yang F",Atletas!U336="Taijijian Yang Standard F"),931,IF(OR(Atletas!U336="Taijijian Chen F", Atletas!U336="Taijijian Chen Standard F"),932,IF(Atletas!U336="Taijijian Sun F",933,IF(Atletas!U336="Taijijian Wu F",934,IF(Atletas!U336="Taijijian Wu-Hao F",935,IF(OR(Atletas!U336="Taijijian 32 F",Atletas!U336="Taijijian 42 F"),936,"")))))))))))))))))))))))))))))))))))))</f>
        <v/>
      </c>
      <c r="CD345" s="50" t="str">
        <f>IF(Atletas!V336="","",IF(Atletas!X336&lt;&gt;"",10000,0)+IF(Atletas!B336="Feminino",1000,IF(Atletas!B336="Masculino",2000,""))+IF(Atletas!V336="Taijidao A",937,IF(Atletas!V336="TaijiShanzi A",938,IF(Atletas!V336="Taijiqiang A",939,IF(Atletas!V336="Bagua de Arma A",940,IF(Atletas!V336="Xingyi de Arma A",941,IF(Atletas!V336="Taijidao B",942,IF(Atletas!V336="TaijiShanzi B",943,IF(Atletas!V336="Taijiqiang B",944,IF(Atletas!V336="Bagua de Arma B",945,IF(Atletas!V336="Xingyi de Arma B",946,IF(Atletas!V336="Taijidao C",947,IF(Atletas!V336="TaijiShanzi C",948,IF(Atletas!V336="Taijiqiang C",949,IF(Atletas!V336="Bagua de Arma C",950,IF(Atletas!V336="Xingyi de Arma C",951,IF(Atletas!V336="Taijidao D",952,IF(Atletas!V336="TaijiShanzi D",953,IF(Atletas!V336="Taijiqiang D",954,IF(Atletas!V336="Bagua de Arma D",955,IF(Atletas!V336="Xingyi de Arma D",956,IF(Atletas!V336="Taijidao E",957,IF(Atletas!V336="TaijiShanzi E",958,IF(Atletas!V336="Taijiqiang E",959,IF(Atletas!V336="Bagua de Arma E",960,IF(Atletas!V336="Xingyi de Arma E",961,IF(Atletas!V336="Taijidao F",962,IF(Atletas!V336="TaijiShanzi F",963,IF(Atletas!V336="Taijiqiang F",964,IF(Atletas!V336="Bagua de Arma F",965,IF(Atletas!V336="Xingyi de Arma F",966,"")))))))))))))))))))))))))))))))</f>
        <v/>
      </c>
      <c r="CE345" s="66" t="str">
        <f>IF(CF345&lt;&gt;"","Bagua de Arma B","")</f>
        <v/>
      </c>
      <c r="CF345" s="66" t="str">
        <f>IF(COUNTIF(BR:CD,1945)&gt;0,COUNTIF(BR:CD,1945),"")</f>
        <v/>
      </c>
      <c r="CG345" s="66" t="str">
        <f>IF(CH345&lt;&gt;"","Bagua de Arma B","")</f>
        <v/>
      </c>
      <c r="CH345" s="66" t="str">
        <f>IF(COUNTIF(BR:CD,2945)&gt;0,COUNTIF(BR:CD,2945),"")</f>
        <v/>
      </c>
      <c r="CI345" s="66" t="str">
        <f>IF(CJ346&lt;&gt;"","Taijishan E","")</f>
        <v/>
      </c>
      <c r="CJ345" s="66" t="str">
        <f>IF(COUNTIF(BR:CD,11957)&gt;0,COUNTIF(BR:CD,11957),"")</f>
        <v/>
      </c>
      <c r="CK345" s="66" t="str">
        <f>IF(CL345&lt;&gt;"","Taijidao E","")</f>
        <v/>
      </c>
      <c r="CL345" s="66" t="str">
        <f>IF(COUNTIF(BR:CD,12957)&gt;0,COUNTIF(BR:CD,12957),"")</f>
        <v/>
      </c>
      <c r="CM345" s="50" t="str">
        <f xml:space="preserve"> IF(Atletas!W336="","",IF(Atletas!W336="Duilian de Mãos BC - Equipe 1",1,IF(Atletas!W336="Duilian de Mãos BC - Equipe 2",2,IF(Atletas!W336="Duilian de Armas BC - Equipe 1",3,IF(Atletas!W336="Duilian de Armas BC - Equipe 2",4,IF(Atletas!W336="Duilian de Mãos DE - Equipe 1",5,IF(Atletas!W336="Duilian de Mãos DE - Equipe 2",6,IF(Atletas!W336="Duilian de Armas DE - Equipe 1",7,IF(Atletas!W336="Duilian de Armas DE - Equipe 2",8,IF(Atletas!W336="Duilian de Tuishou - Equipe 1",9,IF(Atletas!W336="Duilian de Tuishou - Equipe 2",10,IF(Atletas!W336="Grupo Externo ABC - Equipe 1",11,IF(Atletas!W336="Grupo Externo ABC - Equipe 2",12,IF(Atletas!W336="Grupo Interno ABC - Equipe 1",13,IF(Atletas!W336="Grupo Interno ABC - Equipe 2",14,IF(Atletas!W336="Grupo Externo DEF - Equipe 1",15,IF(Atletas!W336="Grupo Externo DEF - Equipe 2",16,IF(Atletas!W336="Grupo Interno DEF - Equipe 1",17,IF(Atletas!W336="Grupo Interno DEF - Equipe 2",18,"")))))))))))))))))))</f>
        <v/>
      </c>
    </row>
    <row r="346" spans="40:91">
      <c r="AN346" s="52" t="str">
        <f>IF(Atletas!D337="","",IF(Atletas!B337="Feminino",100,IF(Atletas!B337="Masculino",200,""))+(IF(Atletas!D337="Kids 30kg",1,IF(Atletas!D337="Kids 32kg",2, IF(Atletas!D337="Kids 34kg",3,IF(Atletas!D337="Kids 36kg",4,IF(Atletas!D337="Kids 39kg",5,IF(Atletas!D337="Kids 42kg",6,IF(Atletas!D337="Kids 45kg",7, IF(Atletas!D337="Infantil 39kg",8,IF(Atletas!D337="Infantil 42kg",9,IF(Atletas!D337="Infantil 45kg",10,IF(Atletas!D337="Infantil 48kg",11,IF(Atletas!D337="Infantil 52kg",12,IF(Atletas!D337="Infantil 56kg",13,IF(Atletas!D337="Infantil 60kg",14,IF(Atletas!D337="Juvenil 48kg",15,IF(Atletas!D337="Juvenil 52kg",16,IF(Atletas!D337="Juvenil 56kg",17,IF(Atletas!D337="Juvenil 60kg",18,IF(Atletas!D337="Juvenil 65kg",19,IF(Atletas!D337="Juvenil 70kg",20,IF(Atletas!D337="Juvenil 75kg",21,IF(Atletas!D337="Juvenil 80kg",22, IF(Atletas!D337="Juvenil 85kg",23,IF(Atletas!D337="Adulto 48kg",24,IF(Atletas!D337="Adulto 52kg",25,IF(Atletas!D337="Adulto 56kg",26,IF(Atletas!D337="Adulto 60kg",27,IF(Atletas!D337="Adulto 65kg",28,IF(Atletas!D337="Adulto 70kg",29,IF(Atletas!D337="Adulto 75kg",30,IF(Atletas!D337="Adulto 80kg",31,IF(Atletas!D337="Adulto 85kg",32,IF(Atletas!D337="Adulto 90kg",33,IF(Atletas!D337="Adulto 100kg",34, IF(Atletas!D337="Adulto +100kg",35,"")))))))))))))))))))))))))))))))))))))</f>
        <v/>
      </c>
      <c r="AS346" s="6" t="str">
        <f>IF(Atletas!E337="","",IF(Atletas!B337="Feminino",100,IF(Atletas!B337="Masculino",200,""))+(IF(Atletas!E337="Juvenil 44kg",1,IF(Atletas!E337="Juvenil 48kg",2,IF(Atletas!E337="Juvenil 52kg",3,IF(Atletas!E337="Juvenil 56kg",4,IF(Atletas!E337="Juvenil 60kg",5,IF(Atletas!E337="Juvenil 65kg",6,IF(Atletas!E337="Juvenil 70kg",7,IF(Atletas!E337="Juvenil 75kg",8,IF(Atletas!E337="Juvenil 82kg",9,IF(Atletas!E337="Juvenil 90kg",10,IF(Atletas!E337="Juvenil 100kg",11,IF(Atletas!E337="Adulto 48kg",12,IF(Atletas!E337="Adulto 52kg",13,IF(Atletas!E337="Adulto 56kg",14,IF(Atletas!E337="Adulto 60kg",15,IF(Atletas!E337="Adulto 65kg",16,IF(Atletas!E337="Adulto 70kg",17,IF(Atletas!E337="Adulto 75kg",18,IF(Atletas!E337="Adulto 82kg",19,IF(Atletas!E337="Adulto 90kg",20,IF(Atletas!E337="Adulto 100kg",21,IF(Atletas!E337="Adulto +100kg",22,""))))))))))))))))))))))))</f>
        <v/>
      </c>
      <c r="AX346" s="6" t="str">
        <f>IF(Atletas!F337="","",IF(Atletas!B337="Feminino",100,IF(Atletas!B337="Masculino",200,""))+(IF(Atletas!F337="Adulto 48kg",1,IF(Atletas!F337="Adulto 56kg",2,IF(Atletas!F337="Adulto 65kg",3,IF(Atletas!F337="Adulto 75kg",4,IF(Atletas!F337="Adulto +75kg",5,IF(Atletas!F337="Adulto 52kg",6,IF(Atletas!F337="Adulto 60kg",7,IF(Atletas!F337="Adulto 70kg",8,IF(Atletas!F337="Adulto 80kg",9,IF(Atletas!F337="Adulto 90kg",10,IF(Atletas!F337="Adulto +90kg",11,"")))))))))))))</f>
        <v/>
      </c>
      <c r="BC346" s="6" t="str">
        <f>IF(Atletas!G337="","",IF(Atletas!B337="Feminino",10,IF(Atletas!B337="Masculino",20,""))+(IF(Atletas!G337="Baduanjin A",1,IF(Atletas!G337="Baduanjin B",2))))</f>
        <v/>
      </c>
      <c r="BF346" s="52" t="str">
        <f>IF(Atletas!H337="","",IF(Atletas!B337="Feminino",100,IF(Atletas!B337="Masculino",200,""))+(IF(Atletas!H337="Changquan Mirim",1,IF(Atletas!H337="Nanquan Mirim",2,IF(Atletas!H337="Taijiquan Mirim",3,IF(Atletas!H337="Changquan Grupo C",4,IF(Atletas!H337="Nanquan Grupo C",5,IF(Atletas!H337="Taijiquan Grupo C",6,IF(Atletas!H337="Changquan Grupo B",7,IF(Atletas!H337="Nanquan Grupo B",8,IF(Atletas!H337="Taijiquan Grupo B",9,IF(Atletas!H337="Changquan Grupo A",10,IF(Atletas!H337="Nanquan Grupo A",11,IF(Atletas!H337="Taijiquan Grupo A",12,IF(Atletas!H337="Changquan Opcional",13,IF(Atletas!H337="Nanquan Opcional",14,IF(Atletas!H337="Taijiquan Opcional",15,IF(Atletas!H337="Changquan Adulto",16,IF(Atletas!H337="Nanquan Adulto",17,IF(Atletas!H337="Taijiquan Adulto",18,""))))))))))))))))))))</f>
        <v/>
      </c>
      <c r="BG346" s="52" t="str">
        <f>IF(Atletas!I337="","",IF(Atletas!B337="Feminino",100,IF(Atletas!B337="Masculino",200,""))+(IF(Atletas!I337="Daoshu Mirim",19,IF(Atletas!I337="Jianshu Mirim",20,IF(Atletas!I337="Nandao Mirim",21,IF(Atletas!I337="Taijijian Mirim",22,IF(Atletas!I337="Daoshu Grupo C",23,IF(Atletas!I337="Jianshu Grupo C",24,IF(Atletas!I337="Nandao Grupo C",25,IF(Atletas!I337="Taijijian Grupo C",26,IF(Atletas!I337="Daoshu Grupo B",27,IF(Atletas!I337="Jianshu Grupo B",28,IF(Atletas!I337="Nandao Grupo B",29,IF(Atletas!I337="Taijijian Grupo B",30,IF(Atletas!I337="Daoshu Grupo A",31,IF(Atletas!I337="Jianshu Grupo A",32,IF(Atletas!I337="Nandao Grupo A",33,IF(Atletas!I337="Taijijian Grupo A",34,IF(Atletas!I337="Daoshu Opcional",35,IF(Atletas!I337="Jianshu Opcional",36,IF(Atletas!I337="Nandao Opcional",37,IF(Atletas!I337="Taijijian Opcional",38,IF(Atletas!I337="Daoshu Adulto",39,IF(Atletas!I337="Jianshu Adulto",40,IF(Atletas!I337="Nandao Adulto",41,IF(Atletas!I337="Taijijian Adulto",42,""))))))))))))))))))))))))))</f>
        <v/>
      </c>
      <c r="BH346" s="52" t="str">
        <f>IF(Atletas!J337="","",IF(Atletas!B337="Feminino",100,IF(Atletas!B337="Masculino",200,""))+(IF(Atletas!J337="Gunshu Mirim",43,IF(Atletas!J337="Qiangshu Mirim",44,IF(Atletas!J337="Nangun Mirim",45,IF(Atletas!J337="Gunshu Grupo C",46,IF(Atletas!J337="Qiangshu Grupo C",47,IF(Atletas!J337="Nangun Grupo C",48,IF(Atletas!J337="Gunshu Grupo B",49,IF(Atletas!J337="Qiangshu Grupo B",50,IF(Atletas!J337="Nangun Grupo B",51,IF(Atletas!J337="Gunshu Grupo A",52,IF(Atletas!J337="Qiangshu Grupo A",53,IF(Atletas!J337="Nangun Grupo A",54,IF(Atletas!J337="Gunshu Opcional",55,IF(Atletas!J337="Qiangshu Opcional",56,IF(Atletas!J337="Nangun Opcional",57,IF(Atletas!J337="Gunshu Adulto",58,IF(Atletas!J337="Qiangshu Adulto",59,IF(Atletas!J337="Nangun Adulto",60,IF(Atletas!J337="Taijishan Grupo B",61,IF(Atletas!J337="Taijishan Grupo A",62,""))))))))))))))))))))))</f>
        <v/>
      </c>
      <c r="BM346" s="50" t="str">
        <f>IF(Atletas!K337="","",IF(Atletas!B337="Feminino",100,IF(Atletas!B337="Masculino",200,""))+(IF(Atletas!K337="Equipe 1 Grupo B",1,IF(Atletas!K337="Equipe 2 Grupo B",2,IF(Atletas!K337="Equipe 1 Grupo A",3,IF(Atletas!K337="Equipe 2 Grupo A",4,IF(Atletas!K337="Equipe 1 Adulto",5,IF(Atletas!K337="Equipe 2 Adulto",6,""))))))))</f>
        <v/>
      </c>
      <c r="BR346" s="50" t="str">
        <f>IF(Atletas!L337="","",IF(Atletas!X337&lt;&gt;"",10000,0)+(IF(Atletas!B337="Feminino",1000,IF(Atletas!B337="Masculino",2000,""))+IF(Atletas!L337="Choylayfut A",1,IF(Atletas!L337="Hunggar A",2,IF(Atletas!L337="Wuzuquan A",3,IF(Atletas!L337="Wingchun A",4,IF(Atletas!L337="Outra Mão de Sul A",5,IF(Atletas!L337="Choylayfut B",6,IF(Atletas!L337="Hunggar B",7,IF(Atletas!L337="Wuzuquan B",8,IF(Atletas!L337="Wingchun B",9,IF(Atletas!L337="Outra Mão de Sul B",10,IF(Atletas!L337="Choylayfut C",11,IF(Atletas!L337="Hunggar C",12,IF(Atletas!L337="Wuzuquan C",13,IF(Atletas!L337="Wingchun C",14,IF(Atletas!L337="Outra Mão de Sul C",15,IF(Atletas!L337="Choylayfut D",16,IF(Atletas!L337="Hunggar D",17,IF(Atletas!L337="Wuzuquan D",18,IF(Atletas!L337="Wingchun D",19,IF(Atletas!L337="Outra Mão de Sul D",20,IF(Atletas!L337="Choylayfut E",21,IF(Atletas!L337="Hunggar E",22,IF(Atletas!L337="Wuzuquan E",23,IF(Atletas!L337="Wingchun E",24,IF(Atletas!L337="Outra Mão de Sul E",25,IF(Atletas!L337="Choylayfut F",26,IF(Atletas!L337="Hunggar F",27,IF(Atletas!L337="Wuzuquan F",28,IF(Atletas!L337="Wingchun F",29,IF(Atletas!L337="Outra Mão de Sul F",30,IF(Atletas!L337="Dishuquan A",31,IF(Atletas!L337="Dishuquan B",32,IF(Atletas!L337="Dishuquan C",33,IF(Atletas!L337="Dishuquan D",34,IF(Atletas!L337="Dishuquan E",35,IF(Atletas!L337="Dishuquan F",36,""))))))))))))))))))))))))))))))))))))))</f>
        <v/>
      </c>
      <c r="BS346" s="50" t="str">
        <f>IF(Atletas!M337="","",IF(Atletas!X337&lt;&gt;"",10000,0)+(IF(Atletas!B337="Feminino",1000,IF(Atletas!B337="Masculino",2000,""))+(IF(Atletas!M337="Chaquan A",101,IF(Atletas!M337="Emeiquan A",102,IF(Atletas!M337="Fanziquan A",103,IF(Atletas!M337="Huaquan A",104,IF(Atletas!M337="Hongquan A",105,IF(Atletas!M337="Paoquan A",106,IF(Atletas!M337="Piguaquan A",107,IF(Atletas!M337="Shaolinquan A",108,IF(Atletas!M337="Tanglangquan A",109,IF(Atletas!M337="Yingzhaoquan A",110,IF(Atletas!M337="Tongbeiquan A",111,IF(Atletas!M337="Wudangquan A",112,IF(Atletas!M337="Outros Estilos A",113,IF(Atletas!M337="Chaquan B",114,IF(Atletas!M337="Emeiquan B",115,IF(Atletas!M337="Fanziquan B",116,IF(Atletas!M337="Huaquan B",117,IF(Atletas!M337="Hongquan B",118,IF(Atletas!M337="Paoquan B",119,IF(Atletas!M337="Piguaquan B",120,IF(Atletas!M337="Shaolinquan B",121,IF(Atletas!M337="Tanglangquan B",122,IF(Atletas!M337="Yingzhaoquan B",123,IF(Atletas!M337="Tongbeiquan B",124,IF(Atletas!M337="Wudangquan B",125,IF(Atletas!M337="Outros Estilos B",126,IF(Atletas!M337="Chaquan C",127,IF(Atletas!M337="Emeiquan C",128,IF(Atletas!M337="Fanziquan C",129,IF(Atletas!M337="Huaquan C",130,IF(Atletas!M337="Hongquan C",131,IF(Atletas!M337="Paoquan C",132,IF(Atletas!M337="Piguaquan C",133,IF(Atletas!M337="Shaolinquan C",134,IF(Atletas!M337="Tanglangquan C",135,IF(Atletas!M337="Yingzhaoquan C",136,IF(Atletas!M337="Tongbeiquan C",137,IF(Atletas!M337="Wudangquan C",138,IF(Atletas!M337="Outros Estilos C",139,0))))))))))))))))))))))))))))))))))))))))))</f>
        <v/>
      </c>
      <c r="BT346" s="50" t="str">
        <f>IF(Atletas!M337="","",IF(Atletas!X337&lt;&gt;"",10000,0)+(IF(Atletas!B337="Feminino",1000,IF(Atletas!B337="Masculino",2000,""))+(IF(Atletas!M337="Chaquan D",140,IF(Atletas!M337="Emeiquan D",141,IF(Atletas!M337="Fanziquan D",142,IF(Atletas!M337="Huaquan D",143,IF(Atletas!M337="Hongquan D",144,IF(Atletas!M337="Paoquan D",145,IF(Atletas!M337="Piguaquan D",146,IF(Atletas!M337="Shaolinquan D",147,IF(Atletas!M337="Tanglangquan D",148,IF(Atletas!M337="Yingzhaoquan D",149,IF(Atletas!M337="Tongbeiquan D",150,IF(Atletas!M337="Wudangquan D",151,IF(Atletas!M337="Outros Estilos D",152,IF(Atletas!M337="Chaquan E",153,IF(Atletas!M337="Emeiquan E",154,IF(Atletas!M337="Fanziquan E",155,IF(Atletas!M337="Huaquan E",156,IF(Atletas!M337="Hongquan E",157,IF(Atletas!M337="Paoquan E",158,IF(Atletas!M337="Piguaquan E",159,IF(Atletas!M337="Shaolinquan E",160,IF(Atletas!M337="Tanglangquan E",161,IF(Atletas!M337="Yingzhaoquan E",162,IF(Atletas!M337="Tongbeiquan E",163,IF(Atletas!M337="Wudangquan E",164,IF(Atletas!M337="Outros Estilos E",165,IF(Atletas!M337="Chaquan F",166,IF(Atletas!M337="Emeiquan F",167,IF(Atletas!M337="Fanziquan F",168,IF(Atletas!M337="Huaquan F",169,IF(Atletas!M337="Hongquan F",170,IF(Atletas!M337="Paoquan F",171,IF(Atletas!M337="Piguaquan F",172,IF(Atletas!M337="Shaolinquan F",173,IF(Atletas!M337="Tanglangquan F",174,IF(Atletas!M337="Yingzhaoquan F",175,IF(Atletas!M337="Tongbeiquan F",176,IF(Atletas!M337="Wudangquan F",177,IF(Atletas!M337="Outros Estilos F",178,0))))))))))))))))))))))))))))))))))))))))))</f>
        <v/>
      </c>
      <c r="BU346" s="50" t="str">
        <f>IF(Atletas!N337="","",IF(Atletas!X337&lt;&gt;"",10000,0)+(IF(Atletas!B337="Feminino",1000,IF(Atletas!B337="Masculino",2000,""))+(IF(Atletas!N337="Ditangquan A",201,IF(Atletas!N337="Houquan A",202,IF(Atletas!N337="Zuiquan A",203,IF(Atletas!N337="Ditangquan B",204,IF(Atletas!N337="Houquan B",205,IF(Atletas!N337="Zuiquan B",206,IF(Atletas!N337="Ditangquan C",207,IF(Atletas!N337="Houquan C",208,IF(Atletas!N337="Zuiquan C",209,IF(Atletas!N337="Ditangquan D",210,IF(Atletas!N337="Houquan D",211,IF(Atletas!N337="Zuiquan D",212,IF(Atletas!N337="Ditangquan E",213,IF(Atletas!N337="Houquan E",214,IF(Atletas!N337="Zuiquan E",215,IF(Atletas!N337="Ditangquan F",216,IF(Atletas!N337="Houquan F",217,IF(Atletas!N337="Zuiquan F",218,"")))))))))))))))))))))</f>
        <v/>
      </c>
      <c r="BV346" s="50" t="str">
        <f>IF(Atletas!O337="","",IF(Atletas!X337&lt;&gt;"",10000,0)+IF(Atletas!B337="Feminino",1000,IF(Atletas!B337="Masculino",2000,""))+IF(Atletas!O337="Yang A",301,IF(Atletas!O337="Chen A",302,IF(Atletas!O337="Sun A",303,IF(Atletas!O337="Wu A",304,IF(Atletas!O337="Wu-Hao A",305,IF(Atletas!O337="Outro Taijiquan A",306,IF(Atletas!O337="Yang B",307,IF(Atletas!O337="Chen B",308,IF(Atletas!O337="Sun B",309,IF(Atletas!O337="Wu B",310,IF(Atletas!O337="Wu-Hao B",311,IF(Atletas!O337="Outro Taijiquan B",312,IF(Atletas!O337="Yang C",313,IF(Atletas!O337="Chen C",314,IF(Atletas!O337="Sun C",315,IF(Atletas!O337="Wu C",316,IF(Atletas!O337="Wu-Hao C",317,IF(Atletas!O337="Outro Taijiquan C",318,IF(Atletas!O337="Yang D",319,IF(Atletas!O337="Chen D",320,IF(Atletas!O337="Sun D",321,IF(Atletas!O337="Wu D",322,IF(Atletas!O337="Wu-Hao D",323,IF(Atletas!O337="Outro Taijiquan D",324,IF(Atletas!O337="Yang E",325,IF(Atletas!O337="Chen E",326,IF(Atletas!O337="Sun E",327,IF(Atletas!O337="Wu E",328,IF(Atletas!O337="Wu-Hao E",329,IF(Atletas!O337="Outro Taijiquan E",330,IF(Atletas!O337="Yang F",331,IF(Atletas!O337="Chen F",332,IF(Atletas!O337="Sun F",333,IF(Atletas!O337="Wu F",334,IF(Atletas!O337="Wu-Hao F",335,IF(Atletas!O337="Outro Taijiquan F",336,"")))))))))))))))))))))))))))))))))))))</f>
        <v/>
      </c>
      <c r="BW346" s="50" t="str">
        <f>IF(Atletas!P337="","",IF(Atletas!X337&lt;&gt;"",10000,0)+IF(Atletas!B337="Feminino",1000,IF(Atletas!B337="Masculino",2000,""))+IF(OR(Atletas!P337="Yang 26 A",Atletas!P337="Yang 40 A"),401,IF(OR(Atletas!P337="Chen 25 A",Atletas!P337="Chen 36 A",Atletas!P337="Chen 56 A"),402,IF(Atletas!P337="Sun 73 A",403,IF(Atletas!P337="Wu 45 A",404,IF(Atletas!P337="Wu-Hao 46 A",405,IF(OR(Atletas!P337="Taijiquan 16 A",Atletas!P337="Taijiquan 24 A",Atletas!P337="Taijiquan 32 A",Atletas!P337="Taijiquan 42 A"),406,IF(OR(Atletas!P337="Yang 26 B",Atletas!P337="Yang 40 B"),407,IF(OR(Atletas!P337="Chen 25 B",Atletas!P337="Chen 36 B",Atletas!P337="Chen 56 B"),408,IF(Atletas!P337="Sun 73 B",409,IF(Atletas!P337="Wu 45 B",410,IF(Atletas!P337="Wu-Hao 46 B",411,IF(OR(Atletas!P337="Taijiquan 16 B",Atletas!P337="Taijiquan 24 B",Atletas!P337="Taijiquan 32 B",Atletas!P337="Taijiquan 42 B"),412,IF(OR(Atletas!P337="Yang 26 C",Atletas!P337="Yang 40 C"),413,IF(OR(Atletas!P337="Chen 25 C",Atletas!P337="Chen 36 C",Atletas!P337="Chen 56 C"),414,IF(Atletas!P337="Sun 73 C",415,IF(Atletas!P337="Wu 45 C",416,IF(Atletas!P337="Wu-Hao 46 C",417,IF(OR(Atletas!P337="Taijiquan 16 C",Atletas!P337="Taijiquan 24 C",Atletas!P337="Taijiquan 32 C",Atletas!P337="Taijiquan 42 C"),418,0)))))))))))))))))))</f>
        <v/>
      </c>
      <c r="BX346" s="50" t="str">
        <f>IF(Atletas!P337="","",IF(Atletas!X337&lt;&gt;"",10000,0)+IF(Atletas!B337="Feminino",1000,IF(Atletas!B337="Masculino",2000,""))+IF(OR(Atletas!P337="Yang 26 D",Atletas!P337="Yang 40 D"),419,IF(OR(Atletas!P337="Chen 25 D",Atletas!P337="Chen 36 D",Atletas!P337="Chen 56 D"),420,IF(Atletas!P337="Sun 73 D",421,IF(Atletas!P337="Wu 45 D",422,IF(Atletas!P337="Wu-Hao 46 D",423,IF(OR(Atletas!P337="Taijiquan 16 D",Atletas!P337="Taijiquan 24 D",Atletas!P337="Taijiquan 32 D",Atletas!P337="Taijiquan 42 D"),424,IF(OR(Atletas!P337="Yang 26 E",Atletas!P337="Yang 40 E"),425,IF(OR(Atletas!P337="Chen 25 E",Atletas!P337="Chen 36 E",Atletas!P337="Chen 56 E"),426,IF(Atletas!P337="Sun 73 E",427,IF(Atletas!P337="Wu 45 E",428,IF(Atletas!P337="Wu-Hao 46 E",429,IF(OR(Atletas!P337="Taijiquan 16 E",Atletas!P337="Taijiquan 24 E",Atletas!P337="Taijiquan 32 E",Atletas!P337="Taijiquan 42 E"),430,IF(OR(Atletas!P337="Yang 26 F",Atletas!P337="Yang 40 F"),431,IF(OR(Atletas!P337="Chen 25 F",Atletas!P337="Chen 36 F",Atletas!P337="Chen 56 F"),432,IF(Atletas!P337="Sun 73 F",433,IF(Atletas!P337="Wu 45 F",434,IF(Atletas!P337="Wu-Hao 46 F",435,IF(OR(Atletas!P337="Taijiquan 16 F",Atletas!P337="Taijiquan 24 F",Atletas!P337="Taijiquan 32 F",Atletas!P337="Taijiquan 42 F"),436,0)))))))))))))))))))</f>
        <v/>
      </c>
      <c r="BY346" s="50" t="str">
        <f>IF(Atletas!Q337="","",IF(Atletas!X337&lt;&gt;"",10000,0)+IF(Atletas!B337="Feminino",1000,IF(Atletas!B337="Masculino",2000,""))+IF(Atletas!Q337="Xingyiquan A",501,IF(Atletas!Q337="Baguazhang A",502,IF(Atletas!Q337="Outro Estilo Interno A",503,IF(Atletas!Q337="Xingyiquan B",504,IF(Atletas!Q337="Baguazhang B",505,IF(Atletas!Q337="Outro Estilo Interno B",506,IF(Atletas!Q337="Xingyiquan C",507,IF(Atletas!Q337="Baguazhang C",508,IF(Atletas!Q337="Outro Estilo Interno C",509,IF(Atletas!Q337="Xingyiquan D",510,IF(Atletas!Q337="Baguazhang D",511,IF(Atletas!Q337="Outro Estilo Interno D",512,IF(Atletas!Q337="Xingyiquan E",513,IF(Atletas!Q337="Baguazhang E",514,IF(Atletas!Q337="Outro Estilo Interno E",515,IF(Atletas!Q337="Xingyiquan F",516,IF(Atletas!Q337="Baguazhang F",517,IF(Atletas!Q337="Outro Estilo Interno F",518, "")))))))))))))))))))</f>
        <v/>
      </c>
      <c r="BZ346" s="50" t="str">
        <f>IF(Atletas!R337="","",IF(Atletas!X337&lt;&gt;"",10000,0)+IF(Atletas!B337="Feminino",1000,IF(Atletas!B337="Masculino",2000,""))+IF(Atletas!R337="Dao A",601,IF(Atletas!R337="Jian A",602,IF(Atletas!R337="Bishou A",603,IF(Atletas!R337="Shanzi A",604,IF(Atletas!R337="Outra Arma Curta A",605,IF(Atletas!R337="Dao B",606,IF(Atletas!R337="Jian B",607,IF(Atletas!R337="Bishou B",608,IF(Atletas!R337="Shanzi B",609,IF(Atletas!R337="Outra Arma Curta B",610,IF(Atletas!R337="Dao C",611,IF(Atletas!R337="Jian C",612,IF(Atletas!R337="Bishou C",613,IF(Atletas!R337="Shanzi C",614,IF(Atletas!R337="Outra Arma Curta C",615,IF(Atletas!R337="Dao D",616,IF(Atletas!R337="Jian D",617,IF(Atletas!R337="Bishou D",618,IF(Atletas!R337="Shanzi D",619,IF(Atletas!R337="Outra Arma Curta D",620,IF(Atletas!R337="Dao E",621,IF(Atletas!R337="Jian E",622,IF(Atletas!R337="Bishou E",623,IF(Atletas!R337="Shanzi E",624,IF(Atletas!R337="Outra Arma Curta E",625,IF(Atletas!R337="Dao F",626,IF(Atletas!R337="Jian F",627,IF(Atletas!R337="Bishou F",628,IF(Atletas!R337="Shanzi F",629,IF(Atletas!R337="Outra Arma Curta F",630, "")))))))))))))))))))))))))))))))</f>
        <v/>
      </c>
      <c r="CA346" s="50" t="str">
        <f>IF(Atletas!S337="","",IF(Atletas!X337&lt;&gt;"",10000,0)+IF(Atletas!B337="Feminino",1000,IF(Atletas!B337="Masculino",2000,""))+IF(Atletas!S337="Gun A",701,IF(Atletas!S337="Qiang A",702,IF(Atletas!S337="Pudao / Guandao A",703,IF(Atletas!S337="Outra Arma Longa A",704,IF(Atletas!S337="Gun B",705,IF(Atletas!S337="Qiang B",706,IF(Atletas!S337="Pudao / Guandao B",707,IF(Atletas!S337="Outra Arma Longa B",708,IF(Atletas!S337="Gun C",709,IF(Atletas!S337="Qiang C",710,IF(Atletas!S337="Pudao / Guandao C",711,IF(Atletas!S337="Outra Arma Longa C",712,IF(Atletas!S337="Gun D",713,IF(Atletas!S337="Qiang D",714,IF(Atletas!S337="Pudao / Guandao D",715,IF(Atletas!S337="Outra Arma Longa D",716,IF(Atletas!S337="Gun E",717,IF(Atletas!S337="Qiang E",718,IF(Atletas!S337="Pudao / Guandao E",719,IF(Atletas!S337="Outra Arma Longa E",720,IF(Atletas!S337="Gun F",721,IF(Atletas!S337="Qiang F",722,IF(Atletas!S337="Pudao / Guandao F",723,IF(Atletas!S337="Outra Arma Longa F",724,"")))))))))))))))))))))))))</f>
        <v/>
      </c>
      <c r="CB346" s="50" t="str">
        <f>IF(Atletas!T337="","",IF(Atletas!X337&lt;&gt;"",10000,0)+IF(Atletas!B337="Feminino",1000,IF(Atletas!B337="Masculino",2000,""))+IF(Atletas!T337="Outra Arma Dupla A",801,IF(Atletas!T337="Arma Maleável A",802,IF(Atletas!T337="Outra Arma Dupla B",803,IF(Atletas!T337="Arma Maleável B",804,IF(Atletas!T337="Outra Arma Dupla C",805,IF(Atletas!T337="Arma Maleável C",806,IF(Atletas!T337="Outra Arma Dupla D",807,IF(Atletas!T337="Arma Maleável D",808,IF(Atletas!T337="Outra Arma Dupla E",809,IF(Atletas!T337="Arma Maleável E",810,IF(Atletas!T337="Outra Arma Dupla F",811,IF(Atletas!T337="Arma Maleável F",812,IF(Atletas!T337="Shuangdao A",813,IF(Atletas!T337="Shuangdao B",814,IF(Atletas!T337="Shuangdao C",815,IF(Atletas!T337="Shuangdao D",816,IF(Atletas!T337="Shuangdao E",817,IF(Atletas!T337="Shuangdao F",818,"")))))))))))))))))))</f>
        <v/>
      </c>
      <c r="CC346" s="50" t="str">
        <f>IF(Atletas!U337="","",IF(Atletas!X337&lt;&gt;"",10000,0)+IF(Atletas!B337="Feminino",1000,IF(Atletas!B337="Masculino",2000,""))+IF(OR(Atletas!U337="Taijijian Yang A",Atletas!U337="Taijijian Yang Standard A"),901,IF(OR(Atletas!U337="Taijijian Chen A", Atletas!U337="Taijijian Chen Standard A"),902,IF(Atletas!U337="Taijijian Sun A",903,IF(Atletas!U337="Taijijian Wu A",904,IF(Atletas!U337="Taijijian Wu-Hao A",905,IF(OR(Atletas!U337="Taijijian 32 A",Atletas!U337="Taijijian 42 A"),906,IF(OR(Atletas!U337="Taijijian Yang B",Atletas!U337="Taijijian Yang Standard B"),907,IF(OR(Atletas!U337="Taijijian Chen B", Atletas!U337="Taijijian Chen Standard B"),908,IF(Atletas!U337="Taijijian Sun B",909,IF(Atletas!U337="Taijijian Wu B",910,IF(Atletas!U337="Taijijian Wu-Hao B",911,IF(OR(Atletas!U337="Taijijian 32 B",Atletas!U337="Taijijian 42 B"),912,IF(OR(Atletas!U337="Taijijian Yang C",Atletas!U337="Taijijian Yang Standard C"),913,IF(OR(Atletas!U337="Taijijian Chen C", Atletas!U337="Taijijian Chen Standard C"),914,IF(Atletas!U337="Taijijian Sun C",915,IF(Atletas!U337="Taijijian Wu C",916,IF(Atletas!U337="Taijijian Wu-Hao C",917,IF(OR(Atletas!U337="Taijijian 32 C",Atletas!U337="Taijijian 42 C"),918,IF(OR(Atletas!U337="Taijijian Yang D",Atletas!U337="Taijijian Yang Standard D"),919,IF(OR(Atletas!U337="Taijijian Chen D", Atletas!U337="Taijijian Chen Standard D"),920,IF(Atletas!U337="Taijijian Sun D",921,IF(Atletas!U337="Taijijian Wu D",922,IF(Atletas!U337="Taijijian Wu-Hao D",923,IF(OR(Atletas!U337="Taijijian 32 D",Atletas!U337="Taijijian 42 D"),924,IF(OR(Atletas!U337="Taijijian Yang E",Atletas!U337="Taijijian Yang Standard E"),925,IF(OR(Atletas!U337="Taijijian Chen E", Atletas!U337="Taijijian Chen Standard E"),926,IF(Atletas!U337="Taijijian Sun E",927,IF(Atletas!U337="Taijijian Wu E",928,IF(Atletas!U337="Taijijian Wu-Hao E",929,IF(OR(Atletas!U337="Taijijian 32 E",Atletas!U337="Taijijian 42 E"),930,IF(OR(Atletas!U337="Taijijian Yang F",Atletas!U337="Taijijian Yang Standard F"),931,IF(OR(Atletas!U337="Taijijian Chen F", Atletas!U337="Taijijian Chen Standard F"),932,IF(Atletas!U337="Taijijian Sun F",933,IF(Atletas!U337="Taijijian Wu F",934,IF(Atletas!U337="Taijijian Wu-Hao F",935,IF(OR(Atletas!U337="Taijijian 32 F",Atletas!U337="Taijijian 42 F"),936,"")))))))))))))))))))))))))))))))))))))</f>
        <v/>
      </c>
      <c r="CD346" s="50" t="str">
        <f>IF(Atletas!V337="","",IF(Atletas!X337&lt;&gt;"",10000,0)+IF(Atletas!B337="Feminino",1000,IF(Atletas!B337="Masculino",2000,""))+IF(Atletas!V337="Taijidao A",937,IF(Atletas!V337="TaijiShanzi A",938,IF(Atletas!V337="Taijiqiang A",939,IF(Atletas!V337="Bagua de Arma A",940,IF(Atletas!V337="Xingyi de Arma A",941,IF(Atletas!V337="Taijidao B",942,IF(Atletas!V337="TaijiShanzi B",943,IF(Atletas!V337="Taijiqiang B",944,IF(Atletas!V337="Bagua de Arma B",945,IF(Atletas!V337="Xingyi de Arma B",946,IF(Atletas!V337="Taijidao C",947,IF(Atletas!V337="TaijiShanzi C",948,IF(Atletas!V337="Taijiqiang C",949,IF(Atletas!V337="Bagua de Arma C",950,IF(Atletas!V337="Xingyi de Arma C",951,IF(Atletas!V337="Taijidao D",952,IF(Atletas!V337="TaijiShanzi D",953,IF(Atletas!V337="Taijiqiang D",954,IF(Atletas!V337="Bagua de Arma D",955,IF(Atletas!V337="Xingyi de Arma D",956,IF(Atletas!V337="Taijidao E",957,IF(Atletas!V337="TaijiShanzi E",958,IF(Atletas!V337="Taijiqiang E",959,IF(Atletas!V337="Bagua de Arma E",960,IF(Atletas!V337="Xingyi de Arma E",961,IF(Atletas!V337="Taijidao F",962,IF(Atletas!V337="TaijiShanzi F",963,IF(Atletas!V337="Taijiqiang F",964,IF(Atletas!V337="Bagua de Arma F",965,IF(Atletas!V337="Xingyi de Arma F",966,"")))))))))))))))))))))))))))))))</f>
        <v/>
      </c>
      <c r="CE346" s="66" t="str">
        <f>IF(CF346&lt;&gt;"","Xingyi de Arma B","")</f>
        <v/>
      </c>
      <c r="CF346" s="66" t="str">
        <f>IF(COUNTIF(BR:CD,1946)&gt;0,COUNTIF(BR:CD,1946),"")</f>
        <v/>
      </c>
      <c r="CG346" s="66" t="str">
        <f>IF(CH346&lt;&gt;"","Xingyi de Arma B","")</f>
        <v/>
      </c>
      <c r="CH346" s="66" t="str">
        <f>IF(COUNTIF(BR:CD,2946)&gt;0,COUNTIF(BR:CD,2946),"")</f>
        <v/>
      </c>
      <c r="CI346" s="66" t="str">
        <f>IF(CJ347&lt;&gt;"","Taijiqiang E","")</f>
        <v/>
      </c>
      <c r="CJ346" s="66" t="str">
        <f>IF(COUNTIF(BR:CD,11958)&gt;0,COUNTIF(BR:CD,11958),"")</f>
        <v/>
      </c>
      <c r="CK346" s="66" t="str">
        <f>IF(CL346&lt;&gt;"","Taijishan E","")</f>
        <v/>
      </c>
      <c r="CL346" s="66" t="str">
        <f>IF(COUNTIF(BR:CD,12958)&gt;0,COUNTIF(BR:CD,12958),"")</f>
        <v/>
      </c>
      <c r="CM346" s="50" t="str">
        <f xml:space="preserve"> IF(Atletas!W337="","",IF(Atletas!W337="Duilian de Mãos BC - Equipe 1",1,IF(Atletas!W337="Duilian de Mãos BC - Equipe 2",2,IF(Atletas!W337="Duilian de Armas BC - Equipe 1",3,IF(Atletas!W337="Duilian de Armas BC - Equipe 2",4,IF(Atletas!W337="Duilian de Mãos DE - Equipe 1",5,IF(Atletas!W337="Duilian de Mãos DE - Equipe 2",6,IF(Atletas!W337="Duilian de Armas DE - Equipe 1",7,IF(Atletas!W337="Duilian de Armas DE - Equipe 2",8,IF(Atletas!W337="Duilian de Tuishou - Equipe 1",9,IF(Atletas!W337="Duilian de Tuishou - Equipe 2",10,IF(Atletas!W337="Grupo Externo ABC - Equipe 1",11,IF(Atletas!W337="Grupo Externo ABC - Equipe 2",12,IF(Atletas!W337="Grupo Interno ABC - Equipe 1",13,IF(Atletas!W337="Grupo Interno ABC - Equipe 2",14,IF(Atletas!W337="Grupo Externo DEF - Equipe 1",15,IF(Atletas!W337="Grupo Externo DEF - Equipe 2",16,IF(Atletas!W337="Grupo Interno DEF - Equipe 1",17,IF(Atletas!W337="Grupo Interno DEF - Equipe 2",18,"")))))))))))))))))))</f>
        <v/>
      </c>
    </row>
    <row r="347" spans="40:91">
      <c r="AN347" s="52" t="str">
        <f>IF(Atletas!D338="","",IF(Atletas!B338="Feminino",100,IF(Atletas!B338="Masculino",200,""))+(IF(Atletas!D338="Kids 30kg",1,IF(Atletas!D338="Kids 32kg",2, IF(Atletas!D338="Kids 34kg",3,IF(Atletas!D338="Kids 36kg",4,IF(Atletas!D338="Kids 39kg",5,IF(Atletas!D338="Kids 42kg",6,IF(Atletas!D338="Kids 45kg",7, IF(Atletas!D338="Infantil 39kg",8,IF(Atletas!D338="Infantil 42kg",9,IF(Atletas!D338="Infantil 45kg",10,IF(Atletas!D338="Infantil 48kg",11,IF(Atletas!D338="Infantil 52kg",12,IF(Atletas!D338="Infantil 56kg",13,IF(Atletas!D338="Infantil 60kg",14,IF(Atletas!D338="Juvenil 48kg",15,IF(Atletas!D338="Juvenil 52kg",16,IF(Atletas!D338="Juvenil 56kg",17,IF(Atletas!D338="Juvenil 60kg",18,IF(Atletas!D338="Juvenil 65kg",19,IF(Atletas!D338="Juvenil 70kg",20,IF(Atletas!D338="Juvenil 75kg",21,IF(Atletas!D338="Juvenil 80kg",22, IF(Atletas!D338="Juvenil 85kg",23,IF(Atletas!D338="Adulto 48kg",24,IF(Atletas!D338="Adulto 52kg",25,IF(Atletas!D338="Adulto 56kg",26,IF(Atletas!D338="Adulto 60kg",27,IF(Atletas!D338="Adulto 65kg",28,IF(Atletas!D338="Adulto 70kg",29,IF(Atletas!D338="Adulto 75kg",30,IF(Atletas!D338="Adulto 80kg",31,IF(Atletas!D338="Adulto 85kg",32,IF(Atletas!D338="Adulto 90kg",33,IF(Atletas!D338="Adulto 100kg",34, IF(Atletas!D338="Adulto +100kg",35,"")))))))))))))))))))))))))))))))))))))</f>
        <v/>
      </c>
      <c r="AS347" s="6" t="str">
        <f>IF(Atletas!E338="","",IF(Atletas!B338="Feminino",100,IF(Atletas!B338="Masculino",200,""))+(IF(Atletas!E338="Juvenil 44kg",1,IF(Atletas!E338="Juvenil 48kg",2,IF(Atletas!E338="Juvenil 52kg",3,IF(Atletas!E338="Juvenil 56kg",4,IF(Atletas!E338="Juvenil 60kg",5,IF(Atletas!E338="Juvenil 65kg",6,IF(Atletas!E338="Juvenil 70kg",7,IF(Atletas!E338="Juvenil 75kg",8,IF(Atletas!E338="Juvenil 82kg",9,IF(Atletas!E338="Juvenil 90kg",10,IF(Atletas!E338="Juvenil 100kg",11,IF(Atletas!E338="Adulto 48kg",12,IF(Atletas!E338="Adulto 52kg",13,IF(Atletas!E338="Adulto 56kg",14,IF(Atletas!E338="Adulto 60kg",15,IF(Atletas!E338="Adulto 65kg",16,IF(Atletas!E338="Adulto 70kg",17,IF(Atletas!E338="Adulto 75kg",18,IF(Atletas!E338="Adulto 82kg",19,IF(Atletas!E338="Adulto 90kg",20,IF(Atletas!E338="Adulto 100kg",21,IF(Atletas!E338="Adulto +100kg",22,""))))))))))))))))))))))))</f>
        <v/>
      </c>
      <c r="AX347" s="6" t="str">
        <f>IF(Atletas!F338="","",IF(Atletas!B338="Feminino",100,IF(Atletas!B338="Masculino",200,""))+(IF(Atletas!F338="Adulto 48kg",1,IF(Atletas!F338="Adulto 56kg",2,IF(Atletas!F338="Adulto 65kg",3,IF(Atletas!F338="Adulto 75kg",4,IF(Atletas!F338="Adulto +75kg",5,IF(Atletas!F338="Adulto 52kg",6,IF(Atletas!F338="Adulto 60kg",7,IF(Atletas!F338="Adulto 70kg",8,IF(Atletas!F338="Adulto 80kg",9,IF(Atletas!F338="Adulto 90kg",10,IF(Atletas!F338="Adulto +90kg",11,"")))))))))))))</f>
        <v/>
      </c>
      <c r="BC347" s="6" t="str">
        <f>IF(Atletas!G338="","",IF(Atletas!B338="Feminino",10,IF(Atletas!B338="Masculino",20,""))+(IF(Atletas!G338="Baduanjin A",1,IF(Atletas!G338="Baduanjin B",2))))</f>
        <v/>
      </c>
      <c r="BF347" s="52" t="str">
        <f>IF(Atletas!H338="","",IF(Atletas!B338="Feminino",100,IF(Atletas!B338="Masculino",200,""))+(IF(Atletas!H338="Changquan Mirim",1,IF(Atletas!H338="Nanquan Mirim",2,IF(Atletas!H338="Taijiquan Mirim",3,IF(Atletas!H338="Changquan Grupo C",4,IF(Atletas!H338="Nanquan Grupo C",5,IF(Atletas!H338="Taijiquan Grupo C",6,IF(Atletas!H338="Changquan Grupo B",7,IF(Atletas!H338="Nanquan Grupo B",8,IF(Atletas!H338="Taijiquan Grupo B",9,IF(Atletas!H338="Changquan Grupo A",10,IF(Atletas!H338="Nanquan Grupo A",11,IF(Atletas!H338="Taijiquan Grupo A",12,IF(Atletas!H338="Changquan Opcional",13,IF(Atletas!H338="Nanquan Opcional",14,IF(Atletas!H338="Taijiquan Opcional",15,IF(Atletas!H338="Changquan Adulto",16,IF(Atletas!H338="Nanquan Adulto",17,IF(Atletas!H338="Taijiquan Adulto",18,""))))))))))))))))))))</f>
        <v/>
      </c>
      <c r="BG347" s="52" t="str">
        <f>IF(Atletas!I338="","",IF(Atletas!B338="Feminino",100,IF(Atletas!B338="Masculino",200,""))+(IF(Atletas!I338="Daoshu Mirim",19,IF(Atletas!I338="Jianshu Mirim",20,IF(Atletas!I338="Nandao Mirim",21,IF(Atletas!I338="Taijijian Mirim",22,IF(Atletas!I338="Daoshu Grupo C",23,IF(Atletas!I338="Jianshu Grupo C",24,IF(Atletas!I338="Nandao Grupo C",25,IF(Atletas!I338="Taijijian Grupo C",26,IF(Atletas!I338="Daoshu Grupo B",27,IF(Atletas!I338="Jianshu Grupo B",28,IF(Atletas!I338="Nandao Grupo B",29,IF(Atletas!I338="Taijijian Grupo B",30,IF(Atletas!I338="Daoshu Grupo A",31,IF(Atletas!I338="Jianshu Grupo A",32,IF(Atletas!I338="Nandao Grupo A",33,IF(Atletas!I338="Taijijian Grupo A",34,IF(Atletas!I338="Daoshu Opcional",35,IF(Atletas!I338="Jianshu Opcional",36,IF(Atletas!I338="Nandao Opcional",37,IF(Atletas!I338="Taijijian Opcional",38,IF(Atletas!I338="Daoshu Adulto",39,IF(Atletas!I338="Jianshu Adulto",40,IF(Atletas!I338="Nandao Adulto",41,IF(Atletas!I338="Taijijian Adulto",42,""))))))))))))))))))))))))))</f>
        <v/>
      </c>
      <c r="BH347" s="52" t="str">
        <f>IF(Atletas!J338="","",IF(Atletas!B338="Feminino",100,IF(Atletas!B338="Masculino",200,""))+(IF(Atletas!J338="Gunshu Mirim",43,IF(Atletas!J338="Qiangshu Mirim",44,IF(Atletas!J338="Nangun Mirim",45,IF(Atletas!J338="Gunshu Grupo C",46,IF(Atletas!J338="Qiangshu Grupo C",47,IF(Atletas!J338="Nangun Grupo C",48,IF(Atletas!J338="Gunshu Grupo B",49,IF(Atletas!J338="Qiangshu Grupo B",50,IF(Atletas!J338="Nangun Grupo B",51,IF(Atletas!J338="Gunshu Grupo A",52,IF(Atletas!J338="Qiangshu Grupo A",53,IF(Atletas!J338="Nangun Grupo A",54,IF(Atletas!J338="Gunshu Opcional",55,IF(Atletas!J338="Qiangshu Opcional",56,IF(Atletas!J338="Nangun Opcional",57,IF(Atletas!J338="Gunshu Adulto",58,IF(Atletas!J338="Qiangshu Adulto",59,IF(Atletas!J338="Nangun Adulto",60,IF(Atletas!J338="Taijishan Grupo B",61,IF(Atletas!J338="Taijishan Grupo A",62,""))))))))))))))))))))))</f>
        <v/>
      </c>
      <c r="BM347" s="50" t="str">
        <f>IF(Atletas!K338="","",IF(Atletas!B338="Feminino",100,IF(Atletas!B338="Masculino",200,""))+(IF(Atletas!K338="Equipe 1 Grupo B",1,IF(Atletas!K338="Equipe 2 Grupo B",2,IF(Atletas!K338="Equipe 1 Grupo A",3,IF(Atletas!K338="Equipe 2 Grupo A",4,IF(Atletas!K338="Equipe 1 Adulto",5,IF(Atletas!K338="Equipe 2 Adulto",6,""))))))))</f>
        <v/>
      </c>
      <c r="BR347" s="50" t="str">
        <f>IF(Atletas!L338="","",IF(Atletas!X338&lt;&gt;"",10000,0)+(IF(Atletas!B338="Feminino",1000,IF(Atletas!B338="Masculino",2000,""))+IF(Atletas!L338="Choylayfut A",1,IF(Atletas!L338="Hunggar A",2,IF(Atletas!L338="Wuzuquan A",3,IF(Atletas!L338="Wingchun A",4,IF(Atletas!L338="Outra Mão de Sul A",5,IF(Atletas!L338="Choylayfut B",6,IF(Atletas!L338="Hunggar B",7,IF(Atletas!L338="Wuzuquan B",8,IF(Atletas!L338="Wingchun B",9,IF(Atletas!L338="Outra Mão de Sul B",10,IF(Atletas!L338="Choylayfut C",11,IF(Atletas!L338="Hunggar C",12,IF(Atletas!L338="Wuzuquan C",13,IF(Atletas!L338="Wingchun C",14,IF(Atletas!L338="Outra Mão de Sul C",15,IF(Atletas!L338="Choylayfut D",16,IF(Atletas!L338="Hunggar D",17,IF(Atletas!L338="Wuzuquan D",18,IF(Atletas!L338="Wingchun D",19,IF(Atletas!L338="Outra Mão de Sul D",20,IF(Atletas!L338="Choylayfut E",21,IF(Atletas!L338="Hunggar E",22,IF(Atletas!L338="Wuzuquan E",23,IF(Atletas!L338="Wingchun E",24,IF(Atletas!L338="Outra Mão de Sul E",25,IF(Atletas!L338="Choylayfut F",26,IF(Atletas!L338="Hunggar F",27,IF(Atletas!L338="Wuzuquan F",28,IF(Atletas!L338="Wingchun F",29,IF(Atletas!L338="Outra Mão de Sul F",30,IF(Atletas!L338="Dishuquan A",31,IF(Atletas!L338="Dishuquan B",32,IF(Atletas!L338="Dishuquan C",33,IF(Atletas!L338="Dishuquan D",34,IF(Atletas!L338="Dishuquan E",35,IF(Atletas!L338="Dishuquan F",36,""))))))))))))))))))))))))))))))))))))))</f>
        <v/>
      </c>
      <c r="BS347" s="50" t="str">
        <f>IF(Atletas!M338="","",IF(Atletas!X338&lt;&gt;"",10000,0)+(IF(Atletas!B338="Feminino",1000,IF(Atletas!B338="Masculino",2000,""))+(IF(Atletas!M338="Chaquan A",101,IF(Atletas!M338="Emeiquan A",102,IF(Atletas!M338="Fanziquan A",103,IF(Atletas!M338="Huaquan A",104,IF(Atletas!M338="Hongquan A",105,IF(Atletas!M338="Paoquan A",106,IF(Atletas!M338="Piguaquan A",107,IF(Atletas!M338="Shaolinquan A",108,IF(Atletas!M338="Tanglangquan A",109,IF(Atletas!M338="Yingzhaoquan A",110,IF(Atletas!M338="Tongbeiquan A",111,IF(Atletas!M338="Wudangquan A",112,IF(Atletas!M338="Outros Estilos A",113,IF(Atletas!M338="Chaquan B",114,IF(Atletas!M338="Emeiquan B",115,IF(Atletas!M338="Fanziquan B",116,IF(Atletas!M338="Huaquan B",117,IF(Atletas!M338="Hongquan B",118,IF(Atletas!M338="Paoquan B",119,IF(Atletas!M338="Piguaquan B",120,IF(Atletas!M338="Shaolinquan B",121,IF(Atletas!M338="Tanglangquan B",122,IF(Atletas!M338="Yingzhaoquan B",123,IF(Atletas!M338="Tongbeiquan B",124,IF(Atletas!M338="Wudangquan B",125,IF(Atletas!M338="Outros Estilos B",126,IF(Atletas!M338="Chaquan C",127,IF(Atletas!M338="Emeiquan C",128,IF(Atletas!M338="Fanziquan C",129,IF(Atletas!M338="Huaquan C",130,IF(Atletas!M338="Hongquan C",131,IF(Atletas!M338="Paoquan C",132,IF(Atletas!M338="Piguaquan C",133,IF(Atletas!M338="Shaolinquan C",134,IF(Atletas!M338="Tanglangquan C",135,IF(Atletas!M338="Yingzhaoquan C",136,IF(Atletas!M338="Tongbeiquan C",137,IF(Atletas!M338="Wudangquan C",138,IF(Atletas!M338="Outros Estilos C",139,0))))))))))))))))))))))))))))))))))))))))))</f>
        <v/>
      </c>
      <c r="BT347" s="50" t="str">
        <f>IF(Atletas!M338="","",IF(Atletas!X338&lt;&gt;"",10000,0)+(IF(Atletas!B338="Feminino",1000,IF(Atletas!B338="Masculino",2000,""))+(IF(Atletas!M338="Chaquan D",140,IF(Atletas!M338="Emeiquan D",141,IF(Atletas!M338="Fanziquan D",142,IF(Atletas!M338="Huaquan D",143,IF(Atletas!M338="Hongquan D",144,IF(Atletas!M338="Paoquan D",145,IF(Atletas!M338="Piguaquan D",146,IF(Atletas!M338="Shaolinquan D",147,IF(Atletas!M338="Tanglangquan D",148,IF(Atletas!M338="Yingzhaoquan D",149,IF(Atletas!M338="Tongbeiquan D",150,IF(Atletas!M338="Wudangquan D",151,IF(Atletas!M338="Outros Estilos D",152,IF(Atletas!M338="Chaquan E",153,IF(Atletas!M338="Emeiquan E",154,IF(Atletas!M338="Fanziquan E",155,IF(Atletas!M338="Huaquan E",156,IF(Atletas!M338="Hongquan E",157,IF(Atletas!M338="Paoquan E",158,IF(Atletas!M338="Piguaquan E",159,IF(Atletas!M338="Shaolinquan E",160,IF(Atletas!M338="Tanglangquan E",161,IF(Atletas!M338="Yingzhaoquan E",162,IF(Atletas!M338="Tongbeiquan E",163,IF(Atletas!M338="Wudangquan E",164,IF(Atletas!M338="Outros Estilos E",165,IF(Atletas!M338="Chaquan F",166,IF(Atletas!M338="Emeiquan F",167,IF(Atletas!M338="Fanziquan F",168,IF(Atletas!M338="Huaquan F",169,IF(Atletas!M338="Hongquan F",170,IF(Atletas!M338="Paoquan F",171,IF(Atletas!M338="Piguaquan F",172,IF(Atletas!M338="Shaolinquan F",173,IF(Atletas!M338="Tanglangquan F",174,IF(Atletas!M338="Yingzhaoquan F",175,IF(Atletas!M338="Tongbeiquan F",176,IF(Atletas!M338="Wudangquan F",177,IF(Atletas!M338="Outros Estilos F",178,0))))))))))))))))))))))))))))))))))))))))))</f>
        <v/>
      </c>
      <c r="BU347" s="50" t="str">
        <f>IF(Atletas!N338="","",IF(Atletas!X338&lt;&gt;"",10000,0)+(IF(Atletas!B338="Feminino",1000,IF(Atletas!B338="Masculino",2000,""))+(IF(Atletas!N338="Ditangquan A",201,IF(Atletas!N338="Houquan A",202,IF(Atletas!N338="Zuiquan A",203,IF(Atletas!N338="Ditangquan B",204,IF(Atletas!N338="Houquan B",205,IF(Atletas!N338="Zuiquan B",206,IF(Atletas!N338="Ditangquan C",207,IF(Atletas!N338="Houquan C",208,IF(Atletas!N338="Zuiquan C",209,IF(Atletas!N338="Ditangquan D",210,IF(Atletas!N338="Houquan D",211,IF(Atletas!N338="Zuiquan D",212,IF(Atletas!N338="Ditangquan E",213,IF(Atletas!N338="Houquan E",214,IF(Atletas!N338="Zuiquan E",215,IF(Atletas!N338="Ditangquan F",216,IF(Atletas!N338="Houquan F",217,IF(Atletas!N338="Zuiquan F",218,"")))))))))))))))))))))</f>
        <v/>
      </c>
      <c r="BV347" s="50" t="str">
        <f>IF(Atletas!O338="","",IF(Atletas!X338&lt;&gt;"",10000,0)+IF(Atletas!B338="Feminino",1000,IF(Atletas!B338="Masculino",2000,""))+IF(Atletas!O338="Yang A",301,IF(Atletas!O338="Chen A",302,IF(Atletas!O338="Sun A",303,IF(Atletas!O338="Wu A",304,IF(Atletas!O338="Wu-Hao A",305,IF(Atletas!O338="Outro Taijiquan A",306,IF(Atletas!O338="Yang B",307,IF(Atletas!O338="Chen B",308,IF(Atletas!O338="Sun B",309,IF(Atletas!O338="Wu B",310,IF(Atletas!O338="Wu-Hao B",311,IF(Atletas!O338="Outro Taijiquan B",312,IF(Atletas!O338="Yang C",313,IF(Atletas!O338="Chen C",314,IF(Atletas!O338="Sun C",315,IF(Atletas!O338="Wu C",316,IF(Atletas!O338="Wu-Hao C",317,IF(Atletas!O338="Outro Taijiquan C",318,IF(Atletas!O338="Yang D",319,IF(Atletas!O338="Chen D",320,IF(Atletas!O338="Sun D",321,IF(Atletas!O338="Wu D",322,IF(Atletas!O338="Wu-Hao D",323,IF(Atletas!O338="Outro Taijiquan D",324,IF(Atletas!O338="Yang E",325,IF(Atletas!O338="Chen E",326,IF(Atletas!O338="Sun E",327,IF(Atletas!O338="Wu E",328,IF(Atletas!O338="Wu-Hao E",329,IF(Atletas!O338="Outro Taijiquan E",330,IF(Atletas!O338="Yang F",331,IF(Atletas!O338="Chen F",332,IF(Atletas!O338="Sun F",333,IF(Atletas!O338="Wu F",334,IF(Atletas!O338="Wu-Hao F",335,IF(Atletas!O338="Outro Taijiquan F",336,"")))))))))))))))))))))))))))))))))))))</f>
        <v/>
      </c>
      <c r="BW347" s="50" t="str">
        <f>IF(Atletas!P338="","",IF(Atletas!X338&lt;&gt;"",10000,0)+IF(Atletas!B338="Feminino",1000,IF(Atletas!B338="Masculino",2000,""))+IF(OR(Atletas!P338="Yang 26 A",Atletas!P338="Yang 40 A"),401,IF(OR(Atletas!P338="Chen 25 A",Atletas!P338="Chen 36 A",Atletas!P338="Chen 56 A"),402,IF(Atletas!P338="Sun 73 A",403,IF(Atletas!P338="Wu 45 A",404,IF(Atletas!P338="Wu-Hao 46 A",405,IF(OR(Atletas!P338="Taijiquan 16 A",Atletas!P338="Taijiquan 24 A",Atletas!P338="Taijiquan 32 A",Atletas!P338="Taijiquan 42 A"),406,IF(OR(Atletas!P338="Yang 26 B",Atletas!P338="Yang 40 B"),407,IF(OR(Atletas!P338="Chen 25 B",Atletas!P338="Chen 36 B",Atletas!P338="Chen 56 B"),408,IF(Atletas!P338="Sun 73 B",409,IF(Atletas!P338="Wu 45 B",410,IF(Atletas!P338="Wu-Hao 46 B",411,IF(OR(Atletas!P338="Taijiquan 16 B",Atletas!P338="Taijiquan 24 B",Atletas!P338="Taijiquan 32 B",Atletas!P338="Taijiquan 42 B"),412,IF(OR(Atletas!P338="Yang 26 C",Atletas!P338="Yang 40 C"),413,IF(OR(Atletas!P338="Chen 25 C",Atletas!P338="Chen 36 C",Atletas!P338="Chen 56 C"),414,IF(Atletas!P338="Sun 73 C",415,IF(Atletas!P338="Wu 45 C",416,IF(Atletas!P338="Wu-Hao 46 C",417,IF(OR(Atletas!P338="Taijiquan 16 C",Atletas!P338="Taijiquan 24 C",Atletas!P338="Taijiquan 32 C",Atletas!P338="Taijiquan 42 C"),418,0)))))))))))))))))))</f>
        <v/>
      </c>
      <c r="BX347" s="50" t="str">
        <f>IF(Atletas!P338="","",IF(Atletas!X338&lt;&gt;"",10000,0)+IF(Atletas!B338="Feminino",1000,IF(Atletas!B338="Masculino",2000,""))+IF(OR(Atletas!P338="Yang 26 D",Atletas!P338="Yang 40 D"),419,IF(OR(Atletas!P338="Chen 25 D",Atletas!P338="Chen 36 D",Atletas!P338="Chen 56 D"),420,IF(Atletas!P338="Sun 73 D",421,IF(Atletas!P338="Wu 45 D",422,IF(Atletas!P338="Wu-Hao 46 D",423,IF(OR(Atletas!P338="Taijiquan 16 D",Atletas!P338="Taijiquan 24 D",Atletas!P338="Taijiquan 32 D",Atletas!P338="Taijiquan 42 D"),424,IF(OR(Atletas!P338="Yang 26 E",Atletas!P338="Yang 40 E"),425,IF(OR(Atletas!P338="Chen 25 E",Atletas!P338="Chen 36 E",Atletas!P338="Chen 56 E"),426,IF(Atletas!P338="Sun 73 E",427,IF(Atletas!P338="Wu 45 E",428,IF(Atletas!P338="Wu-Hao 46 E",429,IF(OR(Atletas!P338="Taijiquan 16 E",Atletas!P338="Taijiquan 24 E",Atletas!P338="Taijiquan 32 E",Atletas!P338="Taijiquan 42 E"),430,IF(OR(Atletas!P338="Yang 26 F",Atletas!P338="Yang 40 F"),431,IF(OR(Atletas!P338="Chen 25 F",Atletas!P338="Chen 36 F",Atletas!P338="Chen 56 F"),432,IF(Atletas!P338="Sun 73 F",433,IF(Atletas!P338="Wu 45 F",434,IF(Atletas!P338="Wu-Hao 46 F",435,IF(OR(Atletas!P338="Taijiquan 16 F",Atletas!P338="Taijiquan 24 F",Atletas!P338="Taijiquan 32 F",Atletas!P338="Taijiquan 42 F"),436,0)))))))))))))))))))</f>
        <v/>
      </c>
      <c r="BY347" s="50" t="str">
        <f>IF(Atletas!Q338="","",IF(Atletas!X338&lt;&gt;"",10000,0)+IF(Atletas!B338="Feminino",1000,IF(Atletas!B338="Masculino",2000,""))+IF(Atletas!Q338="Xingyiquan A",501,IF(Atletas!Q338="Baguazhang A",502,IF(Atletas!Q338="Outro Estilo Interno A",503,IF(Atletas!Q338="Xingyiquan B",504,IF(Atletas!Q338="Baguazhang B",505,IF(Atletas!Q338="Outro Estilo Interno B",506,IF(Atletas!Q338="Xingyiquan C",507,IF(Atletas!Q338="Baguazhang C",508,IF(Atletas!Q338="Outro Estilo Interno C",509,IF(Atletas!Q338="Xingyiquan D",510,IF(Atletas!Q338="Baguazhang D",511,IF(Atletas!Q338="Outro Estilo Interno D",512,IF(Atletas!Q338="Xingyiquan E",513,IF(Atletas!Q338="Baguazhang E",514,IF(Atletas!Q338="Outro Estilo Interno E",515,IF(Atletas!Q338="Xingyiquan F",516,IF(Atletas!Q338="Baguazhang F",517,IF(Atletas!Q338="Outro Estilo Interno F",518, "")))))))))))))))))))</f>
        <v/>
      </c>
      <c r="BZ347" s="50" t="str">
        <f>IF(Atletas!R338="","",IF(Atletas!X338&lt;&gt;"",10000,0)+IF(Atletas!B338="Feminino",1000,IF(Atletas!B338="Masculino",2000,""))+IF(Atletas!R338="Dao A",601,IF(Atletas!R338="Jian A",602,IF(Atletas!R338="Bishou A",603,IF(Atletas!R338="Shanzi A",604,IF(Atletas!R338="Outra Arma Curta A",605,IF(Atletas!R338="Dao B",606,IF(Atletas!R338="Jian B",607,IF(Atletas!R338="Bishou B",608,IF(Atletas!R338="Shanzi B",609,IF(Atletas!R338="Outra Arma Curta B",610,IF(Atletas!R338="Dao C",611,IF(Atletas!R338="Jian C",612,IF(Atletas!R338="Bishou C",613,IF(Atletas!R338="Shanzi C",614,IF(Atletas!R338="Outra Arma Curta C",615,IF(Atletas!R338="Dao D",616,IF(Atletas!R338="Jian D",617,IF(Atletas!R338="Bishou D",618,IF(Atletas!R338="Shanzi D",619,IF(Atletas!R338="Outra Arma Curta D",620,IF(Atletas!R338="Dao E",621,IF(Atletas!R338="Jian E",622,IF(Atletas!R338="Bishou E",623,IF(Atletas!R338="Shanzi E",624,IF(Atletas!R338="Outra Arma Curta E",625,IF(Atletas!R338="Dao F",626,IF(Atletas!R338="Jian F",627,IF(Atletas!R338="Bishou F",628,IF(Atletas!R338="Shanzi F",629,IF(Atletas!R338="Outra Arma Curta F",630, "")))))))))))))))))))))))))))))))</f>
        <v/>
      </c>
      <c r="CA347" s="50" t="str">
        <f>IF(Atletas!S338="","",IF(Atletas!X338&lt;&gt;"",10000,0)+IF(Atletas!B338="Feminino",1000,IF(Atletas!B338="Masculino",2000,""))+IF(Atletas!S338="Gun A",701,IF(Atletas!S338="Qiang A",702,IF(Atletas!S338="Pudao / Guandao A",703,IF(Atletas!S338="Outra Arma Longa A",704,IF(Atletas!S338="Gun B",705,IF(Atletas!S338="Qiang B",706,IF(Atletas!S338="Pudao / Guandao B",707,IF(Atletas!S338="Outra Arma Longa B",708,IF(Atletas!S338="Gun C",709,IF(Atletas!S338="Qiang C",710,IF(Atletas!S338="Pudao / Guandao C",711,IF(Atletas!S338="Outra Arma Longa C",712,IF(Atletas!S338="Gun D",713,IF(Atletas!S338="Qiang D",714,IF(Atletas!S338="Pudao / Guandao D",715,IF(Atletas!S338="Outra Arma Longa D",716,IF(Atletas!S338="Gun E",717,IF(Atletas!S338="Qiang E",718,IF(Atletas!S338="Pudao / Guandao E",719,IF(Atletas!S338="Outra Arma Longa E",720,IF(Atletas!S338="Gun F",721,IF(Atletas!S338="Qiang F",722,IF(Atletas!S338="Pudao / Guandao F",723,IF(Atletas!S338="Outra Arma Longa F",724,"")))))))))))))))))))))))))</f>
        <v/>
      </c>
      <c r="CB347" s="50" t="str">
        <f>IF(Atletas!T338="","",IF(Atletas!X338&lt;&gt;"",10000,0)+IF(Atletas!B338="Feminino",1000,IF(Atletas!B338="Masculino",2000,""))+IF(Atletas!T338="Outra Arma Dupla A",801,IF(Atletas!T338="Arma Maleável A",802,IF(Atletas!T338="Outra Arma Dupla B",803,IF(Atletas!T338="Arma Maleável B",804,IF(Atletas!T338="Outra Arma Dupla C",805,IF(Atletas!T338="Arma Maleável C",806,IF(Atletas!T338="Outra Arma Dupla D",807,IF(Atletas!T338="Arma Maleável D",808,IF(Atletas!T338="Outra Arma Dupla E",809,IF(Atletas!T338="Arma Maleável E",810,IF(Atletas!T338="Outra Arma Dupla F",811,IF(Atletas!T338="Arma Maleável F",812,IF(Atletas!T338="Shuangdao A",813,IF(Atletas!T338="Shuangdao B",814,IF(Atletas!T338="Shuangdao C",815,IF(Atletas!T338="Shuangdao D",816,IF(Atletas!T338="Shuangdao E",817,IF(Atletas!T338="Shuangdao F",818,"")))))))))))))))))))</f>
        <v/>
      </c>
      <c r="CC347" s="50" t="str">
        <f>IF(Atletas!U338="","",IF(Atletas!X338&lt;&gt;"",10000,0)+IF(Atletas!B338="Feminino",1000,IF(Atletas!B338="Masculino",2000,""))+IF(OR(Atletas!U338="Taijijian Yang A",Atletas!U338="Taijijian Yang Standard A"),901,IF(OR(Atletas!U338="Taijijian Chen A", Atletas!U338="Taijijian Chen Standard A"),902,IF(Atletas!U338="Taijijian Sun A",903,IF(Atletas!U338="Taijijian Wu A",904,IF(Atletas!U338="Taijijian Wu-Hao A",905,IF(OR(Atletas!U338="Taijijian 32 A",Atletas!U338="Taijijian 42 A"),906,IF(OR(Atletas!U338="Taijijian Yang B",Atletas!U338="Taijijian Yang Standard B"),907,IF(OR(Atletas!U338="Taijijian Chen B", Atletas!U338="Taijijian Chen Standard B"),908,IF(Atletas!U338="Taijijian Sun B",909,IF(Atletas!U338="Taijijian Wu B",910,IF(Atletas!U338="Taijijian Wu-Hao B",911,IF(OR(Atletas!U338="Taijijian 32 B",Atletas!U338="Taijijian 42 B"),912,IF(OR(Atletas!U338="Taijijian Yang C",Atletas!U338="Taijijian Yang Standard C"),913,IF(OR(Atletas!U338="Taijijian Chen C", Atletas!U338="Taijijian Chen Standard C"),914,IF(Atletas!U338="Taijijian Sun C",915,IF(Atletas!U338="Taijijian Wu C",916,IF(Atletas!U338="Taijijian Wu-Hao C",917,IF(OR(Atletas!U338="Taijijian 32 C",Atletas!U338="Taijijian 42 C"),918,IF(OR(Atletas!U338="Taijijian Yang D",Atletas!U338="Taijijian Yang Standard D"),919,IF(OR(Atletas!U338="Taijijian Chen D", Atletas!U338="Taijijian Chen Standard D"),920,IF(Atletas!U338="Taijijian Sun D",921,IF(Atletas!U338="Taijijian Wu D",922,IF(Atletas!U338="Taijijian Wu-Hao D",923,IF(OR(Atletas!U338="Taijijian 32 D",Atletas!U338="Taijijian 42 D"),924,IF(OR(Atletas!U338="Taijijian Yang E",Atletas!U338="Taijijian Yang Standard E"),925,IF(OR(Atletas!U338="Taijijian Chen E", Atletas!U338="Taijijian Chen Standard E"),926,IF(Atletas!U338="Taijijian Sun E",927,IF(Atletas!U338="Taijijian Wu E",928,IF(Atletas!U338="Taijijian Wu-Hao E",929,IF(OR(Atletas!U338="Taijijian 32 E",Atletas!U338="Taijijian 42 E"),930,IF(OR(Atletas!U338="Taijijian Yang F",Atletas!U338="Taijijian Yang Standard F"),931,IF(OR(Atletas!U338="Taijijian Chen F", Atletas!U338="Taijijian Chen Standard F"),932,IF(Atletas!U338="Taijijian Sun F",933,IF(Atletas!U338="Taijijian Wu F",934,IF(Atletas!U338="Taijijian Wu-Hao F",935,IF(OR(Atletas!U338="Taijijian 32 F",Atletas!U338="Taijijian 42 F"),936,"")))))))))))))))))))))))))))))))))))))</f>
        <v/>
      </c>
      <c r="CD347" s="50" t="str">
        <f>IF(Atletas!V338="","",IF(Atletas!X338&lt;&gt;"",10000,0)+IF(Atletas!B338="Feminino",1000,IF(Atletas!B338="Masculino",2000,""))+IF(Atletas!V338="Taijidao A",937,IF(Atletas!V338="TaijiShanzi A",938,IF(Atletas!V338="Taijiqiang A",939,IF(Atletas!V338="Bagua de Arma A",940,IF(Atletas!V338="Xingyi de Arma A",941,IF(Atletas!V338="Taijidao B",942,IF(Atletas!V338="TaijiShanzi B",943,IF(Atletas!V338="Taijiqiang B",944,IF(Atletas!V338="Bagua de Arma B",945,IF(Atletas!V338="Xingyi de Arma B",946,IF(Atletas!V338="Taijidao C",947,IF(Atletas!V338="TaijiShanzi C",948,IF(Atletas!V338="Taijiqiang C",949,IF(Atletas!V338="Bagua de Arma C",950,IF(Atletas!V338="Xingyi de Arma C",951,IF(Atletas!V338="Taijidao D",952,IF(Atletas!V338="TaijiShanzi D",953,IF(Atletas!V338="Taijiqiang D",954,IF(Atletas!V338="Bagua de Arma D",955,IF(Atletas!V338="Xingyi de Arma D",956,IF(Atletas!V338="Taijidao E",957,IF(Atletas!V338="TaijiShanzi E",958,IF(Atletas!V338="Taijiqiang E",959,IF(Atletas!V338="Bagua de Arma E",960,IF(Atletas!V338="Xingyi de Arma E",961,IF(Atletas!V338="Taijidao F",962,IF(Atletas!V338="TaijiShanzi F",963,IF(Atletas!V338="Taijiqiang F",964,IF(Atletas!V338="Bagua de Arma F",965,IF(Atletas!V338="Xingyi de Arma F",966,"")))))))))))))))))))))))))))))))</f>
        <v/>
      </c>
      <c r="CE347" s="66" t="str">
        <f>IF(CF347&lt;&gt;"","Taijidao C","")</f>
        <v/>
      </c>
      <c r="CF347" s="66" t="str">
        <f>IF(COUNTIF(BR:CD,1947)&gt;0,COUNTIF(BR:CD,1947),"")</f>
        <v/>
      </c>
      <c r="CG347" s="66" t="str">
        <f>IF(CH347&lt;&gt;"","Taijidao C","")</f>
        <v/>
      </c>
      <c r="CH347" s="66" t="str">
        <f>IF(COUNTIF(BR:CD,2947)&gt;0,COUNTIF(BR:CD,2947),"")</f>
        <v/>
      </c>
      <c r="CI347" s="66" t="str">
        <f>IF(CJ348&lt;&gt;"","Bagua de Arma E","")</f>
        <v/>
      </c>
      <c r="CJ347" s="66" t="str">
        <f>IF(COUNTIF(BR:CD,11959)&gt;0,COUNTIF(BR:CD,11959),"")</f>
        <v/>
      </c>
      <c r="CK347" s="66" t="str">
        <f>IF(CL347&lt;&gt;"","Taijiqiang E","")</f>
        <v/>
      </c>
      <c r="CL347" s="66" t="str">
        <f>IF(COUNTIF(BR:CD,12959)&gt;0,COUNTIF(BR:CD,12959),"")</f>
        <v/>
      </c>
      <c r="CM347" s="50" t="str">
        <f xml:space="preserve"> IF(Atletas!W338="","",IF(Atletas!W338="Duilian de Mãos BC - Equipe 1",1,IF(Atletas!W338="Duilian de Mãos BC - Equipe 2",2,IF(Atletas!W338="Duilian de Armas BC - Equipe 1",3,IF(Atletas!W338="Duilian de Armas BC - Equipe 2",4,IF(Atletas!W338="Duilian de Mãos DE - Equipe 1",5,IF(Atletas!W338="Duilian de Mãos DE - Equipe 2",6,IF(Atletas!W338="Duilian de Armas DE - Equipe 1",7,IF(Atletas!W338="Duilian de Armas DE - Equipe 2",8,IF(Atletas!W338="Duilian de Tuishou - Equipe 1",9,IF(Atletas!W338="Duilian de Tuishou - Equipe 2",10,IF(Atletas!W338="Grupo Externo ABC - Equipe 1",11,IF(Atletas!W338="Grupo Externo ABC - Equipe 2",12,IF(Atletas!W338="Grupo Interno ABC - Equipe 1",13,IF(Atletas!W338="Grupo Interno ABC - Equipe 2",14,IF(Atletas!W338="Grupo Externo DEF - Equipe 1",15,IF(Atletas!W338="Grupo Externo DEF - Equipe 2",16,IF(Atletas!W338="Grupo Interno DEF - Equipe 1",17,IF(Atletas!W338="Grupo Interno DEF - Equipe 2",18,"")))))))))))))))))))</f>
        <v/>
      </c>
    </row>
    <row r="348" spans="40:91">
      <c r="AN348" s="52" t="str">
        <f>IF(Atletas!D339="","",IF(Atletas!B339="Feminino",100,IF(Atletas!B339="Masculino",200,""))+(IF(Atletas!D339="Kids 30kg",1,IF(Atletas!D339="Kids 32kg",2, IF(Atletas!D339="Kids 34kg",3,IF(Atletas!D339="Kids 36kg",4,IF(Atletas!D339="Kids 39kg",5,IF(Atletas!D339="Kids 42kg",6,IF(Atletas!D339="Kids 45kg",7, IF(Atletas!D339="Infantil 39kg",8,IF(Atletas!D339="Infantil 42kg",9,IF(Atletas!D339="Infantil 45kg",10,IF(Atletas!D339="Infantil 48kg",11,IF(Atletas!D339="Infantil 52kg",12,IF(Atletas!D339="Infantil 56kg",13,IF(Atletas!D339="Infantil 60kg",14,IF(Atletas!D339="Juvenil 48kg",15,IF(Atletas!D339="Juvenil 52kg",16,IF(Atletas!D339="Juvenil 56kg",17,IF(Atletas!D339="Juvenil 60kg",18,IF(Atletas!D339="Juvenil 65kg",19,IF(Atletas!D339="Juvenil 70kg",20,IF(Atletas!D339="Juvenil 75kg",21,IF(Atletas!D339="Juvenil 80kg",22, IF(Atletas!D339="Juvenil 85kg",23,IF(Atletas!D339="Adulto 48kg",24,IF(Atletas!D339="Adulto 52kg",25,IF(Atletas!D339="Adulto 56kg",26,IF(Atletas!D339="Adulto 60kg",27,IF(Atletas!D339="Adulto 65kg",28,IF(Atletas!D339="Adulto 70kg",29,IF(Atletas!D339="Adulto 75kg",30,IF(Atletas!D339="Adulto 80kg",31,IF(Atletas!D339="Adulto 85kg",32,IF(Atletas!D339="Adulto 90kg",33,IF(Atletas!D339="Adulto 100kg",34, IF(Atletas!D339="Adulto +100kg",35,"")))))))))))))))))))))))))))))))))))))</f>
        <v/>
      </c>
      <c r="AS348" s="6" t="str">
        <f>IF(Atletas!E339="","",IF(Atletas!B339="Feminino",100,IF(Atletas!B339="Masculino",200,""))+(IF(Atletas!E339="Juvenil 44kg",1,IF(Atletas!E339="Juvenil 48kg",2,IF(Atletas!E339="Juvenil 52kg",3,IF(Atletas!E339="Juvenil 56kg",4,IF(Atletas!E339="Juvenil 60kg",5,IF(Atletas!E339="Juvenil 65kg",6,IF(Atletas!E339="Juvenil 70kg",7,IF(Atletas!E339="Juvenil 75kg",8,IF(Atletas!E339="Juvenil 82kg",9,IF(Atletas!E339="Juvenil 90kg",10,IF(Atletas!E339="Juvenil 100kg",11,IF(Atletas!E339="Adulto 48kg",12,IF(Atletas!E339="Adulto 52kg",13,IF(Atletas!E339="Adulto 56kg",14,IF(Atletas!E339="Adulto 60kg",15,IF(Atletas!E339="Adulto 65kg",16,IF(Atletas!E339="Adulto 70kg",17,IF(Atletas!E339="Adulto 75kg",18,IF(Atletas!E339="Adulto 82kg",19,IF(Atletas!E339="Adulto 90kg",20,IF(Atletas!E339="Adulto 100kg",21,IF(Atletas!E339="Adulto +100kg",22,""))))))))))))))))))))))))</f>
        <v/>
      </c>
      <c r="AX348" s="6" t="str">
        <f>IF(Atletas!F339="","",IF(Atletas!B339="Feminino",100,IF(Atletas!B339="Masculino",200,""))+(IF(Atletas!F339="Adulto 48kg",1,IF(Atletas!F339="Adulto 56kg",2,IF(Atletas!F339="Adulto 65kg",3,IF(Atletas!F339="Adulto 75kg",4,IF(Atletas!F339="Adulto +75kg",5,IF(Atletas!F339="Adulto 52kg",6,IF(Atletas!F339="Adulto 60kg",7,IF(Atletas!F339="Adulto 70kg",8,IF(Atletas!F339="Adulto 80kg",9,IF(Atletas!F339="Adulto 90kg",10,IF(Atletas!F339="Adulto +90kg",11,"")))))))))))))</f>
        <v/>
      </c>
      <c r="BC348" s="6" t="str">
        <f>IF(Atletas!G339="","",IF(Atletas!B339="Feminino",10,IF(Atletas!B339="Masculino",20,""))+(IF(Atletas!G339="Baduanjin A",1,IF(Atletas!G339="Baduanjin B",2))))</f>
        <v/>
      </c>
      <c r="BF348" s="52" t="str">
        <f>IF(Atletas!H339="","",IF(Atletas!B339="Feminino",100,IF(Atletas!B339="Masculino",200,""))+(IF(Atletas!H339="Changquan Mirim",1,IF(Atletas!H339="Nanquan Mirim",2,IF(Atletas!H339="Taijiquan Mirim",3,IF(Atletas!H339="Changquan Grupo C",4,IF(Atletas!H339="Nanquan Grupo C",5,IF(Atletas!H339="Taijiquan Grupo C",6,IF(Atletas!H339="Changquan Grupo B",7,IF(Atletas!H339="Nanquan Grupo B",8,IF(Atletas!H339="Taijiquan Grupo B",9,IF(Atletas!H339="Changquan Grupo A",10,IF(Atletas!H339="Nanquan Grupo A",11,IF(Atletas!H339="Taijiquan Grupo A",12,IF(Atletas!H339="Changquan Opcional",13,IF(Atletas!H339="Nanquan Opcional",14,IF(Atletas!H339="Taijiquan Opcional",15,IF(Atletas!H339="Changquan Adulto",16,IF(Atletas!H339="Nanquan Adulto",17,IF(Atletas!H339="Taijiquan Adulto",18,""))))))))))))))))))))</f>
        <v/>
      </c>
      <c r="BG348" s="52" t="str">
        <f>IF(Atletas!I339="","",IF(Atletas!B339="Feminino",100,IF(Atletas!B339="Masculino",200,""))+(IF(Atletas!I339="Daoshu Mirim",19,IF(Atletas!I339="Jianshu Mirim",20,IF(Atletas!I339="Nandao Mirim",21,IF(Atletas!I339="Taijijian Mirim",22,IF(Atletas!I339="Daoshu Grupo C",23,IF(Atletas!I339="Jianshu Grupo C",24,IF(Atletas!I339="Nandao Grupo C",25,IF(Atletas!I339="Taijijian Grupo C",26,IF(Atletas!I339="Daoshu Grupo B",27,IF(Atletas!I339="Jianshu Grupo B",28,IF(Atletas!I339="Nandao Grupo B",29,IF(Atletas!I339="Taijijian Grupo B",30,IF(Atletas!I339="Daoshu Grupo A",31,IF(Atletas!I339="Jianshu Grupo A",32,IF(Atletas!I339="Nandao Grupo A",33,IF(Atletas!I339="Taijijian Grupo A",34,IF(Atletas!I339="Daoshu Opcional",35,IF(Atletas!I339="Jianshu Opcional",36,IF(Atletas!I339="Nandao Opcional",37,IF(Atletas!I339="Taijijian Opcional",38,IF(Atletas!I339="Daoshu Adulto",39,IF(Atletas!I339="Jianshu Adulto",40,IF(Atletas!I339="Nandao Adulto",41,IF(Atletas!I339="Taijijian Adulto",42,""))))))))))))))))))))))))))</f>
        <v/>
      </c>
      <c r="BH348" s="52" t="str">
        <f>IF(Atletas!J339="","",IF(Atletas!B339="Feminino",100,IF(Atletas!B339="Masculino",200,""))+(IF(Atletas!J339="Gunshu Mirim",43,IF(Atletas!J339="Qiangshu Mirim",44,IF(Atletas!J339="Nangun Mirim",45,IF(Atletas!J339="Gunshu Grupo C",46,IF(Atletas!J339="Qiangshu Grupo C",47,IF(Atletas!J339="Nangun Grupo C",48,IF(Atletas!J339="Gunshu Grupo B",49,IF(Atletas!J339="Qiangshu Grupo B",50,IF(Atletas!J339="Nangun Grupo B",51,IF(Atletas!J339="Gunshu Grupo A",52,IF(Atletas!J339="Qiangshu Grupo A",53,IF(Atletas!J339="Nangun Grupo A",54,IF(Atletas!J339="Gunshu Opcional",55,IF(Atletas!J339="Qiangshu Opcional",56,IF(Atletas!J339="Nangun Opcional",57,IF(Atletas!J339="Gunshu Adulto",58,IF(Atletas!J339="Qiangshu Adulto",59,IF(Atletas!J339="Nangun Adulto",60,IF(Atletas!J339="Taijishan Grupo B",61,IF(Atletas!J339="Taijishan Grupo A",62,""))))))))))))))))))))))</f>
        <v/>
      </c>
      <c r="BM348" s="50" t="str">
        <f>IF(Atletas!K339="","",IF(Atletas!B339="Feminino",100,IF(Atletas!B339="Masculino",200,""))+(IF(Atletas!K339="Equipe 1 Grupo B",1,IF(Atletas!K339="Equipe 2 Grupo B",2,IF(Atletas!K339="Equipe 1 Grupo A",3,IF(Atletas!K339="Equipe 2 Grupo A",4,IF(Atletas!K339="Equipe 1 Adulto",5,IF(Atletas!K339="Equipe 2 Adulto",6,""))))))))</f>
        <v/>
      </c>
      <c r="BR348" s="50" t="str">
        <f>IF(Atletas!L339="","",IF(Atletas!X339&lt;&gt;"",10000,0)+(IF(Atletas!B339="Feminino",1000,IF(Atletas!B339="Masculino",2000,""))+IF(Atletas!L339="Choylayfut A",1,IF(Atletas!L339="Hunggar A",2,IF(Atletas!L339="Wuzuquan A",3,IF(Atletas!L339="Wingchun A",4,IF(Atletas!L339="Outra Mão de Sul A",5,IF(Atletas!L339="Choylayfut B",6,IF(Atletas!L339="Hunggar B",7,IF(Atletas!L339="Wuzuquan B",8,IF(Atletas!L339="Wingchun B",9,IF(Atletas!L339="Outra Mão de Sul B",10,IF(Atletas!L339="Choylayfut C",11,IF(Atletas!L339="Hunggar C",12,IF(Atletas!L339="Wuzuquan C",13,IF(Atletas!L339="Wingchun C",14,IF(Atletas!L339="Outra Mão de Sul C",15,IF(Atletas!L339="Choylayfut D",16,IF(Atletas!L339="Hunggar D",17,IF(Atletas!L339="Wuzuquan D",18,IF(Atletas!L339="Wingchun D",19,IF(Atletas!L339="Outra Mão de Sul D",20,IF(Atletas!L339="Choylayfut E",21,IF(Atletas!L339="Hunggar E",22,IF(Atletas!L339="Wuzuquan E",23,IF(Atletas!L339="Wingchun E",24,IF(Atletas!L339="Outra Mão de Sul E",25,IF(Atletas!L339="Choylayfut F",26,IF(Atletas!L339="Hunggar F",27,IF(Atletas!L339="Wuzuquan F",28,IF(Atletas!L339="Wingchun F",29,IF(Atletas!L339="Outra Mão de Sul F",30,IF(Atletas!L339="Dishuquan A",31,IF(Atletas!L339="Dishuquan B",32,IF(Atletas!L339="Dishuquan C",33,IF(Atletas!L339="Dishuquan D",34,IF(Atletas!L339="Dishuquan E",35,IF(Atletas!L339="Dishuquan F",36,""))))))))))))))))))))))))))))))))))))))</f>
        <v/>
      </c>
      <c r="BS348" s="50" t="str">
        <f>IF(Atletas!M339="","",IF(Atletas!X339&lt;&gt;"",10000,0)+(IF(Atletas!B339="Feminino",1000,IF(Atletas!B339="Masculino",2000,""))+(IF(Atletas!M339="Chaquan A",101,IF(Atletas!M339="Emeiquan A",102,IF(Atletas!M339="Fanziquan A",103,IF(Atletas!M339="Huaquan A",104,IF(Atletas!M339="Hongquan A",105,IF(Atletas!M339="Paoquan A",106,IF(Atletas!M339="Piguaquan A",107,IF(Atletas!M339="Shaolinquan A",108,IF(Atletas!M339="Tanglangquan A",109,IF(Atletas!M339="Yingzhaoquan A",110,IF(Atletas!M339="Tongbeiquan A",111,IF(Atletas!M339="Wudangquan A",112,IF(Atletas!M339="Outros Estilos A",113,IF(Atletas!M339="Chaquan B",114,IF(Atletas!M339="Emeiquan B",115,IF(Atletas!M339="Fanziquan B",116,IF(Atletas!M339="Huaquan B",117,IF(Atletas!M339="Hongquan B",118,IF(Atletas!M339="Paoquan B",119,IF(Atletas!M339="Piguaquan B",120,IF(Atletas!M339="Shaolinquan B",121,IF(Atletas!M339="Tanglangquan B",122,IF(Atletas!M339="Yingzhaoquan B",123,IF(Atletas!M339="Tongbeiquan B",124,IF(Atletas!M339="Wudangquan B",125,IF(Atletas!M339="Outros Estilos B",126,IF(Atletas!M339="Chaquan C",127,IF(Atletas!M339="Emeiquan C",128,IF(Atletas!M339="Fanziquan C",129,IF(Atletas!M339="Huaquan C",130,IF(Atletas!M339="Hongquan C",131,IF(Atletas!M339="Paoquan C",132,IF(Atletas!M339="Piguaquan C",133,IF(Atletas!M339="Shaolinquan C",134,IF(Atletas!M339="Tanglangquan C",135,IF(Atletas!M339="Yingzhaoquan C",136,IF(Atletas!M339="Tongbeiquan C",137,IF(Atletas!M339="Wudangquan C",138,IF(Atletas!M339="Outros Estilos C",139,0))))))))))))))))))))))))))))))))))))))))))</f>
        <v/>
      </c>
      <c r="BT348" s="50" t="str">
        <f>IF(Atletas!M339="","",IF(Atletas!X339&lt;&gt;"",10000,0)+(IF(Atletas!B339="Feminino",1000,IF(Atletas!B339="Masculino",2000,""))+(IF(Atletas!M339="Chaquan D",140,IF(Atletas!M339="Emeiquan D",141,IF(Atletas!M339="Fanziquan D",142,IF(Atletas!M339="Huaquan D",143,IF(Atletas!M339="Hongquan D",144,IF(Atletas!M339="Paoquan D",145,IF(Atletas!M339="Piguaquan D",146,IF(Atletas!M339="Shaolinquan D",147,IF(Atletas!M339="Tanglangquan D",148,IF(Atletas!M339="Yingzhaoquan D",149,IF(Atletas!M339="Tongbeiquan D",150,IF(Atletas!M339="Wudangquan D",151,IF(Atletas!M339="Outros Estilos D",152,IF(Atletas!M339="Chaquan E",153,IF(Atletas!M339="Emeiquan E",154,IF(Atletas!M339="Fanziquan E",155,IF(Atletas!M339="Huaquan E",156,IF(Atletas!M339="Hongquan E",157,IF(Atletas!M339="Paoquan E",158,IF(Atletas!M339="Piguaquan E",159,IF(Atletas!M339="Shaolinquan E",160,IF(Atletas!M339="Tanglangquan E",161,IF(Atletas!M339="Yingzhaoquan E",162,IF(Atletas!M339="Tongbeiquan E",163,IF(Atletas!M339="Wudangquan E",164,IF(Atletas!M339="Outros Estilos E",165,IF(Atletas!M339="Chaquan F",166,IF(Atletas!M339="Emeiquan F",167,IF(Atletas!M339="Fanziquan F",168,IF(Atletas!M339="Huaquan F",169,IF(Atletas!M339="Hongquan F",170,IF(Atletas!M339="Paoquan F",171,IF(Atletas!M339="Piguaquan F",172,IF(Atletas!M339="Shaolinquan F",173,IF(Atletas!M339="Tanglangquan F",174,IF(Atletas!M339="Yingzhaoquan F",175,IF(Atletas!M339="Tongbeiquan F",176,IF(Atletas!M339="Wudangquan F",177,IF(Atletas!M339="Outros Estilos F",178,0))))))))))))))))))))))))))))))))))))))))))</f>
        <v/>
      </c>
      <c r="BU348" s="50" t="str">
        <f>IF(Atletas!N339="","",IF(Atletas!X339&lt;&gt;"",10000,0)+(IF(Atletas!B339="Feminino",1000,IF(Atletas!B339="Masculino",2000,""))+(IF(Atletas!N339="Ditangquan A",201,IF(Atletas!N339="Houquan A",202,IF(Atletas!N339="Zuiquan A",203,IF(Atletas!N339="Ditangquan B",204,IF(Atletas!N339="Houquan B",205,IF(Atletas!N339="Zuiquan B",206,IF(Atletas!N339="Ditangquan C",207,IF(Atletas!N339="Houquan C",208,IF(Atletas!N339="Zuiquan C",209,IF(Atletas!N339="Ditangquan D",210,IF(Atletas!N339="Houquan D",211,IF(Atletas!N339="Zuiquan D",212,IF(Atletas!N339="Ditangquan E",213,IF(Atletas!N339="Houquan E",214,IF(Atletas!N339="Zuiquan E",215,IF(Atletas!N339="Ditangquan F",216,IF(Atletas!N339="Houquan F",217,IF(Atletas!N339="Zuiquan F",218,"")))))))))))))))))))))</f>
        <v/>
      </c>
      <c r="BV348" s="50" t="str">
        <f>IF(Atletas!O339="","",IF(Atletas!X339&lt;&gt;"",10000,0)+IF(Atletas!B339="Feminino",1000,IF(Atletas!B339="Masculino",2000,""))+IF(Atletas!O339="Yang A",301,IF(Atletas!O339="Chen A",302,IF(Atletas!O339="Sun A",303,IF(Atletas!O339="Wu A",304,IF(Atletas!O339="Wu-Hao A",305,IF(Atletas!O339="Outro Taijiquan A",306,IF(Atletas!O339="Yang B",307,IF(Atletas!O339="Chen B",308,IF(Atletas!O339="Sun B",309,IF(Atletas!O339="Wu B",310,IF(Atletas!O339="Wu-Hao B",311,IF(Atletas!O339="Outro Taijiquan B",312,IF(Atletas!O339="Yang C",313,IF(Atletas!O339="Chen C",314,IF(Atletas!O339="Sun C",315,IF(Atletas!O339="Wu C",316,IF(Atletas!O339="Wu-Hao C",317,IF(Atletas!O339="Outro Taijiquan C",318,IF(Atletas!O339="Yang D",319,IF(Atletas!O339="Chen D",320,IF(Atletas!O339="Sun D",321,IF(Atletas!O339="Wu D",322,IF(Atletas!O339="Wu-Hao D",323,IF(Atletas!O339="Outro Taijiquan D",324,IF(Atletas!O339="Yang E",325,IF(Atletas!O339="Chen E",326,IF(Atletas!O339="Sun E",327,IF(Atletas!O339="Wu E",328,IF(Atletas!O339="Wu-Hao E",329,IF(Atletas!O339="Outro Taijiquan E",330,IF(Atletas!O339="Yang F",331,IF(Atletas!O339="Chen F",332,IF(Atletas!O339="Sun F",333,IF(Atletas!O339="Wu F",334,IF(Atletas!O339="Wu-Hao F",335,IF(Atletas!O339="Outro Taijiquan F",336,"")))))))))))))))))))))))))))))))))))))</f>
        <v/>
      </c>
      <c r="BW348" s="50" t="str">
        <f>IF(Atletas!P339="","",IF(Atletas!X339&lt;&gt;"",10000,0)+IF(Atletas!B339="Feminino",1000,IF(Atletas!B339="Masculino",2000,""))+IF(OR(Atletas!P339="Yang 26 A",Atletas!P339="Yang 40 A"),401,IF(OR(Atletas!P339="Chen 25 A",Atletas!P339="Chen 36 A",Atletas!P339="Chen 56 A"),402,IF(Atletas!P339="Sun 73 A",403,IF(Atletas!P339="Wu 45 A",404,IF(Atletas!P339="Wu-Hao 46 A",405,IF(OR(Atletas!P339="Taijiquan 16 A",Atletas!P339="Taijiquan 24 A",Atletas!P339="Taijiquan 32 A",Atletas!P339="Taijiquan 42 A"),406,IF(OR(Atletas!P339="Yang 26 B",Atletas!P339="Yang 40 B"),407,IF(OR(Atletas!P339="Chen 25 B",Atletas!P339="Chen 36 B",Atletas!P339="Chen 56 B"),408,IF(Atletas!P339="Sun 73 B",409,IF(Atletas!P339="Wu 45 B",410,IF(Atletas!P339="Wu-Hao 46 B",411,IF(OR(Atletas!P339="Taijiquan 16 B",Atletas!P339="Taijiquan 24 B",Atletas!P339="Taijiquan 32 B",Atletas!P339="Taijiquan 42 B"),412,IF(OR(Atletas!P339="Yang 26 C",Atletas!P339="Yang 40 C"),413,IF(OR(Atletas!P339="Chen 25 C",Atletas!P339="Chen 36 C",Atletas!P339="Chen 56 C"),414,IF(Atletas!P339="Sun 73 C",415,IF(Atletas!P339="Wu 45 C",416,IF(Atletas!P339="Wu-Hao 46 C",417,IF(OR(Atletas!P339="Taijiquan 16 C",Atletas!P339="Taijiquan 24 C",Atletas!P339="Taijiquan 32 C",Atletas!P339="Taijiquan 42 C"),418,0)))))))))))))))))))</f>
        <v/>
      </c>
      <c r="BX348" s="50" t="str">
        <f>IF(Atletas!P339="","",IF(Atletas!X339&lt;&gt;"",10000,0)+IF(Atletas!B339="Feminino",1000,IF(Atletas!B339="Masculino",2000,""))+IF(OR(Atletas!P339="Yang 26 D",Atletas!P339="Yang 40 D"),419,IF(OR(Atletas!P339="Chen 25 D",Atletas!P339="Chen 36 D",Atletas!P339="Chen 56 D"),420,IF(Atletas!P339="Sun 73 D",421,IF(Atletas!P339="Wu 45 D",422,IF(Atletas!P339="Wu-Hao 46 D",423,IF(OR(Atletas!P339="Taijiquan 16 D",Atletas!P339="Taijiquan 24 D",Atletas!P339="Taijiquan 32 D",Atletas!P339="Taijiquan 42 D"),424,IF(OR(Atletas!P339="Yang 26 E",Atletas!P339="Yang 40 E"),425,IF(OR(Atletas!P339="Chen 25 E",Atletas!P339="Chen 36 E",Atletas!P339="Chen 56 E"),426,IF(Atletas!P339="Sun 73 E",427,IF(Atletas!P339="Wu 45 E",428,IF(Atletas!P339="Wu-Hao 46 E",429,IF(OR(Atletas!P339="Taijiquan 16 E",Atletas!P339="Taijiquan 24 E",Atletas!P339="Taijiquan 32 E",Atletas!P339="Taijiquan 42 E"),430,IF(OR(Atletas!P339="Yang 26 F",Atletas!P339="Yang 40 F"),431,IF(OR(Atletas!P339="Chen 25 F",Atletas!P339="Chen 36 F",Atletas!P339="Chen 56 F"),432,IF(Atletas!P339="Sun 73 F",433,IF(Atletas!P339="Wu 45 F",434,IF(Atletas!P339="Wu-Hao 46 F",435,IF(OR(Atletas!P339="Taijiquan 16 F",Atletas!P339="Taijiquan 24 F",Atletas!P339="Taijiquan 32 F",Atletas!P339="Taijiquan 42 F"),436,0)))))))))))))))))))</f>
        <v/>
      </c>
      <c r="BY348" s="50" t="str">
        <f>IF(Atletas!Q339="","",IF(Atletas!X339&lt;&gt;"",10000,0)+IF(Atletas!B339="Feminino",1000,IF(Atletas!B339="Masculino",2000,""))+IF(Atletas!Q339="Xingyiquan A",501,IF(Atletas!Q339="Baguazhang A",502,IF(Atletas!Q339="Outro Estilo Interno A",503,IF(Atletas!Q339="Xingyiquan B",504,IF(Atletas!Q339="Baguazhang B",505,IF(Atletas!Q339="Outro Estilo Interno B",506,IF(Atletas!Q339="Xingyiquan C",507,IF(Atletas!Q339="Baguazhang C",508,IF(Atletas!Q339="Outro Estilo Interno C",509,IF(Atletas!Q339="Xingyiquan D",510,IF(Atletas!Q339="Baguazhang D",511,IF(Atletas!Q339="Outro Estilo Interno D",512,IF(Atletas!Q339="Xingyiquan E",513,IF(Atletas!Q339="Baguazhang E",514,IF(Atletas!Q339="Outro Estilo Interno E",515,IF(Atletas!Q339="Xingyiquan F",516,IF(Atletas!Q339="Baguazhang F",517,IF(Atletas!Q339="Outro Estilo Interno F",518, "")))))))))))))))))))</f>
        <v/>
      </c>
      <c r="BZ348" s="50" t="str">
        <f>IF(Atletas!R339="","",IF(Atletas!X339&lt;&gt;"",10000,0)+IF(Atletas!B339="Feminino",1000,IF(Atletas!B339="Masculino",2000,""))+IF(Atletas!R339="Dao A",601,IF(Atletas!R339="Jian A",602,IF(Atletas!R339="Bishou A",603,IF(Atletas!R339="Shanzi A",604,IF(Atletas!R339="Outra Arma Curta A",605,IF(Atletas!R339="Dao B",606,IF(Atletas!R339="Jian B",607,IF(Atletas!R339="Bishou B",608,IF(Atletas!R339="Shanzi B",609,IF(Atletas!R339="Outra Arma Curta B",610,IF(Atletas!R339="Dao C",611,IF(Atletas!R339="Jian C",612,IF(Atletas!R339="Bishou C",613,IF(Atletas!R339="Shanzi C",614,IF(Atletas!R339="Outra Arma Curta C",615,IF(Atletas!R339="Dao D",616,IF(Atletas!R339="Jian D",617,IF(Atletas!R339="Bishou D",618,IF(Atletas!R339="Shanzi D",619,IF(Atletas!R339="Outra Arma Curta D",620,IF(Atletas!R339="Dao E",621,IF(Atletas!R339="Jian E",622,IF(Atletas!R339="Bishou E",623,IF(Atletas!R339="Shanzi E",624,IF(Atletas!R339="Outra Arma Curta E",625,IF(Atletas!R339="Dao F",626,IF(Atletas!R339="Jian F",627,IF(Atletas!R339="Bishou F",628,IF(Atletas!R339="Shanzi F",629,IF(Atletas!R339="Outra Arma Curta F",630, "")))))))))))))))))))))))))))))))</f>
        <v/>
      </c>
      <c r="CA348" s="50" t="str">
        <f>IF(Atletas!S339="","",IF(Atletas!X339&lt;&gt;"",10000,0)+IF(Atletas!B339="Feminino",1000,IF(Atletas!B339="Masculino",2000,""))+IF(Atletas!S339="Gun A",701,IF(Atletas!S339="Qiang A",702,IF(Atletas!S339="Pudao / Guandao A",703,IF(Atletas!S339="Outra Arma Longa A",704,IF(Atletas!S339="Gun B",705,IF(Atletas!S339="Qiang B",706,IF(Atletas!S339="Pudao / Guandao B",707,IF(Atletas!S339="Outra Arma Longa B",708,IF(Atletas!S339="Gun C",709,IF(Atletas!S339="Qiang C",710,IF(Atletas!S339="Pudao / Guandao C",711,IF(Atletas!S339="Outra Arma Longa C",712,IF(Atletas!S339="Gun D",713,IF(Atletas!S339="Qiang D",714,IF(Atletas!S339="Pudao / Guandao D",715,IF(Atletas!S339="Outra Arma Longa D",716,IF(Atletas!S339="Gun E",717,IF(Atletas!S339="Qiang E",718,IF(Atletas!S339="Pudao / Guandao E",719,IF(Atletas!S339="Outra Arma Longa E",720,IF(Atletas!S339="Gun F",721,IF(Atletas!S339="Qiang F",722,IF(Atletas!S339="Pudao / Guandao F",723,IF(Atletas!S339="Outra Arma Longa F",724,"")))))))))))))))))))))))))</f>
        <v/>
      </c>
      <c r="CB348" s="50" t="str">
        <f>IF(Atletas!T339="","",IF(Atletas!X339&lt;&gt;"",10000,0)+IF(Atletas!B339="Feminino",1000,IF(Atletas!B339="Masculino",2000,""))+IF(Atletas!T339="Outra Arma Dupla A",801,IF(Atletas!T339="Arma Maleável A",802,IF(Atletas!T339="Outra Arma Dupla B",803,IF(Atletas!T339="Arma Maleável B",804,IF(Atletas!T339="Outra Arma Dupla C",805,IF(Atletas!T339="Arma Maleável C",806,IF(Atletas!T339="Outra Arma Dupla D",807,IF(Atletas!T339="Arma Maleável D",808,IF(Atletas!T339="Outra Arma Dupla E",809,IF(Atletas!T339="Arma Maleável E",810,IF(Atletas!T339="Outra Arma Dupla F",811,IF(Atletas!T339="Arma Maleável F",812,IF(Atletas!T339="Shuangdao A",813,IF(Atletas!T339="Shuangdao B",814,IF(Atletas!T339="Shuangdao C",815,IF(Atletas!T339="Shuangdao D",816,IF(Atletas!T339="Shuangdao E",817,IF(Atletas!T339="Shuangdao F",818,"")))))))))))))))))))</f>
        <v/>
      </c>
      <c r="CC348" s="50" t="str">
        <f>IF(Atletas!U339="","",IF(Atletas!X339&lt;&gt;"",10000,0)+IF(Atletas!B339="Feminino",1000,IF(Atletas!B339="Masculino",2000,""))+IF(OR(Atletas!U339="Taijijian Yang A",Atletas!U339="Taijijian Yang Standard A"),901,IF(OR(Atletas!U339="Taijijian Chen A", Atletas!U339="Taijijian Chen Standard A"),902,IF(Atletas!U339="Taijijian Sun A",903,IF(Atletas!U339="Taijijian Wu A",904,IF(Atletas!U339="Taijijian Wu-Hao A",905,IF(OR(Atletas!U339="Taijijian 32 A",Atletas!U339="Taijijian 42 A"),906,IF(OR(Atletas!U339="Taijijian Yang B",Atletas!U339="Taijijian Yang Standard B"),907,IF(OR(Atletas!U339="Taijijian Chen B", Atletas!U339="Taijijian Chen Standard B"),908,IF(Atletas!U339="Taijijian Sun B",909,IF(Atletas!U339="Taijijian Wu B",910,IF(Atletas!U339="Taijijian Wu-Hao B",911,IF(OR(Atletas!U339="Taijijian 32 B",Atletas!U339="Taijijian 42 B"),912,IF(OR(Atletas!U339="Taijijian Yang C",Atletas!U339="Taijijian Yang Standard C"),913,IF(OR(Atletas!U339="Taijijian Chen C", Atletas!U339="Taijijian Chen Standard C"),914,IF(Atletas!U339="Taijijian Sun C",915,IF(Atletas!U339="Taijijian Wu C",916,IF(Atletas!U339="Taijijian Wu-Hao C",917,IF(OR(Atletas!U339="Taijijian 32 C",Atletas!U339="Taijijian 42 C"),918,IF(OR(Atletas!U339="Taijijian Yang D",Atletas!U339="Taijijian Yang Standard D"),919,IF(OR(Atletas!U339="Taijijian Chen D", Atletas!U339="Taijijian Chen Standard D"),920,IF(Atletas!U339="Taijijian Sun D",921,IF(Atletas!U339="Taijijian Wu D",922,IF(Atletas!U339="Taijijian Wu-Hao D",923,IF(OR(Atletas!U339="Taijijian 32 D",Atletas!U339="Taijijian 42 D"),924,IF(OR(Atletas!U339="Taijijian Yang E",Atletas!U339="Taijijian Yang Standard E"),925,IF(OR(Atletas!U339="Taijijian Chen E", Atletas!U339="Taijijian Chen Standard E"),926,IF(Atletas!U339="Taijijian Sun E",927,IF(Atletas!U339="Taijijian Wu E",928,IF(Atletas!U339="Taijijian Wu-Hao E",929,IF(OR(Atletas!U339="Taijijian 32 E",Atletas!U339="Taijijian 42 E"),930,IF(OR(Atletas!U339="Taijijian Yang F",Atletas!U339="Taijijian Yang Standard F"),931,IF(OR(Atletas!U339="Taijijian Chen F", Atletas!U339="Taijijian Chen Standard F"),932,IF(Atletas!U339="Taijijian Sun F",933,IF(Atletas!U339="Taijijian Wu F",934,IF(Atletas!U339="Taijijian Wu-Hao F",935,IF(OR(Atletas!U339="Taijijian 32 F",Atletas!U339="Taijijian 42 F"),936,"")))))))))))))))))))))))))))))))))))))</f>
        <v/>
      </c>
      <c r="CD348" s="50" t="str">
        <f>IF(Atletas!V339="","",IF(Atletas!X339&lt;&gt;"",10000,0)+IF(Atletas!B339="Feminino",1000,IF(Atletas!B339="Masculino",2000,""))+IF(Atletas!V339="Taijidao A",937,IF(Atletas!V339="TaijiShanzi A",938,IF(Atletas!V339="Taijiqiang A",939,IF(Atletas!V339="Bagua de Arma A",940,IF(Atletas!V339="Xingyi de Arma A",941,IF(Atletas!V339="Taijidao B",942,IF(Atletas!V339="TaijiShanzi B",943,IF(Atletas!V339="Taijiqiang B",944,IF(Atletas!V339="Bagua de Arma B",945,IF(Atletas!V339="Xingyi de Arma B",946,IF(Atletas!V339="Taijidao C",947,IF(Atletas!V339="TaijiShanzi C",948,IF(Atletas!V339="Taijiqiang C",949,IF(Atletas!V339="Bagua de Arma C",950,IF(Atletas!V339="Xingyi de Arma C",951,IF(Atletas!V339="Taijidao D",952,IF(Atletas!V339="TaijiShanzi D",953,IF(Atletas!V339="Taijiqiang D",954,IF(Atletas!V339="Bagua de Arma D",955,IF(Atletas!V339="Xingyi de Arma D",956,IF(Atletas!V339="Taijidao E",957,IF(Atletas!V339="TaijiShanzi E",958,IF(Atletas!V339="Taijiqiang E",959,IF(Atletas!V339="Bagua de Arma E",960,IF(Atletas!V339="Xingyi de Arma E",961,IF(Atletas!V339="Taijidao F",962,IF(Atletas!V339="TaijiShanzi F",963,IF(Atletas!V339="Taijiqiang F",964,IF(Atletas!V339="Bagua de Arma F",965,IF(Atletas!V339="Xingyi de Arma F",966,"")))))))))))))))))))))))))))))))</f>
        <v/>
      </c>
      <c r="CE348" s="66" t="str">
        <f>IF(CF348&lt;&gt;"","Taijishan C","")</f>
        <v/>
      </c>
      <c r="CF348" s="66" t="str">
        <f>IF(COUNTIF(BR:CD,1948)&gt;0,COUNTIF(BR:CD,1948),"")</f>
        <v/>
      </c>
      <c r="CG348" s="66" t="str">
        <f>IF(CH348&lt;&gt;"","Taijishan C","")</f>
        <v/>
      </c>
      <c r="CH348" s="66" t="str">
        <f>IF(COUNTIF(BR:CD,2948)&gt;0,COUNTIF(BR:CD,2948),"")</f>
        <v/>
      </c>
      <c r="CI348" s="66" t="str">
        <f>IF(CJ349&lt;&gt;"","Xingyi de Arma E","")</f>
        <v/>
      </c>
      <c r="CJ348" s="66" t="str">
        <f>IF(COUNTIF(BR:CD,11960)&gt;0,COUNTIF(BR:CD,11960),"")</f>
        <v/>
      </c>
      <c r="CK348" s="66" t="str">
        <f>IF(CL348&lt;&gt;"","Bagua de Arma E","")</f>
        <v/>
      </c>
      <c r="CL348" s="66" t="str">
        <f>IF(COUNTIF(BR:CD,12960)&gt;0,COUNTIF(BR:CD,12960),"")</f>
        <v/>
      </c>
      <c r="CM348" s="50" t="str">
        <f xml:space="preserve"> IF(Atletas!W339="","",IF(Atletas!W339="Duilian de Mãos BC - Equipe 1",1,IF(Atletas!W339="Duilian de Mãos BC - Equipe 2",2,IF(Atletas!W339="Duilian de Armas BC - Equipe 1",3,IF(Atletas!W339="Duilian de Armas BC - Equipe 2",4,IF(Atletas!W339="Duilian de Mãos DE - Equipe 1",5,IF(Atletas!W339="Duilian de Mãos DE - Equipe 2",6,IF(Atletas!W339="Duilian de Armas DE - Equipe 1",7,IF(Atletas!W339="Duilian de Armas DE - Equipe 2",8,IF(Atletas!W339="Duilian de Tuishou - Equipe 1",9,IF(Atletas!W339="Duilian de Tuishou - Equipe 2",10,IF(Atletas!W339="Grupo Externo ABC - Equipe 1",11,IF(Atletas!W339="Grupo Externo ABC - Equipe 2",12,IF(Atletas!W339="Grupo Interno ABC - Equipe 1",13,IF(Atletas!W339="Grupo Interno ABC - Equipe 2",14,IF(Atletas!W339="Grupo Externo DEF - Equipe 1",15,IF(Atletas!W339="Grupo Externo DEF - Equipe 2",16,IF(Atletas!W339="Grupo Interno DEF - Equipe 1",17,IF(Atletas!W339="Grupo Interno DEF - Equipe 2",18,"")))))))))))))))))))</f>
        <v/>
      </c>
    </row>
    <row r="349" spans="40:91">
      <c r="AN349" s="52" t="str">
        <f>IF(Atletas!D340="","",IF(Atletas!B340="Feminino",100,IF(Atletas!B340="Masculino",200,""))+(IF(Atletas!D340="Kids 30kg",1,IF(Atletas!D340="Kids 32kg",2, IF(Atletas!D340="Kids 34kg",3,IF(Atletas!D340="Kids 36kg",4,IF(Atletas!D340="Kids 39kg",5,IF(Atletas!D340="Kids 42kg",6,IF(Atletas!D340="Kids 45kg",7, IF(Atletas!D340="Infantil 39kg",8,IF(Atletas!D340="Infantil 42kg",9,IF(Atletas!D340="Infantil 45kg",10,IF(Atletas!D340="Infantil 48kg",11,IF(Atletas!D340="Infantil 52kg",12,IF(Atletas!D340="Infantil 56kg",13,IF(Atletas!D340="Infantil 60kg",14,IF(Atletas!D340="Juvenil 48kg",15,IF(Atletas!D340="Juvenil 52kg",16,IF(Atletas!D340="Juvenil 56kg",17,IF(Atletas!D340="Juvenil 60kg",18,IF(Atletas!D340="Juvenil 65kg",19,IF(Atletas!D340="Juvenil 70kg",20,IF(Atletas!D340="Juvenil 75kg",21,IF(Atletas!D340="Juvenil 80kg",22, IF(Atletas!D340="Juvenil 85kg",23,IF(Atletas!D340="Adulto 48kg",24,IF(Atletas!D340="Adulto 52kg",25,IF(Atletas!D340="Adulto 56kg",26,IF(Atletas!D340="Adulto 60kg",27,IF(Atletas!D340="Adulto 65kg",28,IF(Atletas!D340="Adulto 70kg",29,IF(Atletas!D340="Adulto 75kg",30,IF(Atletas!D340="Adulto 80kg",31,IF(Atletas!D340="Adulto 85kg",32,IF(Atletas!D340="Adulto 90kg",33,IF(Atletas!D340="Adulto 100kg",34, IF(Atletas!D340="Adulto +100kg",35,"")))))))))))))))))))))))))))))))))))))</f>
        <v/>
      </c>
      <c r="AS349" s="6" t="str">
        <f>IF(Atletas!E340="","",IF(Atletas!B340="Feminino",100,IF(Atletas!B340="Masculino",200,""))+(IF(Atletas!E340="Juvenil 44kg",1,IF(Atletas!E340="Juvenil 48kg",2,IF(Atletas!E340="Juvenil 52kg",3,IF(Atletas!E340="Juvenil 56kg",4,IF(Atletas!E340="Juvenil 60kg",5,IF(Atletas!E340="Juvenil 65kg",6,IF(Atletas!E340="Juvenil 70kg",7,IF(Atletas!E340="Juvenil 75kg",8,IF(Atletas!E340="Juvenil 82kg",9,IF(Atletas!E340="Juvenil 90kg",10,IF(Atletas!E340="Juvenil 100kg",11,IF(Atletas!E340="Adulto 48kg",12,IF(Atletas!E340="Adulto 52kg",13,IF(Atletas!E340="Adulto 56kg",14,IF(Atletas!E340="Adulto 60kg",15,IF(Atletas!E340="Adulto 65kg",16,IF(Atletas!E340="Adulto 70kg",17,IF(Atletas!E340="Adulto 75kg",18,IF(Atletas!E340="Adulto 82kg",19,IF(Atletas!E340="Adulto 90kg",20,IF(Atletas!E340="Adulto 100kg",21,IF(Atletas!E340="Adulto +100kg",22,""))))))))))))))))))))))))</f>
        <v/>
      </c>
      <c r="AX349" s="6" t="str">
        <f>IF(Atletas!F340="","",IF(Atletas!B340="Feminino",100,IF(Atletas!B340="Masculino",200,""))+(IF(Atletas!F340="Adulto 48kg",1,IF(Atletas!F340="Adulto 56kg",2,IF(Atletas!F340="Adulto 65kg",3,IF(Atletas!F340="Adulto 75kg",4,IF(Atletas!F340="Adulto +75kg",5,IF(Atletas!F340="Adulto 52kg",6,IF(Atletas!F340="Adulto 60kg",7,IF(Atletas!F340="Adulto 70kg",8,IF(Atletas!F340="Adulto 80kg",9,IF(Atletas!F340="Adulto 90kg",10,IF(Atletas!F340="Adulto +90kg",11,"")))))))))))))</f>
        <v/>
      </c>
      <c r="BC349" s="6" t="str">
        <f>IF(Atletas!G340="","",IF(Atletas!B340="Feminino",10,IF(Atletas!B340="Masculino",20,""))+(IF(Atletas!G340="Baduanjin A",1,IF(Atletas!G340="Baduanjin B",2))))</f>
        <v/>
      </c>
      <c r="BF349" s="52" t="str">
        <f>IF(Atletas!H340="","",IF(Atletas!B340="Feminino",100,IF(Atletas!B340="Masculino",200,""))+(IF(Atletas!H340="Changquan Mirim",1,IF(Atletas!H340="Nanquan Mirim",2,IF(Atletas!H340="Taijiquan Mirim",3,IF(Atletas!H340="Changquan Grupo C",4,IF(Atletas!H340="Nanquan Grupo C",5,IF(Atletas!H340="Taijiquan Grupo C",6,IF(Atletas!H340="Changquan Grupo B",7,IF(Atletas!H340="Nanquan Grupo B",8,IF(Atletas!H340="Taijiquan Grupo B",9,IF(Atletas!H340="Changquan Grupo A",10,IF(Atletas!H340="Nanquan Grupo A",11,IF(Atletas!H340="Taijiquan Grupo A",12,IF(Atletas!H340="Changquan Opcional",13,IF(Atletas!H340="Nanquan Opcional",14,IF(Atletas!H340="Taijiquan Opcional",15,IF(Atletas!H340="Changquan Adulto",16,IF(Atletas!H340="Nanquan Adulto",17,IF(Atletas!H340="Taijiquan Adulto",18,""))))))))))))))))))))</f>
        <v/>
      </c>
      <c r="BG349" s="52" t="str">
        <f>IF(Atletas!I340="","",IF(Atletas!B340="Feminino",100,IF(Atletas!B340="Masculino",200,""))+(IF(Atletas!I340="Daoshu Mirim",19,IF(Atletas!I340="Jianshu Mirim",20,IF(Atletas!I340="Nandao Mirim",21,IF(Atletas!I340="Taijijian Mirim",22,IF(Atletas!I340="Daoshu Grupo C",23,IF(Atletas!I340="Jianshu Grupo C",24,IF(Atletas!I340="Nandao Grupo C",25,IF(Atletas!I340="Taijijian Grupo C",26,IF(Atletas!I340="Daoshu Grupo B",27,IF(Atletas!I340="Jianshu Grupo B",28,IF(Atletas!I340="Nandao Grupo B",29,IF(Atletas!I340="Taijijian Grupo B",30,IF(Atletas!I340="Daoshu Grupo A",31,IF(Atletas!I340="Jianshu Grupo A",32,IF(Atletas!I340="Nandao Grupo A",33,IF(Atletas!I340="Taijijian Grupo A",34,IF(Atletas!I340="Daoshu Opcional",35,IF(Atletas!I340="Jianshu Opcional",36,IF(Atletas!I340="Nandao Opcional",37,IF(Atletas!I340="Taijijian Opcional",38,IF(Atletas!I340="Daoshu Adulto",39,IF(Atletas!I340="Jianshu Adulto",40,IF(Atletas!I340="Nandao Adulto",41,IF(Atletas!I340="Taijijian Adulto",42,""))))))))))))))))))))))))))</f>
        <v/>
      </c>
      <c r="BH349" s="52" t="str">
        <f>IF(Atletas!J340="","",IF(Atletas!B340="Feminino",100,IF(Atletas!B340="Masculino",200,""))+(IF(Atletas!J340="Gunshu Mirim",43,IF(Atletas!J340="Qiangshu Mirim",44,IF(Atletas!J340="Nangun Mirim",45,IF(Atletas!J340="Gunshu Grupo C",46,IF(Atletas!J340="Qiangshu Grupo C",47,IF(Atletas!J340="Nangun Grupo C",48,IF(Atletas!J340="Gunshu Grupo B",49,IF(Atletas!J340="Qiangshu Grupo B",50,IF(Atletas!J340="Nangun Grupo B",51,IF(Atletas!J340="Gunshu Grupo A",52,IF(Atletas!J340="Qiangshu Grupo A",53,IF(Atletas!J340="Nangun Grupo A",54,IF(Atletas!J340="Gunshu Opcional",55,IF(Atletas!J340="Qiangshu Opcional",56,IF(Atletas!J340="Nangun Opcional",57,IF(Atletas!J340="Gunshu Adulto",58,IF(Atletas!J340="Qiangshu Adulto",59,IF(Atletas!J340="Nangun Adulto",60,IF(Atletas!J340="Taijishan Grupo B",61,IF(Atletas!J340="Taijishan Grupo A",62,""))))))))))))))))))))))</f>
        <v/>
      </c>
      <c r="BM349" s="50" t="str">
        <f>IF(Atletas!K340="","",IF(Atletas!B340="Feminino",100,IF(Atletas!B340="Masculino",200,""))+(IF(Atletas!K340="Equipe 1 Grupo B",1,IF(Atletas!K340="Equipe 2 Grupo B",2,IF(Atletas!K340="Equipe 1 Grupo A",3,IF(Atletas!K340="Equipe 2 Grupo A",4,IF(Atletas!K340="Equipe 1 Adulto",5,IF(Atletas!K340="Equipe 2 Adulto",6,""))))))))</f>
        <v/>
      </c>
      <c r="BR349" s="50" t="str">
        <f>IF(Atletas!L340="","",IF(Atletas!X340&lt;&gt;"",10000,0)+(IF(Atletas!B340="Feminino",1000,IF(Atletas!B340="Masculino",2000,""))+IF(Atletas!L340="Choylayfut A",1,IF(Atletas!L340="Hunggar A",2,IF(Atletas!L340="Wuzuquan A",3,IF(Atletas!L340="Wingchun A",4,IF(Atletas!L340="Outra Mão de Sul A",5,IF(Atletas!L340="Choylayfut B",6,IF(Atletas!L340="Hunggar B",7,IF(Atletas!L340="Wuzuquan B",8,IF(Atletas!L340="Wingchun B",9,IF(Atletas!L340="Outra Mão de Sul B",10,IF(Atletas!L340="Choylayfut C",11,IF(Atletas!L340="Hunggar C",12,IF(Atletas!L340="Wuzuquan C",13,IF(Atletas!L340="Wingchun C",14,IF(Atletas!L340="Outra Mão de Sul C",15,IF(Atletas!L340="Choylayfut D",16,IF(Atletas!L340="Hunggar D",17,IF(Atletas!L340="Wuzuquan D",18,IF(Atletas!L340="Wingchun D",19,IF(Atletas!L340="Outra Mão de Sul D",20,IF(Atletas!L340="Choylayfut E",21,IF(Atletas!L340="Hunggar E",22,IF(Atletas!L340="Wuzuquan E",23,IF(Atletas!L340="Wingchun E",24,IF(Atletas!L340="Outra Mão de Sul E",25,IF(Atletas!L340="Choylayfut F",26,IF(Atletas!L340="Hunggar F",27,IF(Atletas!L340="Wuzuquan F",28,IF(Atletas!L340="Wingchun F",29,IF(Atletas!L340="Outra Mão de Sul F",30,IF(Atletas!L340="Dishuquan A",31,IF(Atletas!L340="Dishuquan B",32,IF(Atletas!L340="Dishuquan C",33,IF(Atletas!L340="Dishuquan D",34,IF(Atletas!L340="Dishuquan E",35,IF(Atletas!L340="Dishuquan F",36,""))))))))))))))))))))))))))))))))))))))</f>
        <v/>
      </c>
      <c r="BS349" s="50" t="str">
        <f>IF(Atletas!M340="","",IF(Atletas!X340&lt;&gt;"",10000,0)+(IF(Atletas!B340="Feminino",1000,IF(Atletas!B340="Masculino",2000,""))+(IF(Atletas!M340="Chaquan A",101,IF(Atletas!M340="Emeiquan A",102,IF(Atletas!M340="Fanziquan A",103,IF(Atletas!M340="Huaquan A",104,IF(Atletas!M340="Hongquan A",105,IF(Atletas!M340="Paoquan A",106,IF(Atletas!M340="Piguaquan A",107,IF(Atletas!M340="Shaolinquan A",108,IF(Atletas!M340="Tanglangquan A",109,IF(Atletas!M340="Yingzhaoquan A",110,IF(Atletas!M340="Tongbeiquan A",111,IF(Atletas!M340="Wudangquan A",112,IF(Atletas!M340="Outros Estilos A",113,IF(Atletas!M340="Chaquan B",114,IF(Atletas!M340="Emeiquan B",115,IF(Atletas!M340="Fanziquan B",116,IF(Atletas!M340="Huaquan B",117,IF(Atletas!M340="Hongquan B",118,IF(Atletas!M340="Paoquan B",119,IF(Atletas!M340="Piguaquan B",120,IF(Atletas!M340="Shaolinquan B",121,IF(Atletas!M340="Tanglangquan B",122,IF(Atletas!M340="Yingzhaoquan B",123,IF(Atletas!M340="Tongbeiquan B",124,IF(Atletas!M340="Wudangquan B",125,IF(Atletas!M340="Outros Estilos B",126,IF(Atletas!M340="Chaquan C",127,IF(Atletas!M340="Emeiquan C",128,IF(Atletas!M340="Fanziquan C",129,IF(Atletas!M340="Huaquan C",130,IF(Atletas!M340="Hongquan C",131,IF(Atletas!M340="Paoquan C",132,IF(Atletas!M340="Piguaquan C",133,IF(Atletas!M340="Shaolinquan C",134,IF(Atletas!M340="Tanglangquan C",135,IF(Atletas!M340="Yingzhaoquan C",136,IF(Atletas!M340="Tongbeiquan C",137,IF(Atletas!M340="Wudangquan C",138,IF(Atletas!M340="Outros Estilos C",139,0))))))))))))))))))))))))))))))))))))))))))</f>
        <v/>
      </c>
      <c r="BT349" s="50" t="str">
        <f>IF(Atletas!M340="","",IF(Atletas!X340&lt;&gt;"",10000,0)+(IF(Atletas!B340="Feminino",1000,IF(Atletas!B340="Masculino",2000,""))+(IF(Atletas!M340="Chaquan D",140,IF(Atletas!M340="Emeiquan D",141,IF(Atletas!M340="Fanziquan D",142,IF(Atletas!M340="Huaquan D",143,IF(Atletas!M340="Hongquan D",144,IF(Atletas!M340="Paoquan D",145,IF(Atletas!M340="Piguaquan D",146,IF(Atletas!M340="Shaolinquan D",147,IF(Atletas!M340="Tanglangquan D",148,IF(Atletas!M340="Yingzhaoquan D",149,IF(Atletas!M340="Tongbeiquan D",150,IF(Atletas!M340="Wudangquan D",151,IF(Atletas!M340="Outros Estilos D",152,IF(Atletas!M340="Chaquan E",153,IF(Atletas!M340="Emeiquan E",154,IF(Atletas!M340="Fanziquan E",155,IF(Atletas!M340="Huaquan E",156,IF(Atletas!M340="Hongquan E",157,IF(Atletas!M340="Paoquan E",158,IF(Atletas!M340="Piguaquan E",159,IF(Atletas!M340="Shaolinquan E",160,IF(Atletas!M340="Tanglangquan E",161,IF(Atletas!M340="Yingzhaoquan E",162,IF(Atletas!M340="Tongbeiquan E",163,IF(Atletas!M340="Wudangquan E",164,IF(Atletas!M340="Outros Estilos E",165,IF(Atletas!M340="Chaquan F",166,IF(Atletas!M340="Emeiquan F",167,IF(Atletas!M340="Fanziquan F",168,IF(Atletas!M340="Huaquan F",169,IF(Atletas!M340="Hongquan F",170,IF(Atletas!M340="Paoquan F",171,IF(Atletas!M340="Piguaquan F",172,IF(Atletas!M340="Shaolinquan F",173,IF(Atletas!M340="Tanglangquan F",174,IF(Atletas!M340="Yingzhaoquan F",175,IF(Atletas!M340="Tongbeiquan F",176,IF(Atletas!M340="Wudangquan F",177,IF(Atletas!M340="Outros Estilos F",178,0))))))))))))))))))))))))))))))))))))))))))</f>
        <v/>
      </c>
      <c r="BU349" s="50" t="str">
        <f>IF(Atletas!N340="","",IF(Atletas!X340&lt;&gt;"",10000,0)+(IF(Atletas!B340="Feminino",1000,IF(Atletas!B340="Masculino",2000,""))+(IF(Atletas!N340="Ditangquan A",201,IF(Atletas!N340="Houquan A",202,IF(Atletas!N340="Zuiquan A",203,IF(Atletas!N340="Ditangquan B",204,IF(Atletas!N340="Houquan B",205,IF(Atletas!N340="Zuiquan B",206,IF(Atletas!N340="Ditangquan C",207,IF(Atletas!N340="Houquan C",208,IF(Atletas!N340="Zuiquan C",209,IF(Atletas!N340="Ditangquan D",210,IF(Atletas!N340="Houquan D",211,IF(Atletas!N340="Zuiquan D",212,IF(Atletas!N340="Ditangquan E",213,IF(Atletas!N340="Houquan E",214,IF(Atletas!N340="Zuiquan E",215,IF(Atletas!N340="Ditangquan F",216,IF(Atletas!N340="Houquan F",217,IF(Atletas!N340="Zuiquan F",218,"")))))))))))))))))))))</f>
        <v/>
      </c>
      <c r="BV349" s="50" t="str">
        <f>IF(Atletas!O340="","",IF(Atletas!X340&lt;&gt;"",10000,0)+IF(Atletas!B340="Feminino",1000,IF(Atletas!B340="Masculino",2000,""))+IF(Atletas!O340="Yang A",301,IF(Atletas!O340="Chen A",302,IF(Atletas!O340="Sun A",303,IF(Atletas!O340="Wu A",304,IF(Atletas!O340="Wu-Hao A",305,IF(Atletas!O340="Outro Taijiquan A",306,IF(Atletas!O340="Yang B",307,IF(Atletas!O340="Chen B",308,IF(Atletas!O340="Sun B",309,IF(Atletas!O340="Wu B",310,IF(Atletas!O340="Wu-Hao B",311,IF(Atletas!O340="Outro Taijiquan B",312,IF(Atletas!O340="Yang C",313,IF(Atletas!O340="Chen C",314,IF(Atletas!O340="Sun C",315,IF(Atletas!O340="Wu C",316,IF(Atletas!O340="Wu-Hao C",317,IF(Atletas!O340="Outro Taijiquan C",318,IF(Atletas!O340="Yang D",319,IF(Atletas!O340="Chen D",320,IF(Atletas!O340="Sun D",321,IF(Atletas!O340="Wu D",322,IF(Atletas!O340="Wu-Hao D",323,IF(Atletas!O340="Outro Taijiquan D",324,IF(Atletas!O340="Yang E",325,IF(Atletas!O340="Chen E",326,IF(Atletas!O340="Sun E",327,IF(Atletas!O340="Wu E",328,IF(Atletas!O340="Wu-Hao E",329,IF(Atletas!O340="Outro Taijiquan E",330,IF(Atletas!O340="Yang F",331,IF(Atletas!O340="Chen F",332,IF(Atletas!O340="Sun F",333,IF(Atletas!O340="Wu F",334,IF(Atletas!O340="Wu-Hao F",335,IF(Atletas!O340="Outro Taijiquan F",336,"")))))))))))))))))))))))))))))))))))))</f>
        <v/>
      </c>
      <c r="BW349" s="50" t="str">
        <f>IF(Atletas!P340="","",IF(Atletas!X340&lt;&gt;"",10000,0)+IF(Atletas!B340="Feminino",1000,IF(Atletas!B340="Masculino",2000,""))+IF(OR(Atletas!P340="Yang 26 A",Atletas!P340="Yang 40 A"),401,IF(OR(Atletas!P340="Chen 25 A",Atletas!P340="Chen 36 A",Atletas!P340="Chen 56 A"),402,IF(Atletas!P340="Sun 73 A",403,IF(Atletas!P340="Wu 45 A",404,IF(Atletas!P340="Wu-Hao 46 A",405,IF(OR(Atletas!P340="Taijiquan 16 A",Atletas!P340="Taijiquan 24 A",Atletas!P340="Taijiquan 32 A",Atletas!P340="Taijiquan 42 A"),406,IF(OR(Atletas!P340="Yang 26 B",Atletas!P340="Yang 40 B"),407,IF(OR(Atletas!P340="Chen 25 B",Atletas!P340="Chen 36 B",Atletas!P340="Chen 56 B"),408,IF(Atletas!P340="Sun 73 B",409,IF(Atletas!P340="Wu 45 B",410,IF(Atletas!P340="Wu-Hao 46 B",411,IF(OR(Atletas!P340="Taijiquan 16 B",Atletas!P340="Taijiquan 24 B",Atletas!P340="Taijiquan 32 B",Atletas!P340="Taijiquan 42 B"),412,IF(OR(Atletas!P340="Yang 26 C",Atletas!P340="Yang 40 C"),413,IF(OR(Atletas!P340="Chen 25 C",Atletas!P340="Chen 36 C",Atletas!P340="Chen 56 C"),414,IF(Atletas!P340="Sun 73 C",415,IF(Atletas!P340="Wu 45 C",416,IF(Atletas!P340="Wu-Hao 46 C",417,IF(OR(Atletas!P340="Taijiquan 16 C",Atletas!P340="Taijiquan 24 C",Atletas!P340="Taijiquan 32 C",Atletas!P340="Taijiquan 42 C"),418,0)))))))))))))))))))</f>
        <v/>
      </c>
      <c r="BX349" s="50" t="str">
        <f>IF(Atletas!P340="","",IF(Atletas!X340&lt;&gt;"",10000,0)+IF(Atletas!B340="Feminino",1000,IF(Atletas!B340="Masculino",2000,""))+IF(OR(Atletas!P340="Yang 26 D",Atletas!P340="Yang 40 D"),419,IF(OR(Atletas!P340="Chen 25 D",Atletas!P340="Chen 36 D",Atletas!P340="Chen 56 D"),420,IF(Atletas!P340="Sun 73 D",421,IF(Atletas!P340="Wu 45 D",422,IF(Atletas!P340="Wu-Hao 46 D",423,IF(OR(Atletas!P340="Taijiquan 16 D",Atletas!P340="Taijiquan 24 D",Atletas!P340="Taijiquan 32 D",Atletas!P340="Taijiquan 42 D"),424,IF(OR(Atletas!P340="Yang 26 E",Atletas!P340="Yang 40 E"),425,IF(OR(Atletas!P340="Chen 25 E",Atletas!P340="Chen 36 E",Atletas!P340="Chen 56 E"),426,IF(Atletas!P340="Sun 73 E",427,IF(Atletas!P340="Wu 45 E",428,IF(Atletas!P340="Wu-Hao 46 E",429,IF(OR(Atletas!P340="Taijiquan 16 E",Atletas!P340="Taijiquan 24 E",Atletas!P340="Taijiquan 32 E",Atletas!P340="Taijiquan 42 E"),430,IF(OR(Atletas!P340="Yang 26 F",Atletas!P340="Yang 40 F"),431,IF(OR(Atletas!P340="Chen 25 F",Atletas!P340="Chen 36 F",Atletas!P340="Chen 56 F"),432,IF(Atletas!P340="Sun 73 F",433,IF(Atletas!P340="Wu 45 F",434,IF(Atletas!P340="Wu-Hao 46 F",435,IF(OR(Atletas!P340="Taijiquan 16 F",Atletas!P340="Taijiquan 24 F",Atletas!P340="Taijiquan 32 F",Atletas!P340="Taijiquan 42 F"),436,0)))))))))))))))))))</f>
        <v/>
      </c>
      <c r="BY349" s="50" t="str">
        <f>IF(Atletas!Q340="","",IF(Atletas!X340&lt;&gt;"",10000,0)+IF(Atletas!B340="Feminino",1000,IF(Atletas!B340="Masculino",2000,""))+IF(Atletas!Q340="Xingyiquan A",501,IF(Atletas!Q340="Baguazhang A",502,IF(Atletas!Q340="Outro Estilo Interno A",503,IF(Atletas!Q340="Xingyiquan B",504,IF(Atletas!Q340="Baguazhang B",505,IF(Atletas!Q340="Outro Estilo Interno B",506,IF(Atletas!Q340="Xingyiquan C",507,IF(Atletas!Q340="Baguazhang C",508,IF(Atletas!Q340="Outro Estilo Interno C",509,IF(Atletas!Q340="Xingyiquan D",510,IF(Atletas!Q340="Baguazhang D",511,IF(Atletas!Q340="Outro Estilo Interno D",512,IF(Atletas!Q340="Xingyiquan E",513,IF(Atletas!Q340="Baguazhang E",514,IF(Atletas!Q340="Outro Estilo Interno E",515,IF(Atletas!Q340="Xingyiquan F",516,IF(Atletas!Q340="Baguazhang F",517,IF(Atletas!Q340="Outro Estilo Interno F",518, "")))))))))))))))))))</f>
        <v/>
      </c>
      <c r="BZ349" s="50" t="str">
        <f>IF(Atletas!R340="","",IF(Atletas!X340&lt;&gt;"",10000,0)+IF(Atletas!B340="Feminino",1000,IF(Atletas!B340="Masculino",2000,""))+IF(Atletas!R340="Dao A",601,IF(Atletas!R340="Jian A",602,IF(Atletas!R340="Bishou A",603,IF(Atletas!R340="Shanzi A",604,IF(Atletas!R340="Outra Arma Curta A",605,IF(Atletas!R340="Dao B",606,IF(Atletas!R340="Jian B",607,IF(Atletas!R340="Bishou B",608,IF(Atletas!R340="Shanzi B",609,IF(Atletas!R340="Outra Arma Curta B",610,IF(Atletas!R340="Dao C",611,IF(Atletas!R340="Jian C",612,IF(Atletas!R340="Bishou C",613,IF(Atletas!R340="Shanzi C",614,IF(Atletas!R340="Outra Arma Curta C",615,IF(Atletas!R340="Dao D",616,IF(Atletas!R340="Jian D",617,IF(Atletas!R340="Bishou D",618,IF(Atletas!R340="Shanzi D",619,IF(Atletas!R340="Outra Arma Curta D",620,IF(Atletas!R340="Dao E",621,IF(Atletas!R340="Jian E",622,IF(Atletas!R340="Bishou E",623,IF(Atletas!R340="Shanzi E",624,IF(Atletas!R340="Outra Arma Curta E",625,IF(Atletas!R340="Dao F",626,IF(Atletas!R340="Jian F",627,IF(Atletas!R340="Bishou F",628,IF(Atletas!R340="Shanzi F",629,IF(Atletas!R340="Outra Arma Curta F",630, "")))))))))))))))))))))))))))))))</f>
        <v/>
      </c>
      <c r="CA349" s="50" t="str">
        <f>IF(Atletas!S340="","",IF(Atletas!X340&lt;&gt;"",10000,0)+IF(Atletas!B340="Feminino",1000,IF(Atletas!B340="Masculino",2000,""))+IF(Atletas!S340="Gun A",701,IF(Atletas!S340="Qiang A",702,IF(Atletas!S340="Pudao / Guandao A",703,IF(Atletas!S340="Outra Arma Longa A",704,IF(Atletas!S340="Gun B",705,IF(Atletas!S340="Qiang B",706,IF(Atletas!S340="Pudao / Guandao B",707,IF(Atletas!S340="Outra Arma Longa B",708,IF(Atletas!S340="Gun C",709,IF(Atletas!S340="Qiang C",710,IF(Atletas!S340="Pudao / Guandao C",711,IF(Atletas!S340="Outra Arma Longa C",712,IF(Atletas!S340="Gun D",713,IF(Atletas!S340="Qiang D",714,IF(Atletas!S340="Pudao / Guandao D",715,IF(Atletas!S340="Outra Arma Longa D",716,IF(Atletas!S340="Gun E",717,IF(Atletas!S340="Qiang E",718,IF(Atletas!S340="Pudao / Guandao E",719,IF(Atletas!S340="Outra Arma Longa E",720,IF(Atletas!S340="Gun F",721,IF(Atletas!S340="Qiang F",722,IF(Atletas!S340="Pudao / Guandao F",723,IF(Atletas!S340="Outra Arma Longa F",724,"")))))))))))))))))))))))))</f>
        <v/>
      </c>
      <c r="CB349" s="50" t="str">
        <f>IF(Atletas!T340="","",IF(Atletas!X340&lt;&gt;"",10000,0)+IF(Atletas!B340="Feminino",1000,IF(Atletas!B340="Masculino",2000,""))+IF(Atletas!T340="Outra Arma Dupla A",801,IF(Atletas!T340="Arma Maleável A",802,IF(Atletas!T340="Outra Arma Dupla B",803,IF(Atletas!T340="Arma Maleável B",804,IF(Atletas!T340="Outra Arma Dupla C",805,IF(Atletas!T340="Arma Maleável C",806,IF(Atletas!T340="Outra Arma Dupla D",807,IF(Atletas!T340="Arma Maleável D",808,IF(Atletas!T340="Outra Arma Dupla E",809,IF(Atletas!T340="Arma Maleável E",810,IF(Atletas!T340="Outra Arma Dupla F",811,IF(Atletas!T340="Arma Maleável F",812,IF(Atletas!T340="Shuangdao A",813,IF(Atletas!T340="Shuangdao B",814,IF(Atletas!T340="Shuangdao C",815,IF(Atletas!T340="Shuangdao D",816,IF(Atletas!T340="Shuangdao E",817,IF(Atletas!T340="Shuangdao F",818,"")))))))))))))))))))</f>
        <v/>
      </c>
      <c r="CC349" s="50" t="str">
        <f>IF(Atletas!U340="","",IF(Atletas!X340&lt;&gt;"",10000,0)+IF(Atletas!B340="Feminino",1000,IF(Atletas!B340="Masculino",2000,""))+IF(OR(Atletas!U340="Taijijian Yang A",Atletas!U340="Taijijian Yang Standard A"),901,IF(OR(Atletas!U340="Taijijian Chen A", Atletas!U340="Taijijian Chen Standard A"),902,IF(Atletas!U340="Taijijian Sun A",903,IF(Atletas!U340="Taijijian Wu A",904,IF(Atletas!U340="Taijijian Wu-Hao A",905,IF(OR(Atletas!U340="Taijijian 32 A",Atletas!U340="Taijijian 42 A"),906,IF(OR(Atletas!U340="Taijijian Yang B",Atletas!U340="Taijijian Yang Standard B"),907,IF(OR(Atletas!U340="Taijijian Chen B", Atletas!U340="Taijijian Chen Standard B"),908,IF(Atletas!U340="Taijijian Sun B",909,IF(Atletas!U340="Taijijian Wu B",910,IF(Atletas!U340="Taijijian Wu-Hao B",911,IF(OR(Atletas!U340="Taijijian 32 B",Atletas!U340="Taijijian 42 B"),912,IF(OR(Atletas!U340="Taijijian Yang C",Atletas!U340="Taijijian Yang Standard C"),913,IF(OR(Atletas!U340="Taijijian Chen C", Atletas!U340="Taijijian Chen Standard C"),914,IF(Atletas!U340="Taijijian Sun C",915,IF(Atletas!U340="Taijijian Wu C",916,IF(Atletas!U340="Taijijian Wu-Hao C",917,IF(OR(Atletas!U340="Taijijian 32 C",Atletas!U340="Taijijian 42 C"),918,IF(OR(Atletas!U340="Taijijian Yang D",Atletas!U340="Taijijian Yang Standard D"),919,IF(OR(Atletas!U340="Taijijian Chen D", Atletas!U340="Taijijian Chen Standard D"),920,IF(Atletas!U340="Taijijian Sun D",921,IF(Atletas!U340="Taijijian Wu D",922,IF(Atletas!U340="Taijijian Wu-Hao D",923,IF(OR(Atletas!U340="Taijijian 32 D",Atletas!U340="Taijijian 42 D"),924,IF(OR(Atletas!U340="Taijijian Yang E",Atletas!U340="Taijijian Yang Standard E"),925,IF(OR(Atletas!U340="Taijijian Chen E", Atletas!U340="Taijijian Chen Standard E"),926,IF(Atletas!U340="Taijijian Sun E",927,IF(Atletas!U340="Taijijian Wu E",928,IF(Atletas!U340="Taijijian Wu-Hao E",929,IF(OR(Atletas!U340="Taijijian 32 E",Atletas!U340="Taijijian 42 E"),930,IF(OR(Atletas!U340="Taijijian Yang F",Atletas!U340="Taijijian Yang Standard F"),931,IF(OR(Atletas!U340="Taijijian Chen F", Atletas!U340="Taijijian Chen Standard F"),932,IF(Atletas!U340="Taijijian Sun F",933,IF(Atletas!U340="Taijijian Wu F",934,IF(Atletas!U340="Taijijian Wu-Hao F",935,IF(OR(Atletas!U340="Taijijian 32 F",Atletas!U340="Taijijian 42 F"),936,"")))))))))))))))))))))))))))))))))))))</f>
        <v/>
      </c>
      <c r="CD349" s="50" t="str">
        <f>IF(Atletas!V340="","",IF(Atletas!X340&lt;&gt;"",10000,0)+IF(Atletas!B340="Feminino",1000,IF(Atletas!B340="Masculino",2000,""))+IF(Atletas!V340="Taijidao A",937,IF(Atletas!V340="TaijiShanzi A",938,IF(Atletas!V340="Taijiqiang A",939,IF(Atletas!V340="Bagua de Arma A",940,IF(Atletas!V340="Xingyi de Arma A",941,IF(Atletas!V340="Taijidao B",942,IF(Atletas!V340="TaijiShanzi B",943,IF(Atletas!V340="Taijiqiang B",944,IF(Atletas!V340="Bagua de Arma B",945,IF(Atletas!V340="Xingyi de Arma B",946,IF(Atletas!V340="Taijidao C",947,IF(Atletas!V340="TaijiShanzi C",948,IF(Atletas!V340="Taijiqiang C",949,IF(Atletas!V340="Bagua de Arma C",950,IF(Atletas!V340="Xingyi de Arma C",951,IF(Atletas!V340="Taijidao D",952,IF(Atletas!V340="TaijiShanzi D",953,IF(Atletas!V340="Taijiqiang D",954,IF(Atletas!V340="Bagua de Arma D",955,IF(Atletas!V340="Xingyi de Arma D",956,IF(Atletas!V340="Taijidao E",957,IF(Atletas!V340="TaijiShanzi E",958,IF(Atletas!V340="Taijiqiang E",959,IF(Atletas!V340="Bagua de Arma E",960,IF(Atletas!V340="Xingyi de Arma E",961,IF(Atletas!V340="Taijidao F",962,IF(Atletas!V340="TaijiShanzi F",963,IF(Atletas!V340="Taijiqiang F",964,IF(Atletas!V340="Bagua de Arma F",965,IF(Atletas!V340="Xingyi de Arma F",966,"")))))))))))))))))))))))))))))))</f>
        <v/>
      </c>
      <c r="CE349" s="66" t="str">
        <f>IF(CF349&lt;&gt;"","Taijiqiang C","")</f>
        <v/>
      </c>
      <c r="CF349" s="66" t="str">
        <f>IF(COUNTIF(BR:CD,1949)&gt;0,COUNTIF(BR:CD,1949),"")</f>
        <v/>
      </c>
      <c r="CG349" s="66" t="str">
        <f>IF(CH349&lt;&gt;"","Taijiqiang C","")</f>
        <v/>
      </c>
      <c r="CH349" s="66" t="str">
        <f>IF(COUNTIF(BR:CD,2949)&gt;0,COUNTIF(BR:CD,2949),"")</f>
        <v/>
      </c>
      <c r="CI349" s="66" t="str">
        <f>IF(CJ350&lt;&gt;"","Taijidao F","")</f>
        <v/>
      </c>
      <c r="CJ349" s="66" t="str">
        <f>IF(COUNTIF(BR:CD,11961)&gt;0,COUNTIF(BR:CD,11961),"")</f>
        <v/>
      </c>
      <c r="CK349" s="66" t="str">
        <f>IF(CL349&lt;&gt;"","Xingyi de Arma E","")</f>
        <v/>
      </c>
      <c r="CL349" s="66" t="str">
        <f>IF(COUNTIF(BR:CD,12961)&gt;0,COUNTIF(BR:CD,12961),"")</f>
        <v/>
      </c>
      <c r="CM349" s="50" t="str">
        <f xml:space="preserve"> IF(Atletas!W340="","",IF(Atletas!W340="Duilian de Mãos BC - Equipe 1",1,IF(Atletas!W340="Duilian de Mãos BC - Equipe 2",2,IF(Atletas!W340="Duilian de Armas BC - Equipe 1",3,IF(Atletas!W340="Duilian de Armas BC - Equipe 2",4,IF(Atletas!W340="Duilian de Mãos DE - Equipe 1",5,IF(Atletas!W340="Duilian de Mãos DE - Equipe 2",6,IF(Atletas!W340="Duilian de Armas DE - Equipe 1",7,IF(Atletas!W340="Duilian de Armas DE - Equipe 2",8,IF(Atletas!W340="Duilian de Tuishou - Equipe 1",9,IF(Atletas!W340="Duilian de Tuishou - Equipe 2",10,IF(Atletas!W340="Grupo Externo ABC - Equipe 1",11,IF(Atletas!W340="Grupo Externo ABC - Equipe 2",12,IF(Atletas!W340="Grupo Interno ABC - Equipe 1",13,IF(Atletas!W340="Grupo Interno ABC - Equipe 2",14,IF(Atletas!W340="Grupo Externo DEF - Equipe 1",15,IF(Atletas!W340="Grupo Externo DEF - Equipe 2",16,IF(Atletas!W340="Grupo Interno DEF - Equipe 1",17,IF(Atletas!W340="Grupo Interno DEF - Equipe 2",18,"")))))))))))))))))))</f>
        <v/>
      </c>
    </row>
    <row r="350" spans="40:91">
      <c r="AN350" s="52" t="str">
        <f>IF(Atletas!D341="","",IF(Atletas!B341="Feminino",100,IF(Atletas!B341="Masculino",200,""))+(IF(Atletas!D341="Kids 30kg",1,IF(Atletas!D341="Kids 32kg",2, IF(Atletas!D341="Kids 34kg",3,IF(Atletas!D341="Kids 36kg",4,IF(Atletas!D341="Kids 39kg",5,IF(Atletas!D341="Kids 42kg",6,IF(Atletas!D341="Kids 45kg",7, IF(Atletas!D341="Infantil 39kg",8,IF(Atletas!D341="Infantil 42kg",9,IF(Atletas!D341="Infantil 45kg",10,IF(Atletas!D341="Infantil 48kg",11,IF(Atletas!D341="Infantil 52kg",12,IF(Atletas!D341="Infantil 56kg",13,IF(Atletas!D341="Infantil 60kg",14,IF(Atletas!D341="Juvenil 48kg",15,IF(Atletas!D341="Juvenil 52kg",16,IF(Atletas!D341="Juvenil 56kg",17,IF(Atletas!D341="Juvenil 60kg",18,IF(Atletas!D341="Juvenil 65kg",19,IF(Atletas!D341="Juvenil 70kg",20,IF(Atletas!D341="Juvenil 75kg",21,IF(Atletas!D341="Juvenil 80kg",22, IF(Atletas!D341="Juvenil 85kg",23,IF(Atletas!D341="Adulto 48kg",24,IF(Atletas!D341="Adulto 52kg",25,IF(Atletas!D341="Adulto 56kg",26,IF(Atletas!D341="Adulto 60kg",27,IF(Atletas!D341="Adulto 65kg",28,IF(Atletas!D341="Adulto 70kg",29,IF(Atletas!D341="Adulto 75kg",30,IF(Atletas!D341="Adulto 80kg",31,IF(Atletas!D341="Adulto 85kg",32,IF(Atletas!D341="Adulto 90kg",33,IF(Atletas!D341="Adulto 100kg",34, IF(Atletas!D341="Adulto +100kg",35,"")))))))))))))))))))))))))))))))))))))</f>
        <v/>
      </c>
      <c r="AS350" s="6" t="str">
        <f>IF(Atletas!E341="","",IF(Atletas!B341="Feminino",100,IF(Atletas!B341="Masculino",200,""))+(IF(Atletas!E341="Juvenil 44kg",1,IF(Atletas!E341="Juvenil 48kg",2,IF(Atletas!E341="Juvenil 52kg",3,IF(Atletas!E341="Juvenil 56kg",4,IF(Atletas!E341="Juvenil 60kg",5,IF(Atletas!E341="Juvenil 65kg",6,IF(Atletas!E341="Juvenil 70kg",7,IF(Atletas!E341="Juvenil 75kg",8,IF(Atletas!E341="Juvenil 82kg",9,IF(Atletas!E341="Juvenil 90kg",10,IF(Atletas!E341="Juvenil 100kg",11,IF(Atletas!E341="Adulto 48kg",12,IF(Atletas!E341="Adulto 52kg",13,IF(Atletas!E341="Adulto 56kg",14,IF(Atletas!E341="Adulto 60kg",15,IF(Atletas!E341="Adulto 65kg",16,IF(Atletas!E341="Adulto 70kg",17,IF(Atletas!E341="Adulto 75kg",18,IF(Atletas!E341="Adulto 82kg",19,IF(Atletas!E341="Adulto 90kg",20,IF(Atletas!E341="Adulto 100kg",21,IF(Atletas!E341="Adulto +100kg",22,""))))))))))))))))))))))))</f>
        <v/>
      </c>
      <c r="AX350" s="6" t="str">
        <f>IF(Atletas!F341="","",IF(Atletas!B341="Feminino",100,IF(Atletas!B341="Masculino",200,""))+(IF(Atletas!F341="Adulto 48kg",1,IF(Atletas!F341="Adulto 56kg",2,IF(Atletas!F341="Adulto 65kg",3,IF(Atletas!F341="Adulto 75kg",4,IF(Atletas!F341="Adulto +75kg",5,IF(Atletas!F341="Adulto 52kg",6,IF(Atletas!F341="Adulto 60kg",7,IF(Atletas!F341="Adulto 70kg",8,IF(Atletas!F341="Adulto 80kg",9,IF(Atletas!F341="Adulto 90kg",10,IF(Atletas!F341="Adulto +90kg",11,"")))))))))))))</f>
        <v/>
      </c>
      <c r="BC350" s="6" t="str">
        <f>IF(Atletas!G341="","",IF(Atletas!B341="Feminino",10,IF(Atletas!B341="Masculino",20,""))+(IF(Atletas!G341="Baduanjin A",1,IF(Atletas!G341="Baduanjin B",2))))</f>
        <v/>
      </c>
      <c r="BF350" s="52" t="str">
        <f>IF(Atletas!H341="","",IF(Atletas!B341="Feminino",100,IF(Atletas!B341="Masculino",200,""))+(IF(Atletas!H341="Changquan Mirim",1,IF(Atletas!H341="Nanquan Mirim",2,IF(Atletas!H341="Taijiquan Mirim",3,IF(Atletas!H341="Changquan Grupo C",4,IF(Atletas!H341="Nanquan Grupo C",5,IF(Atletas!H341="Taijiquan Grupo C",6,IF(Atletas!H341="Changquan Grupo B",7,IF(Atletas!H341="Nanquan Grupo B",8,IF(Atletas!H341="Taijiquan Grupo B",9,IF(Atletas!H341="Changquan Grupo A",10,IF(Atletas!H341="Nanquan Grupo A",11,IF(Atletas!H341="Taijiquan Grupo A",12,IF(Atletas!H341="Changquan Opcional",13,IF(Atletas!H341="Nanquan Opcional",14,IF(Atletas!H341="Taijiquan Opcional",15,IF(Atletas!H341="Changquan Adulto",16,IF(Atletas!H341="Nanquan Adulto",17,IF(Atletas!H341="Taijiquan Adulto",18,""))))))))))))))))))))</f>
        <v/>
      </c>
      <c r="BG350" s="52" t="str">
        <f>IF(Atletas!I341="","",IF(Atletas!B341="Feminino",100,IF(Atletas!B341="Masculino",200,""))+(IF(Atletas!I341="Daoshu Mirim",19,IF(Atletas!I341="Jianshu Mirim",20,IF(Atletas!I341="Nandao Mirim",21,IF(Atletas!I341="Taijijian Mirim",22,IF(Atletas!I341="Daoshu Grupo C",23,IF(Atletas!I341="Jianshu Grupo C",24,IF(Atletas!I341="Nandao Grupo C",25,IF(Atletas!I341="Taijijian Grupo C",26,IF(Atletas!I341="Daoshu Grupo B",27,IF(Atletas!I341="Jianshu Grupo B",28,IF(Atletas!I341="Nandao Grupo B",29,IF(Atletas!I341="Taijijian Grupo B",30,IF(Atletas!I341="Daoshu Grupo A",31,IF(Atletas!I341="Jianshu Grupo A",32,IF(Atletas!I341="Nandao Grupo A",33,IF(Atletas!I341="Taijijian Grupo A",34,IF(Atletas!I341="Daoshu Opcional",35,IF(Atletas!I341="Jianshu Opcional",36,IF(Atletas!I341="Nandao Opcional",37,IF(Atletas!I341="Taijijian Opcional",38,IF(Atletas!I341="Daoshu Adulto",39,IF(Atletas!I341="Jianshu Adulto",40,IF(Atletas!I341="Nandao Adulto",41,IF(Atletas!I341="Taijijian Adulto",42,""))))))))))))))))))))))))))</f>
        <v/>
      </c>
      <c r="BH350" s="52" t="str">
        <f>IF(Atletas!J341="","",IF(Atletas!B341="Feminino",100,IF(Atletas!B341="Masculino",200,""))+(IF(Atletas!J341="Gunshu Mirim",43,IF(Atletas!J341="Qiangshu Mirim",44,IF(Atletas!J341="Nangun Mirim",45,IF(Atletas!J341="Gunshu Grupo C",46,IF(Atletas!J341="Qiangshu Grupo C",47,IF(Atletas!J341="Nangun Grupo C",48,IF(Atletas!J341="Gunshu Grupo B",49,IF(Atletas!J341="Qiangshu Grupo B",50,IF(Atletas!J341="Nangun Grupo B",51,IF(Atletas!J341="Gunshu Grupo A",52,IF(Atletas!J341="Qiangshu Grupo A",53,IF(Atletas!J341="Nangun Grupo A",54,IF(Atletas!J341="Gunshu Opcional",55,IF(Atletas!J341="Qiangshu Opcional",56,IF(Atletas!J341="Nangun Opcional",57,IF(Atletas!J341="Gunshu Adulto",58,IF(Atletas!J341="Qiangshu Adulto",59,IF(Atletas!J341="Nangun Adulto",60,IF(Atletas!J341="Taijishan Grupo B",61,IF(Atletas!J341="Taijishan Grupo A",62,""))))))))))))))))))))))</f>
        <v/>
      </c>
      <c r="BM350" s="50" t="str">
        <f>IF(Atletas!K341="","",IF(Atletas!B341="Feminino",100,IF(Atletas!B341="Masculino",200,""))+(IF(Atletas!K341="Equipe 1 Grupo B",1,IF(Atletas!K341="Equipe 2 Grupo B",2,IF(Atletas!K341="Equipe 1 Grupo A",3,IF(Atletas!K341="Equipe 2 Grupo A",4,IF(Atletas!K341="Equipe 1 Adulto",5,IF(Atletas!K341="Equipe 2 Adulto",6,""))))))))</f>
        <v/>
      </c>
      <c r="BR350" s="50" t="str">
        <f>IF(Atletas!L341="","",IF(Atletas!X341&lt;&gt;"",10000,0)+(IF(Atletas!B341="Feminino",1000,IF(Atletas!B341="Masculino",2000,""))+IF(Atletas!L341="Choylayfut A",1,IF(Atletas!L341="Hunggar A",2,IF(Atletas!L341="Wuzuquan A",3,IF(Atletas!L341="Wingchun A",4,IF(Atletas!L341="Outra Mão de Sul A",5,IF(Atletas!L341="Choylayfut B",6,IF(Atletas!L341="Hunggar B",7,IF(Atletas!L341="Wuzuquan B",8,IF(Atletas!L341="Wingchun B",9,IF(Atletas!L341="Outra Mão de Sul B",10,IF(Atletas!L341="Choylayfut C",11,IF(Atletas!L341="Hunggar C",12,IF(Atletas!L341="Wuzuquan C",13,IF(Atletas!L341="Wingchun C",14,IF(Atletas!L341="Outra Mão de Sul C",15,IF(Atletas!L341="Choylayfut D",16,IF(Atletas!L341="Hunggar D",17,IF(Atletas!L341="Wuzuquan D",18,IF(Atletas!L341="Wingchun D",19,IF(Atletas!L341="Outra Mão de Sul D",20,IF(Atletas!L341="Choylayfut E",21,IF(Atletas!L341="Hunggar E",22,IF(Atletas!L341="Wuzuquan E",23,IF(Atletas!L341="Wingchun E",24,IF(Atletas!L341="Outra Mão de Sul E",25,IF(Atletas!L341="Choylayfut F",26,IF(Atletas!L341="Hunggar F",27,IF(Atletas!L341="Wuzuquan F",28,IF(Atletas!L341="Wingchun F",29,IF(Atletas!L341="Outra Mão de Sul F",30,IF(Atletas!L341="Dishuquan A",31,IF(Atletas!L341="Dishuquan B",32,IF(Atletas!L341="Dishuquan C",33,IF(Atletas!L341="Dishuquan D",34,IF(Atletas!L341="Dishuquan E",35,IF(Atletas!L341="Dishuquan F",36,""))))))))))))))))))))))))))))))))))))))</f>
        <v/>
      </c>
      <c r="BS350" s="50" t="str">
        <f>IF(Atletas!M341="","",IF(Atletas!X341&lt;&gt;"",10000,0)+(IF(Atletas!B341="Feminino",1000,IF(Atletas!B341="Masculino",2000,""))+(IF(Atletas!M341="Chaquan A",101,IF(Atletas!M341="Emeiquan A",102,IF(Atletas!M341="Fanziquan A",103,IF(Atletas!M341="Huaquan A",104,IF(Atletas!M341="Hongquan A",105,IF(Atletas!M341="Paoquan A",106,IF(Atletas!M341="Piguaquan A",107,IF(Atletas!M341="Shaolinquan A",108,IF(Atletas!M341="Tanglangquan A",109,IF(Atletas!M341="Yingzhaoquan A",110,IF(Atletas!M341="Tongbeiquan A",111,IF(Atletas!M341="Wudangquan A",112,IF(Atletas!M341="Outros Estilos A",113,IF(Atletas!M341="Chaquan B",114,IF(Atletas!M341="Emeiquan B",115,IF(Atletas!M341="Fanziquan B",116,IF(Atletas!M341="Huaquan B",117,IF(Atletas!M341="Hongquan B",118,IF(Atletas!M341="Paoquan B",119,IF(Atletas!M341="Piguaquan B",120,IF(Atletas!M341="Shaolinquan B",121,IF(Atletas!M341="Tanglangquan B",122,IF(Atletas!M341="Yingzhaoquan B",123,IF(Atletas!M341="Tongbeiquan B",124,IF(Atletas!M341="Wudangquan B",125,IF(Atletas!M341="Outros Estilos B",126,IF(Atletas!M341="Chaquan C",127,IF(Atletas!M341="Emeiquan C",128,IF(Atletas!M341="Fanziquan C",129,IF(Atletas!M341="Huaquan C",130,IF(Atletas!M341="Hongquan C",131,IF(Atletas!M341="Paoquan C",132,IF(Atletas!M341="Piguaquan C",133,IF(Atletas!M341="Shaolinquan C",134,IF(Atletas!M341="Tanglangquan C",135,IF(Atletas!M341="Yingzhaoquan C",136,IF(Atletas!M341="Tongbeiquan C",137,IF(Atletas!M341="Wudangquan C",138,IF(Atletas!M341="Outros Estilos C",139,0))))))))))))))))))))))))))))))))))))))))))</f>
        <v/>
      </c>
      <c r="BT350" s="50" t="str">
        <f>IF(Atletas!M341="","",IF(Atletas!X341&lt;&gt;"",10000,0)+(IF(Atletas!B341="Feminino",1000,IF(Atletas!B341="Masculino",2000,""))+(IF(Atletas!M341="Chaquan D",140,IF(Atletas!M341="Emeiquan D",141,IF(Atletas!M341="Fanziquan D",142,IF(Atletas!M341="Huaquan D",143,IF(Atletas!M341="Hongquan D",144,IF(Atletas!M341="Paoquan D",145,IF(Atletas!M341="Piguaquan D",146,IF(Atletas!M341="Shaolinquan D",147,IF(Atletas!M341="Tanglangquan D",148,IF(Atletas!M341="Yingzhaoquan D",149,IF(Atletas!M341="Tongbeiquan D",150,IF(Atletas!M341="Wudangquan D",151,IF(Atletas!M341="Outros Estilos D",152,IF(Atletas!M341="Chaquan E",153,IF(Atletas!M341="Emeiquan E",154,IF(Atletas!M341="Fanziquan E",155,IF(Atletas!M341="Huaquan E",156,IF(Atletas!M341="Hongquan E",157,IF(Atletas!M341="Paoquan E",158,IF(Atletas!M341="Piguaquan E",159,IF(Atletas!M341="Shaolinquan E",160,IF(Atletas!M341="Tanglangquan E",161,IF(Atletas!M341="Yingzhaoquan E",162,IF(Atletas!M341="Tongbeiquan E",163,IF(Atletas!M341="Wudangquan E",164,IF(Atletas!M341="Outros Estilos E",165,IF(Atletas!M341="Chaquan F",166,IF(Atletas!M341="Emeiquan F",167,IF(Atletas!M341="Fanziquan F",168,IF(Atletas!M341="Huaquan F",169,IF(Atletas!M341="Hongquan F",170,IF(Atletas!M341="Paoquan F",171,IF(Atletas!M341="Piguaquan F",172,IF(Atletas!M341="Shaolinquan F",173,IF(Atletas!M341="Tanglangquan F",174,IF(Atletas!M341="Yingzhaoquan F",175,IF(Atletas!M341="Tongbeiquan F",176,IF(Atletas!M341="Wudangquan F",177,IF(Atletas!M341="Outros Estilos F",178,0))))))))))))))))))))))))))))))))))))))))))</f>
        <v/>
      </c>
      <c r="BU350" s="50" t="str">
        <f>IF(Atletas!N341="","",IF(Atletas!X341&lt;&gt;"",10000,0)+(IF(Atletas!B341="Feminino",1000,IF(Atletas!B341="Masculino",2000,""))+(IF(Atletas!N341="Ditangquan A",201,IF(Atletas!N341="Houquan A",202,IF(Atletas!N341="Zuiquan A",203,IF(Atletas!N341="Ditangquan B",204,IF(Atletas!N341="Houquan B",205,IF(Atletas!N341="Zuiquan B",206,IF(Atletas!N341="Ditangquan C",207,IF(Atletas!N341="Houquan C",208,IF(Atletas!N341="Zuiquan C",209,IF(Atletas!N341="Ditangquan D",210,IF(Atletas!N341="Houquan D",211,IF(Atletas!N341="Zuiquan D",212,IF(Atletas!N341="Ditangquan E",213,IF(Atletas!N341="Houquan E",214,IF(Atletas!N341="Zuiquan E",215,IF(Atletas!N341="Ditangquan F",216,IF(Atletas!N341="Houquan F",217,IF(Atletas!N341="Zuiquan F",218,"")))))))))))))))))))))</f>
        <v/>
      </c>
      <c r="BV350" s="50" t="str">
        <f>IF(Atletas!O341="","",IF(Atletas!X341&lt;&gt;"",10000,0)+IF(Atletas!B341="Feminino",1000,IF(Atletas!B341="Masculino",2000,""))+IF(Atletas!O341="Yang A",301,IF(Atletas!O341="Chen A",302,IF(Atletas!O341="Sun A",303,IF(Atletas!O341="Wu A",304,IF(Atletas!O341="Wu-Hao A",305,IF(Atletas!O341="Outro Taijiquan A",306,IF(Atletas!O341="Yang B",307,IF(Atletas!O341="Chen B",308,IF(Atletas!O341="Sun B",309,IF(Atletas!O341="Wu B",310,IF(Atletas!O341="Wu-Hao B",311,IF(Atletas!O341="Outro Taijiquan B",312,IF(Atletas!O341="Yang C",313,IF(Atletas!O341="Chen C",314,IF(Atletas!O341="Sun C",315,IF(Atletas!O341="Wu C",316,IF(Atletas!O341="Wu-Hao C",317,IF(Atletas!O341="Outro Taijiquan C",318,IF(Atletas!O341="Yang D",319,IF(Atletas!O341="Chen D",320,IF(Atletas!O341="Sun D",321,IF(Atletas!O341="Wu D",322,IF(Atletas!O341="Wu-Hao D",323,IF(Atletas!O341="Outro Taijiquan D",324,IF(Atletas!O341="Yang E",325,IF(Atletas!O341="Chen E",326,IF(Atletas!O341="Sun E",327,IF(Atletas!O341="Wu E",328,IF(Atletas!O341="Wu-Hao E",329,IF(Atletas!O341="Outro Taijiquan E",330,IF(Atletas!O341="Yang F",331,IF(Atletas!O341="Chen F",332,IF(Atletas!O341="Sun F",333,IF(Atletas!O341="Wu F",334,IF(Atletas!O341="Wu-Hao F",335,IF(Atletas!O341="Outro Taijiquan F",336,"")))))))))))))))))))))))))))))))))))))</f>
        <v/>
      </c>
      <c r="BW350" s="50" t="str">
        <f>IF(Atletas!P341="","",IF(Atletas!X341&lt;&gt;"",10000,0)+IF(Atletas!B341="Feminino",1000,IF(Atletas!B341="Masculino",2000,""))+IF(OR(Atletas!P341="Yang 26 A",Atletas!P341="Yang 40 A"),401,IF(OR(Atletas!P341="Chen 25 A",Atletas!P341="Chen 36 A",Atletas!P341="Chen 56 A"),402,IF(Atletas!P341="Sun 73 A",403,IF(Atletas!P341="Wu 45 A",404,IF(Atletas!P341="Wu-Hao 46 A",405,IF(OR(Atletas!P341="Taijiquan 16 A",Atletas!P341="Taijiquan 24 A",Atletas!P341="Taijiquan 32 A",Atletas!P341="Taijiquan 42 A"),406,IF(OR(Atletas!P341="Yang 26 B",Atletas!P341="Yang 40 B"),407,IF(OR(Atletas!P341="Chen 25 B",Atletas!P341="Chen 36 B",Atletas!P341="Chen 56 B"),408,IF(Atletas!P341="Sun 73 B",409,IF(Atletas!P341="Wu 45 B",410,IF(Atletas!P341="Wu-Hao 46 B",411,IF(OR(Atletas!P341="Taijiquan 16 B",Atletas!P341="Taijiquan 24 B",Atletas!P341="Taijiquan 32 B",Atletas!P341="Taijiquan 42 B"),412,IF(OR(Atletas!P341="Yang 26 C",Atletas!P341="Yang 40 C"),413,IF(OR(Atletas!P341="Chen 25 C",Atletas!P341="Chen 36 C",Atletas!P341="Chen 56 C"),414,IF(Atletas!P341="Sun 73 C",415,IF(Atletas!P341="Wu 45 C",416,IF(Atletas!P341="Wu-Hao 46 C",417,IF(OR(Atletas!P341="Taijiquan 16 C",Atletas!P341="Taijiquan 24 C",Atletas!P341="Taijiquan 32 C",Atletas!P341="Taijiquan 42 C"),418,0)))))))))))))))))))</f>
        <v/>
      </c>
      <c r="BX350" s="50" t="str">
        <f>IF(Atletas!P341="","",IF(Atletas!X341&lt;&gt;"",10000,0)+IF(Atletas!B341="Feminino",1000,IF(Atletas!B341="Masculino",2000,""))+IF(OR(Atletas!P341="Yang 26 D",Atletas!P341="Yang 40 D"),419,IF(OR(Atletas!P341="Chen 25 D",Atletas!P341="Chen 36 D",Atletas!P341="Chen 56 D"),420,IF(Atletas!P341="Sun 73 D",421,IF(Atletas!P341="Wu 45 D",422,IF(Atletas!P341="Wu-Hao 46 D",423,IF(OR(Atletas!P341="Taijiquan 16 D",Atletas!P341="Taijiquan 24 D",Atletas!P341="Taijiquan 32 D",Atletas!P341="Taijiquan 42 D"),424,IF(OR(Atletas!P341="Yang 26 E",Atletas!P341="Yang 40 E"),425,IF(OR(Atletas!P341="Chen 25 E",Atletas!P341="Chen 36 E",Atletas!P341="Chen 56 E"),426,IF(Atletas!P341="Sun 73 E",427,IF(Atletas!P341="Wu 45 E",428,IF(Atletas!P341="Wu-Hao 46 E",429,IF(OR(Atletas!P341="Taijiquan 16 E",Atletas!P341="Taijiquan 24 E",Atletas!P341="Taijiquan 32 E",Atletas!P341="Taijiquan 42 E"),430,IF(OR(Atletas!P341="Yang 26 F",Atletas!P341="Yang 40 F"),431,IF(OR(Atletas!P341="Chen 25 F",Atletas!P341="Chen 36 F",Atletas!P341="Chen 56 F"),432,IF(Atletas!P341="Sun 73 F",433,IF(Atletas!P341="Wu 45 F",434,IF(Atletas!P341="Wu-Hao 46 F",435,IF(OR(Atletas!P341="Taijiquan 16 F",Atletas!P341="Taijiquan 24 F",Atletas!P341="Taijiquan 32 F",Atletas!P341="Taijiquan 42 F"),436,0)))))))))))))))))))</f>
        <v/>
      </c>
      <c r="BY350" s="50" t="str">
        <f>IF(Atletas!Q341="","",IF(Atletas!X341&lt;&gt;"",10000,0)+IF(Atletas!B341="Feminino",1000,IF(Atletas!B341="Masculino",2000,""))+IF(Atletas!Q341="Xingyiquan A",501,IF(Atletas!Q341="Baguazhang A",502,IF(Atletas!Q341="Outro Estilo Interno A",503,IF(Atletas!Q341="Xingyiquan B",504,IF(Atletas!Q341="Baguazhang B",505,IF(Atletas!Q341="Outro Estilo Interno B",506,IF(Atletas!Q341="Xingyiquan C",507,IF(Atletas!Q341="Baguazhang C",508,IF(Atletas!Q341="Outro Estilo Interno C",509,IF(Atletas!Q341="Xingyiquan D",510,IF(Atletas!Q341="Baguazhang D",511,IF(Atletas!Q341="Outro Estilo Interno D",512,IF(Atletas!Q341="Xingyiquan E",513,IF(Atletas!Q341="Baguazhang E",514,IF(Atletas!Q341="Outro Estilo Interno E",515,IF(Atletas!Q341="Xingyiquan F",516,IF(Atletas!Q341="Baguazhang F",517,IF(Atletas!Q341="Outro Estilo Interno F",518, "")))))))))))))))))))</f>
        <v/>
      </c>
      <c r="BZ350" s="50" t="str">
        <f>IF(Atletas!R341="","",IF(Atletas!X341&lt;&gt;"",10000,0)+IF(Atletas!B341="Feminino",1000,IF(Atletas!B341="Masculino",2000,""))+IF(Atletas!R341="Dao A",601,IF(Atletas!R341="Jian A",602,IF(Atletas!R341="Bishou A",603,IF(Atletas!R341="Shanzi A",604,IF(Atletas!R341="Outra Arma Curta A",605,IF(Atletas!R341="Dao B",606,IF(Atletas!R341="Jian B",607,IF(Atletas!R341="Bishou B",608,IF(Atletas!R341="Shanzi B",609,IF(Atletas!R341="Outra Arma Curta B",610,IF(Atletas!R341="Dao C",611,IF(Atletas!R341="Jian C",612,IF(Atletas!R341="Bishou C",613,IF(Atletas!R341="Shanzi C",614,IF(Atletas!R341="Outra Arma Curta C",615,IF(Atletas!R341="Dao D",616,IF(Atletas!R341="Jian D",617,IF(Atletas!R341="Bishou D",618,IF(Atletas!R341="Shanzi D",619,IF(Atletas!R341="Outra Arma Curta D",620,IF(Atletas!R341="Dao E",621,IF(Atletas!R341="Jian E",622,IF(Atletas!R341="Bishou E",623,IF(Atletas!R341="Shanzi E",624,IF(Atletas!R341="Outra Arma Curta E",625,IF(Atletas!R341="Dao F",626,IF(Atletas!R341="Jian F",627,IF(Atletas!R341="Bishou F",628,IF(Atletas!R341="Shanzi F",629,IF(Atletas!R341="Outra Arma Curta F",630, "")))))))))))))))))))))))))))))))</f>
        <v/>
      </c>
      <c r="CA350" s="50" t="str">
        <f>IF(Atletas!S341="","",IF(Atletas!X341&lt;&gt;"",10000,0)+IF(Atletas!B341="Feminino",1000,IF(Atletas!B341="Masculino",2000,""))+IF(Atletas!S341="Gun A",701,IF(Atletas!S341="Qiang A",702,IF(Atletas!S341="Pudao / Guandao A",703,IF(Atletas!S341="Outra Arma Longa A",704,IF(Atletas!S341="Gun B",705,IF(Atletas!S341="Qiang B",706,IF(Atletas!S341="Pudao / Guandao B",707,IF(Atletas!S341="Outra Arma Longa B",708,IF(Atletas!S341="Gun C",709,IF(Atletas!S341="Qiang C",710,IF(Atletas!S341="Pudao / Guandao C",711,IF(Atletas!S341="Outra Arma Longa C",712,IF(Atletas!S341="Gun D",713,IF(Atletas!S341="Qiang D",714,IF(Atletas!S341="Pudao / Guandao D",715,IF(Atletas!S341="Outra Arma Longa D",716,IF(Atletas!S341="Gun E",717,IF(Atletas!S341="Qiang E",718,IF(Atletas!S341="Pudao / Guandao E",719,IF(Atletas!S341="Outra Arma Longa E",720,IF(Atletas!S341="Gun F",721,IF(Atletas!S341="Qiang F",722,IF(Atletas!S341="Pudao / Guandao F",723,IF(Atletas!S341="Outra Arma Longa F",724,"")))))))))))))))))))))))))</f>
        <v/>
      </c>
      <c r="CB350" s="50" t="str">
        <f>IF(Atletas!T341="","",IF(Atletas!X341&lt;&gt;"",10000,0)+IF(Atletas!B341="Feminino",1000,IF(Atletas!B341="Masculino",2000,""))+IF(Atletas!T341="Outra Arma Dupla A",801,IF(Atletas!T341="Arma Maleável A",802,IF(Atletas!T341="Outra Arma Dupla B",803,IF(Atletas!T341="Arma Maleável B",804,IF(Atletas!T341="Outra Arma Dupla C",805,IF(Atletas!T341="Arma Maleável C",806,IF(Atletas!T341="Outra Arma Dupla D",807,IF(Atletas!T341="Arma Maleável D",808,IF(Atletas!T341="Outra Arma Dupla E",809,IF(Atletas!T341="Arma Maleável E",810,IF(Atletas!T341="Outra Arma Dupla F",811,IF(Atletas!T341="Arma Maleável F",812,IF(Atletas!T341="Shuangdao A",813,IF(Atletas!T341="Shuangdao B",814,IF(Atletas!T341="Shuangdao C",815,IF(Atletas!T341="Shuangdao D",816,IF(Atletas!T341="Shuangdao E",817,IF(Atletas!T341="Shuangdao F",818,"")))))))))))))))))))</f>
        <v/>
      </c>
      <c r="CC350" s="50" t="str">
        <f>IF(Atletas!U341="","",IF(Atletas!X341&lt;&gt;"",10000,0)+IF(Atletas!B341="Feminino",1000,IF(Atletas!B341="Masculino",2000,""))+IF(OR(Atletas!U341="Taijijian Yang A",Atletas!U341="Taijijian Yang Standard A"),901,IF(OR(Atletas!U341="Taijijian Chen A", Atletas!U341="Taijijian Chen Standard A"),902,IF(Atletas!U341="Taijijian Sun A",903,IF(Atletas!U341="Taijijian Wu A",904,IF(Atletas!U341="Taijijian Wu-Hao A",905,IF(OR(Atletas!U341="Taijijian 32 A",Atletas!U341="Taijijian 42 A"),906,IF(OR(Atletas!U341="Taijijian Yang B",Atletas!U341="Taijijian Yang Standard B"),907,IF(OR(Atletas!U341="Taijijian Chen B", Atletas!U341="Taijijian Chen Standard B"),908,IF(Atletas!U341="Taijijian Sun B",909,IF(Atletas!U341="Taijijian Wu B",910,IF(Atletas!U341="Taijijian Wu-Hao B",911,IF(OR(Atletas!U341="Taijijian 32 B",Atletas!U341="Taijijian 42 B"),912,IF(OR(Atletas!U341="Taijijian Yang C",Atletas!U341="Taijijian Yang Standard C"),913,IF(OR(Atletas!U341="Taijijian Chen C", Atletas!U341="Taijijian Chen Standard C"),914,IF(Atletas!U341="Taijijian Sun C",915,IF(Atletas!U341="Taijijian Wu C",916,IF(Atletas!U341="Taijijian Wu-Hao C",917,IF(OR(Atletas!U341="Taijijian 32 C",Atletas!U341="Taijijian 42 C"),918,IF(OR(Atletas!U341="Taijijian Yang D",Atletas!U341="Taijijian Yang Standard D"),919,IF(OR(Atletas!U341="Taijijian Chen D", Atletas!U341="Taijijian Chen Standard D"),920,IF(Atletas!U341="Taijijian Sun D",921,IF(Atletas!U341="Taijijian Wu D",922,IF(Atletas!U341="Taijijian Wu-Hao D",923,IF(OR(Atletas!U341="Taijijian 32 D",Atletas!U341="Taijijian 42 D"),924,IF(OR(Atletas!U341="Taijijian Yang E",Atletas!U341="Taijijian Yang Standard E"),925,IF(OR(Atletas!U341="Taijijian Chen E", Atletas!U341="Taijijian Chen Standard E"),926,IF(Atletas!U341="Taijijian Sun E",927,IF(Atletas!U341="Taijijian Wu E",928,IF(Atletas!U341="Taijijian Wu-Hao E",929,IF(OR(Atletas!U341="Taijijian 32 E",Atletas!U341="Taijijian 42 E"),930,IF(OR(Atletas!U341="Taijijian Yang F",Atletas!U341="Taijijian Yang Standard F"),931,IF(OR(Atletas!U341="Taijijian Chen F", Atletas!U341="Taijijian Chen Standard F"),932,IF(Atletas!U341="Taijijian Sun F",933,IF(Atletas!U341="Taijijian Wu F",934,IF(Atletas!U341="Taijijian Wu-Hao F",935,IF(OR(Atletas!U341="Taijijian 32 F",Atletas!U341="Taijijian 42 F"),936,"")))))))))))))))))))))))))))))))))))))</f>
        <v/>
      </c>
      <c r="CD350" s="50" t="str">
        <f>IF(Atletas!V341="","",IF(Atletas!X341&lt;&gt;"",10000,0)+IF(Atletas!B341="Feminino",1000,IF(Atletas!B341="Masculino",2000,""))+IF(Atletas!V341="Taijidao A",937,IF(Atletas!V341="TaijiShanzi A",938,IF(Atletas!V341="Taijiqiang A",939,IF(Atletas!V341="Bagua de Arma A",940,IF(Atletas!V341="Xingyi de Arma A",941,IF(Atletas!V341="Taijidao B",942,IF(Atletas!V341="TaijiShanzi B",943,IF(Atletas!V341="Taijiqiang B",944,IF(Atletas!V341="Bagua de Arma B",945,IF(Atletas!V341="Xingyi de Arma B",946,IF(Atletas!V341="Taijidao C",947,IF(Atletas!V341="TaijiShanzi C",948,IF(Atletas!V341="Taijiqiang C",949,IF(Atletas!V341="Bagua de Arma C",950,IF(Atletas!V341="Xingyi de Arma C",951,IF(Atletas!V341="Taijidao D",952,IF(Atletas!V341="TaijiShanzi D",953,IF(Atletas!V341="Taijiqiang D",954,IF(Atletas!V341="Bagua de Arma D",955,IF(Atletas!V341="Xingyi de Arma D",956,IF(Atletas!V341="Taijidao E",957,IF(Atletas!V341="TaijiShanzi E",958,IF(Atletas!V341="Taijiqiang E",959,IF(Atletas!V341="Bagua de Arma E",960,IF(Atletas!V341="Xingyi de Arma E",961,IF(Atletas!V341="Taijidao F",962,IF(Atletas!V341="TaijiShanzi F",963,IF(Atletas!V341="Taijiqiang F",964,IF(Atletas!V341="Bagua de Arma F",965,IF(Atletas!V341="Xingyi de Arma F",966,"")))))))))))))))))))))))))))))))</f>
        <v/>
      </c>
      <c r="CE350" s="66" t="str">
        <f>IF(CF350&lt;&gt;"","Bagua de Arma C","")</f>
        <v/>
      </c>
      <c r="CF350" s="66" t="str">
        <f>IF(COUNTIF(BR:CD,1950)&gt;0,COUNTIF(BR:CD,1950),"")</f>
        <v/>
      </c>
      <c r="CG350" s="66" t="str">
        <f>IF(CH350&lt;&gt;"","Bagua de Arma C","")</f>
        <v/>
      </c>
      <c r="CH350" s="66" t="str">
        <f>IF(COUNTIF(BR:CD,2950)&gt;0,COUNTIF(BR:CD,2950),"")</f>
        <v/>
      </c>
      <c r="CI350" s="66" t="str">
        <f>IF(CJ351&lt;&gt;"","Taijishan F","")</f>
        <v/>
      </c>
      <c r="CJ350" s="66" t="str">
        <f>IF(COUNTIF(BR:CD,11962)&gt;0,COUNTIF(BR:CD,11962),"")</f>
        <v/>
      </c>
      <c r="CK350" s="66" t="str">
        <f>IF(CL350&lt;&gt;"","Taijidao F","")</f>
        <v/>
      </c>
      <c r="CL350" s="66" t="str">
        <f>IF(COUNTIF(BR:CD,12962)&gt;0,COUNTIF(BR:CD,12962),"")</f>
        <v/>
      </c>
      <c r="CM350" s="50" t="str">
        <f xml:space="preserve"> IF(Atletas!W341="","",IF(Atletas!W341="Duilian de Mãos BC - Equipe 1",1,IF(Atletas!W341="Duilian de Mãos BC - Equipe 2",2,IF(Atletas!W341="Duilian de Armas BC - Equipe 1",3,IF(Atletas!W341="Duilian de Armas BC - Equipe 2",4,IF(Atletas!W341="Duilian de Mãos DE - Equipe 1",5,IF(Atletas!W341="Duilian de Mãos DE - Equipe 2",6,IF(Atletas!W341="Duilian de Armas DE - Equipe 1",7,IF(Atletas!W341="Duilian de Armas DE - Equipe 2",8,IF(Atletas!W341="Duilian de Tuishou - Equipe 1",9,IF(Atletas!W341="Duilian de Tuishou - Equipe 2",10,IF(Atletas!W341="Grupo Externo ABC - Equipe 1",11,IF(Atletas!W341="Grupo Externo ABC - Equipe 2",12,IF(Atletas!W341="Grupo Interno ABC - Equipe 1",13,IF(Atletas!W341="Grupo Interno ABC - Equipe 2",14,IF(Atletas!W341="Grupo Externo DEF - Equipe 1",15,IF(Atletas!W341="Grupo Externo DEF - Equipe 2",16,IF(Atletas!W341="Grupo Interno DEF - Equipe 1",17,IF(Atletas!W341="Grupo Interno DEF - Equipe 2",18,"")))))))))))))))))))</f>
        <v/>
      </c>
    </row>
    <row r="351" spans="40:91">
      <c r="AN351" s="52" t="str">
        <f>IF(Atletas!D342="","",IF(Atletas!B342="Feminino",100,IF(Atletas!B342="Masculino",200,""))+(IF(Atletas!D342="Kids 30kg",1,IF(Atletas!D342="Kids 32kg",2, IF(Atletas!D342="Kids 34kg",3,IF(Atletas!D342="Kids 36kg",4,IF(Atletas!D342="Kids 39kg",5,IF(Atletas!D342="Kids 42kg",6,IF(Atletas!D342="Kids 45kg",7, IF(Atletas!D342="Infantil 39kg",8,IF(Atletas!D342="Infantil 42kg",9,IF(Atletas!D342="Infantil 45kg",10,IF(Atletas!D342="Infantil 48kg",11,IF(Atletas!D342="Infantil 52kg",12,IF(Atletas!D342="Infantil 56kg",13,IF(Atletas!D342="Infantil 60kg",14,IF(Atletas!D342="Juvenil 48kg",15,IF(Atletas!D342="Juvenil 52kg",16,IF(Atletas!D342="Juvenil 56kg",17,IF(Atletas!D342="Juvenil 60kg",18,IF(Atletas!D342="Juvenil 65kg",19,IF(Atletas!D342="Juvenil 70kg",20,IF(Atletas!D342="Juvenil 75kg",21,IF(Atletas!D342="Juvenil 80kg",22, IF(Atletas!D342="Juvenil 85kg",23,IF(Atletas!D342="Adulto 48kg",24,IF(Atletas!D342="Adulto 52kg",25,IF(Atletas!D342="Adulto 56kg",26,IF(Atletas!D342="Adulto 60kg",27,IF(Atletas!D342="Adulto 65kg",28,IF(Atletas!D342="Adulto 70kg",29,IF(Atletas!D342="Adulto 75kg",30,IF(Atletas!D342="Adulto 80kg",31,IF(Atletas!D342="Adulto 85kg",32,IF(Atletas!D342="Adulto 90kg",33,IF(Atletas!D342="Adulto 100kg",34, IF(Atletas!D342="Adulto +100kg",35,"")))))))))))))))))))))))))))))))))))))</f>
        <v/>
      </c>
      <c r="AS351" s="6" t="str">
        <f>IF(Atletas!E342="","",IF(Atletas!B342="Feminino",100,IF(Atletas!B342="Masculino",200,""))+(IF(Atletas!E342="Juvenil 44kg",1,IF(Atletas!E342="Juvenil 48kg",2,IF(Atletas!E342="Juvenil 52kg",3,IF(Atletas!E342="Juvenil 56kg",4,IF(Atletas!E342="Juvenil 60kg",5,IF(Atletas!E342="Juvenil 65kg",6,IF(Atletas!E342="Juvenil 70kg",7,IF(Atletas!E342="Juvenil 75kg",8,IF(Atletas!E342="Juvenil 82kg",9,IF(Atletas!E342="Juvenil 90kg",10,IF(Atletas!E342="Juvenil 100kg",11,IF(Atletas!E342="Adulto 48kg",12,IF(Atletas!E342="Adulto 52kg",13,IF(Atletas!E342="Adulto 56kg",14,IF(Atletas!E342="Adulto 60kg",15,IF(Atletas!E342="Adulto 65kg",16,IF(Atletas!E342="Adulto 70kg",17,IF(Atletas!E342="Adulto 75kg",18,IF(Atletas!E342="Adulto 82kg",19,IF(Atletas!E342="Adulto 90kg",20,IF(Atletas!E342="Adulto 100kg",21,IF(Atletas!E342="Adulto +100kg",22,""))))))))))))))))))))))))</f>
        <v/>
      </c>
      <c r="AX351" s="6" t="str">
        <f>IF(Atletas!F342="","",IF(Atletas!B342="Feminino",100,IF(Atletas!B342="Masculino",200,""))+(IF(Atletas!F342="Adulto 48kg",1,IF(Atletas!F342="Adulto 56kg",2,IF(Atletas!F342="Adulto 65kg",3,IF(Atletas!F342="Adulto 75kg",4,IF(Atletas!F342="Adulto +75kg",5,IF(Atletas!F342="Adulto 52kg",6,IF(Atletas!F342="Adulto 60kg",7,IF(Atletas!F342="Adulto 70kg",8,IF(Atletas!F342="Adulto 80kg",9,IF(Atletas!F342="Adulto 90kg",10,IF(Atletas!F342="Adulto +90kg",11,"")))))))))))))</f>
        <v/>
      </c>
      <c r="BC351" s="6" t="str">
        <f>IF(Atletas!G342="","",IF(Atletas!B342="Feminino",10,IF(Atletas!B342="Masculino",20,""))+(IF(Atletas!G342="Baduanjin A",1,IF(Atletas!G342="Baduanjin B",2))))</f>
        <v/>
      </c>
      <c r="BF351" s="52" t="str">
        <f>IF(Atletas!H342="","",IF(Atletas!B342="Feminino",100,IF(Atletas!B342="Masculino",200,""))+(IF(Atletas!H342="Changquan Mirim",1,IF(Atletas!H342="Nanquan Mirim",2,IF(Atletas!H342="Taijiquan Mirim",3,IF(Atletas!H342="Changquan Grupo C",4,IF(Atletas!H342="Nanquan Grupo C",5,IF(Atletas!H342="Taijiquan Grupo C",6,IF(Atletas!H342="Changquan Grupo B",7,IF(Atletas!H342="Nanquan Grupo B",8,IF(Atletas!H342="Taijiquan Grupo B",9,IF(Atletas!H342="Changquan Grupo A",10,IF(Atletas!H342="Nanquan Grupo A",11,IF(Atletas!H342="Taijiquan Grupo A",12,IF(Atletas!H342="Changquan Opcional",13,IF(Atletas!H342="Nanquan Opcional",14,IF(Atletas!H342="Taijiquan Opcional",15,IF(Atletas!H342="Changquan Adulto",16,IF(Atletas!H342="Nanquan Adulto",17,IF(Atletas!H342="Taijiquan Adulto",18,""))))))))))))))))))))</f>
        <v/>
      </c>
      <c r="BG351" s="52" t="str">
        <f>IF(Atletas!I342="","",IF(Atletas!B342="Feminino",100,IF(Atletas!B342="Masculino",200,""))+(IF(Atletas!I342="Daoshu Mirim",19,IF(Atletas!I342="Jianshu Mirim",20,IF(Atletas!I342="Nandao Mirim",21,IF(Atletas!I342="Taijijian Mirim",22,IF(Atletas!I342="Daoshu Grupo C",23,IF(Atletas!I342="Jianshu Grupo C",24,IF(Atletas!I342="Nandao Grupo C",25,IF(Atletas!I342="Taijijian Grupo C",26,IF(Atletas!I342="Daoshu Grupo B",27,IF(Atletas!I342="Jianshu Grupo B",28,IF(Atletas!I342="Nandao Grupo B",29,IF(Atletas!I342="Taijijian Grupo B",30,IF(Atletas!I342="Daoshu Grupo A",31,IF(Atletas!I342="Jianshu Grupo A",32,IF(Atletas!I342="Nandao Grupo A",33,IF(Atletas!I342="Taijijian Grupo A",34,IF(Atletas!I342="Daoshu Opcional",35,IF(Atletas!I342="Jianshu Opcional",36,IF(Atletas!I342="Nandao Opcional",37,IF(Atletas!I342="Taijijian Opcional",38,IF(Atletas!I342="Daoshu Adulto",39,IF(Atletas!I342="Jianshu Adulto",40,IF(Atletas!I342="Nandao Adulto",41,IF(Atletas!I342="Taijijian Adulto",42,""))))))))))))))))))))))))))</f>
        <v/>
      </c>
      <c r="BH351" s="52" t="str">
        <f>IF(Atletas!J342="","",IF(Atletas!B342="Feminino",100,IF(Atletas!B342="Masculino",200,""))+(IF(Atletas!J342="Gunshu Mirim",43,IF(Atletas!J342="Qiangshu Mirim",44,IF(Atletas!J342="Nangun Mirim",45,IF(Atletas!J342="Gunshu Grupo C",46,IF(Atletas!J342="Qiangshu Grupo C",47,IF(Atletas!J342="Nangun Grupo C",48,IF(Atletas!J342="Gunshu Grupo B",49,IF(Atletas!J342="Qiangshu Grupo B",50,IF(Atletas!J342="Nangun Grupo B",51,IF(Atletas!J342="Gunshu Grupo A",52,IF(Atletas!J342="Qiangshu Grupo A",53,IF(Atletas!J342="Nangun Grupo A",54,IF(Atletas!J342="Gunshu Opcional",55,IF(Atletas!J342="Qiangshu Opcional",56,IF(Atletas!J342="Nangun Opcional",57,IF(Atletas!J342="Gunshu Adulto",58,IF(Atletas!J342="Qiangshu Adulto",59,IF(Atletas!J342="Nangun Adulto",60,IF(Atletas!J342="Taijishan Grupo B",61,IF(Atletas!J342="Taijishan Grupo A",62,""))))))))))))))))))))))</f>
        <v/>
      </c>
      <c r="BM351" s="50" t="str">
        <f>IF(Atletas!K342="","",IF(Atletas!B342="Feminino",100,IF(Atletas!B342="Masculino",200,""))+(IF(Atletas!K342="Equipe 1 Grupo B",1,IF(Atletas!K342="Equipe 2 Grupo B",2,IF(Atletas!K342="Equipe 1 Grupo A",3,IF(Atletas!K342="Equipe 2 Grupo A",4,IF(Atletas!K342="Equipe 1 Adulto",5,IF(Atletas!K342="Equipe 2 Adulto",6,""))))))))</f>
        <v/>
      </c>
      <c r="BR351" s="50" t="str">
        <f>IF(Atletas!L342="","",IF(Atletas!X342&lt;&gt;"",10000,0)+(IF(Atletas!B342="Feminino",1000,IF(Atletas!B342="Masculino",2000,""))+IF(Atletas!L342="Choylayfut A",1,IF(Atletas!L342="Hunggar A",2,IF(Atletas!L342="Wuzuquan A",3,IF(Atletas!L342="Wingchun A",4,IF(Atletas!L342="Outra Mão de Sul A",5,IF(Atletas!L342="Choylayfut B",6,IF(Atletas!L342="Hunggar B",7,IF(Atletas!L342="Wuzuquan B",8,IF(Atletas!L342="Wingchun B",9,IF(Atletas!L342="Outra Mão de Sul B",10,IF(Atletas!L342="Choylayfut C",11,IF(Atletas!L342="Hunggar C",12,IF(Atletas!L342="Wuzuquan C",13,IF(Atletas!L342="Wingchun C",14,IF(Atletas!L342="Outra Mão de Sul C",15,IF(Atletas!L342="Choylayfut D",16,IF(Atletas!L342="Hunggar D",17,IF(Atletas!L342="Wuzuquan D",18,IF(Atletas!L342="Wingchun D",19,IF(Atletas!L342="Outra Mão de Sul D",20,IF(Atletas!L342="Choylayfut E",21,IF(Atletas!L342="Hunggar E",22,IF(Atletas!L342="Wuzuquan E",23,IF(Atletas!L342="Wingchun E",24,IF(Atletas!L342="Outra Mão de Sul E",25,IF(Atletas!L342="Choylayfut F",26,IF(Atletas!L342="Hunggar F",27,IF(Atletas!L342="Wuzuquan F",28,IF(Atletas!L342="Wingchun F",29,IF(Atletas!L342="Outra Mão de Sul F",30,IF(Atletas!L342="Dishuquan A",31,IF(Atletas!L342="Dishuquan B",32,IF(Atletas!L342="Dishuquan C",33,IF(Atletas!L342="Dishuquan D",34,IF(Atletas!L342="Dishuquan E",35,IF(Atletas!L342="Dishuquan F",36,""))))))))))))))))))))))))))))))))))))))</f>
        <v/>
      </c>
      <c r="BS351" s="50" t="str">
        <f>IF(Atletas!M342="","",IF(Atletas!X342&lt;&gt;"",10000,0)+(IF(Atletas!B342="Feminino",1000,IF(Atletas!B342="Masculino",2000,""))+(IF(Atletas!M342="Chaquan A",101,IF(Atletas!M342="Emeiquan A",102,IF(Atletas!M342="Fanziquan A",103,IF(Atletas!M342="Huaquan A",104,IF(Atletas!M342="Hongquan A",105,IF(Atletas!M342="Paoquan A",106,IF(Atletas!M342="Piguaquan A",107,IF(Atletas!M342="Shaolinquan A",108,IF(Atletas!M342="Tanglangquan A",109,IF(Atletas!M342="Yingzhaoquan A",110,IF(Atletas!M342="Tongbeiquan A",111,IF(Atletas!M342="Wudangquan A",112,IF(Atletas!M342="Outros Estilos A",113,IF(Atletas!M342="Chaquan B",114,IF(Atletas!M342="Emeiquan B",115,IF(Atletas!M342="Fanziquan B",116,IF(Atletas!M342="Huaquan B",117,IF(Atletas!M342="Hongquan B",118,IF(Atletas!M342="Paoquan B",119,IF(Atletas!M342="Piguaquan B",120,IF(Atletas!M342="Shaolinquan B",121,IF(Atletas!M342="Tanglangquan B",122,IF(Atletas!M342="Yingzhaoquan B",123,IF(Atletas!M342="Tongbeiquan B",124,IF(Atletas!M342="Wudangquan B",125,IF(Atletas!M342="Outros Estilos B",126,IF(Atletas!M342="Chaquan C",127,IF(Atletas!M342="Emeiquan C",128,IF(Atletas!M342="Fanziquan C",129,IF(Atletas!M342="Huaquan C",130,IF(Atletas!M342="Hongquan C",131,IF(Atletas!M342="Paoquan C",132,IF(Atletas!M342="Piguaquan C",133,IF(Atletas!M342="Shaolinquan C",134,IF(Atletas!M342="Tanglangquan C",135,IF(Atletas!M342="Yingzhaoquan C",136,IF(Atletas!M342="Tongbeiquan C",137,IF(Atletas!M342="Wudangquan C",138,IF(Atletas!M342="Outros Estilos C",139,0))))))))))))))))))))))))))))))))))))))))))</f>
        <v/>
      </c>
      <c r="BT351" s="50" t="str">
        <f>IF(Atletas!M342="","",IF(Atletas!X342&lt;&gt;"",10000,0)+(IF(Atletas!B342="Feminino",1000,IF(Atletas!B342="Masculino",2000,""))+(IF(Atletas!M342="Chaquan D",140,IF(Atletas!M342="Emeiquan D",141,IF(Atletas!M342="Fanziquan D",142,IF(Atletas!M342="Huaquan D",143,IF(Atletas!M342="Hongquan D",144,IF(Atletas!M342="Paoquan D",145,IF(Atletas!M342="Piguaquan D",146,IF(Atletas!M342="Shaolinquan D",147,IF(Atletas!M342="Tanglangquan D",148,IF(Atletas!M342="Yingzhaoquan D",149,IF(Atletas!M342="Tongbeiquan D",150,IF(Atletas!M342="Wudangquan D",151,IF(Atletas!M342="Outros Estilos D",152,IF(Atletas!M342="Chaquan E",153,IF(Atletas!M342="Emeiquan E",154,IF(Atletas!M342="Fanziquan E",155,IF(Atletas!M342="Huaquan E",156,IF(Atletas!M342="Hongquan E",157,IF(Atletas!M342="Paoquan E",158,IF(Atletas!M342="Piguaquan E",159,IF(Atletas!M342="Shaolinquan E",160,IF(Atletas!M342="Tanglangquan E",161,IF(Atletas!M342="Yingzhaoquan E",162,IF(Atletas!M342="Tongbeiquan E",163,IF(Atletas!M342="Wudangquan E",164,IF(Atletas!M342="Outros Estilos E",165,IF(Atletas!M342="Chaquan F",166,IF(Atletas!M342="Emeiquan F",167,IF(Atletas!M342="Fanziquan F",168,IF(Atletas!M342="Huaquan F",169,IF(Atletas!M342="Hongquan F",170,IF(Atletas!M342="Paoquan F",171,IF(Atletas!M342="Piguaquan F",172,IF(Atletas!M342="Shaolinquan F",173,IF(Atletas!M342="Tanglangquan F",174,IF(Atletas!M342="Yingzhaoquan F",175,IF(Atletas!M342="Tongbeiquan F",176,IF(Atletas!M342="Wudangquan F",177,IF(Atletas!M342="Outros Estilos F",178,0))))))))))))))))))))))))))))))))))))))))))</f>
        <v/>
      </c>
      <c r="BU351" s="50" t="str">
        <f>IF(Atletas!N342="","",IF(Atletas!X342&lt;&gt;"",10000,0)+(IF(Atletas!B342="Feminino",1000,IF(Atletas!B342="Masculino",2000,""))+(IF(Atletas!N342="Ditangquan A",201,IF(Atletas!N342="Houquan A",202,IF(Atletas!N342="Zuiquan A",203,IF(Atletas!N342="Ditangquan B",204,IF(Atletas!N342="Houquan B",205,IF(Atletas!N342="Zuiquan B",206,IF(Atletas!N342="Ditangquan C",207,IF(Atletas!N342="Houquan C",208,IF(Atletas!N342="Zuiquan C",209,IF(Atletas!N342="Ditangquan D",210,IF(Atletas!N342="Houquan D",211,IF(Atletas!N342="Zuiquan D",212,IF(Atletas!N342="Ditangquan E",213,IF(Atletas!N342="Houquan E",214,IF(Atletas!N342="Zuiquan E",215,IF(Atletas!N342="Ditangquan F",216,IF(Atletas!N342="Houquan F",217,IF(Atletas!N342="Zuiquan F",218,"")))))))))))))))))))))</f>
        <v/>
      </c>
      <c r="BV351" s="50" t="str">
        <f>IF(Atletas!O342="","",IF(Atletas!X342&lt;&gt;"",10000,0)+IF(Atletas!B342="Feminino",1000,IF(Atletas!B342="Masculino",2000,""))+IF(Atletas!O342="Yang A",301,IF(Atletas!O342="Chen A",302,IF(Atletas!O342="Sun A",303,IF(Atletas!O342="Wu A",304,IF(Atletas!O342="Wu-Hao A",305,IF(Atletas!O342="Outro Taijiquan A",306,IF(Atletas!O342="Yang B",307,IF(Atletas!O342="Chen B",308,IF(Atletas!O342="Sun B",309,IF(Atletas!O342="Wu B",310,IF(Atletas!O342="Wu-Hao B",311,IF(Atletas!O342="Outro Taijiquan B",312,IF(Atletas!O342="Yang C",313,IF(Atletas!O342="Chen C",314,IF(Atletas!O342="Sun C",315,IF(Atletas!O342="Wu C",316,IF(Atletas!O342="Wu-Hao C",317,IF(Atletas!O342="Outro Taijiquan C",318,IF(Atletas!O342="Yang D",319,IF(Atletas!O342="Chen D",320,IF(Atletas!O342="Sun D",321,IF(Atletas!O342="Wu D",322,IF(Atletas!O342="Wu-Hao D",323,IF(Atletas!O342="Outro Taijiquan D",324,IF(Atletas!O342="Yang E",325,IF(Atletas!O342="Chen E",326,IF(Atletas!O342="Sun E",327,IF(Atletas!O342="Wu E",328,IF(Atletas!O342="Wu-Hao E",329,IF(Atletas!O342="Outro Taijiquan E",330,IF(Atletas!O342="Yang F",331,IF(Atletas!O342="Chen F",332,IF(Atletas!O342="Sun F",333,IF(Atletas!O342="Wu F",334,IF(Atletas!O342="Wu-Hao F",335,IF(Atletas!O342="Outro Taijiquan F",336,"")))))))))))))))))))))))))))))))))))))</f>
        <v/>
      </c>
      <c r="BW351" s="50" t="str">
        <f>IF(Atletas!P342="","",IF(Atletas!X342&lt;&gt;"",10000,0)+IF(Atletas!B342="Feminino",1000,IF(Atletas!B342="Masculino",2000,""))+IF(OR(Atletas!P342="Yang 26 A",Atletas!P342="Yang 40 A"),401,IF(OR(Atletas!P342="Chen 25 A",Atletas!P342="Chen 36 A",Atletas!P342="Chen 56 A"),402,IF(Atletas!P342="Sun 73 A",403,IF(Atletas!P342="Wu 45 A",404,IF(Atletas!P342="Wu-Hao 46 A",405,IF(OR(Atletas!P342="Taijiquan 16 A",Atletas!P342="Taijiquan 24 A",Atletas!P342="Taijiquan 32 A",Atletas!P342="Taijiquan 42 A"),406,IF(OR(Atletas!P342="Yang 26 B",Atletas!P342="Yang 40 B"),407,IF(OR(Atletas!P342="Chen 25 B",Atletas!P342="Chen 36 B",Atletas!P342="Chen 56 B"),408,IF(Atletas!P342="Sun 73 B",409,IF(Atletas!P342="Wu 45 B",410,IF(Atletas!P342="Wu-Hao 46 B",411,IF(OR(Atletas!P342="Taijiquan 16 B",Atletas!P342="Taijiquan 24 B",Atletas!P342="Taijiquan 32 B",Atletas!P342="Taijiquan 42 B"),412,IF(OR(Atletas!P342="Yang 26 C",Atletas!P342="Yang 40 C"),413,IF(OR(Atletas!P342="Chen 25 C",Atletas!P342="Chen 36 C",Atletas!P342="Chen 56 C"),414,IF(Atletas!P342="Sun 73 C",415,IF(Atletas!P342="Wu 45 C",416,IF(Atletas!P342="Wu-Hao 46 C",417,IF(OR(Atletas!P342="Taijiquan 16 C",Atletas!P342="Taijiquan 24 C",Atletas!P342="Taijiquan 32 C",Atletas!P342="Taijiquan 42 C"),418,0)))))))))))))))))))</f>
        <v/>
      </c>
      <c r="BX351" s="50" t="str">
        <f>IF(Atletas!P342="","",IF(Atletas!X342&lt;&gt;"",10000,0)+IF(Atletas!B342="Feminino",1000,IF(Atletas!B342="Masculino",2000,""))+IF(OR(Atletas!P342="Yang 26 D",Atletas!P342="Yang 40 D"),419,IF(OR(Atletas!P342="Chen 25 D",Atletas!P342="Chen 36 D",Atletas!P342="Chen 56 D"),420,IF(Atletas!P342="Sun 73 D",421,IF(Atletas!P342="Wu 45 D",422,IF(Atletas!P342="Wu-Hao 46 D",423,IF(OR(Atletas!P342="Taijiquan 16 D",Atletas!P342="Taijiquan 24 D",Atletas!P342="Taijiquan 32 D",Atletas!P342="Taijiquan 42 D"),424,IF(OR(Atletas!P342="Yang 26 E",Atletas!P342="Yang 40 E"),425,IF(OR(Atletas!P342="Chen 25 E",Atletas!P342="Chen 36 E",Atletas!P342="Chen 56 E"),426,IF(Atletas!P342="Sun 73 E",427,IF(Atletas!P342="Wu 45 E",428,IF(Atletas!P342="Wu-Hao 46 E",429,IF(OR(Atletas!P342="Taijiquan 16 E",Atletas!P342="Taijiquan 24 E",Atletas!P342="Taijiquan 32 E",Atletas!P342="Taijiquan 42 E"),430,IF(OR(Atletas!P342="Yang 26 F",Atletas!P342="Yang 40 F"),431,IF(OR(Atletas!P342="Chen 25 F",Atletas!P342="Chen 36 F",Atletas!P342="Chen 56 F"),432,IF(Atletas!P342="Sun 73 F",433,IF(Atletas!P342="Wu 45 F",434,IF(Atletas!P342="Wu-Hao 46 F",435,IF(OR(Atletas!P342="Taijiquan 16 F",Atletas!P342="Taijiquan 24 F",Atletas!P342="Taijiquan 32 F",Atletas!P342="Taijiquan 42 F"),436,0)))))))))))))))))))</f>
        <v/>
      </c>
      <c r="BY351" s="50" t="str">
        <f>IF(Atletas!Q342="","",IF(Atletas!X342&lt;&gt;"",10000,0)+IF(Atletas!B342="Feminino",1000,IF(Atletas!B342="Masculino",2000,""))+IF(Atletas!Q342="Xingyiquan A",501,IF(Atletas!Q342="Baguazhang A",502,IF(Atletas!Q342="Outro Estilo Interno A",503,IF(Atletas!Q342="Xingyiquan B",504,IF(Atletas!Q342="Baguazhang B",505,IF(Atletas!Q342="Outro Estilo Interno B",506,IF(Atletas!Q342="Xingyiquan C",507,IF(Atletas!Q342="Baguazhang C",508,IF(Atletas!Q342="Outro Estilo Interno C",509,IF(Atletas!Q342="Xingyiquan D",510,IF(Atletas!Q342="Baguazhang D",511,IF(Atletas!Q342="Outro Estilo Interno D",512,IF(Atletas!Q342="Xingyiquan E",513,IF(Atletas!Q342="Baguazhang E",514,IF(Atletas!Q342="Outro Estilo Interno E",515,IF(Atletas!Q342="Xingyiquan F",516,IF(Atletas!Q342="Baguazhang F",517,IF(Atletas!Q342="Outro Estilo Interno F",518, "")))))))))))))))))))</f>
        <v/>
      </c>
      <c r="BZ351" s="50" t="str">
        <f>IF(Atletas!R342="","",IF(Atletas!X342&lt;&gt;"",10000,0)+IF(Atletas!B342="Feminino",1000,IF(Atletas!B342="Masculino",2000,""))+IF(Atletas!R342="Dao A",601,IF(Atletas!R342="Jian A",602,IF(Atletas!R342="Bishou A",603,IF(Atletas!R342="Shanzi A",604,IF(Atletas!R342="Outra Arma Curta A",605,IF(Atletas!R342="Dao B",606,IF(Atletas!R342="Jian B",607,IF(Atletas!R342="Bishou B",608,IF(Atletas!R342="Shanzi B",609,IF(Atletas!R342="Outra Arma Curta B",610,IF(Atletas!R342="Dao C",611,IF(Atletas!R342="Jian C",612,IF(Atletas!R342="Bishou C",613,IF(Atletas!R342="Shanzi C",614,IF(Atletas!R342="Outra Arma Curta C",615,IF(Atletas!R342="Dao D",616,IF(Atletas!R342="Jian D",617,IF(Atletas!R342="Bishou D",618,IF(Atletas!R342="Shanzi D",619,IF(Atletas!R342="Outra Arma Curta D",620,IF(Atletas!R342="Dao E",621,IF(Atletas!R342="Jian E",622,IF(Atletas!R342="Bishou E",623,IF(Atletas!R342="Shanzi E",624,IF(Atletas!R342="Outra Arma Curta E",625,IF(Atletas!R342="Dao F",626,IF(Atletas!R342="Jian F",627,IF(Atletas!R342="Bishou F",628,IF(Atletas!R342="Shanzi F",629,IF(Atletas!R342="Outra Arma Curta F",630, "")))))))))))))))))))))))))))))))</f>
        <v/>
      </c>
      <c r="CA351" s="50" t="str">
        <f>IF(Atletas!S342="","",IF(Atletas!X342&lt;&gt;"",10000,0)+IF(Atletas!B342="Feminino",1000,IF(Atletas!B342="Masculino",2000,""))+IF(Atletas!S342="Gun A",701,IF(Atletas!S342="Qiang A",702,IF(Atletas!S342="Pudao / Guandao A",703,IF(Atletas!S342="Outra Arma Longa A",704,IF(Atletas!S342="Gun B",705,IF(Atletas!S342="Qiang B",706,IF(Atletas!S342="Pudao / Guandao B",707,IF(Atletas!S342="Outra Arma Longa B",708,IF(Atletas!S342="Gun C",709,IF(Atletas!S342="Qiang C",710,IF(Atletas!S342="Pudao / Guandao C",711,IF(Atletas!S342="Outra Arma Longa C",712,IF(Atletas!S342="Gun D",713,IF(Atletas!S342="Qiang D",714,IF(Atletas!S342="Pudao / Guandao D",715,IF(Atletas!S342="Outra Arma Longa D",716,IF(Atletas!S342="Gun E",717,IF(Atletas!S342="Qiang E",718,IF(Atletas!S342="Pudao / Guandao E",719,IF(Atletas!S342="Outra Arma Longa E",720,IF(Atletas!S342="Gun F",721,IF(Atletas!S342="Qiang F",722,IF(Atletas!S342="Pudao / Guandao F",723,IF(Atletas!S342="Outra Arma Longa F",724,"")))))))))))))))))))))))))</f>
        <v/>
      </c>
      <c r="CB351" s="50" t="str">
        <f>IF(Atletas!T342="","",IF(Atletas!X342&lt;&gt;"",10000,0)+IF(Atletas!B342="Feminino",1000,IF(Atletas!B342="Masculino",2000,""))+IF(Atletas!T342="Outra Arma Dupla A",801,IF(Atletas!T342="Arma Maleável A",802,IF(Atletas!T342="Outra Arma Dupla B",803,IF(Atletas!T342="Arma Maleável B",804,IF(Atletas!T342="Outra Arma Dupla C",805,IF(Atletas!T342="Arma Maleável C",806,IF(Atletas!T342="Outra Arma Dupla D",807,IF(Atletas!T342="Arma Maleável D",808,IF(Atletas!T342="Outra Arma Dupla E",809,IF(Atletas!T342="Arma Maleável E",810,IF(Atletas!T342="Outra Arma Dupla F",811,IF(Atletas!T342="Arma Maleável F",812,IF(Atletas!T342="Shuangdao A",813,IF(Atletas!T342="Shuangdao B",814,IF(Atletas!T342="Shuangdao C",815,IF(Atletas!T342="Shuangdao D",816,IF(Atletas!T342="Shuangdao E",817,IF(Atletas!T342="Shuangdao F",818,"")))))))))))))))))))</f>
        <v/>
      </c>
      <c r="CC351" s="50" t="str">
        <f>IF(Atletas!U342="","",IF(Atletas!X342&lt;&gt;"",10000,0)+IF(Atletas!B342="Feminino",1000,IF(Atletas!B342="Masculino",2000,""))+IF(OR(Atletas!U342="Taijijian Yang A",Atletas!U342="Taijijian Yang Standard A"),901,IF(OR(Atletas!U342="Taijijian Chen A", Atletas!U342="Taijijian Chen Standard A"),902,IF(Atletas!U342="Taijijian Sun A",903,IF(Atletas!U342="Taijijian Wu A",904,IF(Atletas!U342="Taijijian Wu-Hao A",905,IF(OR(Atletas!U342="Taijijian 32 A",Atletas!U342="Taijijian 42 A"),906,IF(OR(Atletas!U342="Taijijian Yang B",Atletas!U342="Taijijian Yang Standard B"),907,IF(OR(Atletas!U342="Taijijian Chen B", Atletas!U342="Taijijian Chen Standard B"),908,IF(Atletas!U342="Taijijian Sun B",909,IF(Atletas!U342="Taijijian Wu B",910,IF(Atletas!U342="Taijijian Wu-Hao B",911,IF(OR(Atletas!U342="Taijijian 32 B",Atletas!U342="Taijijian 42 B"),912,IF(OR(Atletas!U342="Taijijian Yang C",Atletas!U342="Taijijian Yang Standard C"),913,IF(OR(Atletas!U342="Taijijian Chen C", Atletas!U342="Taijijian Chen Standard C"),914,IF(Atletas!U342="Taijijian Sun C",915,IF(Atletas!U342="Taijijian Wu C",916,IF(Atletas!U342="Taijijian Wu-Hao C",917,IF(OR(Atletas!U342="Taijijian 32 C",Atletas!U342="Taijijian 42 C"),918,IF(OR(Atletas!U342="Taijijian Yang D",Atletas!U342="Taijijian Yang Standard D"),919,IF(OR(Atletas!U342="Taijijian Chen D", Atletas!U342="Taijijian Chen Standard D"),920,IF(Atletas!U342="Taijijian Sun D",921,IF(Atletas!U342="Taijijian Wu D",922,IF(Atletas!U342="Taijijian Wu-Hao D",923,IF(OR(Atletas!U342="Taijijian 32 D",Atletas!U342="Taijijian 42 D"),924,IF(OR(Atletas!U342="Taijijian Yang E",Atletas!U342="Taijijian Yang Standard E"),925,IF(OR(Atletas!U342="Taijijian Chen E", Atletas!U342="Taijijian Chen Standard E"),926,IF(Atletas!U342="Taijijian Sun E",927,IF(Atletas!U342="Taijijian Wu E",928,IF(Atletas!U342="Taijijian Wu-Hao E",929,IF(OR(Atletas!U342="Taijijian 32 E",Atletas!U342="Taijijian 42 E"),930,IF(OR(Atletas!U342="Taijijian Yang F",Atletas!U342="Taijijian Yang Standard F"),931,IF(OR(Atletas!U342="Taijijian Chen F", Atletas!U342="Taijijian Chen Standard F"),932,IF(Atletas!U342="Taijijian Sun F",933,IF(Atletas!U342="Taijijian Wu F",934,IF(Atletas!U342="Taijijian Wu-Hao F",935,IF(OR(Atletas!U342="Taijijian 32 F",Atletas!U342="Taijijian 42 F"),936,"")))))))))))))))))))))))))))))))))))))</f>
        <v/>
      </c>
      <c r="CD351" s="50" t="str">
        <f>IF(Atletas!V342="","",IF(Atletas!X342&lt;&gt;"",10000,0)+IF(Atletas!B342="Feminino",1000,IF(Atletas!B342="Masculino",2000,""))+IF(Atletas!V342="Taijidao A",937,IF(Atletas!V342="TaijiShanzi A",938,IF(Atletas!V342="Taijiqiang A",939,IF(Atletas!V342="Bagua de Arma A",940,IF(Atletas!V342="Xingyi de Arma A",941,IF(Atletas!V342="Taijidao B",942,IF(Atletas!V342="TaijiShanzi B",943,IF(Atletas!V342="Taijiqiang B",944,IF(Atletas!V342="Bagua de Arma B",945,IF(Atletas!V342="Xingyi de Arma B",946,IF(Atletas!V342="Taijidao C",947,IF(Atletas!V342="TaijiShanzi C",948,IF(Atletas!V342="Taijiqiang C",949,IF(Atletas!V342="Bagua de Arma C",950,IF(Atletas!V342="Xingyi de Arma C",951,IF(Atletas!V342="Taijidao D",952,IF(Atletas!V342="TaijiShanzi D",953,IF(Atletas!V342="Taijiqiang D",954,IF(Atletas!V342="Bagua de Arma D",955,IF(Atletas!V342="Xingyi de Arma D",956,IF(Atletas!V342="Taijidao E",957,IF(Atletas!V342="TaijiShanzi E",958,IF(Atletas!V342="Taijiqiang E",959,IF(Atletas!V342="Bagua de Arma E",960,IF(Atletas!V342="Xingyi de Arma E",961,IF(Atletas!V342="Taijidao F",962,IF(Atletas!V342="TaijiShanzi F",963,IF(Atletas!V342="Taijiqiang F",964,IF(Atletas!V342="Bagua de Arma F",965,IF(Atletas!V342="Xingyi de Arma F",966,"")))))))))))))))))))))))))))))))</f>
        <v/>
      </c>
      <c r="CE351" s="66" t="str">
        <f>IF(CF351&lt;&gt;"","Xingyi de Arma C","")</f>
        <v/>
      </c>
      <c r="CF351" s="66" t="str">
        <f>IF(COUNTIF(BR:CD,1951)&gt;0,COUNTIF(BR:CD,1951),"")</f>
        <v/>
      </c>
      <c r="CG351" s="66" t="str">
        <f>IF(CH351&lt;&gt;"","Xingyi de Arma C","")</f>
        <v/>
      </c>
      <c r="CH351" s="66" t="str">
        <f>IF(COUNTIF(BR:CD,2951)&gt;0,COUNTIF(BR:CD,2951),"")</f>
        <v/>
      </c>
      <c r="CI351" s="66" t="str">
        <f>IF(CJ352&lt;&gt;"","Taijiqiang F","")</f>
        <v/>
      </c>
      <c r="CJ351" s="66" t="str">
        <f>IF(COUNTIF(BR:CD,11963)&gt;0,COUNTIF(BR:CD,11963),"")</f>
        <v/>
      </c>
      <c r="CK351" s="66" t="str">
        <f>IF(CL351&lt;&gt;"","Taijishan F","")</f>
        <v/>
      </c>
      <c r="CL351" s="66" t="str">
        <f>IF(COUNTIF(BR:CD,12963)&gt;0,COUNTIF(BR:CD,12963),"")</f>
        <v/>
      </c>
      <c r="CM351" s="50" t="str">
        <f xml:space="preserve"> IF(Atletas!W342="","",IF(Atletas!W342="Duilian de Mãos BC - Equipe 1",1,IF(Atletas!W342="Duilian de Mãos BC - Equipe 2",2,IF(Atletas!W342="Duilian de Armas BC - Equipe 1",3,IF(Atletas!W342="Duilian de Armas BC - Equipe 2",4,IF(Atletas!W342="Duilian de Mãos DE - Equipe 1",5,IF(Atletas!W342="Duilian de Mãos DE - Equipe 2",6,IF(Atletas!W342="Duilian de Armas DE - Equipe 1",7,IF(Atletas!W342="Duilian de Armas DE - Equipe 2",8,IF(Atletas!W342="Duilian de Tuishou - Equipe 1",9,IF(Atletas!W342="Duilian de Tuishou - Equipe 2",10,IF(Atletas!W342="Grupo Externo ABC - Equipe 1",11,IF(Atletas!W342="Grupo Externo ABC - Equipe 2",12,IF(Atletas!W342="Grupo Interno ABC - Equipe 1",13,IF(Atletas!W342="Grupo Interno ABC - Equipe 2",14,IF(Atletas!W342="Grupo Externo DEF - Equipe 1",15,IF(Atletas!W342="Grupo Externo DEF - Equipe 2",16,IF(Atletas!W342="Grupo Interno DEF - Equipe 1",17,IF(Atletas!W342="Grupo Interno DEF - Equipe 2",18,"")))))))))))))))))))</f>
        <v/>
      </c>
    </row>
    <row r="352" spans="40:91">
      <c r="AN352" s="52" t="str">
        <f>IF(Atletas!D343="","",IF(Atletas!B343="Feminino",100,IF(Atletas!B343="Masculino",200,""))+(IF(Atletas!D343="Kids 30kg",1,IF(Atletas!D343="Kids 32kg",2, IF(Atletas!D343="Kids 34kg",3,IF(Atletas!D343="Kids 36kg",4,IF(Atletas!D343="Kids 39kg",5,IF(Atletas!D343="Kids 42kg",6,IF(Atletas!D343="Kids 45kg",7, IF(Atletas!D343="Infantil 39kg",8,IF(Atletas!D343="Infantil 42kg",9,IF(Atletas!D343="Infantil 45kg",10,IF(Atletas!D343="Infantil 48kg",11,IF(Atletas!D343="Infantil 52kg",12,IF(Atletas!D343="Infantil 56kg",13,IF(Atletas!D343="Infantil 60kg",14,IF(Atletas!D343="Juvenil 48kg",15,IF(Atletas!D343="Juvenil 52kg",16,IF(Atletas!D343="Juvenil 56kg",17,IF(Atletas!D343="Juvenil 60kg",18,IF(Atletas!D343="Juvenil 65kg",19,IF(Atletas!D343="Juvenil 70kg",20,IF(Atletas!D343="Juvenil 75kg",21,IF(Atletas!D343="Juvenil 80kg",22, IF(Atletas!D343="Juvenil 85kg",23,IF(Atletas!D343="Adulto 48kg",24,IF(Atletas!D343="Adulto 52kg",25,IF(Atletas!D343="Adulto 56kg",26,IF(Atletas!D343="Adulto 60kg",27,IF(Atletas!D343="Adulto 65kg",28,IF(Atletas!D343="Adulto 70kg",29,IF(Atletas!D343="Adulto 75kg",30,IF(Atletas!D343="Adulto 80kg",31,IF(Atletas!D343="Adulto 85kg",32,IF(Atletas!D343="Adulto 90kg",33,IF(Atletas!D343="Adulto 100kg",34, IF(Atletas!D343="Adulto +100kg",35,"")))))))))))))))))))))))))))))))))))))</f>
        <v/>
      </c>
      <c r="AS352" s="6" t="str">
        <f>IF(Atletas!E343="","",IF(Atletas!B343="Feminino",100,IF(Atletas!B343="Masculino",200,""))+(IF(Atletas!E343="Juvenil 44kg",1,IF(Atletas!E343="Juvenil 48kg",2,IF(Atletas!E343="Juvenil 52kg",3,IF(Atletas!E343="Juvenil 56kg",4,IF(Atletas!E343="Juvenil 60kg",5,IF(Atletas!E343="Juvenil 65kg",6,IF(Atletas!E343="Juvenil 70kg",7,IF(Atletas!E343="Juvenil 75kg",8,IF(Atletas!E343="Juvenil 82kg",9,IF(Atletas!E343="Juvenil 90kg",10,IF(Atletas!E343="Juvenil 100kg",11,IF(Atletas!E343="Adulto 48kg",12,IF(Atletas!E343="Adulto 52kg",13,IF(Atletas!E343="Adulto 56kg",14,IF(Atletas!E343="Adulto 60kg",15,IF(Atletas!E343="Adulto 65kg",16,IF(Atletas!E343="Adulto 70kg",17,IF(Atletas!E343="Adulto 75kg",18,IF(Atletas!E343="Adulto 82kg",19,IF(Atletas!E343="Adulto 90kg",20,IF(Atletas!E343="Adulto 100kg",21,IF(Atletas!E343="Adulto +100kg",22,""))))))))))))))))))))))))</f>
        <v/>
      </c>
      <c r="AX352" s="6" t="str">
        <f>IF(Atletas!F343="","",IF(Atletas!B343="Feminino",100,IF(Atletas!B343="Masculino",200,""))+(IF(Atletas!F343="Adulto 48kg",1,IF(Atletas!F343="Adulto 56kg",2,IF(Atletas!F343="Adulto 65kg",3,IF(Atletas!F343="Adulto 75kg",4,IF(Atletas!F343="Adulto +75kg",5,IF(Atletas!F343="Adulto 52kg",6,IF(Atletas!F343="Adulto 60kg",7,IF(Atletas!F343="Adulto 70kg",8,IF(Atletas!F343="Adulto 80kg",9,IF(Atletas!F343="Adulto 90kg",10,IF(Atletas!F343="Adulto +90kg",11,"")))))))))))))</f>
        <v/>
      </c>
      <c r="BC352" s="6" t="str">
        <f>IF(Atletas!G343="","",IF(Atletas!B343="Feminino",10,IF(Atletas!B343="Masculino",20,""))+(IF(Atletas!G343="Baduanjin A",1,IF(Atletas!G343="Baduanjin B",2))))</f>
        <v/>
      </c>
      <c r="BF352" s="52" t="str">
        <f>IF(Atletas!H343="","",IF(Atletas!B343="Feminino",100,IF(Atletas!B343="Masculino",200,""))+(IF(Atletas!H343="Changquan Mirim",1,IF(Atletas!H343="Nanquan Mirim",2,IF(Atletas!H343="Taijiquan Mirim",3,IF(Atletas!H343="Changquan Grupo C",4,IF(Atletas!H343="Nanquan Grupo C",5,IF(Atletas!H343="Taijiquan Grupo C",6,IF(Atletas!H343="Changquan Grupo B",7,IF(Atletas!H343="Nanquan Grupo B",8,IF(Atletas!H343="Taijiquan Grupo B",9,IF(Atletas!H343="Changquan Grupo A",10,IF(Atletas!H343="Nanquan Grupo A",11,IF(Atletas!H343="Taijiquan Grupo A",12,IF(Atletas!H343="Changquan Opcional",13,IF(Atletas!H343="Nanquan Opcional",14,IF(Atletas!H343="Taijiquan Opcional",15,IF(Atletas!H343="Changquan Adulto",16,IF(Atletas!H343="Nanquan Adulto",17,IF(Atletas!H343="Taijiquan Adulto",18,""))))))))))))))))))))</f>
        <v/>
      </c>
      <c r="BG352" s="52" t="str">
        <f>IF(Atletas!I343="","",IF(Atletas!B343="Feminino",100,IF(Atletas!B343="Masculino",200,""))+(IF(Atletas!I343="Daoshu Mirim",19,IF(Atletas!I343="Jianshu Mirim",20,IF(Atletas!I343="Nandao Mirim",21,IF(Atletas!I343="Taijijian Mirim",22,IF(Atletas!I343="Daoshu Grupo C",23,IF(Atletas!I343="Jianshu Grupo C",24,IF(Atletas!I343="Nandao Grupo C",25,IF(Atletas!I343="Taijijian Grupo C",26,IF(Atletas!I343="Daoshu Grupo B",27,IF(Atletas!I343="Jianshu Grupo B",28,IF(Atletas!I343="Nandao Grupo B",29,IF(Atletas!I343="Taijijian Grupo B",30,IF(Atletas!I343="Daoshu Grupo A",31,IF(Atletas!I343="Jianshu Grupo A",32,IF(Atletas!I343="Nandao Grupo A",33,IF(Atletas!I343="Taijijian Grupo A",34,IF(Atletas!I343="Daoshu Opcional",35,IF(Atletas!I343="Jianshu Opcional",36,IF(Atletas!I343="Nandao Opcional",37,IF(Atletas!I343="Taijijian Opcional",38,IF(Atletas!I343="Daoshu Adulto",39,IF(Atletas!I343="Jianshu Adulto",40,IF(Atletas!I343="Nandao Adulto",41,IF(Atletas!I343="Taijijian Adulto",42,""))))))))))))))))))))))))))</f>
        <v/>
      </c>
      <c r="BH352" s="52" t="str">
        <f>IF(Atletas!J343="","",IF(Atletas!B343="Feminino",100,IF(Atletas!B343="Masculino",200,""))+(IF(Atletas!J343="Gunshu Mirim",43,IF(Atletas!J343="Qiangshu Mirim",44,IF(Atletas!J343="Nangun Mirim",45,IF(Atletas!J343="Gunshu Grupo C",46,IF(Atletas!J343="Qiangshu Grupo C",47,IF(Atletas!J343="Nangun Grupo C",48,IF(Atletas!J343="Gunshu Grupo B",49,IF(Atletas!J343="Qiangshu Grupo B",50,IF(Atletas!J343="Nangun Grupo B",51,IF(Atletas!J343="Gunshu Grupo A",52,IF(Atletas!J343="Qiangshu Grupo A",53,IF(Atletas!J343="Nangun Grupo A",54,IF(Atletas!J343="Gunshu Opcional",55,IF(Atletas!J343="Qiangshu Opcional",56,IF(Atletas!J343="Nangun Opcional",57,IF(Atletas!J343="Gunshu Adulto",58,IF(Atletas!J343="Qiangshu Adulto",59,IF(Atletas!J343="Nangun Adulto",60,IF(Atletas!J343="Taijishan Grupo B",61,IF(Atletas!J343="Taijishan Grupo A",62,""))))))))))))))))))))))</f>
        <v/>
      </c>
      <c r="BM352" s="50" t="str">
        <f>IF(Atletas!K343="","",IF(Atletas!B343="Feminino",100,IF(Atletas!B343="Masculino",200,""))+(IF(Atletas!K343="Equipe 1 Grupo B",1,IF(Atletas!K343="Equipe 2 Grupo B",2,IF(Atletas!K343="Equipe 1 Grupo A",3,IF(Atletas!K343="Equipe 2 Grupo A",4,IF(Atletas!K343="Equipe 1 Adulto",5,IF(Atletas!K343="Equipe 2 Adulto",6,""))))))))</f>
        <v/>
      </c>
      <c r="BR352" s="50" t="str">
        <f>IF(Atletas!L343="","",IF(Atletas!X343&lt;&gt;"",10000,0)+(IF(Atletas!B343="Feminino",1000,IF(Atletas!B343="Masculino",2000,""))+IF(Atletas!L343="Choylayfut A",1,IF(Atletas!L343="Hunggar A",2,IF(Atletas!L343="Wuzuquan A",3,IF(Atletas!L343="Wingchun A",4,IF(Atletas!L343="Outra Mão de Sul A",5,IF(Atletas!L343="Choylayfut B",6,IF(Atletas!L343="Hunggar B",7,IF(Atletas!L343="Wuzuquan B",8,IF(Atletas!L343="Wingchun B",9,IF(Atletas!L343="Outra Mão de Sul B",10,IF(Atletas!L343="Choylayfut C",11,IF(Atletas!L343="Hunggar C",12,IF(Atletas!L343="Wuzuquan C",13,IF(Atletas!L343="Wingchun C",14,IF(Atletas!L343="Outra Mão de Sul C",15,IF(Atletas!L343="Choylayfut D",16,IF(Atletas!L343="Hunggar D",17,IF(Atletas!L343="Wuzuquan D",18,IF(Atletas!L343="Wingchun D",19,IF(Atletas!L343="Outra Mão de Sul D",20,IF(Atletas!L343="Choylayfut E",21,IF(Atletas!L343="Hunggar E",22,IF(Atletas!L343="Wuzuquan E",23,IF(Atletas!L343="Wingchun E",24,IF(Atletas!L343="Outra Mão de Sul E",25,IF(Atletas!L343="Choylayfut F",26,IF(Atletas!L343="Hunggar F",27,IF(Atletas!L343="Wuzuquan F",28,IF(Atletas!L343="Wingchun F",29,IF(Atletas!L343="Outra Mão de Sul F",30,IF(Atletas!L343="Dishuquan A",31,IF(Atletas!L343="Dishuquan B",32,IF(Atletas!L343="Dishuquan C",33,IF(Atletas!L343="Dishuquan D",34,IF(Atletas!L343="Dishuquan E",35,IF(Atletas!L343="Dishuquan F",36,""))))))))))))))))))))))))))))))))))))))</f>
        <v/>
      </c>
      <c r="BS352" s="50" t="str">
        <f>IF(Atletas!M343="","",IF(Atletas!X343&lt;&gt;"",10000,0)+(IF(Atletas!B343="Feminino",1000,IF(Atletas!B343="Masculino",2000,""))+(IF(Atletas!M343="Chaquan A",101,IF(Atletas!M343="Emeiquan A",102,IF(Atletas!M343="Fanziquan A",103,IF(Atletas!M343="Huaquan A",104,IF(Atletas!M343="Hongquan A",105,IF(Atletas!M343="Paoquan A",106,IF(Atletas!M343="Piguaquan A",107,IF(Atletas!M343="Shaolinquan A",108,IF(Atletas!M343="Tanglangquan A",109,IF(Atletas!M343="Yingzhaoquan A",110,IF(Atletas!M343="Tongbeiquan A",111,IF(Atletas!M343="Wudangquan A",112,IF(Atletas!M343="Outros Estilos A",113,IF(Atletas!M343="Chaquan B",114,IF(Atletas!M343="Emeiquan B",115,IF(Atletas!M343="Fanziquan B",116,IF(Atletas!M343="Huaquan B",117,IF(Atletas!M343="Hongquan B",118,IF(Atletas!M343="Paoquan B",119,IF(Atletas!M343="Piguaquan B",120,IF(Atletas!M343="Shaolinquan B",121,IF(Atletas!M343="Tanglangquan B",122,IF(Atletas!M343="Yingzhaoquan B",123,IF(Atletas!M343="Tongbeiquan B",124,IF(Atletas!M343="Wudangquan B",125,IF(Atletas!M343="Outros Estilos B",126,IF(Atletas!M343="Chaquan C",127,IF(Atletas!M343="Emeiquan C",128,IF(Atletas!M343="Fanziquan C",129,IF(Atletas!M343="Huaquan C",130,IF(Atletas!M343="Hongquan C",131,IF(Atletas!M343="Paoquan C",132,IF(Atletas!M343="Piguaquan C",133,IF(Atletas!M343="Shaolinquan C",134,IF(Atletas!M343="Tanglangquan C",135,IF(Atletas!M343="Yingzhaoquan C",136,IF(Atletas!M343="Tongbeiquan C",137,IF(Atletas!M343="Wudangquan C",138,IF(Atletas!M343="Outros Estilos C",139,0))))))))))))))))))))))))))))))))))))))))))</f>
        <v/>
      </c>
      <c r="BT352" s="50" t="str">
        <f>IF(Atletas!M343="","",IF(Atletas!X343&lt;&gt;"",10000,0)+(IF(Atletas!B343="Feminino",1000,IF(Atletas!B343="Masculino",2000,""))+(IF(Atletas!M343="Chaquan D",140,IF(Atletas!M343="Emeiquan D",141,IF(Atletas!M343="Fanziquan D",142,IF(Atletas!M343="Huaquan D",143,IF(Atletas!M343="Hongquan D",144,IF(Atletas!M343="Paoquan D",145,IF(Atletas!M343="Piguaquan D",146,IF(Atletas!M343="Shaolinquan D",147,IF(Atletas!M343="Tanglangquan D",148,IF(Atletas!M343="Yingzhaoquan D",149,IF(Atletas!M343="Tongbeiquan D",150,IF(Atletas!M343="Wudangquan D",151,IF(Atletas!M343="Outros Estilos D",152,IF(Atletas!M343="Chaquan E",153,IF(Atletas!M343="Emeiquan E",154,IF(Atletas!M343="Fanziquan E",155,IF(Atletas!M343="Huaquan E",156,IF(Atletas!M343="Hongquan E",157,IF(Atletas!M343="Paoquan E",158,IF(Atletas!M343="Piguaquan E",159,IF(Atletas!M343="Shaolinquan E",160,IF(Atletas!M343="Tanglangquan E",161,IF(Atletas!M343="Yingzhaoquan E",162,IF(Atletas!M343="Tongbeiquan E",163,IF(Atletas!M343="Wudangquan E",164,IF(Atletas!M343="Outros Estilos E",165,IF(Atletas!M343="Chaquan F",166,IF(Atletas!M343="Emeiquan F",167,IF(Atletas!M343="Fanziquan F",168,IF(Atletas!M343="Huaquan F",169,IF(Atletas!M343="Hongquan F",170,IF(Atletas!M343="Paoquan F",171,IF(Atletas!M343="Piguaquan F",172,IF(Atletas!M343="Shaolinquan F",173,IF(Atletas!M343="Tanglangquan F",174,IF(Atletas!M343="Yingzhaoquan F",175,IF(Atletas!M343="Tongbeiquan F",176,IF(Atletas!M343="Wudangquan F",177,IF(Atletas!M343="Outros Estilos F",178,0))))))))))))))))))))))))))))))))))))))))))</f>
        <v/>
      </c>
      <c r="BU352" s="50" t="str">
        <f>IF(Atletas!N343="","",IF(Atletas!X343&lt;&gt;"",10000,0)+(IF(Atletas!B343="Feminino",1000,IF(Atletas!B343="Masculino",2000,""))+(IF(Atletas!N343="Ditangquan A",201,IF(Atletas!N343="Houquan A",202,IF(Atletas!N343="Zuiquan A",203,IF(Atletas!N343="Ditangquan B",204,IF(Atletas!N343="Houquan B",205,IF(Atletas!N343="Zuiquan B",206,IF(Atletas!N343="Ditangquan C",207,IF(Atletas!N343="Houquan C",208,IF(Atletas!N343="Zuiquan C",209,IF(Atletas!N343="Ditangquan D",210,IF(Atletas!N343="Houquan D",211,IF(Atletas!N343="Zuiquan D",212,IF(Atletas!N343="Ditangquan E",213,IF(Atletas!N343="Houquan E",214,IF(Atletas!N343="Zuiquan E",215,IF(Atletas!N343="Ditangquan F",216,IF(Atletas!N343="Houquan F",217,IF(Atletas!N343="Zuiquan F",218,"")))))))))))))))))))))</f>
        <v/>
      </c>
      <c r="BV352" s="50" t="str">
        <f>IF(Atletas!O343="","",IF(Atletas!X343&lt;&gt;"",10000,0)+IF(Atletas!B343="Feminino",1000,IF(Atletas!B343="Masculino",2000,""))+IF(Atletas!O343="Yang A",301,IF(Atletas!O343="Chen A",302,IF(Atletas!O343="Sun A",303,IF(Atletas!O343="Wu A",304,IF(Atletas!O343="Wu-Hao A",305,IF(Atletas!O343="Outro Taijiquan A",306,IF(Atletas!O343="Yang B",307,IF(Atletas!O343="Chen B",308,IF(Atletas!O343="Sun B",309,IF(Atletas!O343="Wu B",310,IF(Atletas!O343="Wu-Hao B",311,IF(Atletas!O343="Outro Taijiquan B",312,IF(Atletas!O343="Yang C",313,IF(Atletas!O343="Chen C",314,IF(Atletas!O343="Sun C",315,IF(Atletas!O343="Wu C",316,IF(Atletas!O343="Wu-Hao C",317,IF(Atletas!O343="Outro Taijiquan C",318,IF(Atletas!O343="Yang D",319,IF(Atletas!O343="Chen D",320,IF(Atletas!O343="Sun D",321,IF(Atletas!O343="Wu D",322,IF(Atletas!O343="Wu-Hao D",323,IF(Atletas!O343="Outro Taijiquan D",324,IF(Atletas!O343="Yang E",325,IF(Atletas!O343="Chen E",326,IF(Atletas!O343="Sun E",327,IF(Atletas!O343="Wu E",328,IF(Atletas!O343="Wu-Hao E",329,IF(Atletas!O343="Outro Taijiquan E",330,IF(Atletas!O343="Yang F",331,IF(Atletas!O343="Chen F",332,IF(Atletas!O343="Sun F",333,IF(Atletas!O343="Wu F",334,IF(Atletas!O343="Wu-Hao F",335,IF(Atletas!O343="Outro Taijiquan F",336,"")))))))))))))))))))))))))))))))))))))</f>
        <v/>
      </c>
      <c r="BW352" s="50" t="str">
        <f>IF(Atletas!P343="","",IF(Atletas!X343&lt;&gt;"",10000,0)+IF(Atletas!B343="Feminino",1000,IF(Atletas!B343="Masculino",2000,""))+IF(OR(Atletas!P343="Yang 26 A",Atletas!P343="Yang 40 A"),401,IF(OR(Atletas!P343="Chen 25 A",Atletas!P343="Chen 36 A",Atletas!P343="Chen 56 A"),402,IF(Atletas!P343="Sun 73 A",403,IF(Atletas!P343="Wu 45 A",404,IF(Atletas!P343="Wu-Hao 46 A",405,IF(OR(Atletas!P343="Taijiquan 16 A",Atletas!P343="Taijiquan 24 A",Atletas!P343="Taijiquan 32 A",Atletas!P343="Taijiquan 42 A"),406,IF(OR(Atletas!P343="Yang 26 B",Atletas!P343="Yang 40 B"),407,IF(OR(Atletas!P343="Chen 25 B",Atletas!P343="Chen 36 B",Atletas!P343="Chen 56 B"),408,IF(Atletas!P343="Sun 73 B",409,IF(Atletas!P343="Wu 45 B",410,IF(Atletas!P343="Wu-Hao 46 B",411,IF(OR(Atletas!P343="Taijiquan 16 B",Atletas!P343="Taijiquan 24 B",Atletas!P343="Taijiquan 32 B",Atletas!P343="Taijiquan 42 B"),412,IF(OR(Atletas!P343="Yang 26 C",Atletas!P343="Yang 40 C"),413,IF(OR(Atletas!P343="Chen 25 C",Atletas!P343="Chen 36 C",Atletas!P343="Chen 56 C"),414,IF(Atletas!P343="Sun 73 C",415,IF(Atletas!P343="Wu 45 C",416,IF(Atletas!P343="Wu-Hao 46 C",417,IF(OR(Atletas!P343="Taijiquan 16 C",Atletas!P343="Taijiquan 24 C",Atletas!P343="Taijiquan 32 C",Atletas!P343="Taijiquan 42 C"),418,0)))))))))))))))))))</f>
        <v/>
      </c>
      <c r="BX352" s="50" t="str">
        <f>IF(Atletas!P343="","",IF(Atletas!X343&lt;&gt;"",10000,0)+IF(Atletas!B343="Feminino",1000,IF(Atletas!B343="Masculino",2000,""))+IF(OR(Atletas!P343="Yang 26 D",Atletas!P343="Yang 40 D"),419,IF(OR(Atletas!P343="Chen 25 D",Atletas!P343="Chen 36 D",Atletas!P343="Chen 56 D"),420,IF(Atletas!P343="Sun 73 D",421,IF(Atletas!P343="Wu 45 D",422,IF(Atletas!P343="Wu-Hao 46 D",423,IF(OR(Atletas!P343="Taijiquan 16 D",Atletas!P343="Taijiquan 24 D",Atletas!P343="Taijiquan 32 D",Atletas!P343="Taijiquan 42 D"),424,IF(OR(Atletas!P343="Yang 26 E",Atletas!P343="Yang 40 E"),425,IF(OR(Atletas!P343="Chen 25 E",Atletas!P343="Chen 36 E",Atletas!P343="Chen 56 E"),426,IF(Atletas!P343="Sun 73 E",427,IF(Atletas!P343="Wu 45 E",428,IF(Atletas!P343="Wu-Hao 46 E",429,IF(OR(Atletas!P343="Taijiquan 16 E",Atletas!P343="Taijiquan 24 E",Atletas!P343="Taijiquan 32 E",Atletas!P343="Taijiquan 42 E"),430,IF(OR(Atletas!P343="Yang 26 F",Atletas!P343="Yang 40 F"),431,IF(OR(Atletas!P343="Chen 25 F",Atletas!P343="Chen 36 F",Atletas!P343="Chen 56 F"),432,IF(Atletas!P343="Sun 73 F",433,IF(Atletas!P343="Wu 45 F",434,IF(Atletas!P343="Wu-Hao 46 F",435,IF(OR(Atletas!P343="Taijiquan 16 F",Atletas!P343="Taijiquan 24 F",Atletas!P343="Taijiquan 32 F",Atletas!P343="Taijiquan 42 F"),436,0)))))))))))))))))))</f>
        <v/>
      </c>
      <c r="BY352" s="50" t="str">
        <f>IF(Atletas!Q343="","",IF(Atletas!X343&lt;&gt;"",10000,0)+IF(Atletas!B343="Feminino",1000,IF(Atletas!B343="Masculino",2000,""))+IF(Atletas!Q343="Xingyiquan A",501,IF(Atletas!Q343="Baguazhang A",502,IF(Atletas!Q343="Outro Estilo Interno A",503,IF(Atletas!Q343="Xingyiquan B",504,IF(Atletas!Q343="Baguazhang B",505,IF(Atletas!Q343="Outro Estilo Interno B",506,IF(Atletas!Q343="Xingyiquan C",507,IF(Atletas!Q343="Baguazhang C",508,IF(Atletas!Q343="Outro Estilo Interno C",509,IF(Atletas!Q343="Xingyiquan D",510,IF(Atletas!Q343="Baguazhang D",511,IF(Atletas!Q343="Outro Estilo Interno D",512,IF(Atletas!Q343="Xingyiquan E",513,IF(Atletas!Q343="Baguazhang E",514,IF(Atletas!Q343="Outro Estilo Interno E",515,IF(Atletas!Q343="Xingyiquan F",516,IF(Atletas!Q343="Baguazhang F",517,IF(Atletas!Q343="Outro Estilo Interno F",518, "")))))))))))))))))))</f>
        <v/>
      </c>
      <c r="BZ352" s="50" t="str">
        <f>IF(Atletas!R343="","",IF(Atletas!X343&lt;&gt;"",10000,0)+IF(Atletas!B343="Feminino",1000,IF(Atletas!B343="Masculino",2000,""))+IF(Atletas!R343="Dao A",601,IF(Atletas!R343="Jian A",602,IF(Atletas!R343="Bishou A",603,IF(Atletas!R343="Shanzi A",604,IF(Atletas!R343="Outra Arma Curta A",605,IF(Atletas!R343="Dao B",606,IF(Atletas!R343="Jian B",607,IF(Atletas!R343="Bishou B",608,IF(Atletas!R343="Shanzi B",609,IF(Atletas!R343="Outra Arma Curta B",610,IF(Atletas!R343="Dao C",611,IF(Atletas!R343="Jian C",612,IF(Atletas!R343="Bishou C",613,IF(Atletas!R343="Shanzi C",614,IF(Atletas!R343="Outra Arma Curta C",615,IF(Atletas!R343="Dao D",616,IF(Atletas!R343="Jian D",617,IF(Atletas!R343="Bishou D",618,IF(Atletas!R343="Shanzi D",619,IF(Atletas!R343="Outra Arma Curta D",620,IF(Atletas!R343="Dao E",621,IF(Atletas!R343="Jian E",622,IF(Atletas!R343="Bishou E",623,IF(Atletas!R343="Shanzi E",624,IF(Atletas!R343="Outra Arma Curta E",625,IF(Atletas!R343="Dao F",626,IF(Atletas!R343="Jian F",627,IF(Atletas!R343="Bishou F",628,IF(Atletas!R343="Shanzi F",629,IF(Atletas!R343="Outra Arma Curta F",630, "")))))))))))))))))))))))))))))))</f>
        <v/>
      </c>
      <c r="CA352" s="50" t="str">
        <f>IF(Atletas!S343="","",IF(Atletas!X343&lt;&gt;"",10000,0)+IF(Atletas!B343="Feminino",1000,IF(Atletas!B343="Masculino",2000,""))+IF(Atletas!S343="Gun A",701,IF(Atletas!S343="Qiang A",702,IF(Atletas!S343="Pudao / Guandao A",703,IF(Atletas!S343="Outra Arma Longa A",704,IF(Atletas!S343="Gun B",705,IF(Atletas!S343="Qiang B",706,IF(Atletas!S343="Pudao / Guandao B",707,IF(Atletas!S343="Outra Arma Longa B",708,IF(Atletas!S343="Gun C",709,IF(Atletas!S343="Qiang C",710,IF(Atletas!S343="Pudao / Guandao C",711,IF(Atletas!S343="Outra Arma Longa C",712,IF(Atletas!S343="Gun D",713,IF(Atletas!S343="Qiang D",714,IF(Atletas!S343="Pudao / Guandao D",715,IF(Atletas!S343="Outra Arma Longa D",716,IF(Atletas!S343="Gun E",717,IF(Atletas!S343="Qiang E",718,IF(Atletas!S343="Pudao / Guandao E",719,IF(Atletas!S343="Outra Arma Longa E",720,IF(Atletas!S343="Gun F",721,IF(Atletas!S343="Qiang F",722,IF(Atletas!S343="Pudao / Guandao F",723,IF(Atletas!S343="Outra Arma Longa F",724,"")))))))))))))))))))))))))</f>
        <v/>
      </c>
      <c r="CB352" s="50" t="str">
        <f>IF(Atletas!T343="","",IF(Atletas!X343&lt;&gt;"",10000,0)+IF(Atletas!B343="Feminino",1000,IF(Atletas!B343="Masculino",2000,""))+IF(Atletas!T343="Outra Arma Dupla A",801,IF(Atletas!T343="Arma Maleável A",802,IF(Atletas!T343="Outra Arma Dupla B",803,IF(Atletas!T343="Arma Maleável B",804,IF(Atletas!T343="Outra Arma Dupla C",805,IF(Atletas!T343="Arma Maleável C",806,IF(Atletas!T343="Outra Arma Dupla D",807,IF(Atletas!T343="Arma Maleável D",808,IF(Atletas!T343="Outra Arma Dupla E",809,IF(Atletas!T343="Arma Maleável E",810,IF(Atletas!T343="Outra Arma Dupla F",811,IF(Atletas!T343="Arma Maleável F",812,IF(Atletas!T343="Shuangdao A",813,IF(Atletas!T343="Shuangdao B",814,IF(Atletas!T343="Shuangdao C",815,IF(Atletas!T343="Shuangdao D",816,IF(Atletas!T343="Shuangdao E",817,IF(Atletas!T343="Shuangdao F",818,"")))))))))))))))))))</f>
        <v/>
      </c>
      <c r="CC352" s="50" t="str">
        <f>IF(Atletas!U343="","",IF(Atletas!X343&lt;&gt;"",10000,0)+IF(Atletas!B343="Feminino",1000,IF(Atletas!B343="Masculino",2000,""))+IF(OR(Atletas!U343="Taijijian Yang A",Atletas!U343="Taijijian Yang Standard A"),901,IF(OR(Atletas!U343="Taijijian Chen A", Atletas!U343="Taijijian Chen Standard A"),902,IF(Atletas!U343="Taijijian Sun A",903,IF(Atletas!U343="Taijijian Wu A",904,IF(Atletas!U343="Taijijian Wu-Hao A",905,IF(OR(Atletas!U343="Taijijian 32 A",Atletas!U343="Taijijian 42 A"),906,IF(OR(Atletas!U343="Taijijian Yang B",Atletas!U343="Taijijian Yang Standard B"),907,IF(OR(Atletas!U343="Taijijian Chen B", Atletas!U343="Taijijian Chen Standard B"),908,IF(Atletas!U343="Taijijian Sun B",909,IF(Atletas!U343="Taijijian Wu B",910,IF(Atletas!U343="Taijijian Wu-Hao B",911,IF(OR(Atletas!U343="Taijijian 32 B",Atletas!U343="Taijijian 42 B"),912,IF(OR(Atletas!U343="Taijijian Yang C",Atletas!U343="Taijijian Yang Standard C"),913,IF(OR(Atletas!U343="Taijijian Chen C", Atletas!U343="Taijijian Chen Standard C"),914,IF(Atletas!U343="Taijijian Sun C",915,IF(Atletas!U343="Taijijian Wu C",916,IF(Atletas!U343="Taijijian Wu-Hao C",917,IF(OR(Atletas!U343="Taijijian 32 C",Atletas!U343="Taijijian 42 C"),918,IF(OR(Atletas!U343="Taijijian Yang D",Atletas!U343="Taijijian Yang Standard D"),919,IF(OR(Atletas!U343="Taijijian Chen D", Atletas!U343="Taijijian Chen Standard D"),920,IF(Atletas!U343="Taijijian Sun D",921,IF(Atletas!U343="Taijijian Wu D",922,IF(Atletas!U343="Taijijian Wu-Hao D",923,IF(OR(Atletas!U343="Taijijian 32 D",Atletas!U343="Taijijian 42 D"),924,IF(OR(Atletas!U343="Taijijian Yang E",Atletas!U343="Taijijian Yang Standard E"),925,IF(OR(Atletas!U343="Taijijian Chen E", Atletas!U343="Taijijian Chen Standard E"),926,IF(Atletas!U343="Taijijian Sun E",927,IF(Atletas!U343="Taijijian Wu E",928,IF(Atletas!U343="Taijijian Wu-Hao E",929,IF(OR(Atletas!U343="Taijijian 32 E",Atletas!U343="Taijijian 42 E"),930,IF(OR(Atletas!U343="Taijijian Yang F",Atletas!U343="Taijijian Yang Standard F"),931,IF(OR(Atletas!U343="Taijijian Chen F", Atletas!U343="Taijijian Chen Standard F"),932,IF(Atletas!U343="Taijijian Sun F",933,IF(Atletas!U343="Taijijian Wu F",934,IF(Atletas!U343="Taijijian Wu-Hao F",935,IF(OR(Atletas!U343="Taijijian 32 F",Atletas!U343="Taijijian 42 F"),936,"")))))))))))))))))))))))))))))))))))))</f>
        <v/>
      </c>
      <c r="CD352" s="50" t="str">
        <f>IF(Atletas!V343="","",IF(Atletas!X343&lt;&gt;"",10000,0)+IF(Atletas!B343="Feminino",1000,IF(Atletas!B343="Masculino",2000,""))+IF(Atletas!V343="Taijidao A",937,IF(Atletas!V343="TaijiShanzi A",938,IF(Atletas!V343="Taijiqiang A",939,IF(Atletas!V343="Bagua de Arma A",940,IF(Atletas!V343="Xingyi de Arma A",941,IF(Atletas!V343="Taijidao B",942,IF(Atletas!V343="TaijiShanzi B",943,IF(Atletas!V343="Taijiqiang B",944,IF(Atletas!V343="Bagua de Arma B",945,IF(Atletas!V343="Xingyi de Arma B",946,IF(Atletas!V343="Taijidao C",947,IF(Atletas!V343="TaijiShanzi C",948,IF(Atletas!V343="Taijiqiang C",949,IF(Atletas!V343="Bagua de Arma C",950,IF(Atletas!V343="Xingyi de Arma C",951,IF(Atletas!V343="Taijidao D",952,IF(Atletas!V343="TaijiShanzi D",953,IF(Atletas!V343="Taijiqiang D",954,IF(Atletas!V343="Bagua de Arma D",955,IF(Atletas!V343="Xingyi de Arma D",956,IF(Atletas!V343="Taijidao E",957,IF(Atletas!V343="TaijiShanzi E",958,IF(Atletas!V343="Taijiqiang E",959,IF(Atletas!V343="Bagua de Arma E",960,IF(Atletas!V343="Xingyi de Arma E",961,IF(Atletas!V343="Taijidao F",962,IF(Atletas!V343="TaijiShanzi F",963,IF(Atletas!V343="Taijiqiang F",964,IF(Atletas!V343="Bagua de Arma F",965,IF(Atletas!V343="Xingyi de Arma F",966,"")))))))))))))))))))))))))))))))</f>
        <v/>
      </c>
      <c r="CE352" s="66" t="str">
        <f>IF(CF352&lt;&gt;"","Taijidao D","")</f>
        <v/>
      </c>
      <c r="CF352" s="66" t="str">
        <f>IF(COUNTIF(BR:CD,1952)&gt;0,COUNTIF(BR:CD,1952),"")</f>
        <v/>
      </c>
      <c r="CG352" s="66" t="str">
        <f>IF(CH352&lt;&gt;"","Taijidao D","")</f>
        <v/>
      </c>
      <c r="CH352" s="66" t="str">
        <f>IF(COUNTIF(BR:CD,2952)&gt;0,COUNTIF(BR:CD,2952),"")</f>
        <v/>
      </c>
      <c r="CI352" s="66" t="str">
        <f>IF(CJ353&lt;&gt;"","Bagua de Arma F","")</f>
        <v/>
      </c>
      <c r="CJ352" s="66" t="str">
        <f>IF(COUNTIF(BR:CD,11964)&gt;0,COUNTIF(BR:CD,11964),"")</f>
        <v/>
      </c>
      <c r="CK352" s="66" t="str">
        <f>IF(CL352&lt;&gt;"","Taijiqiang F","")</f>
        <v/>
      </c>
      <c r="CL352" s="66" t="str">
        <f>IF(COUNTIF(BR:CD,12964)&gt;0,COUNTIF(BR:CD,12964),"")</f>
        <v/>
      </c>
      <c r="CM352" s="50" t="str">
        <f xml:space="preserve"> IF(Atletas!W343="","",IF(Atletas!W343="Duilian de Mãos BC - Equipe 1",1,IF(Atletas!W343="Duilian de Mãos BC - Equipe 2",2,IF(Atletas!W343="Duilian de Armas BC - Equipe 1",3,IF(Atletas!W343="Duilian de Armas BC - Equipe 2",4,IF(Atletas!W343="Duilian de Mãos DE - Equipe 1",5,IF(Atletas!W343="Duilian de Mãos DE - Equipe 2",6,IF(Atletas!W343="Duilian de Armas DE - Equipe 1",7,IF(Atletas!W343="Duilian de Armas DE - Equipe 2",8,IF(Atletas!W343="Duilian de Tuishou - Equipe 1",9,IF(Atletas!W343="Duilian de Tuishou - Equipe 2",10,IF(Atletas!W343="Grupo Externo ABC - Equipe 1",11,IF(Atletas!W343="Grupo Externo ABC - Equipe 2",12,IF(Atletas!W343="Grupo Interno ABC - Equipe 1",13,IF(Atletas!W343="Grupo Interno ABC - Equipe 2",14,IF(Atletas!W343="Grupo Externo DEF - Equipe 1",15,IF(Atletas!W343="Grupo Externo DEF - Equipe 2",16,IF(Atletas!W343="Grupo Interno DEF - Equipe 1",17,IF(Atletas!W343="Grupo Interno DEF - Equipe 2",18,"")))))))))))))))))))</f>
        <v/>
      </c>
    </row>
    <row r="353" spans="40:91">
      <c r="AN353" s="52" t="str">
        <f>IF(Atletas!D344="","",IF(Atletas!B344="Feminino",100,IF(Atletas!B344="Masculino",200,""))+(IF(Atletas!D344="Kids 30kg",1,IF(Atletas!D344="Kids 32kg",2, IF(Atletas!D344="Kids 34kg",3,IF(Atletas!D344="Kids 36kg",4,IF(Atletas!D344="Kids 39kg",5,IF(Atletas!D344="Kids 42kg",6,IF(Atletas!D344="Kids 45kg",7, IF(Atletas!D344="Infantil 39kg",8,IF(Atletas!D344="Infantil 42kg",9,IF(Atletas!D344="Infantil 45kg",10,IF(Atletas!D344="Infantil 48kg",11,IF(Atletas!D344="Infantil 52kg",12,IF(Atletas!D344="Infantil 56kg",13,IF(Atletas!D344="Infantil 60kg",14,IF(Atletas!D344="Juvenil 48kg",15,IF(Atletas!D344="Juvenil 52kg",16,IF(Atletas!D344="Juvenil 56kg",17,IF(Atletas!D344="Juvenil 60kg",18,IF(Atletas!D344="Juvenil 65kg",19,IF(Atletas!D344="Juvenil 70kg",20,IF(Atletas!D344="Juvenil 75kg",21,IF(Atletas!D344="Juvenil 80kg",22, IF(Atletas!D344="Juvenil 85kg",23,IF(Atletas!D344="Adulto 48kg",24,IF(Atletas!D344="Adulto 52kg",25,IF(Atletas!D344="Adulto 56kg",26,IF(Atletas!D344="Adulto 60kg",27,IF(Atletas!D344="Adulto 65kg",28,IF(Atletas!D344="Adulto 70kg",29,IF(Atletas!D344="Adulto 75kg",30,IF(Atletas!D344="Adulto 80kg",31,IF(Atletas!D344="Adulto 85kg",32,IF(Atletas!D344="Adulto 90kg",33,IF(Atletas!D344="Adulto 100kg",34, IF(Atletas!D344="Adulto +100kg",35,"")))))))))))))))))))))))))))))))))))))</f>
        <v/>
      </c>
      <c r="AS353" s="6" t="str">
        <f>IF(Atletas!E344="","",IF(Atletas!B344="Feminino",100,IF(Atletas!B344="Masculino",200,""))+(IF(Atletas!E344="Juvenil 44kg",1,IF(Atletas!E344="Juvenil 48kg",2,IF(Atletas!E344="Juvenil 52kg",3,IF(Atletas!E344="Juvenil 56kg",4,IF(Atletas!E344="Juvenil 60kg",5,IF(Atletas!E344="Juvenil 65kg",6,IF(Atletas!E344="Juvenil 70kg",7,IF(Atletas!E344="Juvenil 75kg",8,IF(Atletas!E344="Juvenil 82kg",9,IF(Atletas!E344="Juvenil 90kg",10,IF(Atletas!E344="Juvenil 100kg",11,IF(Atletas!E344="Adulto 48kg",12,IF(Atletas!E344="Adulto 52kg",13,IF(Atletas!E344="Adulto 56kg",14,IF(Atletas!E344="Adulto 60kg",15,IF(Atletas!E344="Adulto 65kg",16,IF(Atletas!E344="Adulto 70kg",17,IF(Atletas!E344="Adulto 75kg",18,IF(Atletas!E344="Adulto 82kg",19,IF(Atletas!E344="Adulto 90kg",20,IF(Atletas!E344="Adulto 100kg",21,IF(Atletas!E344="Adulto +100kg",22,""))))))))))))))))))))))))</f>
        <v/>
      </c>
      <c r="AX353" s="6" t="str">
        <f>IF(Atletas!F344="","",IF(Atletas!B344="Feminino",100,IF(Atletas!B344="Masculino",200,""))+(IF(Atletas!F344="Adulto 48kg",1,IF(Atletas!F344="Adulto 56kg",2,IF(Atletas!F344="Adulto 65kg",3,IF(Atletas!F344="Adulto 75kg",4,IF(Atletas!F344="Adulto +75kg",5,IF(Atletas!F344="Adulto 52kg",6,IF(Atletas!F344="Adulto 60kg",7,IF(Atletas!F344="Adulto 70kg",8,IF(Atletas!F344="Adulto 80kg",9,IF(Atletas!F344="Adulto 90kg",10,IF(Atletas!F344="Adulto +90kg",11,"")))))))))))))</f>
        <v/>
      </c>
      <c r="BC353" s="6" t="str">
        <f>IF(Atletas!G344="","",IF(Atletas!B344="Feminino",10,IF(Atletas!B344="Masculino",20,""))+(IF(Atletas!G344="Baduanjin A",1,IF(Atletas!G344="Baduanjin B",2))))</f>
        <v/>
      </c>
      <c r="BF353" s="52" t="str">
        <f>IF(Atletas!H344="","",IF(Atletas!B344="Feminino",100,IF(Atletas!B344="Masculino",200,""))+(IF(Atletas!H344="Changquan Mirim",1,IF(Atletas!H344="Nanquan Mirim",2,IF(Atletas!H344="Taijiquan Mirim",3,IF(Atletas!H344="Changquan Grupo C",4,IF(Atletas!H344="Nanquan Grupo C",5,IF(Atletas!H344="Taijiquan Grupo C",6,IF(Atletas!H344="Changquan Grupo B",7,IF(Atletas!H344="Nanquan Grupo B",8,IF(Atletas!H344="Taijiquan Grupo B",9,IF(Atletas!H344="Changquan Grupo A",10,IF(Atletas!H344="Nanquan Grupo A",11,IF(Atletas!H344="Taijiquan Grupo A",12,IF(Atletas!H344="Changquan Opcional",13,IF(Atletas!H344="Nanquan Opcional",14,IF(Atletas!H344="Taijiquan Opcional",15,IF(Atletas!H344="Changquan Adulto",16,IF(Atletas!H344="Nanquan Adulto",17,IF(Atletas!H344="Taijiquan Adulto",18,""))))))))))))))))))))</f>
        <v/>
      </c>
      <c r="BG353" s="52" t="str">
        <f>IF(Atletas!I344="","",IF(Atletas!B344="Feminino",100,IF(Atletas!B344="Masculino",200,""))+(IF(Atletas!I344="Daoshu Mirim",19,IF(Atletas!I344="Jianshu Mirim",20,IF(Atletas!I344="Nandao Mirim",21,IF(Atletas!I344="Taijijian Mirim",22,IF(Atletas!I344="Daoshu Grupo C",23,IF(Atletas!I344="Jianshu Grupo C",24,IF(Atletas!I344="Nandao Grupo C",25,IF(Atletas!I344="Taijijian Grupo C",26,IF(Atletas!I344="Daoshu Grupo B",27,IF(Atletas!I344="Jianshu Grupo B",28,IF(Atletas!I344="Nandao Grupo B",29,IF(Atletas!I344="Taijijian Grupo B",30,IF(Atletas!I344="Daoshu Grupo A",31,IF(Atletas!I344="Jianshu Grupo A",32,IF(Atletas!I344="Nandao Grupo A",33,IF(Atletas!I344="Taijijian Grupo A",34,IF(Atletas!I344="Daoshu Opcional",35,IF(Atletas!I344="Jianshu Opcional",36,IF(Atletas!I344="Nandao Opcional",37,IF(Atletas!I344="Taijijian Opcional",38,IF(Atletas!I344="Daoshu Adulto",39,IF(Atletas!I344="Jianshu Adulto",40,IF(Atletas!I344="Nandao Adulto",41,IF(Atletas!I344="Taijijian Adulto",42,""))))))))))))))))))))))))))</f>
        <v/>
      </c>
      <c r="BH353" s="52" t="str">
        <f>IF(Atletas!J344="","",IF(Atletas!B344="Feminino",100,IF(Atletas!B344="Masculino",200,""))+(IF(Atletas!J344="Gunshu Mirim",43,IF(Atletas!J344="Qiangshu Mirim",44,IF(Atletas!J344="Nangun Mirim",45,IF(Atletas!J344="Gunshu Grupo C",46,IF(Atletas!J344="Qiangshu Grupo C",47,IF(Atletas!J344="Nangun Grupo C",48,IF(Atletas!J344="Gunshu Grupo B",49,IF(Atletas!J344="Qiangshu Grupo B",50,IF(Atletas!J344="Nangun Grupo B",51,IF(Atletas!J344="Gunshu Grupo A",52,IF(Atletas!J344="Qiangshu Grupo A",53,IF(Atletas!J344="Nangun Grupo A",54,IF(Atletas!J344="Gunshu Opcional",55,IF(Atletas!J344="Qiangshu Opcional",56,IF(Atletas!J344="Nangun Opcional",57,IF(Atletas!J344="Gunshu Adulto",58,IF(Atletas!J344="Qiangshu Adulto",59,IF(Atletas!J344="Nangun Adulto",60,IF(Atletas!J344="Taijishan Grupo B",61,IF(Atletas!J344="Taijishan Grupo A",62,""))))))))))))))))))))))</f>
        <v/>
      </c>
      <c r="BM353" s="50" t="str">
        <f>IF(Atletas!K344="","",IF(Atletas!B344="Feminino",100,IF(Atletas!B344="Masculino",200,""))+(IF(Atletas!K344="Equipe 1 Grupo B",1,IF(Atletas!K344="Equipe 2 Grupo B",2,IF(Atletas!K344="Equipe 1 Grupo A",3,IF(Atletas!K344="Equipe 2 Grupo A",4,IF(Atletas!K344="Equipe 1 Adulto",5,IF(Atletas!K344="Equipe 2 Adulto",6,""))))))))</f>
        <v/>
      </c>
      <c r="BR353" s="50" t="str">
        <f>IF(Atletas!L344="","",IF(Atletas!X344&lt;&gt;"",10000,0)+(IF(Atletas!B344="Feminino",1000,IF(Atletas!B344="Masculino",2000,""))+IF(Atletas!L344="Choylayfut A",1,IF(Atletas!L344="Hunggar A",2,IF(Atletas!L344="Wuzuquan A",3,IF(Atletas!L344="Wingchun A",4,IF(Atletas!L344="Outra Mão de Sul A",5,IF(Atletas!L344="Choylayfut B",6,IF(Atletas!L344="Hunggar B",7,IF(Atletas!L344="Wuzuquan B",8,IF(Atletas!L344="Wingchun B",9,IF(Atletas!L344="Outra Mão de Sul B",10,IF(Atletas!L344="Choylayfut C",11,IF(Atletas!L344="Hunggar C",12,IF(Atletas!L344="Wuzuquan C",13,IF(Atletas!L344="Wingchun C",14,IF(Atletas!L344="Outra Mão de Sul C",15,IF(Atletas!L344="Choylayfut D",16,IF(Atletas!L344="Hunggar D",17,IF(Atletas!L344="Wuzuquan D",18,IF(Atletas!L344="Wingchun D",19,IF(Atletas!L344="Outra Mão de Sul D",20,IF(Atletas!L344="Choylayfut E",21,IF(Atletas!L344="Hunggar E",22,IF(Atletas!L344="Wuzuquan E",23,IF(Atletas!L344="Wingchun E",24,IF(Atletas!L344="Outra Mão de Sul E",25,IF(Atletas!L344="Choylayfut F",26,IF(Atletas!L344="Hunggar F",27,IF(Atletas!L344="Wuzuquan F",28,IF(Atletas!L344="Wingchun F",29,IF(Atletas!L344="Outra Mão de Sul F",30,IF(Atletas!L344="Dishuquan A",31,IF(Atletas!L344="Dishuquan B",32,IF(Atletas!L344="Dishuquan C",33,IF(Atletas!L344="Dishuquan D",34,IF(Atletas!L344="Dishuquan E",35,IF(Atletas!L344="Dishuquan F",36,""))))))))))))))))))))))))))))))))))))))</f>
        <v/>
      </c>
      <c r="BS353" s="50" t="str">
        <f>IF(Atletas!M344="","",IF(Atletas!X344&lt;&gt;"",10000,0)+(IF(Atletas!B344="Feminino",1000,IF(Atletas!B344="Masculino",2000,""))+(IF(Atletas!M344="Chaquan A",101,IF(Atletas!M344="Emeiquan A",102,IF(Atletas!M344="Fanziquan A",103,IF(Atletas!M344="Huaquan A",104,IF(Atletas!M344="Hongquan A",105,IF(Atletas!M344="Paoquan A",106,IF(Atletas!M344="Piguaquan A",107,IF(Atletas!M344="Shaolinquan A",108,IF(Atletas!M344="Tanglangquan A",109,IF(Atletas!M344="Yingzhaoquan A",110,IF(Atletas!M344="Tongbeiquan A",111,IF(Atletas!M344="Wudangquan A",112,IF(Atletas!M344="Outros Estilos A",113,IF(Atletas!M344="Chaquan B",114,IF(Atletas!M344="Emeiquan B",115,IF(Atletas!M344="Fanziquan B",116,IF(Atletas!M344="Huaquan B",117,IF(Atletas!M344="Hongquan B",118,IF(Atletas!M344="Paoquan B",119,IF(Atletas!M344="Piguaquan B",120,IF(Atletas!M344="Shaolinquan B",121,IF(Atletas!M344="Tanglangquan B",122,IF(Atletas!M344="Yingzhaoquan B",123,IF(Atletas!M344="Tongbeiquan B",124,IF(Atletas!M344="Wudangquan B",125,IF(Atletas!M344="Outros Estilos B",126,IF(Atletas!M344="Chaquan C",127,IF(Atletas!M344="Emeiquan C",128,IF(Atletas!M344="Fanziquan C",129,IF(Atletas!M344="Huaquan C",130,IF(Atletas!M344="Hongquan C",131,IF(Atletas!M344="Paoquan C",132,IF(Atletas!M344="Piguaquan C",133,IF(Atletas!M344="Shaolinquan C",134,IF(Atletas!M344="Tanglangquan C",135,IF(Atletas!M344="Yingzhaoquan C",136,IF(Atletas!M344="Tongbeiquan C",137,IF(Atletas!M344="Wudangquan C",138,IF(Atletas!M344="Outros Estilos C",139,0))))))))))))))))))))))))))))))))))))))))))</f>
        <v/>
      </c>
      <c r="BT353" s="50" t="str">
        <f>IF(Atletas!M344="","",IF(Atletas!X344&lt;&gt;"",10000,0)+(IF(Atletas!B344="Feminino",1000,IF(Atletas!B344="Masculino",2000,""))+(IF(Atletas!M344="Chaquan D",140,IF(Atletas!M344="Emeiquan D",141,IF(Atletas!M344="Fanziquan D",142,IF(Atletas!M344="Huaquan D",143,IF(Atletas!M344="Hongquan D",144,IF(Atletas!M344="Paoquan D",145,IF(Atletas!M344="Piguaquan D",146,IF(Atletas!M344="Shaolinquan D",147,IF(Atletas!M344="Tanglangquan D",148,IF(Atletas!M344="Yingzhaoquan D",149,IF(Atletas!M344="Tongbeiquan D",150,IF(Atletas!M344="Wudangquan D",151,IF(Atletas!M344="Outros Estilos D",152,IF(Atletas!M344="Chaquan E",153,IF(Atletas!M344="Emeiquan E",154,IF(Atletas!M344="Fanziquan E",155,IF(Atletas!M344="Huaquan E",156,IF(Atletas!M344="Hongquan E",157,IF(Atletas!M344="Paoquan E",158,IF(Atletas!M344="Piguaquan E",159,IF(Atletas!M344="Shaolinquan E",160,IF(Atletas!M344="Tanglangquan E",161,IF(Atletas!M344="Yingzhaoquan E",162,IF(Atletas!M344="Tongbeiquan E",163,IF(Atletas!M344="Wudangquan E",164,IF(Atletas!M344="Outros Estilos E",165,IF(Atletas!M344="Chaquan F",166,IF(Atletas!M344="Emeiquan F",167,IF(Atletas!M344="Fanziquan F",168,IF(Atletas!M344="Huaquan F",169,IF(Atletas!M344="Hongquan F",170,IF(Atletas!M344="Paoquan F",171,IF(Atletas!M344="Piguaquan F",172,IF(Atletas!M344="Shaolinquan F",173,IF(Atletas!M344="Tanglangquan F",174,IF(Atletas!M344="Yingzhaoquan F",175,IF(Atletas!M344="Tongbeiquan F",176,IF(Atletas!M344="Wudangquan F",177,IF(Atletas!M344="Outros Estilos F",178,0))))))))))))))))))))))))))))))))))))))))))</f>
        <v/>
      </c>
      <c r="BU353" s="50" t="str">
        <f>IF(Atletas!N344="","",IF(Atletas!X344&lt;&gt;"",10000,0)+(IF(Atletas!B344="Feminino",1000,IF(Atletas!B344="Masculino",2000,""))+(IF(Atletas!N344="Ditangquan A",201,IF(Atletas!N344="Houquan A",202,IF(Atletas!N344="Zuiquan A",203,IF(Atletas!N344="Ditangquan B",204,IF(Atletas!N344="Houquan B",205,IF(Atletas!N344="Zuiquan B",206,IF(Atletas!N344="Ditangquan C",207,IF(Atletas!N344="Houquan C",208,IF(Atletas!N344="Zuiquan C",209,IF(Atletas!N344="Ditangquan D",210,IF(Atletas!N344="Houquan D",211,IF(Atletas!N344="Zuiquan D",212,IF(Atletas!N344="Ditangquan E",213,IF(Atletas!N344="Houquan E",214,IF(Atletas!N344="Zuiquan E",215,IF(Atletas!N344="Ditangquan F",216,IF(Atletas!N344="Houquan F",217,IF(Atletas!N344="Zuiquan F",218,"")))))))))))))))))))))</f>
        <v/>
      </c>
      <c r="BV353" s="50" t="str">
        <f>IF(Atletas!O344="","",IF(Atletas!X344&lt;&gt;"",10000,0)+IF(Atletas!B344="Feminino",1000,IF(Atletas!B344="Masculino",2000,""))+IF(Atletas!O344="Yang A",301,IF(Atletas!O344="Chen A",302,IF(Atletas!O344="Sun A",303,IF(Atletas!O344="Wu A",304,IF(Atletas!O344="Wu-Hao A",305,IF(Atletas!O344="Outro Taijiquan A",306,IF(Atletas!O344="Yang B",307,IF(Atletas!O344="Chen B",308,IF(Atletas!O344="Sun B",309,IF(Atletas!O344="Wu B",310,IF(Atletas!O344="Wu-Hao B",311,IF(Atletas!O344="Outro Taijiquan B",312,IF(Atletas!O344="Yang C",313,IF(Atletas!O344="Chen C",314,IF(Atletas!O344="Sun C",315,IF(Atletas!O344="Wu C",316,IF(Atletas!O344="Wu-Hao C",317,IF(Atletas!O344="Outro Taijiquan C",318,IF(Atletas!O344="Yang D",319,IF(Atletas!O344="Chen D",320,IF(Atletas!O344="Sun D",321,IF(Atletas!O344="Wu D",322,IF(Atletas!O344="Wu-Hao D",323,IF(Atletas!O344="Outro Taijiquan D",324,IF(Atletas!O344="Yang E",325,IF(Atletas!O344="Chen E",326,IF(Atletas!O344="Sun E",327,IF(Atletas!O344="Wu E",328,IF(Atletas!O344="Wu-Hao E",329,IF(Atletas!O344="Outro Taijiquan E",330,IF(Atletas!O344="Yang F",331,IF(Atletas!O344="Chen F",332,IF(Atletas!O344="Sun F",333,IF(Atletas!O344="Wu F",334,IF(Atletas!O344="Wu-Hao F",335,IF(Atletas!O344="Outro Taijiquan F",336,"")))))))))))))))))))))))))))))))))))))</f>
        <v/>
      </c>
      <c r="BW353" s="50" t="str">
        <f>IF(Atletas!P344="","",IF(Atletas!X344&lt;&gt;"",10000,0)+IF(Atletas!B344="Feminino",1000,IF(Atletas!B344="Masculino",2000,""))+IF(OR(Atletas!P344="Yang 26 A",Atletas!P344="Yang 40 A"),401,IF(OR(Atletas!P344="Chen 25 A",Atletas!P344="Chen 36 A",Atletas!P344="Chen 56 A"),402,IF(Atletas!P344="Sun 73 A",403,IF(Atletas!P344="Wu 45 A",404,IF(Atletas!P344="Wu-Hao 46 A",405,IF(OR(Atletas!P344="Taijiquan 16 A",Atletas!P344="Taijiquan 24 A",Atletas!P344="Taijiquan 32 A",Atletas!P344="Taijiquan 42 A"),406,IF(OR(Atletas!P344="Yang 26 B",Atletas!P344="Yang 40 B"),407,IF(OR(Atletas!P344="Chen 25 B",Atletas!P344="Chen 36 B",Atletas!P344="Chen 56 B"),408,IF(Atletas!P344="Sun 73 B",409,IF(Atletas!P344="Wu 45 B",410,IF(Atletas!P344="Wu-Hao 46 B",411,IF(OR(Atletas!P344="Taijiquan 16 B",Atletas!P344="Taijiquan 24 B",Atletas!P344="Taijiquan 32 B",Atletas!P344="Taijiquan 42 B"),412,IF(OR(Atletas!P344="Yang 26 C",Atletas!P344="Yang 40 C"),413,IF(OR(Atletas!P344="Chen 25 C",Atletas!P344="Chen 36 C",Atletas!P344="Chen 56 C"),414,IF(Atletas!P344="Sun 73 C",415,IF(Atletas!P344="Wu 45 C",416,IF(Atletas!P344="Wu-Hao 46 C",417,IF(OR(Atletas!P344="Taijiquan 16 C",Atletas!P344="Taijiquan 24 C",Atletas!P344="Taijiquan 32 C",Atletas!P344="Taijiquan 42 C"),418,0)))))))))))))))))))</f>
        <v/>
      </c>
      <c r="BX353" s="50" t="str">
        <f>IF(Atletas!P344="","",IF(Atletas!X344&lt;&gt;"",10000,0)+IF(Atletas!B344="Feminino",1000,IF(Atletas!B344="Masculino",2000,""))+IF(OR(Atletas!P344="Yang 26 D",Atletas!P344="Yang 40 D"),419,IF(OR(Atletas!P344="Chen 25 D",Atletas!P344="Chen 36 D",Atletas!P344="Chen 56 D"),420,IF(Atletas!P344="Sun 73 D",421,IF(Atletas!P344="Wu 45 D",422,IF(Atletas!P344="Wu-Hao 46 D",423,IF(OR(Atletas!P344="Taijiquan 16 D",Atletas!P344="Taijiquan 24 D",Atletas!P344="Taijiquan 32 D",Atletas!P344="Taijiquan 42 D"),424,IF(OR(Atletas!P344="Yang 26 E",Atletas!P344="Yang 40 E"),425,IF(OR(Atletas!P344="Chen 25 E",Atletas!P344="Chen 36 E",Atletas!P344="Chen 56 E"),426,IF(Atletas!P344="Sun 73 E",427,IF(Atletas!P344="Wu 45 E",428,IF(Atletas!P344="Wu-Hao 46 E",429,IF(OR(Atletas!P344="Taijiquan 16 E",Atletas!P344="Taijiquan 24 E",Atletas!P344="Taijiquan 32 E",Atletas!P344="Taijiquan 42 E"),430,IF(OR(Atletas!P344="Yang 26 F",Atletas!P344="Yang 40 F"),431,IF(OR(Atletas!P344="Chen 25 F",Atletas!P344="Chen 36 F",Atletas!P344="Chen 56 F"),432,IF(Atletas!P344="Sun 73 F",433,IF(Atletas!P344="Wu 45 F",434,IF(Atletas!P344="Wu-Hao 46 F",435,IF(OR(Atletas!P344="Taijiquan 16 F",Atletas!P344="Taijiquan 24 F",Atletas!P344="Taijiquan 32 F",Atletas!P344="Taijiquan 42 F"),436,0)))))))))))))))))))</f>
        <v/>
      </c>
      <c r="BY353" s="50" t="str">
        <f>IF(Atletas!Q344="","",IF(Atletas!X344&lt;&gt;"",10000,0)+IF(Atletas!B344="Feminino",1000,IF(Atletas!B344="Masculino",2000,""))+IF(Atletas!Q344="Xingyiquan A",501,IF(Atletas!Q344="Baguazhang A",502,IF(Atletas!Q344="Outro Estilo Interno A",503,IF(Atletas!Q344="Xingyiquan B",504,IF(Atletas!Q344="Baguazhang B",505,IF(Atletas!Q344="Outro Estilo Interno B",506,IF(Atletas!Q344="Xingyiquan C",507,IF(Atletas!Q344="Baguazhang C",508,IF(Atletas!Q344="Outro Estilo Interno C",509,IF(Atletas!Q344="Xingyiquan D",510,IF(Atletas!Q344="Baguazhang D",511,IF(Atletas!Q344="Outro Estilo Interno D",512,IF(Atletas!Q344="Xingyiquan E",513,IF(Atletas!Q344="Baguazhang E",514,IF(Atletas!Q344="Outro Estilo Interno E",515,IF(Atletas!Q344="Xingyiquan F",516,IF(Atletas!Q344="Baguazhang F",517,IF(Atletas!Q344="Outro Estilo Interno F",518, "")))))))))))))))))))</f>
        <v/>
      </c>
      <c r="BZ353" s="50" t="str">
        <f>IF(Atletas!R344="","",IF(Atletas!X344&lt;&gt;"",10000,0)+IF(Atletas!B344="Feminino",1000,IF(Atletas!B344="Masculino",2000,""))+IF(Atletas!R344="Dao A",601,IF(Atletas!R344="Jian A",602,IF(Atletas!R344="Bishou A",603,IF(Atletas!R344="Shanzi A",604,IF(Atletas!R344="Outra Arma Curta A",605,IF(Atletas!R344="Dao B",606,IF(Atletas!R344="Jian B",607,IF(Atletas!R344="Bishou B",608,IF(Atletas!R344="Shanzi B",609,IF(Atletas!R344="Outra Arma Curta B",610,IF(Atletas!R344="Dao C",611,IF(Atletas!R344="Jian C",612,IF(Atletas!R344="Bishou C",613,IF(Atletas!R344="Shanzi C",614,IF(Atletas!R344="Outra Arma Curta C",615,IF(Atletas!R344="Dao D",616,IF(Atletas!R344="Jian D",617,IF(Atletas!R344="Bishou D",618,IF(Atletas!R344="Shanzi D",619,IF(Atletas!R344="Outra Arma Curta D",620,IF(Atletas!R344="Dao E",621,IF(Atletas!R344="Jian E",622,IF(Atletas!R344="Bishou E",623,IF(Atletas!R344="Shanzi E",624,IF(Atletas!R344="Outra Arma Curta E",625,IF(Atletas!R344="Dao F",626,IF(Atletas!R344="Jian F",627,IF(Atletas!R344="Bishou F",628,IF(Atletas!R344="Shanzi F",629,IF(Atletas!R344="Outra Arma Curta F",630, "")))))))))))))))))))))))))))))))</f>
        <v/>
      </c>
      <c r="CA353" s="50" t="str">
        <f>IF(Atletas!S344="","",IF(Atletas!X344&lt;&gt;"",10000,0)+IF(Atletas!B344="Feminino",1000,IF(Atletas!B344="Masculino",2000,""))+IF(Atletas!S344="Gun A",701,IF(Atletas!S344="Qiang A",702,IF(Atletas!S344="Pudao / Guandao A",703,IF(Atletas!S344="Outra Arma Longa A",704,IF(Atletas!S344="Gun B",705,IF(Atletas!S344="Qiang B",706,IF(Atletas!S344="Pudao / Guandao B",707,IF(Atletas!S344="Outra Arma Longa B",708,IF(Atletas!S344="Gun C",709,IF(Atletas!S344="Qiang C",710,IF(Atletas!S344="Pudao / Guandao C",711,IF(Atletas!S344="Outra Arma Longa C",712,IF(Atletas!S344="Gun D",713,IF(Atletas!S344="Qiang D",714,IF(Atletas!S344="Pudao / Guandao D",715,IF(Atletas!S344="Outra Arma Longa D",716,IF(Atletas!S344="Gun E",717,IF(Atletas!S344="Qiang E",718,IF(Atletas!S344="Pudao / Guandao E",719,IF(Atletas!S344="Outra Arma Longa E",720,IF(Atletas!S344="Gun F",721,IF(Atletas!S344="Qiang F",722,IF(Atletas!S344="Pudao / Guandao F",723,IF(Atletas!S344="Outra Arma Longa F",724,"")))))))))))))))))))))))))</f>
        <v/>
      </c>
      <c r="CB353" s="50" t="str">
        <f>IF(Atletas!T344="","",IF(Atletas!X344&lt;&gt;"",10000,0)+IF(Atletas!B344="Feminino",1000,IF(Atletas!B344="Masculino",2000,""))+IF(Atletas!T344="Outra Arma Dupla A",801,IF(Atletas!T344="Arma Maleável A",802,IF(Atletas!T344="Outra Arma Dupla B",803,IF(Atletas!T344="Arma Maleável B",804,IF(Atletas!T344="Outra Arma Dupla C",805,IF(Atletas!T344="Arma Maleável C",806,IF(Atletas!T344="Outra Arma Dupla D",807,IF(Atletas!T344="Arma Maleável D",808,IF(Atletas!T344="Outra Arma Dupla E",809,IF(Atletas!T344="Arma Maleável E",810,IF(Atletas!T344="Outra Arma Dupla F",811,IF(Atletas!T344="Arma Maleável F",812,IF(Atletas!T344="Shuangdao A",813,IF(Atletas!T344="Shuangdao B",814,IF(Atletas!T344="Shuangdao C",815,IF(Atletas!T344="Shuangdao D",816,IF(Atletas!T344="Shuangdao E",817,IF(Atletas!T344="Shuangdao F",818,"")))))))))))))))))))</f>
        <v/>
      </c>
      <c r="CC353" s="50" t="str">
        <f>IF(Atletas!U344="","",IF(Atletas!X344&lt;&gt;"",10000,0)+IF(Atletas!B344="Feminino",1000,IF(Atletas!B344="Masculino",2000,""))+IF(OR(Atletas!U344="Taijijian Yang A",Atletas!U344="Taijijian Yang Standard A"),901,IF(OR(Atletas!U344="Taijijian Chen A", Atletas!U344="Taijijian Chen Standard A"),902,IF(Atletas!U344="Taijijian Sun A",903,IF(Atletas!U344="Taijijian Wu A",904,IF(Atletas!U344="Taijijian Wu-Hao A",905,IF(OR(Atletas!U344="Taijijian 32 A",Atletas!U344="Taijijian 42 A"),906,IF(OR(Atletas!U344="Taijijian Yang B",Atletas!U344="Taijijian Yang Standard B"),907,IF(OR(Atletas!U344="Taijijian Chen B", Atletas!U344="Taijijian Chen Standard B"),908,IF(Atletas!U344="Taijijian Sun B",909,IF(Atletas!U344="Taijijian Wu B",910,IF(Atletas!U344="Taijijian Wu-Hao B",911,IF(OR(Atletas!U344="Taijijian 32 B",Atletas!U344="Taijijian 42 B"),912,IF(OR(Atletas!U344="Taijijian Yang C",Atletas!U344="Taijijian Yang Standard C"),913,IF(OR(Atletas!U344="Taijijian Chen C", Atletas!U344="Taijijian Chen Standard C"),914,IF(Atletas!U344="Taijijian Sun C",915,IF(Atletas!U344="Taijijian Wu C",916,IF(Atletas!U344="Taijijian Wu-Hao C",917,IF(OR(Atletas!U344="Taijijian 32 C",Atletas!U344="Taijijian 42 C"),918,IF(OR(Atletas!U344="Taijijian Yang D",Atletas!U344="Taijijian Yang Standard D"),919,IF(OR(Atletas!U344="Taijijian Chen D", Atletas!U344="Taijijian Chen Standard D"),920,IF(Atletas!U344="Taijijian Sun D",921,IF(Atletas!U344="Taijijian Wu D",922,IF(Atletas!U344="Taijijian Wu-Hao D",923,IF(OR(Atletas!U344="Taijijian 32 D",Atletas!U344="Taijijian 42 D"),924,IF(OR(Atletas!U344="Taijijian Yang E",Atletas!U344="Taijijian Yang Standard E"),925,IF(OR(Atletas!U344="Taijijian Chen E", Atletas!U344="Taijijian Chen Standard E"),926,IF(Atletas!U344="Taijijian Sun E",927,IF(Atletas!U344="Taijijian Wu E",928,IF(Atletas!U344="Taijijian Wu-Hao E",929,IF(OR(Atletas!U344="Taijijian 32 E",Atletas!U344="Taijijian 42 E"),930,IF(OR(Atletas!U344="Taijijian Yang F",Atletas!U344="Taijijian Yang Standard F"),931,IF(OR(Atletas!U344="Taijijian Chen F", Atletas!U344="Taijijian Chen Standard F"),932,IF(Atletas!U344="Taijijian Sun F",933,IF(Atletas!U344="Taijijian Wu F",934,IF(Atletas!U344="Taijijian Wu-Hao F",935,IF(OR(Atletas!U344="Taijijian 32 F",Atletas!U344="Taijijian 42 F"),936,"")))))))))))))))))))))))))))))))))))))</f>
        <v/>
      </c>
      <c r="CD353" s="50" t="str">
        <f>IF(Atletas!V344="","",IF(Atletas!X344&lt;&gt;"",10000,0)+IF(Atletas!B344="Feminino",1000,IF(Atletas!B344="Masculino",2000,""))+IF(Atletas!V344="Taijidao A",937,IF(Atletas!V344="TaijiShanzi A",938,IF(Atletas!V344="Taijiqiang A",939,IF(Atletas!V344="Bagua de Arma A",940,IF(Atletas!V344="Xingyi de Arma A",941,IF(Atletas!V344="Taijidao B",942,IF(Atletas!V344="TaijiShanzi B",943,IF(Atletas!V344="Taijiqiang B",944,IF(Atletas!V344="Bagua de Arma B",945,IF(Atletas!V344="Xingyi de Arma B",946,IF(Atletas!V344="Taijidao C",947,IF(Atletas!V344="TaijiShanzi C",948,IF(Atletas!V344="Taijiqiang C",949,IF(Atletas!V344="Bagua de Arma C",950,IF(Atletas!V344="Xingyi de Arma C",951,IF(Atletas!V344="Taijidao D",952,IF(Atletas!V344="TaijiShanzi D",953,IF(Atletas!V344="Taijiqiang D",954,IF(Atletas!V344="Bagua de Arma D",955,IF(Atletas!V344="Xingyi de Arma D",956,IF(Atletas!V344="Taijidao E",957,IF(Atletas!V344="TaijiShanzi E",958,IF(Atletas!V344="Taijiqiang E",959,IF(Atletas!V344="Bagua de Arma E",960,IF(Atletas!V344="Xingyi de Arma E",961,IF(Atletas!V344="Taijidao F",962,IF(Atletas!V344="TaijiShanzi F",963,IF(Atletas!V344="Taijiqiang F",964,IF(Atletas!V344="Bagua de Arma F",965,IF(Atletas!V344="Xingyi de Arma F",966,"")))))))))))))))))))))))))))))))</f>
        <v/>
      </c>
      <c r="CE353" s="66" t="str">
        <f>IF(CF353&lt;&gt;"","Taijishan D","")</f>
        <v/>
      </c>
      <c r="CF353" s="66" t="str">
        <f>IF(COUNTIF(BR:CD,1953)&gt;0,COUNTIF(BR:CD,1953),"")</f>
        <v/>
      </c>
      <c r="CG353" s="66" t="str">
        <f>IF(CH353&lt;&gt;"","Taijishan D","")</f>
        <v/>
      </c>
      <c r="CH353" s="66" t="str">
        <f>IF(COUNTIF(BR:CD,2953)&gt;0,COUNTIF(BR:CD,2953),"")</f>
        <v/>
      </c>
      <c r="CI353" s="66" t="str">
        <f>IF(CJ354&lt;&gt;"","Xingyi de Arma F","")</f>
        <v/>
      </c>
      <c r="CJ353" s="66" t="str">
        <f>IF(COUNTIF(BR:CD,11965)&gt;0,COUNTIF(BR:CD,11965),"")</f>
        <v/>
      </c>
      <c r="CK353" s="66" t="str">
        <f>IF(CL353&lt;&gt;"","Bagua de Arma F","")</f>
        <v/>
      </c>
      <c r="CL353" s="66" t="str">
        <f>IF(COUNTIF(BR:CD,12965)&gt;0,COUNTIF(BR:CD,12965),"")</f>
        <v/>
      </c>
      <c r="CM353" s="50" t="str">
        <f xml:space="preserve"> IF(Atletas!W344="","",IF(Atletas!W344="Duilian de Mãos BC - Equipe 1",1,IF(Atletas!W344="Duilian de Mãos BC - Equipe 2",2,IF(Atletas!W344="Duilian de Armas BC - Equipe 1",3,IF(Atletas!W344="Duilian de Armas BC - Equipe 2",4,IF(Atletas!W344="Duilian de Mãos DE - Equipe 1",5,IF(Atletas!W344="Duilian de Mãos DE - Equipe 2",6,IF(Atletas!W344="Duilian de Armas DE - Equipe 1",7,IF(Atletas!W344="Duilian de Armas DE - Equipe 2",8,IF(Atletas!W344="Duilian de Tuishou - Equipe 1",9,IF(Atletas!W344="Duilian de Tuishou - Equipe 2",10,IF(Atletas!W344="Grupo Externo ABC - Equipe 1",11,IF(Atletas!W344="Grupo Externo ABC - Equipe 2",12,IF(Atletas!W344="Grupo Interno ABC - Equipe 1",13,IF(Atletas!W344="Grupo Interno ABC - Equipe 2",14,IF(Atletas!W344="Grupo Externo DEF - Equipe 1",15,IF(Atletas!W344="Grupo Externo DEF - Equipe 2",16,IF(Atletas!W344="Grupo Interno DEF - Equipe 1",17,IF(Atletas!W344="Grupo Interno DEF - Equipe 2",18,"")))))))))))))))))))</f>
        <v/>
      </c>
    </row>
    <row r="354" spans="40:91">
      <c r="AN354" s="52" t="str">
        <f>IF(Atletas!D345="","",IF(Atletas!B345="Feminino",100,IF(Atletas!B345="Masculino",200,""))+(IF(Atletas!D345="Kids 30kg",1,IF(Atletas!D345="Kids 32kg",2, IF(Atletas!D345="Kids 34kg",3,IF(Atletas!D345="Kids 36kg",4,IF(Atletas!D345="Kids 39kg",5,IF(Atletas!D345="Kids 42kg",6,IF(Atletas!D345="Kids 45kg",7, IF(Atletas!D345="Infantil 39kg",8,IF(Atletas!D345="Infantil 42kg",9,IF(Atletas!D345="Infantil 45kg",10,IF(Atletas!D345="Infantil 48kg",11,IF(Atletas!D345="Infantil 52kg",12,IF(Atletas!D345="Infantil 56kg",13,IF(Atletas!D345="Infantil 60kg",14,IF(Atletas!D345="Juvenil 48kg",15,IF(Atletas!D345="Juvenil 52kg",16,IF(Atletas!D345="Juvenil 56kg",17,IF(Atletas!D345="Juvenil 60kg",18,IF(Atletas!D345="Juvenil 65kg",19,IF(Atletas!D345="Juvenil 70kg",20,IF(Atletas!D345="Juvenil 75kg",21,IF(Atletas!D345="Juvenil 80kg",22, IF(Atletas!D345="Juvenil 85kg",23,IF(Atletas!D345="Adulto 48kg",24,IF(Atletas!D345="Adulto 52kg",25,IF(Atletas!D345="Adulto 56kg",26,IF(Atletas!D345="Adulto 60kg",27,IF(Atletas!D345="Adulto 65kg",28,IF(Atletas!D345="Adulto 70kg",29,IF(Atletas!D345="Adulto 75kg",30,IF(Atletas!D345="Adulto 80kg",31,IF(Atletas!D345="Adulto 85kg",32,IF(Atletas!D345="Adulto 90kg",33,IF(Atletas!D345="Adulto 100kg",34, IF(Atletas!D345="Adulto +100kg",35,"")))))))))))))))))))))))))))))))))))))</f>
        <v/>
      </c>
      <c r="AS354" s="6" t="str">
        <f>IF(Atletas!E345="","",IF(Atletas!B345="Feminino",100,IF(Atletas!B345="Masculino",200,""))+(IF(Atletas!E345="Juvenil 44kg",1,IF(Atletas!E345="Juvenil 48kg",2,IF(Atletas!E345="Juvenil 52kg",3,IF(Atletas!E345="Juvenil 56kg",4,IF(Atletas!E345="Juvenil 60kg",5,IF(Atletas!E345="Juvenil 65kg",6,IF(Atletas!E345="Juvenil 70kg",7,IF(Atletas!E345="Juvenil 75kg",8,IF(Atletas!E345="Juvenil 82kg",9,IF(Atletas!E345="Juvenil 90kg",10,IF(Atletas!E345="Juvenil 100kg",11,IF(Atletas!E345="Adulto 48kg",12,IF(Atletas!E345="Adulto 52kg",13,IF(Atletas!E345="Adulto 56kg",14,IF(Atletas!E345="Adulto 60kg",15,IF(Atletas!E345="Adulto 65kg",16,IF(Atletas!E345="Adulto 70kg",17,IF(Atletas!E345="Adulto 75kg",18,IF(Atletas!E345="Adulto 82kg",19,IF(Atletas!E345="Adulto 90kg",20,IF(Atletas!E345="Adulto 100kg",21,IF(Atletas!E345="Adulto +100kg",22,""))))))))))))))))))))))))</f>
        <v/>
      </c>
      <c r="AX354" s="6" t="str">
        <f>IF(Atletas!F345="","",IF(Atletas!B345="Feminino",100,IF(Atletas!B345="Masculino",200,""))+(IF(Atletas!F345="Adulto 48kg",1,IF(Atletas!F345="Adulto 56kg",2,IF(Atletas!F345="Adulto 65kg",3,IF(Atletas!F345="Adulto 75kg",4,IF(Atletas!F345="Adulto +75kg",5,IF(Atletas!F345="Adulto 52kg",6,IF(Atletas!F345="Adulto 60kg",7,IF(Atletas!F345="Adulto 70kg",8,IF(Atletas!F345="Adulto 80kg",9,IF(Atletas!F345="Adulto 90kg",10,IF(Atletas!F345="Adulto +90kg",11,"")))))))))))))</f>
        <v/>
      </c>
      <c r="BC354" s="6" t="str">
        <f>IF(Atletas!G345="","",IF(Atletas!B345="Feminino",10,IF(Atletas!B345="Masculino",20,""))+(IF(Atletas!G345="Baduanjin A",1,IF(Atletas!G345="Baduanjin B",2))))</f>
        <v/>
      </c>
      <c r="BF354" s="52" t="str">
        <f>IF(Atletas!H345="","",IF(Atletas!B345="Feminino",100,IF(Atletas!B345="Masculino",200,""))+(IF(Atletas!H345="Changquan Mirim",1,IF(Atletas!H345="Nanquan Mirim",2,IF(Atletas!H345="Taijiquan Mirim",3,IF(Atletas!H345="Changquan Grupo C",4,IF(Atletas!H345="Nanquan Grupo C",5,IF(Atletas!H345="Taijiquan Grupo C",6,IF(Atletas!H345="Changquan Grupo B",7,IF(Atletas!H345="Nanquan Grupo B",8,IF(Atletas!H345="Taijiquan Grupo B",9,IF(Atletas!H345="Changquan Grupo A",10,IF(Atletas!H345="Nanquan Grupo A",11,IF(Atletas!H345="Taijiquan Grupo A",12,IF(Atletas!H345="Changquan Opcional",13,IF(Atletas!H345="Nanquan Opcional",14,IF(Atletas!H345="Taijiquan Opcional",15,IF(Atletas!H345="Changquan Adulto",16,IF(Atletas!H345="Nanquan Adulto",17,IF(Atletas!H345="Taijiquan Adulto",18,""))))))))))))))))))))</f>
        <v/>
      </c>
      <c r="BG354" s="52" t="str">
        <f>IF(Atletas!I345="","",IF(Atletas!B345="Feminino",100,IF(Atletas!B345="Masculino",200,""))+(IF(Atletas!I345="Daoshu Mirim",19,IF(Atletas!I345="Jianshu Mirim",20,IF(Atletas!I345="Nandao Mirim",21,IF(Atletas!I345="Taijijian Mirim",22,IF(Atletas!I345="Daoshu Grupo C",23,IF(Atletas!I345="Jianshu Grupo C",24,IF(Atletas!I345="Nandao Grupo C",25,IF(Atletas!I345="Taijijian Grupo C",26,IF(Atletas!I345="Daoshu Grupo B",27,IF(Atletas!I345="Jianshu Grupo B",28,IF(Atletas!I345="Nandao Grupo B",29,IF(Atletas!I345="Taijijian Grupo B",30,IF(Atletas!I345="Daoshu Grupo A",31,IF(Atletas!I345="Jianshu Grupo A",32,IF(Atletas!I345="Nandao Grupo A",33,IF(Atletas!I345="Taijijian Grupo A",34,IF(Atletas!I345="Daoshu Opcional",35,IF(Atletas!I345="Jianshu Opcional",36,IF(Atletas!I345="Nandao Opcional",37,IF(Atletas!I345="Taijijian Opcional",38,IF(Atletas!I345="Daoshu Adulto",39,IF(Atletas!I345="Jianshu Adulto",40,IF(Atletas!I345="Nandao Adulto",41,IF(Atletas!I345="Taijijian Adulto",42,""))))))))))))))))))))))))))</f>
        <v/>
      </c>
      <c r="BH354" s="52" t="str">
        <f>IF(Atletas!J345="","",IF(Atletas!B345="Feminino",100,IF(Atletas!B345="Masculino",200,""))+(IF(Atletas!J345="Gunshu Mirim",43,IF(Atletas!J345="Qiangshu Mirim",44,IF(Atletas!J345="Nangun Mirim",45,IF(Atletas!J345="Gunshu Grupo C",46,IF(Atletas!J345="Qiangshu Grupo C",47,IF(Atletas!J345="Nangun Grupo C",48,IF(Atletas!J345="Gunshu Grupo B",49,IF(Atletas!J345="Qiangshu Grupo B",50,IF(Atletas!J345="Nangun Grupo B",51,IF(Atletas!J345="Gunshu Grupo A",52,IF(Atletas!J345="Qiangshu Grupo A",53,IF(Atletas!J345="Nangun Grupo A",54,IF(Atletas!J345="Gunshu Opcional",55,IF(Atletas!J345="Qiangshu Opcional",56,IF(Atletas!J345="Nangun Opcional",57,IF(Atletas!J345="Gunshu Adulto",58,IF(Atletas!J345="Qiangshu Adulto",59,IF(Atletas!J345="Nangun Adulto",60,IF(Atletas!J345="Taijishan Grupo B",61,IF(Atletas!J345="Taijishan Grupo A",62,""))))))))))))))))))))))</f>
        <v/>
      </c>
      <c r="BM354" s="50" t="str">
        <f>IF(Atletas!K345="","",IF(Atletas!B345="Feminino",100,IF(Atletas!B345="Masculino",200,""))+(IF(Atletas!K345="Equipe 1 Grupo B",1,IF(Atletas!K345="Equipe 2 Grupo B",2,IF(Atletas!K345="Equipe 1 Grupo A",3,IF(Atletas!K345="Equipe 2 Grupo A",4,IF(Atletas!K345="Equipe 1 Adulto",5,IF(Atletas!K345="Equipe 2 Adulto",6,""))))))))</f>
        <v/>
      </c>
      <c r="BR354" s="50" t="str">
        <f>IF(Atletas!L345="","",IF(Atletas!X345&lt;&gt;"",10000,0)+(IF(Atletas!B345="Feminino",1000,IF(Atletas!B345="Masculino",2000,""))+IF(Atletas!L345="Choylayfut A",1,IF(Atletas!L345="Hunggar A",2,IF(Atletas!L345="Wuzuquan A",3,IF(Atletas!L345="Wingchun A",4,IF(Atletas!L345="Outra Mão de Sul A",5,IF(Atletas!L345="Choylayfut B",6,IF(Atletas!L345="Hunggar B",7,IF(Atletas!L345="Wuzuquan B",8,IF(Atletas!L345="Wingchun B",9,IF(Atletas!L345="Outra Mão de Sul B",10,IF(Atletas!L345="Choylayfut C",11,IF(Atletas!L345="Hunggar C",12,IF(Atletas!L345="Wuzuquan C",13,IF(Atletas!L345="Wingchun C",14,IF(Atletas!L345="Outra Mão de Sul C",15,IF(Atletas!L345="Choylayfut D",16,IF(Atletas!L345="Hunggar D",17,IF(Atletas!L345="Wuzuquan D",18,IF(Atletas!L345="Wingchun D",19,IF(Atletas!L345="Outra Mão de Sul D",20,IF(Atletas!L345="Choylayfut E",21,IF(Atletas!L345="Hunggar E",22,IF(Atletas!L345="Wuzuquan E",23,IF(Atletas!L345="Wingchun E",24,IF(Atletas!L345="Outra Mão de Sul E",25,IF(Atletas!L345="Choylayfut F",26,IF(Atletas!L345="Hunggar F",27,IF(Atletas!L345="Wuzuquan F",28,IF(Atletas!L345="Wingchun F",29,IF(Atletas!L345="Outra Mão de Sul F",30,IF(Atletas!L345="Dishuquan A",31,IF(Atletas!L345="Dishuquan B",32,IF(Atletas!L345="Dishuquan C",33,IF(Atletas!L345="Dishuquan D",34,IF(Atletas!L345="Dishuquan E",35,IF(Atletas!L345="Dishuquan F",36,""))))))))))))))))))))))))))))))))))))))</f>
        <v/>
      </c>
      <c r="BS354" s="50" t="str">
        <f>IF(Atletas!M345="","",IF(Atletas!X345&lt;&gt;"",10000,0)+(IF(Atletas!B345="Feminino",1000,IF(Atletas!B345="Masculino",2000,""))+(IF(Atletas!M345="Chaquan A",101,IF(Atletas!M345="Emeiquan A",102,IF(Atletas!M345="Fanziquan A",103,IF(Atletas!M345="Huaquan A",104,IF(Atletas!M345="Hongquan A",105,IF(Atletas!M345="Paoquan A",106,IF(Atletas!M345="Piguaquan A",107,IF(Atletas!M345="Shaolinquan A",108,IF(Atletas!M345="Tanglangquan A",109,IF(Atletas!M345="Yingzhaoquan A",110,IF(Atletas!M345="Tongbeiquan A",111,IF(Atletas!M345="Wudangquan A",112,IF(Atletas!M345="Outros Estilos A",113,IF(Atletas!M345="Chaquan B",114,IF(Atletas!M345="Emeiquan B",115,IF(Atletas!M345="Fanziquan B",116,IF(Atletas!M345="Huaquan B",117,IF(Atletas!M345="Hongquan B",118,IF(Atletas!M345="Paoquan B",119,IF(Atletas!M345="Piguaquan B",120,IF(Atletas!M345="Shaolinquan B",121,IF(Atletas!M345="Tanglangquan B",122,IF(Atletas!M345="Yingzhaoquan B",123,IF(Atletas!M345="Tongbeiquan B",124,IF(Atletas!M345="Wudangquan B",125,IF(Atletas!M345="Outros Estilos B",126,IF(Atletas!M345="Chaquan C",127,IF(Atletas!M345="Emeiquan C",128,IF(Atletas!M345="Fanziquan C",129,IF(Atletas!M345="Huaquan C",130,IF(Atletas!M345="Hongquan C",131,IF(Atletas!M345="Paoquan C",132,IF(Atletas!M345="Piguaquan C",133,IF(Atletas!M345="Shaolinquan C",134,IF(Atletas!M345="Tanglangquan C",135,IF(Atletas!M345="Yingzhaoquan C",136,IF(Atletas!M345="Tongbeiquan C",137,IF(Atletas!M345="Wudangquan C",138,IF(Atletas!M345="Outros Estilos C",139,0))))))))))))))))))))))))))))))))))))))))))</f>
        <v/>
      </c>
      <c r="BT354" s="50" t="str">
        <f>IF(Atletas!M345="","",IF(Atletas!X345&lt;&gt;"",10000,0)+(IF(Atletas!B345="Feminino",1000,IF(Atletas!B345="Masculino",2000,""))+(IF(Atletas!M345="Chaquan D",140,IF(Atletas!M345="Emeiquan D",141,IF(Atletas!M345="Fanziquan D",142,IF(Atletas!M345="Huaquan D",143,IF(Atletas!M345="Hongquan D",144,IF(Atletas!M345="Paoquan D",145,IF(Atletas!M345="Piguaquan D",146,IF(Atletas!M345="Shaolinquan D",147,IF(Atletas!M345="Tanglangquan D",148,IF(Atletas!M345="Yingzhaoquan D",149,IF(Atletas!M345="Tongbeiquan D",150,IF(Atletas!M345="Wudangquan D",151,IF(Atletas!M345="Outros Estilos D",152,IF(Atletas!M345="Chaquan E",153,IF(Atletas!M345="Emeiquan E",154,IF(Atletas!M345="Fanziquan E",155,IF(Atletas!M345="Huaquan E",156,IF(Atletas!M345="Hongquan E",157,IF(Atletas!M345="Paoquan E",158,IF(Atletas!M345="Piguaquan E",159,IF(Atletas!M345="Shaolinquan E",160,IF(Atletas!M345="Tanglangquan E",161,IF(Atletas!M345="Yingzhaoquan E",162,IF(Atletas!M345="Tongbeiquan E",163,IF(Atletas!M345="Wudangquan E",164,IF(Atletas!M345="Outros Estilos E",165,IF(Atletas!M345="Chaquan F",166,IF(Atletas!M345="Emeiquan F",167,IF(Atletas!M345="Fanziquan F",168,IF(Atletas!M345="Huaquan F",169,IF(Atletas!M345="Hongquan F",170,IF(Atletas!M345="Paoquan F",171,IF(Atletas!M345="Piguaquan F",172,IF(Atletas!M345="Shaolinquan F",173,IF(Atletas!M345="Tanglangquan F",174,IF(Atletas!M345="Yingzhaoquan F",175,IF(Atletas!M345="Tongbeiquan F",176,IF(Atletas!M345="Wudangquan F",177,IF(Atletas!M345="Outros Estilos F",178,0))))))))))))))))))))))))))))))))))))))))))</f>
        <v/>
      </c>
      <c r="BU354" s="50" t="str">
        <f>IF(Atletas!N345="","",IF(Atletas!X345&lt;&gt;"",10000,0)+(IF(Atletas!B345="Feminino",1000,IF(Atletas!B345="Masculino",2000,""))+(IF(Atletas!N345="Ditangquan A",201,IF(Atletas!N345="Houquan A",202,IF(Atletas!N345="Zuiquan A",203,IF(Atletas!N345="Ditangquan B",204,IF(Atletas!N345="Houquan B",205,IF(Atletas!N345="Zuiquan B",206,IF(Atletas!N345="Ditangquan C",207,IF(Atletas!N345="Houquan C",208,IF(Atletas!N345="Zuiquan C",209,IF(Atletas!N345="Ditangquan D",210,IF(Atletas!N345="Houquan D",211,IF(Atletas!N345="Zuiquan D",212,IF(Atletas!N345="Ditangquan E",213,IF(Atletas!N345="Houquan E",214,IF(Atletas!N345="Zuiquan E",215,IF(Atletas!N345="Ditangquan F",216,IF(Atletas!N345="Houquan F",217,IF(Atletas!N345="Zuiquan F",218,"")))))))))))))))))))))</f>
        <v/>
      </c>
      <c r="BV354" s="50" t="str">
        <f>IF(Atletas!O345="","",IF(Atletas!X345&lt;&gt;"",10000,0)+IF(Atletas!B345="Feminino",1000,IF(Atletas!B345="Masculino",2000,""))+IF(Atletas!O345="Yang A",301,IF(Atletas!O345="Chen A",302,IF(Atletas!O345="Sun A",303,IF(Atletas!O345="Wu A",304,IF(Atletas!O345="Wu-Hao A",305,IF(Atletas!O345="Outro Taijiquan A",306,IF(Atletas!O345="Yang B",307,IF(Atletas!O345="Chen B",308,IF(Atletas!O345="Sun B",309,IF(Atletas!O345="Wu B",310,IF(Atletas!O345="Wu-Hao B",311,IF(Atletas!O345="Outro Taijiquan B",312,IF(Atletas!O345="Yang C",313,IF(Atletas!O345="Chen C",314,IF(Atletas!O345="Sun C",315,IF(Atletas!O345="Wu C",316,IF(Atletas!O345="Wu-Hao C",317,IF(Atletas!O345="Outro Taijiquan C",318,IF(Atletas!O345="Yang D",319,IF(Atletas!O345="Chen D",320,IF(Atletas!O345="Sun D",321,IF(Atletas!O345="Wu D",322,IF(Atletas!O345="Wu-Hao D",323,IF(Atletas!O345="Outro Taijiquan D",324,IF(Atletas!O345="Yang E",325,IF(Atletas!O345="Chen E",326,IF(Atletas!O345="Sun E",327,IF(Atletas!O345="Wu E",328,IF(Atletas!O345="Wu-Hao E",329,IF(Atletas!O345="Outro Taijiquan E",330,IF(Atletas!O345="Yang F",331,IF(Atletas!O345="Chen F",332,IF(Atletas!O345="Sun F",333,IF(Atletas!O345="Wu F",334,IF(Atletas!O345="Wu-Hao F",335,IF(Atletas!O345="Outro Taijiquan F",336,"")))))))))))))))))))))))))))))))))))))</f>
        <v/>
      </c>
      <c r="BW354" s="50" t="str">
        <f>IF(Atletas!P345="","",IF(Atletas!X345&lt;&gt;"",10000,0)+IF(Atletas!B345="Feminino",1000,IF(Atletas!B345="Masculino",2000,""))+IF(OR(Atletas!P345="Yang 26 A",Atletas!P345="Yang 40 A"),401,IF(OR(Atletas!P345="Chen 25 A",Atletas!P345="Chen 36 A",Atletas!P345="Chen 56 A"),402,IF(Atletas!P345="Sun 73 A",403,IF(Atletas!P345="Wu 45 A",404,IF(Atletas!P345="Wu-Hao 46 A",405,IF(OR(Atletas!P345="Taijiquan 16 A",Atletas!P345="Taijiquan 24 A",Atletas!P345="Taijiquan 32 A",Atletas!P345="Taijiquan 42 A"),406,IF(OR(Atletas!P345="Yang 26 B",Atletas!P345="Yang 40 B"),407,IF(OR(Atletas!P345="Chen 25 B",Atletas!P345="Chen 36 B",Atletas!P345="Chen 56 B"),408,IF(Atletas!P345="Sun 73 B",409,IF(Atletas!P345="Wu 45 B",410,IF(Atletas!P345="Wu-Hao 46 B",411,IF(OR(Atletas!P345="Taijiquan 16 B",Atletas!P345="Taijiquan 24 B",Atletas!P345="Taijiquan 32 B",Atletas!P345="Taijiquan 42 B"),412,IF(OR(Atletas!P345="Yang 26 C",Atletas!P345="Yang 40 C"),413,IF(OR(Atletas!P345="Chen 25 C",Atletas!P345="Chen 36 C",Atletas!P345="Chen 56 C"),414,IF(Atletas!P345="Sun 73 C",415,IF(Atletas!P345="Wu 45 C",416,IF(Atletas!P345="Wu-Hao 46 C",417,IF(OR(Atletas!P345="Taijiquan 16 C",Atletas!P345="Taijiquan 24 C",Atletas!P345="Taijiquan 32 C",Atletas!P345="Taijiquan 42 C"),418,0)))))))))))))))))))</f>
        <v/>
      </c>
      <c r="BX354" s="50" t="str">
        <f>IF(Atletas!P345="","",IF(Atletas!X345&lt;&gt;"",10000,0)+IF(Atletas!B345="Feminino",1000,IF(Atletas!B345="Masculino",2000,""))+IF(OR(Atletas!P345="Yang 26 D",Atletas!P345="Yang 40 D"),419,IF(OR(Atletas!P345="Chen 25 D",Atletas!P345="Chen 36 D",Atletas!P345="Chen 56 D"),420,IF(Atletas!P345="Sun 73 D",421,IF(Atletas!P345="Wu 45 D",422,IF(Atletas!P345="Wu-Hao 46 D",423,IF(OR(Atletas!P345="Taijiquan 16 D",Atletas!P345="Taijiquan 24 D",Atletas!P345="Taijiquan 32 D",Atletas!P345="Taijiquan 42 D"),424,IF(OR(Atletas!P345="Yang 26 E",Atletas!P345="Yang 40 E"),425,IF(OR(Atletas!P345="Chen 25 E",Atletas!P345="Chen 36 E",Atletas!P345="Chen 56 E"),426,IF(Atletas!P345="Sun 73 E",427,IF(Atletas!P345="Wu 45 E",428,IF(Atletas!P345="Wu-Hao 46 E",429,IF(OR(Atletas!P345="Taijiquan 16 E",Atletas!P345="Taijiquan 24 E",Atletas!P345="Taijiquan 32 E",Atletas!P345="Taijiquan 42 E"),430,IF(OR(Atletas!P345="Yang 26 F",Atletas!P345="Yang 40 F"),431,IF(OR(Atletas!P345="Chen 25 F",Atletas!P345="Chen 36 F",Atletas!P345="Chen 56 F"),432,IF(Atletas!P345="Sun 73 F",433,IF(Atletas!P345="Wu 45 F",434,IF(Atletas!P345="Wu-Hao 46 F",435,IF(OR(Atletas!P345="Taijiquan 16 F",Atletas!P345="Taijiquan 24 F",Atletas!P345="Taijiquan 32 F",Atletas!P345="Taijiquan 42 F"),436,0)))))))))))))))))))</f>
        <v/>
      </c>
      <c r="BY354" s="50" t="str">
        <f>IF(Atletas!Q345="","",IF(Atletas!X345&lt;&gt;"",10000,0)+IF(Atletas!B345="Feminino",1000,IF(Atletas!B345="Masculino",2000,""))+IF(Atletas!Q345="Xingyiquan A",501,IF(Atletas!Q345="Baguazhang A",502,IF(Atletas!Q345="Outro Estilo Interno A",503,IF(Atletas!Q345="Xingyiquan B",504,IF(Atletas!Q345="Baguazhang B",505,IF(Atletas!Q345="Outro Estilo Interno B",506,IF(Atletas!Q345="Xingyiquan C",507,IF(Atletas!Q345="Baguazhang C",508,IF(Atletas!Q345="Outro Estilo Interno C",509,IF(Atletas!Q345="Xingyiquan D",510,IF(Atletas!Q345="Baguazhang D",511,IF(Atletas!Q345="Outro Estilo Interno D",512,IF(Atletas!Q345="Xingyiquan E",513,IF(Atletas!Q345="Baguazhang E",514,IF(Atletas!Q345="Outro Estilo Interno E",515,IF(Atletas!Q345="Xingyiquan F",516,IF(Atletas!Q345="Baguazhang F",517,IF(Atletas!Q345="Outro Estilo Interno F",518, "")))))))))))))))))))</f>
        <v/>
      </c>
      <c r="BZ354" s="50" t="str">
        <f>IF(Atletas!R345="","",IF(Atletas!X345&lt;&gt;"",10000,0)+IF(Atletas!B345="Feminino",1000,IF(Atletas!B345="Masculino",2000,""))+IF(Atletas!R345="Dao A",601,IF(Atletas!R345="Jian A",602,IF(Atletas!R345="Bishou A",603,IF(Atletas!R345="Shanzi A",604,IF(Atletas!R345="Outra Arma Curta A",605,IF(Atletas!R345="Dao B",606,IF(Atletas!R345="Jian B",607,IF(Atletas!R345="Bishou B",608,IF(Atletas!R345="Shanzi B",609,IF(Atletas!R345="Outra Arma Curta B",610,IF(Atletas!R345="Dao C",611,IF(Atletas!R345="Jian C",612,IF(Atletas!R345="Bishou C",613,IF(Atletas!R345="Shanzi C",614,IF(Atletas!R345="Outra Arma Curta C",615,IF(Atletas!R345="Dao D",616,IF(Atletas!R345="Jian D",617,IF(Atletas!R345="Bishou D",618,IF(Atletas!R345="Shanzi D",619,IF(Atletas!R345="Outra Arma Curta D",620,IF(Atletas!R345="Dao E",621,IF(Atletas!R345="Jian E",622,IF(Atletas!R345="Bishou E",623,IF(Atletas!R345="Shanzi E",624,IF(Atletas!R345="Outra Arma Curta E",625,IF(Atletas!R345="Dao F",626,IF(Atletas!R345="Jian F",627,IF(Atletas!R345="Bishou F",628,IF(Atletas!R345="Shanzi F",629,IF(Atletas!R345="Outra Arma Curta F",630, "")))))))))))))))))))))))))))))))</f>
        <v/>
      </c>
      <c r="CA354" s="50" t="str">
        <f>IF(Atletas!S345="","",IF(Atletas!X345&lt;&gt;"",10000,0)+IF(Atletas!B345="Feminino",1000,IF(Atletas!B345="Masculino",2000,""))+IF(Atletas!S345="Gun A",701,IF(Atletas!S345="Qiang A",702,IF(Atletas!S345="Pudao / Guandao A",703,IF(Atletas!S345="Outra Arma Longa A",704,IF(Atletas!S345="Gun B",705,IF(Atletas!S345="Qiang B",706,IF(Atletas!S345="Pudao / Guandao B",707,IF(Atletas!S345="Outra Arma Longa B",708,IF(Atletas!S345="Gun C",709,IF(Atletas!S345="Qiang C",710,IF(Atletas!S345="Pudao / Guandao C",711,IF(Atletas!S345="Outra Arma Longa C",712,IF(Atletas!S345="Gun D",713,IF(Atletas!S345="Qiang D",714,IF(Atletas!S345="Pudao / Guandao D",715,IF(Atletas!S345="Outra Arma Longa D",716,IF(Atletas!S345="Gun E",717,IF(Atletas!S345="Qiang E",718,IF(Atletas!S345="Pudao / Guandao E",719,IF(Atletas!S345="Outra Arma Longa E",720,IF(Atletas!S345="Gun F",721,IF(Atletas!S345="Qiang F",722,IF(Atletas!S345="Pudao / Guandao F",723,IF(Atletas!S345="Outra Arma Longa F",724,"")))))))))))))))))))))))))</f>
        <v/>
      </c>
      <c r="CB354" s="50" t="str">
        <f>IF(Atletas!T345="","",IF(Atletas!X345&lt;&gt;"",10000,0)+IF(Atletas!B345="Feminino",1000,IF(Atletas!B345="Masculino",2000,""))+IF(Atletas!T345="Outra Arma Dupla A",801,IF(Atletas!T345="Arma Maleável A",802,IF(Atletas!T345="Outra Arma Dupla B",803,IF(Atletas!T345="Arma Maleável B",804,IF(Atletas!T345="Outra Arma Dupla C",805,IF(Atletas!T345="Arma Maleável C",806,IF(Atletas!T345="Outra Arma Dupla D",807,IF(Atletas!T345="Arma Maleável D",808,IF(Atletas!T345="Outra Arma Dupla E",809,IF(Atletas!T345="Arma Maleável E",810,IF(Atletas!T345="Outra Arma Dupla F",811,IF(Atletas!T345="Arma Maleável F",812,IF(Atletas!T345="Shuangdao A",813,IF(Atletas!T345="Shuangdao B",814,IF(Atletas!T345="Shuangdao C",815,IF(Atletas!T345="Shuangdao D",816,IF(Atletas!T345="Shuangdao E",817,IF(Atletas!T345="Shuangdao F",818,"")))))))))))))))))))</f>
        <v/>
      </c>
      <c r="CC354" s="50" t="str">
        <f>IF(Atletas!U345="","",IF(Atletas!X345&lt;&gt;"",10000,0)+IF(Atletas!B345="Feminino",1000,IF(Atletas!B345="Masculino",2000,""))+IF(OR(Atletas!U345="Taijijian Yang A",Atletas!U345="Taijijian Yang Standard A"),901,IF(OR(Atletas!U345="Taijijian Chen A", Atletas!U345="Taijijian Chen Standard A"),902,IF(Atletas!U345="Taijijian Sun A",903,IF(Atletas!U345="Taijijian Wu A",904,IF(Atletas!U345="Taijijian Wu-Hao A",905,IF(OR(Atletas!U345="Taijijian 32 A",Atletas!U345="Taijijian 42 A"),906,IF(OR(Atletas!U345="Taijijian Yang B",Atletas!U345="Taijijian Yang Standard B"),907,IF(OR(Atletas!U345="Taijijian Chen B", Atletas!U345="Taijijian Chen Standard B"),908,IF(Atletas!U345="Taijijian Sun B",909,IF(Atletas!U345="Taijijian Wu B",910,IF(Atletas!U345="Taijijian Wu-Hao B",911,IF(OR(Atletas!U345="Taijijian 32 B",Atletas!U345="Taijijian 42 B"),912,IF(OR(Atletas!U345="Taijijian Yang C",Atletas!U345="Taijijian Yang Standard C"),913,IF(OR(Atletas!U345="Taijijian Chen C", Atletas!U345="Taijijian Chen Standard C"),914,IF(Atletas!U345="Taijijian Sun C",915,IF(Atletas!U345="Taijijian Wu C",916,IF(Atletas!U345="Taijijian Wu-Hao C",917,IF(OR(Atletas!U345="Taijijian 32 C",Atletas!U345="Taijijian 42 C"),918,IF(OR(Atletas!U345="Taijijian Yang D",Atletas!U345="Taijijian Yang Standard D"),919,IF(OR(Atletas!U345="Taijijian Chen D", Atletas!U345="Taijijian Chen Standard D"),920,IF(Atletas!U345="Taijijian Sun D",921,IF(Atletas!U345="Taijijian Wu D",922,IF(Atletas!U345="Taijijian Wu-Hao D",923,IF(OR(Atletas!U345="Taijijian 32 D",Atletas!U345="Taijijian 42 D"),924,IF(OR(Atletas!U345="Taijijian Yang E",Atletas!U345="Taijijian Yang Standard E"),925,IF(OR(Atletas!U345="Taijijian Chen E", Atletas!U345="Taijijian Chen Standard E"),926,IF(Atletas!U345="Taijijian Sun E",927,IF(Atletas!U345="Taijijian Wu E",928,IF(Atletas!U345="Taijijian Wu-Hao E",929,IF(OR(Atletas!U345="Taijijian 32 E",Atletas!U345="Taijijian 42 E"),930,IF(OR(Atletas!U345="Taijijian Yang F",Atletas!U345="Taijijian Yang Standard F"),931,IF(OR(Atletas!U345="Taijijian Chen F", Atletas!U345="Taijijian Chen Standard F"),932,IF(Atletas!U345="Taijijian Sun F",933,IF(Atletas!U345="Taijijian Wu F",934,IF(Atletas!U345="Taijijian Wu-Hao F",935,IF(OR(Atletas!U345="Taijijian 32 F",Atletas!U345="Taijijian 42 F"),936,"")))))))))))))))))))))))))))))))))))))</f>
        <v/>
      </c>
      <c r="CD354" s="50" t="str">
        <f>IF(Atletas!V345="","",IF(Atletas!X345&lt;&gt;"",10000,0)+IF(Atletas!B345="Feminino",1000,IF(Atletas!B345="Masculino",2000,""))+IF(Atletas!V345="Taijidao A",937,IF(Atletas!V345="TaijiShanzi A",938,IF(Atletas!V345="Taijiqiang A",939,IF(Atletas!V345="Bagua de Arma A",940,IF(Atletas!V345="Xingyi de Arma A",941,IF(Atletas!V345="Taijidao B",942,IF(Atletas!V345="TaijiShanzi B",943,IF(Atletas!V345="Taijiqiang B",944,IF(Atletas!V345="Bagua de Arma B",945,IF(Atletas!V345="Xingyi de Arma B",946,IF(Atletas!V345="Taijidao C",947,IF(Atletas!V345="TaijiShanzi C",948,IF(Atletas!V345="Taijiqiang C",949,IF(Atletas!V345="Bagua de Arma C",950,IF(Atletas!V345="Xingyi de Arma C",951,IF(Atletas!V345="Taijidao D",952,IF(Atletas!V345="TaijiShanzi D",953,IF(Atletas!V345="Taijiqiang D",954,IF(Atletas!V345="Bagua de Arma D",955,IF(Atletas!V345="Xingyi de Arma D",956,IF(Atletas!V345="Taijidao E",957,IF(Atletas!V345="TaijiShanzi E",958,IF(Atletas!V345="Taijiqiang E",959,IF(Atletas!V345="Bagua de Arma E",960,IF(Atletas!V345="Xingyi de Arma E",961,IF(Atletas!V345="Taijidao F",962,IF(Atletas!V345="TaijiShanzi F",963,IF(Atletas!V345="Taijiqiang F",964,IF(Atletas!V345="Bagua de Arma F",965,IF(Atletas!V345="Xingyi de Arma F",966,"")))))))))))))))))))))))))))))))</f>
        <v/>
      </c>
      <c r="CE354" s="66" t="str">
        <f>IF(CF354&lt;&gt;"","Taijiqiang D","")</f>
        <v/>
      </c>
      <c r="CF354" s="66" t="str">
        <f>IF(COUNTIF(BR:CD,1954)&gt;0,COUNTIF(BR:CD,1954),"")</f>
        <v/>
      </c>
      <c r="CG354" s="66" t="str">
        <f>IF(CH354&lt;&gt;"","Taijiqiang D","")</f>
        <v/>
      </c>
      <c r="CH354" s="66" t="str">
        <f>IF(COUNTIF(BR:CD,2954)&gt;0,COUNTIF(BR:CD,2954),"")</f>
        <v/>
      </c>
      <c r="CI354" s="66"/>
      <c r="CJ354" s="66" t="str">
        <f>IF(COUNTIF(BR:CD,11966)&gt;0,COUNTIF(BR:CD,11966),"")</f>
        <v/>
      </c>
      <c r="CK354" s="66" t="str">
        <f>IF(CL354&lt;&gt;"","Xingyi de Arma F","")</f>
        <v/>
      </c>
      <c r="CL354" s="66" t="str">
        <f>IF(COUNTIF(BR:CD,12966)&gt;0,COUNTIF(BR:CD,12966),"")</f>
        <v/>
      </c>
      <c r="CM354" s="50" t="str">
        <f xml:space="preserve"> IF(Atletas!W345="","",IF(Atletas!W345="Duilian de Mãos BC - Equipe 1",1,IF(Atletas!W345="Duilian de Mãos BC - Equipe 2",2,IF(Atletas!W345="Duilian de Armas BC - Equipe 1",3,IF(Atletas!W345="Duilian de Armas BC - Equipe 2",4,IF(Atletas!W345="Duilian de Mãos DE - Equipe 1",5,IF(Atletas!W345="Duilian de Mãos DE - Equipe 2",6,IF(Atletas!W345="Duilian de Armas DE - Equipe 1",7,IF(Atletas!W345="Duilian de Armas DE - Equipe 2",8,IF(Atletas!W345="Duilian de Tuishou - Equipe 1",9,IF(Atletas!W345="Duilian de Tuishou - Equipe 2",10,IF(Atletas!W345="Grupo Externo ABC - Equipe 1",11,IF(Atletas!W345="Grupo Externo ABC - Equipe 2",12,IF(Atletas!W345="Grupo Interno ABC - Equipe 1",13,IF(Atletas!W345="Grupo Interno ABC - Equipe 2",14,IF(Atletas!W345="Grupo Externo DEF - Equipe 1",15,IF(Atletas!W345="Grupo Externo DEF - Equipe 2",16,IF(Atletas!W345="Grupo Interno DEF - Equipe 1",17,IF(Atletas!W345="Grupo Interno DEF - Equipe 2",18,"")))))))))))))))))))</f>
        <v/>
      </c>
    </row>
    <row r="355" spans="40:91">
      <c r="AN355" s="52" t="str">
        <f>IF(Atletas!D346="","",IF(Atletas!B346="Feminino",100,IF(Atletas!B346="Masculino",200,""))+(IF(Atletas!D346="Kids 30kg",1,IF(Atletas!D346="Kids 32kg",2, IF(Atletas!D346="Kids 34kg",3,IF(Atletas!D346="Kids 36kg",4,IF(Atletas!D346="Kids 39kg",5,IF(Atletas!D346="Kids 42kg",6,IF(Atletas!D346="Kids 45kg",7, IF(Atletas!D346="Infantil 39kg",8,IF(Atletas!D346="Infantil 42kg",9,IF(Atletas!D346="Infantil 45kg",10,IF(Atletas!D346="Infantil 48kg",11,IF(Atletas!D346="Infantil 52kg",12,IF(Atletas!D346="Infantil 56kg",13,IF(Atletas!D346="Infantil 60kg",14,IF(Atletas!D346="Juvenil 48kg",15,IF(Atletas!D346="Juvenil 52kg",16,IF(Atletas!D346="Juvenil 56kg",17,IF(Atletas!D346="Juvenil 60kg",18,IF(Atletas!D346="Juvenil 65kg",19,IF(Atletas!D346="Juvenil 70kg",20,IF(Atletas!D346="Juvenil 75kg",21,IF(Atletas!D346="Juvenil 80kg",22, IF(Atletas!D346="Juvenil 85kg",23,IF(Atletas!D346="Adulto 48kg",24,IF(Atletas!D346="Adulto 52kg",25,IF(Atletas!D346="Adulto 56kg",26,IF(Atletas!D346="Adulto 60kg",27,IF(Atletas!D346="Adulto 65kg",28,IF(Atletas!D346="Adulto 70kg",29,IF(Atletas!D346="Adulto 75kg",30,IF(Atletas!D346="Adulto 80kg",31,IF(Atletas!D346="Adulto 85kg",32,IF(Atletas!D346="Adulto 90kg",33,IF(Atletas!D346="Adulto 100kg",34, IF(Atletas!D346="Adulto +100kg",35,"")))))))))))))))))))))))))))))))))))))</f>
        <v/>
      </c>
      <c r="AS355" s="6" t="str">
        <f>IF(Atletas!E346="","",IF(Atletas!B346="Feminino",100,IF(Atletas!B346="Masculino",200,""))+(IF(Atletas!E346="Juvenil 44kg",1,IF(Atletas!E346="Juvenil 48kg",2,IF(Atletas!E346="Juvenil 52kg",3,IF(Atletas!E346="Juvenil 56kg",4,IF(Atletas!E346="Juvenil 60kg",5,IF(Atletas!E346="Juvenil 65kg",6,IF(Atletas!E346="Juvenil 70kg",7,IF(Atletas!E346="Juvenil 75kg",8,IF(Atletas!E346="Juvenil 82kg",9,IF(Atletas!E346="Juvenil 90kg",10,IF(Atletas!E346="Juvenil 100kg",11,IF(Atletas!E346="Adulto 48kg",12,IF(Atletas!E346="Adulto 52kg",13,IF(Atletas!E346="Adulto 56kg",14,IF(Atletas!E346="Adulto 60kg",15,IF(Atletas!E346="Adulto 65kg",16,IF(Atletas!E346="Adulto 70kg",17,IF(Atletas!E346="Adulto 75kg",18,IF(Atletas!E346="Adulto 82kg",19,IF(Atletas!E346="Adulto 90kg",20,IF(Atletas!E346="Adulto 100kg",21,IF(Atletas!E346="Adulto +100kg",22,""))))))))))))))))))))))))</f>
        <v/>
      </c>
      <c r="AX355" s="6" t="str">
        <f>IF(Atletas!F346="","",IF(Atletas!B346="Feminino",100,IF(Atletas!B346="Masculino",200,""))+(IF(Atletas!F346="Adulto 48kg",1,IF(Atletas!F346="Adulto 56kg",2,IF(Atletas!F346="Adulto 65kg",3,IF(Atletas!F346="Adulto 75kg",4,IF(Atletas!F346="Adulto +75kg",5,IF(Atletas!F346="Adulto 52kg",6,IF(Atletas!F346="Adulto 60kg",7,IF(Atletas!F346="Adulto 70kg",8,IF(Atletas!F346="Adulto 80kg",9,IF(Atletas!F346="Adulto 90kg",10,IF(Atletas!F346="Adulto +90kg",11,"")))))))))))))</f>
        <v/>
      </c>
      <c r="BC355" s="6" t="str">
        <f>IF(Atletas!G346="","",IF(Atletas!B346="Feminino",10,IF(Atletas!B346="Masculino",20,""))+(IF(Atletas!G346="Baduanjin A",1,IF(Atletas!G346="Baduanjin B",2))))</f>
        <v/>
      </c>
      <c r="BF355" s="52" t="str">
        <f>IF(Atletas!H346="","",IF(Atletas!B346="Feminino",100,IF(Atletas!B346="Masculino",200,""))+(IF(Atletas!H346="Changquan Mirim",1,IF(Atletas!H346="Nanquan Mirim",2,IF(Atletas!H346="Taijiquan Mirim",3,IF(Atletas!H346="Changquan Grupo C",4,IF(Atletas!H346="Nanquan Grupo C",5,IF(Atletas!H346="Taijiquan Grupo C",6,IF(Atletas!H346="Changquan Grupo B",7,IF(Atletas!H346="Nanquan Grupo B",8,IF(Atletas!H346="Taijiquan Grupo B",9,IF(Atletas!H346="Changquan Grupo A",10,IF(Atletas!H346="Nanquan Grupo A",11,IF(Atletas!H346="Taijiquan Grupo A",12,IF(Atletas!H346="Changquan Opcional",13,IF(Atletas!H346="Nanquan Opcional",14,IF(Atletas!H346="Taijiquan Opcional",15,IF(Atletas!H346="Changquan Adulto",16,IF(Atletas!H346="Nanquan Adulto",17,IF(Atletas!H346="Taijiquan Adulto",18,""))))))))))))))))))))</f>
        <v/>
      </c>
      <c r="BG355" s="52" t="str">
        <f>IF(Atletas!I346="","",IF(Atletas!B346="Feminino",100,IF(Atletas!B346="Masculino",200,""))+(IF(Atletas!I346="Daoshu Mirim",19,IF(Atletas!I346="Jianshu Mirim",20,IF(Atletas!I346="Nandao Mirim",21,IF(Atletas!I346="Taijijian Mirim",22,IF(Atletas!I346="Daoshu Grupo C",23,IF(Atletas!I346="Jianshu Grupo C",24,IF(Atletas!I346="Nandao Grupo C",25,IF(Atletas!I346="Taijijian Grupo C",26,IF(Atletas!I346="Daoshu Grupo B",27,IF(Atletas!I346="Jianshu Grupo B",28,IF(Atletas!I346="Nandao Grupo B",29,IF(Atletas!I346="Taijijian Grupo B",30,IF(Atletas!I346="Daoshu Grupo A",31,IF(Atletas!I346="Jianshu Grupo A",32,IF(Atletas!I346="Nandao Grupo A",33,IF(Atletas!I346="Taijijian Grupo A",34,IF(Atletas!I346="Daoshu Opcional",35,IF(Atletas!I346="Jianshu Opcional",36,IF(Atletas!I346="Nandao Opcional",37,IF(Atletas!I346="Taijijian Opcional",38,IF(Atletas!I346="Daoshu Adulto",39,IF(Atletas!I346="Jianshu Adulto",40,IF(Atletas!I346="Nandao Adulto",41,IF(Atletas!I346="Taijijian Adulto",42,""))))))))))))))))))))))))))</f>
        <v/>
      </c>
      <c r="BH355" s="52" t="str">
        <f>IF(Atletas!J346="","",IF(Atletas!B346="Feminino",100,IF(Atletas!B346="Masculino",200,""))+(IF(Atletas!J346="Gunshu Mirim",43,IF(Atletas!J346="Qiangshu Mirim",44,IF(Atletas!J346="Nangun Mirim",45,IF(Atletas!J346="Gunshu Grupo C",46,IF(Atletas!J346="Qiangshu Grupo C",47,IF(Atletas!J346="Nangun Grupo C",48,IF(Atletas!J346="Gunshu Grupo B",49,IF(Atletas!J346="Qiangshu Grupo B",50,IF(Atletas!J346="Nangun Grupo B",51,IF(Atletas!J346="Gunshu Grupo A",52,IF(Atletas!J346="Qiangshu Grupo A",53,IF(Atletas!J346="Nangun Grupo A",54,IF(Atletas!J346="Gunshu Opcional",55,IF(Atletas!J346="Qiangshu Opcional",56,IF(Atletas!J346="Nangun Opcional",57,IF(Atletas!J346="Gunshu Adulto",58,IF(Atletas!J346="Qiangshu Adulto",59,IF(Atletas!J346="Nangun Adulto",60,IF(Atletas!J346="Taijishan Grupo B",61,IF(Atletas!J346="Taijishan Grupo A",62,""))))))))))))))))))))))</f>
        <v/>
      </c>
      <c r="BM355" s="50" t="str">
        <f>IF(Atletas!K346="","",IF(Atletas!B346="Feminino",100,IF(Atletas!B346="Masculino",200,""))+(IF(Atletas!K346="Equipe 1 Grupo B",1,IF(Atletas!K346="Equipe 2 Grupo B",2,IF(Atletas!K346="Equipe 1 Grupo A",3,IF(Atletas!K346="Equipe 2 Grupo A",4,IF(Atletas!K346="Equipe 1 Adulto",5,IF(Atletas!K346="Equipe 2 Adulto",6,""))))))))</f>
        <v/>
      </c>
      <c r="BR355" s="50" t="str">
        <f>IF(Atletas!L346="","",IF(Atletas!X346&lt;&gt;"",10000,0)+(IF(Atletas!B346="Feminino",1000,IF(Atletas!B346="Masculino",2000,""))+IF(Atletas!L346="Choylayfut A",1,IF(Atletas!L346="Hunggar A",2,IF(Atletas!L346="Wuzuquan A",3,IF(Atletas!L346="Wingchun A",4,IF(Atletas!L346="Outra Mão de Sul A",5,IF(Atletas!L346="Choylayfut B",6,IF(Atletas!L346="Hunggar B",7,IF(Atletas!L346="Wuzuquan B",8,IF(Atletas!L346="Wingchun B",9,IF(Atletas!L346="Outra Mão de Sul B",10,IF(Atletas!L346="Choylayfut C",11,IF(Atletas!L346="Hunggar C",12,IF(Atletas!L346="Wuzuquan C",13,IF(Atletas!L346="Wingchun C",14,IF(Atletas!L346="Outra Mão de Sul C",15,IF(Atletas!L346="Choylayfut D",16,IF(Atletas!L346="Hunggar D",17,IF(Atletas!L346="Wuzuquan D",18,IF(Atletas!L346="Wingchun D",19,IF(Atletas!L346="Outra Mão de Sul D",20,IF(Atletas!L346="Choylayfut E",21,IF(Atletas!L346="Hunggar E",22,IF(Atletas!L346="Wuzuquan E",23,IF(Atletas!L346="Wingchun E",24,IF(Atletas!L346="Outra Mão de Sul E",25,IF(Atletas!L346="Choylayfut F",26,IF(Atletas!L346="Hunggar F",27,IF(Atletas!L346="Wuzuquan F",28,IF(Atletas!L346="Wingchun F",29,IF(Atletas!L346="Outra Mão de Sul F",30,IF(Atletas!L346="Dishuquan A",31,IF(Atletas!L346="Dishuquan B",32,IF(Atletas!L346="Dishuquan C",33,IF(Atletas!L346="Dishuquan D",34,IF(Atletas!L346="Dishuquan E",35,IF(Atletas!L346="Dishuquan F",36,""))))))))))))))))))))))))))))))))))))))</f>
        <v/>
      </c>
      <c r="BS355" s="50" t="str">
        <f>IF(Atletas!M346="","",IF(Atletas!X346&lt;&gt;"",10000,0)+(IF(Atletas!B346="Feminino",1000,IF(Atletas!B346="Masculino",2000,""))+(IF(Atletas!M346="Chaquan A",101,IF(Atletas!M346="Emeiquan A",102,IF(Atletas!M346="Fanziquan A",103,IF(Atletas!M346="Huaquan A",104,IF(Atletas!M346="Hongquan A",105,IF(Atletas!M346="Paoquan A",106,IF(Atletas!M346="Piguaquan A",107,IF(Atletas!M346="Shaolinquan A",108,IF(Atletas!M346="Tanglangquan A",109,IF(Atletas!M346="Yingzhaoquan A",110,IF(Atletas!M346="Tongbeiquan A",111,IF(Atletas!M346="Wudangquan A",112,IF(Atletas!M346="Outros Estilos A",113,IF(Atletas!M346="Chaquan B",114,IF(Atletas!M346="Emeiquan B",115,IF(Atletas!M346="Fanziquan B",116,IF(Atletas!M346="Huaquan B",117,IF(Atletas!M346="Hongquan B",118,IF(Atletas!M346="Paoquan B",119,IF(Atletas!M346="Piguaquan B",120,IF(Atletas!M346="Shaolinquan B",121,IF(Atletas!M346="Tanglangquan B",122,IF(Atletas!M346="Yingzhaoquan B",123,IF(Atletas!M346="Tongbeiquan B",124,IF(Atletas!M346="Wudangquan B",125,IF(Atletas!M346="Outros Estilos B",126,IF(Atletas!M346="Chaquan C",127,IF(Atletas!M346="Emeiquan C",128,IF(Atletas!M346="Fanziquan C",129,IF(Atletas!M346="Huaquan C",130,IF(Atletas!M346="Hongquan C",131,IF(Atletas!M346="Paoquan C",132,IF(Atletas!M346="Piguaquan C",133,IF(Atletas!M346="Shaolinquan C",134,IF(Atletas!M346="Tanglangquan C",135,IF(Atletas!M346="Yingzhaoquan C",136,IF(Atletas!M346="Tongbeiquan C",137,IF(Atletas!M346="Wudangquan C",138,IF(Atletas!M346="Outros Estilos C",139,0))))))))))))))))))))))))))))))))))))))))))</f>
        <v/>
      </c>
      <c r="BT355" s="50" t="str">
        <f>IF(Atletas!M346="","",IF(Atletas!X346&lt;&gt;"",10000,0)+(IF(Atletas!B346="Feminino",1000,IF(Atletas!B346="Masculino",2000,""))+(IF(Atletas!M346="Chaquan D",140,IF(Atletas!M346="Emeiquan D",141,IF(Atletas!M346="Fanziquan D",142,IF(Atletas!M346="Huaquan D",143,IF(Atletas!M346="Hongquan D",144,IF(Atletas!M346="Paoquan D",145,IF(Atletas!M346="Piguaquan D",146,IF(Atletas!M346="Shaolinquan D",147,IF(Atletas!M346="Tanglangquan D",148,IF(Atletas!M346="Yingzhaoquan D",149,IF(Atletas!M346="Tongbeiquan D",150,IF(Atletas!M346="Wudangquan D",151,IF(Atletas!M346="Outros Estilos D",152,IF(Atletas!M346="Chaquan E",153,IF(Atletas!M346="Emeiquan E",154,IF(Atletas!M346="Fanziquan E",155,IF(Atletas!M346="Huaquan E",156,IF(Atletas!M346="Hongquan E",157,IF(Atletas!M346="Paoquan E",158,IF(Atletas!M346="Piguaquan E",159,IF(Atletas!M346="Shaolinquan E",160,IF(Atletas!M346="Tanglangquan E",161,IF(Atletas!M346="Yingzhaoquan E",162,IF(Atletas!M346="Tongbeiquan E",163,IF(Atletas!M346="Wudangquan E",164,IF(Atletas!M346="Outros Estilos E",165,IF(Atletas!M346="Chaquan F",166,IF(Atletas!M346="Emeiquan F",167,IF(Atletas!M346="Fanziquan F",168,IF(Atletas!M346="Huaquan F",169,IF(Atletas!M346="Hongquan F",170,IF(Atletas!M346="Paoquan F",171,IF(Atletas!M346="Piguaquan F",172,IF(Atletas!M346="Shaolinquan F",173,IF(Atletas!M346="Tanglangquan F",174,IF(Atletas!M346="Yingzhaoquan F",175,IF(Atletas!M346="Tongbeiquan F",176,IF(Atletas!M346="Wudangquan F",177,IF(Atletas!M346="Outros Estilos F",178,0))))))))))))))))))))))))))))))))))))))))))</f>
        <v/>
      </c>
      <c r="BU355" s="50" t="str">
        <f>IF(Atletas!N346="","",IF(Atletas!X346&lt;&gt;"",10000,0)+(IF(Atletas!B346="Feminino",1000,IF(Atletas!B346="Masculino",2000,""))+(IF(Atletas!N346="Ditangquan A",201,IF(Atletas!N346="Houquan A",202,IF(Atletas!N346="Zuiquan A",203,IF(Atletas!N346="Ditangquan B",204,IF(Atletas!N346="Houquan B",205,IF(Atletas!N346="Zuiquan B",206,IF(Atletas!N346="Ditangquan C",207,IF(Atletas!N346="Houquan C",208,IF(Atletas!N346="Zuiquan C",209,IF(Atletas!N346="Ditangquan D",210,IF(Atletas!N346="Houquan D",211,IF(Atletas!N346="Zuiquan D",212,IF(Atletas!N346="Ditangquan E",213,IF(Atletas!N346="Houquan E",214,IF(Atletas!N346="Zuiquan E",215,IF(Atletas!N346="Ditangquan F",216,IF(Atletas!N346="Houquan F",217,IF(Atletas!N346="Zuiquan F",218,"")))))))))))))))))))))</f>
        <v/>
      </c>
      <c r="BV355" s="50" t="str">
        <f>IF(Atletas!O346="","",IF(Atletas!X346&lt;&gt;"",10000,0)+IF(Atletas!B346="Feminino",1000,IF(Atletas!B346="Masculino",2000,""))+IF(Atletas!O346="Yang A",301,IF(Atletas!O346="Chen A",302,IF(Atletas!O346="Sun A",303,IF(Atletas!O346="Wu A",304,IF(Atletas!O346="Wu-Hao A",305,IF(Atletas!O346="Outro Taijiquan A",306,IF(Atletas!O346="Yang B",307,IF(Atletas!O346="Chen B",308,IF(Atletas!O346="Sun B",309,IF(Atletas!O346="Wu B",310,IF(Atletas!O346="Wu-Hao B",311,IF(Atletas!O346="Outro Taijiquan B",312,IF(Atletas!O346="Yang C",313,IF(Atletas!O346="Chen C",314,IF(Atletas!O346="Sun C",315,IF(Atletas!O346="Wu C",316,IF(Atletas!O346="Wu-Hao C",317,IF(Atletas!O346="Outro Taijiquan C",318,IF(Atletas!O346="Yang D",319,IF(Atletas!O346="Chen D",320,IF(Atletas!O346="Sun D",321,IF(Atletas!O346="Wu D",322,IF(Atletas!O346="Wu-Hao D",323,IF(Atletas!O346="Outro Taijiquan D",324,IF(Atletas!O346="Yang E",325,IF(Atletas!O346="Chen E",326,IF(Atletas!O346="Sun E",327,IF(Atletas!O346="Wu E",328,IF(Atletas!O346="Wu-Hao E",329,IF(Atletas!O346="Outro Taijiquan E",330,IF(Atletas!O346="Yang F",331,IF(Atletas!O346="Chen F",332,IF(Atletas!O346="Sun F",333,IF(Atletas!O346="Wu F",334,IF(Atletas!O346="Wu-Hao F",335,IF(Atletas!O346="Outro Taijiquan F",336,"")))))))))))))))))))))))))))))))))))))</f>
        <v/>
      </c>
      <c r="BW355" s="50" t="str">
        <f>IF(Atletas!P346="","",IF(Atletas!X346&lt;&gt;"",10000,0)+IF(Atletas!B346="Feminino",1000,IF(Atletas!B346="Masculino",2000,""))+IF(OR(Atletas!P346="Yang 26 A",Atletas!P346="Yang 40 A"),401,IF(OR(Atletas!P346="Chen 25 A",Atletas!P346="Chen 36 A",Atletas!P346="Chen 56 A"),402,IF(Atletas!P346="Sun 73 A",403,IF(Atletas!P346="Wu 45 A",404,IF(Atletas!P346="Wu-Hao 46 A",405,IF(OR(Atletas!P346="Taijiquan 16 A",Atletas!P346="Taijiquan 24 A",Atletas!P346="Taijiquan 32 A",Atletas!P346="Taijiquan 42 A"),406,IF(OR(Atletas!P346="Yang 26 B",Atletas!P346="Yang 40 B"),407,IF(OR(Atletas!P346="Chen 25 B",Atletas!P346="Chen 36 B",Atletas!P346="Chen 56 B"),408,IF(Atletas!P346="Sun 73 B",409,IF(Atletas!P346="Wu 45 B",410,IF(Atletas!P346="Wu-Hao 46 B",411,IF(OR(Atletas!P346="Taijiquan 16 B",Atletas!P346="Taijiquan 24 B",Atletas!P346="Taijiquan 32 B",Atletas!P346="Taijiquan 42 B"),412,IF(OR(Atletas!P346="Yang 26 C",Atletas!P346="Yang 40 C"),413,IF(OR(Atletas!P346="Chen 25 C",Atletas!P346="Chen 36 C",Atletas!P346="Chen 56 C"),414,IF(Atletas!P346="Sun 73 C",415,IF(Atletas!P346="Wu 45 C",416,IF(Atletas!P346="Wu-Hao 46 C",417,IF(OR(Atletas!P346="Taijiquan 16 C",Atletas!P346="Taijiquan 24 C",Atletas!P346="Taijiquan 32 C",Atletas!P346="Taijiquan 42 C"),418,0)))))))))))))))))))</f>
        <v/>
      </c>
      <c r="BX355" s="50" t="str">
        <f>IF(Atletas!P346="","",IF(Atletas!X346&lt;&gt;"",10000,0)+IF(Atletas!B346="Feminino",1000,IF(Atletas!B346="Masculino",2000,""))+IF(OR(Atletas!P346="Yang 26 D",Atletas!P346="Yang 40 D"),419,IF(OR(Atletas!P346="Chen 25 D",Atletas!P346="Chen 36 D",Atletas!P346="Chen 56 D"),420,IF(Atletas!P346="Sun 73 D",421,IF(Atletas!P346="Wu 45 D",422,IF(Atletas!P346="Wu-Hao 46 D",423,IF(OR(Atletas!P346="Taijiquan 16 D",Atletas!P346="Taijiquan 24 D",Atletas!P346="Taijiquan 32 D",Atletas!P346="Taijiquan 42 D"),424,IF(OR(Atletas!P346="Yang 26 E",Atletas!P346="Yang 40 E"),425,IF(OR(Atletas!P346="Chen 25 E",Atletas!P346="Chen 36 E",Atletas!P346="Chen 56 E"),426,IF(Atletas!P346="Sun 73 E",427,IF(Atletas!P346="Wu 45 E",428,IF(Atletas!P346="Wu-Hao 46 E",429,IF(OR(Atletas!P346="Taijiquan 16 E",Atletas!P346="Taijiquan 24 E",Atletas!P346="Taijiquan 32 E",Atletas!P346="Taijiquan 42 E"),430,IF(OR(Atletas!P346="Yang 26 F",Atletas!P346="Yang 40 F"),431,IF(OR(Atletas!P346="Chen 25 F",Atletas!P346="Chen 36 F",Atletas!P346="Chen 56 F"),432,IF(Atletas!P346="Sun 73 F",433,IF(Atletas!P346="Wu 45 F",434,IF(Atletas!P346="Wu-Hao 46 F",435,IF(OR(Atletas!P346="Taijiquan 16 F",Atletas!P346="Taijiquan 24 F",Atletas!P346="Taijiquan 32 F",Atletas!P346="Taijiquan 42 F"),436,0)))))))))))))))))))</f>
        <v/>
      </c>
      <c r="BY355" s="50" t="str">
        <f>IF(Atletas!Q346="","",IF(Atletas!X346&lt;&gt;"",10000,0)+IF(Atletas!B346="Feminino",1000,IF(Atletas!B346="Masculino",2000,""))+IF(Atletas!Q346="Xingyiquan A",501,IF(Atletas!Q346="Baguazhang A",502,IF(Atletas!Q346="Outro Estilo Interno A",503,IF(Atletas!Q346="Xingyiquan B",504,IF(Atletas!Q346="Baguazhang B",505,IF(Atletas!Q346="Outro Estilo Interno B",506,IF(Atletas!Q346="Xingyiquan C",507,IF(Atletas!Q346="Baguazhang C",508,IF(Atletas!Q346="Outro Estilo Interno C",509,IF(Atletas!Q346="Xingyiquan D",510,IF(Atletas!Q346="Baguazhang D",511,IF(Atletas!Q346="Outro Estilo Interno D",512,IF(Atletas!Q346="Xingyiquan E",513,IF(Atletas!Q346="Baguazhang E",514,IF(Atletas!Q346="Outro Estilo Interno E",515,IF(Atletas!Q346="Xingyiquan F",516,IF(Atletas!Q346="Baguazhang F",517,IF(Atletas!Q346="Outro Estilo Interno F",518, "")))))))))))))))))))</f>
        <v/>
      </c>
      <c r="BZ355" s="50" t="str">
        <f>IF(Atletas!R346="","",IF(Atletas!X346&lt;&gt;"",10000,0)+IF(Atletas!B346="Feminino",1000,IF(Atletas!B346="Masculino",2000,""))+IF(Atletas!R346="Dao A",601,IF(Atletas!R346="Jian A",602,IF(Atletas!R346="Bishou A",603,IF(Atletas!R346="Shanzi A",604,IF(Atletas!R346="Outra Arma Curta A",605,IF(Atletas!R346="Dao B",606,IF(Atletas!R346="Jian B",607,IF(Atletas!R346="Bishou B",608,IF(Atletas!R346="Shanzi B",609,IF(Atletas!R346="Outra Arma Curta B",610,IF(Atletas!R346="Dao C",611,IF(Atletas!R346="Jian C",612,IF(Atletas!R346="Bishou C",613,IF(Atletas!R346="Shanzi C",614,IF(Atletas!R346="Outra Arma Curta C",615,IF(Atletas!R346="Dao D",616,IF(Atletas!R346="Jian D",617,IF(Atletas!R346="Bishou D",618,IF(Atletas!R346="Shanzi D",619,IF(Atletas!R346="Outra Arma Curta D",620,IF(Atletas!R346="Dao E",621,IF(Atletas!R346="Jian E",622,IF(Atletas!R346="Bishou E",623,IF(Atletas!R346="Shanzi E",624,IF(Atletas!R346="Outra Arma Curta E",625,IF(Atletas!R346="Dao F",626,IF(Atletas!R346="Jian F",627,IF(Atletas!R346="Bishou F",628,IF(Atletas!R346="Shanzi F",629,IF(Atletas!R346="Outra Arma Curta F",630, "")))))))))))))))))))))))))))))))</f>
        <v/>
      </c>
      <c r="CA355" s="50" t="str">
        <f>IF(Atletas!S346="","",IF(Atletas!X346&lt;&gt;"",10000,0)+IF(Atletas!B346="Feminino",1000,IF(Atletas!B346="Masculino",2000,""))+IF(Atletas!S346="Gun A",701,IF(Atletas!S346="Qiang A",702,IF(Atletas!S346="Pudao / Guandao A",703,IF(Atletas!S346="Outra Arma Longa A",704,IF(Atletas!S346="Gun B",705,IF(Atletas!S346="Qiang B",706,IF(Atletas!S346="Pudao / Guandao B",707,IF(Atletas!S346="Outra Arma Longa B",708,IF(Atletas!S346="Gun C",709,IF(Atletas!S346="Qiang C",710,IF(Atletas!S346="Pudao / Guandao C",711,IF(Atletas!S346="Outra Arma Longa C",712,IF(Atletas!S346="Gun D",713,IF(Atletas!S346="Qiang D",714,IF(Atletas!S346="Pudao / Guandao D",715,IF(Atletas!S346="Outra Arma Longa D",716,IF(Atletas!S346="Gun E",717,IF(Atletas!S346="Qiang E",718,IF(Atletas!S346="Pudao / Guandao E",719,IF(Atletas!S346="Outra Arma Longa E",720,IF(Atletas!S346="Gun F",721,IF(Atletas!S346="Qiang F",722,IF(Atletas!S346="Pudao / Guandao F",723,IF(Atletas!S346="Outra Arma Longa F",724,"")))))))))))))))))))))))))</f>
        <v/>
      </c>
      <c r="CB355" s="50" t="str">
        <f>IF(Atletas!T346="","",IF(Atletas!X346&lt;&gt;"",10000,0)+IF(Atletas!B346="Feminino",1000,IF(Atletas!B346="Masculino",2000,""))+IF(Atletas!T346="Outra Arma Dupla A",801,IF(Atletas!T346="Arma Maleável A",802,IF(Atletas!T346="Outra Arma Dupla B",803,IF(Atletas!T346="Arma Maleável B",804,IF(Atletas!T346="Outra Arma Dupla C",805,IF(Atletas!T346="Arma Maleável C",806,IF(Atletas!T346="Outra Arma Dupla D",807,IF(Atletas!T346="Arma Maleável D",808,IF(Atletas!T346="Outra Arma Dupla E",809,IF(Atletas!T346="Arma Maleável E",810,IF(Atletas!T346="Outra Arma Dupla F",811,IF(Atletas!T346="Arma Maleável F",812,IF(Atletas!T346="Shuangdao A",813,IF(Atletas!T346="Shuangdao B",814,IF(Atletas!T346="Shuangdao C",815,IF(Atletas!T346="Shuangdao D",816,IF(Atletas!T346="Shuangdao E",817,IF(Atletas!T346="Shuangdao F",818,"")))))))))))))))))))</f>
        <v/>
      </c>
      <c r="CC355" s="50" t="str">
        <f>IF(Atletas!U346="","",IF(Atletas!X346&lt;&gt;"",10000,0)+IF(Atletas!B346="Feminino",1000,IF(Atletas!B346="Masculino",2000,""))+IF(OR(Atletas!U346="Taijijian Yang A",Atletas!U346="Taijijian Yang Standard A"),901,IF(OR(Atletas!U346="Taijijian Chen A", Atletas!U346="Taijijian Chen Standard A"),902,IF(Atletas!U346="Taijijian Sun A",903,IF(Atletas!U346="Taijijian Wu A",904,IF(Atletas!U346="Taijijian Wu-Hao A",905,IF(OR(Atletas!U346="Taijijian 32 A",Atletas!U346="Taijijian 42 A"),906,IF(OR(Atletas!U346="Taijijian Yang B",Atletas!U346="Taijijian Yang Standard B"),907,IF(OR(Atletas!U346="Taijijian Chen B", Atletas!U346="Taijijian Chen Standard B"),908,IF(Atletas!U346="Taijijian Sun B",909,IF(Atletas!U346="Taijijian Wu B",910,IF(Atletas!U346="Taijijian Wu-Hao B",911,IF(OR(Atletas!U346="Taijijian 32 B",Atletas!U346="Taijijian 42 B"),912,IF(OR(Atletas!U346="Taijijian Yang C",Atletas!U346="Taijijian Yang Standard C"),913,IF(OR(Atletas!U346="Taijijian Chen C", Atletas!U346="Taijijian Chen Standard C"),914,IF(Atletas!U346="Taijijian Sun C",915,IF(Atletas!U346="Taijijian Wu C",916,IF(Atletas!U346="Taijijian Wu-Hao C",917,IF(OR(Atletas!U346="Taijijian 32 C",Atletas!U346="Taijijian 42 C"),918,IF(OR(Atletas!U346="Taijijian Yang D",Atletas!U346="Taijijian Yang Standard D"),919,IF(OR(Atletas!U346="Taijijian Chen D", Atletas!U346="Taijijian Chen Standard D"),920,IF(Atletas!U346="Taijijian Sun D",921,IF(Atletas!U346="Taijijian Wu D",922,IF(Atletas!U346="Taijijian Wu-Hao D",923,IF(OR(Atletas!U346="Taijijian 32 D",Atletas!U346="Taijijian 42 D"),924,IF(OR(Atletas!U346="Taijijian Yang E",Atletas!U346="Taijijian Yang Standard E"),925,IF(OR(Atletas!U346="Taijijian Chen E", Atletas!U346="Taijijian Chen Standard E"),926,IF(Atletas!U346="Taijijian Sun E",927,IF(Atletas!U346="Taijijian Wu E",928,IF(Atletas!U346="Taijijian Wu-Hao E",929,IF(OR(Atletas!U346="Taijijian 32 E",Atletas!U346="Taijijian 42 E"),930,IF(OR(Atletas!U346="Taijijian Yang F",Atletas!U346="Taijijian Yang Standard F"),931,IF(OR(Atletas!U346="Taijijian Chen F", Atletas!U346="Taijijian Chen Standard F"),932,IF(Atletas!U346="Taijijian Sun F",933,IF(Atletas!U346="Taijijian Wu F",934,IF(Atletas!U346="Taijijian Wu-Hao F",935,IF(OR(Atletas!U346="Taijijian 32 F",Atletas!U346="Taijijian 42 F"),936,"")))))))))))))))))))))))))))))))))))))</f>
        <v/>
      </c>
      <c r="CD355" s="50" t="str">
        <f>IF(Atletas!V346="","",IF(Atletas!X346&lt;&gt;"",10000,0)+IF(Atletas!B346="Feminino",1000,IF(Atletas!B346="Masculino",2000,""))+IF(Atletas!V346="Taijidao A",937,IF(Atletas!V346="TaijiShanzi A",938,IF(Atletas!V346="Taijiqiang A",939,IF(Atletas!V346="Bagua de Arma A",940,IF(Atletas!V346="Xingyi de Arma A",941,IF(Atletas!V346="Taijidao B",942,IF(Atletas!V346="TaijiShanzi B",943,IF(Atletas!V346="Taijiqiang B",944,IF(Atletas!V346="Bagua de Arma B",945,IF(Atletas!V346="Xingyi de Arma B",946,IF(Atletas!V346="Taijidao C",947,IF(Atletas!V346="TaijiShanzi C",948,IF(Atletas!V346="Taijiqiang C",949,IF(Atletas!V346="Bagua de Arma C",950,IF(Atletas!V346="Xingyi de Arma C",951,IF(Atletas!V346="Taijidao D",952,IF(Atletas!V346="TaijiShanzi D",953,IF(Atletas!V346="Taijiqiang D",954,IF(Atletas!V346="Bagua de Arma D",955,IF(Atletas!V346="Xingyi de Arma D",956,IF(Atletas!V346="Taijidao E",957,IF(Atletas!V346="TaijiShanzi E",958,IF(Atletas!V346="Taijiqiang E",959,IF(Atletas!V346="Bagua de Arma E",960,IF(Atletas!V346="Xingyi de Arma E",961,IF(Atletas!V346="Taijidao F",962,IF(Atletas!V346="TaijiShanzi F",963,IF(Atletas!V346="Taijiqiang F",964,IF(Atletas!V346="Bagua de Arma F",965,IF(Atletas!V346="Xingyi de Arma F",966,"")))))))))))))))))))))))))))))))</f>
        <v/>
      </c>
      <c r="CE355" s="66" t="str">
        <f>IF(CF355&lt;&gt;"","Bagua de Arma D","")</f>
        <v/>
      </c>
      <c r="CF355" s="66" t="str">
        <f>IF(COUNTIF(BR:CD,1955)&gt;0,COUNTIF(BR:CD,1955),"")</f>
        <v/>
      </c>
      <c r="CG355" s="66" t="str">
        <f>IF(CH355&lt;&gt;"","Bagua de Arma D","")</f>
        <v/>
      </c>
      <c r="CH355" s="66" t="str">
        <f>IF(COUNTIF(BR:CD,2955)&gt;0,COUNTIF(BR:CD,2955),"")</f>
        <v/>
      </c>
      <c r="CI355" s="66"/>
      <c r="CJ355" s="66"/>
      <c r="CK355" s="66"/>
      <c r="CL355" s="66"/>
      <c r="CM355" s="50" t="str">
        <f xml:space="preserve"> IF(Atletas!W346="","",IF(Atletas!W346="Duilian de Mãos BC - Equipe 1",1,IF(Atletas!W346="Duilian de Mãos BC - Equipe 2",2,IF(Atletas!W346="Duilian de Armas BC - Equipe 1",3,IF(Atletas!W346="Duilian de Armas BC - Equipe 2",4,IF(Atletas!W346="Duilian de Mãos DE - Equipe 1",5,IF(Atletas!W346="Duilian de Mãos DE - Equipe 2",6,IF(Atletas!W346="Duilian de Armas DE - Equipe 1",7,IF(Atletas!W346="Duilian de Armas DE - Equipe 2",8,IF(Atletas!W346="Duilian de Tuishou - Equipe 1",9,IF(Atletas!W346="Duilian de Tuishou - Equipe 2",10,IF(Atletas!W346="Grupo Externo ABC - Equipe 1",11,IF(Atletas!W346="Grupo Externo ABC - Equipe 2",12,IF(Atletas!W346="Grupo Interno ABC - Equipe 1",13,IF(Atletas!W346="Grupo Interno ABC - Equipe 2",14,IF(Atletas!W346="Grupo Externo DEF - Equipe 1",15,IF(Atletas!W346="Grupo Externo DEF - Equipe 2",16,IF(Atletas!W346="Grupo Interno DEF - Equipe 1",17,IF(Atletas!W346="Grupo Interno DEF - Equipe 2",18,"")))))))))))))))))))</f>
        <v/>
      </c>
    </row>
    <row r="356" spans="40:91">
      <c r="AN356" s="52" t="str">
        <f>IF(Atletas!D347="","",IF(Atletas!B347="Feminino",100,IF(Atletas!B347="Masculino",200,""))+(IF(Atletas!D347="Kids 30kg",1,IF(Atletas!D347="Kids 32kg",2, IF(Atletas!D347="Kids 34kg",3,IF(Atletas!D347="Kids 36kg",4,IF(Atletas!D347="Kids 39kg",5,IF(Atletas!D347="Kids 42kg",6,IF(Atletas!D347="Kids 45kg",7, IF(Atletas!D347="Infantil 39kg",8,IF(Atletas!D347="Infantil 42kg",9,IF(Atletas!D347="Infantil 45kg",10,IF(Atletas!D347="Infantil 48kg",11,IF(Atletas!D347="Infantil 52kg",12,IF(Atletas!D347="Infantil 56kg",13,IF(Atletas!D347="Infantil 60kg",14,IF(Atletas!D347="Juvenil 48kg",15,IF(Atletas!D347="Juvenil 52kg",16,IF(Atletas!D347="Juvenil 56kg",17,IF(Atletas!D347="Juvenil 60kg",18,IF(Atletas!D347="Juvenil 65kg",19,IF(Atletas!D347="Juvenil 70kg",20,IF(Atletas!D347="Juvenil 75kg",21,IF(Atletas!D347="Juvenil 80kg",22, IF(Atletas!D347="Juvenil 85kg",23,IF(Atletas!D347="Adulto 48kg",24,IF(Atletas!D347="Adulto 52kg",25,IF(Atletas!D347="Adulto 56kg",26,IF(Atletas!D347="Adulto 60kg",27,IF(Atletas!D347="Adulto 65kg",28,IF(Atletas!D347="Adulto 70kg",29,IF(Atletas!D347="Adulto 75kg",30,IF(Atletas!D347="Adulto 80kg",31,IF(Atletas!D347="Adulto 85kg",32,IF(Atletas!D347="Adulto 90kg",33,IF(Atletas!D347="Adulto 100kg",34, IF(Atletas!D347="Adulto +100kg",35,"")))))))))))))))))))))))))))))))))))))</f>
        <v/>
      </c>
      <c r="AS356" s="6" t="str">
        <f>IF(Atletas!E347="","",IF(Atletas!B347="Feminino",100,IF(Atletas!B347="Masculino",200,""))+(IF(Atletas!E347="Juvenil 44kg",1,IF(Atletas!E347="Juvenil 48kg",2,IF(Atletas!E347="Juvenil 52kg",3,IF(Atletas!E347="Juvenil 56kg",4,IF(Atletas!E347="Juvenil 60kg",5,IF(Atletas!E347="Juvenil 65kg",6,IF(Atletas!E347="Juvenil 70kg",7,IF(Atletas!E347="Juvenil 75kg",8,IF(Atletas!E347="Juvenil 82kg",9,IF(Atletas!E347="Juvenil 90kg",10,IF(Atletas!E347="Juvenil 100kg",11,IF(Atletas!E347="Adulto 48kg",12,IF(Atletas!E347="Adulto 52kg",13,IF(Atletas!E347="Adulto 56kg",14,IF(Atletas!E347="Adulto 60kg",15,IF(Atletas!E347="Adulto 65kg",16,IF(Atletas!E347="Adulto 70kg",17,IF(Atletas!E347="Adulto 75kg",18,IF(Atletas!E347="Adulto 82kg",19,IF(Atletas!E347="Adulto 90kg",20,IF(Atletas!E347="Adulto 100kg",21,IF(Atletas!E347="Adulto +100kg",22,""))))))))))))))))))))))))</f>
        <v/>
      </c>
      <c r="AX356" s="6" t="str">
        <f>IF(Atletas!F347="","",IF(Atletas!B347="Feminino",100,IF(Atletas!B347="Masculino",200,""))+(IF(Atletas!F347="Adulto 48kg",1,IF(Atletas!F347="Adulto 56kg",2,IF(Atletas!F347="Adulto 65kg",3,IF(Atletas!F347="Adulto 75kg",4,IF(Atletas!F347="Adulto +75kg",5,IF(Atletas!F347="Adulto 52kg",6,IF(Atletas!F347="Adulto 60kg",7,IF(Atletas!F347="Adulto 70kg",8,IF(Atletas!F347="Adulto 80kg",9,IF(Atletas!F347="Adulto 90kg",10,IF(Atletas!F347="Adulto +90kg",11,"")))))))))))))</f>
        <v/>
      </c>
      <c r="BC356" s="6" t="str">
        <f>IF(Atletas!G347="","",IF(Atletas!B347="Feminino",10,IF(Atletas!B347="Masculino",20,""))+(IF(Atletas!G347="Baduanjin A",1,IF(Atletas!G347="Baduanjin B",2))))</f>
        <v/>
      </c>
      <c r="BF356" s="52" t="str">
        <f>IF(Atletas!H347="","",IF(Atletas!B347="Feminino",100,IF(Atletas!B347="Masculino",200,""))+(IF(Atletas!H347="Changquan Mirim",1,IF(Atletas!H347="Nanquan Mirim",2,IF(Atletas!H347="Taijiquan Mirim",3,IF(Atletas!H347="Changquan Grupo C",4,IF(Atletas!H347="Nanquan Grupo C",5,IF(Atletas!H347="Taijiquan Grupo C",6,IF(Atletas!H347="Changquan Grupo B",7,IF(Atletas!H347="Nanquan Grupo B",8,IF(Atletas!H347="Taijiquan Grupo B",9,IF(Atletas!H347="Changquan Grupo A",10,IF(Atletas!H347="Nanquan Grupo A",11,IF(Atletas!H347="Taijiquan Grupo A",12,IF(Atletas!H347="Changquan Opcional",13,IF(Atletas!H347="Nanquan Opcional",14,IF(Atletas!H347="Taijiquan Opcional",15,IF(Atletas!H347="Changquan Adulto",16,IF(Atletas!H347="Nanquan Adulto",17,IF(Atletas!H347="Taijiquan Adulto",18,""))))))))))))))))))))</f>
        <v/>
      </c>
      <c r="BG356" s="52" t="str">
        <f>IF(Atletas!I347="","",IF(Atletas!B347="Feminino",100,IF(Atletas!B347="Masculino",200,""))+(IF(Atletas!I347="Daoshu Mirim",19,IF(Atletas!I347="Jianshu Mirim",20,IF(Atletas!I347="Nandao Mirim",21,IF(Atletas!I347="Taijijian Mirim",22,IF(Atletas!I347="Daoshu Grupo C",23,IF(Atletas!I347="Jianshu Grupo C",24,IF(Atletas!I347="Nandao Grupo C",25,IF(Atletas!I347="Taijijian Grupo C",26,IF(Atletas!I347="Daoshu Grupo B",27,IF(Atletas!I347="Jianshu Grupo B",28,IF(Atletas!I347="Nandao Grupo B",29,IF(Atletas!I347="Taijijian Grupo B",30,IF(Atletas!I347="Daoshu Grupo A",31,IF(Atletas!I347="Jianshu Grupo A",32,IF(Atletas!I347="Nandao Grupo A",33,IF(Atletas!I347="Taijijian Grupo A",34,IF(Atletas!I347="Daoshu Opcional",35,IF(Atletas!I347="Jianshu Opcional",36,IF(Atletas!I347="Nandao Opcional",37,IF(Atletas!I347="Taijijian Opcional",38,IF(Atletas!I347="Daoshu Adulto",39,IF(Atletas!I347="Jianshu Adulto",40,IF(Atletas!I347="Nandao Adulto",41,IF(Atletas!I347="Taijijian Adulto",42,""))))))))))))))))))))))))))</f>
        <v/>
      </c>
      <c r="BH356" s="52" t="str">
        <f>IF(Atletas!J347="","",IF(Atletas!B347="Feminino",100,IF(Atletas!B347="Masculino",200,""))+(IF(Atletas!J347="Gunshu Mirim",43,IF(Atletas!J347="Qiangshu Mirim",44,IF(Atletas!J347="Nangun Mirim",45,IF(Atletas!J347="Gunshu Grupo C",46,IF(Atletas!J347="Qiangshu Grupo C",47,IF(Atletas!J347="Nangun Grupo C",48,IF(Atletas!J347="Gunshu Grupo B",49,IF(Atletas!J347="Qiangshu Grupo B",50,IF(Atletas!J347="Nangun Grupo B",51,IF(Atletas!J347="Gunshu Grupo A",52,IF(Atletas!J347="Qiangshu Grupo A",53,IF(Atletas!J347="Nangun Grupo A",54,IF(Atletas!J347="Gunshu Opcional",55,IF(Atletas!J347="Qiangshu Opcional",56,IF(Atletas!J347="Nangun Opcional",57,IF(Atletas!J347="Gunshu Adulto",58,IF(Atletas!J347="Qiangshu Adulto",59,IF(Atletas!J347="Nangun Adulto",60,IF(Atletas!J347="Taijishan Grupo B",61,IF(Atletas!J347="Taijishan Grupo A",62,""))))))))))))))))))))))</f>
        <v/>
      </c>
      <c r="BM356" s="50" t="str">
        <f>IF(Atletas!K347="","",IF(Atletas!B347="Feminino",100,IF(Atletas!B347="Masculino",200,""))+(IF(Atletas!K347="Equipe 1 Grupo B",1,IF(Atletas!K347="Equipe 2 Grupo B",2,IF(Atletas!K347="Equipe 1 Grupo A",3,IF(Atletas!K347="Equipe 2 Grupo A",4,IF(Atletas!K347="Equipe 1 Adulto",5,IF(Atletas!K347="Equipe 2 Adulto",6,""))))))))</f>
        <v/>
      </c>
      <c r="BR356" s="50" t="str">
        <f>IF(Atletas!L347="","",IF(Atletas!X347&lt;&gt;"",10000,0)+(IF(Atletas!B347="Feminino",1000,IF(Atletas!B347="Masculino",2000,""))+IF(Atletas!L347="Choylayfut A",1,IF(Atletas!L347="Hunggar A",2,IF(Atletas!L347="Wuzuquan A",3,IF(Atletas!L347="Wingchun A",4,IF(Atletas!L347="Outra Mão de Sul A",5,IF(Atletas!L347="Choylayfut B",6,IF(Atletas!L347="Hunggar B",7,IF(Atletas!L347="Wuzuquan B",8,IF(Atletas!L347="Wingchun B",9,IF(Atletas!L347="Outra Mão de Sul B",10,IF(Atletas!L347="Choylayfut C",11,IF(Atletas!L347="Hunggar C",12,IF(Atletas!L347="Wuzuquan C",13,IF(Atletas!L347="Wingchun C",14,IF(Atletas!L347="Outra Mão de Sul C",15,IF(Atletas!L347="Choylayfut D",16,IF(Atletas!L347="Hunggar D",17,IF(Atletas!L347="Wuzuquan D",18,IF(Atletas!L347="Wingchun D",19,IF(Atletas!L347="Outra Mão de Sul D",20,IF(Atletas!L347="Choylayfut E",21,IF(Atletas!L347="Hunggar E",22,IF(Atletas!L347="Wuzuquan E",23,IF(Atletas!L347="Wingchun E",24,IF(Atletas!L347="Outra Mão de Sul E",25,IF(Atletas!L347="Choylayfut F",26,IF(Atletas!L347="Hunggar F",27,IF(Atletas!L347="Wuzuquan F",28,IF(Atletas!L347="Wingchun F",29,IF(Atletas!L347="Outra Mão de Sul F",30,IF(Atletas!L347="Dishuquan A",31,IF(Atletas!L347="Dishuquan B",32,IF(Atletas!L347="Dishuquan C",33,IF(Atletas!L347="Dishuquan D",34,IF(Atletas!L347="Dishuquan E",35,IF(Atletas!L347="Dishuquan F",36,""))))))))))))))))))))))))))))))))))))))</f>
        <v/>
      </c>
      <c r="BS356" s="50" t="str">
        <f>IF(Atletas!M347="","",IF(Atletas!X347&lt;&gt;"",10000,0)+(IF(Atletas!B347="Feminino",1000,IF(Atletas!B347="Masculino",2000,""))+(IF(Atletas!M347="Chaquan A",101,IF(Atletas!M347="Emeiquan A",102,IF(Atletas!M347="Fanziquan A",103,IF(Atletas!M347="Huaquan A",104,IF(Atletas!M347="Hongquan A",105,IF(Atletas!M347="Paoquan A",106,IF(Atletas!M347="Piguaquan A",107,IF(Atletas!M347="Shaolinquan A",108,IF(Atletas!M347="Tanglangquan A",109,IF(Atletas!M347="Yingzhaoquan A",110,IF(Atletas!M347="Tongbeiquan A",111,IF(Atletas!M347="Wudangquan A",112,IF(Atletas!M347="Outros Estilos A",113,IF(Atletas!M347="Chaquan B",114,IF(Atletas!M347="Emeiquan B",115,IF(Atletas!M347="Fanziquan B",116,IF(Atletas!M347="Huaquan B",117,IF(Atletas!M347="Hongquan B",118,IF(Atletas!M347="Paoquan B",119,IF(Atletas!M347="Piguaquan B",120,IF(Atletas!M347="Shaolinquan B",121,IF(Atletas!M347="Tanglangquan B",122,IF(Atletas!M347="Yingzhaoquan B",123,IF(Atletas!M347="Tongbeiquan B",124,IF(Atletas!M347="Wudangquan B",125,IF(Atletas!M347="Outros Estilos B",126,IF(Atletas!M347="Chaquan C",127,IF(Atletas!M347="Emeiquan C",128,IF(Atletas!M347="Fanziquan C",129,IF(Atletas!M347="Huaquan C",130,IF(Atletas!M347="Hongquan C",131,IF(Atletas!M347="Paoquan C",132,IF(Atletas!M347="Piguaquan C",133,IF(Atletas!M347="Shaolinquan C",134,IF(Atletas!M347="Tanglangquan C",135,IF(Atletas!M347="Yingzhaoquan C",136,IF(Atletas!M347="Tongbeiquan C",137,IF(Atletas!M347="Wudangquan C",138,IF(Atletas!M347="Outros Estilos C",139,0))))))))))))))))))))))))))))))))))))))))))</f>
        <v/>
      </c>
      <c r="BT356" s="50" t="str">
        <f>IF(Atletas!M347="","",IF(Atletas!X347&lt;&gt;"",10000,0)+(IF(Atletas!B347="Feminino",1000,IF(Atletas!B347="Masculino",2000,""))+(IF(Atletas!M347="Chaquan D",140,IF(Atletas!M347="Emeiquan D",141,IF(Atletas!M347="Fanziquan D",142,IF(Atletas!M347="Huaquan D",143,IF(Atletas!M347="Hongquan D",144,IF(Atletas!M347="Paoquan D",145,IF(Atletas!M347="Piguaquan D",146,IF(Atletas!M347="Shaolinquan D",147,IF(Atletas!M347="Tanglangquan D",148,IF(Atletas!M347="Yingzhaoquan D",149,IF(Atletas!M347="Tongbeiquan D",150,IF(Atletas!M347="Wudangquan D",151,IF(Atletas!M347="Outros Estilos D",152,IF(Atletas!M347="Chaquan E",153,IF(Atletas!M347="Emeiquan E",154,IF(Atletas!M347="Fanziquan E",155,IF(Atletas!M347="Huaquan E",156,IF(Atletas!M347="Hongquan E",157,IF(Atletas!M347="Paoquan E",158,IF(Atletas!M347="Piguaquan E",159,IF(Atletas!M347="Shaolinquan E",160,IF(Atletas!M347="Tanglangquan E",161,IF(Atletas!M347="Yingzhaoquan E",162,IF(Atletas!M347="Tongbeiquan E",163,IF(Atletas!M347="Wudangquan E",164,IF(Atletas!M347="Outros Estilos E",165,IF(Atletas!M347="Chaquan F",166,IF(Atletas!M347="Emeiquan F",167,IF(Atletas!M347="Fanziquan F",168,IF(Atletas!M347="Huaquan F",169,IF(Atletas!M347="Hongquan F",170,IF(Atletas!M347="Paoquan F",171,IF(Atletas!M347="Piguaquan F",172,IF(Atletas!M347="Shaolinquan F",173,IF(Atletas!M347="Tanglangquan F",174,IF(Atletas!M347="Yingzhaoquan F",175,IF(Atletas!M347="Tongbeiquan F",176,IF(Atletas!M347="Wudangquan F",177,IF(Atletas!M347="Outros Estilos F",178,0))))))))))))))))))))))))))))))))))))))))))</f>
        <v/>
      </c>
      <c r="BU356" s="50" t="str">
        <f>IF(Atletas!N347="","",IF(Atletas!X347&lt;&gt;"",10000,0)+(IF(Atletas!B347="Feminino",1000,IF(Atletas!B347="Masculino",2000,""))+(IF(Atletas!N347="Ditangquan A",201,IF(Atletas!N347="Houquan A",202,IF(Atletas!N347="Zuiquan A",203,IF(Atletas!N347="Ditangquan B",204,IF(Atletas!N347="Houquan B",205,IF(Atletas!N347="Zuiquan B",206,IF(Atletas!N347="Ditangquan C",207,IF(Atletas!N347="Houquan C",208,IF(Atletas!N347="Zuiquan C",209,IF(Atletas!N347="Ditangquan D",210,IF(Atletas!N347="Houquan D",211,IF(Atletas!N347="Zuiquan D",212,IF(Atletas!N347="Ditangquan E",213,IF(Atletas!N347="Houquan E",214,IF(Atletas!N347="Zuiquan E",215,IF(Atletas!N347="Ditangquan F",216,IF(Atletas!N347="Houquan F",217,IF(Atletas!N347="Zuiquan F",218,"")))))))))))))))))))))</f>
        <v/>
      </c>
      <c r="BV356" s="50" t="str">
        <f>IF(Atletas!O347="","",IF(Atletas!X347&lt;&gt;"",10000,0)+IF(Atletas!B347="Feminino",1000,IF(Atletas!B347="Masculino",2000,""))+IF(Atletas!O347="Yang A",301,IF(Atletas!O347="Chen A",302,IF(Atletas!O347="Sun A",303,IF(Atletas!O347="Wu A",304,IF(Atletas!O347="Wu-Hao A",305,IF(Atletas!O347="Outro Taijiquan A",306,IF(Atletas!O347="Yang B",307,IF(Atletas!O347="Chen B",308,IF(Atletas!O347="Sun B",309,IF(Atletas!O347="Wu B",310,IF(Atletas!O347="Wu-Hao B",311,IF(Atletas!O347="Outro Taijiquan B",312,IF(Atletas!O347="Yang C",313,IF(Atletas!O347="Chen C",314,IF(Atletas!O347="Sun C",315,IF(Atletas!O347="Wu C",316,IF(Atletas!O347="Wu-Hao C",317,IF(Atletas!O347="Outro Taijiquan C",318,IF(Atletas!O347="Yang D",319,IF(Atletas!O347="Chen D",320,IF(Atletas!O347="Sun D",321,IF(Atletas!O347="Wu D",322,IF(Atletas!O347="Wu-Hao D",323,IF(Atletas!O347="Outro Taijiquan D",324,IF(Atletas!O347="Yang E",325,IF(Atletas!O347="Chen E",326,IF(Atletas!O347="Sun E",327,IF(Atletas!O347="Wu E",328,IF(Atletas!O347="Wu-Hao E",329,IF(Atletas!O347="Outro Taijiquan E",330,IF(Atletas!O347="Yang F",331,IF(Atletas!O347="Chen F",332,IF(Atletas!O347="Sun F",333,IF(Atletas!O347="Wu F",334,IF(Atletas!O347="Wu-Hao F",335,IF(Atletas!O347="Outro Taijiquan F",336,"")))))))))))))))))))))))))))))))))))))</f>
        <v/>
      </c>
      <c r="BW356" s="50" t="str">
        <f>IF(Atletas!P347="","",IF(Atletas!X347&lt;&gt;"",10000,0)+IF(Atletas!B347="Feminino",1000,IF(Atletas!B347="Masculino",2000,""))+IF(OR(Atletas!P347="Yang 26 A",Atletas!P347="Yang 40 A"),401,IF(OR(Atletas!P347="Chen 25 A",Atletas!P347="Chen 36 A",Atletas!P347="Chen 56 A"),402,IF(Atletas!P347="Sun 73 A",403,IF(Atletas!P347="Wu 45 A",404,IF(Atletas!P347="Wu-Hao 46 A",405,IF(OR(Atletas!P347="Taijiquan 16 A",Atletas!P347="Taijiquan 24 A",Atletas!P347="Taijiquan 32 A",Atletas!P347="Taijiquan 42 A"),406,IF(OR(Atletas!P347="Yang 26 B",Atletas!P347="Yang 40 B"),407,IF(OR(Atletas!P347="Chen 25 B",Atletas!P347="Chen 36 B",Atletas!P347="Chen 56 B"),408,IF(Atletas!P347="Sun 73 B",409,IF(Atletas!P347="Wu 45 B",410,IF(Atletas!P347="Wu-Hao 46 B",411,IF(OR(Atletas!P347="Taijiquan 16 B",Atletas!P347="Taijiquan 24 B",Atletas!P347="Taijiquan 32 B",Atletas!P347="Taijiquan 42 B"),412,IF(OR(Atletas!P347="Yang 26 C",Atletas!P347="Yang 40 C"),413,IF(OR(Atletas!P347="Chen 25 C",Atletas!P347="Chen 36 C",Atletas!P347="Chen 56 C"),414,IF(Atletas!P347="Sun 73 C",415,IF(Atletas!P347="Wu 45 C",416,IF(Atletas!P347="Wu-Hao 46 C",417,IF(OR(Atletas!P347="Taijiquan 16 C",Atletas!P347="Taijiquan 24 C",Atletas!P347="Taijiquan 32 C",Atletas!P347="Taijiquan 42 C"),418,0)))))))))))))))))))</f>
        <v/>
      </c>
      <c r="BX356" s="50" t="str">
        <f>IF(Atletas!P347="","",IF(Atletas!X347&lt;&gt;"",10000,0)+IF(Atletas!B347="Feminino",1000,IF(Atletas!B347="Masculino",2000,""))+IF(OR(Atletas!P347="Yang 26 D",Atletas!P347="Yang 40 D"),419,IF(OR(Atletas!P347="Chen 25 D",Atletas!P347="Chen 36 D",Atletas!P347="Chen 56 D"),420,IF(Atletas!P347="Sun 73 D",421,IF(Atletas!P347="Wu 45 D",422,IF(Atletas!P347="Wu-Hao 46 D",423,IF(OR(Atletas!P347="Taijiquan 16 D",Atletas!P347="Taijiquan 24 D",Atletas!P347="Taijiquan 32 D",Atletas!P347="Taijiquan 42 D"),424,IF(OR(Atletas!P347="Yang 26 E",Atletas!P347="Yang 40 E"),425,IF(OR(Atletas!P347="Chen 25 E",Atletas!P347="Chen 36 E",Atletas!P347="Chen 56 E"),426,IF(Atletas!P347="Sun 73 E",427,IF(Atletas!P347="Wu 45 E",428,IF(Atletas!P347="Wu-Hao 46 E",429,IF(OR(Atletas!P347="Taijiquan 16 E",Atletas!P347="Taijiquan 24 E",Atletas!P347="Taijiquan 32 E",Atletas!P347="Taijiquan 42 E"),430,IF(OR(Atletas!P347="Yang 26 F",Atletas!P347="Yang 40 F"),431,IF(OR(Atletas!P347="Chen 25 F",Atletas!P347="Chen 36 F",Atletas!P347="Chen 56 F"),432,IF(Atletas!P347="Sun 73 F",433,IF(Atletas!P347="Wu 45 F",434,IF(Atletas!P347="Wu-Hao 46 F",435,IF(OR(Atletas!P347="Taijiquan 16 F",Atletas!P347="Taijiquan 24 F",Atletas!P347="Taijiquan 32 F",Atletas!P347="Taijiquan 42 F"),436,0)))))))))))))))))))</f>
        <v/>
      </c>
      <c r="BY356" s="50" t="str">
        <f>IF(Atletas!Q347="","",IF(Atletas!X347&lt;&gt;"",10000,0)+IF(Atletas!B347="Feminino",1000,IF(Atletas!B347="Masculino",2000,""))+IF(Atletas!Q347="Xingyiquan A",501,IF(Atletas!Q347="Baguazhang A",502,IF(Atletas!Q347="Outro Estilo Interno A",503,IF(Atletas!Q347="Xingyiquan B",504,IF(Atletas!Q347="Baguazhang B",505,IF(Atletas!Q347="Outro Estilo Interno B",506,IF(Atletas!Q347="Xingyiquan C",507,IF(Atletas!Q347="Baguazhang C",508,IF(Atletas!Q347="Outro Estilo Interno C",509,IF(Atletas!Q347="Xingyiquan D",510,IF(Atletas!Q347="Baguazhang D",511,IF(Atletas!Q347="Outro Estilo Interno D",512,IF(Atletas!Q347="Xingyiquan E",513,IF(Atletas!Q347="Baguazhang E",514,IF(Atletas!Q347="Outro Estilo Interno E",515,IF(Atletas!Q347="Xingyiquan F",516,IF(Atletas!Q347="Baguazhang F",517,IF(Atletas!Q347="Outro Estilo Interno F",518, "")))))))))))))))))))</f>
        <v/>
      </c>
      <c r="BZ356" s="50" t="str">
        <f>IF(Atletas!R347="","",IF(Atletas!X347&lt;&gt;"",10000,0)+IF(Atletas!B347="Feminino",1000,IF(Atletas!B347="Masculino",2000,""))+IF(Atletas!R347="Dao A",601,IF(Atletas!R347="Jian A",602,IF(Atletas!R347="Bishou A",603,IF(Atletas!R347="Shanzi A",604,IF(Atletas!R347="Outra Arma Curta A",605,IF(Atletas!R347="Dao B",606,IF(Atletas!R347="Jian B",607,IF(Atletas!R347="Bishou B",608,IF(Atletas!R347="Shanzi B",609,IF(Atletas!R347="Outra Arma Curta B",610,IF(Atletas!R347="Dao C",611,IF(Atletas!R347="Jian C",612,IF(Atletas!R347="Bishou C",613,IF(Atletas!R347="Shanzi C",614,IF(Atletas!R347="Outra Arma Curta C",615,IF(Atletas!R347="Dao D",616,IF(Atletas!R347="Jian D",617,IF(Atletas!R347="Bishou D",618,IF(Atletas!R347="Shanzi D",619,IF(Atletas!R347="Outra Arma Curta D",620,IF(Atletas!R347="Dao E",621,IF(Atletas!R347="Jian E",622,IF(Atletas!R347="Bishou E",623,IF(Atletas!R347="Shanzi E",624,IF(Atletas!R347="Outra Arma Curta E",625,IF(Atletas!R347="Dao F",626,IF(Atletas!R347="Jian F",627,IF(Atletas!R347="Bishou F",628,IF(Atletas!R347="Shanzi F",629,IF(Atletas!R347="Outra Arma Curta F",630, "")))))))))))))))))))))))))))))))</f>
        <v/>
      </c>
      <c r="CA356" s="50" t="str">
        <f>IF(Atletas!S347="","",IF(Atletas!X347&lt;&gt;"",10000,0)+IF(Atletas!B347="Feminino",1000,IF(Atletas!B347="Masculino",2000,""))+IF(Atletas!S347="Gun A",701,IF(Atletas!S347="Qiang A",702,IF(Atletas!S347="Pudao / Guandao A",703,IF(Atletas!S347="Outra Arma Longa A",704,IF(Atletas!S347="Gun B",705,IF(Atletas!S347="Qiang B",706,IF(Atletas!S347="Pudao / Guandao B",707,IF(Atletas!S347="Outra Arma Longa B",708,IF(Atletas!S347="Gun C",709,IF(Atletas!S347="Qiang C",710,IF(Atletas!S347="Pudao / Guandao C",711,IF(Atletas!S347="Outra Arma Longa C",712,IF(Atletas!S347="Gun D",713,IF(Atletas!S347="Qiang D",714,IF(Atletas!S347="Pudao / Guandao D",715,IF(Atletas!S347="Outra Arma Longa D",716,IF(Atletas!S347="Gun E",717,IF(Atletas!S347="Qiang E",718,IF(Atletas!S347="Pudao / Guandao E",719,IF(Atletas!S347="Outra Arma Longa E",720,IF(Atletas!S347="Gun F",721,IF(Atletas!S347="Qiang F",722,IF(Atletas!S347="Pudao / Guandao F",723,IF(Atletas!S347="Outra Arma Longa F",724,"")))))))))))))))))))))))))</f>
        <v/>
      </c>
      <c r="CB356" s="50" t="str">
        <f>IF(Atletas!T347="","",IF(Atletas!X347&lt;&gt;"",10000,0)+IF(Atletas!B347="Feminino",1000,IF(Atletas!B347="Masculino",2000,""))+IF(Atletas!T347="Outra Arma Dupla A",801,IF(Atletas!T347="Arma Maleável A",802,IF(Atletas!T347="Outra Arma Dupla B",803,IF(Atletas!T347="Arma Maleável B",804,IF(Atletas!T347="Outra Arma Dupla C",805,IF(Atletas!T347="Arma Maleável C",806,IF(Atletas!T347="Outra Arma Dupla D",807,IF(Atletas!T347="Arma Maleável D",808,IF(Atletas!T347="Outra Arma Dupla E",809,IF(Atletas!T347="Arma Maleável E",810,IF(Atletas!T347="Outra Arma Dupla F",811,IF(Atletas!T347="Arma Maleável F",812,IF(Atletas!T347="Shuangdao A",813,IF(Atletas!T347="Shuangdao B",814,IF(Atletas!T347="Shuangdao C",815,IF(Atletas!T347="Shuangdao D",816,IF(Atletas!T347="Shuangdao E",817,IF(Atletas!T347="Shuangdao F",818,"")))))))))))))))))))</f>
        <v/>
      </c>
      <c r="CC356" s="50" t="str">
        <f>IF(Atletas!U347="","",IF(Atletas!X347&lt;&gt;"",10000,0)+IF(Atletas!B347="Feminino",1000,IF(Atletas!B347="Masculino",2000,""))+IF(OR(Atletas!U347="Taijijian Yang A",Atletas!U347="Taijijian Yang Standard A"),901,IF(OR(Atletas!U347="Taijijian Chen A", Atletas!U347="Taijijian Chen Standard A"),902,IF(Atletas!U347="Taijijian Sun A",903,IF(Atletas!U347="Taijijian Wu A",904,IF(Atletas!U347="Taijijian Wu-Hao A",905,IF(OR(Atletas!U347="Taijijian 32 A",Atletas!U347="Taijijian 42 A"),906,IF(OR(Atletas!U347="Taijijian Yang B",Atletas!U347="Taijijian Yang Standard B"),907,IF(OR(Atletas!U347="Taijijian Chen B", Atletas!U347="Taijijian Chen Standard B"),908,IF(Atletas!U347="Taijijian Sun B",909,IF(Atletas!U347="Taijijian Wu B",910,IF(Atletas!U347="Taijijian Wu-Hao B",911,IF(OR(Atletas!U347="Taijijian 32 B",Atletas!U347="Taijijian 42 B"),912,IF(OR(Atletas!U347="Taijijian Yang C",Atletas!U347="Taijijian Yang Standard C"),913,IF(OR(Atletas!U347="Taijijian Chen C", Atletas!U347="Taijijian Chen Standard C"),914,IF(Atletas!U347="Taijijian Sun C",915,IF(Atletas!U347="Taijijian Wu C",916,IF(Atletas!U347="Taijijian Wu-Hao C",917,IF(OR(Atletas!U347="Taijijian 32 C",Atletas!U347="Taijijian 42 C"),918,IF(OR(Atletas!U347="Taijijian Yang D",Atletas!U347="Taijijian Yang Standard D"),919,IF(OR(Atletas!U347="Taijijian Chen D", Atletas!U347="Taijijian Chen Standard D"),920,IF(Atletas!U347="Taijijian Sun D",921,IF(Atletas!U347="Taijijian Wu D",922,IF(Atletas!U347="Taijijian Wu-Hao D",923,IF(OR(Atletas!U347="Taijijian 32 D",Atletas!U347="Taijijian 42 D"),924,IF(OR(Atletas!U347="Taijijian Yang E",Atletas!U347="Taijijian Yang Standard E"),925,IF(OR(Atletas!U347="Taijijian Chen E", Atletas!U347="Taijijian Chen Standard E"),926,IF(Atletas!U347="Taijijian Sun E",927,IF(Atletas!U347="Taijijian Wu E",928,IF(Atletas!U347="Taijijian Wu-Hao E",929,IF(OR(Atletas!U347="Taijijian 32 E",Atletas!U347="Taijijian 42 E"),930,IF(OR(Atletas!U347="Taijijian Yang F",Atletas!U347="Taijijian Yang Standard F"),931,IF(OR(Atletas!U347="Taijijian Chen F", Atletas!U347="Taijijian Chen Standard F"),932,IF(Atletas!U347="Taijijian Sun F",933,IF(Atletas!U347="Taijijian Wu F",934,IF(Atletas!U347="Taijijian Wu-Hao F",935,IF(OR(Atletas!U347="Taijijian 32 F",Atletas!U347="Taijijian 42 F"),936,"")))))))))))))))))))))))))))))))))))))</f>
        <v/>
      </c>
      <c r="CD356" s="50" t="str">
        <f>IF(Atletas!V347="","",IF(Atletas!X347&lt;&gt;"",10000,0)+IF(Atletas!B347="Feminino",1000,IF(Atletas!B347="Masculino",2000,""))+IF(Atletas!V347="Taijidao A",937,IF(Atletas!V347="TaijiShanzi A",938,IF(Atletas!V347="Taijiqiang A",939,IF(Atletas!V347="Bagua de Arma A",940,IF(Atletas!V347="Xingyi de Arma A",941,IF(Atletas!V347="Taijidao B",942,IF(Atletas!V347="TaijiShanzi B",943,IF(Atletas!V347="Taijiqiang B",944,IF(Atletas!V347="Bagua de Arma B",945,IF(Atletas!V347="Xingyi de Arma B",946,IF(Atletas!V347="Taijidao C",947,IF(Atletas!V347="TaijiShanzi C",948,IF(Atletas!V347="Taijiqiang C",949,IF(Atletas!V347="Bagua de Arma C",950,IF(Atletas!V347="Xingyi de Arma C",951,IF(Atletas!V347="Taijidao D",952,IF(Atletas!V347="TaijiShanzi D",953,IF(Atletas!V347="Taijiqiang D",954,IF(Atletas!V347="Bagua de Arma D",955,IF(Atletas!V347="Xingyi de Arma D",956,IF(Atletas!V347="Taijidao E",957,IF(Atletas!V347="TaijiShanzi E",958,IF(Atletas!V347="Taijiqiang E",959,IF(Atletas!V347="Bagua de Arma E",960,IF(Atletas!V347="Xingyi de Arma E",961,IF(Atletas!V347="Taijidao F",962,IF(Atletas!V347="TaijiShanzi F",963,IF(Atletas!V347="Taijiqiang F",964,IF(Atletas!V347="Bagua de Arma F",965,IF(Atletas!V347="Xingyi de Arma F",966,"")))))))))))))))))))))))))))))))</f>
        <v/>
      </c>
      <c r="CE356" s="66" t="str">
        <f>IF(CF356&lt;&gt;"","Xingyi de Arma D","")</f>
        <v/>
      </c>
      <c r="CF356" s="66" t="str">
        <f>IF(COUNTIF(BR:CD,1956)&gt;0,COUNTIF(BR:CD,1956),"")</f>
        <v/>
      </c>
      <c r="CG356" s="66" t="str">
        <f>IF(CH356&lt;&gt;"","Xingyi de Arma D","")</f>
        <v/>
      </c>
      <c r="CH356" s="66" t="str">
        <f>IF(COUNTIF(BR:CD,2956)&gt;0,COUNTIF(BR:CD,2956),"")</f>
        <v/>
      </c>
      <c r="CI356" s="66"/>
      <c r="CJ356" s="66"/>
      <c r="CK356" s="66"/>
      <c r="CL356" s="66"/>
      <c r="CM356" s="50" t="str">
        <f xml:space="preserve"> IF(Atletas!W347="","",IF(Atletas!W347="Duilian de Mãos BC - Equipe 1",1,IF(Atletas!W347="Duilian de Mãos BC - Equipe 2",2,IF(Atletas!W347="Duilian de Armas BC - Equipe 1",3,IF(Atletas!W347="Duilian de Armas BC - Equipe 2",4,IF(Atletas!W347="Duilian de Mãos DE - Equipe 1",5,IF(Atletas!W347="Duilian de Mãos DE - Equipe 2",6,IF(Atletas!W347="Duilian de Armas DE - Equipe 1",7,IF(Atletas!W347="Duilian de Armas DE - Equipe 2",8,IF(Atletas!W347="Duilian de Tuishou - Equipe 1",9,IF(Atletas!W347="Duilian de Tuishou - Equipe 2",10,IF(Atletas!W347="Grupo Externo ABC - Equipe 1",11,IF(Atletas!W347="Grupo Externo ABC - Equipe 2",12,IF(Atletas!W347="Grupo Interno ABC - Equipe 1",13,IF(Atletas!W347="Grupo Interno ABC - Equipe 2",14,IF(Atletas!W347="Grupo Externo DEF - Equipe 1",15,IF(Atletas!W347="Grupo Externo DEF - Equipe 2",16,IF(Atletas!W347="Grupo Interno DEF - Equipe 1",17,IF(Atletas!W347="Grupo Interno DEF - Equipe 2",18,"")))))))))))))))))))</f>
        <v/>
      </c>
    </row>
    <row r="357" spans="40:91">
      <c r="AN357" s="52" t="str">
        <f>IF(Atletas!D348="","",IF(Atletas!B348="Feminino",100,IF(Atletas!B348="Masculino",200,""))+(IF(Atletas!D348="Kids 30kg",1,IF(Atletas!D348="Kids 32kg",2, IF(Atletas!D348="Kids 34kg",3,IF(Atletas!D348="Kids 36kg",4,IF(Atletas!D348="Kids 39kg",5,IF(Atletas!D348="Kids 42kg",6,IF(Atletas!D348="Kids 45kg",7, IF(Atletas!D348="Infantil 39kg",8,IF(Atletas!D348="Infantil 42kg",9,IF(Atletas!D348="Infantil 45kg",10,IF(Atletas!D348="Infantil 48kg",11,IF(Atletas!D348="Infantil 52kg",12,IF(Atletas!D348="Infantil 56kg",13,IF(Atletas!D348="Infantil 60kg",14,IF(Atletas!D348="Juvenil 48kg",15,IF(Atletas!D348="Juvenil 52kg",16,IF(Atletas!D348="Juvenil 56kg",17,IF(Atletas!D348="Juvenil 60kg",18,IF(Atletas!D348="Juvenil 65kg",19,IF(Atletas!D348="Juvenil 70kg",20,IF(Atletas!D348="Juvenil 75kg",21,IF(Atletas!D348="Juvenil 80kg",22, IF(Atletas!D348="Juvenil 85kg",23,IF(Atletas!D348="Adulto 48kg",24,IF(Atletas!D348="Adulto 52kg",25,IF(Atletas!D348="Adulto 56kg",26,IF(Atletas!D348="Adulto 60kg",27,IF(Atletas!D348="Adulto 65kg",28,IF(Atletas!D348="Adulto 70kg",29,IF(Atletas!D348="Adulto 75kg",30,IF(Atletas!D348="Adulto 80kg",31,IF(Atletas!D348="Adulto 85kg",32,IF(Atletas!D348="Adulto 90kg",33,IF(Atletas!D348="Adulto 100kg",34, IF(Atletas!D348="Adulto +100kg",35,"")))))))))))))))))))))))))))))))))))))</f>
        <v/>
      </c>
      <c r="AS357" s="6" t="str">
        <f>IF(Atletas!E348="","",IF(Atletas!B348="Feminino",100,IF(Atletas!B348="Masculino",200,""))+(IF(Atletas!E348="Juvenil 44kg",1,IF(Atletas!E348="Juvenil 48kg",2,IF(Atletas!E348="Juvenil 52kg",3,IF(Atletas!E348="Juvenil 56kg",4,IF(Atletas!E348="Juvenil 60kg",5,IF(Atletas!E348="Juvenil 65kg",6,IF(Atletas!E348="Juvenil 70kg",7,IF(Atletas!E348="Juvenil 75kg",8,IF(Atletas!E348="Juvenil 82kg",9,IF(Atletas!E348="Juvenil 90kg",10,IF(Atletas!E348="Juvenil 100kg",11,IF(Atletas!E348="Adulto 48kg",12,IF(Atletas!E348="Adulto 52kg",13,IF(Atletas!E348="Adulto 56kg",14,IF(Atletas!E348="Adulto 60kg",15,IF(Atletas!E348="Adulto 65kg",16,IF(Atletas!E348="Adulto 70kg",17,IF(Atletas!E348="Adulto 75kg",18,IF(Atletas!E348="Adulto 82kg",19,IF(Atletas!E348="Adulto 90kg",20,IF(Atletas!E348="Adulto 100kg",21,IF(Atletas!E348="Adulto +100kg",22,""))))))))))))))))))))))))</f>
        <v/>
      </c>
      <c r="AX357" s="6" t="str">
        <f>IF(Atletas!F348="","",IF(Atletas!B348="Feminino",100,IF(Atletas!B348="Masculino",200,""))+(IF(Atletas!F348="Adulto 48kg",1,IF(Atletas!F348="Adulto 56kg",2,IF(Atletas!F348="Adulto 65kg",3,IF(Atletas!F348="Adulto 75kg",4,IF(Atletas!F348="Adulto +75kg",5,IF(Atletas!F348="Adulto 52kg",6,IF(Atletas!F348="Adulto 60kg",7,IF(Atletas!F348="Adulto 70kg",8,IF(Atletas!F348="Adulto 80kg",9,IF(Atletas!F348="Adulto 90kg",10,IF(Atletas!F348="Adulto +90kg",11,"")))))))))))))</f>
        <v/>
      </c>
      <c r="BC357" s="6" t="str">
        <f>IF(Atletas!G348="","",IF(Atletas!B348="Feminino",10,IF(Atletas!B348="Masculino",20,""))+(IF(Atletas!G348="Baduanjin A",1,IF(Atletas!G348="Baduanjin B",2))))</f>
        <v/>
      </c>
      <c r="BF357" s="52" t="str">
        <f>IF(Atletas!H348="","",IF(Atletas!B348="Feminino",100,IF(Atletas!B348="Masculino",200,""))+(IF(Atletas!H348="Changquan Mirim",1,IF(Atletas!H348="Nanquan Mirim",2,IF(Atletas!H348="Taijiquan Mirim",3,IF(Atletas!H348="Changquan Grupo C",4,IF(Atletas!H348="Nanquan Grupo C",5,IF(Atletas!H348="Taijiquan Grupo C",6,IF(Atletas!H348="Changquan Grupo B",7,IF(Atletas!H348="Nanquan Grupo B",8,IF(Atletas!H348="Taijiquan Grupo B",9,IF(Atletas!H348="Changquan Grupo A",10,IF(Atletas!H348="Nanquan Grupo A",11,IF(Atletas!H348="Taijiquan Grupo A",12,IF(Atletas!H348="Changquan Opcional",13,IF(Atletas!H348="Nanquan Opcional",14,IF(Atletas!H348="Taijiquan Opcional",15,IF(Atletas!H348="Changquan Adulto",16,IF(Atletas!H348="Nanquan Adulto",17,IF(Atletas!H348="Taijiquan Adulto",18,""))))))))))))))))))))</f>
        <v/>
      </c>
      <c r="BG357" s="52" t="str">
        <f>IF(Atletas!I348="","",IF(Atletas!B348="Feminino",100,IF(Atletas!B348="Masculino",200,""))+(IF(Atletas!I348="Daoshu Mirim",19,IF(Atletas!I348="Jianshu Mirim",20,IF(Atletas!I348="Nandao Mirim",21,IF(Atletas!I348="Taijijian Mirim",22,IF(Atletas!I348="Daoshu Grupo C",23,IF(Atletas!I348="Jianshu Grupo C",24,IF(Atletas!I348="Nandao Grupo C",25,IF(Atletas!I348="Taijijian Grupo C",26,IF(Atletas!I348="Daoshu Grupo B",27,IF(Atletas!I348="Jianshu Grupo B",28,IF(Atletas!I348="Nandao Grupo B",29,IF(Atletas!I348="Taijijian Grupo B",30,IF(Atletas!I348="Daoshu Grupo A",31,IF(Atletas!I348="Jianshu Grupo A",32,IF(Atletas!I348="Nandao Grupo A",33,IF(Atletas!I348="Taijijian Grupo A",34,IF(Atletas!I348="Daoshu Opcional",35,IF(Atletas!I348="Jianshu Opcional",36,IF(Atletas!I348="Nandao Opcional",37,IF(Atletas!I348="Taijijian Opcional",38,IF(Atletas!I348="Daoshu Adulto",39,IF(Atletas!I348="Jianshu Adulto",40,IF(Atletas!I348="Nandao Adulto",41,IF(Atletas!I348="Taijijian Adulto",42,""))))))))))))))))))))))))))</f>
        <v/>
      </c>
      <c r="BH357" s="52" t="str">
        <f>IF(Atletas!J348="","",IF(Atletas!B348="Feminino",100,IF(Atletas!B348="Masculino",200,""))+(IF(Atletas!J348="Gunshu Mirim",43,IF(Atletas!J348="Qiangshu Mirim",44,IF(Atletas!J348="Nangun Mirim",45,IF(Atletas!J348="Gunshu Grupo C",46,IF(Atletas!J348="Qiangshu Grupo C",47,IF(Atletas!J348="Nangun Grupo C",48,IF(Atletas!J348="Gunshu Grupo B",49,IF(Atletas!J348="Qiangshu Grupo B",50,IF(Atletas!J348="Nangun Grupo B",51,IF(Atletas!J348="Gunshu Grupo A",52,IF(Atletas!J348="Qiangshu Grupo A",53,IF(Atletas!J348="Nangun Grupo A",54,IF(Atletas!J348="Gunshu Opcional",55,IF(Atletas!J348="Qiangshu Opcional",56,IF(Atletas!J348="Nangun Opcional",57,IF(Atletas!J348="Gunshu Adulto",58,IF(Atletas!J348="Qiangshu Adulto",59,IF(Atletas!J348="Nangun Adulto",60,IF(Atletas!J348="Taijishan Grupo B",61,IF(Atletas!J348="Taijishan Grupo A",62,""))))))))))))))))))))))</f>
        <v/>
      </c>
      <c r="BM357" s="50" t="str">
        <f>IF(Atletas!K348="","",IF(Atletas!B348="Feminino",100,IF(Atletas!B348="Masculino",200,""))+(IF(Atletas!K348="Equipe 1 Grupo B",1,IF(Atletas!K348="Equipe 2 Grupo B",2,IF(Atletas!K348="Equipe 1 Grupo A",3,IF(Atletas!K348="Equipe 2 Grupo A",4,IF(Atletas!K348="Equipe 1 Adulto",5,IF(Atletas!K348="Equipe 2 Adulto",6,""))))))))</f>
        <v/>
      </c>
      <c r="BR357" s="50" t="str">
        <f>IF(Atletas!L348="","",IF(Atletas!X348&lt;&gt;"",10000,0)+(IF(Atletas!B348="Feminino",1000,IF(Atletas!B348="Masculino",2000,""))+IF(Atletas!L348="Choylayfut A",1,IF(Atletas!L348="Hunggar A",2,IF(Atletas!L348="Wuzuquan A",3,IF(Atletas!L348="Wingchun A",4,IF(Atletas!L348="Outra Mão de Sul A",5,IF(Atletas!L348="Choylayfut B",6,IF(Atletas!L348="Hunggar B",7,IF(Atletas!L348="Wuzuquan B",8,IF(Atletas!L348="Wingchun B",9,IF(Atletas!L348="Outra Mão de Sul B",10,IF(Atletas!L348="Choylayfut C",11,IF(Atletas!L348="Hunggar C",12,IF(Atletas!L348="Wuzuquan C",13,IF(Atletas!L348="Wingchun C",14,IF(Atletas!L348="Outra Mão de Sul C",15,IF(Atletas!L348="Choylayfut D",16,IF(Atletas!L348="Hunggar D",17,IF(Atletas!L348="Wuzuquan D",18,IF(Atletas!L348="Wingchun D",19,IF(Atletas!L348="Outra Mão de Sul D",20,IF(Atletas!L348="Choylayfut E",21,IF(Atletas!L348="Hunggar E",22,IF(Atletas!L348="Wuzuquan E",23,IF(Atletas!L348="Wingchun E",24,IF(Atletas!L348="Outra Mão de Sul E",25,IF(Atletas!L348="Choylayfut F",26,IF(Atletas!L348="Hunggar F",27,IF(Atletas!L348="Wuzuquan F",28,IF(Atletas!L348="Wingchun F",29,IF(Atletas!L348="Outra Mão de Sul F",30,IF(Atletas!L348="Dishuquan A",31,IF(Atletas!L348="Dishuquan B",32,IF(Atletas!L348="Dishuquan C",33,IF(Atletas!L348="Dishuquan D",34,IF(Atletas!L348="Dishuquan E",35,IF(Atletas!L348="Dishuquan F",36,""))))))))))))))))))))))))))))))))))))))</f>
        <v/>
      </c>
      <c r="BS357" s="50" t="str">
        <f>IF(Atletas!M348="","",IF(Atletas!X348&lt;&gt;"",10000,0)+(IF(Atletas!B348="Feminino",1000,IF(Atletas!B348="Masculino",2000,""))+(IF(Atletas!M348="Chaquan A",101,IF(Atletas!M348="Emeiquan A",102,IF(Atletas!M348="Fanziquan A",103,IF(Atletas!M348="Huaquan A",104,IF(Atletas!M348="Hongquan A",105,IF(Atletas!M348="Paoquan A",106,IF(Atletas!M348="Piguaquan A",107,IF(Atletas!M348="Shaolinquan A",108,IF(Atletas!M348="Tanglangquan A",109,IF(Atletas!M348="Yingzhaoquan A",110,IF(Atletas!M348="Tongbeiquan A",111,IF(Atletas!M348="Wudangquan A",112,IF(Atletas!M348="Outros Estilos A",113,IF(Atletas!M348="Chaquan B",114,IF(Atletas!M348="Emeiquan B",115,IF(Atletas!M348="Fanziquan B",116,IF(Atletas!M348="Huaquan B",117,IF(Atletas!M348="Hongquan B",118,IF(Atletas!M348="Paoquan B",119,IF(Atletas!M348="Piguaquan B",120,IF(Atletas!M348="Shaolinquan B",121,IF(Atletas!M348="Tanglangquan B",122,IF(Atletas!M348="Yingzhaoquan B",123,IF(Atletas!M348="Tongbeiquan B",124,IF(Atletas!M348="Wudangquan B",125,IF(Atletas!M348="Outros Estilos B",126,IF(Atletas!M348="Chaquan C",127,IF(Atletas!M348="Emeiquan C",128,IF(Atletas!M348="Fanziquan C",129,IF(Atletas!M348="Huaquan C",130,IF(Atletas!M348="Hongquan C",131,IF(Atletas!M348="Paoquan C",132,IF(Atletas!M348="Piguaquan C",133,IF(Atletas!M348="Shaolinquan C",134,IF(Atletas!M348="Tanglangquan C",135,IF(Atletas!M348="Yingzhaoquan C",136,IF(Atletas!M348="Tongbeiquan C",137,IF(Atletas!M348="Wudangquan C",138,IF(Atletas!M348="Outros Estilos C",139,0))))))))))))))))))))))))))))))))))))))))))</f>
        <v/>
      </c>
      <c r="BT357" s="50" t="str">
        <f>IF(Atletas!M348="","",IF(Atletas!X348&lt;&gt;"",10000,0)+(IF(Atletas!B348="Feminino",1000,IF(Atletas!B348="Masculino",2000,""))+(IF(Atletas!M348="Chaquan D",140,IF(Atletas!M348="Emeiquan D",141,IF(Atletas!M348="Fanziquan D",142,IF(Atletas!M348="Huaquan D",143,IF(Atletas!M348="Hongquan D",144,IF(Atletas!M348="Paoquan D",145,IF(Atletas!M348="Piguaquan D",146,IF(Atletas!M348="Shaolinquan D",147,IF(Atletas!M348="Tanglangquan D",148,IF(Atletas!M348="Yingzhaoquan D",149,IF(Atletas!M348="Tongbeiquan D",150,IF(Atletas!M348="Wudangquan D",151,IF(Atletas!M348="Outros Estilos D",152,IF(Atletas!M348="Chaquan E",153,IF(Atletas!M348="Emeiquan E",154,IF(Atletas!M348="Fanziquan E",155,IF(Atletas!M348="Huaquan E",156,IF(Atletas!M348="Hongquan E",157,IF(Atletas!M348="Paoquan E",158,IF(Atletas!M348="Piguaquan E",159,IF(Atletas!M348="Shaolinquan E",160,IF(Atletas!M348="Tanglangquan E",161,IF(Atletas!M348="Yingzhaoquan E",162,IF(Atletas!M348="Tongbeiquan E",163,IF(Atletas!M348="Wudangquan E",164,IF(Atletas!M348="Outros Estilos E",165,IF(Atletas!M348="Chaquan F",166,IF(Atletas!M348="Emeiquan F",167,IF(Atletas!M348="Fanziquan F",168,IF(Atletas!M348="Huaquan F",169,IF(Atletas!M348="Hongquan F",170,IF(Atletas!M348="Paoquan F",171,IF(Atletas!M348="Piguaquan F",172,IF(Atletas!M348="Shaolinquan F",173,IF(Atletas!M348="Tanglangquan F",174,IF(Atletas!M348="Yingzhaoquan F",175,IF(Atletas!M348="Tongbeiquan F",176,IF(Atletas!M348="Wudangquan F",177,IF(Atletas!M348="Outros Estilos F",178,0))))))))))))))))))))))))))))))))))))))))))</f>
        <v/>
      </c>
      <c r="BU357" s="50" t="str">
        <f>IF(Atletas!N348="","",IF(Atletas!X348&lt;&gt;"",10000,0)+(IF(Atletas!B348="Feminino",1000,IF(Atletas!B348="Masculino",2000,""))+(IF(Atletas!N348="Ditangquan A",201,IF(Atletas!N348="Houquan A",202,IF(Atletas!N348="Zuiquan A",203,IF(Atletas!N348="Ditangquan B",204,IF(Atletas!N348="Houquan B",205,IF(Atletas!N348="Zuiquan B",206,IF(Atletas!N348="Ditangquan C",207,IF(Atletas!N348="Houquan C",208,IF(Atletas!N348="Zuiquan C",209,IF(Atletas!N348="Ditangquan D",210,IF(Atletas!N348="Houquan D",211,IF(Atletas!N348="Zuiquan D",212,IF(Atletas!N348="Ditangquan E",213,IF(Atletas!N348="Houquan E",214,IF(Atletas!N348="Zuiquan E",215,IF(Atletas!N348="Ditangquan F",216,IF(Atletas!N348="Houquan F",217,IF(Atletas!N348="Zuiquan F",218,"")))))))))))))))))))))</f>
        <v/>
      </c>
      <c r="BV357" s="50" t="str">
        <f>IF(Atletas!O348="","",IF(Atletas!X348&lt;&gt;"",10000,0)+IF(Atletas!B348="Feminino",1000,IF(Atletas!B348="Masculino",2000,""))+IF(Atletas!O348="Yang A",301,IF(Atletas!O348="Chen A",302,IF(Atletas!O348="Sun A",303,IF(Atletas!O348="Wu A",304,IF(Atletas!O348="Wu-Hao A",305,IF(Atletas!O348="Outro Taijiquan A",306,IF(Atletas!O348="Yang B",307,IF(Atletas!O348="Chen B",308,IF(Atletas!O348="Sun B",309,IF(Atletas!O348="Wu B",310,IF(Atletas!O348="Wu-Hao B",311,IF(Atletas!O348="Outro Taijiquan B",312,IF(Atletas!O348="Yang C",313,IF(Atletas!O348="Chen C",314,IF(Atletas!O348="Sun C",315,IF(Atletas!O348="Wu C",316,IF(Atletas!O348="Wu-Hao C",317,IF(Atletas!O348="Outro Taijiquan C",318,IF(Atletas!O348="Yang D",319,IF(Atletas!O348="Chen D",320,IF(Atletas!O348="Sun D",321,IF(Atletas!O348="Wu D",322,IF(Atletas!O348="Wu-Hao D",323,IF(Atletas!O348="Outro Taijiquan D",324,IF(Atletas!O348="Yang E",325,IF(Atletas!O348="Chen E",326,IF(Atletas!O348="Sun E",327,IF(Atletas!O348="Wu E",328,IF(Atletas!O348="Wu-Hao E",329,IF(Atletas!O348="Outro Taijiquan E",330,IF(Atletas!O348="Yang F",331,IF(Atletas!O348="Chen F",332,IF(Atletas!O348="Sun F",333,IF(Atletas!O348="Wu F",334,IF(Atletas!O348="Wu-Hao F",335,IF(Atletas!O348="Outro Taijiquan F",336,"")))))))))))))))))))))))))))))))))))))</f>
        <v/>
      </c>
      <c r="BW357" s="50" t="str">
        <f>IF(Atletas!P348="","",IF(Atletas!X348&lt;&gt;"",10000,0)+IF(Atletas!B348="Feminino",1000,IF(Atletas!B348="Masculino",2000,""))+IF(OR(Atletas!P348="Yang 26 A",Atletas!P348="Yang 40 A"),401,IF(OR(Atletas!P348="Chen 25 A",Atletas!P348="Chen 36 A",Atletas!P348="Chen 56 A"),402,IF(Atletas!P348="Sun 73 A",403,IF(Atletas!P348="Wu 45 A",404,IF(Atletas!P348="Wu-Hao 46 A",405,IF(OR(Atletas!P348="Taijiquan 16 A",Atletas!P348="Taijiquan 24 A",Atletas!P348="Taijiquan 32 A",Atletas!P348="Taijiquan 42 A"),406,IF(OR(Atletas!P348="Yang 26 B",Atletas!P348="Yang 40 B"),407,IF(OR(Atletas!P348="Chen 25 B",Atletas!P348="Chen 36 B",Atletas!P348="Chen 56 B"),408,IF(Atletas!P348="Sun 73 B",409,IF(Atletas!P348="Wu 45 B",410,IF(Atletas!P348="Wu-Hao 46 B",411,IF(OR(Atletas!P348="Taijiquan 16 B",Atletas!P348="Taijiquan 24 B",Atletas!P348="Taijiquan 32 B",Atletas!P348="Taijiquan 42 B"),412,IF(OR(Atletas!P348="Yang 26 C",Atletas!P348="Yang 40 C"),413,IF(OR(Atletas!P348="Chen 25 C",Atletas!P348="Chen 36 C",Atletas!P348="Chen 56 C"),414,IF(Atletas!P348="Sun 73 C",415,IF(Atletas!P348="Wu 45 C",416,IF(Atletas!P348="Wu-Hao 46 C",417,IF(OR(Atletas!P348="Taijiquan 16 C",Atletas!P348="Taijiquan 24 C",Atletas!P348="Taijiquan 32 C",Atletas!P348="Taijiquan 42 C"),418,0)))))))))))))))))))</f>
        <v/>
      </c>
      <c r="BX357" s="50" t="str">
        <f>IF(Atletas!P348="","",IF(Atletas!X348&lt;&gt;"",10000,0)+IF(Atletas!B348="Feminino",1000,IF(Atletas!B348="Masculino",2000,""))+IF(OR(Atletas!P348="Yang 26 D",Atletas!P348="Yang 40 D"),419,IF(OR(Atletas!P348="Chen 25 D",Atletas!P348="Chen 36 D",Atletas!P348="Chen 56 D"),420,IF(Atletas!P348="Sun 73 D",421,IF(Atletas!P348="Wu 45 D",422,IF(Atletas!P348="Wu-Hao 46 D",423,IF(OR(Atletas!P348="Taijiquan 16 D",Atletas!P348="Taijiquan 24 D",Atletas!P348="Taijiquan 32 D",Atletas!P348="Taijiquan 42 D"),424,IF(OR(Atletas!P348="Yang 26 E",Atletas!P348="Yang 40 E"),425,IF(OR(Atletas!P348="Chen 25 E",Atletas!P348="Chen 36 E",Atletas!P348="Chen 56 E"),426,IF(Atletas!P348="Sun 73 E",427,IF(Atletas!P348="Wu 45 E",428,IF(Atletas!P348="Wu-Hao 46 E",429,IF(OR(Atletas!P348="Taijiquan 16 E",Atletas!P348="Taijiquan 24 E",Atletas!P348="Taijiquan 32 E",Atletas!P348="Taijiquan 42 E"),430,IF(OR(Atletas!P348="Yang 26 F",Atletas!P348="Yang 40 F"),431,IF(OR(Atletas!P348="Chen 25 F",Atletas!P348="Chen 36 F",Atletas!P348="Chen 56 F"),432,IF(Atletas!P348="Sun 73 F",433,IF(Atletas!P348="Wu 45 F",434,IF(Atletas!P348="Wu-Hao 46 F",435,IF(OR(Atletas!P348="Taijiquan 16 F",Atletas!P348="Taijiquan 24 F",Atletas!P348="Taijiquan 32 F",Atletas!P348="Taijiquan 42 F"),436,0)))))))))))))))))))</f>
        <v/>
      </c>
      <c r="BY357" s="50" t="str">
        <f>IF(Atletas!Q348="","",IF(Atletas!X348&lt;&gt;"",10000,0)+IF(Atletas!B348="Feminino",1000,IF(Atletas!B348="Masculino",2000,""))+IF(Atletas!Q348="Xingyiquan A",501,IF(Atletas!Q348="Baguazhang A",502,IF(Atletas!Q348="Outro Estilo Interno A",503,IF(Atletas!Q348="Xingyiquan B",504,IF(Atletas!Q348="Baguazhang B",505,IF(Atletas!Q348="Outro Estilo Interno B",506,IF(Atletas!Q348="Xingyiquan C",507,IF(Atletas!Q348="Baguazhang C",508,IF(Atletas!Q348="Outro Estilo Interno C",509,IF(Atletas!Q348="Xingyiquan D",510,IF(Atletas!Q348="Baguazhang D",511,IF(Atletas!Q348="Outro Estilo Interno D",512,IF(Atletas!Q348="Xingyiquan E",513,IF(Atletas!Q348="Baguazhang E",514,IF(Atletas!Q348="Outro Estilo Interno E",515,IF(Atletas!Q348="Xingyiquan F",516,IF(Atletas!Q348="Baguazhang F",517,IF(Atletas!Q348="Outro Estilo Interno F",518, "")))))))))))))))))))</f>
        <v/>
      </c>
      <c r="BZ357" s="50" t="str">
        <f>IF(Atletas!R348="","",IF(Atletas!X348&lt;&gt;"",10000,0)+IF(Atletas!B348="Feminino",1000,IF(Atletas!B348="Masculino",2000,""))+IF(Atletas!R348="Dao A",601,IF(Atletas!R348="Jian A",602,IF(Atletas!R348="Bishou A",603,IF(Atletas!R348="Shanzi A",604,IF(Atletas!R348="Outra Arma Curta A",605,IF(Atletas!R348="Dao B",606,IF(Atletas!R348="Jian B",607,IF(Atletas!R348="Bishou B",608,IF(Atletas!R348="Shanzi B",609,IF(Atletas!R348="Outra Arma Curta B",610,IF(Atletas!R348="Dao C",611,IF(Atletas!R348="Jian C",612,IF(Atletas!R348="Bishou C",613,IF(Atletas!R348="Shanzi C",614,IF(Atletas!R348="Outra Arma Curta C",615,IF(Atletas!R348="Dao D",616,IF(Atletas!R348="Jian D",617,IF(Atletas!R348="Bishou D",618,IF(Atletas!R348="Shanzi D",619,IF(Atletas!R348="Outra Arma Curta D",620,IF(Atletas!R348="Dao E",621,IF(Atletas!R348="Jian E",622,IF(Atletas!R348="Bishou E",623,IF(Atletas!R348="Shanzi E",624,IF(Atletas!R348="Outra Arma Curta E",625,IF(Atletas!R348="Dao F",626,IF(Atletas!R348="Jian F",627,IF(Atletas!R348="Bishou F",628,IF(Atletas!R348="Shanzi F",629,IF(Atletas!R348="Outra Arma Curta F",630, "")))))))))))))))))))))))))))))))</f>
        <v/>
      </c>
      <c r="CA357" s="50" t="str">
        <f>IF(Atletas!S348="","",IF(Atletas!X348&lt;&gt;"",10000,0)+IF(Atletas!B348="Feminino",1000,IF(Atletas!B348="Masculino",2000,""))+IF(Atletas!S348="Gun A",701,IF(Atletas!S348="Qiang A",702,IF(Atletas!S348="Pudao / Guandao A",703,IF(Atletas!S348="Outra Arma Longa A",704,IF(Atletas!S348="Gun B",705,IF(Atletas!S348="Qiang B",706,IF(Atletas!S348="Pudao / Guandao B",707,IF(Atletas!S348="Outra Arma Longa B",708,IF(Atletas!S348="Gun C",709,IF(Atletas!S348="Qiang C",710,IF(Atletas!S348="Pudao / Guandao C",711,IF(Atletas!S348="Outra Arma Longa C",712,IF(Atletas!S348="Gun D",713,IF(Atletas!S348="Qiang D",714,IF(Atletas!S348="Pudao / Guandao D",715,IF(Atletas!S348="Outra Arma Longa D",716,IF(Atletas!S348="Gun E",717,IF(Atletas!S348="Qiang E",718,IF(Atletas!S348="Pudao / Guandao E",719,IF(Atletas!S348="Outra Arma Longa E",720,IF(Atletas!S348="Gun F",721,IF(Atletas!S348="Qiang F",722,IF(Atletas!S348="Pudao / Guandao F",723,IF(Atletas!S348="Outra Arma Longa F",724,"")))))))))))))))))))))))))</f>
        <v/>
      </c>
      <c r="CB357" s="50" t="str">
        <f>IF(Atletas!T348="","",IF(Atletas!X348&lt;&gt;"",10000,0)+IF(Atletas!B348="Feminino",1000,IF(Atletas!B348="Masculino",2000,""))+IF(Atletas!T348="Outra Arma Dupla A",801,IF(Atletas!T348="Arma Maleável A",802,IF(Atletas!T348="Outra Arma Dupla B",803,IF(Atletas!T348="Arma Maleável B",804,IF(Atletas!T348="Outra Arma Dupla C",805,IF(Atletas!T348="Arma Maleável C",806,IF(Atletas!T348="Outra Arma Dupla D",807,IF(Atletas!T348="Arma Maleável D",808,IF(Atletas!T348="Outra Arma Dupla E",809,IF(Atletas!T348="Arma Maleável E",810,IF(Atletas!T348="Outra Arma Dupla F",811,IF(Atletas!T348="Arma Maleável F",812,IF(Atletas!T348="Shuangdao A",813,IF(Atletas!T348="Shuangdao B",814,IF(Atletas!T348="Shuangdao C",815,IF(Atletas!T348="Shuangdao D",816,IF(Atletas!T348="Shuangdao E",817,IF(Atletas!T348="Shuangdao F",818,"")))))))))))))))))))</f>
        <v/>
      </c>
      <c r="CC357" s="50" t="str">
        <f>IF(Atletas!U348="","",IF(Atletas!X348&lt;&gt;"",10000,0)+IF(Atletas!B348="Feminino",1000,IF(Atletas!B348="Masculino",2000,""))+IF(OR(Atletas!U348="Taijijian Yang A",Atletas!U348="Taijijian Yang Standard A"),901,IF(OR(Atletas!U348="Taijijian Chen A", Atletas!U348="Taijijian Chen Standard A"),902,IF(Atletas!U348="Taijijian Sun A",903,IF(Atletas!U348="Taijijian Wu A",904,IF(Atletas!U348="Taijijian Wu-Hao A",905,IF(OR(Atletas!U348="Taijijian 32 A",Atletas!U348="Taijijian 42 A"),906,IF(OR(Atletas!U348="Taijijian Yang B",Atletas!U348="Taijijian Yang Standard B"),907,IF(OR(Atletas!U348="Taijijian Chen B", Atletas!U348="Taijijian Chen Standard B"),908,IF(Atletas!U348="Taijijian Sun B",909,IF(Atletas!U348="Taijijian Wu B",910,IF(Atletas!U348="Taijijian Wu-Hao B",911,IF(OR(Atletas!U348="Taijijian 32 B",Atletas!U348="Taijijian 42 B"),912,IF(OR(Atletas!U348="Taijijian Yang C",Atletas!U348="Taijijian Yang Standard C"),913,IF(OR(Atletas!U348="Taijijian Chen C", Atletas!U348="Taijijian Chen Standard C"),914,IF(Atletas!U348="Taijijian Sun C",915,IF(Atletas!U348="Taijijian Wu C",916,IF(Atletas!U348="Taijijian Wu-Hao C",917,IF(OR(Atletas!U348="Taijijian 32 C",Atletas!U348="Taijijian 42 C"),918,IF(OR(Atletas!U348="Taijijian Yang D",Atletas!U348="Taijijian Yang Standard D"),919,IF(OR(Atletas!U348="Taijijian Chen D", Atletas!U348="Taijijian Chen Standard D"),920,IF(Atletas!U348="Taijijian Sun D",921,IF(Atletas!U348="Taijijian Wu D",922,IF(Atletas!U348="Taijijian Wu-Hao D",923,IF(OR(Atletas!U348="Taijijian 32 D",Atletas!U348="Taijijian 42 D"),924,IF(OR(Atletas!U348="Taijijian Yang E",Atletas!U348="Taijijian Yang Standard E"),925,IF(OR(Atletas!U348="Taijijian Chen E", Atletas!U348="Taijijian Chen Standard E"),926,IF(Atletas!U348="Taijijian Sun E",927,IF(Atletas!U348="Taijijian Wu E",928,IF(Atletas!U348="Taijijian Wu-Hao E",929,IF(OR(Atletas!U348="Taijijian 32 E",Atletas!U348="Taijijian 42 E"),930,IF(OR(Atletas!U348="Taijijian Yang F",Atletas!U348="Taijijian Yang Standard F"),931,IF(OR(Atletas!U348="Taijijian Chen F", Atletas!U348="Taijijian Chen Standard F"),932,IF(Atletas!U348="Taijijian Sun F",933,IF(Atletas!U348="Taijijian Wu F",934,IF(Atletas!U348="Taijijian Wu-Hao F",935,IF(OR(Atletas!U348="Taijijian 32 F",Atletas!U348="Taijijian 42 F"),936,"")))))))))))))))))))))))))))))))))))))</f>
        <v/>
      </c>
      <c r="CD357" s="50" t="str">
        <f>IF(Atletas!V348="","",IF(Atletas!X348&lt;&gt;"",10000,0)+IF(Atletas!B348="Feminino",1000,IF(Atletas!B348="Masculino",2000,""))+IF(Atletas!V348="Taijidao A",937,IF(Atletas!V348="TaijiShanzi A",938,IF(Atletas!V348="Taijiqiang A",939,IF(Atletas!V348="Bagua de Arma A",940,IF(Atletas!V348="Xingyi de Arma A",941,IF(Atletas!V348="Taijidao B",942,IF(Atletas!V348="TaijiShanzi B",943,IF(Atletas!V348="Taijiqiang B",944,IF(Atletas!V348="Bagua de Arma B",945,IF(Atletas!V348="Xingyi de Arma B",946,IF(Atletas!V348="Taijidao C",947,IF(Atletas!V348="TaijiShanzi C",948,IF(Atletas!V348="Taijiqiang C",949,IF(Atletas!V348="Bagua de Arma C",950,IF(Atletas!V348="Xingyi de Arma C",951,IF(Atletas!V348="Taijidao D",952,IF(Atletas!V348="TaijiShanzi D",953,IF(Atletas!V348="Taijiqiang D",954,IF(Atletas!V348="Bagua de Arma D",955,IF(Atletas!V348="Xingyi de Arma D",956,IF(Atletas!V348="Taijidao E",957,IF(Atletas!V348="TaijiShanzi E",958,IF(Atletas!V348="Taijiqiang E",959,IF(Atletas!V348="Bagua de Arma E",960,IF(Atletas!V348="Xingyi de Arma E",961,IF(Atletas!V348="Taijidao F",962,IF(Atletas!V348="TaijiShanzi F",963,IF(Atletas!V348="Taijiqiang F",964,IF(Atletas!V348="Bagua de Arma F",965,IF(Atletas!V348="Xingyi de Arma F",966,"")))))))))))))))))))))))))))))))</f>
        <v/>
      </c>
      <c r="CE357" s="66" t="str">
        <f>IF(CF357&lt;&gt;"","Taijidao E","")</f>
        <v/>
      </c>
      <c r="CF357" s="66" t="str">
        <f>IF(COUNTIF(BR:CD,1957)&gt;0,COUNTIF(BR:CD,1957),"")</f>
        <v/>
      </c>
      <c r="CG357" s="66" t="str">
        <f>IF(CH357&lt;&gt;"","Taijidao E","")</f>
        <v/>
      </c>
      <c r="CH357" s="66" t="str">
        <f>IF(COUNTIF(BR:CD,2957)&gt;0,COUNTIF(BR:CD,2957),"")</f>
        <v/>
      </c>
      <c r="CI357" s="66"/>
      <c r="CJ357" s="66"/>
      <c r="CK357" s="66"/>
      <c r="CL357" s="66"/>
      <c r="CM357" s="50" t="str">
        <f xml:space="preserve"> IF(Atletas!W348="","",IF(Atletas!W348="Duilian de Mãos BC - Equipe 1",1,IF(Atletas!W348="Duilian de Mãos BC - Equipe 2",2,IF(Atletas!W348="Duilian de Armas BC - Equipe 1",3,IF(Atletas!W348="Duilian de Armas BC - Equipe 2",4,IF(Atletas!W348="Duilian de Mãos DE - Equipe 1",5,IF(Atletas!W348="Duilian de Mãos DE - Equipe 2",6,IF(Atletas!W348="Duilian de Armas DE - Equipe 1",7,IF(Atletas!W348="Duilian de Armas DE - Equipe 2",8,IF(Atletas!W348="Duilian de Tuishou - Equipe 1",9,IF(Atletas!W348="Duilian de Tuishou - Equipe 2",10,IF(Atletas!W348="Grupo Externo ABC - Equipe 1",11,IF(Atletas!W348="Grupo Externo ABC - Equipe 2",12,IF(Atletas!W348="Grupo Interno ABC - Equipe 1",13,IF(Atletas!W348="Grupo Interno ABC - Equipe 2",14,IF(Atletas!W348="Grupo Externo DEF - Equipe 1",15,IF(Atletas!W348="Grupo Externo DEF - Equipe 2",16,IF(Atletas!W348="Grupo Interno DEF - Equipe 1",17,IF(Atletas!W348="Grupo Interno DEF - Equipe 2",18,"")))))))))))))))))))</f>
        <v/>
      </c>
    </row>
    <row r="358" spans="40:91">
      <c r="AN358" s="52" t="str">
        <f>IF(Atletas!D349="","",IF(Atletas!B349="Feminino",100,IF(Atletas!B349="Masculino",200,""))+(IF(Atletas!D349="Kids 30kg",1,IF(Atletas!D349="Kids 32kg",2, IF(Atletas!D349="Kids 34kg",3,IF(Atletas!D349="Kids 36kg",4,IF(Atletas!D349="Kids 39kg",5,IF(Atletas!D349="Kids 42kg",6,IF(Atletas!D349="Kids 45kg",7, IF(Atletas!D349="Infantil 39kg",8,IF(Atletas!D349="Infantil 42kg",9,IF(Atletas!D349="Infantil 45kg",10,IF(Atletas!D349="Infantil 48kg",11,IF(Atletas!D349="Infantil 52kg",12,IF(Atletas!D349="Infantil 56kg",13,IF(Atletas!D349="Infantil 60kg",14,IF(Atletas!D349="Juvenil 48kg",15,IF(Atletas!D349="Juvenil 52kg",16,IF(Atletas!D349="Juvenil 56kg",17,IF(Atletas!D349="Juvenil 60kg",18,IF(Atletas!D349="Juvenil 65kg",19,IF(Atletas!D349="Juvenil 70kg",20,IF(Atletas!D349="Juvenil 75kg",21,IF(Atletas!D349="Juvenil 80kg",22, IF(Atletas!D349="Juvenil 85kg",23,IF(Atletas!D349="Adulto 48kg",24,IF(Atletas!D349="Adulto 52kg",25,IF(Atletas!D349="Adulto 56kg",26,IF(Atletas!D349="Adulto 60kg",27,IF(Atletas!D349="Adulto 65kg",28,IF(Atletas!D349="Adulto 70kg",29,IF(Atletas!D349="Adulto 75kg",30,IF(Atletas!D349="Adulto 80kg",31,IF(Atletas!D349="Adulto 85kg",32,IF(Atletas!D349="Adulto 90kg",33,IF(Atletas!D349="Adulto 100kg",34, IF(Atletas!D349="Adulto +100kg",35,"")))))))))))))))))))))))))))))))))))))</f>
        <v/>
      </c>
      <c r="AS358" s="6" t="str">
        <f>IF(Atletas!E349="","",IF(Atletas!B349="Feminino",100,IF(Atletas!B349="Masculino",200,""))+(IF(Atletas!E349="Juvenil 44kg",1,IF(Atletas!E349="Juvenil 48kg",2,IF(Atletas!E349="Juvenil 52kg",3,IF(Atletas!E349="Juvenil 56kg",4,IF(Atletas!E349="Juvenil 60kg",5,IF(Atletas!E349="Juvenil 65kg",6,IF(Atletas!E349="Juvenil 70kg",7,IF(Atletas!E349="Juvenil 75kg",8,IF(Atletas!E349="Juvenil 82kg",9,IF(Atletas!E349="Juvenil 90kg",10,IF(Atletas!E349="Juvenil 100kg",11,IF(Atletas!E349="Adulto 48kg",12,IF(Atletas!E349="Adulto 52kg",13,IF(Atletas!E349="Adulto 56kg",14,IF(Atletas!E349="Adulto 60kg",15,IF(Atletas!E349="Adulto 65kg",16,IF(Atletas!E349="Adulto 70kg",17,IF(Atletas!E349="Adulto 75kg",18,IF(Atletas!E349="Adulto 82kg",19,IF(Atletas!E349="Adulto 90kg",20,IF(Atletas!E349="Adulto 100kg",21,IF(Atletas!E349="Adulto +100kg",22,""))))))))))))))))))))))))</f>
        <v/>
      </c>
      <c r="AX358" s="6" t="str">
        <f>IF(Atletas!F349="","",IF(Atletas!B349="Feminino",100,IF(Atletas!B349="Masculino",200,""))+(IF(Atletas!F349="Adulto 48kg",1,IF(Atletas!F349="Adulto 56kg",2,IF(Atletas!F349="Adulto 65kg",3,IF(Atletas!F349="Adulto 75kg",4,IF(Atletas!F349="Adulto +75kg",5,IF(Atletas!F349="Adulto 52kg",6,IF(Atletas!F349="Adulto 60kg",7,IF(Atletas!F349="Adulto 70kg",8,IF(Atletas!F349="Adulto 80kg",9,IF(Atletas!F349="Adulto 90kg",10,IF(Atletas!F349="Adulto +90kg",11,"")))))))))))))</f>
        <v/>
      </c>
      <c r="BC358" s="6" t="str">
        <f>IF(Atletas!G349="","",IF(Atletas!B349="Feminino",10,IF(Atletas!B349="Masculino",20,""))+(IF(Atletas!G349="Baduanjin A",1,IF(Atletas!G349="Baduanjin B",2))))</f>
        <v/>
      </c>
      <c r="BF358" s="52" t="str">
        <f>IF(Atletas!H349="","",IF(Atletas!B349="Feminino",100,IF(Atletas!B349="Masculino",200,""))+(IF(Atletas!H349="Changquan Mirim",1,IF(Atletas!H349="Nanquan Mirim",2,IF(Atletas!H349="Taijiquan Mirim",3,IF(Atletas!H349="Changquan Grupo C",4,IF(Atletas!H349="Nanquan Grupo C",5,IF(Atletas!H349="Taijiquan Grupo C",6,IF(Atletas!H349="Changquan Grupo B",7,IF(Atletas!H349="Nanquan Grupo B",8,IF(Atletas!H349="Taijiquan Grupo B",9,IF(Atletas!H349="Changquan Grupo A",10,IF(Atletas!H349="Nanquan Grupo A",11,IF(Atletas!H349="Taijiquan Grupo A",12,IF(Atletas!H349="Changquan Opcional",13,IF(Atletas!H349="Nanquan Opcional",14,IF(Atletas!H349="Taijiquan Opcional",15,IF(Atletas!H349="Changquan Adulto",16,IF(Atletas!H349="Nanquan Adulto",17,IF(Atletas!H349="Taijiquan Adulto",18,""))))))))))))))))))))</f>
        <v/>
      </c>
      <c r="BG358" s="52" t="str">
        <f>IF(Atletas!I349="","",IF(Atletas!B349="Feminino",100,IF(Atletas!B349="Masculino",200,""))+(IF(Atletas!I349="Daoshu Mirim",19,IF(Atletas!I349="Jianshu Mirim",20,IF(Atletas!I349="Nandao Mirim",21,IF(Atletas!I349="Taijijian Mirim",22,IF(Atletas!I349="Daoshu Grupo C",23,IF(Atletas!I349="Jianshu Grupo C",24,IF(Atletas!I349="Nandao Grupo C",25,IF(Atletas!I349="Taijijian Grupo C",26,IF(Atletas!I349="Daoshu Grupo B",27,IF(Atletas!I349="Jianshu Grupo B",28,IF(Atletas!I349="Nandao Grupo B",29,IF(Atletas!I349="Taijijian Grupo B",30,IF(Atletas!I349="Daoshu Grupo A",31,IF(Atletas!I349="Jianshu Grupo A",32,IF(Atletas!I349="Nandao Grupo A",33,IF(Atletas!I349="Taijijian Grupo A",34,IF(Atletas!I349="Daoshu Opcional",35,IF(Atletas!I349="Jianshu Opcional",36,IF(Atletas!I349="Nandao Opcional",37,IF(Atletas!I349="Taijijian Opcional",38,IF(Atletas!I349="Daoshu Adulto",39,IF(Atletas!I349="Jianshu Adulto",40,IF(Atletas!I349="Nandao Adulto",41,IF(Atletas!I349="Taijijian Adulto",42,""))))))))))))))))))))))))))</f>
        <v/>
      </c>
      <c r="BH358" s="52" t="str">
        <f>IF(Atletas!J349="","",IF(Atletas!B349="Feminino",100,IF(Atletas!B349="Masculino",200,""))+(IF(Atletas!J349="Gunshu Mirim",43,IF(Atletas!J349="Qiangshu Mirim",44,IF(Atletas!J349="Nangun Mirim",45,IF(Atletas!J349="Gunshu Grupo C",46,IF(Atletas!J349="Qiangshu Grupo C",47,IF(Atletas!J349="Nangun Grupo C",48,IF(Atletas!J349="Gunshu Grupo B",49,IF(Atletas!J349="Qiangshu Grupo B",50,IF(Atletas!J349="Nangun Grupo B",51,IF(Atletas!J349="Gunshu Grupo A",52,IF(Atletas!J349="Qiangshu Grupo A",53,IF(Atletas!J349="Nangun Grupo A",54,IF(Atletas!J349="Gunshu Opcional",55,IF(Atletas!J349="Qiangshu Opcional",56,IF(Atletas!J349="Nangun Opcional",57,IF(Atletas!J349="Gunshu Adulto",58,IF(Atletas!J349="Qiangshu Adulto",59,IF(Atletas!J349="Nangun Adulto",60,IF(Atletas!J349="Taijishan Grupo B",61,IF(Atletas!J349="Taijishan Grupo A",62,""))))))))))))))))))))))</f>
        <v/>
      </c>
      <c r="BM358" s="50" t="str">
        <f>IF(Atletas!K349="","",IF(Atletas!B349="Feminino",100,IF(Atletas!B349="Masculino",200,""))+(IF(Atletas!K349="Equipe 1 Grupo B",1,IF(Atletas!K349="Equipe 2 Grupo B",2,IF(Atletas!K349="Equipe 1 Grupo A",3,IF(Atletas!K349="Equipe 2 Grupo A",4,IF(Atletas!K349="Equipe 1 Adulto",5,IF(Atletas!K349="Equipe 2 Adulto",6,""))))))))</f>
        <v/>
      </c>
      <c r="BR358" s="50" t="str">
        <f>IF(Atletas!L349="","",IF(Atletas!X349&lt;&gt;"",10000,0)+(IF(Atletas!B349="Feminino",1000,IF(Atletas!B349="Masculino",2000,""))+IF(Atletas!L349="Choylayfut A",1,IF(Atletas!L349="Hunggar A",2,IF(Atletas!L349="Wuzuquan A",3,IF(Atletas!L349="Wingchun A",4,IF(Atletas!L349="Outra Mão de Sul A",5,IF(Atletas!L349="Choylayfut B",6,IF(Atletas!L349="Hunggar B",7,IF(Atletas!L349="Wuzuquan B",8,IF(Atletas!L349="Wingchun B",9,IF(Atletas!L349="Outra Mão de Sul B",10,IF(Atletas!L349="Choylayfut C",11,IF(Atletas!L349="Hunggar C",12,IF(Atletas!L349="Wuzuquan C",13,IF(Atletas!L349="Wingchun C",14,IF(Atletas!L349="Outra Mão de Sul C",15,IF(Atletas!L349="Choylayfut D",16,IF(Atletas!L349="Hunggar D",17,IF(Atletas!L349="Wuzuquan D",18,IF(Atletas!L349="Wingchun D",19,IF(Atletas!L349="Outra Mão de Sul D",20,IF(Atletas!L349="Choylayfut E",21,IF(Atletas!L349="Hunggar E",22,IF(Atletas!L349="Wuzuquan E",23,IF(Atletas!L349="Wingchun E",24,IF(Atletas!L349="Outra Mão de Sul E",25,IF(Atletas!L349="Choylayfut F",26,IF(Atletas!L349="Hunggar F",27,IF(Atletas!L349="Wuzuquan F",28,IF(Atletas!L349="Wingchun F",29,IF(Atletas!L349="Outra Mão de Sul F",30,IF(Atletas!L349="Dishuquan A",31,IF(Atletas!L349="Dishuquan B",32,IF(Atletas!L349="Dishuquan C",33,IF(Atletas!L349="Dishuquan D",34,IF(Atletas!L349="Dishuquan E",35,IF(Atletas!L349="Dishuquan F",36,""))))))))))))))))))))))))))))))))))))))</f>
        <v/>
      </c>
      <c r="BS358" s="50" t="str">
        <f>IF(Atletas!M349="","",IF(Atletas!X349&lt;&gt;"",10000,0)+(IF(Atletas!B349="Feminino",1000,IF(Atletas!B349="Masculino",2000,""))+(IF(Atletas!M349="Chaquan A",101,IF(Atletas!M349="Emeiquan A",102,IF(Atletas!M349="Fanziquan A",103,IF(Atletas!M349="Huaquan A",104,IF(Atletas!M349="Hongquan A",105,IF(Atletas!M349="Paoquan A",106,IF(Atletas!M349="Piguaquan A",107,IF(Atletas!M349="Shaolinquan A",108,IF(Atletas!M349="Tanglangquan A",109,IF(Atletas!M349="Yingzhaoquan A",110,IF(Atletas!M349="Tongbeiquan A",111,IF(Atletas!M349="Wudangquan A",112,IF(Atletas!M349="Outros Estilos A",113,IF(Atletas!M349="Chaquan B",114,IF(Atletas!M349="Emeiquan B",115,IF(Atletas!M349="Fanziquan B",116,IF(Atletas!M349="Huaquan B",117,IF(Atletas!M349="Hongquan B",118,IF(Atletas!M349="Paoquan B",119,IF(Atletas!M349="Piguaquan B",120,IF(Atletas!M349="Shaolinquan B",121,IF(Atletas!M349="Tanglangquan B",122,IF(Atletas!M349="Yingzhaoquan B",123,IF(Atletas!M349="Tongbeiquan B",124,IF(Atletas!M349="Wudangquan B",125,IF(Atletas!M349="Outros Estilos B",126,IF(Atletas!M349="Chaquan C",127,IF(Atletas!M349="Emeiquan C",128,IF(Atletas!M349="Fanziquan C",129,IF(Atletas!M349="Huaquan C",130,IF(Atletas!M349="Hongquan C",131,IF(Atletas!M349="Paoquan C",132,IF(Atletas!M349="Piguaquan C",133,IF(Atletas!M349="Shaolinquan C",134,IF(Atletas!M349="Tanglangquan C",135,IF(Atletas!M349="Yingzhaoquan C",136,IF(Atletas!M349="Tongbeiquan C",137,IF(Atletas!M349="Wudangquan C",138,IF(Atletas!M349="Outros Estilos C",139,0))))))))))))))))))))))))))))))))))))))))))</f>
        <v/>
      </c>
      <c r="BT358" s="50" t="str">
        <f>IF(Atletas!M349="","",IF(Atletas!X349&lt;&gt;"",10000,0)+(IF(Atletas!B349="Feminino",1000,IF(Atletas!B349="Masculino",2000,""))+(IF(Atletas!M349="Chaquan D",140,IF(Atletas!M349="Emeiquan D",141,IF(Atletas!M349="Fanziquan D",142,IF(Atletas!M349="Huaquan D",143,IF(Atletas!M349="Hongquan D",144,IF(Atletas!M349="Paoquan D",145,IF(Atletas!M349="Piguaquan D",146,IF(Atletas!M349="Shaolinquan D",147,IF(Atletas!M349="Tanglangquan D",148,IF(Atletas!M349="Yingzhaoquan D",149,IF(Atletas!M349="Tongbeiquan D",150,IF(Atletas!M349="Wudangquan D",151,IF(Atletas!M349="Outros Estilos D",152,IF(Atletas!M349="Chaquan E",153,IF(Atletas!M349="Emeiquan E",154,IF(Atletas!M349="Fanziquan E",155,IF(Atletas!M349="Huaquan E",156,IF(Atletas!M349="Hongquan E",157,IF(Atletas!M349="Paoquan E",158,IF(Atletas!M349="Piguaquan E",159,IF(Atletas!M349="Shaolinquan E",160,IF(Atletas!M349="Tanglangquan E",161,IF(Atletas!M349="Yingzhaoquan E",162,IF(Atletas!M349="Tongbeiquan E",163,IF(Atletas!M349="Wudangquan E",164,IF(Atletas!M349="Outros Estilos E",165,IF(Atletas!M349="Chaquan F",166,IF(Atletas!M349="Emeiquan F",167,IF(Atletas!M349="Fanziquan F",168,IF(Atletas!M349="Huaquan F",169,IF(Atletas!M349="Hongquan F",170,IF(Atletas!M349="Paoquan F",171,IF(Atletas!M349="Piguaquan F",172,IF(Atletas!M349="Shaolinquan F",173,IF(Atletas!M349="Tanglangquan F",174,IF(Atletas!M349="Yingzhaoquan F",175,IF(Atletas!M349="Tongbeiquan F",176,IF(Atletas!M349="Wudangquan F",177,IF(Atletas!M349="Outros Estilos F",178,0))))))))))))))))))))))))))))))))))))))))))</f>
        <v/>
      </c>
      <c r="BU358" s="50" t="str">
        <f>IF(Atletas!N349="","",IF(Atletas!X349&lt;&gt;"",10000,0)+(IF(Atletas!B349="Feminino",1000,IF(Atletas!B349="Masculino",2000,""))+(IF(Atletas!N349="Ditangquan A",201,IF(Atletas!N349="Houquan A",202,IF(Atletas!N349="Zuiquan A",203,IF(Atletas!N349="Ditangquan B",204,IF(Atletas!N349="Houquan B",205,IF(Atletas!N349="Zuiquan B",206,IF(Atletas!N349="Ditangquan C",207,IF(Atletas!N349="Houquan C",208,IF(Atletas!N349="Zuiquan C",209,IF(Atletas!N349="Ditangquan D",210,IF(Atletas!N349="Houquan D",211,IF(Atletas!N349="Zuiquan D",212,IF(Atletas!N349="Ditangquan E",213,IF(Atletas!N349="Houquan E",214,IF(Atletas!N349="Zuiquan E",215,IF(Atletas!N349="Ditangquan F",216,IF(Atletas!N349="Houquan F",217,IF(Atletas!N349="Zuiquan F",218,"")))))))))))))))))))))</f>
        <v/>
      </c>
      <c r="BV358" s="50" t="str">
        <f>IF(Atletas!O349="","",IF(Atletas!X349&lt;&gt;"",10000,0)+IF(Atletas!B349="Feminino",1000,IF(Atletas!B349="Masculino",2000,""))+IF(Atletas!O349="Yang A",301,IF(Atletas!O349="Chen A",302,IF(Atletas!O349="Sun A",303,IF(Atletas!O349="Wu A",304,IF(Atletas!O349="Wu-Hao A",305,IF(Atletas!O349="Outro Taijiquan A",306,IF(Atletas!O349="Yang B",307,IF(Atletas!O349="Chen B",308,IF(Atletas!O349="Sun B",309,IF(Atletas!O349="Wu B",310,IF(Atletas!O349="Wu-Hao B",311,IF(Atletas!O349="Outro Taijiquan B",312,IF(Atletas!O349="Yang C",313,IF(Atletas!O349="Chen C",314,IF(Atletas!O349="Sun C",315,IF(Atletas!O349="Wu C",316,IF(Atletas!O349="Wu-Hao C",317,IF(Atletas!O349="Outro Taijiquan C",318,IF(Atletas!O349="Yang D",319,IF(Atletas!O349="Chen D",320,IF(Atletas!O349="Sun D",321,IF(Atletas!O349="Wu D",322,IF(Atletas!O349="Wu-Hao D",323,IF(Atletas!O349="Outro Taijiquan D",324,IF(Atletas!O349="Yang E",325,IF(Atletas!O349="Chen E",326,IF(Atletas!O349="Sun E",327,IF(Atletas!O349="Wu E",328,IF(Atletas!O349="Wu-Hao E",329,IF(Atletas!O349="Outro Taijiquan E",330,IF(Atletas!O349="Yang F",331,IF(Atletas!O349="Chen F",332,IF(Atletas!O349="Sun F",333,IF(Atletas!O349="Wu F",334,IF(Atletas!O349="Wu-Hao F",335,IF(Atletas!O349="Outro Taijiquan F",336,"")))))))))))))))))))))))))))))))))))))</f>
        <v/>
      </c>
      <c r="BW358" s="50" t="str">
        <f>IF(Atletas!P349="","",IF(Atletas!X349&lt;&gt;"",10000,0)+IF(Atletas!B349="Feminino",1000,IF(Atletas!B349="Masculino",2000,""))+IF(OR(Atletas!P349="Yang 26 A",Atletas!P349="Yang 40 A"),401,IF(OR(Atletas!P349="Chen 25 A",Atletas!P349="Chen 36 A",Atletas!P349="Chen 56 A"),402,IF(Atletas!P349="Sun 73 A",403,IF(Atletas!P349="Wu 45 A",404,IF(Atletas!P349="Wu-Hao 46 A",405,IF(OR(Atletas!P349="Taijiquan 16 A",Atletas!P349="Taijiquan 24 A",Atletas!P349="Taijiquan 32 A",Atletas!P349="Taijiquan 42 A"),406,IF(OR(Atletas!P349="Yang 26 B",Atletas!P349="Yang 40 B"),407,IF(OR(Atletas!P349="Chen 25 B",Atletas!P349="Chen 36 B",Atletas!P349="Chen 56 B"),408,IF(Atletas!P349="Sun 73 B",409,IF(Atletas!P349="Wu 45 B",410,IF(Atletas!P349="Wu-Hao 46 B",411,IF(OR(Atletas!P349="Taijiquan 16 B",Atletas!P349="Taijiquan 24 B",Atletas!P349="Taijiquan 32 B",Atletas!P349="Taijiquan 42 B"),412,IF(OR(Atletas!P349="Yang 26 C",Atletas!P349="Yang 40 C"),413,IF(OR(Atletas!P349="Chen 25 C",Atletas!P349="Chen 36 C",Atletas!P349="Chen 56 C"),414,IF(Atletas!P349="Sun 73 C",415,IF(Atletas!P349="Wu 45 C",416,IF(Atletas!P349="Wu-Hao 46 C",417,IF(OR(Atletas!P349="Taijiquan 16 C",Atletas!P349="Taijiquan 24 C",Atletas!P349="Taijiquan 32 C",Atletas!P349="Taijiquan 42 C"),418,0)))))))))))))))))))</f>
        <v/>
      </c>
      <c r="BX358" s="50" t="str">
        <f>IF(Atletas!P349="","",IF(Atletas!X349&lt;&gt;"",10000,0)+IF(Atletas!B349="Feminino",1000,IF(Atletas!B349="Masculino",2000,""))+IF(OR(Atletas!P349="Yang 26 D",Atletas!P349="Yang 40 D"),419,IF(OR(Atletas!P349="Chen 25 D",Atletas!P349="Chen 36 D",Atletas!P349="Chen 56 D"),420,IF(Atletas!P349="Sun 73 D",421,IF(Atletas!P349="Wu 45 D",422,IF(Atletas!P349="Wu-Hao 46 D",423,IF(OR(Atletas!P349="Taijiquan 16 D",Atletas!P349="Taijiquan 24 D",Atletas!P349="Taijiquan 32 D",Atletas!P349="Taijiquan 42 D"),424,IF(OR(Atletas!P349="Yang 26 E",Atletas!P349="Yang 40 E"),425,IF(OR(Atletas!P349="Chen 25 E",Atletas!P349="Chen 36 E",Atletas!P349="Chen 56 E"),426,IF(Atletas!P349="Sun 73 E",427,IF(Atletas!P349="Wu 45 E",428,IF(Atletas!P349="Wu-Hao 46 E",429,IF(OR(Atletas!P349="Taijiquan 16 E",Atletas!P349="Taijiquan 24 E",Atletas!P349="Taijiquan 32 E",Atletas!P349="Taijiquan 42 E"),430,IF(OR(Atletas!P349="Yang 26 F",Atletas!P349="Yang 40 F"),431,IF(OR(Atletas!P349="Chen 25 F",Atletas!P349="Chen 36 F",Atletas!P349="Chen 56 F"),432,IF(Atletas!P349="Sun 73 F",433,IF(Atletas!P349="Wu 45 F",434,IF(Atletas!P349="Wu-Hao 46 F",435,IF(OR(Atletas!P349="Taijiquan 16 F",Atletas!P349="Taijiquan 24 F",Atletas!P349="Taijiquan 32 F",Atletas!P349="Taijiquan 42 F"),436,0)))))))))))))))))))</f>
        <v/>
      </c>
      <c r="BY358" s="50" t="str">
        <f>IF(Atletas!Q349="","",IF(Atletas!X349&lt;&gt;"",10000,0)+IF(Atletas!B349="Feminino",1000,IF(Atletas!B349="Masculino",2000,""))+IF(Atletas!Q349="Xingyiquan A",501,IF(Atletas!Q349="Baguazhang A",502,IF(Atletas!Q349="Outro Estilo Interno A",503,IF(Atletas!Q349="Xingyiquan B",504,IF(Atletas!Q349="Baguazhang B",505,IF(Atletas!Q349="Outro Estilo Interno B",506,IF(Atletas!Q349="Xingyiquan C",507,IF(Atletas!Q349="Baguazhang C",508,IF(Atletas!Q349="Outro Estilo Interno C",509,IF(Atletas!Q349="Xingyiquan D",510,IF(Atletas!Q349="Baguazhang D",511,IF(Atletas!Q349="Outro Estilo Interno D",512,IF(Atletas!Q349="Xingyiquan E",513,IF(Atletas!Q349="Baguazhang E",514,IF(Atletas!Q349="Outro Estilo Interno E",515,IF(Atletas!Q349="Xingyiquan F",516,IF(Atletas!Q349="Baguazhang F",517,IF(Atletas!Q349="Outro Estilo Interno F",518, "")))))))))))))))))))</f>
        <v/>
      </c>
      <c r="BZ358" s="50" t="str">
        <f>IF(Atletas!R349="","",IF(Atletas!X349&lt;&gt;"",10000,0)+IF(Atletas!B349="Feminino",1000,IF(Atletas!B349="Masculino",2000,""))+IF(Atletas!R349="Dao A",601,IF(Atletas!R349="Jian A",602,IF(Atletas!R349="Bishou A",603,IF(Atletas!R349="Shanzi A",604,IF(Atletas!R349="Outra Arma Curta A",605,IF(Atletas!R349="Dao B",606,IF(Atletas!R349="Jian B",607,IF(Atletas!R349="Bishou B",608,IF(Atletas!R349="Shanzi B",609,IF(Atletas!R349="Outra Arma Curta B",610,IF(Atletas!R349="Dao C",611,IF(Atletas!R349="Jian C",612,IF(Atletas!R349="Bishou C",613,IF(Atletas!R349="Shanzi C",614,IF(Atletas!R349="Outra Arma Curta C",615,IF(Atletas!R349="Dao D",616,IF(Atletas!R349="Jian D",617,IF(Atletas!R349="Bishou D",618,IF(Atletas!R349="Shanzi D",619,IF(Atletas!R349="Outra Arma Curta D",620,IF(Atletas!R349="Dao E",621,IF(Atletas!R349="Jian E",622,IF(Atletas!R349="Bishou E",623,IF(Atletas!R349="Shanzi E",624,IF(Atletas!R349="Outra Arma Curta E",625,IF(Atletas!R349="Dao F",626,IF(Atletas!R349="Jian F",627,IF(Atletas!R349="Bishou F",628,IF(Atletas!R349="Shanzi F",629,IF(Atletas!R349="Outra Arma Curta F",630, "")))))))))))))))))))))))))))))))</f>
        <v/>
      </c>
      <c r="CA358" s="50" t="str">
        <f>IF(Atletas!S349="","",IF(Atletas!X349&lt;&gt;"",10000,0)+IF(Atletas!B349="Feminino",1000,IF(Atletas!B349="Masculino",2000,""))+IF(Atletas!S349="Gun A",701,IF(Atletas!S349="Qiang A",702,IF(Atletas!S349="Pudao / Guandao A",703,IF(Atletas!S349="Outra Arma Longa A",704,IF(Atletas!S349="Gun B",705,IF(Atletas!S349="Qiang B",706,IF(Atletas!S349="Pudao / Guandao B",707,IF(Atletas!S349="Outra Arma Longa B",708,IF(Atletas!S349="Gun C",709,IF(Atletas!S349="Qiang C",710,IF(Atletas!S349="Pudao / Guandao C",711,IF(Atletas!S349="Outra Arma Longa C",712,IF(Atletas!S349="Gun D",713,IF(Atletas!S349="Qiang D",714,IF(Atletas!S349="Pudao / Guandao D",715,IF(Atletas!S349="Outra Arma Longa D",716,IF(Atletas!S349="Gun E",717,IF(Atletas!S349="Qiang E",718,IF(Atletas!S349="Pudao / Guandao E",719,IF(Atletas!S349="Outra Arma Longa E",720,IF(Atletas!S349="Gun F",721,IF(Atletas!S349="Qiang F",722,IF(Atletas!S349="Pudao / Guandao F",723,IF(Atletas!S349="Outra Arma Longa F",724,"")))))))))))))))))))))))))</f>
        <v/>
      </c>
      <c r="CB358" s="50" t="str">
        <f>IF(Atletas!T349="","",IF(Atletas!X349&lt;&gt;"",10000,0)+IF(Atletas!B349="Feminino",1000,IF(Atletas!B349="Masculino",2000,""))+IF(Atletas!T349="Outra Arma Dupla A",801,IF(Atletas!T349="Arma Maleável A",802,IF(Atletas!T349="Outra Arma Dupla B",803,IF(Atletas!T349="Arma Maleável B",804,IF(Atletas!T349="Outra Arma Dupla C",805,IF(Atletas!T349="Arma Maleável C",806,IF(Atletas!T349="Outra Arma Dupla D",807,IF(Atletas!T349="Arma Maleável D",808,IF(Atletas!T349="Outra Arma Dupla E",809,IF(Atletas!T349="Arma Maleável E",810,IF(Atletas!T349="Outra Arma Dupla F",811,IF(Atletas!T349="Arma Maleável F",812,IF(Atletas!T349="Shuangdao A",813,IF(Atletas!T349="Shuangdao B",814,IF(Atletas!T349="Shuangdao C",815,IF(Atletas!T349="Shuangdao D",816,IF(Atletas!T349="Shuangdao E",817,IF(Atletas!T349="Shuangdao F",818,"")))))))))))))))))))</f>
        <v/>
      </c>
      <c r="CC358" s="50" t="str">
        <f>IF(Atletas!U349="","",IF(Atletas!X349&lt;&gt;"",10000,0)+IF(Atletas!B349="Feminino",1000,IF(Atletas!B349="Masculino",2000,""))+IF(OR(Atletas!U349="Taijijian Yang A",Atletas!U349="Taijijian Yang Standard A"),901,IF(OR(Atletas!U349="Taijijian Chen A", Atletas!U349="Taijijian Chen Standard A"),902,IF(Atletas!U349="Taijijian Sun A",903,IF(Atletas!U349="Taijijian Wu A",904,IF(Atletas!U349="Taijijian Wu-Hao A",905,IF(OR(Atletas!U349="Taijijian 32 A",Atletas!U349="Taijijian 42 A"),906,IF(OR(Atletas!U349="Taijijian Yang B",Atletas!U349="Taijijian Yang Standard B"),907,IF(OR(Atletas!U349="Taijijian Chen B", Atletas!U349="Taijijian Chen Standard B"),908,IF(Atletas!U349="Taijijian Sun B",909,IF(Atletas!U349="Taijijian Wu B",910,IF(Atletas!U349="Taijijian Wu-Hao B",911,IF(OR(Atletas!U349="Taijijian 32 B",Atletas!U349="Taijijian 42 B"),912,IF(OR(Atletas!U349="Taijijian Yang C",Atletas!U349="Taijijian Yang Standard C"),913,IF(OR(Atletas!U349="Taijijian Chen C", Atletas!U349="Taijijian Chen Standard C"),914,IF(Atletas!U349="Taijijian Sun C",915,IF(Atletas!U349="Taijijian Wu C",916,IF(Atletas!U349="Taijijian Wu-Hao C",917,IF(OR(Atletas!U349="Taijijian 32 C",Atletas!U349="Taijijian 42 C"),918,IF(OR(Atletas!U349="Taijijian Yang D",Atletas!U349="Taijijian Yang Standard D"),919,IF(OR(Atletas!U349="Taijijian Chen D", Atletas!U349="Taijijian Chen Standard D"),920,IF(Atletas!U349="Taijijian Sun D",921,IF(Atletas!U349="Taijijian Wu D",922,IF(Atletas!U349="Taijijian Wu-Hao D",923,IF(OR(Atletas!U349="Taijijian 32 D",Atletas!U349="Taijijian 42 D"),924,IF(OR(Atletas!U349="Taijijian Yang E",Atletas!U349="Taijijian Yang Standard E"),925,IF(OR(Atletas!U349="Taijijian Chen E", Atletas!U349="Taijijian Chen Standard E"),926,IF(Atletas!U349="Taijijian Sun E",927,IF(Atletas!U349="Taijijian Wu E",928,IF(Atletas!U349="Taijijian Wu-Hao E",929,IF(OR(Atletas!U349="Taijijian 32 E",Atletas!U349="Taijijian 42 E"),930,IF(OR(Atletas!U349="Taijijian Yang F",Atletas!U349="Taijijian Yang Standard F"),931,IF(OR(Atletas!U349="Taijijian Chen F", Atletas!U349="Taijijian Chen Standard F"),932,IF(Atletas!U349="Taijijian Sun F",933,IF(Atletas!U349="Taijijian Wu F",934,IF(Atletas!U349="Taijijian Wu-Hao F",935,IF(OR(Atletas!U349="Taijijian 32 F",Atletas!U349="Taijijian 42 F"),936,"")))))))))))))))))))))))))))))))))))))</f>
        <v/>
      </c>
      <c r="CD358" s="50" t="str">
        <f>IF(Atletas!V349="","",IF(Atletas!X349&lt;&gt;"",10000,0)+IF(Atletas!B349="Feminino",1000,IF(Atletas!B349="Masculino",2000,""))+IF(Atletas!V349="Taijidao A",937,IF(Atletas!V349="TaijiShanzi A",938,IF(Atletas!V349="Taijiqiang A",939,IF(Atletas!V349="Bagua de Arma A",940,IF(Atletas!V349="Xingyi de Arma A",941,IF(Atletas!V349="Taijidao B",942,IF(Atletas!V349="TaijiShanzi B",943,IF(Atletas!V349="Taijiqiang B",944,IF(Atletas!V349="Bagua de Arma B",945,IF(Atletas!V349="Xingyi de Arma B",946,IF(Atletas!V349="Taijidao C",947,IF(Atletas!V349="TaijiShanzi C",948,IF(Atletas!V349="Taijiqiang C",949,IF(Atletas!V349="Bagua de Arma C",950,IF(Atletas!V349="Xingyi de Arma C",951,IF(Atletas!V349="Taijidao D",952,IF(Atletas!V349="TaijiShanzi D",953,IF(Atletas!V349="Taijiqiang D",954,IF(Atletas!V349="Bagua de Arma D",955,IF(Atletas!V349="Xingyi de Arma D",956,IF(Atletas!V349="Taijidao E",957,IF(Atletas!V349="TaijiShanzi E",958,IF(Atletas!V349="Taijiqiang E",959,IF(Atletas!V349="Bagua de Arma E",960,IF(Atletas!V349="Xingyi de Arma E",961,IF(Atletas!V349="Taijidao F",962,IF(Atletas!V349="TaijiShanzi F",963,IF(Atletas!V349="Taijiqiang F",964,IF(Atletas!V349="Bagua de Arma F",965,IF(Atletas!V349="Xingyi de Arma F",966,"")))))))))))))))))))))))))))))))</f>
        <v/>
      </c>
      <c r="CE358" s="66" t="str">
        <f>IF(CF358&lt;&gt;"","Taijishan E","")</f>
        <v/>
      </c>
      <c r="CF358" s="66" t="str">
        <f>IF(COUNTIF(BR:CD,1958)&gt;0,COUNTIF(BR:CD,1958),"")</f>
        <v/>
      </c>
      <c r="CG358" s="66" t="str">
        <f>IF(CH358&lt;&gt;"","Taijishan E","")</f>
        <v/>
      </c>
      <c r="CH358" s="66" t="str">
        <f>IF(COUNTIF(BR:CD,2958)&gt;0,COUNTIF(BR:CD,2958),"")</f>
        <v/>
      </c>
      <c r="CI358" s="66"/>
      <c r="CJ358" s="66"/>
      <c r="CK358" s="66"/>
      <c r="CL358" s="66"/>
      <c r="CM358" s="50" t="str">
        <f xml:space="preserve"> IF(Atletas!W349="","",IF(Atletas!W349="Duilian de Mãos BC - Equipe 1",1,IF(Atletas!W349="Duilian de Mãos BC - Equipe 2",2,IF(Atletas!W349="Duilian de Armas BC - Equipe 1",3,IF(Atletas!W349="Duilian de Armas BC - Equipe 2",4,IF(Atletas!W349="Duilian de Mãos DE - Equipe 1",5,IF(Atletas!W349="Duilian de Mãos DE - Equipe 2",6,IF(Atletas!W349="Duilian de Armas DE - Equipe 1",7,IF(Atletas!W349="Duilian de Armas DE - Equipe 2",8,IF(Atletas!W349="Duilian de Tuishou - Equipe 1",9,IF(Atletas!W349="Duilian de Tuishou - Equipe 2",10,IF(Atletas!W349="Grupo Externo ABC - Equipe 1",11,IF(Atletas!W349="Grupo Externo ABC - Equipe 2",12,IF(Atletas!W349="Grupo Interno ABC - Equipe 1",13,IF(Atletas!W349="Grupo Interno ABC - Equipe 2",14,IF(Atletas!W349="Grupo Externo DEF - Equipe 1",15,IF(Atletas!W349="Grupo Externo DEF - Equipe 2",16,IF(Atletas!W349="Grupo Interno DEF - Equipe 1",17,IF(Atletas!W349="Grupo Interno DEF - Equipe 2",18,"")))))))))))))))))))</f>
        <v/>
      </c>
    </row>
    <row r="359" spans="40:91">
      <c r="AN359" s="52" t="str">
        <f>IF(Atletas!D350="","",IF(Atletas!B350="Feminino",100,IF(Atletas!B350="Masculino",200,""))+(IF(Atletas!D350="Kids 30kg",1,IF(Atletas!D350="Kids 32kg",2, IF(Atletas!D350="Kids 34kg",3,IF(Atletas!D350="Kids 36kg",4,IF(Atletas!D350="Kids 39kg",5,IF(Atletas!D350="Kids 42kg",6,IF(Atletas!D350="Kids 45kg",7, IF(Atletas!D350="Infantil 39kg",8,IF(Atletas!D350="Infantil 42kg",9,IF(Atletas!D350="Infantil 45kg",10,IF(Atletas!D350="Infantil 48kg",11,IF(Atletas!D350="Infantil 52kg",12,IF(Atletas!D350="Infantil 56kg",13,IF(Atletas!D350="Infantil 60kg",14,IF(Atletas!D350="Juvenil 48kg",15,IF(Atletas!D350="Juvenil 52kg",16,IF(Atletas!D350="Juvenil 56kg",17,IF(Atletas!D350="Juvenil 60kg",18,IF(Atletas!D350="Juvenil 65kg",19,IF(Atletas!D350="Juvenil 70kg",20,IF(Atletas!D350="Juvenil 75kg",21,IF(Atletas!D350="Juvenil 80kg",22, IF(Atletas!D350="Juvenil 85kg",23,IF(Atletas!D350="Adulto 48kg",24,IF(Atletas!D350="Adulto 52kg",25,IF(Atletas!D350="Adulto 56kg",26,IF(Atletas!D350="Adulto 60kg",27,IF(Atletas!D350="Adulto 65kg",28,IF(Atletas!D350="Adulto 70kg",29,IF(Atletas!D350="Adulto 75kg",30,IF(Atletas!D350="Adulto 80kg",31,IF(Atletas!D350="Adulto 85kg",32,IF(Atletas!D350="Adulto 90kg",33,IF(Atletas!D350="Adulto 100kg",34, IF(Atletas!D350="Adulto +100kg",35,"")))))))))))))))))))))))))))))))))))))</f>
        <v/>
      </c>
      <c r="AS359" s="6" t="str">
        <f>IF(Atletas!E350="","",IF(Atletas!B350="Feminino",100,IF(Atletas!B350="Masculino",200,""))+(IF(Atletas!E350="Juvenil 44kg",1,IF(Atletas!E350="Juvenil 48kg",2,IF(Atletas!E350="Juvenil 52kg",3,IF(Atletas!E350="Juvenil 56kg",4,IF(Atletas!E350="Juvenil 60kg",5,IF(Atletas!E350="Juvenil 65kg",6,IF(Atletas!E350="Juvenil 70kg",7,IF(Atletas!E350="Juvenil 75kg",8,IF(Atletas!E350="Juvenil 82kg",9,IF(Atletas!E350="Juvenil 90kg",10,IF(Atletas!E350="Juvenil 100kg",11,IF(Atletas!E350="Adulto 48kg",12,IF(Atletas!E350="Adulto 52kg",13,IF(Atletas!E350="Adulto 56kg",14,IF(Atletas!E350="Adulto 60kg",15,IF(Atletas!E350="Adulto 65kg",16,IF(Atletas!E350="Adulto 70kg",17,IF(Atletas!E350="Adulto 75kg",18,IF(Atletas!E350="Adulto 82kg",19,IF(Atletas!E350="Adulto 90kg",20,IF(Atletas!E350="Adulto 100kg",21,IF(Atletas!E350="Adulto +100kg",22,""))))))))))))))))))))))))</f>
        <v/>
      </c>
      <c r="AX359" s="6" t="str">
        <f>IF(Atletas!F350="","",IF(Atletas!B350="Feminino",100,IF(Atletas!B350="Masculino",200,""))+(IF(Atletas!F350="Adulto 48kg",1,IF(Atletas!F350="Adulto 56kg",2,IF(Atletas!F350="Adulto 65kg",3,IF(Atletas!F350="Adulto 75kg",4,IF(Atletas!F350="Adulto +75kg",5,IF(Atletas!F350="Adulto 52kg",6,IF(Atletas!F350="Adulto 60kg",7,IF(Atletas!F350="Adulto 70kg",8,IF(Atletas!F350="Adulto 80kg",9,IF(Atletas!F350="Adulto 90kg",10,IF(Atletas!F350="Adulto +90kg",11,"")))))))))))))</f>
        <v/>
      </c>
      <c r="BC359" s="6" t="str">
        <f>IF(Atletas!G350="","",IF(Atletas!B350="Feminino",10,IF(Atletas!B350="Masculino",20,""))+(IF(Atletas!G350="Baduanjin A",1,IF(Atletas!G350="Baduanjin B",2))))</f>
        <v/>
      </c>
      <c r="BF359" s="52" t="str">
        <f>IF(Atletas!H350="","",IF(Atletas!B350="Feminino",100,IF(Atletas!B350="Masculino",200,""))+(IF(Atletas!H350="Changquan Mirim",1,IF(Atletas!H350="Nanquan Mirim",2,IF(Atletas!H350="Taijiquan Mirim",3,IF(Atletas!H350="Changquan Grupo C",4,IF(Atletas!H350="Nanquan Grupo C",5,IF(Atletas!H350="Taijiquan Grupo C",6,IF(Atletas!H350="Changquan Grupo B",7,IF(Atletas!H350="Nanquan Grupo B",8,IF(Atletas!H350="Taijiquan Grupo B",9,IF(Atletas!H350="Changquan Grupo A",10,IF(Atletas!H350="Nanquan Grupo A",11,IF(Atletas!H350="Taijiquan Grupo A",12,IF(Atletas!H350="Changquan Opcional",13,IF(Atletas!H350="Nanquan Opcional",14,IF(Atletas!H350="Taijiquan Opcional",15,IF(Atletas!H350="Changquan Adulto",16,IF(Atletas!H350="Nanquan Adulto",17,IF(Atletas!H350="Taijiquan Adulto",18,""))))))))))))))))))))</f>
        <v/>
      </c>
      <c r="BG359" s="52" t="str">
        <f>IF(Atletas!I350="","",IF(Atletas!B350="Feminino",100,IF(Atletas!B350="Masculino",200,""))+(IF(Atletas!I350="Daoshu Mirim",19,IF(Atletas!I350="Jianshu Mirim",20,IF(Atletas!I350="Nandao Mirim",21,IF(Atletas!I350="Taijijian Mirim",22,IF(Atletas!I350="Daoshu Grupo C",23,IF(Atletas!I350="Jianshu Grupo C",24,IF(Atletas!I350="Nandao Grupo C",25,IF(Atletas!I350="Taijijian Grupo C",26,IF(Atletas!I350="Daoshu Grupo B",27,IF(Atletas!I350="Jianshu Grupo B",28,IF(Atletas!I350="Nandao Grupo B",29,IF(Atletas!I350="Taijijian Grupo B",30,IF(Atletas!I350="Daoshu Grupo A",31,IF(Atletas!I350="Jianshu Grupo A",32,IF(Atletas!I350="Nandao Grupo A",33,IF(Atletas!I350="Taijijian Grupo A",34,IF(Atletas!I350="Daoshu Opcional",35,IF(Atletas!I350="Jianshu Opcional",36,IF(Atletas!I350="Nandao Opcional",37,IF(Atletas!I350="Taijijian Opcional",38,IF(Atletas!I350="Daoshu Adulto",39,IF(Atletas!I350="Jianshu Adulto",40,IF(Atletas!I350="Nandao Adulto",41,IF(Atletas!I350="Taijijian Adulto",42,""))))))))))))))))))))))))))</f>
        <v/>
      </c>
      <c r="BH359" s="52" t="str">
        <f>IF(Atletas!J350="","",IF(Atletas!B350="Feminino",100,IF(Atletas!B350="Masculino",200,""))+(IF(Atletas!J350="Gunshu Mirim",43,IF(Atletas!J350="Qiangshu Mirim",44,IF(Atletas!J350="Nangun Mirim",45,IF(Atletas!J350="Gunshu Grupo C",46,IF(Atletas!J350="Qiangshu Grupo C",47,IF(Atletas!J350="Nangun Grupo C",48,IF(Atletas!J350="Gunshu Grupo B",49,IF(Atletas!J350="Qiangshu Grupo B",50,IF(Atletas!J350="Nangun Grupo B",51,IF(Atletas!J350="Gunshu Grupo A",52,IF(Atletas!J350="Qiangshu Grupo A",53,IF(Atletas!J350="Nangun Grupo A",54,IF(Atletas!J350="Gunshu Opcional",55,IF(Atletas!J350="Qiangshu Opcional",56,IF(Atletas!J350="Nangun Opcional",57,IF(Atletas!J350="Gunshu Adulto",58,IF(Atletas!J350="Qiangshu Adulto",59,IF(Atletas!J350="Nangun Adulto",60,IF(Atletas!J350="Taijishan Grupo B",61,IF(Atletas!J350="Taijishan Grupo A",62,""))))))))))))))))))))))</f>
        <v/>
      </c>
      <c r="BM359" s="50" t="str">
        <f>IF(Atletas!K350="","",IF(Atletas!B350="Feminino",100,IF(Atletas!B350="Masculino",200,""))+(IF(Atletas!K350="Equipe 1 Grupo B",1,IF(Atletas!K350="Equipe 2 Grupo B",2,IF(Atletas!K350="Equipe 1 Grupo A",3,IF(Atletas!K350="Equipe 2 Grupo A",4,IF(Atletas!K350="Equipe 1 Adulto",5,IF(Atletas!K350="Equipe 2 Adulto",6,""))))))))</f>
        <v/>
      </c>
      <c r="BR359" s="50" t="str">
        <f>IF(Atletas!L350="","",IF(Atletas!X350&lt;&gt;"",10000,0)+(IF(Atletas!B350="Feminino",1000,IF(Atletas!B350="Masculino",2000,""))+IF(Atletas!L350="Choylayfut A",1,IF(Atletas!L350="Hunggar A",2,IF(Atletas!L350="Wuzuquan A",3,IF(Atletas!L350="Wingchun A",4,IF(Atletas!L350="Outra Mão de Sul A",5,IF(Atletas!L350="Choylayfut B",6,IF(Atletas!L350="Hunggar B",7,IF(Atletas!L350="Wuzuquan B",8,IF(Atletas!L350="Wingchun B",9,IF(Atletas!L350="Outra Mão de Sul B",10,IF(Atletas!L350="Choylayfut C",11,IF(Atletas!L350="Hunggar C",12,IF(Atletas!L350="Wuzuquan C",13,IF(Atletas!L350="Wingchun C",14,IF(Atletas!L350="Outra Mão de Sul C",15,IF(Atletas!L350="Choylayfut D",16,IF(Atletas!L350="Hunggar D",17,IF(Atletas!L350="Wuzuquan D",18,IF(Atletas!L350="Wingchun D",19,IF(Atletas!L350="Outra Mão de Sul D",20,IF(Atletas!L350="Choylayfut E",21,IF(Atletas!L350="Hunggar E",22,IF(Atletas!L350="Wuzuquan E",23,IF(Atletas!L350="Wingchun E",24,IF(Atletas!L350="Outra Mão de Sul E",25,IF(Atletas!L350="Choylayfut F",26,IF(Atletas!L350="Hunggar F",27,IF(Atletas!L350="Wuzuquan F",28,IF(Atletas!L350="Wingchun F",29,IF(Atletas!L350="Outra Mão de Sul F",30,IF(Atletas!L350="Dishuquan A",31,IF(Atletas!L350="Dishuquan B",32,IF(Atletas!L350="Dishuquan C",33,IF(Atletas!L350="Dishuquan D",34,IF(Atletas!L350="Dishuquan E",35,IF(Atletas!L350="Dishuquan F",36,""))))))))))))))))))))))))))))))))))))))</f>
        <v/>
      </c>
      <c r="BS359" s="50" t="str">
        <f>IF(Atletas!M350="","",IF(Atletas!X350&lt;&gt;"",10000,0)+(IF(Atletas!B350="Feminino",1000,IF(Atletas!B350="Masculino",2000,""))+(IF(Atletas!M350="Chaquan A",101,IF(Atletas!M350="Emeiquan A",102,IF(Atletas!M350="Fanziquan A",103,IF(Atletas!M350="Huaquan A",104,IF(Atletas!M350="Hongquan A",105,IF(Atletas!M350="Paoquan A",106,IF(Atletas!M350="Piguaquan A",107,IF(Atletas!M350="Shaolinquan A",108,IF(Atletas!M350="Tanglangquan A",109,IF(Atletas!M350="Yingzhaoquan A",110,IF(Atletas!M350="Tongbeiquan A",111,IF(Atletas!M350="Wudangquan A",112,IF(Atletas!M350="Outros Estilos A",113,IF(Atletas!M350="Chaquan B",114,IF(Atletas!M350="Emeiquan B",115,IF(Atletas!M350="Fanziquan B",116,IF(Atletas!M350="Huaquan B",117,IF(Atletas!M350="Hongquan B",118,IF(Atletas!M350="Paoquan B",119,IF(Atletas!M350="Piguaquan B",120,IF(Atletas!M350="Shaolinquan B",121,IF(Atletas!M350="Tanglangquan B",122,IF(Atletas!M350="Yingzhaoquan B",123,IF(Atletas!M350="Tongbeiquan B",124,IF(Atletas!M350="Wudangquan B",125,IF(Atletas!M350="Outros Estilos B",126,IF(Atletas!M350="Chaquan C",127,IF(Atletas!M350="Emeiquan C",128,IF(Atletas!M350="Fanziquan C",129,IF(Atletas!M350="Huaquan C",130,IF(Atletas!M350="Hongquan C",131,IF(Atletas!M350="Paoquan C",132,IF(Atletas!M350="Piguaquan C",133,IF(Atletas!M350="Shaolinquan C",134,IF(Atletas!M350="Tanglangquan C",135,IF(Atletas!M350="Yingzhaoquan C",136,IF(Atletas!M350="Tongbeiquan C",137,IF(Atletas!M350="Wudangquan C",138,IF(Atletas!M350="Outros Estilos C",139,0))))))))))))))))))))))))))))))))))))))))))</f>
        <v/>
      </c>
      <c r="BT359" s="50" t="str">
        <f>IF(Atletas!M350="","",IF(Atletas!X350&lt;&gt;"",10000,0)+(IF(Atletas!B350="Feminino",1000,IF(Atletas!B350="Masculino",2000,""))+(IF(Atletas!M350="Chaquan D",140,IF(Atletas!M350="Emeiquan D",141,IF(Atletas!M350="Fanziquan D",142,IF(Atletas!M350="Huaquan D",143,IF(Atletas!M350="Hongquan D",144,IF(Atletas!M350="Paoquan D",145,IF(Atletas!M350="Piguaquan D",146,IF(Atletas!M350="Shaolinquan D",147,IF(Atletas!M350="Tanglangquan D",148,IF(Atletas!M350="Yingzhaoquan D",149,IF(Atletas!M350="Tongbeiquan D",150,IF(Atletas!M350="Wudangquan D",151,IF(Atletas!M350="Outros Estilos D",152,IF(Atletas!M350="Chaquan E",153,IF(Atletas!M350="Emeiquan E",154,IF(Atletas!M350="Fanziquan E",155,IF(Atletas!M350="Huaquan E",156,IF(Atletas!M350="Hongquan E",157,IF(Atletas!M350="Paoquan E",158,IF(Atletas!M350="Piguaquan E",159,IF(Atletas!M350="Shaolinquan E",160,IF(Atletas!M350="Tanglangquan E",161,IF(Atletas!M350="Yingzhaoquan E",162,IF(Atletas!M350="Tongbeiquan E",163,IF(Atletas!M350="Wudangquan E",164,IF(Atletas!M350="Outros Estilos E",165,IF(Atletas!M350="Chaquan F",166,IF(Atletas!M350="Emeiquan F",167,IF(Atletas!M350="Fanziquan F",168,IF(Atletas!M350="Huaquan F",169,IF(Atletas!M350="Hongquan F",170,IF(Atletas!M350="Paoquan F",171,IF(Atletas!M350="Piguaquan F",172,IF(Atletas!M350="Shaolinquan F",173,IF(Atletas!M350="Tanglangquan F",174,IF(Atletas!M350="Yingzhaoquan F",175,IF(Atletas!M350="Tongbeiquan F",176,IF(Atletas!M350="Wudangquan F",177,IF(Atletas!M350="Outros Estilos F",178,0))))))))))))))))))))))))))))))))))))))))))</f>
        <v/>
      </c>
      <c r="BU359" s="50" t="str">
        <f>IF(Atletas!N350="","",IF(Atletas!X350&lt;&gt;"",10000,0)+(IF(Atletas!B350="Feminino",1000,IF(Atletas!B350="Masculino",2000,""))+(IF(Atletas!N350="Ditangquan A",201,IF(Atletas!N350="Houquan A",202,IF(Atletas!N350="Zuiquan A",203,IF(Atletas!N350="Ditangquan B",204,IF(Atletas!N350="Houquan B",205,IF(Atletas!N350="Zuiquan B",206,IF(Atletas!N350="Ditangquan C",207,IF(Atletas!N350="Houquan C",208,IF(Atletas!N350="Zuiquan C",209,IF(Atletas!N350="Ditangquan D",210,IF(Atletas!N350="Houquan D",211,IF(Atletas!N350="Zuiquan D",212,IF(Atletas!N350="Ditangquan E",213,IF(Atletas!N350="Houquan E",214,IF(Atletas!N350="Zuiquan E",215,IF(Atletas!N350="Ditangquan F",216,IF(Atletas!N350="Houquan F",217,IF(Atletas!N350="Zuiquan F",218,"")))))))))))))))))))))</f>
        <v/>
      </c>
      <c r="BV359" s="50" t="str">
        <f>IF(Atletas!O350="","",IF(Atletas!X350&lt;&gt;"",10000,0)+IF(Atletas!B350="Feminino",1000,IF(Atletas!B350="Masculino",2000,""))+IF(Atletas!O350="Yang A",301,IF(Atletas!O350="Chen A",302,IF(Atletas!O350="Sun A",303,IF(Atletas!O350="Wu A",304,IF(Atletas!O350="Wu-Hao A",305,IF(Atletas!O350="Outro Taijiquan A",306,IF(Atletas!O350="Yang B",307,IF(Atletas!O350="Chen B",308,IF(Atletas!O350="Sun B",309,IF(Atletas!O350="Wu B",310,IF(Atletas!O350="Wu-Hao B",311,IF(Atletas!O350="Outro Taijiquan B",312,IF(Atletas!O350="Yang C",313,IF(Atletas!O350="Chen C",314,IF(Atletas!O350="Sun C",315,IF(Atletas!O350="Wu C",316,IF(Atletas!O350="Wu-Hao C",317,IF(Atletas!O350="Outro Taijiquan C",318,IF(Atletas!O350="Yang D",319,IF(Atletas!O350="Chen D",320,IF(Atletas!O350="Sun D",321,IF(Atletas!O350="Wu D",322,IF(Atletas!O350="Wu-Hao D",323,IF(Atletas!O350="Outro Taijiquan D",324,IF(Atletas!O350="Yang E",325,IF(Atletas!O350="Chen E",326,IF(Atletas!O350="Sun E",327,IF(Atletas!O350="Wu E",328,IF(Atletas!O350="Wu-Hao E",329,IF(Atletas!O350="Outro Taijiquan E",330,IF(Atletas!O350="Yang F",331,IF(Atletas!O350="Chen F",332,IF(Atletas!O350="Sun F",333,IF(Atletas!O350="Wu F",334,IF(Atletas!O350="Wu-Hao F",335,IF(Atletas!O350="Outro Taijiquan F",336,"")))))))))))))))))))))))))))))))))))))</f>
        <v/>
      </c>
      <c r="BW359" s="50" t="str">
        <f>IF(Atletas!P350="","",IF(Atletas!X350&lt;&gt;"",10000,0)+IF(Atletas!B350="Feminino",1000,IF(Atletas!B350="Masculino",2000,""))+IF(OR(Atletas!P350="Yang 26 A",Atletas!P350="Yang 40 A"),401,IF(OR(Atletas!P350="Chen 25 A",Atletas!P350="Chen 36 A",Atletas!P350="Chen 56 A"),402,IF(Atletas!P350="Sun 73 A",403,IF(Atletas!P350="Wu 45 A",404,IF(Atletas!P350="Wu-Hao 46 A",405,IF(OR(Atletas!P350="Taijiquan 16 A",Atletas!P350="Taijiquan 24 A",Atletas!P350="Taijiquan 32 A",Atletas!P350="Taijiquan 42 A"),406,IF(OR(Atletas!P350="Yang 26 B",Atletas!P350="Yang 40 B"),407,IF(OR(Atletas!P350="Chen 25 B",Atletas!P350="Chen 36 B",Atletas!P350="Chen 56 B"),408,IF(Atletas!P350="Sun 73 B",409,IF(Atletas!P350="Wu 45 B",410,IF(Atletas!P350="Wu-Hao 46 B",411,IF(OR(Atletas!P350="Taijiquan 16 B",Atletas!P350="Taijiquan 24 B",Atletas!P350="Taijiquan 32 B",Atletas!P350="Taijiquan 42 B"),412,IF(OR(Atletas!P350="Yang 26 C",Atletas!P350="Yang 40 C"),413,IF(OR(Atletas!P350="Chen 25 C",Atletas!P350="Chen 36 C",Atletas!P350="Chen 56 C"),414,IF(Atletas!P350="Sun 73 C",415,IF(Atletas!P350="Wu 45 C",416,IF(Atletas!P350="Wu-Hao 46 C",417,IF(OR(Atletas!P350="Taijiquan 16 C",Atletas!P350="Taijiquan 24 C",Atletas!P350="Taijiquan 32 C",Atletas!P350="Taijiquan 42 C"),418,0)))))))))))))))))))</f>
        <v/>
      </c>
      <c r="BX359" s="50" t="str">
        <f>IF(Atletas!P350="","",IF(Atletas!X350&lt;&gt;"",10000,0)+IF(Atletas!B350="Feminino",1000,IF(Atletas!B350="Masculino",2000,""))+IF(OR(Atletas!P350="Yang 26 D",Atletas!P350="Yang 40 D"),419,IF(OR(Atletas!P350="Chen 25 D",Atletas!P350="Chen 36 D",Atletas!P350="Chen 56 D"),420,IF(Atletas!P350="Sun 73 D",421,IF(Atletas!P350="Wu 45 D",422,IF(Atletas!P350="Wu-Hao 46 D",423,IF(OR(Atletas!P350="Taijiquan 16 D",Atletas!P350="Taijiquan 24 D",Atletas!P350="Taijiquan 32 D",Atletas!P350="Taijiquan 42 D"),424,IF(OR(Atletas!P350="Yang 26 E",Atletas!P350="Yang 40 E"),425,IF(OR(Atletas!P350="Chen 25 E",Atletas!P350="Chen 36 E",Atletas!P350="Chen 56 E"),426,IF(Atletas!P350="Sun 73 E",427,IF(Atletas!P350="Wu 45 E",428,IF(Atletas!P350="Wu-Hao 46 E",429,IF(OR(Atletas!P350="Taijiquan 16 E",Atletas!P350="Taijiquan 24 E",Atletas!P350="Taijiquan 32 E",Atletas!P350="Taijiquan 42 E"),430,IF(OR(Atletas!P350="Yang 26 F",Atletas!P350="Yang 40 F"),431,IF(OR(Atletas!P350="Chen 25 F",Atletas!P350="Chen 36 F",Atletas!P350="Chen 56 F"),432,IF(Atletas!P350="Sun 73 F",433,IF(Atletas!P350="Wu 45 F",434,IF(Atletas!P350="Wu-Hao 46 F",435,IF(OR(Atletas!P350="Taijiquan 16 F",Atletas!P350="Taijiquan 24 F",Atletas!P350="Taijiquan 32 F",Atletas!P350="Taijiquan 42 F"),436,0)))))))))))))))))))</f>
        <v/>
      </c>
      <c r="BY359" s="50" t="str">
        <f>IF(Atletas!Q350="","",IF(Atletas!X350&lt;&gt;"",10000,0)+IF(Atletas!B350="Feminino",1000,IF(Atletas!B350="Masculino",2000,""))+IF(Atletas!Q350="Xingyiquan A",501,IF(Atletas!Q350="Baguazhang A",502,IF(Atletas!Q350="Outro Estilo Interno A",503,IF(Atletas!Q350="Xingyiquan B",504,IF(Atletas!Q350="Baguazhang B",505,IF(Atletas!Q350="Outro Estilo Interno B",506,IF(Atletas!Q350="Xingyiquan C",507,IF(Atletas!Q350="Baguazhang C",508,IF(Atletas!Q350="Outro Estilo Interno C",509,IF(Atletas!Q350="Xingyiquan D",510,IF(Atletas!Q350="Baguazhang D",511,IF(Atletas!Q350="Outro Estilo Interno D",512,IF(Atletas!Q350="Xingyiquan E",513,IF(Atletas!Q350="Baguazhang E",514,IF(Atletas!Q350="Outro Estilo Interno E",515,IF(Atletas!Q350="Xingyiquan F",516,IF(Atletas!Q350="Baguazhang F",517,IF(Atletas!Q350="Outro Estilo Interno F",518, "")))))))))))))))))))</f>
        <v/>
      </c>
      <c r="BZ359" s="50" t="str">
        <f>IF(Atletas!R350="","",IF(Atletas!X350&lt;&gt;"",10000,0)+IF(Atletas!B350="Feminino",1000,IF(Atletas!B350="Masculino",2000,""))+IF(Atletas!R350="Dao A",601,IF(Atletas!R350="Jian A",602,IF(Atletas!R350="Bishou A",603,IF(Atletas!R350="Shanzi A",604,IF(Atletas!R350="Outra Arma Curta A",605,IF(Atletas!R350="Dao B",606,IF(Atletas!R350="Jian B",607,IF(Atletas!R350="Bishou B",608,IF(Atletas!R350="Shanzi B",609,IF(Atletas!R350="Outra Arma Curta B",610,IF(Atletas!R350="Dao C",611,IF(Atletas!R350="Jian C",612,IF(Atletas!R350="Bishou C",613,IF(Atletas!R350="Shanzi C",614,IF(Atletas!R350="Outra Arma Curta C",615,IF(Atletas!R350="Dao D",616,IF(Atletas!R350="Jian D",617,IF(Atletas!R350="Bishou D",618,IF(Atletas!R350="Shanzi D",619,IF(Atletas!R350="Outra Arma Curta D",620,IF(Atletas!R350="Dao E",621,IF(Atletas!R350="Jian E",622,IF(Atletas!R350="Bishou E",623,IF(Atletas!R350="Shanzi E",624,IF(Atletas!R350="Outra Arma Curta E",625,IF(Atletas!R350="Dao F",626,IF(Atletas!R350="Jian F",627,IF(Atletas!R350="Bishou F",628,IF(Atletas!R350="Shanzi F",629,IF(Atletas!R350="Outra Arma Curta F",630, "")))))))))))))))))))))))))))))))</f>
        <v/>
      </c>
      <c r="CA359" s="50" t="str">
        <f>IF(Atletas!S350="","",IF(Atletas!X350&lt;&gt;"",10000,0)+IF(Atletas!B350="Feminino",1000,IF(Atletas!B350="Masculino",2000,""))+IF(Atletas!S350="Gun A",701,IF(Atletas!S350="Qiang A",702,IF(Atletas!S350="Pudao / Guandao A",703,IF(Atletas!S350="Outra Arma Longa A",704,IF(Atletas!S350="Gun B",705,IF(Atletas!S350="Qiang B",706,IF(Atletas!S350="Pudao / Guandao B",707,IF(Atletas!S350="Outra Arma Longa B",708,IF(Atletas!S350="Gun C",709,IF(Atletas!S350="Qiang C",710,IF(Atletas!S350="Pudao / Guandao C",711,IF(Atletas!S350="Outra Arma Longa C",712,IF(Atletas!S350="Gun D",713,IF(Atletas!S350="Qiang D",714,IF(Atletas!S350="Pudao / Guandao D",715,IF(Atletas!S350="Outra Arma Longa D",716,IF(Atletas!S350="Gun E",717,IF(Atletas!S350="Qiang E",718,IF(Atletas!S350="Pudao / Guandao E",719,IF(Atletas!S350="Outra Arma Longa E",720,IF(Atletas!S350="Gun F",721,IF(Atletas!S350="Qiang F",722,IF(Atletas!S350="Pudao / Guandao F",723,IF(Atletas!S350="Outra Arma Longa F",724,"")))))))))))))))))))))))))</f>
        <v/>
      </c>
      <c r="CB359" s="50" t="str">
        <f>IF(Atletas!T350="","",IF(Atletas!X350&lt;&gt;"",10000,0)+IF(Atletas!B350="Feminino",1000,IF(Atletas!B350="Masculino",2000,""))+IF(Atletas!T350="Outra Arma Dupla A",801,IF(Atletas!T350="Arma Maleável A",802,IF(Atletas!T350="Outra Arma Dupla B",803,IF(Atletas!T350="Arma Maleável B",804,IF(Atletas!T350="Outra Arma Dupla C",805,IF(Atletas!T350="Arma Maleável C",806,IF(Atletas!T350="Outra Arma Dupla D",807,IF(Atletas!T350="Arma Maleável D",808,IF(Atletas!T350="Outra Arma Dupla E",809,IF(Atletas!T350="Arma Maleável E",810,IF(Atletas!T350="Outra Arma Dupla F",811,IF(Atletas!T350="Arma Maleável F",812,IF(Atletas!T350="Shuangdao A",813,IF(Atletas!T350="Shuangdao B",814,IF(Atletas!T350="Shuangdao C",815,IF(Atletas!T350="Shuangdao D",816,IF(Atletas!T350="Shuangdao E",817,IF(Atletas!T350="Shuangdao F",818,"")))))))))))))))))))</f>
        <v/>
      </c>
      <c r="CC359" s="50" t="str">
        <f>IF(Atletas!U350="","",IF(Atletas!X350&lt;&gt;"",10000,0)+IF(Atletas!B350="Feminino",1000,IF(Atletas!B350="Masculino",2000,""))+IF(OR(Atletas!U350="Taijijian Yang A",Atletas!U350="Taijijian Yang Standard A"),901,IF(OR(Atletas!U350="Taijijian Chen A", Atletas!U350="Taijijian Chen Standard A"),902,IF(Atletas!U350="Taijijian Sun A",903,IF(Atletas!U350="Taijijian Wu A",904,IF(Atletas!U350="Taijijian Wu-Hao A",905,IF(OR(Atletas!U350="Taijijian 32 A",Atletas!U350="Taijijian 42 A"),906,IF(OR(Atletas!U350="Taijijian Yang B",Atletas!U350="Taijijian Yang Standard B"),907,IF(OR(Atletas!U350="Taijijian Chen B", Atletas!U350="Taijijian Chen Standard B"),908,IF(Atletas!U350="Taijijian Sun B",909,IF(Atletas!U350="Taijijian Wu B",910,IF(Atletas!U350="Taijijian Wu-Hao B",911,IF(OR(Atletas!U350="Taijijian 32 B",Atletas!U350="Taijijian 42 B"),912,IF(OR(Atletas!U350="Taijijian Yang C",Atletas!U350="Taijijian Yang Standard C"),913,IF(OR(Atletas!U350="Taijijian Chen C", Atletas!U350="Taijijian Chen Standard C"),914,IF(Atletas!U350="Taijijian Sun C",915,IF(Atletas!U350="Taijijian Wu C",916,IF(Atletas!U350="Taijijian Wu-Hao C",917,IF(OR(Atletas!U350="Taijijian 32 C",Atletas!U350="Taijijian 42 C"),918,IF(OR(Atletas!U350="Taijijian Yang D",Atletas!U350="Taijijian Yang Standard D"),919,IF(OR(Atletas!U350="Taijijian Chen D", Atletas!U350="Taijijian Chen Standard D"),920,IF(Atletas!U350="Taijijian Sun D",921,IF(Atletas!U350="Taijijian Wu D",922,IF(Atletas!U350="Taijijian Wu-Hao D",923,IF(OR(Atletas!U350="Taijijian 32 D",Atletas!U350="Taijijian 42 D"),924,IF(OR(Atletas!U350="Taijijian Yang E",Atletas!U350="Taijijian Yang Standard E"),925,IF(OR(Atletas!U350="Taijijian Chen E", Atletas!U350="Taijijian Chen Standard E"),926,IF(Atletas!U350="Taijijian Sun E",927,IF(Atletas!U350="Taijijian Wu E",928,IF(Atletas!U350="Taijijian Wu-Hao E",929,IF(OR(Atletas!U350="Taijijian 32 E",Atletas!U350="Taijijian 42 E"),930,IF(OR(Atletas!U350="Taijijian Yang F",Atletas!U350="Taijijian Yang Standard F"),931,IF(OR(Atletas!U350="Taijijian Chen F", Atletas!U350="Taijijian Chen Standard F"),932,IF(Atletas!U350="Taijijian Sun F",933,IF(Atletas!U350="Taijijian Wu F",934,IF(Atletas!U350="Taijijian Wu-Hao F",935,IF(OR(Atletas!U350="Taijijian 32 F",Atletas!U350="Taijijian 42 F"),936,"")))))))))))))))))))))))))))))))))))))</f>
        <v/>
      </c>
      <c r="CD359" s="50" t="str">
        <f>IF(Atletas!V350="","",IF(Atletas!X350&lt;&gt;"",10000,0)+IF(Atletas!B350="Feminino",1000,IF(Atletas!B350="Masculino",2000,""))+IF(Atletas!V350="Taijidao A",937,IF(Atletas!V350="TaijiShanzi A",938,IF(Atletas!V350="Taijiqiang A",939,IF(Atletas!V350="Bagua de Arma A",940,IF(Atletas!V350="Xingyi de Arma A",941,IF(Atletas!V350="Taijidao B",942,IF(Atletas!V350="TaijiShanzi B",943,IF(Atletas!V350="Taijiqiang B",944,IF(Atletas!V350="Bagua de Arma B",945,IF(Atletas!V350="Xingyi de Arma B",946,IF(Atletas!V350="Taijidao C",947,IF(Atletas!V350="TaijiShanzi C",948,IF(Atletas!V350="Taijiqiang C",949,IF(Atletas!V350="Bagua de Arma C",950,IF(Atletas!V350="Xingyi de Arma C",951,IF(Atletas!V350="Taijidao D",952,IF(Atletas!V350="TaijiShanzi D",953,IF(Atletas!V350="Taijiqiang D",954,IF(Atletas!V350="Bagua de Arma D",955,IF(Atletas!V350="Xingyi de Arma D",956,IF(Atletas!V350="Taijidao E",957,IF(Atletas!V350="TaijiShanzi E",958,IF(Atletas!V350="Taijiqiang E",959,IF(Atletas!V350="Bagua de Arma E",960,IF(Atletas!V350="Xingyi de Arma E",961,IF(Atletas!V350="Taijidao F",962,IF(Atletas!V350="TaijiShanzi F",963,IF(Atletas!V350="Taijiqiang F",964,IF(Atletas!V350="Bagua de Arma F",965,IF(Atletas!V350="Xingyi de Arma F",966,"")))))))))))))))))))))))))))))))</f>
        <v/>
      </c>
      <c r="CE359" s="66" t="str">
        <f>IF(CF359&lt;&gt;"","Taijiqiang E","")</f>
        <v/>
      </c>
      <c r="CF359" s="66" t="str">
        <f>IF(COUNTIF(BR:CD,1959)&gt;0,COUNTIF(BR:CD,1959),"")</f>
        <v/>
      </c>
      <c r="CG359" s="66" t="str">
        <f>IF(CH359&lt;&gt;"","Taijiqiang E","")</f>
        <v/>
      </c>
      <c r="CH359" s="66" t="str">
        <f>IF(COUNTIF(BR:CD,2959)&gt;0,COUNTIF(BR:CD,2959),"")</f>
        <v/>
      </c>
      <c r="CI359" s="66"/>
      <c r="CJ359" s="66"/>
      <c r="CK359" s="66"/>
      <c r="CL359" s="66"/>
      <c r="CM359" s="50" t="str">
        <f xml:space="preserve"> IF(Atletas!W350="","",IF(Atletas!W350="Duilian de Mãos BC - Equipe 1",1,IF(Atletas!W350="Duilian de Mãos BC - Equipe 2",2,IF(Atletas!W350="Duilian de Armas BC - Equipe 1",3,IF(Atletas!W350="Duilian de Armas BC - Equipe 2",4,IF(Atletas!W350="Duilian de Mãos DE - Equipe 1",5,IF(Atletas!W350="Duilian de Mãos DE - Equipe 2",6,IF(Atletas!W350="Duilian de Armas DE - Equipe 1",7,IF(Atletas!W350="Duilian de Armas DE - Equipe 2",8,IF(Atletas!W350="Duilian de Tuishou - Equipe 1",9,IF(Atletas!W350="Duilian de Tuishou - Equipe 2",10,IF(Atletas!W350="Grupo Externo ABC - Equipe 1",11,IF(Atletas!W350="Grupo Externo ABC - Equipe 2",12,IF(Atletas!W350="Grupo Interno ABC - Equipe 1",13,IF(Atletas!W350="Grupo Interno ABC - Equipe 2",14,IF(Atletas!W350="Grupo Externo DEF - Equipe 1",15,IF(Atletas!W350="Grupo Externo DEF - Equipe 2",16,IF(Atletas!W350="Grupo Interno DEF - Equipe 1",17,IF(Atletas!W350="Grupo Interno DEF - Equipe 2",18,"")))))))))))))))))))</f>
        <v/>
      </c>
    </row>
    <row r="360" spans="40:91">
      <c r="AN360" s="52" t="str">
        <f>IF(Atletas!D351="","",IF(Atletas!B351="Feminino",100,IF(Atletas!B351="Masculino",200,""))+(IF(Atletas!D351="Kids 30kg",1,IF(Atletas!D351="Kids 32kg",2, IF(Atletas!D351="Kids 34kg",3,IF(Atletas!D351="Kids 36kg",4,IF(Atletas!D351="Kids 39kg",5,IF(Atletas!D351="Kids 42kg",6,IF(Atletas!D351="Kids 45kg",7, IF(Atletas!D351="Infantil 39kg",8,IF(Atletas!D351="Infantil 42kg",9,IF(Atletas!D351="Infantil 45kg",10,IF(Atletas!D351="Infantil 48kg",11,IF(Atletas!D351="Infantil 52kg",12,IF(Atletas!D351="Infantil 56kg",13,IF(Atletas!D351="Infantil 60kg",14,IF(Atletas!D351="Juvenil 48kg",15,IF(Atletas!D351="Juvenil 52kg",16,IF(Atletas!D351="Juvenil 56kg",17,IF(Atletas!D351="Juvenil 60kg",18,IF(Atletas!D351="Juvenil 65kg",19,IF(Atletas!D351="Juvenil 70kg",20,IF(Atletas!D351="Juvenil 75kg",21,IF(Atletas!D351="Juvenil 80kg",22, IF(Atletas!D351="Juvenil 85kg",23,IF(Atletas!D351="Adulto 48kg",24,IF(Atletas!D351="Adulto 52kg",25,IF(Atletas!D351="Adulto 56kg",26,IF(Atletas!D351="Adulto 60kg",27,IF(Atletas!D351="Adulto 65kg",28,IF(Atletas!D351="Adulto 70kg",29,IF(Atletas!D351="Adulto 75kg",30,IF(Atletas!D351="Adulto 80kg",31,IF(Atletas!D351="Adulto 85kg",32,IF(Atletas!D351="Adulto 90kg",33,IF(Atletas!D351="Adulto 100kg",34, IF(Atletas!D351="Adulto +100kg",35,"")))))))))))))))))))))))))))))))))))))</f>
        <v/>
      </c>
      <c r="AS360" s="6" t="str">
        <f>IF(Atletas!E351="","",IF(Atletas!B351="Feminino",100,IF(Atletas!B351="Masculino",200,""))+(IF(Atletas!E351="Juvenil 44kg",1,IF(Atletas!E351="Juvenil 48kg",2,IF(Atletas!E351="Juvenil 52kg",3,IF(Atletas!E351="Juvenil 56kg",4,IF(Atletas!E351="Juvenil 60kg",5,IF(Atletas!E351="Juvenil 65kg",6,IF(Atletas!E351="Juvenil 70kg",7,IF(Atletas!E351="Juvenil 75kg",8,IF(Atletas!E351="Juvenil 82kg",9,IF(Atletas!E351="Juvenil 90kg",10,IF(Atletas!E351="Juvenil 100kg",11,IF(Atletas!E351="Adulto 48kg",12,IF(Atletas!E351="Adulto 52kg",13,IF(Atletas!E351="Adulto 56kg",14,IF(Atletas!E351="Adulto 60kg",15,IF(Atletas!E351="Adulto 65kg",16,IF(Atletas!E351="Adulto 70kg",17,IF(Atletas!E351="Adulto 75kg",18,IF(Atletas!E351="Adulto 82kg",19,IF(Atletas!E351="Adulto 90kg",20,IF(Atletas!E351="Adulto 100kg",21,IF(Atletas!E351="Adulto +100kg",22,""))))))))))))))))))))))))</f>
        <v/>
      </c>
      <c r="AX360" s="6" t="str">
        <f>IF(Atletas!F351="","",IF(Atletas!B351="Feminino",100,IF(Atletas!B351="Masculino",200,""))+(IF(Atletas!F351="Adulto 48kg",1,IF(Atletas!F351="Adulto 56kg",2,IF(Atletas!F351="Adulto 65kg",3,IF(Atletas!F351="Adulto 75kg",4,IF(Atletas!F351="Adulto +75kg",5,IF(Atletas!F351="Adulto 52kg",6,IF(Atletas!F351="Adulto 60kg",7,IF(Atletas!F351="Adulto 70kg",8,IF(Atletas!F351="Adulto 80kg",9,IF(Atletas!F351="Adulto 90kg",10,IF(Atletas!F351="Adulto +90kg",11,"")))))))))))))</f>
        <v/>
      </c>
      <c r="BC360" s="6" t="str">
        <f>IF(Atletas!G351="","",IF(Atletas!B351="Feminino",10,IF(Atletas!B351="Masculino",20,""))+(IF(Atletas!G351="Baduanjin A",1,IF(Atletas!G351="Baduanjin B",2))))</f>
        <v/>
      </c>
      <c r="BF360" s="52" t="str">
        <f>IF(Atletas!H351="","",IF(Atletas!B351="Feminino",100,IF(Atletas!B351="Masculino",200,""))+(IF(Atletas!H351="Changquan Mirim",1,IF(Atletas!H351="Nanquan Mirim",2,IF(Atletas!H351="Taijiquan Mirim",3,IF(Atletas!H351="Changquan Grupo C",4,IF(Atletas!H351="Nanquan Grupo C",5,IF(Atletas!H351="Taijiquan Grupo C",6,IF(Atletas!H351="Changquan Grupo B",7,IF(Atletas!H351="Nanquan Grupo B",8,IF(Atletas!H351="Taijiquan Grupo B",9,IF(Atletas!H351="Changquan Grupo A",10,IF(Atletas!H351="Nanquan Grupo A",11,IF(Atletas!H351="Taijiquan Grupo A",12,IF(Atletas!H351="Changquan Opcional",13,IF(Atletas!H351="Nanquan Opcional",14,IF(Atletas!H351="Taijiquan Opcional",15,IF(Atletas!H351="Changquan Adulto",16,IF(Atletas!H351="Nanquan Adulto",17,IF(Atletas!H351="Taijiquan Adulto",18,""))))))))))))))))))))</f>
        <v/>
      </c>
      <c r="BG360" s="52" t="str">
        <f>IF(Atletas!I351="","",IF(Atletas!B351="Feminino",100,IF(Atletas!B351="Masculino",200,""))+(IF(Atletas!I351="Daoshu Mirim",19,IF(Atletas!I351="Jianshu Mirim",20,IF(Atletas!I351="Nandao Mirim",21,IF(Atletas!I351="Taijijian Mirim",22,IF(Atletas!I351="Daoshu Grupo C",23,IF(Atletas!I351="Jianshu Grupo C",24,IF(Atletas!I351="Nandao Grupo C",25,IF(Atletas!I351="Taijijian Grupo C",26,IF(Atletas!I351="Daoshu Grupo B",27,IF(Atletas!I351="Jianshu Grupo B",28,IF(Atletas!I351="Nandao Grupo B",29,IF(Atletas!I351="Taijijian Grupo B",30,IF(Atletas!I351="Daoshu Grupo A",31,IF(Atletas!I351="Jianshu Grupo A",32,IF(Atletas!I351="Nandao Grupo A",33,IF(Atletas!I351="Taijijian Grupo A",34,IF(Atletas!I351="Daoshu Opcional",35,IF(Atletas!I351="Jianshu Opcional",36,IF(Atletas!I351="Nandao Opcional",37,IF(Atletas!I351="Taijijian Opcional",38,IF(Atletas!I351="Daoshu Adulto",39,IF(Atletas!I351="Jianshu Adulto",40,IF(Atletas!I351="Nandao Adulto",41,IF(Atletas!I351="Taijijian Adulto",42,""))))))))))))))))))))))))))</f>
        <v/>
      </c>
      <c r="BH360" s="52" t="str">
        <f>IF(Atletas!J351="","",IF(Atletas!B351="Feminino",100,IF(Atletas!B351="Masculino",200,""))+(IF(Atletas!J351="Gunshu Mirim",43,IF(Atletas!J351="Qiangshu Mirim",44,IF(Atletas!J351="Nangun Mirim",45,IF(Atletas!J351="Gunshu Grupo C",46,IF(Atletas!J351="Qiangshu Grupo C",47,IF(Atletas!J351="Nangun Grupo C",48,IF(Atletas!J351="Gunshu Grupo B",49,IF(Atletas!J351="Qiangshu Grupo B",50,IF(Atletas!J351="Nangun Grupo B",51,IF(Atletas!J351="Gunshu Grupo A",52,IF(Atletas!J351="Qiangshu Grupo A",53,IF(Atletas!J351="Nangun Grupo A",54,IF(Atletas!J351="Gunshu Opcional",55,IF(Atletas!J351="Qiangshu Opcional",56,IF(Atletas!J351="Nangun Opcional",57,IF(Atletas!J351="Gunshu Adulto",58,IF(Atletas!J351="Qiangshu Adulto",59,IF(Atletas!J351="Nangun Adulto",60,IF(Atletas!J351="Taijishan Grupo B",61,IF(Atletas!J351="Taijishan Grupo A",62,""))))))))))))))))))))))</f>
        <v/>
      </c>
      <c r="BM360" s="50" t="str">
        <f>IF(Atletas!K351="","",IF(Atletas!B351="Feminino",100,IF(Atletas!B351="Masculino",200,""))+(IF(Atletas!K351="Equipe 1 Grupo B",1,IF(Atletas!K351="Equipe 2 Grupo B",2,IF(Atletas!K351="Equipe 1 Grupo A",3,IF(Atletas!K351="Equipe 2 Grupo A",4,IF(Atletas!K351="Equipe 1 Adulto",5,IF(Atletas!K351="Equipe 2 Adulto",6,""))))))))</f>
        <v/>
      </c>
      <c r="BR360" s="50" t="str">
        <f>IF(Atletas!L351="","",IF(Atletas!X351&lt;&gt;"",10000,0)+(IF(Atletas!B351="Feminino",1000,IF(Atletas!B351="Masculino",2000,""))+IF(Atletas!L351="Choylayfut A",1,IF(Atletas!L351="Hunggar A",2,IF(Atletas!L351="Wuzuquan A",3,IF(Atletas!L351="Wingchun A",4,IF(Atletas!L351="Outra Mão de Sul A",5,IF(Atletas!L351="Choylayfut B",6,IF(Atletas!L351="Hunggar B",7,IF(Atletas!L351="Wuzuquan B",8,IF(Atletas!L351="Wingchun B",9,IF(Atletas!L351="Outra Mão de Sul B",10,IF(Atletas!L351="Choylayfut C",11,IF(Atletas!L351="Hunggar C",12,IF(Atletas!L351="Wuzuquan C",13,IF(Atletas!L351="Wingchun C",14,IF(Atletas!L351="Outra Mão de Sul C",15,IF(Atletas!L351="Choylayfut D",16,IF(Atletas!L351="Hunggar D",17,IF(Atletas!L351="Wuzuquan D",18,IF(Atletas!L351="Wingchun D",19,IF(Atletas!L351="Outra Mão de Sul D",20,IF(Atletas!L351="Choylayfut E",21,IF(Atletas!L351="Hunggar E",22,IF(Atletas!L351="Wuzuquan E",23,IF(Atletas!L351="Wingchun E",24,IF(Atletas!L351="Outra Mão de Sul E",25,IF(Atletas!L351="Choylayfut F",26,IF(Atletas!L351="Hunggar F",27,IF(Atletas!L351="Wuzuquan F",28,IF(Atletas!L351="Wingchun F",29,IF(Atletas!L351="Outra Mão de Sul F",30,IF(Atletas!L351="Dishuquan A",31,IF(Atletas!L351="Dishuquan B",32,IF(Atletas!L351="Dishuquan C",33,IF(Atletas!L351="Dishuquan D",34,IF(Atletas!L351="Dishuquan E",35,IF(Atletas!L351="Dishuquan F",36,""))))))))))))))))))))))))))))))))))))))</f>
        <v/>
      </c>
      <c r="BS360" s="50" t="str">
        <f>IF(Atletas!M351="","",IF(Atletas!X351&lt;&gt;"",10000,0)+(IF(Atletas!B351="Feminino",1000,IF(Atletas!B351="Masculino",2000,""))+(IF(Atletas!M351="Chaquan A",101,IF(Atletas!M351="Emeiquan A",102,IF(Atletas!M351="Fanziquan A",103,IF(Atletas!M351="Huaquan A",104,IF(Atletas!M351="Hongquan A",105,IF(Atletas!M351="Paoquan A",106,IF(Atletas!M351="Piguaquan A",107,IF(Atletas!M351="Shaolinquan A",108,IF(Atletas!M351="Tanglangquan A",109,IF(Atletas!M351="Yingzhaoquan A",110,IF(Atletas!M351="Tongbeiquan A",111,IF(Atletas!M351="Wudangquan A",112,IF(Atletas!M351="Outros Estilos A",113,IF(Atletas!M351="Chaquan B",114,IF(Atletas!M351="Emeiquan B",115,IF(Atletas!M351="Fanziquan B",116,IF(Atletas!M351="Huaquan B",117,IF(Atletas!M351="Hongquan B",118,IF(Atletas!M351="Paoquan B",119,IF(Atletas!M351="Piguaquan B",120,IF(Atletas!M351="Shaolinquan B",121,IF(Atletas!M351="Tanglangquan B",122,IF(Atletas!M351="Yingzhaoquan B",123,IF(Atletas!M351="Tongbeiquan B",124,IF(Atletas!M351="Wudangquan B",125,IF(Atletas!M351="Outros Estilos B",126,IF(Atletas!M351="Chaquan C",127,IF(Atletas!M351="Emeiquan C",128,IF(Atletas!M351="Fanziquan C",129,IF(Atletas!M351="Huaquan C",130,IF(Atletas!M351="Hongquan C",131,IF(Atletas!M351="Paoquan C",132,IF(Atletas!M351="Piguaquan C",133,IF(Atletas!M351="Shaolinquan C",134,IF(Atletas!M351="Tanglangquan C",135,IF(Atletas!M351="Yingzhaoquan C",136,IF(Atletas!M351="Tongbeiquan C",137,IF(Atletas!M351="Wudangquan C",138,IF(Atletas!M351="Outros Estilos C",139,0))))))))))))))))))))))))))))))))))))))))))</f>
        <v/>
      </c>
      <c r="BT360" s="50" t="str">
        <f>IF(Atletas!M351="","",IF(Atletas!X351&lt;&gt;"",10000,0)+(IF(Atletas!B351="Feminino",1000,IF(Atletas!B351="Masculino",2000,""))+(IF(Atletas!M351="Chaquan D",140,IF(Atletas!M351="Emeiquan D",141,IF(Atletas!M351="Fanziquan D",142,IF(Atletas!M351="Huaquan D",143,IF(Atletas!M351="Hongquan D",144,IF(Atletas!M351="Paoquan D",145,IF(Atletas!M351="Piguaquan D",146,IF(Atletas!M351="Shaolinquan D",147,IF(Atletas!M351="Tanglangquan D",148,IF(Atletas!M351="Yingzhaoquan D",149,IF(Atletas!M351="Tongbeiquan D",150,IF(Atletas!M351="Wudangquan D",151,IF(Atletas!M351="Outros Estilos D",152,IF(Atletas!M351="Chaquan E",153,IF(Atletas!M351="Emeiquan E",154,IF(Atletas!M351="Fanziquan E",155,IF(Atletas!M351="Huaquan E",156,IF(Atletas!M351="Hongquan E",157,IF(Atletas!M351="Paoquan E",158,IF(Atletas!M351="Piguaquan E",159,IF(Atletas!M351="Shaolinquan E",160,IF(Atletas!M351="Tanglangquan E",161,IF(Atletas!M351="Yingzhaoquan E",162,IF(Atletas!M351="Tongbeiquan E",163,IF(Atletas!M351="Wudangquan E",164,IF(Atletas!M351="Outros Estilos E",165,IF(Atletas!M351="Chaquan F",166,IF(Atletas!M351="Emeiquan F",167,IF(Atletas!M351="Fanziquan F",168,IF(Atletas!M351="Huaquan F",169,IF(Atletas!M351="Hongquan F",170,IF(Atletas!M351="Paoquan F",171,IF(Atletas!M351="Piguaquan F",172,IF(Atletas!M351="Shaolinquan F",173,IF(Atletas!M351="Tanglangquan F",174,IF(Atletas!M351="Yingzhaoquan F",175,IF(Atletas!M351="Tongbeiquan F",176,IF(Atletas!M351="Wudangquan F",177,IF(Atletas!M351="Outros Estilos F",178,0))))))))))))))))))))))))))))))))))))))))))</f>
        <v/>
      </c>
      <c r="BU360" s="50" t="str">
        <f>IF(Atletas!N351="","",IF(Atletas!X351&lt;&gt;"",10000,0)+(IF(Atletas!B351="Feminino",1000,IF(Atletas!B351="Masculino",2000,""))+(IF(Atletas!N351="Ditangquan A",201,IF(Atletas!N351="Houquan A",202,IF(Atletas!N351="Zuiquan A",203,IF(Atletas!N351="Ditangquan B",204,IF(Atletas!N351="Houquan B",205,IF(Atletas!N351="Zuiquan B",206,IF(Atletas!N351="Ditangquan C",207,IF(Atletas!N351="Houquan C",208,IF(Atletas!N351="Zuiquan C",209,IF(Atletas!N351="Ditangquan D",210,IF(Atletas!N351="Houquan D",211,IF(Atletas!N351="Zuiquan D",212,IF(Atletas!N351="Ditangquan E",213,IF(Atletas!N351="Houquan E",214,IF(Atletas!N351="Zuiquan E",215,IF(Atletas!N351="Ditangquan F",216,IF(Atletas!N351="Houquan F",217,IF(Atletas!N351="Zuiquan F",218,"")))))))))))))))))))))</f>
        <v/>
      </c>
      <c r="BV360" s="50" t="str">
        <f>IF(Atletas!O351="","",IF(Atletas!X351&lt;&gt;"",10000,0)+IF(Atletas!B351="Feminino",1000,IF(Atletas!B351="Masculino",2000,""))+IF(Atletas!O351="Yang A",301,IF(Atletas!O351="Chen A",302,IF(Atletas!O351="Sun A",303,IF(Atletas!O351="Wu A",304,IF(Atletas!O351="Wu-Hao A",305,IF(Atletas!O351="Outro Taijiquan A",306,IF(Atletas!O351="Yang B",307,IF(Atletas!O351="Chen B",308,IF(Atletas!O351="Sun B",309,IF(Atletas!O351="Wu B",310,IF(Atletas!O351="Wu-Hao B",311,IF(Atletas!O351="Outro Taijiquan B",312,IF(Atletas!O351="Yang C",313,IF(Atletas!O351="Chen C",314,IF(Atletas!O351="Sun C",315,IF(Atletas!O351="Wu C",316,IF(Atletas!O351="Wu-Hao C",317,IF(Atletas!O351="Outro Taijiquan C",318,IF(Atletas!O351="Yang D",319,IF(Atletas!O351="Chen D",320,IF(Atletas!O351="Sun D",321,IF(Atletas!O351="Wu D",322,IF(Atletas!O351="Wu-Hao D",323,IF(Atletas!O351="Outro Taijiquan D",324,IF(Atletas!O351="Yang E",325,IF(Atletas!O351="Chen E",326,IF(Atletas!O351="Sun E",327,IF(Atletas!O351="Wu E",328,IF(Atletas!O351="Wu-Hao E",329,IF(Atletas!O351="Outro Taijiquan E",330,IF(Atletas!O351="Yang F",331,IF(Atletas!O351="Chen F",332,IF(Atletas!O351="Sun F",333,IF(Atletas!O351="Wu F",334,IF(Atletas!O351="Wu-Hao F",335,IF(Atletas!O351="Outro Taijiquan F",336,"")))))))))))))))))))))))))))))))))))))</f>
        <v/>
      </c>
      <c r="BW360" s="50" t="str">
        <f>IF(Atletas!P351="","",IF(Atletas!X351&lt;&gt;"",10000,0)+IF(Atletas!B351="Feminino",1000,IF(Atletas!B351="Masculino",2000,""))+IF(OR(Atletas!P351="Yang 26 A",Atletas!P351="Yang 40 A"),401,IF(OR(Atletas!P351="Chen 25 A",Atletas!P351="Chen 36 A",Atletas!P351="Chen 56 A"),402,IF(Atletas!P351="Sun 73 A",403,IF(Atletas!P351="Wu 45 A",404,IF(Atletas!P351="Wu-Hao 46 A",405,IF(OR(Atletas!P351="Taijiquan 16 A",Atletas!P351="Taijiquan 24 A",Atletas!P351="Taijiquan 32 A",Atletas!P351="Taijiquan 42 A"),406,IF(OR(Atletas!P351="Yang 26 B",Atletas!P351="Yang 40 B"),407,IF(OR(Atletas!P351="Chen 25 B",Atletas!P351="Chen 36 B",Atletas!P351="Chen 56 B"),408,IF(Atletas!P351="Sun 73 B",409,IF(Atletas!P351="Wu 45 B",410,IF(Atletas!P351="Wu-Hao 46 B",411,IF(OR(Atletas!P351="Taijiquan 16 B",Atletas!P351="Taijiquan 24 B",Atletas!P351="Taijiquan 32 B",Atletas!P351="Taijiquan 42 B"),412,IF(OR(Atletas!P351="Yang 26 C",Atletas!P351="Yang 40 C"),413,IF(OR(Atletas!P351="Chen 25 C",Atletas!P351="Chen 36 C",Atletas!P351="Chen 56 C"),414,IF(Atletas!P351="Sun 73 C",415,IF(Atletas!P351="Wu 45 C",416,IF(Atletas!P351="Wu-Hao 46 C",417,IF(OR(Atletas!P351="Taijiquan 16 C",Atletas!P351="Taijiquan 24 C",Atletas!P351="Taijiquan 32 C",Atletas!P351="Taijiquan 42 C"),418,0)))))))))))))))))))</f>
        <v/>
      </c>
      <c r="BX360" s="50" t="str">
        <f>IF(Atletas!P351="","",IF(Atletas!X351&lt;&gt;"",10000,0)+IF(Atletas!B351="Feminino",1000,IF(Atletas!B351="Masculino",2000,""))+IF(OR(Atletas!P351="Yang 26 D",Atletas!P351="Yang 40 D"),419,IF(OR(Atletas!P351="Chen 25 D",Atletas!P351="Chen 36 D",Atletas!P351="Chen 56 D"),420,IF(Atletas!P351="Sun 73 D",421,IF(Atletas!P351="Wu 45 D",422,IF(Atletas!P351="Wu-Hao 46 D",423,IF(OR(Atletas!P351="Taijiquan 16 D",Atletas!P351="Taijiquan 24 D",Atletas!P351="Taijiquan 32 D",Atletas!P351="Taijiquan 42 D"),424,IF(OR(Atletas!P351="Yang 26 E",Atletas!P351="Yang 40 E"),425,IF(OR(Atletas!P351="Chen 25 E",Atletas!P351="Chen 36 E",Atletas!P351="Chen 56 E"),426,IF(Atletas!P351="Sun 73 E",427,IF(Atletas!P351="Wu 45 E",428,IF(Atletas!P351="Wu-Hao 46 E",429,IF(OR(Atletas!P351="Taijiquan 16 E",Atletas!P351="Taijiquan 24 E",Atletas!P351="Taijiquan 32 E",Atletas!P351="Taijiquan 42 E"),430,IF(OR(Atletas!P351="Yang 26 F",Atletas!P351="Yang 40 F"),431,IF(OR(Atletas!P351="Chen 25 F",Atletas!P351="Chen 36 F",Atletas!P351="Chen 56 F"),432,IF(Atletas!P351="Sun 73 F",433,IF(Atletas!P351="Wu 45 F",434,IF(Atletas!P351="Wu-Hao 46 F",435,IF(OR(Atletas!P351="Taijiquan 16 F",Atletas!P351="Taijiquan 24 F",Atletas!P351="Taijiquan 32 F",Atletas!P351="Taijiquan 42 F"),436,0)))))))))))))))))))</f>
        <v/>
      </c>
      <c r="BY360" s="50" t="str">
        <f>IF(Atletas!Q351="","",IF(Atletas!X351&lt;&gt;"",10000,0)+IF(Atletas!B351="Feminino",1000,IF(Atletas!B351="Masculino",2000,""))+IF(Atletas!Q351="Xingyiquan A",501,IF(Atletas!Q351="Baguazhang A",502,IF(Atletas!Q351="Outro Estilo Interno A",503,IF(Atletas!Q351="Xingyiquan B",504,IF(Atletas!Q351="Baguazhang B",505,IF(Atletas!Q351="Outro Estilo Interno B",506,IF(Atletas!Q351="Xingyiquan C",507,IF(Atletas!Q351="Baguazhang C",508,IF(Atletas!Q351="Outro Estilo Interno C",509,IF(Atletas!Q351="Xingyiquan D",510,IF(Atletas!Q351="Baguazhang D",511,IF(Atletas!Q351="Outro Estilo Interno D",512,IF(Atletas!Q351="Xingyiquan E",513,IF(Atletas!Q351="Baguazhang E",514,IF(Atletas!Q351="Outro Estilo Interno E",515,IF(Atletas!Q351="Xingyiquan F",516,IF(Atletas!Q351="Baguazhang F",517,IF(Atletas!Q351="Outro Estilo Interno F",518, "")))))))))))))))))))</f>
        <v/>
      </c>
      <c r="BZ360" s="50" t="str">
        <f>IF(Atletas!R351="","",IF(Atletas!X351&lt;&gt;"",10000,0)+IF(Atletas!B351="Feminino",1000,IF(Atletas!B351="Masculino",2000,""))+IF(Atletas!R351="Dao A",601,IF(Atletas!R351="Jian A",602,IF(Atletas!R351="Bishou A",603,IF(Atletas!R351="Shanzi A",604,IF(Atletas!R351="Outra Arma Curta A",605,IF(Atletas!R351="Dao B",606,IF(Atletas!R351="Jian B",607,IF(Atletas!R351="Bishou B",608,IF(Atletas!R351="Shanzi B",609,IF(Atletas!R351="Outra Arma Curta B",610,IF(Atletas!R351="Dao C",611,IF(Atletas!R351="Jian C",612,IF(Atletas!R351="Bishou C",613,IF(Atletas!R351="Shanzi C",614,IF(Atletas!R351="Outra Arma Curta C",615,IF(Atletas!R351="Dao D",616,IF(Atletas!R351="Jian D",617,IF(Atletas!R351="Bishou D",618,IF(Atletas!R351="Shanzi D",619,IF(Atletas!R351="Outra Arma Curta D",620,IF(Atletas!R351="Dao E",621,IF(Atletas!R351="Jian E",622,IF(Atletas!R351="Bishou E",623,IF(Atletas!R351="Shanzi E",624,IF(Atletas!R351="Outra Arma Curta E",625,IF(Atletas!R351="Dao F",626,IF(Atletas!R351="Jian F",627,IF(Atletas!R351="Bishou F",628,IF(Atletas!R351="Shanzi F",629,IF(Atletas!R351="Outra Arma Curta F",630, "")))))))))))))))))))))))))))))))</f>
        <v/>
      </c>
      <c r="CA360" s="50" t="str">
        <f>IF(Atletas!S351="","",IF(Atletas!X351&lt;&gt;"",10000,0)+IF(Atletas!B351="Feminino",1000,IF(Atletas!B351="Masculino",2000,""))+IF(Atletas!S351="Gun A",701,IF(Atletas!S351="Qiang A",702,IF(Atletas!S351="Pudao / Guandao A",703,IF(Atletas!S351="Outra Arma Longa A",704,IF(Atletas!S351="Gun B",705,IF(Atletas!S351="Qiang B",706,IF(Atletas!S351="Pudao / Guandao B",707,IF(Atletas!S351="Outra Arma Longa B",708,IF(Atletas!S351="Gun C",709,IF(Atletas!S351="Qiang C",710,IF(Atletas!S351="Pudao / Guandao C",711,IF(Atletas!S351="Outra Arma Longa C",712,IF(Atletas!S351="Gun D",713,IF(Atletas!S351="Qiang D",714,IF(Atletas!S351="Pudao / Guandao D",715,IF(Atletas!S351="Outra Arma Longa D",716,IF(Atletas!S351="Gun E",717,IF(Atletas!S351="Qiang E",718,IF(Atletas!S351="Pudao / Guandao E",719,IF(Atletas!S351="Outra Arma Longa E",720,IF(Atletas!S351="Gun F",721,IF(Atletas!S351="Qiang F",722,IF(Atletas!S351="Pudao / Guandao F",723,IF(Atletas!S351="Outra Arma Longa F",724,"")))))))))))))))))))))))))</f>
        <v/>
      </c>
      <c r="CB360" s="50" t="str">
        <f>IF(Atletas!T351="","",IF(Atletas!X351&lt;&gt;"",10000,0)+IF(Atletas!B351="Feminino",1000,IF(Atletas!B351="Masculino",2000,""))+IF(Atletas!T351="Outra Arma Dupla A",801,IF(Atletas!T351="Arma Maleável A",802,IF(Atletas!T351="Outra Arma Dupla B",803,IF(Atletas!T351="Arma Maleável B",804,IF(Atletas!T351="Outra Arma Dupla C",805,IF(Atletas!T351="Arma Maleável C",806,IF(Atletas!T351="Outra Arma Dupla D",807,IF(Atletas!T351="Arma Maleável D",808,IF(Atletas!T351="Outra Arma Dupla E",809,IF(Atletas!T351="Arma Maleável E",810,IF(Atletas!T351="Outra Arma Dupla F",811,IF(Atletas!T351="Arma Maleável F",812,IF(Atletas!T351="Shuangdao A",813,IF(Atletas!T351="Shuangdao B",814,IF(Atletas!T351="Shuangdao C",815,IF(Atletas!T351="Shuangdao D",816,IF(Atletas!T351="Shuangdao E",817,IF(Atletas!T351="Shuangdao F",818,"")))))))))))))))))))</f>
        <v/>
      </c>
      <c r="CC360" s="50" t="str">
        <f>IF(Atletas!U351="","",IF(Atletas!X351&lt;&gt;"",10000,0)+IF(Atletas!B351="Feminino",1000,IF(Atletas!B351="Masculino",2000,""))+IF(OR(Atletas!U351="Taijijian Yang A",Atletas!U351="Taijijian Yang Standard A"),901,IF(OR(Atletas!U351="Taijijian Chen A", Atletas!U351="Taijijian Chen Standard A"),902,IF(Atletas!U351="Taijijian Sun A",903,IF(Atletas!U351="Taijijian Wu A",904,IF(Atletas!U351="Taijijian Wu-Hao A",905,IF(OR(Atletas!U351="Taijijian 32 A",Atletas!U351="Taijijian 42 A"),906,IF(OR(Atletas!U351="Taijijian Yang B",Atletas!U351="Taijijian Yang Standard B"),907,IF(OR(Atletas!U351="Taijijian Chen B", Atletas!U351="Taijijian Chen Standard B"),908,IF(Atletas!U351="Taijijian Sun B",909,IF(Atletas!U351="Taijijian Wu B",910,IF(Atletas!U351="Taijijian Wu-Hao B",911,IF(OR(Atletas!U351="Taijijian 32 B",Atletas!U351="Taijijian 42 B"),912,IF(OR(Atletas!U351="Taijijian Yang C",Atletas!U351="Taijijian Yang Standard C"),913,IF(OR(Atletas!U351="Taijijian Chen C", Atletas!U351="Taijijian Chen Standard C"),914,IF(Atletas!U351="Taijijian Sun C",915,IF(Atletas!U351="Taijijian Wu C",916,IF(Atletas!U351="Taijijian Wu-Hao C",917,IF(OR(Atletas!U351="Taijijian 32 C",Atletas!U351="Taijijian 42 C"),918,IF(OR(Atletas!U351="Taijijian Yang D",Atletas!U351="Taijijian Yang Standard D"),919,IF(OR(Atletas!U351="Taijijian Chen D", Atletas!U351="Taijijian Chen Standard D"),920,IF(Atletas!U351="Taijijian Sun D",921,IF(Atletas!U351="Taijijian Wu D",922,IF(Atletas!U351="Taijijian Wu-Hao D",923,IF(OR(Atletas!U351="Taijijian 32 D",Atletas!U351="Taijijian 42 D"),924,IF(OR(Atletas!U351="Taijijian Yang E",Atletas!U351="Taijijian Yang Standard E"),925,IF(OR(Atletas!U351="Taijijian Chen E", Atletas!U351="Taijijian Chen Standard E"),926,IF(Atletas!U351="Taijijian Sun E",927,IF(Atletas!U351="Taijijian Wu E",928,IF(Atletas!U351="Taijijian Wu-Hao E",929,IF(OR(Atletas!U351="Taijijian 32 E",Atletas!U351="Taijijian 42 E"),930,IF(OR(Atletas!U351="Taijijian Yang F",Atletas!U351="Taijijian Yang Standard F"),931,IF(OR(Atletas!U351="Taijijian Chen F", Atletas!U351="Taijijian Chen Standard F"),932,IF(Atletas!U351="Taijijian Sun F",933,IF(Atletas!U351="Taijijian Wu F",934,IF(Atletas!U351="Taijijian Wu-Hao F",935,IF(OR(Atletas!U351="Taijijian 32 F",Atletas!U351="Taijijian 42 F"),936,"")))))))))))))))))))))))))))))))))))))</f>
        <v/>
      </c>
      <c r="CD360" s="50" t="str">
        <f>IF(Atletas!V351="","",IF(Atletas!X351&lt;&gt;"",10000,0)+IF(Atletas!B351="Feminino",1000,IF(Atletas!B351="Masculino",2000,""))+IF(Atletas!V351="Taijidao A",937,IF(Atletas!V351="TaijiShanzi A",938,IF(Atletas!V351="Taijiqiang A",939,IF(Atletas!V351="Bagua de Arma A",940,IF(Atletas!V351="Xingyi de Arma A",941,IF(Atletas!V351="Taijidao B",942,IF(Atletas!V351="TaijiShanzi B",943,IF(Atletas!V351="Taijiqiang B",944,IF(Atletas!V351="Bagua de Arma B",945,IF(Atletas!V351="Xingyi de Arma B",946,IF(Atletas!V351="Taijidao C",947,IF(Atletas!V351="TaijiShanzi C",948,IF(Atletas!V351="Taijiqiang C",949,IF(Atletas!V351="Bagua de Arma C",950,IF(Atletas!V351="Xingyi de Arma C",951,IF(Atletas!V351="Taijidao D",952,IF(Atletas!V351="TaijiShanzi D",953,IF(Atletas!V351="Taijiqiang D",954,IF(Atletas!V351="Bagua de Arma D",955,IF(Atletas!V351="Xingyi de Arma D",956,IF(Atletas!V351="Taijidao E",957,IF(Atletas!V351="TaijiShanzi E",958,IF(Atletas!V351="Taijiqiang E",959,IF(Atletas!V351="Bagua de Arma E",960,IF(Atletas!V351="Xingyi de Arma E",961,IF(Atletas!V351="Taijidao F",962,IF(Atletas!V351="TaijiShanzi F",963,IF(Atletas!V351="Taijiqiang F",964,IF(Atletas!V351="Bagua de Arma F",965,IF(Atletas!V351="Xingyi de Arma F",966,"")))))))))))))))))))))))))))))))</f>
        <v/>
      </c>
      <c r="CE360" s="66" t="str">
        <f>IF(CF360&lt;&gt;"","Bagua de Arma E","")</f>
        <v/>
      </c>
      <c r="CF360" s="66" t="str">
        <f>IF(COUNTIF(BR:CD,1960)&gt;0,COUNTIF(BR:CD,1960),"")</f>
        <v/>
      </c>
      <c r="CG360" s="66" t="str">
        <f>IF(CH360&lt;&gt;"","Bagua de Arma E","")</f>
        <v/>
      </c>
      <c r="CH360" s="66" t="str">
        <f>IF(COUNTIF(BR:CD,2960)&gt;0,COUNTIF(BR:CD,2960),"")</f>
        <v/>
      </c>
      <c r="CI360" s="66"/>
      <c r="CJ360" s="66"/>
      <c r="CK360" s="66"/>
      <c r="CL360" s="66"/>
      <c r="CM360" s="50" t="str">
        <f xml:space="preserve"> IF(Atletas!W351="","",IF(Atletas!W351="Duilian de Mãos BC - Equipe 1",1,IF(Atletas!W351="Duilian de Mãos BC - Equipe 2",2,IF(Atletas!W351="Duilian de Armas BC - Equipe 1",3,IF(Atletas!W351="Duilian de Armas BC - Equipe 2",4,IF(Atletas!W351="Duilian de Mãos DE - Equipe 1",5,IF(Atletas!W351="Duilian de Mãos DE - Equipe 2",6,IF(Atletas!W351="Duilian de Armas DE - Equipe 1",7,IF(Atletas!W351="Duilian de Armas DE - Equipe 2",8,IF(Atletas!W351="Duilian de Tuishou - Equipe 1",9,IF(Atletas!W351="Duilian de Tuishou - Equipe 2",10,IF(Atletas!W351="Grupo Externo ABC - Equipe 1",11,IF(Atletas!W351="Grupo Externo ABC - Equipe 2",12,IF(Atletas!W351="Grupo Interno ABC - Equipe 1",13,IF(Atletas!W351="Grupo Interno ABC - Equipe 2",14,IF(Atletas!W351="Grupo Externo DEF - Equipe 1",15,IF(Atletas!W351="Grupo Externo DEF - Equipe 2",16,IF(Atletas!W351="Grupo Interno DEF - Equipe 1",17,IF(Atletas!W351="Grupo Interno DEF - Equipe 2",18,"")))))))))))))))))))</f>
        <v/>
      </c>
    </row>
    <row r="361" spans="40:91">
      <c r="AN361" s="52" t="str">
        <f>IF(Atletas!D352="","",IF(Atletas!B352="Feminino",100,IF(Atletas!B352="Masculino",200,""))+(IF(Atletas!D352="Kids 30kg",1,IF(Atletas!D352="Kids 32kg",2, IF(Atletas!D352="Kids 34kg",3,IF(Atletas!D352="Kids 36kg",4,IF(Atletas!D352="Kids 39kg",5,IF(Atletas!D352="Kids 42kg",6,IF(Atletas!D352="Kids 45kg",7, IF(Atletas!D352="Infantil 39kg",8,IF(Atletas!D352="Infantil 42kg",9,IF(Atletas!D352="Infantil 45kg",10,IF(Atletas!D352="Infantil 48kg",11,IF(Atletas!D352="Infantil 52kg",12,IF(Atletas!D352="Infantil 56kg",13,IF(Atletas!D352="Infantil 60kg",14,IF(Atletas!D352="Juvenil 48kg",15,IF(Atletas!D352="Juvenil 52kg",16,IF(Atletas!D352="Juvenil 56kg",17,IF(Atletas!D352="Juvenil 60kg",18,IF(Atletas!D352="Juvenil 65kg",19,IF(Atletas!D352="Juvenil 70kg",20,IF(Atletas!D352="Juvenil 75kg",21,IF(Atletas!D352="Juvenil 80kg",22, IF(Atletas!D352="Juvenil 85kg",23,IF(Atletas!D352="Adulto 48kg",24,IF(Atletas!D352="Adulto 52kg",25,IF(Atletas!D352="Adulto 56kg",26,IF(Atletas!D352="Adulto 60kg",27,IF(Atletas!D352="Adulto 65kg",28,IF(Atletas!D352="Adulto 70kg",29,IF(Atletas!D352="Adulto 75kg",30,IF(Atletas!D352="Adulto 80kg",31,IF(Atletas!D352="Adulto 85kg",32,IF(Atletas!D352="Adulto 90kg",33,IF(Atletas!D352="Adulto 100kg",34, IF(Atletas!D352="Adulto +100kg",35,"")))))))))))))))))))))))))))))))))))))</f>
        <v/>
      </c>
      <c r="AS361" s="6" t="str">
        <f>IF(Atletas!E352="","",IF(Atletas!B352="Feminino",100,IF(Atletas!B352="Masculino",200,""))+(IF(Atletas!E352="Juvenil 44kg",1,IF(Atletas!E352="Juvenil 48kg",2,IF(Atletas!E352="Juvenil 52kg",3,IF(Atletas!E352="Juvenil 56kg",4,IF(Atletas!E352="Juvenil 60kg",5,IF(Atletas!E352="Juvenil 65kg",6,IF(Atletas!E352="Juvenil 70kg",7,IF(Atletas!E352="Juvenil 75kg",8,IF(Atletas!E352="Juvenil 82kg",9,IF(Atletas!E352="Juvenil 90kg",10,IF(Atletas!E352="Juvenil 100kg",11,IF(Atletas!E352="Adulto 48kg",12,IF(Atletas!E352="Adulto 52kg",13,IF(Atletas!E352="Adulto 56kg",14,IF(Atletas!E352="Adulto 60kg",15,IF(Atletas!E352="Adulto 65kg",16,IF(Atletas!E352="Adulto 70kg",17,IF(Atletas!E352="Adulto 75kg",18,IF(Atletas!E352="Adulto 82kg",19,IF(Atletas!E352="Adulto 90kg",20,IF(Atletas!E352="Adulto 100kg",21,IF(Atletas!E352="Adulto +100kg",22,""))))))))))))))))))))))))</f>
        <v/>
      </c>
      <c r="AX361" s="6" t="str">
        <f>IF(Atletas!F352="","",IF(Atletas!B352="Feminino",100,IF(Atletas!B352="Masculino",200,""))+(IF(Atletas!F352="Adulto 48kg",1,IF(Atletas!F352="Adulto 56kg",2,IF(Atletas!F352="Adulto 65kg",3,IF(Atletas!F352="Adulto 75kg",4,IF(Atletas!F352="Adulto +75kg",5,IF(Atletas!F352="Adulto 52kg",6,IF(Atletas!F352="Adulto 60kg",7,IF(Atletas!F352="Adulto 70kg",8,IF(Atletas!F352="Adulto 80kg",9,IF(Atletas!F352="Adulto 90kg",10,IF(Atletas!F352="Adulto +90kg",11,"")))))))))))))</f>
        <v/>
      </c>
      <c r="BC361" s="6" t="str">
        <f>IF(Atletas!G352="","",IF(Atletas!B352="Feminino",10,IF(Atletas!B352="Masculino",20,""))+(IF(Atletas!G352="Baduanjin A",1,IF(Atletas!G352="Baduanjin B",2))))</f>
        <v/>
      </c>
      <c r="BF361" s="52" t="str">
        <f>IF(Atletas!H352="","",IF(Atletas!B352="Feminino",100,IF(Atletas!B352="Masculino",200,""))+(IF(Atletas!H352="Changquan Mirim",1,IF(Atletas!H352="Nanquan Mirim",2,IF(Atletas!H352="Taijiquan Mirim",3,IF(Atletas!H352="Changquan Grupo C",4,IF(Atletas!H352="Nanquan Grupo C",5,IF(Atletas!H352="Taijiquan Grupo C",6,IF(Atletas!H352="Changquan Grupo B",7,IF(Atletas!H352="Nanquan Grupo B",8,IF(Atletas!H352="Taijiquan Grupo B",9,IF(Atletas!H352="Changquan Grupo A",10,IF(Atletas!H352="Nanquan Grupo A",11,IF(Atletas!H352="Taijiquan Grupo A",12,IF(Atletas!H352="Changquan Opcional",13,IF(Atletas!H352="Nanquan Opcional",14,IF(Atletas!H352="Taijiquan Opcional",15,IF(Atletas!H352="Changquan Adulto",16,IF(Atletas!H352="Nanquan Adulto",17,IF(Atletas!H352="Taijiquan Adulto",18,""))))))))))))))))))))</f>
        <v/>
      </c>
      <c r="BG361" s="52" t="str">
        <f>IF(Atletas!I352="","",IF(Atletas!B352="Feminino",100,IF(Atletas!B352="Masculino",200,""))+(IF(Atletas!I352="Daoshu Mirim",19,IF(Atletas!I352="Jianshu Mirim",20,IF(Atletas!I352="Nandao Mirim",21,IF(Atletas!I352="Taijijian Mirim",22,IF(Atletas!I352="Daoshu Grupo C",23,IF(Atletas!I352="Jianshu Grupo C",24,IF(Atletas!I352="Nandao Grupo C",25,IF(Atletas!I352="Taijijian Grupo C",26,IF(Atletas!I352="Daoshu Grupo B",27,IF(Atletas!I352="Jianshu Grupo B",28,IF(Atletas!I352="Nandao Grupo B",29,IF(Atletas!I352="Taijijian Grupo B",30,IF(Atletas!I352="Daoshu Grupo A",31,IF(Atletas!I352="Jianshu Grupo A",32,IF(Atletas!I352="Nandao Grupo A",33,IF(Atletas!I352="Taijijian Grupo A",34,IF(Atletas!I352="Daoshu Opcional",35,IF(Atletas!I352="Jianshu Opcional",36,IF(Atletas!I352="Nandao Opcional",37,IF(Atletas!I352="Taijijian Opcional",38,IF(Atletas!I352="Daoshu Adulto",39,IF(Atletas!I352="Jianshu Adulto",40,IF(Atletas!I352="Nandao Adulto",41,IF(Atletas!I352="Taijijian Adulto",42,""))))))))))))))))))))))))))</f>
        <v/>
      </c>
      <c r="BH361" s="52" t="str">
        <f>IF(Atletas!J352="","",IF(Atletas!B352="Feminino",100,IF(Atletas!B352="Masculino",200,""))+(IF(Atletas!J352="Gunshu Mirim",43,IF(Atletas!J352="Qiangshu Mirim",44,IF(Atletas!J352="Nangun Mirim",45,IF(Atletas!J352="Gunshu Grupo C",46,IF(Atletas!J352="Qiangshu Grupo C",47,IF(Atletas!J352="Nangun Grupo C",48,IF(Atletas!J352="Gunshu Grupo B",49,IF(Atletas!J352="Qiangshu Grupo B",50,IF(Atletas!J352="Nangun Grupo B",51,IF(Atletas!J352="Gunshu Grupo A",52,IF(Atletas!J352="Qiangshu Grupo A",53,IF(Atletas!J352="Nangun Grupo A",54,IF(Atletas!J352="Gunshu Opcional",55,IF(Atletas!J352="Qiangshu Opcional",56,IF(Atletas!J352="Nangun Opcional",57,IF(Atletas!J352="Gunshu Adulto",58,IF(Atletas!J352="Qiangshu Adulto",59,IF(Atletas!J352="Nangun Adulto",60,IF(Atletas!J352="Taijishan Grupo B",61,IF(Atletas!J352="Taijishan Grupo A",62,""))))))))))))))))))))))</f>
        <v/>
      </c>
      <c r="BM361" s="50" t="str">
        <f>IF(Atletas!K352="","",IF(Atletas!B352="Feminino",100,IF(Atletas!B352="Masculino",200,""))+(IF(Atletas!K352="Equipe 1 Grupo B",1,IF(Atletas!K352="Equipe 2 Grupo B",2,IF(Atletas!K352="Equipe 1 Grupo A",3,IF(Atletas!K352="Equipe 2 Grupo A",4,IF(Atletas!K352="Equipe 1 Adulto",5,IF(Atletas!K352="Equipe 2 Adulto",6,""))))))))</f>
        <v/>
      </c>
      <c r="BR361" s="50" t="str">
        <f>IF(Atletas!L352="","",IF(Atletas!X352&lt;&gt;"",10000,0)+(IF(Atletas!B352="Feminino",1000,IF(Atletas!B352="Masculino",2000,""))+IF(Atletas!L352="Choylayfut A",1,IF(Atletas!L352="Hunggar A",2,IF(Atletas!L352="Wuzuquan A",3,IF(Atletas!L352="Wingchun A",4,IF(Atletas!L352="Outra Mão de Sul A",5,IF(Atletas!L352="Choylayfut B",6,IF(Atletas!L352="Hunggar B",7,IF(Atletas!L352="Wuzuquan B",8,IF(Atletas!L352="Wingchun B",9,IF(Atletas!L352="Outra Mão de Sul B",10,IF(Atletas!L352="Choylayfut C",11,IF(Atletas!L352="Hunggar C",12,IF(Atletas!L352="Wuzuquan C",13,IF(Atletas!L352="Wingchun C",14,IF(Atletas!L352="Outra Mão de Sul C",15,IF(Atletas!L352="Choylayfut D",16,IF(Atletas!L352="Hunggar D",17,IF(Atletas!L352="Wuzuquan D",18,IF(Atletas!L352="Wingchun D",19,IF(Atletas!L352="Outra Mão de Sul D",20,IF(Atletas!L352="Choylayfut E",21,IF(Atletas!L352="Hunggar E",22,IF(Atletas!L352="Wuzuquan E",23,IF(Atletas!L352="Wingchun E",24,IF(Atletas!L352="Outra Mão de Sul E",25,IF(Atletas!L352="Choylayfut F",26,IF(Atletas!L352="Hunggar F",27,IF(Atletas!L352="Wuzuquan F",28,IF(Atletas!L352="Wingchun F",29,IF(Atletas!L352="Outra Mão de Sul F",30,IF(Atletas!L352="Dishuquan A",31,IF(Atletas!L352="Dishuquan B",32,IF(Atletas!L352="Dishuquan C",33,IF(Atletas!L352="Dishuquan D",34,IF(Atletas!L352="Dishuquan E",35,IF(Atletas!L352="Dishuquan F",36,""))))))))))))))))))))))))))))))))))))))</f>
        <v/>
      </c>
      <c r="BS361" s="50" t="str">
        <f>IF(Atletas!M352="","",IF(Atletas!X352&lt;&gt;"",10000,0)+(IF(Atletas!B352="Feminino",1000,IF(Atletas!B352="Masculino",2000,""))+(IF(Atletas!M352="Chaquan A",101,IF(Atletas!M352="Emeiquan A",102,IF(Atletas!M352="Fanziquan A",103,IF(Atletas!M352="Huaquan A",104,IF(Atletas!M352="Hongquan A",105,IF(Atletas!M352="Paoquan A",106,IF(Atletas!M352="Piguaquan A",107,IF(Atletas!M352="Shaolinquan A",108,IF(Atletas!M352="Tanglangquan A",109,IF(Atletas!M352="Yingzhaoquan A",110,IF(Atletas!M352="Tongbeiquan A",111,IF(Atletas!M352="Wudangquan A",112,IF(Atletas!M352="Outros Estilos A",113,IF(Atletas!M352="Chaquan B",114,IF(Atletas!M352="Emeiquan B",115,IF(Atletas!M352="Fanziquan B",116,IF(Atletas!M352="Huaquan B",117,IF(Atletas!M352="Hongquan B",118,IF(Atletas!M352="Paoquan B",119,IF(Atletas!M352="Piguaquan B",120,IF(Atletas!M352="Shaolinquan B",121,IF(Atletas!M352="Tanglangquan B",122,IF(Atletas!M352="Yingzhaoquan B",123,IF(Atletas!M352="Tongbeiquan B",124,IF(Atletas!M352="Wudangquan B",125,IF(Atletas!M352="Outros Estilos B",126,IF(Atletas!M352="Chaquan C",127,IF(Atletas!M352="Emeiquan C",128,IF(Atletas!M352="Fanziquan C",129,IF(Atletas!M352="Huaquan C",130,IF(Atletas!M352="Hongquan C",131,IF(Atletas!M352="Paoquan C",132,IF(Atletas!M352="Piguaquan C",133,IF(Atletas!M352="Shaolinquan C",134,IF(Atletas!M352="Tanglangquan C",135,IF(Atletas!M352="Yingzhaoquan C",136,IF(Atletas!M352="Tongbeiquan C",137,IF(Atletas!M352="Wudangquan C",138,IF(Atletas!M352="Outros Estilos C",139,0))))))))))))))))))))))))))))))))))))))))))</f>
        <v/>
      </c>
      <c r="BT361" s="50" t="str">
        <f>IF(Atletas!M352="","",IF(Atletas!X352&lt;&gt;"",10000,0)+(IF(Atletas!B352="Feminino",1000,IF(Atletas!B352="Masculino",2000,""))+(IF(Atletas!M352="Chaquan D",140,IF(Atletas!M352="Emeiquan D",141,IF(Atletas!M352="Fanziquan D",142,IF(Atletas!M352="Huaquan D",143,IF(Atletas!M352="Hongquan D",144,IF(Atletas!M352="Paoquan D",145,IF(Atletas!M352="Piguaquan D",146,IF(Atletas!M352="Shaolinquan D",147,IF(Atletas!M352="Tanglangquan D",148,IF(Atletas!M352="Yingzhaoquan D",149,IF(Atletas!M352="Tongbeiquan D",150,IF(Atletas!M352="Wudangquan D",151,IF(Atletas!M352="Outros Estilos D",152,IF(Atletas!M352="Chaquan E",153,IF(Atletas!M352="Emeiquan E",154,IF(Atletas!M352="Fanziquan E",155,IF(Atletas!M352="Huaquan E",156,IF(Atletas!M352="Hongquan E",157,IF(Atletas!M352="Paoquan E",158,IF(Atletas!M352="Piguaquan E",159,IF(Atletas!M352="Shaolinquan E",160,IF(Atletas!M352="Tanglangquan E",161,IF(Atletas!M352="Yingzhaoquan E",162,IF(Atletas!M352="Tongbeiquan E",163,IF(Atletas!M352="Wudangquan E",164,IF(Atletas!M352="Outros Estilos E",165,IF(Atletas!M352="Chaquan F",166,IF(Atletas!M352="Emeiquan F",167,IF(Atletas!M352="Fanziquan F",168,IF(Atletas!M352="Huaquan F",169,IF(Atletas!M352="Hongquan F",170,IF(Atletas!M352="Paoquan F",171,IF(Atletas!M352="Piguaquan F",172,IF(Atletas!M352="Shaolinquan F",173,IF(Atletas!M352="Tanglangquan F",174,IF(Atletas!M352="Yingzhaoquan F",175,IF(Atletas!M352="Tongbeiquan F",176,IF(Atletas!M352="Wudangquan F",177,IF(Atletas!M352="Outros Estilos F",178,0))))))))))))))))))))))))))))))))))))))))))</f>
        <v/>
      </c>
      <c r="BU361" s="50" t="str">
        <f>IF(Atletas!N352="","",IF(Atletas!X352&lt;&gt;"",10000,0)+(IF(Atletas!B352="Feminino",1000,IF(Atletas!B352="Masculino",2000,""))+(IF(Atletas!N352="Ditangquan A",201,IF(Atletas!N352="Houquan A",202,IF(Atletas!N352="Zuiquan A",203,IF(Atletas!N352="Ditangquan B",204,IF(Atletas!N352="Houquan B",205,IF(Atletas!N352="Zuiquan B",206,IF(Atletas!N352="Ditangquan C",207,IF(Atletas!N352="Houquan C",208,IF(Atletas!N352="Zuiquan C",209,IF(Atletas!N352="Ditangquan D",210,IF(Atletas!N352="Houquan D",211,IF(Atletas!N352="Zuiquan D",212,IF(Atletas!N352="Ditangquan E",213,IF(Atletas!N352="Houquan E",214,IF(Atletas!N352="Zuiquan E",215,IF(Atletas!N352="Ditangquan F",216,IF(Atletas!N352="Houquan F",217,IF(Atletas!N352="Zuiquan F",218,"")))))))))))))))))))))</f>
        <v/>
      </c>
      <c r="BV361" s="50" t="str">
        <f>IF(Atletas!O352="","",IF(Atletas!X352&lt;&gt;"",10000,0)+IF(Atletas!B352="Feminino",1000,IF(Atletas!B352="Masculino",2000,""))+IF(Atletas!O352="Yang A",301,IF(Atletas!O352="Chen A",302,IF(Atletas!O352="Sun A",303,IF(Atletas!O352="Wu A",304,IF(Atletas!O352="Wu-Hao A",305,IF(Atletas!O352="Outro Taijiquan A",306,IF(Atletas!O352="Yang B",307,IF(Atletas!O352="Chen B",308,IF(Atletas!O352="Sun B",309,IF(Atletas!O352="Wu B",310,IF(Atletas!O352="Wu-Hao B",311,IF(Atletas!O352="Outro Taijiquan B",312,IF(Atletas!O352="Yang C",313,IF(Atletas!O352="Chen C",314,IF(Atletas!O352="Sun C",315,IF(Atletas!O352="Wu C",316,IF(Atletas!O352="Wu-Hao C",317,IF(Atletas!O352="Outro Taijiquan C",318,IF(Atletas!O352="Yang D",319,IF(Atletas!O352="Chen D",320,IF(Atletas!O352="Sun D",321,IF(Atletas!O352="Wu D",322,IF(Atletas!O352="Wu-Hao D",323,IF(Atletas!O352="Outro Taijiquan D",324,IF(Atletas!O352="Yang E",325,IF(Atletas!O352="Chen E",326,IF(Atletas!O352="Sun E",327,IF(Atletas!O352="Wu E",328,IF(Atletas!O352="Wu-Hao E",329,IF(Atletas!O352="Outro Taijiquan E",330,IF(Atletas!O352="Yang F",331,IF(Atletas!O352="Chen F",332,IF(Atletas!O352="Sun F",333,IF(Atletas!O352="Wu F",334,IF(Atletas!O352="Wu-Hao F",335,IF(Atletas!O352="Outro Taijiquan F",336,"")))))))))))))))))))))))))))))))))))))</f>
        <v/>
      </c>
      <c r="BW361" s="50" t="str">
        <f>IF(Atletas!P352="","",IF(Atletas!X352&lt;&gt;"",10000,0)+IF(Atletas!B352="Feminino",1000,IF(Atletas!B352="Masculino",2000,""))+IF(OR(Atletas!P352="Yang 26 A",Atletas!P352="Yang 40 A"),401,IF(OR(Atletas!P352="Chen 25 A",Atletas!P352="Chen 36 A",Atletas!P352="Chen 56 A"),402,IF(Atletas!P352="Sun 73 A",403,IF(Atletas!P352="Wu 45 A",404,IF(Atletas!P352="Wu-Hao 46 A",405,IF(OR(Atletas!P352="Taijiquan 16 A",Atletas!P352="Taijiquan 24 A",Atletas!P352="Taijiquan 32 A",Atletas!P352="Taijiquan 42 A"),406,IF(OR(Atletas!P352="Yang 26 B",Atletas!P352="Yang 40 B"),407,IF(OR(Atletas!P352="Chen 25 B",Atletas!P352="Chen 36 B",Atletas!P352="Chen 56 B"),408,IF(Atletas!P352="Sun 73 B",409,IF(Atletas!P352="Wu 45 B",410,IF(Atletas!P352="Wu-Hao 46 B",411,IF(OR(Atletas!P352="Taijiquan 16 B",Atletas!P352="Taijiquan 24 B",Atletas!P352="Taijiquan 32 B",Atletas!P352="Taijiquan 42 B"),412,IF(OR(Atletas!P352="Yang 26 C",Atletas!P352="Yang 40 C"),413,IF(OR(Atletas!P352="Chen 25 C",Atletas!P352="Chen 36 C",Atletas!P352="Chen 56 C"),414,IF(Atletas!P352="Sun 73 C",415,IF(Atletas!P352="Wu 45 C",416,IF(Atletas!P352="Wu-Hao 46 C",417,IF(OR(Atletas!P352="Taijiquan 16 C",Atletas!P352="Taijiquan 24 C",Atletas!P352="Taijiquan 32 C",Atletas!P352="Taijiquan 42 C"),418,0)))))))))))))))))))</f>
        <v/>
      </c>
      <c r="BX361" s="50" t="str">
        <f>IF(Atletas!P352="","",IF(Atletas!X352&lt;&gt;"",10000,0)+IF(Atletas!B352="Feminino",1000,IF(Atletas!B352="Masculino",2000,""))+IF(OR(Atletas!P352="Yang 26 D",Atletas!P352="Yang 40 D"),419,IF(OR(Atletas!P352="Chen 25 D",Atletas!P352="Chen 36 D",Atletas!P352="Chen 56 D"),420,IF(Atletas!P352="Sun 73 D",421,IF(Atletas!P352="Wu 45 D",422,IF(Atletas!P352="Wu-Hao 46 D",423,IF(OR(Atletas!P352="Taijiquan 16 D",Atletas!P352="Taijiquan 24 D",Atletas!P352="Taijiquan 32 D",Atletas!P352="Taijiquan 42 D"),424,IF(OR(Atletas!P352="Yang 26 E",Atletas!P352="Yang 40 E"),425,IF(OR(Atletas!P352="Chen 25 E",Atletas!P352="Chen 36 E",Atletas!P352="Chen 56 E"),426,IF(Atletas!P352="Sun 73 E",427,IF(Atletas!P352="Wu 45 E",428,IF(Atletas!P352="Wu-Hao 46 E",429,IF(OR(Atletas!P352="Taijiquan 16 E",Atletas!P352="Taijiquan 24 E",Atletas!P352="Taijiquan 32 E",Atletas!P352="Taijiquan 42 E"),430,IF(OR(Atletas!P352="Yang 26 F",Atletas!P352="Yang 40 F"),431,IF(OR(Atletas!P352="Chen 25 F",Atletas!P352="Chen 36 F",Atletas!P352="Chen 56 F"),432,IF(Atletas!P352="Sun 73 F",433,IF(Atletas!P352="Wu 45 F",434,IF(Atletas!P352="Wu-Hao 46 F",435,IF(OR(Atletas!P352="Taijiquan 16 F",Atletas!P352="Taijiquan 24 F",Atletas!P352="Taijiquan 32 F",Atletas!P352="Taijiquan 42 F"),436,0)))))))))))))))))))</f>
        <v/>
      </c>
      <c r="BY361" s="50" t="str">
        <f>IF(Atletas!Q352="","",IF(Atletas!X352&lt;&gt;"",10000,0)+IF(Atletas!B352="Feminino",1000,IF(Atletas!B352="Masculino",2000,""))+IF(Atletas!Q352="Xingyiquan A",501,IF(Atletas!Q352="Baguazhang A",502,IF(Atletas!Q352="Outro Estilo Interno A",503,IF(Atletas!Q352="Xingyiquan B",504,IF(Atletas!Q352="Baguazhang B",505,IF(Atletas!Q352="Outro Estilo Interno B",506,IF(Atletas!Q352="Xingyiquan C",507,IF(Atletas!Q352="Baguazhang C",508,IF(Atletas!Q352="Outro Estilo Interno C",509,IF(Atletas!Q352="Xingyiquan D",510,IF(Atletas!Q352="Baguazhang D",511,IF(Atletas!Q352="Outro Estilo Interno D",512,IF(Atletas!Q352="Xingyiquan E",513,IF(Atletas!Q352="Baguazhang E",514,IF(Atletas!Q352="Outro Estilo Interno E",515,IF(Atletas!Q352="Xingyiquan F",516,IF(Atletas!Q352="Baguazhang F",517,IF(Atletas!Q352="Outro Estilo Interno F",518, "")))))))))))))))))))</f>
        <v/>
      </c>
      <c r="BZ361" s="50" t="str">
        <f>IF(Atletas!R352="","",IF(Atletas!X352&lt;&gt;"",10000,0)+IF(Atletas!B352="Feminino",1000,IF(Atletas!B352="Masculino",2000,""))+IF(Atletas!R352="Dao A",601,IF(Atletas!R352="Jian A",602,IF(Atletas!R352="Bishou A",603,IF(Atletas!R352="Shanzi A",604,IF(Atletas!R352="Outra Arma Curta A",605,IF(Atletas!R352="Dao B",606,IF(Atletas!R352="Jian B",607,IF(Atletas!R352="Bishou B",608,IF(Atletas!R352="Shanzi B",609,IF(Atletas!R352="Outra Arma Curta B",610,IF(Atletas!R352="Dao C",611,IF(Atletas!R352="Jian C",612,IF(Atletas!R352="Bishou C",613,IF(Atletas!R352="Shanzi C",614,IF(Atletas!R352="Outra Arma Curta C",615,IF(Atletas!R352="Dao D",616,IF(Atletas!R352="Jian D",617,IF(Atletas!R352="Bishou D",618,IF(Atletas!R352="Shanzi D",619,IF(Atletas!R352="Outra Arma Curta D",620,IF(Atletas!R352="Dao E",621,IF(Atletas!R352="Jian E",622,IF(Atletas!R352="Bishou E",623,IF(Atletas!R352="Shanzi E",624,IF(Atletas!R352="Outra Arma Curta E",625,IF(Atletas!R352="Dao F",626,IF(Atletas!R352="Jian F",627,IF(Atletas!R352="Bishou F",628,IF(Atletas!R352="Shanzi F",629,IF(Atletas!R352="Outra Arma Curta F",630, "")))))))))))))))))))))))))))))))</f>
        <v/>
      </c>
      <c r="CA361" s="50" t="str">
        <f>IF(Atletas!S352="","",IF(Atletas!X352&lt;&gt;"",10000,0)+IF(Atletas!B352="Feminino",1000,IF(Atletas!B352="Masculino",2000,""))+IF(Atletas!S352="Gun A",701,IF(Atletas!S352="Qiang A",702,IF(Atletas!S352="Pudao / Guandao A",703,IF(Atletas!S352="Outra Arma Longa A",704,IF(Atletas!S352="Gun B",705,IF(Atletas!S352="Qiang B",706,IF(Atletas!S352="Pudao / Guandao B",707,IF(Atletas!S352="Outra Arma Longa B",708,IF(Atletas!S352="Gun C",709,IF(Atletas!S352="Qiang C",710,IF(Atletas!S352="Pudao / Guandao C",711,IF(Atletas!S352="Outra Arma Longa C",712,IF(Atletas!S352="Gun D",713,IF(Atletas!S352="Qiang D",714,IF(Atletas!S352="Pudao / Guandao D",715,IF(Atletas!S352="Outra Arma Longa D",716,IF(Atletas!S352="Gun E",717,IF(Atletas!S352="Qiang E",718,IF(Atletas!S352="Pudao / Guandao E",719,IF(Atletas!S352="Outra Arma Longa E",720,IF(Atletas!S352="Gun F",721,IF(Atletas!S352="Qiang F",722,IF(Atletas!S352="Pudao / Guandao F",723,IF(Atletas!S352="Outra Arma Longa F",724,"")))))))))))))))))))))))))</f>
        <v/>
      </c>
      <c r="CB361" s="50" t="str">
        <f>IF(Atletas!T352="","",IF(Atletas!X352&lt;&gt;"",10000,0)+IF(Atletas!B352="Feminino",1000,IF(Atletas!B352="Masculino",2000,""))+IF(Atletas!T352="Outra Arma Dupla A",801,IF(Atletas!T352="Arma Maleável A",802,IF(Atletas!T352="Outra Arma Dupla B",803,IF(Atletas!T352="Arma Maleável B",804,IF(Atletas!T352="Outra Arma Dupla C",805,IF(Atletas!T352="Arma Maleável C",806,IF(Atletas!T352="Outra Arma Dupla D",807,IF(Atletas!T352="Arma Maleável D",808,IF(Atletas!T352="Outra Arma Dupla E",809,IF(Atletas!T352="Arma Maleável E",810,IF(Atletas!T352="Outra Arma Dupla F",811,IF(Atletas!T352="Arma Maleável F",812,IF(Atletas!T352="Shuangdao A",813,IF(Atletas!T352="Shuangdao B",814,IF(Atletas!T352="Shuangdao C",815,IF(Atletas!T352="Shuangdao D",816,IF(Atletas!T352="Shuangdao E",817,IF(Atletas!T352="Shuangdao F",818,"")))))))))))))))))))</f>
        <v/>
      </c>
      <c r="CC361" s="50" t="str">
        <f>IF(Atletas!U352="","",IF(Atletas!X352&lt;&gt;"",10000,0)+IF(Atletas!B352="Feminino",1000,IF(Atletas!B352="Masculino",2000,""))+IF(OR(Atletas!U352="Taijijian Yang A",Atletas!U352="Taijijian Yang Standard A"),901,IF(OR(Atletas!U352="Taijijian Chen A", Atletas!U352="Taijijian Chen Standard A"),902,IF(Atletas!U352="Taijijian Sun A",903,IF(Atletas!U352="Taijijian Wu A",904,IF(Atletas!U352="Taijijian Wu-Hao A",905,IF(OR(Atletas!U352="Taijijian 32 A",Atletas!U352="Taijijian 42 A"),906,IF(OR(Atletas!U352="Taijijian Yang B",Atletas!U352="Taijijian Yang Standard B"),907,IF(OR(Atletas!U352="Taijijian Chen B", Atletas!U352="Taijijian Chen Standard B"),908,IF(Atletas!U352="Taijijian Sun B",909,IF(Atletas!U352="Taijijian Wu B",910,IF(Atletas!U352="Taijijian Wu-Hao B",911,IF(OR(Atletas!U352="Taijijian 32 B",Atletas!U352="Taijijian 42 B"),912,IF(OR(Atletas!U352="Taijijian Yang C",Atletas!U352="Taijijian Yang Standard C"),913,IF(OR(Atletas!U352="Taijijian Chen C", Atletas!U352="Taijijian Chen Standard C"),914,IF(Atletas!U352="Taijijian Sun C",915,IF(Atletas!U352="Taijijian Wu C",916,IF(Atletas!U352="Taijijian Wu-Hao C",917,IF(OR(Atletas!U352="Taijijian 32 C",Atletas!U352="Taijijian 42 C"),918,IF(OR(Atletas!U352="Taijijian Yang D",Atletas!U352="Taijijian Yang Standard D"),919,IF(OR(Atletas!U352="Taijijian Chen D", Atletas!U352="Taijijian Chen Standard D"),920,IF(Atletas!U352="Taijijian Sun D",921,IF(Atletas!U352="Taijijian Wu D",922,IF(Atletas!U352="Taijijian Wu-Hao D",923,IF(OR(Atletas!U352="Taijijian 32 D",Atletas!U352="Taijijian 42 D"),924,IF(OR(Atletas!U352="Taijijian Yang E",Atletas!U352="Taijijian Yang Standard E"),925,IF(OR(Atletas!U352="Taijijian Chen E", Atletas!U352="Taijijian Chen Standard E"),926,IF(Atletas!U352="Taijijian Sun E",927,IF(Atletas!U352="Taijijian Wu E",928,IF(Atletas!U352="Taijijian Wu-Hao E",929,IF(OR(Atletas!U352="Taijijian 32 E",Atletas!U352="Taijijian 42 E"),930,IF(OR(Atletas!U352="Taijijian Yang F",Atletas!U352="Taijijian Yang Standard F"),931,IF(OR(Atletas!U352="Taijijian Chen F", Atletas!U352="Taijijian Chen Standard F"),932,IF(Atletas!U352="Taijijian Sun F",933,IF(Atletas!U352="Taijijian Wu F",934,IF(Atletas!U352="Taijijian Wu-Hao F",935,IF(OR(Atletas!U352="Taijijian 32 F",Atletas!U352="Taijijian 42 F"),936,"")))))))))))))))))))))))))))))))))))))</f>
        <v/>
      </c>
      <c r="CD361" s="50" t="str">
        <f>IF(Atletas!V352="","",IF(Atletas!X352&lt;&gt;"",10000,0)+IF(Atletas!B352="Feminino",1000,IF(Atletas!B352="Masculino",2000,""))+IF(Atletas!V352="Taijidao A",937,IF(Atletas!V352="TaijiShanzi A",938,IF(Atletas!V352="Taijiqiang A",939,IF(Atletas!V352="Bagua de Arma A",940,IF(Atletas!V352="Xingyi de Arma A",941,IF(Atletas!V352="Taijidao B",942,IF(Atletas!V352="TaijiShanzi B",943,IF(Atletas!V352="Taijiqiang B",944,IF(Atletas!V352="Bagua de Arma B",945,IF(Atletas!V352="Xingyi de Arma B",946,IF(Atletas!V352="Taijidao C",947,IF(Atletas!V352="TaijiShanzi C",948,IF(Atletas!V352="Taijiqiang C",949,IF(Atletas!V352="Bagua de Arma C",950,IF(Atletas!V352="Xingyi de Arma C",951,IF(Atletas!V352="Taijidao D",952,IF(Atletas!V352="TaijiShanzi D",953,IF(Atletas!V352="Taijiqiang D",954,IF(Atletas!V352="Bagua de Arma D",955,IF(Atletas!V352="Xingyi de Arma D",956,IF(Atletas!V352="Taijidao E",957,IF(Atletas!V352="TaijiShanzi E",958,IF(Atletas!V352="Taijiqiang E",959,IF(Atletas!V352="Bagua de Arma E",960,IF(Atletas!V352="Xingyi de Arma E",961,IF(Atletas!V352="Taijidao F",962,IF(Atletas!V352="TaijiShanzi F",963,IF(Atletas!V352="Taijiqiang F",964,IF(Atletas!V352="Bagua de Arma F",965,IF(Atletas!V352="Xingyi de Arma F",966,"")))))))))))))))))))))))))))))))</f>
        <v/>
      </c>
      <c r="CE361" s="66" t="str">
        <f>IF(CF361&lt;&gt;"","Xingyi de Arma E","")</f>
        <v/>
      </c>
      <c r="CF361" s="66" t="str">
        <f>IF(COUNTIF(BR:CD,1961)&gt;0,COUNTIF(BR:CD,1961),"")</f>
        <v/>
      </c>
      <c r="CG361" s="66" t="str">
        <f>IF(CH361&lt;&gt;"","Xingyi de Arma E","")</f>
        <v/>
      </c>
      <c r="CH361" s="66" t="str">
        <f>IF(COUNTIF(BR:CD,2961)&gt;0,COUNTIF(BR:CD,2961),"")</f>
        <v/>
      </c>
      <c r="CI361" s="66"/>
      <c r="CJ361" s="66"/>
      <c r="CK361" s="66"/>
      <c r="CL361" s="66"/>
      <c r="CM361" s="50" t="str">
        <f xml:space="preserve"> IF(Atletas!W352="","",IF(Atletas!W352="Duilian de Mãos BC - Equipe 1",1,IF(Atletas!W352="Duilian de Mãos BC - Equipe 2",2,IF(Atletas!W352="Duilian de Armas BC - Equipe 1",3,IF(Atletas!W352="Duilian de Armas BC - Equipe 2",4,IF(Atletas!W352="Duilian de Mãos DE - Equipe 1",5,IF(Atletas!W352="Duilian de Mãos DE - Equipe 2",6,IF(Atletas!W352="Duilian de Armas DE - Equipe 1",7,IF(Atletas!W352="Duilian de Armas DE - Equipe 2",8,IF(Atletas!W352="Duilian de Tuishou - Equipe 1",9,IF(Atletas!W352="Duilian de Tuishou - Equipe 2",10,IF(Atletas!W352="Grupo Externo ABC - Equipe 1",11,IF(Atletas!W352="Grupo Externo ABC - Equipe 2",12,IF(Atletas!W352="Grupo Interno ABC - Equipe 1",13,IF(Atletas!W352="Grupo Interno ABC - Equipe 2",14,IF(Atletas!W352="Grupo Externo DEF - Equipe 1",15,IF(Atletas!W352="Grupo Externo DEF - Equipe 2",16,IF(Atletas!W352="Grupo Interno DEF - Equipe 1",17,IF(Atletas!W352="Grupo Interno DEF - Equipe 2",18,"")))))))))))))))))))</f>
        <v/>
      </c>
    </row>
    <row r="362" spans="40:91">
      <c r="AN362" s="52" t="str">
        <f>IF(Atletas!D353="","",IF(Atletas!B353="Feminino",100,IF(Atletas!B353="Masculino",200,""))+(IF(Atletas!D353="Kids 30kg",1,IF(Atletas!D353="Kids 32kg",2, IF(Atletas!D353="Kids 34kg",3,IF(Atletas!D353="Kids 36kg",4,IF(Atletas!D353="Kids 39kg",5,IF(Atletas!D353="Kids 42kg",6,IF(Atletas!D353="Kids 45kg",7, IF(Atletas!D353="Infantil 39kg",8,IF(Atletas!D353="Infantil 42kg",9,IF(Atletas!D353="Infantil 45kg",10,IF(Atletas!D353="Infantil 48kg",11,IF(Atletas!D353="Infantil 52kg",12,IF(Atletas!D353="Infantil 56kg",13,IF(Atletas!D353="Infantil 60kg",14,IF(Atletas!D353="Juvenil 48kg",15,IF(Atletas!D353="Juvenil 52kg",16,IF(Atletas!D353="Juvenil 56kg",17,IF(Atletas!D353="Juvenil 60kg",18,IF(Atletas!D353="Juvenil 65kg",19,IF(Atletas!D353="Juvenil 70kg",20,IF(Atletas!D353="Juvenil 75kg",21,IF(Atletas!D353="Juvenil 80kg",22, IF(Atletas!D353="Juvenil 85kg",23,IF(Atletas!D353="Adulto 48kg",24,IF(Atletas!D353="Adulto 52kg",25,IF(Atletas!D353="Adulto 56kg",26,IF(Atletas!D353="Adulto 60kg",27,IF(Atletas!D353="Adulto 65kg",28,IF(Atletas!D353="Adulto 70kg",29,IF(Atletas!D353="Adulto 75kg",30,IF(Atletas!D353="Adulto 80kg",31,IF(Atletas!D353="Adulto 85kg",32,IF(Atletas!D353="Adulto 90kg",33,IF(Atletas!D353="Adulto 100kg",34, IF(Atletas!D353="Adulto +100kg",35,"")))))))))))))))))))))))))))))))))))))</f>
        <v/>
      </c>
      <c r="AS362" s="6" t="str">
        <f>IF(Atletas!E353="","",IF(Atletas!B353="Feminino",100,IF(Atletas!B353="Masculino",200,""))+(IF(Atletas!E353="Juvenil 44kg",1,IF(Atletas!E353="Juvenil 48kg",2,IF(Atletas!E353="Juvenil 52kg",3,IF(Atletas!E353="Juvenil 56kg",4,IF(Atletas!E353="Juvenil 60kg",5,IF(Atletas!E353="Juvenil 65kg",6,IF(Atletas!E353="Juvenil 70kg",7,IF(Atletas!E353="Juvenil 75kg",8,IF(Atletas!E353="Juvenil 82kg",9,IF(Atletas!E353="Juvenil 90kg",10,IF(Atletas!E353="Juvenil 100kg",11,IF(Atletas!E353="Adulto 48kg",12,IF(Atletas!E353="Adulto 52kg",13,IF(Atletas!E353="Adulto 56kg",14,IF(Atletas!E353="Adulto 60kg",15,IF(Atletas!E353="Adulto 65kg",16,IF(Atletas!E353="Adulto 70kg",17,IF(Atletas!E353="Adulto 75kg",18,IF(Atletas!E353="Adulto 82kg",19,IF(Atletas!E353="Adulto 90kg",20,IF(Atletas!E353="Adulto 100kg",21,IF(Atletas!E353="Adulto +100kg",22,""))))))))))))))))))))))))</f>
        <v/>
      </c>
      <c r="AX362" s="6" t="str">
        <f>IF(Atletas!F353="","",IF(Atletas!B353="Feminino",100,IF(Atletas!B353="Masculino",200,""))+(IF(Atletas!F353="Adulto 48kg",1,IF(Atletas!F353="Adulto 56kg",2,IF(Atletas!F353="Adulto 65kg",3,IF(Atletas!F353="Adulto 75kg",4,IF(Atletas!F353="Adulto +75kg",5,IF(Atletas!F353="Adulto 52kg",6,IF(Atletas!F353="Adulto 60kg",7,IF(Atletas!F353="Adulto 70kg",8,IF(Atletas!F353="Adulto 80kg",9,IF(Atletas!F353="Adulto 90kg",10,IF(Atletas!F353="Adulto +90kg",11,"")))))))))))))</f>
        <v/>
      </c>
      <c r="BC362" s="6" t="str">
        <f>IF(Atletas!G353="","",IF(Atletas!B353="Feminino",10,IF(Atletas!B353="Masculino",20,""))+(IF(Atletas!G353="Baduanjin A",1,IF(Atletas!G353="Baduanjin B",2))))</f>
        <v/>
      </c>
      <c r="BF362" s="52" t="str">
        <f>IF(Atletas!H353="","",IF(Atletas!B353="Feminino",100,IF(Atletas!B353="Masculino",200,""))+(IF(Atletas!H353="Changquan Mirim",1,IF(Atletas!H353="Nanquan Mirim",2,IF(Atletas!H353="Taijiquan Mirim",3,IF(Atletas!H353="Changquan Grupo C",4,IF(Atletas!H353="Nanquan Grupo C",5,IF(Atletas!H353="Taijiquan Grupo C",6,IF(Atletas!H353="Changquan Grupo B",7,IF(Atletas!H353="Nanquan Grupo B",8,IF(Atletas!H353="Taijiquan Grupo B",9,IF(Atletas!H353="Changquan Grupo A",10,IF(Atletas!H353="Nanquan Grupo A",11,IF(Atletas!H353="Taijiquan Grupo A",12,IF(Atletas!H353="Changquan Opcional",13,IF(Atletas!H353="Nanquan Opcional",14,IF(Atletas!H353="Taijiquan Opcional",15,IF(Atletas!H353="Changquan Adulto",16,IF(Atletas!H353="Nanquan Adulto",17,IF(Atletas!H353="Taijiquan Adulto",18,""))))))))))))))))))))</f>
        <v/>
      </c>
      <c r="BG362" s="52" t="str">
        <f>IF(Atletas!I353="","",IF(Atletas!B353="Feminino",100,IF(Atletas!B353="Masculino",200,""))+(IF(Atletas!I353="Daoshu Mirim",19,IF(Atletas!I353="Jianshu Mirim",20,IF(Atletas!I353="Nandao Mirim",21,IF(Atletas!I353="Taijijian Mirim",22,IF(Atletas!I353="Daoshu Grupo C",23,IF(Atletas!I353="Jianshu Grupo C",24,IF(Atletas!I353="Nandao Grupo C",25,IF(Atletas!I353="Taijijian Grupo C",26,IF(Atletas!I353="Daoshu Grupo B",27,IF(Atletas!I353="Jianshu Grupo B",28,IF(Atletas!I353="Nandao Grupo B",29,IF(Atletas!I353="Taijijian Grupo B",30,IF(Atletas!I353="Daoshu Grupo A",31,IF(Atletas!I353="Jianshu Grupo A",32,IF(Atletas!I353="Nandao Grupo A",33,IF(Atletas!I353="Taijijian Grupo A",34,IF(Atletas!I353="Daoshu Opcional",35,IF(Atletas!I353="Jianshu Opcional",36,IF(Atletas!I353="Nandao Opcional",37,IF(Atletas!I353="Taijijian Opcional",38,IF(Atletas!I353="Daoshu Adulto",39,IF(Atletas!I353="Jianshu Adulto",40,IF(Atletas!I353="Nandao Adulto",41,IF(Atletas!I353="Taijijian Adulto",42,""))))))))))))))))))))))))))</f>
        <v/>
      </c>
      <c r="BH362" s="52" t="str">
        <f>IF(Atletas!J353="","",IF(Atletas!B353="Feminino",100,IF(Atletas!B353="Masculino",200,""))+(IF(Atletas!J353="Gunshu Mirim",43,IF(Atletas!J353="Qiangshu Mirim",44,IF(Atletas!J353="Nangun Mirim",45,IF(Atletas!J353="Gunshu Grupo C",46,IF(Atletas!J353="Qiangshu Grupo C",47,IF(Atletas!J353="Nangun Grupo C",48,IF(Atletas!J353="Gunshu Grupo B",49,IF(Atletas!J353="Qiangshu Grupo B",50,IF(Atletas!J353="Nangun Grupo B",51,IF(Atletas!J353="Gunshu Grupo A",52,IF(Atletas!J353="Qiangshu Grupo A",53,IF(Atletas!J353="Nangun Grupo A",54,IF(Atletas!J353="Gunshu Opcional",55,IF(Atletas!J353="Qiangshu Opcional",56,IF(Atletas!J353="Nangun Opcional",57,IF(Atletas!J353="Gunshu Adulto",58,IF(Atletas!J353="Qiangshu Adulto",59,IF(Atletas!J353="Nangun Adulto",60,IF(Atletas!J353="Taijishan Grupo B",61,IF(Atletas!J353="Taijishan Grupo A",62,""))))))))))))))))))))))</f>
        <v/>
      </c>
      <c r="BM362" s="50" t="str">
        <f>IF(Atletas!K353="","",IF(Atletas!B353="Feminino",100,IF(Atletas!B353="Masculino",200,""))+(IF(Atletas!K353="Equipe 1 Grupo B",1,IF(Atletas!K353="Equipe 2 Grupo B",2,IF(Atletas!K353="Equipe 1 Grupo A",3,IF(Atletas!K353="Equipe 2 Grupo A",4,IF(Atletas!K353="Equipe 1 Adulto",5,IF(Atletas!K353="Equipe 2 Adulto",6,""))))))))</f>
        <v/>
      </c>
      <c r="BR362" s="50" t="str">
        <f>IF(Atletas!L353="","",IF(Atletas!X353&lt;&gt;"",10000,0)+(IF(Atletas!B353="Feminino",1000,IF(Atletas!B353="Masculino",2000,""))+IF(Atletas!L353="Choylayfut A",1,IF(Atletas!L353="Hunggar A",2,IF(Atletas!L353="Wuzuquan A",3,IF(Atletas!L353="Wingchun A",4,IF(Atletas!L353="Outra Mão de Sul A",5,IF(Atletas!L353="Choylayfut B",6,IF(Atletas!L353="Hunggar B",7,IF(Atletas!L353="Wuzuquan B",8,IF(Atletas!L353="Wingchun B",9,IF(Atletas!L353="Outra Mão de Sul B",10,IF(Atletas!L353="Choylayfut C",11,IF(Atletas!L353="Hunggar C",12,IF(Atletas!L353="Wuzuquan C",13,IF(Atletas!L353="Wingchun C",14,IF(Atletas!L353="Outra Mão de Sul C",15,IF(Atletas!L353="Choylayfut D",16,IF(Atletas!L353="Hunggar D",17,IF(Atletas!L353="Wuzuquan D",18,IF(Atletas!L353="Wingchun D",19,IF(Atletas!L353="Outra Mão de Sul D",20,IF(Atletas!L353="Choylayfut E",21,IF(Atletas!L353="Hunggar E",22,IF(Atletas!L353="Wuzuquan E",23,IF(Atletas!L353="Wingchun E",24,IF(Atletas!L353="Outra Mão de Sul E",25,IF(Atletas!L353="Choylayfut F",26,IF(Atletas!L353="Hunggar F",27,IF(Atletas!L353="Wuzuquan F",28,IF(Atletas!L353="Wingchun F",29,IF(Atletas!L353="Outra Mão de Sul F",30,IF(Atletas!L353="Dishuquan A",31,IF(Atletas!L353="Dishuquan B",32,IF(Atletas!L353="Dishuquan C",33,IF(Atletas!L353="Dishuquan D",34,IF(Atletas!L353="Dishuquan E",35,IF(Atletas!L353="Dishuquan F",36,""))))))))))))))))))))))))))))))))))))))</f>
        <v/>
      </c>
      <c r="BS362" s="50" t="str">
        <f>IF(Atletas!M353="","",IF(Atletas!X353&lt;&gt;"",10000,0)+(IF(Atletas!B353="Feminino",1000,IF(Atletas!B353="Masculino",2000,""))+(IF(Atletas!M353="Chaquan A",101,IF(Atletas!M353="Emeiquan A",102,IF(Atletas!M353="Fanziquan A",103,IF(Atletas!M353="Huaquan A",104,IF(Atletas!M353="Hongquan A",105,IF(Atletas!M353="Paoquan A",106,IF(Atletas!M353="Piguaquan A",107,IF(Atletas!M353="Shaolinquan A",108,IF(Atletas!M353="Tanglangquan A",109,IF(Atletas!M353="Yingzhaoquan A",110,IF(Atletas!M353="Tongbeiquan A",111,IF(Atletas!M353="Wudangquan A",112,IF(Atletas!M353="Outros Estilos A",113,IF(Atletas!M353="Chaquan B",114,IF(Atletas!M353="Emeiquan B",115,IF(Atletas!M353="Fanziquan B",116,IF(Atletas!M353="Huaquan B",117,IF(Atletas!M353="Hongquan B",118,IF(Atletas!M353="Paoquan B",119,IF(Atletas!M353="Piguaquan B",120,IF(Atletas!M353="Shaolinquan B",121,IF(Atletas!M353="Tanglangquan B",122,IF(Atletas!M353="Yingzhaoquan B",123,IF(Atletas!M353="Tongbeiquan B",124,IF(Atletas!M353="Wudangquan B",125,IF(Atletas!M353="Outros Estilos B",126,IF(Atletas!M353="Chaquan C",127,IF(Atletas!M353="Emeiquan C",128,IF(Atletas!M353="Fanziquan C",129,IF(Atletas!M353="Huaquan C",130,IF(Atletas!M353="Hongquan C",131,IF(Atletas!M353="Paoquan C",132,IF(Atletas!M353="Piguaquan C",133,IF(Atletas!M353="Shaolinquan C",134,IF(Atletas!M353="Tanglangquan C",135,IF(Atletas!M353="Yingzhaoquan C",136,IF(Atletas!M353="Tongbeiquan C",137,IF(Atletas!M353="Wudangquan C",138,IF(Atletas!M353="Outros Estilos C",139,0))))))))))))))))))))))))))))))))))))))))))</f>
        <v/>
      </c>
      <c r="BT362" s="50" t="str">
        <f>IF(Atletas!M353="","",IF(Atletas!X353&lt;&gt;"",10000,0)+(IF(Atletas!B353="Feminino",1000,IF(Atletas!B353="Masculino",2000,""))+(IF(Atletas!M353="Chaquan D",140,IF(Atletas!M353="Emeiquan D",141,IF(Atletas!M353="Fanziquan D",142,IF(Atletas!M353="Huaquan D",143,IF(Atletas!M353="Hongquan D",144,IF(Atletas!M353="Paoquan D",145,IF(Atletas!M353="Piguaquan D",146,IF(Atletas!M353="Shaolinquan D",147,IF(Atletas!M353="Tanglangquan D",148,IF(Atletas!M353="Yingzhaoquan D",149,IF(Atletas!M353="Tongbeiquan D",150,IF(Atletas!M353="Wudangquan D",151,IF(Atletas!M353="Outros Estilos D",152,IF(Atletas!M353="Chaquan E",153,IF(Atletas!M353="Emeiquan E",154,IF(Atletas!M353="Fanziquan E",155,IF(Atletas!M353="Huaquan E",156,IF(Atletas!M353="Hongquan E",157,IF(Atletas!M353="Paoquan E",158,IF(Atletas!M353="Piguaquan E",159,IF(Atletas!M353="Shaolinquan E",160,IF(Atletas!M353="Tanglangquan E",161,IF(Atletas!M353="Yingzhaoquan E",162,IF(Atletas!M353="Tongbeiquan E",163,IF(Atletas!M353="Wudangquan E",164,IF(Atletas!M353="Outros Estilos E",165,IF(Atletas!M353="Chaquan F",166,IF(Atletas!M353="Emeiquan F",167,IF(Atletas!M353="Fanziquan F",168,IF(Atletas!M353="Huaquan F",169,IF(Atletas!M353="Hongquan F",170,IF(Atletas!M353="Paoquan F",171,IF(Atletas!M353="Piguaquan F",172,IF(Atletas!M353="Shaolinquan F",173,IF(Atletas!M353="Tanglangquan F",174,IF(Atletas!M353="Yingzhaoquan F",175,IF(Atletas!M353="Tongbeiquan F",176,IF(Atletas!M353="Wudangquan F",177,IF(Atletas!M353="Outros Estilos F",178,0))))))))))))))))))))))))))))))))))))))))))</f>
        <v/>
      </c>
      <c r="BU362" s="50" t="str">
        <f>IF(Atletas!N353="","",IF(Atletas!X353&lt;&gt;"",10000,0)+(IF(Atletas!B353="Feminino",1000,IF(Atletas!B353="Masculino",2000,""))+(IF(Atletas!N353="Ditangquan A",201,IF(Atletas!N353="Houquan A",202,IF(Atletas!N353="Zuiquan A",203,IF(Atletas!N353="Ditangquan B",204,IF(Atletas!N353="Houquan B",205,IF(Atletas!N353="Zuiquan B",206,IF(Atletas!N353="Ditangquan C",207,IF(Atletas!N353="Houquan C",208,IF(Atletas!N353="Zuiquan C",209,IF(Atletas!N353="Ditangquan D",210,IF(Atletas!N353="Houquan D",211,IF(Atletas!N353="Zuiquan D",212,IF(Atletas!N353="Ditangquan E",213,IF(Atletas!N353="Houquan E",214,IF(Atletas!N353="Zuiquan E",215,IF(Atletas!N353="Ditangquan F",216,IF(Atletas!N353="Houquan F",217,IF(Atletas!N353="Zuiquan F",218,"")))))))))))))))))))))</f>
        <v/>
      </c>
      <c r="BV362" s="50" t="str">
        <f>IF(Atletas!O353="","",IF(Atletas!X353&lt;&gt;"",10000,0)+IF(Atletas!B353="Feminino",1000,IF(Atletas!B353="Masculino",2000,""))+IF(Atletas!O353="Yang A",301,IF(Atletas!O353="Chen A",302,IF(Atletas!O353="Sun A",303,IF(Atletas!O353="Wu A",304,IF(Atletas!O353="Wu-Hao A",305,IF(Atletas!O353="Outro Taijiquan A",306,IF(Atletas!O353="Yang B",307,IF(Atletas!O353="Chen B",308,IF(Atletas!O353="Sun B",309,IF(Atletas!O353="Wu B",310,IF(Atletas!O353="Wu-Hao B",311,IF(Atletas!O353="Outro Taijiquan B",312,IF(Atletas!O353="Yang C",313,IF(Atletas!O353="Chen C",314,IF(Atletas!O353="Sun C",315,IF(Atletas!O353="Wu C",316,IF(Atletas!O353="Wu-Hao C",317,IF(Atletas!O353="Outro Taijiquan C",318,IF(Atletas!O353="Yang D",319,IF(Atletas!O353="Chen D",320,IF(Atletas!O353="Sun D",321,IF(Atletas!O353="Wu D",322,IF(Atletas!O353="Wu-Hao D",323,IF(Atletas!O353="Outro Taijiquan D",324,IF(Atletas!O353="Yang E",325,IF(Atletas!O353="Chen E",326,IF(Atletas!O353="Sun E",327,IF(Atletas!O353="Wu E",328,IF(Atletas!O353="Wu-Hao E",329,IF(Atletas!O353="Outro Taijiquan E",330,IF(Atletas!O353="Yang F",331,IF(Atletas!O353="Chen F",332,IF(Atletas!O353="Sun F",333,IF(Atletas!O353="Wu F",334,IF(Atletas!O353="Wu-Hao F",335,IF(Atletas!O353="Outro Taijiquan F",336,"")))))))))))))))))))))))))))))))))))))</f>
        <v/>
      </c>
      <c r="BW362" s="50" t="str">
        <f>IF(Atletas!P353="","",IF(Atletas!X353&lt;&gt;"",10000,0)+IF(Atletas!B353="Feminino",1000,IF(Atletas!B353="Masculino",2000,""))+IF(OR(Atletas!P353="Yang 26 A",Atletas!P353="Yang 40 A"),401,IF(OR(Atletas!P353="Chen 25 A",Atletas!P353="Chen 36 A",Atletas!P353="Chen 56 A"),402,IF(Atletas!P353="Sun 73 A",403,IF(Atletas!P353="Wu 45 A",404,IF(Atletas!P353="Wu-Hao 46 A",405,IF(OR(Atletas!P353="Taijiquan 16 A",Atletas!P353="Taijiquan 24 A",Atletas!P353="Taijiquan 32 A",Atletas!P353="Taijiquan 42 A"),406,IF(OR(Atletas!P353="Yang 26 B",Atletas!P353="Yang 40 B"),407,IF(OR(Atletas!P353="Chen 25 B",Atletas!P353="Chen 36 B",Atletas!P353="Chen 56 B"),408,IF(Atletas!P353="Sun 73 B",409,IF(Atletas!P353="Wu 45 B",410,IF(Atletas!P353="Wu-Hao 46 B",411,IF(OR(Atletas!P353="Taijiquan 16 B",Atletas!P353="Taijiquan 24 B",Atletas!P353="Taijiquan 32 B",Atletas!P353="Taijiquan 42 B"),412,IF(OR(Atletas!P353="Yang 26 C",Atletas!P353="Yang 40 C"),413,IF(OR(Atletas!P353="Chen 25 C",Atletas!P353="Chen 36 C",Atletas!P353="Chen 56 C"),414,IF(Atletas!P353="Sun 73 C",415,IF(Atletas!P353="Wu 45 C",416,IF(Atletas!P353="Wu-Hao 46 C",417,IF(OR(Atletas!P353="Taijiquan 16 C",Atletas!P353="Taijiquan 24 C",Atletas!P353="Taijiquan 32 C",Atletas!P353="Taijiquan 42 C"),418,0)))))))))))))))))))</f>
        <v/>
      </c>
      <c r="BX362" s="50" t="str">
        <f>IF(Atletas!P353="","",IF(Atletas!X353&lt;&gt;"",10000,0)+IF(Atletas!B353="Feminino",1000,IF(Atletas!B353="Masculino",2000,""))+IF(OR(Atletas!P353="Yang 26 D",Atletas!P353="Yang 40 D"),419,IF(OR(Atletas!P353="Chen 25 D",Atletas!P353="Chen 36 D",Atletas!P353="Chen 56 D"),420,IF(Atletas!P353="Sun 73 D",421,IF(Atletas!P353="Wu 45 D",422,IF(Atletas!P353="Wu-Hao 46 D",423,IF(OR(Atletas!P353="Taijiquan 16 D",Atletas!P353="Taijiquan 24 D",Atletas!P353="Taijiquan 32 D",Atletas!P353="Taijiquan 42 D"),424,IF(OR(Atletas!P353="Yang 26 E",Atletas!P353="Yang 40 E"),425,IF(OR(Atletas!P353="Chen 25 E",Atletas!P353="Chen 36 E",Atletas!P353="Chen 56 E"),426,IF(Atletas!P353="Sun 73 E",427,IF(Atletas!P353="Wu 45 E",428,IF(Atletas!P353="Wu-Hao 46 E",429,IF(OR(Atletas!P353="Taijiquan 16 E",Atletas!P353="Taijiquan 24 E",Atletas!P353="Taijiquan 32 E",Atletas!P353="Taijiquan 42 E"),430,IF(OR(Atletas!P353="Yang 26 F",Atletas!P353="Yang 40 F"),431,IF(OR(Atletas!P353="Chen 25 F",Atletas!P353="Chen 36 F",Atletas!P353="Chen 56 F"),432,IF(Atletas!P353="Sun 73 F",433,IF(Atletas!P353="Wu 45 F",434,IF(Atletas!P353="Wu-Hao 46 F",435,IF(OR(Atletas!P353="Taijiquan 16 F",Atletas!P353="Taijiquan 24 F",Atletas!P353="Taijiquan 32 F",Atletas!P353="Taijiquan 42 F"),436,0)))))))))))))))))))</f>
        <v/>
      </c>
      <c r="BY362" s="50" t="str">
        <f>IF(Atletas!Q353="","",IF(Atletas!X353&lt;&gt;"",10000,0)+IF(Atletas!B353="Feminino",1000,IF(Atletas!B353="Masculino",2000,""))+IF(Atletas!Q353="Xingyiquan A",501,IF(Atletas!Q353="Baguazhang A",502,IF(Atletas!Q353="Outro Estilo Interno A",503,IF(Atletas!Q353="Xingyiquan B",504,IF(Atletas!Q353="Baguazhang B",505,IF(Atletas!Q353="Outro Estilo Interno B",506,IF(Atletas!Q353="Xingyiquan C",507,IF(Atletas!Q353="Baguazhang C",508,IF(Atletas!Q353="Outro Estilo Interno C",509,IF(Atletas!Q353="Xingyiquan D",510,IF(Atletas!Q353="Baguazhang D",511,IF(Atletas!Q353="Outro Estilo Interno D",512,IF(Atletas!Q353="Xingyiquan E",513,IF(Atletas!Q353="Baguazhang E",514,IF(Atletas!Q353="Outro Estilo Interno E",515,IF(Atletas!Q353="Xingyiquan F",516,IF(Atletas!Q353="Baguazhang F",517,IF(Atletas!Q353="Outro Estilo Interno F",518, "")))))))))))))))))))</f>
        <v/>
      </c>
      <c r="BZ362" s="50" t="str">
        <f>IF(Atletas!R353="","",IF(Atletas!X353&lt;&gt;"",10000,0)+IF(Atletas!B353="Feminino",1000,IF(Atletas!B353="Masculino",2000,""))+IF(Atletas!R353="Dao A",601,IF(Atletas!R353="Jian A",602,IF(Atletas!R353="Bishou A",603,IF(Atletas!R353="Shanzi A",604,IF(Atletas!R353="Outra Arma Curta A",605,IF(Atletas!R353="Dao B",606,IF(Atletas!R353="Jian B",607,IF(Atletas!R353="Bishou B",608,IF(Atletas!R353="Shanzi B",609,IF(Atletas!R353="Outra Arma Curta B",610,IF(Atletas!R353="Dao C",611,IF(Atletas!R353="Jian C",612,IF(Atletas!R353="Bishou C",613,IF(Atletas!R353="Shanzi C",614,IF(Atletas!R353="Outra Arma Curta C",615,IF(Atletas!R353="Dao D",616,IF(Atletas!R353="Jian D",617,IF(Atletas!R353="Bishou D",618,IF(Atletas!R353="Shanzi D",619,IF(Atletas!R353="Outra Arma Curta D",620,IF(Atletas!R353="Dao E",621,IF(Atletas!R353="Jian E",622,IF(Atletas!R353="Bishou E",623,IF(Atletas!R353="Shanzi E",624,IF(Atletas!R353="Outra Arma Curta E",625,IF(Atletas!R353="Dao F",626,IF(Atletas!R353="Jian F",627,IF(Atletas!R353="Bishou F",628,IF(Atletas!R353="Shanzi F",629,IF(Atletas!R353="Outra Arma Curta F",630, "")))))))))))))))))))))))))))))))</f>
        <v/>
      </c>
      <c r="CA362" s="50" t="str">
        <f>IF(Atletas!S353="","",IF(Atletas!X353&lt;&gt;"",10000,0)+IF(Atletas!B353="Feminino",1000,IF(Atletas!B353="Masculino",2000,""))+IF(Atletas!S353="Gun A",701,IF(Atletas!S353="Qiang A",702,IF(Atletas!S353="Pudao / Guandao A",703,IF(Atletas!S353="Outra Arma Longa A",704,IF(Atletas!S353="Gun B",705,IF(Atletas!S353="Qiang B",706,IF(Atletas!S353="Pudao / Guandao B",707,IF(Atletas!S353="Outra Arma Longa B",708,IF(Atletas!S353="Gun C",709,IF(Atletas!S353="Qiang C",710,IF(Atletas!S353="Pudao / Guandao C",711,IF(Atletas!S353="Outra Arma Longa C",712,IF(Atletas!S353="Gun D",713,IF(Atletas!S353="Qiang D",714,IF(Atletas!S353="Pudao / Guandao D",715,IF(Atletas!S353="Outra Arma Longa D",716,IF(Atletas!S353="Gun E",717,IF(Atletas!S353="Qiang E",718,IF(Atletas!S353="Pudao / Guandao E",719,IF(Atletas!S353="Outra Arma Longa E",720,IF(Atletas!S353="Gun F",721,IF(Atletas!S353="Qiang F",722,IF(Atletas!S353="Pudao / Guandao F",723,IF(Atletas!S353="Outra Arma Longa F",724,"")))))))))))))))))))))))))</f>
        <v/>
      </c>
      <c r="CB362" s="50" t="str">
        <f>IF(Atletas!T353="","",IF(Atletas!X353&lt;&gt;"",10000,0)+IF(Atletas!B353="Feminino",1000,IF(Atletas!B353="Masculino",2000,""))+IF(Atletas!T353="Outra Arma Dupla A",801,IF(Atletas!T353="Arma Maleável A",802,IF(Atletas!T353="Outra Arma Dupla B",803,IF(Atletas!T353="Arma Maleável B",804,IF(Atletas!T353="Outra Arma Dupla C",805,IF(Atletas!T353="Arma Maleável C",806,IF(Atletas!T353="Outra Arma Dupla D",807,IF(Atletas!T353="Arma Maleável D",808,IF(Atletas!T353="Outra Arma Dupla E",809,IF(Atletas!T353="Arma Maleável E",810,IF(Atletas!T353="Outra Arma Dupla F",811,IF(Atletas!T353="Arma Maleável F",812,IF(Atletas!T353="Shuangdao A",813,IF(Atletas!T353="Shuangdao B",814,IF(Atletas!T353="Shuangdao C",815,IF(Atletas!T353="Shuangdao D",816,IF(Atletas!T353="Shuangdao E",817,IF(Atletas!T353="Shuangdao F",818,"")))))))))))))))))))</f>
        <v/>
      </c>
      <c r="CC362" s="50" t="str">
        <f>IF(Atletas!U353="","",IF(Atletas!X353&lt;&gt;"",10000,0)+IF(Atletas!B353="Feminino",1000,IF(Atletas!B353="Masculino",2000,""))+IF(OR(Atletas!U353="Taijijian Yang A",Atletas!U353="Taijijian Yang Standard A"),901,IF(OR(Atletas!U353="Taijijian Chen A", Atletas!U353="Taijijian Chen Standard A"),902,IF(Atletas!U353="Taijijian Sun A",903,IF(Atletas!U353="Taijijian Wu A",904,IF(Atletas!U353="Taijijian Wu-Hao A",905,IF(OR(Atletas!U353="Taijijian 32 A",Atletas!U353="Taijijian 42 A"),906,IF(OR(Atletas!U353="Taijijian Yang B",Atletas!U353="Taijijian Yang Standard B"),907,IF(OR(Atletas!U353="Taijijian Chen B", Atletas!U353="Taijijian Chen Standard B"),908,IF(Atletas!U353="Taijijian Sun B",909,IF(Atletas!U353="Taijijian Wu B",910,IF(Atletas!U353="Taijijian Wu-Hao B",911,IF(OR(Atletas!U353="Taijijian 32 B",Atletas!U353="Taijijian 42 B"),912,IF(OR(Atletas!U353="Taijijian Yang C",Atletas!U353="Taijijian Yang Standard C"),913,IF(OR(Atletas!U353="Taijijian Chen C", Atletas!U353="Taijijian Chen Standard C"),914,IF(Atletas!U353="Taijijian Sun C",915,IF(Atletas!U353="Taijijian Wu C",916,IF(Atletas!U353="Taijijian Wu-Hao C",917,IF(OR(Atletas!U353="Taijijian 32 C",Atletas!U353="Taijijian 42 C"),918,IF(OR(Atletas!U353="Taijijian Yang D",Atletas!U353="Taijijian Yang Standard D"),919,IF(OR(Atletas!U353="Taijijian Chen D", Atletas!U353="Taijijian Chen Standard D"),920,IF(Atletas!U353="Taijijian Sun D",921,IF(Atletas!U353="Taijijian Wu D",922,IF(Atletas!U353="Taijijian Wu-Hao D",923,IF(OR(Atletas!U353="Taijijian 32 D",Atletas!U353="Taijijian 42 D"),924,IF(OR(Atletas!U353="Taijijian Yang E",Atletas!U353="Taijijian Yang Standard E"),925,IF(OR(Atletas!U353="Taijijian Chen E", Atletas!U353="Taijijian Chen Standard E"),926,IF(Atletas!U353="Taijijian Sun E",927,IF(Atletas!U353="Taijijian Wu E",928,IF(Atletas!U353="Taijijian Wu-Hao E",929,IF(OR(Atletas!U353="Taijijian 32 E",Atletas!U353="Taijijian 42 E"),930,IF(OR(Atletas!U353="Taijijian Yang F",Atletas!U353="Taijijian Yang Standard F"),931,IF(OR(Atletas!U353="Taijijian Chen F", Atletas!U353="Taijijian Chen Standard F"),932,IF(Atletas!U353="Taijijian Sun F",933,IF(Atletas!U353="Taijijian Wu F",934,IF(Atletas!U353="Taijijian Wu-Hao F",935,IF(OR(Atletas!U353="Taijijian 32 F",Atletas!U353="Taijijian 42 F"),936,"")))))))))))))))))))))))))))))))))))))</f>
        <v/>
      </c>
      <c r="CD362" s="50" t="str">
        <f>IF(Atletas!V353="","",IF(Atletas!X353&lt;&gt;"",10000,0)+IF(Atletas!B353="Feminino",1000,IF(Atletas!B353="Masculino",2000,""))+IF(Atletas!V353="Taijidao A",937,IF(Atletas!V353="TaijiShanzi A",938,IF(Atletas!V353="Taijiqiang A",939,IF(Atletas!V353="Bagua de Arma A",940,IF(Atletas!V353="Xingyi de Arma A",941,IF(Atletas!V353="Taijidao B",942,IF(Atletas!V353="TaijiShanzi B",943,IF(Atletas!V353="Taijiqiang B",944,IF(Atletas!V353="Bagua de Arma B",945,IF(Atletas!V353="Xingyi de Arma B",946,IF(Atletas!V353="Taijidao C",947,IF(Atletas!V353="TaijiShanzi C",948,IF(Atletas!V353="Taijiqiang C",949,IF(Atletas!V353="Bagua de Arma C",950,IF(Atletas!V353="Xingyi de Arma C",951,IF(Atletas!V353="Taijidao D",952,IF(Atletas!V353="TaijiShanzi D",953,IF(Atletas!V353="Taijiqiang D",954,IF(Atletas!V353="Bagua de Arma D",955,IF(Atletas!V353="Xingyi de Arma D",956,IF(Atletas!V353="Taijidao E",957,IF(Atletas!V353="TaijiShanzi E",958,IF(Atletas!V353="Taijiqiang E",959,IF(Atletas!V353="Bagua de Arma E",960,IF(Atletas!V353="Xingyi de Arma E",961,IF(Atletas!V353="Taijidao F",962,IF(Atletas!V353="TaijiShanzi F",963,IF(Atletas!V353="Taijiqiang F",964,IF(Atletas!V353="Bagua de Arma F",965,IF(Atletas!V353="Xingyi de Arma F",966,"")))))))))))))))))))))))))))))))</f>
        <v/>
      </c>
      <c r="CE362" s="66" t="str">
        <f>IF(CF362&lt;&gt;"","Taijidao F","")</f>
        <v/>
      </c>
      <c r="CF362" s="66" t="str">
        <f>IF(COUNTIF(BR:CD,1962)&gt;0,COUNTIF(BR:CD,1962),"")</f>
        <v/>
      </c>
      <c r="CG362" s="66" t="str">
        <f>IF(CH362&lt;&gt;"","Taijidao F","")</f>
        <v/>
      </c>
      <c r="CH362" s="66" t="str">
        <f>IF(COUNTIF(BR:CD,2962)&gt;0,COUNTIF(BR:CD,2962),"")</f>
        <v/>
      </c>
      <c r="CI362" s="66"/>
      <c r="CJ362" s="66"/>
      <c r="CK362" s="66"/>
      <c r="CL362" s="66"/>
      <c r="CM362" s="50" t="str">
        <f xml:space="preserve"> IF(Atletas!W353="","",IF(Atletas!W353="Duilian de Mãos BC - Equipe 1",1,IF(Atletas!W353="Duilian de Mãos BC - Equipe 2",2,IF(Atletas!W353="Duilian de Armas BC - Equipe 1",3,IF(Atletas!W353="Duilian de Armas BC - Equipe 2",4,IF(Atletas!W353="Duilian de Mãos DE - Equipe 1",5,IF(Atletas!W353="Duilian de Mãos DE - Equipe 2",6,IF(Atletas!W353="Duilian de Armas DE - Equipe 1",7,IF(Atletas!W353="Duilian de Armas DE - Equipe 2",8,IF(Atletas!W353="Duilian de Tuishou - Equipe 1",9,IF(Atletas!W353="Duilian de Tuishou - Equipe 2",10,IF(Atletas!W353="Grupo Externo ABC - Equipe 1",11,IF(Atletas!W353="Grupo Externo ABC - Equipe 2",12,IF(Atletas!W353="Grupo Interno ABC - Equipe 1",13,IF(Atletas!W353="Grupo Interno ABC - Equipe 2",14,IF(Atletas!W353="Grupo Externo DEF - Equipe 1",15,IF(Atletas!W353="Grupo Externo DEF - Equipe 2",16,IF(Atletas!W353="Grupo Interno DEF - Equipe 1",17,IF(Atletas!W353="Grupo Interno DEF - Equipe 2",18,"")))))))))))))))))))</f>
        <v/>
      </c>
    </row>
    <row r="363" spans="40:91">
      <c r="AN363" s="52" t="str">
        <f>IF(Atletas!D354="","",IF(Atletas!B354="Feminino",100,IF(Atletas!B354="Masculino",200,""))+(IF(Atletas!D354="Kids 30kg",1,IF(Atletas!D354="Kids 32kg",2, IF(Atletas!D354="Kids 34kg",3,IF(Atletas!D354="Kids 36kg",4,IF(Atletas!D354="Kids 39kg",5,IF(Atletas!D354="Kids 42kg",6,IF(Atletas!D354="Kids 45kg",7, IF(Atletas!D354="Infantil 39kg",8,IF(Atletas!D354="Infantil 42kg",9,IF(Atletas!D354="Infantil 45kg",10,IF(Atletas!D354="Infantil 48kg",11,IF(Atletas!D354="Infantil 52kg",12,IF(Atletas!D354="Infantil 56kg",13,IF(Atletas!D354="Infantil 60kg",14,IF(Atletas!D354="Juvenil 48kg",15,IF(Atletas!D354="Juvenil 52kg",16,IF(Atletas!D354="Juvenil 56kg",17,IF(Atletas!D354="Juvenil 60kg",18,IF(Atletas!D354="Juvenil 65kg",19,IF(Atletas!D354="Juvenil 70kg",20,IF(Atletas!D354="Juvenil 75kg",21,IF(Atletas!D354="Juvenil 80kg",22, IF(Atletas!D354="Juvenil 85kg",23,IF(Atletas!D354="Adulto 48kg",24,IF(Atletas!D354="Adulto 52kg",25,IF(Atletas!D354="Adulto 56kg",26,IF(Atletas!D354="Adulto 60kg",27,IF(Atletas!D354="Adulto 65kg",28,IF(Atletas!D354="Adulto 70kg",29,IF(Atletas!D354="Adulto 75kg",30,IF(Atletas!D354="Adulto 80kg",31,IF(Atletas!D354="Adulto 85kg",32,IF(Atletas!D354="Adulto 90kg",33,IF(Atletas!D354="Adulto 100kg",34, IF(Atletas!D354="Adulto +100kg",35,"")))))))))))))))))))))))))))))))))))))</f>
        <v/>
      </c>
      <c r="AS363" s="6" t="str">
        <f>IF(Atletas!E354="","",IF(Atletas!B354="Feminino",100,IF(Atletas!B354="Masculino",200,""))+(IF(Atletas!E354="Juvenil 44kg",1,IF(Atletas!E354="Juvenil 48kg",2,IF(Atletas!E354="Juvenil 52kg",3,IF(Atletas!E354="Juvenil 56kg",4,IF(Atletas!E354="Juvenil 60kg",5,IF(Atletas!E354="Juvenil 65kg",6,IF(Atletas!E354="Juvenil 70kg",7,IF(Atletas!E354="Juvenil 75kg",8,IF(Atletas!E354="Juvenil 82kg",9,IF(Atletas!E354="Juvenil 90kg",10,IF(Atletas!E354="Juvenil 100kg",11,IF(Atletas!E354="Adulto 48kg",12,IF(Atletas!E354="Adulto 52kg",13,IF(Atletas!E354="Adulto 56kg",14,IF(Atletas!E354="Adulto 60kg",15,IF(Atletas!E354="Adulto 65kg",16,IF(Atletas!E354="Adulto 70kg",17,IF(Atletas!E354="Adulto 75kg",18,IF(Atletas!E354="Adulto 82kg",19,IF(Atletas!E354="Adulto 90kg",20,IF(Atletas!E354="Adulto 100kg",21,IF(Atletas!E354="Adulto +100kg",22,""))))))))))))))))))))))))</f>
        <v/>
      </c>
      <c r="AX363" s="6" t="str">
        <f>IF(Atletas!F354="","",IF(Atletas!B354="Feminino",100,IF(Atletas!B354="Masculino",200,""))+(IF(Atletas!F354="Adulto 48kg",1,IF(Atletas!F354="Adulto 56kg",2,IF(Atletas!F354="Adulto 65kg",3,IF(Atletas!F354="Adulto 75kg",4,IF(Atletas!F354="Adulto +75kg",5,IF(Atletas!F354="Adulto 52kg",6,IF(Atletas!F354="Adulto 60kg",7,IF(Atletas!F354="Adulto 70kg",8,IF(Atletas!F354="Adulto 80kg",9,IF(Atletas!F354="Adulto 90kg",10,IF(Atletas!F354="Adulto +90kg",11,"")))))))))))))</f>
        <v/>
      </c>
      <c r="BC363" s="6" t="str">
        <f>IF(Atletas!G354="","",IF(Atletas!B354="Feminino",10,IF(Atletas!B354="Masculino",20,""))+(IF(Atletas!G354="Baduanjin A",1,IF(Atletas!G354="Baduanjin B",2))))</f>
        <v/>
      </c>
      <c r="BF363" s="52" t="str">
        <f>IF(Atletas!H354="","",IF(Atletas!B354="Feminino",100,IF(Atletas!B354="Masculino",200,""))+(IF(Atletas!H354="Changquan Mirim",1,IF(Atletas!H354="Nanquan Mirim",2,IF(Atletas!H354="Taijiquan Mirim",3,IF(Atletas!H354="Changquan Grupo C",4,IF(Atletas!H354="Nanquan Grupo C",5,IF(Atletas!H354="Taijiquan Grupo C",6,IF(Atletas!H354="Changquan Grupo B",7,IF(Atletas!H354="Nanquan Grupo B",8,IF(Atletas!H354="Taijiquan Grupo B",9,IF(Atletas!H354="Changquan Grupo A",10,IF(Atletas!H354="Nanquan Grupo A",11,IF(Atletas!H354="Taijiquan Grupo A",12,IF(Atletas!H354="Changquan Opcional",13,IF(Atletas!H354="Nanquan Opcional",14,IF(Atletas!H354="Taijiquan Opcional",15,IF(Atletas!H354="Changquan Adulto",16,IF(Atletas!H354="Nanquan Adulto",17,IF(Atletas!H354="Taijiquan Adulto",18,""))))))))))))))))))))</f>
        <v/>
      </c>
      <c r="BG363" s="52" t="str">
        <f>IF(Atletas!I354="","",IF(Atletas!B354="Feminino",100,IF(Atletas!B354="Masculino",200,""))+(IF(Atletas!I354="Daoshu Mirim",19,IF(Atletas!I354="Jianshu Mirim",20,IF(Atletas!I354="Nandao Mirim",21,IF(Atletas!I354="Taijijian Mirim",22,IF(Atletas!I354="Daoshu Grupo C",23,IF(Atletas!I354="Jianshu Grupo C",24,IF(Atletas!I354="Nandao Grupo C",25,IF(Atletas!I354="Taijijian Grupo C",26,IF(Atletas!I354="Daoshu Grupo B",27,IF(Atletas!I354="Jianshu Grupo B",28,IF(Atletas!I354="Nandao Grupo B",29,IF(Atletas!I354="Taijijian Grupo B",30,IF(Atletas!I354="Daoshu Grupo A",31,IF(Atletas!I354="Jianshu Grupo A",32,IF(Atletas!I354="Nandao Grupo A",33,IF(Atletas!I354="Taijijian Grupo A",34,IF(Atletas!I354="Daoshu Opcional",35,IF(Atletas!I354="Jianshu Opcional",36,IF(Atletas!I354="Nandao Opcional",37,IF(Atletas!I354="Taijijian Opcional",38,IF(Atletas!I354="Daoshu Adulto",39,IF(Atletas!I354="Jianshu Adulto",40,IF(Atletas!I354="Nandao Adulto",41,IF(Atletas!I354="Taijijian Adulto",42,""))))))))))))))))))))))))))</f>
        <v/>
      </c>
      <c r="BH363" s="52" t="str">
        <f>IF(Atletas!J354="","",IF(Atletas!B354="Feminino",100,IF(Atletas!B354="Masculino",200,""))+(IF(Atletas!J354="Gunshu Mirim",43,IF(Atletas!J354="Qiangshu Mirim",44,IF(Atletas!J354="Nangun Mirim",45,IF(Atletas!J354="Gunshu Grupo C",46,IF(Atletas!J354="Qiangshu Grupo C",47,IF(Atletas!J354="Nangun Grupo C",48,IF(Atletas!J354="Gunshu Grupo B",49,IF(Atletas!J354="Qiangshu Grupo B",50,IF(Atletas!J354="Nangun Grupo B",51,IF(Atletas!J354="Gunshu Grupo A",52,IF(Atletas!J354="Qiangshu Grupo A",53,IF(Atletas!J354="Nangun Grupo A",54,IF(Atletas!J354="Gunshu Opcional",55,IF(Atletas!J354="Qiangshu Opcional",56,IF(Atletas!J354="Nangun Opcional",57,IF(Atletas!J354="Gunshu Adulto",58,IF(Atletas!J354="Qiangshu Adulto",59,IF(Atletas!J354="Nangun Adulto",60,IF(Atletas!J354="Taijishan Grupo B",61,IF(Atletas!J354="Taijishan Grupo A",62,""))))))))))))))))))))))</f>
        <v/>
      </c>
      <c r="BM363" s="50" t="str">
        <f>IF(Atletas!K354="","",IF(Atletas!B354="Feminino",100,IF(Atletas!B354="Masculino",200,""))+(IF(Atletas!K354="Equipe 1 Grupo B",1,IF(Atletas!K354="Equipe 2 Grupo B",2,IF(Atletas!K354="Equipe 1 Grupo A",3,IF(Atletas!K354="Equipe 2 Grupo A",4,IF(Atletas!K354="Equipe 1 Adulto",5,IF(Atletas!K354="Equipe 2 Adulto",6,""))))))))</f>
        <v/>
      </c>
      <c r="BR363" s="50" t="str">
        <f>IF(Atletas!L354="","",IF(Atletas!X354&lt;&gt;"",10000,0)+(IF(Atletas!B354="Feminino",1000,IF(Atletas!B354="Masculino",2000,""))+IF(Atletas!L354="Choylayfut A",1,IF(Atletas!L354="Hunggar A",2,IF(Atletas!L354="Wuzuquan A",3,IF(Atletas!L354="Wingchun A",4,IF(Atletas!L354="Outra Mão de Sul A",5,IF(Atletas!L354="Choylayfut B",6,IF(Atletas!L354="Hunggar B",7,IF(Atletas!L354="Wuzuquan B",8,IF(Atletas!L354="Wingchun B",9,IF(Atletas!L354="Outra Mão de Sul B",10,IF(Atletas!L354="Choylayfut C",11,IF(Atletas!L354="Hunggar C",12,IF(Atletas!L354="Wuzuquan C",13,IF(Atletas!L354="Wingchun C",14,IF(Atletas!L354="Outra Mão de Sul C",15,IF(Atletas!L354="Choylayfut D",16,IF(Atletas!L354="Hunggar D",17,IF(Atletas!L354="Wuzuquan D",18,IF(Atletas!L354="Wingchun D",19,IF(Atletas!L354="Outra Mão de Sul D",20,IF(Atletas!L354="Choylayfut E",21,IF(Atletas!L354="Hunggar E",22,IF(Atletas!L354="Wuzuquan E",23,IF(Atletas!L354="Wingchun E",24,IF(Atletas!L354="Outra Mão de Sul E",25,IF(Atletas!L354="Choylayfut F",26,IF(Atletas!L354="Hunggar F",27,IF(Atletas!L354="Wuzuquan F",28,IF(Atletas!L354="Wingchun F",29,IF(Atletas!L354="Outra Mão de Sul F",30,IF(Atletas!L354="Dishuquan A",31,IF(Atletas!L354="Dishuquan B",32,IF(Atletas!L354="Dishuquan C",33,IF(Atletas!L354="Dishuquan D",34,IF(Atletas!L354="Dishuquan E",35,IF(Atletas!L354="Dishuquan F",36,""))))))))))))))))))))))))))))))))))))))</f>
        <v/>
      </c>
      <c r="BS363" s="50" t="str">
        <f>IF(Atletas!M354="","",IF(Atletas!X354&lt;&gt;"",10000,0)+(IF(Atletas!B354="Feminino",1000,IF(Atletas!B354="Masculino",2000,""))+(IF(Atletas!M354="Chaquan A",101,IF(Atletas!M354="Emeiquan A",102,IF(Atletas!M354="Fanziquan A",103,IF(Atletas!M354="Huaquan A",104,IF(Atletas!M354="Hongquan A",105,IF(Atletas!M354="Paoquan A",106,IF(Atletas!M354="Piguaquan A",107,IF(Atletas!M354="Shaolinquan A",108,IF(Atletas!M354="Tanglangquan A",109,IF(Atletas!M354="Yingzhaoquan A",110,IF(Atletas!M354="Tongbeiquan A",111,IF(Atletas!M354="Wudangquan A",112,IF(Atletas!M354="Outros Estilos A",113,IF(Atletas!M354="Chaquan B",114,IF(Atletas!M354="Emeiquan B",115,IF(Atletas!M354="Fanziquan B",116,IF(Atletas!M354="Huaquan B",117,IF(Atletas!M354="Hongquan B",118,IF(Atletas!M354="Paoquan B",119,IF(Atletas!M354="Piguaquan B",120,IF(Atletas!M354="Shaolinquan B",121,IF(Atletas!M354="Tanglangquan B",122,IF(Atletas!M354="Yingzhaoquan B",123,IF(Atletas!M354="Tongbeiquan B",124,IF(Atletas!M354="Wudangquan B",125,IF(Atletas!M354="Outros Estilos B",126,IF(Atletas!M354="Chaquan C",127,IF(Atletas!M354="Emeiquan C",128,IF(Atletas!M354="Fanziquan C",129,IF(Atletas!M354="Huaquan C",130,IF(Atletas!M354="Hongquan C",131,IF(Atletas!M354="Paoquan C",132,IF(Atletas!M354="Piguaquan C",133,IF(Atletas!M354="Shaolinquan C",134,IF(Atletas!M354="Tanglangquan C",135,IF(Atletas!M354="Yingzhaoquan C",136,IF(Atletas!M354="Tongbeiquan C",137,IF(Atletas!M354="Wudangquan C",138,IF(Atletas!M354="Outros Estilos C",139,0))))))))))))))))))))))))))))))))))))))))))</f>
        <v/>
      </c>
      <c r="BT363" s="50" t="str">
        <f>IF(Atletas!M354="","",IF(Atletas!X354&lt;&gt;"",10000,0)+(IF(Atletas!B354="Feminino",1000,IF(Atletas!B354="Masculino",2000,""))+(IF(Atletas!M354="Chaquan D",140,IF(Atletas!M354="Emeiquan D",141,IF(Atletas!M354="Fanziquan D",142,IF(Atletas!M354="Huaquan D",143,IF(Atletas!M354="Hongquan D",144,IF(Atletas!M354="Paoquan D",145,IF(Atletas!M354="Piguaquan D",146,IF(Atletas!M354="Shaolinquan D",147,IF(Atletas!M354="Tanglangquan D",148,IF(Atletas!M354="Yingzhaoquan D",149,IF(Atletas!M354="Tongbeiquan D",150,IF(Atletas!M354="Wudangquan D",151,IF(Atletas!M354="Outros Estilos D",152,IF(Atletas!M354="Chaquan E",153,IF(Atletas!M354="Emeiquan E",154,IF(Atletas!M354="Fanziquan E",155,IF(Atletas!M354="Huaquan E",156,IF(Atletas!M354="Hongquan E",157,IF(Atletas!M354="Paoquan E",158,IF(Atletas!M354="Piguaquan E",159,IF(Atletas!M354="Shaolinquan E",160,IF(Atletas!M354="Tanglangquan E",161,IF(Atletas!M354="Yingzhaoquan E",162,IF(Atletas!M354="Tongbeiquan E",163,IF(Atletas!M354="Wudangquan E",164,IF(Atletas!M354="Outros Estilos E",165,IF(Atletas!M354="Chaquan F",166,IF(Atletas!M354="Emeiquan F",167,IF(Atletas!M354="Fanziquan F",168,IF(Atletas!M354="Huaquan F",169,IF(Atletas!M354="Hongquan F",170,IF(Atletas!M354="Paoquan F",171,IF(Atletas!M354="Piguaquan F",172,IF(Atletas!M354="Shaolinquan F",173,IF(Atletas!M354="Tanglangquan F",174,IF(Atletas!M354="Yingzhaoquan F",175,IF(Atletas!M354="Tongbeiquan F",176,IF(Atletas!M354="Wudangquan F",177,IF(Atletas!M354="Outros Estilos F",178,0))))))))))))))))))))))))))))))))))))))))))</f>
        <v/>
      </c>
      <c r="BU363" s="50" t="str">
        <f>IF(Atletas!N354="","",IF(Atletas!X354&lt;&gt;"",10000,0)+(IF(Atletas!B354="Feminino",1000,IF(Atletas!B354="Masculino",2000,""))+(IF(Atletas!N354="Ditangquan A",201,IF(Atletas!N354="Houquan A",202,IF(Atletas!N354="Zuiquan A",203,IF(Atletas!N354="Ditangquan B",204,IF(Atletas!N354="Houquan B",205,IF(Atletas!N354="Zuiquan B",206,IF(Atletas!N354="Ditangquan C",207,IF(Atletas!N354="Houquan C",208,IF(Atletas!N354="Zuiquan C",209,IF(Atletas!N354="Ditangquan D",210,IF(Atletas!N354="Houquan D",211,IF(Atletas!N354="Zuiquan D",212,IF(Atletas!N354="Ditangquan E",213,IF(Atletas!N354="Houquan E",214,IF(Atletas!N354="Zuiquan E",215,IF(Atletas!N354="Ditangquan F",216,IF(Atletas!N354="Houquan F",217,IF(Atletas!N354="Zuiquan F",218,"")))))))))))))))))))))</f>
        <v/>
      </c>
      <c r="BV363" s="50" t="str">
        <f>IF(Atletas!O354="","",IF(Atletas!X354&lt;&gt;"",10000,0)+IF(Atletas!B354="Feminino",1000,IF(Atletas!B354="Masculino",2000,""))+IF(Atletas!O354="Yang A",301,IF(Atletas!O354="Chen A",302,IF(Atletas!O354="Sun A",303,IF(Atletas!O354="Wu A",304,IF(Atletas!O354="Wu-Hao A",305,IF(Atletas!O354="Outro Taijiquan A",306,IF(Atletas!O354="Yang B",307,IF(Atletas!O354="Chen B",308,IF(Atletas!O354="Sun B",309,IF(Atletas!O354="Wu B",310,IF(Atletas!O354="Wu-Hao B",311,IF(Atletas!O354="Outro Taijiquan B",312,IF(Atletas!O354="Yang C",313,IF(Atletas!O354="Chen C",314,IF(Atletas!O354="Sun C",315,IF(Atletas!O354="Wu C",316,IF(Atletas!O354="Wu-Hao C",317,IF(Atletas!O354="Outro Taijiquan C",318,IF(Atletas!O354="Yang D",319,IF(Atletas!O354="Chen D",320,IF(Atletas!O354="Sun D",321,IF(Atletas!O354="Wu D",322,IF(Atletas!O354="Wu-Hao D",323,IF(Atletas!O354="Outro Taijiquan D",324,IF(Atletas!O354="Yang E",325,IF(Atletas!O354="Chen E",326,IF(Atletas!O354="Sun E",327,IF(Atletas!O354="Wu E",328,IF(Atletas!O354="Wu-Hao E",329,IF(Atletas!O354="Outro Taijiquan E",330,IF(Atletas!O354="Yang F",331,IF(Atletas!O354="Chen F",332,IF(Atletas!O354="Sun F",333,IF(Atletas!O354="Wu F",334,IF(Atletas!O354="Wu-Hao F",335,IF(Atletas!O354="Outro Taijiquan F",336,"")))))))))))))))))))))))))))))))))))))</f>
        <v/>
      </c>
      <c r="BW363" s="50" t="str">
        <f>IF(Atletas!P354="","",IF(Atletas!X354&lt;&gt;"",10000,0)+IF(Atletas!B354="Feminino",1000,IF(Atletas!B354="Masculino",2000,""))+IF(OR(Atletas!P354="Yang 26 A",Atletas!P354="Yang 40 A"),401,IF(OR(Atletas!P354="Chen 25 A",Atletas!P354="Chen 36 A",Atletas!P354="Chen 56 A"),402,IF(Atletas!P354="Sun 73 A",403,IF(Atletas!P354="Wu 45 A",404,IF(Atletas!P354="Wu-Hao 46 A",405,IF(OR(Atletas!P354="Taijiquan 16 A",Atletas!P354="Taijiquan 24 A",Atletas!P354="Taijiquan 32 A",Atletas!P354="Taijiquan 42 A"),406,IF(OR(Atletas!P354="Yang 26 B",Atletas!P354="Yang 40 B"),407,IF(OR(Atletas!P354="Chen 25 B",Atletas!P354="Chen 36 B",Atletas!P354="Chen 56 B"),408,IF(Atletas!P354="Sun 73 B",409,IF(Atletas!P354="Wu 45 B",410,IF(Atletas!P354="Wu-Hao 46 B",411,IF(OR(Atletas!P354="Taijiquan 16 B",Atletas!P354="Taijiquan 24 B",Atletas!P354="Taijiquan 32 B",Atletas!P354="Taijiquan 42 B"),412,IF(OR(Atletas!P354="Yang 26 C",Atletas!P354="Yang 40 C"),413,IF(OR(Atletas!P354="Chen 25 C",Atletas!P354="Chen 36 C",Atletas!P354="Chen 56 C"),414,IF(Atletas!P354="Sun 73 C",415,IF(Atletas!P354="Wu 45 C",416,IF(Atletas!P354="Wu-Hao 46 C",417,IF(OR(Atletas!P354="Taijiquan 16 C",Atletas!P354="Taijiquan 24 C",Atletas!P354="Taijiquan 32 C",Atletas!P354="Taijiquan 42 C"),418,0)))))))))))))))))))</f>
        <v/>
      </c>
      <c r="BX363" s="50" t="str">
        <f>IF(Atletas!P354="","",IF(Atletas!X354&lt;&gt;"",10000,0)+IF(Atletas!B354="Feminino",1000,IF(Atletas!B354="Masculino",2000,""))+IF(OR(Atletas!P354="Yang 26 D",Atletas!P354="Yang 40 D"),419,IF(OR(Atletas!P354="Chen 25 D",Atletas!P354="Chen 36 D",Atletas!P354="Chen 56 D"),420,IF(Atletas!P354="Sun 73 D",421,IF(Atletas!P354="Wu 45 D",422,IF(Atletas!P354="Wu-Hao 46 D",423,IF(OR(Atletas!P354="Taijiquan 16 D",Atletas!P354="Taijiquan 24 D",Atletas!P354="Taijiquan 32 D",Atletas!P354="Taijiquan 42 D"),424,IF(OR(Atletas!P354="Yang 26 E",Atletas!P354="Yang 40 E"),425,IF(OR(Atletas!P354="Chen 25 E",Atletas!P354="Chen 36 E",Atletas!P354="Chen 56 E"),426,IF(Atletas!P354="Sun 73 E",427,IF(Atletas!P354="Wu 45 E",428,IF(Atletas!P354="Wu-Hao 46 E",429,IF(OR(Atletas!P354="Taijiquan 16 E",Atletas!P354="Taijiquan 24 E",Atletas!P354="Taijiquan 32 E",Atletas!P354="Taijiquan 42 E"),430,IF(OR(Atletas!P354="Yang 26 F",Atletas!P354="Yang 40 F"),431,IF(OR(Atletas!P354="Chen 25 F",Atletas!P354="Chen 36 F",Atletas!P354="Chen 56 F"),432,IF(Atletas!P354="Sun 73 F",433,IF(Atletas!P354="Wu 45 F",434,IF(Atletas!P354="Wu-Hao 46 F",435,IF(OR(Atletas!P354="Taijiquan 16 F",Atletas!P354="Taijiquan 24 F",Atletas!P354="Taijiquan 32 F",Atletas!P354="Taijiquan 42 F"),436,0)))))))))))))))))))</f>
        <v/>
      </c>
      <c r="BY363" s="50" t="str">
        <f>IF(Atletas!Q354="","",IF(Atletas!X354&lt;&gt;"",10000,0)+IF(Atletas!B354="Feminino",1000,IF(Atletas!B354="Masculino",2000,""))+IF(Atletas!Q354="Xingyiquan A",501,IF(Atletas!Q354="Baguazhang A",502,IF(Atletas!Q354="Outro Estilo Interno A",503,IF(Atletas!Q354="Xingyiquan B",504,IF(Atletas!Q354="Baguazhang B",505,IF(Atletas!Q354="Outro Estilo Interno B",506,IF(Atletas!Q354="Xingyiquan C",507,IF(Atletas!Q354="Baguazhang C",508,IF(Atletas!Q354="Outro Estilo Interno C",509,IF(Atletas!Q354="Xingyiquan D",510,IF(Atletas!Q354="Baguazhang D",511,IF(Atletas!Q354="Outro Estilo Interno D",512,IF(Atletas!Q354="Xingyiquan E",513,IF(Atletas!Q354="Baguazhang E",514,IF(Atletas!Q354="Outro Estilo Interno E",515,IF(Atletas!Q354="Xingyiquan F",516,IF(Atletas!Q354="Baguazhang F",517,IF(Atletas!Q354="Outro Estilo Interno F",518, "")))))))))))))))))))</f>
        <v/>
      </c>
      <c r="BZ363" s="50" t="str">
        <f>IF(Atletas!R354="","",IF(Atletas!X354&lt;&gt;"",10000,0)+IF(Atletas!B354="Feminino",1000,IF(Atletas!B354="Masculino",2000,""))+IF(Atletas!R354="Dao A",601,IF(Atletas!R354="Jian A",602,IF(Atletas!R354="Bishou A",603,IF(Atletas!R354="Shanzi A",604,IF(Atletas!R354="Outra Arma Curta A",605,IF(Atletas!R354="Dao B",606,IF(Atletas!R354="Jian B",607,IF(Atletas!R354="Bishou B",608,IF(Atletas!R354="Shanzi B",609,IF(Atletas!R354="Outra Arma Curta B",610,IF(Atletas!R354="Dao C",611,IF(Atletas!R354="Jian C",612,IF(Atletas!R354="Bishou C",613,IF(Atletas!R354="Shanzi C",614,IF(Atletas!R354="Outra Arma Curta C",615,IF(Atletas!R354="Dao D",616,IF(Atletas!R354="Jian D",617,IF(Atletas!R354="Bishou D",618,IF(Atletas!R354="Shanzi D",619,IF(Atletas!R354="Outra Arma Curta D",620,IF(Atletas!R354="Dao E",621,IF(Atletas!R354="Jian E",622,IF(Atletas!R354="Bishou E",623,IF(Atletas!R354="Shanzi E",624,IF(Atletas!R354="Outra Arma Curta E",625,IF(Atletas!R354="Dao F",626,IF(Atletas!R354="Jian F",627,IF(Atletas!R354="Bishou F",628,IF(Atletas!R354="Shanzi F",629,IF(Atletas!R354="Outra Arma Curta F",630, "")))))))))))))))))))))))))))))))</f>
        <v/>
      </c>
      <c r="CA363" s="50" t="str">
        <f>IF(Atletas!S354="","",IF(Atletas!X354&lt;&gt;"",10000,0)+IF(Atletas!B354="Feminino",1000,IF(Atletas!B354="Masculino",2000,""))+IF(Atletas!S354="Gun A",701,IF(Atletas!S354="Qiang A",702,IF(Atletas!S354="Pudao / Guandao A",703,IF(Atletas!S354="Outra Arma Longa A",704,IF(Atletas!S354="Gun B",705,IF(Atletas!S354="Qiang B",706,IF(Atletas!S354="Pudao / Guandao B",707,IF(Atletas!S354="Outra Arma Longa B",708,IF(Atletas!S354="Gun C",709,IF(Atletas!S354="Qiang C",710,IF(Atletas!S354="Pudao / Guandao C",711,IF(Atletas!S354="Outra Arma Longa C",712,IF(Atletas!S354="Gun D",713,IF(Atletas!S354="Qiang D",714,IF(Atletas!S354="Pudao / Guandao D",715,IF(Atletas!S354="Outra Arma Longa D",716,IF(Atletas!S354="Gun E",717,IF(Atletas!S354="Qiang E",718,IF(Atletas!S354="Pudao / Guandao E",719,IF(Atletas!S354="Outra Arma Longa E",720,IF(Atletas!S354="Gun F",721,IF(Atletas!S354="Qiang F",722,IF(Atletas!S354="Pudao / Guandao F",723,IF(Atletas!S354="Outra Arma Longa F",724,"")))))))))))))))))))))))))</f>
        <v/>
      </c>
      <c r="CB363" s="50" t="str">
        <f>IF(Atletas!T354="","",IF(Atletas!X354&lt;&gt;"",10000,0)+IF(Atletas!B354="Feminino",1000,IF(Atletas!B354="Masculino",2000,""))+IF(Atletas!T354="Outra Arma Dupla A",801,IF(Atletas!T354="Arma Maleável A",802,IF(Atletas!T354="Outra Arma Dupla B",803,IF(Atletas!T354="Arma Maleável B",804,IF(Atletas!T354="Outra Arma Dupla C",805,IF(Atletas!T354="Arma Maleável C",806,IF(Atletas!T354="Outra Arma Dupla D",807,IF(Atletas!T354="Arma Maleável D",808,IF(Atletas!T354="Outra Arma Dupla E",809,IF(Atletas!T354="Arma Maleável E",810,IF(Atletas!T354="Outra Arma Dupla F",811,IF(Atletas!T354="Arma Maleável F",812,IF(Atletas!T354="Shuangdao A",813,IF(Atletas!T354="Shuangdao B",814,IF(Atletas!T354="Shuangdao C",815,IF(Atletas!T354="Shuangdao D",816,IF(Atletas!T354="Shuangdao E",817,IF(Atletas!T354="Shuangdao F",818,"")))))))))))))))))))</f>
        <v/>
      </c>
      <c r="CC363" s="50" t="str">
        <f>IF(Atletas!U354="","",IF(Atletas!X354&lt;&gt;"",10000,0)+IF(Atletas!B354="Feminino",1000,IF(Atletas!B354="Masculino",2000,""))+IF(OR(Atletas!U354="Taijijian Yang A",Atletas!U354="Taijijian Yang Standard A"),901,IF(OR(Atletas!U354="Taijijian Chen A", Atletas!U354="Taijijian Chen Standard A"),902,IF(Atletas!U354="Taijijian Sun A",903,IF(Atletas!U354="Taijijian Wu A",904,IF(Atletas!U354="Taijijian Wu-Hao A",905,IF(OR(Atletas!U354="Taijijian 32 A",Atletas!U354="Taijijian 42 A"),906,IF(OR(Atletas!U354="Taijijian Yang B",Atletas!U354="Taijijian Yang Standard B"),907,IF(OR(Atletas!U354="Taijijian Chen B", Atletas!U354="Taijijian Chen Standard B"),908,IF(Atletas!U354="Taijijian Sun B",909,IF(Atletas!U354="Taijijian Wu B",910,IF(Atletas!U354="Taijijian Wu-Hao B",911,IF(OR(Atletas!U354="Taijijian 32 B",Atletas!U354="Taijijian 42 B"),912,IF(OR(Atletas!U354="Taijijian Yang C",Atletas!U354="Taijijian Yang Standard C"),913,IF(OR(Atletas!U354="Taijijian Chen C", Atletas!U354="Taijijian Chen Standard C"),914,IF(Atletas!U354="Taijijian Sun C",915,IF(Atletas!U354="Taijijian Wu C",916,IF(Atletas!U354="Taijijian Wu-Hao C",917,IF(OR(Atletas!U354="Taijijian 32 C",Atletas!U354="Taijijian 42 C"),918,IF(OR(Atletas!U354="Taijijian Yang D",Atletas!U354="Taijijian Yang Standard D"),919,IF(OR(Atletas!U354="Taijijian Chen D", Atletas!U354="Taijijian Chen Standard D"),920,IF(Atletas!U354="Taijijian Sun D",921,IF(Atletas!U354="Taijijian Wu D",922,IF(Atletas!U354="Taijijian Wu-Hao D",923,IF(OR(Atletas!U354="Taijijian 32 D",Atletas!U354="Taijijian 42 D"),924,IF(OR(Atletas!U354="Taijijian Yang E",Atletas!U354="Taijijian Yang Standard E"),925,IF(OR(Atletas!U354="Taijijian Chen E", Atletas!U354="Taijijian Chen Standard E"),926,IF(Atletas!U354="Taijijian Sun E",927,IF(Atletas!U354="Taijijian Wu E",928,IF(Atletas!U354="Taijijian Wu-Hao E",929,IF(OR(Atletas!U354="Taijijian 32 E",Atletas!U354="Taijijian 42 E"),930,IF(OR(Atletas!U354="Taijijian Yang F",Atletas!U354="Taijijian Yang Standard F"),931,IF(OR(Atletas!U354="Taijijian Chen F", Atletas!U354="Taijijian Chen Standard F"),932,IF(Atletas!U354="Taijijian Sun F",933,IF(Atletas!U354="Taijijian Wu F",934,IF(Atletas!U354="Taijijian Wu-Hao F",935,IF(OR(Atletas!U354="Taijijian 32 F",Atletas!U354="Taijijian 42 F"),936,"")))))))))))))))))))))))))))))))))))))</f>
        <v/>
      </c>
      <c r="CD363" s="50" t="str">
        <f>IF(Atletas!V354="","",IF(Atletas!X354&lt;&gt;"",10000,0)+IF(Atletas!B354="Feminino",1000,IF(Atletas!B354="Masculino",2000,""))+IF(Atletas!V354="Taijidao A",937,IF(Atletas!V354="TaijiShanzi A",938,IF(Atletas!V354="Taijiqiang A",939,IF(Atletas!V354="Bagua de Arma A",940,IF(Atletas!V354="Xingyi de Arma A",941,IF(Atletas!V354="Taijidao B",942,IF(Atletas!V354="TaijiShanzi B",943,IF(Atletas!V354="Taijiqiang B",944,IF(Atletas!V354="Bagua de Arma B",945,IF(Atletas!V354="Xingyi de Arma B",946,IF(Atletas!V354="Taijidao C",947,IF(Atletas!V354="TaijiShanzi C",948,IF(Atletas!V354="Taijiqiang C",949,IF(Atletas!V354="Bagua de Arma C",950,IF(Atletas!V354="Xingyi de Arma C",951,IF(Atletas!V354="Taijidao D",952,IF(Atletas!V354="TaijiShanzi D",953,IF(Atletas!V354="Taijiqiang D",954,IF(Atletas!V354="Bagua de Arma D",955,IF(Atletas!V354="Xingyi de Arma D",956,IF(Atletas!V354="Taijidao E",957,IF(Atletas!V354="TaijiShanzi E",958,IF(Atletas!V354="Taijiqiang E",959,IF(Atletas!V354="Bagua de Arma E",960,IF(Atletas!V354="Xingyi de Arma E",961,IF(Atletas!V354="Taijidao F",962,IF(Atletas!V354="TaijiShanzi F",963,IF(Atletas!V354="Taijiqiang F",964,IF(Atletas!V354="Bagua de Arma F",965,IF(Atletas!V354="Xingyi de Arma F",966,"")))))))))))))))))))))))))))))))</f>
        <v/>
      </c>
      <c r="CE363" s="66" t="str">
        <f>IF(CF363&lt;&gt;"","Taijishan F","")</f>
        <v/>
      </c>
      <c r="CF363" s="66" t="str">
        <f>IF(COUNTIF(BR:CD,1963)&gt;0,COUNTIF(BR:CD,1963),"")</f>
        <v/>
      </c>
      <c r="CG363" s="66" t="str">
        <f>IF(CH363&lt;&gt;"","Taijishan F","")</f>
        <v/>
      </c>
      <c r="CH363" s="66" t="str">
        <f>IF(COUNTIF(BR:CD,2963)&gt;0,COUNTIF(BR:CD,2963),"")</f>
        <v/>
      </c>
      <c r="CI363" s="66"/>
      <c r="CJ363" s="66"/>
      <c r="CK363" s="66"/>
      <c r="CL363" s="66"/>
      <c r="CM363" s="50" t="str">
        <f xml:space="preserve"> IF(Atletas!W354="","",IF(Atletas!W354="Duilian de Mãos BC - Equipe 1",1,IF(Atletas!W354="Duilian de Mãos BC - Equipe 2",2,IF(Atletas!W354="Duilian de Armas BC - Equipe 1",3,IF(Atletas!W354="Duilian de Armas BC - Equipe 2",4,IF(Atletas!W354="Duilian de Mãos DE - Equipe 1",5,IF(Atletas!W354="Duilian de Mãos DE - Equipe 2",6,IF(Atletas!W354="Duilian de Armas DE - Equipe 1",7,IF(Atletas!W354="Duilian de Armas DE - Equipe 2",8,IF(Atletas!W354="Duilian de Tuishou - Equipe 1",9,IF(Atletas!W354="Duilian de Tuishou - Equipe 2",10,IF(Atletas!W354="Grupo Externo ABC - Equipe 1",11,IF(Atletas!W354="Grupo Externo ABC - Equipe 2",12,IF(Atletas!W354="Grupo Interno ABC - Equipe 1",13,IF(Atletas!W354="Grupo Interno ABC - Equipe 2",14,IF(Atletas!W354="Grupo Externo DEF - Equipe 1",15,IF(Atletas!W354="Grupo Externo DEF - Equipe 2",16,IF(Atletas!W354="Grupo Interno DEF - Equipe 1",17,IF(Atletas!W354="Grupo Interno DEF - Equipe 2",18,"")))))))))))))))))))</f>
        <v/>
      </c>
    </row>
    <row r="364" spans="40:91">
      <c r="AN364" s="52" t="str">
        <f>IF(Atletas!D355="","",IF(Atletas!B355="Feminino",100,IF(Atletas!B355="Masculino",200,""))+(IF(Atletas!D355="Kids 30kg",1,IF(Atletas!D355="Kids 32kg",2, IF(Atletas!D355="Kids 34kg",3,IF(Atletas!D355="Kids 36kg",4,IF(Atletas!D355="Kids 39kg",5,IF(Atletas!D355="Kids 42kg",6,IF(Atletas!D355="Kids 45kg",7, IF(Atletas!D355="Infantil 39kg",8,IF(Atletas!D355="Infantil 42kg",9,IF(Atletas!D355="Infantil 45kg",10,IF(Atletas!D355="Infantil 48kg",11,IF(Atletas!D355="Infantil 52kg",12,IF(Atletas!D355="Infantil 56kg",13,IF(Atletas!D355="Infantil 60kg",14,IF(Atletas!D355="Juvenil 48kg",15,IF(Atletas!D355="Juvenil 52kg",16,IF(Atletas!D355="Juvenil 56kg",17,IF(Atletas!D355="Juvenil 60kg",18,IF(Atletas!D355="Juvenil 65kg",19,IF(Atletas!D355="Juvenil 70kg",20,IF(Atletas!D355="Juvenil 75kg",21,IF(Atletas!D355="Juvenil 80kg",22, IF(Atletas!D355="Juvenil 85kg",23,IF(Atletas!D355="Adulto 48kg",24,IF(Atletas!D355="Adulto 52kg",25,IF(Atletas!D355="Adulto 56kg",26,IF(Atletas!D355="Adulto 60kg",27,IF(Atletas!D355="Adulto 65kg",28,IF(Atletas!D355="Adulto 70kg",29,IF(Atletas!D355="Adulto 75kg",30,IF(Atletas!D355="Adulto 80kg",31,IF(Atletas!D355="Adulto 85kg",32,IF(Atletas!D355="Adulto 90kg",33,IF(Atletas!D355="Adulto 100kg",34, IF(Atletas!D355="Adulto +100kg",35,"")))))))))))))))))))))))))))))))))))))</f>
        <v/>
      </c>
      <c r="AS364" s="6" t="str">
        <f>IF(Atletas!E355="","",IF(Atletas!B355="Feminino",100,IF(Atletas!B355="Masculino",200,""))+(IF(Atletas!E355="Juvenil 44kg",1,IF(Atletas!E355="Juvenil 48kg",2,IF(Atletas!E355="Juvenil 52kg",3,IF(Atletas!E355="Juvenil 56kg",4,IF(Atletas!E355="Juvenil 60kg",5,IF(Atletas!E355="Juvenil 65kg",6,IF(Atletas!E355="Juvenil 70kg",7,IF(Atletas!E355="Juvenil 75kg",8,IF(Atletas!E355="Juvenil 82kg",9,IF(Atletas!E355="Juvenil 90kg",10,IF(Atletas!E355="Juvenil 100kg",11,IF(Atletas!E355="Adulto 48kg",12,IF(Atletas!E355="Adulto 52kg",13,IF(Atletas!E355="Adulto 56kg",14,IF(Atletas!E355="Adulto 60kg",15,IF(Atletas!E355="Adulto 65kg",16,IF(Atletas!E355="Adulto 70kg",17,IF(Atletas!E355="Adulto 75kg",18,IF(Atletas!E355="Adulto 82kg",19,IF(Atletas!E355="Adulto 90kg",20,IF(Atletas!E355="Adulto 100kg",21,IF(Atletas!E355="Adulto +100kg",22,""))))))))))))))))))))))))</f>
        <v/>
      </c>
      <c r="AX364" s="6" t="str">
        <f>IF(Atletas!F355="","",IF(Atletas!B355="Feminino",100,IF(Atletas!B355="Masculino",200,""))+(IF(Atletas!F355="Adulto 48kg",1,IF(Atletas!F355="Adulto 56kg",2,IF(Atletas!F355="Adulto 65kg",3,IF(Atletas!F355="Adulto 75kg",4,IF(Atletas!F355="Adulto +75kg",5,IF(Atletas!F355="Adulto 52kg",6,IF(Atletas!F355="Adulto 60kg",7,IF(Atletas!F355="Adulto 70kg",8,IF(Atletas!F355="Adulto 80kg",9,IF(Atletas!F355="Adulto 90kg",10,IF(Atletas!F355="Adulto +90kg",11,"")))))))))))))</f>
        <v/>
      </c>
      <c r="BC364" s="6" t="str">
        <f>IF(Atletas!G355="","",IF(Atletas!B355="Feminino",10,IF(Atletas!B355="Masculino",20,""))+(IF(Atletas!G355="Baduanjin A",1,IF(Atletas!G355="Baduanjin B",2))))</f>
        <v/>
      </c>
      <c r="BF364" s="52" t="str">
        <f>IF(Atletas!H355="","",IF(Atletas!B355="Feminino",100,IF(Atletas!B355="Masculino",200,""))+(IF(Atletas!H355="Changquan Mirim",1,IF(Atletas!H355="Nanquan Mirim",2,IF(Atletas!H355="Taijiquan Mirim",3,IF(Atletas!H355="Changquan Grupo C",4,IF(Atletas!H355="Nanquan Grupo C",5,IF(Atletas!H355="Taijiquan Grupo C",6,IF(Atletas!H355="Changquan Grupo B",7,IF(Atletas!H355="Nanquan Grupo B",8,IF(Atletas!H355="Taijiquan Grupo B",9,IF(Atletas!H355="Changquan Grupo A",10,IF(Atletas!H355="Nanquan Grupo A",11,IF(Atletas!H355="Taijiquan Grupo A",12,IF(Atletas!H355="Changquan Opcional",13,IF(Atletas!H355="Nanquan Opcional",14,IF(Atletas!H355="Taijiquan Opcional",15,IF(Atletas!H355="Changquan Adulto",16,IF(Atletas!H355="Nanquan Adulto",17,IF(Atletas!H355="Taijiquan Adulto",18,""))))))))))))))))))))</f>
        <v/>
      </c>
      <c r="BG364" s="52" t="str">
        <f>IF(Atletas!I355="","",IF(Atletas!B355="Feminino",100,IF(Atletas!B355="Masculino",200,""))+(IF(Atletas!I355="Daoshu Mirim",19,IF(Atletas!I355="Jianshu Mirim",20,IF(Atletas!I355="Nandao Mirim",21,IF(Atletas!I355="Taijijian Mirim",22,IF(Atletas!I355="Daoshu Grupo C",23,IF(Atletas!I355="Jianshu Grupo C",24,IF(Atletas!I355="Nandao Grupo C",25,IF(Atletas!I355="Taijijian Grupo C",26,IF(Atletas!I355="Daoshu Grupo B",27,IF(Atletas!I355="Jianshu Grupo B",28,IF(Atletas!I355="Nandao Grupo B",29,IF(Atletas!I355="Taijijian Grupo B",30,IF(Atletas!I355="Daoshu Grupo A",31,IF(Atletas!I355="Jianshu Grupo A",32,IF(Atletas!I355="Nandao Grupo A",33,IF(Atletas!I355="Taijijian Grupo A",34,IF(Atletas!I355="Daoshu Opcional",35,IF(Atletas!I355="Jianshu Opcional",36,IF(Atletas!I355="Nandao Opcional",37,IF(Atletas!I355="Taijijian Opcional",38,IF(Atletas!I355="Daoshu Adulto",39,IF(Atletas!I355="Jianshu Adulto",40,IF(Atletas!I355="Nandao Adulto",41,IF(Atletas!I355="Taijijian Adulto",42,""))))))))))))))))))))))))))</f>
        <v/>
      </c>
      <c r="BH364" s="52" t="str">
        <f>IF(Atletas!J355="","",IF(Atletas!B355="Feminino",100,IF(Atletas!B355="Masculino",200,""))+(IF(Atletas!J355="Gunshu Mirim",43,IF(Atletas!J355="Qiangshu Mirim",44,IF(Atletas!J355="Nangun Mirim",45,IF(Atletas!J355="Gunshu Grupo C",46,IF(Atletas!J355="Qiangshu Grupo C",47,IF(Atletas!J355="Nangun Grupo C",48,IF(Atletas!J355="Gunshu Grupo B",49,IF(Atletas!J355="Qiangshu Grupo B",50,IF(Atletas!J355="Nangun Grupo B",51,IF(Atletas!J355="Gunshu Grupo A",52,IF(Atletas!J355="Qiangshu Grupo A",53,IF(Atletas!J355="Nangun Grupo A",54,IF(Atletas!J355="Gunshu Opcional",55,IF(Atletas!J355="Qiangshu Opcional",56,IF(Atletas!J355="Nangun Opcional",57,IF(Atletas!J355="Gunshu Adulto",58,IF(Atletas!J355="Qiangshu Adulto",59,IF(Atletas!J355="Nangun Adulto",60,IF(Atletas!J355="Taijishan Grupo B",61,IF(Atletas!J355="Taijishan Grupo A",62,""))))))))))))))))))))))</f>
        <v/>
      </c>
      <c r="BM364" s="50" t="str">
        <f>IF(Atletas!K355="","",IF(Atletas!B355="Feminino",100,IF(Atletas!B355="Masculino",200,""))+(IF(Atletas!K355="Equipe 1 Grupo B",1,IF(Atletas!K355="Equipe 2 Grupo B",2,IF(Atletas!K355="Equipe 1 Grupo A",3,IF(Atletas!K355="Equipe 2 Grupo A",4,IF(Atletas!K355="Equipe 1 Adulto",5,IF(Atletas!K355="Equipe 2 Adulto",6,""))))))))</f>
        <v/>
      </c>
      <c r="BR364" s="50" t="str">
        <f>IF(Atletas!L355="","",IF(Atletas!X355&lt;&gt;"",10000,0)+(IF(Atletas!B355="Feminino",1000,IF(Atletas!B355="Masculino",2000,""))+IF(Atletas!L355="Choylayfut A",1,IF(Atletas!L355="Hunggar A",2,IF(Atletas!L355="Wuzuquan A",3,IF(Atletas!L355="Wingchun A",4,IF(Atletas!L355="Outra Mão de Sul A",5,IF(Atletas!L355="Choylayfut B",6,IF(Atletas!L355="Hunggar B",7,IF(Atletas!L355="Wuzuquan B",8,IF(Atletas!L355="Wingchun B",9,IF(Atletas!L355="Outra Mão de Sul B",10,IF(Atletas!L355="Choylayfut C",11,IF(Atletas!L355="Hunggar C",12,IF(Atletas!L355="Wuzuquan C",13,IF(Atletas!L355="Wingchun C",14,IF(Atletas!L355="Outra Mão de Sul C",15,IF(Atletas!L355="Choylayfut D",16,IF(Atletas!L355="Hunggar D",17,IF(Atletas!L355="Wuzuquan D",18,IF(Atletas!L355="Wingchun D",19,IF(Atletas!L355="Outra Mão de Sul D",20,IF(Atletas!L355="Choylayfut E",21,IF(Atletas!L355="Hunggar E",22,IF(Atletas!L355="Wuzuquan E",23,IF(Atletas!L355="Wingchun E",24,IF(Atletas!L355="Outra Mão de Sul E",25,IF(Atletas!L355="Choylayfut F",26,IF(Atletas!L355="Hunggar F",27,IF(Atletas!L355="Wuzuquan F",28,IF(Atletas!L355="Wingchun F",29,IF(Atletas!L355="Outra Mão de Sul F",30,IF(Atletas!L355="Dishuquan A",31,IF(Atletas!L355="Dishuquan B",32,IF(Atletas!L355="Dishuquan C",33,IF(Atletas!L355="Dishuquan D",34,IF(Atletas!L355="Dishuquan E",35,IF(Atletas!L355="Dishuquan F",36,""))))))))))))))))))))))))))))))))))))))</f>
        <v/>
      </c>
      <c r="BS364" s="50" t="str">
        <f>IF(Atletas!M355="","",IF(Atletas!X355&lt;&gt;"",10000,0)+(IF(Atletas!B355="Feminino",1000,IF(Atletas!B355="Masculino",2000,""))+(IF(Atletas!M355="Chaquan A",101,IF(Atletas!M355="Emeiquan A",102,IF(Atletas!M355="Fanziquan A",103,IF(Atletas!M355="Huaquan A",104,IF(Atletas!M355="Hongquan A",105,IF(Atletas!M355="Paoquan A",106,IF(Atletas!M355="Piguaquan A",107,IF(Atletas!M355="Shaolinquan A",108,IF(Atletas!M355="Tanglangquan A",109,IF(Atletas!M355="Yingzhaoquan A",110,IF(Atletas!M355="Tongbeiquan A",111,IF(Atletas!M355="Wudangquan A",112,IF(Atletas!M355="Outros Estilos A",113,IF(Atletas!M355="Chaquan B",114,IF(Atletas!M355="Emeiquan B",115,IF(Atletas!M355="Fanziquan B",116,IF(Atletas!M355="Huaquan B",117,IF(Atletas!M355="Hongquan B",118,IF(Atletas!M355="Paoquan B",119,IF(Atletas!M355="Piguaquan B",120,IF(Atletas!M355="Shaolinquan B",121,IF(Atletas!M355="Tanglangquan B",122,IF(Atletas!M355="Yingzhaoquan B",123,IF(Atletas!M355="Tongbeiquan B",124,IF(Atletas!M355="Wudangquan B",125,IF(Atletas!M355="Outros Estilos B",126,IF(Atletas!M355="Chaquan C",127,IF(Atletas!M355="Emeiquan C",128,IF(Atletas!M355="Fanziquan C",129,IF(Atletas!M355="Huaquan C",130,IF(Atletas!M355="Hongquan C",131,IF(Atletas!M355="Paoquan C",132,IF(Atletas!M355="Piguaquan C",133,IF(Atletas!M355="Shaolinquan C",134,IF(Atletas!M355="Tanglangquan C",135,IF(Atletas!M355="Yingzhaoquan C",136,IF(Atletas!M355="Tongbeiquan C",137,IF(Atletas!M355="Wudangquan C",138,IF(Atletas!M355="Outros Estilos C",139,0))))))))))))))))))))))))))))))))))))))))))</f>
        <v/>
      </c>
      <c r="BT364" s="50" t="str">
        <f>IF(Atletas!M355="","",IF(Atletas!X355&lt;&gt;"",10000,0)+(IF(Atletas!B355="Feminino",1000,IF(Atletas!B355="Masculino",2000,""))+(IF(Atletas!M355="Chaquan D",140,IF(Atletas!M355="Emeiquan D",141,IF(Atletas!M355="Fanziquan D",142,IF(Atletas!M355="Huaquan D",143,IF(Atletas!M355="Hongquan D",144,IF(Atletas!M355="Paoquan D",145,IF(Atletas!M355="Piguaquan D",146,IF(Atletas!M355="Shaolinquan D",147,IF(Atletas!M355="Tanglangquan D",148,IF(Atletas!M355="Yingzhaoquan D",149,IF(Atletas!M355="Tongbeiquan D",150,IF(Atletas!M355="Wudangquan D",151,IF(Atletas!M355="Outros Estilos D",152,IF(Atletas!M355="Chaquan E",153,IF(Atletas!M355="Emeiquan E",154,IF(Atletas!M355="Fanziquan E",155,IF(Atletas!M355="Huaquan E",156,IF(Atletas!M355="Hongquan E",157,IF(Atletas!M355="Paoquan E",158,IF(Atletas!M355="Piguaquan E",159,IF(Atletas!M355="Shaolinquan E",160,IF(Atletas!M355="Tanglangquan E",161,IF(Atletas!M355="Yingzhaoquan E",162,IF(Atletas!M355="Tongbeiquan E",163,IF(Atletas!M355="Wudangquan E",164,IF(Atletas!M355="Outros Estilos E",165,IF(Atletas!M355="Chaquan F",166,IF(Atletas!M355="Emeiquan F",167,IF(Atletas!M355="Fanziquan F",168,IF(Atletas!M355="Huaquan F",169,IF(Atletas!M355="Hongquan F",170,IF(Atletas!M355="Paoquan F",171,IF(Atletas!M355="Piguaquan F",172,IF(Atletas!M355="Shaolinquan F",173,IF(Atletas!M355="Tanglangquan F",174,IF(Atletas!M355="Yingzhaoquan F",175,IF(Atletas!M355="Tongbeiquan F",176,IF(Atletas!M355="Wudangquan F",177,IF(Atletas!M355="Outros Estilos F",178,0))))))))))))))))))))))))))))))))))))))))))</f>
        <v/>
      </c>
      <c r="BU364" s="50" t="str">
        <f>IF(Atletas!N355="","",IF(Atletas!X355&lt;&gt;"",10000,0)+(IF(Atletas!B355="Feminino",1000,IF(Atletas!B355="Masculino",2000,""))+(IF(Atletas!N355="Ditangquan A",201,IF(Atletas!N355="Houquan A",202,IF(Atletas!N355="Zuiquan A",203,IF(Atletas!N355="Ditangquan B",204,IF(Atletas!N355="Houquan B",205,IF(Atletas!N355="Zuiquan B",206,IF(Atletas!N355="Ditangquan C",207,IF(Atletas!N355="Houquan C",208,IF(Atletas!N355="Zuiquan C",209,IF(Atletas!N355="Ditangquan D",210,IF(Atletas!N355="Houquan D",211,IF(Atletas!N355="Zuiquan D",212,IF(Atletas!N355="Ditangquan E",213,IF(Atletas!N355="Houquan E",214,IF(Atletas!N355="Zuiquan E",215,IF(Atletas!N355="Ditangquan F",216,IF(Atletas!N355="Houquan F",217,IF(Atletas!N355="Zuiquan F",218,"")))))))))))))))))))))</f>
        <v/>
      </c>
      <c r="BV364" s="50" t="str">
        <f>IF(Atletas!O355="","",IF(Atletas!X355&lt;&gt;"",10000,0)+IF(Atletas!B355="Feminino",1000,IF(Atletas!B355="Masculino",2000,""))+IF(Atletas!O355="Yang A",301,IF(Atletas!O355="Chen A",302,IF(Atletas!O355="Sun A",303,IF(Atletas!O355="Wu A",304,IF(Atletas!O355="Wu-Hao A",305,IF(Atletas!O355="Outro Taijiquan A",306,IF(Atletas!O355="Yang B",307,IF(Atletas!O355="Chen B",308,IF(Atletas!O355="Sun B",309,IF(Atletas!O355="Wu B",310,IF(Atletas!O355="Wu-Hao B",311,IF(Atletas!O355="Outro Taijiquan B",312,IF(Atletas!O355="Yang C",313,IF(Atletas!O355="Chen C",314,IF(Atletas!O355="Sun C",315,IF(Atletas!O355="Wu C",316,IF(Atletas!O355="Wu-Hao C",317,IF(Atletas!O355="Outro Taijiquan C",318,IF(Atletas!O355="Yang D",319,IF(Atletas!O355="Chen D",320,IF(Atletas!O355="Sun D",321,IF(Atletas!O355="Wu D",322,IF(Atletas!O355="Wu-Hao D",323,IF(Atletas!O355="Outro Taijiquan D",324,IF(Atletas!O355="Yang E",325,IF(Atletas!O355="Chen E",326,IF(Atletas!O355="Sun E",327,IF(Atletas!O355="Wu E",328,IF(Atletas!O355="Wu-Hao E",329,IF(Atletas!O355="Outro Taijiquan E",330,IF(Atletas!O355="Yang F",331,IF(Atletas!O355="Chen F",332,IF(Atletas!O355="Sun F",333,IF(Atletas!O355="Wu F",334,IF(Atletas!O355="Wu-Hao F",335,IF(Atletas!O355="Outro Taijiquan F",336,"")))))))))))))))))))))))))))))))))))))</f>
        <v/>
      </c>
      <c r="BW364" s="50" t="str">
        <f>IF(Atletas!P355="","",IF(Atletas!X355&lt;&gt;"",10000,0)+IF(Atletas!B355="Feminino",1000,IF(Atletas!B355="Masculino",2000,""))+IF(OR(Atletas!P355="Yang 26 A",Atletas!P355="Yang 40 A"),401,IF(OR(Atletas!P355="Chen 25 A",Atletas!P355="Chen 36 A",Atletas!P355="Chen 56 A"),402,IF(Atletas!P355="Sun 73 A",403,IF(Atletas!P355="Wu 45 A",404,IF(Atletas!P355="Wu-Hao 46 A",405,IF(OR(Atletas!P355="Taijiquan 16 A",Atletas!P355="Taijiquan 24 A",Atletas!P355="Taijiquan 32 A",Atletas!P355="Taijiquan 42 A"),406,IF(OR(Atletas!P355="Yang 26 B",Atletas!P355="Yang 40 B"),407,IF(OR(Atletas!P355="Chen 25 B",Atletas!P355="Chen 36 B",Atletas!P355="Chen 56 B"),408,IF(Atletas!P355="Sun 73 B",409,IF(Atletas!P355="Wu 45 B",410,IF(Atletas!P355="Wu-Hao 46 B",411,IF(OR(Atletas!P355="Taijiquan 16 B",Atletas!P355="Taijiquan 24 B",Atletas!P355="Taijiquan 32 B",Atletas!P355="Taijiquan 42 B"),412,IF(OR(Atletas!P355="Yang 26 C",Atletas!P355="Yang 40 C"),413,IF(OR(Atletas!P355="Chen 25 C",Atletas!P355="Chen 36 C",Atletas!P355="Chen 56 C"),414,IF(Atletas!P355="Sun 73 C",415,IF(Atletas!P355="Wu 45 C",416,IF(Atletas!P355="Wu-Hao 46 C",417,IF(OR(Atletas!P355="Taijiquan 16 C",Atletas!P355="Taijiquan 24 C",Atletas!P355="Taijiquan 32 C",Atletas!P355="Taijiquan 42 C"),418,0)))))))))))))))))))</f>
        <v/>
      </c>
      <c r="BX364" s="50" t="str">
        <f>IF(Atletas!P355="","",IF(Atletas!X355&lt;&gt;"",10000,0)+IF(Atletas!B355="Feminino",1000,IF(Atletas!B355="Masculino",2000,""))+IF(OR(Atletas!P355="Yang 26 D",Atletas!P355="Yang 40 D"),419,IF(OR(Atletas!P355="Chen 25 D",Atletas!P355="Chen 36 D",Atletas!P355="Chen 56 D"),420,IF(Atletas!P355="Sun 73 D",421,IF(Atletas!P355="Wu 45 D",422,IF(Atletas!P355="Wu-Hao 46 D",423,IF(OR(Atletas!P355="Taijiquan 16 D",Atletas!P355="Taijiquan 24 D",Atletas!P355="Taijiquan 32 D",Atletas!P355="Taijiquan 42 D"),424,IF(OR(Atletas!P355="Yang 26 E",Atletas!P355="Yang 40 E"),425,IF(OR(Atletas!P355="Chen 25 E",Atletas!P355="Chen 36 E",Atletas!P355="Chen 56 E"),426,IF(Atletas!P355="Sun 73 E",427,IF(Atletas!P355="Wu 45 E",428,IF(Atletas!P355="Wu-Hao 46 E",429,IF(OR(Atletas!P355="Taijiquan 16 E",Atletas!P355="Taijiquan 24 E",Atletas!P355="Taijiquan 32 E",Atletas!P355="Taijiquan 42 E"),430,IF(OR(Atletas!P355="Yang 26 F",Atletas!P355="Yang 40 F"),431,IF(OR(Atletas!P355="Chen 25 F",Atletas!P355="Chen 36 F",Atletas!P355="Chen 56 F"),432,IF(Atletas!P355="Sun 73 F",433,IF(Atletas!P355="Wu 45 F",434,IF(Atletas!P355="Wu-Hao 46 F",435,IF(OR(Atletas!P355="Taijiquan 16 F",Atletas!P355="Taijiquan 24 F",Atletas!P355="Taijiquan 32 F",Atletas!P355="Taijiquan 42 F"),436,0)))))))))))))))))))</f>
        <v/>
      </c>
      <c r="BY364" s="50" t="str">
        <f>IF(Atletas!Q355="","",IF(Atletas!X355&lt;&gt;"",10000,0)+IF(Atletas!B355="Feminino",1000,IF(Atletas!B355="Masculino",2000,""))+IF(Atletas!Q355="Xingyiquan A",501,IF(Atletas!Q355="Baguazhang A",502,IF(Atletas!Q355="Outro Estilo Interno A",503,IF(Atletas!Q355="Xingyiquan B",504,IF(Atletas!Q355="Baguazhang B",505,IF(Atletas!Q355="Outro Estilo Interno B",506,IF(Atletas!Q355="Xingyiquan C",507,IF(Atletas!Q355="Baguazhang C",508,IF(Atletas!Q355="Outro Estilo Interno C",509,IF(Atletas!Q355="Xingyiquan D",510,IF(Atletas!Q355="Baguazhang D",511,IF(Atletas!Q355="Outro Estilo Interno D",512,IF(Atletas!Q355="Xingyiquan E",513,IF(Atletas!Q355="Baguazhang E",514,IF(Atletas!Q355="Outro Estilo Interno E",515,IF(Atletas!Q355="Xingyiquan F",516,IF(Atletas!Q355="Baguazhang F",517,IF(Atletas!Q355="Outro Estilo Interno F",518, "")))))))))))))))))))</f>
        <v/>
      </c>
      <c r="BZ364" s="50" t="str">
        <f>IF(Atletas!R355="","",IF(Atletas!X355&lt;&gt;"",10000,0)+IF(Atletas!B355="Feminino",1000,IF(Atletas!B355="Masculino",2000,""))+IF(Atletas!R355="Dao A",601,IF(Atletas!R355="Jian A",602,IF(Atletas!R355="Bishou A",603,IF(Atletas!R355="Shanzi A",604,IF(Atletas!R355="Outra Arma Curta A",605,IF(Atletas!R355="Dao B",606,IF(Atletas!R355="Jian B",607,IF(Atletas!R355="Bishou B",608,IF(Atletas!R355="Shanzi B",609,IF(Atletas!R355="Outra Arma Curta B",610,IF(Atletas!R355="Dao C",611,IF(Atletas!R355="Jian C",612,IF(Atletas!R355="Bishou C",613,IF(Atletas!R355="Shanzi C",614,IF(Atletas!R355="Outra Arma Curta C",615,IF(Atletas!R355="Dao D",616,IF(Atletas!R355="Jian D",617,IF(Atletas!R355="Bishou D",618,IF(Atletas!R355="Shanzi D",619,IF(Atletas!R355="Outra Arma Curta D",620,IF(Atletas!R355="Dao E",621,IF(Atletas!R355="Jian E",622,IF(Atletas!R355="Bishou E",623,IF(Atletas!R355="Shanzi E",624,IF(Atletas!R355="Outra Arma Curta E",625,IF(Atletas!R355="Dao F",626,IF(Atletas!R355="Jian F",627,IF(Atletas!R355="Bishou F",628,IF(Atletas!R355="Shanzi F",629,IF(Atletas!R355="Outra Arma Curta F",630, "")))))))))))))))))))))))))))))))</f>
        <v/>
      </c>
      <c r="CA364" s="50" t="str">
        <f>IF(Atletas!S355="","",IF(Atletas!X355&lt;&gt;"",10000,0)+IF(Atletas!B355="Feminino",1000,IF(Atletas!B355="Masculino",2000,""))+IF(Atletas!S355="Gun A",701,IF(Atletas!S355="Qiang A",702,IF(Atletas!S355="Pudao / Guandao A",703,IF(Atletas!S355="Outra Arma Longa A",704,IF(Atletas!S355="Gun B",705,IF(Atletas!S355="Qiang B",706,IF(Atletas!S355="Pudao / Guandao B",707,IF(Atletas!S355="Outra Arma Longa B",708,IF(Atletas!S355="Gun C",709,IF(Atletas!S355="Qiang C",710,IF(Atletas!S355="Pudao / Guandao C",711,IF(Atletas!S355="Outra Arma Longa C",712,IF(Atletas!S355="Gun D",713,IF(Atletas!S355="Qiang D",714,IF(Atletas!S355="Pudao / Guandao D",715,IF(Atletas!S355="Outra Arma Longa D",716,IF(Atletas!S355="Gun E",717,IF(Atletas!S355="Qiang E",718,IF(Atletas!S355="Pudao / Guandao E",719,IF(Atletas!S355="Outra Arma Longa E",720,IF(Atletas!S355="Gun F",721,IF(Atletas!S355="Qiang F",722,IF(Atletas!S355="Pudao / Guandao F",723,IF(Atletas!S355="Outra Arma Longa F",724,"")))))))))))))))))))))))))</f>
        <v/>
      </c>
      <c r="CB364" s="50" t="str">
        <f>IF(Atletas!T355="","",IF(Atletas!X355&lt;&gt;"",10000,0)+IF(Atletas!B355="Feminino",1000,IF(Atletas!B355="Masculino",2000,""))+IF(Atletas!T355="Outra Arma Dupla A",801,IF(Atletas!T355="Arma Maleável A",802,IF(Atletas!T355="Outra Arma Dupla B",803,IF(Atletas!T355="Arma Maleável B",804,IF(Atletas!T355="Outra Arma Dupla C",805,IF(Atletas!T355="Arma Maleável C",806,IF(Atletas!T355="Outra Arma Dupla D",807,IF(Atletas!T355="Arma Maleável D",808,IF(Atletas!T355="Outra Arma Dupla E",809,IF(Atletas!T355="Arma Maleável E",810,IF(Atletas!T355="Outra Arma Dupla F",811,IF(Atletas!T355="Arma Maleável F",812,IF(Atletas!T355="Shuangdao A",813,IF(Atletas!T355="Shuangdao B",814,IF(Atletas!T355="Shuangdao C",815,IF(Atletas!T355="Shuangdao D",816,IF(Atletas!T355="Shuangdao E",817,IF(Atletas!T355="Shuangdao F",818,"")))))))))))))))))))</f>
        <v/>
      </c>
      <c r="CC364" s="50" t="str">
        <f>IF(Atletas!U355="","",IF(Atletas!X355&lt;&gt;"",10000,0)+IF(Atletas!B355="Feminino",1000,IF(Atletas!B355="Masculino",2000,""))+IF(OR(Atletas!U355="Taijijian Yang A",Atletas!U355="Taijijian Yang Standard A"),901,IF(OR(Atletas!U355="Taijijian Chen A", Atletas!U355="Taijijian Chen Standard A"),902,IF(Atletas!U355="Taijijian Sun A",903,IF(Atletas!U355="Taijijian Wu A",904,IF(Atletas!U355="Taijijian Wu-Hao A",905,IF(OR(Atletas!U355="Taijijian 32 A",Atletas!U355="Taijijian 42 A"),906,IF(OR(Atletas!U355="Taijijian Yang B",Atletas!U355="Taijijian Yang Standard B"),907,IF(OR(Atletas!U355="Taijijian Chen B", Atletas!U355="Taijijian Chen Standard B"),908,IF(Atletas!U355="Taijijian Sun B",909,IF(Atletas!U355="Taijijian Wu B",910,IF(Atletas!U355="Taijijian Wu-Hao B",911,IF(OR(Atletas!U355="Taijijian 32 B",Atletas!U355="Taijijian 42 B"),912,IF(OR(Atletas!U355="Taijijian Yang C",Atletas!U355="Taijijian Yang Standard C"),913,IF(OR(Atletas!U355="Taijijian Chen C", Atletas!U355="Taijijian Chen Standard C"),914,IF(Atletas!U355="Taijijian Sun C",915,IF(Atletas!U355="Taijijian Wu C",916,IF(Atletas!U355="Taijijian Wu-Hao C",917,IF(OR(Atletas!U355="Taijijian 32 C",Atletas!U355="Taijijian 42 C"),918,IF(OR(Atletas!U355="Taijijian Yang D",Atletas!U355="Taijijian Yang Standard D"),919,IF(OR(Atletas!U355="Taijijian Chen D", Atletas!U355="Taijijian Chen Standard D"),920,IF(Atletas!U355="Taijijian Sun D",921,IF(Atletas!U355="Taijijian Wu D",922,IF(Atletas!U355="Taijijian Wu-Hao D",923,IF(OR(Atletas!U355="Taijijian 32 D",Atletas!U355="Taijijian 42 D"),924,IF(OR(Atletas!U355="Taijijian Yang E",Atletas!U355="Taijijian Yang Standard E"),925,IF(OR(Atletas!U355="Taijijian Chen E", Atletas!U355="Taijijian Chen Standard E"),926,IF(Atletas!U355="Taijijian Sun E",927,IF(Atletas!U355="Taijijian Wu E",928,IF(Atletas!U355="Taijijian Wu-Hao E",929,IF(OR(Atletas!U355="Taijijian 32 E",Atletas!U355="Taijijian 42 E"),930,IF(OR(Atletas!U355="Taijijian Yang F",Atletas!U355="Taijijian Yang Standard F"),931,IF(OR(Atletas!U355="Taijijian Chen F", Atletas!U355="Taijijian Chen Standard F"),932,IF(Atletas!U355="Taijijian Sun F",933,IF(Atletas!U355="Taijijian Wu F",934,IF(Atletas!U355="Taijijian Wu-Hao F",935,IF(OR(Atletas!U355="Taijijian 32 F",Atletas!U355="Taijijian 42 F"),936,"")))))))))))))))))))))))))))))))))))))</f>
        <v/>
      </c>
      <c r="CD364" s="50" t="str">
        <f>IF(Atletas!V355="","",IF(Atletas!X355&lt;&gt;"",10000,0)+IF(Atletas!B355="Feminino",1000,IF(Atletas!B355="Masculino",2000,""))+IF(Atletas!V355="Taijidao A",937,IF(Atletas!V355="TaijiShanzi A",938,IF(Atletas!V355="Taijiqiang A",939,IF(Atletas!V355="Bagua de Arma A",940,IF(Atletas!V355="Xingyi de Arma A",941,IF(Atletas!V355="Taijidao B",942,IF(Atletas!V355="TaijiShanzi B",943,IF(Atletas!V355="Taijiqiang B",944,IF(Atletas!V355="Bagua de Arma B",945,IF(Atletas!V355="Xingyi de Arma B",946,IF(Atletas!V355="Taijidao C",947,IF(Atletas!V355="TaijiShanzi C",948,IF(Atletas!V355="Taijiqiang C",949,IF(Atletas!V355="Bagua de Arma C",950,IF(Atletas!V355="Xingyi de Arma C",951,IF(Atletas!V355="Taijidao D",952,IF(Atletas!V355="TaijiShanzi D",953,IF(Atletas!V355="Taijiqiang D",954,IF(Atletas!V355="Bagua de Arma D",955,IF(Atletas!V355="Xingyi de Arma D",956,IF(Atletas!V355="Taijidao E",957,IF(Atletas!V355="TaijiShanzi E",958,IF(Atletas!V355="Taijiqiang E",959,IF(Atletas!V355="Bagua de Arma E",960,IF(Atletas!V355="Xingyi de Arma E",961,IF(Atletas!V355="Taijidao F",962,IF(Atletas!V355="TaijiShanzi F",963,IF(Atletas!V355="Taijiqiang F",964,IF(Atletas!V355="Bagua de Arma F",965,IF(Atletas!V355="Xingyi de Arma F",966,"")))))))))))))))))))))))))))))))</f>
        <v/>
      </c>
      <c r="CE364" s="66" t="str">
        <f>IF(CF364&lt;&gt;"","Taijiqiang F","")</f>
        <v/>
      </c>
      <c r="CF364" s="66" t="str">
        <f>IF(COUNTIF(BR:CD,1964)&gt;0,COUNTIF(BR:CD,1964),"")</f>
        <v/>
      </c>
      <c r="CG364" s="66" t="str">
        <f>IF(CH364&lt;&gt;"","Taijiqiang F","")</f>
        <v/>
      </c>
      <c r="CH364" s="66" t="str">
        <f>IF(COUNTIF(BR:CD,2964)&gt;0,COUNTIF(BR:CD,2964),"")</f>
        <v/>
      </c>
      <c r="CI364" s="66"/>
      <c r="CJ364" s="66"/>
      <c r="CK364" s="66"/>
      <c r="CL364" s="66"/>
      <c r="CM364" s="50" t="str">
        <f xml:space="preserve"> IF(Atletas!W355="","",IF(Atletas!W355="Duilian de Mãos BC - Equipe 1",1,IF(Atletas!W355="Duilian de Mãos BC - Equipe 2",2,IF(Atletas!W355="Duilian de Armas BC - Equipe 1",3,IF(Atletas!W355="Duilian de Armas BC - Equipe 2",4,IF(Atletas!W355="Duilian de Mãos DE - Equipe 1",5,IF(Atletas!W355="Duilian de Mãos DE - Equipe 2",6,IF(Atletas!W355="Duilian de Armas DE - Equipe 1",7,IF(Atletas!W355="Duilian de Armas DE - Equipe 2",8,IF(Atletas!W355="Duilian de Tuishou - Equipe 1",9,IF(Atletas!W355="Duilian de Tuishou - Equipe 2",10,IF(Atletas!W355="Grupo Externo ABC - Equipe 1",11,IF(Atletas!W355="Grupo Externo ABC - Equipe 2",12,IF(Atletas!W355="Grupo Interno ABC - Equipe 1",13,IF(Atletas!W355="Grupo Interno ABC - Equipe 2",14,IF(Atletas!W355="Grupo Externo DEF - Equipe 1",15,IF(Atletas!W355="Grupo Externo DEF - Equipe 2",16,IF(Atletas!W355="Grupo Interno DEF - Equipe 1",17,IF(Atletas!W355="Grupo Interno DEF - Equipe 2",18,"")))))))))))))))))))</f>
        <v/>
      </c>
    </row>
    <row r="365" spans="40:91">
      <c r="AN365" s="52" t="str">
        <f>IF(Atletas!D356="","",IF(Atletas!B356="Feminino",100,IF(Atletas!B356="Masculino",200,""))+(IF(Atletas!D356="Kids 30kg",1,IF(Atletas!D356="Kids 32kg",2, IF(Atletas!D356="Kids 34kg",3,IF(Atletas!D356="Kids 36kg",4,IF(Atletas!D356="Kids 39kg",5,IF(Atletas!D356="Kids 42kg",6,IF(Atletas!D356="Kids 45kg",7, IF(Atletas!D356="Infantil 39kg",8,IF(Atletas!D356="Infantil 42kg",9,IF(Atletas!D356="Infantil 45kg",10,IF(Atletas!D356="Infantil 48kg",11,IF(Atletas!D356="Infantil 52kg",12,IF(Atletas!D356="Infantil 56kg",13,IF(Atletas!D356="Infantil 60kg",14,IF(Atletas!D356="Juvenil 48kg",15,IF(Atletas!D356="Juvenil 52kg",16,IF(Atletas!D356="Juvenil 56kg",17,IF(Atletas!D356="Juvenil 60kg",18,IF(Atletas!D356="Juvenil 65kg",19,IF(Atletas!D356="Juvenil 70kg",20,IF(Atletas!D356="Juvenil 75kg",21,IF(Atletas!D356="Juvenil 80kg",22, IF(Atletas!D356="Juvenil 85kg",23,IF(Atletas!D356="Adulto 48kg",24,IF(Atletas!D356="Adulto 52kg",25,IF(Atletas!D356="Adulto 56kg",26,IF(Atletas!D356="Adulto 60kg",27,IF(Atletas!D356="Adulto 65kg",28,IF(Atletas!D356="Adulto 70kg",29,IF(Atletas!D356="Adulto 75kg",30,IF(Atletas!D356="Adulto 80kg",31,IF(Atletas!D356="Adulto 85kg",32,IF(Atletas!D356="Adulto 90kg",33,IF(Atletas!D356="Adulto 100kg",34, IF(Atletas!D356="Adulto +100kg",35,"")))))))))))))))))))))))))))))))))))))</f>
        <v/>
      </c>
      <c r="AS365" s="6" t="str">
        <f>IF(Atletas!E356="","",IF(Atletas!B356="Feminino",100,IF(Atletas!B356="Masculino",200,""))+(IF(Atletas!E356="Juvenil 44kg",1,IF(Atletas!E356="Juvenil 48kg",2,IF(Atletas!E356="Juvenil 52kg",3,IF(Atletas!E356="Juvenil 56kg",4,IF(Atletas!E356="Juvenil 60kg",5,IF(Atletas!E356="Juvenil 65kg",6,IF(Atletas!E356="Juvenil 70kg",7,IF(Atletas!E356="Juvenil 75kg",8,IF(Atletas!E356="Juvenil 82kg",9,IF(Atletas!E356="Juvenil 90kg",10,IF(Atletas!E356="Juvenil 100kg",11,IF(Atletas!E356="Adulto 48kg",12,IF(Atletas!E356="Adulto 52kg",13,IF(Atletas!E356="Adulto 56kg",14,IF(Atletas!E356="Adulto 60kg",15,IF(Atletas!E356="Adulto 65kg",16,IF(Atletas!E356="Adulto 70kg",17,IF(Atletas!E356="Adulto 75kg",18,IF(Atletas!E356="Adulto 82kg",19,IF(Atletas!E356="Adulto 90kg",20,IF(Atletas!E356="Adulto 100kg",21,IF(Atletas!E356="Adulto +100kg",22,""))))))))))))))))))))))))</f>
        <v/>
      </c>
      <c r="AX365" s="6" t="str">
        <f>IF(Atletas!F356="","",IF(Atletas!B356="Feminino",100,IF(Atletas!B356="Masculino",200,""))+(IF(Atletas!F356="Adulto 48kg",1,IF(Atletas!F356="Adulto 56kg",2,IF(Atletas!F356="Adulto 65kg",3,IF(Atletas!F356="Adulto 75kg",4,IF(Atletas!F356="Adulto +75kg",5,IF(Atletas!F356="Adulto 52kg",6,IF(Atletas!F356="Adulto 60kg",7,IF(Atletas!F356="Adulto 70kg",8,IF(Atletas!F356="Adulto 80kg",9,IF(Atletas!F356="Adulto 90kg",10,IF(Atletas!F356="Adulto +90kg",11,"")))))))))))))</f>
        <v/>
      </c>
      <c r="BC365" s="6" t="str">
        <f>IF(Atletas!G356="","",IF(Atletas!B356="Feminino",10,IF(Atletas!B356="Masculino",20,""))+(IF(Atletas!G356="Baduanjin A",1,IF(Atletas!G356="Baduanjin B",2))))</f>
        <v/>
      </c>
      <c r="BF365" s="52" t="str">
        <f>IF(Atletas!H356="","",IF(Atletas!B356="Feminino",100,IF(Atletas!B356="Masculino",200,""))+(IF(Atletas!H356="Changquan Mirim",1,IF(Atletas!H356="Nanquan Mirim",2,IF(Atletas!H356="Taijiquan Mirim",3,IF(Atletas!H356="Changquan Grupo C",4,IF(Atletas!H356="Nanquan Grupo C",5,IF(Atletas!H356="Taijiquan Grupo C",6,IF(Atletas!H356="Changquan Grupo B",7,IF(Atletas!H356="Nanquan Grupo B",8,IF(Atletas!H356="Taijiquan Grupo B",9,IF(Atletas!H356="Changquan Grupo A",10,IF(Atletas!H356="Nanquan Grupo A",11,IF(Atletas!H356="Taijiquan Grupo A",12,IF(Atletas!H356="Changquan Opcional",13,IF(Atletas!H356="Nanquan Opcional",14,IF(Atletas!H356="Taijiquan Opcional",15,IF(Atletas!H356="Changquan Adulto",16,IF(Atletas!H356="Nanquan Adulto",17,IF(Atletas!H356="Taijiquan Adulto",18,""))))))))))))))))))))</f>
        <v/>
      </c>
      <c r="BG365" s="52" t="str">
        <f>IF(Atletas!I356="","",IF(Atletas!B356="Feminino",100,IF(Atletas!B356="Masculino",200,""))+(IF(Atletas!I356="Daoshu Mirim",19,IF(Atletas!I356="Jianshu Mirim",20,IF(Atletas!I356="Nandao Mirim",21,IF(Atletas!I356="Taijijian Mirim",22,IF(Atletas!I356="Daoshu Grupo C",23,IF(Atletas!I356="Jianshu Grupo C",24,IF(Atletas!I356="Nandao Grupo C",25,IF(Atletas!I356="Taijijian Grupo C",26,IF(Atletas!I356="Daoshu Grupo B",27,IF(Atletas!I356="Jianshu Grupo B",28,IF(Atletas!I356="Nandao Grupo B",29,IF(Atletas!I356="Taijijian Grupo B",30,IF(Atletas!I356="Daoshu Grupo A",31,IF(Atletas!I356="Jianshu Grupo A",32,IF(Atletas!I356="Nandao Grupo A",33,IF(Atletas!I356="Taijijian Grupo A",34,IF(Atletas!I356="Daoshu Opcional",35,IF(Atletas!I356="Jianshu Opcional",36,IF(Atletas!I356="Nandao Opcional",37,IF(Atletas!I356="Taijijian Opcional",38,IF(Atletas!I356="Daoshu Adulto",39,IF(Atletas!I356="Jianshu Adulto",40,IF(Atletas!I356="Nandao Adulto",41,IF(Atletas!I356="Taijijian Adulto",42,""))))))))))))))))))))))))))</f>
        <v/>
      </c>
      <c r="BH365" s="52" t="str">
        <f>IF(Atletas!J356="","",IF(Atletas!B356="Feminino",100,IF(Atletas!B356="Masculino",200,""))+(IF(Atletas!J356="Gunshu Mirim",43,IF(Atletas!J356="Qiangshu Mirim",44,IF(Atletas!J356="Nangun Mirim",45,IF(Atletas!J356="Gunshu Grupo C",46,IF(Atletas!J356="Qiangshu Grupo C",47,IF(Atletas!J356="Nangun Grupo C",48,IF(Atletas!J356="Gunshu Grupo B",49,IF(Atletas!J356="Qiangshu Grupo B",50,IF(Atletas!J356="Nangun Grupo B",51,IF(Atletas!J356="Gunshu Grupo A",52,IF(Atletas!J356="Qiangshu Grupo A",53,IF(Atletas!J356="Nangun Grupo A",54,IF(Atletas!J356="Gunshu Opcional",55,IF(Atletas!J356="Qiangshu Opcional",56,IF(Atletas!J356="Nangun Opcional",57,IF(Atletas!J356="Gunshu Adulto",58,IF(Atletas!J356="Qiangshu Adulto",59,IF(Atletas!J356="Nangun Adulto",60,IF(Atletas!J356="Taijishan Grupo B",61,IF(Atletas!J356="Taijishan Grupo A",62,""))))))))))))))))))))))</f>
        <v/>
      </c>
      <c r="BM365" s="50" t="str">
        <f>IF(Atletas!K356="","",IF(Atletas!B356="Feminino",100,IF(Atletas!B356="Masculino",200,""))+(IF(Atletas!K356="Equipe 1 Grupo B",1,IF(Atletas!K356="Equipe 2 Grupo B",2,IF(Atletas!K356="Equipe 1 Grupo A",3,IF(Atletas!K356="Equipe 2 Grupo A",4,IF(Atletas!K356="Equipe 1 Adulto",5,IF(Atletas!K356="Equipe 2 Adulto",6,""))))))))</f>
        <v/>
      </c>
      <c r="BR365" s="50" t="str">
        <f>IF(Atletas!L356="","",IF(Atletas!X356&lt;&gt;"",10000,0)+(IF(Atletas!B356="Feminino",1000,IF(Atletas!B356="Masculino",2000,""))+IF(Atletas!L356="Choylayfut A",1,IF(Atletas!L356="Hunggar A",2,IF(Atletas!L356="Wuzuquan A",3,IF(Atletas!L356="Wingchun A",4,IF(Atletas!L356="Outra Mão de Sul A",5,IF(Atletas!L356="Choylayfut B",6,IF(Atletas!L356="Hunggar B",7,IF(Atletas!L356="Wuzuquan B",8,IF(Atletas!L356="Wingchun B",9,IF(Atletas!L356="Outra Mão de Sul B",10,IF(Atletas!L356="Choylayfut C",11,IF(Atletas!L356="Hunggar C",12,IF(Atletas!L356="Wuzuquan C",13,IF(Atletas!L356="Wingchun C",14,IF(Atletas!L356="Outra Mão de Sul C",15,IF(Atletas!L356="Choylayfut D",16,IF(Atletas!L356="Hunggar D",17,IF(Atletas!L356="Wuzuquan D",18,IF(Atletas!L356="Wingchun D",19,IF(Atletas!L356="Outra Mão de Sul D",20,IF(Atletas!L356="Choylayfut E",21,IF(Atletas!L356="Hunggar E",22,IF(Atletas!L356="Wuzuquan E",23,IF(Atletas!L356="Wingchun E",24,IF(Atletas!L356="Outra Mão de Sul E",25,IF(Atletas!L356="Choylayfut F",26,IF(Atletas!L356="Hunggar F",27,IF(Atletas!L356="Wuzuquan F",28,IF(Atletas!L356="Wingchun F",29,IF(Atletas!L356="Outra Mão de Sul F",30,IF(Atletas!L356="Dishuquan A",31,IF(Atletas!L356="Dishuquan B",32,IF(Atletas!L356="Dishuquan C",33,IF(Atletas!L356="Dishuquan D",34,IF(Atletas!L356="Dishuquan E",35,IF(Atletas!L356="Dishuquan F",36,""))))))))))))))))))))))))))))))))))))))</f>
        <v/>
      </c>
      <c r="BS365" s="50" t="str">
        <f>IF(Atletas!M356="","",IF(Atletas!X356&lt;&gt;"",10000,0)+(IF(Atletas!B356="Feminino",1000,IF(Atletas!B356="Masculino",2000,""))+(IF(Atletas!M356="Chaquan A",101,IF(Atletas!M356="Emeiquan A",102,IF(Atletas!M356="Fanziquan A",103,IF(Atletas!M356="Huaquan A",104,IF(Atletas!M356="Hongquan A",105,IF(Atletas!M356="Paoquan A",106,IF(Atletas!M356="Piguaquan A",107,IF(Atletas!M356="Shaolinquan A",108,IF(Atletas!M356="Tanglangquan A",109,IF(Atletas!M356="Yingzhaoquan A",110,IF(Atletas!M356="Tongbeiquan A",111,IF(Atletas!M356="Wudangquan A",112,IF(Atletas!M356="Outros Estilos A",113,IF(Atletas!M356="Chaquan B",114,IF(Atletas!M356="Emeiquan B",115,IF(Atletas!M356="Fanziquan B",116,IF(Atletas!M356="Huaquan B",117,IF(Atletas!M356="Hongquan B",118,IF(Atletas!M356="Paoquan B",119,IF(Atletas!M356="Piguaquan B",120,IF(Atletas!M356="Shaolinquan B",121,IF(Atletas!M356="Tanglangquan B",122,IF(Atletas!M356="Yingzhaoquan B",123,IF(Atletas!M356="Tongbeiquan B",124,IF(Atletas!M356="Wudangquan B",125,IF(Atletas!M356="Outros Estilos B",126,IF(Atletas!M356="Chaquan C",127,IF(Atletas!M356="Emeiquan C",128,IF(Atletas!M356="Fanziquan C",129,IF(Atletas!M356="Huaquan C",130,IF(Atletas!M356="Hongquan C",131,IF(Atletas!M356="Paoquan C",132,IF(Atletas!M356="Piguaquan C",133,IF(Atletas!M356="Shaolinquan C",134,IF(Atletas!M356="Tanglangquan C",135,IF(Atletas!M356="Yingzhaoquan C",136,IF(Atletas!M356="Tongbeiquan C",137,IF(Atletas!M356="Wudangquan C",138,IF(Atletas!M356="Outros Estilos C",139,0))))))))))))))))))))))))))))))))))))))))))</f>
        <v/>
      </c>
      <c r="BT365" s="50" t="str">
        <f>IF(Atletas!M356="","",IF(Atletas!X356&lt;&gt;"",10000,0)+(IF(Atletas!B356="Feminino",1000,IF(Atletas!B356="Masculino",2000,""))+(IF(Atletas!M356="Chaquan D",140,IF(Atletas!M356="Emeiquan D",141,IF(Atletas!M356="Fanziquan D",142,IF(Atletas!M356="Huaquan D",143,IF(Atletas!M356="Hongquan D",144,IF(Atletas!M356="Paoquan D",145,IF(Atletas!M356="Piguaquan D",146,IF(Atletas!M356="Shaolinquan D",147,IF(Atletas!M356="Tanglangquan D",148,IF(Atletas!M356="Yingzhaoquan D",149,IF(Atletas!M356="Tongbeiquan D",150,IF(Atletas!M356="Wudangquan D",151,IF(Atletas!M356="Outros Estilos D",152,IF(Atletas!M356="Chaquan E",153,IF(Atletas!M356="Emeiquan E",154,IF(Atletas!M356="Fanziquan E",155,IF(Atletas!M356="Huaquan E",156,IF(Atletas!M356="Hongquan E",157,IF(Atletas!M356="Paoquan E",158,IF(Atletas!M356="Piguaquan E",159,IF(Atletas!M356="Shaolinquan E",160,IF(Atletas!M356="Tanglangquan E",161,IF(Atletas!M356="Yingzhaoquan E",162,IF(Atletas!M356="Tongbeiquan E",163,IF(Atletas!M356="Wudangquan E",164,IF(Atletas!M356="Outros Estilos E",165,IF(Atletas!M356="Chaquan F",166,IF(Atletas!M356="Emeiquan F",167,IF(Atletas!M356="Fanziquan F",168,IF(Atletas!M356="Huaquan F",169,IF(Atletas!M356="Hongquan F",170,IF(Atletas!M356="Paoquan F",171,IF(Atletas!M356="Piguaquan F",172,IF(Atletas!M356="Shaolinquan F",173,IF(Atletas!M356="Tanglangquan F",174,IF(Atletas!M356="Yingzhaoquan F",175,IF(Atletas!M356="Tongbeiquan F",176,IF(Atletas!M356="Wudangquan F",177,IF(Atletas!M356="Outros Estilos F",178,0))))))))))))))))))))))))))))))))))))))))))</f>
        <v/>
      </c>
      <c r="BU365" s="50" t="str">
        <f>IF(Atletas!N356="","",IF(Atletas!X356&lt;&gt;"",10000,0)+(IF(Atletas!B356="Feminino",1000,IF(Atletas!B356="Masculino",2000,""))+(IF(Atletas!N356="Ditangquan A",201,IF(Atletas!N356="Houquan A",202,IF(Atletas!N356="Zuiquan A",203,IF(Atletas!N356="Ditangquan B",204,IF(Atletas!N356="Houquan B",205,IF(Atletas!N356="Zuiquan B",206,IF(Atletas!N356="Ditangquan C",207,IF(Atletas!N356="Houquan C",208,IF(Atletas!N356="Zuiquan C",209,IF(Atletas!N356="Ditangquan D",210,IF(Atletas!N356="Houquan D",211,IF(Atletas!N356="Zuiquan D",212,IF(Atletas!N356="Ditangquan E",213,IF(Atletas!N356="Houquan E",214,IF(Atletas!N356="Zuiquan E",215,IF(Atletas!N356="Ditangquan F",216,IF(Atletas!N356="Houquan F",217,IF(Atletas!N356="Zuiquan F",218,"")))))))))))))))))))))</f>
        <v/>
      </c>
      <c r="BV365" s="50" t="str">
        <f>IF(Atletas!O356="","",IF(Atletas!X356&lt;&gt;"",10000,0)+IF(Atletas!B356="Feminino",1000,IF(Atletas!B356="Masculino",2000,""))+IF(Atletas!O356="Yang A",301,IF(Atletas!O356="Chen A",302,IF(Atletas!O356="Sun A",303,IF(Atletas!O356="Wu A",304,IF(Atletas!O356="Wu-Hao A",305,IF(Atletas!O356="Outro Taijiquan A",306,IF(Atletas!O356="Yang B",307,IF(Atletas!O356="Chen B",308,IF(Atletas!O356="Sun B",309,IF(Atletas!O356="Wu B",310,IF(Atletas!O356="Wu-Hao B",311,IF(Atletas!O356="Outro Taijiquan B",312,IF(Atletas!O356="Yang C",313,IF(Atletas!O356="Chen C",314,IF(Atletas!O356="Sun C",315,IF(Atletas!O356="Wu C",316,IF(Atletas!O356="Wu-Hao C",317,IF(Atletas!O356="Outro Taijiquan C",318,IF(Atletas!O356="Yang D",319,IF(Atletas!O356="Chen D",320,IF(Atletas!O356="Sun D",321,IF(Atletas!O356="Wu D",322,IF(Atletas!O356="Wu-Hao D",323,IF(Atletas!O356="Outro Taijiquan D",324,IF(Atletas!O356="Yang E",325,IF(Atletas!O356="Chen E",326,IF(Atletas!O356="Sun E",327,IF(Atletas!O356="Wu E",328,IF(Atletas!O356="Wu-Hao E",329,IF(Atletas!O356="Outro Taijiquan E",330,IF(Atletas!O356="Yang F",331,IF(Atletas!O356="Chen F",332,IF(Atletas!O356="Sun F",333,IF(Atletas!O356="Wu F",334,IF(Atletas!O356="Wu-Hao F",335,IF(Atletas!O356="Outro Taijiquan F",336,"")))))))))))))))))))))))))))))))))))))</f>
        <v/>
      </c>
      <c r="BW365" s="50" t="str">
        <f>IF(Atletas!P356="","",IF(Atletas!X356&lt;&gt;"",10000,0)+IF(Atletas!B356="Feminino",1000,IF(Atletas!B356="Masculino",2000,""))+IF(OR(Atletas!P356="Yang 26 A",Atletas!P356="Yang 40 A"),401,IF(OR(Atletas!P356="Chen 25 A",Atletas!P356="Chen 36 A",Atletas!P356="Chen 56 A"),402,IF(Atletas!P356="Sun 73 A",403,IF(Atletas!P356="Wu 45 A",404,IF(Atletas!P356="Wu-Hao 46 A",405,IF(OR(Atletas!P356="Taijiquan 16 A",Atletas!P356="Taijiquan 24 A",Atletas!P356="Taijiquan 32 A",Atletas!P356="Taijiquan 42 A"),406,IF(OR(Atletas!P356="Yang 26 B",Atletas!P356="Yang 40 B"),407,IF(OR(Atletas!P356="Chen 25 B",Atletas!P356="Chen 36 B",Atletas!P356="Chen 56 B"),408,IF(Atletas!P356="Sun 73 B",409,IF(Atletas!P356="Wu 45 B",410,IF(Atletas!P356="Wu-Hao 46 B",411,IF(OR(Atletas!P356="Taijiquan 16 B",Atletas!P356="Taijiquan 24 B",Atletas!P356="Taijiquan 32 B",Atletas!P356="Taijiquan 42 B"),412,IF(OR(Atletas!P356="Yang 26 C",Atletas!P356="Yang 40 C"),413,IF(OR(Atletas!P356="Chen 25 C",Atletas!P356="Chen 36 C",Atletas!P356="Chen 56 C"),414,IF(Atletas!P356="Sun 73 C",415,IF(Atletas!P356="Wu 45 C",416,IF(Atletas!P356="Wu-Hao 46 C",417,IF(OR(Atletas!P356="Taijiquan 16 C",Atletas!P356="Taijiquan 24 C",Atletas!P356="Taijiquan 32 C",Atletas!P356="Taijiquan 42 C"),418,0)))))))))))))))))))</f>
        <v/>
      </c>
      <c r="BX365" s="50" t="str">
        <f>IF(Atletas!P356="","",IF(Atletas!X356&lt;&gt;"",10000,0)+IF(Atletas!B356="Feminino",1000,IF(Atletas!B356="Masculino",2000,""))+IF(OR(Atletas!P356="Yang 26 D",Atletas!P356="Yang 40 D"),419,IF(OR(Atletas!P356="Chen 25 D",Atletas!P356="Chen 36 D",Atletas!P356="Chen 56 D"),420,IF(Atletas!P356="Sun 73 D",421,IF(Atletas!P356="Wu 45 D",422,IF(Atletas!P356="Wu-Hao 46 D",423,IF(OR(Atletas!P356="Taijiquan 16 D",Atletas!P356="Taijiquan 24 D",Atletas!P356="Taijiquan 32 D",Atletas!P356="Taijiquan 42 D"),424,IF(OR(Atletas!P356="Yang 26 E",Atletas!P356="Yang 40 E"),425,IF(OR(Atletas!P356="Chen 25 E",Atletas!P356="Chen 36 E",Atletas!P356="Chen 56 E"),426,IF(Atletas!P356="Sun 73 E",427,IF(Atletas!P356="Wu 45 E",428,IF(Atletas!P356="Wu-Hao 46 E",429,IF(OR(Atletas!P356="Taijiquan 16 E",Atletas!P356="Taijiquan 24 E",Atletas!P356="Taijiquan 32 E",Atletas!P356="Taijiquan 42 E"),430,IF(OR(Atletas!P356="Yang 26 F",Atletas!P356="Yang 40 F"),431,IF(OR(Atletas!P356="Chen 25 F",Atletas!P356="Chen 36 F",Atletas!P356="Chen 56 F"),432,IF(Atletas!P356="Sun 73 F",433,IF(Atletas!P356="Wu 45 F",434,IF(Atletas!P356="Wu-Hao 46 F",435,IF(OR(Atletas!P356="Taijiquan 16 F",Atletas!P356="Taijiquan 24 F",Atletas!P356="Taijiquan 32 F",Atletas!P356="Taijiquan 42 F"),436,0)))))))))))))))))))</f>
        <v/>
      </c>
      <c r="BY365" s="50" t="str">
        <f>IF(Atletas!Q356="","",IF(Atletas!X356&lt;&gt;"",10000,0)+IF(Atletas!B356="Feminino",1000,IF(Atletas!B356="Masculino",2000,""))+IF(Atletas!Q356="Xingyiquan A",501,IF(Atletas!Q356="Baguazhang A",502,IF(Atletas!Q356="Outro Estilo Interno A",503,IF(Atletas!Q356="Xingyiquan B",504,IF(Atletas!Q356="Baguazhang B",505,IF(Atletas!Q356="Outro Estilo Interno B",506,IF(Atletas!Q356="Xingyiquan C",507,IF(Atletas!Q356="Baguazhang C",508,IF(Atletas!Q356="Outro Estilo Interno C",509,IF(Atletas!Q356="Xingyiquan D",510,IF(Atletas!Q356="Baguazhang D",511,IF(Atletas!Q356="Outro Estilo Interno D",512,IF(Atletas!Q356="Xingyiquan E",513,IF(Atletas!Q356="Baguazhang E",514,IF(Atletas!Q356="Outro Estilo Interno E",515,IF(Atletas!Q356="Xingyiquan F",516,IF(Atletas!Q356="Baguazhang F",517,IF(Atletas!Q356="Outro Estilo Interno F",518, "")))))))))))))))))))</f>
        <v/>
      </c>
      <c r="BZ365" s="50" t="str">
        <f>IF(Atletas!R356="","",IF(Atletas!X356&lt;&gt;"",10000,0)+IF(Atletas!B356="Feminino",1000,IF(Atletas!B356="Masculino",2000,""))+IF(Atletas!R356="Dao A",601,IF(Atletas!R356="Jian A",602,IF(Atletas!R356="Bishou A",603,IF(Atletas!R356="Shanzi A",604,IF(Atletas!R356="Outra Arma Curta A",605,IF(Atletas!R356="Dao B",606,IF(Atletas!R356="Jian B",607,IF(Atletas!R356="Bishou B",608,IF(Atletas!R356="Shanzi B",609,IF(Atletas!R356="Outra Arma Curta B",610,IF(Atletas!R356="Dao C",611,IF(Atletas!R356="Jian C",612,IF(Atletas!R356="Bishou C",613,IF(Atletas!R356="Shanzi C",614,IF(Atletas!R356="Outra Arma Curta C",615,IF(Atletas!R356="Dao D",616,IF(Atletas!R356="Jian D",617,IF(Atletas!R356="Bishou D",618,IF(Atletas!R356="Shanzi D",619,IF(Atletas!R356="Outra Arma Curta D",620,IF(Atletas!R356="Dao E",621,IF(Atletas!R356="Jian E",622,IF(Atletas!R356="Bishou E",623,IF(Atletas!R356="Shanzi E",624,IF(Atletas!R356="Outra Arma Curta E",625,IF(Atletas!R356="Dao F",626,IF(Atletas!R356="Jian F",627,IF(Atletas!R356="Bishou F",628,IF(Atletas!R356="Shanzi F",629,IF(Atletas!R356="Outra Arma Curta F",630, "")))))))))))))))))))))))))))))))</f>
        <v/>
      </c>
      <c r="CA365" s="50" t="str">
        <f>IF(Atletas!S356="","",IF(Atletas!X356&lt;&gt;"",10000,0)+IF(Atletas!B356="Feminino",1000,IF(Atletas!B356="Masculino",2000,""))+IF(Atletas!S356="Gun A",701,IF(Atletas!S356="Qiang A",702,IF(Atletas!S356="Pudao / Guandao A",703,IF(Atletas!S356="Outra Arma Longa A",704,IF(Atletas!S356="Gun B",705,IF(Atletas!S356="Qiang B",706,IF(Atletas!S356="Pudao / Guandao B",707,IF(Atletas!S356="Outra Arma Longa B",708,IF(Atletas!S356="Gun C",709,IF(Atletas!S356="Qiang C",710,IF(Atletas!S356="Pudao / Guandao C",711,IF(Atletas!S356="Outra Arma Longa C",712,IF(Atletas!S356="Gun D",713,IF(Atletas!S356="Qiang D",714,IF(Atletas!S356="Pudao / Guandao D",715,IF(Atletas!S356="Outra Arma Longa D",716,IF(Atletas!S356="Gun E",717,IF(Atletas!S356="Qiang E",718,IF(Atletas!S356="Pudao / Guandao E",719,IF(Atletas!S356="Outra Arma Longa E",720,IF(Atletas!S356="Gun F",721,IF(Atletas!S356="Qiang F",722,IF(Atletas!S356="Pudao / Guandao F",723,IF(Atletas!S356="Outra Arma Longa F",724,"")))))))))))))))))))))))))</f>
        <v/>
      </c>
      <c r="CB365" s="50" t="str">
        <f>IF(Atletas!T356="","",IF(Atletas!X356&lt;&gt;"",10000,0)+IF(Atletas!B356="Feminino",1000,IF(Atletas!B356="Masculino",2000,""))+IF(Atletas!T356="Outra Arma Dupla A",801,IF(Atletas!T356="Arma Maleável A",802,IF(Atletas!T356="Outra Arma Dupla B",803,IF(Atletas!T356="Arma Maleável B",804,IF(Atletas!T356="Outra Arma Dupla C",805,IF(Atletas!T356="Arma Maleável C",806,IF(Atletas!T356="Outra Arma Dupla D",807,IF(Atletas!T356="Arma Maleável D",808,IF(Atletas!T356="Outra Arma Dupla E",809,IF(Atletas!T356="Arma Maleável E",810,IF(Atletas!T356="Outra Arma Dupla F",811,IF(Atletas!T356="Arma Maleável F",812,IF(Atletas!T356="Shuangdao A",813,IF(Atletas!T356="Shuangdao B",814,IF(Atletas!T356="Shuangdao C",815,IF(Atletas!T356="Shuangdao D",816,IF(Atletas!T356="Shuangdao E",817,IF(Atletas!T356="Shuangdao F",818,"")))))))))))))))))))</f>
        <v/>
      </c>
      <c r="CC365" s="50" t="str">
        <f>IF(Atletas!U356="","",IF(Atletas!X356&lt;&gt;"",10000,0)+IF(Atletas!B356="Feminino",1000,IF(Atletas!B356="Masculino",2000,""))+IF(OR(Atletas!U356="Taijijian Yang A",Atletas!U356="Taijijian Yang Standard A"),901,IF(OR(Atletas!U356="Taijijian Chen A", Atletas!U356="Taijijian Chen Standard A"),902,IF(Atletas!U356="Taijijian Sun A",903,IF(Atletas!U356="Taijijian Wu A",904,IF(Atletas!U356="Taijijian Wu-Hao A",905,IF(OR(Atletas!U356="Taijijian 32 A",Atletas!U356="Taijijian 42 A"),906,IF(OR(Atletas!U356="Taijijian Yang B",Atletas!U356="Taijijian Yang Standard B"),907,IF(OR(Atletas!U356="Taijijian Chen B", Atletas!U356="Taijijian Chen Standard B"),908,IF(Atletas!U356="Taijijian Sun B",909,IF(Atletas!U356="Taijijian Wu B",910,IF(Atletas!U356="Taijijian Wu-Hao B",911,IF(OR(Atletas!U356="Taijijian 32 B",Atletas!U356="Taijijian 42 B"),912,IF(OR(Atletas!U356="Taijijian Yang C",Atletas!U356="Taijijian Yang Standard C"),913,IF(OR(Atletas!U356="Taijijian Chen C", Atletas!U356="Taijijian Chen Standard C"),914,IF(Atletas!U356="Taijijian Sun C",915,IF(Atletas!U356="Taijijian Wu C",916,IF(Atletas!U356="Taijijian Wu-Hao C",917,IF(OR(Atletas!U356="Taijijian 32 C",Atletas!U356="Taijijian 42 C"),918,IF(OR(Atletas!U356="Taijijian Yang D",Atletas!U356="Taijijian Yang Standard D"),919,IF(OR(Atletas!U356="Taijijian Chen D", Atletas!U356="Taijijian Chen Standard D"),920,IF(Atletas!U356="Taijijian Sun D",921,IF(Atletas!U356="Taijijian Wu D",922,IF(Atletas!U356="Taijijian Wu-Hao D",923,IF(OR(Atletas!U356="Taijijian 32 D",Atletas!U356="Taijijian 42 D"),924,IF(OR(Atletas!U356="Taijijian Yang E",Atletas!U356="Taijijian Yang Standard E"),925,IF(OR(Atletas!U356="Taijijian Chen E", Atletas!U356="Taijijian Chen Standard E"),926,IF(Atletas!U356="Taijijian Sun E",927,IF(Atletas!U356="Taijijian Wu E",928,IF(Atletas!U356="Taijijian Wu-Hao E",929,IF(OR(Atletas!U356="Taijijian 32 E",Atletas!U356="Taijijian 42 E"),930,IF(OR(Atletas!U356="Taijijian Yang F",Atletas!U356="Taijijian Yang Standard F"),931,IF(OR(Atletas!U356="Taijijian Chen F", Atletas!U356="Taijijian Chen Standard F"),932,IF(Atletas!U356="Taijijian Sun F",933,IF(Atletas!U356="Taijijian Wu F",934,IF(Atletas!U356="Taijijian Wu-Hao F",935,IF(OR(Atletas!U356="Taijijian 32 F",Atletas!U356="Taijijian 42 F"),936,"")))))))))))))))))))))))))))))))))))))</f>
        <v/>
      </c>
      <c r="CD365" s="50" t="str">
        <f>IF(Atletas!V356="","",IF(Atletas!X356&lt;&gt;"",10000,0)+IF(Atletas!B356="Feminino",1000,IF(Atletas!B356="Masculino",2000,""))+IF(Atletas!V356="Taijidao A",937,IF(Atletas!V356="TaijiShanzi A",938,IF(Atletas!V356="Taijiqiang A",939,IF(Atletas!V356="Bagua de Arma A",940,IF(Atletas!V356="Xingyi de Arma A",941,IF(Atletas!V356="Taijidao B",942,IF(Atletas!V356="TaijiShanzi B",943,IF(Atletas!V356="Taijiqiang B",944,IF(Atletas!V356="Bagua de Arma B",945,IF(Atletas!V356="Xingyi de Arma B",946,IF(Atletas!V356="Taijidao C",947,IF(Atletas!V356="TaijiShanzi C",948,IF(Atletas!V356="Taijiqiang C",949,IF(Atletas!V356="Bagua de Arma C",950,IF(Atletas!V356="Xingyi de Arma C",951,IF(Atletas!V356="Taijidao D",952,IF(Atletas!V356="TaijiShanzi D",953,IF(Atletas!V356="Taijiqiang D",954,IF(Atletas!V356="Bagua de Arma D",955,IF(Atletas!V356="Xingyi de Arma D",956,IF(Atletas!V356="Taijidao E",957,IF(Atletas!V356="TaijiShanzi E",958,IF(Atletas!V356="Taijiqiang E",959,IF(Atletas!V356="Bagua de Arma E",960,IF(Atletas!V356="Xingyi de Arma E",961,IF(Atletas!V356="Taijidao F",962,IF(Atletas!V356="TaijiShanzi F",963,IF(Atletas!V356="Taijiqiang F",964,IF(Atletas!V356="Bagua de Arma F",965,IF(Atletas!V356="Xingyi de Arma F",966,"")))))))))))))))))))))))))))))))</f>
        <v/>
      </c>
      <c r="CE365" s="66" t="str">
        <f>IF(CF365&lt;&gt;"","Bagua de Arma F","")</f>
        <v/>
      </c>
      <c r="CF365" s="66" t="str">
        <f>IF(COUNTIF(BR:CD,1965)&gt;0,COUNTIF(BR:CD,1965),"")</f>
        <v/>
      </c>
      <c r="CG365" s="66" t="str">
        <f>IF(CH365&lt;&gt;"","Bagua de Arma F","")</f>
        <v/>
      </c>
      <c r="CH365" s="66" t="str">
        <f>IF(COUNTIF(BR:CD,2965)&gt;0,COUNTIF(BR:CD,2965),"")</f>
        <v/>
      </c>
      <c r="CI365" s="66"/>
      <c r="CJ365" s="66"/>
      <c r="CK365" s="66"/>
      <c r="CL365" s="66"/>
      <c r="CM365" s="50" t="str">
        <f xml:space="preserve"> IF(Atletas!W356="","",IF(Atletas!W356="Duilian de Mãos BC - Equipe 1",1,IF(Atletas!W356="Duilian de Mãos BC - Equipe 2",2,IF(Atletas!W356="Duilian de Armas BC - Equipe 1",3,IF(Atletas!W356="Duilian de Armas BC - Equipe 2",4,IF(Atletas!W356="Duilian de Mãos DE - Equipe 1",5,IF(Atletas!W356="Duilian de Mãos DE - Equipe 2",6,IF(Atletas!W356="Duilian de Armas DE - Equipe 1",7,IF(Atletas!W356="Duilian de Armas DE - Equipe 2",8,IF(Atletas!W356="Duilian de Tuishou - Equipe 1",9,IF(Atletas!W356="Duilian de Tuishou - Equipe 2",10,IF(Atletas!W356="Grupo Externo ABC - Equipe 1",11,IF(Atletas!W356="Grupo Externo ABC - Equipe 2",12,IF(Atletas!W356="Grupo Interno ABC - Equipe 1",13,IF(Atletas!W356="Grupo Interno ABC - Equipe 2",14,IF(Atletas!W356="Grupo Externo DEF - Equipe 1",15,IF(Atletas!W356="Grupo Externo DEF - Equipe 2",16,IF(Atletas!W356="Grupo Interno DEF - Equipe 1",17,IF(Atletas!W356="Grupo Interno DEF - Equipe 2",18,"")))))))))))))))))))</f>
        <v/>
      </c>
    </row>
    <row r="366" spans="40:91">
      <c r="AN366" s="52" t="str">
        <f>IF(Atletas!D357="","",IF(Atletas!B357="Feminino",100,IF(Atletas!B357="Masculino",200,""))+(IF(Atletas!D357="Kids 30kg",1,IF(Atletas!D357="Kids 32kg",2, IF(Atletas!D357="Kids 34kg",3,IF(Atletas!D357="Kids 36kg",4,IF(Atletas!D357="Kids 39kg",5,IF(Atletas!D357="Kids 42kg",6,IF(Atletas!D357="Kids 45kg",7, IF(Atletas!D357="Infantil 39kg",8,IF(Atletas!D357="Infantil 42kg",9,IF(Atletas!D357="Infantil 45kg",10,IF(Atletas!D357="Infantil 48kg",11,IF(Atletas!D357="Infantil 52kg",12,IF(Atletas!D357="Infantil 56kg",13,IF(Atletas!D357="Infantil 60kg",14,IF(Atletas!D357="Juvenil 48kg",15,IF(Atletas!D357="Juvenil 52kg",16,IF(Atletas!D357="Juvenil 56kg",17,IF(Atletas!D357="Juvenil 60kg",18,IF(Atletas!D357="Juvenil 65kg",19,IF(Atletas!D357="Juvenil 70kg",20,IF(Atletas!D357="Juvenil 75kg",21,IF(Atletas!D357="Juvenil 80kg",22, IF(Atletas!D357="Juvenil 85kg",23,IF(Atletas!D357="Adulto 48kg",24,IF(Atletas!D357="Adulto 52kg",25,IF(Atletas!D357="Adulto 56kg",26,IF(Atletas!D357="Adulto 60kg",27,IF(Atletas!D357="Adulto 65kg",28,IF(Atletas!D357="Adulto 70kg",29,IF(Atletas!D357="Adulto 75kg",30,IF(Atletas!D357="Adulto 80kg",31,IF(Atletas!D357="Adulto 85kg",32,IF(Atletas!D357="Adulto 90kg",33,IF(Atletas!D357="Adulto 100kg",34, IF(Atletas!D357="Adulto +100kg",35,"")))))))))))))))))))))))))))))))))))))</f>
        <v/>
      </c>
      <c r="AS366" s="6" t="str">
        <f>IF(Atletas!E357="","",IF(Atletas!B357="Feminino",100,IF(Atletas!B357="Masculino",200,""))+(IF(Atletas!E357="Juvenil 44kg",1,IF(Atletas!E357="Juvenil 48kg",2,IF(Atletas!E357="Juvenil 52kg",3,IF(Atletas!E357="Juvenil 56kg",4,IF(Atletas!E357="Juvenil 60kg",5,IF(Atletas!E357="Juvenil 65kg",6,IF(Atletas!E357="Juvenil 70kg",7,IF(Atletas!E357="Juvenil 75kg",8,IF(Atletas!E357="Juvenil 82kg",9,IF(Atletas!E357="Juvenil 90kg",10,IF(Atletas!E357="Juvenil 100kg",11,IF(Atletas!E357="Adulto 48kg",12,IF(Atletas!E357="Adulto 52kg",13,IF(Atletas!E357="Adulto 56kg",14,IF(Atletas!E357="Adulto 60kg",15,IF(Atletas!E357="Adulto 65kg",16,IF(Atletas!E357="Adulto 70kg",17,IF(Atletas!E357="Adulto 75kg",18,IF(Atletas!E357="Adulto 82kg",19,IF(Atletas!E357="Adulto 90kg",20,IF(Atletas!E357="Adulto 100kg",21,IF(Atletas!E357="Adulto +100kg",22,""))))))))))))))))))))))))</f>
        <v/>
      </c>
      <c r="AX366" s="6" t="str">
        <f>IF(Atletas!F357="","",IF(Atletas!B357="Feminino",100,IF(Atletas!B357="Masculino",200,""))+(IF(Atletas!F357="Adulto 48kg",1,IF(Atletas!F357="Adulto 56kg",2,IF(Atletas!F357="Adulto 65kg",3,IF(Atletas!F357="Adulto 75kg",4,IF(Atletas!F357="Adulto +75kg",5,IF(Atletas!F357="Adulto 52kg",6,IF(Atletas!F357="Adulto 60kg",7,IF(Atletas!F357="Adulto 70kg",8,IF(Atletas!F357="Adulto 80kg",9,IF(Atletas!F357="Adulto 90kg",10,IF(Atletas!F357="Adulto +90kg",11,"")))))))))))))</f>
        <v/>
      </c>
      <c r="BC366" s="6" t="str">
        <f>IF(Atletas!G357="","",IF(Atletas!B357="Feminino",10,IF(Atletas!B357="Masculino",20,""))+(IF(Atletas!G357="Baduanjin A",1,IF(Atletas!G357="Baduanjin B",2))))</f>
        <v/>
      </c>
      <c r="BF366" s="52" t="str">
        <f>IF(Atletas!H357="","",IF(Atletas!B357="Feminino",100,IF(Atletas!B357="Masculino",200,""))+(IF(Atletas!H357="Changquan Mirim",1,IF(Atletas!H357="Nanquan Mirim",2,IF(Atletas!H357="Taijiquan Mirim",3,IF(Atletas!H357="Changquan Grupo C",4,IF(Atletas!H357="Nanquan Grupo C",5,IF(Atletas!H357="Taijiquan Grupo C",6,IF(Atletas!H357="Changquan Grupo B",7,IF(Atletas!H357="Nanquan Grupo B",8,IF(Atletas!H357="Taijiquan Grupo B",9,IF(Atletas!H357="Changquan Grupo A",10,IF(Atletas!H357="Nanquan Grupo A",11,IF(Atletas!H357="Taijiquan Grupo A",12,IF(Atletas!H357="Changquan Opcional",13,IF(Atletas!H357="Nanquan Opcional",14,IF(Atletas!H357="Taijiquan Opcional",15,IF(Atletas!H357="Changquan Adulto",16,IF(Atletas!H357="Nanquan Adulto",17,IF(Atletas!H357="Taijiquan Adulto",18,""))))))))))))))))))))</f>
        <v/>
      </c>
      <c r="BG366" s="52" t="str">
        <f>IF(Atletas!I357="","",IF(Atletas!B357="Feminino",100,IF(Atletas!B357="Masculino",200,""))+(IF(Atletas!I357="Daoshu Mirim",19,IF(Atletas!I357="Jianshu Mirim",20,IF(Atletas!I357="Nandao Mirim",21,IF(Atletas!I357="Taijijian Mirim",22,IF(Atletas!I357="Daoshu Grupo C",23,IF(Atletas!I357="Jianshu Grupo C",24,IF(Atletas!I357="Nandao Grupo C",25,IF(Atletas!I357="Taijijian Grupo C",26,IF(Atletas!I357="Daoshu Grupo B",27,IF(Atletas!I357="Jianshu Grupo B",28,IF(Atletas!I357="Nandao Grupo B",29,IF(Atletas!I357="Taijijian Grupo B",30,IF(Atletas!I357="Daoshu Grupo A",31,IF(Atletas!I357="Jianshu Grupo A",32,IF(Atletas!I357="Nandao Grupo A",33,IF(Atletas!I357="Taijijian Grupo A",34,IF(Atletas!I357="Daoshu Opcional",35,IF(Atletas!I357="Jianshu Opcional",36,IF(Atletas!I357="Nandao Opcional",37,IF(Atletas!I357="Taijijian Opcional",38,IF(Atletas!I357="Daoshu Adulto",39,IF(Atletas!I357="Jianshu Adulto",40,IF(Atletas!I357="Nandao Adulto",41,IF(Atletas!I357="Taijijian Adulto",42,""))))))))))))))))))))))))))</f>
        <v/>
      </c>
      <c r="BH366" s="52" t="str">
        <f>IF(Atletas!J357="","",IF(Atletas!B357="Feminino",100,IF(Atletas!B357="Masculino",200,""))+(IF(Atletas!J357="Gunshu Mirim",43,IF(Atletas!J357="Qiangshu Mirim",44,IF(Atletas!J357="Nangun Mirim",45,IF(Atletas!J357="Gunshu Grupo C",46,IF(Atletas!J357="Qiangshu Grupo C",47,IF(Atletas!J357="Nangun Grupo C",48,IF(Atletas!J357="Gunshu Grupo B",49,IF(Atletas!J357="Qiangshu Grupo B",50,IF(Atletas!J357="Nangun Grupo B",51,IF(Atletas!J357="Gunshu Grupo A",52,IF(Atletas!J357="Qiangshu Grupo A",53,IF(Atletas!J357="Nangun Grupo A",54,IF(Atletas!J357="Gunshu Opcional",55,IF(Atletas!J357="Qiangshu Opcional",56,IF(Atletas!J357="Nangun Opcional",57,IF(Atletas!J357="Gunshu Adulto",58,IF(Atletas!J357="Qiangshu Adulto",59,IF(Atletas!J357="Nangun Adulto",60,IF(Atletas!J357="Taijishan Grupo B",61,IF(Atletas!J357="Taijishan Grupo A",62,""))))))))))))))))))))))</f>
        <v/>
      </c>
      <c r="BM366" s="50" t="str">
        <f>IF(Atletas!K357="","",IF(Atletas!B357="Feminino",100,IF(Atletas!B357="Masculino",200,""))+(IF(Atletas!K357="Equipe 1 Grupo B",1,IF(Atletas!K357="Equipe 2 Grupo B",2,IF(Atletas!K357="Equipe 1 Grupo A",3,IF(Atletas!K357="Equipe 2 Grupo A",4,IF(Atletas!K357="Equipe 1 Adulto",5,IF(Atletas!K357="Equipe 2 Adulto",6,""))))))))</f>
        <v/>
      </c>
      <c r="BR366" s="50" t="str">
        <f>IF(Atletas!L357="","",IF(Atletas!X357&lt;&gt;"",10000,0)+(IF(Atletas!B357="Feminino",1000,IF(Atletas!B357="Masculino",2000,""))+IF(Atletas!L357="Choylayfut A",1,IF(Atletas!L357="Hunggar A",2,IF(Atletas!L357="Wuzuquan A",3,IF(Atletas!L357="Wingchun A",4,IF(Atletas!L357="Outra Mão de Sul A",5,IF(Atletas!L357="Choylayfut B",6,IF(Atletas!L357="Hunggar B",7,IF(Atletas!L357="Wuzuquan B",8,IF(Atletas!L357="Wingchun B",9,IF(Atletas!L357="Outra Mão de Sul B",10,IF(Atletas!L357="Choylayfut C",11,IF(Atletas!L357="Hunggar C",12,IF(Atletas!L357="Wuzuquan C",13,IF(Atletas!L357="Wingchun C",14,IF(Atletas!L357="Outra Mão de Sul C",15,IF(Atletas!L357="Choylayfut D",16,IF(Atletas!L357="Hunggar D",17,IF(Atletas!L357="Wuzuquan D",18,IF(Atletas!L357="Wingchun D",19,IF(Atletas!L357="Outra Mão de Sul D",20,IF(Atletas!L357="Choylayfut E",21,IF(Atletas!L357="Hunggar E",22,IF(Atletas!L357="Wuzuquan E",23,IF(Atletas!L357="Wingchun E",24,IF(Atletas!L357="Outra Mão de Sul E",25,IF(Atletas!L357="Choylayfut F",26,IF(Atletas!L357="Hunggar F",27,IF(Atletas!L357="Wuzuquan F",28,IF(Atletas!L357="Wingchun F",29,IF(Atletas!L357="Outra Mão de Sul F",30,IF(Atletas!L357="Dishuquan A",31,IF(Atletas!L357="Dishuquan B",32,IF(Atletas!L357="Dishuquan C",33,IF(Atletas!L357="Dishuquan D",34,IF(Atletas!L357="Dishuquan E",35,IF(Atletas!L357="Dishuquan F",36,""))))))))))))))))))))))))))))))))))))))</f>
        <v/>
      </c>
      <c r="BS366" s="50" t="str">
        <f>IF(Atletas!M357="","",IF(Atletas!X357&lt;&gt;"",10000,0)+(IF(Atletas!B357="Feminino",1000,IF(Atletas!B357="Masculino",2000,""))+(IF(Atletas!M357="Chaquan A",101,IF(Atletas!M357="Emeiquan A",102,IF(Atletas!M357="Fanziquan A",103,IF(Atletas!M357="Huaquan A",104,IF(Atletas!M357="Hongquan A",105,IF(Atletas!M357="Paoquan A",106,IF(Atletas!M357="Piguaquan A",107,IF(Atletas!M357="Shaolinquan A",108,IF(Atletas!M357="Tanglangquan A",109,IF(Atletas!M357="Yingzhaoquan A",110,IF(Atletas!M357="Tongbeiquan A",111,IF(Atletas!M357="Wudangquan A",112,IF(Atletas!M357="Outros Estilos A",113,IF(Atletas!M357="Chaquan B",114,IF(Atletas!M357="Emeiquan B",115,IF(Atletas!M357="Fanziquan B",116,IF(Atletas!M357="Huaquan B",117,IF(Atletas!M357="Hongquan B",118,IF(Atletas!M357="Paoquan B",119,IF(Atletas!M357="Piguaquan B",120,IF(Atletas!M357="Shaolinquan B",121,IF(Atletas!M357="Tanglangquan B",122,IF(Atletas!M357="Yingzhaoquan B",123,IF(Atletas!M357="Tongbeiquan B",124,IF(Atletas!M357="Wudangquan B",125,IF(Atletas!M357="Outros Estilos B",126,IF(Atletas!M357="Chaquan C",127,IF(Atletas!M357="Emeiquan C",128,IF(Atletas!M357="Fanziquan C",129,IF(Atletas!M357="Huaquan C",130,IF(Atletas!M357="Hongquan C",131,IF(Atletas!M357="Paoquan C",132,IF(Atletas!M357="Piguaquan C",133,IF(Atletas!M357="Shaolinquan C",134,IF(Atletas!M357="Tanglangquan C",135,IF(Atletas!M357="Yingzhaoquan C",136,IF(Atletas!M357="Tongbeiquan C",137,IF(Atletas!M357="Wudangquan C",138,IF(Atletas!M357="Outros Estilos C",139,0))))))))))))))))))))))))))))))))))))))))))</f>
        <v/>
      </c>
      <c r="BT366" s="50" t="str">
        <f>IF(Atletas!M357="","",IF(Atletas!X357&lt;&gt;"",10000,0)+(IF(Atletas!B357="Feminino",1000,IF(Atletas!B357="Masculino",2000,""))+(IF(Atletas!M357="Chaquan D",140,IF(Atletas!M357="Emeiquan D",141,IF(Atletas!M357="Fanziquan D",142,IF(Atletas!M357="Huaquan D",143,IF(Atletas!M357="Hongquan D",144,IF(Atletas!M357="Paoquan D",145,IF(Atletas!M357="Piguaquan D",146,IF(Atletas!M357="Shaolinquan D",147,IF(Atletas!M357="Tanglangquan D",148,IF(Atletas!M357="Yingzhaoquan D",149,IF(Atletas!M357="Tongbeiquan D",150,IF(Atletas!M357="Wudangquan D",151,IF(Atletas!M357="Outros Estilos D",152,IF(Atletas!M357="Chaquan E",153,IF(Atletas!M357="Emeiquan E",154,IF(Atletas!M357="Fanziquan E",155,IF(Atletas!M357="Huaquan E",156,IF(Atletas!M357="Hongquan E",157,IF(Atletas!M357="Paoquan E",158,IF(Atletas!M357="Piguaquan E",159,IF(Atletas!M357="Shaolinquan E",160,IF(Atletas!M357="Tanglangquan E",161,IF(Atletas!M357="Yingzhaoquan E",162,IF(Atletas!M357="Tongbeiquan E",163,IF(Atletas!M357="Wudangquan E",164,IF(Atletas!M357="Outros Estilos E",165,IF(Atletas!M357="Chaquan F",166,IF(Atletas!M357="Emeiquan F",167,IF(Atletas!M357="Fanziquan F",168,IF(Atletas!M357="Huaquan F",169,IF(Atletas!M357="Hongquan F",170,IF(Atletas!M357="Paoquan F",171,IF(Atletas!M357="Piguaquan F",172,IF(Atletas!M357="Shaolinquan F",173,IF(Atletas!M357="Tanglangquan F",174,IF(Atletas!M357="Yingzhaoquan F",175,IF(Atletas!M357="Tongbeiquan F",176,IF(Atletas!M357="Wudangquan F",177,IF(Atletas!M357="Outros Estilos F",178,0))))))))))))))))))))))))))))))))))))))))))</f>
        <v/>
      </c>
      <c r="BU366" s="50" t="str">
        <f>IF(Atletas!N357="","",IF(Atletas!X357&lt;&gt;"",10000,0)+(IF(Atletas!B357="Feminino",1000,IF(Atletas!B357="Masculino",2000,""))+(IF(Atletas!N357="Ditangquan A",201,IF(Atletas!N357="Houquan A",202,IF(Atletas!N357="Zuiquan A",203,IF(Atletas!N357="Ditangquan B",204,IF(Atletas!N357="Houquan B",205,IF(Atletas!N357="Zuiquan B",206,IF(Atletas!N357="Ditangquan C",207,IF(Atletas!N357="Houquan C",208,IF(Atletas!N357="Zuiquan C",209,IF(Atletas!N357="Ditangquan D",210,IF(Atletas!N357="Houquan D",211,IF(Atletas!N357="Zuiquan D",212,IF(Atletas!N357="Ditangquan E",213,IF(Atletas!N357="Houquan E",214,IF(Atletas!N357="Zuiquan E",215,IF(Atletas!N357="Ditangquan F",216,IF(Atletas!N357="Houquan F",217,IF(Atletas!N357="Zuiquan F",218,"")))))))))))))))))))))</f>
        <v/>
      </c>
      <c r="BV366" s="50" t="str">
        <f>IF(Atletas!O357="","",IF(Atletas!X357&lt;&gt;"",10000,0)+IF(Atletas!B357="Feminino",1000,IF(Atletas!B357="Masculino",2000,""))+IF(Atletas!O357="Yang A",301,IF(Atletas!O357="Chen A",302,IF(Atletas!O357="Sun A",303,IF(Atletas!O357="Wu A",304,IF(Atletas!O357="Wu-Hao A",305,IF(Atletas!O357="Outro Taijiquan A",306,IF(Atletas!O357="Yang B",307,IF(Atletas!O357="Chen B",308,IF(Atletas!O357="Sun B",309,IF(Atletas!O357="Wu B",310,IF(Atletas!O357="Wu-Hao B",311,IF(Atletas!O357="Outro Taijiquan B",312,IF(Atletas!O357="Yang C",313,IF(Atletas!O357="Chen C",314,IF(Atletas!O357="Sun C",315,IF(Atletas!O357="Wu C",316,IF(Atletas!O357="Wu-Hao C",317,IF(Atletas!O357="Outro Taijiquan C",318,IF(Atletas!O357="Yang D",319,IF(Atletas!O357="Chen D",320,IF(Atletas!O357="Sun D",321,IF(Atletas!O357="Wu D",322,IF(Atletas!O357="Wu-Hao D",323,IF(Atletas!O357="Outro Taijiquan D",324,IF(Atletas!O357="Yang E",325,IF(Atletas!O357="Chen E",326,IF(Atletas!O357="Sun E",327,IF(Atletas!O357="Wu E",328,IF(Atletas!O357="Wu-Hao E",329,IF(Atletas!O357="Outro Taijiquan E",330,IF(Atletas!O357="Yang F",331,IF(Atletas!O357="Chen F",332,IF(Atletas!O357="Sun F",333,IF(Atletas!O357="Wu F",334,IF(Atletas!O357="Wu-Hao F",335,IF(Atletas!O357="Outro Taijiquan F",336,"")))))))))))))))))))))))))))))))))))))</f>
        <v/>
      </c>
      <c r="BW366" s="50" t="str">
        <f>IF(Atletas!P357="","",IF(Atletas!X357&lt;&gt;"",10000,0)+IF(Atletas!B357="Feminino",1000,IF(Atletas!B357="Masculino",2000,""))+IF(OR(Atletas!P357="Yang 26 A",Atletas!P357="Yang 40 A"),401,IF(OR(Atletas!P357="Chen 25 A",Atletas!P357="Chen 36 A",Atletas!P357="Chen 56 A"),402,IF(Atletas!P357="Sun 73 A",403,IF(Atletas!P357="Wu 45 A",404,IF(Atletas!P357="Wu-Hao 46 A",405,IF(OR(Atletas!P357="Taijiquan 16 A",Atletas!P357="Taijiquan 24 A",Atletas!P357="Taijiquan 32 A",Atletas!P357="Taijiquan 42 A"),406,IF(OR(Atletas!P357="Yang 26 B",Atletas!P357="Yang 40 B"),407,IF(OR(Atletas!P357="Chen 25 B",Atletas!P357="Chen 36 B",Atletas!P357="Chen 56 B"),408,IF(Atletas!P357="Sun 73 B",409,IF(Atletas!P357="Wu 45 B",410,IF(Atletas!P357="Wu-Hao 46 B",411,IF(OR(Atletas!P357="Taijiquan 16 B",Atletas!P357="Taijiquan 24 B",Atletas!P357="Taijiquan 32 B",Atletas!P357="Taijiquan 42 B"),412,IF(OR(Atletas!P357="Yang 26 C",Atletas!P357="Yang 40 C"),413,IF(OR(Atletas!P357="Chen 25 C",Atletas!P357="Chen 36 C",Atletas!P357="Chen 56 C"),414,IF(Atletas!P357="Sun 73 C",415,IF(Atletas!P357="Wu 45 C",416,IF(Atletas!P357="Wu-Hao 46 C",417,IF(OR(Atletas!P357="Taijiquan 16 C",Atletas!P357="Taijiquan 24 C",Atletas!P357="Taijiquan 32 C",Atletas!P357="Taijiquan 42 C"),418,0)))))))))))))))))))</f>
        <v/>
      </c>
      <c r="BX366" s="50" t="str">
        <f>IF(Atletas!P357="","",IF(Atletas!X357&lt;&gt;"",10000,0)+IF(Atletas!B357="Feminino",1000,IF(Atletas!B357="Masculino",2000,""))+IF(OR(Atletas!P357="Yang 26 D",Atletas!P357="Yang 40 D"),419,IF(OR(Atletas!P357="Chen 25 D",Atletas!P357="Chen 36 D",Atletas!P357="Chen 56 D"),420,IF(Atletas!P357="Sun 73 D",421,IF(Atletas!P357="Wu 45 D",422,IF(Atletas!P357="Wu-Hao 46 D",423,IF(OR(Atletas!P357="Taijiquan 16 D",Atletas!P357="Taijiquan 24 D",Atletas!P357="Taijiquan 32 D",Atletas!P357="Taijiquan 42 D"),424,IF(OR(Atletas!P357="Yang 26 E",Atletas!P357="Yang 40 E"),425,IF(OR(Atletas!P357="Chen 25 E",Atletas!P357="Chen 36 E",Atletas!P357="Chen 56 E"),426,IF(Atletas!P357="Sun 73 E",427,IF(Atletas!P357="Wu 45 E",428,IF(Atletas!P357="Wu-Hao 46 E",429,IF(OR(Atletas!P357="Taijiquan 16 E",Atletas!P357="Taijiquan 24 E",Atletas!P357="Taijiquan 32 E",Atletas!P357="Taijiquan 42 E"),430,IF(OR(Atletas!P357="Yang 26 F",Atletas!P357="Yang 40 F"),431,IF(OR(Atletas!P357="Chen 25 F",Atletas!P357="Chen 36 F",Atletas!P357="Chen 56 F"),432,IF(Atletas!P357="Sun 73 F",433,IF(Atletas!P357="Wu 45 F",434,IF(Atletas!P357="Wu-Hao 46 F",435,IF(OR(Atletas!P357="Taijiquan 16 F",Atletas!P357="Taijiquan 24 F",Atletas!P357="Taijiquan 32 F",Atletas!P357="Taijiquan 42 F"),436,0)))))))))))))))))))</f>
        <v/>
      </c>
      <c r="BY366" s="50" t="str">
        <f>IF(Atletas!Q357="","",IF(Atletas!X357&lt;&gt;"",10000,0)+IF(Atletas!B357="Feminino",1000,IF(Atletas!B357="Masculino",2000,""))+IF(Atletas!Q357="Xingyiquan A",501,IF(Atletas!Q357="Baguazhang A",502,IF(Atletas!Q357="Outro Estilo Interno A",503,IF(Atletas!Q357="Xingyiquan B",504,IF(Atletas!Q357="Baguazhang B",505,IF(Atletas!Q357="Outro Estilo Interno B",506,IF(Atletas!Q357="Xingyiquan C",507,IF(Atletas!Q357="Baguazhang C",508,IF(Atletas!Q357="Outro Estilo Interno C",509,IF(Atletas!Q357="Xingyiquan D",510,IF(Atletas!Q357="Baguazhang D",511,IF(Atletas!Q357="Outro Estilo Interno D",512,IF(Atletas!Q357="Xingyiquan E",513,IF(Atletas!Q357="Baguazhang E",514,IF(Atletas!Q357="Outro Estilo Interno E",515,IF(Atletas!Q357="Xingyiquan F",516,IF(Atletas!Q357="Baguazhang F",517,IF(Atletas!Q357="Outro Estilo Interno F",518, "")))))))))))))))))))</f>
        <v/>
      </c>
      <c r="BZ366" s="50" t="str">
        <f>IF(Atletas!R357="","",IF(Atletas!X357&lt;&gt;"",10000,0)+IF(Atletas!B357="Feminino",1000,IF(Atletas!B357="Masculino",2000,""))+IF(Atletas!R357="Dao A",601,IF(Atletas!R357="Jian A",602,IF(Atletas!R357="Bishou A",603,IF(Atletas!R357="Shanzi A",604,IF(Atletas!R357="Outra Arma Curta A",605,IF(Atletas!R357="Dao B",606,IF(Atletas!R357="Jian B",607,IF(Atletas!R357="Bishou B",608,IF(Atletas!R357="Shanzi B",609,IF(Atletas!R357="Outra Arma Curta B",610,IF(Atletas!R357="Dao C",611,IF(Atletas!R357="Jian C",612,IF(Atletas!R357="Bishou C",613,IF(Atletas!R357="Shanzi C",614,IF(Atletas!R357="Outra Arma Curta C",615,IF(Atletas!R357="Dao D",616,IF(Atletas!R357="Jian D",617,IF(Atletas!R357="Bishou D",618,IF(Atletas!R357="Shanzi D",619,IF(Atletas!R357="Outra Arma Curta D",620,IF(Atletas!R357="Dao E",621,IF(Atletas!R357="Jian E",622,IF(Atletas!R357="Bishou E",623,IF(Atletas!R357="Shanzi E",624,IF(Atletas!R357="Outra Arma Curta E",625,IF(Atletas!R357="Dao F",626,IF(Atletas!R357="Jian F",627,IF(Atletas!R357="Bishou F",628,IF(Atletas!R357="Shanzi F",629,IF(Atletas!R357="Outra Arma Curta F",630, "")))))))))))))))))))))))))))))))</f>
        <v/>
      </c>
      <c r="CA366" s="50" t="str">
        <f>IF(Atletas!S357="","",IF(Atletas!X357&lt;&gt;"",10000,0)+IF(Atletas!B357="Feminino",1000,IF(Atletas!B357="Masculino",2000,""))+IF(Atletas!S357="Gun A",701,IF(Atletas!S357="Qiang A",702,IF(Atletas!S357="Pudao / Guandao A",703,IF(Atletas!S357="Outra Arma Longa A",704,IF(Atletas!S357="Gun B",705,IF(Atletas!S357="Qiang B",706,IF(Atletas!S357="Pudao / Guandao B",707,IF(Atletas!S357="Outra Arma Longa B",708,IF(Atletas!S357="Gun C",709,IF(Atletas!S357="Qiang C",710,IF(Atletas!S357="Pudao / Guandao C",711,IF(Atletas!S357="Outra Arma Longa C",712,IF(Atletas!S357="Gun D",713,IF(Atletas!S357="Qiang D",714,IF(Atletas!S357="Pudao / Guandao D",715,IF(Atletas!S357="Outra Arma Longa D",716,IF(Atletas!S357="Gun E",717,IF(Atletas!S357="Qiang E",718,IF(Atletas!S357="Pudao / Guandao E",719,IF(Atletas!S357="Outra Arma Longa E",720,IF(Atletas!S357="Gun F",721,IF(Atletas!S357="Qiang F",722,IF(Atletas!S357="Pudao / Guandao F",723,IF(Atletas!S357="Outra Arma Longa F",724,"")))))))))))))))))))))))))</f>
        <v/>
      </c>
      <c r="CB366" s="50" t="str">
        <f>IF(Atletas!T357="","",IF(Atletas!X357&lt;&gt;"",10000,0)+IF(Atletas!B357="Feminino",1000,IF(Atletas!B357="Masculino",2000,""))+IF(Atletas!T357="Outra Arma Dupla A",801,IF(Atletas!T357="Arma Maleável A",802,IF(Atletas!T357="Outra Arma Dupla B",803,IF(Atletas!T357="Arma Maleável B",804,IF(Atletas!T357="Outra Arma Dupla C",805,IF(Atletas!T357="Arma Maleável C",806,IF(Atletas!T357="Outra Arma Dupla D",807,IF(Atletas!T357="Arma Maleável D",808,IF(Atletas!T357="Outra Arma Dupla E",809,IF(Atletas!T357="Arma Maleável E",810,IF(Atletas!T357="Outra Arma Dupla F",811,IF(Atletas!T357="Arma Maleável F",812,IF(Atletas!T357="Shuangdao A",813,IF(Atletas!T357="Shuangdao B",814,IF(Atletas!T357="Shuangdao C",815,IF(Atletas!T357="Shuangdao D",816,IF(Atletas!T357="Shuangdao E",817,IF(Atletas!T357="Shuangdao F",818,"")))))))))))))))))))</f>
        <v/>
      </c>
      <c r="CC366" s="50" t="str">
        <f>IF(Atletas!U357="","",IF(Atletas!X357&lt;&gt;"",10000,0)+IF(Atletas!B357="Feminino",1000,IF(Atletas!B357="Masculino",2000,""))+IF(OR(Atletas!U357="Taijijian Yang A",Atletas!U357="Taijijian Yang Standard A"),901,IF(OR(Atletas!U357="Taijijian Chen A", Atletas!U357="Taijijian Chen Standard A"),902,IF(Atletas!U357="Taijijian Sun A",903,IF(Atletas!U357="Taijijian Wu A",904,IF(Atletas!U357="Taijijian Wu-Hao A",905,IF(OR(Atletas!U357="Taijijian 32 A",Atletas!U357="Taijijian 42 A"),906,IF(OR(Atletas!U357="Taijijian Yang B",Atletas!U357="Taijijian Yang Standard B"),907,IF(OR(Atletas!U357="Taijijian Chen B", Atletas!U357="Taijijian Chen Standard B"),908,IF(Atletas!U357="Taijijian Sun B",909,IF(Atletas!U357="Taijijian Wu B",910,IF(Atletas!U357="Taijijian Wu-Hao B",911,IF(OR(Atletas!U357="Taijijian 32 B",Atletas!U357="Taijijian 42 B"),912,IF(OR(Atletas!U357="Taijijian Yang C",Atletas!U357="Taijijian Yang Standard C"),913,IF(OR(Atletas!U357="Taijijian Chen C", Atletas!U357="Taijijian Chen Standard C"),914,IF(Atletas!U357="Taijijian Sun C",915,IF(Atletas!U357="Taijijian Wu C",916,IF(Atletas!U357="Taijijian Wu-Hao C",917,IF(OR(Atletas!U357="Taijijian 32 C",Atletas!U357="Taijijian 42 C"),918,IF(OR(Atletas!U357="Taijijian Yang D",Atletas!U357="Taijijian Yang Standard D"),919,IF(OR(Atletas!U357="Taijijian Chen D", Atletas!U357="Taijijian Chen Standard D"),920,IF(Atletas!U357="Taijijian Sun D",921,IF(Atletas!U357="Taijijian Wu D",922,IF(Atletas!U357="Taijijian Wu-Hao D",923,IF(OR(Atletas!U357="Taijijian 32 D",Atletas!U357="Taijijian 42 D"),924,IF(OR(Atletas!U357="Taijijian Yang E",Atletas!U357="Taijijian Yang Standard E"),925,IF(OR(Atletas!U357="Taijijian Chen E", Atletas!U357="Taijijian Chen Standard E"),926,IF(Atletas!U357="Taijijian Sun E",927,IF(Atletas!U357="Taijijian Wu E",928,IF(Atletas!U357="Taijijian Wu-Hao E",929,IF(OR(Atletas!U357="Taijijian 32 E",Atletas!U357="Taijijian 42 E"),930,IF(OR(Atletas!U357="Taijijian Yang F",Atletas!U357="Taijijian Yang Standard F"),931,IF(OR(Atletas!U357="Taijijian Chen F", Atletas!U357="Taijijian Chen Standard F"),932,IF(Atletas!U357="Taijijian Sun F",933,IF(Atletas!U357="Taijijian Wu F",934,IF(Atletas!U357="Taijijian Wu-Hao F",935,IF(OR(Atletas!U357="Taijijian 32 F",Atletas!U357="Taijijian 42 F"),936,"")))))))))))))))))))))))))))))))))))))</f>
        <v/>
      </c>
      <c r="CD366" s="50" t="str">
        <f>IF(Atletas!V357="","",IF(Atletas!X357&lt;&gt;"",10000,0)+IF(Atletas!B357="Feminino",1000,IF(Atletas!B357="Masculino",2000,""))+IF(Atletas!V357="Taijidao A",937,IF(Atletas!V357="TaijiShanzi A",938,IF(Atletas!V357="Taijiqiang A",939,IF(Atletas!V357="Bagua de Arma A",940,IF(Atletas!V357="Xingyi de Arma A",941,IF(Atletas!V357="Taijidao B",942,IF(Atletas!V357="TaijiShanzi B",943,IF(Atletas!V357="Taijiqiang B",944,IF(Atletas!V357="Bagua de Arma B",945,IF(Atletas!V357="Xingyi de Arma B",946,IF(Atletas!V357="Taijidao C",947,IF(Atletas!V357="TaijiShanzi C",948,IF(Atletas!V357="Taijiqiang C",949,IF(Atletas!V357="Bagua de Arma C",950,IF(Atletas!V357="Xingyi de Arma C",951,IF(Atletas!V357="Taijidao D",952,IF(Atletas!V357="TaijiShanzi D",953,IF(Atletas!V357="Taijiqiang D",954,IF(Atletas!V357="Bagua de Arma D",955,IF(Atletas!V357="Xingyi de Arma D",956,IF(Atletas!V357="Taijidao E",957,IF(Atletas!V357="TaijiShanzi E",958,IF(Atletas!V357="Taijiqiang E",959,IF(Atletas!V357="Bagua de Arma E",960,IF(Atletas!V357="Xingyi de Arma E",961,IF(Atletas!V357="Taijidao F",962,IF(Atletas!V357="TaijiShanzi F",963,IF(Atletas!V357="Taijiqiang F",964,IF(Atletas!V357="Bagua de Arma F",965,IF(Atletas!V357="Xingyi de Arma F",966,"")))))))))))))))))))))))))))))))</f>
        <v/>
      </c>
      <c r="CE366" s="66" t="str">
        <f>IF(CF366&lt;&gt;"","Xingyi de Arma F","")</f>
        <v/>
      </c>
      <c r="CF366" s="66" t="str">
        <f>IF(COUNTIF(BR:CD,1966)&gt;0,COUNTIF(BR:CD,1966),"")</f>
        <v/>
      </c>
      <c r="CG366" s="66" t="str">
        <f>IF(CH366&lt;&gt;"","Xingyi de Arma F","")</f>
        <v/>
      </c>
      <c r="CH366" s="66" t="str">
        <f>IF(COUNTIF(BR:CD,2966)&gt;0,COUNTIF(BR:CD,2966),"")</f>
        <v/>
      </c>
      <c r="CJ366" s="66"/>
      <c r="CK366" s="66"/>
      <c r="CL366" s="66"/>
      <c r="CM366" s="50" t="str">
        <f xml:space="preserve"> IF(Atletas!W357="","",IF(Atletas!W357="Duilian de Mãos BC - Equipe 1",1,IF(Atletas!W357="Duilian de Mãos BC - Equipe 2",2,IF(Atletas!W357="Duilian de Armas BC - Equipe 1",3,IF(Atletas!W357="Duilian de Armas BC - Equipe 2",4,IF(Atletas!W357="Duilian de Mãos DE - Equipe 1",5,IF(Atletas!W357="Duilian de Mãos DE - Equipe 2",6,IF(Atletas!W357="Duilian de Armas DE - Equipe 1",7,IF(Atletas!W357="Duilian de Armas DE - Equipe 2",8,IF(Atletas!W357="Duilian de Tuishou - Equipe 1",9,IF(Atletas!W357="Duilian de Tuishou - Equipe 2",10,IF(Atletas!W357="Grupo Externo ABC - Equipe 1",11,IF(Atletas!W357="Grupo Externo ABC - Equipe 2",12,IF(Atletas!W357="Grupo Interno ABC - Equipe 1",13,IF(Atletas!W357="Grupo Interno ABC - Equipe 2",14,IF(Atletas!W357="Grupo Externo DEF - Equipe 1",15,IF(Atletas!W357="Grupo Externo DEF - Equipe 2",16,IF(Atletas!W357="Grupo Interno DEF - Equipe 1",17,IF(Atletas!W357="Grupo Interno DEF - Equipe 2",18,"")))))))))))))))))))</f>
        <v/>
      </c>
    </row>
    <row r="367" spans="40:91">
      <c r="AN367" s="52" t="str">
        <f>IF(Atletas!D358="","",IF(Atletas!B358="Feminino",100,IF(Atletas!B358="Masculino",200,""))+(IF(Atletas!D358="Kids 30kg",1,IF(Atletas!D358="Kids 32kg",2, IF(Atletas!D358="Kids 34kg",3,IF(Atletas!D358="Kids 36kg",4,IF(Atletas!D358="Kids 39kg",5,IF(Atletas!D358="Kids 42kg",6,IF(Atletas!D358="Kids 45kg",7, IF(Atletas!D358="Infantil 39kg",8,IF(Atletas!D358="Infantil 42kg",9,IF(Atletas!D358="Infantil 45kg",10,IF(Atletas!D358="Infantil 48kg",11,IF(Atletas!D358="Infantil 52kg",12,IF(Atletas!D358="Infantil 56kg",13,IF(Atletas!D358="Infantil 60kg",14,IF(Atletas!D358="Juvenil 48kg",15,IF(Atletas!D358="Juvenil 52kg",16,IF(Atletas!D358="Juvenil 56kg",17,IF(Atletas!D358="Juvenil 60kg",18,IF(Atletas!D358="Juvenil 65kg",19,IF(Atletas!D358="Juvenil 70kg",20,IF(Atletas!D358="Juvenil 75kg",21,IF(Atletas!D358="Juvenil 80kg",22, IF(Atletas!D358="Juvenil 85kg",23,IF(Atletas!D358="Adulto 48kg",24,IF(Atletas!D358="Adulto 52kg",25,IF(Atletas!D358="Adulto 56kg",26,IF(Atletas!D358="Adulto 60kg",27,IF(Atletas!D358="Adulto 65kg",28,IF(Atletas!D358="Adulto 70kg",29,IF(Atletas!D358="Adulto 75kg",30,IF(Atletas!D358="Adulto 80kg",31,IF(Atletas!D358="Adulto 85kg",32,IF(Atletas!D358="Adulto 90kg",33,IF(Atletas!D358="Adulto 100kg",34, IF(Atletas!D358="Adulto +100kg",35,"")))))))))))))))))))))))))))))))))))))</f>
        <v/>
      </c>
      <c r="AS367" s="6" t="str">
        <f>IF(Atletas!E358="","",IF(Atletas!B358="Feminino",100,IF(Atletas!B358="Masculino",200,""))+(IF(Atletas!E358="Juvenil 44kg",1,IF(Atletas!E358="Juvenil 48kg",2,IF(Atletas!E358="Juvenil 52kg",3,IF(Atletas!E358="Juvenil 56kg",4,IF(Atletas!E358="Juvenil 60kg",5,IF(Atletas!E358="Juvenil 65kg",6,IF(Atletas!E358="Juvenil 70kg",7,IF(Atletas!E358="Juvenil 75kg",8,IF(Atletas!E358="Juvenil 82kg",9,IF(Atletas!E358="Juvenil 90kg",10,IF(Atletas!E358="Juvenil 100kg",11,IF(Atletas!E358="Adulto 48kg",12,IF(Atletas!E358="Adulto 52kg",13,IF(Atletas!E358="Adulto 56kg",14,IF(Atletas!E358="Adulto 60kg",15,IF(Atletas!E358="Adulto 65kg",16,IF(Atletas!E358="Adulto 70kg",17,IF(Atletas!E358="Adulto 75kg",18,IF(Atletas!E358="Adulto 82kg",19,IF(Atletas!E358="Adulto 90kg",20,IF(Atletas!E358="Adulto 100kg",21,IF(Atletas!E358="Adulto +100kg",22,""))))))))))))))))))))))))</f>
        <v/>
      </c>
      <c r="AX367" s="6" t="str">
        <f>IF(Atletas!F358="","",IF(Atletas!B358="Feminino",100,IF(Atletas!B358="Masculino",200,""))+(IF(Atletas!F358="Adulto 48kg",1,IF(Atletas!F358="Adulto 56kg",2,IF(Atletas!F358="Adulto 65kg",3,IF(Atletas!F358="Adulto 75kg",4,IF(Atletas!F358="Adulto +75kg",5,IF(Atletas!F358="Adulto 52kg",6,IF(Atletas!F358="Adulto 60kg",7,IF(Atletas!F358="Adulto 70kg",8,IF(Atletas!F358="Adulto 80kg",9,IF(Atletas!F358="Adulto 90kg",10,IF(Atletas!F358="Adulto +90kg",11,"")))))))))))))</f>
        <v/>
      </c>
      <c r="BC367" s="6" t="str">
        <f>IF(Atletas!G358="","",IF(Atletas!B358="Feminino",10,IF(Atletas!B358="Masculino",20,""))+(IF(Atletas!G358="Baduanjin A",1,IF(Atletas!G358="Baduanjin B",2))))</f>
        <v/>
      </c>
      <c r="BF367" s="52" t="str">
        <f>IF(Atletas!H358="","",IF(Atletas!B358="Feminino",100,IF(Atletas!B358="Masculino",200,""))+(IF(Atletas!H358="Changquan Mirim",1,IF(Atletas!H358="Nanquan Mirim",2,IF(Atletas!H358="Taijiquan Mirim",3,IF(Atletas!H358="Changquan Grupo C",4,IF(Atletas!H358="Nanquan Grupo C",5,IF(Atletas!H358="Taijiquan Grupo C",6,IF(Atletas!H358="Changquan Grupo B",7,IF(Atletas!H358="Nanquan Grupo B",8,IF(Atletas!H358="Taijiquan Grupo B",9,IF(Atletas!H358="Changquan Grupo A",10,IF(Atletas!H358="Nanquan Grupo A",11,IF(Atletas!H358="Taijiquan Grupo A",12,IF(Atletas!H358="Changquan Opcional",13,IF(Atletas!H358="Nanquan Opcional",14,IF(Atletas!H358="Taijiquan Opcional",15,IF(Atletas!H358="Changquan Adulto",16,IF(Atletas!H358="Nanquan Adulto",17,IF(Atletas!H358="Taijiquan Adulto",18,""))))))))))))))))))))</f>
        <v/>
      </c>
      <c r="BG367" s="52" t="str">
        <f>IF(Atletas!I358="","",IF(Atletas!B358="Feminino",100,IF(Atletas!B358="Masculino",200,""))+(IF(Atletas!I358="Daoshu Mirim",19,IF(Atletas!I358="Jianshu Mirim",20,IF(Atletas!I358="Nandao Mirim",21,IF(Atletas!I358="Taijijian Mirim",22,IF(Atletas!I358="Daoshu Grupo C",23,IF(Atletas!I358="Jianshu Grupo C",24,IF(Atletas!I358="Nandao Grupo C",25,IF(Atletas!I358="Taijijian Grupo C",26,IF(Atletas!I358="Daoshu Grupo B",27,IF(Atletas!I358="Jianshu Grupo B",28,IF(Atletas!I358="Nandao Grupo B",29,IF(Atletas!I358="Taijijian Grupo B",30,IF(Atletas!I358="Daoshu Grupo A",31,IF(Atletas!I358="Jianshu Grupo A",32,IF(Atletas!I358="Nandao Grupo A",33,IF(Atletas!I358="Taijijian Grupo A",34,IF(Atletas!I358="Daoshu Opcional",35,IF(Atletas!I358="Jianshu Opcional",36,IF(Atletas!I358="Nandao Opcional",37,IF(Atletas!I358="Taijijian Opcional",38,IF(Atletas!I358="Daoshu Adulto",39,IF(Atletas!I358="Jianshu Adulto",40,IF(Atletas!I358="Nandao Adulto",41,IF(Atletas!I358="Taijijian Adulto",42,""))))))))))))))))))))))))))</f>
        <v/>
      </c>
      <c r="BH367" s="52" t="str">
        <f>IF(Atletas!J358="","",IF(Atletas!B358="Feminino",100,IF(Atletas!B358="Masculino",200,""))+(IF(Atletas!J358="Gunshu Mirim",43,IF(Atletas!J358="Qiangshu Mirim",44,IF(Atletas!J358="Nangun Mirim",45,IF(Atletas!J358="Gunshu Grupo C",46,IF(Atletas!J358="Qiangshu Grupo C",47,IF(Atletas!J358="Nangun Grupo C",48,IF(Atletas!J358="Gunshu Grupo B",49,IF(Atletas!J358="Qiangshu Grupo B",50,IF(Atletas!J358="Nangun Grupo B",51,IF(Atletas!J358="Gunshu Grupo A",52,IF(Atletas!J358="Qiangshu Grupo A",53,IF(Atletas!J358="Nangun Grupo A",54,IF(Atletas!J358="Gunshu Opcional",55,IF(Atletas!J358="Qiangshu Opcional",56,IF(Atletas!J358="Nangun Opcional",57,IF(Atletas!J358="Gunshu Adulto",58,IF(Atletas!J358="Qiangshu Adulto",59,IF(Atletas!J358="Nangun Adulto",60,IF(Atletas!J358="Taijishan Grupo B",61,IF(Atletas!J358="Taijishan Grupo A",62,""))))))))))))))))))))))</f>
        <v/>
      </c>
      <c r="BM367" s="50" t="str">
        <f>IF(Atletas!K358="","",IF(Atletas!B358="Feminino",100,IF(Atletas!B358="Masculino",200,""))+(IF(Atletas!K358="Equipe 1 Grupo B",1,IF(Atletas!K358="Equipe 2 Grupo B",2,IF(Atletas!K358="Equipe 1 Grupo A",3,IF(Atletas!K358="Equipe 2 Grupo A",4,IF(Atletas!K358="Equipe 1 Adulto",5,IF(Atletas!K358="Equipe 2 Adulto",6,""))))))))</f>
        <v/>
      </c>
      <c r="BR367" s="50" t="str">
        <f>IF(Atletas!L358="","",IF(Atletas!X358&lt;&gt;"",10000,0)+(IF(Atletas!B358="Feminino",1000,IF(Atletas!B358="Masculino",2000,""))+IF(Atletas!L358="Choylayfut A",1,IF(Atletas!L358="Hunggar A",2,IF(Atletas!L358="Wuzuquan A",3,IF(Atletas!L358="Wingchun A",4,IF(Atletas!L358="Outra Mão de Sul A",5,IF(Atletas!L358="Choylayfut B",6,IF(Atletas!L358="Hunggar B",7,IF(Atletas!L358="Wuzuquan B",8,IF(Atletas!L358="Wingchun B",9,IF(Atletas!L358="Outra Mão de Sul B",10,IF(Atletas!L358="Choylayfut C",11,IF(Atletas!L358="Hunggar C",12,IF(Atletas!L358="Wuzuquan C",13,IF(Atletas!L358="Wingchun C",14,IF(Atletas!L358="Outra Mão de Sul C",15,IF(Atletas!L358="Choylayfut D",16,IF(Atletas!L358="Hunggar D",17,IF(Atletas!L358="Wuzuquan D",18,IF(Atletas!L358="Wingchun D",19,IF(Atletas!L358="Outra Mão de Sul D",20,IF(Atletas!L358="Choylayfut E",21,IF(Atletas!L358="Hunggar E",22,IF(Atletas!L358="Wuzuquan E",23,IF(Atletas!L358="Wingchun E",24,IF(Atletas!L358="Outra Mão de Sul E",25,IF(Atletas!L358="Choylayfut F",26,IF(Atletas!L358="Hunggar F",27,IF(Atletas!L358="Wuzuquan F",28,IF(Atletas!L358="Wingchun F",29,IF(Atletas!L358="Outra Mão de Sul F",30,IF(Atletas!L358="Dishuquan A",31,IF(Atletas!L358="Dishuquan B",32,IF(Atletas!L358="Dishuquan C",33,IF(Atletas!L358="Dishuquan D",34,IF(Atletas!L358="Dishuquan E",35,IF(Atletas!L358="Dishuquan F",36,""))))))))))))))))))))))))))))))))))))))</f>
        <v/>
      </c>
      <c r="BS367" s="50" t="str">
        <f>IF(Atletas!M358="","",IF(Atletas!X358&lt;&gt;"",10000,0)+(IF(Atletas!B358="Feminino",1000,IF(Atletas!B358="Masculino",2000,""))+(IF(Atletas!M358="Chaquan A",101,IF(Atletas!M358="Emeiquan A",102,IF(Atletas!M358="Fanziquan A",103,IF(Atletas!M358="Huaquan A",104,IF(Atletas!M358="Hongquan A",105,IF(Atletas!M358="Paoquan A",106,IF(Atletas!M358="Piguaquan A",107,IF(Atletas!M358="Shaolinquan A",108,IF(Atletas!M358="Tanglangquan A",109,IF(Atletas!M358="Yingzhaoquan A",110,IF(Atletas!M358="Tongbeiquan A",111,IF(Atletas!M358="Wudangquan A",112,IF(Atletas!M358="Outros Estilos A",113,IF(Atletas!M358="Chaquan B",114,IF(Atletas!M358="Emeiquan B",115,IF(Atletas!M358="Fanziquan B",116,IF(Atletas!M358="Huaquan B",117,IF(Atletas!M358="Hongquan B",118,IF(Atletas!M358="Paoquan B",119,IF(Atletas!M358="Piguaquan B",120,IF(Atletas!M358="Shaolinquan B",121,IF(Atletas!M358="Tanglangquan B",122,IF(Atletas!M358="Yingzhaoquan B",123,IF(Atletas!M358="Tongbeiquan B",124,IF(Atletas!M358="Wudangquan B",125,IF(Atletas!M358="Outros Estilos B",126,IF(Atletas!M358="Chaquan C",127,IF(Atletas!M358="Emeiquan C",128,IF(Atletas!M358="Fanziquan C",129,IF(Atletas!M358="Huaquan C",130,IF(Atletas!M358="Hongquan C",131,IF(Atletas!M358="Paoquan C",132,IF(Atletas!M358="Piguaquan C",133,IF(Atletas!M358="Shaolinquan C",134,IF(Atletas!M358="Tanglangquan C",135,IF(Atletas!M358="Yingzhaoquan C",136,IF(Atletas!M358="Tongbeiquan C",137,IF(Atletas!M358="Wudangquan C",138,IF(Atletas!M358="Outros Estilos C",139,0))))))))))))))))))))))))))))))))))))))))))</f>
        <v/>
      </c>
      <c r="BT367" s="50" t="str">
        <f>IF(Atletas!M358="","",IF(Atletas!X358&lt;&gt;"",10000,0)+(IF(Atletas!B358="Feminino",1000,IF(Atletas!B358="Masculino",2000,""))+(IF(Atletas!M358="Chaquan D",140,IF(Atletas!M358="Emeiquan D",141,IF(Atletas!M358="Fanziquan D",142,IF(Atletas!M358="Huaquan D",143,IF(Atletas!M358="Hongquan D",144,IF(Atletas!M358="Paoquan D",145,IF(Atletas!M358="Piguaquan D",146,IF(Atletas!M358="Shaolinquan D",147,IF(Atletas!M358="Tanglangquan D",148,IF(Atletas!M358="Yingzhaoquan D",149,IF(Atletas!M358="Tongbeiquan D",150,IF(Atletas!M358="Wudangquan D",151,IF(Atletas!M358="Outros Estilos D",152,IF(Atletas!M358="Chaquan E",153,IF(Atletas!M358="Emeiquan E",154,IF(Atletas!M358="Fanziquan E",155,IF(Atletas!M358="Huaquan E",156,IF(Atletas!M358="Hongquan E",157,IF(Atletas!M358="Paoquan E",158,IF(Atletas!M358="Piguaquan E",159,IF(Atletas!M358="Shaolinquan E",160,IF(Atletas!M358="Tanglangquan E",161,IF(Atletas!M358="Yingzhaoquan E",162,IF(Atletas!M358="Tongbeiquan E",163,IF(Atletas!M358="Wudangquan E",164,IF(Atletas!M358="Outros Estilos E",165,IF(Atletas!M358="Chaquan F",166,IF(Atletas!M358="Emeiquan F",167,IF(Atletas!M358="Fanziquan F",168,IF(Atletas!M358="Huaquan F",169,IF(Atletas!M358="Hongquan F",170,IF(Atletas!M358="Paoquan F",171,IF(Atletas!M358="Piguaquan F",172,IF(Atletas!M358="Shaolinquan F",173,IF(Atletas!M358="Tanglangquan F",174,IF(Atletas!M358="Yingzhaoquan F",175,IF(Atletas!M358="Tongbeiquan F",176,IF(Atletas!M358="Wudangquan F",177,IF(Atletas!M358="Outros Estilos F",178,0))))))))))))))))))))))))))))))))))))))))))</f>
        <v/>
      </c>
      <c r="BU367" s="50" t="str">
        <f>IF(Atletas!N358="","",IF(Atletas!X358&lt;&gt;"",10000,0)+(IF(Atletas!B358="Feminino",1000,IF(Atletas!B358="Masculino",2000,""))+(IF(Atletas!N358="Ditangquan A",201,IF(Atletas!N358="Houquan A",202,IF(Atletas!N358="Zuiquan A",203,IF(Atletas!N358="Ditangquan B",204,IF(Atletas!N358="Houquan B",205,IF(Atletas!N358="Zuiquan B",206,IF(Atletas!N358="Ditangquan C",207,IF(Atletas!N358="Houquan C",208,IF(Atletas!N358="Zuiquan C",209,IF(Atletas!N358="Ditangquan D",210,IF(Atletas!N358="Houquan D",211,IF(Atletas!N358="Zuiquan D",212,IF(Atletas!N358="Ditangquan E",213,IF(Atletas!N358="Houquan E",214,IF(Atletas!N358="Zuiquan E",215,IF(Atletas!N358="Ditangquan F",216,IF(Atletas!N358="Houquan F",217,IF(Atletas!N358="Zuiquan F",218,"")))))))))))))))))))))</f>
        <v/>
      </c>
      <c r="BV367" s="50" t="str">
        <f>IF(Atletas!O358="","",IF(Atletas!X358&lt;&gt;"",10000,0)+IF(Atletas!B358="Feminino",1000,IF(Atletas!B358="Masculino",2000,""))+IF(Atletas!O358="Yang A",301,IF(Atletas!O358="Chen A",302,IF(Atletas!O358="Sun A",303,IF(Atletas!O358="Wu A",304,IF(Atletas!O358="Wu-Hao A",305,IF(Atletas!O358="Outro Taijiquan A",306,IF(Atletas!O358="Yang B",307,IF(Atletas!O358="Chen B",308,IF(Atletas!O358="Sun B",309,IF(Atletas!O358="Wu B",310,IF(Atletas!O358="Wu-Hao B",311,IF(Atletas!O358="Outro Taijiquan B",312,IF(Atletas!O358="Yang C",313,IF(Atletas!O358="Chen C",314,IF(Atletas!O358="Sun C",315,IF(Atletas!O358="Wu C",316,IF(Atletas!O358="Wu-Hao C",317,IF(Atletas!O358="Outro Taijiquan C",318,IF(Atletas!O358="Yang D",319,IF(Atletas!O358="Chen D",320,IF(Atletas!O358="Sun D",321,IF(Atletas!O358="Wu D",322,IF(Atletas!O358="Wu-Hao D",323,IF(Atletas!O358="Outro Taijiquan D",324,IF(Atletas!O358="Yang E",325,IF(Atletas!O358="Chen E",326,IF(Atletas!O358="Sun E",327,IF(Atletas!O358="Wu E",328,IF(Atletas!O358="Wu-Hao E",329,IF(Atletas!O358="Outro Taijiquan E",330,IF(Atletas!O358="Yang F",331,IF(Atletas!O358="Chen F",332,IF(Atletas!O358="Sun F",333,IF(Atletas!O358="Wu F",334,IF(Atletas!O358="Wu-Hao F",335,IF(Atletas!O358="Outro Taijiquan F",336,"")))))))))))))))))))))))))))))))))))))</f>
        <v/>
      </c>
      <c r="BW367" s="50" t="str">
        <f>IF(Atletas!P358="","",IF(Atletas!X358&lt;&gt;"",10000,0)+IF(Atletas!B358="Feminino",1000,IF(Atletas!B358="Masculino",2000,""))+IF(OR(Atletas!P358="Yang 26 A",Atletas!P358="Yang 40 A"),401,IF(OR(Atletas!P358="Chen 25 A",Atletas!P358="Chen 36 A",Atletas!P358="Chen 56 A"),402,IF(Atletas!P358="Sun 73 A",403,IF(Atletas!P358="Wu 45 A",404,IF(Atletas!P358="Wu-Hao 46 A",405,IF(OR(Atletas!P358="Taijiquan 16 A",Atletas!P358="Taijiquan 24 A",Atletas!P358="Taijiquan 32 A",Atletas!P358="Taijiquan 42 A"),406,IF(OR(Atletas!P358="Yang 26 B",Atletas!P358="Yang 40 B"),407,IF(OR(Atletas!P358="Chen 25 B",Atletas!P358="Chen 36 B",Atletas!P358="Chen 56 B"),408,IF(Atletas!P358="Sun 73 B",409,IF(Atletas!P358="Wu 45 B",410,IF(Atletas!P358="Wu-Hao 46 B",411,IF(OR(Atletas!P358="Taijiquan 16 B",Atletas!P358="Taijiquan 24 B",Atletas!P358="Taijiquan 32 B",Atletas!P358="Taijiquan 42 B"),412,IF(OR(Atletas!P358="Yang 26 C",Atletas!P358="Yang 40 C"),413,IF(OR(Atletas!P358="Chen 25 C",Atletas!P358="Chen 36 C",Atletas!P358="Chen 56 C"),414,IF(Atletas!P358="Sun 73 C",415,IF(Atletas!P358="Wu 45 C",416,IF(Atletas!P358="Wu-Hao 46 C",417,IF(OR(Atletas!P358="Taijiquan 16 C",Atletas!P358="Taijiquan 24 C",Atletas!P358="Taijiquan 32 C",Atletas!P358="Taijiquan 42 C"),418,0)))))))))))))))))))</f>
        <v/>
      </c>
      <c r="BX367" s="50" t="str">
        <f>IF(Atletas!P358="","",IF(Atletas!X358&lt;&gt;"",10000,0)+IF(Atletas!B358="Feminino",1000,IF(Atletas!B358="Masculino",2000,""))+IF(OR(Atletas!P358="Yang 26 D",Atletas!P358="Yang 40 D"),419,IF(OR(Atletas!P358="Chen 25 D",Atletas!P358="Chen 36 D",Atletas!P358="Chen 56 D"),420,IF(Atletas!P358="Sun 73 D",421,IF(Atletas!P358="Wu 45 D",422,IF(Atletas!P358="Wu-Hao 46 D",423,IF(OR(Atletas!P358="Taijiquan 16 D",Atletas!P358="Taijiquan 24 D",Atletas!P358="Taijiquan 32 D",Atletas!P358="Taijiquan 42 D"),424,IF(OR(Atletas!P358="Yang 26 E",Atletas!P358="Yang 40 E"),425,IF(OR(Atletas!P358="Chen 25 E",Atletas!P358="Chen 36 E",Atletas!P358="Chen 56 E"),426,IF(Atletas!P358="Sun 73 E",427,IF(Atletas!P358="Wu 45 E",428,IF(Atletas!P358="Wu-Hao 46 E",429,IF(OR(Atletas!P358="Taijiquan 16 E",Atletas!P358="Taijiquan 24 E",Atletas!P358="Taijiquan 32 E",Atletas!P358="Taijiquan 42 E"),430,IF(OR(Atletas!P358="Yang 26 F",Atletas!P358="Yang 40 F"),431,IF(OR(Atletas!P358="Chen 25 F",Atletas!P358="Chen 36 F",Atletas!P358="Chen 56 F"),432,IF(Atletas!P358="Sun 73 F",433,IF(Atletas!P358="Wu 45 F",434,IF(Atletas!P358="Wu-Hao 46 F",435,IF(OR(Atletas!P358="Taijiquan 16 F",Atletas!P358="Taijiquan 24 F",Atletas!P358="Taijiquan 32 F",Atletas!P358="Taijiquan 42 F"),436,0)))))))))))))))))))</f>
        <v/>
      </c>
      <c r="BY367" s="50" t="str">
        <f>IF(Atletas!Q358="","",IF(Atletas!X358&lt;&gt;"",10000,0)+IF(Atletas!B358="Feminino",1000,IF(Atletas!B358="Masculino",2000,""))+IF(Atletas!Q358="Xingyiquan A",501,IF(Atletas!Q358="Baguazhang A",502,IF(Atletas!Q358="Outro Estilo Interno A",503,IF(Atletas!Q358="Xingyiquan B",504,IF(Atletas!Q358="Baguazhang B",505,IF(Atletas!Q358="Outro Estilo Interno B",506,IF(Atletas!Q358="Xingyiquan C",507,IF(Atletas!Q358="Baguazhang C",508,IF(Atletas!Q358="Outro Estilo Interno C",509,IF(Atletas!Q358="Xingyiquan D",510,IF(Atletas!Q358="Baguazhang D",511,IF(Atletas!Q358="Outro Estilo Interno D",512,IF(Atletas!Q358="Xingyiquan E",513,IF(Atletas!Q358="Baguazhang E",514,IF(Atletas!Q358="Outro Estilo Interno E",515,IF(Atletas!Q358="Xingyiquan F",516,IF(Atletas!Q358="Baguazhang F",517,IF(Atletas!Q358="Outro Estilo Interno F",518, "")))))))))))))))))))</f>
        <v/>
      </c>
      <c r="BZ367" s="50" t="str">
        <f>IF(Atletas!R358="","",IF(Atletas!X358&lt;&gt;"",10000,0)+IF(Atletas!B358="Feminino",1000,IF(Atletas!B358="Masculino",2000,""))+IF(Atletas!R358="Dao A",601,IF(Atletas!R358="Jian A",602,IF(Atletas!R358="Bishou A",603,IF(Atletas!R358="Shanzi A",604,IF(Atletas!R358="Outra Arma Curta A",605,IF(Atletas!R358="Dao B",606,IF(Atletas!R358="Jian B",607,IF(Atletas!R358="Bishou B",608,IF(Atletas!R358="Shanzi B",609,IF(Atletas!R358="Outra Arma Curta B",610,IF(Atletas!R358="Dao C",611,IF(Atletas!R358="Jian C",612,IF(Atletas!R358="Bishou C",613,IF(Atletas!R358="Shanzi C",614,IF(Atletas!R358="Outra Arma Curta C",615,IF(Atletas!R358="Dao D",616,IF(Atletas!R358="Jian D",617,IF(Atletas!R358="Bishou D",618,IF(Atletas!R358="Shanzi D",619,IF(Atletas!R358="Outra Arma Curta D",620,IF(Atletas!R358="Dao E",621,IF(Atletas!R358="Jian E",622,IF(Atletas!R358="Bishou E",623,IF(Atletas!R358="Shanzi E",624,IF(Atletas!R358="Outra Arma Curta E",625,IF(Atletas!R358="Dao F",626,IF(Atletas!R358="Jian F",627,IF(Atletas!R358="Bishou F",628,IF(Atletas!R358="Shanzi F",629,IF(Atletas!R358="Outra Arma Curta F",630, "")))))))))))))))))))))))))))))))</f>
        <v/>
      </c>
      <c r="CA367" s="50" t="str">
        <f>IF(Atletas!S358="","",IF(Atletas!X358&lt;&gt;"",10000,0)+IF(Atletas!B358="Feminino",1000,IF(Atletas!B358="Masculino",2000,""))+IF(Atletas!S358="Gun A",701,IF(Atletas!S358="Qiang A",702,IF(Atletas!S358="Pudao / Guandao A",703,IF(Atletas!S358="Outra Arma Longa A",704,IF(Atletas!S358="Gun B",705,IF(Atletas!S358="Qiang B",706,IF(Atletas!S358="Pudao / Guandao B",707,IF(Atletas!S358="Outra Arma Longa B",708,IF(Atletas!S358="Gun C",709,IF(Atletas!S358="Qiang C",710,IF(Atletas!S358="Pudao / Guandao C",711,IF(Atletas!S358="Outra Arma Longa C",712,IF(Atletas!S358="Gun D",713,IF(Atletas!S358="Qiang D",714,IF(Atletas!S358="Pudao / Guandao D",715,IF(Atletas!S358="Outra Arma Longa D",716,IF(Atletas!S358="Gun E",717,IF(Atletas!S358="Qiang E",718,IF(Atletas!S358="Pudao / Guandao E",719,IF(Atletas!S358="Outra Arma Longa E",720,IF(Atletas!S358="Gun F",721,IF(Atletas!S358="Qiang F",722,IF(Atletas!S358="Pudao / Guandao F",723,IF(Atletas!S358="Outra Arma Longa F",724,"")))))))))))))))))))))))))</f>
        <v/>
      </c>
      <c r="CB367" s="50" t="str">
        <f>IF(Atletas!T358="","",IF(Atletas!X358&lt;&gt;"",10000,0)+IF(Atletas!B358="Feminino",1000,IF(Atletas!B358="Masculino",2000,""))+IF(Atletas!T358="Outra Arma Dupla A",801,IF(Atletas!T358="Arma Maleável A",802,IF(Atletas!T358="Outra Arma Dupla B",803,IF(Atletas!T358="Arma Maleável B",804,IF(Atletas!T358="Outra Arma Dupla C",805,IF(Atletas!T358="Arma Maleável C",806,IF(Atletas!T358="Outra Arma Dupla D",807,IF(Atletas!T358="Arma Maleável D",808,IF(Atletas!T358="Outra Arma Dupla E",809,IF(Atletas!T358="Arma Maleável E",810,IF(Atletas!T358="Outra Arma Dupla F",811,IF(Atletas!T358="Arma Maleável F",812,IF(Atletas!T358="Shuangdao A",813,IF(Atletas!T358="Shuangdao B",814,IF(Atletas!T358="Shuangdao C",815,IF(Atletas!T358="Shuangdao D",816,IF(Atletas!T358="Shuangdao E",817,IF(Atletas!T358="Shuangdao F",818,"")))))))))))))))))))</f>
        <v/>
      </c>
      <c r="CC367" s="50" t="str">
        <f>IF(Atletas!U358="","",IF(Atletas!X358&lt;&gt;"",10000,0)+IF(Atletas!B358="Feminino",1000,IF(Atletas!B358="Masculino",2000,""))+IF(OR(Atletas!U358="Taijijian Yang A",Atletas!U358="Taijijian Yang Standard A"),901,IF(OR(Atletas!U358="Taijijian Chen A", Atletas!U358="Taijijian Chen Standard A"),902,IF(Atletas!U358="Taijijian Sun A",903,IF(Atletas!U358="Taijijian Wu A",904,IF(Atletas!U358="Taijijian Wu-Hao A",905,IF(OR(Atletas!U358="Taijijian 32 A",Atletas!U358="Taijijian 42 A"),906,IF(OR(Atletas!U358="Taijijian Yang B",Atletas!U358="Taijijian Yang Standard B"),907,IF(OR(Atletas!U358="Taijijian Chen B", Atletas!U358="Taijijian Chen Standard B"),908,IF(Atletas!U358="Taijijian Sun B",909,IF(Atletas!U358="Taijijian Wu B",910,IF(Atletas!U358="Taijijian Wu-Hao B",911,IF(OR(Atletas!U358="Taijijian 32 B",Atletas!U358="Taijijian 42 B"),912,IF(OR(Atletas!U358="Taijijian Yang C",Atletas!U358="Taijijian Yang Standard C"),913,IF(OR(Atletas!U358="Taijijian Chen C", Atletas!U358="Taijijian Chen Standard C"),914,IF(Atletas!U358="Taijijian Sun C",915,IF(Atletas!U358="Taijijian Wu C",916,IF(Atletas!U358="Taijijian Wu-Hao C",917,IF(OR(Atletas!U358="Taijijian 32 C",Atletas!U358="Taijijian 42 C"),918,IF(OR(Atletas!U358="Taijijian Yang D",Atletas!U358="Taijijian Yang Standard D"),919,IF(OR(Atletas!U358="Taijijian Chen D", Atletas!U358="Taijijian Chen Standard D"),920,IF(Atletas!U358="Taijijian Sun D",921,IF(Atletas!U358="Taijijian Wu D",922,IF(Atletas!U358="Taijijian Wu-Hao D",923,IF(OR(Atletas!U358="Taijijian 32 D",Atletas!U358="Taijijian 42 D"),924,IF(OR(Atletas!U358="Taijijian Yang E",Atletas!U358="Taijijian Yang Standard E"),925,IF(OR(Atletas!U358="Taijijian Chen E", Atletas!U358="Taijijian Chen Standard E"),926,IF(Atletas!U358="Taijijian Sun E",927,IF(Atletas!U358="Taijijian Wu E",928,IF(Atletas!U358="Taijijian Wu-Hao E",929,IF(OR(Atletas!U358="Taijijian 32 E",Atletas!U358="Taijijian 42 E"),930,IF(OR(Atletas!U358="Taijijian Yang F",Atletas!U358="Taijijian Yang Standard F"),931,IF(OR(Atletas!U358="Taijijian Chen F", Atletas!U358="Taijijian Chen Standard F"),932,IF(Atletas!U358="Taijijian Sun F",933,IF(Atletas!U358="Taijijian Wu F",934,IF(Atletas!U358="Taijijian Wu-Hao F",935,IF(OR(Atletas!U358="Taijijian 32 F",Atletas!U358="Taijijian 42 F"),936,"")))))))))))))))))))))))))))))))))))))</f>
        <v/>
      </c>
      <c r="CD367" s="50" t="str">
        <f>IF(Atletas!V358="","",IF(Atletas!X358&lt;&gt;"",10000,0)+IF(Atletas!B358="Feminino",1000,IF(Atletas!B358="Masculino",2000,""))+IF(Atletas!V358="Taijidao A",937,IF(Atletas!V358="TaijiShanzi A",938,IF(Atletas!V358="Taijiqiang A",939,IF(Atletas!V358="Bagua de Arma A",940,IF(Atletas!V358="Xingyi de Arma A",941,IF(Atletas!V358="Taijidao B",942,IF(Atletas!V358="TaijiShanzi B",943,IF(Atletas!V358="Taijiqiang B",944,IF(Atletas!V358="Bagua de Arma B",945,IF(Atletas!V358="Xingyi de Arma B",946,IF(Atletas!V358="Taijidao C",947,IF(Atletas!V358="TaijiShanzi C",948,IF(Atletas!V358="Taijiqiang C",949,IF(Atletas!V358="Bagua de Arma C",950,IF(Atletas!V358="Xingyi de Arma C",951,IF(Atletas!V358="Taijidao D",952,IF(Atletas!V358="TaijiShanzi D",953,IF(Atletas!V358="Taijiqiang D",954,IF(Atletas!V358="Bagua de Arma D",955,IF(Atletas!V358="Xingyi de Arma D",956,IF(Atletas!V358="Taijidao E",957,IF(Atletas!V358="TaijiShanzi E",958,IF(Atletas!V358="Taijiqiang E",959,IF(Atletas!V358="Bagua de Arma E",960,IF(Atletas!V358="Xingyi de Arma E",961,IF(Atletas!V358="Taijidao F",962,IF(Atletas!V358="TaijiShanzi F",963,IF(Atletas!V358="Taijiqiang F",964,IF(Atletas!V358="Bagua de Arma F",965,IF(Atletas!V358="Xingyi de Arma F",966,"")))))))))))))))))))))))))))))))</f>
        <v/>
      </c>
      <c r="CE367" s="66"/>
      <c r="CF367" s="66"/>
      <c r="CG367" s="66"/>
      <c r="CH367" s="66"/>
      <c r="CJ367" s="66"/>
      <c r="CL367" s="66"/>
      <c r="CM367" s="50" t="str">
        <f xml:space="preserve"> IF(Atletas!W358="","",IF(Atletas!W358="Duilian de Mãos BC - Equipe 1",1,IF(Atletas!W358="Duilian de Mãos BC - Equipe 2",2,IF(Atletas!W358="Duilian de Armas BC - Equipe 1",3,IF(Atletas!W358="Duilian de Armas BC - Equipe 2",4,IF(Atletas!W358="Duilian de Mãos DE - Equipe 1",5,IF(Atletas!W358="Duilian de Mãos DE - Equipe 2",6,IF(Atletas!W358="Duilian de Armas DE - Equipe 1",7,IF(Atletas!W358="Duilian de Armas DE - Equipe 2",8,IF(Atletas!W358="Duilian de Tuishou - Equipe 1",9,IF(Atletas!W358="Duilian de Tuishou - Equipe 2",10,IF(Atletas!W358="Grupo Externo ABC - Equipe 1",11,IF(Atletas!W358="Grupo Externo ABC - Equipe 2",12,IF(Atletas!W358="Grupo Interno ABC - Equipe 1",13,IF(Atletas!W358="Grupo Interno ABC - Equipe 2",14,IF(Atletas!W358="Grupo Externo DEF - Equipe 1",15,IF(Atletas!W358="Grupo Externo DEF - Equipe 2",16,IF(Atletas!W358="Grupo Interno DEF - Equipe 1",17,IF(Atletas!W358="Grupo Interno DEF - Equipe 2",18,"")))))))))))))))))))</f>
        <v/>
      </c>
    </row>
    <row r="368" spans="40:91">
      <c r="AN368" s="52" t="str">
        <f>IF(Atletas!D359="","",IF(Atletas!B359="Feminino",100,IF(Atletas!B359="Masculino",200,""))+(IF(Atletas!D359="Kids 30kg",1,IF(Atletas!D359="Kids 32kg",2, IF(Atletas!D359="Kids 34kg",3,IF(Atletas!D359="Kids 36kg",4,IF(Atletas!D359="Kids 39kg",5,IF(Atletas!D359="Kids 42kg",6,IF(Atletas!D359="Kids 45kg",7, IF(Atletas!D359="Infantil 39kg",8,IF(Atletas!D359="Infantil 42kg",9,IF(Atletas!D359="Infantil 45kg",10,IF(Atletas!D359="Infantil 48kg",11,IF(Atletas!D359="Infantil 52kg",12,IF(Atletas!D359="Infantil 56kg",13,IF(Atletas!D359="Infantil 60kg",14,IF(Atletas!D359="Juvenil 48kg",15,IF(Atletas!D359="Juvenil 52kg",16,IF(Atletas!D359="Juvenil 56kg",17,IF(Atletas!D359="Juvenil 60kg",18,IF(Atletas!D359="Juvenil 65kg",19,IF(Atletas!D359="Juvenil 70kg",20,IF(Atletas!D359="Juvenil 75kg",21,IF(Atletas!D359="Juvenil 80kg",22, IF(Atletas!D359="Juvenil 85kg",23,IF(Atletas!D359="Adulto 48kg",24,IF(Atletas!D359="Adulto 52kg",25,IF(Atletas!D359="Adulto 56kg",26,IF(Atletas!D359="Adulto 60kg",27,IF(Atletas!D359="Adulto 65kg",28,IF(Atletas!D359="Adulto 70kg",29,IF(Atletas!D359="Adulto 75kg",30,IF(Atletas!D359="Adulto 80kg",31,IF(Atletas!D359="Adulto 85kg",32,IF(Atletas!D359="Adulto 90kg",33,IF(Atletas!D359="Adulto 100kg",34, IF(Atletas!D359="Adulto +100kg",35,"")))))))))))))))))))))))))))))))))))))</f>
        <v/>
      </c>
      <c r="AS368" s="6" t="str">
        <f>IF(Atletas!E359="","",IF(Atletas!B359="Feminino",100,IF(Atletas!B359="Masculino",200,""))+(IF(Atletas!E359="Juvenil 44kg",1,IF(Atletas!E359="Juvenil 48kg",2,IF(Atletas!E359="Juvenil 52kg",3,IF(Atletas!E359="Juvenil 56kg",4,IF(Atletas!E359="Juvenil 60kg",5,IF(Atletas!E359="Juvenil 65kg",6,IF(Atletas!E359="Juvenil 70kg",7,IF(Atletas!E359="Juvenil 75kg",8,IF(Atletas!E359="Juvenil 82kg",9,IF(Atletas!E359="Juvenil 90kg",10,IF(Atletas!E359="Juvenil 100kg",11,IF(Atletas!E359="Adulto 48kg",12,IF(Atletas!E359="Adulto 52kg",13,IF(Atletas!E359="Adulto 56kg",14,IF(Atletas!E359="Adulto 60kg",15,IF(Atletas!E359="Adulto 65kg",16,IF(Atletas!E359="Adulto 70kg",17,IF(Atletas!E359="Adulto 75kg",18,IF(Atletas!E359="Adulto 82kg",19,IF(Atletas!E359="Adulto 90kg",20,IF(Atletas!E359="Adulto 100kg",21,IF(Atletas!E359="Adulto +100kg",22,""))))))))))))))))))))))))</f>
        <v/>
      </c>
      <c r="AX368" s="6" t="str">
        <f>IF(Atletas!F359="","",IF(Atletas!B359="Feminino",100,IF(Atletas!B359="Masculino",200,""))+(IF(Atletas!F359="Adulto 48kg",1,IF(Atletas!F359="Adulto 56kg",2,IF(Atletas!F359="Adulto 65kg",3,IF(Atletas!F359="Adulto 75kg",4,IF(Atletas!F359="Adulto +75kg",5,IF(Atletas!F359="Adulto 52kg",6,IF(Atletas!F359="Adulto 60kg",7,IF(Atletas!F359="Adulto 70kg",8,IF(Atletas!F359="Adulto 80kg",9,IF(Atletas!F359="Adulto 90kg",10,IF(Atletas!F359="Adulto +90kg",11,"")))))))))))))</f>
        <v/>
      </c>
      <c r="BC368" s="6" t="str">
        <f>IF(Atletas!G359="","",IF(Atletas!B359="Feminino",10,IF(Atletas!B359="Masculino",20,""))+(IF(Atletas!G359="Baduanjin A",1,IF(Atletas!G359="Baduanjin B",2))))</f>
        <v/>
      </c>
      <c r="BF368" s="52" t="str">
        <f>IF(Atletas!H359="","",IF(Atletas!B359="Feminino",100,IF(Atletas!B359="Masculino",200,""))+(IF(Atletas!H359="Changquan Mirim",1,IF(Atletas!H359="Nanquan Mirim",2,IF(Atletas!H359="Taijiquan Mirim",3,IF(Atletas!H359="Changquan Grupo C",4,IF(Atletas!H359="Nanquan Grupo C",5,IF(Atletas!H359="Taijiquan Grupo C",6,IF(Atletas!H359="Changquan Grupo B",7,IF(Atletas!H359="Nanquan Grupo B",8,IF(Atletas!H359="Taijiquan Grupo B",9,IF(Atletas!H359="Changquan Grupo A",10,IF(Atletas!H359="Nanquan Grupo A",11,IF(Atletas!H359="Taijiquan Grupo A",12,IF(Atletas!H359="Changquan Opcional",13,IF(Atletas!H359="Nanquan Opcional",14,IF(Atletas!H359="Taijiquan Opcional",15,IF(Atletas!H359="Changquan Adulto",16,IF(Atletas!H359="Nanquan Adulto",17,IF(Atletas!H359="Taijiquan Adulto",18,""))))))))))))))))))))</f>
        <v/>
      </c>
      <c r="BG368" s="52" t="str">
        <f>IF(Atletas!I359="","",IF(Atletas!B359="Feminino",100,IF(Atletas!B359="Masculino",200,""))+(IF(Atletas!I359="Daoshu Mirim",19,IF(Atletas!I359="Jianshu Mirim",20,IF(Atletas!I359="Nandao Mirim",21,IF(Atletas!I359="Taijijian Mirim",22,IF(Atletas!I359="Daoshu Grupo C",23,IF(Atletas!I359="Jianshu Grupo C",24,IF(Atletas!I359="Nandao Grupo C",25,IF(Atletas!I359="Taijijian Grupo C",26,IF(Atletas!I359="Daoshu Grupo B",27,IF(Atletas!I359="Jianshu Grupo B",28,IF(Atletas!I359="Nandao Grupo B",29,IF(Atletas!I359="Taijijian Grupo B",30,IF(Atletas!I359="Daoshu Grupo A",31,IF(Atletas!I359="Jianshu Grupo A",32,IF(Atletas!I359="Nandao Grupo A",33,IF(Atletas!I359="Taijijian Grupo A",34,IF(Atletas!I359="Daoshu Opcional",35,IF(Atletas!I359="Jianshu Opcional",36,IF(Atletas!I359="Nandao Opcional",37,IF(Atletas!I359="Taijijian Opcional",38,IF(Atletas!I359="Daoshu Adulto",39,IF(Atletas!I359="Jianshu Adulto",40,IF(Atletas!I359="Nandao Adulto",41,IF(Atletas!I359="Taijijian Adulto",42,""))))))))))))))))))))))))))</f>
        <v/>
      </c>
      <c r="BH368" s="52" t="str">
        <f>IF(Atletas!J359="","",IF(Atletas!B359="Feminino",100,IF(Atletas!B359="Masculino",200,""))+(IF(Atletas!J359="Gunshu Mirim",43,IF(Atletas!J359="Qiangshu Mirim",44,IF(Atletas!J359="Nangun Mirim",45,IF(Atletas!J359="Gunshu Grupo C",46,IF(Atletas!J359="Qiangshu Grupo C",47,IF(Atletas!J359="Nangun Grupo C",48,IF(Atletas!J359="Gunshu Grupo B",49,IF(Atletas!J359="Qiangshu Grupo B",50,IF(Atletas!J359="Nangun Grupo B",51,IF(Atletas!J359="Gunshu Grupo A",52,IF(Atletas!J359="Qiangshu Grupo A",53,IF(Atletas!J359="Nangun Grupo A",54,IF(Atletas!J359="Gunshu Opcional",55,IF(Atletas!J359="Qiangshu Opcional",56,IF(Atletas!J359="Nangun Opcional",57,IF(Atletas!J359="Gunshu Adulto",58,IF(Atletas!J359="Qiangshu Adulto",59,IF(Atletas!J359="Nangun Adulto",60,IF(Atletas!J359="Taijishan Grupo B",61,IF(Atletas!J359="Taijishan Grupo A",62,""))))))))))))))))))))))</f>
        <v/>
      </c>
      <c r="BM368" s="50" t="str">
        <f>IF(Atletas!K359="","",IF(Atletas!B359="Feminino",100,IF(Atletas!B359="Masculino",200,""))+(IF(Atletas!K359="Equipe 1 Grupo B",1,IF(Atletas!K359="Equipe 2 Grupo B",2,IF(Atletas!K359="Equipe 1 Grupo A",3,IF(Atletas!K359="Equipe 2 Grupo A",4,IF(Atletas!K359="Equipe 1 Adulto",5,IF(Atletas!K359="Equipe 2 Adulto",6,""))))))))</f>
        <v/>
      </c>
      <c r="BR368" s="50" t="str">
        <f>IF(Atletas!L359="","",IF(Atletas!X359&lt;&gt;"",10000,0)+(IF(Atletas!B359="Feminino",1000,IF(Atletas!B359="Masculino",2000,""))+IF(Atletas!L359="Choylayfut A",1,IF(Atletas!L359="Hunggar A",2,IF(Atletas!L359="Wuzuquan A",3,IF(Atletas!L359="Wingchun A",4,IF(Atletas!L359="Outra Mão de Sul A",5,IF(Atletas!L359="Choylayfut B",6,IF(Atletas!L359="Hunggar B",7,IF(Atletas!L359="Wuzuquan B",8,IF(Atletas!L359="Wingchun B",9,IF(Atletas!L359="Outra Mão de Sul B",10,IF(Atletas!L359="Choylayfut C",11,IF(Atletas!L359="Hunggar C",12,IF(Atletas!L359="Wuzuquan C",13,IF(Atletas!L359="Wingchun C",14,IF(Atletas!L359="Outra Mão de Sul C",15,IF(Atletas!L359="Choylayfut D",16,IF(Atletas!L359="Hunggar D",17,IF(Atletas!L359="Wuzuquan D",18,IF(Atletas!L359="Wingchun D",19,IF(Atletas!L359="Outra Mão de Sul D",20,IF(Atletas!L359="Choylayfut E",21,IF(Atletas!L359="Hunggar E",22,IF(Atletas!L359="Wuzuquan E",23,IF(Atletas!L359="Wingchun E",24,IF(Atletas!L359="Outra Mão de Sul E",25,IF(Atletas!L359="Choylayfut F",26,IF(Atletas!L359="Hunggar F",27,IF(Atletas!L359="Wuzuquan F",28,IF(Atletas!L359="Wingchun F",29,IF(Atletas!L359="Outra Mão de Sul F",30,IF(Atletas!L359="Dishuquan A",31,IF(Atletas!L359="Dishuquan B",32,IF(Atletas!L359="Dishuquan C",33,IF(Atletas!L359="Dishuquan D",34,IF(Atletas!L359="Dishuquan E",35,IF(Atletas!L359="Dishuquan F",36,""))))))))))))))))))))))))))))))))))))))</f>
        <v/>
      </c>
      <c r="BS368" s="50" t="str">
        <f>IF(Atletas!M359="","",IF(Atletas!X359&lt;&gt;"",10000,0)+(IF(Atletas!B359="Feminino",1000,IF(Atletas!B359="Masculino",2000,""))+(IF(Atletas!M359="Chaquan A",101,IF(Atletas!M359="Emeiquan A",102,IF(Atletas!M359="Fanziquan A",103,IF(Atletas!M359="Huaquan A",104,IF(Atletas!M359="Hongquan A",105,IF(Atletas!M359="Paoquan A",106,IF(Atletas!M359="Piguaquan A",107,IF(Atletas!M359="Shaolinquan A",108,IF(Atletas!M359="Tanglangquan A",109,IF(Atletas!M359="Yingzhaoquan A",110,IF(Atletas!M359="Tongbeiquan A",111,IF(Atletas!M359="Wudangquan A",112,IF(Atletas!M359="Outros Estilos A",113,IF(Atletas!M359="Chaquan B",114,IF(Atletas!M359="Emeiquan B",115,IF(Atletas!M359="Fanziquan B",116,IF(Atletas!M359="Huaquan B",117,IF(Atletas!M359="Hongquan B",118,IF(Atletas!M359="Paoquan B",119,IF(Atletas!M359="Piguaquan B",120,IF(Atletas!M359="Shaolinquan B",121,IF(Atletas!M359="Tanglangquan B",122,IF(Atletas!M359="Yingzhaoquan B",123,IF(Atletas!M359="Tongbeiquan B",124,IF(Atletas!M359="Wudangquan B",125,IF(Atletas!M359="Outros Estilos B",126,IF(Atletas!M359="Chaquan C",127,IF(Atletas!M359="Emeiquan C",128,IF(Atletas!M359="Fanziquan C",129,IF(Atletas!M359="Huaquan C",130,IF(Atletas!M359="Hongquan C",131,IF(Atletas!M359="Paoquan C",132,IF(Atletas!M359="Piguaquan C",133,IF(Atletas!M359="Shaolinquan C",134,IF(Atletas!M359="Tanglangquan C",135,IF(Atletas!M359="Yingzhaoquan C",136,IF(Atletas!M359="Tongbeiquan C",137,IF(Atletas!M359="Wudangquan C",138,IF(Atletas!M359="Outros Estilos C",139,0))))))))))))))))))))))))))))))))))))))))))</f>
        <v/>
      </c>
      <c r="BT368" s="50" t="str">
        <f>IF(Atletas!M359="","",IF(Atletas!X359&lt;&gt;"",10000,0)+(IF(Atletas!B359="Feminino",1000,IF(Atletas!B359="Masculino",2000,""))+(IF(Atletas!M359="Chaquan D",140,IF(Atletas!M359="Emeiquan D",141,IF(Atletas!M359="Fanziquan D",142,IF(Atletas!M359="Huaquan D",143,IF(Atletas!M359="Hongquan D",144,IF(Atletas!M359="Paoquan D",145,IF(Atletas!M359="Piguaquan D",146,IF(Atletas!M359="Shaolinquan D",147,IF(Atletas!M359="Tanglangquan D",148,IF(Atletas!M359="Yingzhaoquan D",149,IF(Atletas!M359="Tongbeiquan D",150,IF(Atletas!M359="Wudangquan D",151,IF(Atletas!M359="Outros Estilos D",152,IF(Atletas!M359="Chaquan E",153,IF(Atletas!M359="Emeiquan E",154,IF(Atletas!M359="Fanziquan E",155,IF(Atletas!M359="Huaquan E",156,IF(Atletas!M359="Hongquan E",157,IF(Atletas!M359="Paoquan E",158,IF(Atletas!M359="Piguaquan E",159,IF(Atletas!M359="Shaolinquan E",160,IF(Atletas!M359="Tanglangquan E",161,IF(Atletas!M359="Yingzhaoquan E",162,IF(Atletas!M359="Tongbeiquan E",163,IF(Atletas!M359="Wudangquan E",164,IF(Atletas!M359="Outros Estilos E",165,IF(Atletas!M359="Chaquan F",166,IF(Atletas!M359="Emeiquan F",167,IF(Atletas!M359="Fanziquan F",168,IF(Atletas!M359="Huaquan F",169,IF(Atletas!M359="Hongquan F",170,IF(Atletas!M359="Paoquan F",171,IF(Atletas!M359="Piguaquan F",172,IF(Atletas!M359="Shaolinquan F",173,IF(Atletas!M359="Tanglangquan F",174,IF(Atletas!M359="Yingzhaoquan F",175,IF(Atletas!M359="Tongbeiquan F",176,IF(Atletas!M359="Wudangquan F",177,IF(Atletas!M359="Outros Estilos F",178,0))))))))))))))))))))))))))))))))))))))))))</f>
        <v/>
      </c>
      <c r="BU368" s="50" t="str">
        <f>IF(Atletas!N359="","",IF(Atletas!X359&lt;&gt;"",10000,0)+(IF(Atletas!B359="Feminino",1000,IF(Atletas!B359="Masculino",2000,""))+(IF(Atletas!N359="Ditangquan A",201,IF(Atletas!N359="Houquan A",202,IF(Atletas!N359="Zuiquan A",203,IF(Atletas!N359="Ditangquan B",204,IF(Atletas!N359="Houquan B",205,IF(Atletas!N359="Zuiquan B",206,IF(Atletas!N359="Ditangquan C",207,IF(Atletas!N359="Houquan C",208,IF(Atletas!N359="Zuiquan C",209,IF(Atletas!N359="Ditangquan D",210,IF(Atletas!N359="Houquan D",211,IF(Atletas!N359="Zuiquan D",212,IF(Atletas!N359="Ditangquan E",213,IF(Atletas!N359="Houquan E",214,IF(Atletas!N359="Zuiquan E",215,IF(Atletas!N359="Ditangquan F",216,IF(Atletas!N359="Houquan F",217,IF(Atletas!N359="Zuiquan F",218,"")))))))))))))))))))))</f>
        <v/>
      </c>
      <c r="BV368" s="50" t="str">
        <f>IF(Atletas!O359="","",IF(Atletas!X359&lt;&gt;"",10000,0)+IF(Atletas!B359="Feminino",1000,IF(Atletas!B359="Masculino",2000,""))+IF(Atletas!O359="Yang A",301,IF(Atletas!O359="Chen A",302,IF(Atletas!O359="Sun A",303,IF(Atletas!O359="Wu A",304,IF(Atletas!O359="Wu-Hao A",305,IF(Atletas!O359="Outro Taijiquan A",306,IF(Atletas!O359="Yang B",307,IF(Atletas!O359="Chen B",308,IF(Atletas!O359="Sun B",309,IF(Atletas!O359="Wu B",310,IF(Atletas!O359="Wu-Hao B",311,IF(Atletas!O359="Outro Taijiquan B",312,IF(Atletas!O359="Yang C",313,IF(Atletas!O359="Chen C",314,IF(Atletas!O359="Sun C",315,IF(Atletas!O359="Wu C",316,IF(Atletas!O359="Wu-Hao C",317,IF(Atletas!O359="Outro Taijiquan C",318,IF(Atletas!O359="Yang D",319,IF(Atletas!O359="Chen D",320,IF(Atletas!O359="Sun D",321,IF(Atletas!O359="Wu D",322,IF(Atletas!O359="Wu-Hao D",323,IF(Atletas!O359="Outro Taijiquan D",324,IF(Atletas!O359="Yang E",325,IF(Atletas!O359="Chen E",326,IF(Atletas!O359="Sun E",327,IF(Atletas!O359="Wu E",328,IF(Atletas!O359="Wu-Hao E",329,IF(Atletas!O359="Outro Taijiquan E",330,IF(Atletas!O359="Yang F",331,IF(Atletas!O359="Chen F",332,IF(Atletas!O359="Sun F",333,IF(Atletas!O359="Wu F",334,IF(Atletas!O359="Wu-Hao F",335,IF(Atletas!O359="Outro Taijiquan F",336,"")))))))))))))))))))))))))))))))))))))</f>
        <v/>
      </c>
      <c r="BW368" s="50" t="str">
        <f>IF(Atletas!P359="","",IF(Atletas!X359&lt;&gt;"",10000,0)+IF(Atletas!B359="Feminino",1000,IF(Atletas!B359="Masculino",2000,""))+IF(OR(Atletas!P359="Yang 26 A",Atletas!P359="Yang 40 A"),401,IF(OR(Atletas!P359="Chen 25 A",Atletas!P359="Chen 36 A",Atletas!P359="Chen 56 A"),402,IF(Atletas!P359="Sun 73 A",403,IF(Atletas!P359="Wu 45 A",404,IF(Atletas!P359="Wu-Hao 46 A",405,IF(OR(Atletas!P359="Taijiquan 16 A",Atletas!P359="Taijiquan 24 A",Atletas!P359="Taijiquan 32 A",Atletas!P359="Taijiquan 42 A"),406,IF(OR(Atletas!P359="Yang 26 B",Atletas!P359="Yang 40 B"),407,IF(OR(Atletas!P359="Chen 25 B",Atletas!P359="Chen 36 B",Atletas!P359="Chen 56 B"),408,IF(Atletas!P359="Sun 73 B",409,IF(Atletas!P359="Wu 45 B",410,IF(Atletas!P359="Wu-Hao 46 B",411,IF(OR(Atletas!P359="Taijiquan 16 B",Atletas!P359="Taijiquan 24 B",Atletas!P359="Taijiquan 32 B",Atletas!P359="Taijiquan 42 B"),412,IF(OR(Atletas!P359="Yang 26 C",Atletas!P359="Yang 40 C"),413,IF(OR(Atletas!P359="Chen 25 C",Atletas!P359="Chen 36 C",Atletas!P359="Chen 56 C"),414,IF(Atletas!P359="Sun 73 C",415,IF(Atletas!P359="Wu 45 C",416,IF(Atletas!P359="Wu-Hao 46 C",417,IF(OR(Atletas!P359="Taijiquan 16 C",Atletas!P359="Taijiquan 24 C",Atletas!P359="Taijiquan 32 C",Atletas!P359="Taijiquan 42 C"),418,0)))))))))))))))))))</f>
        <v/>
      </c>
      <c r="BX368" s="50" t="str">
        <f>IF(Atletas!P359="","",IF(Atletas!X359&lt;&gt;"",10000,0)+IF(Atletas!B359="Feminino",1000,IF(Atletas!B359="Masculino",2000,""))+IF(OR(Atletas!P359="Yang 26 D",Atletas!P359="Yang 40 D"),419,IF(OR(Atletas!P359="Chen 25 D",Atletas!P359="Chen 36 D",Atletas!P359="Chen 56 D"),420,IF(Atletas!P359="Sun 73 D",421,IF(Atletas!P359="Wu 45 D",422,IF(Atletas!P359="Wu-Hao 46 D",423,IF(OR(Atletas!P359="Taijiquan 16 D",Atletas!P359="Taijiquan 24 D",Atletas!P359="Taijiquan 32 D",Atletas!P359="Taijiquan 42 D"),424,IF(OR(Atletas!P359="Yang 26 E",Atletas!P359="Yang 40 E"),425,IF(OR(Atletas!P359="Chen 25 E",Atletas!P359="Chen 36 E",Atletas!P359="Chen 56 E"),426,IF(Atletas!P359="Sun 73 E",427,IF(Atletas!P359="Wu 45 E",428,IF(Atletas!P359="Wu-Hao 46 E",429,IF(OR(Atletas!P359="Taijiquan 16 E",Atletas!P359="Taijiquan 24 E",Atletas!P359="Taijiquan 32 E",Atletas!P359="Taijiquan 42 E"),430,IF(OR(Atletas!P359="Yang 26 F",Atletas!P359="Yang 40 F"),431,IF(OR(Atletas!P359="Chen 25 F",Atletas!P359="Chen 36 F",Atletas!P359="Chen 56 F"),432,IF(Atletas!P359="Sun 73 F",433,IF(Atletas!P359="Wu 45 F",434,IF(Atletas!P359="Wu-Hao 46 F",435,IF(OR(Atletas!P359="Taijiquan 16 F",Atletas!P359="Taijiquan 24 F",Atletas!P359="Taijiquan 32 F",Atletas!P359="Taijiquan 42 F"),436,0)))))))))))))))))))</f>
        <v/>
      </c>
      <c r="BY368" s="50" t="str">
        <f>IF(Atletas!Q359="","",IF(Atletas!X359&lt;&gt;"",10000,0)+IF(Atletas!B359="Feminino",1000,IF(Atletas!B359="Masculino",2000,""))+IF(Atletas!Q359="Xingyiquan A",501,IF(Atletas!Q359="Baguazhang A",502,IF(Atletas!Q359="Outro Estilo Interno A",503,IF(Atletas!Q359="Xingyiquan B",504,IF(Atletas!Q359="Baguazhang B",505,IF(Atletas!Q359="Outro Estilo Interno B",506,IF(Atletas!Q359="Xingyiquan C",507,IF(Atletas!Q359="Baguazhang C",508,IF(Atletas!Q359="Outro Estilo Interno C",509,IF(Atletas!Q359="Xingyiquan D",510,IF(Atletas!Q359="Baguazhang D",511,IF(Atletas!Q359="Outro Estilo Interno D",512,IF(Atletas!Q359="Xingyiquan E",513,IF(Atletas!Q359="Baguazhang E",514,IF(Atletas!Q359="Outro Estilo Interno E",515,IF(Atletas!Q359="Xingyiquan F",516,IF(Atletas!Q359="Baguazhang F",517,IF(Atletas!Q359="Outro Estilo Interno F",518, "")))))))))))))))))))</f>
        <v/>
      </c>
      <c r="BZ368" s="50" t="str">
        <f>IF(Atletas!R359="","",IF(Atletas!X359&lt;&gt;"",10000,0)+IF(Atletas!B359="Feminino",1000,IF(Atletas!B359="Masculino",2000,""))+IF(Atletas!R359="Dao A",601,IF(Atletas!R359="Jian A",602,IF(Atletas!R359="Bishou A",603,IF(Atletas!R359="Shanzi A",604,IF(Atletas!R359="Outra Arma Curta A",605,IF(Atletas!R359="Dao B",606,IF(Atletas!R359="Jian B",607,IF(Atletas!R359="Bishou B",608,IF(Atletas!R359="Shanzi B",609,IF(Atletas!R359="Outra Arma Curta B",610,IF(Atletas!R359="Dao C",611,IF(Atletas!R359="Jian C",612,IF(Atletas!R359="Bishou C",613,IF(Atletas!R359="Shanzi C",614,IF(Atletas!R359="Outra Arma Curta C",615,IF(Atletas!R359="Dao D",616,IF(Atletas!R359="Jian D",617,IF(Atletas!R359="Bishou D",618,IF(Atletas!R359="Shanzi D",619,IF(Atletas!R359="Outra Arma Curta D",620,IF(Atletas!R359="Dao E",621,IF(Atletas!R359="Jian E",622,IF(Atletas!R359="Bishou E",623,IF(Atletas!R359="Shanzi E",624,IF(Atletas!R359="Outra Arma Curta E",625,IF(Atletas!R359="Dao F",626,IF(Atletas!R359="Jian F",627,IF(Atletas!R359="Bishou F",628,IF(Atletas!R359="Shanzi F",629,IF(Atletas!R359="Outra Arma Curta F",630, "")))))))))))))))))))))))))))))))</f>
        <v/>
      </c>
      <c r="CA368" s="50" t="str">
        <f>IF(Atletas!S359="","",IF(Atletas!X359&lt;&gt;"",10000,0)+IF(Atletas!B359="Feminino",1000,IF(Atletas!B359="Masculino",2000,""))+IF(Atletas!S359="Gun A",701,IF(Atletas!S359="Qiang A",702,IF(Atletas!S359="Pudao / Guandao A",703,IF(Atletas!S359="Outra Arma Longa A",704,IF(Atletas!S359="Gun B",705,IF(Atletas!S359="Qiang B",706,IF(Atletas!S359="Pudao / Guandao B",707,IF(Atletas!S359="Outra Arma Longa B",708,IF(Atletas!S359="Gun C",709,IF(Atletas!S359="Qiang C",710,IF(Atletas!S359="Pudao / Guandao C",711,IF(Atletas!S359="Outra Arma Longa C",712,IF(Atletas!S359="Gun D",713,IF(Atletas!S359="Qiang D",714,IF(Atletas!S359="Pudao / Guandao D",715,IF(Atletas!S359="Outra Arma Longa D",716,IF(Atletas!S359="Gun E",717,IF(Atletas!S359="Qiang E",718,IF(Atletas!S359="Pudao / Guandao E",719,IF(Atletas!S359="Outra Arma Longa E",720,IF(Atletas!S359="Gun F",721,IF(Atletas!S359="Qiang F",722,IF(Atletas!S359="Pudao / Guandao F",723,IF(Atletas!S359="Outra Arma Longa F",724,"")))))))))))))))))))))))))</f>
        <v/>
      </c>
      <c r="CB368" s="50" t="str">
        <f>IF(Atletas!T359="","",IF(Atletas!X359&lt;&gt;"",10000,0)+IF(Atletas!B359="Feminino",1000,IF(Atletas!B359="Masculino",2000,""))+IF(Atletas!T359="Outra Arma Dupla A",801,IF(Atletas!T359="Arma Maleável A",802,IF(Atletas!T359="Outra Arma Dupla B",803,IF(Atletas!T359="Arma Maleável B",804,IF(Atletas!T359="Outra Arma Dupla C",805,IF(Atletas!T359="Arma Maleável C",806,IF(Atletas!T359="Outra Arma Dupla D",807,IF(Atletas!T359="Arma Maleável D",808,IF(Atletas!T359="Outra Arma Dupla E",809,IF(Atletas!T359="Arma Maleável E",810,IF(Atletas!T359="Outra Arma Dupla F",811,IF(Atletas!T359="Arma Maleável F",812,IF(Atletas!T359="Shuangdao A",813,IF(Atletas!T359="Shuangdao B",814,IF(Atletas!T359="Shuangdao C",815,IF(Atletas!T359="Shuangdao D",816,IF(Atletas!T359="Shuangdao E",817,IF(Atletas!T359="Shuangdao F",818,"")))))))))))))))))))</f>
        <v/>
      </c>
      <c r="CC368" s="50" t="str">
        <f>IF(Atletas!U359="","",IF(Atletas!X359&lt;&gt;"",10000,0)+IF(Atletas!B359="Feminino",1000,IF(Atletas!B359="Masculino",2000,""))+IF(OR(Atletas!U359="Taijijian Yang A",Atletas!U359="Taijijian Yang Standard A"),901,IF(OR(Atletas!U359="Taijijian Chen A", Atletas!U359="Taijijian Chen Standard A"),902,IF(Atletas!U359="Taijijian Sun A",903,IF(Atletas!U359="Taijijian Wu A",904,IF(Atletas!U359="Taijijian Wu-Hao A",905,IF(OR(Atletas!U359="Taijijian 32 A",Atletas!U359="Taijijian 42 A"),906,IF(OR(Atletas!U359="Taijijian Yang B",Atletas!U359="Taijijian Yang Standard B"),907,IF(OR(Atletas!U359="Taijijian Chen B", Atletas!U359="Taijijian Chen Standard B"),908,IF(Atletas!U359="Taijijian Sun B",909,IF(Atletas!U359="Taijijian Wu B",910,IF(Atletas!U359="Taijijian Wu-Hao B",911,IF(OR(Atletas!U359="Taijijian 32 B",Atletas!U359="Taijijian 42 B"),912,IF(OR(Atletas!U359="Taijijian Yang C",Atletas!U359="Taijijian Yang Standard C"),913,IF(OR(Atletas!U359="Taijijian Chen C", Atletas!U359="Taijijian Chen Standard C"),914,IF(Atletas!U359="Taijijian Sun C",915,IF(Atletas!U359="Taijijian Wu C",916,IF(Atletas!U359="Taijijian Wu-Hao C",917,IF(OR(Atletas!U359="Taijijian 32 C",Atletas!U359="Taijijian 42 C"),918,IF(OR(Atletas!U359="Taijijian Yang D",Atletas!U359="Taijijian Yang Standard D"),919,IF(OR(Atletas!U359="Taijijian Chen D", Atletas!U359="Taijijian Chen Standard D"),920,IF(Atletas!U359="Taijijian Sun D",921,IF(Atletas!U359="Taijijian Wu D",922,IF(Atletas!U359="Taijijian Wu-Hao D",923,IF(OR(Atletas!U359="Taijijian 32 D",Atletas!U359="Taijijian 42 D"),924,IF(OR(Atletas!U359="Taijijian Yang E",Atletas!U359="Taijijian Yang Standard E"),925,IF(OR(Atletas!U359="Taijijian Chen E", Atletas!U359="Taijijian Chen Standard E"),926,IF(Atletas!U359="Taijijian Sun E",927,IF(Atletas!U359="Taijijian Wu E",928,IF(Atletas!U359="Taijijian Wu-Hao E",929,IF(OR(Atletas!U359="Taijijian 32 E",Atletas!U359="Taijijian 42 E"),930,IF(OR(Atletas!U359="Taijijian Yang F",Atletas!U359="Taijijian Yang Standard F"),931,IF(OR(Atletas!U359="Taijijian Chen F", Atletas!U359="Taijijian Chen Standard F"),932,IF(Atletas!U359="Taijijian Sun F",933,IF(Atletas!U359="Taijijian Wu F",934,IF(Atletas!U359="Taijijian Wu-Hao F",935,IF(OR(Atletas!U359="Taijijian 32 F",Atletas!U359="Taijijian 42 F"),936,"")))))))))))))))))))))))))))))))))))))</f>
        <v/>
      </c>
      <c r="CD368" s="50" t="str">
        <f>IF(Atletas!V359="","",IF(Atletas!X359&lt;&gt;"",10000,0)+IF(Atletas!B359="Feminino",1000,IF(Atletas!B359="Masculino",2000,""))+IF(Atletas!V359="Taijidao A",937,IF(Atletas!V359="TaijiShanzi A",938,IF(Atletas!V359="Taijiqiang A",939,IF(Atletas!V359="Bagua de Arma A",940,IF(Atletas!V359="Xingyi de Arma A",941,IF(Atletas!V359="Taijidao B",942,IF(Atletas!V359="TaijiShanzi B",943,IF(Atletas!V359="Taijiqiang B",944,IF(Atletas!V359="Bagua de Arma B",945,IF(Atletas!V359="Xingyi de Arma B",946,IF(Atletas!V359="Taijidao C",947,IF(Atletas!V359="TaijiShanzi C",948,IF(Atletas!V359="Taijiqiang C",949,IF(Atletas!V359="Bagua de Arma C",950,IF(Atletas!V359="Xingyi de Arma C",951,IF(Atletas!V359="Taijidao D",952,IF(Atletas!V359="TaijiShanzi D",953,IF(Atletas!V359="Taijiqiang D",954,IF(Atletas!V359="Bagua de Arma D",955,IF(Atletas!V359="Xingyi de Arma D",956,IF(Atletas!V359="Taijidao E",957,IF(Atletas!V359="TaijiShanzi E",958,IF(Atletas!V359="Taijiqiang E",959,IF(Atletas!V359="Bagua de Arma E",960,IF(Atletas!V359="Xingyi de Arma E",961,IF(Atletas!V359="Taijidao F",962,IF(Atletas!V359="TaijiShanzi F",963,IF(Atletas!V359="Taijiqiang F",964,IF(Atletas!V359="Bagua de Arma F",965,IF(Atletas!V359="Xingyi de Arma F",966,"")))))))))))))))))))))))))))))))</f>
        <v/>
      </c>
      <c r="CE368" s="66"/>
      <c r="CF368" s="66"/>
      <c r="CG368" s="66"/>
      <c r="CH368" s="66"/>
      <c r="CJ368" s="66"/>
      <c r="CL368" s="66"/>
      <c r="CM368" s="50" t="str">
        <f xml:space="preserve"> IF(Atletas!W359="","",IF(Atletas!W359="Duilian de Mãos BC - Equipe 1",1,IF(Atletas!W359="Duilian de Mãos BC - Equipe 2",2,IF(Atletas!W359="Duilian de Armas BC - Equipe 1",3,IF(Atletas!W359="Duilian de Armas BC - Equipe 2",4,IF(Atletas!W359="Duilian de Mãos DE - Equipe 1",5,IF(Atletas!W359="Duilian de Mãos DE - Equipe 2",6,IF(Atletas!W359="Duilian de Armas DE - Equipe 1",7,IF(Atletas!W359="Duilian de Armas DE - Equipe 2",8,IF(Atletas!W359="Duilian de Tuishou - Equipe 1",9,IF(Atletas!W359="Duilian de Tuishou - Equipe 2",10,IF(Atletas!W359="Grupo Externo ABC - Equipe 1",11,IF(Atletas!W359="Grupo Externo ABC - Equipe 2",12,IF(Atletas!W359="Grupo Interno ABC - Equipe 1",13,IF(Atletas!W359="Grupo Interno ABC - Equipe 2",14,IF(Atletas!W359="Grupo Externo DEF - Equipe 1",15,IF(Atletas!W359="Grupo Externo DEF - Equipe 2",16,IF(Atletas!W359="Grupo Interno DEF - Equipe 1",17,IF(Atletas!W359="Grupo Interno DEF - Equipe 2",18,"")))))))))))))))))))</f>
        <v/>
      </c>
    </row>
    <row r="369" spans="40:91">
      <c r="AN369" s="52" t="str">
        <f>IF(Atletas!D360="","",IF(Atletas!B360="Feminino",100,IF(Atletas!B360="Masculino",200,""))+(IF(Atletas!D360="Kids 30kg",1,IF(Atletas!D360="Kids 32kg",2, IF(Atletas!D360="Kids 34kg",3,IF(Atletas!D360="Kids 36kg",4,IF(Atletas!D360="Kids 39kg",5,IF(Atletas!D360="Kids 42kg",6,IF(Atletas!D360="Kids 45kg",7, IF(Atletas!D360="Infantil 39kg",8,IF(Atletas!D360="Infantil 42kg",9,IF(Atletas!D360="Infantil 45kg",10,IF(Atletas!D360="Infantil 48kg",11,IF(Atletas!D360="Infantil 52kg",12,IF(Atletas!D360="Infantil 56kg",13,IF(Atletas!D360="Infantil 60kg",14,IF(Atletas!D360="Juvenil 48kg",15,IF(Atletas!D360="Juvenil 52kg",16,IF(Atletas!D360="Juvenil 56kg",17,IF(Atletas!D360="Juvenil 60kg",18,IF(Atletas!D360="Juvenil 65kg",19,IF(Atletas!D360="Juvenil 70kg",20,IF(Atletas!D360="Juvenil 75kg",21,IF(Atletas!D360="Juvenil 80kg",22, IF(Atletas!D360="Juvenil 85kg",23,IF(Atletas!D360="Adulto 48kg",24,IF(Atletas!D360="Adulto 52kg",25,IF(Atletas!D360="Adulto 56kg",26,IF(Atletas!D360="Adulto 60kg",27,IF(Atletas!D360="Adulto 65kg",28,IF(Atletas!D360="Adulto 70kg",29,IF(Atletas!D360="Adulto 75kg",30,IF(Atletas!D360="Adulto 80kg",31,IF(Atletas!D360="Adulto 85kg",32,IF(Atletas!D360="Adulto 90kg",33,IF(Atletas!D360="Adulto 100kg",34, IF(Atletas!D360="Adulto +100kg",35,"")))))))))))))))))))))))))))))))))))))</f>
        <v/>
      </c>
      <c r="AS369" s="6" t="str">
        <f>IF(Atletas!E360="","",IF(Atletas!B360="Feminino",100,IF(Atletas!B360="Masculino",200,""))+(IF(Atletas!E360="Juvenil 44kg",1,IF(Atletas!E360="Juvenil 48kg",2,IF(Atletas!E360="Juvenil 52kg",3,IF(Atletas!E360="Juvenil 56kg",4,IF(Atletas!E360="Juvenil 60kg",5,IF(Atletas!E360="Juvenil 65kg",6,IF(Atletas!E360="Juvenil 70kg",7,IF(Atletas!E360="Juvenil 75kg",8,IF(Atletas!E360="Juvenil 82kg",9,IF(Atletas!E360="Juvenil 90kg",10,IF(Atletas!E360="Juvenil 100kg",11,IF(Atletas!E360="Adulto 48kg",12,IF(Atletas!E360="Adulto 52kg",13,IF(Atletas!E360="Adulto 56kg",14,IF(Atletas!E360="Adulto 60kg",15,IF(Atletas!E360="Adulto 65kg",16,IF(Atletas!E360="Adulto 70kg",17,IF(Atletas!E360="Adulto 75kg",18,IF(Atletas!E360="Adulto 82kg",19,IF(Atletas!E360="Adulto 90kg",20,IF(Atletas!E360="Adulto 100kg",21,IF(Atletas!E360="Adulto +100kg",22,""))))))))))))))))))))))))</f>
        <v/>
      </c>
      <c r="AX369" s="6" t="str">
        <f>IF(Atletas!F360="","",IF(Atletas!B360="Feminino",100,IF(Atletas!B360="Masculino",200,""))+(IF(Atletas!F360="Adulto 48kg",1,IF(Atletas!F360="Adulto 56kg",2,IF(Atletas!F360="Adulto 65kg",3,IF(Atletas!F360="Adulto 75kg",4,IF(Atletas!F360="Adulto +75kg",5,IF(Atletas!F360="Adulto 52kg",6,IF(Atletas!F360="Adulto 60kg",7,IF(Atletas!F360="Adulto 70kg",8,IF(Atletas!F360="Adulto 80kg",9,IF(Atletas!F360="Adulto 90kg",10,IF(Atletas!F360="Adulto +90kg",11,"")))))))))))))</f>
        <v/>
      </c>
      <c r="BC369" s="6" t="str">
        <f>IF(Atletas!G360="","",IF(Atletas!B360="Feminino",10,IF(Atletas!B360="Masculino",20,""))+(IF(Atletas!G360="Baduanjin A",1,IF(Atletas!G360="Baduanjin B",2))))</f>
        <v/>
      </c>
      <c r="BF369" s="52" t="str">
        <f>IF(Atletas!H360="","",IF(Atletas!B360="Feminino",100,IF(Atletas!B360="Masculino",200,""))+(IF(Atletas!H360="Changquan Mirim",1,IF(Atletas!H360="Nanquan Mirim",2,IF(Atletas!H360="Taijiquan Mirim",3,IF(Atletas!H360="Changquan Grupo C",4,IF(Atletas!H360="Nanquan Grupo C",5,IF(Atletas!H360="Taijiquan Grupo C",6,IF(Atletas!H360="Changquan Grupo B",7,IF(Atletas!H360="Nanquan Grupo B",8,IF(Atletas!H360="Taijiquan Grupo B",9,IF(Atletas!H360="Changquan Grupo A",10,IF(Atletas!H360="Nanquan Grupo A",11,IF(Atletas!H360="Taijiquan Grupo A",12,IF(Atletas!H360="Changquan Opcional",13,IF(Atletas!H360="Nanquan Opcional",14,IF(Atletas!H360="Taijiquan Opcional",15,IF(Atletas!H360="Changquan Adulto",16,IF(Atletas!H360="Nanquan Adulto",17,IF(Atletas!H360="Taijiquan Adulto",18,""))))))))))))))))))))</f>
        <v/>
      </c>
      <c r="BG369" s="52" t="str">
        <f>IF(Atletas!I360="","",IF(Atletas!B360="Feminino",100,IF(Atletas!B360="Masculino",200,""))+(IF(Atletas!I360="Daoshu Mirim",19,IF(Atletas!I360="Jianshu Mirim",20,IF(Atletas!I360="Nandao Mirim",21,IF(Atletas!I360="Taijijian Mirim",22,IF(Atletas!I360="Daoshu Grupo C",23,IF(Atletas!I360="Jianshu Grupo C",24,IF(Atletas!I360="Nandao Grupo C",25,IF(Atletas!I360="Taijijian Grupo C",26,IF(Atletas!I360="Daoshu Grupo B",27,IF(Atletas!I360="Jianshu Grupo B",28,IF(Atletas!I360="Nandao Grupo B",29,IF(Atletas!I360="Taijijian Grupo B",30,IF(Atletas!I360="Daoshu Grupo A",31,IF(Atletas!I360="Jianshu Grupo A",32,IF(Atletas!I360="Nandao Grupo A",33,IF(Atletas!I360="Taijijian Grupo A",34,IF(Atletas!I360="Daoshu Opcional",35,IF(Atletas!I360="Jianshu Opcional",36,IF(Atletas!I360="Nandao Opcional",37,IF(Atletas!I360="Taijijian Opcional",38,IF(Atletas!I360="Daoshu Adulto",39,IF(Atletas!I360="Jianshu Adulto",40,IF(Atletas!I360="Nandao Adulto",41,IF(Atletas!I360="Taijijian Adulto",42,""))))))))))))))))))))))))))</f>
        <v/>
      </c>
      <c r="BH369" s="52" t="str">
        <f>IF(Atletas!J360="","",IF(Atletas!B360="Feminino",100,IF(Atletas!B360="Masculino",200,""))+(IF(Atletas!J360="Gunshu Mirim",43,IF(Atletas!J360="Qiangshu Mirim",44,IF(Atletas!J360="Nangun Mirim",45,IF(Atletas!J360="Gunshu Grupo C",46,IF(Atletas!J360="Qiangshu Grupo C",47,IF(Atletas!J360="Nangun Grupo C",48,IF(Atletas!J360="Gunshu Grupo B",49,IF(Atletas!J360="Qiangshu Grupo B",50,IF(Atletas!J360="Nangun Grupo B",51,IF(Atletas!J360="Gunshu Grupo A",52,IF(Atletas!J360="Qiangshu Grupo A",53,IF(Atletas!J360="Nangun Grupo A",54,IF(Atletas!J360="Gunshu Opcional",55,IF(Atletas!J360="Qiangshu Opcional",56,IF(Atletas!J360="Nangun Opcional",57,IF(Atletas!J360="Gunshu Adulto",58,IF(Atletas!J360="Qiangshu Adulto",59,IF(Atletas!J360="Nangun Adulto",60,IF(Atletas!J360="Taijishan Grupo B",61,IF(Atletas!J360="Taijishan Grupo A",62,""))))))))))))))))))))))</f>
        <v/>
      </c>
      <c r="BM369" s="50" t="str">
        <f>IF(Atletas!K360="","",IF(Atletas!B360="Feminino",100,IF(Atletas!B360="Masculino",200,""))+(IF(Atletas!K360="Equipe 1 Grupo B",1,IF(Atletas!K360="Equipe 2 Grupo B",2,IF(Atletas!K360="Equipe 1 Grupo A",3,IF(Atletas!K360="Equipe 2 Grupo A",4,IF(Atletas!K360="Equipe 1 Adulto",5,IF(Atletas!K360="Equipe 2 Adulto",6,""))))))))</f>
        <v/>
      </c>
      <c r="BR369" s="50" t="str">
        <f>IF(Atletas!L360="","",IF(Atletas!X360&lt;&gt;"",10000,0)+(IF(Atletas!B360="Feminino",1000,IF(Atletas!B360="Masculino",2000,""))+IF(Atletas!L360="Choylayfut A",1,IF(Atletas!L360="Hunggar A",2,IF(Atletas!L360="Wuzuquan A",3,IF(Atletas!L360="Wingchun A",4,IF(Atletas!L360="Outra Mão de Sul A",5,IF(Atletas!L360="Choylayfut B",6,IF(Atletas!L360="Hunggar B",7,IF(Atletas!L360="Wuzuquan B",8,IF(Atletas!L360="Wingchun B",9,IF(Atletas!L360="Outra Mão de Sul B",10,IF(Atletas!L360="Choylayfut C",11,IF(Atletas!L360="Hunggar C",12,IF(Atletas!L360="Wuzuquan C",13,IF(Atletas!L360="Wingchun C",14,IF(Atletas!L360="Outra Mão de Sul C",15,IF(Atletas!L360="Choylayfut D",16,IF(Atletas!L360="Hunggar D",17,IF(Atletas!L360="Wuzuquan D",18,IF(Atletas!L360="Wingchun D",19,IF(Atletas!L360="Outra Mão de Sul D",20,IF(Atletas!L360="Choylayfut E",21,IF(Atletas!L360="Hunggar E",22,IF(Atletas!L360="Wuzuquan E",23,IF(Atletas!L360="Wingchun E",24,IF(Atletas!L360="Outra Mão de Sul E",25,IF(Atletas!L360="Choylayfut F",26,IF(Atletas!L360="Hunggar F",27,IF(Atletas!L360="Wuzuquan F",28,IF(Atletas!L360="Wingchun F",29,IF(Atletas!L360="Outra Mão de Sul F",30,IF(Atletas!L360="Dishuquan A",31,IF(Atletas!L360="Dishuquan B",32,IF(Atletas!L360="Dishuquan C",33,IF(Atletas!L360="Dishuquan D",34,IF(Atletas!L360="Dishuquan E",35,IF(Atletas!L360="Dishuquan F",36,""))))))))))))))))))))))))))))))))))))))</f>
        <v/>
      </c>
      <c r="BS369" s="50" t="str">
        <f>IF(Atletas!M360="","",IF(Atletas!X360&lt;&gt;"",10000,0)+(IF(Atletas!B360="Feminino",1000,IF(Atletas!B360="Masculino",2000,""))+(IF(Atletas!M360="Chaquan A",101,IF(Atletas!M360="Emeiquan A",102,IF(Atletas!M360="Fanziquan A",103,IF(Atletas!M360="Huaquan A",104,IF(Atletas!M360="Hongquan A",105,IF(Atletas!M360="Paoquan A",106,IF(Atletas!M360="Piguaquan A",107,IF(Atletas!M360="Shaolinquan A",108,IF(Atletas!M360="Tanglangquan A",109,IF(Atletas!M360="Yingzhaoquan A",110,IF(Atletas!M360="Tongbeiquan A",111,IF(Atletas!M360="Wudangquan A",112,IF(Atletas!M360="Outros Estilos A",113,IF(Atletas!M360="Chaquan B",114,IF(Atletas!M360="Emeiquan B",115,IF(Atletas!M360="Fanziquan B",116,IF(Atletas!M360="Huaquan B",117,IF(Atletas!M360="Hongquan B",118,IF(Atletas!M360="Paoquan B",119,IF(Atletas!M360="Piguaquan B",120,IF(Atletas!M360="Shaolinquan B",121,IF(Atletas!M360="Tanglangquan B",122,IF(Atletas!M360="Yingzhaoquan B",123,IF(Atletas!M360="Tongbeiquan B",124,IF(Atletas!M360="Wudangquan B",125,IF(Atletas!M360="Outros Estilos B",126,IF(Atletas!M360="Chaquan C",127,IF(Atletas!M360="Emeiquan C",128,IF(Atletas!M360="Fanziquan C",129,IF(Atletas!M360="Huaquan C",130,IF(Atletas!M360="Hongquan C",131,IF(Atletas!M360="Paoquan C",132,IF(Atletas!M360="Piguaquan C",133,IF(Atletas!M360="Shaolinquan C",134,IF(Atletas!M360="Tanglangquan C",135,IF(Atletas!M360="Yingzhaoquan C",136,IF(Atletas!M360="Tongbeiquan C",137,IF(Atletas!M360="Wudangquan C",138,IF(Atletas!M360="Outros Estilos C",139,0))))))))))))))))))))))))))))))))))))))))))</f>
        <v/>
      </c>
      <c r="BT369" s="50" t="str">
        <f>IF(Atletas!M360="","",IF(Atletas!X360&lt;&gt;"",10000,0)+(IF(Atletas!B360="Feminino",1000,IF(Atletas!B360="Masculino",2000,""))+(IF(Atletas!M360="Chaquan D",140,IF(Atletas!M360="Emeiquan D",141,IF(Atletas!M360="Fanziquan D",142,IF(Atletas!M360="Huaquan D",143,IF(Atletas!M360="Hongquan D",144,IF(Atletas!M360="Paoquan D",145,IF(Atletas!M360="Piguaquan D",146,IF(Atletas!M360="Shaolinquan D",147,IF(Atletas!M360="Tanglangquan D",148,IF(Atletas!M360="Yingzhaoquan D",149,IF(Atletas!M360="Tongbeiquan D",150,IF(Atletas!M360="Wudangquan D",151,IF(Atletas!M360="Outros Estilos D",152,IF(Atletas!M360="Chaquan E",153,IF(Atletas!M360="Emeiquan E",154,IF(Atletas!M360="Fanziquan E",155,IF(Atletas!M360="Huaquan E",156,IF(Atletas!M360="Hongquan E",157,IF(Atletas!M360="Paoquan E",158,IF(Atletas!M360="Piguaquan E",159,IF(Atletas!M360="Shaolinquan E",160,IF(Atletas!M360="Tanglangquan E",161,IF(Atletas!M360="Yingzhaoquan E",162,IF(Atletas!M360="Tongbeiquan E",163,IF(Atletas!M360="Wudangquan E",164,IF(Atletas!M360="Outros Estilos E",165,IF(Atletas!M360="Chaquan F",166,IF(Atletas!M360="Emeiquan F",167,IF(Atletas!M360="Fanziquan F",168,IF(Atletas!M360="Huaquan F",169,IF(Atletas!M360="Hongquan F",170,IF(Atletas!M360="Paoquan F",171,IF(Atletas!M360="Piguaquan F",172,IF(Atletas!M360="Shaolinquan F",173,IF(Atletas!M360="Tanglangquan F",174,IF(Atletas!M360="Yingzhaoquan F",175,IF(Atletas!M360="Tongbeiquan F",176,IF(Atletas!M360="Wudangquan F",177,IF(Atletas!M360="Outros Estilos F",178,0))))))))))))))))))))))))))))))))))))))))))</f>
        <v/>
      </c>
      <c r="BU369" s="50" t="str">
        <f>IF(Atletas!N360="","",IF(Atletas!X360&lt;&gt;"",10000,0)+(IF(Atletas!B360="Feminino",1000,IF(Atletas!B360="Masculino",2000,""))+(IF(Atletas!N360="Ditangquan A",201,IF(Atletas!N360="Houquan A",202,IF(Atletas!N360="Zuiquan A",203,IF(Atletas!N360="Ditangquan B",204,IF(Atletas!N360="Houquan B",205,IF(Atletas!N360="Zuiquan B",206,IF(Atletas!N360="Ditangquan C",207,IF(Atletas!N360="Houquan C",208,IF(Atletas!N360="Zuiquan C",209,IF(Atletas!N360="Ditangquan D",210,IF(Atletas!N360="Houquan D",211,IF(Atletas!N360="Zuiquan D",212,IF(Atletas!N360="Ditangquan E",213,IF(Atletas!N360="Houquan E",214,IF(Atletas!N360="Zuiquan E",215,IF(Atletas!N360="Ditangquan F",216,IF(Atletas!N360="Houquan F",217,IF(Atletas!N360="Zuiquan F",218,"")))))))))))))))))))))</f>
        <v/>
      </c>
      <c r="BV369" s="50" t="str">
        <f>IF(Atletas!O360="","",IF(Atletas!X360&lt;&gt;"",10000,0)+IF(Atletas!B360="Feminino",1000,IF(Atletas!B360="Masculino",2000,""))+IF(Atletas!O360="Yang A",301,IF(Atletas!O360="Chen A",302,IF(Atletas!O360="Sun A",303,IF(Atletas!O360="Wu A",304,IF(Atletas!O360="Wu-Hao A",305,IF(Atletas!O360="Outro Taijiquan A",306,IF(Atletas!O360="Yang B",307,IF(Atletas!O360="Chen B",308,IF(Atletas!O360="Sun B",309,IF(Atletas!O360="Wu B",310,IF(Atletas!O360="Wu-Hao B",311,IF(Atletas!O360="Outro Taijiquan B",312,IF(Atletas!O360="Yang C",313,IF(Atletas!O360="Chen C",314,IF(Atletas!O360="Sun C",315,IF(Atletas!O360="Wu C",316,IF(Atletas!O360="Wu-Hao C",317,IF(Atletas!O360="Outro Taijiquan C",318,IF(Atletas!O360="Yang D",319,IF(Atletas!O360="Chen D",320,IF(Atletas!O360="Sun D",321,IF(Atletas!O360="Wu D",322,IF(Atletas!O360="Wu-Hao D",323,IF(Atletas!O360="Outro Taijiquan D",324,IF(Atletas!O360="Yang E",325,IF(Atletas!O360="Chen E",326,IF(Atletas!O360="Sun E",327,IF(Atletas!O360="Wu E",328,IF(Atletas!O360="Wu-Hao E",329,IF(Atletas!O360="Outro Taijiquan E",330,IF(Atletas!O360="Yang F",331,IF(Atletas!O360="Chen F",332,IF(Atletas!O360="Sun F",333,IF(Atletas!O360="Wu F",334,IF(Atletas!O360="Wu-Hao F",335,IF(Atletas!O360="Outro Taijiquan F",336,"")))))))))))))))))))))))))))))))))))))</f>
        <v/>
      </c>
      <c r="BW369" s="50" t="str">
        <f>IF(Atletas!P360="","",IF(Atletas!X360&lt;&gt;"",10000,0)+IF(Atletas!B360="Feminino",1000,IF(Atletas!B360="Masculino",2000,""))+IF(OR(Atletas!P360="Yang 26 A",Atletas!P360="Yang 40 A"),401,IF(OR(Atletas!P360="Chen 25 A",Atletas!P360="Chen 36 A",Atletas!P360="Chen 56 A"),402,IF(Atletas!P360="Sun 73 A",403,IF(Atletas!P360="Wu 45 A",404,IF(Atletas!P360="Wu-Hao 46 A",405,IF(OR(Atletas!P360="Taijiquan 16 A",Atletas!P360="Taijiquan 24 A",Atletas!P360="Taijiquan 32 A",Atletas!P360="Taijiquan 42 A"),406,IF(OR(Atletas!P360="Yang 26 B",Atletas!P360="Yang 40 B"),407,IF(OR(Atletas!P360="Chen 25 B",Atletas!P360="Chen 36 B",Atletas!P360="Chen 56 B"),408,IF(Atletas!P360="Sun 73 B",409,IF(Atletas!P360="Wu 45 B",410,IF(Atletas!P360="Wu-Hao 46 B",411,IF(OR(Atletas!P360="Taijiquan 16 B",Atletas!P360="Taijiquan 24 B",Atletas!P360="Taijiquan 32 B",Atletas!P360="Taijiquan 42 B"),412,IF(OR(Atletas!P360="Yang 26 C",Atletas!P360="Yang 40 C"),413,IF(OR(Atletas!P360="Chen 25 C",Atletas!P360="Chen 36 C",Atletas!P360="Chen 56 C"),414,IF(Atletas!P360="Sun 73 C",415,IF(Atletas!P360="Wu 45 C",416,IF(Atletas!P360="Wu-Hao 46 C",417,IF(OR(Atletas!P360="Taijiquan 16 C",Atletas!P360="Taijiquan 24 C",Atletas!P360="Taijiquan 32 C",Atletas!P360="Taijiquan 42 C"),418,0)))))))))))))))))))</f>
        <v/>
      </c>
      <c r="BX369" s="50" t="str">
        <f>IF(Atletas!P360="","",IF(Atletas!X360&lt;&gt;"",10000,0)+IF(Atletas!B360="Feminino",1000,IF(Atletas!B360="Masculino",2000,""))+IF(OR(Atletas!P360="Yang 26 D",Atletas!P360="Yang 40 D"),419,IF(OR(Atletas!P360="Chen 25 D",Atletas!P360="Chen 36 D",Atletas!P360="Chen 56 D"),420,IF(Atletas!P360="Sun 73 D",421,IF(Atletas!P360="Wu 45 D",422,IF(Atletas!P360="Wu-Hao 46 D",423,IF(OR(Atletas!P360="Taijiquan 16 D",Atletas!P360="Taijiquan 24 D",Atletas!P360="Taijiquan 32 D",Atletas!P360="Taijiquan 42 D"),424,IF(OR(Atletas!P360="Yang 26 E",Atletas!P360="Yang 40 E"),425,IF(OR(Atletas!P360="Chen 25 E",Atletas!P360="Chen 36 E",Atletas!P360="Chen 56 E"),426,IF(Atletas!P360="Sun 73 E",427,IF(Atletas!P360="Wu 45 E",428,IF(Atletas!P360="Wu-Hao 46 E",429,IF(OR(Atletas!P360="Taijiquan 16 E",Atletas!P360="Taijiquan 24 E",Atletas!P360="Taijiquan 32 E",Atletas!P360="Taijiquan 42 E"),430,IF(OR(Atletas!P360="Yang 26 F",Atletas!P360="Yang 40 F"),431,IF(OR(Atletas!P360="Chen 25 F",Atletas!P360="Chen 36 F",Atletas!P360="Chen 56 F"),432,IF(Atletas!P360="Sun 73 F",433,IF(Atletas!P360="Wu 45 F",434,IF(Atletas!P360="Wu-Hao 46 F",435,IF(OR(Atletas!P360="Taijiquan 16 F",Atletas!P360="Taijiquan 24 F",Atletas!P360="Taijiquan 32 F",Atletas!P360="Taijiquan 42 F"),436,0)))))))))))))))))))</f>
        <v/>
      </c>
      <c r="BY369" s="50" t="str">
        <f>IF(Atletas!Q360="","",IF(Atletas!X360&lt;&gt;"",10000,0)+IF(Atletas!B360="Feminino",1000,IF(Atletas!B360="Masculino",2000,""))+IF(Atletas!Q360="Xingyiquan A",501,IF(Atletas!Q360="Baguazhang A",502,IF(Atletas!Q360="Outro Estilo Interno A",503,IF(Atletas!Q360="Xingyiquan B",504,IF(Atletas!Q360="Baguazhang B",505,IF(Atletas!Q360="Outro Estilo Interno B",506,IF(Atletas!Q360="Xingyiquan C",507,IF(Atletas!Q360="Baguazhang C",508,IF(Atletas!Q360="Outro Estilo Interno C",509,IF(Atletas!Q360="Xingyiquan D",510,IF(Atletas!Q360="Baguazhang D",511,IF(Atletas!Q360="Outro Estilo Interno D",512,IF(Atletas!Q360="Xingyiquan E",513,IF(Atletas!Q360="Baguazhang E",514,IF(Atletas!Q360="Outro Estilo Interno E",515,IF(Atletas!Q360="Xingyiquan F",516,IF(Atletas!Q360="Baguazhang F",517,IF(Atletas!Q360="Outro Estilo Interno F",518, "")))))))))))))))))))</f>
        <v/>
      </c>
      <c r="BZ369" s="50" t="str">
        <f>IF(Atletas!R360="","",IF(Atletas!X360&lt;&gt;"",10000,0)+IF(Atletas!B360="Feminino",1000,IF(Atletas!B360="Masculino",2000,""))+IF(Atletas!R360="Dao A",601,IF(Atletas!R360="Jian A",602,IF(Atletas!R360="Bishou A",603,IF(Atletas!R360="Shanzi A",604,IF(Atletas!R360="Outra Arma Curta A",605,IF(Atletas!R360="Dao B",606,IF(Atletas!R360="Jian B",607,IF(Atletas!R360="Bishou B",608,IF(Atletas!R360="Shanzi B",609,IF(Atletas!R360="Outra Arma Curta B",610,IF(Atletas!R360="Dao C",611,IF(Atletas!R360="Jian C",612,IF(Atletas!R360="Bishou C",613,IF(Atletas!R360="Shanzi C",614,IF(Atletas!R360="Outra Arma Curta C",615,IF(Atletas!R360="Dao D",616,IF(Atletas!R360="Jian D",617,IF(Atletas!R360="Bishou D",618,IF(Atletas!R360="Shanzi D",619,IF(Atletas!R360="Outra Arma Curta D",620,IF(Atletas!R360="Dao E",621,IF(Atletas!R360="Jian E",622,IF(Atletas!R360="Bishou E",623,IF(Atletas!R360="Shanzi E",624,IF(Atletas!R360="Outra Arma Curta E",625,IF(Atletas!R360="Dao F",626,IF(Atletas!R360="Jian F",627,IF(Atletas!R360="Bishou F",628,IF(Atletas!R360="Shanzi F",629,IF(Atletas!R360="Outra Arma Curta F",630, "")))))))))))))))))))))))))))))))</f>
        <v/>
      </c>
      <c r="CA369" s="50" t="str">
        <f>IF(Atletas!S360="","",IF(Atletas!X360&lt;&gt;"",10000,0)+IF(Atletas!B360="Feminino",1000,IF(Atletas!B360="Masculino",2000,""))+IF(Atletas!S360="Gun A",701,IF(Atletas!S360="Qiang A",702,IF(Atletas!S360="Pudao / Guandao A",703,IF(Atletas!S360="Outra Arma Longa A",704,IF(Atletas!S360="Gun B",705,IF(Atletas!S360="Qiang B",706,IF(Atletas!S360="Pudao / Guandao B",707,IF(Atletas!S360="Outra Arma Longa B",708,IF(Atletas!S360="Gun C",709,IF(Atletas!S360="Qiang C",710,IF(Atletas!S360="Pudao / Guandao C",711,IF(Atletas!S360="Outra Arma Longa C",712,IF(Atletas!S360="Gun D",713,IF(Atletas!S360="Qiang D",714,IF(Atletas!S360="Pudao / Guandao D",715,IF(Atletas!S360="Outra Arma Longa D",716,IF(Atletas!S360="Gun E",717,IF(Atletas!S360="Qiang E",718,IF(Atletas!S360="Pudao / Guandao E",719,IF(Atletas!S360="Outra Arma Longa E",720,IF(Atletas!S360="Gun F",721,IF(Atletas!S360="Qiang F",722,IF(Atletas!S360="Pudao / Guandao F",723,IF(Atletas!S360="Outra Arma Longa F",724,"")))))))))))))))))))))))))</f>
        <v/>
      </c>
      <c r="CB369" s="50" t="str">
        <f>IF(Atletas!T360="","",IF(Atletas!X360&lt;&gt;"",10000,0)+IF(Atletas!B360="Feminino",1000,IF(Atletas!B360="Masculino",2000,""))+IF(Atletas!T360="Outra Arma Dupla A",801,IF(Atletas!T360="Arma Maleável A",802,IF(Atletas!T360="Outra Arma Dupla B",803,IF(Atletas!T360="Arma Maleável B",804,IF(Atletas!T360="Outra Arma Dupla C",805,IF(Atletas!T360="Arma Maleável C",806,IF(Atletas!T360="Outra Arma Dupla D",807,IF(Atletas!T360="Arma Maleável D",808,IF(Atletas!T360="Outra Arma Dupla E",809,IF(Atletas!T360="Arma Maleável E",810,IF(Atletas!T360="Outra Arma Dupla F",811,IF(Atletas!T360="Arma Maleável F",812,IF(Atletas!T360="Shuangdao A",813,IF(Atletas!T360="Shuangdao B",814,IF(Atletas!T360="Shuangdao C",815,IF(Atletas!T360="Shuangdao D",816,IF(Atletas!T360="Shuangdao E",817,IF(Atletas!T360="Shuangdao F",818,"")))))))))))))))))))</f>
        <v/>
      </c>
      <c r="CC369" s="50" t="str">
        <f>IF(Atletas!U360="","",IF(Atletas!X360&lt;&gt;"",10000,0)+IF(Atletas!B360="Feminino",1000,IF(Atletas!B360="Masculino",2000,""))+IF(OR(Atletas!U360="Taijijian Yang A",Atletas!U360="Taijijian Yang Standard A"),901,IF(OR(Atletas!U360="Taijijian Chen A", Atletas!U360="Taijijian Chen Standard A"),902,IF(Atletas!U360="Taijijian Sun A",903,IF(Atletas!U360="Taijijian Wu A",904,IF(Atletas!U360="Taijijian Wu-Hao A",905,IF(OR(Atletas!U360="Taijijian 32 A",Atletas!U360="Taijijian 42 A"),906,IF(OR(Atletas!U360="Taijijian Yang B",Atletas!U360="Taijijian Yang Standard B"),907,IF(OR(Atletas!U360="Taijijian Chen B", Atletas!U360="Taijijian Chen Standard B"),908,IF(Atletas!U360="Taijijian Sun B",909,IF(Atletas!U360="Taijijian Wu B",910,IF(Atletas!U360="Taijijian Wu-Hao B",911,IF(OR(Atletas!U360="Taijijian 32 B",Atletas!U360="Taijijian 42 B"),912,IF(OR(Atletas!U360="Taijijian Yang C",Atletas!U360="Taijijian Yang Standard C"),913,IF(OR(Atletas!U360="Taijijian Chen C", Atletas!U360="Taijijian Chen Standard C"),914,IF(Atletas!U360="Taijijian Sun C",915,IF(Atletas!U360="Taijijian Wu C",916,IF(Atletas!U360="Taijijian Wu-Hao C",917,IF(OR(Atletas!U360="Taijijian 32 C",Atletas!U360="Taijijian 42 C"),918,IF(OR(Atletas!U360="Taijijian Yang D",Atletas!U360="Taijijian Yang Standard D"),919,IF(OR(Atletas!U360="Taijijian Chen D", Atletas!U360="Taijijian Chen Standard D"),920,IF(Atletas!U360="Taijijian Sun D",921,IF(Atletas!U360="Taijijian Wu D",922,IF(Atletas!U360="Taijijian Wu-Hao D",923,IF(OR(Atletas!U360="Taijijian 32 D",Atletas!U360="Taijijian 42 D"),924,IF(OR(Atletas!U360="Taijijian Yang E",Atletas!U360="Taijijian Yang Standard E"),925,IF(OR(Atletas!U360="Taijijian Chen E", Atletas!U360="Taijijian Chen Standard E"),926,IF(Atletas!U360="Taijijian Sun E",927,IF(Atletas!U360="Taijijian Wu E",928,IF(Atletas!U360="Taijijian Wu-Hao E",929,IF(OR(Atletas!U360="Taijijian 32 E",Atletas!U360="Taijijian 42 E"),930,IF(OR(Atletas!U360="Taijijian Yang F",Atletas!U360="Taijijian Yang Standard F"),931,IF(OR(Atletas!U360="Taijijian Chen F", Atletas!U360="Taijijian Chen Standard F"),932,IF(Atletas!U360="Taijijian Sun F",933,IF(Atletas!U360="Taijijian Wu F",934,IF(Atletas!U360="Taijijian Wu-Hao F",935,IF(OR(Atletas!U360="Taijijian 32 F",Atletas!U360="Taijijian 42 F"),936,"")))))))))))))))))))))))))))))))))))))</f>
        <v/>
      </c>
      <c r="CD369" s="50" t="str">
        <f>IF(Atletas!V360="","",IF(Atletas!X360&lt;&gt;"",10000,0)+IF(Atletas!B360="Feminino",1000,IF(Atletas!B360="Masculino",2000,""))+IF(Atletas!V360="Taijidao A",937,IF(Atletas!V360="TaijiShanzi A",938,IF(Atletas!V360="Taijiqiang A",939,IF(Atletas!V360="Bagua de Arma A",940,IF(Atletas!V360="Xingyi de Arma A",941,IF(Atletas!V360="Taijidao B",942,IF(Atletas!V360="TaijiShanzi B",943,IF(Atletas!V360="Taijiqiang B",944,IF(Atletas!V360="Bagua de Arma B",945,IF(Atletas!V360="Xingyi de Arma B",946,IF(Atletas!V360="Taijidao C",947,IF(Atletas!V360="TaijiShanzi C",948,IF(Atletas!V360="Taijiqiang C",949,IF(Atletas!V360="Bagua de Arma C",950,IF(Atletas!V360="Xingyi de Arma C",951,IF(Atletas!V360="Taijidao D",952,IF(Atletas!V360="TaijiShanzi D",953,IF(Atletas!V360="Taijiqiang D",954,IF(Atletas!V360="Bagua de Arma D",955,IF(Atletas!V360="Xingyi de Arma D",956,IF(Atletas!V360="Taijidao E",957,IF(Atletas!V360="TaijiShanzi E",958,IF(Atletas!V360="Taijiqiang E",959,IF(Atletas!V360="Bagua de Arma E",960,IF(Atletas!V360="Xingyi de Arma E",961,IF(Atletas!V360="Taijidao F",962,IF(Atletas!V360="TaijiShanzi F",963,IF(Atletas!V360="Taijiqiang F",964,IF(Atletas!V360="Bagua de Arma F",965,IF(Atletas!V360="Xingyi de Arma F",966,"")))))))))))))))))))))))))))))))</f>
        <v/>
      </c>
      <c r="CE369" s="66"/>
      <c r="CF369" s="66"/>
      <c r="CG369" s="66"/>
      <c r="CH369" s="66"/>
      <c r="CJ369" s="66"/>
      <c r="CL369" s="66"/>
      <c r="CM369" s="50" t="str">
        <f xml:space="preserve"> IF(Atletas!W360="","",IF(Atletas!W360="Duilian de Mãos BC - Equipe 1",1,IF(Atletas!W360="Duilian de Mãos BC - Equipe 2",2,IF(Atletas!W360="Duilian de Armas BC - Equipe 1",3,IF(Atletas!W360="Duilian de Armas BC - Equipe 2",4,IF(Atletas!W360="Duilian de Mãos DE - Equipe 1",5,IF(Atletas!W360="Duilian de Mãos DE - Equipe 2",6,IF(Atletas!W360="Duilian de Armas DE - Equipe 1",7,IF(Atletas!W360="Duilian de Armas DE - Equipe 2",8,IF(Atletas!W360="Duilian de Tuishou - Equipe 1",9,IF(Atletas!W360="Duilian de Tuishou - Equipe 2",10,IF(Atletas!W360="Grupo Externo ABC - Equipe 1",11,IF(Atletas!W360="Grupo Externo ABC - Equipe 2",12,IF(Atletas!W360="Grupo Interno ABC - Equipe 1",13,IF(Atletas!W360="Grupo Interno ABC - Equipe 2",14,IF(Atletas!W360="Grupo Externo DEF - Equipe 1",15,IF(Atletas!W360="Grupo Externo DEF - Equipe 2",16,IF(Atletas!W360="Grupo Interno DEF - Equipe 1",17,IF(Atletas!W360="Grupo Interno DEF - Equipe 2",18,"")))))))))))))))))))</f>
        <v/>
      </c>
    </row>
    <row r="370" spans="40:91">
      <c r="AN370" s="52" t="str">
        <f>IF(Atletas!D361="","",IF(Atletas!B361="Feminino",100,IF(Atletas!B361="Masculino",200,""))+(IF(Atletas!D361="Kids 30kg",1,IF(Atletas!D361="Kids 32kg",2, IF(Atletas!D361="Kids 34kg",3,IF(Atletas!D361="Kids 36kg",4,IF(Atletas!D361="Kids 39kg",5,IF(Atletas!D361="Kids 42kg",6,IF(Atletas!D361="Kids 45kg",7, IF(Atletas!D361="Infantil 39kg",8,IF(Atletas!D361="Infantil 42kg",9,IF(Atletas!D361="Infantil 45kg",10,IF(Atletas!D361="Infantil 48kg",11,IF(Atletas!D361="Infantil 52kg",12,IF(Atletas!D361="Infantil 56kg",13,IF(Atletas!D361="Infantil 60kg",14,IF(Atletas!D361="Juvenil 48kg",15,IF(Atletas!D361="Juvenil 52kg",16,IF(Atletas!D361="Juvenil 56kg",17,IF(Atletas!D361="Juvenil 60kg",18,IF(Atletas!D361="Juvenil 65kg",19,IF(Atletas!D361="Juvenil 70kg",20,IF(Atletas!D361="Juvenil 75kg",21,IF(Atletas!D361="Juvenil 80kg",22, IF(Atletas!D361="Juvenil 85kg",23,IF(Atletas!D361="Adulto 48kg",24,IF(Atletas!D361="Adulto 52kg",25,IF(Atletas!D361="Adulto 56kg",26,IF(Atletas!D361="Adulto 60kg",27,IF(Atletas!D361="Adulto 65kg",28,IF(Atletas!D361="Adulto 70kg",29,IF(Atletas!D361="Adulto 75kg",30,IF(Atletas!D361="Adulto 80kg",31,IF(Atletas!D361="Adulto 85kg",32,IF(Atletas!D361="Adulto 90kg",33,IF(Atletas!D361="Adulto 100kg",34, IF(Atletas!D361="Adulto +100kg",35,"")))))))))))))))))))))))))))))))))))))</f>
        <v/>
      </c>
      <c r="AS370" s="6" t="str">
        <f>IF(Atletas!E361="","",IF(Atletas!B361="Feminino",100,IF(Atletas!B361="Masculino",200,""))+(IF(Atletas!E361="Juvenil 44kg",1,IF(Atletas!E361="Juvenil 48kg",2,IF(Atletas!E361="Juvenil 52kg",3,IF(Atletas!E361="Juvenil 56kg",4,IF(Atletas!E361="Juvenil 60kg",5,IF(Atletas!E361="Juvenil 65kg",6,IF(Atletas!E361="Juvenil 70kg",7,IF(Atletas!E361="Juvenil 75kg",8,IF(Atletas!E361="Juvenil 82kg",9,IF(Atletas!E361="Juvenil 90kg",10,IF(Atletas!E361="Juvenil 100kg",11,IF(Atletas!E361="Adulto 48kg",12,IF(Atletas!E361="Adulto 52kg",13,IF(Atletas!E361="Adulto 56kg",14,IF(Atletas!E361="Adulto 60kg",15,IF(Atletas!E361="Adulto 65kg",16,IF(Atletas!E361="Adulto 70kg",17,IF(Atletas!E361="Adulto 75kg",18,IF(Atletas!E361="Adulto 82kg",19,IF(Atletas!E361="Adulto 90kg",20,IF(Atletas!E361="Adulto 100kg",21,IF(Atletas!E361="Adulto +100kg",22,""))))))))))))))))))))))))</f>
        <v/>
      </c>
      <c r="AX370" s="6" t="str">
        <f>IF(Atletas!F361="","",IF(Atletas!B361="Feminino",100,IF(Atletas!B361="Masculino",200,""))+(IF(Atletas!F361="Adulto 48kg",1,IF(Atletas!F361="Adulto 56kg",2,IF(Atletas!F361="Adulto 65kg",3,IF(Atletas!F361="Adulto 75kg",4,IF(Atletas!F361="Adulto +75kg",5,IF(Atletas!F361="Adulto 52kg",6,IF(Atletas!F361="Adulto 60kg",7,IF(Atletas!F361="Adulto 70kg",8,IF(Atletas!F361="Adulto 80kg",9,IF(Atletas!F361="Adulto 90kg",10,IF(Atletas!F361="Adulto +90kg",11,"")))))))))))))</f>
        <v/>
      </c>
      <c r="BC370" s="6" t="str">
        <f>IF(Atletas!G361="","",IF(Atletas!B361="Feminino",10,IF(Atletas!B361="Masculino",20,""))+(IF(Atletas!G361="Baduanjin A",1,IF(Atletas!G361="Baduanjin B",2))))</f>
        <v/>
      </c>
      <c r="BF370" s="52" t="str">
        <f>IF(Atletas!H361="","",IF(Atletas!B361="Feminino",100,IF(Atletas!B361="Masculino",200,""))+(IF(Atletas!H361="Changquan Mirim",1,IF(Atletas!H361="Nanquan Mirim",2,IF(Atletas!H361="Taijiquan Mirim",3,IF(Atletas!H361="Changquan Grupo C",4,IF(Atletas!H361="Nanquan Grupo C",5,IF(Atletas!H361="Taijiquan Grupo C",6,IF(Atletas!H361="Changquan Grupo B",7,IF(Atletas!H361="Nanquan Grupo B",8,IF(Atletas!H361="Taijiquan Grupo B",9,IF(Atletas!H361="Changquan Grupo A",10,IF(Atletas!H361="Nanquan Grupo A",11,IF(Atletas!H361="Taijiquan Grupo A",12,IF(Atletas!H361="Changquan Opcional",13,IF(Atletas!H361="Nanquan Opcional",14,IF(Atletas!H361="Taijiquan Opcional",15,IF(Atletas!H361="Changquan Adulto",16,IF(Atletas!H361="Nanquan Adulto",17,IF(Atletas!H361="Taijiquan Adulto",18,""))))))))))))))))))))</f>
        <v/>
      </c>
      <c r="BG370" s="52" t="str">
        <f>IF(Atletas!I361="","",IF(Atletas!B361="Feminino",100,IF(Atletas!B361="Masculino",200,""))+(IF(Atletas!I361="Daoshu Mirim",19,IF(Atletas!I361="Jianshu Mirim",20,IF(Atletas!I361="Nandao Mirim",21,IF(Atletas!I361="Taijijian Mirim",22,IF(Atletas!I361="Daoshu Grupo C",23,IF(Atletas!I361="Jianshu Grupo C",24,IF(Atletas!I361="Nandao Grupo C",25,IF(Atletas!I361="Taijijian Grupo C",26,IF(Atletas!I361="Daoshu Grupo B",27,IF(Atletas!I361="Jianshu Grupo B",28,IF(Atletas!I361="Nandao Grupo B",29,IF(Atletas!I361="Taijijian Grupo B",30,IF(Atletas!I361="Daoshu Grupo A",31,IF(Atletas!I361="Jianshu Grupo A",32,IF(Atletas!I361="Nandao Grupo A",33,IF(Atletas!I361="Taijijian Grupo A",34,IF(Atletas!I361="Daoshu Opcional",35,IF(Atletas!I361="Jianshu Opcional",36,IF(Atletas!I361="Nandao Opcional",37,IF(Atletas!I361="Taijijian Opcional",38,IF(Atletas!I361="Daoshu Adulto",39,IF(Atletas!I361="Jianshu Adulto",40,IF(Atletas!I361="Nandao Adulto",41,IF(Atletas!I361="Taijijian Adulto",42,""))))))))))))))))))))))))))</f>
        <v/>
      </c>
      <c r="BH370" s="52" t="str">
        <f>IF(Atletas!J361="","",IF(Atletas!B361="Feminino",100,IF(Atletas!B361="Masculino",200,""))+(IF(Atletas!J361="Gunshu Mirim",43,IF(Atletas!J361="Qiangshu Mirim",44,IF(Atletas!J361="Nangun Mirim",45,IF(Atletas!J361="Gunshu Grupo C",46,IF(Atletas!J361="Qiangshu Grupo C",47,IF(Atletas!J361="Nangun Grupo C",48,IF(Atletas!J361="Gunshu Grupo B",49,IF(Atletas!J361="Qiangshu Grupo B",50,IF(Atletas!J361="Nangun Grupo B",51,IF(Atletas!J361="Gunshu Grupo A",52,IF(Atletas!J361="Qiangshu Grupo A",53,IF(Atletas!J361="Nangun Grupo A",54,IF(Atletas!J361="Gunshu Opcional",55,IF(Atletas!J361="Qiangshu Opcional",56,IF(Atletas!J361="Nangun Opcional",57,IF(Atletas!J361="Gunshu Adulto",58,IF(Atletas!J361="Qiangshu Adulto",59,IF(Atletas!J361="Nangun Adulto",60,IF(Atletas!J361="Taijishan Grupo B",61,IF(Atletas!J361="Taijishan Grupo A",62,""))))))))))))))))))))))</f>
        <v/>
      </c>
      <c r="BM370" s="50" t="str">
        <f>IF(Atletas!K361="","",IF(Atletas!B361="Feminino",100,IF(Atletas!B361="Masculino",200,""))+(IF(Atletas!K361="Equipe 1 Grupo B",1,IF(Atletas!K361="Equipe 2 Grupo B",2,IF(Atletas!K361="Equipe 1 Grupo A",3,IF(Atletas!K361="Equipe 2 Grupo A",4,IF(Atletas!K361="Equipe 1 Adulto",5,IF(Atletas!K361="Equipe 2 Adulto",6,""))))))))</f>
        <v/>
      </c>
      <c r="BR370" s="50" t="str">
        <f>IF(Atletas!L361="","",IF(Atletas!X361&lt;&gt;"",10000,0)+(IF(Atletas!B361="Feminino",1000,IF(Atletas!B361="Masculino",2000,""))+IF(Atletas!L361="Choylayfut A",1,IF(Atletas!L361="Hunggar A",2,IF(Atletas!L361="Wuzuquan A",3,IF(Atletas!L361="Wingchun A",4,IF(Atletas!L361="Outra Mão de Sul A",5,IF(Atletas!L361="Choylayfut B",6,IF(Atletas!L361="Hunggar B",7,IF(Atletas!L361="Wuzuquan B",8,IF(Atletas!L361="Wingchun B",9,IF(Atletas!L361="Outra Mão de Sul B",10,IF(Atletas!L361="Choylayfut C",11,IF(Atletas!L361="Hunggar C",12,IF(Atletas!L361="Wuzuquan C",13,IF(Atletas!L361="Wingchun C",14,IF(Atletas!L361="Outra Mão de Sul C",15,IF(Atletas!L361="Choylayfut D",16,IF(Atletas!L361="Hunggar D",17,IF(Atletas!L361="Wuzuquan D",18,IF(Atletas!L361="Wingchun D",19,IF(Atletas!L361="Outra Mão de Sul D",20,IF(Atletas!L361="Choylayfut E",21,IF(Atletas!L361="Hunggar E",22,IF(Atletas!L361="Wuzuquan E",23,IF(Atletas!L361="Wingchun E",24,IF(Atletas!L361="Outra Mão de Sul E",25,IF(Atletas!L361="Choylayfut F",26,IF(Atletas!L361="Hunggar F",27,IF(Atletas!L361="Wuzuquan F",28,IF(Atletas!L361="Wingchun F",29,IF(Atletas!L361="Outra Mão de Sul F",30,IF(Atletas!L361="Dishuquan A",31,IF(Atletas!L361="Dishuquan B",32,IF(Atletas!L361="Dishuquan C",33,IF(Atletas!L361="Dishuquan D",34,IF(Atletas!L361="Dishuquan E",35,IF(Atletas!L361="Dishuquan F",36,""))))))))))))))))))))))))))))))))))))))</f>
        <v/>
      </c>
      <c r="BS370" s="50" t="str">
        <f>IF(Atletas!M361="","",IF(Atletas!X361&lt;&gt;"",10000,0)+(IF(Atletas!B361="Feminino",1000,IF(Atletas!B361="Masculino",2000,""))+(IF(Atletas!M361="Chaquan A",101,IF(Atletas!M361="Emeiquan A",102,IF(Atletas!M361="Fanziquan A",103,IF(Atletas!M361="Huaquan A",104,IF(Atletas!M361="Hongquan A",105,IF(Atletas!M361="Paoquan A",106,IF(Atletas!M361="Piguaquan A",107,IF(Atletas!M361="Shaolinquan A",108,IF(Atletas!M361="Tanglangquan A",109,IF(Atletas!M361="Yingzhaoquan A",110,IF(Atletas!M361="Tongbeiquan A",111,IF(Atletas!M361="Wudangquan A",112,IF(Atletas!M361="Outros Estilos A",113,IF(Atletas!M361="Chaquan B",114,IF(Atletas!M361="Emeiquan B",115,IF(Atletas!M361="Fanziquan B",116,IF(Atletas!M361="Huaquan B",117,IF(Atletas!M361="Hongquan B",118,IF(Atletas!M361="Paoquan B",119,IF(Atletas!M361="Piguaquan B",120,IF(Atletas!M361="Shaolinquan B",121,IF(Atletas!M361="Tanglangquan B",122,IF(Atletas!M361="Yingzhaoquan B",123,IF(Atletas!M361="Tongbeiquan B",124,IF(Atletas!M361="Wudangquan B",125,IF(Atletas!M361="Outros Estilos B",126,IF(Atletas!M361="Chaquan C",127,IF(Atletas!M361="Emeiquan C",128,IF(Atletas!M361="Fanziquan C",129,IF(Atletas!M361="Huaquan C",130,IF(Atletas!M361="Hongquan C",131,IF(Atletas!M361="Paoquan C",132,IF(Atletas!M361="Piguaquan C",133,IF(Atletas!M361="Shaolinquan C",134,IF(Atletas!M361="Tanglangquan C",135,IF(Atletas!M361="Yingzhaoquan C",136,IF(Atletas!M361="Tongbeiquan C",137,IF(Atletas!M361="Wudangquan C",138,IF(Atletas!M361="Outros Estilos C",139,0))))))))))))))))))))))))))))))))))))))))))</f>
        <v/>
      </c>
      <c r="BT370" s="50" t="str">
        <f>IF(Atletas!M361="","",IF(Atletas!X361&lt;&gt;"",10000,0)+(IF(Atletas!B361="Feminino",1000,IF(Atletas!B361="Masculino",2000,""))+(IF(Atletas!M361="Chaquan D",140,IF(Atletas!M361="Emeiquan D",141,IF(Atletas!M361="Fanziquan D",142,IF(Atletas!M361="Huaquan D",143,IF(Atletas!M361="Hongquan D",144,IF(Atletas!M361="Paoquan D",145,IF(Atletas!M361="Piguaquan D",146,IF(Atletas!M361="Shaolinquan D",147,IF(Atletas!M361="Tanglangquan D",148,IF(Atletas!M361="Yingzhaoquan D",149,IF(Atletas!M361="Tongbeiquan D",150,IF(Atletas!M361="Wudangquan D",151,IF(Atletas!M361="Outros Estilos D",152,IF(Atletas!M361="Chaquan E",153,IF(Atletas!M361="Emeiquan E",154,IF(Atletas!M361="Fanziquan E",155,IF(Atletas!M361="Huaquan E",156,IF(Atletas!M361="Hongquan E",157,IF(Atletas!M361="Paoquan E",158,IF(Atletas!M361="Piguaquan E",159,IF(Atletas!M361="Shaolinquan E",160,IF(Atletas!M361="Tanglangquan E",161,IF(Atletas!M361="Yingzhaoquan E",162,IF(Atletas!M361="Tongbeiquan E",163,IF(Atletas!M361="Wudangquan E",164,IF(Atletas!M361="Outros Estilos E",165,IF(Atletas!M361="Chaquan F",166,IF(Atletas!M361="Emeiquan F",167,IF(Atletas!M361="Fanziquan F",168,IF(Atletas!M361="Huaquan F",169,IF(Atletas!M361="Hongquan F",170,IF(Atletas!M361="Paoquan F",171,IF(Atletas!M361="Piguaquan F",172,IF(Atletas!M361="Shaolinquan F",173,IF(Atletas!M361="Tanglangquan F",174,IF(Atletas!M361="Yingzhaoquan F",175,IF(Atletas!M361="Tongbeiquan F",176,IF(Atletas!M361="Wudangquan F",177,IF(Atletas!M361="Outros Estilos F",178,0))))))))))))))))))))))))))))))))))))))))))</f>
        <v/>
      </c>
      <c r="BU370" s="50" t="str">
        <f>IF(Atletas!N361="","",IF(Atletas!X361&lt;&gt;"",10000,0)+(IF(Atletas!B361="Feminino",1000,IF(Atletas!B361="Masculino",2000,""))+(IF(Atletas!N361="Ditangquan A",201,IF(Atletas!N361="Houquan A",202,IF(Atletas!N361="Zuiquan A",203,IF(Atletas!N361="Ditangquan B",204,IF(Atletas!N361="Houquan B",205,IF(Atletas!N361="Zuiquan B",206,IF(Atletas!N361="Ditangquan C",207,IF(Atletas!N361="Houquan C",208,IF(Atletas!N361="Zuiquan C",209,IF(Atletas!N361="Ditangquan D",210,IF(Atletas!N361="Houquan D",211,IF(Atletas!N361="Zuiquan D",212,IF(Atletas!N361="Ditangquan E",213,IF(Atletas!N361="Houquan E",214,IF(Atletas!N361="Zuiquan E",215,IF(Atletas!N361="Ditangquan F",216,IF(Atletas!N361="Houquan F",217,IF(Atletas!N361="Zuiquan F",218,"")))))))))))))))))))))</f>
        <v/>
      </c>
      <c r="BV370" s="50" t="str">
        <f>IF(Atletas!O361="","",IF(Atletas!X361&lt;&gt;"",10000,0)+IF(Atletas!B361="Feminino",1000,IF(Atletas!B361="Masculino",2000,""))+IF(Atletas!O361="Yang A",301,IF(Atletas!O361="Chen A",302,IF(Atletas!O361="Sun A",303,IF(Atletas!O361="Wu A",304,IF(Atletas!O361="Wu-Hao A",305,IF(Atletas!O361="Outro Taijiquan A",306,IF(Atletas!O361="Yang B",307,IF(Atletas!O361="Chen B",308,IF(Atletas!O361="Sun B",309,IF(Atletas!O361="Wu B",310,IF(Atletas!O361="Wu-Hao B",311,IF(Atletas!O361="Outro Taijiquan B",312,IF(Atletas!O361="Yang C",313,IF(Atletas!O361="Chen C",314,IF(Atletas!O361="Sun C",315,IF(Atletas!O361="Wu C",316,IF(Atletas!O361="Wu-Hao C",317,IF(Atletas!O361="Outro Taijiquan C",318,IF(Atletas!O361="Yang D",319,IF(Atletas!O361="Chen D",320,IF(Atletas!O361="Sun D",321,IF(Atletas!O361="Wu D",322,IF(Atletas!O361="Wu-Hao D",323,IF(Atletas!O361="Outro Taijiquan D",324,IF(Atletas!O361="Yang E",325,IF(Atletas!O361="Chen E",326,IF(Atletas!O361="Sun E",327,IF(Atletas!O361="Wu E",328,IF(Atletas!O361="Wu-Hao E",329,IF(Atletas!O361="Outro Taijiquan E",330,IF(Atletas!O361="Yang F",331,IF(Atletas!O361="Chen F",332,IF(Atletas!O361="Sun F",333,IF(Atletas!O361="Wu F",334,IF(Atletas!O361="Wu-Hao F",335,IF(Atletas!O361="Outro Taijiquan F",336,"")))))))))))))))))))))))))))))))))))))</f>
        <v/>
      </c>
      <c r="BW370" s="50" t="str">
        <f>IF(Atletas!P361="","",IF(Atletas!X361&lt;&gt;"",10000,0)+IF(Atletas!B361="Feminino",1000,IF(Atletas!B361="Masculino",2000,""))+IF(OR(Atletas!P361="Yang 26 A",Atletas!P361="Yang 40 A"),401,IF(OR(Atletas!P361="Chen 25 A",Atletas!P361="Chen 36 A",Atletas!P361="Chen 56 A"),402,IF(Atletas!P361="Sun 73 A",403,IF(Atletas!P361="Wu 45 A",404,IF(Atletas!P361="Wu-Hao 46 A",405,IF(OR(Atletas!P361="Taijiquan 16 A",Atletas!P361="Taijiquan 24 A",Atletas!P361="Taijiquan 32 A",Atletas!P361="Taijiquan 42 A"),406,IF(OR(Atletas!P361="Yang 26 B",Atletas!P361="Yang 40 B"),407,IF(OR(Atletas!P361="Chen 25 B",Atletas!P361="Chen 36 B",Atletas!P361="Chen 56 B"),408,IF(Atletas!P361="Sun 73 B",409,IF(Atletas!P361="Wu 45 B",410,IF(Atletas!P361="Wu-Hao 46 B",411,IF(OR(Atletas!P361="Taijiquan 16 B",Atletas!P361="Taijiquan 24 B",Atletas!P361="Taijiquan 32 B",Atletas!P361="Taijiquan 42 B"),412,IF(OR(Atletas!P361="Yang 26 C",Atletas!P361="Yang 40 C"),413,IF(OR(Atletas!P361="Chen 25 C",Atletas!P361="Chen 36 C",Atletas!P361="Chen 56 C"),414,IF(Atletas!P361="Sun 73 C",415,IF(Atletas!P361="Wu 45 C",416,IF(Atletas!P361="Wu-Hao 46 C",417,IF(OR(Atletas!P361="Taijiquan 16 C",Atletas!P361="Taijiquan 24 C",Atletas!P361="Taijiquan 32 C",Atletas!P361="Taijiquan 42 C"),418,0)))))))))))))))))))</f>
        <v/>
      </c>
      <c r="BX370" s="50" t="str">
        <f>IF(Atletas!P361="","",IF(Atletas!X361&lt;&gt;"",10000,0)+IF(Atletas!B361="Feminino",1000,IF(Atletas!B361="Masculino",2000,""))+IF(OR(Atletas!P361="Yang 26 D",Atletas!P361="Yang 40 D"),419,IF(OR(Atletas!P361="Chen 25 D",Atletas!P361="Chen 36 D",Atletas!P361="Chen 56 D"),420,IF(Atletas!P361="Sun 73 D",421,IF(Atletas!P361="Wu 45 D",422,IF(Atletas!P361="Wu-Hao 46 D",423,IF(OR(Atletas!P361="Taijiquan 16 D",Atletas!P361="Taijiquan 24 D",Atletas!P361="Taijiquan 32 D",Atletas!P361="Taijiquan 42 D"),424,IF(OR(Atletas!P361="Yang 26 E",Atletas!P361="Yang 40 E"),425,IF(OR(Atletas!P361="Chen 25 E",Atletas!P361="Chen 36 E",Atletas!P361="Chen 56 E"),426,IF(Atletas!P361="Sun 73 E",427,IF(Atletas!P361="Wu 45 E",428,IF(Atletas!P361="Wu-Hao 46 E",429,IF(OR(Atletas!P361="Taijiquan 16 E",Atletas!P361="Taijiquan 24 E",Atletas!P361="Taijiquan 32 E",Atletas!P361="Taijiquan 42 E"),430,IF(OR(Atletas!P361="Yang 26 F",Atletas!P361="Yang 40 F"),431,IF(OR(Atletas!P361="Chen 25 F",Atletas!P361="Chen 36 F",Atletas!P361="Chen 56 F"),432,IF(Atletas!P361="Sun 73 F",433,IF(Atletas!P361="Wu 45 F",434,IF(Atletas!P361="Wu-Hao 46 F",435,IF(OR(Atletas!P361="Taijiquan 16 F",Atletas!P361="Taijiquan 24 F",Atletas!P361="Taijiquan 32 F",Atletas!P361="Taijiquan 42 F"),436,0)))))))))))))))))))</f>
        <v/>
      </c>
      <c r="BY370" s="50" t="str">
        <f>IF(Atletas!Q361="","",IF(Atletas!X361&lt;&gt;"",10000,0)+IF(Atletas!B361="Feminino",1000,IF(Atletas!B361="Masculino",2000,""))+IF(Atletas!Q361="Xingyiquan A",501,IF(Atletas!Q361="Baguazhang A",502,IF(Atletas!Q361="Outro Estilo Interno A",503,IF(Atletas!Q361="Xingyiquan B",504,IF(Atletas!Q361="Baguazhang B",505,IF(Atletas!Q361="Outro Estilo Interno B",506,IF(Atletas!Q361="Xingyiquan C",507,IF(Atletas!Q361="Baguazhang C",508,IF(Atletas!Q361="Outro Estilo Interno C",509,IF(Atletas!Q361="Xingyiquan D",510,IF(Atletas!Q361="Baguazhang D",511,IF(Atletas!Q361="Outro Estilo Interno D",512,IF(Atletas!Q361="Xingyiquan E",513,IF(Atletas!Q361="Baguazhang E",514,IF(Atletas!Q361="Outro Estilo Interno E",515,IF(Atletas!Q361="Xingyiquan F",516,IF(Atletas!Q361="Baguazhang F",517,IF(Atletas!Q361="Outro Estilo Interno F",518, "")))))))))))))))))))</f>
        <v/>
      </c>
      <c r="BZ370" s="50" t="str">
        <f>IF(Atletas!R361="","",IF(Atletas!X361&lt;&gt;"",10000,0)+IF(Atletas!B361="Feminino",1000,IF(Atletas!B361="Masculino",2000,""))+IF(Atletas!R361="Dao A",601,IF(Atletas!R361="Jian A",602,IF(Atletas!R361="Bishou A",603,IF(Atletas!R361="Shanzi A",604,IF(Atletas!R361="Outra Arma Curta A",605,IF(Atletas!R361="Dao B",606,IF(Atletas!R361="Jian B",607,IF(Atletas!R361="Bishou B",608,IF(Atletas!R361="Shanzi B",609,IF(Atletas!R361="Outra Arma Curta B",610,IF(Atletas!R361="Dao C",611,IF(Atletas!R361="Jian C",612,IF(Atletas!R361="Bishou C",613,IF(Atletas!R361="Shanzi C",614,IF(Atletas!R361="Outra Arma Curta C",615,IF(Atletas!R361="Dao D",616,IF(Atletas!R361="Jian D",617,IF(Atletas!R361="Bishou D",618,IF(Atletas!R361="Shanzi D",619,IF(Atletas!R361="Outra Arma Curta D",620,IF(Atletas!R361="Dao E",621,IF(Atletas!R361="Jian E",622,IF(Atletas!R361="Bishou E",623,IF(Atletas!R361="Shanzi E",624,IF(Atletas!R361="Outra Arma Curta E",625,IF(Atletas!R361="Dao F",626,IF(Atletas!R361="Jian F",627,IF(Atletas!R361="Bishou F",628,IF(Atletas!R361="Shanzi F",629,IF(Atletas!R361="Outra Arma Curta F",630, "")))))))))))))))))))))))))))))))</f>
        <v/>
      </c>
      <c r="CA370" s="50" t="str">
        <f>IF(Atletas!S361="","",IF(Atletas!X361&lt;&gt;"",10000,0)+IF(Atletas!B361="Feminino",1000,IF(Atletas!B361="Masculino",2000,""))+IF(Atletas!S361="Gun A",701,IF(Atletas!S361="Qiang A",702,IF(Atletas!S361="Pudao / Guandao A",703,IF(Atletas!S361="Outra Arma Longa A",704,IF(Atletas!S361="Gun B",705,IF(Atletas!S361="Qiang B",706,IF(Atletas!S361="Pudao / Guandao B",707,IF(Atletas!S361="Outra Arma Longa B",708,IF(Atletas!S361="Gun C",709,IF(Atletas!S361="Qiang C",710,IF(Atletas!S361="Pudao / Guandao C",711,IF(Atletas!S361="Outra Arma Longa C",712,IF(Atletas!S361="Gun D",713,IF(Atletas!S361="Qiang D",714,IF(Atletas!S361="Pudao / Guandao D",715,IF(Atletas!S361="Outra Arma Longa D",716,IF(Atletas!S361="Gun E",717,IF(Atletas!S361="Qiang E",718,IF(Atletas!S361="Pudao / Guandao E",719,IF(Atletas!S361="Outra Arma Longa E",720,IF(Atletas!S361="Gun F",721,IF(Atletas!S361="Qiang F",722,IF(Atletas!S361="Pudao / Guandao F",723,IF(Atletas!S361="Outra Arma Longa F",724,"")))))))))))))))))))))))))</f>
        <v/>
      </c>
      <c r="CB370" s="50" t="str">
        <f>IF(Atletas!T361="","",IF(Atletas!X361&lt;&gt;"",10000,0)+IF(Atletas!B361="Feminino",1000,IF(Atletas!B361="Masculino",2000,""))+IF(Atletas!T361="Outra Arma Dupla A",801,IF(Atletas!T361="Arma Maleável A",802,IF(Atletas!T361="Outra Arma Dupla B",803,IF(Atletas!T361="Arma Maleável B",804,IF(Atletas!T361="Outra Arma Dupla C",805,IF(Atletas!T361="Arma Maleável C",806,IF(Atletas!T361="Outra Arma Dupla D",807,IF(Atletas!T361="Arma Maleável D",808,IF(Atletas!T361="Outra Arma Dupla E",809,IF(Atletas!T361="Arma Maleável E",810,IF(Atletas!T361="Outra Arma Dupla F",811,IF(Atletas!T361="Arma Maleável F",812,IF(Atletas!T361="Shuangdao A",813,IF(Atletas!T361="Shuangdao B",814,IF(Atletas!T361="Shuangdao C",815,IF(Atletas!T361="Shuangdao D",816,IF(Atletas!T361="Shuangdao E",817,IF(Atletas!T361="Shuangdao F",818,"")))))))))))))))))))</f>
        <v/>
      </c>
      <c r="CC370" s="50" t="str">
        <f>IF(Atletas!U361="","",IF(Atletas!X361&lt;&gt;"",10000,0)+IF(Atletas!B361="Feminino",1000,IF(Atletas!B361="Masculino",2000,""))+IF(OR(Atletas!U361="Taijijian Yang A",Atletas!U361="Taijijian Yang Standard A"),901,IF(OR(Atletas!U361="Taijijian Chen A", Atletas!U361="Taijijian Chen Standard A"),902,IF(Atletas!U361="Taijijian Sun A",903,IF(Atletas!U361="Taijijian Wu A",904,IF(Atletas!U361="Taijijian Wu-Hao A",905,IF(OR(Atletas!U361="Taijijian 32 A",Atletas!U361="Taijijian 42 A"),906,IF(OR(Atletas!U361="Taijijian Yang B",Atletas!U361="Taijijian Yang Standard B"),907,IF(OR(Atletas!U361="Taijijian Chen B", Atletas!U361="Taijijian Chen Standard B"),908,IF(Atletas!U361="Taijijian Sun B",909,IF(Atletas!U361="Taijijian Wu B",910,IF(Atletas!U361="Taijijian Wu-Hao B",911,IF(OR(Atletas!U361="Taijijian 32 B",Atletas!U361="Taijijian 42 B"),912,IF(OR(Atletas!U361="Taijijian Yang C",Atletas!U361="Taijijian Yang Standard C"),913,IF(OR(Atletas!U361="Taijijian Chen C", Atletas!U361="Taijijian Chen Standard C"),914,IF(Atletas!U361="Taijijian Sun C",915,IF(Atletas!U361="Taijijian Wu C",916,IF(Atletas!U361="Taijijian Wu-Hao C",917,IF(OR(Atletas!U361="Taijijian 32 C",Atletas!U361="Taijijian 42 C"),918,IF(OR(Atletas!U361="Taijijian Yang D",Atletas!U361="Taijijian Yang Standard D"),919,IF(OR(Atletas!U361="Taijijian Chen D", Atletas!U361="Taijijian Chen Standard D"),920,IF(Atletas!U361="Taijijian Sun D",921,IF(Atletas!U361="Taijijian Wu D",922,IF(Atletas!U361="Taijijian Wu-Hao D",923,IF(OR(Atletas!U361="Taijijian 32 D",Atletas!U361="Taijijian 42 D"),924,IF(OR(Atletas!U361="Taijijian Yang E",Atletas!U361="Taijijian Yang Standard E"),925,IF(OR(Atletas!U361="Taijijian Chen E", Atletas!U361="Taijijian Chen Standard E"),926,IF(Atletas!U361="Taijijian Sun E",927,IF(Atletas!U361="Taijijian Wu E",928,IF(Atletas!U361="Taijijian Wu-Hao E",929,IF(OR(Atletas!U361="Taijijian 32 E",Atletas!U361="Taijijian 42 E"),930,IF(OR(Atletas!U361="Taijijian Yang F",Atletas!U361="Taijijian Yang Standard F"),931,IF(OR(Atletas!U361="Taijijian Chen F", Atletas!U361="Taijijian Chen Standard F"),932,IF(Atletas!U361="Taijijian Sun F",933,IF(Atletas!U361="Taijijian Wu F",934,IF(Atletas!U361="Taijijian Wu-Hao F",935,IF(OR(Atletas!U361="Taijijian 32 F",Atletas!U361="Taijijian 42 F"),936,"")))))))))))))))))))))))))))))))))))))</f>
        <v/>
      </c>
      <c r="CD370" s="50" t="str">
        <f>IF(Atletas!V361="","",IF(Atletas!X361&lt;&gt;"",10000,0)+IF(Atletas!B361="Feminino",1000,IF(Atletas!B361="Masculino",2000,""))+IF(Atletas!V361="Taijidao A",937,IF(Atletas!V361="TaijiShanzi A",938,IF(Atletas!V361="Taijiqiang A",939,IF(Atletas!V361="Bagua de Arma A",940,IF(Atletas!V361="Xingyi de Arma A",941,IF(Atletas!V361="Taijidao B",942,IF(Atletas!V361="TaijiShanzi B",943,IF(Atletas!V361="Taijiqiang B",944,IF(Atletas!V361="Bagua de Arma B",945,IF(Atletas!V361="Xingyi de Arma B",946,IF(Atletas!V361="Taijidao C",947,IF(Atletas!V361="TaijiShanzi C",948,IF(Atletas!V361="Taijiqiang C",949,IF(Atletas!V361="Bagua de Arma C",950,IF(Atletas!V361="Xingyi de Arma C",951,IF(Atletas!V361="Taijidao D",952,IF(Atletas!V361="TaijiShanzi D",953,IF(Atletas!V361="Taijiqiang D",954,IF(Atletas!V361="Bagua de Arma D",955,IF(Atletas!V361="Xingyi de Arma D",956,IF(Atletas!V361="Taijidao E",957,IF(Atletas!V361="TaijiShanzi E",958,IF(Atletas!V361="Taijiqiang E",959,IF(Atletas!V361="Bagua de Arma E",960,IF(Atletas!V361="Xingyi de Arma E",961,IF(Atletas!V361="Taijidao F",962,IF(Atletas!V361="TaijiShanzi F",963,IF(Atletas!V361="Taijiqiang F",964,IF(Atletas!V361="Bagua de Arma F",965,IF(Atletas!V361="Xingyi de Arma F",966,"")))))))))))))))))))))))))))))))</f>
        <v/>
      </c>
      <c r="CE370" s="66"/>
      <c r="CF370" s="66"/>
      <c r="CG370" s="66"/>
      <c r="CH370" s="66"/>
      <c r="CJ370" s="66"/>
      <c r="CL370" s="66"/>
      <c r="CM370" s="50" t="str">
        <f xml:space="preserve"> IF(Atletas!W361="","",IF(Atletas!W361="Duilian de Mãos BC - Equipe 1",1,IF(Atletas!W361="Duilian de Mãos BC - Equipe 2",2,IF(Atletas!W361="Duilian de Armas BC - Equipe 1",3,IF(Atletas!W361="Duilian de Armas BC - Equipe 2",4,IF(Atletas!W361="Duilian de Mãos DE - Equipe 1",5,IF(Atletas!W361="Duilian de Mãos DE - Equipe 2",6,IF(Atletas!W361="Duilian de Armas DE - Equipe 1",7,IF(Atletas!W361="Duilian de Armas DE - Equipe 2",8,IF(Atletas!W361="Duilian de Tuishou - Equipe 1",9,IF(Atletas!W361="Duilian de Tuishou - Equipe 2",10,IF(Atletas!W361="Grupo Externo ABC - Equipe 1",11,IF(Atletas!W361="Grupo Externo ABC - Equipe 2",12,IF(Atletas!W361="Grupo Interno ABC - Equipe 1",13,IF(Atletas!W361="Grupo Interno ABC - Equipe 2",14,IF(Atletas!W361="Grupo Externo DEF - Equipe 1",15,IF(Atletas!W361="Grupo Externo DEF - Equipe 2",16,IF(Atletas!W361="Grupo Interno DEF - Equipe 1",17,IF(Atletas!W361="Grupo Interno DEF - Equipe 2",18,"")))))))))))))))))))</f>
        <v/>
      </c>
    </row>
    <row r="371" spans="40:91">
      <c r="AN371" s="52" t="str">
        <f>IF(Atletas!D362="","",IF(Atletas!B362="Feminino",100,IF(Atletas!B362="Masculino",200,""))+(IF(Atletas!D362="Kids 30kg",1,IF(Atletas!D362="Kids 32kg",2, IF(Atletas!D362="Kids 34kg",3,IF(Atletas!D362="Kids 36kg",4,IF(Atletas!D362="Kids 39kg",5,IF(Atletas!D362="Kids 42kg",6,IF(Atletas!D362="Kids 45kg",7, IF(Atletas!D362="Infantil 39kg",8,IF(Atletas!D362="Infantil 42kg",9,IF(Atletas!D362="Infantil 45kg",10,IF(Atletas!D362="Infantil 48kg",11,IF(Atletas!D362="Infantil 52kg",12,IF(Atletas!D362="Infantil 56kg",13,IF(Atletas!D362="Infantil 60kg",14,IF(Atletas!D362="Juvenil 48kg",15,IF(Atletas!D362="Juvenil 52kg",16,IF(Atletas!D362="Juvenil 56kg",17,IF(Atletas!D362="Juvenil 60kg",18,IF(Atletas!D362="Juvenil 65kg",19,IF(Atletas!D362="Juvenil 70kg",20,IF(Atletas!D362="Juvenil 75kg",21,IF(Atletas!D362="Juvenil 80kg",22, IF(Atletas!D362="Juvenil 85kg",23,IF(Atletas!D362="Adulto 48kg",24,IF(Atletas!D362="Adulto 52kg",25,IF(Atletas!D362="Adulto 56kg",26,IF(Atletas!D362="Adulto 60kg",27,IF(Atletas!D362="Adulto 65kg",28,IF(Atletas!D362="Adulto 70kg",29,IF(Atletas!D362="Adulto 75kg",30,IF(Atletas!D362="Adulto 80kg",31,IF(Atletas!D362="Adulto 85kg",32,IF(Atletas!D362="Adulto 90kg",33,IF(Atletas!D362="Adulto 100kg",34, IF(Atletas!D362="Adulto +100kg",35,"")))))))))))))))))))))))))))))))))))))</f>
        <v/>
      </c>
      <c r="AS371" s="6" t="str">
        <f>IF(Atletas!E362="","",IF(Atletas!B362="Feminino",100,IF(Atletas!B362="Masculino",200,""))+(IF(Atletas!E362="Juvenil 44kg",1,IF(Atletas!E362="Juvenil 48kg",2,IF(Atletas!E362="Juvenil 52kg",3,IF(Atletas!E362="Juvenil 56kg",4,IF(Atletas!E362="Juvenil 60kg",5,IF(Atletas!E362="Juvenil 65kg",6,IF(Atletas!E362="Juvenil 70kg",7,IF(Atletas!E362="Juvenil 75kg",8,IF(Atletas!E362="Juvenil 82kg",9,IF(Atletas!E362="Juvenil 90kg",10,IF(Atletas!E362="Juvenil 100kg",11,IF(Atletas!E362="Adulto 48kg",12,IF(Atletas!E362="Adulto 52kg",13,IF(Atletas!E362="Adulto 56kg",14,IF(Atletas!E362="Adulto 60kg",15,IF(Atletas!E362="Adulto 65kg",16,IF(Atletas!E362="Adulto 70kg",17,IF(Atletas!E362="Adulto 75kg",18,IF(Atletas!E362="Adulto 82kg",19,IF(Atletas!E362="Adulto 90kg",20,IF(Atletas!E362="Adulto 100kg",21,IF(Atletas!E362="Adulto +100kg",22,""))))))))))))))))))))))))</f>
        <v/>
      </c>
      <c r="AX371" s="6" t="str">
        <f>IF(Atletas!F362="","",IF(Atletas!B362="Feminino",100,IF(Atletas!B362="Masculino",200,""))+(IF(Atletas!F362="Adulto 48kg",1,IF(Atletas!F362="Adulto 56kg",2,IF(Atletas!F362="Adulto 65kg",3,IF(Atletas!F362="Adulto 75kg",4,IF(Atletas!F362="Adulto +75kg",5,IF(Atletas!F362="Adulto 52kg",6,IF(Atletas!F362="Adulto 60kg",7,IF(Atletas!F362="Adulto 70kg",8,IF(Atletas!F362="Adulto 80kg",9,IF(Atletas!F362="Adulto 90kg",10,IF(Atletas!F362="Adulto +90kg",11,"")))))))))))))</f>
        <v/>
      </c>
      <c r="BC371" s="6" t="str">
        <f>IF(Atletas!G362="","",IF(Atletas!B362="Feminino",10,IF(Atletas!B362="Masculino",20,""))+(IF(Atletas!G362="Baduanjin A",1,IF(Atletas!G362="Baduanjin B",2))))</f>
        <v/>
      </c>
      <c r="BF371" s="52" t="str">
        <f>IF(Atletas!H362="","",IF(Atletas!B362="Feminino",100,IF(Atletas!B362="Masculino",200,""))+(IF(Atletas!H362="Changquan Mirim",1,IF(Atletas!H362="Nanquan Mirim",2,IF(Atletas!H362="Taijiquan Mirim",3,IF(Atletas!H362="Changquan Grupo C",4,IF(Atletas!H362="Nanquan Grupo C",5,IF(Atletas!H362="Taijiquan Grupo C",6,IF(Atletas!H362="Changquan Grupo B",7,IF(Atletas!H362="Nanquan Grupo B",8,IF(Atletas!H362="Taijiquan Grupo B",9,IF(Atletas!H362="Changquan Grupo A",10,IF(Atletas!H362="Nanquan Grupo A",11,IF(Atletas!H362="Taijiquan Grupo A",12,IF(Atletas!H362="Changquan Opcional",13,IF(Atletas!H362="Nanquan Opcional",14,IF(Atletas!H362="Taijiquan Opcional",15,IF(Atletas!H362="Changquan Adulto",16,IF(Atletas!H362="Nanquan Adulto",17,IF(Atletas!H362="Taijiquan Adulto",18,""))))))))))))))))))))</f>
        <v/>
      </c>
      <c r="BG371" s="52" t="str">
        <f>IF(Atletas!I362="","",IF(Atletas!B362="Feminino",100,IF(Atletas!B362="Masculino",200,""))+(IF(Atletas!I362="Daoshu Mirim",19,IF(Atletas!I362="Jianshu Mirim",20,IF(Atletas!I362="Nandao Mirim",21,IF(Atletas!I362="Taijijian Mirim",22,IF(Atletas!I362="Daoshu Grupo C",23,IF(Atletas!I362="Jianshu Grupo C",24,IF(Atletas!I362="Nandao Grupo C",25,IF(Atletas!I362="Taijijian Grupo C",26,IF(Atletas!I362="Daoshu Grupo B",27,IF(Atletas!I362="Jianshu Grupo B",28,IF(Atletas!I362="Nandao Grupo B",29,IF(Atletas!I362="Taijijian Grupo B",30,IF(Atletas!I362="Daoshu Grupo A",31,IF(Atletas!I362="Jianshu Grupo A",32,IF(Atletas!I362="Nandao Grupo A",33,IF(Atletas!I362="Taijijian Grupo A",34,IF(Atletas!I362="Daoshu Opcional",35,IF(Atletas!I362="Jianshu Opcional",36,IF(Atletas!I362="Nandao Opcional",37,IF(Atletas!I362="Taijijian Opcional",38,IF(Atletas!I362="Daoshu Adulto",39,IF(Atletas!I362="Jianshu Adulto",40,IF(Atletas!I362="Nandao Adulto",41,IF(Atletas!I362="Taijijian Adulto",42,""))))))))))))))))))))))))))</f>
        <v/>
      </c>
      <c r="BH371" s="52" t="str">
        <f>IF(Atletas!J362="","",IF(Atletas!B362="Feminino",100,IF(Atletas!B362="Masculino",200,""))+(IF(Atletas!J362="Gunshu Mirim",43,IF(Atletas!J362="Qiangshu Mirim",44,IF(Atletas!J362="Nangun Mirim",45,IF(Atletas!J362="Gunshu Grupo C",46,IF(Atletas!J362="Qiangshu Grupo C",47,IF(Atletas!J362="Nangun Grupo C",48,IF(Atletas!J362="Gunshu Grupo B",49,IF(Atletas!J362="Qiangshu Grupo B",50,IF(Atletas!J362="Nangun Grupo B",51,IF(Atletas!J362="Gunshu Grupo A",52,IF(Atletas!J362="Qiangshu Grupo A",53,IF(Atletas!J362="Nangun Grupo A",54,IF(Atletas!J362="Gunshu Opcional",55,IF(Atletas!J362="Qiangshu Opcional",56,IF(Atletas!J362="Nangun Opcional",57,IF(Atletas!J362="Gunshu Adulto",58,IF(Atletas!J362="Qiangshu Adulto",59,IF(Atletas!J362="Nangun Adulto",60,IF(Atletas!J362="Taijishan Grupo B",61,IF(Atletas!J362="Taijishan Grupo A",62,""))))))))))))))))))))))</f>
        <v/>
      </c>
      <c r="BM371" s="50" t="str">
        <f>IF(Atletas!K362="","",IF(Atletas!B362="Feminino",100,IF(Atletas!B362="Masculino",200,""))+(IF(Atletas!K362="Equipe 1 Grupo B",1,IF(Atletas!K362="Equipe 2 Grupo B",2,IF(Atletas!K362="Equipe 1 Grupo A",3,IF(Atletas!K362="Equipe 2 Grupo A",4,IF(Atletas!K362="Equipe 1 Adulto",5,IF(Atletas!K362="Equipe 2 Adulto",6,""))))))))</f>
        <v/>
      </c>
      <c r="BR371" s="50" t="str">
        <f>IF(Atletas!L362="","",IF(Atletas!X362&lt;&gt;"",10000,0)+(IF(Atletas!B362="Feminino",1000,IF(Atletas!B362="Masculino",2000,""))+IF(Atletas!L362="Choylayfut A",1,IF(Atletas!L362="Hunggar A",2,IF(Atletas!L362="Wuzuquan A",3,IF(Atletas!L362="Wingchun A",4,IF(Atletas!L362="Outra Mão de Sul A",5,IF(Atletas!L362="Choylayfut B",6,IF(Atletas!L362="Hunggar B",7,IF(Atletas!L362="Wuzuquan B",8,IF(Atletas!L362="Wingchun B",9,IF(Atletas!L362="Outra Mão de Sul B",10,IF(Atletas!L362="Choylayfut C",11,IF(Atletas!L362="Hunggar C",12,IF(Atletas!L362="Wuzuquan C",13,IF(Atletas!L362="Wingchun C",14,IF(Atletas!L362="Outra Mão de Sul C",15,IF(Atletas!L362="Choylayfut D",16,IF(Atletas!L362="Hunggar D",17,IF(Atletas!L362="Wuzuquan D",18,IF(Atletas!L362="Wingchun D",19,IF(Atletas!L362="Outra Mão de Sul D",20,IF(Atletas!L362="Choylayfut E",21,IF(Atletas!L362="Hunggar E",22,IF(Atletas!L362="Wuzuquan E",23,IF(Atletas!L362="Wingchun E",24,IF(Atletas!L362="Outra Mão de Sul E",25,IF(Atletas!L362="Choylayfut F",26,IF(Atletas!L362="Hunggar F",27,IF(Atletas!L362="Wuzuquan F",28,IF(Atletas!L362="Wingchun F",29,IF(Atletas!L362="Outra Mão de Sul F",30,IF(Atletas!L362="Dishuquan A",31,IF(Atletas!L362="Dishuquan B",32,IF(Atletas!L362="Dishuquan C",33,IF(Atletas!L362="Dishuquan D",34,IF(Atletas!L362="Dishuquan E",35,IF(Atletas!L362="Dishuquan F",36,""))))))))))))))))))))))))))))))))))))))</f>
        <v/>
      </c>
      <c r="BS371" s="50" t="str">
        <f>IF(Atletas!M362="","",IF(Atletas!X362&lt;&gt;"",10000,0)+(IF(Atletas!B362="Feminino",1000,IF(Atletas!B362="Masculino",2000,""))+(IF(Atletas!M362="Chaquan A",101,IF(Atletas!M362="Emeiquan A",102,IF(Atletas!M362="Fanziquan A",103,IF(Atletas!M362="Huaquan A",104,IF(Atletas!M362="Hongquan A",105,IF(Atletas!M362="Paoquan A",106,IF(Atletas!M362="Piguaquan A",107,IF(Atletas!M362="Shaolinquan A",108,IF(Atletas!M362="Tanglangquan A",109,IF(Atletas!M362="Yingzhaoquan A",110,IF(Atletas!M362="Tongbeiquan A",111,IF(Atletas!M362="Wudangquan A",112,IF(Atletas!M362="Outros Estilos A",113,IF(Atletas!M362="Chaquan B",114,IF(Atletas!M362="Emeiquan B",115,IF(Atletas!M362="Fanziquan B",116,IF(Atletas!M362="Huaquan B",117,IF(Atletas!M362="Hongquan B",118,IF(Atletas!M362="Paoquan B",119,IF(Atletas!M362="Piguaquan B",120,IF(Atletas!M362="Shaolinquan B",121,IF(Atletas!M362="Tanglangquan B",122,IF(Atletas!M362="Yingzhaoquan B",123,IF(Atletas!M362="Tongbeiquan B",124,IF(Atletas!M362="Wudangquan B",125,IF(Atletas!M362="Outros Estilos B",126,IF(Atletas!M362="Chaquan C",127,IF(Atletas!M362="Emeiquan C",128,IF(Atletas!M362="Fanziquan C",129,IF(Atletas!M362="Huaquan C",130,IF(Atletas!M362="Hongquan C",131,IF(Atletas!M362="Paoquan C",132,IF(Atletas!M362="Piguaquan C",133,IF(Atletas!M362="Shaolinquan C",134,IF(Atletas!M362="Tanglangquan C",135,IF(Atletas!M362="Yingzhaoquan C",136,IF(Atletas!M362="Tongbeiquan C",137,IF(Atletas!M362="Wudangquan C",138,IF(Atletas!M362="Outros Estilos C",139,0))))))))))))))))))))))))))))))))))))))))))</f>
        <v/>
      </c>
      <c r="BT371" s="50" t="str">
        <f>IF(Atletas!M362="","",IF(Atletas!X362&lt;&gt;"",10000,0)+(IF(Atletas!B362="Feminino",1000,IF(Atletas!B362="Masculino",2000,""))+(IF(Atletas!M362="Chaquan D",140,IF(Atletas!M362="Emeiquan D",141,IF(Atletas!M362="Fanziquan D",142,IF(Atletas!M362="Huaquan D",143,IF(Atletas!M362="Hongquan D",144,IF(Atletas!M362="Paoquan D",145,IF(Atletas!M362="Piguaquan D",146,IF(Atletas!M362="Shaolinquan D",147,IF(Atletas!M362="Tanglangquan D",148,IF(Atletas!M362="Yingzhaoquan D",149,IF(Atletas!M362="Tongbeiquan D",150,IF(Atletas!M362="Wudangquan D",151,IF(Atletas!M362="Outros Estilos D",152,IF(Atletas!M362="Chaquan E",153,IF(Atletas!M362="Emeiquan E",154,IF(Atletas!M362="Fanziquan E",155,IF(Atletas!M362="Huaquan E",156,IF(Atletas!M362="Hongquan E",157,IF(Atletas!M362="Paoquan E",158,IF(Atletas!M362="Piguaquan E",159,IF(Atletas!M362="Shaolinquan E",160,IF(Atletas!M362="Tanglangquan E",161,IF(Atletas!M362="Yingzhaoquan E",162,IF(Atletas!M362="Tongbeiquan E",163,IF(Atletas!M362="Wudangquan E",164,IF(Atletas!M362="Outros Estilos E",165,IF(Atletas!M362="Chaquan F",166,IF(Atletas!M362="Emeiquan F",167,IF(Atletas!M362="Fanziquan F",168,IF(Atletas!M362="Huaquan F",169,IF(Atletas!M362="Hongquan F",170,IF(Atletas!M362="Paoquan F",171,IF(Atletas!M362="Piguaquan F",172,IF(Atletas!M362="Shaolinquan F",173,IF(Atletas!M362="Tanglangquan F",174,IF(Atletas!M362="Yingzhaoquan F",175,IF(Atletas!M362="Tongbeiquan F",176,IF(Atletas!M362="Wudangquan F",177,IF(Atletas!M362="Outros Estilos F",178,0))))))))))))))))))))))))))))))))))))))))))</f>
        <v/>
      </c>
      <c r="BU371" s="50" t="str">
        <f>IF(Atletas!N362="","",IF(Atletas!X362&lt;&gt;"",10000,0)+(IF(Atletas!B362="Feminino",1000,IF(Atletas!B362="Masculino",2000,""))+(IF(Atletas!N362="Ditangquan A",201,IF(Atletas!N362="Houquan A",202,IF(Atletas!N362="Zuiquan A",203,IF(Atletas!N362="Ditangquan B",204,IF(Atletas!N362="Houquan B",205,IF(Atletas!N362="Zuiquan B",206,IF(Atletas!N362="Ditangquan C",207,IF(Atletas!N362="Houquan C",208,IF(Atletas!N362="Zuiquan C",209,IF(Atletas!N362="Ditangquan D",210,IF(Atletas!N362="Houquan D",211,IF(Atletas!N362="Zuiquan D",212,IF(Atletas!N362="Ditangquan E",213,IF(Atletas!N362="Houquan E",214,IF(Atletas!N362="Zuiquan E",215,IF(Atletas!N362="Ditangquan F",216,IF(Atletas!N362="Houquan F",217,IF(Atletas!N362="Zuiquan F",218,"")))))))))))))))))))))</f>
        <v/>
      </c>
      <c r="BV371" s="50" t="str">
        <f>IF(Atletas!O362="","",IF(Atletas!X362&lt;&gt;"",10000,0)+IF(Atletas!B362="Feminino",1000,IF(Atletas!B362="Masculino",2000,""))+IF(Atletas!O362="Yang A",301,IF(Atletas!O362="Chen A",302,IF(Atletas!O362="Sun A",303,IF(Atletas!O362="Wu A",304,IF(Atletas!O362="Wu-Hao A",305,IF(Atletas!O362="Outro Taijiquan A",306,IF(Atletas!O362="Yang B",307,IF(Atletas!O362="Chen B",308,IF(Atletas!O362="Sun B",309,IF(Atletas!O362="Wu B",310,IF(Atletas!O362="Wu-Hao B",311,IF(Atletas!O362="Outro Taijiquan B",312,IF(Atletas!O362="Yang C",313,IF(Atletas!O362="Chen C",314,IF(Atletas!O362="Sun C",315,IF(Atletas!O362="Wu C",316,IF(Atletas!O362="Wu-Hao C",317,IF(Atletas!O362="Outro Taijiquan C",318,IF(Atletas!O362="Yang D",319,IF(Atletas!O362="Chen D",320,IF(Atletas!O362="Sun D",321,IF(Atletas!O362="Wu D",322,IF(Atletas!O362="Wu-Hao D",323,IF(Atletas!O362="Outro Taijiquan D",324,IF(Atletas!O362="Yang E",325,IF(Atletas!O362="Chen E",326,IF(Atletas!O362="Sun E",327,IF(Atletas!O362="Wu E",328,IF(Atletas!O362="Wu-Hao E",329,IF(Atletas!O362="Outro Taijiquan E",330,IF(Atletas!O362="Yang F",331,IF(Atletas!O362="Chen F",332,IF(Atletas!O362="Sun F",333,IF(Atletas!O362="Wu F",334,IF(Atletas!O362="Wu-Hao F",335,IF(Atletas!O362="Outro Taijiquan F",336,"")))))))))))))))))))))))))))))))))))))</f>
        <v/>
      </c>
      <c r="BW371" s="50" t="str">
        <f>IF(Atletas!P362="","",IF(Atletas!X362&lt;&gt;"",10000,0)+IF(Atletas!B362="Feminino",1000,IF(Atletas!B362="Masculino",2000,""))+IF(OR(Atletas!P362="Yang 26 A",Atletas!P362="Yang 40 A"),401,IF(OR(Atletas!P362="Chen 25 A",Atletas!P362="Chen 36 A",Atletas!P362="Chen 56 A"),402,IF(Atletas!P362="Sun 73 A",403,IF(Atletas!P362="Wu 45 A",404,IF(Atletas!P362="Wu-Hao 46 A",405,IF(OR(Atletas!P362="Taijiquan 16 A",Atletas!P362="Taijiquan 24 A",Atletas!P362="Taijiquan 32 A",Atletas!P362="Taijiquan 42 A"),406,IF(OR(Atletas!P362="Yang 26 B",Atletas!P362="Yang 40 B"),407,IF(OR(Atletas!P362="Chen 25 B",Atletas!P362="Chen 36 B",Atletas!P362="Chen 56 B"),408,IF(Atletas!P362="Sun 73 B",409,IF(Atletas!P362="Wu 45 B",410,IF(Atletas!P362="Wu-Hao 46 B",411,IF(OR(Atletas!P362="Taijiquan 16 B",Atletas!P362="Taijiquan 24 B",Atletas!P362="Taijiquan 32 B",Atletas!P362="Taijiquan 42 B"),412,IF(OR(Atletas!P362="Yang 26 C",Atletas!P362="Yang 40 C"),413,IF(OR(Atletas!P362="Chen 25 C",Atletas!P362="Chen 36 C",Atletas!P362="Chen 56 C"),414,IF(Atletas!P362="Sun 73 C",415,IF(Atletas!P362="Wu 45 C",416,IF(Atletas!P362="Wu-Hao 46 C",417,IF(OR(Atletas!P362="Taijiquan 16 C",Atletas!P362="Taijiquan 24 C",Atletas!P362="Taijiquan 32 C",Atletas!P362="Taijiquan 42 C"),418,0)))))))))))))))))))</f>
        <v/>
      </c>
      <c r="BX371" s="50" t="str">
        <f>IF(Atletas!P362="","",IF(Atletas!X362&lt;&gt;"",10000,0)+IF(Atletas!B362="Feminino",1000,IF(Atletas!B362="Masculino",2000,""))+IF(OR(Atletas!P362="Yang 26 D",Atletas!P362="Yang 40 D"),419,IF(OR(Atletas!P362="Chen 25 D",Atletas!P362="Chen 36 D",Atletas!P362="Chen 56 D"),420,IF(Atletas!P362="Sun 73 D",421,IF(Atletas!P362="Wu 45 D",422,IF(Atletas!P362="Wu-Hao 46 D",423,IF(OR(Atletas!P362="Taijiquan 16 D",Atletas!P362="Taijiquan 24 D",Atletas!P362="Taijiquan 32 D",Atletas!P362="Taijiquan 42 D"),424,IF(OR(Atletas!P362="Yang 26 E",Atletas!P362="Yang 40 E"),425,IF(OR(Atletas!P362="Chen 25 E",Atletas!P362="Chen 36 E",Atletas!P362="Chen 56 E"),426,IF(Atletas!P362="Sun 73 E",427,IF(Atletas!P362="Wu 45 E",428,IF(Atletas!P362="Wu-Hao 46 E",429,IF(OR(Atletas!P362="Taijiquan 16 E",Atletas!P362="Taijiquan 24 E",Atletas!P362="Taijiquan 32 E",Atletas!P362="Taijiquan 42 E"),430,IF(OR(Atletas!P362="Yang 26 F",Atletas!P362="Yang 40 F"),431,IF(OR(Atletas!P362="Chen 25 F",Atletas!P362="Chen 36 F",Atletas!P362="Chen 56 F"),432,IF(Atletas!P362="Sun 73 F",433,IF(Atletas!P362="Wu 45 F",434,IF(Atletas!P362="Wu-Hao 46 F",435,IF(OR(Atletas!P362="Taijiquan 16 F",Atletas!P362="Taijiquan 24 F",Atletas!P362="Taijiquan 32 F",Atletas!P362="Taijiquan 42 F"),436,0)))))))))))))))))))</f>
        <v/>
      </c>
      <c r="BY371" s="50" t="str">
        <f>IF(Atletas!Q362="","",IF(Atletas!X362&lt;&gt;"",10000,0)+IF(Atletas!B362="Feminino",1000,IF(Atletas!B362="Masculino",2000,""))+IF(Atletas!Q362="Xingyiquan A",501,IF(Atletas!Q362="Baguazhang A",502,IF(Atletas!Q362="Outro Estilo Interno A",503,IF(Atletas!Q362="Xingyiquan B",504,IF(Atletas!Q362="Baguazhang B",505,IF(Atletas!Q362="Outro Estilo Interno B",506,IF(Atletas!Q362="Xingyiquan C",507,IF(Atletas!Q362="Baguazhang C",508,IF(Atletas!Q362="Outro Estilo Interno C",509,IF(Atletas!Q362="Xingyiquan D",510,IF(Atletas!Q362="Baguazhang D",511,IF(Atletas!Q362="Outro Estilo Interno D",512,IF(Atletas!Q362="Xingyiquan E",513,IF(Atletas!Q362="Baguazhang E",514,IF(Atletas!Q362="Outro Estilo Interno E",515,IF(Atletas!Q362="Xingyiquan F",516,IF(Atletas!Q362="Baguazhang F",517,IF(Atletas!Q362="Outro Estilo Interno F",518, "")))))))))))))))))))</f>
        <v/>
      </c>
      <c r="BZ371" s="50" t="str">
        <f>IF(Atletas!R362="","",IF(Atletas!X362&lt;&gt;"",10000,0)+IF(Atletas!B362="Feminino",1000,IF(Atletas!B362="Masculino",2000,""))+IF(Atletas!R362="Dao A",601,IF(Atletas!R362="Jian A",602,IF(Atletas!R362="Bishou A",603,IF(Atletas!R362="Shanzi A",604,IF(Atletas!R362="Outra Arma Curta A",605,IF(Atletas!R362="Dao B",606,IF(Atletas!R362="Jian B",607,IF(Atletas!R362="Bishou B",608,IF(Atletas!R362="Shanzi B",609,IF(Atletas!R362="Outra Arma Curta B",610,IF(Atletas!R362="Dao C",611,IF(Atletas!R362="Jian C",612,IF(Atletas!R362="Bishou C",613,IF(Atletas!R362="Shanzi C",614,IF(Atletas!R362="Outra Arma Curta C",615,IF(Atletas!R362="Dao D",616,IF(Atletas!R362="Jian D",617,IF(Atletas!R362="Bishou D",618,IF(Atletas!R362="Shanzi D",619,IF(Atletas!R362="Outra Arma Curta D",620,IF(Atletas!R362="Dao E",621,IF(Atletas!R362="Jian E",622,IF(Atletas!R362="Bishou E",623,IF(Atletas!R362="Shanzi E",624,IF(Atletas!R362="Outra Arma Curta E",625,IF(Atletas!R362="Dao F",626,IF(Atletas!R362="Jian F",627,IF(Atletas!R362="Bishou F",628,IF(Atletas!R362="Shanzi F",629,IF(Atletas!R362="Outra Arma Curta F",630, "")))))))))))))))))))))))))))))))</f>
        <v/>
      </c>
      <c r="CA371" s="50" t="str">
        <f>IF(Atletas!S362="","",IF(Atletas!X362&lt;&gt;"",10000,0)+IF(Atletas!B362="Feminino",1000,IF(Atletas!B362="Masculino",2000,""))+IF(Atletas!S362="Gun A",701,IF(Atletas!S362="Qiang A",702,IF(Atletas!S362="Pudao / Guandao A",703,IF(Atletas!S362="Outra Arma Longa A",704,IF(Atletas!S362="Gun B",705,IF(Atletas!S362="Qiang B",706,IF(Atletas!S362="Pudao / Guandao B",707,IF(Atletas!S362="Outra Arma Longa B",708,IF(Atletas!S362="Gun C",709,IF(Atletas!S362="Qiang C",710,IF(Atletas!S362="Pudao / Guandao C",711,IF(Atletas!S362="Outra Arma Longa C",712,IF(Atletas!S362="Gun D",713,IF(Atletas!S362="Qiang D",714,IF(Atletas!S362="Pudao / Guandao D",715,IF(Atletas!S362="Outra Arma Longa D",716,IF(Atletas!S362="Gun E",717,IF(Atletas!S362="Qiang E",718,IF(Atletas!S362="Pudao / Guandao E",719,IF(Atletas!S362="Outra Arma Longa E",720,IF(Atletas!S362="Gun F",721,IF(Atletas!S362="Qiang F",722,IF(Atletas!S362="Pudao / Guandao F",723,IF(Atletas!S362="Outra Arma Longa F",724,"")))))))))))))))))))))))))</f>
        <v/>
      </c>
      <c r="CB371" s="50" t="str">
        <f>IF(Atletas!T362="","",IF(Atletas!X362&lt;&gt;"",10000,0)+IF(Atletas!B362="Feminino",1000,IF(Atletas!B362="Masculino",2000,""))+IF(Atletas!T362="Outra Arma Dupla A",801,IF(Atletas!T362="Arma Maleável A",802,IF(Atletas!T362="Outra Arma Dupla B",803,IF(Atletas!T362="Arma Maleável B",804,IF(Atletas!T362="Outra Arma Dupla C",805,IF(Atletas!T362="Arma Maleável C",806,IF(Atletas!T362="Outra Arma Dupla D",807,IF(Atletas!T362="Arma Maleável D",808,IF(Atletas!T362="Outra Arma Dupla E",809,IF(Atletas!T362="Arma Maleável E",810,IF(Atletas!T362="Outra Arma Dupla F",811,IF(Atletas!T362="Arma Maleável F",812,IF(Atletas!T362="Shuangdao A",813,IF(Atletas!T362="Shuangdao B",814,IF(Atletas!T362="Shuangdao C",815,IF(Atletas!T362="Shuangdao D",816,IF(Atletas!T362="Shuangdao E",817,IF(Atletas!T362="Shuangdao F",818,"")))))))))))))))))))</f>
        <v/>
      </c>
      <c r="CC371" s="50" t="str">
        <f>IF(Atletas!U362="","",IF(Atletas!X362&lt;&gt;"",10000,0)+IF(Atletas!B362="Feminino",1000,IF(Atletas!B362="Masculino",2000,""))+IF(OR(Atletas!U362="Taijijian Yang A",Atletas!U362="Taijijian Yang Standard A"),901,IF(OR(Atletas!U362="Taijijian Chen A", Atletas!U362="Taijijian Chen Standard A"),902,IF(Atletas!U362="Taijijian Sun A",903,IF(Atletas!U362="Taijijian Wu A",904,IF(Atletas!U362="Taijijian Wu-Hao A",905,IF(OR(Atletas!U362="Taijijian 32 A",Atletas!U362="Taijijian 42 A"),906,IF(OR(Atletas!U362="Taijijian Yang B",Atletas!U362="Taijijian Yang Standard B"),907,IF(OR(Atletas!U362="Taijijian Chen B", Atletas!U362="Taijijian Chen Standard B"),908,IF(Atletas!U362="Taijijian Sun B",909,IF(Atletas!U362="Taijijian Wu B",910,IF(Atletas!U362="Taijijian Wu-Hao B",911,IF(OR(Atletas!U362="Taijijian 32 B",Atletas!U362="Taijijian 42 B"),912,IF(OR(Atletas!U362="Taijijian Yang C",Atletas!U362="Taijijian Yang Standard C"),913,IF(OR(Atletas!U362="Taijijian Chen C", Atletas!U362="Taijijian Chen Standard C"),914,IF(Atletas!U362="Taijijian Sun C",915,IF(Atletas!U362="Taijijian Wu C",916,IF(Atletas!U362="Taijijian Wu-Hao C",917,IF(OR(Atletas!U362="Taijijian 32 C",Atletas!U362="Taijijian 42 C"),918,IF(OR(Atletas!U362="Taijijian Yang D",Atletas!U362="Taijijian Yang Standard D"),919,IF(OR(Atletas!U362="Taijijian Chen D", Atletas!U362="Taijijian Chen Standard D"),920,IF(Atletas!U362="Taijijian Sun D",921,IF(Atletas!U362="Taijijian Wu D",922,IF(Atletas!U362="Taijijian Wu-Hao D",923,IF(OR(Atletas!U362="Taijijian 32 D",Atletas!U362="Taijijian 42 D"),924,IF(OR(Atletas!U362="Taijijian Yang E",Atletas!U362="Taijijian Yang Standard E"),925,IF(OR(Atletas!U362="Taijijian Chen E", Atletas!U362="Taijijian Chen Standard E"),926,IF(Atletas!U362="Taijijian Sun E",927,IF(Atletas!U362="Taijijian Wu E",928,IF(Atletas!U362="Taijijian Wu-Hao E",929,IF(OR(Atletas!U362="Taijijian 32 E",Atletas!U362="Taijijian 42 E"),930,IF(OR(Atletas!U362="Taijijian Yang F",Atletas!U362="Taijijian Yang Standard F"),931,IF(OR(Atletas!U362="Taijijian Chen F", Atletas!U362="Taijijian Chen Standard F"),932,IF(Atletas!U362="Taijijian Sun F",933,IF(Atletas!U362="Taijijian Wu F",934,IF(Atletas!U362="Taijijian Wu-Hao F",935,IF(OR(Atletas!U362="Taijijian 32 F",Atletas!U362="Taijijian 42 F"),936,"")))))))))))))))))))))))))))))))))))))</f>
        <v/>
      </c>
      <c r="CD371" s="50" t="str">
        <f>IF(Atletas!V362="","",IF(Atletas!X362&lt;&gt;"",10000,0)+IF(Atletas!B362="Feminino",1000,IF(Atletas!B362="Masculino",2000,""))+IF(Atletas!V362="Taijidao A",937,IF(Atletas!V362="TaijiShanzi A",938,IF(Atletas!V362="Taijiqiang A",939,IF(Atletas!V362="Bagua de Arma A",940,IF(Atletas!V362="Xingyi de Arma A",941,IF(Atletas!V362="Taijidao B",942,IF(Atletas!V362="TaijiShanzi B",943,IF(Atletas!V362="Taijiqiang B",944,IF(Atletas!V362="Bagua de Arma B",945,IF(Atletas!V362="Xingyi de Arma B",946,IF(Atletas!V362="Taijidao C",947,IF(Atletas!V362="TaijiShanzi C",948,IF(Atletas!V362="Taijiqiang C",949,IF(Atletas!V362="Bagua de Arma C",950,IF(Atletas!V362="Xingyi de Arma C",951,IF(Atletas!V362="Taijidao D",952,IF(Atletas!V362="TaijiShanzi D",953,IF(Atletas!V362="Taijiqiang D",954,IF(Atletas!V362="Bagua de Arma D",955,IF(Atletas!V362="Xingyi de Arma D",956,IF(Atletas!V362="Taijidao E",957,IF(Atletas!V362="TaijiShanzi E",958,IF(Atletas!V362="Taijiqiang E",959,IF(Atletas!V362="Bagua de Arma E",960,IF(Atletas!V362="Xingyi de Arma E",961,IF(Atletas!V362="Taijidao F",962,IF(Atletas!V362="TaijiShanzi F",963,IF(Atletas!V362="Taijiqiang F",964,IF(Atletas!V362="Bagua de Arma F",965,IF(Atletas!V362="Xingyi de Arma F",966,"")))))))))))))))))))))))))))))))</f>
        <v/>
      </c>
      <c r="CE371" s="66"/>
      <c r="CF371" s="66"/>
      <c r="CG371" s="66"/>
      <c r="CH371" s="66"/>
      <c r="CJ371" s="66"/>
      <c r="CL371" s="66"/>
      <c r="CM371" s="50" t="str">
        <f xml:space="preserve"> IF(Atletas!W362="","",IF(Atletas!W362="Duilian de Mãos BC - Equipe 1",1,IF(Atletas!W362="Duilian de Mãos BC - Equipe 2",2,IF(Atletas!W362="Duilian de Armas BC - Equipe 1",3,IF(Atletas!W362="Duilian de Armas BC - Equipe 2",4,IF(Atletas!W362="Duilian de Mãos DE - Equipe 1",5,IF(Atletas!W362="Duilian de Mãos DE - Equipe 2",6,IF(Atletas!W362="Duilian de Armas DE - Equipe 1",7,IF(Atletas!W362="Duilian de Armas DE - Equipe 2",8,IF(Atletas!W362="Duilian de Tuishou - Equipe 1",9,IF(Atletas!W362="Duilian de Tuishou - Equipe 2",10,IF(Atletas!W362="Grupo Externo ABC - Equipe 1",11,IF(Atletas!W362="Grupo Externo ABC - Equipe 2",12,IF(Atletas!W362="Grupo Interno ABC - Equipe 1",13,IF(Atletas!W362="Grupo Interno ABC - Equipe 2",14,IF(Atletas!W362="Grupo Externo DEF - Equipe 1",15,IF(Atletas!W362="Grupo Externo DEF - Equipe 2",16,IF(Atletas!W362="Grupo Interno DEF - Equipe 1",17,IF(Atletas!W362="Grupo Interno DEF - Equipe 2",18,"")))))))))))))))))))</f>
        <v/>
      </c>
    </row>
    <row r="372" spans="40:91">
      <c r="AN372" s="52" t="str">
        <f>IF(Atletas!D363="","",IF(Atletas!B363="Feminino",100,IF(Atletas!B363="Masculino",200,""))+(IF(Atletas!D363="Kids 30kg",1,IF(Atletas!D363="Kids 32kg",2, IF(Atletas!D363="Kids 34kg",3,IF(Atletas!D363="Kids 36kg",4,IF(Atletas!D363="Kids 39kg",5,IF(Atletas!D363="Kids 42kg",6,IF(Atletas!D363="Kids 45kg",7, IF(Atletas!D363="Infantil 39kg",8,IF(Atletas!D363="Infantil 42kg",9,IF(Atletas!D363="Infantil 45kg",10,IF(Atletas!D363="Infantil 48kg",11,IF(Atletas!D363="Infantil 52kg",12,IF(Atletas!D363="Infantil 56kg",13,IF(Atletas!D363="Infantil 60kg",14,IF(Atletas!D363="Juvenil 48kg",15,IF(Atletas!D363="Juvenil 52kg",16,IF(Atletas!D363="Juvenil 56kg",17,IF(Atletas!D363="Juvenil 60kg",18,IF(Atletas!D363="Juvenil 65kg",19,IF(Atletas!D363="Juvenil 70kg",20,IF(Atletas!D363="Juvenil 75kg",21,IF(Atletas!D363="Juvenil 80kg",22, IF(Atletas!D363="Juvenil 85kg",23,IF(Atletas!D363="Adulto 48kg",24,IF(Atletas!D363="Adulto 52kg",25,IF(Atletas!D363="Adulto 56kg",26,IF(Atletas!D363="Adulto 60kg",27,IF(Atletas!D363="Adulto 65kg",28,IF(Atletas!D363="Adulto 70kg",29,IF(Atletas!D363="Adulto 75kg",30,IF(Atletas!D363="Adulto 80kg",31,IF(Atletas!D363="Adulto 85kg",32,IF(Atletas!D363="Adulto 90kg",33,IF(Atletas!D363="Adulto 100kg",34, IF(Atletas!D363="Adulto +100kg",35,"")))))))))))))))))))))))))))))))))))))</f>
        <v/>
      </c>
      <c r="AS372" s="6" t="str">
        <f>IF(Atletas!E363="","",IF(Atletas!B363="Feminino",100,IF(Atletas!B363="Masculino",200,""))+(IF(Atletas!E363="Juvenil 44kg",1,IF(Atletas!E363="Juvenil 48kg",2,IF(Atletas!E363="Juvenil 52kg",3,IF(Atletas!E363="Juvenil 56kg",4,IF(Atletas!E363="Juvenil 60kg",5,IF(Atletas!E363="Juvenil 65kg",6,IF(Atletas!E363="Juvenil 70kg",7,IF(Atletas!E363="Juvenil 75kg",8,IF(Atletas!E363="Juvenil 82kg",9,IF(Atletas!E363="Juvenil 90kg",10,IF(Atletas!E363="Juvenil 100kg",11,IF(Atletas!E363="Adulto 48kg",12,IF(Atletas!E363="Adulto 52kg",13,IF(Atletas!E363="Adulto 56kg",14,IF(Atletas!E363="Adulto 60kg",15,IF(Atletas!E363="Adulto 65kg",16,IF(Atletas!E363="Adulto 70kg",17,IF(Atletas!E363="Adulto 75kg",18,IF(Atletas!E363="Adulto 82kg",19,IF(Atletas!E363="Adulto 90kg",20,IF(Atletas!E363="Adulto 100kg",21,IF(Atletas!E363="Adulto +100kg",22,""))))))))))))))))))))))))</f>
        <v/>
      </c>
      <c r="AX372" s="6" t="str">
        <f>IF(Atletas!F363="","",IF(Atletas!B363="Feminino",100,IF(Atletas!B363="Masculino",200,""))+(IF(Atletas!F363="Adulto 48kg",1,IF(Atletas!F363="Adulto 56kg",2,IF(Atletas!F363="Adulto 65kg",3,IF(Atletas!F363="Adulto 75kg",4,IF(Atletas!F363="Adulto +75kg",5,IF(Atletas!F363="Adulto 52kg",6,IF(Atletas!F363="Adulto 60kg",7,IF(Atletas!F363="Adulto 70kg",8,IF(Atletas!F363="Adulto 80kg",9,IF(Atletas!F363="Adulto 90kg",10,IF(Atletas!F363="Adulto +90kg",11,"")))))))))))))</f>
        <v/>
      </c>
      <c r="BC372" s="6" t="str">
        <f>IF(Atletas!G363="","",IF(Atletas!B363="Feminino",10,IF(Atletas!B363="Masculino",20,""))+(IF(Atletas!G363="Baduanjin A",1,IF(Atletas!G363="Baduanjin B",2))))</f>
        <v/>
      </c>
      <c r="BF372" s="52" t="str">
        <f>IF(Atletas!H363="","",IF(Atletas!B363="Feminino",100,IF(Atletas!B363="Masculino",200,""))+(IF(Atletas!H363="Changquan Mirim",1,IF(Atletas!H363="Nanquan Mirim",2,IF(Atletas!H363="Taijiquan Mirim",3,IF(Atletas!H363="Changquan Grupo C",4,IF(Atletas!H363="Nanquan Grupo C",5,IF(Atletas!H363="Taijiquan Grupo C",6,IF(Atletas!H363="Changquan Grupo B",7,IF(Atletas!H363="Nanquan Grupo B",8,IF(Atletas!H363="Taijiquan Grupo B",9,IF(Atletas!H363="Changquan Grupo A",10,IF(Atletas!H363="Nanquan Grupo A",11,IF(Atletas!H363="Taijiquan Grupo A",12,IF(Atletas!H363="Changquan Opcional",13,IF(Atletas!H363="Nanquan Opcional",14,IF(Atletas!H363="Taijiquan Opcional",15,IF(Atletas!H363="Changquan Adulto",16,IF(Atletas!H363="Nanquan Adulto",17,IF(Atletas!H363="Taijiquan Adulto",18,""))))))))))))))))))))</f>
        <v/>
      </c>
      <c r="BG372" s="52" t="str">
        <f>IF(Atletas!I363="","",IF(Atletas!B363="Feminino",100,IF(Atletas!B363="Masculino",200,""))+(IF(Atletas!I363="Daoshu Mirim",19,IF(Atletas!I363="Jianshu Mirim",20,IF(Atletas!I363="Nandao Mirim",21,IF(Atletas!I363="Taijijian Mirim",22,IF(Atletas!I363="Daoshu Grupo C",23,IF(Atletas!I363="Jianshu Grupo C",24,IF(Atletas!I363="Nandao Grupo C",25,IF(Atletas!I363="Taijijian Grupo C",26,IF(Atletas!I363="Daoshu Grupo B",27,IF(Atletas!I363="Jianshu Grupo B",28,IF(Atletas!I363="Nandao Grupo B",29,IF(Atletas!I363="Taijijian Grupo B",30,IF(Atletas!I363="Daoshu Grupo A",31,IF(Atletas!I363="Jianshu Grupo A",32,IF(Atletas!I363="Nandao Grupo A",33,IF(Atletas!I363="Taijijian Grupo A",34,IF(Atletas!I363="Daoshu Opcional",35,IF(Atletas!I363="Jianshu Opcional",36,IF(Atletas!I363="Nandao Opcional",37,IF(Atletas!I363="Taijijian Opcional",38,IF(Atletas!I363="Daoshu Adulto",39,IF(Atletas!I363="Jianshu Adulto",40,IF(Atletas!I363="Nandao Adulto",41,IF(Atletas!I363="Taijijian Adulto",42,""))))))))))))))))))))))))))</f>
        <v/>
      </c>
      <c r="BH372" s="52" t="str">
        <f>IF(Atletas!J363="","",IF(Atletas!B363="Feminino",100,IF(Atletas!B363="Masculino",200,""))+(IF(Atletas!J363="Gunshu Mirim",43,IF(Atletas!J363="Qiangshu Mirim",44,IF(Atletas!J363="Nangun Mirim",45,IF(Atletas!J363="Gunshu Grupo C",46,IF(Atletas!J363="Qiangshu Grupo C",47,IF(Atletas!J363="Nangun Grupo C",48,IF(Atletas!J363="Gunshu Grupo B",49,IF(Atletas!J363="Qiangshu Grupo B",50,IF(Atletas!J363="Nangun Grupo B",51,IF(Atletas!J363="Gunshu Grupo A",52,IF(Atletas!J363="Qiangshu Grupo A",53,IF(Atletas!J363="Nangun Grupo A",54,IF(Atletas!J363="Gunshu Opcional",55,IF(Atletas!J363="Qiangshu Opcional",56,IF(Atletas!J363="Nangun Opcional",57,IF(Atletas!J363="Gunshu Adulto",58,IF(Atletas!J363="Qiangshu Adulto",59,IF(Atletas!J363="Nangun Adulto",60,IF(Atletas!J363="Taijishan Grupo B",61,IF(Atletas!J363="Taijishan Grupo A",62,""))))))))))))))))))))))</f>
        <v/>
      </c>
      <c r="BM372" s="50" t="str">
        <f>IF(Atletas!K363="","",IF(Atletas!B363="Feminino",100,IF(Atletas!B363="Masculino",200,""))+(IF(Atletas!K363="Equipe 1 Grupo B",1,IF(Atletas!K363="Equipe 2 Grupo B",2,IF(Atletas!K363="Equipe 1 Grupo A",3,IF(Atletas!K363="Equipe 2 Grupo A",4,IF(Atletas!K363="Equipe 1 Adulto",5,IF(Atletas!K363="Equipe 2 Adulto",6,""))))))))</f>
        <v/>
      </c>
      <c r="BR372" s="50" t="str">
        <f>IF(Atletas!L363="","",IF(Atletas!X363&lt;&gt;"",10000,0)+(IF(Atletas!B363="Feminino",1000,IF(Atletas!B363="Masculino",2000,""))+IF(Atletas!L363="Choylayfut A",1,IF(Atletas!L363="Hunggar A",2,IF(Atletas!L363="Wuzuquan A",3,IF(Atletas!L363="Wingchun A",4,IF(Atletas!L363="Outra Mão de Sul A",5,IF(Atletas!L363="Choylayfut B",6,IF(Atletas!L363="Hunggar B",7,IF(Atletas!L363="Wuzuquan B",8,IF(Atletas!L363="Wingchun B",9,IF(Atletas!L363="Outra Mão de Sul B",10,IF(Atletas!L363="Choylayfut C",11,IF(Atletas!L363="Hunggar C",12,IF(Atletas!L363="Wuzuquan C",13,IF(Atletas!L363="Wingchun C",14,IF(Atletas!L363="Outra Mão de Sul C",15,IF(Atletas!L363="Choylayfut D",16,IF(Atletas!L363="Hunggar D",17,IF(Atletas!L363="Wuzuquan D",18,IF(Atletas!L363="Wingchun D",19,IF(Atletas!L363="Outra Mão de Sul D",20,IF(Atletas!L363="Choylayfut E",21,IF(Atletas!L363="Hunggar E",22,IF(Atletas!L363="Wuzuquan E",23,IF(Atletas!L363="Wingchun E",24,IF(Atletas!L363="Outra Mão de Sul E",25,IF(Atletas!L363="Choylayfut F",26,IF(Atletas!L363="Hunggar F",27,IF(Atletas!L363="Wuzuquan F",28,IF(Atletas!L363="Wingchun F",29,IF(Atletas!L363="Outra Mão de Sul F",30,IF(Atletas!L363="Dishuquan A",31,IF(Atletas!L363="Dishuquan B",32,IF(Atletas!L363="Dishuquan C",33,IF(Atletas!L363="Dishuquan D",34,IF(Atletas!L363="Dishuquan E",35,IF(Atletas!L363="Dishuquan F",36,""))))))))))))))))))))))))))))))))))))))</f>
        <v/>
      </c>
      <c r="BS372" s="50" t="str">
        <f>IF(Atletas!M363="","",IF(Atletas!X363&lt;&gt;"",10000,0)+(IF(Atletas!B363="Feminino",1000,IF(Atletas!B363="Masculino",2000,""))+(IF(Atletas!M363="Chaquan A",101,IF(Atletas!M363="Emeiquan A",102,IF(Atletas!M363="Fanziquan A",103,IF(Atletas!M363="Huaquan A",104,IF(Atletas!M363="Hongquan A",105,IF(Atletas!M363="Paoquan A",106,IF(Atletas!M363="Piguaquan A",107,IF(Atletas!M363="Shaolinquan A",108,IF(Atletas!M363="Tanglangquan A",109,IF(Atletas!M363="Yingzhaoquan A",110,IF(Atletas!M363="Tongbeiquan A",111,IF(Atletas!M363="Wudangquan A",112,IF(Atletas!M363="Outros Estilos A",113,IF(Atletas!M363="Chaquan B",114,IF(Atletas!M363="Emeiquan B",115,IF(Atletas!M363="Fanziquan B",116,IF(Atletas!M363="Huaquan B",117,IF(Atletas!M363="Hongquan B",118,IF(Atletas!M363="Paoquan B",119,IF(Atletas!M363="Piguaquan B",120,IF(Atletas!M363="Shaolinquan B",121,IF(Atletas!M363="Tanglangquan B",122,IF(Atletas!M363="Yingzhaoquan B",123,IF(Atletas!M363="Tongbeiquan B",124,IF(Atletas!M363="Wudangquan B",125,IF(Atletas!M363="Outros Estilos B",126,IF(Atletas!M363="Chaquan C",127,IF(Atletas!M363="Emeiquan C",128,IF(Atletas!M363="Fanziquan C",129,IF(Atletas!M363="Huaquan C",130,IF(Atletas!M363="Hongquan C",131,IF(Atletas!M363="Paoquan C",132,IF(Atletas!M363="Piguaquan C",133,IF(Atletas!M363="Shaolinquan C",134,IF(Atletas!M363="Tanglangquan C",135,IF(Atletas!M363="Yingzhaoquan C",136,IF(Atletas!M363="Tongbeiquan C",137,IF(Atletas!M363="Wudangquan C",138,IF(Atletas!M363="Outros Estilos C",139,0))))))))))))))))))))))))))))))))))))))))))</f>
        <v/>
      </c>
      <c r="BT372" s="50" t="str">
        <f>IF(Atletas!M363="","",IF(Atletas!X363&lt;&gt;"",10000,0)+(IF(Atletas!B363="Feminino",1000,IF(Atletas!B363="Masculino",2000,""))+(IF(Atletas!M363="Chaquan D",140,IF(Atletas!M363="Emeiquan D",141,IF(Atletas!M363="Fanziquan D",142,IF(Atletas!M363="Huaquan D",143,IF(Atletas!M363="Hongquan D",144,IF(Atletas!M363="Paoquan D",145,IF(Atletas!M363="Piguaquan D",146,IF(Atletas!M363="Shaolinquan D",147,IF(Atletas!M363="Tanglangquan D",148,IF(Atletas!M363="Yingzhaoquan D",149,IF(Atletas!M363="Tongbeiquan D",150,IF(Atletas!M363="Wudangquan D",151,IF(Atletas!M363="Outros Estilos D",152,IF(Atletas!M363="Chaquan E",153,IF(Atletas!M363="Emeiquan E",154,IF(Atletas!M363="Fanziquan E",155,IF(Atletas!M363="Huaquan E",156,IF(Atletas!M363="Hongquan E",157,IF(Atletas!M363="Paoquan E",158,IF(Atletas!M363="Piguaquan E",159,IF(Atletas!M363="Shaolinquan E",160,IF(Atletas!M363="Tanglangquan E",161,IF(Atletas!M363="Yingzhaoquan E",162,IF(Atletas!M363="Tongbeiquan E",163,IF(Atletas!M363="Wudangquan E",164,IF(Atletas!M363="Outros Estilos E",165,IF(Atletas!M363="Chaquan F",166,IF(Atletas!M363="Emeiquan F",167,IF(Atletas!M363="Fanziquan F",168,IF(Atletas!M363="Huaquan F",169,IF(Atletas!M363="Hongquan F",170,IF(Atletas!M363="Paoquan F",171,IF(Atletas!M363="Piguaquan F",172,IF(Atletas!M363="Shaolinquan F",173,IF(Atletas!M363="Tanglangquan F",174,IF(Atletas!M363="Yingzhaoquan F",175,IF(Atletas!M363="Tongbeiquan F",176,IF(Atletas!M363="Wudangquan F",177,IF(Atletas!M363="Outros Estilos F",178,0))))))))))))))))))))))))))))))))))))))))))</f>
        <v/>
      </c>
      <c r="BU372" s="50" t="str">
        <f>IF(Atletas!N363="","",IF(Atletas!X363&lt;&gt;"",10000,0)+(IF(Atletas!B363="Feminino",1000,IF(Atletas!B363="Masculino",2000,""))+(IF(Atletas!N363="Ditangquan A",201,IF(Atletas!N363="Houquan A",202,IF(Atletas!N363="Zuiquan A",203,IF(Atletas!N363="Ditangquan B",204,IF(Atletas!N363="Houquan B",205,IF(Atletas!N363="Zuiquan B",206,IF(Atletas!N363="Ditangquan C",207,IF(Atletas!N363="Houquan C",208,IF(Atletas!N363="Zuiquan C",209,IF(Atletas!N363="Ditangquan D",210,IF(Atletas!N363="Houquan D",211,IF(Atletas!N363="Zuiquan D",212,IF(Atletas!N363="Ditangquan E",213,IF(Atletas!N363="Houquan E",214,IF(Atletas!N363="Zuiquan E",215,IF(Atletas!N363="Ditangquan F",216,IF(Atletas!N363="Houquan F",217,IF(Atletas!N363="Zuiquan F",218,"")))))))))))))))))))))</f>
        <v/>
      </c>
      <c r="BV372" s="50" t="str">
        <f>IF(Atletas!O363="","",IF(Atletas!X363&lt;&gt;"",10000,0)+IF(Atletas!B363="Feminino",1000,IF(Atletas!B363="Masculino",2000,""))+IF(Atletas!O363="Yang A",301,IF(Atletas!O363="Chen A",302,IF(Atletas!O363="Sun A",303,IF(Atletas!O363="Wu A",304,IF(Atletas!O363="Wu-Hao A",305,IF(Atletas!O363="Outro Taijiquan A",306,IF(Atletas!O363="Yang B",307,IF(Atletas!O363="Chen B",308,IF(Atletas!O363="Sun B",309,IF(Atletas!O363="Wu B",310,IF(Atletas!O363="Wu-Hao B",311,IF(Atletas!O363="Outro Taijiquan B",312,IF(Atletas!O363="Yang C",313,IF(Atletas!O363="Chen C",314,IF(Atletas!O363="Sun C",315,IF(Atletas!O363="Wu C",316,IF(Atletas!O363="Wu-Hao C",317,IF(Atletas!O363="Outro Taijiquan C",318,IF(Atletas!O363="Yang D",319,IF(Atletas!O363="Chen D",320,IF(Atletas!O363="Sun D",321,IF(Atletas!O363="Wu D",322,IF(Atletas!O363="Wu-Hao D",323,IF(Atletas!O363="Outro Taijiquan D",324,IF(Atletas!O363="Yang E",325,IF(Atletas!O363="Chen E",326,IF(Atletas!O363="Sun E",327,IF(Atletas!O363="Wu E",328,IF(Atletas!O363="Wu-Hao E",329,IF(Atletas!O363="Outro Taijiquan E",330,IF(Atletas!O363="Yang F",331,IF(Atletas!O363="Chen F",332,IF(Atletas!O363="Sun F",333,IF(Atletas!O363="Wu F",334,IF(Atletas!O363="Wu-Hao F",335,IF(Atletas!O363="Outro Taijiquan F",336,"")))))))))))))))))))))))))))))))))))))</f>
        <v/>
      </c>
      <c r="BW372" s="50" t="str">
        <f>IF(Atletas!P363="","",IF(Atletas!X363&lt;&gt;"",10000,0)+IF(Atletas!B363="Feminino",1000,IF(Atletas!B363="Masculino",2000,""))+IF(OR(Atletas!P363="Yang 26 A",Atletas!P363="Yang 40 A"),401,IF(OR(Atletas!P363="Chen 25 A",Atletas!P363="Chen 36 A",Atletas!P363="Chen 56 A"),402,IF(Atletas!P363="Sun 73 A",403,IF(Atletas!P363="Wu 45 A",404,IF(Atletas!P363="Wu-Hao 46 A",405,IF(OR(Atletas!P363="Taijiquan 16 A",Atletas!P363="Taijiquan 24 A",Atletas!P363="Taijiquan 32 A",Atletas!P363="Taijiquan 42 A"),406,IF(OR(Atletas!P363="Yang 26 B",Atletas!P363="Yang 40 B"),407,IF(OR(Atletas!P363="Chen 25 B",Atletas!P363="Chen 36 B",Atletas!P363="Chen 56 B"),408,IF(Atletas!P363="Sun 73 B",409,IF(Atletas!P363="Wu 45 B",410,IF(Atletas!P363="Wu-Hao 46 B",411,IF(OR(Atletas!P363="Taijiquan 16 B",Atletas!P363="Taijiquan 24 B",Atletas!P363="Taijiquan 32 B",Atletas!P363="Taijiquan 42 B"),412,IF(OR(Atletas!P363="Yang 26 C",Atletas!P363="Yang 40 C"),413,IF(OR(Atletas!P363="Chen 25 C",Atletas!P363="Chen 36 C",Atletas!P363="Chen 56 C"),414,IF(Atletas!P363="Sun 73 C",415,IF(Atletas!P363="Wu 45 C",416,IF(Atletas!P363="Wu-Hao 46 C",417,IF(OR(Atletas!P363="Taijiquan 16 C",Atletas!P363="Taijiquan 24 C",Atletas!P363="Taijiquan 32 C",Atletas!P363="Taijiquan 42 C"),418,0)))))))))))))))))))</f>
        <v/>
      </c>
      <c r="BX372" s="50" t="str">
        <f>IF(Atletas!P363="","",IF(Atletas!X363&lt;&gt;"",10000,0)+IF(Atletas!B363="Feminino",1000,IF(Atletas!B363="Masculino",2000,""))+IF(OR(Atletas!P363="Yang 26 D",Atletas!P363="Yang 40 D"),419,IF(OR(Atletas!P363="Chen 25 D",Atletas!P363="Chen 36 D",Atletas!P363="Chen 56 D"),420,IF(Atletas!P363="Sun 73 D",421,IF(Atletas!P363="Wu 45 D",422,IF(Atletas!P363="Wu-Hao 46 D",423,IF(OR(Atletas!P363="Taijiquan 16 D",Atletas!P363="Taijiquan 24 D",Atletas!P363="Taijiquan 32 D",Atletas!P363="Taijiquan 42 D"),424,IF(OR(Atletas!P363="Yang 26 E",Atletas!P363="Yang 40 E"),425,IF(OR(Atletas!P363="Chen 25 E",Atletas!P363="Chen 36 E",Atletas!P363="Chen 56 E"),426,IF(Atletas!P363="Sun 73 E",427,IF(Atletas!P363="Wu 45 E",428,IF(Atletas!P363="Wu-Hao 46 E",429,IF(OR(Atletas!P363="Taijiquan 16 E",Atletas!P363="Taijiquan 24 E",Atletas!P363="Taijiquan 32 E",Atletas!P363="Taijiquan 42 E"),430,IF(OR(Atletas!P363="Yang 26 F",Atletas!P363="Yang 40 F"),431,IF(OR(Atletas!P363="Chen 25 F",Atletas!P363="Chen 36 F",Atletas!P363="Chen 56 F"),432,IF(Atletas!P363="Sun 73 F",433,IF(Atletas!P363="Wu 45 F",434,IF(Atletas!P363="Wu-Hao 46 F",435,IF(OR(Atletas!P363="Taijiquan 16 F",Atletas!P363="Taijiquan 24 F",Atletas!P363="Taijiquan 32 F",Atletas!P363="Taijiquan 42 F"),436,0)))))))))))))))))))</f>
        <v/>
      </c>
      <c r="BY372" s="50" t="str">
        <f>IF(Atletas!Q363="","",IF(Atletas!X363&lt;&gt;"",10000,0)+IF(Atletas!B363="Feminino",1000,IF(Atletas!B363="Masculino",2000,""))+IF(Atletas!Q363="Xingyiquan A",501,IF(Atletas!Q363="Baguazhang A",502,IF(Atletas!Q363="Outro Estilo Interno A",503,IF(Atletas!Q363="Xingyiquan B",504,IF(Atletas!Q363="Baguazhang B",505,IF(Atletas!Q363="Outro Estilo Interno B",506,IF(Atletas!Q363="Xingyiquan C",507,IF(Atletas!Q363="Baguazhang C",508,IF(Atletas!Q363="Outro Estilo Interno C",509,IF(Atletas!Q363="Xingyiquan D",510,IF(Atletas!Q363="Baguazhang D",511,IF(Atletas!Q363="Outro Estilo Interno D",512,IF(Atletas!Q363="Xingyiquan E",513,IF(Atletas!Q363="Baguazhang E",514,IF(Atletas!Q363="Outro Estilo Interno E",515,IF(Atletas!Q363="Xingyiquan F",516,IF(Atletas!Q363="Baguazhang F",517,IF(Atletas!Q363="Outro Estilo Interno F",518, "")))))))))))))))))))</f>
        <v/>
      </c>
      <c r="BZ372" s="50" t="str">
        <f>IF(Atletas!R363="","",IF(Atletas!X363&lt;&gt;"",10000,0)+IF(Atletas!B363="Feminino",1000,IF(Atletas!B363="Masculino",2000,""))+IF(Atletas!R363="Dao A",601,IF(Atletas!R363="Jian A",602,IF(Atletas!R363="Bishou A",603,IF(Atletas!R363="Shanzi A",604,IF(Atletas!R363="Outra Arma Curta A",605,IF(Atletas!R363="Dao B",606,IF(Atletas!R363="Jian B",607,IF(Atletas!R363="Bishou B",608,IF(Atletas!R363="Shanzi B",609,IF(Atletas!R363="Outra Arma Curta B",610,IF(Atletas!R363="Dao C",611,IF(Atletas!R363="Jian C",612,IF(Atletas!R363="Bishou C",613,IF(Atletas!R363="Shanzi C",614,IF(Atletas!R363="Outra Arma Curta C",615,IF(Atletas!R363="Dao D",616,IF(Atletas!R363="Jian D",617,IF(Atletas!R363="Bishou D",618,IF(Atletas!R363="Shanzi D",619,IF(Atletas!R363="Outra Arma Curta D",620,IF(Atletas!R363="Dao E",621,IF(Atletas!R363="Jian E",622,IF(Atletas!R363="Bishou E",623,IF(Atletas!R363="Shanzi E",624,IF(Atletas!R363="Outra Arma Curta E",625,IF(Atletas!R363="Dao F",626,IF(Atletas!R363="Jian F",627,IF(Atletas!R363="Bishou F",628,IF(Atletas!R363="Shanzi F",629,IF(Atletas!R363="Outra Arma Curta F",630, "")))))))))))))))))))))))))))))))</f>
        <v/>
      </c>
      <c r="CA372" s="50" t="str">
        <f>IF(Atletas!S363="","",IF(Atletas!X363&lt;&gt;"",10000,0)+IF(Atletas!B363="Feminino",1000,IF(Atletas!B363="Masculino",2000,""))+IF(Atletas!S363="Gun A",701,IF(Atletas!S363="Qiang A",702,IF(Atletas!S363="Pudao / Guandao A",703,IF(Atletas!S363="Outra Arma Longa A",704,IF(Atletas!S363="Gun B",705,IF(Atletas!S363="Qiang B",706,IF(Atletas!S363="Pudao / Guandao B",707,IF(Atletas!S363="Outra Arma Longa B",708,IF(Atletas!S363="Gun C",709,IF(Atletas!S363="Qiang C",710,IF(Atletas!S363="Pudao / Guandao C",711,IF(Atletas!S363="Outra Arma Longa C",712,IF(Atletas!S363="Gun D",713,IF(Atletas!S363="Qiang D",714,IF(Atletas!S363="Pudao / Guandao D",715,IF(Atletas!S363="Outra Arma Longa D",716,IF(Atletas!S363="Gun E",717,IF(Atletas!S363="Qiang E",718,IF(Atletas!S363="Pudao / Guandao E",719,IF(Atletas!S363="Outra Arma Longa E",720,IF(Atletas!S363="Gun F",721,IF(Atletas!S363="Qiang F",722,IF(Atletas!S363="Pudao / Guandao F",723,IF(Atletas!S363="Outra Arma Longa F",724,"")))))))))))))))))))))))))</f>
        <v/>
      </c>
      <c r="CB372" s="50" t="str">
        <f>IF(Atletas!T363="","",IF(Atletas!X363&lt;&gt;"",10000,0)+IF(Atletas!B363="Feminino",1000,IF(Atletas!B363="Masculino",2000,""))+IF(Atletas!T363="Outra Arma Dupla A",801,IF(Atletas!T363="Arma Maleável A",802,IF(Atletas!T363="Outra Arma Dupla B",803,IF(Atletas!T363="Arma Maleável B",804,IF(Atletas!T363="Outra Arma Dupla C",805,IF(Atletas!T363="Arma Maleável C",806,IF(Atletas!T363="Outra Arma Dupla D",807,IF(Atletas!T363="Arma Maleável D",808,IF(Atletas!T363="Outra Arma Dupla E",809,IF(Atletas!T363="Arma Maleável E",810,IF(Atletas!T363="Outra Arma Dupla F",811,IF(Atletas!T363="Arma Maleável F",812,IF(Atletas!T363="Shuangdao A",813,IF(Atletas!T363="Shuangdao B",814,IF(Atletas!T363="Shuangdao C",815,IF(Atletas!T363="Shuangdao D",816,IF(Atletas!T363="Shuangdao E",817,IF(Atletas!T363="Shuangdao F",818,"")))))))))))))))))))</f>
        <v/>
      </c>
      <c r="CC372" s="50" t="str">
        <f>IF(Atletas!U363="","",IF(Atletas!X363&lt;&gt;"",10000,0)+IF(Atletas!B363="Feminino",1000,IF(Atletas!B363="Masculino",2000,""))+IF(OR(Atletas!U363="Taijijian Yang A",Atletas!U363="Taijijian Yang Standard A"),901,IF(OR(Atletas!U363="Taijijian Chen A", Atletas!U363="Taijijian Chen Standard A"),902,IF(Atletas!U363="Taijijian Sun A",903,IF(Atletas!U363="Taijijian Wu A",904,IF(Atletas!U363="Taijijian Wu-Hao A",905,IF(OR(Atletas!U363="Taijijian 32 A",Atletas!U363="Taijijian 42 A"),906,IF(OR(Atletas!U363="Taijijian Yang B",Atletas!U363="Taijijian Yang Standard B"),907,IF(OR(Atletas!U363="Taijijian Chen B", Atletas!U363="Taijijian Chen Standard B"),908,IF(Atletas!U363="Taijijian Sun B",909,IF(Atletas!U363="Taijijian Wu B",910,IF(Atletas!U363="Taijijian Wu-Hao B",911,IF(OR(Atletas!U363="Taijijian 32 B",Atletas!U363="Taijijian 42 B"),912,IF(OR(Atletas!U363="Taijijian Yang C",Atletas!U363="Taijijian Yang Standard C"),913,IF(OR(Atletas!U363="Taijijian Chen C", Atletas!U363="Taijijian Chen Standard C"),914,IF(Atletas!U363="Taijijian Sun C",915,IF(Atletas!U363="Taijijian Wu C",916,IF(Atletas!U363="Taijijian Wu-Hao C",917,IF(OR(Atletas!U363="Taijijian 32 C",Atletas!U363="Taijijian 42 C"),918,IF(OR(Atletas!U363="Taijijian Yang D",Atletas!U363="Taijijian Yang Standard D"),919,IF(OR(Atletas!U363="Taijijian Chen D", Atletas!U363="Taijijian Chen Standard D"),920,IF(Atletas!U363="Taijijian Sun D",921,IF(Atletas!U363="Taijijian Wu D",922,IF(Atletas!U363="Taijijian Wu-Hao D",923,IF(OR(Atletas!U363="Taijijian 32 D",Atletas!U363="Taijijian 42 D"),924,IF(OR(Atletas!U363="Taijijian Yang E",Atletas!U363="Taijijian Yang Standard E"),925,IF(OR(Atletas!U363="Taijijian Chen E", Atletas!U363="Taijijian Chen Standard E"),926,IF(Atletas!U363="Taijijian Sun E",927,IF(Atletas!U363="Taijijian Wu E",928,IF(Atletas!U363="Taijijian Wu-Hao E",929,IF(OR(Atletas!U363="Taijijian 32 E",Atletas!U363="Taijijian 42 E"),930,IF(OR(Atletas!U363="Taijijian Yang F",Atletas!U363="Taijijian Yang Standard F"),931,IF(OR(Atletas!U363="Taijijian Chen F", Atletas!U363="Taijijian Chen Standard F"),932,IF(Atletas!U363="Taijijian Sun F",933,IF(Atletas!U363="Taijijian Wu F",934,IF(Atletas!U363="Taijijian Wu-Hao F",935,IF(OR(Atletas!U363="Taijijian 32 F",Atletas!U363="Taijijian 42 F"),936,"")))))))))))))))))))))))))))))))))))))</f>
        <v/>
      </c>
      <c r="CD372" s="50" t="str">
        <f>IF(Atletas!V363="","",IF(Atletas!X363&lt;&gt;"",10000,0)+IF(Atletas!B363="Feminino",1000,IF(Atletas!B363="Masculino",2000,""))+IF(Atletas!V363="Taijidao A",937,IF(Atletas!V363="TaijiShanzi A",938,IF(Atletas!V363="Taijiqiang A",939,IF(Atletas!V363="Bagua de Arma A",940,IF(Atletas!V363="Xingyi de Arma A",941,IF(Atletas!V363="Taijidao B",942,IF(Atletas!V363="TaijiShanzi B",943,IF(Atletas!V363="Taijiqiang B",944,IF(Atletas!V363="Bagua de Arma B",945,IF(Atletas!V363="Xingyi de Arma B",946,IF(Atletas!V363="Taijidao C",947,IF(Atletas!V363="TaijiShanzi C",948,IF(Atletas!V363="Taijiqiang C",949,IF(Atletas!V363="Bagua de Arma C",950,IF(Atletas!V363="Xingyi de Arma C",951,IF(Atletas!V363="Taijidao D",952,IF(Atletas!V363="TaijiShanzi D",953,IF(Atletas!V363="Taijiqiang D",954,IF(Atletas!V363="Bagua de Arma D",955,IF(Atletas!V363="Xingyi de Arma D",956,IF(Atletas!V363="Taijidao E",957,IF(Atletas!V363="TaijiShanzi E",958,IF(Atletas!V363="Taijiqiang E",959,IF(Atletas!V363="Bagua de Arma E",960,IF(Atletas!V363="Xingyi de Arma E",961,IF(Atletas!V363="Taijidao F",962,IF(Atletas!V363="TaijiShanzi F",963,IF(Atletas!V363="Taijiqiang F",964,IF(Atletas!V363="Bagua de Arma F",965,IF(Atletas!V363="Xingyi de Arma F",966,"")))))))))))))))))))))))))))))))</f>
        <v/>
      </c>
      <c r="CE372" s="66"/>
      <c r="CF372" s="66"/>
      <c r="CG372" s="66"/>
      <c r="CH372" s="66"/>
      <c r="CJ372" s="66"/>
      <c r="CL372" s="66"/>
      <c r="CM372" s="50" t="str">
        <f xml:space="preserve"> IF(Atletas!W363="","",IF(Atletas!W363="Duilian de Mãos BC - Equipe 1",1,IF(Atletas!W363="Duilian de Mãos BC - Equipe 2",2,IF(Atletas!W363="Duilian de Armas BC - Equipe 1",3,IF(Atletas!W363="Duilian de Armas BC - Equipe 2",4,IF(Atletas!W363="Duilian de Mãos DE - Equipe 1",5,IF(Atletas!W363="Duilian de Mãos DE - Equipe 2",6,IF(Atletas!W363="Duilian de Armas DE - Equipe 1",7,IF(Atletas!W363="Duilian de Armas DE - Equipe 2",8,IF(Atletas!W363="Duilian de Tuishou - Equipe 1",9,IF(Atletas!W363="Duilian de Tuishou - Equipe 2",10,IF(Atletas!W363="Grupo Externo ABC - Equipe 1",11,IF(Atletas!W363="Grupo Externo ABC - Equipe 2",12,IF(Atletas!W363="Grupo Interno ABC - Equipe 1",13,IF(Atletas!W363="Grupo Interno ABC - Equipe 2",14,IF(Atletas!W363="Grupo Externo DEF - Equipe 1",15,IF(Atletas!W363="Grupo Externo DEF - Equipe 2",16,IF(Atletas!W363="Grupo Interno DEF - Equipe 1",17,IF(Atletas!W363="Grupo Interno DEF - Equipe 2",18,"")))))))))))))))))))</f>
        <v/>
      </c>
    </row>
    <row r="373" spans="40:91">
      <c r="AN373" s="52" t="str">
        <f>IF(Atletas!D364="","",IF(Atletas!B364="Feminino",100,IF(Atletas!B364="Masculino",200,""))+(IF(Atletas!D364="Kids 30kg",1,IF(Atletas!D364="Kids 32kg",2, IF(Atletas!D364="Kids 34kg",3,IF(Atletas!D364="Kids 36kg",4,IF(Atletas!D364="Kids 39kg",5,IF(Atletas!D364="Kids 42kg",6,IF(Atletas!D364="Kids 45kg",7, IF(Atletas!D364="Infantil 39kg",8,IF(Atletas!D364="Infantil 42kg",9,IF(Atletas!D364="Infantil 45kg",10,IF(Atletas!D364="Infantil 48kg",11,IF(Atletas!D364="Infantil 52kg",12,IF(Atletas!D364="Infantil 56kg",13,IF(Atletas!D364="Infantil 60kg",14,IF(Atletas!D364="Juvenil 48kg",15,IF(Atletas!D364="Juvenil 52kg",16,IF(Atletas!D364="Juvenil 56kg",17,IF(Atletas!D364="Juvenil 60kg",18,IF(Atletas!D364="Juvenil 65kg",19,IF(Atletas!D364="Juvenil 70kg",20,IF(Atletas!D364="Juvenil 75kg",21,IF(Atletas!D364="Juvenil 80kg",22, IF(Atletas!D364="Juvenil 85kg",23,IF(Atletas!D364="Adulto 48kg",24,IF(Atletas!D364="Adulto 52kg",25,IF(Atletas!D364="Adulto 56kg",26,IF(Atletas!D364="Adulto 60kg",27,IF(Atletas!D364="Adulto 65kg",28,IF(Atletas!D364="Adulto 70kg",29,IF(Atletas!D364="Adulto 75kg",30,IF(Atletas!D364="Adulto 80kg",31,IF(Atletas!D364="Adulto 85kg",32,IF(Atletas!D364="Adulto 90kg",33,IF(Atletas!D364="Adulto 100kg",34, IF(Atletas!D364="Adulto +100kg",35,"")))))))))))))))))))))))))))))))))))))</f>
        <v/>
      </c>
      <c r="AS373" s="6" t="str">
        <f>IF(Atletas!E364="","",IF(Atletas!B364="Feminino",100,IF(Atletas!B364="Masculino",200,""))+(IF(Atletas!E364="Juvenil 44kg",1,IF(Atletas!E364="Juvenil 48kg",2,IF(Atletas!E364="Juvenil 52kg",3,IF(Atletas!E364="Juvenil 56kg",4,IF(Atletas!E364="Juvenil 60kg",5,IF(Atletas!E364="Juvenil 65kg",6,IF(Atletas!E364="Juvenil 70kg",7,IF(Atletas!E364="Juvenil 75kg",8,IF(Atletas!E364="Juvenil 82kg",9,IF(Atletas!E364="Juvenil 90kg",10,IF(Atletas!E364="Juvenil 100kg",11,IF(Atletas!E364="Adulto 48kg",12,IF(Atletas!E364="Adulto 52kg",13,IF(Atletas!E364="Adulto 56kg",14,IF(Atletas!E364="Adulto 60kg",15,IF(Atletas!E364="Adulto 65kg",16,IF(Atletas!E364="Adulto 70kg",17,IF(Atletas!E364="Adulto 75kg",18,IF(Atletas!E364="Adulto 82kg",19,IF(Atletas!E364="Adulto 90kg",20,IF(Atletas!E364="Adulto 100kg",21,IF(Atletas!E364="Adulto +100kg",22,""))))))))))))))))))))))))</f>
        <v/>
      </c>
      <c r="AX373" s="6" t="str">
        <f>IF(Atletas!F364="","",IF(Atletas!B364="Feminino",100,IF(Atletas!B364="Masculino",200,""))+(IF(Atletas!F364="Adulto 48kg",1,IF(Atletas!F364="Adulto 56kg",2,IF(Atletas!F364="Adulto 65kg",3,IF(Atletas!F364="Adulto 75kg",4,IF(Atletas!F364="Adulto +75kg",5,IF(Atletas!F364="Adulto 52kg",6,IF(Atletas!F364="Adulto 60kg",7,IF(Atletas!F364="Adulto 70kg",8,IF(Atletas!F364="Adulto 80kg",9,IF(Atletas!F364="Adulto 90kg",10,IF(Atletas!F364="Adulto +90kg",11,"")))))))))))))</f>
        <v/>
      </c>
      <c r="BC373" s="6" t="str">
        <f>IF(Atletas!G364="","",IF(Atletas!B364="Feminino",10,IF(Atletas!B364="Masculino",20,""))+(IF(Atletas!G364="Baduanjin A",1,IF(Atletas!G364="Baduanjin B",2))))</f>
        <v/>
      </c>
      <c r="BF373" s="52" t="str">
        <f>IF(Atletas!H364="","",IF(Atletas!B364="Feminino",100,IF(Atletas!B364="Masculino",200,""))+(IF(Atletas!H364="Changquan Mirim",1,IF(Atletas!H364="Nanquan Mirim",2,IF(Atletas!H364="Taijiquan Mirim",3,IF(Atletas!H364="Changquan Grupo C",4,IF(Atletas!H364="Nanquan Grupo C",5,IF(Atletas!H364="Taijiquan Grupo C",6,IF(Atletas!H364="Changquan Grupo B",7,IF(Atletas!H364="Nanquan Grupo B",8,IF(Atletas!H364="Taijiquan Grupo B",9,IF(Atletas!H364="Changquan Grupo A",10,IF(Atletas!H364="Nanquan Grupo A",11,IF(Atletas!H364="Taijiquan Grupo A",12,IF(Atletas!H364="Changquan Opcional",13,IF(Atletas!H364="Nanquan Opcional",14,IF(Atletas!H364="Taijiquan Opcional",15,IF(Atletas!H364="Changquan Adulto",16,IF(Atletas!H364="Nanquan Adulto",17,IF(Atletas!H364="Taijiquan Adulto",18,""))))))))))))))))))))</f>
        <v/>
      </c>
      <c r="BG373" s="52" t="str">
        <f>IF(Atletas!I364="","",IF(Atletas!B364="Feminino",100,IF(Atletas!B364="Masculino",200,""))+(IF(Atletas!I364="Daoshu Mirim",19,IF(Atletas!I364="Jianshu Mirim",20,IF(Atletas!I364="Nandao Mirim",21,IF(Atletas!I364="Taijijian Mirim",22,IF(Atletas!I364="Daoshu Grupo C",23,IF(Atletas!I364="Jianshu Grupo C",24,IF(Atletas!I364="Nandao Grupo C",25,IF(Atletas!I364="Taijijian Grupo C",26,IF(Atletas!I364="Daoshu Grupo B",27,IF(Atletas!I364="Jianshu Grupo B",28,IF(Atletas!I364="Nandao Grupo B",29,IF(Atletas!I364="Taijijian Grupo B",30,IF(Atletas!I364="Daoshu Grupo A",31,IF(Atletas!I364="Jianshu Grupo A",32,IF(Atletas!I364="Nandao Grupo A",33,IF(Atletas!I364="Taijijian Grupo A",34,IF(Atletas!I364="Daoshu Opcional",35,IF(Atletas!I364="Jianshu Opcional",36,IF(Atletas!I364="Nandao Opcional",37,IF(Atletas!I364="Taijijian Opcional",38,IF(Atletas!I364="Daoshu Adulto",39,IF(Atletas!I364="Jianshu Adulto",40,IF(Atletas!I364="Nandao Adulto",41,IF(Atletas!I364="Taijijian Adulto",42,""))))))))))))))))))))))))))</f>
        <v/>
      </c>
      <c r="BH373" s="52" t="str">
        <f>IF(Atletas!J364="","",IF(Atletas!B364="Feminino",100,IF(Atletas!B364="Masculino",200,""))+(IF(Atletas!J364="Gunshu Mirim",43,IF(Atletas!J364="Qiangshu Mirim",44,IF(Atletas!J364="Nangun Mirim",45,IF(Atletas!J364="Gunshu Grupo C",46,IF(Atletas!J364="Qiangshu Grupo C",47,IF(Atletas!J364="Nangun Grupo C",48,IF(Atletas!J364="Gunshu Grupo B",49,IF(Atletas!J364="Qiangshu Grupo B",50,IF(Atletas!J364="Nangun Grupo B",51,IF(Atletas!J364="Gunshu Grupo A",52,IF(Atletas!J364="Qiangshu Grupo A",53,IF(Atletas!J364="Nangun Grupo A",54,IF(Atletas!J364="Gunshu Opcional",55,IF(Atletas!J364="Qiangshu Opcional",56,IF(Atletas!J364="Nangun Opcional",57,IF(Atletas!J364="Gunshu Adulto",58,IF(Atletas!J364="Qiangshu Adulto",59,IF(Atletas!J364="Nangun Adulto",60,IF(Atletas!J364="Taijishan Grupo B",61,IF(Atletas!J364="Taijishan Grupo A",62,""))))))))))))))))))))))</f>
        <v/>
      </c>
      <c r="BM373" s="50" t="str">
        <f>IF(Atletas!K364="","",IF(Atletas!B364="Feminino",100,IF(Atletas!B364="Masculino",200,""))+(IF(Atletas!K364="Equipe 1 Grupo B",1,IF(Atletas!K364="Equipe 2 Grupo B",2,IF(Atletas!K364="Equipe 1 Grupo A",3,IF(Atletas!K364="Equipe 2 Grupo A",4,IF(Atletas!K364="Equipe 1 Adulto",5,IF(Atletas!K364="Equipe 2 Adulto",6,""))))))))</f>
        <v/>
      </c>
      <c r="BR373" s="50" t="str">
        <f>IF(Atletas!L364="","",IF(Atletas!X364&lt;&gt;"",10000,0)+(IF(Atletas!B364="Feminino",1000,IF(Atletas!B364="Masculino",2000,""))+IF(Atletas!L364="Choylayfut A",1,IF(Atletas!L364="Hunggar A",2,IF(Atletas!L364="Wuzuquan A",3,IF(Atletas!L364="Wingchun A",4,IF(Atletas!L364="Outra Mão de Sul A",5,IF(Atletas!L364="Choylayfut B",6,IF(Atletas!L364="Hunggar B",7,IF(Atletas!L364="Wuzuquan B",8,IF(Atletas!L364="Wingchun B",9,IF(Atletas!L364="Outra Mão de Sul B",10,IF(Atletas!L364="Choylayfut C",11,IF(Atletas!L364="Hunggar C",12,IF(Atletas!L364="Wuzuquan C",13,IF(Atletas!L364="Wingchun C",14,IF(Atletas!L364="Outra Mão de Sul C",15,IF(Atletas!L364="Choylayfut D",16,IF(Atletas!L364="Hunggar D",17,IF(Atletas!L364="Wuzuquan D",18,IF(Atletas!L364="Wingchun D",19,IF(Atletas!L364="Outra Mão de Sul D",20,IF(Atletas!L364="Choylayfut E",21,IF(Atletas!L364="Hunggar E",22,IF(Atletas!L364="Wuzuquan E",23,IF(Atletas!L364="Wingchun E",24,IF(Atletas!L364="Outra Mão de Sul E",25,IF(Atletas!L364="Choylayfut F",26,IF(Atletas!L364="Hunggar F",27,IF(Atletas!L364="Wuzuquan F",28,IF(Atletas!L364="Wingchun F",29,IF(Atletas!L364="Outra Mão de Sul F",30,IF(Atletas!L364="Dishuquan A",31,IF(Atletas!L364="Dishuquan B",32,IF(Atletas!L364="Dishuquan C",33,IF(Atletas!L364="Dishuquan D",34,IF(Atletas!L364="Dishuquan E",35,IF(Atletas!L364="Dishuquan F",36,""))))))))))))))))))))))))))))))))))))))</f>
        <v/>
      </c>
      <c r="BS373" s="50" t="str">
        <f>IF(Atletas!M364="","",IF(Atletas!X364&lt;&gt;"",10000,0)+(IF(Atletas!B364="Feminino",1000,IF(Atletas!B364="Masculino",2000,""))+(IF(Atletas!M364="Chaquan A",101,IF(Atletas!M364="Emeiquan A",102,IF(Atletas!M364="Fanziquan A",103,IF(Atletas!M364="Huaquan A",104,IF(Atletas!M364="Hongquan A",105,IF(Atletas!M364="Paoquan A",106,IF(Atletas!M364="Piguaquan A",107,IF(Atletas!M364="Shaolinquan A",108,IF(Atletas!M364="Tanglangquan A",109,IF(Atletas!M364="Yingzhaoquan A",110,IF(Atletas!M364="Tongbeiquan A",111,IF(Atletas!M364="Wudangquan A",112,IF(Atletas!M364="Outros Estilos A",113,IF(Atletas!M364="Chaquan B",114,IF(Atletas!M364="Emeiquan B",115,IF(Atletas!M364="Fanziquan B",116,IF(Atletas!M364="Huaquan B",117,IF(Atletas!M364="Hongquan B",118,IF(Atletas!M364="Paoquan B",119,IF(Atletas!M364="Piguaquan B",120,IF(Atletas!M364="Shaolinquan B",121,IF(Atletas!M364="Tanglangquan B",122,IF(Atletas!M364="Yingzhaoquan B",123,IF(Atletas!M364="Tongbeiquan B",124,IF(Atletas!M364="Wudangquan B",125,IF(Atletas!M364="Outros Estilos B",126,IF(Atletas!M364="Chaquan C",127,IF(Atletas!M364="Emeiquan C",128,IF(Atletas!M364="Fanziquan C",129,IF(Atletas!M364="Huaquan C",130,IF(Atletas!M364="Hongquan C",131,IF(Atletas!M364="Paoquan C",132,IF(Atletas!M364="Piguaquan C",133,IF(Atletas!M364="Shaolinquan C",134,IF(Atletas!M364="Tanglangquan C",135,IF(Atletas!M364="Yingzhaoquan C",136,IF(Atletas!M364="Tongbeiquan C",137,IF(Atletas!M364="Wudangquan C",138,IF(Atletas!M364="Outros Estilos C",139,0))))))))))))))))))))))))))))))))))))))))))</f>
        <v/>
      </c>
      <c r="BT373" s="50" t="str">
        <f>IF(Atletas!M364="","",IF(Atletas!X364&lt;&gt;"",10000,0)+(IF(Atletas!B364="Feminino",1000,IF(Atletas!B364="Masculino",2000,""))+(IF(Atletas!M364="Chaquan D",140,IF(Atletas!M364="Emeiquan D",141,IF(Atletas!M364="Fanziquan D",142,IF(Atletas!M364="Huaquan D",143,IF(Atletas!M364="Hongquan D",144,IF(Atletas!M364="Paoquan D",145,IF(Atletas!M364="Piguaquan D",146,IF(Atletas!M364="Shaolinquan D",147,IF(Atletas!M364="Tanglangquan D",148,IF(Atletas!M364="Yingzhaoquan D",149,IF(Atletas!M364="Tongbeiquan D",150,IF(Atletas!M364="Wudangquan D",151,IF(Atletas!M364="Outros Estilos D",152,IF(Atletas!M364="Chaquan E",153,IF(Atletas!M364="Emeiquan E",154,IF(Atletas!M364="Fanziquan E",155,IF(Atletas!M364="Huaquan E",156,IF(Atletas!M364="Hongquan E",157,IF(Atletas!M364="Paoquan E",158,IF(Atletas!M364="Piguaquan E",159,IF(Atletas!M364="Shaolinquan E",160,IF(Atletas!M364="Tanglangquan E",161,IF(Atletas!M364="Yingzhaoquan E",162,IF(Atletas!M364="Tongbeiquan E",163,IF(Atletas!M364="Wudangquan E",164,IF(Atletas!M364="Outros Estilos E",165,IF(Atletas!M364="Chaquan F",166,IF(Atletas!M364="Emeiquan F",167,IF(Atletas!M364="Fanziquan F",168,IF(Atletas!M364="Huaquan F",169,IF(Atletas!M364="Hongquan F",170,IF(Atletas!M364="Paoquan F",171,IF(Atletas!M364="Piguaquan F",172,IF(Atletas!M364="Shaolinquan F",173,IF(Atletas!M364="Tanglangquan F",174,IF(Atletas!M364="Yingzhaoquan F",175,IF(Atletas!M364="Tongbeiquan F",176,IF(Atletas!M364="Wudangquan F",177,IF(Atletas!M364="Outros Estilos F",178,0))))))))))))))))))))))))))))))))))))))))))</f>
        <v/>
      </c>
      <c r="BU373" s="50" t="str">
        <f>IF(Atletas!N364="","",IF(Atletas!X364&lt;&gt;"",10000,0)+(IF(Atletas!B364="Feminino",1000,IF(Atletas!B364="Masculino",2000,""))+(IF(Atletas!N364="Ditangquan A",201,IF(Atletas!N364="Houquan A",202,IF(Atletas!N364="Zuiquan A",203,IF(Atletas!N364="Ditangquan B",204,IF(Atletas!N364="Houquan B",205,IF(Atletas!N364="Zuiquan B",206,IF(Atletas!N364="Ditangquan C",207,IF(Atletas!N364="Houquan C",208,IF(Atletas!N364="Zuiquan C",209,IF(Atletas!N364="Ditangquan D",210,IF(Atletas!N364="Houquan D",211,IF(Atletas!N364="Zuiquan D",212,IF(Atletas!N364="Ditangquan E",213,IF(Atletas!N364="Houquan E",214,IF(Atletas!N364="Zuiquan E",215,IF(Atletas!N364="Ditangquan F",216,IF(Atletas!N364="Houquan F",217,IF(Atletas!N364="Zuiquan F",218,"")))))))))))))))))))))</f>
        <v/>
      </c>
      <c r="BV373" s="50" t="str">
        <f>IF(Atletas!O364="","",IF(Atletas!X364&lt;&gt;"",10000,0)+IF(Atletas!B364="Feminino",1000,IF(Atletas!B364="Masculino",2000,""))+IF(Atletas!O364="Yang A",301,IF(Atletas!O364="Chen A",302,IF(Atletas!O364="Sun A",303,IF(Atletas!O364="Wu A",304,IF(Atletas!O364="Wu-Hao A",305,IF(Atletas!O364="Outro Taijiquan A",306,IF(Atletas!O364="Yang B",307,IF(Atletas!O364="Chen B",308,IF(Atletas!O364="Sun B",309,IF(Atletas!O364="Wu B",310,IF(Atletas!O364="Wu-Hao B",311,IF(Atletas!O364="Outro Taijiquan B",312,IF(Atletas!O364="Yang C",313,IF(Atletas!O364="Chen C",314,IF(Atletas!O364="Sun C",315,IF(Atletas!O364="Wu C",316,IF(Atletas!O364="Wu-Hao C",317,IF(Atletas!O364="Outro Taijiquan C",318,IF(Atletas!O364="Yang D",319,IF(Atletas!O364="Chen D",320,IF(Atletas!O364="Sun D",321,IF(Atletas!O364="Wu D",322,IF(Atletas!O364="Wu-Hao D",323,IF(Atletas!O364="Outro Taijiquan D",324,IF(Atletas!O364="Yang E",325,IF(Atletas!O364="Chen E",326,IF(Atletas!O364="Sun E",327,IF(Atletas!O364="Wu E",328,IF(Atletas!O364="Wu-Hao E",329,IF(Atletas!O364="Outro Taijiquan E",330,IF(Atletas!O364="Yang F",331,IF(Atletas!O364="Chen F",332,IF(Atletas!O364="Sun F",333,IF(Atletas!O364="Wu F",334,IF(Atletas!O364="Wu-Hao F",335,IF(Atletas!O364="Outro Taijiquan F",336,"")))))))))))))))))))))))))))))))))))))</f>
        <v/>
      </c>
      <c r="BW373" s="50" t="str">
        <f>IF(Atletas!P364="","",IF(Atletas!X364&lt;&gt;"",10000,0)+IF(Atletas!B364="Feminino",1000,IF(Atletas!B364="Masculino",2000,""))+IF(OR(Atletas!P364="Yang 26 A",Atletas!P364="Yang 40 A"),401,IF(OR(Atletas!P364="Chen 25 A",Atletas!P364="Chen 36 A",Atletas!P364="Chen 56 A"),402,IF(Atletas!P364="Sun 73 A",403,IF(Atletas!P364="Wu 45 A",404,IF(Atletas!P364="Wu-Hao 46 A",405,IF(OR(Atletas!P364="Taijiquan 16 A",Atletas!P364="Taijiquan 24 A",Atletas!P364="Taijiquan 32 A",Atletas!P364="Taijiquan 42 A"),406,IF(OR(Atletas!P364="Yang 26 B",Atletas!P364="Yang 40 B"),407,IF(OR(Atletas!P364="Chen 25 B",Atletas!P364="Chen 36 B",Atletas!P364="Chen 56 B"),408,IF(Atletas!P364="Sun 73 B",409,IF(Atletas!P364="Wu 45 B",410,IF(Atletas!P364="Wu-Hao 46 B",411,IF(OR(Atletas!P364="Taijiquan 16 B",Atletas!P364="Taijiquan 24 B",Atletas!P364="Taijiquan 32 B",Atletas!P364="Taijiquan 42 B"),412,IF(OR(Atletas!P364="Yang 26 C",Atletas!P364="Yang 40 C"),413,IF(OR(Atletas!P364="Chen 25 C",Atletas!P364="Chen 36 C",Atletas!P364="Chen 56 C"),414,IF(Atletas!P364="Sun 73 C",415,IF(Atletas!P364="Wu 45 C",416,IF(Atletas!P364="Wu-Hao 46 C",417,IF(OR(Atletas!P364="Taijiquan 16 C",Atletas!P364="Taijiquan 24 C",Atletas!P364="Taijiquan 32 C",Atletas!P364="Taijiquan 42 C"),418,0)))))))))))))))))))</f>
        <v/>
      </c>
      <c r="BX373" s="50" t="str">
        <f>IF(Atletas!P364="","",IF(Atletas!X364&lt;&gt;"",10000,0)+IF(Atletas!B364="Feminino",1000,IF(Atletas!B364="Masculino",2000,""))+IF(OR(Atletas!P364="Yang 26 D",Atletas!P364="Yang 40 D"),419,IF(OR(Atletas!P364="Chen 25 D",Atletas!P364="Chen 36 D",Atletas!P364="Chen 56 D"),420,IF(Atletas!P364="Sun 73 D",421,IF(Atletas!P364="Wu 45 D",422,IF(Atletas!P364="Wu-Hao 46 D",423,IF(OR(Atletas!P364="Taijiquan 16 D",Atletas!P364="Taijiquan 24 D",Atletas!P364="Taijiquan 32 D",Atletas!P364="Taijiquan 42 D"),424,IF(OR(Atletas!P364="Yang 26 E",Atletas!P364="Yang 40 E"),425,IF(OR(Atletas!P364="Chen 25 E",Atletas!P364="Chen 36 E",Atletas!P364="Chen 56 E"),426,IF(Atletas!P364="Sun 73 E",427,IF(Atletas!P364="Wu 45 E",428,IF(Atletas!P364="Wu-Hao 46 E",429,IF(OR(Atletas!P364="Taijiquan 16 E",Atletas!P364="Taijiquan 24 E",Atletas!P364="Taijiquan 32 E",Atletas!P364="Taijiquan 42 E"),430,IF(OR(Atletas!P364="Yang 26 F",Atletas!P364="Yang 40 F"),431,IF(OR(Atletas!P364="Chen 25 F",Atletas!P364="Chen 36 F",Atletas!P364="Chen 56 F"),432,IF(Atletas!P364="Sun 73 F",433,IF(Atletas!P364="Wu 45 F",434,IF(Atletas!P364="Wu-Hao 46 F",435,IF(OR(Atletas!P364="Taijiquan 16 F",Atletas!P364="Taijiquan 24 F",Atletas!P364="Taijiquan 32 F",Atletas!P364="Taijiquan 42 F"),436,0)))))))))))))))))))</f>
        <v/>
      </c>
      <c r="BY373" s="50" t="str">
        <f>IF(Atletas!Q364="","",IF(Atletas!X364&lt;&gt;"",10000,0)+IF(Atletas!B364="Feminino",1000,IF(Atletas!B364="Masculino",2000,""))+IF(Atletas!Q364="Xingyiquan A",501,IF(Atletas!Q364="Baguazhang A",502,IF(Atletas!Q364="Outro Estilo Interno A",503,IF(Atletas!Q364="Xingyiquan B",504,IF(Atletas!Q364="Baguazhang B",505,IF(Atletas!Q364="Outro Estilo Interno B",506,IF(Atletas!Q364="Xingyiquan C",507,IF(Atletas!Q364="Baguazhang C",508,IF(Atletas!Q364="Outro Estilo Interno C",509,IF(Atletas!Q364="Xingyiquan D",510,IF(Atletas!Q364="Baguazhang D",511,IF(Atletas!Q364="Outro Estilo Interno D",512,IF(Atletas!Q364="Xingyiquan E",513,IF(Atletas!Q364="Baguazhang E",514,IF(Atletas!Q364="Outro Estilo Interno E",515,IF(Atletas!Q364="Xingyiquan F",516,IF(Atletas!Q364="Baguazhang F",517,IF(Atletas!Q364="Outro Estilo Interno F",518, "")))))))))))))))))))</f>
        <v/>
      </c>
      <c r="BZ373" s="50" t="str">
        <f>IF(Atletas!R364="","",IF(Atletas!X364&lt;&gt;"",10000,0)+IF(Atletas!B364="Feminino",1000,IF(Atletas!B364="Masculino",2000,""))+IF(Atletas!R364="Dao A",601,IF(Atletas!R364="Jian A",602,IF(Atletas!R364="Bishou A",603,IF(Atletas!R364="Shanzi A",604,IF(Atletas!R364="Outra Arma Curta A",605,IF(Atletas!R364="Dao B",606,IF(Atletas!R364="Jian B",607,IF(Atletas!R364="Bishou B",608,IF(Atletas!R364="Shanzi B",609,IF(Atletas!R364="Outra Arma Curta B",610,IF(Atletas!R364="Dao C",611,IF(Atletas!R364="Jian C",612,IF(Atletas!R364="Bishou C",613,IF(Atletas!R364="Shanzi C",614,IF(Atletas!R364="Outra Arma Curta C",615,IF(Atletas!R364="Dao D",616,IF(Atletas!R364="Jian D",617,IF(Atletas!R364="Bishou D",618,IF(Atletas!R364="Shanzi D",619,IF(Atletas!R364="Outra Arma Curta D",620,IF(Atletas!R364="Dao E",621,IF(Atletas!R364="Jian E",622,IF(Atletas!R364="Bishou E",623,IF(Atletas!R364="Shanzi E",624,IF(Atletas!R364="Outra Arma Curta E",625,IF(Atletas!R364="Dao F",626,IF(Atletas!R364="Jian F",627,IF(Atletas!R364="Bishou F",628,IF(Atletas!R364="Shanzi F",629,IF(Atletas!R364="Outra Arma Curta F",630, "")))))))))))))))))))))))))))))))</f>
        <v/>
      </c>
      <c r="CA373" s="50" t="str">
        <f>IF(Atletas!S364="","",IF(Atletas!X364&lt;&gt;"",10000,0)+IF(Atletas!B364="Feminino",1000,IF(Atletas!B364="Masculino",2000,""))+IF(Atletas!S364="Gun A",701,IF(Atletas!S364="Qiang A",702,IF(Atletas!S364="Pudao / Guandao A",703,IF(Atletas!S364="Outra Arma Longa A",704,IF(Atletas!S364="Gun B",705,IF(Atletas!S364="Qiang B",706,IF(Atletas!S364="Pudao / Guandao B",707,IF(Atletas!S364="Outra Arma Longa B",708,IF(Atletas!S364="Gun C",709,IF(Atletas!S364="Qiang C",710,IF(Atletas!S364="Pudao / Guandao C",711,IF(Atletas!S364="Outra Arma Longa C",712,IF(Atletas!S364="Gun D",713,IF(Atletas!S364="Qiang D",714,IF(Atletas!S364="Pudao / Guandao D",715,IF(Atletas!S364="Outra Arma Longa D",716,IF(Atletas!S364="Gun E",717,IF(Atletas!S364="Qiang E",718,IF(Atletas!S364="Pudao / Guandao E",719,IF(Atletas!S364="Outra Arma Longa E",720,IF(Atletas!S364="Gun F",721,IF(Atletas!S364="Qiang F",722,IF(Atletas!S364="Pudao / Guandao F",723,IF(Atletas!S364="Outra Arma Longa F",724,"")))))))))))))))))))))))))</f>
        <v/>
      </c>
      <c r="CB373" s="50" t="str">
        <f>IF(Atletas!T364="","",IF(Atletas!X364&lt;&gt;"",10000,0)+IF(Atletas!B364="Feminino",1000,IF(Atletas!B364="Masculino",2000,""))+IF(Atletas!T364="Outra Arma Dupla A",801,IF(Atletas!T364="Arma Maleável A",802,IF(Atletas!T364="Outra Arma Dupla B",803,IF(Atletas!T364="Arma Maleável B",804,IF(Atletas!T364="Outra Arma Dupla C",805,IF(Atletas!T364="Arma Maleável C",806,IF(Atletas!T364="Outra Arma Dupla D",807,IF(Atletas!T364="Arma Maleável D",808,IF(Atletas!T364="Outra Arma Dupla E",809,IF(Atletas!T364="Arma Maleável E",810,IF(Atletas!T364="Outra Arma Dupla F",811,IF(Atletas!T364="Arma Maleável F",812,IF(Atletas!T364="Shuangdao A",813,IF(Atletas!T364="Shuangdao B",814,IF(Atletas!T364="Shuangdao C",815,IF(Atletas!T364="Shuangdao D",816,IF(Atletas!T364="Shuangdao E",817,IF(Atletas!T364="Shuangdao F",818,"")))))))))))))))))))</f>
        <v/>
      </c>
      <c r="CC373" s="50" t="str">
        <f>IF(Atletas!U364="","",IF(Atletas!X364&lt;&gt;"",10000,0)+IF(Atletas!B364="Feminino",1000,IF(Atletas!B364="Masculino",2000,""))+IF(OR(Atletas!U364="Taijijian Yang A",Atletas!U364="Taijijian Yang Standard A"),901,IF(OR(Atletas!U364="Taijijian Chen A", Atletas!U364="Taijijian Chen Standard A"),902,IF(Atletas!U364="Taijijian Sun A",903,IF(Atletas!U364="Taijijian Wu A",904,IF(Atletas!U364="Taijijian Wu-Hao A",905,IF(OR(Atletas!U364="Taijijian 32 A",Atletas!U364="Taijijian 42 A"),906,IF(OR(Atletas!U364="Taijijian Yang B",Atletas!U364="Taijijian Yang Standard B"),907,IF(OR(Atletas!U364="Taijijian Chen B", Atletas!U364="Taijijian Chen Standard B"),908,IF(Atletas!U364="Taijijian Sun B",909,IF(Atletas!U364="Taijijian Wu B",910,IF(Atletas!U364="Taijijian Wu-Hao B",911,IF(OR(Atletas!U364="Taijijian 32 B",Atletas!U364="Taijijian 42 B"),912,IF(OR(Atletas!U364="Taijijian Yang C",Atletas!U364="Taijijian Yang Standard C"),913,IF(OR(Atletas!U364="Taijijian Chen C", Atletas!U364="Taijijian Chen Standard C"),914,IF(Atletas!U364="Taijijian Sun C",915,IF(Atletas!U364="Taijijian Wu C",916,IF(Atletas!U364="Taijijian Wu-Hao C",917,IF(OR(Atletas!U364="Taijijian 32 C",Atletas!U364="Taijijian 42 C"),918,IF(OR(Atletas!U364="Taijijian Yang D",Atletas!U364="Taijijian Yang Standard D"),919,IF(OR(Atletas!U364="Taijijian Chen D", Atletas!U364="Taijijian Chen Standard D"),920,IF(Atletas!U364="Taijijian Sun D",921,IF(Atletas!U364="Taijijian Wu D",922,IF(Atletas!U364="Taijijian Wu-Hao D",923,IF(OR(Atletas!U364="Taijijian 32 D",Atletas!U364="Taijijian 42 D"),924,IF(OR(Atletas!U364="Taijijian Yang E",Atletas!U364="Taijijian Yang Standard E"),925,IF(OR(Atletas!U364="Taijijian Chen E", Atletas!U364="Taijijian Chen Standard E"),926,IF(Atletas!U364="Taijijian Sun E",927,IF(Atletas!U364="Taijijian Wu E",928,IF(Atletas!U364="Taijijian Wu-Hao E",929,IF(OR(Atletas!U364="Taijijian 32 E",Atletas!U364="Taijijian 42 E"),930,IF(OR(Atletas!U364="Taijijian Yang F",Atletas!U364="Taijijian Yang Standard F"),931,IF(OR(Atletas!U364="Taijijian Chen F", Atletas!U364="Taijijian Chen Standard F"),932,IF(Atletas!U364="Taijijian Sun F",933,IF(Atletas!U364="Taijijian Wu F",934,IF(Atletas!U364="Taijijian Wu-Hao F",935,IF(OR(Atletas!U364="Taijijian 32 F",Atletas!U364="Taijijian 42 F"),936,"")))))))))))))))))))))))))))))))))))))</f>
        <v/>
      </c>
      <c r="CD373" s="50" t="str">
        <f>IF(Atletas!V364="","",IF(Atletas!X364&lt;&gt;"",10000,0)+IF(Atletas!B364="Feminino",1000,IF(Atletas!B364="Masculino",2000,""))+IF(Atletas!V364="Taijidao A",937,IF(Atletas!V364="TaijiShanzi A",938,IF(Atletas!V364="Taijiqiang A",939,IF(Atletas!V364="Bagua de Arma A",940,IF(Atletas!V364="Xingyi de Arma A",941,IF(Atletas!V364="Taijidao B",942,IF(Atletas!V364="TaijiShanzi B",943,IF(Atletas!V364="Taijiqiang B",944,IF(Atletas!V364="Bagua de Arma B",945,IF(Atletas!V364="Xingyi de Arma B",946,IF(Atletas!V364="Taijidao C",947,IF(Atletas!V364="TaijiShanzi C",948,IF(Atletas!V364="Taijiqiang C",949,IF(Atletas!V364="Bagua de Arma C",950,IF(Atletas!V364="Xingyi de Arma C",951,IF(Atletas!V364="Taijidao D",952,IF(Atletas!V364="TaijiShanzi D",953,IF(Atletas!V364="Taijiqiang D",954,IF(Atletas!V364="Bagua de Arma D",955,IF(Atletas!V364="Xingyi de Arma D",956,IF(Atletas!V364="Taijidao E",957,IF(Atletas!V364="TaijiShanzi E",958,IF(Atletas!V364="Taijiqiang E",959,IF(Atletas!V364="Bagua de Arma E",960,IF(Atletas!V364="Xingyi de Arma E",961,IF(Atletas!V364="Taijidao F",962,IF(Atletas!V364="TaijiShanzi F",963,IF(Atletas!V364="Taijiqiang F",964,IF(Atletas!V364="Bagua de Arma F",965,IF(Atletas!V364="Xingyi de Arma F",966,"")))))))))))))))))))))))))))))))</f>
        <v/>
      </c>
      <c r="CE373" s="66"/>
      <c r="CF373" s="66"/>
      <c r="CG373" s="66"/>
      <c r="CH373" s="66"/>
      <c r="CJ373" s="66"/>
      <c r="CL373" s="66"/>
      <c r="CM373" s="50" t="str">
        <f xml:space="preserve"> IF(Atletas!W364="","",IF(Atletas!W364="Duilian de Mãos BC - Equipe 1",1,IF(Atletas!W364="Duilian de Mãos BC - Equipe 2",2,IF(Atletas!W364="Duilian de Armas BC - Equipe 1",3,IF(Atletas!W364="Duilian de Armas BC - Equipe 2",4,IF(Atletas!W364="Duilian de Mãos DE - Equipe 1",5,IF(Atletas!W364="Duilian de Mãos DE - Equipe 2",6,IF(Atletas!W364="Duilian de Armas DE - Equipe 1",7,IF(Atletas!W364="Duilian de Armas DE - Equipe 2",8,IF(Atletas!W364="Duilian de Tuishou - Equipe 1",9,IF(Atletas!W364="Duilian de Tuishou - Equipe 2",10,IF(Atletas!W364="Grupo Externo ABC - Equipe 1",11,IF(Atletas!W364="Grupo Externo ABC - Equipe 2",12,IF(Atletas!W364="Grupo Interno ABC - Equipe 1",13,IF(Atletas!W364="Grupo Interno ABC - Equipe 2",14,IF(Atletas!W364="Grupo Externo DEF - Equipe 1",15,IF(Atletas!W364="Grupo Externo DEF - Equipe 2",16,IF(Atletas!W364="Grupo Interno DEF - Equipe 1",17,IF(Atletas!W364="Grupo Interno DEF - Equipe 2",18,"")))))))))))))))))))</f>
        <v/>
      </c>
    </row>
    <row r="374" spans="40:91">
      <c r="AN374" s="52" t="str">
        <f>IF(Atletas!D365="","",IF(Atletas!B365="Feminino",100,IF(Atletas!B365="Masculino",200,""))+(IF(Atletas!D365="Kids 30kg",1,IF(Atletas!D365="Kids 32kg",2, IF(Atletas!D365="Kids 34kg",3,IF(Atletas!D365="Kids 36kg",4,IF(Atletas!D365="Kids 39kg",5,IF(Atletas!D365="Kids 42kg",6,IF(Atletas!D365="Kids 45kg",7, IF(Atletas!D365="Infantil 39kg",8,IF(Atletas!D365="Infantil 42kg",9,IF(Atletas!D365="Infantil 45kg",10,IF(Atletas!D365="Infantil 48kg",11,IF(Atletas!D365="Infantil 52kg",12,IF(Atletas!D365="Infantil 56kg",13,IF(Atletas!D365="Infantil 60kg",14,IF(Atletas!D365="Juvenil 48kg",15,IF(Atletas!D365="Juvenil 52kg",16,IF(Atletas!D365="Juvenil 56kg",17,IF(Atletas!D365="Juvenil 60kg",18,IF(Atletas!D365="Juvenil 65kg",19,IF(Atletas!D365="Juvenil 70kg",20,IF(Atletas!D365="Juvenil 75kg",21,IF(Atletas!D365="Juvenil 80kg",22, IF(Atletas!D365="Juvenil 85kg",23,IF(Atletas!D365="Adulto 48kg",24,IF(Atletas!D365="Adulto 52kg",25,IF(Atletas!D365="Adulto 56kg",26,IF(Atletas!D365="Adulto 60kg",27,IF(Atletas!D365="Adulto 65kg",28,IF(Atletas!D365="Adulto 70kg",29,IF(Atletas!D365="Adulto 75kg",30,IF(Atletas!D365="Adulto 80kg",31,IF(Atletas!D365="Adulto 85kg",32,IF(Atletas!D365="Adulto 90kg",33,IF(Atletas!D365="Adulto 100kg",34, IF(Atletas!D365="Adulto +100kg",35,"")))))))))))))))))))))))))))))))))))))</f>
        <v/>
      </c>
      <c r="AS374" s="6" t="str">
        <f>IF(Atletas!E365="","",IF(Atletas!B365="Feminino",100,IF(Atletas!B365="Masculino",200,""))+(IF(Atletas!E365="Juvenil 44kg",1,IF(Atletas!E365="Juvenil 48kg",2,IF(Atletas!E365="Juvenil 52kg",3,IF(Atletas!E365="Juvenil 56kg",4,IF(Atletas!E365="Juvenil 60kg",5,IF(Atletas!E365="Juvenil 65kg",6,IF(Atletas!E365="Juvenil 70kg",7,IF(Atletas!E365="Juvenil 75kg",8,IF(Atletas!E365="Juvenil 82kg",9,IF(Atletas!E365="Juvenil 90kg",10,IF(Atletas!E365="Juvenil 100kg",11,IF(Atletas!E365="Adulto 48kg",12,IF(Atletas!E365="Adulto 52kg",13,IF(Atletas!E365="Adulto 56kg",14,IF(Atletas!E365="Adulto 60kg",15,IF(Atletas!E365="Adulto 65kg",16,IF(Atletas!E365="Adulto 70kg",17,IF(Atletas!E365="Adulto 75kg",18,IF(Atletas!E365="Adulto 82kg",19,IF(Atletas!E365="Adulto 90kg",20,IF(Atletas!E365="Adulto 100kg",21,IF(Atletas!E365="Adulto +100kg",22,""))))))))))))))))))))))))</f>
        <v/>
      </c>
      <c r="AX374" s="6" t="str">
        <f>IF(Atletas!F365="","",IF(Atletas!B365="Feminino",100,IF(Atletas!B365="Masculino",200,""))+(IF(Atletas!F365="Adulto 48kg",1,IF(Atletas!F365="Adulto 56kg",2,IF(Atletas!F365="Adulto 65kg",3,IF(Atletas!F365="Adulto 75kg",4,IF(Atletas!F365="Adulto +75kg",5,IF(Atletas!F365="Adulto 52kg",6,IF(Atletas!F365="Adulto 60kg",7,IF(Atletas!F365="Adulto 70kg",8,IF(Atletas!F365="Adulto 80kg",9,IF(Atletas!F365="Adulto 90kg",10,IF(Atletas!F365="Adulto +90kg",11,"")))))))))))))</f>
        <v/>
      </c>
      <c r="BC374" s="6" t="str">
        <f>IF(Atletas!G365="","",IF(Atletas!B365="Feminino",10,IF(Atletas!B365="Masculino",20,""))+(IF(Atletas!G365="Baduanjin A",1,IF(Atletas!G365="Baduanjin B",2))))</f>
        <v/>
      </c>
      <c r="BF374" s="52" t="str">
        <f>IF(Atletas!H365="","",IF(Atletas!B365="Feminino",100,IF(Atletas!B365="Masculino",200,""))+(IF(Atletas!H365="Changquan Mirim",1,IF(Atletas!H365="Nanquan Mirim",2,IF(Atletas!H365="Taijiquan Mirim",3,IF(Atletas!H365="Changquan Grupo C",4,IF(Atletas!H365="Nanquan Grupo C",5,IF(Atletas!H365="Taijiquan Grupo C",6,IF(Atletas!H365="Changquan Grupo B",7,IF(Atletas!H365="Nanquan Grupo B",8,IF(Atletas!H365="Taijiquan Grupo B",9,IF(Atletas!H365="Changquan Grupo A",10,IF(Atletas!H365="Nanquan Grupo A",11,IF(Atletas!H365="Taijiquan Grupo A",12,IF(Atletas!H365="Changquan Opcional",13,IF(Atletas!H365="Nanquan Opcional",14,IF(Atletas!H365="Taijiquan Opcional",15,IF(Atletas!H365="Changquan Adulto",16,IF(Atletas!H365="Nanquan Adulto",17,IF(Atletas!H365="Taijiquan Adulto",18,""))))))))))))))))))))</f>
        <v/>
      </c>
      <c r="BG374" s="52" t="str">
        <f>IF(Atletas!I365="","",IF(Atletas!B365="Feminino",100,IF(Atletas!B365="Masculino",200,""))+(IF(Atletas!I365="Daoshu Mirim",19,IF(Atletas!I365="Jianshu Mirim",20,IF(Atletas!I365="Nandao Mirim",21,IF(Atletas!I365="Taijijian Mirim",22,IF(Atletas!I365="Daoshu Grupo C",23,IF(Atletas!I365="Jianshu Grupo C",24,IF(Atletas!I365="Nandao Grupo C",25,IF(Atletas!I365="Taijijian Grupo C",26,IF(Atletas!I365="Daoshu Grupo B",27,IF(Atletas!I365="Jianshu Grupo B",28,IF(Atletas!I365="Nandao Grupo B",29,IF(Atletas!I365="Taijijian Grupo B",30,IF(Atletas!I365="Daoshu Grupo A",31,IF(Atletas!I365="Jianshu Grupo A",32,IF(Atletas!I365="Nandao Grupo A",33,IF(Atletas!I365="Taijijian Grupo A",34,IF(Atletas!I365="Daoshu Opcional",35,IF(Atletas!I365="Jianshu Opcional",36,IF(Atletas!I365="Nandao Opcional",37,IF(Atletas!I365="Taijijian Opcional",38,IF(Atletas!I365="Daoshu Adulto",39,IF(Atletas!I365="Jianshu Adulto",40,IF(Atletas!I365="Nandao Adulto",41,IF(Atletas!I365="Taijijian Adulto",42,""))))))))))))))))))))))))))</f>
        <v/>
      </c>
      <c r="BH374" s="52" t="str">
        <f>IF(Atletas!J365="","",IF(Atletas!B365="Feminino",100,IF(Atletas!B365="Masculino",200,""))+(IF(Atletas!J365="Gunshu Mirim",43,IF(Atletas!J365="Qiangshu Mirim",44,IF(Atletas!J365="Nangun Mirim",45,IF(Atletas!J365="Gunshu Grupo C",46,IF(Atletas!J365="Qiangshu Grupo C",47,IF(Atletas!J365="Nangun Grupo C",48,IF(Atletas!J365="Gunshu Grupo B",49,IF(Atletas!J365="Qiangshu Grupo B",50,IF(Atletas!J365="Nangun Grupo B",51,IF(Atletas!J365="Gunshu Grupo A",52,IF(Atletas!J365="Qiangshu Grupo A",53,IF(Atletas!J365="Nangun Grupo A",54,IF(Atletas!J365="Gunshu Opcional",55,IF(Atletas!J365="Qiangshu Opcional",56,IF(Atletas!J365="Nangun Opcional",57,IF(Atletas!J365="Gunshu Adulto",58,IF(Atletas!J365="Qiangshu Adulto",59,IF(Atletas!J365="Nangun Adulto",60,IF(Atletas!J365="Taijishan Grupo B",61,IF(Atletas!J365="Taijishan Grupo A",62,""))))))))))))))))))))))</f>
        <v/>
      </c>
      <c r="BM374" s="50" t="str">
        <f>IF(Atletas!K365="","",IF(Atletas!B365="Feminino",100,IF(Atletas!B365="Masculino",200,""))+(IF(Atletas!K365="Equipe 1 Grupo B",1,IF(Atletas!K365="Equipe 2 Grupo B",2,IF(Atletas!K365="Equipe 1 Grupo A",3,IF(Atletas!K365="Equipe 2 Grupo A",4,IF(Atletas!K365="Equipe 1 Adulto",5,IF(Atletas!K365="Equipe 2 Adulto",6,""))))))))</f>
        <v/>
      </c>
      <c r="BR374" s="50" t="str">
        <f>IF(Atletas!L365="","",IF(Atletas!X365&lt;&gt;"",10000,0)+(IF(Atletas!B365="Feminino",1000,IF(Atletas!B365="Masculino",2000,""))+IF(Atletas!L365="Choylayfut A",1,IF(Atletas!L365="Hunggar A",2,IF(Atletas!L365="Wuzuquan A",3,IF(Atletas!L365="Wingchun A",4,IF(Atletas!L365="Outra Mão de Sul A",5,IF(Atletas!L365="Choylayfut B",6,IF(Atletas!L365="Hunggar B",7,IF(Atletas!L365="Wuzuquan B",8,IF(Atletas!L365="Wingchun B",9,IF(Atletas!L365="Outra Mão de Sul B",10,IF(Atletas!L365="Choylayfut C",11,IF(Atletas!L365="Hunggar C",12,IF(Atletas!L365="Wuzuquan C",13,IF(Atletas!L365="Wingchun C",14,IF(Atletas!L365="Outra Mão de Sul C",15,IF(Atletas!L365="Choylayfut D",16,IF(Atletas!L365="Hunggar D",17,IF(Atletas!L365="Wuzuquan D",18,IF(Atletas!L365="Wingchun D",19,IF(Atletas!L365="Outra Mão de Sul D",20,IF(Atletas!L365="Choylayfut E",21,IF(Atletas!L365="Hunggar E",22,IF(Atletas!L365="Wuzuquan E",23,IF(Atletas!L365="Wingchun E",24,IF(Atletas!L365="Outra Mão de Sul E",25,IF(Atletas!L365="Choylayfut F",26,IF(Atletas!L365="Hunggar F",27,IF(Atletas!L365="Wuzuquan F",28,IF(Atletas!L365="Wingchun F",29,IF(Atletas!L365="Outra Mão de Sul F",30,IF(Atletas!L365="Dishuquan A",31,IF(Atletas!L365="Dishuquan B",32,IF(Atletas!L365="Dishuquan C",33,IF(Atletas!L365="Dishuquan D",34,IF(Atletas!L365="Dishuquan E",35,IF(Atletas!L365="Dishuquan F",36,""))))))))))))))))))))))))))))))))))))))</f>
        <v/>
      </c>
      <c r="BS374" s="50" t="str">
        <f>IF(Atletas!M365="","",IF(Atletas!X365&lt;&gt;"",10000,0)+(IF(Atletas!B365="Feminino",1000,IF(Atletas!B365="Masculino",2000,""))+(IF(Atletas!M365="Chaquan A",101,IF(Atletas!M365="Emeiquan A",102,IF(Atletas!M365="Fanziquan A",103,IF(Atletas!M365="Huaquan A",104,IF(Atletas!M365="Hongquan A",105,IF(Atletas!M365="Paoquan A",106,IF(Atletas!M365="Piguaquan A",107,IF(Atletas!M365="Shaolinquan A",108,IF(Atletas!M365="Tanglangquan A",109,IF(Atletas!M365="Yingzhaoquan A",110,IF(Atletas!M365="Tongbeiquan A",111,IF(Atletas!M365="Wudangquan A",112,IF(Atletas!M365="Outros Estilos A",113,IF(Atletas!M365="Chaquan B",114,IF(Atletas!M365="Emeiquan B",115,IF(Atletas!M365="Fanziquan B",116,IF(Atletas!M365="Huaquan B",117,IF(Atletas!M365="Hongquan B",118,IF(Atletas!M365="Paoquan B",119,IF(Atletas!M365="Piguaquan B",120,IF(Atletas!M365="Shaolinquan B",121,IF(Atletas!M365="Tanglangquan B",122,IF(Atletas!M365="Yingzhaoquan B",123,IF(Atletas!M365="Tongbeiquan B",124,IF(Atletas!M365="Wudangquan B",125,IF(Atletas!M365="Outros Estilos B",126,IF(Atletas!M365="Chaquan C",127,IF(Atletas!M365="Emeiquan C",128,IF(Atletas!M365="Fanziquan C",129,IF(Atletas!M365="Huaquan C",130,IF(Atletas!M365="Hongquan C",131,IF(Atletas!M365="Paoquan C",132,IF(Atletas!M365="Piguaquan C",133,IF(Atletas!M365="Shaolinquan C",134,IF(Atletas!M365="Tanglangquan C",135,IF(Atletas!M365="Yingzhaoquan C",136,IF(Atletas!M365="Tongbeiquan C",137,IF(Atletas!M365="Wudangquan C",138,IF(Atletas!M365="Outros Estilos C",139,0))))))))))))))))))))))))))))))))))))))))))</f>
        <v/>
      </c>
      <c r="BT374" s="50" t="str">
        <f>IF(Atletas!M365="","",IF(Atletas!X365&lt;&gt;"",10000,0)+(IF(Atletas!B365="Feminino",1000,IF(Atletas!B365="Masculino",2000,""))+(IF(Atletas!M365="Chaquan D",140,IF(Atletas!M365="Emeiquan D",141,IF(Atletas!M365="Fanziquan D",142,IF(Atletas!M365="Huaquan D",143,IF(Atletas!M365="Hongquan D",144,IF(Atletas!M365="Paoquan D",145,IF(Atletas!M365="Piguaquan D",146,IF(Atletas!M365="Shaolinquan D",147,IF(Atletas!M365="Tanglangquan D",148,IF(Atletas!M365="Yingzhaoquan D",149,IF(Atletas!M365="Tongbeiquan D",150,IF(Atletas!M365="Wudangquan D",151,IF(Atletas!M365="Outros Estilos D",152,IF(Atletas!M365="Chaquan E",153,IF(Atletas!M365="Emeiquan E",154,IF(Atletas!M365="Fanziquan E",155,IF(Atletas!M365="Huaquan E",156,IF(Atletas!M365="Hongquan E",157,IF(Atletas!M365="Paoquan E",158,IF(Atletas!M365="Piguaquan E",159,IF(Atletas!M365="Shaolinquan E",160,IF(Atletas!M365="Tanglangquan E",161,IF(Atletas!M365="Yingzhaoquan E",162,IF(Atletas!M365="Tongbeiquan E",163,IF(Atletas!M365="Wudangquan E",164,IF(Atletas!M365="Outros Estilos E",165,IF(Atletas!M365="Chaquan F",166,IF(Atletas!M365="Emeiquan F",167,IF(Atletas!M365="Fanziquan F",168,IF(Atletas!M365="Huaquan F",169,IF(Atletas!M365="Hongquan F",170,IF(Atletas!M365="Paoquan F",171,IF(Atletas!M365="Piguaquan F",172,IF(Atletas!M365="Shaolinquan F",173,IF(Atletas!M365="Tanglangquan F",174,IF(Atletas!M365="Yingzhaoquan F",175,IF(Atletas!M365="Tongbeiquan F",176,IF(Atletas!M365="Wudangquan F",177,IF(Atletas!M365="Outros Estilos F",178,0))))))))))))))))))))))))))))))))))))))))))</f>
        <v/>
      </c>
      <c r="BU374" s="50" t="str">
        <f>IF(Atletas!N365="","",IF(Atletas!X365&lt;&gt;"",10000,0)+(IF(Atletas!B365="Feminino",1000,IF(Atletas!B365="Masculino",2000,""))+(IF(Atletas!N365="Ditangquan A",201,IF(Atletas!N365="Houquan A",202,IF(Atletas!N365="Zuiquan A",203,IF(Atletas!N365="Ditangquan B",204,IF(Atletas!N365="Houquan B",205,IF(Atletas!N365="Zuiquan B",206,IF(Atletas!N365="Ditangquan C",207,IF(Atletas!N365="Houquan C",208,IF(Atletas!N365="Zuiquan C",209,IF(Atletas!N365="Ditangquan D",210,IF(Atletas!N365="Houquan D",211,IF(Atletas!N365="Zuiquan D",212,IF(Atletas!N365="Ditangquan E",213,IF(Atletas!N365="Houquan E",214,IF(Atletas!N365="Zuiquan E",215,IF(Atletas!N365="Ditangquan F",216,IF(Atletas!N365="Houquan F",217,IF(Atletas!N365="Zuiquan F",218,"")))))))))))))))))))))</f>
        <v/>
      </c>
      <c r="BV374" s="50" t="str">
        <f>IF(Atletas!O365="","",IF(Atletas!X365&lt;&gt;"",10000,0)+IF(Atletas!B365="Feminino",1000,IF(Atletas!B365="Masculino",2000,""))+IF(Atletas!O365="Yang A",301,IF(Atletas!O365="Chen A",302,IF(Atletas!O365="Sun A",303,IF(Atletas!O365="Wu A",304,IF(Atletas!O365="Wu-Hao A",305,IF(Atletas!O365="Outro Taijiquan A",306,IF(Atletas!O365="Yang B",307,IF(Atletas!O365="Chen B",308,IF(Atletas!O365="Sun B",309,IF(Atletas!O365="Wu B",310,IF(Atletas!O365="Wu-Hao B",311,IF(Atletas!O365="Outro Taijiquan B",312,IF(Atletas!O365="Yang C",313,IF(Atletas!O365="Chen C",314,IF(Atletas!O365="Sun C",315,IF(Atletas!O365="Wu C",316,IF(Atletas!O365="Wu-Hao C",317,IF(Atletas!O365="Outro Taijiquan C",318,IF(Atletas!O365="Yang D",319,IF(Atletas!O365="Chen D",320,IF(Atletas!O365="Sun D",321,IF(Atletas!O365="Wu D",322,IF(Atletas!O365="Wu-Hao D",323,IF(Atletas!O365="Outro Taijiquan D",324,IF(Atletas!O365="Yang E",325,IF(Atletas!O365="Chen E",326,IF(Atletas!O365="Sun E",327,IF(Atletas!O365="Wu E",328,IF(Atletas!O365="Wu-Hao E",329,IF(Atletas!O365="Outro Taijiquan E",330,IF(Atletas!O365="Yang F",331,IF(Atletas!O365="Chen F",332,IF(Atletas!O365="Sun F",333,IF(Atletas!O365="Wu F",334,IF(Atletas!O365="Wu-Hao F",335,IF(Atletas!O365="Outro Taijiquan F",336,"")))))))))))))))))))))))))))))))))))))</f>
        <v/>
      </c>
      <c r="BW374" s="50" t="str">
        <f>IF(Atletas!P365="","",IF(Atletas!X365&lt;&gt;"",10000,0)+IF(Atletas!B365="Feminino",1000,IF(Atletas!B365="Masculino",2000,""))+IF(OR(Atletas!P365="Yang 26 A",Atletas!P365="Yang 40 A"),401,IF(OR(Atletas!P365="Chen 25 A",Atletas!P365="Chen 36 A",Atletas!P365="Chen 56 A"),402,IF(Atletas!P365="Sun 73 A",403,IF(Atletas!P365="Wu 45 A",404,IF(Atletas!P365="Wu-Hao 46 A",405,IF(OR(Atletas!P365="Taijiquan 16 A",Atletas!P365="Taijiquan 24 A",Atletas!P365="Taijiquan 32 A",Atletas!P365="Taijiquan 42 A"),406,IF(OR(Atletas!P365="Yang 26 B",Atletas!P365="Yang 40 B"),407,IF(OR(Atletas!P365="Chen 25 B",Atletas!P365="Chen 36 B",Atletas!P365="Chen 56 B"),408,IF(Atletas!P365="Sun 73 B",409,IF(Atletas!P365="Wu 45 B",410,IF(Atletas!P365="Wu-Hao 46 B",411,IF(OR(Atletas!P365="Taijiquan 16 B",Atletas!P365="Taijiquan 24 B",Atletas!P365="Taijiquan 32 B",Atletas!P365="Taijiquan 42 B"),412,IF(OR(Atletas!P365="Yang 26 C",Atletas!P365="Yang 40 C"),413,IF(OR(Atletas!P365="Chen 25 C",Atletas!P365="Chen 36 C",Atletas!P365="Chen 56 C"),414,IF(Atletas!P365="Sun 73 C",415,IF(Atletas!P365="Wu 45 C",416,IF(Atletas!P365="Wu-Hao 46 C",417,IF(OR(Atletas!P365="Taijiquan 16 C",Atletas!P365="Taijiquan 24 C",Atletas!P365="Taijiquan 32 C",Atletas!P365="Taijiquan 42 C"),418,0)))))))))))))))))))</f>
        <v/>
      </c>
      <c r="BX374" s="50" t="str">
        <f>IF(Atletas!P365="","",IF(Atletas!X365&lt;&gt;"",10000,0)+IF(Atletas!B365="Feminino",1000,IF(Atletas!B365="Masculino",2000,""))+IF(OR(Atletas!P365="Yang 26 D",Atletas!P365="Yang 40 D"),419,IF(OR(Atletas!P365="Chen 25 D",Atletas!P365="Chen 36 D",Atletas!P365="Chen 56 D"),420,IF(Atletas!P365="Sun 73 D",421,IF(Atletas!P365="Wu 45 D",422,IF(Atletas!P365="Wu-Hao 46 D",423,IF(OR(Atletas!P365="Taijiquan 16 D",Atletas!P365="Taijiquan 24 D",Atletas!P365="Taijiquan 32 D",Atletas!P365="Taijiquan 42 D"),424,IF(OR(Atletas!P365="Yang 26 E",Atletas!P365="Yang 40 E"),425,IF(OR(Atletas!P365="Chen 25 E",Atletas!P365="Chen 36 E",Atletas!P365="Chen 56 E"),426,IF(Atletas!P365="Sun 73 E",427,IF(Atletas!P365="Wu 45 E",428,IF(Atletas!P365="Wu-Hao 46 E",429,IF(OR(Atletas!P365="Taijiquan 16 E",Atletas!P365="Taijiquan 24 E",Atletas!P365="Taijiquan 32 E",Atletas!P365="Taijiquan 42 E"),430,IF(OR(Atletas!P365="Yang 26 F",Atletas!P365="Yang 40 F"),431,IF(OR(Atletas!P365="Chen 25 F",Atletas!P365="Chen 36 F",Atletas!P365="Chen 56 F"),432,IF(Atletas!P365="Sun 73 F",433,IF(Atletas!P365="Wu 45 F",434,IF(Atletas!P365="Wu-Hao 46 F",435,IF(OR(Atletas!P365="Taijiquan 16 F",Atletas!P365="Taijiquan 24 F",Atletas!P365="Taijiquan 32 F",Atletas!P365="Taijiquan 42 F"),436,0)))))))))))))))))))</f>
        <v/>
      </c>
      <c r="BY374" s="50" t="str">
        <f>IF(Atletas!Q365="","",IF(Atletas!X365&lt;&gt;"",10000,0)+IF(Atletas!B365="Feminino",1000,IF(Atletas!B365="Masculino",2000,""))+IF(Atletas!Q365="Xingyiquan A",501,IF(Atletas!Q365="Baguazhang A",502,IF(Atletas!Q365="Outro Estilo Interno A",503,IF(Atletas!Q365="Xingyiquan B",504,IF(Atletas!Q365="Baguazhang B",505,IF(Atletas!Q365="Outro Estilo Interno B",506,IF(Atletas!Q365="Xingyiquan C",507,IF(Atletas!Q365="Baguazhang C",508,IF(Atletas!Q365="Outro Estilo Interno C",509,IF(Atletas!Q365="Xingyiquan D",510,IF(Atletas!Q365="Baguazhang D",511,IF(Atletas!Q365="Outro Estilo Interno D",512,IF(Atletas!Q365="Xingyiquan E",513,IF(Atletas!Q365="Baguazhang E",514,IF(Atletas!Q365="Outro Estilo Interno E",515,IF(Atletas!Q365="Xingyiquan F",516,IF(Atletas!Q365="Baguazhang F",517,IF(Atletas!Q365="Outro Estilo Interno F",518, "")))))))))))))))))))</f>
        <v/>
      </c>
      <c r="BZ374" s="50" t="str">
        <f>IF(Atletas!R365="","",IF(Atletas!X365&lt;&gt;"",10000,0)+IF(Atletas!B365="Feminino",1000,IF(Atletas!B365="Masculino",2000,""))+IF(Atletas!R365="Dao A",601,IF(Atletas!R365="Jian A",602,IF(Atletas!R365="Bishou A",603,IF(Atletas!R365="Shanzi A",604,IF(Atletas!R365="Outra Arma Curta A",605,IF(Atletas!R365="Dao B",606,IF(Atletas!R365="Jian B",607,IF(Atletas!R365="Bishou B",608,IF(Atletas!R365="Shanzi B",609,IF(Atletas!R365="Outra Arma Curta B",610,IF(Atletas!R365="Dao C",611,IF(Atletas!R365="Jian C",612,IF(Atletas!R365="Bishou C",613,IF(Atletas!R365="Shanzi C",614,IF(Atletas!R365="Outra Arma Curta C",615,IF(Atletas!R365="Dao D",616,IF(Atletas!R365="Jian D",617,IF(Atletas!R365="Bishou D",618,IF(Atletas!R365="Shanzi D",619,IF(Atletas!R365="Outra Arma Curta D",620,IF(Atletas!R365="Dao E",621,IF(Atletas!R365="Jian E",622,IF(Atletas!R365="Bishou E",623,IF(Atletas!R365="Shanzi E",624,IF(Atletas!R365="Outra Arma Curta E",625,IF(Atletas!R365="Dao F",626,IF(Atletas!R365="Jian F",627,IF(Atletas!R365="Bishou F",628,IF(Atletas!R365="Shanzi F",629,IF(Atletas!R365="Outra Arma Curta F",630, "")))))))))))))))))))))))))))))))</f>
        <v/>
      </c>
      <c r="CA374" s="50" t="str">
        <f>IF(Atletas!S365="","",IF(Atletas!X365&lt;&gt;"",10000,0)+IF(Atletas!B365="Feminino",1000,IF(Atletas!B365="Masculino",2000,""))+IF(Atletas!S365="Gun A",701,IF(Atletas!S365="Qiang A",702,IF(Atletas!S365="Pudao / Guandao A",703,IF(Atletas!S365="Outra Arma Longa A",704,IF(Atletas!S365="Gun B",705,IF(Atletas!S365="Qiang B",706,IF(Atletas!S365="Pudao / Guandao B",707,IF(Atletas!S365="Outra Arma Longa B",708,IF(Atletas!S365="Gun C",709,IF(Atletas!S365="Qiang C",710,IF(Atletas!S365="Pudao / Guandao C",711,IF(Atletas!S365="Outra Arma Longa C",712,IF(Atletas!S365="Gun D",713,IF(Atletas!S365="Qiang D",714,IF(Atletas!S365="Pudao / Guandao D",715,IF(Atletas!S365="Outra Arma Longa D",716,IF(Atletas!S365="Gun E",717,IF(Atletas!S365="Qiang E",718,IF(Atletas!S365="Pudao / Guandao E",719,IF(Atletas!S365="Outra Arma Longa E",720,IF(Atletas!S365="Gun F",721,IF(Atletas!S365="Qiang F",722,IF(Atletas!S365="Pudao / Guandao F",723,IF(Atletas!S365="Outra Arma Longa F",724,"")))))))))))))))))))))))))</f>
        <v/>
      </c>
      <c r="CB374" s="50" t="str">
        <f>IF(Atletas!T365="","",IF(Atletas!X365&lt;&gt;"",10000,0)+IF(Atletas!B365="Feminino",1000,IF(Atletas!B365="Masculino",2000,""))+IF(Atletas!T365="Outra Arma Dupla A",801,IF(Atletas!T365="Arma Maleável A",802,IF(Atletas!T365="Outra Arma Dupla B",803,IF(Atletas!T365="Arma Maleável B",804,IF(Atletas!T365="Outra Arma Dupla C",805,IF(Atletas!T365="Arma Maleável C",806,IF(Atletas!T365="Outra Arma Dupla D",807,IF(Atletas!T365="Arma Maleável D",808,IF(Atletas!T365="Outra Arma Dupla E",809,IF(Atletas!T365="Arma Maleável E",810,IF(Atletas!T365="Outra Arma Dupla F",811,IF(Atletas!T365="Arma Maleável F",812,IF(Atletas!T365="Shuangdao A",813,IF(Atletas!T365="Shuangdao B",814,IF(Atletas!T365="Shuangdao C",815,IF(Atletas!T365="Shuangdao D",816,IF(Atletas!T365="Shuangdao E",817,IF(Atletas!T365="Shuangdao F",818,"")))))))))))))))))))</f>
        <v/>
      </c>
      <c r="CC374" s="50" t="str">
        <f>IF(Atletas!U365="","",IF(Atletas!X365&lt;&gt;"",10000,0)+IF(Atletas!B365="Feminino",1000,IF(Atletas!B365="Masculino",2000,""))+IF(OR(Atletas!U365="Taijijian Yang A",Atletas!U365="Taijijian Yang Standard A"),901,IF(OR(Atletas!U365="Taijijian Chen A", Atletas!U365="Taijijian Chen Standard A"),902,IF(Atletas!U365="Taijijian Sun A",903,IF(Atletas!U365="Taijijian Wu A",904,IF(Atletas!U365="Taijijian Wu-Hao A",905,IF(OR(Atletas!U365="Taijijian 32 A",Atletas!U365="Taijijian 42 A"),906,IF(OR(Atletas!U365="Taijijian Yang B",Atletas!U365="Taijijian Yang Standard B"),907,IF(OR(Atletas!U365="Taijijian Chen B", Atletas!U365="Taijijian Chen Standard B"),908,IF(Atletas!U365="Taijijian Sun B",909,IF(Atletas!U365="Taijijian Wu B",910,IF(Atletas!U365="Taijijian Wu-Hao B",911,IF(OR(Atletas!U365="Taijijian 32 B",Atletas!U365="Taijijian 42 B"),912,IF(OR(Atletas!U365="Taijijian Yang C",Atletas!U365="Taijijian Yang Standard C"),913,IF(OR(Atletas!U365="Taijijian Chen C", Atletas!U365="Taijijian Chen Standard C"),914,IF(Atletas!U365="Taijijian Sun C",915,IF(Atletas!U365="Taijijian Wu C",916,IF(Atletas!U365="Taijijian Wu-Hao C",917,IF(OR(Atletas!U365="Taijijian 32 C",Atletas!U365="Taijijian 42 C"),918,IF(OR(Atletas!U365="Taijijian Yang D",Atletas!U365="Taijijian Yang Standard D"),919,IF(OR(Atletas!U365="Taijijian Chen D", Atletas!U365="Taijijian Chen Standard D"),920,IF(Atletas!U365="Taijijian Sun D",921,IF(Atletas!U365="Taijijian Wu D",922,IF(Atletas!U365="Taijijian Wu-Hao D",923,IF(OR(Atletas!U365="Taijijian 32 D",Atletas!U365="Taijijian 42 D"),924,IF(OR(Atletas!U365="Taijijian Yang E",Atletas!U365="Taijijian Yang Standard E"),925,IF(OR(Atletas!U365="Taijijian Chen E", Atletas!U365="Taijijian Chen Standard E"),926,IF(Atletas!U365="Taijijian Sun E",927,IF(Atletas!U365="Taijijian Wu E",928,IF(Atletas!U365="Taijijian Wu-Hao E",929,IF(OR(Atletas!U365="Taijijian 32 E",Atletas!U365="Taijijian 42 E"),930,IF(OR(Atletas!U365="Taijijian Yang F",Atletas!U365="Taijijian Yang Standard F"),931,IF(OR(Atletas!U365="Taijijian Chen F", Atletas!U365="Taijijian Chen Standard F"),932,IF(Atletas!U365="Taijijian Sun F",933,IF(Atletas!U365="Taijijian Wu F",934,IF(Atletas!U365="Taijijian Wu-Hao F",935,IF(OR(Atletas!U365="Taijijian 32 F",Atletas!U365="Taijijian 42 F"),936,"")))))))))))))))))))))))))))))))))))))</f>
        <v/>
      </c>
      <c r="CD374" s="50" t="str">
        <f>IF(Atletas!V365="","",IF(Atletas!X365&lt;&gt;"",10000,0)+IF(Atletas!B365="Feminino",1000,IF(Atletas!B365="Masculino",2000,""))+IF(Atletas!V365="Taijidao A",937,IF(Atletas!V365="TaijiShanzi A",938,IF(Atletas!V365="Taijiqiang A",939,IF(Atletas!V365="Bagua de Arma A",940,IF(Atletas!V365="Xingyi de Arma A",941,IF(Atletas!V365="Taijidao B",942,IF(Atletas!V365="TaijiShanzi B",943,IF(Atletas!V365="Taijiqiang B",944,IF(Atletas!V365="Bagua de Arma B",945,IF(Atletas!V365="Xingyi de Arma B",946,IF(Atletas!V365="Taijidao C",947,IF(Atletas!V365="TaijiShanzi C",948,IF(Atletas!V365="Taijiqiang C",949,IF(Atletas!V365="Bagua de Arma C",950,IF(Atletas!V365="Xingyi de Arma C",951,IF(Atletas!V365="Taijidao D",952,IF(Atletas!V365="TaijiShanzi D",953,IF(Atletas!V365="Taijiqiang D",954,IF(Atletas!V365="Bagua de Arma D",955,IF(Atletas!V365="Xingyi de Arma D",956,IF(Atletas!V365="Taijidao E",957,IF(Atletas!V365="TaijiShanzi E",958,IF(Atletas!V365="Taijiqiang E",959,IF(Atletas!V365="Bagua de Arma E",960,IF(Atletas!V365="Xingyi de Arma E",961,IF(Atletas!V365="Taijidao F",962,IF(Atletas!V365="TaijiShanzi F",963,IF(Atletas!V365="Taijiqiang F",964,IF(Atletas!V365="Bagua de Arma F",965,IF(Atletas!V365="Xingyi de Arma F",966,"")))))))))))))))))))))))))))))))</f>
        <v/>
      </c>
      <c r="CE374" s="66"/>
      <c r="CF374" s="66"/>
      <c r="CG374" s="66"/>
      <c r="CH374" s="66"/>
      <c r="CJ374" s="66"/>
      <c r="CL374" s="66"/>
      <c r="CM374" s="50" t="str">
        <f xml:space="preserve"> IF(Atletas!W365="","",IF(Atletas!W365="Duilian de Mãos BC - Equipe 1",1,IF(Atletas!W365="Duilian de Mãos BC - Equipe 2",2,IF(Atletas!W365="Duilian de Armas BC - Equipe 1",3,IF(Atletas!W365="Duilian de Armas BC - Equipe 2",4,IF(Atletas!W365="Duilian de Mãos DE - Equipe 1",5,IF(Atletas!W365="Duilian de Mãos DE - Equipe 2",6,IF(Atletas!W365="Duilian de Armas DE - Equipe 1",7,IF(Atletas!W365="Duilian de Armas DE - Equipe 2",8,IF(Atletas!W365="Duilian de Tuishou - Equipe 1",9,IF(Atletas!W365="Duilian de Tuishou - Equipe 2",10,IF(Atletas!W365="Grupo Externo ABC - Equipe 1",11,IF(Atletas!W365="Grupo Externo ABC - Equipe 2",12,IF(Atletas!W365="Grupo Interno ABC - Equipe 1",13,IF(Atletas!W365="Grupo Interno ABC - Equipe 2",14,IF(Atletas!W365="Grupo Externo DEF - Equipe 1",15,IF(Atletas!W365="Grupo Externo DEF - Equipe 2",16,IF(Atletas!W365="Grupo Interno DEF - Equipe 1",17,IF(Atletas!W365="Grupo Interno DEF - Equipe 2",18,"")))))))))))))))))))</f>
        <v/>
      </c>
    </row>
    <row r="375" spans="40:91">
      <c r="AN375" s="52" t="str">
        <f>IF(Atletas!D366="","",IF(Atletas!B366="Feminino",100,IF(Atletas!B366="Masculino",200,""))+(IF(Atletas!D366="Kids 30kg",1,IF(Atletas!D366="Kids 32kg",2, IF(Atletas!D366="Kids 34kg",3,IF(Atletas!D366="Kids 36kg",4,IF(Atletas!D366="Kids 39kg",5,IF(Atletas!D366="Kids 42kg",6,IF(Atletas!D366="Kids 45kg",7, IF(Atletas!D366="Infantil 39kg",8,IF(Atletas!D366="Infantil 42kg",9,IF(Atletas!D366="Infantil 45kg",10,IF(Atletas!D366="Infantil 48kg",11,IF(Atletas!D366="Infantil 52kg",12,IF(Atletas!D366="Infantil 56kg",13,IF(Atletas!D366="Infantil 60kg",14,IF(Atletas!D366="Juvenil 48kg",15,IF(Atletas!D366="Juvenil 52kg",16,IF(Atletas!D366="Juvenil 56kg",17,IF(Atletas!D366="Juvenil 60kg",18,IF(Atletas!D366="Juvenil 65kg",19,IF(Atletas!D366="Juvenil 70kg",20,IF(Atletas!D366="Juvenil 75kg",21,IF(Atletas!D366="Juvenil 80kg",22, IF(Atletas!D366="Juvenil 85kg",23,IF(Atletas!D366="Adulto 48kg",24,IF(Atletas!D366="Adulto 52kg",25,IF(Atletas!D366="Adulto 56kg",26,IF(Atletas!D366="Adulto 60kg",27,IF(Atletas!D366="Adulto 65kg",28,IF(Atletas!D366="Adulto 70kg",29,IF(Atletas!D366="Adulto 75kg",30,IF(Atletas!D366="Adulto 80kg",31,IF(Atletas!D366="Adulto 85kg",32,IF(Atletas!D366="Adulto 90kg",33,IF(Atletas!D366="Adulto 100kg",34, IF(Atletas!D366="Adulto +100kg",35,"")))))))))))))))))))))))))))))))))))))</f>
        <v/>
      </c>
      <c r="AS375" s="6" t="str">
        <f>IF(Atletas!E366="","",IF(Atletas!B366="Feminino",100,IF(Atletas!B366="Masculino",200,""))+(IF(Atletas!E366="Juvenil 44kg",1,IF(Atletas!E366="Juvenil 48kg",2,IF(Atletas!E366="Juvenil 52kg",3,IF(Atletas!E366="Juvenil 56kg",4,IF(Atletas!E366="Juvenil 60kg",5,IF(Atletas!E366="Juvenil 65kg",6,IF(Atletas!E366="Juvenil 70kg",7,IF(Atletas!E366="Juvenil 75kg",8,IF(Atletas!E366="Juvenil 82kg",9,IF(Atletas!E366="Juvenil 90kg",10,IF(Atletas!E366="Juvenil 100kg",11,IF(Atletas!E366="Adulto 48kg",12,IF(Atletas!E366="Adulto 52kg",13,IF(Atletas!E366="Adulto 56kg",14,IF(Atletas!E366="Adulto 60kg",15,IF(Atletas!E366="Adulto 65kg",16,IF(Atletas!E366="Adulto 70kg",17,IF(Atletas!E366="Adulto 75kg",18,IF(Atletas!E366="Adulto 82kg",19,IF(Atletas!E366="Adulto 90kg",20,IF(Atletas!E366="Adulto 100kg",21,IF(Atletas!E366="Adulto +100kg",22,""))))))))))))))))))))))))</f>
        <v/>
      </c>
      <c r="AX375" s="6" t="str">
        <f>IF(Atletas!F366="","",IF(Atletas!B366="Feminino",100,IF(Atletas!B366="Masculino",200,""))+(IF(Atletas!F366="Adulto 48kg",1,IF(Atletas!F366="Adulto 56kg",2,IF(Atletas!F366="Adulto 65kg",3,IF(Atletas!F366="Adulto 75kg",4,IF(Atletas!F366="Adulto +75kg",5,IF(Atletas!F366="Adulto 52kg",6,IF(Atletas!F366="Adulto 60kg",7,IF(Atletas!F366="Adulto 70kg",8,IF(Atletas!F366="Adulto 80kg",9,IF(Atletas!F366="Adulto 90kg",10,IF(Atletas!F366="Adulto +90kg",11,"")))))))))))))</f>
        <v/>
      </c>
      <c r="BC375" s="6" t="str">
        <f>IF(Atletas!G366="","",IF(Atletas!B366="Feminino",10,IF(Atletas!B366="Masculino",20,""))+(IF(Atletas!G366="Baduanjin A",1,IF(Atletas!G366="Baduanjin B",2))))</f>
        <v/>
      </c>
      <c r="BF375" s="52" t="str">
        <f>IF(Atletas!H366="","",IF(Atletas!B366="Feminino",100,IF(Atletas!B366="Masculino",200,""))+(IF(Atletas!H366="Changquan Mirim",1,IF(Atletas!H366="Nanquan Mirim",2,IF(Atletas!H366="Taijiquan Mirim",3,IF(Atletas!H366="Changquan Grupo C",4,IF(Atletas!H366="Nanquan Grupo C",5,IF(Atletas!H366="Taijiquan Grupo C",6,IF(Atletas!H366="Changquan Grupo B",7,IF(Atletas!H366="Nanquan Grupo B",8,IF(Atletas!H366="Taijiquan Grupo B",9,IF(Atletas!H366="Changquan Grupo A",10,IF(Atletas!H366="Nanquan Grupo A",11,IF(Atletas!H366="Taijiquan Grupo A",12,IF(Atletas!H366="Changquan Opcional",13,IF(Atletas!H366="Nanquan Opcional",14,IF(Atletas!H366="Taijiquan Opcional",15,IF(Atletas!H366="Changquan Adulto",16,IF(Atletas!H366="Nanquan Adulto",17,IF(Atletas!H366="Taijiquan Adulto",18,""))))))))))))))))))))</f>
        <v/>
      </c>
      <c r="BG375" s="52" t="str">
        <f>IF(Atletas!I366="","",IF(Atletas!B366="Feminino",100,IF(Atletas!B366="Masculino",200,""))+(IF(Atletas!I366="Daoshu Mirim",19,IF(Atletas!I366="Jianshu Mirim",20,IF(Atletas!I366="Nandao Mirim",21,IF(Atletas!I366="Taijijian Mirim",22,IF(Atletas!I366="Daoshu Grupo C",23,IF(Atletas!I366="Jianshu Grupo C",24,IF(Atletas!I366="Nandao Grupo C",25,IF(Atletas!I366="Taijijian Grupo C",26,IF(Atletas!I366="Daoshu Grupo B",27,IF(Atletas!I366="Jianshu Grupo B",28,IF(Atletas!I366="Nandao Grupo B",29,IF(Atletas!I366="Taijijian Grupo B",30,IF(Atletas!I366="Daoshu Grupo A",31,IF(Atletas!I366="Jianshu Grupo A",32,IF(Atletas!I366="Nandao Grupo A",33,IF(Atletas!I366="Taijijian Grupo A",34,IF(Atletas!I366="Daoshu Opcional",35,IF(Atletas!I366="Jianshu Opcional",36,IF(Atletas!I366="Nandao Opcional",37,IF(Atletas!I366="Taijijian Opcional",38,IF(Atletas!I366="Daoshu Adulto",39,IF(Atletas!I366="Jianshu Adulto",40,IF(Atletas!I366="Nandao Adulto",41,IF(Atletas!I366="Taijijian Adulto",42,""))))))))))))))))))))))))))</f>
        <v/>
      </c>
      <c r="BH375" s="52" t="str">
        <f>IF(Atletas!J366="","",IF(Atletas!B366="Feminino",100,IF(Atletas!B366="Masculino",200,""))+(IF(Atletas!J366="Gunshu Mirim",43,IF(Atletas!J366="Qiangshu Mirim",44,IF(Atletas!J366="Nangun Mirim",45,IF(Atletas!J366="Gunshu Grupo C",46,IF(Atletas!J366="Qiangshu Grupo C",47,IF(Atletas!J366="Nangun Grupo C",48,IF(Atletas!J366="Gunshu Grupo B",49,IF(Atletas!J366="Qiangshu Grupo B",50,IF(Atletas!J366="Nangun Grupo B",51,IF(Atletas!J366="Gunshu Grupo A",52,IF(Atletas!J366="Qiangshu Grupo A",53,IF(Atletas!J366="Nangun Grupo A",54,IF(Atletas!J366="Gunshu Opcional",55,IF(Atletas!J366="Qiangshu Opcional",56,IF(Atletas!J366="Nangun Opcional",57,IF(Atletas!J366="Gunshu Adulto",58,IF(Atletas!J366="Qiangshu Adulto",59,IF(Atletas!J366="Nangun Adulto",60,IF(Atletas!J366="Taijishan Grupo B",61,IF(Atletas!J366="Taijishan Grupo A",62,""))))))))))))))))))))))</f>
        <v/>
      </c>
      <c r="BM375" s="50" t="str">
        <f>IF(Atletas!K366="","",IF(Atletas!B366="Feminino",100,IF(Atletas!B366="Masculino",200,""))+(IF(Atletas!K366="Equipe 1 Grupo B",1,IF(Atletas!K366="Equipe 2 Grupo B",2,IF(Atletas!K366="Equipe 1 Grupo A",3,IF(Atletas!K366="Equipe 2 Grupo A",4,IF(Atletas!K366="Equipe 1 Adulto",5,IF(Atletas!K366="Equipe 2 Adulto",6,""))))))))</f>
        <v/>
      </c>
      <c r="BR375" s="50" t="str">
        <f>IF(Atletas!L366="","",IF(Atletas!X366&lt;&gt;"",10000,0)+(IF(Atletas!B366="Feminino",1000,IF(Atletas!B366="Masculino",2000,""))+IF(Atletas!L366="Choylayfut A",1,IF(Atletas!L366="Hunggar A",2,IF(Atletas!L366="Wuzuquan A",3,IF(Atletas!L366="Wingchun A",4,IF(Atletas!L366="Outra Mão de Sul A",5,IF(Atletas!L366="Choylayfut B",6,IF(Atletas!L366="Hunggar B",7,IF(Atletas!L366="Wuzuquan B",8,IF(Atletas!L366="Wingchun B",9,IF(Atletas!L366="Outra Mão de Sul B",10,IF(Atletas!L366="Choylayfut C",11,IF(Atletas!L366="Hunggar C",12,IF(Atletas!L366="Wuzuquan C",13,IF(Atletas!L366="Wingchun C",14,IF(Atletas!L366="Outra Mão de Sul C",15,IF(Atletas!L366="Choylayfut D",16,IF(Atletas!L366="Hunggar D",17,IF(Atletas!L366="Wuzuquan D",18,IF(Atletas!L366="Wingchun D",19,IF(Atletas!L366="Outra Mão de Sul D",20,IF(Atletas!L366="Choylayfut E",21,IF(Atletas!L366="Hunggar E",22,IF(Atletas!L366="Wuzuquan E",23,IF(Atletas!L366="Wingchun E",24,IF(Atletas!L366="Outra Mão de Sul E",25,IF(Atletas!L366="Choylayfut F",26,IF(Atletas!L366="Hunggar F",27,IF(Atletas!L366="Wuzuquan F",28,IF(Atletas!L366="Wingchun F",29,IF(Atletas!L366="Outra Mão de Sul F",30,IF(Atletas!L366="Dishuquan A",31,IF(Atletas!L366="Dishuquan B",32,IF(Atletas!L366="Dishuquan C",33,IF(Atletas!L366="Dishuquan D",34,IF(Atletas!L366="Dishuquan E",35,IF(Atletas!L366="Dishuquan F",36,""))))))))))))))))))))))))))))))))))))))</f>
        <v/>
      </c>
      <c r="BS375" s="50" t="str">
        <f>IF(Atletas!M366="","",IF(Atletas!X366&lt;&gt;"",10000,0)+(IF(Atletas!B366="Feminino",1000,IF(Atletas!B366="Masculino",2000,""))+(IF(Atletas!M366="Chaquan A",101,IF(Atletas!M366="Emeiquan A",102,IF(Atletas!M366="Fanziquan A",103,IF(Atletas!M366="Huaquan A",104,IF(Atletas!M366="Hongquan A",105,IF(Atletas!M366="Paoquan A",106,IF(Atletas!M366="Piguaquan A",107,IF(Atletas!M366="Shaolinquan A",108,IF(Atletas!M366="Tanglangquan A",109,IF(Atletas!M366="Yingzhaoquan A",110,IF(Atletas!M366="Tongbeiquan A",111,IF(Atletas!M366="Wudangquan A",112,IF(Atletas!M366="Outros Estilos A",113,IF(Atletas!M366="Chaquan B",114,IF(Atletas!M366="Emeiquan B",115,IF(Atletas!M366="Fanziquan B",116,IF(Atletas!M366="Huaquan B",117,IF(Atletas!M366="Hongquan B",118,IF(Atletas!M366="Paoquan B",119,IF(Atletas!M366="Piguaquan B",120,IF(Atletas!M366="Shaolinquan B",121,IF(Atletas!M366="Tanglangquan B",122,IF(Atletas!M366="Yingzhaoquan B",123,IF(Atletas!M366="Tongbeiquan B",124,IF(Atletas!M366="Wudangquan B",125,IF(Atletas!M366="Outros Estilos B",126,IF(Atletas!M366="Chaquan C",127,IF(Atletas!M366="Emeiquan C",128,IF(Atletas!M366="Fanziquan C",129,IF(Atletas!M366="Huaquan C",130,IF(Atletas!M366="Hongquan C",131,IF(Atletas!M366="Paoquan C",132,IF(Atletas!M366="Piguaquan C",133,IF(Atletas!M366="Shaolinquan C",134,IF(Atletas!M366="Tanglangquan C",135,IF(Atletas!M366="Yingzhaoquan C",136,IF(Atletas!M366="Tongbeiquan C",137,IF(Atletas!M366="Wudangquan C",138,IF(Atletas!M366="Outros Estilos C",139,0))))))))))))))))))))))))))))))))))))))))))</f>
        <v/>
      </c>
      <c r="BT375" s="50" t="str">
        <f>IF(Atletas!M366="","",IF(Atletas!X366&lt;&gt;"",10000,0)+(IF(Atletas!B366="Feminino",1000,IF(Atletas!B366="Masculino",2000,""))+(IF(Atletas!M366="Chaquan D",140,IF(Atletas!M366="Emeiquan D",141,IF(Atletas!M366="Fanziquan D",142,IF(Atletas!M366="Huaquan D",143,IF(Atletas!M366="Hongquan D",144,IF(Atletas!M366="Paoquan D",145,IF(Atletas!M366="Piguaquan D",146,IF(Atletas!M366="Shaolinquan D",147,IF(Atletas!M366="Tanglangquan D",148,IF(Atletas!M366="Yingzhaoquan D",149,IF(Atletas!M366="Tongbeiquan D",150,IF(Atletas!M366="Wudangquan D",151,IF(Atletas!M366="Outros Estilos D",152,IF(Atletas!M366="Chaquan E",153,IF(Atletas!M366="Emeiquan E",154,IF(Atletas!M366="Fanziquan E",155,IF(Atletas!M366="Huaquan E",156,IF(Atletas!M366="Hongquan E",157,IF(Atletas!M366="Paoquan E",158,IF(Atletas!M366="Piguaquan E",159,IF(Atletas!M366="Shaolinquan E",160,IF(Atletas!M366="Tanglangquan E",161,IF(Atletas!M366="Yingzhaoquan E",162,IF(Atletas!M366="Tongbeiquan E",163,IF(Atletas!M366="Wudangquan E",164,IF(Atletas!M366="Outros Estilos E",165,IF(Atletas!M366="Chaquan F",166,IF(Atletas!M366="Emeiquan F",167,IF(Atletas!M366="Fanziquan F",168,IF(Atletas!M366="Huaquan F",169,IF(Atletas!M366="Hongquan F",170,IF(Atletas!M366="Paoquan F",171,IF(Atletas!M366="Piguaquan F",172,IF(Atletas!M366="Shaolinquan F",173,IF(Atletas!M366="Tanglangquan F",174,IF(Atletas!M366="Yingzhaoquan F",175,IF(Atletas!M366="Tongbeiquan F",176,IF(Atletas!M366="Wudangquan F",177,IF(Atletas!M366="Outros Estilos F",178,0))))))))))))))))))))))))))))))))))))))))))</f>
        <v/>
      </c>
      <c r="BU375" s="50" t="str">
        <f>IF(Atletas!N366="","",IF(Atletas!X366&lt;&gt;"",10000,0)+(IF(Atletas!B366="Feminino",1000,IF(Atletas!B366="Masculino",2000,""))+(IF(Atletas!N366="Ditangquan A",201,IF(Atletas!N366="Houquan A",202,IF(Atletas!N366="Zuiquan A",203,IF(Atletas!N366="Ditangquan B",204,IF(Atletas!N366="Houquan B",205,IF(Atletas!N366="Zuiquan B",206,IF(Atletas!N366="Ditangquan C",207,IF(Atletas!N366="Houquan C",208,IF(Atletas!N366="Zuiquan C",209,IF(Atletas!N366="Ditangquan D",210,IF(Atletas!N366="Houquan D",211,IF(Atletas!N366="Zuiquan D",212,IF(Atletas!N366="Ditangquan E",213,IF(Atletas!N366="Houquan E",214,IF(Atletas!N366="Zuiquan E",215,IF(Atletas!N366="Ditangquan F",216,IF(Atletas!N366="Houquan F",217,IF(Atletas!N366="Zuiquan F",218,"")))))))))))))))))))))</f>
        <v/>
      </c>
      <c r="BV375" s="50" t="str">
        <f>IF(Atletas!O366="","",IF(Atletas!X366&lt;&gt;"",10000,0)+IF(Atletas!B366="Feminino",1000,IF(Atletas!B366="Masculino",2000,""))+IF(Atletas!O366="Yang A",301,IF(Atletas!O366="Chen A",302,IF(Atletas!O366="Sun A",303,IF(Atletas!O366="Wu A",304,IF(Atletas!O366="Wu-Hao A",305,IF(Atletas!O366="Outro Taijiquan A",306,IF(Atletas!O366="Yang B",307,IF(Atletas!O366="Chen B",308,IF(Atletas!O366="Sun B",309,IF(Atletas!O366="Wu B",310,IF(Atletas!O366="Wu-Hao B",311,IF(Atletas!O366="Outro Taijiquan B",312,IF(Atletas!O366="Yang C",313,IF(Atletas!O366="Chen C",314,IF(Atletas!O366="Sun C",315,IF(Atletas!O366="Wu C",316,IF(Atletas!O366="Wu-Hao C",317,IF(Atletas!O366="Outro Taijiquan C",318,IF(Atletas!O366="Yang D",319,IF(Atletas!O366="Chen D",320,IF(Atletas!O366="Sun D",321,IF(Atletas!O366="Wu D",322,IF(Atletas!O366="Wu-Hao D",323,IF(Atletas!O366="Outro Taijiquan D",324,IF(Atletas!O366="Yang E",325,IF(Atletas!O366="Chen E",326,IF(Atletas!O366="Sun E",327,IF(Atletas!O366="Wu E",328,IF(Atletas!O366="Wu-Hao E",329,IF(Atletas!O366="Outro Taijiquan E",330,IF(Atletas!O366="Yang F",331,IF(Atletas!O366="Chen F",332,IF(Atletas!O366="Sun F",333,IF(Atletas!O366="Wu F",334,IF(Atletas!O366="Wu-Hao F",335,IF(Atletas!O366="Outro Taijiquan F",336,"")))))))))))))))))))))))))))))))))))))</f>
        <v/>
      </c>
      <c r="BW375" s="50" t="str">
        <f>IF(Atletas!P366="","",IF(Atletas!X366&lt;&gt;"",10000,0)+IF(Atletas!B366="Feminino",1000,IF(Atletas!B366="Masculino",2000,""))+IF(OR(Atletas!P366="Yang 26 A",Atletas!P366="Yang 40 A"),401,IF(OR(Atletas!P366="Chen 25 A",Atletas!P366="Chen 36 A",Atletas!P366="Chen 56 A"),402,IF(Atletas!P366="Sun 73 A",403,IF(Atletas!P366="Wu 45 A",404,IF(Atletas!P366="Wu-Hao 46 A",405,IF(OR(Atletas!P366="Taijiquan 16 A",Atletas!P366="Taijiquan 24 A",Atletas!P366="Taijiquan 32 A",Atletas!P366="Taijiquan 42 A"),406,IF(OR(Atletas!P366="Yang 26 B",Atletas!P366="Yang 40 B"),407,IF(OR(Atletas!P366="Chen 25 B",Atletas!P366="Chen 36 B",Atletas!P366="Chen 56 B"),408,IF(Atletas!P366="Sun 73 B",409,IF(Atletas!P366="Wu 45 B",410,IF(Atletas!P366="Wu-Hao 46 B",411,IF(OR(Atletas!P366="Taijiquan 16 B",Atletas!P366="Taijiquan 24 B",Atletas!P366="Taijiquan 32 B",Atletas!P366="Taijiquan 42 B"),412,IF(OR(Atletas!P366="Yang 26 C",Atletas!P366="Yang 40 C"),413,IF(OR(Atletas!P366="Chen 25 C",Atletas!P366="Chen 36 C",Atletas!P366="Chen 56 C"),414,IF(Atletas!P366="Sun 73 C",415,IF(Atletas!P366="Wu 45 C",416,IF(Atletas!P366="Wu-Hao 46 C",417,IF(OR(Atletas!P366="Taijiquan 16 C",Atletas!P366="Taijiquan 24 C",Atletas!P366="Taijiquan 32 C",Atletas!P366="Taijiquan 42 C"),418,0)))))))))))))))))))</f>
        <v/>
      </c>
      <c r="BX375" s="50" t="str">
        <f>IF(Atletas!P366="","",IF(Atletas!X366&lt;&gt;"",10000,0)+IF(Atletas!B366="Feminino",1000,IF(Atletas!B366="Masculino",2000,""))+IF(OR(Atletas!P366="Yang 26 D",Atletas!P366="Yang 40 D"),419,IF(OR(Atletas!P366="Chen 25 D",Atletas!P366="Chen 36 D",Atletas!P366="Chen 56 D"),420,IF(Atletas!P366="Sun 73 D",421,IF(Atletas!P366="Wu 45 D",422,IF(Atletas!P366="Wu-Hao 46 D",423,IF(OR(Atletas!P366="Taijiquan 16 D",Atletas!P366="Taijiquan 24 D",Atletas!P366="Taijiquan 32 D",Atletas!P366="Taijiquan 42 D"),424,IF(OR(Atletas!P366="Yang 26 E",Atletas!P366="Yang 40 E"),425,IF(OR(Atletas!P366="Chen 25 E",Atletas!P366="Chen 36 E",Atletas!P366="Chen 56 E"),426,IF(Atletas!P366="Sun 73 E",427,IF(Atletas!P366="Wu 45 E",428,IF(Atletas!P366="Wu-Hao 46 E",429,IF(OR(Atletas!P366="Taijiquan 16 E",Atletas!P366="Taijiquan 24 E",Atletas!P366="Taijiquan 32 E",Atletas!P366="Taijiquan 42 E"),430,IF(OR(Atletas!P366="Yang 26 F",Atletas!P366="Yang 40 F"),431,IF(OR(Atletas!P366="Chen 25 F",Atletas!P366="Chen 36 F",Atletas!P366="Chen 56 F"),432,IF(Atletas!P366="Sun 73 F",433,IF(Atletas!P366="Wu 45 F",434,IF(Atletas!P366="Wu-Hao 46 F",435,IF(OR(Atletas!P366="Taijiquan 16 F",Atletas!P366="Taijiquan 24 F",Atletas!P366="Taijiquan 32 F",Atletas!P366="Taijiquan 42 F"),436,0)))))))))))))))))))</f>
        <v/>
      </c>
      <c r="BY375" s="50" t="str">
        <f>IF(Atletas!Q366="","",IF(Atletas!X366&lt;&gt;"",10000,0)+IF(Atletas!B366="Feminino",1000,IF(Atletas!B366="Masculino",2000,""))+IF(Atletas!Q366="Xingyiquan A",501,IF(Atletas!Q366="Baguazhang A",502,IF(Atletas!Q366="Outro Estilo Interno A",503,IF(Atletas!Q366="Xingyiquan B",504,IF(Atletas!Q366="Baguazhang B",505,IF(Atletas!Q366="Outro Estilo Interno B",506,IF(Atletas!Q366="Xingyiquan C",507,IF(Atletas!Q366="Baguazhang C",508,IF(Atletas!Q366="Outro Estilo Interno C",509,IF(Atletas!Q366="Xingyiquan D",510,IF(Atletas!Q366="Baguazhang D",511,IF(Atletas!Q366="Outro Estilo Interno D",512,IF(Atletas!Q366="Xingyiquan E",513,IF(Atletas!Q366="Baguazhang E",514,IF(Atletas!Q366="Outro Estilo Interno E",515,IF(Atletas!Q366="Xingyiquan F",516,IF(Atletas!Q366="Baguazhang F",517,IF(Atletas!Q366="Outro Estilo Interno F",518, "")))))))))))))))))))</f>
        <v/>
      </c>
      <c r="BZ375" s="50" t="str">
        <f>IF(Atletas!R366="","",IF(Atletas!X366&lt;&gt;"",10000,0)+IF(Atletas!B366="Feminino",1000,IF(Atletas!B366="Masculino",2000,""))+IF(Atletas!R366="Dao A",601,IF(Atletas!R366="Jian A",602,IF(Atletas!R366="Bishou A",603,IF(Atletas!R366="Shanzi A",604,IF(Atletas!R366="Outra Arma Curta A",605,IF(Atletas!R366="Dao B",606,IF(Atletas!R366="Jian B",607,IF(Atletas!R366="Bishou B",608,IF(Atletas!R366="Shanzi B",609,IF(Atletas!R366="Outra Arma Curta B",610,IF(Atletas!R366="Dao C",611,IF(Atletas!R366="Jian C",612,IF(Atletas!R366="Bishou C",613,IF(Atletas!R366="Shanzi C",614,IF(Atletas!R366="Outra Arma Curta C",615,IF(Atletas!R366="Dao D",616,IF(Atletas!R366="Jian D",617,IF(Atletas!R366="Bishou D",618,IF(Atletas!R366="Shanzi D",619,IF(Atletas!R366="Outra Arma Curta D",620,IF(Atletas!R366="Dao E",621,IF(Atletas!R366="Jian E",622,IF(Atletas!R366="Bishou E",623,IF(Atletas!R366="Shanzi E",624,IF(Atletas!R366="Outra Arma Curta E",625,IF(Atletas!R366="Dao F",626,IF(Atletas!R366="Jian F",627,IF(Atletas!R366="Bishou F",628,IF(Atletas!R366="Shanzi F",629,IF(Atletas!R366="Outra Arma Curta F",630, "")))))))))))))))))))))))))))))))</f>
        <v/>
      </c>
      <c r="CA375" s="50" t="str">
        <f>IF(Atletas!S366="","",IF(Atletas!X366&lt;&gt;"",10000,0)+IF(Atletas!B366="Feminino",1000,IF(Atletas!B366="Masculino",2000,""))+IF(Atletas!S366="Gun A",701,IF(Atletas!S366="Qiang A",702,IF(Atletas!S366="Pudao / Guandao A",703,IF(Atletas!S366="Outra Arma Longa A",704,IF(Atletas!S366="Gun B",705,IF(Atletas!S366="Qiang B",706,IF(Atletas!S366="Pudao / Guandao B",707,IF(Atletas!S366="Outra Arma Longa B",708,IF(Atletas!S366="Gun C",709,IF(Atletas!S366="Qiang C",710,IF(Atletas!S366="Pudao / Guandao C",711,IF(Atletas!S366="Outra Arma Longa C",712,IF(Atletas!S366="Gun D",713,IF(Atletas!S366="Qiang D",714,IF(Atletas!S366="Pudao / Guandao D",715,IF(Atletas!S366="Outra Arma Longa D",716,IF(Atletas!S366="Gun E",717,IF(Atletas!S366="Qiang E",718,IF(Atletas!S366="Pudao / Guandao E",719,IF(Atletas!S366="Outra Arma Longa E",720,IF(Atletas!S366="Gun F",721,IF(Atletas!S366="Qiang F",722,IF(Atletas!S366="Pudao / Guandao F",723,IF(Atletas!S366="Outra Arma Longa F",724,"")))))))))))))))))))))))))</f>
        <v/>
      </c>
      <c r="CB375" s="50" t="str">
        <f>IF(Atletas!T366="","",IF(Atletas!X366&lt;&gt;"",10000,0)+IF(Atletas!B366="Feminino",1000,IF(Atletas!B366="Masculino",2000,""))+IF(Atletas!T366="Outra Arma Dupla A",801,IF(Atletas!T366="Arma Maleável A",802,IF(Atletas!T366="Outra Arma Dupla B",803,IF(Atletas!T366="Arma Maleável B",804,IF(Atletas!T366="Outra Arma Dupla C",805,IF(Atletas!T366="Arma Maleável C",806,IF(Atletas!T366="Outra Arma Dupla D",807,IF(Atletas!T366="Arma Maleável D",808,IF(Atletas!T366="Outra Arma Dupla E",809,IF(Atletas!T366="Arma Maleável E",810,IF(Atletas!T366="Outra Arma Dupla F",811,IF(Atletas!T366="Arma Maleável F",812,IF(Atletas!T366="Shuangdao A",813,IF(Atletas!T366="Shuangdao B",814,IF(Atletas!T366="Shuangdao C",815,IF(Atletas!T366="Shuangdao D",816,IF(Atletas!T366="Shuangdao E",817,IF(Atletas!T366="Shuangdao F",818,"")))))))))))))))))))</f>
        <v/>
      </c>
      <c r="CC375" s="50" t="str">
        <f>IF(Atletas!U366="","",IF(Atletas!X366&lt;&gt;"",10000,0)+IF(Atletas!B366="Feminino",1000,IF(Atletas!B366="Masculino",2000,""))+IF(OR(Atletas!U366="Taijijian Yang A",Atletas!U366="Taijijian Yang Standard A"),901,IF(OR(Atletas!U366="Taijijian Chen A", Atletas!U366="Taijijian Chen Standard A"),902,IF(Atletas!U366="Taijijian Sun A",903,IF(Atletas!U366="Taijijian Wu A",904,IF(Atletas!U366="Taijijian Wu-Hao A",905,IF(OR(Atletas!U366="Taijijian 32 A",Atletas!U366="Taijijian 42 A"),906,IF(OR(Atletas!U366="Taijijian Yang B",Atletas!U366="Taijijian Yang Standard B"),907,IF(OR(Atletas!U366="Taijijian Chen B", Atletas!U366="Taijijian Chen Standard B"),908,IF(Atletas!U366="Taijijian Sun B",909,IF(Atletas!U366="Taijijian Wu B",910,IF(Atletas!U366="Taijijian Wu-Hao B",911,IF(OR(Atletas!U366="Taijijian 32 B",Atletas!U366="Taijijian 42 B"),912,IF(OR(Atletas!U366="Taijijian Yang C",Atletas!U366="Taijijian Yang Standard C"),913,IF(OR(Atletas!U366="Taijijian Chen C", Atletas!U366="Taijijian Chen Standard C"),914,IF(Atletas!U366="Taijijian Sun C",915,IF(Atletas!U366="Taijijian Wu C",916,IF(Atletas!U366="Taijijian Wu-Hao C",917,IF(OR(Atletas!U366="Taijijian 32 C",Atletas!U366="Taijijian 42 C"),918,IF(OR(Atletas!U366="Taijijian Yang D",Atletas!U366="Taijijian Yang Standard D"),919,IF(OR(Atletas!U366="Taijijian Chen D", Atletas!U366="Taijijian Chen Standard D"),920,IF(Atletas!U366="Taijijian Sun D",921,IF(Atletas!U366="Taijijian Wu D",922,IF(Atletas!U366="Taijijian Wu-Hao D",923,IF(OR(Atletas!U366="Taijijian 32 D",Atletas!U366="Taijijian 42 D"),924,IF(OR(Atletas!U366="Taijijian Yang E",Atletas!U366="Taijijian Yang Standard E"),925,IF(OR(Atletas!U366="Taijijian Chen E", Atletas!U366="Taijijian Chen Standard E"),926,IF(Atletas!U366="Taijijian Sun E",927,IF(Atletas!U366="Taijijian Wu E",928,IF(Atletas!U366="Taijijian Wu-Hao E",929,IF(OR(Atletas!U366="Taijijian 32 E",Atletas!U366="Taijijian 42 E"),930,IF(OR(Atletas!U366="Taijijian Yang F",Atletas!U366="Taijijian Yang Standard F"),931,IF(OR(Atletas!U366="Taijijian Chen F", Atletas!U366="Taijijian Chen Standard F"),932,IF(Atletas!U366="Taijijian Sun F",933,IF(Atletas!U366="Taijijian Wu F",934,IF(Atletas!U366="Taijijian Wu-Hao F",935,IF(OR(Atletas!U366="Taijijian 32 F",Atletas!U366="Taijijian 42 F"),936,"")))))))))))))))))))))))))))))))))))))</f>
        <v/>
      </c>
      <c r="CD375" s="50" t="str">
        <f>IF(Atletas!V366="","",IF(Atletas!X366&lt;&gt;"",10000,0)+IF(Atletas!B366="Feminino",1000,IF(Atletas!B366="Masculino",2000,""))+IF(Atletas!V366="Taijidao A",937,IF(Atletas!V366="TaijiShanzi A",938,IF(Atletas!V366="Taijiqiang A",939,IF(Atletas!V366="Bagua de Arma A",940,IF(Atletas!V366="Xingyi de Arma A",941,IF(Atletas!V366="Taijidao B",942,IF(Atletas!V366="TaijiShanzi B",943,IF(Atletas!V366="Taijiqiang B",944,IF(Atletas!V366="Bagua de Arma B",945,IF(Atletas!V366="Xingyi de Arma B",946,IF(Atletas!V366="Taijidao C",947,IF(Atletas!V366="TaijiShanzi C",948,IF(Atletas!V366="Taijiqiang C",949,IF(Atletas!V366="Bagua de Arma C",950,IF(Atletas!V366="Xingyi de Arma C",951,IF(Atletas!V366="Taijidao D",952,IF(Atletas!V366="TaijiShanzi D",953,IF(Atletas!V366="Taijiqiang D",954,IF(Atletas!V366="Bagua de Arma D",955,IF(Atletas!V366="Xingyi de Arma D",956,IF(Atletas!V366="Taijidao E",957,IF(Atletas!V366="TaijiShanzi E",958,IF(Atletas!V366="Taijiqiang E",959,IF(Atletas!V366="Bagua de Arma E",960,IF(Atletas!V366="Xingyi de Arma E",961,IF(Atletas!V366="Taijidao F",962,IF(Atletas!V366="TaijiShanzi F",963,IF(Atletas!V366="Taijiqiang F",964,IF(Atletas!V366="Bagua de Arma F",965,IF(Atletas!V366="Xingyi de Arma F",966,"")))))))))))))))))))))))))))))))</f>
        <v/>
      </c>
      <c r="CE375" s="66"/>
      <c r="CF375" s="66"/>
      <c r="CG375" s="66"/>
      <c r="CH375" s="66"/>
      <c r="CJ375" s="66"/>
      <c r="CL375" s="66"/>
      <c r="CM375" s="50" t="str">
        <f xml:space="preserve"> IF(Atletas!W366="","",IF(Atletas!W366="Duilian de Mãos BC - Equipe 1",1,IF(Atletas!W366="Duilian de Mãos BC - Equipe 2",2,IF(Atletas!W366="Duilian de Armas BC - Equipe 1",3,IF(Atletas!W366="Duilian de Armas BC - Equipe 2",4,IF(Atletas!W366="Duilian de Mãos DE - Equipe 1",5,IF(Atletas!W366="Duilian de Mãos DE - Equipe 2",6,IF(Atletas!W366="Duilian de Armas DE - Equipe 1",7,IF(Atletas!W366="Duilian de Armas DE - Equipe 2",8,IF(Atletas!W366="Duilian de Tuishou - Equipe 1",9,IF(Atletas!W366="Duilian de Tuishou - Equipe 2",10,IF(Atletas!W366="Grupo Externo ABC - Equipe 1",11,IF(Atletas!W366="Grupo Externo ABC - Equipe 2",12,IF(Atletas!W366="Grupo Interno ABC - Equipe 1",13,IF(Atletas!W366="Grupo Interno ABC - Equipe 2",14,IF(Atletas!W366="Grupo Externo DEF - Equipe 1",15,IF(Atletas!W366="Grupo Externo DEF - Equipe 2",16,IF(Atletas!W366="Grupo Interno DEF - Equipe 1",17,IF(Atletas!W366="Grupo Interno DEF - Equipe 2",18,"")))))))))))))))))))</f>
        <v/>
      </c>
    </row>
    <row r="376" spans="40:91">
      <c r="AN376" s="52" t="str">
        <f>IF(Atletas!D367="","",IF(Atletas!B367="Feminino",100,IF(Atletas!B367="Masculino",200,""))+(IF(Atletas!D367="Kids 30kg",1,IF(Atletas!D367="Kids 32kg",2, IF(Atletas!D367="Kids 34kg",3,IF(Atletas!D367="Kids 36kg",4,IF(Atletas!D367="Kids 39kg",5,IF(Atletas!D367="Kids 42kg",6,IF(Atletas!D367="Kids 45kg",7, IF(Atletas!D367="Infantil 39kg",8,IF(Atletas!D367="Infantil 42kg",9,IF(Atletas!D367="Infantil 45kg",10,IF(Atletas!D367="Infantil 48kg",11,IF(Atletas!D367="Infantil 52kg",12,IF(Atletas!D367="Infantil 56kg",13,IF(Atletas!D367="Infantil 60kg",14,IF(Atletas!D367="Juvenil 48kg",15,IF(Atletas!D367="Juvenil 52kg",16,IF(Atletas!D367="Juvenil 56kg",17,IF(Atletas!D367="Juvenil 60kg",18,IF(Atletas!D367="Juvenil 65kg",19,IF(Atletas!D367="Juvenil 70kg",20,IF(Atletas!D367="Juvenil 75kg",21,IF(Atletas!D367="Juvenil 80kg",22, IF(Atletas!D367="Juvenil 85kg",23,IF(Atletas!D367="Adulto 48kg",24,IF(Atletas!D367="Adulto 52kg",25,IF(Atletas!D367="Adulto 56kg",26,IF(Atletas!D367="Adulto 60kg",27,IF(Atletas!D367="Adulto 65kg",28,IF(Atletas!D367="Adulto 70kg",29,IF(Atletas!D367="Adulto 75kg",30,IF(Atletas!D367="Adulto 80kg",31,IF(Atletas!D367="Adulto 85kg",32,IF(Atletas!D367="Adulto 90kg",33,IF(Atletas!D367="Adulto 100kg",34, IF(Atletas!D367="Adulto +100kg",35,"")))))))))))))))))))))))))))))))))))))</f>
        <v/>
      </c>
      <c r="AS376" s="6" t="str">
        <f>IF(Atletas!E367="","",IF(Atletas!B367="Feminino",100,IF(Atletas!B367="Masculino",200,""))+(IF(Atletas!E367="Juvenil 44kg",1,IF(Atletas!E367="Juvenil 48kg",2,IF(Atletas!E367="Juvenil 52kg",3,IF(Atletas!E367="Juvenil 56kg",4,IF(Atletas!E367="Juvenil 60kg",5,IF(Atletas!E367="Juvenil 65kg",6,IF(Atletas!E367="Juvenil 70kg",7,IF(Atletas!E367="Juvenil 75kg",8,IF(Atletas!E367="Juvenil 82kg",9,IF(Atletas!E367="Juvenil 90kg",10,IF(Atletas!E367="Juvenil 100kg",11,IF(Atletas!E367="Adulto 48kg",12,IF(Atletas!E367="Adulto 52kg",13,IF(Atletas!E367="Adulto 56kg",14,IF(Atletas!E367="Adulto 60kg",15,IF(Atletas!E367="Adulto 65kg",16,IF(Atletas!E367="Adulto 70kg",17,IF(Atletas!E367="Adulto 75kg",18,IF(Atletas!E367="Adulto 82kg",19,IF(Atletas!E367="Adulto 90kg",20,IF(Atletas!E367="Adulto 100kg",21,IF(Atletas!E367="Adulto +100kg",22,""))))))))))))))))))))))))</f>
        <v/>
      </c>
      <c r="AX376" s="6" t="str">
        <f>IF(Atletas!F367="","",IF(Atletas!B367="Feminino",100,IF(Atletas!B367="Masculino",200,""))+(IF(Atletas!F367="Adulto 48kg",1,IF(Atletas!F367="Adulto 56kg",2,IF(Atletas!F367="Adulto 65kg",3,IF(Atletas!F367="Adulto 75kg",4,IF(Atletas!F367="Adulto +75kg",5,IF(Atletas!F367="Adulto 52kg",6,IF(Atletas!F367="Adulto 60kg",7,IF(Atletas!F367="Adulto 70kg",8,IF(Atletas!F367="Adulto 80kg",9,IF(Atletas!F367="Adulto 90kg",10,IF(Atletas!F367="Adulto +90kg",11,"")))))))))))))</f>
        <v/>
      </c>
      <c r="BC376" s="6" t="str">
        <f>IF(Atletas!G367="","",IF(Atletas!B367="Feminino",10,IF(Atletas!B367="Masculino",20,""))+(IF(Atletas!G367="Baduanjin A",1,IF(Atletas!G367="Baduanjin B",2))))</f>
        <v/>
      </c>
      <c r="BF376" s="52" t="str">
        <f>IF(Atletas!H367="","",IF(Atletas!B367="Feminino",100,IF(Atletas!B367="Masculino",200,""))+(IF(Atletas!H367="Changquan Mirim",1,IF(Atletas!H367="Nanquan Mirim",2,IF(Atletas!H367="Taijiquan Mirim",3,IF(Atletas!H367="Changquan Grupo C",4,IF(Atletas!H367="Nanquan Grupo C",5,IF(Atletas!H367="Taijiquan Grupo C",6,IF(Atletas!H367="Changquan Grupo B",7,IF(Atletas!H367="Nanquan Grupo B",8,IF(Atletas!H367="Taijiquan Grupo B",9,IF(Atletas!H367="Changquan Grupo A",10,IF(Atletas!H367="Nanquan Grupo A",11,IF(Atletas!H367="Taijiquan Grupo A",12,IF(Atletas!H367="Changquan Opcional",13,IF(Atletas!H367="Nanquan Opcional",14,IF(Atletas!H367="Taijiquan Opcional",15,IF(Atletas!H367="Changquan Adulto",16,IF(Atletas!H367="Nanquan Adulto",17,IF(Atletas!H367="Taijiquan Adulto",18,""))))))))))))))))))))</f>
        <v/>
      </c>
      <c r="BG376" s="52" t="str">
        <f>IF(Atletas!I367="","",IF(Atletas!B367="Feminino",100,IF(Atletas!B367="Masculino",200,""))+(IF(Atletas!I367="Daoshu Mirim",19,IF(Atletas!I367="Jianshu Mirim",20,IF(Atletas!I367="Nandao Mirim",21,IF(Atletas!I367="Taijijian Mirim",22,IF(Atletas!I367="Daoshu Grupo C",23,IF(Atletas!I367="Jianshu Grupo C",24,IF(Atletas!I367="Nandao Grupo C",25,IF(Atletas!I367="Taijijian Grupo C",26,IF(Atletas!I367="Daoshu Grupo B",27,IF(Atletas!I367="Jianshu Grupo B",28,IF(Atletas!I367="Nandao Grupo B",29,IF(Atletas!I367="Taijijian Grupo B",30,IF(Atletas!I367="Daoshu Grupo A",31,IF(Atletas!I367="Jianshu Grupo A",32,IF(Atletas!I367="Nandao Grupo A",33,IF(Atletas!I367="Taijijian Grupo A",34,IF(Atletas!I367="Daoshu Opcional",35,IF(Atletas!I367="Jianshu Opcional",36,IF(Atletas!I367="Nandao Opcional",37,IF(Atletas!I367="Taijijian Opcional",38,IF(Atletas!I367="Daoshu Adulto",39,IF(Atletas!I367="Jianshu Adulto",40,IF(Atletas!I367="Nandao Adulto",41,IF(Atletas!I367="Taijijian Adulto",42,""))))))))))))))))))))))))))</f>
        <v/>
      </c>
      <c r="BH376" s="52" t="str">
        <f>IF(Atletas!J367="","",IF(Atletas!B367="Feminino",100,IF(Atletas!B367="Masculino",200,""))+(IF(Atletas!J367="Gunshu Mirim",43,IF(Atletas!J367="Qiangshu Mirim",44,IF(Atletas!J367="Nangun Mirim",45,IF(Atletas!J367="Gunshu Grupo C",46,IF(Atletas!J367="Qiangshu Grupo C",47,IF(Atletas!J367="Nangun Grupo C",48,IF(Atletas!J367="Gunshu Grupo B",49,IF(Atletas!J367="Qiangshu Grupo B",50,IF(Atletas!J367="Nangun Grupo B",51,IF(Atletas!J367="Gunshu Grupo A",52,IF(Atletas!J367="Qiangshu Grupo A",53,IF(Atletas!J367="Nangun Grupo A",54,IF(Atletas!J367="Gunshu Opcional",55,IF(Atletas!J367="Qiangshu Opcional",56,IF(Atletas!J367="Nangun Opcional",57,IF(Atletas!J367="Gunshu Adulto",58,IF(Atletas!J367="Qiangshu Adulto",59,IF(Atletas!J367="Nangun Adulto",60,IF(Atletas!J367="Taijishan Grupo B",61,IF(Atletas!J367="Taijishan Grupo A",62,""))))))))))))))))))))))</f>
        <v/>
      </c>
      <c r="BM376" s="50" t="str">
        <f>IF(Atletas!K367="","",IF(Atletas!B367="Feminino",100,IF(Atletas!B367="Masculino",200,""))+(IF(Atletas!K367="Equipe 1 Grupo B",1,IF(Atletas!K367="Equipe 2 Grupo B",2,IF(Atletas!K367="Equipe 1 Grupo A",3,IF(Atletas!K367="Equipe 2 Grupo A",4,IF(Atletas!K367="Equipe 1 Adulto",5,IF(Atletas!K367="Equipe 2 Adulto",6,""))))))))</f>
        <v/>
      </c>
      <c r="BR376" s="50" t="str">
        <f>IF(Atletas!L367="","",IF(Atletas!X367&lt;&gt;"",10000,0)+(IF(Atletas!B367="Feminino",1000,IF(Atletas!B367="Masculino",2000,""))+IF(Atletas!L367="Choylayfut A",1,IF(Atletas!L367="Hunggar A",2,IF(Atletas!L367="Wuzuquan A",3,IF(Atletas!L367="Wingchun A",4,IF(Atletas!L367="Outra Mão de Sul A",5,IF(Atletas!L367="Choylayfut B",6,IF(Atletas!L367="Hunggar B",7,IF(Atletas!L367="Wuzuquan B",8,IF(Atletas!L367="Wingchun B",9,IF(Atletas!L367="Outra Mão de Sul B",10,IF(Atletas!L367="Choylayfut C",11,IF(Atletas!L367="Hunggar C",12,IF(Atletas!L367="Wuzuquan C",13,IF(Atletas!L367="Wingchun C",14,IF(Atletas!L367="Outra Mão de Sul C",15,IF(Atletas!L367="Choylayfut D",16,IF(Atletas!L367="Hunggar D",17,IF(Atletas!L367="Wuzuquan D",18,IF(Atletas!L367="Wingchun D",19,IF(Atletas!L367="Outra Mão de Sul D",20,IF(Atletas!L367="Choylayfut E",21,IF(Atletas!L367="Hunggar E",22,IF(Atletas!L367="Wuzuquan E",23,IF(Atletas!L367="Wingchun E",24,IF(Atletas!L367="Outra Mão de Sul E",25,IF(Atletas!L367="Choylayfut F",26,IF(Atletas!L367="Hunggar F",27,IF(Atletas!L367="Wuzuquan F",28,IF(Atletas!L367="Wingchun F",29,IF(Atletas!L367="Outra Mão de Sul F",30,IF(Atletas!L367="Dishuquan A",31,IF(Atletas!L367="Dishuquan B",32,IF(Atletas!L367="Dishuquan C",33,IF(Atletas!L367="Dishuquan D",34,IF(Atletas!L367="Dishuquan E",35,IF(Atletas!L367="Dishuquan F",36,""))))))))))))))))))))))))))))))))))))))</f>
        <v/>
      </c>
      <c r="BS376" s="50" t="str">
        <f>IF(Atletas!M367="","",IF(Atletas!X367&lt;&gt;"",10000,0)+(IF(Atletas!B367="Feminino",1000,IF(Atletas!B367="Masculino",2000,""))+(IF(Atletas!M367="Chaquan A",101,IF(Atletas!M367="Emeiquan A",102,IF(Atletas!M367="Fanziquan A",103,IF(Atletas!M367="Huaquan A",104,IF(Atletas!M367="Hongquan A",105,IF(Atletas!M367="Paoquan A",106,IF(Atletas!M367="Piguaquan A",107,IF(Atletas!M367="Shaolinquan A",108,IF(Atletas!M367="Tanglangquan A",109,IF(Atletas!M367="Yingzhaoquan A",110,IF(Atletas!M367="Tongbeiquan A",111,IF(Atletas!M367="Wudangquan A",112,IF(Atletas!M367="Outros Estilos A",113,IF(Atletas!M367="Chaquan B",114,IF(Atletas!M367="Emeiquan B",115,IF(Atletas!M367="Fanziquan B",116,IF(Atletas!M367="Huaquan B",117,IF(Atletas!M367="Hongquan B",118,IF(Atletas!M367="Paoquan B",119,IF(Atletas!M367="Piguaquan B",120,IF(Atletas!M367="Shaolinquan B",121,IF(Atletas!M367="Tanglangquan B",122,IF(Atletas!M367="Yingzhaoquan B",123,IF(Atletas!M367="Tongbeiquan B",124,IF(Atletas!M367="Wudangquan B",125,IF(Atletas!M367="Outros Estilos B",126,IF(Atletas!M367="Chaquan C",127,IF(Atletas!M367="Emeiquan C",128,IF(Atletas!M367="Fanziquan C",129,IF(Atletas!M367="Huaquan C",130,IF(Atletas!M367="Hongquan C",131,IF(Atletas!M367="Paoquan C",132,IF(Atletas!M367="Piguaquan C",133,IF(Atletas!M367="Shaolinquan C",134,IF(Atletas!M367="Tanglangquan C",135,IF(Atletas!M367="Yingzhaoquan C",136,IF(Atletas!M367="Tongbeiquan C",137,IF(Atletas!M367="Wudangquan C",138,IF(Atletas!M367="Outros Estilos C",139,0))))))))))))))))))))))))))))))))))))))))))</f>
        <v/>
      </c>
      <c r="BT376" s="50" t="str">
        <f>IF(Atletas!M367="","",IF(Atletas!X367&lt;&gt;"",10000,0)+(IF(Atletas!B367="Feminino",1000,IF(Atletas!B367="Masculino",2000,""))+(IF(Atletas!M367="Chaquan D",140,IF(Atletas!M367="Emeiquan D",141,IF(Atletas!M367="Fanziquan D",142,IF(Atletas!M367="Huaquan D",143,IF(Atletas!M367="Hongquan D",144,IF(Atletas!M367="Paoquan D",145,IF(Atletas!M367="Piguaquan D",146,IF(Atletas!M367="Shaolinquan D",147,IF(Atletas!M367="Tanglangquan D",148,IF(Atletas!M367="Yingzhaoquan D",149,IF(Atletas!M367="Tongbeiquan D",150,IF(Atletas!M367="Wudangquan D",151,IF(Atletas!M367="Outros Estilos D",152,IF(Atletas!M367="Chaquan E",153,IF(Atletas!M367="Emeiquan E",154,IF(Atletas!M367="Fanziquan E",155,IF(Atletas!M367="Huaquan E",156,IF(Atletas!M367="Hongquan E",157,IF(Atletas!M367="Paoquan E",158,IF(Atletas!M367="Piguaquan E",159,IF(Atletas!M367="Shaolinquan E",160,IF(Atletas!M367="Tanglangquan E",161,IF(Atletas!M367="Yingzhaoquan E",162,IF(Atletas!M367="Tongbeiquan E",163,IF(Atletas!M367="Wudangquan E",164,IF(Atletas!M367="Outros Estilos E",165,IF(Atletas!M367="Chaquan F",166,IF(Atletas!M367="Emeiquan F",167,IF(Atletas!M367="Fanziquan F",168,IF(Atletas!M367="Huaquan F",169,IF(Atletas!M367="Hongquan F",170,IF(Atletas!M367="Paoquan F",171,IF(Atletas!M367="Piguaquan F",172,IF(Atletas!M367="Shaolinquan F",173,IF(Atletas!M367="Tanglangquan F",174,IF(Atletas!M367="Yingzhaoquan F",175,IF(Atletas!M367="Tongbeiquan F",176,IF(Atletas!M367="Wudangquan F",177,IF(Atletas!M367="Outros Estilos F",178,0))))))))))))))))))))))))))))))))))))))))))</f>
        <v/>
      </c>
      <c r="BU376" s="50" t="str">
        <f>IF(Atletas!N367="","",IF(Atletas!X367&lt;&gt;"",10000,0)+(IF(Atletas!B367="Feminino",1000,IF(Atletas!B367="Masculino",2000,""))+(IF(Atletas!N367="Ditangquan A",201,IF(Atletas!N367="Houquan A",202,IF(Atletas!N367="Zuiquan A",203,IF(Atletas!N367="Ditangquan B",204,IF(Atletas!N367="Houquan B",205,IF(Atletas!N367="Zuiquan B",206,IF(Atletas!N367="Ditangquan C",207,IF(Atletas!N367="Houquan C",208,IF(Atletas!N367="Zuiquan C",209,IF(Atletas!N367="Ditangquan D",210,IF(Atletas!N367="Houquan D",211,IF(Atletas!N367="Zuiquan D",212,IF(Atletas!N367="Ditangquan E",213,IF(Atletas!N367="Houquan E",214,IF(Atletas!N367="Zuiquan E",215,IF(Atletas!N367="Ditangquan F",216,IF(Atletas!N367="Houquan F",217,IF(Atletas!N367="Zuiquan F",218,"")))))))))))))))))))))</f>
        <v/>
      </c>
      <c r="BV376" s="50" t="str">
        <f>IF(Atletas!O367="","",IF(Atletas!X367&lt;&gt;"",10000,0)+IF(Atletas!B367="Feminino",1000,IF(Atletas!B367="Masculino",2000,""))+IF(Atletas!O367="Yang A",301,IF(Atletas!O367="Chen A",302,IF(Atletas!O367="Sun A",303,IF(Atletas!O367="Wu A",304,IF(Atletas!O367="Wu-Hao A",305,IF(Atletas!O367="Outro Taijiquan A",306,IF(Atletas!O367="Yang B",307,IF(Atletas!O367="Chen B",308,IF(Atletas!O367="Sun B",309,IF(Atletas!O367="Wu B",310,IF(Atletas!O367="Wu-Hao B",311,IF(Atletas!O367="Outro Taijiquan B",312,IF(Atletas!O367="Yang C",313,IF(Atletas!O367="Chen C",314,IF(Atletas!O367="Sun C",315,IF(Atletas!O367="Wu C",316,IF(Atletas!O367="Wu-Hao C",317,IF(Atletas!O367="Outro Taijiquan C",318,IF(Atletas!O367="Yang D",319,IF(Atletas!O367="Chen D",320,IF(Atletas!O367="Sun D",321,IF(Atletas!O367="Wu D",322,IF(Atletas!O367="Wu-Hao D",323,IF(Atletas!O367="Outro Taijiquan D",324,IF(Atletas!O367="Yang E",325,IF(Atletas!O367="Chen E",326,IF(Atletas!O367="Sun E",327,IF(Atletas!O367="Wu E",328,IF(Atletas!O367="Wu-Hao E",329,IF(Atletas!O367="Outro Taijiquan E",330,IF(Atletas!O367="Yang F",331,IF(Atletas!O367="Chen F",332,IF(Atletas!O367="Sun F",333,IF(Atletas!O367="Wu F",334,IF(Atletas!O367="Wu-Hao F",335,IF(Atletas!O367="Outro Taijiquan F",336,"")))))))))))))))))))))))))))))))))))))</f>
        <v/>
      </c>
      <c r="BW376" s="50" t="str">
        <f>IF(Atletas!P367="","",IF(Atletas!X367&lt;&gt;"",10000,0)+IF(Atletas!B367="Feminino",1000,IF(Atletas!B367="Masculino",2000,""))+IF(OR(Atletas!P367="Yang 26 A",Atletas!P367="Yang 40 A"),401,IF(OR(Atletas!P367="Chen 25 A",Atletas!P367="Chen 36 A",Atletas!P367="Chen 56 A"),402,IF(Atletas!P367="Sun 73 A",403,IF(Atletas!P367="Wu 45 A",404,IF(Atletas!P367="Wu-Hao 46 A",405,IF(OR(Atletas!P367="Taijiquan 16 A",Atletas!P367="Taijiquan 24 A",Atletas!P367="Taijiquan 32 A",Atletas!P367="Taijiquan 42 A"),406,IF(OR(Atletas!P367="Yang 26 B",Atletas!P367="Yang 40 B"),407,IF(OR(Atletas!P367="Chen 25 B",Atletas!P367="Chen 36 B",Atletas!P367="Chen 56 B"),408,IF(Atletas!P367="Sun 73 B",409,IF(Atletas!P367="Wu 45 B",410,IF(Atletas!P367="Wu-Hao 46 B",411,IF(OR(Atletas!P367="Taijiquan 16 B",Atletas!P367="Taijiquan 24 B",Atletas!P367="Taijiquan 32 B",Atletas!P367="Taijiquan 42 B"),412,IF(OR(Atletas!P367="Yang 26 C",Atletas!P367="Yang 40 C"),413,IF(OR(Atletas!P367="Chen 25 C",Atletas!P367="Chen 36 C",Atletas!P367="Chen 56 C"),414,IF(Atletas!P367="Sun 73 C",415,IF(Atletas!P367="Wu 45 C",416,IF(Atletas!P367="Wu-Hao 46 C",417,IF(OR(Atletas!P367="Taijiquan 16 C",Atletas!P367="Taijiquan 24 C",Atletas!P367="Taijiquan 32 C",Atletas!P367="Taijiquan 42 C"),418,0)))))))))))))))))))</f>
        <v/>
      </c>
      <c r="BX376" s="50" t="str">
        <f>IF(Atletas!P367="","",IF(Atletas!X367&lt;&gt;"",10000,0)+IF(Atletas!B367="Feminino",1000,IF(Atletas!B367="Masculino",2000,""))+IF(OR(Atletas!P367="Yang 26 D",Atletas!P367="Yang 40 D"),419,IF(OR(Atletas!P367="Chen 25 D",Atletas!P367="Chen 36 D",Atletas!P367="Chen 56 D"),420,IF(Atletas!P367="Sun 73 D",421,IF(Atletas!P367="Wu 45 D",422,IF(Atletas!P367="Wu-Hao 46 D",423,IF(OR(Atletas!P367="Taijiquan 16 D",Atletas!P367="Taijiquan 24 D",Atletas!P367="Taijiquan 32 D",Atletas!P367="Taijiquan 42 D"),424,IF(OR(Atletas!P367="Yang 26 E",Atletas!P367="Yang 40 E"),425,IF(OR(Atletas!P367="Chen 25 E",Atletas!P367="Chen 36 E",Atletas!P367="Chen 56 E"),426,IF(Atletas!P367="Sun 73 E",427,IF(Atletas!P367="Wu 45 E",428,IF(Atletas!P367="Wu-Hao 46 E",429,IF(OR(Atletas!P367="Taijiquan 16 E",Atletas!P367="Taijiquan 24 E",Atletas!P367="Taijiquan 32 E",Atletas!P367="Taijiquan 42 E"),430,IF(OR(Atletas!P367="Yang 26 F",Atletas!P367="Yang 40 F"),431,IF(OR(Atletas!P367="Chen 25 F",Atletas!P367="Chen 36 F",Atletas!P367="Chen 56 F"),432,IF(Atletas!P367="Sun 73 F",433,IF(Atletas!P367="Wu 45 F",434,IF(Atletas!P367="Wu-Hao 46 F",435,IF(OR(Atletas!P367="Taijiquan 16 F",Atletas!P367="Taijiquan 24 F",Atletas!P367="Taijiquan 32 F",Atletas!P367="Taijiquan 42 F"),436,0)))))))))))))))))))</f>
        <v/>
      </c>
      <c r="BY376" s="50" t="str">
        <f>IF(Atletas!Q367="","",IF(Atletas!X367&lt;&gt;"",10000,0)+IF(Atletas!B367="Feminino",1000,IF(Atletas!B367="Masculino",2000,""))+IF(Atletas!Q367="Xingyiquan A",501,IF(Atletas!Q367="Baguazhang A",502,IF(Atletas!Q367="Outro Estilo Interno A",503,IF(Atletas!Q367="Xingyiquan B",504,IF(Atletas!Q367="Baguazhang B",505,IF(Atletas!Q367="Outro Estilo Interno B",506,IF(Atletas!Q367="Xingyiquan C",507,IF(Atletas!Q367="Baguazhang C",508,IF(Atletas!Q367="Outro Estilo Interno C",509,IF(Atletas!Q367="Xingyiquan D",510,IF(Atletas!Q367="Baguazhang D",511,IF(Atletas!Q367="Outro Estilo Interno D",512,IF(Atletas!Q367="Xingyiquan E",513,IF(Atletas!Q367="Baguazhang E",514,IF(Atletas!Q367="Outro Estilo Interno E",515,IF(Atletas!Q367="Xingyiquan F",516,IF(Atletas!Q367="Baguazhang F",517,IF(Atletas!Q367="Outro Estilo Interno F",518, "")))))))))))))))))))</f>
        <v/>
      </c>
      <c r="BZ376" s="50" t="str">
        <f>IF(Atletas!R367="","",IF(Atletas!X367&lt;&gt;"",10000,0)+IF(Atletas!B367="Feminino",1000,IF(Atletas!B367="Masculino",2000,""))+IF(Atletas!R367="Dao A",601,IF(Atletas!R367="Jian A",602,IF(Atletas!R367="Bishou A",603,IF(Atletas!R367="Shanzi A",604,IF(Atletas!R367="Outra Arma Curta A",605,IF(Atletas!R367="Dao B",606,IF(Atletas!R367="Jian B",607,IF(Atletas!R367="Bishou B",608,IF(Atletas!R367="Shanzi B",609,IF(Atletas!R367="Outra Arma Curta B",610,IF(Atletas!R367="Dao C",611,IF(Atletas!R367="Jian C",612,IF(Atletas!R367="Bishou C",613,IF(Atletas!R367="Shanzi C",614,IF(Atletas!R367="Outra Arma Curta C",615,IF(Atletas!R367="Dao D",616,IF(Atletas!R367="Jian D",617,IF(Atletas!R367="Bishou D",618,IF(Atletas!R367="Shanzi D",619,IF(Atletas!R367="Outra Arma Curta D",620,IF(Atletas!R367="Dao E",621,IF(Atletas!R367="Jian E",622,IF(Atletas!R367="Bishou E",623,IF(Atletas!R367="Shanzi E",624,IF(Atletas!R367="Outra Arma Curta E",625,IF(Atletas!R367="Dao F",626,IF(Atletas!R367="Jian F",627,IF(Atletas!R367="Bishou F",628,IF(Atletas!R367="Shanzi F",629,IF(Atletas!R367="Outra Arma Curta F",630, "")))))))))))))))))))))))))))))))</f>
        <v/>
      </c>
      <c r="CA376" s="50" t="str">
        <f>IF(Atletas!S367="","",IF(Atletas!X367&lt;&gt;"",10000,0)+IF(Atletas!B367="Feminino",1000,IF(Atletas!B367="Masculino",2000,""))+IF(Atletas!S367="Gun A",701,IF(Atletas!S367="Qiang A",702,IF(Atletas!S367="Pudao / Guandao A",703,IF(Atletas!S367="Outra Arma Longa A",704,IF(Atletas!S367="Gun B",705,IF(Atletas!S367="Qiang B",706,IF(Atletas!S367="Pudao / Guandao B",707,IF(Atletas!S367="Outra Arma Longa B",708,IF(Atletas!S367="Gun C",709,IF(Atletas!S367="Qiang C",710,IF(Atletas!S367="Pudao / Guandao C",711,IF(Atletas!S367="Outra Arma Longa C",712,IF(Atletas!S367="Gun D",713,IF(Atletas!S367="Qiang D",714,IF(Atletas!S367="Pudao / Guandao D",715,IF(Atletas!S367="Outra Arma Longa D",716,IF(Atletas!S367="Gun E",717,IF(Atletas!S367="Qiang E",718,IF(Atletas!S367="Pudao / Guandao E",719,IF(Atletas!S367="Outra Arma Longa E",720,IF(Atletas!S367="Gun F",721,IF(Atletas!S367="Qiang F",722,IF(Atletas!S367="Pudao / Guandao F",723,IF(Atletas!S367="Outra Arma Longa F",724,"")))))))))))))))))))))))))</f>
        <v/>
      </c>
      <c r="CB376" s="50" t="str">
        <f>IF(Atletas!T367="","",IF(Atletas!X367&lt;&gt;"",10000,0)+IF(Atletas!B367="Feminino",1000,IF(Atletas!B367="Masculino",2000,""))+IF(Atletas!T367="Outra Arma Dupla A",801,IF(Atletas!T367="Arma Maleável A",802,IF(Atletas!T367="Outra Arma Dupla B",803,IF(Atletas!T367="Arma Maleável B",804,IF(Atletas!T367="Outra Arma Dupla C",805,IF(Atletas!T367="Arma Maleável C",806,IF(Atletas!T367="Outra Arma Dupla D",807,IF(Atletas!T367="Arma Maleável D",808,IF(Atletas!T367="Outra Arma Dupla E",809,IF(Atletas!T367="Arma Maleável E",810,IF(Atletas!T367="Outra Arma Dupla F",811,IF(Atletas!T367="Arma Maleável F",812,IF(Atletas!T367="Shuangdao A",813,IF(Atletas!T367="Shuangdao B",814,IF(Atletas!T367="Shuangdao C",815,IF(Atletas!T367="Shuangdao D",816,IF(Atletas!T367="Shuangdao E",817,IF(Atletas!T367="Shuangdao F",818,"")))))))))))))))))))</f>
        <v/>
      </c>
      <c r="CC376" s="50" t="str">
        <f>IF(Atletas!U367="","",IF(Atletas!X367&lt;&gt;"",10000,0)+IF(Atletas!B367="Feminino",1000,IF(Atletas!B367="Masculino",2000,""))+IF(OR(Atletas!U367="Taijijian Yang A",Atletas!U367="Taijijian Yang Standard A"),901,IF(OR(Atletas!U367="Taijijian Chen A", Atletas!U367="Taijijian Chen Standard A"),902,IF(Atletas!U367="Taijijian Sun A",903,IF(Atletas!U367="Taijijian Wu A",904,IF(Atletas!U367="Taijijian Wu-Hao A",905,IF(OR(Atletas!U367="Taijijian 32 A",Atletas!U367="Taijijian 42 A"),906,IF(OR(Atletas!U367="Taijijian Yang B",Atletas!U367="Taijijian Yang Standard B"),907,IF(OR(Atletas!U367="Taijijian Chen B", Atletas!U367="Taijijian Chen Standard B"),908,IF(Atletas!U367="Taijijian Sun B",909,IF(Atletas!U367="Taijijian Wu B",910,IF(Atletas!U367="Taijijian Wu-Hao B",911,IF(OR(Atletas!U367="Taijijian 32 B",Atletas!U367="Taijijian 42 B"),912,IF(OR(Atletas!U367="Taijijian Yang C",Atletas!U367="Taijijian Yang Standard C"),913,IF(OR(Atletas!U367="Taijijian Chen C", Atletas!U367="Taijijian Chen Standard C"),914,IF(Atletas!U367="Taijijian Sun C",915,IF(Atletas!U367="Taijijian Wu C",916,IF(Atletas!U367="Taijijian Wu-Hao C",917,IF(OR(Atletas!U367="Taijijian 32 C",Atletas!U367="Taijijian 42 C"),918,IF(OR(Atletas!U367="Taijijian Yang D",Atletas!U367="Taijijian Yang Standard D"),919,IF(OR(Atletas!U367="Taijijian Chen D", Atletas!U367="Taijijian Chen Standard D"),920,IF(Atletas!U367="Taijijian Sun D",921,IF(Atletas!U367="Taijijian Wu D",922,IF(Atletas!U367="Taijijian Wu-Hao D",923,IF(OR(Atletas!U367="Taijijian 32 D",Atletas!U367="Taijijian 42 D"),924,IF(OR(Atletas!U367="Taijijian Yang E",Atletas!U367="Taijijian Yang Standard E"),925,IF(OR(Atletas!U367="Taijijian Chen E", Atletas!U367="Taijijian Chen Standard E"),926,IF(Atletas!U367="Taijijian Sun E",927,IF(Atletas!U367="Taijijian Wu E",928,IF(Atletas!U367="Taijijian Wu-Hao E",929,IF(OR(Atletas!U367="Taijijian 32 E",Atletas!U367="Taijijian 42 E"),930,IF(OR(Atletas!U367="Taijijian Yang F",Atletas!U367="Taijijian Yang Standard F"),931,IF(OR(Atletas!U367="Taijijian Chen F", Atletas!U367="Taijijian Chen Standard F"),932,IF(Atletas!U367="Taijijian Sun F",933,IF(Atletas!U367="Taijijian Wu F",934,IF(Atletas!U367="Taijijian Wu-Hao F",935,IF(OR(Atletas!U367="Taijijian 32 F",Atletas!U367="Taijijian 42 F"),936,"")))))))))))))))))))))))))))))))))))))</f>
        <v/>
      </c>
      <c r="CD376" s="50" t="str">
        <f>IF(Atletas!V367="","",IF(Atletas!X367&lt;&gt;"",10000,0)+IF(Atletas!B367="Feminino",1000,IF(Atletas!B367="Masculino",2000,""))+IF(Atletas!V367="Taijidao A",937,IF(Atletas!V367="TaijiShanzi A",938,IF(Atletas!V367="Taijiqiang A",939,IF(Atletas!V367="Bagua de Arma A",940,IF(Atletas!V367="Xingyi de Arma A",941,IF(Atletas!V367="Taijidao B",942,IF(Atletas!V367="TaijiShanzi B",943,IF(Atletas!V367="Taijiqiang B",944,IF(Atletas!V367="Bagua de Arma B",945,IF(Atletas!V367="Xingyi de Arma B",946,IF(Atletas!V367="Taijidao C",947,IF(Atletas!V367="TaijiShanzi C",948,IF(Atletas!V367="Taijiqiang C",949,IF(Atletas!V367="Bagua de Arma C",950,IF(Atletas!V367="Xingyi de Arma C",951,IF(Atletas!V367="Taijidao D",952,IF(Atletas!V367="TaijiShanzi D",953,IF(Atletas!V367="Taijiqiang D",954,IF(Atletas!V367="Bagua de Arma D",955,IF(Atletas!V367="Xingyi de Arma D",956,IF(Atletas!V367="Taijidao E",957,IF(Atletas!V367="TaijiShanzi E",958,IF(Atletas!V367="Taijiqiang E",959,IF(Atletas!V367="Bagua de Arma E",960,IF(Atletas!V367="Xingyi de Arma E",961,IF(Atletas!V367="Taijidao F",962,IF(Atletas!V367="TaijiShanzi F",963,IF(Atletas!V367="Taijiqiang F",964,IF(Atletas!V367="Bagua de Arma F",965,IF(Atletas!V367="Xingyi de Arma F",966,"")))))))))))))))))))))))))))))))</f>
        <v/>
      </c>
      <c r="CE376" s="66"/>
      <c r="CF376" s="66"/>
      <c r="CG376" s="66"/>
      <c r="CH376" s="66"/>
      <c r="CJ376" s="66"/>
      <c r="CL376" s="66"/>
      <c r="CM376" s="50" t="str">
        <f xml:space="preserve"> IF(Atletas!W367="","",IF(Atletas!W367="Duilian de Mãos BC - Equipe 1",1,IF(Atletas!W367="Duilian de Mãos BC - Equipe 2",2,IF(Atletas!W367="Duilian de Armas BC - Equipe 1",3,IF(Atletas!W367="Duilian de Armas BC - Equipe 2",4,IF(Atletas!W367="Duilian de Mãos DE - Equipe 1",5,IF(Atletas!W367="Duilian de Mãos DE - Equipe 2",6,IF(Atletas!W367="Duilian de Armas DE - Equipe 1",7,IF(Atletas!W367="Duilian de Armas DE - Equipe 2",8,IF(Atletas!W367="Duilian de Tuishou - Equipe 1",9,IF(Atletas!W367="Duilian de Tuishou - Equipe 2",10,IF(Atletas!W367="Grupo Externo ABC - Equipe 1",11,IF(Atletas!W367="Grupo Externo ABC - Equipe 2",12,IF(Atletas!W367="Grupo Interno ABC - Equipe 1",13,IF(Atletas!W367="Grupo Interno ABC - Equipe 2",14,IF(Atletas!W367="Grupo Externo DEF - Equipe 1",15,IF(Atletas!W367="Grupo Externo DEF - Equipe 2",16,IF(Atletas!W367="Grupo Interno DEF - Equipe 1",17,IF(Atletas!W367="Grupo Interno DEF - Equipe 2",18,"")))))))))))))))))))</f>
        <v/>
      </c>
    </row>
    <row r="377" spans="40:91">
      <c r="AN377" s="52" t="str">
        <f>IF(Atletas!D368="","",IF(Atletas!B368="Feminino",100,IF(Atletas!B368="Masculino",200,""))+(IF(Atletas!D368="Kids 30kg",1,IF(Atletas!D368="Kids 32kg",2, IF(Atletas!D368="Kids 34kg",3,IF(Atletas!D368="Kids 36kg",4,IF(Atletas!D368="Kids 39kg",5,IF(Atletas!D368="Kids 42kg",6,IF(Atletas!D368="Kids 45kg",7, IF(Atletas!D368="Infantil 39kg",8,IF(Atletas!D368="Infantil 42kg",9,IF(Atletas!D368="Infantil 45kg",10,IF(Atletas!D368="Infantil 48kg",11,IF(Atletas!D368="Infantil 52kg",12,IF(Atletas!D368="Infantil 56kg",13,IF(Atletas!D368="Infantil 60kg",14,IF(Atletas!D368="Juvenil 48kg",15,IF(Atletas!D368="Juvenil 52kg",16,IF(Atletas!D368="Juvenil 56kg",17,IF(Atletas!D368="Juvenil 60kg",18,IF(Atletas!D368="Juvenil 65kg",19,IF(Atletas!D368="Juvenil 70kg",20,IF(Atletas!D368="Juvenil 75kg",21,IF(Atletas!D368="Juvenil 80kg",22, IF(Atletas!D368="Juvenil 85kg",23,IF(Atletas!D368="Adulto 48kg",24,IF(Atletas!D368="Adulto 52kg",25,IF(Atletas!D368="Adulto 56kg",26,IF(Atletas!D368="Adulto 60kg",27,IF(Atletas!D368="Adulto 65kg",28,IF(Atletas!D368="Adulto 70kg",29,IF(Atletas!D368="Adulto 75kg",30,IF(Atletas!D368="Adulto 80kg",31,IF(Atletas!D368="Adulto 85kg",32,IF(Atletas!D368="Adulto 90kg",33,IF(Atletas!D368="Adulto 100kg",34, IF(Atletas!D368="Adulto +100kg",35,"")))))))))))))))))))))))))))))))))))))</f>
        <v/>
      </c>
      <c r="AS377" s="6" t="str">
        <f>IF(Atletas!E368="","",IF(Atletas!B368="Feminino",100,IF(Atletas!B368="Masculino",200,""))+(IF(Atletas!E368="Juvenil 44kg",1,IF(Atletas!E368="Juvenil 48kg",2,IF(Atletas!E368="Juvenil 52kg",3,IF(Atletas!E368="Juvenil 56kg",4,IF(Atletas!E368="Juvenil 60kg",5,IF(Atletas!E368="Juvenil 65kg",6,IF(Atletas!E368="Juvenil 70kg",7,IF(Atletas!E368="Juvenil 75kg",8,IF(Atletas!E368="Juvenil 82kg",9,IF(Atletas!E368="Juvenil 90kg",10,IF(Atletas!E368="Juvenil 100kg",11,IF(Atletas!E368="Adulto 48kg",12,IF(Atletas!E368="Adulto 52kg",13,IF(Atletas!E368="Adulto 56kg",14,IF(Atletas!E368="Adulto 60kg",15,IF(Atletas!E368="Adulto 65kg",16,IF(Atletas!E368="Adulto 70kg",17,IF(Atletas!E368="Adulto 75kg",18,IF(Atletas!E368="Adulto 82kg",19,IF(Atletas!E368="Adulto 90kg",20,IF(Atletas!E368="Adulto 100kg",21,IF(Atletas!E368="Adulto +100kg",22,""))))))))))))))))))))))))</f>
        <v/>
      </c>
      <c r="AX377" s="6" t="str">
        <f>IF(Atletas!F368="","",IF(Atletas!B368="Feminino",100,IF(Atletas!B368="Masculino",200,""))+(IF(Atletas!F368="Adulto 48kg",1,IF(Atletas!F368="Adulto 56kg",2,IF(Atletas!F368="Adulto 65kg",3,IF(Atletas!F368="Adulto 75kg",4,IF(Atletas!F368="Adulto +75kg",5,IF(Atletas!F368="Adulto 52kg",6,IF(Atletas!F368="Adulto 60kg",7,IF(Atletas!F368="Adulto 70kg",8,IF(Atletas!F368="Adulto 80kg",9,IF(Atletas!F368="Adulto 90kg",10,IF(Atletas!F368="Adulto +90kg",11,"")))))))))))))</f>
        <v/>
      </c>
      <c r="BC377" s="6" t="str">
        <f>IF(Atletas!G368="","",IF(Atletas!B368="Feminino",10,IF(Atletas!B368="Masculino",20,""))+(IF(Atletas!G368="Baduanjin A",1,IF(Atletas!G368="Baduanjin B",2))))</f>
        <v/>
      </c>
      <c r="BF377" s="52" t="str">
        <f>IF(Atletas!H368="","",IF(Atletas!B368="Feminino",100,IF(Atletas!B368="Masculino",200,""))+(IF(Atletas!H368="Changquan Mirim",1,IF(Atletas!H368="Nanquan Mirim",2,IF(Atletas!H368="Taijiquan Mirim",3,IF(Atletas!H368="Changquan Grupo C",4,IF(Atletas!H368="Nanquan Grupo C",5,IF(Atletas!H368="Taijiquan Grupo C",6,IF(Atletas!H368="Changquan Grupo B",7,IF(Atletas!H368="Nanquan Grupo B",8,IF(Atletas!H368="Taijiquan Grupo B",9,IF(Atletas!H368="Changquan Grupo A",10,IF(Atletas!H368="Nanquan Grupo A",11,IF(Atletas!H368="Taijiquan Grupo A",12,IF(Atletas!H368="Changquan Opcional",13,IF(Atletas!H368="Nanquan Opcional",14,IF(Atletas!H368="Taijiquan Opcional",15,IF(Atletas!H368="Changquan Adulto",16,IF(Atletas!H368="Nanquan Adulto",17,IF(Atletas!H368="Taijiquan Adulto",18,""))))))))))))))))))))</f>
        <v/>
      </c>
      <c r="BG377" s="52" t="str">
        <f>IF(Atletas!I368="","",IF(Atletas!B368="Feminino",100,IF(Atletas!B368="Masculino",200,""))+(IF(Atletas!I368="Daoshu Mirim",19,IF(Atletas!I368="Jianshu Mirim",20,IF(Atletas!I368="Nandao Mirim",21,IF(Atletas!I368="Taijijian Mirim",22,IF(Atletas!I368="Daoshu Grupo C",23,IF(Atletas!I368="Jianshu Grupo C",24,IF(Atletas!I368="Nandao Grupo C",25,IF(Atletas!I368="Taijijian Grupo C",26,IF(Atletas!I368="Daoshu Grupo B",27,IF(Atletas!I368="Jianshu Grupo B",28,IF(Atletas!I368="Nandao Grupo B",29,IF(Atletas!I368="Taijijian Grupo B",30,IF(Atletas!I368="Daoshu Grupo A",31,IF(Atletas!I368="Jianshu Grupo A",32,IF(Atletas!I368="Nandao Grupo A",33,IF(Atletas!I368="Taijijian Grupo A",34,IF(Atletas!I368="Daoshu Opcional",35,IF(Atletas!I368="Jianshu Opcional",36,IF(Atletas!I368="Nandao Opcional",37,IF(Atletas!I368="Taijijian Opcional",38,IF(Atletas!I368="Daoshu Adulto",39,IF(Atletas!I368="Jianshu Adulto",40,IF(Atletas!I368="Nandao Adulto",41,IF(Atletas!I368="Taijijian Adulto",42,""))))))))))))))))))))))))))</f>
        <v/>
      </c>
      <c r="BH377" s="52" t="str">
        <f>IF(Atletas!J368="","",IF(Atletas!B368="Feminino",100,IF(Atletas!B368="Masculino",200,""))+(IF(Atletas!J368="Gunshu Mirim",43,IF(Atletas!J368="Qiangshu Mirim",44,IF(Atletas!J368="Nangun Mirim",45,IF(Atletas!J368="Gunshu Grupo C",46,IF(Atletas!J368="Qiangshu Grupo C",47,IF(Atletas!J368="Nangun Grupo C",48,IF(Atletas!J368="Gunshu Grupo B",49,IF(Atletas!J368="Qiangshu Grupo B",50,IF(Atletas!J368="Nangun Grupo B",51,IF(Atletas!J368="Gunshu Grupo A",52,IF(Atletas!J368="Qiangshu Grupo A",53,IF(Atletas!J368="Nangun Grupo A",54,IF(Atletas!J368="Gunshu Opcional",55,IF(Atletas!J368="Qiangshu Opcional",56,IF(Atletas!J368="Nangun Opcional",57,IF(Atletas!J368="Gunshu Adulto",58,IF(Atletas!J368="Qiangshu Adulto",59,IF(Atletas!J368="Nangun Adulto",60,IF(Atletas!J368="Taijishan Grupo B",61,IF(Atletas!J368="Taijishan Grupo A",62,""))))))))))))))))))))))</f>
        <v/>
      </c>
      <c r="BM377" s="50" t="str">
        <f>IF(Atletas!K368="","",IF(Atletas!B368="Feminino",100,IF(Atletas!B368="Masculino",200,""))+(IF(Atletas!K368="Equipe 1 Grupo B",1,IF(Atletas!K368="Equipe 2 Grupo B",2,IF(Atletas!K368="Equipe 1 Grupo A",3,IF(Atletas!K368="Equipe 2 Grupo A",4,IF(Atletas!K368="Equipe 1 Adulto",5,IF(Atletas!K368="Equipe 2 Adulto",6,""))))))))</f>
        <v/>
      </c>
      <c r="BR377" s="50" t="str">
        <f>IF(Atletas!L368="","",IF(Atletas!X368&lt;&gt;"",10000,0)+(IF(Atletas!B368="Feminino",1000,IF(Atletas!B368="Masculino",2000,""))+IF(Atletas!L368="Choylayfut A",1,IF(Atletas!L368="Hunggar A",2,IF(Atletas!L368="Wuzuquan A",3,IF(Atletas!L368="Wingchun A",4,IF(Atletas!L368="Outra Mão de Sul A",5,IF(Atletas!L368="Choylayfut B",6,IF(Atletas!L368="Hunggar B",7,IF(Atletas!L368="Wuzuquan B",8,IF(Atletas!L368="Wingchun B",9,IF(Atletas!L368="Outra Mão de Sul B",10,IF(Atletas!L368="Choylayfut C",11,IF(Atletas!L368="Hunggar C",12,IF(Atletas!L368="Wuzuquan C",13,IF(Atletas!L368="Wingchun C",14,IF(Atletas!L368="Outra Mão de Sul C",15,IF(Atletas!L368="Choylayfut D",16,IF(Atletas!L368="Hunggar D",17,IF(Atletas!L368="Wuzuquan D",18,IF(Atletas!L368="Wingchun D",19,IF(Atletas!L368="Outra Mão de Sul D",20,IF(Atletas!L368="Choylayfut E",21,IF(Atletas!L368="Hunggar E",22,IF(Atletas!L368="Wuzuquan E",23,IF(Atletas!L368="Wingchun E",24,IF(Atletas!L368="Outra Mão de Sul E",25,IF(Atletas!L368="Choylayfut F",26,IF(Atletas!L368="Hunggar F",27,IF(Atletas!L368="Wuzuquan F",28,IF(Atletas!L368="Wingchun F",29,IF(Atletas!L368="Outra Mão de Sul F",30,IF(Atletas!L368="Dishuquan A",31,IF(Atletas!L368="Dishuquan B",32,IF(Atletas!L368="Dishuquan C",33,IF(Atletas!L368="Dishuquan D",34,IF(Atletas!L368="Dishuquan E",35,IF(Atletas!L368="Dishuquan F",36,""))))))))))))))))))))))))))))))))))))))</f>
        <v/>
      </c>
      <c r="BS377" s="50" t="str">
        <f>IF(Atletas!M368="","",IF(Atletas!X368&lt;&gt;"",10000,0)+(IF(Atletas!B368="Feminino",1000,IF(Atletas!B368="Masculino",2000,""))+(IF(Atletas!M368="Chaquan A",101,IF(Atletas!M368="Emeiquan A",102,IF(Atletas!M368="Fanziquan A",103,IF(Atletas!M368="Huaquan A",104,IF(Atletas!M368="Hongquan A",105,IF(Atletas!M368="Paoquan A",106,IF(Atletas!M368="Piguaquan A",107,IF(Atletas!M368="Shaolinquan A",108,IF(Atletas!M368="Tanglangquan A",109,IF(Atletas!M368="Yingzhaoquan A",110,IF(Atletas!M368="Tongbeiquan A",111,IF(Atletas!M368="Wudangquan A",112,IF(Atletas!M368="Outros Estilos A",113,IF(Atletas!M368="Chaquan B",114,IF(Atletas!M368="Emeiquan B",115,IF(Atletas!M368="Fanziquan B",116,IF(Atletas!M368="Huaquan B",117,IF(Atletas!M368="Hongquan B",118,IF(Atletas!M368="Paoquan B",119,IF(Atletas!M368="Piguaquan B",120,IF(Atletas!M368="Shaolinquan B",121,IF(Atletas!M368="Tanglangquan B",122,IF(Atletas!M368="Yingzhaoquan B",123,IF(Atletas!M368="Tongbeiquan B",124,IF(Atletas!M368="Wudangquan B",125,IF(Atletas!M368="Outros Estilos B",126,IF(Atletas!M368="Chaquan C",127,IF(Atletas!M368="Emeiquan C",128,IF(Atletas!M368="Fanziquan C",129,IF(Atletas!M368="Huaquan C",130,IF(Atletas!M368="Hongquan C",131,IF(Atletas!M368="Paoquan C",132,IF(Atletas!M368="Piguaquan C",133,IF(Atletas!M368="Shaolinquan C",134,IF(Atletas!M368="Tanglangquan C",135,IF(Atletas!M368="Yingzhaoquan C",136,IF(Atletas!M368="Tongbeiquan C",137,IF(Atletas!M368="Wudangquan C",138,IF(Atletas!M368="Outros Estilos C",139,0))))))))))))))))))))))))))))))))))))))))))</f>
        <v/>
      </c>
      <c r="BT377" s="50" t="str">
        <f>IF(Atletas!M368="","",IF(Atletas!X368&lt;&gt;"",10000,0)+(IF(Atletas!B368="Feminino",1000,IF(Atletas!B368="Masculino",2000,""))+(IF(Atletas!M368="Chaquan D",140,IF(Atletas!M368="Emeiquan D",141,IF(Atletas!M368="Fanziquan D",142,IF(Atletas!M368="Huaquan D",143,IF(Atletas!M368="Hongquan D",144,IF(Atletas!M368="Paoquan D",145,IF(Atletas!M368="Piguaquan D",146,IF(Atletas!M368="Shaolinquan D",147,IF(Atletas!M368="Tanglangquan D",148,IF(Atletas!M368="Yingzhaoquan D",149,IF(Atletas!M368="Tongbeiquan D",150,IF(Atletas!M368="Wudangquan D",151,IF(Atletas!M368="Outros Estilos D",152,IF(Atletas!M368="Chaquan E",153,IF(Atletas!M368="Emeiquan E",154,IF(Atletas!M368="Fanziquan E",155,IF(Atletas!M368="Huaquan E",156,IF(Atletas!M368="Hongquan E",157,IF(Atletas!M368="Paoquan E",158,IF(Atletas!M368="Piguaquan E",159,IF(Atletas!M368="Shaolinquan E",160,IF(Atletas!M368="Tanglangquan E",161,IF(Atletas!M368="Yingzhaoquan E",162,IF(Atletas!M368="Tongbeiquan E",163,IF(Atletas!M368="Wudangquan E",164,IF(Atletas!M368="Outros Estilos E",165,IF(Atletas!M368="Chaquan F",166,IF(Atletas!M368="Emeiquan F",167,IF(Atletas!M368="Fanziquan F",168,IF(Atletas!M368="Huaquan F",169,IF(Atletas!M368="Hongquan F",170,IF(Atletas!M368="Paoquan F",171,IF(Atletas!M368="Piguaquan F",172,IF(Atletas!M368="Shaolinquan F",173,IF(Atletas!M368="Tanglangquan F",174,IF(Atletas!M368="Yingzhaoquan F",175,IF(Atletas!M368="Tongbeiquan F",176,IF(Atletas!M368="Wudangquan F",177,IF(Atletas!M368="Outros Estilos F",178,0))))))))))))))))))))))))))))))))))))))))))</f>
        <v/>
      </c>
      <c r="BU377" s="50" t="str">
        <f>IF(Atletas!N368="","",IF(Atletas!X368&lt;&gt;"",10000,0)+(IF(Atletas!B368="Feminino",1000,IF(Atletas!B368="Masculino",2000,""))+(IF(Atletas!N368="Ditangquan A",201,IF(Atletas!N368="Houquan A",202,IF(Atletas!N368="Zuiquan A",203,IF(Atletas!N368="Ditangquan B",204,IF(Atletas!N368="Houquan B",205,IF(Atletas!N368="Zuiquan B",206,IF(Atletas!N368="Ditangquan C",207,IF(Atletas!N368="Houquan C",208,IF(Atletas!N368="Zuiquan C",209,IF(Atletas!N368="Ditangquan D",210,IF(Atletas!N368="Houquan D",211,IF(Atletas!N368="Zuiquan D",212,IF(Atletas!N368="Ditangquan E",213,IF(Atletas!N368="Houquan E",214,IF(Atletas!N368="Zuiquan E",215,IF(Atletas!N368="Ditangquan F",216,IF(Atletas!N368="Houquan F",217,IF(Atletas!N368="Zuiquan F",218,"")))))))))))))))))))))</f>
        <v/>
      </c>
      <c r="BV377" s="50" t="str">
        <f>IF(Atletas!O368="","",IF(Atletas!X368&lt;&gt;"",10000,0)+IF(Atletas!B368="Feminino",1000,IF(Atletas!B368="Masculino",2000,""))+IF(Atletas!O368="Yang A",301,IF(Atletas!O368="Chen A",302,IF(Atletas!O368="Sun A",303,IF(Atletas!O368="Wu A",304,IF(Atletas!O368="Wu-Hao A",305,IF(Atletas!O368="Outro Taijiquan A",306,IF(Atletas!O368="Yang B",307,IF(Atletas!O368="Chen B",308,IF(Atletas!O368="Sun B",309,IF(Atletas!O368="Wu B",310,IF(Atletas!O368="Wu-Hao B",311,IF(Atletas!O368="Outro Taijiquan B",312,IF(Atletas!O368="Yang C",313,IF(Atletas!O368="Chen C",314,IF(Atletas!O368="Sun C",315,IF(Atletas!O368="Wu C",316,IF(Atletas!O368="Wu-Hao C",317,IF(Atletas!O368="Outro Taijiquan C",318,IF(Atletas!O368="Yang D",319,IF(Atletas!O368="Chen D",320,IF(Atletas!O368="Sun D",321,IF(Atletas!O368="Wu D",322,IF(Atletas!O368="Wu-Hao D",323,IF(Atletas!O368="Outro Taijiquan D",324,IF(Atletas!O368="Yang E",325,IF(Atletas!O368="Chen E",326,IF(Atletas!O368="Sun E",327,IF(Atletas!O368="Wu E",328,IF(Atletas!O368="Wu-Hao E",329,IF(Atletas!O368="Outro Taijiquan E",330,IF(Atletas!O368="Yang F",331,IF(Atletas!O368="Chen F",332,IF(Atletas!O368="Sun F",333,IF(Atletas!O368="Wu F",334,IF(Atletas!O368="Wu-Hao F",335,IF(Atletas!O368="Outro Taijiquan F",336,"")))))))))))))))))))))))))))))))))))))</f>
        <v/>
      </c>
      <c r="BW377" s="50" t="str">
        <f>IF(Atletas!P368="","",IF(Atletas!X368&lt;&gt;"",10000,0)+IF(Atletas!B368="Feminino",1000,IF(Atletas!B368="Masculino",2000,""))+IF(OR(Atletas!P368="Yang 26 A",Atletas!P368="Yang 40 A"),401,IF(OR(Atletas!P368="Chen 25 A",Atletas!P368="Chen 36 A",Atletas!P368="Chen 56 A"),402,IF(Atletas!P368="Sun 73 A",403,IF(Atletas!P368="Wu 45 A",404,IF(Atletas!P368="Wu-Hao 46 A",405,IF(OR(Atletas!P368="Taijiquan 16 A",Atletas!P368="Taijiquan 24 A",Atletas!P368="Taijiquan 32 A",Atletas!P368="Taijiquan 42 A"),406,IF(OR(Atletas!P368="Yang 26 B",Atletas!P368="Yang 40 B"),407,IF(OR(Atletas!P368="Chen 25 B",Atletas!P368="Chen 36 B",Atletas!P368="Chen 56 B"),408,IF(Atletas!P368="Sun 73 B",409,IF(Atletas!P368="Wu 45 B",410,IF(Atletas!P368="Wu-Hao 46 B",411,IF(OR(Atletas!P368="Taijiquan 16 B",Atletas!P368="Taijiquan 24 B",Atletas!P368="Taijiquan 32 B",Atletas!P368="Taijiquan 42 B"),412,IF(OR(Atletas!P368="Yang 26 C",Atletas!P368="Yang 40 C"),413,IF(OR(Atletas!P368="Chen 25 C",Atletas!P368="Chen 36 C",Atletas!P368="Chen 56 C"),414,IF(Atletas!P368="Sun 73 C",415,IF(Atletas!P368="Wu 45 C",416,IF(Atletas!P368="Wu-Hao 46 C",417,IF(OR(Atletas!P368="Taijiquan 16 C",Atletas!P368="Taijiquan 24 C",Atletas!P368="Taijiquan 32 C",Atletas!P368="Taijiquan 42 C"),418,0)))))))))))))))))))</f>
        <v/>
      </c>
      <c r="BX377" s="50" t="str">
        <f>IF(Atletas!P368="","",IF(Atletas!X368&lt;&gt;"",10000,0)+IF(Atletas!B368="Feminino",1000,IF(Atletas!B368="Masculino",2000,""))+IF(OR(Atletas!P368="Yang 26 D",Atletas!P368="Yang 40 D"),419,IF(OR(Atletas!P368="Chen 25 D",Atletas!P368="Chen 36 D",Atletas!P368="Chen 56 D"),420,IF(Atletas!P368="Sun 73 D",421,IF(Atletas!P368="Wu 45 D",422,IF(Atletas!P368="Wu-Hao 46 D",423,IF(OR(Atletas!P368="Taijiquan 16 D",Atletas!P368="Taijiquan 24 D",Atletas!P368="Taijiquan 32 D",Atletas!P368="Taijiquan 42 D"),424,IF(OR(Atletas!P368="Yang 26 E",Atletas!P368="Yang 40 E"),425,IF(OR(Atletas!P368="Chen 25 E",Atletas!P368="Chen 36 E",Atletas!P368="Chen 56 E"),426,IF(Atletas!P368="Sun 73 E",427,IF(Atletas!P368="Wu 45 E",428,IF(Atletas!P368="Wu-Hao 46 E",429,IF(OR(Atletas!P368="Taijiquan 16 E",Atletas!P368="Taijiquan 24 E",Atletas!P368="Taijiquan 32 E",Atletas!P368="Taijiquan 42 E"),430,IF(OR(Atletas!P368="Yang 26 F",Atletas!P368="Yang 40 F"),431,IF(OR(Atletas!P368="Chen 25 F",Atletas!P368="Chen 36 F",Atletas!P368="Chen 56 F"),432,IF(Atletas!P368="Sun 73 F",433,IF(Atletas!P368="Wu 45 F",434,IF(Atletas!P368="Wu-Hao 46 F",435,IF(OR(Atletas!P368="Taijiquan 16 F",Atletas!P368="Taijiquan 24 F",Atletas!P368="Taijiquan 32 F",Atletas!P368="Taijiquan 42 F"),436,0)))))))))))))))))))</f>
        <v/>
      </c>
      <c r="BY377" s="50" t="str">
        <f>IF(Atletas!Q368="","",IF(Atletas!X368&lt;&gt;"",10000,0)+IF(Atletas!B368="Feminino",1000,IF(Atletas!B368="Masculino",2000,""))+IF(Atletas!Q368="Xingyiquan A",501,IF(Atletas!Q368="Baguazhang A",502,IF(Atletas!Q368="Outro Estilo Interno A",503,IF(Atletas!Q368="Xingyiquan B",504,IF(Atletas!Q368="Baguazhang B",505,IF(Atletas!Q368="Outro Estilo Interno B",506,IF(Atletas!Q368="Xingyiquan C",507,IF(Atletas!Q368="Baguazhang C",508,IF(Atletas!Q368="Outro Estilo Interno C",509,IF(Atletas!Q368="Xingyiquan D",510,IF(Atletas!Q368="Baguazhang D",511,IF(Atletas!Q368="Outro Estilo Interno D",512,IF(Atletas!Q368="Xingyiquan E",513,IF(Atletas!Q368="Baguazhang E",514,IF(Atletas!Q368="Outro Estilo Interno E",515,IF(Atletas!Q368="Xingyiquan F",516,IF(Atletas!Q368="Baguazhang F",517,IF(Atletas!Q368="Outro Estilo Interno F",518, "")))))))))))))))))))</f>
        <v/>
      </c>
      <c r="BZ377" s="50" t="str">
        <f>IF(Atletas!R368="","",IF(Atletas!X368&lt;&gt;"",10000,0)+IF(Atletas!B368="Feminino",1000,IF(Atletas!B368="Masculino",2000,""))+IF(Atletas!R368="Dao A",601,IF(Atletas!R368="Jian A",602,IF(Atletas!R368="Bishou A",603,IF(Atletas!R368="Shanzi A",604,IF(Atletas!R368="Outra Arma Curta A",605,IF(Atletas!R368="Dao B",606,IF(Atletas!R368="Jian B",607,IF(Atletas!R368="Bishou B",608,IF(Atletas!R368="Shanzi B",609,IF(Atletas!R368="Outra Arma Curta B",610,IF(Atletas!R368="Dao C",611,IF(Atletas!R368="Jian C",612,IF(Atletas!R368="Bishou C",613,IF(Atletas!R368="Shanzi C",614,IF(Atletas!R368="Outra Arma Curta C",615,IF(Atletas!R368="Dao D",616,IF(Atletas!R368="Jian D",617,IF(Atletas!R368="Bishou D",618,IF(Atletas!R368="Shanzi D",619,IF(Atletas!R368="Outra Arma Curta D",620,IF(Atletas!R368="Dao E",621,IF(Atletas!R368="Jian E",622,IF(Atletas!R368="Bishou E",623,IF(Atletas!R368="Shanzi E",624,IF(Atletas!R368="Outra Arma Curta E",625,IF(Atletas!R368="Dao F",626,IF(Atletas!R368="Jian F",627,IF(Atletas!R368="Bishou F",628,IF(Atletas!R368="Shanzi F",629,IF(Atletas!R368="Outra Arma Curta F",630, "")))))))))))))))))))))))))))))))</f>
        <v/>
      </c>
      <c r="CA377" s="50" t="str">
        <f>IF(Atletas!S368="","",IF(Atletas!X368&lt;&gt;"",10000,0)+IF(Atletas!B368="Feminino",1000,IF(Atletas!B368="Masculino",2000,""))+IF(Atletas!S368="Gun A",701,IF(Atletas!S368="Qiang A",702,IF(Atletas!S368="Pudao / Guandao A",703,IF(Atletas!S368="Outra Arma Longa A",704,IF(Atletas!S368="Gun B",705,IF(Atletas!S368="Qiang B",706,IF(Atletas!S368="Pudao / Guandao B",707,IF(Atletas!S368="Outra Arma Longa B",708,IF(Atletas!S368="Gun C",709,IF(Atletas!S368="Qiang C",710,IF(Atletas!S368="Pudao / Guandao C",711,IF(Atletas!S368="Outra Arma Longa C",712,IF(Atletas!S368="Gun D",713,IF(Atletas!S368="Qiang D",714,IF(Atletas!S368="Pudao / Guandao D",715,IF(Atletas!S368="Outra Arma Longa D",716,IF(Atletas!S368="Gun E",717,IF(Atletas!S368="Qiang E",718,IF(Atletas!S368="Pudao / Guandao E",719,IF(Atletas!S368="Outra Arma Longa E",720,IF(Atletas!S368="Gun F",721,IF(Atletas!S368="Qiang F",722,IF(Atletas!S368="Pudao / Guandao F",723,IF(Atletas!S368="Outra Arma Longa F",724,"")))))))))))))))))))))))))</f>
        <v/>
      </c>
      <c r="CB377" s="50" t="str">
        <f>IF(Atletas!T368="","",IF(Atletas!X368&lt;&gt;"",10000,0)+IF(Atletas!B368="Feminino",1000,IF(Atletas!B368="Masculino",2000,""))+IF(Atletas!T368="Outra Arma Dupla A",801,IF(Atletas!T368="Arma Maleável A",802,IF(Atletas!T368="Outra Arma Dupla B",803,IF(Atletas!T368="Arma Maleável B",804,IF(Atletas!T368="Outra Arma Dupla C",805,IF(Atletas!T368="Arma Maleável C",806,IF(Atletas!T368="Outra Arma Dupla D",807,IF(Atletas!T368="Arma Maleável D",808,IF(Atletas!T368="Outra Arma Dupla E",809,IF(Atletas!T368="Arma Maleável E",810,IF(Atletas!T368="Outra Arma Dupla F",811,IF(Atletas!T368="Arma Maleável F",812,IF(Atletas!T368="Shuangdao A",813,IF(Atletas!T368="Shuangdao B",814,IF(Atletas!T368="Shuangdao C",815,IF(Atletas!T368="Shuangdao D",816,IF(Atletas!T368="Shuangdao E",817,IF(Atletas!T368="Shuangdao F",818,"")))))))))))))))))))</f>
        <v/>
      </c>
      <c r="CC377" s="50" t="str">
        <f>IF(Atletas!U368="","",IF(Atletas!X368&lt;&gt;"",10000,0)+IF(Atletas!B368="Feminino",1000,IF(Atletas!B368="Masculino",2000,""))+IF(OR(Atletas!U368="Taijijian Yang A",Atletas!U368="Taijijian Yang Standard A"),901,IF(OR(Atletas!U368="Taijijian Chen A", Atletas!U368="Taijijian Chen Standard A"),902,IF(Atletas!U368="Taijijian Sun A",903,IF(Atletas!U368="Taijijian Wu A",904,IF(Atletas!U368="Taijijian Wu-Hao A",905,IF(OR(Atletas!U368="Taijijian 32 A",Atletas!U368="Taijijian 42 A"),906,IF(OR(Atletas!U368="Taijijian Yang B",Atletas!U368="Taijijian Yang Standard B"),907,IF(OR(Atletas!U368="Taijijian Chen B", Atletas!U368="Taijijian Chen Standard B"),908,IF(Atletas!U368="Taijijian Sun B",909,IF(Atletas!U368="Taijijian Wu B",910,IF(Atletas!U368="Taijijian Wu-Hao B",911,IF(OR(Atletas!U368="Taijijian 32 B",Atletas!U368="Taijijian 42 B"),912,IF(OR(Atletas!U368="Taijijian Yang C",Atletas!U368="Taijijian Yang Standard C"),913,IF(OR(Atletas!U368="Taijijian Chen C", Atletas!U368="Taijijian Chen Standard C"),914,IF(Atletas!U368="Taijijian Sun C",915,IF(Atletas!U368="Taijijian Wu C",916,IF(Atletas!U368="Taijijian Wu-Hao C",917,IF(OR(Atletas!U368="Taijijian 32 C",Atletas!U368="Taijijian 42 C"),918,IF(OR(Atletas!U368="Taijijian Yang D",Atletas!U368="Taijijian Yang Standard D"),919,IF(OR(Atletas!U368="Taijijian Chen D", Atletas!U368="Taijijian Chen Standard D"),920,IF(Atletas!U368="Taijijian Sun D",921,IF(Atletas!U368="Taijijian Wu D",922,IF(Atletas!U368="Taijijian Wu-Hao D",923,IF(OR(Atletas!U368="Taijijian 32 D",Atletas!U368="Taijijian 42 D"),924,IF(OR(Atletas!U368="Taijijian Yang E",Atletas!U368="Taijijian Yang Standard E"),925,IF(OR(Atletas!U368="Taijijian Chen E", Atletas!U368="Taijijian Chen Standard E"),926,IF(Atletas!U368="Taijijian Sun E",927,IF(Atletas!U368="Taijijian Wu E",928,IF(Atletas!U368="Taijijian Wu-Hao E",929,IF(OR(Atletas!U368="Taijijian 32 E",Atletas!U368="Taijijian 42 E"),930,IF(OR(Atletas!U368="Taijijian Yang F",Atletas!U368="Taijijian Yang Standard F"),931,IF(OR(Atletas!U368="Taijijian Chen F", Atletas!U368="Taijijian Chen Standard F"),932,IF(Atletas!U368="Taijijian Sun F",933,IF(Atletas!U368="Taijijian Wu F",934,IF(Atletas!U368="Taijijian Wu-Hao F",935,IF(OR(Atletas!U368="Taijijian 32 F",Atletas!U368="Taijijian 42 F"),936,"")))))))))))))))))))))))))))))))))))))</f>
        <v/>
      </c>
      <c r="CD377" s="50" t="str">
        <f>IF(Atletas!V368="","",IF(Atletas!X368&lt;&gt;"",10000,0)+IF(Atletas!B368="Feminino",1000,IF(Atletas!B368="Masculino",2000,""))+IF(Atletas!V368="Taijidao A",937,IF(Atletas!V368="TaijiShanzi A",938,IF(Atletas!V368="Taijiqiang A",939,IF(Atletas!V368="Bagua de Arma A",940,IF(Atletas!V368="Xingyi de Arma A",941,IF(Atletas!V368="Taijidao B",942,IF(Atletas!V368="TaijiShanzi B",943,IF(Atletas!V368="Taijiqiang B",944,IF(Atletas!V368="Bagua de Arma B",945,IF(Atletas!V368="Xingyi de Arma B",946,IF(Atletas!V368="Taijidao C",947,IF(Atletas!V368="TaijiShanzi C",948,IF(Atletas!V368="Taijiqiang C",949,IF(Atletas!V368="Bagua de Arma C",950,IF(Atletas!V368="Xingyi de Arma C",951,IF(Atletas!V368="Taijidao D",952,IF(Atletas!V368="TaijiShanzi D",953,IF(Atletas!V368="Taijiqiang D",954,IF(Atletas!V368="Bagua de Arma D",955,IF(Atletas!V368="Xingyi de Arma D",956,IF(Atletas!V368="Taijidao E",957,IF(Atletas!V368="TaijiShanzi E",958,IF(Atletas!V368="Taijiqiang E",959,IF(Atletas!V368="Bagua de Arma E",960,IF(Atletas!V368="Xingyi de Arma E",961,IF(Atletas!V368="Taijidao F",962,IF(Atletas!V368="TaijiShanzi F",963,IF(Atletas!V368="Taijiqiang F",964,IF(Atletas!V368="Bagua de Arma F",965,IF(Atletas!V368="Xingyi de Arma F",966,"")))))))))))))))))))))))))))))))</f>
        <v/>
      </c>
      <c r="CE377" s="66"/>
      <c r="CF377" s="66"/>
      <c r="CG377" s="66"/>
      <c r="CH377" s="66"/>
      <c r="CJ377" s="66"/>
      <c r="CL377" s="66"/>
      <c r="CM377" s="50" t="str">
        <f xml:space="preserve"> IF(Atletas!W368="","",IF(Atletas!W368="Duilian de Mãos BC - Equipe 1",1,IF(Atletas!W368="Duilian de Mãos BC - Equipe 2",2,IF(Atletas!W368="Duilian de Armas BC - Equipe 1",3,IF(Atletas!W368="Duilian de Armas BC - Equipe 2",4,IF(Atletas!W368="Duilian de Mãos DE - Equipe 1",5,IF(Atletas!W368="Duilian de Mãos DE - Equipe 2",6,IF(Atletas!W368="Duilian de Armas DE - Equipe 1",7,IF(Atletas!W368="Duilian de Armas DE - Equipe 2",8,IF(Atletas!W368="Duilian de Tuishou - Equipe 1",9,IF(Atletas!W368="Duilian de Tuishou - Equipe 2",10,IF(Atletas!W368="Grupo Externo ABC - Equipe 1",11,IF(Atletas!W368="Grupo Externo ABC - Equipe 2",12,IF(Atletas!W368="Grupo Interno ABC - Equipe 1",13,IF(Atletas!W368="Grupo Interno ABC - Equipe 2",14,IF(Atletas!W368="Grupo Externo DEF - Equipe 1",15,IF(Atletas!W368="Grupo Externo DEF - Equipe 2",16,IF(Atletas!W368="Grupo Interno DEF - Equipe 1",17,IF(Atletas!W368="Grupo Interno DEF - Equipe 2",18,"")))))))))))))))))))</f>
        <v/>
      </c>
    </row>
    <row r="378" spans="40:91">
      <c r="AN378" s="52" t="str">
        <f>IF(Atletas!D369="","",IF(Atletas!B369="Feminino",100,IF(Atletas!B369="Masculino",200,""))+(IF(Atletas!D369="Kids 30kg",1,IF(Atletas!D369="Kids 32kg",2, IF(Atletas!D369="Kids 34kg",3,IF(Atletas!D369="Kids 36kg",4,IF(Atletas!D369="Kids 39kg",5,IF(Atletas!D369="Kids 42kg",6,IF(Atletas!D369="Kids 45kg",7, IF(Atletas!D369="Infantil 39kg",8,IF(Atletas!D369="Infantil 42kg",9,IF(Atletas!D369="Infantil 45kg",10,IF(Atletas!D369="Infantil 48kg",11,IF(Atletas!D369="Infantil 52kg",12,IF(Atletas!D369="Infantil 56kg",13,IF(Atletas!D369="Infantil 60kg",14,IF(Atletas!D369="Juvenil 48kg",15,IF(Atletas!D369="Juvenil 52kg",16,IF(Atletas!D369="Juvenil 56kg",17,IF(Atletas!D369="Juvenil 60kg",18,IF(Atletas!D369="Juvenil 65kg",19,IF(Atletas!D369="Juvenil 70kg",20,IF(Atletas!D369="Juvenil 75kg",21,IF(Atletas!D369="Juvenil 80kg",22, IF(Atletas!D369="Juvenil 85kg",23,IF(Atletas!D369="Adulto 48kg",24,IF(Atletas!D369="Adulto 52kg",25,IF(Atletas!D369="Adulto 56kg",26,IF(Atletas!D369="Adulto 60kg",27,IF(Atletas!D369="Adulto 65kg",28,IF(Atletas!D369="Adulto 70kg",29,IF(Atletas!D369="Adulto 75kg",30,IF(Atletas!D369="Adulto 80kg",31,IF(Atletas!D369="Adulto 85kg",32,IF(Atletas!D369="Adulto 90kg",33,IF(Atletas!D369="Adulto 100kg",34, IF(Atletas!D369="Adulto +100kg",35,"")))))))))))))))))))))))))))))))))))))</f>
        <v/>
      </c>
      <c r="AS378" s="6" t="str">
        <f>IF(Atletas!E369="","",IF(Atletas!B369="Feminino",100,IF(Atletas!B369="Masculino",200,""))+(IF(Atletas!E369="Juvenil 44kg",1,IF(Atletas!E369="Juvenil 48kg",2,IF(Atletas!E369="Juvenil 52kg",3,IF(Atletas!E369="Juvenil 56kg",4,IF(Atletas!E369="Juvenil 60kg",5,IF(Atletas!E369="Juvenil 65kg",6,IF(Atletas!E369="Juvenil 70kg",7,IF(Atletas!E369="Juvenil 75kg",8,IF(Atletas!E369="Juvenil 82kg",9,IF(Atletas!E369="Juvenil 90kg",10,IF(Atletas!E369="Juvenil 100kg",11,IF(Atletas!E369="Adulto 48kg",12,IF(Atletas!E369="Adulto 52kg",13,IF(Atletas!E369="Adulto 56kg",14,IF(Atletas!E369="Adulto 60kg",15,IF(Atletas!E369="Adulto 65kg",16,IF(Atletas!E369="Adulto 70kg",17,IF(Atletas!E369="Adulto 75kg",18,IF(Atletas!E369="Adulto 82kg",19,IF(Atletas!E369="Adulto 90kg",20,IF(Atletas!E369="Adulto 100kg",21,IF(Atletas!E369="Adulto +100kg",22,""))))))))))))))))))))))))</f>
        <v/>
      </c>
      <c r="AX378" s="6" t="str">
        <f>IF(Atletas!F369="","",IF(Atletas!B369="Feminino",100,IF(Atletas!B369="Masculino",200,""))+(IF(Atletas!F369="Adulto 48kg",1,IF(Atletas!F369="Adulto 56kg",2,IF(Atletas!F369="Adulto 65kg",3,IF(Atletas!F369="Adulto 75kg",4,IF(Atletas!F369="Adulto +75kg",5,IF(Atletas!F369="Adulto 52kg",6,IF(Atletas!F369="Adulto 60kg",7,IF(Atletas!F369="Adulto 70kg",8,IF(Atletas!F369="Adulto 80kg",9,IF(Atletas!F369="Adulto 90kg",10,IF(Atletas!F369="Adulto +90kg",11,"")))))))))))))</f>
        <v/>
      </c>
      <c r="BC378" s="6" t="str">
        <f>IF(Atletas!G369="","",IF(Atletas!B369="Feminino",10,IF(Atletas!B369="Masculino",20,""))+(IF(Atletas!G369="Baduanjin A",1,IF(Atletas!G369="Baduanjin B",2))))</f>
        <v/>
      </c>
      <c r="BF378" s="52" t="str">
        <f>IF(Atletas!H369="","",IF(Atletas!B369="Feminino",100,IF(Atletas!B369="Masculino",200,""))+(IF(Atletas!H369="Changquan Mirim",1,IF(Atletas!H369="Nanquan Mirim",2,IF(Atletas!H369="Taijiquan Mirim",3,IF(Atletas!H369="Changquan Grupo C",4,IF(Atletas!H369="Nanquan Grupo C",5,IF(Atletas!H369="Taijiquan Grupo C",6,IF(Atletas!H369="Changquan Grupo B",7,IF(Atletas!H369="Nanquan Grupo B",8,IF(Atletas!H369="Taijiquan Grupo B",9,IF(Atletas!H369="Changquan Grupo A",10,IF(Atletas!H369="Nanquan Grupo A",11,IF(Atletas!H369="Taijiquan Grupo A",12,IF(Atletas!H369="Changquan Opcional",13,IF(Atletas!H369="Nanquan Opcional",14,IF(Atletas!H369="Taijiquan Opcional",15,IF(Atletas!H369="Changquan Adulto",16,IF(Atletas!H369="Nanquan Adulto",17,IF(Atletas!H369="Taijiquan Adulto",18,""))))))))))))))))))))</f>
        <v/>
      </c>
      <c r="BG378" s="52" t="str">
        <f>IF(Atletas!I369="","",IF(Atletas!B369="Feminino",100,IF(Atletas!B369="Masculino",200,""))+(IF(Atletas!I369="Daoshu Mirim",19,IF(Atletas!I369="Jianshu Mirim",20,IF(Atletas!I369="Nandao Mirim",21,IF(Atletas!I369="Taijijian Mirim",22,IF(Atletas!I369="Daoshu Grupo C",23,IF(Atletas!I369="Jianshu Grupo C",24,IF(Atletas!I369="Nandao Grupo C",25,IF(Atletas!I369="Taijijian Grupo C",26,IF(Atletas!I369="Daoshu Grupo B",27,IF(Atletas!I369="Jianshu Grupo B",28,IF(Atletas!I369="Nandao Grupo B",29,IF(Atletas!I369="Taijijian Grupo B",30,IF(Atletas!I369="Daoshu Grupo A",31,IF(Atletas!I369="Jianshu Grupo A",32,IF(Atletas!I369="Nandao Grupo A",33,IF(Atletas!I369="Taijijian Grupo A",34,IF(Atletas!I369="Daoshu Opcional",35,IF(Atletas!I369="Jianshu Opcional",36,IF(Atletas!I369="Nandao Opcional",37,IF(Atletas!I369="Taijijian Opcional",38,IF(Atletas!I369="Daoshu Adulto",39,IF(Atletas!I369="Jianshu Adulto",40,IF(Atletas!I369="Nandao Adulto",41,IF(Atletas!I369="Taijijian Adulto",42,""))))))))))))))))))))))))))</f>
        <v/>
      </c>
      <c r="BH378" s="52" t="str">
        <f>IF(Atletas!J369="","",IF(Atletas!B369="Feminino",100,IF(Atletas!B369="Masculino",200,""))+(IF(Atletas!J369="Gunshu Mirim",43,IF(Atletas!J369="Qiangshu Mirim",44,IF(Atletas!J369="Nangun Mirim",45,IF(Atletas!J369="Gunshu Grupo C",46,IF(Atletas!J369="Qiangshu Grupo C",47,IF(Atletas!J369="Nangun Grupo C",48,IF(Atletas!J369="Gunshu Grupo B",49,IF(Atletas!J369="Qiangshu Grupo B",50,IF(Atletas!J369="Nangun Grupo B",51,IF(Atletas!J369="Gunshu Grupo A",52,IF(Atletas!J369="Qiangshu Grupo A",53,IF(Atletas!J369="Nangun Grupo A",54,IF(Atletas!J369="Gunshu Opcional",55,IF(Atletas!J369="Qiangshu Opcional",56,IF(Atletas!J369="Nangun Opcional",57,IF(Atletas!J369="Gunshu Adulto",58,IF(Atletas!J369="Qiangshu Adulto",59,IF(Atletas!J369="Nangun Adulto",60,IF(Atletas!J369="Taijishan Grupo B",61,IF(Atletas!J369="Taijishan Grupo A",62,""))))))))))))))))))))))</f>
        <v/>
      </c>
      <c r="BM378" s="50" t="str">
        <f>IF(Atletas!K369="","",IF(Atletas!B369="Feminino",100,IF(Atletas!B369="Masculino",200,""))+(IF(Atletas!K369="Equipe 1 Grupo B",1,IF(Atletas!K369="Equipe 2 Grupo B",2,IF(Atletas!K369="Equipe 1 Grupo A",3,IF(Atletas!K369="Equipe 2 Grupo A",4,IF(Atletas!K369="Equipe 1 Adulto",5,IF(Atletas!K369="Equipe 2 Adulto",6,""))))))))</f>
        <v/>
      </c>
      <c r="BR378" s="50" t="str">
        <f>IF(Atletas!L369="","",IF(Atletas!X369&lt;&gt;"",10000,0)+(IF(Atletas!B369="Feminino",1000,IF(Atletas!B369="Masculino",2000,""))+IF(Atletas!L369="Choylayfut A",1,IF(Atletas!L369="Hunggar A",2,IF(Atletas!L369="Wuzuquan A",3,IF(Atletas!L369="Wingchun A",4,IF(Atletas!L369="Outra Mão de Sul A",5,IF(Atletas!L369="Choylayfut B",6,IF(Atletas!L369="Hunggar B",7,IF(Atletas!L369="Wuzuquan B",8,IF(Atletas!L369="Wingchun B",9,IF(Atletas!L369="Outra Mão de Sul B",10,IF(Atletas!L369="Choylayfut C",11,IF(Atletas!L369="Hunggar C",12,IF(Atletas!L369="Wuzuquan C",13,IF(Atletas!L369="Wingchun C",14,IF(Atletas!L369="Outra Mão de Sul C",15,IF(Atletas!L369="Choylayfut D",16,IF(Atletas!L369="Hunggar D",17,IF(Atletas!L369="Wuzuquan D",18,IF(Atletas!L369="Wingchun D",19,IF(Atletas!L369="Outra Mão de Sul D",20,IF(Atletas!L369="Choylayfut E",21,IF(Atletas!L369="Hunggar E",22,IF(Atletas!L369="Wuzuquan E",23,IF(Atletas!L369="Wingchun E",24,IF(Atletas!L369="Outra Mão de Sul E",25,IF(Atletas!L369="Choylayfut F",26,IF(Atletas!L369="Hunggar F",27,IF(Atletas!L369="Wuzuquan F",28,IF(Atletas!L369="Wingchun F",29,IF(Atletas!L369="Outra Mão de Sul F",30,IF(Atletas!L369="Dishuquan A",31,IF(Atletas!L369="Dishuquan B",32,IF(Atletas!L369="Dishuquan C",33,IF(Atletas!L369="Dishuquan D",34,IF(Atletas!L369="Dishuquan E",35,IF(Atletas!L369="Dishuquan F",36,""))))))))))))))))))))))))))))))))))))))</f>
        <v/>
      </c>
      <c r="BS378" s="50" t="str">
        <f>IF(Atletas!M369="","",IF(Atletas!X369&lt;&gt;"",10000,0)+(IF(Atletas!B369="Feminino",1000,IF(Atletas!B369="Masculino",2000,""))+(IF(Atletas!M369="Chaquan A",101,IF(Atletas!M369="Emeiquan A",102,IF(Atletas!M369="Fanziquan A",103,IF(Atletas!M369="Huaquan A",104,IF(Atletas!M369="Hongquan A",105,IF(Atletas!M369="Paoquan A",106,IF(Atletas!M369="Piguaquan A",107,IF(Atletas!M369="Shaolinquan A",108,IF(Atletas!M369="Tanglangquan A",109,IF(Atletas!M369="Yingzhaoquan A",110,IF(Atletas!M369="Tongbeiquan A",111,IF(Atletas!M369="Wudangquan A",112,IF(Atletas!M369="Outros Estilos A",113,IF(Atletas!M369="Chaquan B",114,IF(Atletas!M369="Emeiquan B",115,IF(Atletas!M369="Fanziquan B",116,IF(Atletas!M369="Huaquan B",117,IF(Atletas!M369="Hongquan B",118,IF(Atletas!M369="Paoquan B",119,IF(Atletas!M369="Piguaquan B",120,IF(Atletas!M369="Shaolinquan B",121,IF(Atletas!M369="Tanglangquan B",122,IF(Atletas!M369="Yingzhaoquan B",123,IF(Atletas!M369="Tongbeiquan B",124,IF(Atletas!M369="Wudangquan B",125,IF(Atletas!M369="Outros Estilos B",126,IF(Atletas!M369="Chaquan C",127,IF(Atletas!M369="Emeiquan C",128,IF(Atletas!M369="Fanziquan C",129,IF(Atletas!M369="Huaquan C",130,IF(Atletas!M369="Hongquan C",131,IF(Atletas!M369="Paoquan C",132,IF(Atletas!M369="Piguaquan C",133,IF(Atletas!M369="Shaolinquan C",134,IF(Atletas!M369="Tanglangquan C",135,IF(Atletas!M369="Yingzhaoquan C",136,IF(Atletas!M369="Tongbeiquan C",137,IF(Atletas!M369="Wudangquan C",138,IF(Atletas!M369="Outros Estilos C",139,0))))))))))))))))))))))))))))))))))))))))))</f>
        <v/>
      </c>
      <c r="BT378" s="50" t="str">
        <f>IF(Atletas!M369="","",IF(Atletas!X369&lt;&gt;"",10000,0)+(IF(Atletas!B369="Feminino",1000,IF(Atletas!B369="Masculino",2000,""))+(IF(Atletas!M369="Chaquan D",140,IF(Atletas!M369="Emeiquan D",141,IF(Atletas!M369="Fanziquan D",142,IF(Atletas!M369="Huaquan D",143,IF(Atletas!M369="Hongquan D",144,IF(Atletas!M369="Paoquan D",145,IF(Atletas!M369="Piguaquan D",146,IF(Atletas!M369="Shaolinquan D",147,IF(Atletas!M369="Tanglangquan D",148,IF(Atletas!M369="Yingzhaoquan D",149,IF(Atletas!M369="Tongbeiquan D",150,IF(Atletas!M369="Wudangquan D",151,IF(Atletas!M369="Outros Estilos D",152,IF(Atletas!M369="Chaquan E",153,IF(Atletas!M369="Emeiquan E",154,IF(Atletas!M369="Fanziquan E",155,IF(Atletas!M369="Huaquan E",156,IF(Atletas!M369="Hongquan E",157,IF(Atletas!M369="Paoquan E",158,IF(Atletas!M369="Piguaquan E",159,IF(Atletas!M369="Shaolinquan E",160,IF(Atletas!M369="Tanglangquan E",161,IF(Atletas!M369="Yingzhaoquan E",162,IF(Atletas!M369="Tongbeiquan E",163,IF(Atletas!M369="Wudangquan E",164,IF(Atletas!M369="Outros Estilos E",165,IF(Atletas!M369="Chaquan F",166,IF(Atletas!M369="Emeiquan F",167,IF(Atletas!M369="Fanziquan F",168,IF(Atletas!M369="Huaquan F",169,IF(Atletas!M369="Hongquan F",170,IF(Atletas!M369="Paoquan F",171,IF(Atletas!M369="Piguaquan F",172,IF(Atletas!M369="Shaolinquan F",173,IF(Atletas!M369="Tanglangquan F",174,IF(Atletas!M369="Yingzhaoquan F",175,IF(Atletas!M369="Tongbeiquan F",176,IF(Atletas!M369="Wudangquan F",177,IF(Atletas!M369="Outros Estilos F",178,0))))))))))))))))))))))))))))))))))))))))))</f>
        <v/>
      </c>
      <c r="BU378" s="50" t="str">
        <f>IF(Atletas!N369="","",IF(Atletas!X369&lt;&gt;"",10000,0)+(IF(Atletas!B369="Feminino",1000,IF(Atletas!B369="Masculino",2000,""))+(IF(Atletas!N369="Ditangquan A",201,IF(Atletas!N369="Houquan A",202,IF(Atletas!N369="Zuiquan A",203,IF(Atletas!N369="Ditangquan B",204,IF(Atletas!N369="Houquan B",205,IF(Atletas!N369="Zuiquan B",206,IF(Atletas!N369="Ditangquan C",207,IF(Atletas!N369="Houquan C",208,IF(Atletas!N369="Zuiquan C",209,IF(Atletas!N369="Ditangquan D",210,IF(Atletas!N369="Houquan D",211,IF(Atletas!N369="Zuiquan D",212,IF(Atletas!N369="Ditangquan E",213,IF(Atletas!N369="Houquan E",214,IF(Atletas!N369="Zuiquan E",215,IF(Atletas!N369="Ditangquan F",216,IF(Atletas!N369="Houquan F",217,IF(Atletas!N369="Zuiquan F",218,"")))))))))))))))))))))</f>
        <v/>
      </c>
      <c r="BV378" s="50" t="str">
        <f>IF(Atletas!O369="","",IF(Atletas!X369&lt;&gt;"",10000,0)+IF(Atletas!B369="Feminino",1000,IF(Atletas!B369="Masculino",2000,""))+IF(Atletas!O369="Yang A",301,IF(Atletas!O369="Chen A",302,IF(Atletas!O369="Sun A",303,IF(Atletas!O369="Wu A",304,IF(Atletas!O369="Wu-Hao A",305,IF(Atletas!O369="Outro Taijiquan A",306,IF(Atletas!O369="Yang B",307,IF(Atletas!O369="Chen B",308,IF(Atletas!O369="Sun B",309,IF(Atletas!O369="Wu B",310,IF(Atletas!O369="Wu-Hao B",311,IF(Atletas!O369="Outro Taijiquan B",312,IF(Atletas!O369="Yang C",313,IF(Atletas!O369="Chen C",314,IF(Atletas!O369="Sun C",315,IF(Atletas!O369="Wu C",316,IF(Atletas!O369="Wu-Hao C",317,IF(Atletas!O369="Outro Taijiquan C",318,IF(Atletas!O369="Yang D",319,IF(Atletas!O369="Chen D",320,IF(Atletas!O369="Sun D",321,IF(Atletas!O369="Wu D",322,IF(Atletas!O369="Wu-Hao D",323,IF(Atletas!O369="Outro Taijiquan D",324,IF(Atletas!O369="Yang E",325,IF(Atletas!O369="Chen E",326,IF(Atletas!O369="Sun E",327,IF(Atletas!O369="Wu E",328,IF(Atletas!O369="Wu-Hao E",329,IF(Atletas!O369="Outro Taijiquan E",330,IF(Atletas!O369="Yang F",331,IF(Atletas!O369="Chen F",332,IF(Atletas!O369="Sun F",333,IF(Atletas!O369="Wu F",334,IF(Atletas!O369="Wu-Hao F",335,IF(Atletas!O369="Outro Taijiquan F",336,"")))))))))))))))))))))))))))))))))))))</f>
        <v/>
      </c>
      <c r="BW378" s="50" t="str">
        <f>IF(Atletas!P369="","",IF(Atletas!X369&lt;&gt;"",10000,0)+IF(Atletas!B369="Feminino",1000,IF(Atletas!B369="Masculino",2000,""))+IF(OR(Atletas!P369="Yang 26 A",Atletas!P369="Yang 40 A"),401,IF(OR(Atletas!P369="Chen 25 A",Atletas!P369="Chen 36 A",Atletas!P369="Chen 56 A"),402,IF(Atletas!P369="Sun 73 A",403,IF(Atletas!P369="Wu 45 A",404,IF(Atletas!P369="Wu-Hao 46 A",405,IF(OR(Atletas!P369="Taijiquan 16 A",Atletas!P369="Taijiquan 24 A",Atletas!P369="Taijiquan 32 A",Atletas!P369="Taijiquan 42 A"),406,IF(OR(Atletas!P369="Yang 26 B",Atletas!P369="Yang 40 B"),407,IF(OR(Atletas!P369="Chen 25 B",Atletas!P369="Chen 36 B",Atletas!P369="Chen 56 B"),408,IF(Atletas!P369="Sun 73 B",409,IF(Atletas!P369="Wu 45 B",410,IF(Atletas!P369="Wu-Hao 46 B",411,IF(OR(Atletas!P369="Taijiquan 16 B",Atletas!P369="Taijiquan 24 B",Atletas!P369="Taijiquan 32 B",Atletas!P369="Taijiquan 42 B"),412,IF(OR(Atletas!P369="Yang 26 C",Atletas!P369="Yang 40 C"),413,IF(OR(Atletas!P369="Chen 25 C",Atletas!P369="Chen 36 C",Atletas!P369="Chen 56 C"),414,IF(Atletas!P369="Sun 73 C",415,IF(Atletas!P369="Wu 45 C",416,IF(Atletas!P369="Wu-Hao 46 C",417,IF(OR(Atletas!P369="Taijiquan 16 C",Atletas!P369="Taijiquan 24 C",Atletas!P369="Taijiquan 32 C",Atletas!P369="Taijiquan 42 C"),418,0)))))))))))))))))))</f>
        <v/>
      </c>
      <c r="BX378" s="50" t="str">
        <f>IF(Atletas!P369="","",IF(Atletas!X369&lt;&gt;"",10000,0)+IF(Atletas!B369="Feminino",1000,IF(Atletas!B369="Masculino",2000,""))+IF(OR(Atletas!P369="Yang 26 D",Atletas!P369="Yang 40 D"),419,IF(OR(Atletas!P369="Chen 25 D",Atletas!P369="Chen 36 D",Atletas!P369="Chen 56 D"),420,IF(Atletas!P369="Sun 73 D",421,IF(Atletas!P369="Wu 45 D",422,IF(Atletas!P369="Wu-Hao 46 D",423,IF(OR(Atletas!P369="Taijiquan 16 D",Atletas!P369="Taijiquan 24 D",Atletas!P369="Taijiquan 32 D",Atletas!P369="Taijiquan 42 D"),424,IF(OR(Atletas!P369="Yang 26 E",Atletas!P369="Yang 40 E"),425,IF(OR(Atletas!P369="Chen 25 E",Atletas!P369="Chen 36 E",Atletas!P369="Chen 56 E"),426,IF(Atletas!P369="Sun 73 E",427,IF(Atletas!P369="Wu 45 E",428,IF(Atletas!P369="Wu-Hao 46 E",429,IF(OR(Atletas!P369="Taijiquan 16 E",Atletas!P369="Taijiquan 24 E",Atletas!P369="Taijiquan 32 E",Atletas!P369="Taijiquan 42 E"),430,IF(OR(Atletas!P369="Yang 26 F",Atletas!P369="Yang 40 F"),431,IF(OR(Atletas!P369="Chen 25 F",Atletas!P369="Chen 36 F",Atletas!P369="Chen 56 F"),432,IF(Atletas!P369="Sun 73 F",433,IF(Atletas!P369="Wu 45 F",434,IF(Atletas!P369="Wu-Hao 46 F",435,IF(OR(Atletas!P369="Taijiquan 16 F",Atletas!P369="Taijiquan 24 F",Atletas!P369="Taijiquan 32 F",Atletas!P369="Taijiquan 42 F"),436,0)))))))))))))))))))</f>
        <v/>
      </c>
      <c r="BY378" s="50" t="str">
        <f>IF(Atletas!Q369="","",IF(Atletas!X369&lt;&gt;"",10000,0)+IF(Atletas!B369="Feminino",1000,IF(Atletas!B369="Masculino",2000,""))+IF(Atletas!Q369="Xingyiquan A",501,IF(Atletas!Q369="Baguazhang A",502,IF(Atletas!Q369="Outro Estilo Interno A",503,IF(Atletas!Q369="Xingyiquan B",504,IF(Atletas!Q369="Baguazhang B",505,IF(Atletas!Q369="Outro Estilo Interno B",506,IF(Atletas!Q369="Xingyiquan C",507,IF(Atletas!Q369="Baguazhang C",508,IF(Atletas!Q369="Outro Estilo Interno C",509,IF(Atletas!Q369="Xingyiquan D",510,IF(Atletas!Q369="Baguazhang D",511,IF(Atletas!Q369="Outro Estilo Interno D",512,IF(Atletas!Q369="Xingyiquan E",513,IF(Atletas!Q369="Baguazhang E",514,IF(Atletas!Q369="Outro Estilo Interno E",515,IF(Atletas!Q369="Xingyiquan F",516,IF(Atletas!Q369="Baguazhang F",517,IF(Atletas!Q369="Outro Estilo Interno F",518, "")))))))))))))))))))</f>
        <v/>
      </c>
      <c r="BZ378" s="50" t="str">
        <f>IF(Atletas!R369="","",IF(Atletas!X369&lt;&gt;"",10000,0)+IF(Atletas!B369="Feminino",1000,IF(Atletas!B369="Masculino",2000,""))+IF(Atletas!R369="Dao A",601,IF(Atletas!R369="Jian A",602,IF(Atletas!R369="Bishou A",603,IF(Atletas!R369="Shanzi A",604,IF(Atletas!R369="Outra Arma Curta A",605,IF(Atletas!R369="Dao B",606,IF(Atletas!R369="Jian B",607,IF(Atletas!R369="Bishou B",608,IF(Atletas!R369="Shanzi B",609,IF(Atletas!R369="Outra Arma Curta B",610,IF(Atletas!R369="Dao C",611,IF(Atletas!R369="Jian C",612,IF(Atletas!R369="Bishou C",613,IF(Atletas!R369="Shanzi C",614,IF(Atletas!R369="Outra Arma Curta C",615,IF(Atletas!R369="Dao D",616,IF(Atletas!R369="Jian D",617,IF(Atletas!R369="Bishou D",618,IF(Atletas!R369="Shanzi D",619,IF(Atletas!R369="Outra Arma Curta D",620,IF(Atletas!R369="Dao E",621,IF(Atletas!R369="Jian E",622,IF(Atletas!R369="Bishou E",623,IF(Atletas!R369="Shanzi E",624,IF(Atletas!R369="Outra Arma Curta E",625,IF(Atletas!R369="Dao F",626,IF(Atletas!R369="Jian F",627,IF(Atletas!R369="Bishou F",628,IF(Atletas!R369="Shanzi F",629,IF(Atletas!R369="Outra Arma Curta F",630, "")))))))))))))))))))))))))))))))</f>
        <v/>
      </c>
      <c r="CA378" s="50" t="str">
        <f>IF(Atletas!S369="","",IF(Atletas!X369&lt;&gt;"",10000,0)+IF(Atletas!B369="Feminino",1000,IF(Atletas!B369="Masculino",2000,""))+IF(Atletas!S369="Gun A",701,IF(Atletas!S369="Qiang A",702,IF(Atletas!S369="Pudao / Guandao A",703,IF(Atletas!S369="Outra Arma Longa A",704,IF(Atletas!S369="Gun B",705,IF(Atletas!S369="Qiang B",706,IF(Atletas!S369="Pudao / Guandao B",707,IF(Atletas!S369="Outra Arma Longa B",708,IF(Atletas!S369="Gun C",709,IF(Atletas!S369="Qiang C",710,IF(Atletas!S369="Pudao / Guandao C",711,IF(Atletas!S369="Outra Arma Longa C",712,IF(Atletas!S369="Gun D",713,IF(Atletas!S369="Qiang D",714,IF(Atletas!S369="Pudao / Guandao D",715,IF(Atletas!S369="Outra Arma Longa D",716,IF(Atletas!S369="Gun E",717,IF(Atletas!S369="Qiang E",718,IF(Atletas!S369="Pudao / Guandao E",719,IF(Atletas!S369="Outra Arma Longa E",720,IF(Atletas!S369="Gun F",721,IF(Atletas!S369="Qiang F",722,IF(Atletas!S369="Pudao / Guandao F",723,IF(Atletas!S369="Outra Arma Longa F",724,"")))))))))))))))))))))))))</f>
        <v/>
      </c>
      <c r="CB378" s="50" t="str">
        <f>IF(Atletas!T369="","",IF(Atletas!X369&lt;&gt;"",10000,0)+IF(Atletas!B369="Feminino",1000,IF(Atletas!B369="Masculino",2000,""))+IF(Atletas!T369="Outra Arma Dupla A",801,IF(Atletas!T369="Arma Maleável A",802,IF(Atletas!T369="Outra Arma Dupla B",803,IF(Atletas!T369="Arma Maleável B",804,IF(Atletas!T369="Outra Arma Dupla C",805,IF(Atletas!T369="Arma Maleável C",806,IF(Atletas!T369="Outra Arma Dupla D",807,IF(Atletas!T369="Arma Maleável D",808,IF(Atletas!T369="Outra Arma Dupla E",809,IF(Atletas!T369="Arma Maleável E",810,IF(Atletas!T369="Outra Arma Dupla F",811,IF(Atletas!T369="Arma Maleável F",812,IF(Atletas!T369="Shuangdao A",813,IF(Atletas!T369="Shuangdao B",814,IF(Atletas!T369="Shuangdao C",815,IF(Atletas!T369="Shuangdao D",816,IF(Atletas!T369="Shuangdao E",817,IF(Atletas!T369="Shuangdao F",818,"")))))))))))))))))))</f>
        <v/>
      </c>
      <c r="CC378" s="50" t="str">
        <f>IF(Atletas!U369="","",IF(Atletas!X369&lt;&gt;"",10000,0)+IF(Atletas!B369="Feminino",1000,IF(Atletas!B369="Masculino",2000,""))+IF(OR(Atletas!U369="Taijijian Yang A",Atletas!U369="Taijijian Yang Standard A"),901,IF(OR(Atletas!U369="Taijijian Chen A", Atletas!U369="Taijijian Chen Standard A"),902,IF(Atletas!U369="Taijijian Sun A",903,IF(Atletas!U369="Taijijian Wu A",904,IF(Atletas!U369="Taijijian Wu-Hao A",905,IF(OR(Atletas!U369="Taijijian 32 A",Atletas!U369="Taijijian 42 A"),906,IF(OR(Atletas!U369="Taijijian Yang B",Atletas!U369="Taijijian Yang Standard B"),907,IF(OR(Atletas!U369="Taijijian Chen B", Atletas!U369="Taijijian Chen Standard B"),908,IF(Atletas!U369="Taijijian Sun B",909,IF(Atletas!U369="Taijijian Wu B",910,IF(Atletas!U369="Taijijian Wu-Hao B",911,IF(OR(Atletas!U369="Taijijian 32 B",Atletas!U369="Taijijian 42 B"),912,IF(OR(Atletas!U369="Taijijian Yang C",Atletas!U369="Taijijian Yang Standard C"),913,IF(OR(Atletas!U369="Taijijian Chen C", Atletas!U369="Taijijian Chen Standard C"),914,IF(Atletas!U369="Taijijian Sun C",915,IF(Atletas!U369="Taijijian Wu C",916,IF(Atletas!U369="Taijijian Wu-Hao C",917,IF(OR(Atletas!U369="Taijijian 32 C",Atletas!U369="Taijijian 42 C"),918,IF(OR(Atletas!U369="Taijijian Yang D",Atletas!U369="Taijijian Yang Standard D"),919,IF(OR(Atletas!U369="Taijijian Chen D", Atletas!U369="Taijijian Chen Standard D"),920,IF(Atletas!U369="Taijijian Sun D",921,IF(Atletas!U369="Taijijian Wu D",922,IF(Atletas!U369="Taijijian Wu-Hao D",923,IF(OR(Atletas!U369="Taijijian 32 D",Atletas!U369="Taijijian 42 D"),924,IF(OR(Atletas!U369="Taijijian Yang E",Atletas!U369="Taijijian Yang Standard E"),925,IF(OR(Atletas!U369="Taijijian Chen E", Atletas!U369="Taijijian Chen Standard E"),926,IF(Atletas!U369="Taijijian Sun E",927,IF(Atletas!U369="Taijijian Wu E",928,IF(Atletas!U369="Taijijian Wu-Hao E",929,IF(OR(Atletas!U369="Taijijian 32 E",Atletas!U369="Taijijian 42 E"),930,IF(OR(Atletas!U369="Taijijian Yang F",Atletas!U369="Taijijian Yang Standard F"),931,IF(OR(Atletas!U369="Taijijian Chen F", Atletas!U369="Taijijian Chen Standard F"),932,IF(Atletas!U369="Taijijian Sun F",933,IF(Atletas!U369="Taijijian Wu F",934,IF(Atletas!U369="Taijijian Wu-Hao F",935,IF(OR(Atletas!U369="Taijijian 32 F",Atletas!U369="Taijijian 42 F"),936,"")))))))))))))))))))))))))))))))))))))</f>
        <v/>
      </c>
      <c r="CD378" s="50" t="str">
        <f>IF(Atletas!V369="","",IF(Atletas!X369&lt;&gt;"",10000,0)+IF(Atletas!B369="Feminino",1000,IF(Atletas!B369="Masculino",2000,""))+IF(Atletas!V369="Taijidao A",937,IF(Atletas!V369="TaijiShanzi A",938,IF(Atletas!V369="Taijiqiang A",939,IF(Atletas!V369="Bagua de Arma A",940,IF(Atletas!V369="Xingyi de Arma A",941,IF(Atletas!V369="Taijidao B",942,IF(Atletas!V369="TaijiShanzi B",943,IF(Atletas!V369="Taijiqiang B",944,IF(Atletas!V369="Bagua de Arma B",945,IF(Atletas!V369="Xingyi de Arma B",946,IF(Atletas!V369="Taijidao C",947,IF(Atletas!V369="TaijiShanzi C",948,IF(Atletas!V369="Taijiqiang C",949,IF(Atletas!V369="Bagua de Arma C",950,IF(Atletas!V369="Xingyi de Arma C",951,IF(Atletas!V369="Taijidao D",952,IF(Atletas!V369="TaijiShanzi D",953,IF(Atletas!V369="Taijiqiang D",954,IF(Atletas!V369="Bagua de Arma D",955,IF(Atletas!V369="Xingyi de Arma D",956,IF(Atletas!V369="Taijidao E",957,IF(Atletas!V369="TaijiShanzi E",958,IF(Atletas!V369="Taijiqiang E",959,IF(Atletas!V369="Bagua de Arma E",960,IF(Atletas!V369="Xingyi de Arma E",961,IF(Atletas!V369="Taijidao F",962,IF(Atletas!V369="TaijiShanzi F",963,IF(Atletas!V369="Taijiqiang F",964,IF(Atletas!V369="Bagua de Arma F",965,IF(Atletas!V369="Xingyi de Arma F",966,"")))))))))))))))))))))))))))))))</f>
        <v/>
      </c>
      <c r="CE378" s="66"/>
      <c r="CF378" s="66"/>
      <c r="CG378" s="66"/>
      <c r="CH378" s="66"/>
      <c r="CJ378" s="66"/>
      <c r="CL378" s="66"/>
      <c r="CM378" s="50" t="str">
        <f xml:space="preserve"> IF(Atletas!W369="","",IF(Atletas!W369="Duilian de Mãos BC - Equipe 1",1,IF(Atletas!W369="Duilian de Mãos BC - Equipe 2",2,IF(Atletas!W369="Duilian de Armas BC - Equipe 1",3,IF(Atletas!W369="Duilian de Armas BC - Equipe 2",4,IF(Atletas!W369="Duilian de Mãos DE - Equipe 1",5,IF(Atletas!W369="Duilian de Mãos DE - Equipe 2",6,IF(Atletas!W369="Duilian de Armas DE - Equipe 1",7,IF(Atletas!W369="Duilian de Armas DE - Equipe 2",8,IF(Atletas!W369="Duilian de Tuishou - Equipe 1",9,IF(Atletas!W369="Duilian de Tuishou - Equipe 2",10,IF(Atletas!W369="Grupo Externo ABC - Equipe 1",11,IF(Atletas!W369="Grupo Externo ABC - Equipe 2",12,IF(Atletas!W369="Grupo Interno ABC - Equipe 1",13,IF(Atletas!W369="Grupo Interno ABC - Equipe 2",14,IF(Atletas!W369="Grupo Externo DEF - Equipe 1",15,IF(Atletas!W369="Grupo Externo DEF - Equipe 2",16,IF(Atletas!W369="Grupo Interno DEF - Equipe 1",17,IF(Atletas!W369="Grupo Interno DEF - Equipe 2",18,"")))))))))))))))))))</f>
        <v/>
      </c>
    </row>
    <row r="379" spans="40:91">
      <c r="AN379" s="52" t="str">
        <f>IF(Atletas!D370="","",IF(Atletas!B370="Feminino",100,IF(Atletas!B370="Masculino",200,""))+(IF(Atletas!D370="Kids 30kg",1,IF(Atletas!D370="Kids 32kg",2, IF(Atletas!D370="Kids 34kg",3,IF(Atletas!D370="Kids 36kg",4,IF(Atletas!D370="Kids 39kg",5,IF(Atletas!D370="Kids 42kg",6,IF(Atletas!D370="Kids 45kg",7, IF(Atletas!D370="Infantil 39kg",8,IF(Atletas!D370="Infantil 42kg",9,IF(Atletas!D370="Infantil 45kg",10,IF(Atletas!D370="Infantil 48kg",11,IF(Atletas!D370="Infantil 52kg",12,IF(Atletas!D370="Infantil 56kg",13,IF(Atletas!D370="Infantil 60kg",14,IF(Atletas!D370="Juvenil 48kg",15,IF(Atletas!D370="Juvenil 52kg",16,IF(Atletas!D370="Juvenil 56kg",17,IF(Atletas!D370="Juvenil 60kg",18,IF(Atletas!D370="Juvenil 65kg",19,IF(Atletas!D370="Juvenil 70kg",20,IF(Atletas!D370="Juvenil 75kg",21,IF(Atletas!D370="Juvenil 80kg",22, IF(Atletas!D370="Juvenil 85kg",23,IF(Atletas!D370="Adulto 48kg",24,IF(Atletas!D370="Adulto 52kg",25,IF(Atletas!D370="Adulto 56kg",26,IF(Atletas!D370="Adulto 60kg",27,IF(Atletas!D370="Adulto 65kg",28,IF(Atletas!D370="Adulto 70kg",29,IF(Atletas!D370="Adulto 75kg",30,IF(Atletas!D370="Adulto 80kg",31,IF(Atletas!D370="Adulto 85kg",32,IF(Atletas!D370="Adulto 90kg",33,IF(Atletas!D370="Adulto 100kg",34, IF(Atletas!D370="Adulto +100kg",35,"")))))))))))))))))))))))))))))))))))))</f>
        <v/>
      </c>
      <c r="AS379" s="6" t="str">
        <f>IF(Atletas!E370="","",IF(Atletas!B370="Feminino",100,IF(Atletas!B370="Masculino",200,""))+(IF(Atletas!E370="Juvenil 44kg",1,IF(Atletas!E370="Juvenil 48kg",2,IF(Atletas!E370="Juvenil 52kg",3,IF(Atletas!E370="Juvenil 56kg",4,IF(Atletas!E370="Juvenil 60kg",5,IF(Atletas!E370="Juvenil 65kg",6,IF(Atletas!E370="Juvenil 70kg",7,IF(Atletas!E370="Juvenil 75kg",8,IF(Atletas!E370="Juvenil 82kg",9,IF(Atletas!E370="Juvenil 90kg",10,IF(Atletas!E370="Juvenil 100kg",11,IF(Atletas!E370="Adulto 48kg",12,IF(Atletas!E370="Adulto 52kg",13,IF(Atletas!E370="Adulto 56kg",14,IF(Atletas!E370="Adulto 60kg",15,IF(Atletas!E370="Adulto 65kg",16,IF(Atletas!E370="Adulto 70kg",17,IF(Atletas!E370="Adulto 75kg",18,IF(Atletas!E370="Adulto 82kg",19,IF(Atletas!E370="Adulto 90kg",20,IF(Atletas!E370="Adulto 100kg",21,IF(Atletas!E370="Adulto +100kg",22,""))))))))))))))))))))))))</f>
        <v/>
      </c>
      <c r="AX379" s="6" t="str">
        <f>IF(Atletas!F370="","",IF(Atletas!B370="Feminino",100,IF(Atletas!B370="Masculino",200,""))+(IF(Atletas!F370="Adulto 48kg",1,IF(Atletas!F370="Adulto 56kg",2,IF(Atletas!F370="Adulto 65kg",3,IF(Atletas!F370="Adulto 75kg",4,IF(Atletas!F370="Adulto +75kg",5,IF(Atletas!F370="Adulto 52kg",6,IF(Atletas!F370="Adulto 60kg",7,IF(Atletas!F370="Adulto 70kg",8,IF(Atletas!F370="Adulto 80kg",9,IF(Atletas!F370="Adulto 90kg",10,IF(Atletas!F370="Adulto +90kg",11,"")))))))))))))</f>
        <v/>
      </c>
      <c r="BC379" s="6" t="str">
        <f>IF(Atletas!G370="","",IF(Atletas!B370="Feminino",10,IF(Atletas!B370="Masculino",20,""))+(IF(Atletas!G370="Baduanjin A",1,IF(Atletas!G370="Baduanjin B",2))))</f>
        <v/>
      </c>
      <c r="BF379" s="52" t="str">
        <f>IF(Atletas!H370="","",IF(Atletas!B370="Feminino",100,IF(Atletas!B370="Masculino",200,""))+(IF(Atletas!H370="Changquan Mirim",1,IF(Atletas!H370="Nanquan Mirim",2,IF(Atletas!H370="Taijiquan Mirim",3,IF(Atletas!H370="Changquan Grupo C",4,IF(Atletas!H370="Nanquan Grupo C",5,IF(Atletas!H370="Taijiquan Grupo C",6,IF(Atletas!H370="Changquan Grupo B",7,IF(Atletas!H370="Nanquan Grupo B",8,IF(Atletas!H370="Taijiquan Grupo B",9,IF(Atletas!H370="Changquan Grupo A",10,IF(Atletas!H370="Nanquan Grupo A",11,IF(Atletas!H370="Taijiquan Grupo A",12,IF(Atletas!H370="Changquan Opcional",13,IF(Atletas!H370="Nanquan Opcional",14,IF(Atletas!H370="Taijiquan Opcional",15,IF(Atletas!H370="Changquan Adulto",16,IF(Atletas!H370="Nanquan Adulto",17,IF(Atletas!H370="Taijiquan Adulto",18,""))))))))))))))))))))</f>
        <v/>
      </c>
      <c r="BG379" s="52" t="str">
        <f>IF(Atletas!I370="","",IF(Atletas!B370="Feminino",100,IF(Atletas!B370="Masculino",200,""))+(IF(Atletas!I370="Daoshu Mirim",19,IF(Atletas!I370="Jianshu Mirim",20,IF(Atletas!I370="Nandao Mirim",21,IF(Atletas!I370="Taijijian Mirim",22,IF(Atletas!I370="Daoshu Grupo C",23,IF(Atletas!I370="Jianshu Grupo C",24,IF(Atletas!I370="Nandao Grupo C",25,IF(Atletas!I370="Taijijian Grupo C",26,IF(Atletas!I370="Daoshu Grupo B",27,IF(Atletas!I370="Jianshu Grupo B",28,IF(Atletas!I370="Nandao Grupo B",29,IF(Atletas!I370="Taijijian Grupo B",30,IF(Atletas!I370="Daoshu Grupo A",31,IF(Atletas!I370="Jianshu Grupo A",32,IF(Atletas!I370="Nandao Grupo A",33,IF(Atletas!I370="Taijijian Grupo A",34,IF(Atletas!I370="Daoshu Opcional",35,IF(Atletas!I370="Jianshu Opcional",36,IF(Atletas!I370="Nandao Opcional",37,IF(Atletas!I370="Taijijian Opcional",38,IF(Atletas!I370="Daoshu Adulto",39,IF(Atletas!I370="Jianshu Adulto",40,IF(Atletas!I370="Nandao Adulto",41,IF(Atletas!I370="Taijijian Adulto",42,""))))))))))))))))))))))))))</f>
        <v/>
      </c>
      <c r="BH379" s="52" t="str">
        <f>IF(Atletas!J370="","",IF(Atletas!B370="Feminino",100,IF(Atletas!B370="Masculino",200,""))+(IF(Atletas!J370="Gunshu Mirim",43,IF(Atletas!J370="Qiangshu Mirim",44,IF(Atletas!J370="Nangun Mirim",45,IF(Atletas!J370="Gunshu Grupo C",46,IF(Atletas!J370="Qiangshu Grupo C",47,IF(Atletas!J370="Nangun Grupo C",48,IF(Atletas!J370="Gunshu Grupo B",49,IF(Atletas!J370="Qiangshu Grupo B",50,IF(Atletas!J370="Nangun Grupo B",51,IF(Atletas!J370="Gunshu Grupo A",52,IF(Atletas!J370="Qiangshu Grupo A",53,IF(Atletas!J370="Nangun Grupo A",54,IF(Atletas!J370="Gunshu Opcional",55,IF(Atletas!J370="Qiangshu Opcional",56,IF(Atletas!J370="Nangun Opcional",57,IF(Atletas!J370="Gunshu Adulto",58,IF(Atletas!J370="Qiangshu Adulto",59,IF(Atletas!J370="Nangun Adulto",60,IF(Atletas!J370="Taijishan Grupo B",61,IF(Atletas!J370="Taijishan Grupo A",62,""))))))))))))))))))))))</f>
        <v/>
      </c>
      <c r="BM379" s="50" t="str">
        <f>IF(Atletas!K370="","",IF(Atletas!B370="Feminino",100,IF(Atletas!B370="Masculino",200,""))+(IF(Atletas!K370="Equipe 1 Grupo B",1,IF(Atletas!K370="Equipe 2 Grupo B",2,IF(Atletas!K370="Equipe 1 Grupo A",3,IF(Atletas!K370="Equipe 2 Grupo A",4,IF(Atletas!K370="Equipe 1 Adulto",5,IF(Atletas!K370="Equipe 2 Adulto",6,""))))))))</f>
        <v/>
      </c>
      <c r="BR379" s="50" t="str">
        <f>IF(Atletas!L370="","",IF(Atletas!X370&lt;&gt;"",10000,0)+(IF(Atletas!B370="Feminino",1000,IF(Atletas!B370="Masculino",2000,""))+IF(Atletas!L370="Choylayfut A",1,IF(Atletas!L370="Hunggar A",2,IF(Atletas!L370="Wuzuquan A",3,IF(Atletas!L370="Wingchun A",4,IF(Atletas!L370="Outra Mão de Sul A",5,IF(Atletas!L370="Choylayfut B",6,IF(Atletas!L370="Hunggar B",7,IF(Atletas!L370="Wuzuquan B",8,IF(Atletas!L370="Wingchun B",9,IF(Atletas!L370="Outra Mão de Sul B",10,IF(Atletas!L370="Choylayfut C",11,IF(Atletas!L370="Hunggar C",12,IF(Atletas!L370="Wuzuquan C",13,IF(Atletas!L370="Wingchun C",14,IF(Atletas!L370="Outra Mão de Sul C",15,IF(Atletas!L370="Choylayfut D",16,IF(Atletas!L370="Hunggar D",17,IF(Atletas!L370="Wuzuquan D",18,IF(Atletas!L370="Wingchun D",19,IF(Atletas!L370="Outra Mão de Sul D",20,IF(Atletas!L370="Choylayfut E",21,IF(Atletas!L370="Hunggar E",22,IF(Atletas!L370="Wuzuquan E",23,IF(Atletas!L370="Wingchun E",24,IF(Atletas!L370="Outra Mão de Sul E",25,IF(Atletas!L370="Choylayfut F",26,IF(Atletas!L370="Hunggar F",27,IF(Atletas!L370="Wuzuquan F",28,IF(Atletas!L370="Wingchun F",29,IF(Atletas!L370="Outra Mão de Sul F",30,IF(Atletas!L370="Dishuquan A",31,IF(Atletas!L370="Dishuquan B",32,IF(Atletas!L370="Dishuquan C",33,IF(Atletas!L370="Dishuquan D",34,IF(Atletas!L370="Dishuquan E",35,IF(Atletas!L370="Dishuquan F",36,""))))))))))))))))))))))))))))))))))))))</f>
        <v/>
      </c>
      <c r="BS379" s="50" t="str">
        <f>IF(Atletas!M370="","",IF(Atletas!X370&lt;&gt;"",10000,0)+(IF(Atletas!B370="Feminino",1000,IF(Atletas!B370="Masculino",2000,""))+(IF(Atletas!M370="Chaquan A",101,IF(Atletas!M370="Emeiquan A",102,IF(Atletas!M370="Fanziquan A",103,IF(Atletas!M370="Huaquan A",104,IF(Atletas!M370="Hongquan A",105,IF(Atletas!M370="Paoquan A",106,IF(Atletas!M370="Piguaquan A",107,IF(Atletas!M370="Shaolinquan A",108,IF(Atletas!M370="Tanglangquan A",109,IF(Atletas!M370="Yingzhaoquan A",110,IF(Atletas!M370="Tongbeiquan A",111,IF(Atletas!M370="Wudangquan A",112,IF(Atletas!M370="Outros Estilos A",113,IF(Atletas!M370="Chaquan B",114,IF(Atletas!M370="Emeiquan B",115,IF(Atletas!M370="Fanziquan B",116,IF(Atletas!M370="Huaquan B",117,IF(Atletas!M370="Hongquan B",118,IF(Atletas!M370="Paoquan B",119,IF(Atletas!M370="Piguaquan B",120,IF(Atletas!M370="Shaolinquan B",121,IF(Atletas!M370="Tanglangquan B",122,IF(Atletas!M370="Yingzhaoquan B",123,IF(Atletas!M370="Tongbeiquan B",124,IF(Atletas!M370="Wudangquan B",125,IF(Atletas!M370="Outros Estilos B",126,IF(Atletas!M370="Chaquan C",127,IF(Atletas!M370="Emeiquan C",128,IF(Atletas!M370="Fanziquan C",129,IF(Atletas!M370="Huaquan C",130,IF(Atletas!M370="Hongquan C",131,IF(Atletas!M370="Paoquan C",132,IF(Atletas!M370="Piguaquan C",133,IF(Atletas!M370="Shaolinquan C",134,IF(Atletas!M370="Tanglangquan C",135,IF(Atletas!M370="Yingzhaoquan C",136,IF(Atletas!M370="Tongbeiquan C",137,IF(Atletas!M370="Wudangquan C",138,IF(Atletas!M370="Outros Estilos C",139,0))))))))))))))))))))))))))))))))))))))))))</f>
        <v/>
      </c>
      <c r="BT379" s="50" t="str">
        <f>IF(Atletas!M370="","",IF(Atletas!X370&lt;&gt;"",10000,0)+(IF(Atletas!B370="Feminino",1000,IF(Atletas!B370="Masculino",2000,""))+(IF(Atletas!M370="Chaquan D",140,IF(Atletas!M370="Emeiquan D",141,IF(Atletas!M370="Fanziquan D",142,IF(Atletas!M370="Huaquan D",143,IF(Atletas!M370="Hongquan D",144,IF(Atletas!M370="Paoquan D",145,IF(Atletas!M370="Piguaquan D",146,IF(Atletas!M370="Shaolinquan D",147,IF(Atletas!M370="Tanglangquan D",148,IF(Atletas!M370="Yingzhaoquan D",149,IF(Atletas!M370="Tongbeiquan D",150,IF(Atletas!M370="Wudangquan D",151,IF(Atletas!M370="Outros Estilos D",152,IF(Atletas!M370="Chaquan E",153,IF(Atletas!M370="Emeiquan E",154,IF(Atletas!M370="Fanziquan E",155,IF(Atletas!M370="Huaquan E",156,IF(Atletas!M370="Hongquan E",157,IF(Atletas!M370="Paoquan E",158,IF(Atletas!M370="Piguaquan E",159,IF(Atletas!M370="Shaolinquan E",160,IF(Atletas!M370="Tanglangquan E",161,IF(Atletas!M370="Yingzhaoquan E",162,IF(Atletas!M370="Tongbeiquan E",163,IF(Atletas!M370="Wudangquan E",164,IF(Atletas!M370="Outros Estilos E",165,IF(Atletas!M370="Chaquan F",166,IF(Atletas!M370="Emeiquan F",167,IF(Atletas!M370="Fanziquan F",168,IF(Atletas!M370="Huaquan F",169,IF(Atletas!M370="Hongquan F",170,IF(Atletas!M370="Paoquan F",171,IF(Atletas!M370="Piguaquan F",172,IF(Atletas!M370="Shaolinquan F",173,IF(Atletas!M370="Tanglangquan F",174,IF(Atletas!M370="Yingzhaoquan F",175,IF(Atletas!M370="Tongbeiquan F",176,IF(Atletas!M370="Wudangquan F",177,IF(Atletas!M370="Outros Estilos F",178,0))))))))))))))))))))))))))))))))))))))))))</f>
        <v/>
      </c>
      <c r="BU379" s="50" t="str">
        <f>IF(Atletas!N370="","",IF(Atletas!X370&lt;&gt;"",10000,0)+(IF(Atletas!B370="Feminino",1000,IF(Atletas!B370="Masculino",2000,""))+(IF(Atletas!N370="Ditangquan A",201,IF(Atletas!N370="Houquan A",202,IF(Atletas!N370="Zuiquan A",203,IF(Atletas!N370="Ditangquan B",204,IF(Atletas!N370="Houquan B",205,IF(Atletas!N370="Zuiquan B",206,IF(Atletas!N370="Ditangquan C",207,IF(Atletas!N370="Houquan C",208,IF(Atletas!N370="Zuiquan C",209,IF(Atletas!N370="Ditangquan D",210,IF(Atletas!N370="Houquan D",211,IF(Atletas!N370="Zuiquan D",212,IF(Atletas!N370="Ditangquan E",213,IF(Atletas!N370="Houquan E",214,IF(Atletas!N370="Zuiquan E",215,IF(Atletas!N370="Ditangquan F",216,IF(Atletas!N370="Houquan F",217,IF(Atletas!N370="Zuiquan F",218,"")))))))))))))))))))))</f>
        <v/>
      </c>
      <c r="BV379" s="50" t="str">
        <f>IF(Atletas!O370="","",IF(Atletas!X370&lt;&gt;"",10000,0)+IF(Atletas!B370="Feminino",1000,IF(Atletas!B370="Masculino",2000,""))+IF(Atletas!O370="Yang A",301,IF(Atletas!O370="Chen A",302,IF(Atletas!O370="Sun A",303,IF(Atletas!O370="Wu A",304,IF(Atletas!O370="Wu-Hao A",305,IF(Atletas!O370="Outro Taijiquan A",306,IF(Atletas!O370="Yang B",307,IF(Atletas!O370="Chen B",308,IF(Atletas!O370="Sun B",309,IF(Atletas!O370="Wu B",310,IF(Atletas!O370="Wu-Hao B",311,IF(Atletas!O370="Outro Taijiquan B",312,IF(Atletas!O370="Yang C",313,IF(Atletas!O370="Chen C",314,IF(Atletas!O370="Sun C",315,IF(Atletas!O370="Wu C",316,IF(Atletas!O370="Wu-Hao C",317,IF(Atletas!O370="Outro Taijiquan C",318,IF(Atletas!O370="Yang D",319,IF(Atletas!O370="Chen D",320,IF(Atletas!O370="Sun D",321,IF(Atletas!O370="Wu D",322,IF(Atletas!O370="Wu-Hao D",323,IF(Atletas!O370="Outro Taijiquan D",324,IF(Atletas!O370="Yang E",325,IF(Atletas!O370="Chen E",326,IF(Atletas!O370="Sun E",327,IF(Atletas!O370="Wu E",328,IF(Atletas!O370="Wu-Hao E",329,IF(Atletas!O370="Outro Taijiquan E",330,IF(Atletas!O370="Yang F",331,IF(Atletas!O370="Chen F",332,IF(Atletas!O370="Sun F",333,IF(Atletas!O370="Wu F",334,IF(Atletas!O370="Wu-Hao F",335,IF(Atletas!O370="Outro Taijiquan F",336,"")))))))))))))))))))))))))))))))))))))</f>
        <v/>
      </c>
      <c r="BW379" s="50" t="str">
        <f>IF(Atletas!P370="","",IF(Atletas!X370&lt;&gt;"",10000,0)+IF(Atletas!B370="Feminino",1000,IF(Atletas!B370="Masculino",2000,""))+IF(OR(Atletas!P370="Yang 26 A",Atletas!P370="Yang 40 A"),401,IF(OR(Atletas!P370="Chen 25 A",Atletas!P370="Chen 36 A",Atletas!P370="Chen 56 A"),402,IF(Atletas!P370="Sun 73 A",403,IF(Atletas!P370="Wu 45 A",404,IF(Atletas!P370="Wu-Hao 46 A",405,IF(OR(Atletas!P370="Taijiquan 16 A",Atletas!P370="Taijiquan 24 A",Atletas!P370="Taijiquan 32 A",Atletas!P370="Taijiquan 42 A"),406,IF(OR(Atletas!P370="Yang 26 B",Atletas!P370="Yang 40 B"),407,IF(OR(Atletas!P370="Chen 25 B",Atletas!P370="Chen 36 B",Atletas!P370="Chen 56 B"),408,IF(Atletas!P370="Sun 73 B",409,IF(Atletas!P370="Wu 45 B",410,IF(Atletas!P370="Wu-Hao 46 B",411,IF(OR(Atletas!P370="Taijiquan 16 B",Atletas!P370="Taijiquan 24 B",Atletas!P370="Taijiquan 32 B",Atletas!P370="Taijiquan 42 B"),412,IF(OR(Atletas!P370="Yang 26 C",Atletas!P370="Yang 40 C"),413,IF(OR(Atletas!P370="Chen 25 C",Atletas!P370="Chen 36 C",Atletas!P370="Chen 56 C"),414,IF(Atletas!P370="Sun 73 C",415,IF(Atletas!P370="Wu 45 C",416,IF(Atletas!P370="Wu-Hao 46 C",417,IF(OR(Atletas!P370="Taijiquan 16 C",Atletas!P370="Taijiquan 24 C",Atletas!P370="Taijiquan 32 C",Atletas!P370="Taijiquan 42 C"),418,0)))))))))))))))))))</f>
        <v/>
      </c>
      <c r="BX379" s="50" t="str">
        <f>IF(Atletas!P370="","",IF(Atletas!X370&lt;&gt;"",10000,0)+IF(Atletas!B370="Feminino",1000,IF(Atletas!B370="Masculino",2000,""))+IF(OR(Atletas!P370="Yang 26 D",Atletas!P370="Yang 40 D"),419,IF(OR(Atletas!P370="Chen 25 D",Atletas!P370="Chen 36 D",Atletas!P370="Chen 56 D"),420,IF(Atletas!P370="Sun 73 D",421,IF(Atletas!P370="Wu 45 D",422,IF(Atletas!P370="Wu-Hao 46 D",423,IF(OR(Atletas!P370="Taijiquan 16 D",Atletas!P370="Taijiquan 24 D",Atletas!P370="Taijiquan 32 D",Atletas!P370="Taijiquan 42 D"),424,IF(OR(Atletas!P370="Yang 26 E",Atletas!P370="Yang 40 E"),425,IF(OR(Atletas!P370="Chen 25 E",Atletas!P370="Chen 36 E",Atletas!P370="Chen 56 E"),426,IF(Atletas!P370="Sun 73 E",427,IF(Atletas!P370="Wu 45 E",428,IF(Atletas!P370="Wu-Hao 46 E",429,IF(OR(Atletas!P370="Taijiquan 16 E",Atletas!P370="Taijiquan 24 E",Atletas!P370="Taijiquan 32 E",Atletas!P370="Taijiquan 42 E"),430,IF(OR(Atletas!P370="Yang 26 F",Atletas!P370="Yang 40 F"),431,IF(OR(Atletas!P370="Chen 25 F",Atletas!P370="Chen 36 F",Atletas!P370="Chen 56 F"),432,IF(Atletas!P370="Sun 73 F",433,IF(Atletas!P370="Wu 45 F",434,IF(Atletas!P370="Wu-Hao 46 F",435,IF(OR(Atletas!P370="Taijiquan 16 F",Atletas!P370="Taijiquan 24 F",Atletas!P370="Taijiquan 32 F",Atletas!P370="Taijiquan 42 F"),436,0)))))))))))))))))))</f>
        <v/>
      </c>
      <c r="BY379" s="50" t="str">
        <f>IF(Atletas!Q370="","",IF(Atletas!X370&lt;&gt;"",10000,0)+IF(Atletas!B370="Feminino",1000,IF(Atletas!B370="Masculino",2000,""))+IF(Atletas!Q370="Xingyiquan A",501,IF(Atletas!Q370="Baguazhang A",502,IF(Atletas!Q370="Outro Estilo Interno A",503,IF(Atletas!Q370="Xingyiquan B",504,IF(Atletas!Q370="Baguazhang B",505,IF(Atletas!Q370="Outro Estilo Interno B",506,IF(Atletas!Q370="Xingyiquan C",507,IF(Atletas!Q370="Baguazhang C",508,IF(Atletas!Q370="Outro Estilo Interno C",509,IF(Atletas!Q370="Xingyiquan D",510,IF(Atletas!Q370="Baguazhang D",511,IF(Atletas!Q370="Outro Estilo Interno D",512,IF(Atletas!Q370="Xingyiquan E",513,IF(Atletas!Q370="Baguazhang E",514,IF(Atletas!Q370="Outro Estilo Interno E",515,IF(Atletas!Q370="Xingyiquan F",516,IF(Atletas!Q370="Baguazhang F",517,IF(Atletas!Q370="Outro Estilo Interno F",518, "")))))))))))))))))))</f>
        <v/>
      </c>
      <c r="BZ379" s="50" t="str">
        <f>IF(Atletas!R370="","",IF(Atletas!X370&lt;&gt;"",10000,0)+IF(Atletas!B370="Feminino",1000,IF(Atletas!B370="Masculino",2000,""))+IF(Atletas!R370="Dao A",601,IF(Atletas!R370="Jian A",602,IF(Atletas!R370="Bishou A",603,IF(Atletas!R370="Shanzi A",604,IF(Atletas!R370="Outra Arma Curta A",605,IF(Atletas!R370="Dao B",606,IF(Atletas!R370="Jian B",607,IF(Atletas!R370="Bishou B",608,IF(Atletas!R370="Shanzi B",609,IF(Atletas!R370="Outra Arma Curta B",610,IF(Atletas!R370="Dao C",611,IF(Atletas!R370="Jian C",612,IF(Atletas!R370="Bishou C",613,IF(Atletas!R370="Shanzi C",614,IF(Atletas!R370="Outra Arma Curta C",615,IF(Atletas!R370="Dao D",616,IF(Atletas!R370="Jian D",617,IF(Atletas!R370="Bishou D",618,IF(Atletas!R370="Shanzi D",619,IF(Atletas!R370="Outra Arma Curta D",620,IF(Atletas!R370="Dao E",621,IF(Atletas!R370="Jian E",622,IF(Atletas!R370="Bishou E",623,IF(Atletas!R370="Shanzi E",624,IF(Atletas!R370="Outra Arma Curta E",625,IF(Atletas!R370="Dao F",626,IF(Atletas!R370="Jian F",627,IF(Atletas!R370="Bishou F",628,IF(Atletas!R370="Shanzi F",629,IF(Atletas!R370="Outra Arma Curta F",630, "")))))))))))))))))))))))))))))))</f>
        <v/>
      </c>
      <c r="CA379" s="50" t="str">
        <f>IF(Atletas!S370="","",IF(Atletas!X370&lt;&gt;"",10000,0)+IF(Atletas!B370="Feminino",1000,IF(Atletas!B370="Masculino",2000,""))+IF(Atletas!S370="Gun A",701,IF(Atletas!S370="Qiang A",702,IF(Atletas!S370="Pudao / Guandao A",703,IF(Atletas!S370="Outra Arma Longa A",704,IF(Atletas!S370="Gun B",705,IF(Atletas!S370="Qiang B",706,IF(Atletas!S370="Pudao / Guandao B",707,IF(Atletas!S370="Outra Arma Longa B",708,IF(Atletas!S370="Gun C",709,IF(Atletas!S370="Qiang C",710,IF(Atletas!S370="Pudao / Guandao C",711,IF(Atletas!S370="Outra Arma Longa C",712,IF(Atletas!S370="Gun D",713,IF(Atletas!S370="Qiang D",714,IF(Atletas!S370="Pudao / Guandao D",715,IF(Atletas!S370="Outra Arma Longa D",716,IF(Atletas!S370="Gun E",717,IF(Atletas!S370="Qiang E",718,IF(Atletas!S370="Pudao / Guandao E",719,IF(Atletas!S370="Outra Arma Longa E",720,IF(Atletas!S370="Gun F",721,IF(Atletas!S370="Qiang F",722,IF(Atletas!S370="Pudao / Guandao F",723,IF(Atletas!S370="Outra Arma Longa F",724,"")))))))))))))))))))))))))</f>
        <v/>
      </c>
      <c r="CB379" s="50" t="str">
        <f>IF(Atletas!T370="","",IF(Atletas!X370&lt;&gt;"",10000,0)+IF(Atletas!B370="Feminino",1000,IF(Atletas!B370="Masculino",2000,""))+IF(Atletas!T370="Outra Arma Dupla A",801,IF(Atletas!T370="Arma Maleável A",802,IF(Atletas!T370="Outra Arma Dupla B",803,IF(Atletas!T370="Arma Maleável B",804,IF(Atletas!T370="Outra Arma Dupla C",805,IF(Atletas!T370="Arma Maleável C",806,IF(Atletas!T370="Outra Arma Dupla D",807,IF(Atletas!T370="Arma Maleável D",808,IF(Atletas!T370="Outra Arma Dupla E",809,IF(Atletas!T370="Arma Maleável E",810,IF(Atletas!T370="Outra Arma Dupla F",811,IF(Atletas!T370="Arma Maleável F",812,IF(Atletas!T370="Shuangdao A",813,IF(Atletas!T370="Shuangdao B",814,IF(Atletas!T370="Shuangdao C",815,IF(Atletas!T370="Shuangdao D",816,IF(Atletas!T370="Shuangdao E",817,IF(Atletas!T370="Shuangdao F",818,"")))))))))))))))))))</f>
        <v/>
      </c>
      <c r="CC379" s="50" t="str">
        <f>IF(Atletas!U370="","",IF(Atletas!X370&lt;&gt;"",10000,0)+IF(Atletas!B370="Feminino",1000,IF(Atletas!B370="Masculino",2000,""))+IF(OR(Atletas!U370="Taijijian Yang A",Atletas!U370="Taijijian Yang Standard A"),901,IF(OR(Atletas!U370="Taijijian Chen A", Atletas!U370="Taijijian Chen Standard A"),902,IF(Atletas!U370="Taijijian Sun A",903,IF(Atletas!U370="Taijijian Wu A",904,IF(Atletas!U370="Taijijian Wu-Hao A",905,IF(OR(Atletas!U370="Taijijian 32 A",Atletas!U370="Taijijian 42 A"),906,IF(OR(Atletas!U370="Taijijian Yang B",Atletas!U370="Taijijian Yang Standard B"),907,IF(OR(Atletas!U370="Taijijian Chen B", Atletas!U370="Taijijian Chen Standard B"),908,IF(Atletas!U370="Taijijian Sun B",909,IF(Atletas!U370="Taijijian Wu B",910,IF(Atletas!U370="Taijijian Wu-Hao B",911,IF(OR(Atletas!U370="Taijijian 32 B",Atletas!U370="Taijijian 42 B"),912,IF(OR(Atletas!U370="Taijijian Yang C",Atletas!U370="Taijijian Yang Standard C"),913,IF(OR(Atletas!U370="Taijijian Chen C", Atletas!U370="Taijijian Chen Standard C"),914,IF(Atletas!U370="Taijijian Sun C",915,IF(Atletas!U370="Taijijian Wu C",916,IF(Atletas!U370="Taijijian Wu-Hao C",917,IF(OR(Atletas!U370="Taijijian 32 C",Atletas!U370="Taijijian 42 C"),918,IF(OR(Atletas!U370="Taijijian Yang D",Atletas!U370="Taijijian Yang Standard D"),919,IF(OR(Atletas!U370="Taijijian Chen D", Atletas!U370="Taijijian Chen Standard D"),920,IF(Atletas!U370="Taijijian Sun D",921,IF(Atletas!U370="Taijijian Wu D",922,IF(Atletas!U370="Taijijian Wu-Hao D",923,IF(OR(Atletas!U370="Taijijian 32 D",Atletas!U370="Taijijian 42 D"),924,IF(OR(Atletas!U370="Taijijian Yang E",Atletas!U370="Taijijian Yang Standard E"),925,IF(OR(Atletas!U370="Taijijian Chen E", Atletas!U370="Taijijian Chen Standard E"),926,IF(Atletas!U370="Taijijian Sun E",927,IF(Atletas!U370="Taijijian Wu E",928,IF(Atletas!U370="Taijijian Wu-Hao E",929,IF(OR(Atletas!U370="Taijijian 32 E",Atletas!U370="Taijijian 42 E"),930,IF(OR(Atletas!U370="Taijijian Yang F",Atletas!U370="Taijijian Yang Standard F"),931,IF(OR(Atletas!U370="Taijijian Chen F", Atletas!U370="Taijijian Chen Standard F"),932,IF(Atletas!U370="Taijijian Sun F",933,IF(Atletas!U370="Taijijian Wu F",934,IF(Atletas!U370="Taijijian Wu-Hao F",935,IF(OR(Atletas!U370="Taijijian 32 F",Atletas!U370="Taijijian 42 F"),936,"")))))))))))))))))))))))))))))))))))))</f>
        <v/>
      </c>
      <c r="CD379" s="50" t="str">
        <f>IF(Atletas!V370="","",IF(Atletas!X370&lt;&gt;"",10000,0)+IF(Atletas!B370="Feminino",1000,IF(Atletas!B370="Masculino",2000,""))+IF(Atletas!V370="Taijidao A",937,IF(Atletas!V370="TaijiShanzi A",938,IF(Atletas!V370="Taijiqiang A",939,IF(Atletas!V370="Bagua de Arma A",940,IF(Atletas!V370="Xingyi de Arma A",941,IF(Atletas!V370="Taijidao B",942,IF(Atletas!V370="TaijiShanzi B",943,IF(Atletas!V370="Taijiqiang B",944,IF(Atletas!V370="Bagua de Arma B",945,IF(Atletas!V370="Xingyi de Arma B",946,IF(Atletas!V370="Taijidao C",947,IF(Atletas!V370="TaijiShanzi C",948,IF(Atletas!V370="Taijiqiang C",949,IF(Atletas!V370="Bagua de Arma C",950,IF(Atletas!V370="Xingyi de Arma C",951,IF(Atletas!V370="Taijidao D",952,IF(Atletas!V370="TaijiShanzi D",953,IF(Atletas!V370="Taijiqiang D",954,IF(Atletas!V370="Bagua de Arma D",955,IF(Atletas!V370="Xingyi de Arma D",956,IF(Atletas!V370="Taijidao E",957,IF(Atletas!V370="TaijiShanzi E",958,IF(Atletas!V370="Taijiqiang E",959,IF(Atletas!V370="Bagua de Arma E",960,IF(Atletas!V370="Xingyi de Arma E",961,IF(Atletas!V370="Taijidao F",962,IF(Atletas!V370="TaijiShanzi F",963,IF(Atletas!V370="Taijiqiang F",964,IF(Atletas!V370="Bagua de Arma F",965,IF(Atletas!V370="Xingyi de Arma F",966,"")))))))))))))))))))))))))))))))</f>
        <v/>
      </c>
      <c r="CJ379" s="66"/>
      <c r="CL379" s="66"/>
      <c r="CM379" s="50" t="str">
        <f xml:space="preserve"> IF(Atletas!W370="","",IF(Atletas!W370="Duilian de Mãos BC - Equipe 1",1,IF(Atletas!W370="Duilian de Mãos BC - Equipe 2",2,IF(Atletas!W370="Duilian de Armas BC - Equipe 1",3,IF(Atletas!W370="Duilian de Armas BC - Equipe 2",4,IF(Atletas!W370="Duilian de Mãos DE - Equipe 1",5,IF(Atletas!W370="Duilian de Mãos DE - Equipe 2",6,IF(Atletas!W370="Duilian de Armas DE - Equipe 1",7,IF(Atletas!W370="Duilian de Armas DE - Equipe 2",8,IF(Atletas!W370="Duilian de Tuishou - Equipe 1",9,IF(Atletas!W370="Duilian de Tuishou - Equipe 2",10,IF(Atletas!W370="Grupo Externo ABC - Equipe 1",11,IF(Atletas!W370="Grupo Externo ABC - Equipe 2",12,IF(Atletas!W370="Grupo Interno ABC - Equipe 1",13,IF(Atletas!W370="Grupo Interno ABC - Equipe 2",14,IF(Atletas!W370="Grupo Externo DEF - Equipe 1",15,IF(Atletas!W370="Grupo Externo DEF - Equipe 2",16,IF(Atletas!W370="Grupo Interno DEF - Equipe 1",17,IF(Atletas!W370="Grupo Interno DEF - Equipe 2",18,"")))))))))))))))))))</f>
        <v/>
      </c>
    </row>
    <row r="380" spans="40:91">
      <c r="AN380" s="52" t="str">
        <f>IF(Atletas!D371="","",IF(Atletas!B371="Feminino",100,IF(Atletas!B371="Masculino",200,""))+(IF(Atletas!D371="Kids 30kg",1,IF(Atletas!D371="Kids 32kg",2, IF(Atletas!D371="Kids 34kg",3,IF(Atletas!D371="Kids 36kg",4,IF(Atletas!D371="Kids 39kg",5,IF(Atletas!D371="Kids 42kg",6,IF(Atletas!D371="Kids 45kg",7, IF(Atletas!D371="Infantil 39kg",8,IF(Atletas!D371="Infantil 42kg",9,IF(Atletas!D371="Infantil 45kg",10,IF(Atletas!D371="Infantil 48kg",11,IF(Atletas!D371="Infantil 52kg",12,IF(Atletas!D371="Infantil 56kg",13,IF(Atletas!D371="Infantil 60kg",14,IF(Atletas!D371="Juvenil 48kg",15,IF(Atletas!D371="Juvenil 52kg",16,IF(Atletas!D371="Juvenil 56kg",17,IF(Atletas!D371="Juvenil 60kg",18,IF(Atletas!D371="Juvenil 65kg",19,IF(Atletas!D371="Juvenil 70kg",20,IF(Atletas!D371="Juvenil 75kg",21,IF(Atletas!D371="Juvenil 80kg",22, IF(Atletas!D371="Juvenil 85kg",23,IF(Atletas!D371="Adulto 48kg",24,IF(Atletas!D371="Adulto 52kg",25,IF(Atletas!D371="Adulto 56kg",26,IF(Atletas!D371="Adulto 60kg",27,IF(Atletas!D371="Adulto 65kg",28,IF(Atletas!D371="Adulto 70kg",29,IF(Atletas!D371="Adulto 75kg",30,IF(Atletas!D371="Adulto 80kg",31,IF(Atletas!D371="Adulto 85kg",32,IF(Atletas!D371="Adulto 90kg",33,IF(Atletas!D371="Adulto 100kg",34, IF(Atletas!D371="Adulto +100kg",35,"")))))))))))))))))))))))))))))))))))))</f>
        <v/>
      </c>
      <c r="AS380" s="6" t="str">
        <f>IF(Atletas!E371="","",IF(Atletas!B371="Feminino",100,IF(Atletas!B371="Masculino",200,""))+(IF(Atletas!E371="Juvenil 44kg",1,IF(Atletas!E371="Juvenil 48kg",2,IF(Atletas!E371="Juvenil 52kg",3,IF(Atletas!E371="Juvenil 56kg",4,IF(Atletas!E371="Juvenil 60kg",5,IF(Atletas!E371="Juvenil 65kg",6,IF(Atletas!E371="Juvenil 70kg",7,IF(Atletas!E371="Juvenil 75kg",8,IF(Atletas!E371="Juvenil 82kg",9,IF(Atletas!E371="Juvenil 90kg",10,IF(Atletas!E371="Juvenil 100kg",11,IF(Atletas!E371="Adulto 48kg",12,IF(Atletas!E371="Adulto 52kg",13,IF(Atletas!E371="Adulto 56kg",14,IF(Atletas!E371="Adulto 60kg",15,IF(Atletas!E371="Adulto 65kg",16,IF(Atletas!E371="Adulto 70kg",17,IF(Atletas!E371="Adulto 75kg",18,IF(Atletas!E371="Adulto 82kg",19,IF(Atletas!E371="Adulto 90kg",20,IF(Atletas!E371="Adulto 100kg",21,IF(Atletas!E371="Adulto +100kg",22,""))))))))))))))))))))))))</f>
        <v/>
      </c>
      <c r="AX380" s="6" t="str">
        <f>IF(Atletas!F371="","",IF(Atletas!B371="Feminino",100,IF(Atletas!B371="Masculino",200,""))+(IF(Atletas!F371="Adulto 48kg",1,IF(Atletas!F371="Adulto 56kg",2,IF(Atletas!F371="Adulto 65kg",3,IF(Atletas!F371="Adulto 75kg",4,IF(Atletas!F371="Adulto +75kg",5,IF(Atletas!F371="Adulto 52kg",6,IF(Atletas!F371="Adulto 60kg",7,IF(Atletas!F371="Adulto 70kg",8,IF(Atletas!F371="Adulto 80kg",9,IF(Atletas!F371="Adulto 90kg",10,IF(Atletas!F371="Adulto +90kg",11,"")))))))))))))</f>
        <v/>
      </c>
      <c r="BC380" s="6" t="str">
        <f>IF(Atletas!G371="","",IF(Atletas!B371="Feminino",10,IF(Atletas!B371="Masculino",20,""))+(IF(Atletas!G371="Baduanjin A",1,IF(Atletas!G371="Baduanjin B",2))))</f>
        <v/>
      </c>
      <c r="BF380" s="52" t="str">
        <f>IF(Atletas!H371="","",IF(Atletas!B371="Feminino",100,IF(Atletas!B371="Masculino",200,""))+(IF(Atletas!H371="Changquan Mirim",1,IF(Atletas!H371="Nanquan Mirim",2,IF(Atletas!H371="Taijiquan Mirim",3,IF(Atletas!H371="Changquan Grupo C",4,IF(Atletas!H371="Nanquan Grupo C",5,IF(Atletas!H371="Taijiquan Grupo C",6,IF(Atletas!H371="Changquan Grupo B",7,IF(Atletas!H371="Nanquan Grupo B",8,IF(Atletas!H371="Taijiquan Grupo B",9,IF(Atletas!H371="Changquan Grupo A",10,IF(Atletas!H371="Nanquan Grupo A",11,IF(Atletas!H371="Taijiquan Grupo A",12,IF(Atletas!H371="Changquan Opcional",13,IF(Atletas!H371="Nanquan Opcional",14,IF(Atletas!H371="Taijiquan Opcional",15,IF(Atletas!H371="Changquan Adulto",16,IF(Atletas!H371="Nanquan Adulto",17,IF(Atletas!H371="Taijiquan Adulto",18,""))))))))))))))))))))</f>
        <v/>
      </c>
      <c r="BG380" s="52" t="str">
        <f>IF(Atletas!I371="","",IF(Atletas!B371="Feminino",100,IF(Atletas!B371="Masculino",200,""))+(IF(Atletas!I371="Daoshu Mirim",19,IF(Atletas!I371="Jianshu Mirim",20,IF(Atletas!I371="Nandao Mirim",21,IF(Atletas!I371="Taijijian Mirim",22,IF(Atletas!I371="Daoshu Grupo C",23,IF(Atletas!I371="Jianshu Grupo C",24,IF(Atletas!I371="Nandao Grupo C",25,IF(Atletas!I371="Taijijian Grupo C",26,IF(Atletas!I371="Daoshu Grupo B",27,IF(Atletas!I371="Jianshu Grupo B",28,IF(Atletas!I371="Nandao Grupo B",29,IF(Atletas!I371="Taijijian Grupo B",30,IF(Atletas!I371="Daoshu Grupo A",31,IF(Atletas!I371="Jianshu Grupo A",32,IF(Atletas!I371="Nandao Grupo A",33,IF(Atletas!I371="Taijijian Grupo A",34,IF(Atletas!I371="Daoshu Opcional",35,IF(Atletas!I371="Jianshu Opcional",36,IF(Atletas!I371="Nandao Opcional",37,IF(Atletas!I371="Taijijian Opcional",38,IF(Atletas!I371="Daoshu Adulto",39,IF(Atletas!I371="Jianshu Adulto",40,IF(Atletas!I371="Nandao Adulto",41,IF(Atletas!I371="Taijijian Adulto",42,""))))))))))))))))))))))))))</f>
        <v/>
      </c>
      <c r="BH380" s="52" t="str">
        <f>IF(Atletas!J371="","",IF(Atletas!B371="Feminino",100,IF(Atletas!B371="Masculino",200,""))+(IF(Atletas!J371="Gunshu Mirim",43,IF(Atletas!J371="Qiangshu Mirim",44,IF(Atletas!J371="Nangun Mirim",45,IF(Atletas!J371="Gunshu Grupo C",46,IF(Atletas!J371="Qiangshu Grupo C",47,IF(Atletas!J371="Nangun Grupo C",48,IF(Atletas!J371="Gunshu Grupo B",49,IF(Atletas!J371="Qiangshu Grupo B",50,IF(Atletas!J371="Nangun Grupo B",51,IF(Atletas!J371="Gunshu Grupo A",52,IF(Atletas!J371="Qiangshu Grupo A",53,IF(Atletas!J371="Nangun Grupo A",54,IF(Atletas!J371="Gunshu Opcional",55,IF(Atletas!J371="Qiangshu Opcional",56,IF(Atletas!J371="Nangun Opcional",57,IF(Atletas!J371="Gunshu Adulto",58,IF(Atletas!J371="Qiangshu Adulto",59,IF(Atletas!J371="Nangun Adulto",60,IF(Atletas!J371="Taijishan Grupo B",61,IF(Atletas!J371="Taijishan Grupo A",62,""))))))))))))))))))))))</f>
        <v/>
      </c>
      <c r="BM380" s="50" t="str">
        <f>IF(Atletas!K371="","",IF(Atletas!B371="Feminino",100,IF(Atletas!B371="Masculino",200,""))+(IF(Atletas!K371="Equipe 1 Grupo B",1,IF(Atletas!K371="Equipe 2 Grupo B",2,IF(Atletas!K371="Equipe 1 Grupo A",3,IF(Atletas!K371="Equipe 2 Grupo A",4,IF(Atletas!K371="Equipe 1 Adulto",5,IF(Atletas!K371="Equipe 2 Adulto",6,""))))))))</f>
        <v/>
      </c>
      <c r="BR380" s="50" t="str">
        <f>IF(Atletas!L371="","",IF(Atletas!X371&lt;&gt;"",10000,0)+(IF(Atletas!B371="Feminino",1000,IF(Atletas!B371="Masculino",2000,""))+IF(Atletas!L371="Choylayfut A",1,IF(Atletas!L371="Hunggar A",2,IF(Atletas!L371="Wuzuquan A",3,IF(Atletas!L371="Wingchun A",4,IF(Atletas!L371="Outra Mão de Sul A",5,IF(Atletas!L371="Choylayfut B",6,IF(Atletas!L371="Hunggar B",7,IF(Atletas!L371="Wuzuquan B",8,IF(Atletas!L371="Wingchun B",9,IF(Atletas!L371="Outra Mão de Sul B",10,IF(Atletas!L371="Choylayfut C",11,IF(Atletas!L371="Hunggar C",12,IF(Atletas!L371="Wuzuquan C",13,IF(Atletas!L371="Wingchun C",14,IF(Atletas!L371="Outra Mão de Sul C",15,IF(Atletas!L371="Choylayfut D",16,IF(Atletas!L371="Hunggar D",17,IF(Atletas!L371="Wuzuquan D",18,IF(Atletas!L371="Wingchun D",19,IF(Atletas!L371="Outra Mão de Sul D",20,IF(Atletas!L371="Choylayfut E",21,IF(Atletas!L371="Hunggar E",22,IF(Atletas!L371="Wuzuquan E",23,IF(Atletas!L371="Wingchun E",24,IF(Atletas!L371="Outra Mão de Sul E",25,IF(Atletas!L371="Choylayfut F",26,IF(Atletas!L371="Hunggar F",27,IF(Atletas!L371="Wuzuquan F",28,IF(Atletas!L371="Wingchun F",29,IF(Atletas!L371="Outra Mão de Sul F",30,IF(Atletas!L371="Dishuquan A",31,IF(Atletas!L371="Dishuquan B",32,IF(Atletas!L371="Dishuquan C",33,IF(Atletas!L371="Dishuquan D",34,IF(Atletas!L371="Dishuquan E",35,IF(Atletas!L371="Dishuquan F",36,""))))))))))))))))))))))))))))))))))))))</f>
        <v/>
      </c>
      <c r="BS380" s="50" t="str">
        <f>IF(Atletas!M371="","",IF(Atletas!X371&lt;&gt;"",10000,0)+(IF(Atletas!B371="Feminino",1000,IF(Atletas!B371="Masculino",2000,""))+(IF(Atletas!M371="Chaquan A",101,IF(Atletas!M371="Emeiquan A",102,IF(Atletas!M371="Fanziquan A",103,IF(Atletas!M371="Huaquan A",104,IF(Atletas!M371="Hongquan A",105,IF(Atletas!M371="Paoquan A",106,IF(Atletas!M371="Piguaquan A",107,IF(Atletas!M371="Shaolinquan A",108,IF(Atletas!M371="Tanglangquan A",109,IF(Atletas!M371="Yingzhaoquan A",110,IF(Atletas!M371="Tongbeiquan A",111,IF(Atletas!M371="Wudangquan A",112,IF(Atletas!M371="Outros Estilos A",113,IF(Atletas!M371="Chaquan B",114,IF(Atletas!M371="Emeiquan B",115,IF(Atletas!M371="Fanziquan B",116,IF(Atletas!M371="Huaquan B",117,IF(Atletas!M371="Hongquan B",118,IF(Atletas!M371="Paoquan B",119,IF(Atletas!M371="Piguaquan B",120,IF(Atletas!M371="Shaolinquan B",121,IF(Atletas!M371="Tanglangquan B",122,IF(Atletas!M371="Yingzhaoquan B",123,IF(Atletas!M371="Tongbeiquan B",124,IF(Atletas!M371="Wudangquan B",125,IF(Atletas!M371="Outros Estilos B",126,IF(Atletas!M371="Chaquan C",127,IF(Atletas!M371="Emeiquan C",128,IF(Atletas!M371="Fanziquan C",129,IF(Atletas!M371="Huaquan C",130,IF(Atletas!M371="Hongquan C",131,IF(Atletas!M371="Paoquan C",132,IF(Atletas!M371="Piguaquan C",133,IF(Atletas!M371="Shaolinquan C",134,IF(Atletas!M371="Tanglangquan C",135,IF(Atletas!M371="Yingzhaoquan C",136,IF(Atletas!M371="Tongbeiquan C",137,IF(Atletas!M371="Wudangquan C",138,IF(Atletas!M371="Outros Estilos C",139,0))))))))))))))))))))))))))))))))))))))))))</f>
        <v/>
      </c>
      <c r="BT380" s="50" t="str">
        <f>IF(Atletas!M371="","",IF(Atletas!X371&lt;&gt;"",10000,0)+(IF(Atletas!B371="Feminino",1000,IF(Atletas!B371="Masculino",2000,""))+(IF(Atletas!M371="Chaquan D",140,IF(Atletas!M371="Emeiquan D",141,IF(Atletas!M371="Fanziquan D",142,IF(Atletas!M371="Huaquan D",143,IF(Atletas!M371="Hongquan D",144,IF(Atletas!M371="Paoquan D",145,IF(Atletas!M371="Piguaquan D",146,IF(Atletas!M371="Shaolinquan D",147,IF(Atletas!M371="Tanglangquan D",148,IF(Atletas!M371="Yingzhaoquan D",149,IF(Atletas!M371="Tongbeiquan D",150,IF(Atletas!M371="Wudangquan D",151,IF(Atletas!M371="Outros Estilos D",152,IF(Atletas!M371="Chaquan E",153,IF(Atletas!M371="Emeiquan E",154,IF(Atletas!M371="Fanziquan E",155,IF(Atletas!M371="Huaquan E",156,IF(Atletas!M371="Hongquan E",157,IF(Atletas!M371="Paoquan E",158,IF(Atletas!M371="Piguaquan E",159,IF(Atletas!M371="Shaolinquan E",160,IF(Atletas!M371="Tanglangquan E",161,IF(Atletas!M371="Yingzhaoquan E",162,IF(Atletas!M371="Tongbeiquan E",163,IF(Atletas!M371="Wudangquan E",164,IF(Atletas!M371="Outros Estilos E",165,IF(Atletas!M371="Chaquan F",166,IF(Atletas!M371="Emeiquan F",167,IF(Atletas!M371="Fanziquan F",168,IF(Atletas!M371="Huaquan F",169,IF(Atletas!M371="Hongquan F",170,IF(Atletas!M371="Paoquan F",171,IF(Atletas!M371="Piguaquan F",172,IF(Atletas!M371="Shaolinquan F",173,IF(Atletas!M371="Tanglangquan F",174,IF(Atletas!M371="Yingzhaoquan F",175,IF(Atletas!M371="Tongbeiquan F",176,IF(Atletas!M371="Wudangquan F",177,IF(Atletas!M371="Outros Estilos F",178,0))))))))))))))))))))))))))))))))))))))))))</f>
        <v/>
      </c>
      <c r="BU380" s="50" t="str">
        <f>IF(Atletas!N371="","",IF(Atletas!X371&lt;&gt;"",10000,0)+(IF(Atletas!B371="Feminino",1000,IF(Atletas!B371="Masculino",2000,""))+(IF(Atletas!N371="Ditangquan A",201,IF(Atletas!N371="Houquan A",202,IF(Atletas!N371="Zuiquan A",203,IF(Atletas!N371="Ditangquan B",204,IF(Atletas!N371="Houquan B",205,IF(Atletas!N371="Zuiquan B",206,IF(Atletas!N371="Ditangquan C",207,IF(Atletas!N371="Houquan C",208,IF(Atletas!N371="Zuiquan C",209,IF(Atletas!N371="Ditangquan D",210,IF(Atletas!N371="Houquan D",211,IF(Atletas!N371="Zuiquan D",212,IF(Atletas!N371="Ditangquan E",213,IF(Atletas!N371="Houquan E",214,IF(Atletas!N371="Zuiquan E",215,IF(Atletas!N371="Ditangquan F",216,IF(Atletas!N371="Houquan F",217,IF(Atletas!N371="Zuiquan F",218,"")))))))))))))))))))))</f>
        <v/>
      </c>
      <c r="BV380" s="50" t="str">
        <f>IF(Atletas!O371="","",IF(Atletas!X371&lt;&gt;"",10000,0)+IF(Atletas!B371="Feminino",1000,IF(Atletas!B371="Masculino",2000,""))+IF(Atletas!O371="Yang A",301,IF(Atletas!O371="Chen A",302,IF(Atletas!O371="Sun A",303,IF(Atletas!O371="Wu A",304,IF(Atletas!O371="Wu-Hao A",305,IF(Atletas!O371="Outro Taijiquan A",306,IF(Atletas!O371="Yang B",307,IF(Atletas!O371="Chen B",308,IF(Atletas!O371="Sun B",309,IF(Atletas!O371="Wu B",310,IF(Atletas!O371="Wu-Hao B",311,IF(Atletas!O371="Outro Taijiquan B",312,IF(Atletas!O371="Yang C",313,IF(Atletas!O371="Chen C",314,IF(Atletas!O371="Sun C",315,IF(Atletas!O371="Wu C",316,IF(Atletas!O371="Wu-Hao C",317,IF(Atletas!O371="Outro Taijiquan C",318,IF(Atletas!O371="Yang D",319,IF(Atletas!O371="Chen D",320,IF(Atletas!O371="Sun D",321,IF(Atletas!O371="Wu D",322,IF(Atletas!O371="Wu-Hao D",323,IF(Atletas!O371="Outro Taijiquan D",324,IF(Atletas!O371="Yang E",325,IF(Atletas!O371="Chen E",326,IF(Atletas!O371="Sun E",327,IF(Atletas!O371="Wu E",328,IF(Atletas!O371="Wu-Hao E",329,IF(Atletas!O371="Outro Taijiquan E",330,IF(Atletas!O371="Yang F",331,IF(Atletas!O371="Chen F",332,IF(Atletas!O371="Sun F",333,IF(Atletas!O371="Wu F",334,IF(Atletas!O371="Wu-Hao F",335,IF(Atletas!O371="Outro Taijiquan F",336,"")))))))))))))))))))))))))))))))))))))</f>
        <v/>
      </c>
      <c r="BW380" s="50" t="str">
        <f>IF(Atletas!P371="","",IF(Atletas!X371&lt;&gt;"",10000,0)+IF(Atletas!B371="Feminino",1000,IF(Atletas!B371="Masculino",2000,""))+IF(OR(Atletas!P371="Yang 26 A",Atletas!P371="Yang 40 A"),401,IF(OR(Atletas!P371="Chen 25 A",Atletas!P371="Chen 36 A",Atletas!P371="Chen 56 A"),402,IF(Atletas!P371="Sun 73 A",403,IF(Atletas!P371="Wu 45 A",404,IF(Atletas!P371="Wu-Hao 46 A",405,IF(OR(Atletas!P371="Taijiquan 16 A",Atletas!P371="Taijiquan 24 A",Atletas!P371="Taijiquan 32 A",Atletas!P371="Taijiquan 42 A"),406,IF(OR(Atletas!P371="Yang 26 B",Atletas!P371="Yang 40 B"),407,IF(OR(Atletas!P371="Chen 25 B",Atletas!P371="Chen 36 B",Atletas!P371="Chen 56 B"),408,IF(Atletas!P371="Sun 73 B",409,IF(Atletas!P371="Wu 45 B",410,IF(Atletas!P371="Wu-Hao 46 B",411,IF(OR(Atletas!P371="Taijiquan 16 B",Atletas!P371="Taijiquan 24 B",Atletas!P371="Taijiquan 32 B",Atletas!P371="Taijiquan 42 B"),412,IF(OR(Atletas!P371="Yang 26 C",Atletas!P371="Yang 40 C"),413,IF(OR(Atletas!P371="Chen 25 C",Atletas!P371="Chen 36 C",Atletas!P371="Chen 56 C"),414,IF(Atletas!P371="Sun 73 C",415,IF(Atletas!P371="Wu 45 C",416,IF(Atletas!P371="Wu-Hao 46 C",417,IF(OR(Atletas!P371="Taijiquan 16 C",Atletas!P371="Taijiquan 24 C",Atletas!P371="Taijiquan 32 C",Atletas!P371="Taijiquan 42 C"),418,0)))))))))))))))))))</f>
        <v/>
      </c>
      <c r="BX380" s="50" t="str">
        <f>IF(Atletas!P371="","",IF(Atletas!X371&lt;&gt;"",10000,0)+IF(Atletas!B371="Feminino",1000,IF(Atletas!B371="Masculino",2000,""))+IF(OR(Atletas!P371="Yang 26 D",Atletas!P371="Yang 40 D"),419,IF(OR(Atletas!P371="Chen 25 D",Atletas!P371="Chen 36 D",Atletas!P371="Chen 56 D"),420,IF(Atletas!P371="Sun 73 D",421,IF(Atletas!P371="Wu 45 D",422,IF(Atletas!P371="Wu-Hao 46 D",423,IF(OR(Atletas!P371="Taijiquan 16 D",Atletas!P371="Taijiquan 24 D",Atletas!P371="Taijiquan 32 D",Atletas!P371="Taijiquan 42 D"),424,IF(OR(Atletas!P371="Yang 26 E",Atletas!P371="Yang 40 E"),425,IF(OR(Atletas!P371="Chen 25 E",Atletas!P371="Chen 36 E",Atletas!P371="Chen 56 E"),426,IF(Atletas!P371="Sun 73 E",427,IF(Atletas!P371="Wu 45 E",428,IF(Atletas!P371="Wu-Hao 46 E",429,IF(OR(Atletas!P371="Taijiquan 16 E",Atletas!P371="Taijiquan 24 E",Atletas!P371="Taijiquan 32 E",Atletas!P371="Taijiquan 42 E"),430,IF(OR(Atletas!P371="Yang 26 F",Atletas!P371="Yang 40 F"),431,IF(OR(Atletas!P371="Chen 25 F",Atletas!P371="Chen 36 F",Atletas!P371="Chen 56 F"),432,IF(Atletas!P371="Sun 73 F",433,IF(Atletas!P371="Wu 45 F",434,IF(Atletas!P371="Wu-Hao 46 F",435,IF(OR(Atletas!P371="Taijiquan 16 F",Atletas!P371="Taijiquan 24 F",Atletas!P371="Taijiquan 32 F",Atletas!P371="Taijiquan 42 F"),436,0)))))))))))))))))))</f>
        <v/>
      </c>
      <c r="BY380" s="50" t="str">
        <f>IF(Atletas!Q371="","",IF(Atletas!X371&lt;&gt;"",10000,0)+IF(Atletas!B371="Feminino",1000,IF(Atletas!B371="Masculino",2000,""))+IF(Atletas!Q371="Xingyiquan A",501,IF(Atletas!Q371="Baguazhang A",502,IF(Atletas!Q371="Outro Estilo Interno A",503,IF(Atletas!Q371="Xingyiquan B",504,IF(Atletas!Q371="Baguazhang B",505,IF(Atletas!Q371="Outro Estilo Interno B",506,IF(Atletas!Q371="Xingyiquan C",507,IF(Atletas!Q371="Baguazhang C",508,IF(Atletas!Q371="Outro Estilo Interno C",509,IF(Atletas!Q371="Xingyiquan D",510,IF(Atletas!Q371="Baguazhang D",511,IF(Atletas!Q371="Outro Estilo Interno D",512,IF(Atletas!Q371="Xingyiquan E",513,IF(Atletas!Q371="Baguazhang E",514,IF(Atletas!Q371="Outro Estilo Interno E",515,IF(Atletas!Q371="Xingyiquan F",516,IF(Atletas!Q371="Baguazhang F",517,IF(Atletas!Q371="Outro Estilo Interno F",518, "")))))))))))))))))))</f>
        <v/>
      </c>
      <c r="BZ380" s="50" t="str">
        <f>IF(Atletas!R371="","",IF(Atletas!X371&lt;&gt;"",10000,0)+IF(Atletas!B371="Feminino",1000,IF(Atletas!B371="Masculino",2000,""))+IF(Atletas!R371="Dao A",601,IF(Atletas!R371="Jian A",602,IF(Atletas!R371="Bishou A",603,IF(Atletas!R371="Shanzi A",604,IF(Atletas!R371="Outra Arma Curta A",605,IF(Atletas!R371="Dao B",606,IF(Atletas!R371="Jian B",607,IF(Atletas!R371="Bishou B",608,IF(Atletas!R371="Shanzi B",609,IF(Atletas!R371="Outra Arma Curta B",610,IF(Atletas!R371="Dao C",611,IF(Atletas!R371="Jian C",612,IF(Atletas!R371="Bishou C",613,IF(Atletas!R371="Shanzi C",614,IF(Atletas!R371="Outra Arma Curta C",615,IF(Atletas!R371="Dao D",616,IF(Atletas!R371="Jian D",617,IF(Atletas!R371="Bishou D",618,IF(Atletas!R371="Shanzi D",619,IF(Atletas!R371="Outra Arma Curta D",620,IF(Atletas!R371="Dao E",621,IF(Atletas!R371="Jian E",622,IF(Atletas!R371="Bishou E",623,IF(Atletas!R371="Shanzi E",624,IF(Atletas!R371="Outra Arma Curta E",625,IF(Atletas!R371="Dao F",626,IF(Atletas!R371="Jian F",627,IF(Atletas!R371="Bishou F",628,IF(Atletas!R371="Shanzi F",629,IF(Atletas!R371="Outra Arma Curta F",630, "")))))))))))))))))))))))))))))))</f>
        <v/>
      </c>
      <c r="CA380" s="50" t="str">
        <f>IF(Atletas!S371="","",IF(Atletas!X371&lt;&gt;"",10000,0)+IF(Atletas!B371="Feminino",1000,IF(Atletas!B371="Masculino",2000,""))+IF(Atletas!S371="Gun A",701,IF(Atletas!S371="Qiang A",702,IF(Atletas!S371="Pudao / Guandao A",703,IF(Atletas!S371="Outra Arma Longa A",704,IF(Atletas!S371="Gun B",705,IF(Atletas!S371="Qiang B",706,IF(Atletas!S371="Pudao / Guandao B",707,IF(Atletas!S371="Outra Arma Longa B",708,IF(Atletas!S371="Gun C",709,IF(Atletas!S371="Qiang C",710,IF(Atletas!S371="Pudao / Guandao C",711,IF(Atletas!S371="Outra Arma Longa C",712,IF(Atletas!S371="Gun D",713,IF(Atletas!S371="Qiang D",714,IF(Atletas!S371="Pudao / Guandao D",715,IF(Atletas!S371="Outra Arma Longa D",716,IF(Atletas!S371="Gun E",717,IF(Atletas!S371="Qiang E",718,IF(Atletas!S371="Pudao / Guandao E",719,IF(Atletas!S371="Outra Arma Longa E",720,IF(Atletas!S371="Gun F",721,IF(Atletas!S371="Qiang F",722,IF(Atletas!S371="Pudao / Guandao F",723,IF(Atletas!S371="Outra Arma Longa F",724,"")))))))))))))))))))))))))</f>
        <v/>
      </c>
      <c r="CB380" s="50" t="str">
        <f>IF(Atletas!T371="","",IF(Atletas!X371&lt;&gt;"",10000,0)+IF(Atletas!B371="Feminino",1000,IF(Atletas!B371="Masculino",2000,""))+IF(Atletas!T371="Outra Arma Dupla A",801,IF(Atletas!T371="Arma Maleável A",802,IF(Atletas!T371="Outra Arma Dupla B",803,IF(Atletas!T371="Arma Maleável B",804,IF(Atletas!T371="Outra Arma Dupla C",805,IF(Atletas!T371="Arma Maleável C",806,IF(Atletas!T371="Outra Arma Dupla D",807,IF(Atletas!T371="Arma Maleável D",808,IF(Atletas!T371="Outra Arma Dupla E",809,IF(Atletas!T371="Arma Maleável E",810,IF(Atletas!T371="Outra Arma Dupla F",811,IF(Atletas!T371="Arma Maleável F",812,IF(Atletas!T371="Shuangdao A",813,IF(Atletas!T371="Shuangdao B",814,IF(Atletas!T371="Shuangdao C",815,IF(Atletas!T371="Shuangdao D",816,IF(Atletas!T371="Shuangdao E",817,IF(Atletas!T371="Shuangdao F",818,"")))))))))))))))))))</f>
        <v/>
      </c>
      <c r="CC380" s="50" t="str">
        <f>IF(Atletas!U371="","",IF(Atletas!X371&lt;&gt;"",10000,0)+IF(Atletas!B371="Feminino",1000,IF(Atletas!B371="Masculino",2000,""))+IF(OR(Atletas!U371="Taijijian Yang A",Atletas!U371="Taijijian Yang Standard A"),901,IF(OR(Atletas!U371="Taijijian Chen A", Atletas!U371="Taijijian Chen Standard A"),902,IF(Atletas!U371="Taijijian Sun A",903,IF(Atletas!U371="Taijijian Wu A",904,IF(Atletas!U371="Taijijian Wu-Hao A",905,IF(OR(Atletas!U371="Taijijian 32 A",Atletas!U371="Taijijian 42 A"),906,IF(OR(Atletas!U371="Taijijian Yang B",Atletas!U371="Taijijian Yang Standard B"),907,IF(OR(Atletas!U371="Taijijian Chen B", Atletas!U371="Taijijian Chen Standard B"),908,IF(Atletas!U371="Taijijian Sun B",909,IF(Atletas!U371="Taijijian Wu B",910,IF(Atletas!U371="Taijijian Wu-Hao B",911,IF(OR(Atletas!U371="Taijijian 32 B",Atletas!U371="Taijijian 42 B"),912,IF(OR(Atletas!U371="Taijijian Yang C",Atletas!U371="Taijijian Yang Standard C"),913,IF(OR(Atletas!U371="Taijijian Chen C", Atletas!U371="Taijijian Chen Standard C"),914,IF(Atletas!U371="Taijijian Sun C",915,IF(Atletas!U371="Taijijian Wu C",916,IF(Atletas!U371="Taijijian Wu-Hao C",917,IF(OR(Atletas!U371="Taijijian 32 C",Atletas!U371="Taijijian 42 C"),918,IF(OR(Atletas!U371="Taijijian Yang D",Atletas!U371="Taijijian Yang Standard D"),919,IF(OR(Atletas!U371="Taijijian Chen D", Atletas!U371="Taijijian Chen Standard D"),920,IF(Atletas!U371="Taijijian Sun D",921,IF(Atletas!U371="Taijijian Wu D",922,IF(Atletas!U371="Taijijian Wu-Hao D",923,IF(OR(Atletas!U371="Taijijian 32 D",Atletas!U371="Taijijian 42 D"),924,IF(OR(Atletas!U371="Taijijian Yang E",Atletas!U371="Taijijian Yang Standard E"),925,IF(OR(Atletas!U371="Taijijian Chen E", Atletas!U371="Taijijian Chen Standard E"),926,IF(Atletas!U371="Taijijian Sun E",927,IF(Atletas!U371="Taijijian Wu E",928,IF(Atletas!U371="Taijijian Wu-Hao E",929,IF(OR(Atletas!U371="Taijijian 32 E",Atletas!U371="Taijijian 42 E"),930,IF(OR(Atletas!U371="Taijijian Yang F",Atletas!U371="Taijijian Yang Standard F"),931,IF(OR(Atletas!U371="Taijijian Chen F", Atletas!U371="Taijijian Chen Standard F"),932,IF(Atletas!U371="Taijijian Sun F",933,IF(Atletas!U371="Taijijian Wu F",934,IF(Atletas!U371="Taijijian Wu-Hao F",935,IF(OR(Atletas!U371="Taijijian 32 F",Atletas!U371="Taijijian 42 F"),936,"")))))))))))))))))))))))))))))))))))))</f>
        <v/>
      </c>
      <c r="CD380" s="50" t="str">
        <f>IF(Atletas!V371="","",IF(Atletas!X371&lt;&gt;"",10000,0)+IF(Atletas!B371="Feminino",1000,IF(Atletas!B371="Masculino",2000,""))+IF(Atletas!V371="Taijidao A",937,IF(Atletas!V371="TaijiShanzi A",938,IF(Atletas!V371="Taijiqiang A",939,IF(Atletas!V371="Bagua de Arma A",940,IF(Atletas!V371="Xingyi de Arma A",941,IF(Atletas!V371="Taijidao B",942,IF(Atletas!V371="TaijiShanzi B",943,IF(Atletas!V371="Taijiqiang B",944,IF(Atletas!V371="Bagua de Arma B",945,IF(Atletas!V371="Xingyi de Arma B",946,IF(Atletas!V371="Taijidao C",947,IF(Atletas!V371="TaijiShanzi C",948,IF(Atletas!V371="Taijiqiang C",949,IF(Atletas!V371="Bagua de Arma C",950,IF(Atletas!V371="Xingyi de Arma C",951,IF(Atletas!V371="Taijidao D",952,IF(Atletas!V371="TaijiShanzi D",953,IF(Atletas!V371="Taijiqiang D",954,IF(Atletas!V371="Bagua de Arma D",955,IF(Atletas!V371="Xingyi de Arma D",956,IF(Atletas!V371="Taijidao E",957,IF(Atletas!V371="TaijiShanzi E",958,IF(Atletas!V371="Taijiqiang E",959,IF(Atletas!V371="Bagua de Arma E",960,IF(Atletas!V371="Xingyi de Arma E",961,IF(Atletas!V371="Taijidao F",962,IF(Atletas!V371="TaijiShanzi F",963,IF(Atletas!V371="Taijiqiang F",964,IF(Atletas!V371="Bagua de Arma F",965,IF(Atletas!V371="Xingyi de Arma F",966,"")))))))))))))))))))))))))))))))</f>
        <v/>
      </c>
      <c r="CJ380" s="66"/>
      <c r="CL380" s="66"/>
      <c r="CM380" s="50" t="str">
        <f xml:space="preserve"> IF(Atletas!W371="","",IF(Atletas!W371="Duilian de Mãos BC - Equipe 1",1,IF(Atletas!W371="Duilian de Mãos BC - Equipe 2",2,IF(Atletas!W371="Duilian de Armas BC - Equipe 1",3,IF(Atletas!W371="Duilian de Armas BC - Equipe 2",4,IF(Atletas!W371="Duilian de Mãos DE - Equipe 1",5,IF(Atletas!W371="Duilian de Mãos DE - Equipe 2",6,IF(Atletas!W371="Duilian de Armas DE - Equipe 1",7,IF(Atletas!W371="Duilian de Armas DE - Equipe 2",8,IF(Atletas!W371="Duilian de Tuishou - Equipe 1",9,IF(Atletas!W371="Duilian de Tuishou - Equipe 2",10,IF(Atletas!W371="Grupo Externo ABC - Equipe 1",11,IF(Atletas!W371="Grupo Externo ABC - Equipe 2",12,IF(Atletas!W371="Grupo Interno ABC - Equipe 1",13,IF(Atletas!W371="Grupo Interno ABC - Equipe 2",14,IF(Atletas!W371="Grupo Externo DEF - Equipe 1",15,IF(Atletas!W371="Grupo Externo DEF - Equipe 2",16,IF(Atletas!W371="Grupo Interno DEF - Equipe 1",17,IF(Atletas!W371="Grupo Interno DEF - Equipe 2",18,"")))))))))))))))))))</f>
        <v/>
      </c>
    </row>
    <row r="381" spans="40:91">
      <c r="AN381" s="52" t="str">
        <f>IF(Atletas!D372="","",IF(Atletas!B372="Feminino",100,IF(Atletas!B372="Masculino",200,""))+(IF(Atletas!D372="Kids 30kg",1,IF(Atletas!D372="Kids 32kg",2, IF(Atletas!D372="Kids 34kg",3,IF(Atletas!D372="Kids 36kg",4,IF(Atletas!D372="Kids 39kg",5,IF(Atletas!D372="Kids 42kg",6,IF(Atletas!D372="Kids 45kg",7, IF(Atletas!D372="Infantil 39kg",8,IF(Atletas!D372="Infantil 42kg",9,IF(Atletas!D372="Infantil 45kg",10,IF(Atletas!D372="Infantil 48kg",11,IF(Atletas!D372="Infantil 52kg",12,IF(Atletas!D372="Infantil 56kg",13,IF(Atletas!D372="Infantil 60kg",14,IF(Atletas!D372="Juvenil 48kg",15,IF(Atletas!D372="Juvenil 52kg",16,IF(Atletas!D372="Juvenil 56kg",17,IF(Atletas!D372="Juvenil 60kg",18,IF(Atletas!D372="Juvenil 65kg",19,IF(Atletas!D372="Juvenil 70kg",20,IF(Atletas!D372="Juvenil 75kg",21,IF(Atletas!D372="Juvenil 80kg",22, IF(Atletas!D372="Juvenil 85kg",23,IF(Atletas!D372="Adulto 48kg",24,IF(Atletas!D372="Adulto 52kg",25,IF(Atletas!D372="Adulto 56kg",26,IF(Atletas!D372="Adulto 60kg",27,IF(Atletas!D372="Adulto 65kg",28,IF(Atletas!D372="Adulto 70kg",29,IF(Atletas!D372="Adulto 75kg",30,IF(Atletas!D372="Adulto 80kg",31,IF(Atletas!D372="Adulto 85kg",32,IF(Atletas!D372="Adulto 90kg",33,IF(Atletas!D372="Adulto 100kg",34, IF(Atletas!D372="Adulto +100kg",35,"")))))))))))))))))))))))))))))))))))))</f>
        <v/>
      </c>
      <c r="AS381" s="6" t="str">
        <f>IF(Atletas!E372="","",IF(Atletas!B372="Feminino",100,IF(Atletas!B372="Masculino",200,""))+(IF(Atletas!E372="Juvenil 44kg",1,IF(Atletas!E372="Juvenil 48kg",2,IF(Atletas!E372="Juvenil 52kg",3,IF(Atletas!E372="Juvenil 56kg",4,IF(Atletas!E372="Juvenil 60kg",5,IF(Atletas!E372="Juvenil 65kg",6,IF(Atletas!E372="Juvenil 70kg",7,IF(Atletas!E372="Juvenil 75kg",8,IF(Atletas!E372="Juvenil 82kg",9,IF(Atletas!E372="Juvenil 90kg",10,IF(Atletas!E372="Juvenil 100kg",11,IF(Atletas!E372="Adulto 48kg",12,IF(Atletas!E372="Adulto 52kg",13,IF(Atletas!E372="Adulto 56kg",14,IF(Atletas!E372="Adulto 60kg",15,IF(Atletas!E372="Adulto 65kg",16,IF(Atletas!E372="Adulto 70kg",17,IF(Atletas!E372="Adulto 75kg",18,IF(Atletas!E372="Adulto 82kg",19,IF(Atletas!E372="Adulto 90kg",20,IF(Atletas!E372="Adulto 100kg",21,IF(Atletas!E372="Adulto +100kg",22,""))))))))))))))))))))))))</f>
        <v/>
      </c>
      <c r="AX381" s="6" t="str">
        <f>IF(Atletas!F372="","",IF(Atletas!B372="Feminino",100,IF(Atletas!B372="Masculino",200,""))+(IF(Atletas!F372="Adulto 48kg",1,IF(Atletas!F372="Adulto 56kg",2,IF(Atletas!F372="Adulto 65kg",3,IF(Atletas!F372="Adulto 75kg",4,IF(Atletas!F372="Adulto +75kg",5,IF(Atletas!F372="Adulto 52kg",6,IF(Atletas!F372="Adulto 60kg",7,IF(Atletas!F372="Adulto 70kg",8,IF(Atletas!F372="Adulto 80kg",9,IF(Atletas!F372="Adulto 90kg",10,IF(Atletas!F372="Adulto +90kg",11,"")))))))))))))</f>
        <v/>
      </c>
      <c r="BC381" s="6" t="str">
        <f>IF(Atletas!G372="","",IF(Atletas!B372="Feminino",10,IF(Atletas!B372="Masculino",20,""))+(IF(Atletas!G372="Baduanjin A",1,IF(Atletas!G372="Baduanjin B",2))))</f>
        <v/>
      </c>
      <c r="BF381" s="52" t="str">
        <f>IF(Atletas!H372="","",IF(Atletas!B372="Feminino",100,IF(Atletas!B372="Masculino",200,""))+(IF(Atletas!H372="Changquan Mirim",1,IF(Atletas!H372="Nanquan Mirim",2,IF(Atletas!H372="Taijiquan Mirim",3,IF(Atletas!H372="Changquan Grupo C",4,IF(Atletas!H372="Nanquan Grupo C",5,IF(Atletas!H372="Taijiquan Grupo C",6,IF(Atletas!H372="Changquan Grupo B",7,IF(Atletas!H372="Nanquan Grupo B",8,IF(Atletas!H372="Taijiquan Grupo B",9,IF(Atletas!H372="Changquan Grupo A",10,IF(Atletas!H372="Nanquan Grupo A",11,IF(Atletas!H372="Taijiquan Grupo A",12,IF(Atletas!H372="Changquan Opcional",13,IF(Atletas!H372="Nanquan Opcional",14,IF(Atletas!H372="Taijiquan Opcional",15,IF(Atletas!H372="Changquan Adulto",16,IF(Atletas!H372="Nanquan Adulto",17,IF(Atletas!H372="Taijiquan Adulto",18,""))))))))))))))))))))</f>
        <v/>
      </c>
      <c r="BG381" s="52" t="str">
        <f>IF(Atletas!I372="","",IF(Atletas!B372="Feminino",100,IF(Atletas!B372="Masculino",200,""))+(IF(Atletas!I372="Daoshu Mirim",19,IF(Atletas!I372="Jianshu Mirim",20,IF(Atletas!I372="Nandao Mirim",21,IF(Atletas!I372="Taijijian Mirim",22,IF(Atletas!I372="Daoshu Grupo C",23,IF(Atletas!I372="Jianshu Grupo C",24,IF(Atletas!I372="Nandao Grupo C",25,IF(Atletas!I372="Taijijian Grupo C",26,IF(Atletas!I372="Daoshu Grupo B",27,IF(Atletas!I372="Jianshu Grupo B",28,IF(Atletas!I372="Nandao Grupo B",29,IF(Atletas!I372="Taijijian Grupo B",30,IF(Atletas!I372="Daoshu Grupo A",31,IF(Atletas!I372="Jianshu Grupo A",32,IF(Atletas!I372="Nandao Grupo A",33,IF(Atletas!I372="Taijijian Grupo A",34,IF(Atletas!I372="Daoshu Opcional",35,IF(Atletas!I372="Jianshu Opcional",36,IF(Atletas!I372="Nandao Opcional",37,IF(Atletas!I372="Taijijian Opcional",38,IF(Atletas!I372="Daoshu Adulto",39,IF(Atletas!I372="Jianshu Adulto",40,IF(Atletas!I372="Nandao Adulto",41,IF(Atletas!I372="Taijijian Adulto",42,""))))))))))))))))))))))))))</f>
        <v/>
      </c>
      <c r="BH381" s="52" t="str">
        <f>IF(Atletas!J372="","",IF(Atletas!B372="Feminino",100,IF(Atletas!B372="Masculino",200,""))+(IF(Atletas!J372="Gunshu Mirim",43,IF(Atletas!J372="Qiangshu Mirim",44,IF(Atletas!J372="Nangun Mirim",45,IF(Atletas!J372="Gunshu Grupo C",46,IF(Atletas!J372="Qiangshu Grupo C",47,IF(Atletas!J372="Nangun Grupo C",48,IF(Atletas!J372="Gunshu Grupo B",49,IF(Atletas!J372="Qiangshu Grupo B",50,IF(Atletas!J372="Nangun Grupo B",51,IF(Atletas!J372="Gunshu Grupo A",52,IF(Atletas!J372="Qiangshu Grupo A",53,IF(Atletas!J372="Nangun Grupo A",54,IF(Atletas!J372="Gunshu Opcional",55,IF(Atletas!J372="Qiangshu Opcional",56,IF(Atletas!J372="Nangun Opcional",57,IF(Atletas!J372="Gunshu Adulto",58,IF(Atletas!J372="Qiangshu Adulto",59,IF(Atletas!J372="Nangun Adulto",60,IF(Atletas!J372="Taijishan Grupo B",61,IF(Atletas!J372="Taijishan Grupo A",62,""))))))))))))))))))))))</f>
        <v/>
      </c>
      <c r="BM381" s="50" t="str">
        <f>IF(Atletas!K372="","",IF(Atletas!B372="Feminino",100,IF(Atletas!B372="Masculino",200,""))+(IF(Atletas!K372="Equipe 1 Grupo B",1,IF(Atletas!K372="Equipe 2 Grupo B",2,IF(Atletas!K372="Equipe 1 Grupo A",3,IF(Atletas!K372="Equipe 2 Grupo A",4,IF(Atletas!K372="Equipe 1 Adulto",5,IF(Atletas!K372="Equipe 2 Adulto",6,""))))))))</f>
        <v/>
      </c>
      <c r="BR381" s="50" t="str">
        <f>IF(Atletas!L372="","",IF(Atletas!X372&lt;&gt;"",10000,0)+(IF(Atletas!B372="Feminino",1000,IF(Atletas!B372="Masculino",2000,""))+IF(Atletas!L372="Choylayfut A",1,IF(Atletas!L372="Hunggar A",2,IF(Atletas!L372="Wuzuquan A",3,IF(Atletas!L372="Wingchun A",4,IF(Atletas!L372="Outra Mão de Sul A",5,IF(Atletas!L372="Choylayfut B",6,IF(Atletas!L372="Hunggar B",7,IF(Atletas!L372="Wuzuquan B",8,IF(Atletas!L372="Wingchun B",9,IF(Atletas!L372="Outra Mão de Sul B",10,IF(Atletas!L372="Choylayfut C",11,IF(Atletas!L372="Hunggar C",12,IF(Atletas!L372="Wuzuquan C",13,IF(Atletas!L372="Wingchun C",14,IF(Atletas!L372="Outra Mão de Sul C",15,IF(Atletas!L372="Choylayfut D",16,IF(Atletas!L372="Hunggar D",17,IF(Atletas!L372="Wuzuquan D",18,IF(Atletas!L372="Wingchun D",19,IF(Atletas!L372="Outra Mão de Sul D",20,IF(Atletas!L372="Choylayfut E",21,IF(Atletas!L372="Hunggar E",22,IF(Atletas!L372="Wuzuquan E",23,IF(Atletas!L372="Wingchun E",24,IF(Atletas!L372="Outra Mão de Sul E",25,IF(Atletas!L372="Choylayfut F",26,IF(Atletas!L372="Hunggar F",27,IF(Atletas!L372="Wuzuquan F",28,IF(Atletas!L372="Wingchun F",29,IF(Atletas!L372="Outra Mão de Sul F",30,IF(Atletas!L372="Dishuquan A",31,IF(Atletas!L372="Dishuquan B",32,IF(Atletas!L372="Dishuquan C",33,IF(Atletas!L372="Dishuquan D",34,IF(Atletas!L372="Dishuquan E",35,IF(Atletas!L372="Dishuquan F",36,""))))))))))))))))))))))))))))))))))))))</f>
        <v/>
      </c>
      <c r="BS381" s="50" t="str">
        <f>IF(Atletas!M372="","",IF(Atletas!X372&lt;&gt;"",10000,0)+(IF(Atletas!B372="Feminino",1000,IF(Atletas!B372="Masculino",2000,""))+(IF(Atletas!M372="Chaquan A",101,IF(Atletas!M372="Emeiquan A",102,IF(Atletas!M372="Fanziquan A",103,IF(Atletas!M372="Huaquan A",104,IF(Atletas!M372="Hongquan A",105,IF(Atletas!M372="Paoquan A",106,IF(Atletas!M372="Piguaquan A",107,IF(Atletas!M372="Shaolinquan A",108,IF(Atletas!M372="Tanglangquan A",109,IF(Atletas!M372="Yingzhaoquan A",110,IF(Atletas!M372="Tongbeiquan A",111,IF(Atletas!M372="Wudangquan A",112,IF(Atletas!M372="Outros Estilos A",113,IF(Atletas!M372="Chaquan B",114,IF(Atletas!M372="Emeiquan B",115,IF(Atletas!M372="Fanziquan B",116,IF(Atletas!M372="Huaquan B",117,IF(Atletas!M372="Hongquan B",118,IF(Atletas!M372="Paoquan B",119,IF(Atletas!M372="Piguaquan B",120,IF(Atletas!M372="Shaolinquan B",121,IF(Atletas!M372="Tanglangquan B",122,IF(Atletas!M372="Yingzhaoquan B",123,IF(Atletas!M372="Tongbeiquan B",124,IF(Atletas!M372="Wudangquan B",125,IF(Atletas!M372="Outros Estilos B",126,IF(Atletas!M372="Chaquan C",127,IF(Atletas!M372="Emeiquan C",128,IF(Atletas!M372="Fanziquan C",129,IF(Atletas!M372="Huaquan C",130,IF(Atletas!M372="Hongquan C",131,IF(Atletas!M372="Paoquan C",132,IF(Atletas!M372="Piguaquan C",133,IF(Atletas!M372="Shaolinquan C",134,IF(Atletas!M372="Tanglangquan C",135,IF(Atletas!M372="Yingzhaoquan C",136,IF(Atletas!M372="Tongbeiquan C",137,IF(Atletas!M372="Wudangquan C",138,IF(Atletas!M372="Outros Estilos C",139,0))))))))))))))))))))))))))))))))))))))))))</f>
        <v/>
      </c>
      <c r="BT381" s="50" t="str">
        <f>IF(Atletas!M372="","",IF(Atletas!X372&lt;&gt;"",10000,0)+(IF(Atletas!B372="Feminino",1000,IF(Atletas!B372="Masculino",2000,""))+(IF(Atletas!M372="Chaquan D",140,IF(Atletas!M372="Emeiquan D",141,IF(Atletas!M372="Fanziquan D",142,IF(Atletas!M372="Huaquan D",143,IF(Atletas!M372="Hongquan D",144,IF(Atletas!M372="Paoquan D",145,IF(Atletas!M372="Piguaquan D",146,IF(Atletas!M372="Shaolinquan D",147,IF(Atletas!M372="Tanglangquan D",148,IF(Atletas!M372="Yingzhaoquan D",149,IF(Atletas!M372="Tongbeiquan D",150,IF(Atletas!M372="Wudangquan D",151,IF(Atletas!M372="Outros Estilos D",152,IF(Atletas!M372="Chaquan E",153,IF(Atletas!M372="Emeiquan E",154,IF(Atletas!M372="Fanziquan E",155,IF(Atletas!M372="Huaquan E",156,IF(Atletas!M372="Hongquan E",157,IF(Atletas!M372="Paoquan E",158,IF(Atletas!M372="Piguaquan E",159,IF(Atletas!M372="Shaolinquan E",160,IF(Atletas!M372="Tanglangquan E",161,IF(Atletas!M372="Yingzhaoquan E",162,IF(Atletas!M372="Tongbeiquan E",163,IF(Atletas!M372="Wudangquan E",164,IF(Atletas!M372="Outros Estilos E",165,IF(Atletas!M372="Chaquan F",166,IF(Atletas!M372="Emeiquan F",167,IF(Atletas!M372="Fanziquan F",168,IF(Atletas!M372="Huaquan F",169,IF(Atletas!M372="Hongquan F",170,IF(Atletas!M372="Paoquan F",171,IF(Atletas!M372="Piguaquan F",172,IF(Atletas!M372="Shaolinquan F",173,IF(Atletas!M372="Tanglangquan F",174,IF(Atletas!M372="Yingzhaoquan F",175,IF(Atletas!M372="Tongbeiquan F",176,IF(Atletas!M372="Wudangquan F",177,IF(Atletas!M372="Outros Estilos F",178,0))))))))))))))))))))))))))))))))))))))))))</f>
        <v/>
      </c>
      <c r="BU381" s="50" t="str">
        <f>IF(Atletas!N372="","",IF(Atletas!X372&lt;&gt;"",10000,0)+(IF(Atletas!B372="Feminino",1000,IF(Atletas!B372="Masculino",2000,""))+(IF(Atletas!N372="Ditangquan A",201,IF(Atletas!N372="Houquan A",202,IF(Atletas!N372="Zuiquan A",203,IF(Atletas!N372="Ditangquan B",204,IF(Atletas!N372="Houquan B",205,IF(Atletas!N372="Zuiquan B",206,IF(Atletas!N372="Ditangquan C",207,IF(Atletas!N372="Houquan C",208,IF(Atletas!N372="Zuiquan C",209,IF(Atletas!N372="Ditangquan D",210,IF(Atletas!N372="Houquan D",211,IF(Atletas!N372="Zuiquan D",212,IF(Atletas!N372="Ditangquan E",213,IF(Atletas!N372="Houquan E",214,IF(Atletas!N372="Zuiquan E",215,IF(Atletas!N372="Ditangquan F",216,IF(Atletas!N372="Houquan F",217,IF(Atletas!N372="Zuiquan F",218,"")))))))))))))))))))))</f>
        <v/>
      </c>
      <c r="BV381" s="50" t="str">
        <f>IF(Atletas!O372="","",IF(Atletas!X372&lt;&gt;"",10000,0)+IF(Atletas!B372="Feminino",1000,IF(Atletas!B372="Masculino",2000,""))+IF(Atletas!O372="Yang A",301,IF(Atletas!O372="Chen A",302,IF(Atletas!O372="Sun A",303,IF(Atletas!O372="Wu A",304,IF(Atletas!O372="Wu-Hao A",305,IF(Atletas!O372="Outro Taijiquan A",306,IF(Atletas!O372="Yang B",307,IF(Atletas!O372="Chen B",308,IF(Atletas!O372="Sun B",309,IF(Atletas!O372="Wu B",310,IF(Atletas!O372="Wu-Hao B",311,IF(Atletas!O372="Outro Taijiquan B",312,IF(Atletas!O372="Yang C",313,IF(Atletas!O372="Chen C",314,IF(Atletas!O372="Sun C",315,IF(Atletas!O372="Wu C",316,IF(Atletas!O372="Wu-Hao C",317,IF(Atletas!O372="Outro Taijiquan C",318,IF(Atletas!O372="Yang D",319,IF(Atletas!O372="Chen D",320,IF(Atletas!O372="Sun D",321,IF(Atletas!O372="Wu D",322,IF(Atletas!O372="Wu-Hao D",323,IF(Atletas!O372="Outro Taijiquan D",324,IF(Atletas!O372="Yang E",325,IF(Atletas!O372="Chen E",326,IF(Atletas!O372="Sun E",327,IF(Atletas!O372="Wu E",328,IF(Atletas!O372="Wu-Hao E",329,IF(Atletas!O372="Outro Taijiquan E",330,IF(Atletas!O372="Yang F",331,IF(Atletas!O372="Chen F",332,IF(Atletas!O372="Sun F",333,IF(Atletas!O372="Wu F",334,IF(Atletas!O372="Wu-Hao F",335,IF(Atletas!O372="Outro Taijiquan F",336,"")))))))))))))))))))))))))))))))))))))</f>
        <v/>
      </c>
      <c r="BW381" s="50" t="str">
        <f>IF(Atletas!P372="","",IF(Atletas!X372&lt;&gt;"",10000,0)+IF(Atletas!B372="Feminino",1000,IF(Atletas!B372="Masculino",2000,""))+IF(OR(Atletas!P372="Yang 26 A",Atletas!P372="Yang 40 A"),401,IF(OR(Atletas!P372="Chen 25 A",Atletas!P372="Chen 36 A",Atletas!P372="Chen 56 A"),402,IF(Atletas!P372="Sun 73 A",403,IF(Atletas!P372="Wu 45 A",404,IF(Atletas!P372="Wu-Hao 46 A",405,IF(OR(Atletas!P372="Taijiquan 16 A",Atletas!P372="Taijiquan 24 A",Atletas!P372="Taijiquan 32 A",Atletas!P372="Taijiquan 42 A"),406,IF(OR(Atletas!P372="Yang 26 B",Atletas!P372="Yang 40 B"),407,IF(OR(Atletas!P372="Chen 25 B",Atletas!P372="Chen 36 B",Atletas!P372="Chen 56 B"),408,IF(Atletas!P372="Sun 73 B",409,IF(Atletas!P372="Wu 45 B",410,IF(Atletas!P372="Wu-Hao 46 B",411,IF(OR(Atletas!P372="Taijiquan 16 B",Atletas!P372="Taijiquan 24 B",Atletas!P372="Taijiquan 32 B",Atletas!P372="Taijiquan 42 B"),412,IF(OR(Atletas!P372="Yang 26 C",Atletas!P372="Yang 40 C"),413,IF(OR(Atletas!P372="Chen 25 C",Atletas!P372="Chen 36 C",Atletas!P372="Chen 56 C"),414,IF(Atletas!P372="Sun 73 C",415,IF(Atletas!P372="Wu 45 C",416,IF(Atletas!P372="Wu-Hao 46 C",417,IF(OR(Atletas!P372="Taijiquan 16 C",Atletas!P372="Taijiquan 24 C",Atletas!P372="Taijiquan 32 C",Atletas!P372="Taijiquan 42 C"),418,0)))))))))))))))))))</f>
        <v/>
      </c>
      <c r="BX381" s="50" t="str">
        <f>IF(Atletas!P372="","",IF(Atletas!X372&lt;&gt;"",10000,0)+IF(Atletas!B372="Feminino",1000,IF(Atletas!B372="Masculino",2000,""))+IF(OR(Atletas!P372="Yang 26 D",Atletas!P372="Yang 40 D"),419,IF(OR(Atletas!P372="Chen 25 D",Atletas!P372="Chen 36 D",Atletas!P372="Chen 56 D"),420,IF(Atletas!P372="Sun 73 D",421,IF(Atletas!P372="Wu 45 D",422,IF(Atletas!P372="Wu-Hao 46 D",423,IF(OR(Atletas!P372="Taijiquan 16 D",Atletas!P372="Taijiquan 24 D",Atletas!P372="Taijiquan 32 D",Atletas!P372="Taijiquan 42 D"),424,IF(OR(Atletas!P372="Yang 26 E",Atletas!P372="Yang 40 E"),425,IF(OR(Atletas!P372="Chen 25 E",Atletas!P372="Chen 36 E",Atletas!P372="Chen 56 E"),426,IF(Atletas!P372="Sun 73 E",427,IF(Atletas!P372="Wu 45 E",428,IF(Atletas!P372="Wu-Hao 46 E",429,IF(OR(Atletas!P372="Taijiquan 16 E",Atletas!P372="Taijiquan 24 E",Atletas!P372="Taijiquan 32 E",Atletas!P372="Taijiquan 42 E"),430,IF(OR(Atletas!P372="Yang 26 F",Atletas!P372="Yang 40 F"),431,IF(OR(Atletas!P372="Chen 25 F",Atletas!P372="Chen 36 F",Atletas!P372="Chen 56 F"),432,IF(Atletas!P372="Sun 73 F",433,IF(Atletas!P372="Wu 45 F",434,IF(Atletas!P372="Wu-Hao 46 F",435,IF(OR(Atletas!P372="Taijiquan 16 F",Atletas!P372="Taijiquan 24 F",Atletas!P372="Taijiquan 32 F",Atletas!P372="Taijiquan 42 F"),436,0)))))))))))))))))))</f>
        <v/>
      </c>
      <c r="BY381" s="50" t="str">
        <f>IF(Atletas!Q372="","",IF(Atletas!X372&lt;&gt;"",10000,0)+IF(Atletas!B372="Feminino",1000,IF(Atletas!B372="Masculino",2000,""))+IF(Atletas!Q372="Xingyiquan A",501,IF(Atletas!Q372="Baguazhang A",502,IF(Atletas!Q372="Outro Estilo Interno A",503,IF(Atletas!Q372="Xingyiquan B",504,IF(Atletas!Q372="Baguazhang B",505,IF(Atletas!Q372="Outro Estilo Interno B",506,IF(Atletas!Q372="Xingyiquan C",507,IF(Atletas!Q372="Baguazhang C",508,IF(Atletas!Q372="Outro Estilo Interno C",509,IF(Atletas!Q372="Xingyiquan D",510,IF(Atletas!Q372="Baguazhang D",511,IF(Atletas!Q372="Outro Estilo Interno D",512,IF(Atletas!Q372="Xingyiquan E",513,IF(Atletas!Q372="Baguazhang E",514,IF(Atletas!Q372="Outro Estilo Interno E",515,IF(Atletas!Q372="Xingyiquan F",516,IF(Atletas!Q372="Baguazhang F",517,IF(Atletas!Q372="Outro Estilo Interno F",518, "")))))))))))))))))))</f>
        <v/>
      </c>
      <c r="BZ381" s="50" t="str">
        <f>IF(Atletas!R372="","",IF(Atletas!X372&lt;&gt;"",10000,0)+IF(Atletas!B372="Feminino",1000,IF(Atletas!B372="Masculino",2000,""))+IF(Atletas!R372="Dao A",601,IF(Atletas!R372="Jian A",602,IF(Atletas!R372="Bishou A",603,IF(Atletas!R372="Shanzi A",604,IF(Atletas!R372="Outra Arma Curta A",605,IF(Atletas!R372="Dao B",606,IF(Atletas!R372="Jian B",607,IF(Atletas!R372="Bishou B",608,IF(Atletas!R372="Shanzi B",609,IF(Atletas!R372="Outra Arma Curta B",610,IF(Atletas!R372="Dao C",611,IF(Atletas!R372="Jian C",612,IF(Atletas!R372="Bishou C",613,IF(Atletas!R372="Shanzi C",614,IF(Atletas!R372="Outra Arma Curta C",615,IF(Atletas!R372="Dao D",616,IF(Atletas!R372="Jian D",617,IF(Atletas!R372="Bishou D",618,IF(Atletas!R372="Shanzi D",619,IF(Atletas!R372="Outra Arma Curta D",620,IF(Atletas!R372="Dao E",621,IF(Atletas!R372="Jian E",622,IF(Atletas!R372="Bishou E",623,IF(Atletas!R372="Shanzi E",624,IF(Atletas!R372="Outra Arma Curta E",625,IF(Atletas!R372="Dao F",626,IF(Atletas!R372="Jian F",627,IF(Atletas!R372="Bishou F",628,IF(Atletas!R372="Shanzi F",629,IF(Atletas!R372="Outra Arma Curta F",630, "")))))))))))))))))))))))))))))))</f>
        <v/>
      </c>
      <c r="CA381" s="50" t="str">
        <f>IF(Atletas!S372="","",IF(Atletas!X372&lt;&gt;"",10000,0)+IF(Atletas!B372="Feminino",1000,IF(Atletas!B372="Masculino",2000,""))+IF(Atletas!S372="Gun A",701,IF(Atletas!S372="Qiang A",702,IF(Atletas!S372="Pudao / Guandao A",703,IF(Atletas!S372="Outra Arma Longa A",704,IF(Atletas!S372="Gun B",705,IF(Atletas!S372="Qiang B",706,IF(Atletas!S372="Pudao / Guandao B",707,IF(Atletas!S372="Outra Arma Longa B",708,IF(Atletas!S372="Gun C",709,IF(Atletas!S372="Qiang C",710,IF(Atletas!S372="Pudao / Guandao C",711,IF(Atletas!S372="Outra Arma Longa C",712,IF(Atletas!S372="Gun D",713,IF(Atletas!S372="Qiang D",714,IF(Atletas!S372="Pudao / Guandao D",715,IF(Atletas!S372="Outra Arma Longa D",716,IF(Atletas!S372="Gun E",717,IF(Atletas!S372="Qiang E",718,IF(Atletas!S372="Pudao / Guandao E",719,IF(Atletas!S372="Outra Arma Longa E",720,IF(Atletas!S372="Gun F",721,IF(Atletas!S372="Qiang F",722,IF(Atletas!S372="Pudao / Guandao F",723,IF(Atletas!S372="Outra Arma Longa F",724,"")))))))))))))))))))))))))</f>
        <v/>
      </c>
      <c r="CB381" s="50" t="str">
        <f>IF(Atletas!T372="","",IF(Atletas!X372&lt;&gt;"",10000,0)+IF(Atletas!B372="Feminino",1000,IF(Atletas!B372="Masculino",2000,""))+IF(Atletas!T372="Outra Arma Dupla A",801,IF(Atletas!T372="Arma Maleável A",802,IF(Atletas!T372="Outra Arma Dupla B",803,IF(Atletas!T372="Arma Maleável B",804,IF(Atletas!T372="Outra Arma Dupla C",805,IF(Atletas!T372="Arma Maleável C",806,IF(Atletas!T372="Outra Arma Dupla D",807,IF(Atletas!T372="Arma Maleável D",808,IF(Atletas!T372="Outra Arma Dupla E",809,IF(Atletas!T372="Arma Maleável E",810,IF(Atletas!T372="Outra Arma Dupla F",811,IF(Atletas!T372="Arma Maleável F",812,IF(Atletas!T372="Shuangdao A",813,IF(Atletas!T372="Shuangdao B",814,IF(Atletas!T372="Shuangdao C",815,IF(Atletas!T372="Shuangdao D",816,IF(Atletas!T372="Shuangdao E",817,IF(Atletas!T372="Shuangdao F",818,"")))))))))))))))))))</f>
        <v/>
      </c>
      <c r="CC381" s="50" t="str">
        <f>IF(Atletas!U372="","",IF(Atletas!X372&lt;&gt;"",10000,0)+IF(Atletas!B372="Feminino",1000,IF(Atletas!B372="Masculino",2000,""))+IF(OR(Atletas!U372="Taijijian Yang A",Atletas!U372="Taijijian Yang Standard A"),901,IF(OR(Atletas!U372="Taijijian Chen A", Atletas!U372="Taijijian Chen Standard A"),902,IF(Atletas!U372="Taijijian Sun A",903,IF(Atletas!U372="Taijijian Wu A",904,IF(Atletas!U372="Taijijian Wu-Hao A",905,IF(OR(Atletas!U372="Taijijian 32 A",Atletas!U372="Taijijian 42 A"),906,IF(OR(Atletas!U372="Taijijian Yang B",Atletas!U372="Taijijian Yang Standard B"),907,IF(OR(Atletas!U372="Taijijian Chen B", Atletas!U372="Taijijian Chen Standard B"),908,IF(Atletas!U372="Taijijian Sun B",909,IF(Atletas!U372="Taijijian Wu B",910,IF(Atletas!U372="Taijijian Wu-Hao B",911,IF(OR(Atletas!U372="Taijijian 32 B",Atletas!U372="Taijijian 42 B"),912,IF(OR(Atletas!U372="Taijijian Yang C",Atletas!U372="Taijijian Yang Standard C"),913,IF(OR(Atletas!U372="Taijijian Chen C", Atletas!U372="Taijijian Chen Standard C"),914,IF(Atletas!U372="Taijijian Sun C",915,IF(Atletas!U372="Taijijian Wu C",916,IF(Atletas!U372="Taijijian Wu-Hao C",917,IF(OR(Atletas!U372="Taijijian 32 C",Atletas!U372="Taijijian 42 C"),918,IF(OR(Atletas!U372="Taijijian Yang D",Atletas!U372="Taijijian Yang Standard D"),919,IF(OR(Atletas!U372="Taijijian Chen D", Atletas!U372="Taijijian Chen Standard D"),920,IF(Atletas!U372="Taijijian Sun D",921,IF(Atletas!U372="Taijijian Wu D",922,IF(Atletas!U372="Taijijian Wu-Hao D",923,IF(OR(Atletas!U372="Taijijian 32 D",Atletas!U372="Taijijian 42 D"),924,IF(OR(Atletas!U372="Taijijian Yang E",Atletas!U372="Taijijian Yang Standard E"),925,IF(OR(Atletas!U372="Taijijian Chen E", Atletas!U372="Taijijian Chen Standard E"),926,IF(Atletas!U372="Taijijian Sun E",927,IF(Atletas!U372="Taijijian Wu E",928,IF(Atletas!U372="Taijijian Wu-Hao E",929,IF(OR(Atletas!U372="Taijijian 32 E",Atletas!U372="Taijijian 42 E"),930,IF(OR(Atletas!U372="Taijijian Yang F",Atletas!U372="Taijijian Yang Standard F"),931,IF(OR(Atletas!U372="Taijijian Chen F", Atletas!U372="Taijijian Chen Standard F"),932,IF(Atletas!U372="Taijijian Sun F",933,IF(Atletas!U372="Taijijian Wu F",934,IF(Atletas!U372="Taijijian Wu-Hao F",935,IF(OR(Atletas!U372="Taijijian 32 F",Atletas!U372="Taijijian 42 F"),936,"")))))))))))))))))))))))))))))))))))))</f>
        <v/>
      </c>
      <c r="CD381" s="50" t="str">
        <f>IF(Atletas!V372="","",IF(Atletas!X372&lt;&gt;"",10000,0)+IF(Atletas!B372="Feminino",1000,IF(Atletas!B372="Masculino",2000,""))+IF(Atletas!V372="Taijidao A",937,IF(Atletas!V372="TaijiShanzi A",938,IF(Atletas!V372="Taijiqiang A",939,IF(Atletas!V372="Bagua de Arma A",940,IF(Atletas!V372="Xingyi de Arma A",941,IF(Atletas!V372="Taijidao B",942,IF(Atletas!V372="TaijiShanzi B",943,IF(Atletas!V372="Taijiqiang B",944,IF(Atletas!V372="Bagua de Arma B",945,IF(Atletas!V372="Xingyi de Arma B",946,IF(Atletas!V372="Taijidao C",947,IF(Atletas!V372="TaijiShanzi C",948,IF(Atletas!V372="Taijiqiang C",949,IF(Atletas!V372="Bagua de Arma C",950,IF(Atletas!V372="Xingyi de Arma C",951,IF(Atletas!V372="Taijidao D",952,IF(Atletas!V372="TaijiShanzi D",953,IF(Atletas!V372="Taijiqiang D",954,IF(Atletas!V372="Bagua de Arma D",955,IF(Atletas!V372="Xingyi de Arma D",956,IF(Atletas!V372="Taijidao E",957,IF(Atletas!V372="TaijiShanzi E",958,IF(Atletas!V372="Taijiqiang E",959,IF(Atletas!V372="Bagua de Arma E",960,IF(Atletas!V372="Xingyi de Arma E",961,IF(Atletas!V372="Taijidao F",962,IF(Atletas!V372="TaijiShanzi F",963,IF(Atletas!V372="Taijiqiang F",964,IF(Atletas!V372="Bagua de Arma F",965,IF(Atletas!V372="Xingyi de Arma F",966,"")))))))))))))))))))))))))))))))</f>
        <v/>
      </c>
      <c r="CJ381" s="66"/>
      <c r="CL381" s="66"/>
      <c r="CM381" s="50" t="str">
        <f xml:space="preserve"> IF(Atletas!W372="","",IF(Atletas!W372="Duilian de Mãos BC - Equipe 1",1,IF(Atletas!W372="Duilian de Mãos BC - Equipe 2",2,IF(Atletas!W372="Duilian de Armas BC - Equipe 1",3,IF(Atletas!W372="Duilian de Armas BC - Equipe 2",4,IF(Atletas!W372="Duilian de Mãos DE - Equipe 1",5,IF(Atletas!W372="Duilian de Mãos DE - Equipe 2",6,IF(Atletas!W372="Duilian de Armas DE - Equipe 1",7,IF(Atletas!W372="Duilian de Armas DE - Equipe 2",8,IF(Atletas!W372="Duilian de Tuishou - Equipe 1",9,IF(Atletas!W372="Duilian de Tuishou - Equipe 2",10,IF(Atletas!W372="Grupo Externo ABC - Equipe 1",11,IF(Atletas!W372="Grupo Externo ABC - Equipe 2",12,IF(Atletas!W372="Grupo Interno ABC - Equipe 1",13,IF(Atletas!W372="Grupo Interno ABC - Equipe 2",14,IF(Atletas!W372="Grupo Externo DEF - Equipe 1",15,IF(Atletas!W372="Grupo Externo DEF - Equipe 2",16,IF(Atletas!W372="Grupo Interno DEF - Equipe 1",17,IF(Atletas!W372="Grupo Interno DEF - Equipe 2",18,"")))))))))))))))))))</f>
        <v/>
      </c>
    </row>
    <row r="382" spans="40:91">
      <c r="AN382" s="52" t="str">
        <f>IF(Atletas!D373="","",IF(Atletas!B373="Feminino",100,IF(Atletas!B373="Masculino",200,""))+(IF(Atletas!D373="Kids 30kg",1,IF(Atletas!D373="Kids 32kg",2, IF(Atletas!D373="Kids 34kg",3,IF(Atletas!D373="Kids 36kg",4,IF(Atletas!D373="Kids 39kg",5,IF(Atletas!D373="Kids 42kg",6,IF(Atletas!D373="Kids 45kg",7, IF(Atletas!D373="Infantil 39kg",8,IF(Atletas!D373="Infantil 42kg",9,IF(Atletas!D373="Infantil 45kg",10,IF(Atletas!D373="Infantil 48kg",11,IF(Atletas!D373="Infantil 52kg",12,IF(Atletas!D373="Infantil 56kg",13,IF(Atletas!D373="Infantil 60kg",14,IF(Atletas!D373="Juvenil 48kg",15,IF(Atletas!D373="Juvenil 52kg",16,IF(Atletas!D373="Juvenil 56kg",17,IF(Atletas!D373="Juvenil 60kg",18,IF(Atletas!D373="Juvenil 65kg",19,IF(Atletas!D373="Juvenil 70kg",20,IF(Atletas!D373="Juvenil 75kg",21,IF(Atletas!D373="Juvenil 80kg",22, IF(Atletas!D373="Juvenil 85kg",23,IF(Atletas!D373="Adulto 48kg",24,IF(Atletas!D373="Adulto 52kg",25,IF(Atletas!D373="Adulto 56kg",26,IF(Atletas!D373="Adulto 60kg",27,IF(Atletas!D373="Adulto 65kg",28,IF(Atletas!D373="Adulto 70kg",29,IF(Atletas!D373="Adulto 75kg",30,IF(Atletas!D373="Adulto 80kg",31,IF(Atletas!D373="Adulto 85kg",32,IF(Atletas!D373="Adulto 90kg",33,IF(Atletas!D373="Adulto 100kg",34, IF(Atletas!D373="Adulto +100kg",35,"")))))))))))))))))))))))))))))))))))))</f>
        <v/>
      </c>
      <c r="AS382" s="6" t="str">
        <f>IF(Atletas!E373="","",IF(Atletas!B373="Feminino",100,IF(Atletas!B373="Masculino",200,""))+(IF(Atletas!E373="Juvenil 44kg",1,IF(Atletas!E373="Juvenil 48kg",2,IF(Atletas!E373="Juvenil 52kg",3,IF(Atletas!E373="Juvenil 56kg",4,IF(Atletas!E373="Juvenil 60kg",5,IF(Atletas!E373="Juvenil 65kg",6,IF(Atletas!E373="Juvenil 70kg",7,IF(Atletas!E373="Juvenil 75kg",8,IF(Atletas!E373="Juvenil 82kg",9,IF(Atletas!E373="Juvenil 90kg",10,IF(Atletas!E373="Juvenil 100kg",11,IF(Atletas!E373="Adulto 48kg",12,IF(Atletas!E373="Adulto 52kg",13,IF(Atletas!E373="Adulto 56kg",14,IF(Atletas!E373="Adulto 60kg",15,IF(Atletas!E373="Adulto 65kg",16,IF(Atletas!E373="Adulto 70kg",17,IF(Atletas!E373="Adulto 75kg",18,IF(Atletas!E373="Adulto 82kg",19,IF(Atletas!E373="Adulto 90kg",20,IF(Atletas!E373="Adulto 100kg",21,IF(Atletas!E373="Adulto +100kg",22,""))))))))))))))))))))))))</f>
        <v/>
      </c>
      <c r="AX382" s="6" t="str">
        <f>IF(Atletas!F373="","",IF(Atletas!B373="Feminino",100,IF(Atletas!B373="Masculino",200,""))+(IF(Atletas!F373="Adulto 48kg",1,IF(Atletas!F373="Adulto 56kg",2,IF(Atletas!F373="Adulto 65kg",3,IF(Atletas!F373="Adulto 75kg",4,IF(Atletas!F373="Adulto +75kg",5,IF(Atletas!F373="Adulto 52kg",6,IF(Atletas!F373="Adulto 60kg",7,IF(Atletas!F373="Adulto 70kg",8,IF(Atletas!F373="Adulto 80kg",9,IF(Atletas!F373="Adulto 90kg",10,IF(Atletas!F373="Adulto +90kg",11,"")))))))))))))</f>
        <v/>
      </c>
      <c r="BC382" s="6" t="str">
        <f>IF(Atletas!G373="","",IF(Atletas!B373="Feminino",10,IF(Atletas!B373="Masculino",20,""))+(IF(Atletas!G373="Baduanjin A",1,IF(Atletas!G373="Baduanjin B",2))))</f>
        <v/>
      </c>
      <c r="BF382" s="52" t="str">
        <f>IF(Atletas!H373="","",IF(Atletas!B373="Feminino",100,IF(Atletas!B373="Masculino",200,""))+(IF(Atletas!H373="Changquan Mirim",1,IF(Atletas!H373="Nanquan Mirim",2,IF(Atletas!H373="Taijiquan Mirim",3,IF(Atletas!H373="Changquan Grupo C",4,IF(Atletas!H373="Nanquan Grupo C",5,IF(Atletas!H373="Taijiquan Grupo C",6,IF(Atletas!H373="Changquan Grupo B",7,IF(Atletas!H373="Nanquan Grupo B",8,IF(Atletas!H373="Taijiquan Grupo B",9,IF(Atletas!H373="Changquan Grupo A",10,IF(Atletas!H373="Nanquan Grupo A",11,IF(Atletas!H373="Taijiquan Grupo A",12,IF(Atletas!H373="Changquan Opcional",13,IF(Atletas!H373="Nanquan Opcional",14,IF(Atletas!H373="Taijiquan Opcional",15,IF(Atletas!H373="Changquan Adulto",16,IF(Atletas!H373="Nanquan Adulto",17,IF(Atletas!H373="Taijiquan Adulto",18,""))))))))))))))))))))</f>
        <v/>
      </c>
      <c r="BG382" s="52" t="str">
        <f>IF(Atletas!I373="","",IF(Atletas!B373="Feminino",100,IF(Atletas!B373="Masculino",200,""))+(IF(Atletas!I373="Daoshu Mirim",19,IF(Atletas!I373="Jianshu Mirim",20,IF(Atletas!I373="Nandao Mirim",21,IF(Atletas!I373="Taijijian Mirim",22,IF(Atletas!I373="Daoshu Grupo C",23,IF(Atletas!I373="Jianshu Grupo C",24,IF(Atletas!I373="Nandao Grupo C",25,IF(Atletas!I373="Taijijian Grupo C",26,IF(Atletas!I373="Daoshu Grupo B",27,IF(Atletas!I373="Jianshu Grupo B",28,IF(Atletas!I373="Nandao Grupo B",29,IF(Atletas!I373="Taijijian Grupo B",30,IF(Atletas!I373="Daoshu Grupo A",31,IF(Atletas!I373="Jianshu Grupo A",32,IF(Atletas!I373="Nandao Grupo A",33,IF(Atletas!I373="Taijijian Grupo A",34,IF(Atletas!I373="Daoshu Opcional",35,IF(Atletas!I373="Jianshu Opcional",36,IF(Atletas!I373="Nandao Opcional",37,IF(Atletas!I373="Taijijian Opcional",38,IF(Atletas!I373="Daoshu Adulto",39,IF(Atletas!I373="Jianshu Adulto",40,IF(Atletas!I373="Nandao Adulto",41,IF(Atletas!I373="Taijijian Adulto",42,""))))))))))))))))))))))))))</f>
        <v/>
      </c>
      <c r="BH382" s="52" t="str">
        <f>IF(Atletas!J373="","",IF(Atletas!B373="Feminino",100,IF(Atletas!B373="Masculino",200,""))+(IF(Atletas!J373="Gunshu Mirim",43,IF(Atletas!J373="Qiangshu Mirim",44,IF(Atletas!J373="Nangun Mirim",45,IF(Atletas!J373="Gunshu Grupo C",46,IF(Atletas!J373="Qiangshu Grupo C",47,IF(Atletas!J373="Nangun Grupo C",48,IF(Atletas!J373="Gunshu Grupo B",49,IF(Atletas!J373="Qiangshu Grupo B",50,IF(Atletas!J373="Nangun Grupo B",51,IF(Atletas!J373="Gunshu Grupo A",52,IF(Atletas!J373="Qiangshu Grupo A",53,IF(Atletas!J373="Nangun Grupo A",54,IF(Atletas!J373="Gunshu Opcional",55,IF(Atletas!J373="Qiangshu Opcional",56,IF(Atletas!J373="Nangun Opcional",57,IF(Atletas!J373="Gunshu Adulto",58,IF(Atletas!J373="Qiangshu Adulto",59,IF(Atletas!J373="Nangun Adulto",60,IF(Atletas!J373="Taijishan Grupo B",61,IF(Atletas!J373="Taijishan Grupo A",62,""))))))))))))))))))))))</f>
        <v/>
      </c>
      <c r="BM382" s="50" t="str">
        <f>IF(Atletas!K373="","",IF(Atletas!B373="Feminino",100,IF(Atletas!B373="Masculino",200,""))+(IF(Atletas!K373="Equipe 1 Grupo B",1,IF(Atletas!K373="Equipe 2 Grupo B",2,IF(Atletas!K373="Equipe 1 Grupo A",3,IF(Atletas!K373="Equipe 2 Grupo A",4,IF(Atletas!K373="Equipe 1 Adulto",5,IF(Atletas!K373="Equipe 2 Adulto",6,""))))))))</f>
        <v/>
      </c>
      <c r="BR382" s="50" t="str">
        <f>IF(Atletas!L373="","",IF(Atletas!X373&lt;&gt;"",10000,0)+(IF(Atletas!B373="Feminino",1000,IF(Atletas!B373="Masculino",2000,""))+IF(Atletas!L373="Choylayfut A",1,IF(Atletas!L373="Hunggar A",2,IF(Atletas!L373="Wuzuquan A",3,IF(Atletas!L373="Wingchun A",4,IF(Atletas!L373="Outra Mão de Sul A",5,IF(Atletas!L373="Choylayfut B",6,IF(Atletas!L373="Hunggar B",7,IF(Atletas!L373="Wuzuquan B",8,IF(Atletas!L373="Wingchun B",9,IF(Atletas!L373="Outra Mão de Sul B",10,IF(Atletas!L373="Choylayfut C",11,IF(Atletas!L373="Hunggar C",12,IF(Atletas!L373="Wuzuquan C",13,IF(Atletas!L373="Wingchun C",14,IF(Atletas!L373="Outra Mão de Sul C",15,IF(Atletas!L373="Choylayfut D",16,IF(Atletas!L373="Hunggar D",17,IF(Atletas!L373="Wuzuquan D",18,IF(Atletas!L373="Wingchun D",19,IF(Atletas!L373="Outra Mão de Sul D",20,IF(Atletas!L373="Choylayfut E",21,IF(Atletas!L373="Hunggar E",22,IF(Atletas!L373="Wuzuquan E",23,IF(Atletas!L373="Wingchun E",24,IF(Atletas!L373="Outra Mão de Sul E",25,IF(Atletas!L373="Choylayfut F",26,IF(Atletas!L373="Hunggar F",27,IF(Atletas!L373="Wuzuquan F",28,IF(Atletas!L373="Wingchun F",29,IF(Atletas!L373="Outra Mão de Sul F",30,IF(Atletas!L373="Dishuquan A",31,IF(Atletas!L373="Dishuquan B",32,IF(Atletas!L373="Dishuquan C",33,IF(Atletas!L373="Dishuquan D",34,IF(Atletas!L373="Dishuquan E",35,IF(Atletas!L373="Dishuquan F",36,""))))))))))))))))))))))))))))))))))))))</f>
        <v/>
      </c>
      <c r="BS382" s="50" t="str">
        <f>IF(Atletas!M373="","",IF(Atletas!X373&lt;&gt;"",10000,0)+(IF(Atletas!B373="Feminino",1000,IF(Atletas!B373="Masculino",2000,""))+(IF(Atletas!M373="Chaquan A",101,IF(Atletas!M373="Emeiquan A",102,IF(Atletas!M373="Fanziquan A",103,IF(Atletas!M373="Huaquan A",104,IF(Atletas!M373="Hongquan A",105,IF(Atletas!M373="Paoquan A",106,IF(Atletas!M373="Piguaquan A",107,IF(Atletas!M373="Shaolinquan A",108,IF(Atletas!M373="Tanglangquan A",109,IF(Atletas!M373="Yingzhaoquan A",110,IF(Atletas!M373="Tongbeiquan A",111,IF(Atletas!M373="Wudangquan A",112,IF(Atletas!M373="Outros Estilos A",113,IF(Atletas!M373="Chaquan B",114,IF(Atletas!M373="Emeiquan B",115,IF(Atletas!M373="Fanziquan B",116,IF(Atletas!M373="Huaquan B",117,IF(Atletas!M373="Hongquan B",118,IF(Atletas!M373="Paoquan B",119,IF(Atletas!M373="Piguaquan B",120,IF(Atletas!M373="Shaolinquan B",121,IF(Atletas!M373="Tanglangquan B",122,IF(Atletas!M373="Yingzhaoquan B",123,IF(Atletas!M373="Tongbeiquan B",124,IF(Atletas!M373="Wudangquan B",125,IF(Atletas!M373="Outros Estilos B",126,IF(Atletas!M373="Chaquan C",127,IF(Atletas!M373="Emeiquan C",128,IF(Atletas!M373="Fanziquan C",129,IF(Atletas!M373="Huaquan C",130,IF(Atletas!M373="Hongquan C",131,IF(Atletas!M373="Paoquan C",132,IF(Atletas!M373="Piguaquan C",133,IF(Atletas!M373="Shaolinquan C",134,IF(Atletas!M373="Tanglangquan C",135,IF(Atletas!M373="Yingzhaoquan C",136,IF(Atletas!M373="Tongbeiquan C",137,IF(Atletas!M373="Wudangquan C",138,IF(Atletas!M373="Outros Estilos C",139,0))))))))))))))))))))))))))))))))))))))))))</f>
        <v/>
      </c>
      <c r="BT382" s="50" t="str">
        <f>IF(Atletas!M373="","",IF(Atletas!X373&lt;&gt;"",10000,0)+(IF(Atletas!B373="Feminino",1000,IF(Atletas!B373="Masculino",2000,""))+(IF(Atletas!M373="Chaquan D",140,IF(Atletas!M373="Emeiquan D",141,IF(Atletas!M373="Fanziquan D",142,IF(Atletas!M373="Huaquan D",143,IF(Atletas!M373="Hongquan D",144,IF(Atletas!M373="Paoquan D",145,IF(Atletas!M373="Piguaquan D",146,IF(Atletas!M373="Shaolinquan D",147,IF(Atletas!M373="Tanglangquan D",148,IF(Atletas!M373="Yingzhaoquan D",149,IF(Atletas!M373="Tongbeiquan D",150,IF(Atletas!M373="Wudangquan D",151,IF(Atletas!M373="Outros Estilos D",152,IF(Atletas!M373="Chaquan E",153,IF(Atletas!M373="Emeiquan E",154,IF(Atletas!M373="Fanziquan E",155,IF(Atletas!M373="Huaquan E",156,IF(Atletas!M373="Hongquan E",157,IF(Atletas!M373="Paoquan E",158,IF(Atletas!M373="Piguaquan E",159,IF(Atletas!M373="Shaolinquan E",160,IF(Atletas!M373="Tanglangquan E",161,IF(Atletas!M373="Yingzhaoquan E",162,IF(Atletas!M373="Tongbeiquan E",163,IF(Atletas!M373="Wudangquan E",164,IF(Atletas!M373="Outros Estilos E",165,IF(Atletas!M373="Chaquan F",166,IF(Atletas!M373="Emeiquan F",167,IF(Atletas!M373="Fanziquan F",168,IF(Atletas!M373="Huaquan F",169,IF(Atletas!M373="Hongquan F",170,IF(Atletas!M373="Paoquan F",171,IF(Atletas!M373="Piguaquan F",172,IF(Atletas!M373="Shaolinquan F",173,IF(Atletas!M373="Tanglangquan F",174,IF(Atletas!M373="Yingzhaoquan F",175,IF(Atletas!M373="Tongbeiquan F",176,IF(Atletas!M373="Wudangquan F",177,IF(Atletas!M373="Outros Estilos F",178,0))))))))))))))))))))))))))))))))))))))))))</f>
        <v/>
      </c>
      <c r="BU382" s="50" t="str">
        <f>IF(Atletas!N373="","",IF(Atletas!X373&lt;&gt;"",10000,0)+(IF(Atletas!B373="Feminino",1000,IF(Atletas!B373="Masculino",2000,""))+(IF(Atletas!N373="Ditangquan A",201,IF(Atletas!N373="Houquan A",202,IF(Atletas!N373="Zuiquan A",203,IF(Atletas!N373="Ditangquan B",204,IF(Atletas!N373="Houquan B",205,IF(Atletas!N373="Zuiquan B",206,IF(Atletas!N373="Ditangquan C",207,IF(Atletas!N373="Houquan C",208,IF(Atletas!N373="Zuiquan C",209,IF(Atletas!N373="Ditangquan D",210,IF(Atletas!N373="Houquan D",211,IF(Atletas!N373="Zuiquan D",212,IF(Atletas!N373="Ditangquan E",213,IF(Atletas!N373="Houquan E",214,IF(Atletas!N373="Zuiquan E",215,IF(Atletas!N373="Ditangquan F",216,IF(Atletas!N373="Houquan F",217,IF(Atletas!N373="Zuiquan F",218,"")))))))))))))))))))))</f>
        <v/>
      </c>
      <c r="BV382" s="50" t="str">
        <f>IF(Atletas!O373="","",IF(Atletas!X373&lt;&gt;"",10000,0)+IF(Atletas!B373="Feminino",1000,IF(Atletas!B373="Masculino",2000,""))+IF(Atletas!O373="Yang A",301,IF(Atletas!O373="Chen A",302,IF(Atletas!O373="Sun A",303,IF(Atletas!O373="Wu A",304,IF(Atletas!O373="Wu-Hao A",305,IF(Atletas!O373="Outro Taijiquan A",306,IF(Atletas!O373="Yang B",307,IF(Atletas!O373="Chen B",308,IF(Atletas!O373="Sun B",309,IF(Atletas!O373="Wu B",310,IF(Atletas!O373="Wu-Hao B",311,IF(Atletas!O373="Outro Taijiquan B",312,IF(Atletas!O373="Yang C",313,IF(Atletas!O373="Chen C",314,IF(Atletas!O373="Sun C",315,IF(Atletas!O373="Wu C",316,IF(Atletas!O373="Wu-Hao C",317,IF(Atletas!O373="Outro Taijiquan C",318,IF(Atletas!O373="Yang D",319,IF(Atletas!O373="Chen D",320,IF(Atletas!O373="Sun D",321,IF(Atletas!O373="Wu D",322,IF(Atletas!O373="Wu-Hao D",323,IF(Atletas!O373="Outro Taijiquan D",324,IF(Atletas!O373="Yang E",325,IF(Atletas!O373="Chen E",326,IF(Atletas!O373="Sun E",327,IF(Atletas!O373="Wu E",328,IF(Atletas!O373="Wu-Hao E",329,IF(Atletas!O373="Outro Taijiquan E",330,IF(Atletas!O373="Yang F",331,IF(Atletas!O373="Chen F",332,IF(Atletas!O373="Sun F",333,IF(Atletas!O373="Wu F",334,IF(Atletas!O373="Wu-Hao F",335,IF(Atletas!O373="Outro Taijiquan F",336,"")))))))))))))))))))))))))))))))))))))</f>
        <v/>
      </c>
      <c r="BW382" s="50" t="str">
        <f>IF(Atletas!P373="","",IF(Atletas!X373&lt;&gt;"",10000,0)+IF(Atletas!B373="Feminino",1000,IF(Atletas!B373="Masculino",2000,""))+IF(OR(Atletas!P373="Yang 26 A",Atletas!P373="Yang 40 A"),401,IF(OR(Atletas!P373="Chen 25 A",Atletas!P373="Chen 36 A",Atletas!P373="Chen 56 A"),402,IF(Atletas!P373="Sun 73 A",403,IF(Atletas!P373="Wu 45 A",404,IF(Atletas!P373="Wu-Hao 46 A",405,IF(OR(Atletas!P373="Taijiquan 16 A",Atletas!P373="Taijiquan 24 A",Atletas!P373="Taijiquan 32 A",Atletas!P373="Taijiquan 42 A"),406,IF(OR(Atletas!P373="Yang 26 B",Atletas!P373="Yang 40 B"),407,IF(OR(Atletas!P373="Chen 25 B",Atletas!P373="Chen 36 B",Atletas!P373="Chen 56 B"),408,IF(Atletas!P373="Sun 73 B",409,IF(Atletas!P373="Wu 45 B",410,IF(Atletas!P373="Wu-Hao 46 B",411,IF(OR(Atletas!P373="Taijiquan 16 B",Atletas!P373="Taijiquan 24 B",Atletas!P373="Taijiquan 32 B",Atletas!P373="Taijiquan 42 B"),412,IF(OR(Atletas!P373="Yang 26 C",Atletas!P373="Yang 40 C"),413,IF(OR(Atletas!P373="Chen 25 C",Atletas!P373="Chen 36 C",Atletas!P373="Chen 56 C"),414,IF(Atletas!P373="Sun 73 C",415,IF(Atletas!P373="Wu 45 C",416,IF(Atletas!P373="Wu-Hao 46 C",417,IF(OR(Atletas!P373="Taijiquan 16 C",Atletas!P373="Taijiquan 24 C",Atletas!P373="Taijiquan 32 C",Atletas!P373="Taijiquan 42 C"),418,0)))))))))))))))))))</f>
        <v/>
      </c>
      <c r="BX382" s="50" t="str">
        <f>IF(Atletas!P373="","",IF(Atletas!X373&lt;&gt;"",10000,0)+IF(Atletas!B373="Feminino",1000,IF(Atletas!B373="Masculino",2000,""))+IF(OR(Atletas!P373="Yang 26 D",Atletas!P373="Yang 40 D"),419,IF(OR(Atletas!P373="Chen 25 D",Atletas!P373="Chen 36 D",Atletas!P373="Chen 56 D"),420,IF(Atletas!P373="Sun 73 D",421,IF(Atletas!P373="Wu 45 D",422,IF(Atletas!P373="Wu-Hao 46 D",423,IF(OR(Atletas!P373="Taijiquan 16 D",Atletas!P373="Taijiquan 24 D",Atletas!P373="Taijiquan 32 D",Atletas!P373="Taijiquan 42 D"),424,IF(OR(Atletas!P373="Yang 26 E",Atletas!P373="Yang 40 E"),425,IF(OR(Atletas!P373="Chen 25 E",Atletas!P373="Chen 36 E",Atletas!P373="Chen 56 E"),426,IF(Atletas!P373="Sun 73 E",427,IF(Atletas!P373="Wu 45 E",428,IF(Atletas!P373="Wu-Hao 46 E",429,IF(OR(Atletas!P373="Taijiquan 16 E",Atletas!P373="Taijiquan 24 E",Atletas!P373="Taijiquan 32 E",Atletas!P373="Taijiquan 42 E"),430,IF(OR(Atletas!P373="Yang 26 F",Atletas!P373="Yang 40 F"),431,IF(OR(Atletas!P373="Chen 25 F",Atletas!P373="Chen 36 F",Atletas!P373="Chen 56 F"),432,IF(Atletas!P373="Sun 73 F",433,IF(Atletas!P373="Wu 45 F",434,IF(Atletas!P373="Wu-Hao 46 F",435,IF(OR(Atletas!P373="Taijiquan 16 F",Atletas!P373="Taijiquan 24 F",Atletas!P373="Taijiquan 32 F",Atletas!P373="Taijiquan 42 F"),436,0)))))))))))))))))))</f>
        <v/>
      </c>
      <c r="BY382" s="50" t="str">
        <f>IF(Atletas!Q373="","",IF(Atletas!X373&lt;&gt;"",10000,0)+IF(Atletas!B373="Feminino",1000,IF(Atletas!B373="Masculino",2000,""))+IF(Atletas!Q373="Xingyiquan A",501,IF(Atletas!Q373="Baguazhang A",502,IF(Atletas!Q373="Outro Estilo Interno A",503,IF(Atletas!Q373="Xingyiquan B",504,IF(Atletas!Q373="Baguazhang B",505,IF(Atletas!Q373="Outro Estilo Interno B",506,IF(Atletas!Q373="Xingyiquan C",507,IF(Atletas!Q373="Baguazhang C",508,IF(Atletas!Q373="Outro Estilo Interno C",509,IF(Atletas!Q373="Xingyiquan D",510,IF(Atletas!Q373="Baguazhang D",511,IF(Atletas!Q373="Outro Estilo Interno D",512,IF(Atletas!Q373="Xingyiquan E",513,IF(Atletas!Q373="Baguazhang E",514,IF(Atletas!Q373="Outro Estilo Interno E",515,IF(Atletas!Q373="Xingyiquan F",516,IF(Atletas!Q373="Baguazhang F",517,IF(Atletas!Q373="Outro Estilo Interno F",518, "")))))))))))))))))))</f>
        <v/>
      </c>
      <c r="BZ382" s="50" t="str">
        <f>IF(Atletas!R373="","",IF(Atletas!X373&lt;&gt;"",10000,0)+IF(Atletas!B373="Feminino",1000,IF(Atletas!B373="Masculino",2000,""))+IF(Atletas!R373="Dao A",601,IF(Atletas!R373="Jian A",602,IF(Atletas!R373="Bishou A",603,IF(Atletas!R373="Shanzi A",604,IF(Atletas!R373="Outra Arma Curta A",605,IF(Atletas!R373="Dao B",606,IF(Atletas!R373="Jian B",607,IF(Atletas!R373="Bishou B",608,IF(Atletas!R373="Shanzi B",609,IF(Atletas!R373="Outra Arma Curta B",610,IF(Atletas!R373="Dao C",611,IF(Atletas!R373="Jian C",612,IF(Atletas!R373="Bishou C",613,IF(Atletas!R373="Shanzi C",614,IF(Atletas!R373="Outra Arma Curta C",615,IF(Atletas!R373="Dao D",616,IF(Atletas!R373="Jian D",617,IF(Atletas!R373="Bishou D",618,IF(Atletas!R373="Shanzi D",619,IF(Atletas!R373="Outra Arma Curta D",620,IF(Atletas!R373="Dao E",621,IF(Atletas!R373="Jian E",622,IF(Atletas!R373="Bishou E",623,IF(Atletas!R373="Shanzi E",624,IF(Atletas!R373="Outra Arma Curta E",625,IF(Atletas!R373="Dao F",626,IF(Atletas!R373="Jian F",627,IF(Atletas!R373="Bishou F",628,IF(Atletas!R373="Shanzi F",629,IF(Atletas!R373="Outra Arma Curta F",630, "")))))))))))))))))))))))))))))))</f>
        <v/>
      </c>
      <c r="CA382" s="50" t="str">
        <f>IF(Atletas!S373="","",IF(Atletas!X373&lt;&gt;"",10000,0)+IF(Atletas!B373="Feminino",1000,IF(Atletas!B373="Masculino",2000,""))+IF(Atletas!S373="Gun A",701,IF(Atletas!S373="Qiang A",702,IF(Atletas!S373="Pudao / Guandao A",703,IF(Atletas!S373="Outra Arma Longa A",704,IF(Atletas!S373="Gun B",705,IF(Atletas!S373="Qiang B",706,IF(Atletas!S373="Pudao / Guandao B",707,IF(Atletas!S373="Outra Arma Longa B",708,IF(Atletas!S373="Gun C",709,IF(Atletas!S373="Qiang C",710,IF(Atletas!S373="Pudao / Guandao C",711,IF(Atletas!S373="Outra Arma Longa C",712,IF(Atletas!S373="Gun D",713,IF(Atletas!S373="Qiang D",714,IF(Atletas!S373="Pudao / Guandao D",715,IF(Atletas!S373="Outra Arma Longa D",716,IF(Atletas!S373="Gun E",717,IF(Atletas!S373="Qiang E",718,IF(Atletas!S373="Pudao / Guandao E",719,IF(Atletas!S373="Outra Arma Longa E",720,IF(Atletas!S373="Gun F",721,IF(Atletas!S373="Qiang F",722,IF(Atletas!S373="Pudao / Guandao F",723,IF(Atletas!S373="Outra Arma Longa F",724,"")))))))))))))))))))))))))</f>
        <v/>
      </c>
      <c r="CB382" s="50" t="str">
        <f>IF(Atletas!T373="","",IF(Atletas!X373&lt;&gt;"",10000,0)+IF(Atletas!B373="Feminino",1000,IF(Atletas!B373="Masculino",2000,""))+IF(Atletas!T373="Outra Arma Dupla A",801,IF(Atletas!T373="Arma Maleável A",802,IF(Atletas!T373="Outra Arma Dupla B",803,IF(Atletas!T373="Arma Maleável B",804,IF(Atletas!T373="Outra Arma Dupla C",805,IF(Atletas!T373="Arma Maleável C",806,IF(Atletas!T373="Outra Arma Dupla D",807,IF(Atletas!T373="Arma Maleável D",808,IF(Atletas!T373="Outra Arma Dupla E",809,IF(Atletas!T373="Arma Maleável E",810,IF(Atletas!T373="Outra Arma Dupla F",811,IF(Atletas!T373="Arma Maleável F",812,IF(Atletas!T373="Shuangdao A",813,IF(Atletas!T373="Shuangdao B",814,IF(Atletas!T373="Shuangdao C",815,IF(Atletas!T373="Shuangdao D",816,IF(Atletas!T373="Shuangdao E",817,IF(Atletas!T373="Shuangdao F",818,"")))))))))))))))))))</f>
        <v/>
      </c>
      <c r="CC382" s="50" t="str">
        <f>IF(Atletas!U373="","",IF(Atletas!X373&lt;&gt;"",10000,0)+IF(Atletas!B373="Feminino",1000,IF(Atletas!B373="Masculino",2000,""))+IF(OR(Atletas!U373="Taijijian Yang A",Atletas!U373="Taijijian Yang Standard A"),901,IF(OR(Atletas!U373="Taijijian Chen A", Atletas!U373="Taijijian Chen Standard A"),902,IF(Atletas!U373="Taijijian Sun A",903,IF(Atletas!U373="Taijijian Wu A",904,IF(Atletas!U373="Taijijian Wu-Hao A",905,IF(OR(Atletas!U373="Taijijian 32 A",Atletas!U373="Taijijian 42 A"),906,IF(OR(Atletas!U373="Taijijian Yang B",Atletas!U373="Taijijian Yang Standard B"),907,IF(OR(Atletas!U373="Taijijian Chen B", Atletas!U373="Taijijian Chen Standard B"),908,IF(Atletas!U373="Taijijian Sun B",909,IF(Atletas!U373="Taijijian Wu B",910,IF(Atletas!U373="Taijijian Wu-Hao B",911,IF(OR(Atletas!U373="Taijijian 32 B",Atletas!U373="Taijijian 42 B"),912,IF(OR(Atletas!U373="Taijijian Yang C",Atletas!U373="Taijijian Yang Standard C"),913,IF(OR(Atletas!U373="Taijijian Chen C", Atletas!U373="Taijijian Chen Standard C"),914,IF(Atletas!U373="Taijijian Sun C",915,IF(Atletas!U373="Taijijian Wu C",916,IF(Atletas!U373="Taijijian Wu-Hao C",917,IF(OR(Atletas!U373="Taijijian 32 C",Atletas!U373="Taijijian 42 C"),918,IF(OR(Atletas!U373="Taijijian Yang D",Atletas!U373="Taijijian Yang Standard D"),919,IF(OR(Atletas!U373="Taijijian Chen D", Atletas!U373="Taijijian Chen Standard D"),920,IF(Atletas!U373="Taijijian Sun D",921,IF(Atletas!U373="Taijijian Wu D",922,IF(Atletas!U373="Taijijian Wu-Hao D",923,IF(OR(Atletas!U373="Taijijian 32 D",Atletas!U373="Taijijian 42 D"),924,IF(OR(Atletas!U373="Taijijian Yang E",Atletas!U373="Taijijian Yang Standard E"),925,IF(OR(Atletas!U373="Taijijian Chen E", Atletas!U373="Taijijian Chen Standard E"),926,IF(Atletas!U373="Taijijian Sun E",927,IF(Atletas!U373="Taijijian Wu E",928,IF(Atletas!U373="Taijijian Wu-Hao E",929,IF(OR(Atletas!U373="Taijijian 32 E",Atletas!U373="Taijijian 42 E"),930,IF(OR(Atletas!U373="Taijijian Yang F",Atletas!U373="Taijijian Yang Standard F"),931,IF(OR(Atletas!U373="Taijijian Chen F", Atletas!U373="Taijijian Chen Standard F"),932,IF(Atletas!U373="Taijijian Sun F",933,IF(Atletas!U373="Taijijian Wu F",934,IF(Atletas!U373="Taijijian Wu-Hao F",935,IF(OR(Atletas!U373="Taijijian 32 F",Atletas!U373="Taijijian 42 F"),936,"")))))))))))))))))))))))))))))))))))))</f>
        <v/>
      </c>
      <c r="CD382" s="50" t="str">
        <f>IF(Atletas!V373="","",IF(Atletas!X373&lt;&gt;"",10000,0)+IF(Atletas!B373="Feminino",1000,IF(Atletas!B373="Masculino",2000,""))+IF(Atletas!V373="Taijidao A",937,IF(Atletas!V373="TaijiShanzi A",938,IF(Atletas!V373="Taijiqiang A",939,IF(Atletas!V373="Bagua de Arma A",940,IF(Atletas!V373="Xingyi de Arma A",941,IF(Atletas!V373="Taijidao B",942,IF(Atletas!V373="TaijiShanzi B",943,IF(Atletas!V373="Taijiqiang B",944,IF(Atletas!V373="Bagua de Arma B",945,IF(Atletas!V373="Xingyi de Arma B",946,IF(Atletas!V373="Taijidao C",947,IF(Atletas!V373="TaijiShanzi C",948,IF(Atletas!V373="Taijiqiang C",949,IF(Atletas!V373="Bagua de Arma C",950,IF(Atletas!V373="Xingyi de Arma C",951,IF(Atletas!V373="Taijidao D",952,IF(Atletas!V373="TaijiShanzi D",953,IF(Atletas!V373="Taijiqiang D",954,IF(Atletas!V373="Bagua de Arma D",955,IF(Atletas!V373="Xingyi de Arma D",956,IF(Atletas!V373="Taijidao E",957,IF(Atletas!V373="TaijiShanzi E",958,IF(Atletas!V373="Taijiqiang E",959,IF(Atletas!V373="Bagua de Arma E",960,IF(Atletas!V373="Xingyi de Arma E",961,IF(Atletas!V373="Taijidao F",962,IF(Atletas!V373="TaijiShanzi F",963,IF(Atletas!V373="Taijiqiang F",964,IF(Atletas!V373="Bagua de Arma F",965,IF(Atletas!V373="Xingyi de Arma F",966,"")))))))))))))))))))))))))))))))</f>
        <v/>
      </c>
      <c r="CJ382" s="66"/>
      <c r="CL382" s="66"/>
      <c r="CM382" s="50" t="str">
        <f xml:space="preserve"> IF(Atletas!W373="","",IF(Atletas!W373="Duilian de Mãos BC - Equipe 1",1,IF(Atletas!W373="Duilian de Mãos BC - Equipe 2",2,IF(Atletas!W373="Duilian de Armas BC - Equipe 1",3,IF(Atletas!W373="Duilian de Armas BC - Equipe 2",4,IF(Atletas!W373="Duilian de Mãos DE - Equipe 1",5,IF(Atletas!W373="Duilian de Mãos DE - Equipe 2",6,IF(Atletas!W373="Duilian de Armas DE - Equipe 1",7,IF(Atletas!W373="Duilian de Armas DE - Equipe 2",8,IF(Atletas!W373="Duilian de Tuishou - Equipe 1",9,IF(Atletas!W373="Duilian de Tuishou - Equipe 2",10,IF(Atletas!W373="Grupo Externo ABC - Equipe 1",11,IF(Atletas!W373="Grupo Externo ABC - Equipe 2",12,IF(Atletas!W373="Grupo Interno ABC - Equipe 1",13,IF(Atletas!W373="Grupo Interno ABC - Equipe 2",14,IF(Atletas!W373="Grupo Externo DEF - Equipe 1",15,IF(Atletas!W373="Grupo Externo DEF - Equipe 2",16,IF(Atletas!W373="Grupo Interno DEF - Equipe 1",17,IF(Atletas!W373="Grupo Interno DEF - Equipe 2",18,"")))))))))))))))))))</f>
        <v/>
      </c>
    </row>
    <row r="383" spans="40:91">
      <c r="AN383" s="52" t="str">
        <f>IF(Atletas!D374="","",IF(Atletas!B374="Feminino",100,IF(Atletas!B374="Masculino",200,""))+(IF(Atletas!D374="Kids 30kg",1,IF(Atletas!D374="Kids 32kg",2, IF(Atletas!D374="Kids 34kg",3,IF(Atletas!D374="Kids 36kg",4,IF(Atletas!D374="Kids 39kg",5,IF(Atletas!D374="Kids 42kg",6,IF(Atletas!D374="Kids 45kg",7, IF(Atletas!D374="Infantil 39kg",8,IF(Atletas!D374="Infantil 42kg",9,IF(Atletas!D374="Infantil 45kg",10,IF(Atletas!D374="Infantil 48kg",11,IF(Atletas!D374="Infantil 52kg",12,IF(Atletas!D374="Infantil 56kg",13,IF(Atletas!D374="Infantil 60kg",14,IF(Atletas!D374="Juvenil 48kg",15,IF(Atletas!D374="Juvenil 52kg",16,IF(Atletas!D374="Juvenil 56kg",17,IF(Atletas!D374="Juvenil 60kg",18,IF(Atletas!D374="Juvenil 65kg",19,IF(Atletas!D374="Juvenil 70kg",20,IF(Atletas!D374="Juvenil 75kg",21,IF(Atletas!D374="Juvenil 80kg",22, IF(Atletas!D374="Juvenil 85kg",23,IF(Atletas!D374="Adulto 48kg",24,IF(Atletas!D374="Adulto 52kg",25,IF(Atletas!D374="Adulto 56kg",26,IF(Atletas!D374="Adulto 60kg",27,IF(Atletas!D374="Adulto 65kg",28,IF(Atletas!D374="Adulto 70kg",29,IF(Atletas!D374="Adulto 75kg",30,IF(Atletas!D374="Adulto 80kg",31,IF(Atletas!D374="Adulto 85kg",32,IF(Atletas!D374="Adulto 90kg",33,IF(Atletas!D374="Adulto 100kg",34, IF(Atletas!D374="Adulto +100kg",35,"")))))))))))))))))))))))))))))))))))))</f>
        <v/>
      </c>
      <c r="AS383" s="6" t="str">
        <f>IF(Atletas!E374="","",IF(Atletas!B374="Feminino",100,IF(Atletas!B374="Masculino",200,""))+(IF(Atletas!E374="Juvenil 44kg",1,IF(Atletas!E374="Juvenil 48kg",2,IF(Atletas!E374="Juvenil 52kg",3,IF(Atletas!E374="Juvenil 56kg",4,IF(Atletas!E374="Juvenil 60kg",5,IF(Atletas!E374="Juvenil 65kg",6,IF(Atletas!E374="Juvenil 70kg",7,IF(Atletas!E374="Juvenil 75kg",8,IF(Atletas!E374="Juvenil 82kg",9,IF(Atletas!E374="Juvenil 90kg",10,IF(Atletas!E374="Juvenil 100kg",11,IF(Atletas!E374="Adulto 48kg",12,IF(Atletas!E374="Adulto 52kg",13,IF(Atletas!E374="Adulto 56kg",14,IF(Atletas!E374="Adulto 60kg",15,IF(Atletas!E374="Adulto 65kg",16,IF(Atletas!E374="Adulto 70kg",17,IF(Atletas!E374="Adulto 75kg",18,IF(Atletas!E374="Adulto 82kg",19,IF(Atletas!E374="Adulto 90kg",20,IF(Atletas!E374="Adulto 100kg",21,IF(Atletas!E374="Adulto +100kg",22,""))))))))))))))))))))))))</f>
        <v/>
      </c>
      <c r="AX383" s="6" t="str">
        <f>IF(Atletas!F374="","",IF(Atletas!B374="Feminino",100,IF(Atletas!B374="Masculino",200,""))+(IF(Atletas!F374="Adulto 48kg",1,IF(Atletas!F374="Adulto 56kg",2,IF(Atletas!F374="Adulto 65kg",3,IF(Atletas!F374="Adulto 75kg",4,IF(Atletas!F374="Adulto +75kg",5,IF(Atletas!F374="Adulto 52kg",6,IF(Atletas!F374="Adulto 60kg",7,IF(Atletas!F374="Adulto 70kg",8,IF(Atletas!F374="Adulto 80kg",9,IF(Atletas!F374="Adulto 90kg",10,IF(Atletas!F374="Adulto +90kg",11,"")))))))))))))</f>
        <v/>
      </c>
      <c r="BC383" s="6" t="str">
        <f>IF(Atletas!G374="","",IF(Atletas!B374="Feminino",10,IF(Atletas!B374="Masculino",20,""))+(IF(Atletas!G374="Baduanjin A",1,IF(Atletas!G374="Baduanjin B",2))))</f>
        <v/>
      </c>
      <c r="BF383" s="52" t="str">
        <f>IF(Atletas!H374="","",IF(Atletas!B374="Feminino",100,IF(Atletas!B374="Masculino",200,""))+(IF(Atletas!H374="Changquan Mirim",1,IF(Atletas!H374="Nanquan Mirim",2,IF(Atletas!H374="Taijiquan Mirim",3,IF(Atletas!H374="Changquan Grupo C",4,IF(Atletas!H374="Nanquan Grupo C",5,IF(Atletas!H374="Taijiquan Grupo C",6,IF(Atletas!H374="Changquan Grupo B",7,IF(Atletas!H374="Nanquan Grupo B",8,IF(Atletas!H374="Taijiquan Grupo B",9,IF(Atletas!H374="Changquan Grupo A",10,IF(Atletas!H374="Nanquan Grupo A",11,IF(Atletas!H374="Taijiquan Grupo A",12,IF(Atletas!H374="Changquan Opcional",13,IF(Atletas!H374="Nanquan Opcional",14,IF(Atletas!H374="Taijiquan Opcional",15,IF(Atletas!H374="Changquan Adulto",16,IF(Atletas!H374="Nanquan Adulto",17,IF(Atletas!H374="Taijiquan Adulto",18,""))))))))))))))))))))</f>
        <v/>
      </c>
      <c r="BG383" s="52" t="str">
        <f>IF(Atletas!I374="","",IF(Atletas!B374="Feminino",100,IF(Atletas!B374="Masculino",200,""))+(IF(Atletas!I374="Daoshu Mirim",19,IF(Atletas!I374="Jianshu Mirim",20,IF(Atletas!I374="Nandao Mirim",21,IF(Atletas!I374="Taijijian Mirim",22,IF(Atletas!I374="Daoshu Grupo C",23,IF(Atletas!I374="Jianshu Grupo C",24,IF(Atletas!I374="Nandao Grupo C",25,IF(Atletas!I374="Taijijian Grupo C",26,IF(Atletas!I374="Daoshu Grupo B",27,IF(Atletas!I374="Jianshu Grupo B",28,IF(Atletas!I374="Nandao Grupo B",29,IF(Atletas!I374="Taijijian Grupo B",30,IF(Atletas!I374="Daoshu Grupo A",31,IF(Atletas!I374="Jianshu Grupo A",32,IF(Atletas!I374="Nandao Grupo A",33,IF(Atletas!I374="Taijijian Grupo A",34,IF(Atletas!I374="Daoshu Opcional",35,IF(Atletas!I374="Jianshu Opcional",36,IF(Atletas!I374="Nandao Opcional",37,IF(Atletas!I374="Taijijian Opcional",38,IF(Atletas!I374="Daoshu Adulto",39,IF(Atletas!I374="Jianshu Adulto",40,IF(Atletas!I374="Nandao Adulto",41,IF(Atletas!I374="Taijijian Adulto",42,""))))))))))))))))))))))))))</f>
        <v/>
      </c>
      <c r="BH383" s="52" t="str">
        <f>IF(Atletas!J374="","",IF(Atletas!B374="Feminino",100,IF(Atletas!B374="Masculino",200,""))+(IF(Atletas!J374="Gunshu Mirim",43,IF(Atletas!J374="Qiangshu Mirim",44,IF(Atletas!J374="Nangun Mirim",45,IF(Atletas!J374="Gunshu Grupo C",46,IF(Atletas!J374="Qiangshu Grupo C",47,IF(Atletas!J374="Nangun Grupo C",48,IF(Atletas!J374="Gunshu Grupo B",49,IF(Atletas!J374="Qiangshu Grupo B",50,IF(Atletas!J374="Nangun Grupo B",51,IF(Atletas!J374="Gunshu Grupo A",52,IF(Atletas!J374="Qiangshu Grupo A",53,IF(Atletas!J374="Nangun Grupo A",54,IF(Atletas!J374="Gunshu Opcional",55,IF(Atletas!J374="Qiangshu Opcional",56,IF(Atletas!J374="Nangun Opcional",57,IF(Atletas!J374="Gunshu Adulto",58,IF(Atletas!J374="Qiangshu Adulto",59,IF(Atletas!J374="Nangun Adulto",60,IF(Atletas!J374="Taijishan Grupo B",61,IF(Atletas!J374="Taijishan Grupo A",62,""))))))))))))))))))))))</f>
        <v/>
      </c>
      <c r="BM383" s="50" t="str">
        <f>IF(Atletas!K374="","",IF(Atletas!B374="Feminino",100,IF(Atletas!B374="Masculino",200,""))+(IF(Atletas!K374="Equipe 1 Grupo B",1,IF(Atletas!K374="Equipe 2 Grupo B",2,IF(Atletas!K374="Equipe 1 Grupo A",3,IF(Atletas!K374="Equipe 2 Grupo A",4,IF(Atletas!K374="Equipe 1 Adulto",5,IF(Atletas!K374="Equipe 2 Adulto",6,""))))))))</f>
        <v/>
      </c>
      <c r="BR383" s="50" t="str">
        <f>IF(Atletas!L374="","",IF(Atletas!X374&lt;&gt;"",10000,0)+(IF(Atletas!B374="Feminino",1000,IF(Atletas!B374="Masculino",2000,""))+IF(Atletas!L374="Choylayfut A",1,IF(Atletas!L374="Hunggar A",2,IF(Atletas!L374="Wuzuquan A",3,IF(Atletas!L374="Wingchun A",4,IF(Atletas!L374="Outra Mão de Sul A",5,IF(Atletas!L374="Choylayfut B",6,IF(Atletas!L374="Hunggar B",7,IF(Atletas!L374="Wuzuquan B",8,IF(Atletas!L374="Wingchun B",9,IF(Atletas!L374="Outra Mão de Sul B",10,IF(Atletas!L374="Choylayfut C",11,IF(Atletas!L374="Hunggar C",12,IF(Atletas!L374="Wuzuquan C",13,IF(Atletas!L374="Wingchun C",14,IF(Atletas!L374="Outra Mão de Sul C",15,IF(Atletas!L374="Choylayfut D",16,IF(Atletas!L374="Hunggar D",17,IF(Atletas!L374="Wuzuquan D",18,IF(Atletas!L374="Wingchun D",19,IF(Atletas!L374="Outra Mão de Sul D",20,IF(Atletas!L374="Choylayfut E",21,IF(Atletas!L374="Hunggar E",22,IF(Atletas!L374="Wuzuquan E",23,IF(Atletas!L374="Wingchun E",24,IF(Atletas!L374="Outra Mão de Sul E",25,IF(Atletas!L374="Choylayfut F",26,IF(Atletas!L374="Hunggar F",27,IF(Atletas!L374="Wuzuquan F",28,IF(Atletas!L374="Wingchun F",29,IF(Atletas!L374="Outra Mão de Sul F",30,IF(Atletas!L374="Dishuquan A",31,IF(Atletas!L374="Dishuquan B",32,IF(Atletas!L374="Dishuquan C",33,IF(Atletas!L374="Dishuquan D",34,IF(Atletas!L374="Dishuquan E",35,IF(Atletas!L374="Dishuquan F",36,""))))))))))))))))))))))))))))))))))))))</f>
        <v/>
      </c>
      <c r="BS383" s="50" t="str">
        <f>IF(Atletas!M374="","",IF(Atletas!X374&lt;&gt;"",10000,0)+(IF(Atletas!B374="Feminino",1000,IF(Atletas!B374="Masculino",2000,""))+(IF(Atletas!M374="Chaquan A",101,IF(Atletas!M374="Emeiquan A",102,IF(Atletas!M374="Fanziquan A",103,IF(Atletas!M374="Huaquan A",104,IF(Atletas!M374="Hongquan A",105,IF(Atletas!M374="Paoquan A",106,IF(Atletas!M374="Piguaquan A",107,IF(Atletas!M374="Shaolinquan A",108,IF(Atletas!M374="Tanglangquan A",109,IF(Atletas!M374="Yingzhaoquan A",110,IF(Atletas!M374="Tongbeiquan A",111,IF(Atletas!M374="Wudangquan A",112,IF(Atletas!M374="Outros Estilos A",113,IF(Atletas!M374="Chaquan B",114,IF(Atletas!M374="Emeiquan B",115,IF(Atletas!M374="Fanziquan B",116,IF(Atletas!M374="Huaquan B",117,IF(Atletas!M374="Hongquan B",118,IF(Atletas!M374="Paoquan B",119,IF(Atletas!M374="Piguaquan B",120,IF(Atletas!M374="Shaolinquan B",121,IF(Atletas!M374="Tanglangquan B",122,IF(Atletas!M374="Yingzhaoquan B",123,IF(Atletas!M374="Tongbeiquan B",124,IF(Atletas!M374="Wudangquan B",125,IF(Atletas!M374="Outros Estilos B",126,IF(Atletas!M374="Chaquan C",127,IF(Atletas!M374="Emeiquan C",128,IF(Atletas!M374="Fanziquan C",129,IF(Atletas!M374="Huaquan C",130,IF(Atletas!M374="Hongquan C",131,IF(Atletas!M374="Paoquan C",132,IF(Atletas!M374="Piguaquan C",133,IF(Atletas!M374="Shaolinquan C",134,IF(Atletas!M374="Tanglangquan C",135,IF(Atletas!M374="Yingzhaoquan C",136,IF(Atletas!M374="Tongbeiquan C",137,IF(Atletas!M374="Wudangquan C",138,IF(Atletas!M374="Outros Estilos C",139,0))))))))))))))))))))))))))))))))))))))))))</f>
        <v/>
      </c>
      <c r="BT383" s="50" t="str">
        <f>IF(Atletas!M374="","",IF(Atletas!X374&lt;&gt;"",10000,0)+(IF(Atletas!B374="Feminino",1000,IF(Atletas!B374="Masculino",2000,""))+(IF(Atletas!M374="Chaquan D",140,IF(Atletas!M374="Emeiquan D",141,IF(Atletas!M374="Fanziquan D",142,IF(Atletas!M374="Huaquan D",143,IF(Atletas!M374="Hongquan D",144,IF(Atletas!M374="Paoquan D",145,IF(Atletas!M374="Piguaquan D",146,IF(Atletas!M374="Shaolinquan D",147,IF(Atletas!M374="Tanglangquan D",148,IF(Atletas!M374="Yingzhaoquan D",149,IF(Atletas!M374="Tongbeiquan D",150,IF(Atletas!M374="Wudangquan D",151,IF(Atletas!M374="Outros Estilos D",152,IF(Atletas!M374="Chaquan E",153,IF(Atletas!M374="Emeiquan E",154,IF(Atletas!M374="Fanziquan E",155,IF(Atletas!M374="Huaquan E",156,IF(Atletas!M374="Hongquan E",157,IF(Atletas!M374="Paoquan E",158,IF(Atletas!M374="Piguaquan E",159,IF(Atletas!M374="Shaolinquan E",160,IF(Atletas!M374="Tanglangquan E",161,IF(Atletas!M374="Yingzhaoquan E",162,IF(Atletas!M374="Tongbeiquan E",163,IF(Atletas!M374="Wudangquan E",164,IF(Atletas!M374="Outros Estilos E",165,IF(Atletas!M374="Chaquan F",166,IF(Atletas!M374="Emeiquan F",167,IF(Atletas!M374="Fanziquan F",168,IF(Atletas!M374="Huaquan F",169,IF(Atletas!M374="Hongquan F",170,IF(Atletas!M374="Paoquan F",171,IF(Atletas!M374="Piguaquan F",172,IF(Atletas!M374="Shaolinquan F",173,IF(Atletas!M374="Tanglangquan F",174,IF(Atletas!M374="Yingzhaoquan F",175,IF(Atletas!M374="Tongbeiquan F",176,IF(Atletas!M374="Wudangquan F",177,IF(Atletas!M374="Outros Estilos F",178,0))))))))))))))))))))))))))))))))))))))))))</f>
        <v/>
      </c>
      <c r="BU383" s="50" t="str">
        <f>IF(Atletas!N374="","",IF(Atletas!X374&lt;&gt;"",10000,0)+(IF(Atletas!B374="Feminino",1000,IF(Atletas!B374="Masculino",2000,""))+(IF(Atletas!N374="Ditangquan A",201,IF(Atletas!N374="Houquan A",202,IF(Atletas!N374="Zuiquan A",203,IF(Atletas!N374="Ditangquan B",204,IF(Atletas!N374="Houquan B",205,IF(Atletas!N374="Zuiquan B",206,IF(Atletas!N374="Ditangquan C",207,IF(Atletas!N374="Houquan C",208,IF(Atletas!N374="Zuiquan C",209,IF(Atletas!N374="Ditangquan D",210,IF(Atletas!N374="Houquan D",211,IF(Atletas!N374="Zuiquan D",212,IF(Atletas!N374="Ditangquan E",213,IF(Atletas!N374="Houquan E",214,IF(Atletas!N374="Zuiquan E",215,IF(Atletas!N374="Ditangquan F",216,IF(Atletas!N374="Houquan F",217,IF(Atletas!N374="Zuiquan F",218,"")))))))))))))))))))))</f>
        <v/>
      </c>
      <c r="BV383" s="50" t="str">
        <f>IF(Atletas!O374="","",IF(Atletas!X374&lt;&gt;"",10000,0)+IF(Atletas!B374="Feminino",1000,IF(Atletas!B374="Masculino",2000,""))+IF(Atletas!O374="Yang A",301,IF(Atletas!O374="Chen A",302,IF(Atletas!O374="Sun A",303,IF(Atletas!O374="Wu A",304,IF(Atletas!O374="Wu-Hao A",305,IF(Atletas!O374="Outro Taijiquan A",306,IF(Atletas!O374="Yang B",307,IF(Atletas!O374="Chen B",308,IF(Atletas!O374="Sun B",309,IF(Atletas!O374="Wu B",310,IF(Atletas!O374="Wu-Hao B",311,IF(Atletas!O374="Outro Taijiquan B",312,IF(Atletas!O374="Yang C",313,IF(Atletas!O374="Chen C",314,IF(Atletas!O374="Sun C",315,IF(Atletas!O374="Wu C",316,IF(Atletas!O374="Wu-Hao C",317,IF(Atletas!O374="Outro Taijiquan C",318,IF(Atletas!O374="Yang D",319,IF(Atletas!O374="Chen D",320,IF(Atletas!O374="Sun D",321,IF(Atletas!O374="Wu D",322,IF(Atletas!O374="Wu-Hao D",323,IF(Atletas!O374="Outro Taijiquan D",324,IF(Atletas!O374="Yang E",325,IF(Atletas!O374="Chen E",326,IF(Atletas!O374="Sun E",327,IF(Atletas!O374="Wu E",328,IF(Atletas!O374="Wu-Hao E",329,IF(Atletas!O374="Outro Taijiquan E",330,IF(Atletas!O374="Yang F",331,IF(Atletas!O374="Chen F",332,IF(Atletas!O374="Sun F",333,IF(Atletas!O374="Wu F",334,IF(Atletas!O374="Wu-Hao F",335,IF(Atletas!O374="Outro Taijiquan F",336,"")))))))))))))))))))))))))))))))))))))</f>
        <v/>
      </c>
      <c r="BW383" s="50" t="str">
        <f>IF(Atletas!P374="","",IF(Atletas!X374&lt;&gt;"",10000,0)+IF(Atletas!B374="Feminino",1000,IF(Atletas!B374="Masculino",2000,""))+IF(OR(Atletas!P374="Yang 26 A",Atletas!P374="Yang 40 A"),401,IF(OR(Atletas!P374="Chen 25 A",Atletas!P374="Chen 36 A",Atletas!P374="Chen 56 A"),402,IF(Atletas!P374="Sun 73 A",403,IF(Atletas!P374="Wu 45 A",404,IF(Atletas!P374="Wu-Hao 46 A",405,IF(OR(Atletas!P374="Taijiquan 16 A",Atletas!P374="Taijiquan 24 A",Atletas!P374="Taijiquan 32 A",Atletas!P374="Taijiquan 42 A"),406,IF(OR(Atletas!P374="Yang 26 B",Atletas!P374="Yang 40 B"),407,IF(OR(Atletas!P374="Chen 25 B",Atletas!P374="Chen 36 B",Atletas!P374="Chen 56 B"),408,IF(Atletas!P374="Sun 73 B",409,IF(Atletas!P374="Wu 45 B",410,IF(Atletas!P374="Wu-Hao 46 B",411,IF(OR(Atletas!P374="Taijiquan 16 B",Atletas!P374="Taijiquan 24 B",Atletas!P374="Taijiquan 32 B",Atletas!P374="Taijiquan 42 B"),412,IF(OR(Atletas!P374="Yang 26 C",Atletas!P374="Yang 40 C"),413,IF(OR(Atletas!P374="Chen 25 C",Atletas!P374="Chen 36 C",Atletas!P374="Chen 56 C"),414,IF(Atletas!P374="Sun 73 C",415,IF(Atletas!P374="Wu 45 C",416,IF(Atletas!P374="Wu-Hao 46 C",417,IF(OR(Atletas!P374="Taijiquan 16 C",Atletas!P374="Taijiquan 24 C",Atletas!P374="Taijiquan 32 C",Atletas!P374="Taijiquan 42 C"),418,0)))))))))))))))))))</f>
        <v/>
      </c>
      <c r="BX383" s="50" t="str">
        <f>IF(Atletas!P374="","",IF(Atletas!X374&lt;&gt;"",10000,0)+IF(Atletas!B374="Feminino",1000,IF(Atletas!B374="Masculino",2000,""))+IF(OR(Atletas!P374="Yang 26 D",Atletas!P374="Yang 40 D"),419,IF(OR(Atletas!P374="Chen 25 D",Atletas!P374="Chen 36 D",Atletas!P374="Chen 56 D"),420,IF(Atletas!P374="Sun 73 D",421,IF(Atletas!P374="Wu 45 D",422,IF(Atletas!P374="Wu-Hao 46 D",423,IF(OR(Atletas!P374="Taijiquan 16 D",Atletas!P374="Taijiquan 24 D",Atletas!P374="Taijiquan 32 D",Atletas!P374="Taijiquan 42 D"),424,IF(OR(Atletas!P374="Yang 26 E",Atletas!P374="Yang 40 E"),425,IF(OR(Atletas!P374="Chen 25 E",Atletas!P374="Chen 36 E",Atletas!P374="Chen 56 E"),426,IF(Atletas!P374="Sun 73 E",427,IF(Atletas!P374="Wu 45 E",428,IF(Atletas!P374="Wu-Hao 46 E",429,IF(OR(Atletas!P374="Taijiquan 16 E",Atletas!P374="Taijiquan 24 E",Atletas!P374="Taijiquan 32 E",Atletas!P374="Taijiquan 42 E"),430,IF(OR(Atletas!P374="Yang 26 F",Atletas!P374="Yang 40 F"),431,IF(OR(Atletas!P374="Chen 25 F",Atletas!P374="Chen 36 F",Atletas!P374="Chen 56 F"),432,IF(Atletas!P374="Sun 73 F",433,IF(Atletas!P374="Wu 45 F",434,IF(Atletas!P374="Wu-Hao 46 F",435,IF(OR(Atletas!P374="Taijiquan 16 F",Atletas!P374="Taijiquan 24 F",Atletas!P374="Taijiquan 32 F",Atletas!P374="Taijiquan 42 F"),436,0)))))))))))))))))))</f>
        <v/>
      </c>
      <c r="BY383" s="50" t="str">
        <f>IF(Atletas!Q374="","",IF(Atletas!X374&lt;&gt;"",10000,0)+IF(Atletas!B374="Feminino",1000,IF(Atletas!B374="Masculino",2000,""))+IF(Atletas!Q374="Xingyiquan A",501,IF(Atletas!Q374="Baguazhang A",502,IF(Atletas!Q374="Outro Estilo Interno A",503,IF(Atletas!Q374="Xingyiquan B",504,IF(Atletas!Q374="Baguazhang B",505,IF(Atletas!Q374="Outro Estilo Interno B",506,IF(Atletas!Q374="Xingyiquan C",507,IF(Atletas!Q374="Baguazhang C",508,IF(Atletas!Q374="Outro Estilo Interno C",509,IF(Atletas!Q374="Xingyiquan D",510,IF(Atletas!Q374="Baguazhang D",511,IF(Atletas!Q374="Outro Estilo Interno D",512,IF(Atletas!Q374="Xingyiquan E",513,IF(Atletas!Q374="Baguazhang E",514,IF(Atletas!Q374="Outro Estilo Interno E",515,IF(Atletas!Q374="Xingyiquan F",516,IF(Atletas!Q374="Baguazhang F",517,IF(Atletas!Q374="Outro Estilo Interno F",518, "")))))))))))))))))))</f>
        <v/>
      </c>
      <c r="BZ383" s="50" t="str">
        <f>IF(Atletas!R374="","",IF(Atletas!X374&lt;&gt;"",10000,0)+IF(Atletas!B374="Feminino",1000,IF(Atletas!B374="Masculino",2000,""))+IF(Atletas!R374="Dao A",601,IF(Atletas!R374="Jian A",602,IF(Atletas!R374="Bishou A",603,IF(Atletas!R374="Shanzi A",604,IF(Atletas!R374="Outra Arma Curta A",605,IF(Atletas!R374="Dao B",606,IF(Atletas!R374="Jian B",607,IF(Atletas!R374="Bishou B",608,IF(Atletas!R374="Shanzi B",609,IF(Atletas!R374="Outra Arma Curta B",610,IF(Atletas!R374="Dao C",611,IF(Atletas!R374="Jian C",612,IF(Atletas!R374="Bishou C",613,IF(Atletas!R374="Shanzi C",614,IF(Atletas!R374="Outra Arma Curta C",615,IF(Atletas!R374="Dao D",616,IF(Atletas!R374="Jian D",617,IF(Atletas!R374="Bishou D",618,IF(Atletas!R374="Shanzi D",619,IF(Atletas!R374="Outra Arma Curta D",620,IF(Atletas!R374="Dao E",621,IF(Atletas!R374="Jian E",622,IF(Atletas!R374="Bishou E",623,IF(Atletas!R374="Shanzi E",624,IF(Atletas!R374="Outra Arma Curta E",625,IF(Atletas!R374="Dao F",626,IF(Atletas!R374="Jian F",627,IF(Atletas!R374="Bishou F",628,IF(Atletas!R374="Shanzi F",629,IF(Atletas!R374="Outra Arma Curta F",630, "")))))))))))))))))))))))))))))))</f>
        <v/>
      </c>
      <c r="CA383" s="50" t="str">
        <f>IF(Atletas!S374="","",IF(Atletas!X374&lt;&gt;"",10000,0)+IF(Atletas!B374="Feminino",1000,IF(Atletas!B374="Masculino",2000,""))+IF(Atletas!S374="Gun A",701,IF(Atletas!S374="Qiang A",702,IF(Atletas!S374="Pudao / Guandao A",703,IF(Atletas!S374="Outra Arma Longa A",704,IF(Atletas!S374="Gun B",705,IF(Atletas!S374="Qiang B",706,IF(Atletas!S374="Pudao / Guandao B",707,IF(Atletas!S374="Outra Arma Longa B",708,IF(Atletas!S374="Gun C",709,IF(Atletas!S374="Qiang C",710,IF(Atletas!S374="Pudao / Guandao C",711,IF(Atletas!S374="Outra Arma Longa C",712,IF(Atletas!S374="Gun D",713,IF(Atletas!S374="Qiang D",714,IF(Atletas!S374="Pudao / Guandao D",715,IF(Atletas!S374="Outra Arma Longa D",716,IF(Atletas!S374="Gun E",717,IF(Atletas!S374="Qiang E",718,IF(Atletas!S374="Pudao / Guandao E",719,IF(Atletas!S374="Outra Arma Longa E",720,IF(Atletas!S374="Gun F",721,IF(Atletas!S374="Qiang F",722,IF(Atletas!S374="Pudao / Guandao F",723,IF(Atletas!S374="Outra Arma Longa F",724,"")))))))))))))))))))))))))</f>
        <v/>
      </c>
      <c r="CB383" s="50" t="str">
        <f>IF(Atletas!T374="","",IF(Atletas!X374&lt;&gt;"",10000,0)+IF(Atletas!B374="Feminino",1000,IF(Atletas!B374="Masculino",2000,""))+IF(Atletas!T374="Outra Arma Dupla A",801,IF(Atletas!T374="Arma Maleável A",802,IF(Atletas!T374="Outra Arma Dupla B",803,IF(Atletas!T374="Arma Maleável B",804,IF(Atletas!T374="Outra Arma Dupla C",805,IF(Atletas!T374="Arma Maleável C",806,IF(Atletas!T374="Outra Arma Dupla D",807,IF(Atletas!T374="Arma Maleável D",808,IF(Atletas!T374="Outra Arma Dupla E",809,IF(Atletas!T374="Arma Maleável E",810,IF(Atletas!T374="Outra Arma Dupla F",811,IF(Atletas!T374="Arma Maleável F",812,IF(Atletas!T374="Shuangdao A",813,IF(Atletas!T374="Shuangdao B",814,IF(Atletas!T374="Shuangdao C",815,IF(Atletas!T374="Shuangdao D",816,IF(Atletas!T374="Shuangdao E",817,IF(Atletas!T374="Shuangdao F",818,"")))))))))))))))))))</f>
        <v/>
      </c>
      <c r="CC383" s="50" t="str">
        <f>IF(Atletas!U374="","",IF(Atletas!X374&lt;&gt;"",10000,0)+IF(Atletas!B374="Feminino",1000,IF(Atletas!B374="Masculino",2000,""))+IF(OR(Atletas!U374="Taijijian Yang A",Atletas!U374="Taijijian Yang Standard A"),901,IF(OR(Atletas!U374="Taijijian Chen A", Atletas!U374="Taijijian Chen Standard A"),902,IF(Atletas!U374="Taijijian Sun A",903,IF(Atletas!U374="Taijijian Wu A",904,IF(Atletas!U374="Taijijian Wu-Hao A",905,IF(OR(Atletas!U374="Taijijian 32 A",Atletas!U374="Taijijian 42 A"),906,IF(OR(Atletas!U374="Taijijian Yang B",Atletas!U374="Taijijian Yang Standard B"),907,IF(OR(Atletas!U374="Taijijian Chen B", Atletas!U374="Taijijian Chen Standard B"),908,IF(Atletas!U374="Taijijian Sun B",909,IF(Atletas!U374="Taijijian Wu B",910,IF(Atletas!U374="Taijijian Wu-Hao B",911,IF(OR(Atletas!U374="Taijijian 32 B",Atletas!U374="Taijijian 42 B"),912,IF(OR(Atletas!U374="Taijijian Yang C",Atletas!U374="Taijijian Yang Standard C"),913,IF(OR(Atletas!U374="Taijijian Chen C", Atletas!U374="Taijijian Chen Standard C"),914,IF(Atletas!U374="Taijijian Sun C",915,IF(Atletas!U374="Taijijian Wu C",916,IF(Atletas!U374="Taijijian Wu-Hao C",917,IF(OR(Atletas!U374="Taijijian 32 C",Atletas!U374="Taijijian 42 C"),918,IF(OR(Atletas!U374="Taijijian Yang D",Atletas!U374="Taijijian Yang Standard D"),919,IF(OR(Atletas!U374="Taijijian Chen D", Atletas!U374="Taijijian Chen Standard D"),920,IF(Atletas!U374="Taijijian Sun D",921,IF(Atletas!U374="Taijijian Wu D",922,IF(Atletas!U374="Taijijian Wu-Hao D",923,IF(OR(Atletas!U374="Taijijian 32 D",Atletas!U374="Taijijian 42 D"),924,IF(OR(Atletas!U374="Taijijian Yang E",Atletas!U374="Taijijian Yang Standard E"),925,IF(OR(Atletas!U374="Taijijian Chen E", Atletas!U374="Taijijian Chen Standard E"),926,IF(Atletas!U374="Taijijian Sun E",927,IF(Atletas!U374="Taijijian Wu E",928,IF(Atletas!U374="Taijijian Wu-Hao E",929,IF(OR(Atletas!U374="Taijijian 32 E",Atletas!U374="Taijijian 42 E"),930,IF(OR(Atletas!U374="Taijijian Yang F",Atletas!U374="Taijijian Yang Standard F"),931,IF(OR(Atletas!U374="Taijijian Chen F", Atletas!U374="Taijijian Chen Standard F"),932,IF(Atletas!U374="Taijijian Sun F",933,IF(Atletas!U374="Taijijian Wu F",934,IF(Atletas!U374="Taijijian Wu-Hao F",935,IF(OR(Atletas!U374="Taijijian 32 F",Atletas!U374="Taijijian 42 F"),936,"")))))))))))))))))))))))))))))))))))))</f>
        <v/>
      </c>
      <c r="CD383" s="50" t="str">
        <f>IF(Atletas!V374="","",IF(Atletas!X374&lt;&gt;"",10000,0)+IF(Atletas!B374="Feminino",1000,IF(Atletas!B374="Masculino",2000,""))+IF(Atletas!V374="Taijidao A",937,IF(Atletas!V374="TaijiShanzi A",938,IF(Atletas!V374="Taijiqiang A",939,IF(Atletas!V374="Bagua de Arma A",940,IF(Atletas!V374="Xingyi de Arma A",941,IF(Atletas!V374="Taijidao B",942,IF(Atletas!V374="TaijiShanzi B",943,IF(Atletas!V374="Taijiqiang B",944,IF(Atletas!V374="Bagua de Arma B",945,IF(Atletas!V374="Xingyi de Arma B",946,IF(Atletas!V374="Taijidao C",947,IF(Atletas!V374="TaijiShanzi C",948,IF(Atletas!V374="Taijiqiang C",949,IF(Atletas!V374="Bagua de Arma C",950,IF(Atletas!V374="Xingyi de Arma C",951,IF(Atletas!V374="Taijidao D",952,IF(Atletas!V374="TaijiShanzi D",953,IF(Atletas!V374="Taijiqiang D",954,IF(Atletas!V374="Bagua de Arma D",955,IF(Atletas!V374="Xingyi de Arma D",956,IF(Atletas!V374="Taijidao E",957,IF(Atletas!V374="TaijiShanzi E",958,IF(Atletas!V374="Taijiqiang E",959,IF(Atletas!V374="Bagua de Arma E",960,IF(Atletas!V374="Xingyi de Arma E",961,IF(Atletas!V374="Taijidao F",962,IF(Atletas!V374="TaijiShanzi F",963,IF(Atletas!V374="Taijiqiang F",964,IF(Atletas!V374="Bagua de Arma F",965,IF(Atletas!V374="Xingyi de Arma F",966,"")))))))))))))))))))))))))))))))</f>
        <v/>
      </c>
      <c r="CJ383" s="66"/>
      <c r="CL383" s="66"/>
      <c r="CM383" s="50" t="str">
        <f xml:space="preserve"> IF(Atletas!W374="","",IF(Atletas!W374="Duilian de Mãos BC - Equipe 1",1,IF(Atletas!W374="Duilian de Mãos BC - Equipe 2",2,IF(Atletas!W374="Duilian de Armas BC - Equipe 1",3,IF(Atletas!W374="Duilian de Armas BC - Equipe 2",4,IF(Atletas!W374="Duilian de Mãos DE - Equipe 1",5,IF(Atletas!W374="Duilian de Mãos DE - Equipe 2",6,IF(Atletas!W374="Duilian de Armas DE - Equipe 1",7,IF(Atletas!W374="Duilian de Armas DE - Equipe 2",8,IF(Atletas!W374="Duilian de Tuishou - Equipe 1",9,IF(Atletas!W374="Duilian de Tuishou - Equipe 2",10,IF(Atletas!W374="Grupo Externo ABC - Equipe 1",11,IF(Atletas!W374="Grupo Externo ABC - Equipe 2",12,IF(Atletas!W374="Grupo Interno ABC - Equipe 1",13,IF(Atletas!W374="Grupo Interno ABC - Equipe 2",14,IF(Atletas!W374="Grupo Externo DEF - Equipe 1",15,IF(Atletas!W374="Grupo Externo DEF - Equipe 2",16,IF(Atletas!W374="Grupo Interno DEF - Equipe 1",17,IF(Atletas!W374="Grupo Interno DEF - Equipe 2",18,"")))))))))))))))))))</f>
        <v/>
      </c>
    </row>
    <row r="384" spans="40:91">
      <c r="AN384" s="52" t="str">
        <f>IF(Atletas!D375="","",IF(Atletas!B375="Feminino",100,IF(Atletas!B375="Masculino",200,""))+(IF(Atletas!D375="Kids 30kg",1,IF(Atletas!D375="Kids 32kg",2, IF(Atletas!D375="Kids 34kg",3,IF(Atletas!D375="Kids 36kg",4,IF(Atletas!D375="Kids 39kg",5,IF(Atletas!D375="Kids 42kg",6,IF(Atletas!D375="Kids 45kg",7, IF(Atletas!D375="Infantil 39kg",8,IF(Atletas!D375="Infantil 42kg",9,IF(Atletas!D375="Infantil 45kg",10,IF(Atletas!D375="Infantil 48kg",11,IF(Atletas!D375="Infantil 52kg",12,IF(Atletas!D375="Infantil 56kg",13,IF(Atletas!D375="Infantil 60kg",14,IF(Atletas!D375="Juvenil 48kg",15,IF(Atletas!D375="Juvenil 52kg",16,IF(Atletas!D375="Juvenil 56kg",17,IF(Atletas!D375="Juvenil 60kg",18,IF(Atletas!D375="Juvenil 65kg",19,IF(Atletas!D375="Juvenil 70kg",20,IF(Atletas!D375="Juvenil 75kg",21,IF(Atletas!D375="Juvenil 80kg",22, IF(Atletas!D375="Juvenil 85kg",23,IF(Atletas!D375="Adulto 48kg",24,IF(Atletas!D375="Adulto 52kg",25,IF(Atletas!D375="Adulto 56kg",26,IF(Atletas!D375="Adulto 60kg",27,IF(Atletas!D375="Adulto 65kg",28,IF(Atletas!D375="Adulto 70kg",29,IF(Atletas!D375="Adulto 75kg",30,IF(Atletas!D375="Adulto 80kg",31,IF(Atletas!D375="Adulto 85kg",32,IF(Atletas!D375="Adulto 90kg",33,IF(Atletas!D375="Adulto 100kg",34, IF(Atletas!D375="Adulto +100kg",35,"")))))))))))))))))))))))))))))))))))))</f>
        <v/>
      </c>
      <c r="AS384" s="6" t="str">
        <f>IF(Atletas!E375="","",IF(Atletas!B375="Feminino",100,IF(Atletas!B375="Masculino",200,""))+(IF(Atletas!E375="Juvenil 44kg",1,IF(Atletas!E375="Juvenil 48kg",2,IF(Atletas!E375="Juvenil 52kg",3,IF(Atletas!E375="Juvenil 56kg",4,IF(Atletas!E375="Juvenil 60kg",5,IF(Atletas!E375="Juvenil 65kg",6,IF(Atletas!E375="Juvenil 70kg",7,IF(Atletas!E375="Juvenil 75kg",8,IF(Atletas!E375="Juvenil 82kg",9,IF(Atletas!E375="Juvenil 90kg",10,IF(Atletas!E375="Juvenil 100kg",11,IF(Atletas!E375="Adulto 48kg",12,IF(Atletas!E375="Adulto 52kg",13,IF(Atletas!E375="Adulto 56kg",14,IF(Atletas!E375="Adulto 60kg",15,IF(Atletas!E375="Adulto 65kg",16,IF(Atletas!E375="Adulto 70kg",17,IF(Atletas!E375="Adulto 75kg",18,IF(Atletas!E375="Adulto 82kg",19,IF(Atletas!E375="Adulto 90kg",20,IF(Atletas!E375="Adulto 100kg",21,IF(Atletas!E375="Adulto +100kg",22,""))))))))))))))))))))))))</f>
        <v/>
      </c>
      <c r="AX384" s="6" t="str">
        <f>IF(Atletas!F375="","",IF(Atletas!B375="Feminino",100,IF(Atletas!B375="Masculino",200,""))+(IF(Atletas!F375="Adulto 48kg",1,IF(Atletas!F375="Adulto 56kg",2,IF(Atletas!F375="Adulto 65kg",3,IF(Atletas!F375="Adulto 75kg",4,IF(Atletas!F375="Adulto +75kg",5,IF(Atletas!F375="Adulto 52kg",6,IF(Atletas!F375="Adulto 60kg",7,IF(Atletas!F375="Adulto 70kg",8,IF(Atletas!F375="Adulto 80kg",9,IF(Atletas!F375="Adulto 90kg",10,IF(Atletas!F375="Adulto +90kg",11,"")))))))))))))</f>
        <v/>
      </c>
      <c r="BC384" s="6" t="str">
        <f>IF(Atletas!G375="","",IF(Atletas!B375="Feminino",10,IF(Atletas!B375="Masculino",20,""))+(IF(Atletas!G375="Baduanjin A",1,IF(Atletas!G375="Baduanjin B",2))))</f>
        <v/>
      </c>
      <c r="BF384" s="52" t="str">
        <f>IF(Atletas!H375="","",IF(Atletas!B375="Feminino",100,IF(Atletas!B375="Masculino",200,""))+(IF(Atletas!H375="Changquan Mirim",1,IF(Atletas!H375="Nanquan Mirim",2,IF(Atletas!H375="Taijiquan Mirim",3,IF(Atletas!H375="Changquan Grupo C",4,IF(Atletas!H375="Nanquan Grupo C",5,IF(Atletas!H375="Taijiquan Grupo C",6,IF(Atletas!H375="Changquan Grupo B",7,IF(Atletas!H375="Nanquan Grupo B",8,IF(Atletas!H375="Taijiquan Grupo B",9,IF(Atletas!H375="Changquan Grupo A",10,IF(Atletas!H375="Nanquan Grupo A",11,IF(Atletas!H375="Taijiquan Grupo A",12,IF(Atletas!H375="Changquan Opcional",13,IF(Atletas!H375="Nanquan Opcional",14,IF(Atletas!H375="Taijiquan Opcional",15,IF(Atletas!H375="Changquan Adulto",16,IF(Atletas!H375="Nanquan Adulto",17,IF(Atletas!H375="Taijiquan Adulto",18,""))))))))))))))))))))</f>
        <v/>
      </c>
      <c r="BG384" s="52" t="str">
        <f>IF(Atletas!I375="","",IF(Atletas!B375="Feminino",100,IF(Atletas!B375="Masculino",200,""))+(IF(Atletas!I375="Daoshu Mirim",19,IF(Atletas!I375="Jianshu Mirim",20,IF(Atletas!I375="Nandao Mirim",21,IF(Atletas!I375="Taijijian Mirim",22,IF(Atletas!I375="Daoshu Grupo C",23,IF(Atletas!I375="Jianshu Grupo C",24,IF(Atletas!I375="Nandao Grupo C",25,IF(Atletas!I375="Taijijian Grupo C",26,IF(Atletas!I375="Daoshu Grupo B",27,IF(Atletas!I375="Jianshu Grupo B",28,IF(Atletas!I375="Nandao Grupo B",29,IF(Atletas!I375="Taijijian Grupo B",30,IF(Atletas!I375="Daoshu Grupo A",31,IF(Atletas!I375="Jianshu Grupo A",32,IF(Atletas!I375="Nandao Grupo A",33,IF(Atletas!I375="Taijijian Grupo A",34,IF(Atletas!I375="Daoshu Opcional",35,IF(Atletas!I375="Jianshu Opcional",36,IF(Atletas!I375="Nandao Opcional",37,IF(Atletas!I375="Taijijian Opcional",38,IF(Atletas!I375="Daoshu Adulto",39,IF(Atletas!I375="Jianshu Adulto",40,IF(Atletas!I375="Nandao Adulto",41,IF(Atletas!I375="Taijijian Adulto",42,""))))))))))))))))))))))))))</f>
        <v/>
      </c>
      <c r="BH384" s="52" t="str">
        <f>IF(Atletas!J375="","",IF(Atletas!B375="Feminino",100,IF(Atletas!B375="Masculino",200,""))+(IF(Atletas!J375="Gunshu Mirim",43,IF(Atletas!J375="Qiangshu Mirim",44,IF(Atletas!J375="Nangun Mirim",45,IF(Atletas!J375="Gunshu Grupo C",46,IF(Atletas!J375="Qiangshu Grupo C",47,IF(Atletas!J375="Nangun Grupo C",48,IF(Atletas!J375="Gunshu Grupo B",49,IF(Atletas!J375="Qiangshu Grupo B",50,IF(Atletas!J375="Nangun Grupo B",51,IF(Atletas!J375="Gunshu Grupo A",52,IF(Atletas!J375="Qiangshu Grupo A",53,IF(Atletas!J375="Nangun Grupo A",54,IF(Atletas!J375="Gunshu Opcional",55,IF(Atletas!J375="Qiangshu Opcional",56,IF(Atletas!J375="Nangun Opcional",57,IF(Atletas!J375="Gunshu Adulto",58,IF(Atletas!J375="Qiangshu Adulto",59,IF(Atletas!J375="Nangun Adulto",60,IF(Atletas!J375="Taijishan Grupo B",61,IF(Atletas!J375="Taijishan Grupo A",62,""))))))))))))))))))))))</f>
        <v/>
      </c>
      <c r="BM384" s="50" t="str">
        <f>IF(Atletas!K375="","",IF(Atletas!B375="Feminino",100,IF(Atletas!B375="Masculino",200,""))+(IF(Atletas!K375="Equipe 1 Grupo B",1,IF(Atletas!K375="Equipe 2 Grupo B",2,IF(Atletas!K375="Equipe 1 Grupo A",3,IF(Atletas!K375="Equipe 2 Grupo A",4,IF(Atletas!K375="Equipe 1 Adulto",5,IF(Atletas!K375="Equipe 2 Adulto",6,""))))))))</f>
        <v/>
      </c>
      <c r="BR384" s="50" t="str">
        <f>IF(Atletas!L375="","",IF(Atletas!X375&lt;&gt;"",10000,0)+(IF(Atletas!B375="Feminino",1000,IF(Atletas!B375="Masculino",2000,""))+IF(Atletas!L375="Choylayfut A",1,IF(Atletas!L375="Hunggar A",2,IF(Atletas!L375="Wuzuquan A",3,IF(Atletas!L375="Wingchun A",4,IF(Atletas!L375="Outra Mão de Sul A",5,IF(Atletas!L375="Choylayfut B",6,IF(Atletas!L375="Hunggar B",7,IF(Atletas!L375="Wuzuquan B",8,IF(Atletas!L375="Wingchun B",9,IF(Atletas!L375="Outra Mão de Sul B",10,IF(Atletas!L375="Choylayfut C",11,IF(Atletas!L375="Hunggar C",12,IF(Atletas!L375="Wuzuquan C",13,IF(Atletas!L375="Wingchun C",14,IF(Atletas!L375="Outra Mão de Sul C",15,IF(Atletas!L375="Choylayfut D",16,IF(Atletas!L375="Hunggar D",17,IF(Atletas!L375="Wuzuquan D",18,IF(Atletas!L375="Wingchun D",19,IF(Atletas!L375="Outra Mão de Sul D",20,IF(Atletas!L375="Choylayfut E",21,IF(Atletas!L375="Hunggar E",22,IF(Atletas!L375="Wuzuquan E",23,IF(Atletas!L375="Wingchun E",24,IF(Atletas!L375="Outra Mão de Sul E",25,IF(Atletas!L375="Choylayfut F",26,IF(Atletas!L375="Hunggar F",27,IF(Atletas!L375="Wuzuquan F",28,IF(Atletas!L375="Wingchun F",29,IF(Atletas!L375="Outra Mão de Sul F",30,IF(Atletas!L375="Dishuquan A",31,IF(Atletas!L375="Dishuquan B",32,IF(Atletas!L375="Dishuquan C",33,IF(Atletas!L375="Dishuquan D",34,IF(Atletas!L375="Dishuquan E",35,IF(Atletas!L375="Dishuquan F",36,""))))))))))))))))))))))))))))))))))))))</f>
        <v/>
      </c>
      <c r="BS384" s="50" t="str">
        <f>IF(Atletas!M375="","",IF(Atletas!X375&lt;&gt;"",10000,0)+(IF(Atletas!B375="Feminino",1000,IF(Atletas!B375="Masculino",2000,""))+(IF(Atletas!M375="Chaquan A",101,IF(Atletas!M375="Emeiquan A",102,IF(Atletas!M375="Fanziquan A",103,IF(Atletas!M375="Huaquan A",104,IF(Atletas!M375="Hongquan A",105,IF(Atletas!M375="Paoquan A",106,IF(Atletas!M375="Piguaquan A",107,IF(Atletas!M375="Shaolinquan A",108,IF(Atletas!M375="Tanglangquan A",109,IF(Atletas!M375="Yingzhaoquan A",110,IF(Atletas!M375="Tongbeiquan A",111,IF(Atletas!M375="Wudangquan A",112,IF(Atletas!M375="Outros Estilos A",113,IF(Atletas!M375="Chaquan B",114,IF(Atletas!M375="Emeiquan B",115,IF(Atletas!M375="Fanziquan B",116,IF(Atletas!M375="Huaquan B",117,IF(Atletas!M375="Hongquan B",118,IF(Atletas!M375="Paoquan B",119,IF(Atletas!M375="Piguaquan B",120,IF(Atletas!M375="Shaolinquan B",121,IF(Atletas!M375="Tanglangquan B",122,IF(Atletas!M375="Yingzhaoquan B",123,IF(Atletas!M375="Tongbeiquan B",124,IF(Atletas!M375="Wudangquan B",125,IF(Atletas!M375="Outros Estilos B",126,IF(Atletas!M375="Chaquan C",127,IF(Atletas!M375="Emeiquan C",128,IF(Atletas!M375="Fanziquan C",129,IF(Atletas!M375="Huaquan C",130,IF(Atletas!M375="Hongquan C",131,IF(Atletas!M375="Paoquan C",132,IF(Atletas!M375="Piguaquan C",133,IF(Atletas!M375="Shaolinquan C",134,IF(Atletas!M375="Tanglangquan C",135,IF(Atletas!M375="Yingzhaoquan C",136,IF(Atletas!M375="Tongbeiquan C",137,IF(Atletas!M375="Wudangquan C",138,IF(Atletas!M375="Outros Estilos C",139,0))))))))))))))))))))))))))))))))))))))))))</f>
        <v/>
      </c>
      <c r="BT384" s="50" t="str">
        <f>IF(Atletas!M375="","",IF(Atletas!X375&lt;&gt;"",10000,0)+(IF(Atletas!B375="Feminino",1000,IF(Atletas!B375="Masculino",2000,""))+(IF(Atletas!M375="Chaquan D",140,IF(Atletas!M375="Emeiquan D",141,IF(Atletas!M375="Fanziquan D",142,IF(Atletas!M375="Huaquan D",143,IF(Atletas!M375="Hongquan D",144,IF(Atletas!M375="Paoquan D",145,IF(Atletas!M375="Piguaquan D",146,IF(Atletas!M375="Shaolinquan D",147,IF(Atletas!M375="Tanglangquan D",148,IF(Atletas!M375="Yingzhaoquan D",149,IF(Atletas!M375="Tongbeiquan D",150,IF(Atletas!M375="Wudangquan D",151,IF(Atletas!M375="Outros Estilos D",152,IF(Atletas!M375="Chaquan E",153,IF(Atletas!M375="Emeiquan E",154,IF(Atletas!M375="Fanziquan E",155,IF(Atletas!M375="Huaquan E",156,IF(Atletas!M375="Hongquan E",157,IF(Atletas!M375="Paoquan E",158,IF(Atletas!M375="Piguaquan E",159,IF(Atletas!M375="Shaolinquan E",160,IF(Atletas!M375="Tanglangquan E",161,IF(Atletas!M375="Yingzhaoquan E",162,IF(Atletas!M375="Tongbeiquan E",163,IF(Atletas!M375="Wudangquan E",164,IF(Atletas!M375="Outros Estilos E",165,IF(Atletas!M375="Chaquan F",166,IF(Atletas!M375="Emeiquan F",167,IF(Atletas!M375="Fanziquan F",168,IF(Atletas!M375="Huaquan F",169,IF(Atletas!M375="Hongquan F",170,IF(Atletas!M375="Paoquan F",171,IF(Atletas!M375="Piguaquan F",172,IF(Atletas!M375="Shaolinquan F",173,IF(Atletas!M375="Tanglangquan F",174,IF(Atletas!M375="Yingzhaoquan F",175,IF(Atletas!M375="Tongbeiquan F",176,IF(Atletas!M375="Wudangquan F",177,IF(Atletas!M375="Outros Estilos F",178,0))))))))))))))))))))))))))))))))))))))))))</f>
        <v/>
      </c>
      <c r="BU384" s="50" t="str">
        <f>IF(Atletas!N375="","",IF(Atletas!X375&lt;&gt;"",10000,0)+(IF(Atletas!B375="Feminino",1000,IF(Atletas!B375="Masculino",2000,""))+(IF(Atletas!N375="Ditangquan A",201,IF(Atletas!N375="Houquan A",202,IF(Atletas!N375="Zuiquan A",203,IF(Atletas!N375="Ditangquan B",204,IF(Atletas!N375="Houquan B",205,IF(Atletas!N375="Zuiquan B",206,IF(Atletas!N375="Ditangquan C",207,IF(Atletas!N375="Houquan C",208,IF(Atletas!N375="Zuiquan C",209,IF(Atletas!N375="Ditangquan D",210,IF(Atletas!N375="Houquan D",211,IF(Atletas!N375="Zuiquan D",212,IF(Atletas!N375="Ditangquan E",213,IF(Atletas!N375="Houquan E",214,IF(Atletas!N375="Zuiquan E",215,IF(Atletas!N375="Ditangquan F",216,IF(Atletas!N375="Houquan F",217,IF(Atletas!N375="Zuiquan F",218,"")))))))))))))))))))))</f>
        <v/>
      </c>
      <c r="BV384" s="50" t="str">
        <f>IF(Atletas!O375="","",IF(Atletas!X375&lt;&gt;"",10000,0)+IF(Atletas!B375="Feminino",1000,IF(Atletas!B375="Masculino",2000,""))+IF(Atletas!O375="Yang A",301,IF(Atletas!O375="Chen A",302,IF(Atletas!O375="Sun A",303,IF(Atletas!O375="Wu A",304,IF(Atletas!O375="Wu-Hao A",305,IF(Atletas!O375="Outro Taijiquan A",306,IF(Atletas!O375="Yang B",307,IF(Atletas!O375="Chen B",308,IF(Atletas!O375="Sun B",309,IF(Atletas!O375="Wu B",310,IF(Atletas!O375="Wu-Hao B",311,IF(Atletas!O375="Outro Taijiquan B",312,IF(Atletas!O375="Yang C",313,IF(Atletas!O375="Chen C",314,IF(Atletas!O375="Sun C",315,IF(Atletas!O375="Wu C",316,IF(Atletas!O375="Wu-Hao C",317,IF(Atletas!O375="Outro Taijiquan C",318,IF(Atletas!O375="Yang D",319,IF(Atletas!O375="Chen D",320,IF(Atletas!O375="Sun D",321,IF(Atletas!O375="Wu D",322,IF(Atletas!O375="Wu-Hao D",323,IF(Atletas!O375="Outro Taijiquan D",324,IF(Atletas!O375="Yang E",325,IF(Atletas!O375="Chen E",326,IF(Atletas!O375="Sun E",327,IF(Atletas!O375="Wu E",328,IF(Atletas!O375="Wu-Hao E",329,IF(Atletas!O375="Outro Taijiquan E",330,IF(Atletas!O375="Yang F",331,IF(Atletas!O375="Chen F",332,IF(Atletas!O375="Sun F",333,IF(Atletas!O375="Wu F",334,IF(Atletas!O375="Wu-Hao F",335,IF(Atletas!O375="Outro Taijiquan F",336,"")))))))))))))))))))))))))))))))))))))</f>
        <v/>
      </c>
      <c r="BW384" s="50" t="str">
        <f>IF(Atletas!P375="","",IF(Atletas!X375&lt;&gt;"",10000,0)+IF(Atletas!B375="Feminino",1000,IF(Atletas!B375="Masculino",2000,""))+IF(OR(Atletas!P375="Yang 26 A",Atletas!P375="Yang 40 A"),401,IF(OR(Atletas!P375="Chen 25 A",Atletas!P375="Chen 36 A",Atletas!P375="Chen 56 A"),402,IF(Atletas!P375="Sun 73 A",403,IF(Atletas!P375="Wu 45 A",404,IF(Atletas!P375="Wu-Hao 46 A",405,IF(OR(Atletas!P375="Taijiquan 16 A",Atletas!P375="Taijiquan 24 A",Atletas!P375="Taijiquan 32 A",Atletas!P375="Taijiquan 42 A"),406,IF(OR(Atletas!P375="Yang 26 B",Atletas!P375="Yang 40 B"),407,IF(OR(Atletas!P375="Chen 25 B",Atletas!P375="Chen 36 B",Atletas!P375="Chen 56 B"),408,IF(Atletas!P375="Sun 73 B",409,IF(Atletas!P375="Wu 45 B",410,IF(Atletas!P375="Wu-Hao 46 B",411,IF(OR(Atletas!P375="Taijiquan 16 B",Atletas!P375="Taijiquan 24 B",Atletas!P375="Taijiquan 32 B",Atletas!P375="Taijiquan 42 B"),412,IF(OR(Atletas!P375="Yang 26 C",Atletas!P375="Yang 40 C"),413,IF(OR(Atletas!P375="Chen 25 C",Atletas!P375="Chen 36 C",Atletas!P375="Chen 56 C"),414,IF(Atletas!P375="Sun 73 C",415,IF(Atletas!P375="Wu 45 C",416,IF(Atletas!P375="Wu-Hao 46 C",417,IF(OR(Atletas!P375="Taijiquan 16 C",Atletas!P375="Taijiquan 24 C",Atletas!P375="Taijiquan 32 C",Atletas!P375="Taijiquan 42 C"),418,0)))))))))))))))))))</f>
        <v/>
      </c>
      <c r="BX384" s="50" t="str">
        <f>IF(Atletas!P375="","",IF(Atletas!X375&lt;&gt;"",10000,0)+IF(Atletas!B375="Feminino",1000,IF(Atletas!B375="Masculino",2000,""))+IF(OR(Atletas!P375="Yang 26 D",Atletas!P375="Yang 40 D"),419,IF(OR(Atletas!P375="Chen 25 D",Atletas!P375="Chen 36 D",Atletas!P375="Chen 56 D"),420,IF(Atletas!P375="Sun 73 D",421,IF(Atletas!P375="Wu 45 D",422,IF(Atletas!P375="Wu-Hao 46 D",423,IF(OR(Atletas!P375="Taijiquan 16 D",Atletas!P375="Taijiquan 24 D",Atletas!P375="Taijiquan 32 D",Atletas!P375="Taijiquan 42 D"),424,IF(OR(Atletas!P375="Yang 26 E",Atletas!P375="Yang 40 E"),425,IF(OR(Atletas!P375="Chen 25 E",Atletas!P375="Chen 36 E",Atletas!P375="Chen 56 E"),426,IF(Atletas!P375="Sun 73 E",427,IF(Atletas!P375="Wu 45 E",428,IF(Atletas!P375="Wu-Hao 46 E",429,IF(OR(Atletas!P375="Taijiquan 16 E",Atletas!P375="Taijiquan 24 E",Atletas!P375="Taijiquan 32 E",Atletas!P375="Taijiquan 42 E"),430,IF(OR(Atletas!P375="Yang 26 F",Atletas!P375="Yang 40 F"),431,IF(OR(Atletas!P375="Chen 25 F",Atletas!P375="Chen 36 F",Atletas!P375="Chen 56 F"),432,IF(Atletas!P375="Sun 73 F",433,IF(Atletas!P375="Wu 45 F",434,IF(Atletas!P375="Wu-Hao 46 F",435,IF(OR(Atletas!P375="Taijiquan 16 F",Atletas!P375="Taijiquan 24 F",Atletas!P375="Taijiquan 32 F",Atletas!P375="Taijiquan 42 F"),436,0)))))))))))))))))))</f>
        <v/>
      </c>
      <c r="BY384" s="50" t="str">
        <f>IF(Atletas!Q375="","",IF(Atletas!X375&lt;&gt;"",10000,0)+IF(Atletas!B375="Feminino",1000,IF(Atletas!B375="Masculino",2000,""))+IF(Atletas!Q375="Xingyiquan A",501,IF(Atletas!Q375="Baguazhang A",502,IF(Atletas!Q375="Outro Estilo Interno A",503,IF(Atletas!Q375="Xingyiquan B",504,IF(Atletas!Q375="Baguazhang B",505,IF(Atletas!Q375="Outro Estilo Interno B",506,IF(Atletas!Q375="Xingyiquan C",507,IF(Atletas!Q375="Baguazhang C",508,IF(Atletas!Q375="Outro Estilo Interno C",509,IF(Atletas!Q375="Xingyiquan D",510,IF(Atletas!Q375="Baguazhang D",511,IF(Atletas!Q375="Outro Estilo Interno D",512,IF(Atletas!Q375="Xingyiquan E",513,IF(Atletas!Q375="Baguazhang E",514,IF(Atletas!Q375="Outro Estilo Interno E",515,IF(Atletas!Q375="Xingyiquan F",516,IF(Atletas!Q375="Baguazhang F",517,IF(Atletas!Q375="Outro Estilo Interno F",518, "")))))))))))))))))))</f>
        <v/>
      </c>
      <c r="BZ384" s="50" t="str">
        <f>IF(Atletas!R375="","",IF(Atletas!X375&lt;&gt;"",10000,0)+IF(Atletas!B375="Feminino",1000,IF(Atletas!B375="Masculino",2000,""))+IF(Atletas!R375="Dao A",601,IF(Atletas!R375="Jian A",602,IF(Atletas!R375="Bishou A",603,IF(Atletas!R375="Shanzi A",604,IF(Atletas!R375="Outra Arma Curta A",605,IF(Atletas!R375="Dao B",606,IF(Atletas!R375="Jian B",607,IF(Atletas!R375="Bishou B",608,IF(Atletas!R375="Shanzi B",609,IF(Atletas!R375="Outra Arma Curta B",610,IF(Atletas!R375="Dao C",611,IF(Atletas!R375="Jian C",612,IF(Atletas!R375="Bishou C",613,IF(Atletas!R375="Shanzi C",614,IF(Atletas!R375="Outra Arma Curta C",615,IF(Atletas!R375="Dao D",616,IF(Atletas!R375="Jian D",617,IF(Atletas!R375="Bishou D",618,IF(Atletas!R375="Shanzi D",619,IF(Atletas!R375="Outra Arma Curta D",620,IF(Atletas!R375="Dao E",621,IF(Atletas!R375="Jian E",622,IF(Atletas!R375="Bishou E",623,IF(Atletas!R375="Shanzi E",624,IF(Atletas!R375="Outra Arma Curta E",625,IF(Atletas!R375="Dao F",626,IF(Atletas!R375="Jian F",627,IF(Atletas!R375="Bishou F",628,IF(Atletas!R375="Shanzi F",629,IF(Atletas!R375="Outra Arma Curta F",630, "")))))))))))))))))))))))))))))))</f>
        <v/>
      </c>
      <c r="CA384" s="50" t="str">
        <f>IF(Atletas!S375="","",IF(Atletas!X375&lt;&gt;"",10000,0)+IF(Atletas!B375="Feminino",1000,IF(Atletas!B375="Masculino",2000,""))+IF(Atletas!S375="Gun A",701,IF(Atletas!S375="Qiang A",702,IF(Atletas!S375="Pudao / Guandao A",703,IF(Atletas!S375="Outra Arma Longa A",704,IF(Atletas!S375="Gun B",705,IF(Atletas!S375="Qiang B",706,IF(Atletas!S375="Pudao / Guandao B",707,IF(Atletas!S375="Outra Arma Longa B",708,IF(Atletas!S375="Gun C",709,IF(Atletas!S375="Qiang C",710,IF(Atletas!S375="Pudao / Guandao C",711,IF(Atletas!S375="Outra Arma Longa C",712,IF(Atletas!S375="Gun D",713,IF(Atletas!S375="Qiang D",714,IF(Atletas!S375="Pudao / Guandao D",715,IF(Atletas!S375="Outra Arma Longa D",716,IF(Atletas!S375="Gun E",717,IF(Atletas!S375="Qiang E",718,IF(Atletas!S375="Pudao / Guandao E",719,IF(Atletas!S375="Outra Arma Longa E",720,IF(Atletas!S375="Gun F",721,IF(Atletas!S375="Qiang F",722,IF(Atletas!S375="Pudao / Guandao F",723,IF(Atletas!S375="Outra Arma Longa F",724,"")))))))))))))))))))))))))</f>
        <v/>
      </c>
      <c r="CB384" s="50" t="str">
        <f>IF(Atletas!T375="","",IF(Atletas!X375&lt;&gt;"",10000,0)+IF(Atletas!B375="Feminino",1000,IF(Atletas!B375="Masculino",2000,""))+IF(Atletas!T375="Outra Arma Dupla A",801,IF(Atletas!T375="Arma Maleável A",802,IF(Atletas!T375="Outra Arma Dupla B",803,IF(Atletas!T375="Arma Maleável B",804,IF(Atletas!T375="Outra Arma Dupla C",805,IF(Atletas!T375="Arma Maleável C",806,IF(Atletas!T375="Outra Arma Dupla D",807,IF(Atletas!T375="Arma Maleável D",808,IF(Atletas!T375="Outra Arma Dupla E",809,IF(Atletas!T375="Arma Maleável E",810,IF(Atletas!T375="Outra Arma Dupla F",811,IF(Atletas!T375="Arma Maleável F",812,IF(Atletas!T375="Shuangdao A",813,IF(Atletas!T375="Shuangdao B",814,IF(Atletas!T375="Shuangdao C",815,IF(Atletas!T375="Shuangdao D",816,IF(Atletas!T375="Shuangdao E",817,IF(Atletas!T375="Shuangdao F",818,"")))))))))))))))))))</f>
        <v/>
      </c>
      <c r="CC384" s="50" t="str">
        <f>IF(Atletas!U375="","",IF(Atletas!X375&lt;&gt;"",10000,0)+IF(Atletas!B375="Feminino",1000,IF(Atletas!B375="Masculino",2000,""))+IF(OR(Atletas!U375="Taijijian Yang A",Atletas!U375="Taijijian Yang Standard A"),901,IF(OR(Atletas!U375="Taijijian Chen A", Atletas!U375="Taijijian Chen Standard A"),902,IF(Atletas!U375="Taijijian Sun A",903,IF(Atletas!U375="Taijijian Wu A",904,IF(Atletas!U375="Taijijian Wu-Hao A",905,IF(OR(Atletas!U375="Taijijian 32 A",Atletas!U375="Taijijian 42 A"),906,IF(OR(Atletas!U375="Taijijian Yang B",Atletas!U375="Taijijian Yang Standard B"),907,IF(OR(Atletas!U375="Taijijian Chen B", Atletas!U375="Taijijian Chen Standard B"),908,IF(Atletas!U375="Taijijian Sun B",909,IF(Atletas!U375="Taijijian Wu B",910,IF(Atletas!U375="Taijijian Wu-Hao B",911,IF(OR(Atletas!U375="Taijijian 32 B",Atletas!U375="Taijijian 42 B"),912,IF(OR(Atletas!U375="Taijijian Yang C",Atletas!U375="Taijijian Yang Standard C"),913,IF(OR(Atletas!U375="Taijijian Chen C", Atletas!U375="Taijijian Chen Standard C"),914,IF(Atletas!U375="Taijijian Sun C",915,IF(Atletas!U375="Taijijian Wu C",916,IF(Atletas!U375="Taijijian Wu-Hao C",917,IF(OR(Atletas!U375="Taijijian 32 C",Atletas!U375="Taijijian 42 C"),918,IF(OR(Atletas!U375="Taijijian Yang D",Atletas!U375="Taijijian Yang Standard D"),919,IF(OR(Atletas!U375="Taijijian Chen D", Atletas!U375="Taijijian Chen Standard D"),920,IF(Atletas!U375="Taijijian Sun D",921,IF(Atletas!U375="Taijijian Wu D",922,IF(Atletas!U375="Taijijian Wu-Hao D",923,IF(OR(Atletas!U375="Taijijian 32 D",Atletas!U375="Taijijian 42 D"),924,IF(OR(Atletas!U375="Taijijian Yang E",Atletas!U375="Taijijian Yang Standard E"),925,IF(OR(Atletas!U375="Taijijian Chen E", Atletas!U375="Taijijian Chen Standard E"),926,IF(Atletas!U375="Taijijian Sun E",927,IF(Atletas!U375="Taijijian Wu E",928,IF(Atletas!U375="Taijijian Wu-Hao E",929,IF(OR(Atletas!U375="Taijijian 32 E",Atletas!U375="Taijijian 42 E"),930,IF(OR(Atletas!U375="Taijijian Yang F",Atletas!U375="Taijijian Yang Standard F"),931,IF(OR(Atletas!U375="Taijijian Chen F", Atletas!U375="Taijijian Chen Standard F"),932,IF(Atletas!U375="Taijijian Sun F",933,IF(Atletas!U375="Taijijian Wu F",934,IF(Atletas!U375="Taijijian Wu-Hao F",935,IF(OR(Atletas!U375="Taijijian 32 F",Atletas!U375="Taijijian 42 F"),936,"")))))))))))))))))))))))))))))))))))))</f>
        <v/>
      </c>
      <c r="CD384" s="50" t="str">
        <f>IF(Atletas!V375="","",IF(Atletas!X375&lt;&gt;"",10000,0)+IF(Atletas!B375="Feminino",1000,IF(Atletas!B375="Masculino",2000,""))+IF(Atletas!V375="Taijidao A",937,IF(Atletas!V375="TaijiShanzi A",938,IF(Atletas!V375="Taijiqiang A",939,IF(Atletas!V375="Bagua de Arma A",940,IF(Atletas!V375="Xingyi de Arma A",941,IF(Atletas!V375="Taijidao B",942,IF(Atletas!V375="TaijiShanzi B",943,IF(Atletas!V375="Taijiqiang B",944,IF(Atletas!V375="Bagua de Arma B",945,IF(Atletas!V375="Xingyi de Arma B",946,IF(Atletas!V375="Taijidao C",947,IF(Atletas!V375="TaijiShanzi C",948,IF(Atletas!V375="Taijiqiang C",949,IF(Atletas!V375="Bagua de Arma C",950,IF(Atletas!V375="Xingyi de Arma C",951,IF(Atletas!V375="Taijidao D",952,IF(Atletas!V375="TaijiShanzi D",953,IF(Atletas!V375="Taijiqiang D",954,IF(Atletas!V375="Bagua de Arma D",955,IF(Atletas!V375="Xingyi de Arma D",956,IF(Atletas!V375="Taijidao E",957,IF(Atletas!V375="TaijiShanzi E",958,IF(Atletas!V375="Taijiqiang E",959,IF(Atletas!V375="Bagua de Arma E",960,IF(Atletas!V375="Xingyi de Arma E",961,IF(Atletas!V375="Taijidao F",962,IF(Atletas!V375="TaijiShanzi F",963,IF(Atletas!V375="Taijiqiang F",964,IF(Atletas!V375="Bagua de Arma F",965,IF(Atletas!V375="Xingyi de Arma F",966,"")))))))))))))))))))))))))))))))</f>
        <v/>
      </c>
      <c r="CJ384" s="66"/>
      <c r="CL384" s="66"/>
      <c r="CM384" s="50" t="str">
        <f xml:space="preserve"> IF(Atletas!W375="","",IF(Atletas!W375="Duilian de Mãos BC - Equipe 1",1,IF(Atletas!W375="Duilian de Mãos BC - Equipe 2",2,IF(Atletas!W375="Duilian de Armas BC - Equipe 1",3,IF(Atletas!W375="Duilian de Armas BC - Equipe 2",4,IF(Atletas!W375="Duilian de Mãos DE - Equipe 1",5,IF(Atletas!W375="Duilian de Mãos DE - Equipe 2",6,IF(Atletas!W375="Duilian de Armas DE - Equipe 1",7,IF(Atletas!W375="Duilian de Armas DE - Equipe 2",8,IF(Atletas!W375="Duilian de Tuishou - Equipe 1",9,IF(Atletas!W375="Duilian de Tuishou - Equipe 2",10,IF(Atletas!W375="Grupo Externo ABC - Equipe 1",11,IF(Atletas!W375="Grupo Externo ABC - Equipe 2",12,IF(Atletas!W375="Grupo Interno ABC - Equipe 1",13,IF(Atletas!W375="Grupo Interno ABC - Equipe 2",14,IF(Atletas!W375="Grupo Externo DEF - Equipe 1",15,IF(Atletas!W375="Grupo Externo DEF - Equipe 2",16,IF(Atletas!W375="Grupo Interno DEF - Equipe 1",17,IF(Atletas!W375="Grupo Interno DEF - Equipe 2",18,"")))))))))))))))))))</f>
        <v/>
      </c>
    </row>
    <row r="385" spans="40:91">
      <c r="AN385" s="52" t="str">
        <f>IF(Atletas!D376="","",IF(Atletas!B376="Feminino",100,IF(Atletas!B376="Masculino",200,""))+(IF(Atletas!D376="Kids 30kg",1,IF(Atletas!D376="Kids 32kg",2, IF(Atletas!D376="Kids 34kg",3,IF(Atletas!D376="Kids 36kg",4,IF(Atletas!D376="Kids 39kg",5,IF(Atletas!D376="Kids 42kg",6,IF(Atletas!D376="Kids 45kg",7, IF(Atletas!D376="Infantil 39kg",8,IF(Atletas!D376="Infantil 42kg",9,IF(Atletas!D376="Infantil 45kg",10,IF(Atletas!D376="Infantil 48kg",11,IF(Atletas!D376="Infantil 52kg",12,IF(Atletas!D376="Infantil 56kg",13,IF(Atletas!D376="Infantil 60kg",14,IF(Atletas!D376="Juvenil 48kg",15,IF(Atletas!D376="Juvenil 52kg",16,IF(Atletas!D376="Juvenil 56kg",17,IF(Atletas!D376="Juvenil 60kg",18,IF(Atletas!D376="Juvenil 65kg",19,IF(Atletas!D376="Juvenil 70kg",20,IF(Atletas!D376="Juvenil 75kg",21,IF(Atletas!D376="Juvenil 80kg",22, IF(Atletas!D376="Juvenil 85kg",23,IF(Atletas!D376="Adulto 48kg",24,IF(Atletas!D376="Adulto 52kg",25,IF(Atletas!D376="Adulto 56kg",26,IF(Atletas!D376="Adulto 60kg",27,IF(Atletas!D376="Adulto 65kg",28,IF(Atletas!D376="Adulto 70kg",29,IF(Atletas!D376="Adulto 75kg",30,IF(Atletas!D376="Adulto 80kg",31,IF(Atletas!D376="Adulto 85kg",32,IF(Atletas!D376="Adulto 90kg",33,IF(Atletas!D376="Adulto 100kg",34, IF(Atletas!D376="Adulto +100kg",35,"")))))))))))))))))))))))))))))))))))))</f>
        <v/>
      </c>
      <c r="AS385" s="6" t="str">
        <f>IF(Atletas!E376="","",IF(Atletas!B376="Feminino",100,IF(Atletas!B376="Masculino",200,""))+(IF(Atletas!E376="Juvenil 44kg",1,IF(Atletas!E376="Juvenil 48kg",2,IF(Atletas!E376="Juvenil 52kg",3,IF(Atletas!E376="Juvenil 56kg",4,IF(Atletas!E376="Juvenil 60kg",5,IF(Atletas!E376="Juvenil 65kg",6,IF(Atletas!E376="Juvenil 70kg",7,IF(Atletas!E376="Juvenil 75kg",8,IF(Atletas!E376="Juvenil 82kg",9,IF(Atletas!E376="Juvenil 90kg",10,IF(Atletas!E376="Juvenil 100kg",11,IF(Atletas!E376="Adulto 48kg",12,IF(Atletas!E376="Adulto 52kg",13,IF(Atletas!E376="Adulto 56kg",14,IF(Atletas!E376="Adulto 60kg",15,IF(Atletas!E376="Adulto 65kg",16,IF(Atletas!E376="Adulto 70kg",17,IF(Atletas!E376="Adulto 75kg",18,IF(Atletas!E376="Adulto 82kg",19,IF(Atletas!E376="Adulto 90kg",20,IF(Atletas!E376="Adulto 100kg",21,IF(Atletas!E376="Adulto +100kg",22,""))))))))))))))))))))))))</f>
        <v/>
      </c>
      <c r="AX385" s="6" t="str">
        <f>IF(Atletas!F376="","",IF(Atletas!B376="Feminino",100,IF(Atletas!B376="Masculino",200,""))+(IF(Atletas!F376="Adulto 48kg",1,IF(Atletas!F376="Adulto 56kg",2,IF(Atletas!F376="Adulto 65kg",3,IF(Atletas!F376="Adulto 75kg",4,IF(Atletas!F376="Adulto +75kg",5,IF(Atletas!F376="Adulto 52kg",6,IF(Atletas!F376="Adulto 60kg",7,IF(Atletas!F376="Adulto 70kg",8,IF(Atletas!F376="Adulto 80kg",9,IF(Atletas!F376="Adulto 90kg",10,IF(Atletas!F376="Adulto +90kg",11,"")))))))))))))</f>
        <v/>
      </c>
      <c r="BC385" s="6" t="str">
        <f>IF(Atletas!G376="","",IF(Atletas!B376="Feminino",10,IF(Atletas!B376="Masculino",20,""))+(IF(Atletas!G376="Baduanjin A",1,IF(Atletas!G376="Baduanjin B",2))))</f>
        <v/>
      </c>
      <c r="BF385" s="52" t="str">
        <f>IF(Atletas!H376="","",IF(Atletas!B376="Feminino",100,IF(Atletas!B376="Masculino",200,""))+(IF(Atletas!H376="Changquan Mirim",1,IF(Atletas!H376="Nanquan Mirim",2,IF(Atletas!H376="Taijiquan Mirim",3,IF(Atletas!H376="Changquan Grupo C",4,IF(Atletas!H376="Nanquan Grupo C",5,IF(Atletas!H376="Taijiquan Grupo C",6,IF(Atletas!H376="Changquan Grupo B",7,IF(Atletas!H376="Nanquan Grupo B",8,IF(Atletas!H376="Taijiquan Grupo B",9,IF(Atletas!H376="Changquan Grupo A",10,IF(Atletas!H376="Nanquan Grupo A",11,IF(Atletas!H376="Taijiquan Grupo A",12,IF(Atletas!H376="Changquan Opcional",13,IF(Atletas!H376="Nanquan Opcional",14,IF(Atletas!H376="Taijiquan Opcional",15,IF(Atletas!H376="Changquan Adulto",16,IF(Atletas!H376="Nanquan Adulto",17,IF(Atletas!H376="Taijiquan Adulto",18,""))))))))))))))))))))</f>
        <v/>
      </c>
      <c r="BG385" s="52" t="str">
        <f>IF(Atletas!I376="","",IF(Atletas!B376="Feminino",100,IF(Atletas!B376="Masculino",200,""))+(IF(Atletas!I376="Daoshu Mirim",19,IF(Atletas!I376="Jianshu Mirim",20,IF(Atletas!I376="Nandao Mirim",21,IF(Atletas!I376="Taijijian Mirim",22,IF(Atletas!I376="Daoshu Grupo C",23,IF(Atletas!I376="Jianshu Grupo C",24,IF(Atletas!I376="Nandao Grupo C",25,IF(Atletas!I376="Taijijian Grupo C",26,IF(Atletas!I376="Daoshu Grupo B",27,IF(Atletas!I376="Jianshu Grupo B",28,IF(Atletas!I376="Nandao Grupo B",29,IF(Atletas!I376="Taijijian Grupo B",30,IF(Atletas!I376="Daoshu Grupo A",31,IF(Atletas!I376="Jianshu Grupo A",32,IF(Atletas!I376="Nandao Grupo A",33,IF(Atletas!I376="Taijijian Grupo A",34,IF(Atletas!I376="Daoshu Opcional",35,IF(Atletas!I376="Jianshu Opcional",36,IF(Atletas!I376="Nandao Opcional",37,IF(Atletas!I376="Taijijian Opcional",38,IF(Atletas!I376="Daoshu Adulto",39,IF(Atletas!I376="Jianshu Adulto",40,IF(Atletas!I376="Nandao Adulto",41,IF(Atletas!I376="Taijijian Adulto",42,""))))))))))))))))))))))))))</f>
        <v/>
      </c>
      <c r="BH385" s="52" t="str">
        <f>IF(Atletas!J376="","",IF(Atletas!B376="Feminino",100,IF(Atletas!B376="Masculino",200,""))+(IF(Atletas!J376="Gunshu Mirim",43,IF(Atletas!J376="Qiangshu Mirim",44,IF(Atletas!J376="Nangun Mirim",45,IF(Atletas!J376="Gunshu Grupo C",46,IF(Atletas!J376="Qiangshu Grupo C",47,IF(Atletas!J376="Nangun Grupo C",48,IF(Atletas!J376="Gunshu Grupo B",49,IF(Atletas!J376="Qiangshu Grupo B",50,IF(Atletas!J376="Nangun Grupo B",51,IF(Atletas!J376="Gunshu Grupo A",52,IF(Atletas!J376="Qiangshu Grupo A",53,IF(Atletas!J376="Nangun Grupo A",54,IF(Atletas!J376="Gunshu Opcional",55,IF(Atletas!J376="Qiangshu Opcional",56,IF(Atletas!J376="Nangun Opcional",57,IF(Atletas!J376="Gunshu Adulto",58,IF(Atletas!J376="Qiangshu Adulto",59,IF(Atletas!J376="Nangun Adulto",60,IF(Atletas!J376="Taijishan Grupo B",61,IF(Atletas!J376="Taijishan Grupo A",62,""))))))))))))))))))))))</f>
        <v/>
      </c>
      <c r="BM385" s="50" t="str">
        <f>IF(Atletas!K376="","",IF(Atletas!B376="Feminino",100,IF(Atletas!B376="Masculino",200,""))+(IF(Atletas!K376="Equipe 1 Grupo B",1,IF(Atletas!K376="Equipe 2 Grupo B",2,IF(Atletas!K376="Equipe 1 Grupo A",3,IF(Atletas!K376="Equipe 2 Grupo A",4,IF(Atletas!K376="Equipe 1 Adulto",5,IF(Atletas!K376="Equipe 2 Adulto",6,""))))))))</f>
        <v/>
      </c>
      <c r="BR385" s="50" t="str">
        <f>IF(Atletas!L376="","",IF(Atletas!X376&lt;&gt;"",10000,0)+(IF(Atletas!B376="Feminino",1000,IF(Atletas!B376="Masculino",2000,""))+IF(Atletas!L376="Choylayfut A",1,IF(Atletas!L376="Hunggar A",2,IF(Atletas!L376="Wuzuquan A",3,IF(Atletas!L376="Wingchun A",4,IF(Atletas!L376="Outra Mão de Sul A",5,IF(Atletas!L376="Choylayfut B",6,IF(Atletas!L376="Hunggar B",7,IF(Atletas!L376="Wuzuquan B",8,IF(Atletas!L376="Wingchun B",9,IF(Atletas!L376="Outra Mão de Sul B",10,IF(Atletas!L376="Choylayfut C",11,IF(Atletas!L376="Hunggar C",12,IF(Atletas!L376="Wuzuquan C",13,IF(Atletas!L376="Wingchun C",14,IF(Atletas!L376="Outra Mão de Sul C",15,IF(Atletas!L376="Choylayfut D",16,IF(Atletas!L376="Hunggar D",17,IF(Atletas!L376="Wuzuquan D",18,IF(Atletas!L376="Wingchun D",19,IF(Atletas!L376="Outra Mão de Sul D",20,IF(Atletas!L376="Choylayfut E",21,IF(Atletas!L376="Hunggar E",22,IF(Atletas!L376="Wuzuquan E",23,IF(Atletas!L376="Wingchun E",24,IF(Atletas!L376="Outra Mão de Sul E",25,IF(Atletas!L376="Choylayfut F",26,IF(Atletas!L376="Hunggar F",27,IF(Atletas!L376="Wuzuquan F",28,IF(Atletas!L376="Wingchun F",29,IF(Atletas!L376="Outra Mão de Sul F",30,IF(Atletas!L376="Dishuquan A",31,IF(Atletas!L376="Dishuquan B",32,IF(Atletas!L376="Dishuquan C",33,IF(Atletas!L376="Dishuquan D",34,IF(Atletas!L376="Dishuquan E",35,IF(Atletas!L376="Dishuquan F",36,""))))))))))))))))))))))))))))))))))))))</f>
        <v/>
      </c>
      <c r="BS385" s="50" t="str">
        <f>IF(Atletas!M376="","",IF(Atletas!X376&lt;&gt;"",10000,0)+(IF(Atletas!B376="Feminino",1000,IF(Atletas!B376="Masculino",2000,""))+(IF(Atletas!M376="Chaquan A",101,IF(Atletas!M376="Emeiquan A",102,IF(Atletas!M376="Fanziquan A",103,IF(Atletas!M376="Huaquan A",104,IF(Atletas!M376="Hongquan A",105,IF(Atletas!M376="Paoquan A",106,IF(Atletas!M376="Piguaquan A",107,IF(Atletas!M376="Shaolinquan A",108,IF(Atletas!M376="Tanglangquan A",109,IF(Atletas!M376="Yingzhaoquan A",110,IF(Atletas!M376="Tongbeiquan A",111,IF(Atletas!M376="Wudangquan A",112,IF(Atletas!M376="Outros Estilos A",113,IF(Atletas!M376="Chaquan B",114,IF(Atletas!M376="Emeiquan B",115,IF(Atletas!M376="Fanziquan B",116,IF(Atletas!M376="Huaquan B",117,IF(Atletas!M376="Hongquan B",118,IF(Atletas!M376="Paoquan B",119,IF(Atletas!M376="Piguaquan B",120,IF(Atletas!M376="Shaolinquan B",121,IF(Atletas!M376="Tanglangquan B",122,IF(Atletas!M376="Yingzhaoquan B",123,IF(Atletas!M376="Tongbeiquan B",124,IF(Atletas!M376="Wudangquan B",125,IF(Atletas!M376="Outros Estilos B",126,IF(Atletas!M376="Chaquan C",127,IF(Atletas!M376="Emeiquan C",128,IF(Atletas!M376="Fanziquan C",129,IF(Atletas!M376="Huaquan C",130,IF(Atletas!M376="Hongquan C",131,IF(Atletas!M376="Paoquan C",132,IF(Atletas!M376="Piguaquan C",133,IF(Atletas!M376="Shaolinquan C",134,IF(Atletas!M376="Tanglangquan C",135,IF(Atletas!M376="Yingzhaoquan C",136,IF(Atletas!M376="Tongbeiquan C",137,IF(Atletas!M376="Wudangquan C",138,IF(Atletas!M376="Outros Estilos C",139,0))))))))))))))))))))))))))))))))))))))))))</f>
        <v/>
      </c>
      <c r="BT385" s="50" t="str">
        <f>IF(Atletas!M376="","",IF(Atletas!X376&lt;&gt;"",10000,0)+(IF(Atletas!B376="Feminino",1000,IF(Atletas!B376="Masculino",2000,""))+(IF(Atletas!M376="Chaquan D",140,IF(Atletas!M376="Emeiquan D",141,IF(Atletas!M376="Fanziquan D",142,IF(Atletas!M376="Huaquan D",143,IF(Atletas!M376="Hongquan D",144,IF(Atletas!M376="Paoquan D",145,IF(Atletas!M376="Piguaquan D",146,IF(Atletas!M376="Shaolinquan D",147,IF(Atletas!M376="Tanglangquan D",148,IF(Atletas!M376="Yingzhaoquan D",149,IF(Atletas!M376="Tongbeiquan D",150,IF(Atletas!M376="Wudangquan D",151,IF(Atletas!M376="Outros Estilos D",152,IF(Atletas!M376="Chaquan E",153,IF(Atletas!M376="Emeiquan E",154,IF(Atletas!M376="Fanziquan E",155,IF(Atletas!M376="Huaquan E",156,IF(Atletas!M376="Hongquan E",157,IF(Atletas!M376="Paoquan E",158,IF(Atletas!M376="Piguaquan E",159,IF(Atletas!M376="Shaolinquan E",160,IF(Atletas!M376="Tanglangquan E",161,IF(Atletas!M376="Yingzhaoquan E",162,IF(Atletas!M376="Tongbeiquan E",163,IF(Atletas!M376="Wudangquan E",164,IF(Atletas!M376="Outros Estilos E",165,IF(Atletas!M376="Chaquan F",166,IF(Atletas!M376="Emeiquan F",167,IF(Atletas!M376="Fanziquan F",168,IF(Atletas!M376="Huaquan F",169,IF(Atletas!M376="Hongquan F",170,IF(Atletas!M376="Paoquan F",171,IF(Atletas!M376="Piguaquan F",172,IF(Atletas!M376="Shaolinquan F",173,IF(Atletas!M376="Tanglangquan F",174,IF(Atletas!M376="Yingzhaoquan F",175,IF(Atletas!M376="Tongbeiquan F",176,IF(Atletas!M376="Wudangquan F",177,IF(Atletas!M376="Outros Estilos F",178,0))))))))))))))))))))))))))))))))))))))))))</f>
        <v/>
      </c>
      <c r="BU385" s="50" t="str">
        <f>IF(Atletas!N376="","",IF(Atletas!X376&lt;&gt;"",10000,0)+(IF(Atletas!B376="Feminino",1000,IF(Atletas!B376="Masculino",2000,""))+(IF(Atletas!N376="Ditangquan A",201,IF(Atletas!N376="Houquan A",202,IF(Atletas!N376="Zuiquan A",203,IF(Atletas!N376="Ditangquan B",204,IF(Atletas!N376="Houquan B",205,IF(Atletas!N376="Zuiquan B",206,IF(Atletas!N376="Ditangquan C",207,IF(Atletas!N376="Houquan C",208,IF(Atletas!N376="Zuiquan C",209,IF(Atletas!N376="Ditangquan D",210,IF(Atletas!N376="Houquan D",211,IF(Atletas!N376="Zuiquan D",212,IF(Atletas!N376="Ditangquan E",213,IF(Atletas!N376="Houquan E",214,IF(Atletas!N376="Zuiquan E",215,IF(Atletas!N376="Ditangquan F",216,IF(Atletas!N376="Houquan F",217,IF(Atletas!N376="Zuiquan F",218,"")))))))))))))))))))))</f>
        <v/>
      </c>
      <c r="BV385" s="50" t="str">
        <f>IF(Atletas!O376="","",IF(Atletas!X376&lt;&gt;"",10000,0)+IF(Atletas!B376="Feminino",1000,IF(Atletas!B376="Masculino",2000,""))+IF(Atletas!O376="Yang A",301,IF(Atletas!O376="Chen A",302,IF(Atletas!O376="Sun A",303,IF(Atletas!O376="Wu A",304,IF(Atletas!O376="Wu-Hao A",305,IF(Atletas!O376="Outro Taijiquan A",306,IF(Atletas!O376="Yang B",307,IF(Atletas!O376="Chen B",308,IF(Atletas!O376="Sun B",309,IF(Atletas!O376="Wu B",310,IF(Atletas!O376="Wu-Hao B",311,IF(Atletas!O376="Outro Taijiquan B",312,IF(Atletas!O376="Yang C",313,IF(Atletas!O376="Chen C",314,IF(Atletas!O376="Sun C",315,IF(Atletas!O376="Wu C",316,IF(Atletas!O376="Wu-Hao C",317,IF(Atletas!O376="Outro Taijiquan C",318,IF(Atletas!O376="Yang D",319,IF(Atletas!O376="Chen D",320,IF(Atletas!O376="Sun D",321,IF(Atletas!O376="Wu D",322,IF(Atletas!O376="Wu-Hao D",323,IF(Atletas!O376="Outro Taijiquan D",324,IF(Atletas!O376="Yang E",325,IF(Atletas!O376="Chen E",326,IF(Atletas!O376="Sun E",327,IF(Atletas!O376="Wu E",328,IF(Atletas!O376="Wu-Hao E",329,IF(Atletas!O376="Outro Taijiquan E",330,IF(Atletas!O376="Yang F",331,IF(Atletas!O376="Chen F",332,IF(Atletas!O376="Sun F",333,IF(Atletas!O376="Wu F",334,IF(Atletas!O376="Wu-Hao F",335,IF(Atletas!O376="Outro Taijiquan F",336,"")))))))))))))))))))))))))))))))))))))</f>
        <v/>
      </c>
      <c r="BW385" s="50" t="str">
        <f>IF(Atletas!P376="","",IF(Atletas!X376&lt;&gt;"",10000,0)+IF(Atletas!B376="Feminino",1000,IF(Atletas!B376="Masculino",2000,""))+IF(OR(Atletas!P376="Yang 26 A",Atletas!P376="Yang 40 A"),401,IF(OR(Atletas!P376="Chen 25 A",Atletas!P376="Chen 36 A",Atletas!P376="Chen 56 A"),402,IF(Atletas!P376="Sun 73 A",403,IF(Atletas!P376="Wu 45 A",404,IF(Atletas!P376="Wu-Hao 46 A",405,IF(OR(Atletas!P376="Taijiquan 16 A",Atletas!P376="Taijiquan 24 A",Atletas!P376="Taijiquan 32 A",Atletas!P376="Taijiquan 42 A"),406,IF(OR(Atletas!P376="Yang 26 B",Atletas!P376="Yang 40 B"),407,IF(OR(Atletas!P376="Chen 25 B",Atletas!P376="Chen 36 B",Atletas!P376="Chen 56 B"),408,IF(Atletas!P376="Sun 73 B",409,IF(Atletas!P376="Wu 45 B",410,IF(Atletas!P376="Wu-Hao 46 B",411,IF(OR(Atletas!P376="Taijiquan 16 B",Atletas!P376="Taijiquan 24 B",Atletas!P376="Taijiquan 32 B",Atletas!P376="Taijiquan 42 B"),412,IF(OR(Atletas!P376="Yang 26 C",Atletas!P376="Yang 40 C"),413,IF(OR(Atletas!P376="Chen 25 C",Atletas!P376="Chen 36 C",Atletas!P376="Chen 56 C"),414,IF(Atletas!P376="Sun 73 C",415,IF(Atletas!P376="Wu 45 C",416,IF(Atletas!P376="Wu-Hao 46 C",417,IF(OR(Atletas!P376="Taijiquan 16 C",Atletas!P376="Taijiquan 24 C",Atletas!P376="Taijiquan 32 C",Atletas!P376="Taijiquan 42 C"),418,0)))))))))))))))))))</f>
        <v/>
      </c>
      <c r="BX385" s="50" t="str">
        <f>IF(Atletas!P376="","",IF(Atletas!X376&lt;&gt;"",10000,0)+IF(Atletas!B376="Feminino",1000,IF(Atletas!B376="Masculino",2000,""))+IF(OR(Atletas!P376="Yang 26 D",Atletas!P376="Yang 40 D"),419,IF(OR(Atletas!P376="Chen 25 D",Atletas!P376="Chen 36 D",Atletas!P376="Chen 56 D"),420,IF(Atletas!P376="Sun 73 D",421,IF(Atletas!P376="Wu 45 D",422,IF(Atletas!P376="Wu-Hao 46 D",423,IF(OR(Atletas!P376="Taijiquan 16 D",Atletas!P376="Taijiquan 24 D",Atletas!P376="Taijiquan 32 D",Atletas!P376="Taijiquan 42 D"),424,IF(OR(Atletas!P376="Yang 26 E",Atletas!P376="Yang 40 E"),425,IF(OR(Atletas!P376="Chen 25 E",Atletas!P376="Chen 36 E",Atletas!P376="Chen 56 E"),426,IF(Atletas!P376="Sun 73 E",427,IF(Atletas!P376="Wu 45 E",428,IF(Atletas!P376="Wu-Hao 46 E",429,IF(OR(Atletas!P376="Taijiquan 16 E",Atletas!P376="Taijiquan 24 E",Atletas!P376="Taijiquan 32 E",Atletas!P376="Taijiquan 42 E"),430,IF(OR(Atletas!P376="Yang 26 F",Atletas!P376="Yang 40 F"),431,IF(OR(Atletas!P376="Chen 25 F",Atletas!P376="Chen 36 F",Atletas!P376="Chen 56 F"),432,IF(Atletas!P376="Sun 73 F",433,IF(Atletas!P376="Wu 45 F",434,IF(Atletas!P376="Wu-Hao 46 F",435,IF(OR(Atletas!P376="Taijiquan 16 F",Atletas!P376="Taijiquan 24 F",Atletas!P376="Taijiquan 32 F",Atletas!P376="Taijiquan 42 F"),436,0)))))))))))))))))))</f>
        <v/>
      </c>
      <c r="BY385" s="50" t="str">
        <f>IF(Atletas!Q376="","",IF(Atletas!X376&lt;&gt;"",10000,0)+IF(Atletas!B376="Feminino",1000,IF(Atletas!B376="Masculino",2000,""))+IF(Atletas!Q376="Xingyiquan A",501,IF(Atletas!Q376="Baguazhang A",502,IF(Atletas!Q376="Outro Estilo Interno A",503,IF(Atletas!Q376="Xingyiquan B",504,IF(Atletas!Q376="Baguazhang B",505,IF(Atletas!Q376="Outro Estilo Interno B",506,IF(Atletas!Q376="Xingyiquan C",507,IF(Atletas!Q376="Baguazhang C",508,IF(Atletas!Q376="Outro Estilo Interno C",509,IF(Atletas!Q376="Xingyiquan D",510,IF(Atletas!Q376="Baguazhang D",511,IF(Atletas!Q376="Outro Estilo Interno D",512,IF(Atletas!Q376="Xingyiquan E",513,IF(Atletas!Q376="Baguazhang E",514,IF(Atletas!Q376="Outro Estilo Interno E",515,IF(Atletas!Q376="Xingyiquan F",516,IF(Atletas!Q376="Baguazhang F",517,IF(Atletas!Q376="Outro Estilo Interno F",518, "")))))))))))))))))))</f>
        <v/>
      </c>
      <c r="BZ385" s="50" t="str">
        <f>IF(Atletas!R376="","",IF(Atletas!X376&lt;&gt;"",10000,0)+IF(Atletas!B376="Feminino",1000,IF(Atletas!B376="Masculino",2000,""))+IF(Atletas!R376="Dao A",601,IF(Atletas!R376="Jian A",602,IF(Atletas!R376="Bishou A",603,IF(Atletas!R376="Shanzi A",604,IF(Atletas!R376="Outra Arma Curta A",605,IF(Atletas!R376="Dao B",606,IF(Atletas!R376="Jian B",607,IF(Atletas!R376="Bishou B",608,IF(Atletas!R376="Shanzi B",609,IF(Atletas!R376="Outra Arma Curta B",610,IF(Atletas!R376="Dao C",611,IF(Atletas!R376="Jian C",612,IF(Atletas!R376="Bishou C",613,IF(Atletas!R376="Shanzi C",614,IF(Atletas!R376="Outra Arma Curta C",615,IF(Atletas!R376="Dao D",616,IF(Atletas!R376="Jian D",617,IF(Atletas!R376="Bishou D",618,IF(Atletas!R376="Shanzi D",619,IF(Atletas!R376="Outra Arma Curta D",620,IF(Atletas!R376="Dao E",621,IF(Atletas!R376="Jian E",622,IF(Atletas!R376="Bishou E",623,IF(Atletas!R376="Shanzi E",624,IF(Atletas!R376="Outra Arma Curta E",625,IF(Atletas!R376="Dao F",626,IF(Atletas!R376="Jian F",627,IF(Atletas!R376="Bishou F",628,IF(Atletas!R376="Shanzi F",629,IF(Atletas!R376="Outra Arma Curta F",630, "")))))))))))))))))))))))))))))))</f>
        <v/>
      </c>
      <c r="CA385" s="50" t="str">
        <f>IF(Atletas!S376="","",IF(Atletas!X376&lt;&gt;"",10000,0)+IF(Atletas!B376="Feminino",1000,IF(Atletas!B376="Masculino",2000,""))+IF(Atletas!S376="Gun A",701,IF(Atletas!S376="Qiang A",702,IF(Atletas!S376="Pudao / Guandao A",703,IF(Atletas!S376="Outra Arma Longa A",704,IF(Atletas!S376="Gun B",705,IF(Atletas!S376="Qiang B",706,IF(Atletas!S376="Pudao / Guandao B",707,IF(Atletas!S376="Outra Arma Longa B",708,IF(Atletas!S376="Gun C",709,IF(Atletas!S376="Qiang C",710,IF(Atletas!S376="Pudao / Guandao C",711,IF(Atletas!S376="Outra Arma Longa C",712,IF(Atletas!S376="Gun D",713,IF(Atletas!S376="Qiang D",714,IF(Atletas!S376="Pudao / Guandao D",715,IF(Atletas!S376="Outra Arma Longa D",716,IF(Atletas!S376="Gun E",717,IF(Atletas!S376="Qiang E",718,IF(Atletas!S376="Pudao / Guandao E",719,IF(Atletas!S376="Outra Arma Longa E",720,IF(Atletas!S376="Gun F",721,IF(Atletas!S376="Qiang F",722,IF(Atletas!S376="Pudao / Guandao F",723,IF(Atletas!S376="Outra Arma Longa F",724,"")))))))))))))))))))))))))</f>
        <v/>
      </c>
      <c r="CB385" s="50" t="str">
        <f>IF(Atletas!T376="","",IF(Atletas!X376&lt;&gt;"",10000,0)+IF(Atletas!B376="Feminino",1000,IF(Atletas!B376="Masculino",2000,""))+IF(Atletas!T376="Outra Arma Dupla A",801,IF(Atletas!T376="Arma Maleável A",802,IF(Atletas!T376="Outra Arma Dupla B",803,IF(Atletas!T376="Arma Maleável B",804,IF(Atletas!T376="Outra Arma Dupla C",805,IF(Atletas!T376="Arma Maleável C",806,IF(Atletas!T376="Outra Arma Dupla D",807,IF(Atletas!T376="Arma Maleável D",808,IF(Atletas!T376="Outra Arma Dupla E",809,IF(Atletas!T376="Arma Maleável E",810,IF(Atletas!T376="Outra Arma Dupla F",811,IF(Atletas!T376="Arma Maleável F",812,IF(Atletas!T376="Shuangdao A",813,IF(Atletas!T376="Shuangdao B",814,IF(Atletas!T376="Shuangdao C",815,IF(Atletas!T376="Shuangdao D",816,IF(Atletas!T376="Shuangdao E",817,IF(Atletas!T376="Shuangdao F",818,"")))))))))))))))))))</f>
        <v/>
      </c>
      <c r="CC385" s="50" t="str">
        <f>IF(Atletas!U376="","",IF(Atletas!X376&lt;&gt;"",10000,0)+IF(Atletas!B376="Feminino",1000,IF(Atletas!B376="Masculino",2000,""))+IF(OR(Atletas!U376="Taijijian Yang A",Atletas!U376="Taijijian Yang Standard A"),901,IF(OR(Atletas!U376="Taijijian Chen A", Atletas!U376="Taijijian Chen Standard A"),902,IF(Atletas!U376="Taijijian Sun A",903,IF(Atletas!U376="Taijijian Wu A",904,IF(Atletas!U376="Taijijian Wu-Hao A",905,IF(OR(Atletas!U376="Taijijian 32 A",Atletas!U376="Taijijian 42 A"),906,IF(OR(Atletas!U376="Taijijian Yang B",Atletas!U376="Taijijian Yang Standard B"),907,IF(OR(Atletas!U376="Taijijian Chen B", Atletas!U376="Taijijian Chen Standard B"),908,IF(Atletas!U376="Taijijian Sun B",909,IF(Atletas!U376="Taijijian Wu B",910,IF(Atletas!U376="Taijijian Wu-Hao B",911,IF(OR(Atletas!U376="Taijijian 32 B",Atletas!U376="Taijijian 42 B"),912,IF(OR(Atletas!U376="Taijijian Yang C",Atletas!U376="Taijijian Yang Standard C"),913,IF(OR(Atletas!U376="Taijijian Chen C", Atletas!U376="Taijijian Chen Standard C"),914,IF(Atletas!U376="Taijijian Sun C",915,IF(Atletas!U376="Taijijian Wu C",916,IF(Atletas!U376="Taijijian Wu-Hao C",917,IF(OR(Atletas!U376="Taijijian 32 C",Atletas!U376="Taijijian 42 C"),918,IF(OR(Atletas!U376="Taijijian Yang D",Atletas!U376="Taijijian Yang Standard D"),919,IF(OR(Atletas!U376="Taijijian Chen D", Atletas!U376="Taijijian Chen Standard D"),920,IF(Atletas!U376="Taijijian Sun D",921,IF(Atletas!U376="Taijijian Wu D",922,IF(Atletas!U376="Taijijian Wu-Hao D",923,IF(OR(Atletas!U376="Taijijian 32 D",Atletas!U376="Taijijian 42 D"),924,IF(OR(Atletas!U376="Taijijian Yang E",Atletas!U376="Taijijian Yang Standard E"),925,IF(OR(Atletas!U376="Taijijian Chen E", Atletas!U376="Taijijian Chen Standard E"),926,IF(Atletas!U376="Taijijian Sun E",927,IF(Atletas!U376="Taijijian Wu E",928,IF(Atletas!U376="Taijijian Wu-Hao E",929,IF(OR(Atletas!U376="Taijijian 32 E",Atletas!U376="Taijijian 42 E"),930,IF(OR(Atletas!U376="Taijijian Yang F",Atletas!U376="Taijijian Yang Standard F"),931,IF(OR(Atletas!U376="Taijijian Chen F", Atletas!U376="Taijijian Chen Standard F"),932,IF(Atletas!U376="Taijijian Sun F",933,IF(Atletas!U376="Taijijian Wu F",934,IF(Atletas!U376="Taijijian Wu-Hao F",935,IF(OR(Atletas!U376="Taijijian 32 F",Atletas!U376="Taijijian 42 F"),936,"")))))))))))))))))))))))))))))))))))))</f>
        <v/>
      </c>
      <c r="CD385" s="50" t="str">
        <f>IF(Atletas!V376="","",IF(Atletas!X376&lt;&gt;"",10000,0)+IF(Atletas!B376="Feminino",1000,IF(Atletas!B376="Masculino",2000,""))+IF(Atletas!V376="Taijidao A",937,IF(Atletas!V376="TaijiShanzi A",938,IF(Atletas!V376="Taijiqiang A",939,IF(Atletas!V376="Bagua de Arma A",940,IF(Atletas!V376="Xingyi de Arma A",941,IF(Atletas!V376="Taijidao B",942,IF(Atletas!V376="TaijiShanzi B",943,IF(Atletas!V376="Taijiqiang B",944,IF(Atletas!V376="Bagua de Arma B",945,IF(Atletas!V376="Xingyi de Arma B",946,IF(Atletas!V376="Taijidao C",947,IF(Atletas!V376="TaijiShanzi C",948,IF(Atletas!V376="Taijiqiang C",949,IF(Atletas!V376="Bagua de Arma C",950,IF(Atletas!V376="Xingyi de Arma C",951,IF(Atletas!V376="Taijidao D",952,IF(Atletas!V376="TaijiShanzi D",953,IF(Atletas!V376="Taijiqiang D",954,IF(Atletas!V376="Bagua de Arma D",955,IF(Atletas!V376="Xingyi de Arma D",956,IF(Atletas!V376="Taijidao E",957,IF(Atletas!V376="TaijiShanzi E",958,IF(Atletas!V376="Taijiqiang E",959,IF(Atletas!V376="Bagua de Arma E",960,IF(Atletas!V376="Xingyi de Arma E",961,IF(Atletas!V376="Taijidao F",962,IF(Atletas!V376="TaijiShanzi F",963,IF(Atletas!V376="Taijiqiang F",964,IF(Atletas!V376="Bagua de Arma F",965,IF(Atletas!V376="Xingyi de Arma F",966,"")))))))))))))))))))))))))))))))</f>
        <v/>
      </c>
      <c r="CJ385" s="66"/>
      <c r="CL385" s="66"/>
      <c r="CM385" s="50" t="str">
        <f xml:space="preserve"> IF(Atletas!W376="","",IF(Atletas!W376="Duilian de Mãos BC - Equipe 1",1,IF(Atletas!W376="Duilian de Mãos BC - Equipe 2",2,IF(Atletas!W376="Duilian de Armas BC - Equipe 1",3,IF(Atletas!W376="Duilian de Armas BC - Equipe 2",4,IF(Atletas!W376="Duilian de Mãos DE - Equipe 1",5,IF(Atletas!W376="Duilian de Mãos DE - Equipe 2",6,IF(Atletas!W376="Duilian de Armas DE - Equipe 1",7,IF(Atletas!W376="Duilian de Armas DE - Equipe 2",8,IF(Atletas!W376="Duilian de Tuishou - Equipe 1",9,IF(Atletas!W376="Duilian de Tuishou - Equipe 2",10,IF(Atletas!W376="Grupo Externo ABC - Equipe 1",11,IF(Atletas!W376="Grupo Externo ABC - Equipe 2",12,IF(Atletas!W376="Grupo Interno ABC - Equipe 1",13,IF(Atletas!W376="Grupo Interno ABC - Equipe 2",14,IF(Atletas!W376="Grupo Externo DEF - Equipe 1",15,IF(Atletas!W376="Grupo Externo DEF - Equipe 2",16,IF(Atletas!W376="Grupo Interno DEF - Equipe 1",17,IF(Atletas!W376="Grupo Interno DEF - Equipe 2",18,"")))))))))))))))))))</f>
        <v/>
      </c>
    </row>
    <row r="386" spans="40:91">
      <c r="AN386" s="52" t="str">
        <f>IF(Atletas!D377="","",IF(Atletas!B377="Feminino",100,IF(Atletas!B377="Masculino",200,""))+(IF(Atletas!D377="Kids 30kg",1,IF(Atletas!D377="Kids 32kg",2, IF(Atletas!D377="Kids 34kg",3,IF(Atletas!D377="Kids 36kg",4,IF(Atletas!D377="Kids 39kg",5,IF(Atletas!D377="Kids 42kg",6,IF(Atletas!D377="Kids 45kg",7, IF(Atletas!D377="Infantil 39kg",8,IF(Atletas!D377="Infantil 42kg",9,IF(Atletas!D377="Infantil 45kg",10,IF(Atletas!D377="Infantil 48kg",11,IF(Atletas!D377="Infantil 52kg",12,IF(Atletas!D377="Infantil 56kg",13,IF(Atletas!D377="Infantil 60kg",14,IF(Atletas!D377="Juvenil 48kg",15,IF(Atletas!D377="Juvenil 52kg",16,IF(Atletas!D377="Juvenil 56kg",17,IF(Atletas!D377="Juvenil 60kg",18,IF(Atletas!D377="Juvenil 65kg",19,IF(Atletas!D377="Juvenil 70kg",20,IF(Atletas!D377="Juvenil 75kg",21,IF(Atletas!D377="Juvenil 80kg",22, IF(Atletas!D377="Juvenil 85kg",23,IF(Atletas!D377="Adulto 48kg",24,IF(Atletas!D377="Adulto 52kg",25,IF(Atletas!D377="Adulto 56kg",26,IF(Atletas!D377="Adulto 60kg",27,IF(Atletas!D377="Adulto 65kg",28,IF(Atletas!D377="Adulto 70kg",29,IF(Atletas!D377="Adulto 75kg",30,IF(Atletas!D377="Adulto 80kg",31,IF(Atletas!D377="Adulto 85kg",32,IF(Atletas!D377="Adulto 90kg",33,IF(Atletas!D377="Adulto 100kg",34, IF(Atletas!D377="Adulto +100kg",35,"")))))))))))))))))))))))))))))))))))))</f>
        <v/>
      </c>
      <c r="AS386" s="6" t="str">
        <f>IF(Atletas!E377="","",IF(Atletas!B377="Feminino",100,IF(Atletas!B377="Masculino",200,""))+(IF(Atletas!E377="Juvenil 44kg",1,IF(Atletas!E377="Juvenil 48kg",2,IF(Atletas!E377="Juvenil 52kg",3,IF(Atletas!E377="Juvenil 56kg",4,IF(Atletas!E377="Juvenil 60kg",5,IF(Atletas!E377="Juvenil 65kg",6,IF(Atletas!E377="Juvenil 70kg",7,IF(Atletas!E377="Juvenil 75kg",8,IF(Atletas!E377="Juvenil 82kg",9,IF(Atletas!E377="Juvenil 90kg",10,IF(Atletas!E377="Juvenil 100kg",11,IF(Atletas!E377="Adulto 48kg",12,IF(Atletas!E377="Adulto 52kg",13,IF(Atletas!E377="Adulto 56kg",14,IF(Atletas!E377="Adulto 60kg",15,IF(Atletas!E377="Adulto 65kg",16,IF(Atletas!E377="Adulto 70kg",17,IF(Atletas!E377="Adulto 75kg",18,IF(Atletas!E377="Adulto 82kg",19,IF(Atletas!E377="Adulto 90kg",20,IF(Atletas!E377="Adulto 100kg",21,IF(Atletas!E377="Adulto +100kg",22,""))))))))))))))))))))))))</f>
        <v/>
      </c>
      <c r="AX386" s="6" t="str">
        <f>IF(Atletas!F377="","",IF(Atletas!B377="Feminino",100,IF(Atletas!B377="Masculino",200,""))+(IF(Atletas!F377="Adulto 48kg",1,IF(Atletas!F377="Adulto 56kg",2,IF(Atletas!F377="Adulto 65kg",3,IF(Atletas!F377="Adulto 75kg",4,IF(Atletas!F377="Adulto +75kg",5,IF(Atletas!F377="Adulto 52kg",6,IF(Atletas!F377="Adulto 60kg",7,IF(Atletas!F377="Adulto 70kg",8,IF(Atletas!F377="Adulto 80kg",9,IF(Atletas!F377="Adulto 90kg",10,IF(Atletas!F377="Adulto +90kg",11,"")))))))))))))</f>
        <v/>
      </c>
      <c r="BC386" s="6" t="str">
        <f>IF(Atletas!G377="","",IF(Atletas!B377="Feminino",10,IF(Atletas!B377="Masculino",20,""))+(IF(Atletas!G377="Baduanjin A",1,IF(Atletas!G377="Baduanjin B",2))))</f>
        <v/>
      </c>
      <c r="BF386" s="52" t="str">
        <f>IF(Atletas!H377="","",IF(Atletas!B377="Feminino",100,IF(Atletas!B377="Masculino",200,""))+(IF(Atletas!H377="Changquan Mirim",1,IF(Atletas!H377="Nanquan Mirim",2,IF(Atletas!H377="Taijiquan Mirim",3,IF(Atletas!H377="Changquan Grupo C",4,IF(Atletas!H377="Nanquan Grupo C",5,IF(Atletas!H377="Taijiquan Grupo C",6,IF(Atletas!H377="Changquan Grupo B",7,IF(Atletas!H377="Nanquan Grupo B",8,IF(Atletas!H377="Taijiquan Grupo B",9,IF(Atletas!H377="Changquan Grupo A",10,IF(Atletas!H377="Nanquan Grupo A",11,IF(Atletas!H377="Taijiquan Grupo A",12,IF(Atletas!H377="Changquan Opcional",13,IF(Atletas!H377="Nanquan Opcional",14,IF(Atletas!H377="Taijiquan Opcional",15,IF(Atletas!H377="Changquan Adulto",16,IF(Atletas!H377="Nanquan Adulto",17,IF(Atletas!H377="Taijiquan Adulto",18,""))))))))))))))))))))</f>
        <v/>
      </c>
      <c r="BG386" s="52" t="str">
        <f>IF(Atletas!I377="","",IF(Atletas!B377="Feminino",100,IF(Atletas!B377="Masculino",200,""))+(IF(Atletas!I377="Daoshu Mirim",19,IF(Atletas!I377="Jianshu Mirim",20,IF(Atletas!I377="Nandao Mirim",21,IF(Atletas!I377="Taijijian Mirim",22,IF(Atletas!I377="Daoshu Grupo C",23,IF(Atletas!I377="Jianshu Grupo C",24,IF(Atletas!I377="Nandao Grupo C",25,IF(Atletas!I377="Taijijian Grupo C",26,IF(Atletas!I377="Daoshu Grupo B",27,IF(Atletas!I377="Jianshu Grupo B",28,IF(Atletas!I377="Nandao Grupo B",29,IF(Atletas!I377="Taijijian Grupo B",30,IF(Atletas!I377="Daoshu Grupo A",31,IF(Atletas!I377="Jianshu Grupo A",32,IF(Atletas!I377="Nandao Grupo A",33,IF(Atletas!I377="Taijijian Grupo A",34,IF(Atletas!I377="Daoshu Opcional",35,IF(Atletas!I377="Jianshu Opcional",36,IF(Atletas!I377="Nandao Opcional",37,IF(Atletas!I377="Taijijian Opcional",38,IF(Atletas!I377="Daoshu Adulto",39,IF(Atletas!I377="Jianshu Adulto",40,IF(Atletas!I377="Nandao Adulto",41,IF(Atletas!I377="Taijijian Adulto",42,""))))))))))))))))))))))))))</f>
        <v/>
      </c>
      <c r="BH386" s="52" t="str">
        <f>IF(Atletas!J377="","",IF(Atletas!B377="Feminino",100,IF(Atletas!B377="Masculino",200,""))+(IF(Atletas!J377="Gunshu Mirim",43,IF(Atletas!J377="Qiangshu Mirim",44,IF(Atletas!J377="Nangun Mirim",45,IF(Atletas!J377="Gunshu Grupo C",46,IF(Atletas!J377="Qiangshu Grupo C",47,IF(Atletas!J377="Nangun Grupo C",48,IF(Atletas!J377="Gunshu Grupo B",49,IF(Atletas!J377="Qiangshu Grupo B",50,IF(Atletas!J377="Nangun Grupo B",51,IF(Atletas!J377="Gunshu Grupo A",52,IF(Atletas!J377="Qiangshu Grupo A",53,IF(Atletas!J377="Nangun Grupo A",54,IF(Atletas!J377="Gunshu Opcional",55,IF(Atletas!J377="Qiangshu Opcional",56,IF(Atletas!J377="Nangun Opcional",57,IF(Atletas!J377="Gunshu Adulto",58,IF(Atletas!J377="Qiangshu Adulto",59,IF(Atletas!J377="Nangun Adulto",60,IF(Atletas!J377="Taijishan Grupo B",61,IF(Atletas!J377="Taijishan Grupo A",62,""))))))))))))))))))))))</f>
        <v/>
      </c>
      <c r="BM386" s="50" t="str">
        <f>IF(Atletas!K377="","",IF(Atletas!B377="Feminino",100,IF(Atletas!B377="Masculino",200,""))+(IF(Atletas!K377="Equipe 1 Grupo B",1,IF(Atletas!K377="Equipe 2 Grupo B",2,IF(Atletas!K377="Equipe 1 Grupo A",3,IF(Atletas!K377="Equipe 2 Grupo A",4,IF(Atletas!K377="Equipe 1 Adulto",5,IF(Atletas!K377="Equipe 2 Adulto",6,""))))))))</f>
        <v/>
      </c>
      <c r="BR386" s="50" t="str">
        <f>IF(Atletas!L377="","",IF(Atletas!X377&lt;&gt;"",10000,0)+(IF(Atletas!B377="Feminino",1000,IF(Atletas!B377="Masculino",2000,""))+IF(Atletas!L377="Choylayfut A",1,IF(Atletas!L377="Hunggar A",2,IF(Atletas!L377="Wuzuquan A",3,IF(Atletas!L377="Wingchun A",4,IF(Atletas!L377="Outra Mão de Sul A",5,IF(Atletas!L377="Choylayfut B",6,IF(Atletas!L377="Hunggar B",7,IF(Atletas!L377="Wuzuquan B",8,IF(Atletas!L377="Wingchun B",9,IF(Atletas!L377="Outra Mão de Sul B",10,IF(Atletas!L377="Choylayfut C",11,IF(Atletas!L377="Hunggar C",12,IF(Atletas!L377="Wuzuquan C",13,IF(Atletas!L377="Wingchun C",14,IF(Atletas!L377="Outra Mão de Sul C",15,IF(Atletas!L377="Choylayfut D",16,IF(Atletas!L377="Hunggar D",17,IF(Atletas!L377="Wuzuquan D",18,IF(Atletas!L377="Wingchun D",19,IF(Atletas!L377="Outra Mão de Sul D",20,IF(Atletas!L377="Choylayfut E",21,IF(Atletas!L377="Hunggar E",22,IF(Atletas!L377="Wuzuquan E",23,IF(Atletas!L377="Wingchun E",24,IF(Atletas!L377="Outra Mão de Sul E",25,IF(Atletas!L377="Choylayfut F",26,IF(Atletas!L377="Hunggar F",27,IF(Atletas!L377="Wuzuquan F",28,IF(Atletas!L377="Wingchun F",29,IF(Atletas!L377="Outra Mão de Sul F",30,IF(Atletas!L377="Dishuquan A",31,IF(Atletas!L377="Dishuquan B",32,IF(Atletas!L377="Dishuquan C",33,IF(Atletas!L377="Dishuquan D",34,IF(Atletas!L377="Dishuquan E",35,IF(Atletas!L377="Dishuquan F",36,""))))))))))))))))))))))))))))))))))))))</f>
        <v/>
      </c>
      <c r="BS386" s="50" t="str">
        <f>IF(Atletas!M377="","",IF(Atletas!X377&lt;&gt;"",10000,0)+(IF(Atletas!B377="Feminino",1000,IF(Atletas!B377="Masculino",2000,""))+(IF(Atletas!M377="Chaquan A",101,IF(Atletas!M377="Emeiquan A",102,IF(Atletas!M377="Fanziquan A",103,IF(Atletas!M377="Huaquan A",104,IF(Atletas!M377="Hongquan A",105,IF(Atletas!M377="Paoquan A",106,IF(Atletas!M377="Piguaquan A",107,IF(Atletas!M377="Shaolinquan A",108,IF(Atletas!M377="Tanglangquan A",109,IF(Atletas!M377="Yingzhaoquan A",110,IF(Atletas!M377="Tongbeiquan A",111,IF(Atletas!M377="Wudangquan A",112,IF(Atletas!M377="Outros Estilos A",113,IF(Atletas!M377="Chaquan B",114,IF(Atletas!M377="Emeiquan B",115,IF(Atletas!M377="Fanziquan B",116,IF(Atletas!M377="Huaquan B",117,IF(Atletas!M377="Hongquan B",118,IF(Atletas!M377="Paoquan B",119,IF(Atletas!M377="Piguaquan B",120,IF(Atletas!M377="Shaolinquan B",121,IF(Atletas!M377="Tanglangquan B",122,IF(Atletas!M377="Yingzhaoquan B",123,IF(Atletas!M377="Tongbeiquan B",124,IF(Atletas!M377="Wudangquan B",125,IF(Atletas!M377="Outros Estilos B",126,IF(Atletas!M377="Chaquan C",127,IF(Atletas!M377="Emeiquan C",128,IF(Atletas!M377="Fanziquan C",129,IF(Atletas!M377="Huaquan C",130,IF(Atletas!M377="Hongquan C",131,IF(Atletas!M377="Paoquan C",132,IF(Atletas!M377="Piguaquan C",133,IF(Atletas!M377="Shaolinquan C",134,IF(Atletas!M377="Tanglangquan C",135,IF(Atletas!M377="Yingzhaoquan C",136,IF(Atletas!M377="Tongbeiquan C",137,IF(Atletas!M377="Wudangquan C",138,IF(Atletas!M377="Outros Estilos C",139,0))))))))))))))))))))))))))))))))))))))))))</f>
        <v/>
      </c>
      <c r="BT386" s="50" t="str">
        <f>IF(Atletas!M377="","",IF(Atletas!X377&lt;&gt;"",10000,0)+(IF(Atletas!B377="Feminino",1000,IF(Atletas!B377="Masculino",2000,""))+(IF(Atletas!M377="Chaquan D",140,IF(Atletas!M377="Emeiquan D",141,IF(Atletas!M377="Fanziquan D",142,IF(Atletas!M377="Huaquan D",143,IF(Atletas!M377="Hongquan D",144,IF(Atletas!M377="Paoquan D",145,IF(Atletas!M377="Piguaquan D",146,IF(Atletas!M377="Shaolinquan D",147,IF(Atletas!M377="Tanglangquan D",148,IF(Atletas!M377="Yingzhaoquan D",149,IF(Atletas!M377="Tongbeiquan D",150,IF(Atletas!M377="Wudangquan D",151,IF(Atletas!M377="Outros Estilos D",152,IF(Atletas!M377="Chaquan E",153,IF(Atletas!M377="Emeiquan E",154,IF(Atletas!M377="Fanziquan E",155,IF(Atletas!M377="Huaquan E",156,IF(Atletas!M377="Hongquan E",157,IF(Atletas!M377="Paoquan E",158,IF(Atletas!M377="Piguaquan E",159,IF(Atletas!M377="Shaolinquan E",160,IF(Atletas!M377="Tanglangquan E",161,IF(Atletas!M377="Yingzhaoquan E",162,IF(Atletas!M377="Tongbeiquan E",163,IF(Atletas!M377="Wudangquan E",164,IF(Atletas!M377="Outros Estilos E",165,IF(Atletas!M377="Chaquan F",166,IF(Atletas!M377="Emeiquan F",167,IF(Atletas!M377="Fanziquan F",168,IF(Atletas!M377="Huaquan F",169,IF(Atletas!M377="Hongquan F",170,IF(Atletas!M377="Paoquan F",171,IF(Atletas!M377="Piguaquan F",172,IF(Atletas!M377="Shaolinquan F",173,IF(Atletas!M377="Tanglangquan F",174,IF(Atletas!M377="Yingzhaoquan F",175,IF(Atletas!M377="Tongbeiquan F",176,IF(Atletas!M377="Wudangquan F",177,IF(Atletas!M377="Outros Estilos F",178,0))))))))))))))))))))))))))))))))))))))))))</f>
        <v/>
      </c>
      <c r="BU386" s="50" t="str">
        <f>IF(Atletas!N377="","",IF(Atletas!X377&lt;&gt;"",10000,0)+(IF(Atletas!B377="Feminino",1000,IF(Atletas!B377="Masculino",2000,""))+(IF(Atletas!N377="Ditangquan A",201,IF(Atletas!N377="Houquan A",202,IF(Atletas!N377="Zuiquan A",203,IF(Atletas!N377="Ditangquan B",204,IF(Atletas!N377="Houquan B",205,IF(Atletas!N377="Zuiquan B",206,IF(Atletas!N377="Ditangquan C",207,IF(Atletas!N377="Houquan C",208,IF(Atletas!N377="Zuiquan C",209,IF(Atletas!N377="Ditangquan D",210,IF(Atletas!N377="Houquan D",211,IF(Atletas!N377="Zuiquan D",212,IF(Atletas!N377="Ditangquan E",213,IF(Atletas!N377="Houquan E",214,IF(Atletas!N377="Zuiquan E",215,IF(Atletas!N377="Ditangquan F",216,IF(Atletas!N377="Houquan F",217,IF(Atletas!N377="Zuiquan F",218,"")))))))))))))))))))))</f>
        <v/>
      </c>
      <c r="BV386" s="50" t="str">
        <f>IF(Atletas!O377="","",IF(Atletas!X377&lt;&gt;"",10000,0)+IF(Atletas!B377="Feminino",1000,IF(Atletas!B377="Masculino",2000,""))+IF(Atletas!O377="Yang A",301,IF(Atletas!O377="Chen A",302,IF(Atletas!O377="Sun A",303,IF(Atletas!O377="Wu A",304,IF(Atletas!O377="Wu-Hao A",305,IF(Atletas!O377="Outro Taijiquan A",306,IF(Atletas!O377="Yang B",307,IF(Atletas!O377="Chen B",308,IF(Atletas!O377="Sun B",309,IF(Atletas!O377="Wu B",310,IF(Atletas!O377="Wu-Hao B",311,IF(Atletas!O377="Outro Taijiquan B",312,IF(Atletas!O377="Yang C",313,IF(Atletas!O377="Chen C",314,IF(Atletas!O377="Sun C",315,IF(Atletas!O377="Wu C",316,IF(Atletas!O377="Wu-Hao C",317,IF(Atletas!O377="Outro Taijiquan C",318,IF(Atletas!O377="Yang D",319,IF(Atletas!O377="Chen D",320,IF(Atletas!O377="Sun D",321,IF(Atletas!O377="Wu D",322,IF(Atletas!O377="Wu-Hao D",323,IF(Atletas!O377="Outro Taijiquan D",324,IF(Atletas!O377="Yang E",325,IF(Atletas!O377="Chen E",326,IF(Atletas!O377="Sun E",327,IF(Atletas!O377="Wu E",328,IF(Atletas!O377="Wu-Hao E",329,IF(Atletas!O377="Outro Taijiquan E",330,IF(Atletas!O377="Yang F",331,IF(Atletas!O377="Chen F",332,IF(Atletas!O377="Sun F",333,IF(Atletas!O377="Wu F",334,IF(Atletas!O377="Wu-Hao F",335,IF(Atletas!O377="Outro Taijiquan F",336,"")))))))))))))))))))))))))))))))))))))</f>
        <v/>
      </c>
      <c r="BW386" s="50" t="str">
        <f>IF(Atletas!P377="","",IF(Atletas!X377&lt;&gt;"",10000,0)+IF(Atletas!B377="Feminino",1000,IF(Atletas!B377="Masculino",2000,""))+IF(OR(Atletas!P377="Yang 26 A",Atletas!P377="Yang 40 A"),401,IF(OR(Atletas!P377="Chen 25 A",Atletas!P377="Chen 36 A",Atletas!P377="Chen 56 A"),402,IF(Atletas!P377="Sun 73 A",403,IF(Atletas!P377="Wu 45 A",404,IF(Atletas!P377="Wu-Hao 46 A",405,IF(OR(Atletas!P377="Taijiquan 16 A",Atletas!P377="Taijiquan 24 A",Atletas!P377="Taijiquan 32 A",Atletas!P377="Taijiquan 42 A"),406,IF(OR(Atletas!P377="Yang 26 B",Atletas!P377="Yang 40 B"),407,IF(OR(Atletas!P377="Chen 25 B",Atletas!P377="Chen 36 B",Atletas!P377="Chen 56 B"),408,IF(Atletas!P377="Sun 73 B",409,IF(Atletas!P377="Wu 45 B",410,IF(Atletas!P377="Wu-Hao 46 B",411,IF(OR(Atletas!P377="Taijiquan 16 B",Atletas!P377="Taijiquan 24 B",Atletas!P377="Taijiquan 32 B",Atletas!P377="Taijiquan 42 B"),412,IF(OR(Atletas!P377="Yang 26 C",Atletas!P377="Yang 40 C"),413,IF(OR(Atletas!P377="Chen 25 C",Atletas!P377="Chen 36 C",Atletas!P377="Chen 56 C"),414,IF(Atletas!P377="Sun 73 C",415,IF(Atletas!P377="Wu 45 C",416,IF(Atletas!P377="Wu-Hao 46 C",417,IF(OR(Atletas!P377="Taijiquan 16 C",Atletas!P377="Taijiquan 24 C",Atletas!P377="Taijiquan 32 C",Atletas!P377="Taijiquan 42 C"),418,0)))))))))))))))))))</f>
        <v/>
      </c>
      <c r="BX386" s="50" t="str">
        <f>IF(Atletas!P377="","",IF(Atletas!X377&lt;&gt;"",10000,0)+IF(Atletas!B377="Feminino",1000,IF(Atletas!B377="Masculino",2000,""))+IF(OR(Atletas!P377="Yang 26 D",Atletas!P377="Yang 40 D"),419,IF(OR(Atletas!P377="Chen 25 D",Atletas!P377="Chen 36 D",Atletas!P377="Chen 56 D"),420,IF(Atletas!P377="Sun 73 D",421,IF(Atletas!P377="Wu 45 D",422,IF(Atletas!P377="Wu-Hao 46 D",423,IF(OR(Atletas!P377="Taijiquan 16 D",Atletas!P377="Taijiquan 24 D",Atletas!P377="Taijiquan 32 D",Atletas!P377="Taijiquan 42 D"),424,IF(OR(Atletas!P377="Yang 26 E",Atletas!P377="Yang 40 E"),425,IF(OR(Atletas!P377="Chen 25 E",Atletas!P377="Chen 36 E",Atletas!P377="Chen 56 E"),426,IF(Atletas!P377="Sun 73 E",427,IF(Atletas!P377="Wu 45 E",428,IF(Atletas!P377="Wu-Hao 46 E",429,IF(OR(Atletas!P377="Taijiquan 16 E",Atletas!P377="Taijiquan 24 E",Atletas!P377="Taijiquan 32 E",Atletas!P377="Taijiquan 42 E"),430,IF(OR(Atletas!P377="Yang 26 F",Atletas!P377="Yang 40 F"),431,IF(OR(Atletas!P377="Chen 25 F",Atletas!P377="Chen 36 F",Atletas!P377="Chen 56 F"),432,IF(Atletas!P377="Sun 73 F",433,IF(Atletas!P377="Wu 45 F",434,IF(Atletas!P377="Wu-Hao 46 F",435,IF(OR(Atletas!P377="Taijiquan 16 F",Atletas!P377="Taijiquan 24 F",Atletas!P377="Taijiquan 32 F",Atletas!P377="Taijiquan 42 F"),436,0)))))))))))))))))))</f>
        <v/>
      </c>
      <c r="BY386" s="50" t="str">
        <f>IF(Atletas!Q377="","",IF(Atletas!X377&lt;&gt;"",10000,0)+IF(Atletas!B377="Feminino",1000,IF(Atletas!B377="Masculino",2000,""))+IF(Atletas!Q377="Xingyiquan A",501,IF(Atletas!Q377="Baguazhang A",502,IF(Atletas!Q377="Outro Estilo Interno A",503,IF(Atletas!Q377="Xingyiquan B",504,IF(Atletas!Q377="Baguazhang B",505,IF(Atletas!Q377="Outro Estilo Interno B",506,IF(Atletas!Q377="Xingyiquan C",507,IF(Atletas!Q377="Baguazhang C",508,IF(Atletas!Q377="Outro Estilo Interno C",509,IF(Atletas!Q377="Xingyiquan D",510,IF(Atletas!Q377="Baguazhang D",511,IF(Atletas!Q377="Outro Estilo Interno D",512,IF(Atletas!Q377="Xingyiquan E",513,IF(Atletas!Q377="Baguazhang E",514,IF(Atletas!Q377="Outro Estilo Interno E",515,IF(Atletas!Q377="Xingyiquan F",516,IF(Atletas!Q377="Baguazhang F",517,IF(Atletas!Q377="Outro Estilo Interno F",518, "")))))))))))))))))))</f>
        <v/>
      </c>
      <c r="BZ386" s="50" t="str">
        <f>IF(Atletas!R377="","",IF(Atletas!X377&lt;&gt;"",10000,0)+IF(Atletas!B377="Feminino",1000,IF(Atletas!B377="Masculino",2000,""))+IF(Atletas!R377="Dao A",601,IF(Atletas!R377="Jian A",602,IF(Atletas!R377="Bishou A",603,IF(Atletas!R377="Shanzi A",604,IF(Atletas!R377="Outra Arma Curta A",605,IF(Atletas!R377="Dao B",606,IF(Atletas!R377="Jian B",607,IF(Atletas!R377="Bishou B",608,IF(Atletas!R377="Shanzi B",609,IF(Atletas!R377="Outra Arma Curta B",610,IF(Atletas!R377="Dao C",611,IF(Atletas!R377="Jian C",612,IF(Atletas!R377="Bishou C",613,IF(Atletas!R377="Shanzi C",614,IF(Atletas!R377="Outra Arma Curta C",615,IF(Atletas!R377="Dao D",616,IF(Atletas!R377="Jian D",617,IF(Atletas!R377="Bishou D",618,IF(Atletas!R377="Shanzi D",619,IF(Atletas!R377="Outra Arma Curta D",620,IF(Atletas!R377="Dao E",621,IF(Atletas!R377="Jian E",622,IF(Atletas!R377="Bishou E",623,IF(Atletas!R377="Shanzi E",624,IF(Atletas!R377="Outra Arma Curta E",625,IF(Atletas!R377="Dao F",626,IF(Atletas!R377="Jian F",627,IF(Atletas!R377="Bishou F",628,IF(Atletas!R377="Shanzi F",629,IF(Atletas!R377="Outra Arma Curta F",630, "")))))))))))))))))))))))))))))))</f>
        <v/>
      </c>
      <c r="CA386" s="50" t="str">
        <f>IF(Atletas!S377="","",IF(Atletas!X377&lt;&gt;"",10000,0)+IF(Atletas!B377="Feminino",1000,IF(Atletas!B377="Masculino",2000,""))+IF(Atletas!S377="Gun A",701,IF(Atletas!S377="Qiang A",702,IF(Atletas!S377="Pudao / Guandao A",703,IF(Atletas!S377="Outra Arma Longa A",704,IF(Atletas!S377="Gun B",705,IF(Atletas!S377="Qiang B",706,IF(Atletas!S377="Pudao / Guandao B",707,IF(Atletas!S377="Outra Arma Longa B",708,IF(Atletas!S377="Gun C",709,IF(Atletas!S377="Qiang C",710,IF(Atletas!S377="Pudao / Guandao C",711,IF(Atletas!S377="Outra Arma Longa C",712,IF(Atletas!S377="Gun D",713,IF(Atletas!S377="Qiang D",714,IF(Atletas!S377="Pudao / Guandao D",715,IF(Atletas!S377="Outra Arma Longa D",716,IF(Atletas!S377="Gun E",717,IF(Atletas!S377="Qiang E",718,IF(Atletas!S377="Pudao / Guandao E",719,IF(Atletas!S377="Outra Arma Longa E",720,IF(Atletas!S377="Gun F",721,IF(Atletas!S377="Qiang F",722,IF(Atletas!S377="Pudao / Guandao F",723,IF(Atletas!S377="Outra Arma Longa F",724,"")))))))))))))))))))))))))</f>
        <v/>
      </c>
      <c r="CB386" s="50" t="str">
        <f>IF(Atletas!T377="","",IF(Atletas!X377&lt;&gt;"",10000,0)+IF(Atletas!B377="Feminino",1000,IF(Atletas!B377="Masculino",2000,""))+IF(Atletas!T377="Outra Arma Dupla A",801,IF(Atletas!T377="Arma Maleável A",802,IF(Atletas!T377="Outra Arma Dupla B",803,IF(Atletas!T377="Arma Maleável B",804,IF(Atletas!T377="Outra Arma Dupla C",805,IF(Atletas!T377="Arma Maleável C",806,IF(Atletas!T377="Outra Arma Dupla D",807,IF(Atletas!T377="Arma Maleável D",808,IF(Atletas!T377="Outra Arma Dupla E",809,IF(Atletas!T377="Arma Maleável E",810,IF(Atletas!T377="Outra Arma Dupla F",811,IF(Atletas!T377="Arma Maleável F",812,IF(Atletas!T377="Shuangdao A",813,IF(Atletas!T377="Shuangdao B",814,IF(Atletas!T377="Shuangdao C",815,IF(Atletas!T377="Shuangdao D",816,IF(Atletas!T377="Shuangdao E",817,IF(Atletas!T377="Shuangdao F",818,"")))))))))))))))))))</f>
        <v/>
      </c>
      <c r="CC386" s="50" t="str">
        <f>IF(Atletas!U377="","",IF(Atletas!X377&lt;&gt;"",10000,0)+IF(Atletas!B377="Feminino",1000,IF(Atletas!B377="Masculino",2000,""))+IF(OR(Atletas!U377="Taijijian Yang A",Atletas!U377="Taijijian Yang Standard A"),901,IF(OR(Atletas!U377="Taijijian Chen A", Atletas!U377="Taijijian Chen Standard A"),902,IF(Atletas!U377="Taijijian Sun A",903,IF(Atletas!U377="Taijijian Wu A",904,IF(Atletas!U377="Taijijian Wu-Hao A",905,IF(OR(Atletas!U377="Taijijian 32 A",Atletas!U377="Taijijian 42 A"),906,IF(OR(Atletas!U377="Taijijian Yang B",Atletas!U377="Taijijian Yang Standard B"),907,IF(OR(Atletas!U377="Taijijian Chen B", Atletas!U377="Taijijian Chen Standard B"),908,IF(Atletas!U377="Taijijian Sun B",909,IF(Atletas!U377="Taijijian Wu B",910,IF(Atletas!U377="Taijijian Wu-Hao B",911,IF(OR(Atletas!U377="Taijijian 32 B",Atletas!U377="Taijijian 42 B"),912,IF(OR(Atletas!U377="Taijijian Yang C",Atletas!U377="Taijijian Yang Standard C"),913,IF(OR(Atletas!U377="Taijijian Chen C", Atletas!U377="Taijijian Chen Standard C"),914,IF(Atletas!U377="Taijijian Sun C",915,IF(Atletas!U377="Taijijian Wu C",916,IF(Atletas!U377="Taijijian Wu-Hao C",917,IF(OR(Atletas!U377="Taijijian 32 C",Atletas!U377="Taijijian 42 C"),918,IF(OR(Atletas!U377="Taijijian Yang D",Atletas!U377="Taijijian Yang Standard D"),919,IF(OR(Atletas!U377="Taijijian Chen D", Atletas!U377="Taijijian Chen Standard D"),920,IF(Atletas!U377="Taijijian Sun D",921,IF(Atletas!U377="Taijijian Wu D",922,IF(Atletas!U377="Taijijian Wu-Hao D",923,IF(OR(Atletas!U377="Taijijian 32 D",Atletas!U377="Taijijian 42 D"),924,IF(OR(Atletas!U377="Taijijian Yang E",Atletas!U377="Taijijian Yang Standard E"),925,IF(OR(Atletas!U377="Taijijian Chen E", Atletas!U377="Taijijian Chen Standard E"),926,IF(Atletas!U377="Taijijian Sun E",927,IF(Atletas!U377="Taijijian Wu E",928,IF(Atletas!U377="Taijijian Wu-Hao E",929,IF(OR(Atletas!U377="Taijijian 32 E",Atletas!U377="Taijijian 42 E"),930,IF(OR(Atletas!U377="Taijijian Yang F",Atletas!U377="Taijijian Yang Standard F"),931,IF(OR(Atletas!U377="Taijijian Chen F", Atletas!U377="Taijijian Chen Standard F"),932,IF(Atletas!U377="Taijijian Sun F",933,IF(Atletas!U377="Taijijian Wu F",934,IF(Atletas!U377="Taijijian Wu-Hao F",935,IF(OR(Atletas!U377="Taijijian 32 F",Atletas!U377="Taijijian 42 F"),936,"")))))))))))))))))))))))))))))))))))))</f>
        <v/>
      </c>
      <c r="CD386" s="50" t="str">
        <f>IF(Atletas!V377="","",IF(Atletas!X377&lt;&gt;"",10000,0)+IF(Atletas!B377="Feminino",1000,IF(Atletas!B377="Masculino",2000,""))+IF(Atletas!V377="Taijidao A",937,IF(Atletas!V377="TaijiShanzi A",938,IF(Atletas!V377="Taijiqiang A",939,IF(Atletas!V377="Bagua de Arma A",940,IF(Atletas!V377="Xingyi de Arma A",941,IF(Atletas!V377="Taijidao B",942,IF(Atletas!V377="TaijiShanzi B",943,IF(Atletas!V377="Taijiqiang B",944,IF(Atletas!V377="Bagua de Arma B",945,IF(Atletas!V377="Xingyi de Arma B",946,IF(Atletas!V377="Taijidao C",947,IF(Atletas!V377="TaijiShanzi C",948,IF(Atletas!V377="Taijiqiang C",949,IF(Atletas!V377="Bagua de Arma C",950,IF(Atletas!V377="Xingyi de Arma C",951,IF(Atletas!V377="Taijidao D",952,IF(Atletas!V377="TaijiShanzi D",953,IF(Atletas!V377="Taijiqiang D",954,IF(Atletas!V377="Bagua de Arma D",955,IF(Atletas!V377="Xingyi de Arma D",956,IF(Atletas!V377="Taijidao E",957,IF(Atletas!V377="TaijiShanzi E",958,IF(Atletas!V377="Taijiqiang E",959,IF(Atletas!V377="Bagua de Arma E",960,IF(Atletas!V377="Xingyi de Arma E",961,IF(Atletas!V377="Taijidao F",962,IF(Atletas!V377="TaijiShanzi F",963,IF(Atletas!V377="Taijiqiang F",964,IF(Atletas!V377="Bagua de Arma F",965,IF(Atletas!V377="Xingyi de Arma F",966,"")))))))))))))))))))))))))))))))</f>
        <v/>
      </c>
      <c r="CJ386" s="66"/>
      <c r="CL386" s="66"/>
      <c r="CM386" s="50" t="str">
        <f xml:space="preserve"> IF(Atletas!W377="","",IF(Atletas!W377="Duilian de Mãos BC - Equipe 1",1,IF(Atletas!W377="Duilian de Mãos BC - Equipe 2",2,IF(Atletas!W377="Duilian de Armas BC - Equipe 1",3,IF(Atletas!W377="Duilian de Armas BC - Equipe 2",4,IF(Atletas!W377="Duilian de Mãos DE - Equipe 1",5,IF(Atletas!W377="Duilian de Mãos DE - Equipe 2",6,IF(Atletas!W377="Duilian de Armas DE - Equipe 1",7,IF(Atletas!W377="Duilian de Armas DE - Equipe 2",8,IF(Atletas!W377="Duilian de Tuishou - Equipe 1",9,IF(Atletas!W377="Duilian de Tuishou - Equipe 2",10,IF(Atletas!W377="Grupo Externo ABC - Equipe 1",11,IF(Atletas!W377="Grupo Externo ABC - Equipe 2",12,IF(Atletas!W377="Grupo Interno ABC - Equipe 1",13,IF(Atletas!W377="Grupo Interno ABC - Equipe 2",14,IF(Atletas!W377="Grupo Externo DEF - Equipe 1",15,IF(Atletas!W377="Grupo Externo DEF - Equipe 2",16,IF(Atletas!W377="Grupo Interno DEF - Equipe 1",17,IF(Atletas!W377="Grupo Interno DEF - Equipe 2",18,"")))))))))))))))))))</f>
        <v/>
      </c>
    </row>
    <row r="387" spans="40:91">
      <c r="AN387" s="52" t="str">
        <f>IF(Atletas!D378="","",IF(Atletas!B378="Feminino",100,IF(Atletas!B378="Masculino",200,""))+(IF(Atletas!D378="Kids 30kg",1,IF(Atletas!D378="Kids 32kg",2, IF(Atletas!D378="Kids 34kg",3,IF(Atletas!D378="Kids 36kg",4,IF(Atletas!D378="Kids 39kg",5,IF(Atletas!D378="Kids 42kg",6,IF(Atletas!D378="Kids 45kg",7, IF(Atletas!D378="Infantil 39kg",8,IF(Atletas!D378="Infantil 42kg",9,IF(Atletas!D378="Infantil 45kg",10,IF(Atletas!D378="Infantil 48kg",11,IF(Atletas!D378="Infantil 52kg",12,IF(Atletas!D378="Infantil 56kg",13,IF(Atletas!D378="Infantil 60kg",14,IF(Atletas!D378="Juvenil 48kg",15,IF(Atletas!D378="Juvenil 52kg",16,IF(Atletas!D378="Juvenil 56kg",17,IF(Atletas!D378="Juvenil 60kg",18,IF(Atletas!D378="Juvenil 65kg",19,IF(Atletas!D378="Juvenil 70kg",20,IF(Atletas!D378="Juvenil 75kg",21,IF(Atletas!D378="Juvenil 80kg",22, IF(Atletas!D378="Juvenil 85kg",23,IF(Atletas!D378="Adulto 48kg",24,IF(Atletas!D378="Adulto 52kg",25,IF(Atletas!D378="Adulto 56kg",26,IF(Atletas!D378="Adulto 60kg",27,IF(Atletas!D378="Adulto 65kg",28,IF(Atletas!D378="Adulto 70kg",29,IF(Atletas!D378="Adulto 75kg",30,IF(Atletas!D378="Adulto 80kg",31,IF(Atletas!D378="Adulto 85kg",32,IF(Atletas!D378="Adulto 90kg",33,IF(Atletas!D378="Adulto 100kg",34, IF(Atletas!D378="Adulto +100kg",35,"")))))))))))))))))))))))))))))))))))))</f>
        <v/>
      </c>
      <c r="AS387" s="6" t="str">
        <f>IF(Atletas!E378="","",IF(Atletas!B378="Feminino",100,IF(Atletas!B378="Masculino",200,""))+(IF(Atletas!E378="Juvenil 44kg",1,IF(Atletas!E378="Juvenil 48kg",2,IF(Atletas!E378="Juvenil 52kg",3,IF(Atletas!E378="Juvenil 56kg",4,IF(Atletas!E378="Juvenil 60kg",5,IF(Atletas!E378="Juvenil 65kg",6,IF(Atletas!E378="Juvenil 70kg",7,IF(Atletas!E378="Juvenil 75kg",8,IF(Atletas!E378="Juvenil 82kg",9,IF(Atletas!E378="Juvenil 90kg",10,IF(Atletas!E378="Juvenil 100kg",11,IF(Atletas!E378="Adulto 48kg",12,IF(Atletas!E378="Adulto 52kg",13,IF(Atletas!E378="Adulto 56kg",14,IF(Atletas!E378="Adulto 60kg",15,IF(Atletas!E378="Adulto 65kg",16,IF(Atletas!E378="Adulto 70kg",17,IF(Atletas!E378="Adulto 75kg",18,IF(Atletas!E378="Adulto 82kg",19,IF(Atletas!E378="Adulto 90kg",20,IF(Atletas!E378="Adulto 100kg",21,IF(Atletas!E378="Adulto +100kg",22,""))))))))))))))))))))))))</f>
        <v/>
      </c>
      <c r="AX387" s="6" t="str">
        <f>IF(Atletas!F378="","",IF(Atletas!B378="Feminino",100,IF(Atletas!B378="Masculino",200,""))+(IF(Atletas!F378="Adulto 48kg",1,IF(Atletas!F378="Adulto 56kg",2,IF(Atletas!F378="Adulto 65kg",3,IF(Atletas!F378="Adulto 75kg",4,IF(Atletas!F378="Adulto +75kg",5,IF(Atletas!F378="Adulto 52kg",6,IF(Atletas!F378="Adulto 60kg",7,IF(Atletas!F378="Adulto 70kg",8,IF(Atletas!F378="Adulto 80kg",9,IF(Atletas!F378="Adulto 90kg",10,IF(Atletas!F378="Adulto +90kg",11,"")))))))))))))</f>
        <v/>
      </c>
      <c r="BC387" s="6" t="str">
        <f>IF(Atletas!G378="","",IF(Atletas!B378="Feminino",10,IF(Atletas!B378="Masculino",20,""))+(IF(Atletas!G378="Baduanjin A",1,IF(Atletas!G378="Baduanjin B",2))))</f>
        <v/>
      </c>
      <c r="BF387" s="52" t="str">
        <f>IF(Atletas!H378="","",IF(Atletas!B378="Feminino",100,IF(Atletas!B378="Masculino",200,""))+(IF(Atletas!H378="Changquan Mirim",1,IF(Atletas!H378="Nanquan Mirim",2,IF(Atletas!H378="Taijiquan Mirim",3,IF(Atletas!H378="Changquan Grupo C",4,IF(Atletas!H378="Nanquan Grupo C",5,IF(Atletas!H378="Taijiquan Grupo C",6,IF(Atletas!H378="Changquan Grupo B",7,IF(Atletas!H378="Nanquan Grupo B",8,IF(Atletas!H378="Taijiquan Grupo B",9,IF(Atletas!H378="Changquan Grupo A",10,IF(Atletas!H378="Nanquan Grupo A",11,IF(Atletas!H378="Taijiquan Grupo A",12,IF(Atletas!H378="Changquan Opcional",13,IF(Atletas!H378="Nanquan Opcional",14,IF(Atletas!H378="Taijiquan Opcional",15,IF(Atletas!H378="Changquan Adulto",16,IF(Atletas!H378="Nanquan Adulto",17,IF(Atletas!H378="Taijiquan Adulto",18,""))))))))))))))))))))</f>
        <v/>
      </c>
      <c r="BG387" s="52" t="str">
        <f>IF(Atletas!I378="","",IF(Atletas!B378="Feminino",100,IF(Atletas!B378="Masculino",200,""))+(IF(Atletas!I378="Daoshu Mirim",19,IF(Atletas!I378="Jianshu Mirim",20,IF(Atletas!I378="Nandao Mirim",21,IF(Atletas!I378="Taijijian Mirim",22,IF(Atletas!I378="Daoshu Grupo C",23,IF(Atletas!I378="Jianshu Grupo C",24,IF(Atletas!I378="Nandao Grupo C",25,IF(Atletas!I378="Taijijian Grupo C",26,IF(Atletas!I378="Daoshu Grupo B",27,IF(Atletas!I378="Jianshu Grupo B",28,IF(Atletas!I378="Nandao Grupo B",29,IF(Atletas!I378="Taijijian Grupo B",30,IF(Atletas!I378="Daoshu Grupo A",31,IF(Atletas!I378="Jianshu Grupo A",32,IF(Atletas!I378="Nandao Grupo A",33,IF(Atletas!I378="Taijijian Grupo A",34,IF(Atletas!I378="Daoshu Opcional",35,IF(Atletas!I378="Jianshu Opcional",36,IF(Atletas!I378="Nandao Opcional",37,IF(Atletas!I378="Taijijian Opcional",38,IF(Atletas!I378="Daoshu Adulto",39,IF(Atletas!I378="Jianshu Adulto",40,IF(Atletas!I378="Nandao Adulto",41,IF(Atletas!I378="Taijijian Adulto",42,""))))))))))))))))))))))))))</f>
        <v/>
      </c>
      <c r="BH387" s="52" t="str">
        <f>IF(Atletas!J378="","",IF(Atletas!B378="Feminino",100,IF(Atletas!B378="Masculino",200,""))+(IF(Atletas!J378="Gunshu Mirim",43,IF(Atletas!J378="Qiangshu Mirim",44,IF(Atletas!J378="Nangun Mirim",45,IF(Atletas!J378="Gunshu Grupo C",46,IF(Atletas!J378="Qiangshu Grupo C",47,IF(Atletas!J378="Nangun Grupo C",48,IF(Atletas!J378="Gunshu Grupo B",49,IF(Atletas!J378="Qiangshu Grupo B",50,IF(Atletas!J378="Nangun Grupo B",51,IF(Atletas!J378="Gunshu Grupo A",52,IF(Atletas!J378="Qiangshu Grupo A",53,IF(Atletas!J378="Nangun Grupo A",54,IF(Atletas!J378="Gunshu Opcional",55,IF(Atletas!J378="Qiangshu Opcional",56,IF(Atletas!J378="Nangun Opcional",57,IF(Atletas!J378="Gunshu Adulto",58,IF(Atletas!J378="Qiangshu Adulto",59,IF(Atletas!J378="Nangun Adulto",60,IF(Atletas!J378="Taijishan Grupo B",61,IF(Atletas!J378="Taijishan Grupo A",62,""))))))))))))))))))))))</f>
        <v/>
      </c>
      <c r="BM387" s="50" t="str">
        <f>IF(Atletas!K378="","",IF(Atletas!B378="Feminino",100,IF(Atletas!B378="Masculino",200,""))+(IF(Atletas!K378="Equipe 1 Grupo B",1,IF(Atletas!K378="Equipe 2 Grupo B",2,IF(Atletas!K378="Equipe 1 Grupo A",3,IF(Atletas!K378="Equipe 2 Grupo A",4,IF(Atletas!K378="Equipe 1 Adulto",5,IF(Atletas!K378="Equipe 2 Adulto",6,""))))))))</f>
        <v/>
      </c>
      <c r="BR387" s="50" t="str">
        <f>IF(Atletas!L378="","",IF(Atletas!X378&lt;&gt;"",10000,0)+(IF(Atletas!B378="Feminino",1000,IF(Atletas!B378="Masculino",2000,""))+IF(Atletas!L378="Choylayfut A",1,IF(Atletas!L378="Hunggar A",2,IF(Atletas!L378="Wuzuquan A",3,IF(Atletas!L378="Wingchun A",4,IF(Atletas!L378="Outra Mão de Sul A",5,IF(Atletas!L378="Choylayfut B",6,IF(Atletas!L378="Hunggar B",7,IF(Atletas!L378="Wuzuquan B",8,IF(Atletas!L378="Wingchun B",9,IF(Atletas!L378="Outra Mão de Sul B",10,IF(Atletas!L378="Choylayfut C",11,IF(Atletas!L378="Hunggar C",12,IF(Atletas!L378="Wuzuquan C",13,IF(Atletas!L378="Wingchun C",14,IF(Atletas!L378="Outra Mão de Sul C",15,IF(Atletas!L378="Choylayfut D",16,IF(Atletas!L378="Hunggar D",17,IF(Atletas!L378="Wuzuquan D",18,IF(Atletas!L378="Wingchun D",19,IF(Atletas!L378="Outra Mão de Sul D",20,IF(Atletas!L378="Choylayfut E",21,IF(Atletas!L378="Hunggar E",22,IF(Atletas!L378="Wuzuquan E",23,IF(Atletas!L378="Wingchun E",24,IF(Atletas!L378="Outra Mão de Sul E",25,IF(Atletas!L378="Choylayfut F",26,IF(Atletas!L378="Hunggar F",27,IF(Atletas!L378="Wuzuquan F",28,IF(Atletas!L378="Wingchun F",29,IF(Atletas!L378="Outra Mão de Sul F",30,IF(Atletas!L378="Dishuquan A",31,IF(Atletas!L378="Dishuquan B",32,IF(Atletas!L378="Dishuquan C",33,IF(Atletas!L378="Dishuquan D",34,IF(Atletas!L378="Dishuquan E",35,IF(Atletas!L378="Dishuquan F",36,""))))))))))))))))))))))))))))))))))))))</f>
        <v/>
      </c>
      <c r="BS387" s="50" t="str">
        <f>IF(Atletas!M378="","",IF(Atletas!X378&lt;&gt;"",10000,0)+(IF(Atletas!B378="Feminino",1000,IF(Atletas!B378="Masculino",2000,""))+(IF(Atletas!M378="Chaquan A",101,IF(Atletas!M378="Emeiquan A",102,IF(Atletas!M378="Fanziquan A",103,IF(Atletas!M378="Huaquan A",104,IF(Atletas!M378="Hongquan A",105,IF(Atletas!M378="Paoquan A",106,IF(Atletas!M378="Piguaquan A",107,IF(Atletas!M378="Shaolinquan A",108,IF(Atletas!M378="Tanglangquan A",109,IF(Atletas!M378="Yingzhaoquan A",110,IF(Atletas!M378="Tongbeiquan A",111,IF(Atletas!M378="Wudangquan A",112,IF(Atletas!M378="Outros Estilos A",113,IF(Atletas!M378="Chaquan B",114,IF(Atletas!M378="Emeiquan B",115,IF(Atletas!M378="Fanziquan B",116,IF(Atletas!M378="Huaquan B",117,IF(Atletas!M378="Hongquan B",118,IF(Atletas!M378="Paoquan B",119,IF(Atletas!M378="Piguaquan B",120,IF(Atletas!M378="Shaolinquan B",121,IF(Atletas!M378="Tanglangquan B",122,IF(Atletas!M378="Yingzhaoquan B",123,IF(Atletas!M378="Tongbeiquan B",124,IF(Atletas!M378="Wudangquan B",125,IF(Atletas!M378="Outros Estilos B",126,IF(Atletas!M378="Chaquan C",127,IF(Atletas!M378="Emeiquan C",128,IF(Atletas!M378="Fanziquan C",129,IF(Atletas!M378="Huaquan C",130,IF(Atletas!M378="Hongquan C",131,IF(Atletas!M378="Paoquan C",132,IF(Atletas!M378="Piguaquan C",133,IF(Atletas!M378="Shaolinquan C",134,IF(Atletas!M378="Tanglangquan C",135,IF(Atletas!M378="Yingzhaoquan C",136,IF(Atletas!M378="Tongbeiquan C",137,IF(Atletas!M378="Wudangquan C",138,IF(Atletas!M378="Outros Estilos C",139,0))))))))))))))))))))))))))))))))))))))))))</f>
        <v/>
      </c>
      <c r="BT387" s="50" t="str">
        <f>IF(Atletas!M378="","",IF(Atletas!X378&lt;&gt;"",10000,0)+(IF(Atletas!B378="Feminino",1000,IF(Atletas!B378="Masculino",2000,""))+(IF(Atletas!M378="Chaquan D",140,IF(Atletas!M378="Emeiquan D",141,IF(Atletas!M378="Fanziquan D",142,IF(Atletas!M378="Huaquan D",143,IF(Atletas!M378="Hongquan D",144,IF(Atletas!M378="Paoquan D",145,IF(Atletas!M378="Piguaquan D",146,IF(Atletas!M378="Shaolinquan D",147,IF(Atletas!M378="Tanglangquan D",148,IF(Atletas!M378="Yingzhaoquan D",149,IF(Atletas!M378="Tongbeiquan D",150,IF(Atletas!M378="Wudangquan D",151,IF(Atletas!M378="Outros Estilos D",152,IF(Atletas!M378="Chaquan E",153,IF(Atletas!M378="Emeiquan E",154,IF(Atletas!M378="Fanziquan E",155,IF(Atletas!M378="Huaquan E",156,IF(Atletas!M378="Hongquan E",157,IF(Atletas!M378="Paoquan E",158,IF(Atletas!M378="Piguaquan E",159,IF(Atletas!M378="Shaolinquan E",160,IF(Atletas!M378="Tanglangquan E",161,IF(Atletas!M378="Yingzhaoquan E",162,IF(Atletas!M378="Tongbeiquan E",163,IF(Atletas!M378="Wudangquan E",164,IF(Atletas!M378="Outros Estilos E",165,IF(Atletas!M378="Chaquan F",166,IF(Atletas!M378="Emeiquan F",167,IF(Atletas!M378="Fanziquan F",168,IF(Atletas!M378="Huaquan F",169,IF(Atletas!M378="Hongquan F",170,IF(Atletas!M378="Paoquan F",171,IF(Atletas!M378="Piguaquan F",172,IF(Atletas!M378="Shaolinquan F",173,IF(Atletas!M378="Tanglangquan F",174,IF(Atletas!M378="Yingzhaoquan F",175,IF(Atletas!M378="Tongbeiquan F",176,IF(Atletas!M378="Wudangquan F",177,IF(Atletas!M378="Outros Estilos F",178,0))))))))))))))))))))))))))))))))))))))))))</f>
        <v/>
      </c>
      <c r="BU387" s="50" t="str">
        <f>IF(Atletas!N378="","",IF(Atletas!X378&lt;&gt;"",10000,0)+(IF(Atletas!B378="Feminino",1000,IF(Atletas!B378="Masculino",2000,""))+(IF(Atletas!N378="Ditangquan A",201,IF(Atletas!N378="Houquan A",202,IF(Atletas!N378="Zuiquan A",203,IF(Atletas!N378="Ditangquan B",204,IF(Atletas!N378="Houquan B",205,IF(Atletas!N378="Zuiquan B",206,IF(Atletas!N378="Ditangquan C",207,IF(Atletas!N378="Houquan C",208,IF(Atletas!N378="Zuiquan C",209,IF(Atletas!N378="Ditangquan D",210,IF(Atletas!N378="Houquan D",211,IF(Atletas!N378="Zuiquan D",212,IF(Atletas!N378="Ditangquan E",213,IF(Atletas!N378="Houquan E",214,IF(Atletas!N378="Zuiquan E",215,IF(Atletas!N378="Ditangquan F",216,IF(Atletas!N378="Houquan F",217,IF(Atletas!N378="Zuiquan F",218,"")))))))))))))))))))))</f>
        <v/>
      </c>
      <c r="BV387" s="50" t="str">
        <f>IF(Atletas!O378="","",IF(Atletas!X378&lt;&gt;"",10000,0)+IF(Atletas!B378="Feminino",1000,IF(Atletas!B378="Masculino",2000,""))+IF(Atletas!O378="Yang A",301,IF(Atletas!O378="Chen A",302,IF(Atletas!O378="Sun A",303,IF(Atletas!O378="Wu A",304,IF(Atletas!O378="Wu-Hao A",305,IF(Atletas!O378="Outro Taijiquan A",306,IF(Atletas!O378="Yang B",307,IF(Atletas!O378="Chen B",308,IF(Atletas!O378="Sun B",309,IF(Atletas!O378="Wu B",310,IF(Atletas!O378="Wu-Hao B",311,IF(Atletas!O378="Outro Taijiquan B",312,IF(Atletas!O378="Yang C",313,IF(Atletas!O378="Chen C",314,IF(Atletas!O378="Sun C",315,IF(Atletas!O378="Wu C",316,IF(Atletas!O378="Wu-Hao C",317,IF(Atletas!O378="Outro Taijiquan C",318,IF(Atletas!O378="Yang D",319,IF(Atletas!O378="Chen D",320,IF(Atletas!O378="Sun D",321,IF(Atletas!O378="Wu D",322,IF(Atletas!O378="Wu-Hao D",323,IF(Atletas!O378="Outro Taijiquan D",324,IF(Atletas!O378="Yang E",325,IF(Atletas!O378="Chen E",326,IF(Atletas!O378="Sun E",327,IF(Atletas!O378="Wu E",328,IF(Atletas!O378="Wu-Hao E",329,IF(Atletas!O378="Outro Taijiquan E",330,IF(Atletas!O378="Yang F",331,IF(Atletas!O378="Chen F",332,IF(Atletas!O378="Sun F",333,IF(Atletas!O378="Wu F",334,IF(Atletas!O378="Wu-Hao F",335,IF(Atletas!O378="Outro Taijiquan F",336,"")))))))))))))))))))))))))))))))))))))</f>
        <v/>
      </c>
      <c r="BW387" s="50" t="str">
        <f>IF(Atletas!P378="","",IF(Atletas!X378&lt;&gt;"",10000,0)+IF(Atletas!B378="Feminino",1000,IF(Atletas!B378="Masculino",2000,""))+IF(OR(Atletas!P378="Yang 26 A",Atletas!P378="Yang 40 A"),401,IF(OR(Atletas!P378="Chen 25 A",Atletas!P378="Chen 36 A",Atletas!P378="Chen 56 A"),402,IF(Atletas!P378="Sun 73 A",403,IF(Atletas!P378="Wu 45 A",404,IF(Atletas!P378="Wu-Hao 46 A",405,IF(OR(Atletas!P378="Taijiquan 16 A",Atletas!P378="Taijiquan 24 A",Atletas!P378="Taijiquan 32 A",Atletas!P378="Taijiquan 42 A"),406,IF(OR(Atletas!P378="Yang 26 B",Atletas!P378="Yang 40 B"),407,IF(OR(Atletas!P378="Chen 25 B",Atletas!P378="Chen 36 B",Atletas!P378="Chen 56 B"),408,IF(Atletas!P378="Sun 73 B",409,IF(Atletas!P378="Wu 45 B",410,IF(Atletas!P378="Wu-Hao 46 B",411,IF(OR(Atletas!P378="Taijiquan 16 B",Atletas!P378="Taijiquan 24 B",Atletas!P378="Taijiquan 32 B",Atletas!P378="Taijiquan 42 B"),412,IF(OR(Atletas!P378="Yang 26 C",Atletas!P378="Yang 40 C"),413,IF(OR(Atletas!P378="Chen 25 C",Atletas!P378="Chen 36 C",Atletas!P378="Chen 56 C"),414,IF(Atletas!P378="Sun 73 C",415,IF(Atletas!P378="Wu 45 C",416,IF(Atletas!P378="Wu-Hao 46 C",417,IF(OR(Atletas!P378="Taijiquan 16 C",Atletas!P378="Taijiquan 24 C",Atletas!P378="Taijiquan 32 C",Atletas!P378="Taijiquan 42 C"),418,0)))))))))))))))))))</f>
        <v/>
      </c>
      <c r="BX387" s="50" t="str">
        <f>IF(Atletas!P378="","",IF(Atletas!X378&lt;&gt;"",10000,0)+IF(Atletas!B378="Feminino",1000,IF(Atletas!B378="Masculino",2000,""))+IF(OR(Atletas!P378="Yang 26 D",Atletas!P378="Yang 40 D"),419,IF(OR(Atletas!P378="Chen 25 D",Atletas!P378="Chen 36 D",Atletas!P378="Chen 56 D"),420,IF(Atletas!P378="Sun 73 D",421,IF(Atletas!P378="Wu 45 D",422,IF(Atletas!P378="Wu-Hao 46 D",423,IF(OR(Atletas!P378="Taijiquan 16 D",Atletas!P378="Taijiquan 24 D",Atletas!P378="Taijiquan 32 D",Atletas!P378="Taijiquan 42 D"),424,IF(OR(Atletas!P378="Yang 26 E",Atletas!P378="Yang 40 E"),425,IF(OR(Atletas!P378="Chen 25 E",Atletas!P378="Chen 36 E",Atletas!P378="Chen 56 E"),426,IF(Atletas!P378="Sun 73 E",427,IF(Atletas!P378="Wu 45 E",428,IF(Atletas!P378="Wu-Hao 46 E",429,IF(OR(Atletas!P378="Taijiquan 16 E",Atletas!P378="Taijiquan 24 E",Atletas!P378="Taijiquan 32 E",Atletas!P378="Taijiquan 42 E"),430,IF(OR(Atletas!P378="Yang 26 F",Atletas!P378="Yang 40 F"),431,IF(OR(Atletas!P378="Chen 25 F",Atletas!P378="Chen 36 F",Atletas!P378="Chen 56 F"),432,IF(Atletas!P378="Sun 73 F",433,IF(Atletas!P378="Wu 45 F",434,IF(Atletas!P378="Wu-Hao 46 F",435,IF(OR(Atletas!P378="Taijiquan 16 F",Atletas!P378="Taijiquan 24 F",Atletas!P378="Taijiquan 32 F",Atletas!P378="Taijiquan 42 F"),436,0)))))))))))))))))))</f>
        <v/>
      </c>
      <c r="BY387" s="50" t="str">
        <f>IF(Atletas!Q378="","",IF(Atletas!X378&lt;&gt;"",10000,0)+IF(Atletas!B378="Feminino",1000,IF(Atletas!B378="Masculino",2000,""))+IF(Atletas!Q378="Xingyiquan A",501,IF(Atletas!Q378="Baguazhang A",502,IF(Atletas!Q378="Outro Estilo Interno A",503,IF(Atletas!Q378="Xingyiquan B",504,IF(Atletas!Q378="Baguazhang B",505,IF(Atletas!Q378="Outro Estilo Interno B",506,IF(Atletas!Q378="Xingyiquan C",507,IF(Atletas!Q378="Baguazhang C",508,IF(Atletas!Q378="Outro Estilo Interno C",509,IF(Atletas!Q378="Xingyiquan D",510,IF(Atletas!Q378="Baguazhang D",511,IF(Atletas!Q378="Outro Estilo Interno D",512,IF(Atletas!Q378="Xingyiquan E",513,IF(Atletas!Q378="Baguazhang E",514,IF(Atletas!Q378="Outro Estilo Interno E",515,IF(Atletas!Q378="Xingyiquan F",516,IF(Atletas!Q378="Baguazhang F",517,IF(Atletas!Q378="Outro Estilo Interno F",518, "")))))))))))))))))))</f>
        <v/>
      </c>
      <c r="BZ387" s="50" t="str">
        <f>IF(Atletas!R378="","",IF(Atletas!X378&lt;&gt;"",10000,0)+IF(Atletas!B378="Feminino",1000,IF(Atletas!B378="Masculino",2000,""))+IF(Atletas!R378="Dao A",601,IF(Atletas!R378="Jian A",602,IF(Atletas!R378="Bishou A",603,IF(Atletas!R378="Shanzi A",604,IF(Atletas!R378="Outra Arma Curta A",605,IF(Atletas!R378="Dao B",606,IF(Atletas!R378="Jian B",607,IF(Atletas!R378="Bishou B",608,IF(Atletas!R378="Shanzi B",609,IF(Atletas!R378="Outra Arma Curta B",610,IF(Atletas!R378="Dao C",611,IF(Atletas!R378="Jian C",612,IF(Atletas!R378="Bishou C",613,IF(Atletas!R378="Shanzi C",614,IF(Atletas!R378="Outra Arma Curta C",615,IF(Atletas!R378="Dao D",616,IF(Atletas!R378="Jian D",617,IF(Atletas!R378="Bishou D",618,IF(Atletas!R378="Shanzi D",619,IF(Atletas!R378="Outra Arma Curta D",620,IF(Atletas!R378="Dao E",621,IF(Atletas!R378="Jian E",622,IF(Atletas!R378="Bishou E",623,IF(Atletas!R378="Shanzi E",624,IF(Atletas!R378="Outra Arma Curta E",625,IF(Atletas!R378="Dao F",626,IF(Atletas!R378="Jian F",627,IF(Atletas!R378="Bishou F",628,IF(Atletas!R378="Shanzi F",629,IF(Atletas!R378="Outra Arma Curta F",630, "")))))))))))))))))))))))))))))))</f>
        <v/>
      </c>
      <c r="CA387" s="50" t="str">
        <f>IF(Atletas!S378="","",IF(Atletas!X378&lt;&gt;"",10000,0)+IF(Atletas!B378="Feminino",1000,IF(Atletas!B378="Masculino",2000,""))+IF(Atletas!S378="Gun A",701,IF(Atletas!S378="Qiang A",702,IF(Atletas!S378="Pudao / Guandao A",703,IF(Atletas!S378="Outra Arma Longa A",704,IF(Atletas!S378="Gun B",705,IF(Atletas!S378="Qiang B",706,IF(Atletas!S378="Pudao / Guandao B",707,IF(Atletas!S378="Outra Arma Longa B",708,IF(Atletas!S378="Gun C",709,IF(Atletas!S378="Qiang C",710,IF(Atletas!S378="Pudao / Guandao C",711,IF(Atletas!S378="Outra Arma Longa C",712,IF(Atletas!S378="Gun D",713,IF(Atletas!S378="Qiang D",714,IF(Atletas!S378="Pudao / Guandao D",715,IF(Atletas!S378="Outra Arma Longa D",716,IF(Atletas!S378="Gun E",717,IF(Atletas!S378="Qiang E",718,IF(Atletas!S378="Pudao / Guandao E",719,IF(Atletas!S378="Outra Arma Longa E",720,IF(Atletas!S378="Gun F",721,IF(Atletas!S378="Qiang F",722,IF(Atletas!S378="Pudao / Guandao F",723,IF(Atletas!S378="Outra Arma Longa F",724,"")))))))))))))))))))))))))</f>
        <v/>
      </c>
      <c r="CB387" s="50" t="str">
        <f>IF(Atletas!T378="","",IF(Atletas!X378&lt;&gt;"",10000,0)+IF(Atletas!B378="Feminino",1000,IF(Atletas!B378="Masculino",2000,""))+IF(Atletas!T378="Outra Arma Dupla A",801,IF(Atletas!T378="Arma Maleável A",802,IF(Atletas!T378="Outra Arma Dupla B",803,IF(Atletas!T378="Arma Maleável B",804,IF(Atletas!T378="Outra Arma Dupla C",805,IF(Atletas!T378="Arma Maleável C",806,IF(Atletas!T378="Outra Arma Dupla D",807,IF(Atletas!T378="Arma Maleável D",808,IF(Atletas!T378="Outra Arma Dupla E",809,IF(Atletas!T378="Arma Maleável E",810,IF(Atletas!T378="Outra Arma Dupla F",811,IF(Atletas!T378="Arma Maleável F",812,IF(Atletas!T378="Shuangdao A",813,IF(Atletas!T378="Shuangdao B",814,IF(Atletas!T378="Shuangdao C",815,IF(Atletas!T378="Shuangdao D",816,IF(Atletas!T378="Shuangdao E",817,IF(Atletas!T378="Shuangdao F",818,"")))))))))))))))))))</f>
        <v/>
      </c>
      <c r="CC387" s="50" t="str">
        <f>IF(Atletas!U378="","",IF(Atletas!X378&lt;&gt;"",10000,0)+IF(Atletas!B378="Feminino",1000,IF(Atletas!B378="Masculino",2000,""))+IF(OR(Atletas!U378="Taijijian Yang A",Atletas!U378="Taijijian Yang Standard A"),901,IF(OR(Atletas!U378="Taijijian Chen A", Atletas!U378="Taijijian Chen Standard A"),902,IF(Atletas!U378="Taijijian Sun A",903,IF(Atletas!U378="Taijijian Wu A",904,IF(Atletas!U378="Taijijian Wu-Hao A",905,IF(OR(Atletas!U378="Taijijian 32 A",Atletas!U378="Taijijian 42 A"),906,IF(OR(Atletas!U378="Taijijian Yang B",Atletas!U378="Taijijian Yang Standard B"),907,IF(OR(Atletas!U378="Taijijian Chen B", Atletas!U378="Taijijian Chen Standard B"),908,IF(Atletas!U378="Taijijian Sun B",909,IF(Atletas!U378="Taijijian Wu B",910,IF(Atletas!U378="Taijijian Wu-Hao B",911,IF(OR(Atletas!U378="Taijijian 32 B",Atletas!U378="Taijijian 42 B"),912,IF(OR(Atletas!U378="Taijijian Yang C",Atletas!U378="Taijijian Yang Standard C"),913,IF(OR(Atletas!U378="Taijijian Chen C", Atletas!U378="Taijijian Chen Standard C"),914,IF(Atletas!U378="Taijijian Sun C",915,IF(Atletas!U378="Taijijian Wu C",916,IF(Atletas!U378="Taijijian Wu-Hao C",917,IF(OR(Atletas!U378="Taijijian 32 C",Atletas!U378="Taijijian 42 C"),918,IF(OR(Atletas!U378="Taijijian Yang D",Atletas!U378="Taijijian Yang Standard D"),919,IF(OR(Atletas!U378="Taijijian Chen D", Atletas!U378="Taijijian Chen Standard D"),920,IF(Atletas!U378="Taijijian Sun D",921,IF(Atletas!U378="Taijijian Wu D",922,IF(Atletas!U378="Taijijian Wu-Hao D",923,IF(OR(Atletas!U378="Taijijian 32 D",Atletas!U378="Taijijian 42 D"),924,IF(OR(Atletas!U378="Taijijian Yang E",Atletas!U378="Taijijian Yang Standard E"),925,IF(OR(Atletas!U378="Taijijian Chen E", Atletas!U378="Taijijian Chen Standard E"),926,IF(Atletas!U378="Taijijian Sun E",927,IF(Atletas!U378="Taijijian Wu E",928,IF(Atletas!U378="Taijijian Wu-Hao E",929,IF(OR(Atletas!U378="Taijijian 32 E",Atletas!U378="Taijijian 42 E"),930,IF(OR(Atletas!U378="Taijijian Yang F",Atletas!U378="Taijijian Yang Standard F"),931,IF(OR(Atletas!U378="Taijijian Chen F", Atletas!U378="Taijijian Chen Standard F"),932,IF(Atletas!U378="Taijijian Sun F",933,IF(Atletas!U378="Taijijian Wu F",934,IF(Atletas!U378="Taijijian Wu-Hao F",935,IF(OR(Atletas!U378="Taijijian 32 F",Atletas!U378="Taijijian 42 F"),936,"")))))))))))))))))))))))))))))))))))))</f>
        <v/>
      </c>
      <c r="CD387" s="50" t="str">
        <f>IF(Atletas!V378="","",IF(Atletas!X378&lt;&gt;"",10000,0)+IF(Atletas!B378="Feminino",1000,IF(Atletas!B378="Masculino",2000,""))+IF(Atletas!V378="Taijidao A",937,IF(Atletas!V378="TaijiShanzi A",938,IF(Atletas!V378="Taijiqiang A",939,IF(Atletas!V378="Bagua de Arma A",940,IF(Atletas!V378="Xingyi de Arma A",941,IF(Atletas!V378="Taijidao B",942,IF(Atletas!V378="TaijiShanzi B",943,IF(Atletas!V378="Taijiqiang B",944,IF(Atletas!V378="Bagua de Arma B",945,IF(Atletas!V378="Xingyi de Arma B",946,IF(Atletas!V378="Taijidao C",947,IF(Atletas!V378="TaijiShanzi C",948,IF(Atletas!V378="Taijiqiang C",949,IF(Atletas!V378="Bagua de Arma C",950,IF(Atletas!V378="Xingyi de Arma C",951,IF(Atletas!V378="Taijidao D",952,IF(Atletas!V378="TaijiShanzi D",953,IF(Atletas!V378="Taijiqiang D",954,IF(Atletas!V378="Bagua de Arma D",955,IF(Atletas!V378="Xingyi de Arma D",956,IF(Atletas!V378="Taijidao E",957,IF(Atletas!V378="TaijiShanzi E",958,IF(Atletas!V378="Taijiqiang E",959,IF(Atletas!V378="Bagua de Arma E",960,IF(Atletas!V378="Xingyi de Arma E",961,IF(Atletas!V378="Taijidao F",962,IF(Atletas!V378="TaijiShanzi F",963,IF(Atletas!V378="Taijiqiang F",964,IF(Atletas!V378="Bagua de Arma F",965,IF(Atletas!V378="Xingyi de Arma F",966,"")))))))))))))))))))))))))))))))</f>
        <v/>
      </c>
      <c r="CJ387" s="66"/>
      <c r="CL387" s="66"/>
      <c r="CM387" s="50" t="str">
        <f xml:space="preserve"> IF(Atletas!W378="","",IF(Atletas!W378="Duilian de Mãos BC - Equipe 1",1,IF(Atletas!W378="Duilian de Mãos BC - Equipe 2",2,IF(Atletas!W378="Duilian de Armas BC - Equipe 1",3,IF(Atletas!W378="Duilian de Armas BC - Equipe 2",4,IF(Atletas!W378="Duilian de Mãos DE - Equipe 1",5,IF(Atletas!W378="Duilian de Mãos DE - Equipe 2",6,IF(Atletas!W378="Duilian de Armas DE - Equipe 1",7,IF(Atletas!W378="Duilian de Armas DE - Equipe 2",8,IF(Atletas!W378="Duilian de Tuishou - Equipe 1",9,IF(Atletas!W378="Duilian de Tuishou - Equipe 2",10,IF(Atletas!W378="Grupo Externo ABC - Equipe 1",11,IF(Atletas!W378="Grupo Externo ABC - Equipe 2",12,IF(Atletas!W378="Grupo Interno ABC - Equipe 1",13,IF(Atletas!W378="Grupo Interno ABC - Equipe 2",14,IF(Atletas!W378="Grupo Externo DEF - Equipe 1",15,IF(Atletas!W378="Grupo Externo DEF - Equipe 2",16,IF(Atletas!W378="Grupo Interno DEF - Equipe 1",17,IF(Atletas!W378="Grupo Interno DEF - Equipe 2",18,"")))))))))))))))))))</f>
        <v/>
      </c>
    </row>
    <row r="388" spans="40:91">
      <c r="AN388" s="52" t="str">
        <f>IF(Atletas!D379="","",IF(Atletas!B379="Feminino",100,IF(Atletas!B379="Masculino",200,""))+(IF(Atletas!D379="Kids 30kg",1,IF(Atletas!D379="Kids 32kg",2, IF(Atletas!D379="Kids 34kg",3,IF(Atletas!D379="Kids 36kg",4,IF(Atletas!D379="Kids 39kg",5,IF(Atletas!D379="Kids 42kg",6,IF(Atletas!D379="Kids 45kg",7, IF(Atletas!D379="Infantil 39kg",8,IF(Atletas!D379="Infantil 42kg",9,IF(Atletas!D379="Infantil 45kg",10,IF(Atletas!D379="Infantil 48kg",11,IF(Atletas!D379="Infantil 52kg",12,IF(Atletas!D379="Infantil 56kg",13,IF(Atletas!D379="Infantil 60kg",14,IF(Atletas!D379="Juvenil 48kg",15,IF(Atletas!D379="Juvenil 52kg",16,IF(Atletas!D379="Juvenil 56kg",17,IF(Atletas!D379="Juvenil 60kg",18,IF(Atletas!D379="Juvenil 65kg",19,IF(Atletas!D379="Juvenil 70kg",20,IF(Atletas!D379="Juvenil 75kg",21,IF(Atletas!D379="Juvenil 80kg",22, IF(Atletas!D379="Juvenil 85kg",23,IF(Atletas!D379="Adulto 48kg",24,IF(Atletas!D379="Adulto 52kg",25,IF(Atletas!D379="Adulto 56kg",26,IF(Atletas!D379="Adulto 60kg",27,IF(Atletas!D379="Adulto 65kg",28,IF(Atletas!D379="Adulto 70kg",29,IF(Atletas!D379="Adulto 75kg",30,IF(Atletas!D379="Adulto 80kg",31,IF(Atletas!D379="Adulto 85kg",32,IF(Atletas!D379="Adulto 90kg",33,IF(Atletas!D379="Adulto 100kg",34, IF(Atletas!D379="Adulto +100kg",35,"")))))))))))))))))))))))))))))))))))))</f>
        <v/>
      </c>
      <c r="AS388" s="6" t="str">
        <f>IF(Atletas!E379="","",IF(Atletas!B379="Feminino",100,IF(Atletas!B379="Masculino",200,""))+(IF(Atletas!E379="Juvenil 44kg",1,IF(Atletas!E379="Juvenil 48kg",2,IF(Atletas!E379="Juvenil 52kg",3,IF(Atletas!E379="Juvenil 56kg",4,IF(Atletas!E379="Juvenil 60kg",5,IF(Atletas!E379="Juvenil 65kg",6,IF(Atletas!E379="Juvenil 70kg",7,IF(Atletas!E379="Juvenil 75kg",8,IF(Atletas!E379="Juvenil 82kg",9,IF(Atletas!E379="Juvenil 90kg",10,IF(Atletas!E379="Juvenil 100kg",11,IF(Atletas!E379="Adulto 48kg",12,IF(Atletas!E379="Adulto 52kg",13,IF(Atletas!E379="Adulto 56kg",14,IF(Atletas!E379="Adulto 60kg",15,IF(Atletas!E379="Adulto 65kg",16,IF(Atletas!E379="Adulto 70kg",17,IF(Atletas!E379="Adulto 75kg",18,IF(Atletas!E379="Adulto 82kg",19,IF(Atletas!E379="Adulto 90kg",20,IF(Atletas!E379="Adulto 100kg",21,IF(Atletas!E379="Adulto +100kg",22,""))))))))))))))))))))))))</f>
        <v/>
      </c>
      <c r="AX388" s="6" t="str">
        <f>IF(Atletas!F379="","",IF(Atletas!B379="Feminino",100,IF(Atletas!B379="Masculino",200,""))+(IF(Atletas!F379="Adulto 48kg",1,IF(Atletas!F379="Adulto 56kg",2,IF(Atletas!F379="Adulto 65kg",3,IF(Atletas!F379="Adulto 75kg",4,IF(Atletas!F379="Adulto +75kg",5,IF(Atletas!F379="Adulto 52kg",6,IF(Atletas!F379="Adulto 60kg",7,IF(Atletas!F379="Adulto 70kg",8,IF(Atletas!F379="Adulto 80kg",9,IF(Atletas!F379="Adulto 90kg",10,IF(Atletas!F379="Adulto +90kg",11,"")))))))))))))</f>
        <v/>
      </c>
      <c r="BC388" s="6" t="str">
        <f>IF(Atletas!G379="","",IF(Atletas!B379="Feminino",10,IF(Atletas!B379="Masculino",20,""))+(IF(Atletas!G379="Baduanjin A",1,IF(Atletas!G379="Baduanjin B",2))))</f>
        <v/>
      </c>
      <c r="BF388" s="52" t="str">
        <f>IF(Atletas!H379="","",IF(Atletas!B379="Feminino",100,IF(Atletas!B379="Masculino",200,""))+(IF(Atletas!H379="Changquan Mirim",1,IF(Atletas!H379="Nanquan Mirim",2,IF(Atletas!H379="Taijiquan Mirim",3,IF(Atletas!H379="Changquan Grupo C",4,IF(Atletas!H379="Nanquan Grupo C",5,IF(Atletas!H379="Taijiquan Grupo C",6,IF(Atletas!H379="Changquan Grupo B",7,IF(Atletas!H379="Nanquan Grupo B",8,IF(Atletas!H379="Taijiquan Grupo B",9,IF(Atletas!H379="Changquan Grupo A",10,IF(Atletas!H379="Nanquan Grupo A",11,IF(Atletas!H379="Taijiquan Grupo A",12,IF(Atletas!H379="Changquan Opcional",13,IF(Atletas!H379="Nanquan Opcional",14,IF(Atletas!H379="Taijiquan Opcional",15,IF(Atletas!H379="Changquan Adulto",16,IF(Atletas!H379="Nanquan Adulto",17,IF(Atletas!H379="Taijiquan Adulto",18,""))))))))))))))))))))</f>
        <v/>
      </c>
      <c r="BG388" s="52" t="str">
        <f>IF(Atletas!I379="","",IF(Atletas!B379="Feminino",100,IF(Atletas!B379="Masculino",200,""))+(IF(Atletas!I379="Daoshu Mirim",19,IF(Atletas!I379="Jianshu Mirim",20,IF(Atletas!I379="Nandao Mirim",21,IF(Atletas!I379="Taijijian Mirim",22,IF(Atletas!I379="Daoshu Grupo C",23,IF(Atletas!I379="Jianshu Grupo C",24,IF(Atletas!I379="Nandao Grupo C",25,IF(Atletas!I379="Taijijian Grupo C",26,IF(Atletas!I379="Daoshu Grupo B",27,IF(Atletas!I379="Jianshu Grupo B",28,IF(Atletas!I379="Nandao Grupo B",29,IF(Atletas!I379="Taijijian Grupo B",30,IF(Atletas!I379="Daoshu Grupo A",31,IF(Atletas!I379="Jianshu Grupo A",32,IF(Atletas!I379="Nandao Grupo A",33,IF(Atletas!I379="Taijijian Grupo A",34,IF(Atletas!I379="Daoshu Opcional",35,IF(Atletas!I379="Jianshu Opcional",36,IF(Atletas!I379="Nandao Opcional",37,IF(Atletas!I379="Taijijian Opcional",38,IF(Atletas!I379="Daoshu Adulto",39,IF(Atletas!I379="Jianshu Adulto",40,IF(Atletas!I379="Nandao Adulto",41,IF(Atletas!I379="Taijijian Adulto",42,""))))))))))))))))))))))))))</f>
        <v/>
      </c>
      <c r="BH388" s="52" t="str">
        <f>IF(Atletas!J379="","",IF(Atletas!B379="Feminino",100,IF(Atletas!B379="Masculino",200,""))+(IF(Atletas!J379="Gunshu Mirim",43,IF(Atletas!J379="Qiangshu Mirim",44,IF(Atletas!J379="Nangun Mirim",45,IF(Atletas!J379="Gunshu Grupo C",46,IF(Atletas!J379="Qiangshu Grupo C",47,IF(Atletas!J379="Nangun Grupo C",48,IF(Atletas!J379="Gunshu Grupo B",49,IF(Atletas!J379="Qiangshu Grupo B",50,IF(Atletas!J379="Nangun Grupo B",51,IF(Atletas!J379="Gunshu Grupo A",52,IF(Atletas!J379="Qiangshu Grupo A",53,IF(Atletas!J379="Nangun Grupo A",54,IF(Atletas!J379="Gunshu Opcional",55,IF(Atletas!J379="Qiangshu Opcional",56,IF(Atletas!J379="Nangun Opcional",57,IF(Atletas!J379="Gunshu Adulto",58,IF(Atletas!J379="Qiangshu Adulto",59,IF(Atletas!J379="Nangun Adulto",60,IF(Atletas!J379="Taijishan Grupo B",61,IF(Atletas!J379="Taijishan Grupo A",62,""))))))))))))))))))))))</f>
        <v/>
      </c>
      <c r="BM388" s="50" t="str">
        <f>IF(Atletas!K379="","",IF(Atletas!B379="Feminino",100,IF(Atletas!B379="Masculino",200,""))+(IF(Atletas!K379="Equipe 1 Grupo B",1,IF(Atletas!K379="Equipe 2 Grupo B",2,IF(Atletas!K379="Equipe 1 Grupo A",3,IF(Atletas!K379="Equipe 2 Grupo A",4,IF(Atletas!K379="Equipe 1 Adulto",5,IF(Atletas!K379="Equipe 2 Adulto",6,""))))))))</f>
        <v/>
      </c>
      <c r="BR388" s="50" t="str">
        <f>IF(Atletas!L379="","",IF(Atletas!X379&lt;&gt;"",10000,0)+(IF(Atletas!B379="Feminino",1000,IF(Atletas!B379="Masculino",2000,""))+IF(Atletas!L379="Choylayfut A",1,IF(Atletas!L379="Hunggar A",2,IF(Atletas!L379="Wuzuquan A",3,IF(Atletas!L379="Wingchun A",4,IF(Atletas!L379="Outra Mão de Sul A",5,IF(Atletas!L379="Choylayfut B",6,IF(Atletas!L379="Hunggar B",7,IF(Atletas!L379="Wuzuquan B",8,IF(Atletas!L379="Wingchun B",9,IF(Atletas!L379="Outra Mão de Sul B",10,IF(Atletas!L379="Choylayfut C",11,IF(Atletas!L379="Hunggar C",12,IF(Atletas!L379="Wuzuquan C",13,IF(Atletas!L379="Wingchun C",14,IF(Atletas!L379="Outra Mão de Sul C",15,IF(Atletas!L379="Choylayfut D",16,IF(Atletas!L379="Hunggar D",17,IF(Atletas!L379="Wuzuquan D",18,IF(Atletas!L379="Wingchun D",19,IF(Atletas!L379="Outra Mão de Sul D",20,IF(Atletas!L379="Choylayfut E",21,IF(Atletas!L379="Hunggar E",22,IF(Atletas!L379="Wuzuquan E",23,IF(Atletas!L379="Wingchun E",24,IF(Atletas!L379="Outra Mão de Sul E",25,IF(Atletas!L379="Choylayfut F",26,IF(Atletas!L379="Hunggar F",27,IF(Atletas!L379="Wuzuquan F",28,IF(Atletas!L379="Wingchun F",29,IF(Atletas!L379="Outra Mão de Sul F",30,IF(Atletas!L379="Dishuquan A",31,IF(Atletas!L379="Dishuquan B",32,IF(Atletas!L379="Dishuquan C",33,IF(Atletas!L379="Dishuquan D",34,IF(Atletas!L379="Dishuquan E",35,IF(Atletas!L379="Dishuquan F",36,""))))))))))))))))))))))))))))))))))))))</f>
        <v/>
      </c>
      <c r="BS388" s="50" t="str">
        <f>IF(Atletas!M379="","",IF(Atletas!X379&lt;&gt;"",10000,0)+(IF(Atletas!B379="Feminino",1000,IF(Atletas!B379="Masculino",2000,""))+(IF(Atletas!M379="Chaquan A",101,IF(Atletas!M379="Emeiquan A",102,IF(Atletas!M379="Fanziquan A",103,IF(Atletas!M379="Huaquan A",104,IF(Atletas!M379="Hongquan A",105,IF(Atletas!M379="Paoquan A",106,IF(Atletas!M379="Piguaquan A",107,IF(Atletas!M379="Shaolinquan A",108,IF(Atletas!M379="Tanglangquan A",109,IF(Atletas!M379="Yingzhaoquan A",110,IF(Atletas!M379="Tongbeiquan A",111,IF(Atletas!M379="Wudangquan A",112,IF(Atletas!M379="Outros Estilos A",113,IF(Atletas!M379="Chaquan B",114,IF(Atletas!M379="Emeiquan B",115,IF(Atletas!M379="Fanziquan B",116,IF(Atletas!M379="Huaquan B",117,IF(Atletas!M379="Hongquan B",118,IF(Atletas!M379="Paoquan B",119,IF(Atletas!M379="Piguaquan B",120,IF(Atletas!M379="Shaolinquan B",121,IF(Atletas!M379="Tanglangquan B",122,IF(Atletas!M379="Yingzhaoquan B",123,IF(Atletas!M379="Tongbeiquan B",124,IF(Atletas!M379="Wudangquan B",125,IF(Atletas!M379="Outros Estilos B",126,IF(Atletas!M379="Chaquan C",127,IF(Atletas!M379="Emeiquan C",128,IF(Atletas!M379="Fanziquan C",129,IF(Atletas!M379="Huaquan C",130,IF(Atletas!M379="Hongquan C",131,IF(Atletas!M379="Paoquan C",132,IF(Atletas!M379="Piguaquan C",133,IF(Atletas!M379="Shaolinquan C",134,IF(Atletas!M379="Tanglangquan C",135,IF(Atletas!M379="Yingzhaoquan C",136,IF(Atletas!M379="Tongbeiquan C",137,IF(Atletas!M379="Wudangquan C",138,IF(Atletas!M379="Outros Estilos C",139,0))))))))))))))))))))))))))))))))))))))))))</f>
        <v/>
      </c>
      <c r="BT388" s="50" t="str">
        <f>IF(Atletas!M379="","",IF(Atletas!X379&lt;&gt;"",10000,0)+(IF(Atletas!B379="Feminino",1000,IF(Atletas!B379="Masculino",2000,""))+(IF(Atletas!M379="Chaquan D",140,IF(Atletas!M379="Emeiquan D",141,IF(Atletas!M379="Fanziquan D",142,IF(Atletas!M379="Huaquan D",143,IF(Atletas!M379="Hongquan D",144,IF(Atletas!M379="Paoquan D",145,IF(Atletas!M379="Piguaquan D",146,IF(Atletas!M379="Shaolinquan D",147,IF(Atletas!M379="Tanglangquan D",148,IF(Atletas!M379="Yingzhaoquan D",149,IF(Atletas!M379="Tongbeiquan D",150,IF(Atletas!M379="Wudangquan D",151,IF(Atletas!M379="Outros Estilos D",152,IF(Atletas!M379="Chaquan E",153,IF(Atletas!M379="Emeiquan E",154,IF(Atletas!M379="Fanziquan E",155,IF(Atletas!M379="Huaquan E",156,IF(Atletas!M379="Hongquan E",157,IF(Atletas!M379="Paoquan E",158,IF(Atletas!M379="Piguaquan E",159,IF(Atletas!M379="Shaolinquan E",160,IF(Atletas!M379="Tanglangquan E",161,IF(Atletas!M379="Yingzhaoquan E",162,IF(Atletas!M379="Tongbeiquan E",163,IF(Atletas!M379="Wudangquan E",164,IF(Atletas!M379="Outros Estilos E",165,IF(Atletas!M379="Chaquan F",166,IF(Atletas!M379="Emeiquan F",167,IF(Atletas!M379="Fanziquan F",168,IF(Atletas!M379="Huaquan F",169,IF(Atletas!M379="Hongquan F",170,IF(Atletas!M379="Paoquan F",171,IF(Atletas!M379="Piguaquan F",172,IF(Atletas!M379="Shaolinquan F",173,IF(Atletas!M379="Tanglangquan F",174,IF(Atletas!M379="Yingzhaoquan F",175,IF(Atletas!M379="Tongbeiquan F",176,IF(Atletas!M379="Wudangquan F",177,IF(Atletas!M379="Outros Estilos F",178,0))))))))))))))))))))))))))))))))))))))))))</f>
        <v/>
      </c>
      <c r="BU388" s="50" t="str">
        <f>IF(Atletas!N379="","",IF(Atletas!X379&lt;&gt;"",10000,0)+(IF(Atletas!B379="Feminino",1000,IF(Atletas!B379="Masculino",2000,""))+(IF(Atletas!N379="Ditangquan A",201,IF(Atletas!N379="Houquan A",202,IF(Atletas!N379="Zuiquan A",203,IF(Atletas!N379="Ditangquan B",204,IF(Atletas!N379="Houquan B",205,IF(Atletas!N379="Zuiquan B",206,IF(Atletas!N379="Ditangquan C",207,IF(Atletas!N379="Houquan C",208,IF(Atletas!N379="Zuiquan C",209,IF(Atletas!N379="Ditangquan D",210,IF(Atletas!N379="Houquan D",211,IF(Atletas!N379="Zuiquan D",212,IF(Atletas!N379="Ditangquan E",213,IF(Atletas!N379="Houquan E",214,IF(Atletas!N379="Zuiquan E",215,IF(Atletas!N379="Ditangquan F",216,IF(Atletas!N379="Houquan F",217,IF(Atletas!N379="Zuiquan F",218,"")))))))))))))))))))))</f>
        <v/>
      </c>
      <c r="BV388" s="50" t="str">
        <f>IF(Atletas!O379="","",IF(Atletas!X379&lt;&gt;"",10000,0)+IF(Atletas!B379="Feminino",1000,IF(Atletas!B379="Masculino",2000,""))+IF(Atletas!O379="Yang A",301,IF(Atletas!O379="Chen A",302,IF(Atletas!O379="Sun A",303,IF(Atletas!O379="Wu A",304,IF(Atletas!O379="Wu-Hao A",305,IF(Atletas!O379="Outro Taijiquan A",306,IF(Atletas!O379="Yang B",307,IF(Atletas!O379="Chen B",308,IF(Atletas!O379="Sun B",309,IF(Atletas!O379="Wu B",310,IF(Atletas!O379="Wu-Hao B",311,IF(Atletas!O379="Outro Taijiquan B",312,IF(Atletas!O379="Yang C",313,IF(Atletas!O379="Chen C",314,IF(Atletas!O379="Sun C",315,IF(Atletas!O379="Wu C",316,IF(Atletas!O379="Wu-Hao C",317,IF(Atletas!O379="Outro Taijiquan C",318,IF(Atletas!O379="Yang D",319,IF(Atletas!O379="Chen D",320,IF(Atletas!O379="Sun D",321,IF(Atletas!O379="Wu D",322,IF(Atletas!O379="Wu-Hao D",323,IF(Atletas!O379="Outro Taijiquan D",324,IF(Atletas!O379="Yang E",325,IF(Atletas!O379="Chen E",326,IF(Atletas!O379="Sun E",327,IF(Atletas!O379="Wu E",328,IF(Atletas!O379="Wu-Hao E",329,IF(Atletas!O379="Outro Taijiquan E",330,IF(Atletas!O379="Yang F",331,IF(Atletas!O379="Chen F",332,IF(Atletas!O379="Sun F",333,IF(Atletas!O379="Wu F",334,IF(Atletas!O379="Wu-Hao F",335,IF(Atletas!O379="Outro Taijiquan F",336,"")))))))))))))))))))))))))))))))))))))</f>
        <v/>
      </c>
      <c r="BW388" s="50" t="str">
        <f>IF(Atletas!P379="","",IF(Atletas!X379&lt;&gt;"",10000,0)+IF(Atletas!B379="Feminino",1000,IF(Atletas!B379="Masculino",2000,""))+IF(OR(Atletas!P379="Yang 26 A",Atletas!P379="Yang 40 A"),401,IF(OR(Atletas!P379="Chen 25 A",Atletas!P379="Chen 36 A",Atletas!P379="Chen 56 A"),402,IF(Atletas!P379="Sun 73 A",403,IF(Atletas!P379="Wu 45 A",404,IF(Atletas!P379="Wu-Hao 46 A",405,IF(OR(Atletas!P379="Taijiquan 16 A",Atletas!P379="Taijiquan 24 A",Atletas!P379="Taijiquan 32 A",Atletas!P379="Taijiquan 42 A"),406,IF(OR(Atletas!P379="Yang 26 B",Atletas!P379="Yang 40 B"),407,IF(OR(Atletas!P379="Chen 25 B",Atletas!P379="Chen 36 B",Atletas!P379="Chen 56 B"),408,IF(Atletas!P379="Sun 73 B",409,IF(Atletas!P379="Wu 45 B",410,IF(Atletas!P379="Wu-Hao 46 B",411,IF(OR(Atletas!P379="Taijiquan 16 B",Atletas!P379="Taijiquan 24 B",Atletas!P379="Taijiquan 32 B",Atletas!P379="Taijiquan 42 B"),412,IF(OR(Atletas!P379="Yang 26 C",Atletas!P379="Yang 40 C"),413,IF(OR(Atletas!P379="Chen 25 C",Atletas!P379="Chen 36 C",Atletas!P379="Chen 56 C"),414,IF(Atletas!P379="Sun 73 C",415,IF(Atletas!P379="Wu 45 C",416,IF(Atletas!P379="Wu-Hao 46 C",417,IF(OR(Atletas!P379="Taijiquan 16 C",Atletas!P379="Taijiquan 24 C",Atletas!P379="Taijiquan 32 C",Atletas!P379="Taijiquan 42 C"),418,0)))))))))))))))))))</f>
        <v/>
      </c>
      <c r="BX388" s="50" t="str">
        <f>IF(Atletas!P379="","",IF(Atletas!X379&lt;&gt;"",10000,0)+IF(Atletas!B379="Feminino",1000,IF(Atletas!B379="Masculino",2000,""))+IF(OR(Atletas!P379="Yang 26 D",Atletas!P379="Yang 40 D"),419,IF(OR(Atletas!P379="Chen 25 D",Atletas!P379="Chen 36 D",Atletas!P379="Chen 56 D"),420,IF(Atletas!P379="Sun 73 D",421,IF(Atletas!P379="Wu 45 D",422,IF(Atletas!P379="Wu-Hao 46 D",423,IF(OR(Atletas!P379="Taijiquan 16 D",Atletas!P379="Taijiquan 24 D",Atletas!P379="Taijiquan 32 D",Atletas!P379="Taijiquan 42 D"),424,IF(OR(Atletas!P379="Yang 26 E",Atletas!P379="Yang 40 E"),425,IF(OR(Atletas!P379="Chen 25 E",Atletas!P379="Chen 36 E",Atletas!P379="Chen 56 E"),426,IF(Atletas!P379="Sun 73 E",427,IF(Atletas!P379="Wu 45 E",428,IF(Atletas!P379="Wu-Hao 46 E",429,IF(OR(Atletas!P379="Taijiquan 16 E",Atletas!P379="Taijiquan 24 E",Atletas!P379="Taijiquan 32 E",Atletas!P379="Taijiquan 42 E"),430,IF(OR(Atletas!P379="Yang 26 F",Atletas!P379="Yang 40 F"),431,IF(OR(Atletas!P379="Chen 25 F",Atletas!P379="Chen 36 F",Atletas!P379="Chen 56 F"),432,IF(Atletas!P379="Sun 73 F",433,IF(Atletas!P379="Wu 45 F",434,IF(Atletas!P379="Wu-Hao 46 F",435,IF(OR(Atletas!P379="Taijiquan 16 F",Atletas!P379="Taijiquan 24 F",Atletas!P379="Taijiquan 32 F",Atletas!P379="Taijiquan 42 F"),436,0)))))))))))))))))))</f>
        <v/>
      </c>
      <c r="BY388" s="50" t="str">
        <f>IF(Atletas!Q379="","",IF(Atletas!X379&lt;&gt;"",10000,0)+IF(Atletas!B379="Feminino",1000,IF(Atletas!B379="Masculino",2000,""))+IF(Atletas!Q379="Xingyiquan A",501,IF(Atletas!Q379="Baguazhang A",502,IF(Atletas!Q379="Outro Estilo Interno A",503,IF(Atletas!Q379="Xingyiquan B",504,IF(Atletas!Q379="Baguazhang B",505,IF(Atletas!Q379="Outro Estilo Interno B",506,IF(Atletas!Q379="Xingyiquan C",507,IF(Atletas!Q379="Baguazhang C",508,IF(Atletas!Q379="Outro Estilo Interno C",509,IF(Atletas!Q379="Xingyiquan D",510,IF(Atletas!Q379="Baguazhang D",511,IF(Atletas!Q379="Outro Estilo Interno D",512,IF(Atletas!Q379="Xingyiquan E",513,IF(Atletas!Q379="Baguazhang E",514,IF(Atletas!Q379="Outro Estilo Interno E",515,IF(Atletas!Q379="Xingyiquan F",516,IF(Atletas!Q379="Baguazhang F",517,IF(Atletas!Q379="Outro Estilo Interno F",518, "")))))))))))))))))))</f>
        <v/>
      </c>
      <c r="BZ388" s="50" t="str">
        <f>IF(Atletas!R379="","",IF(Atletas!X379&lt;&gt;"",10000,0)+IF(Atletas!B379="Feminino",1000,IF(Atletas!B379="Masculino",2000,""))+IF(Atletas!R379="Dao A",601,IF(Atletas!R379="Jian A",602,IF(Atletas!R379="Bishou A",603,IF(Atletas!R379="Shanzi A",604,IF(Atletas!R379="Outra Arma Curta A",605,IF(Atletas!R379="Dao B",606,IF(Atletas!R379="Jian B",607,IF(Atletas!R379="Bishou B",608,IF(Atletas!R379="Shanzi B",609,IF(Atletas!R379="Outra Arma Curta B",610,IF(Atletas!R379="Dao C",611,IF(Atletas!R379="Jian C",612,IF(Atletas!R379="Bishou C",613,IF(Atletas!R379="Shanzi C",614,IF(Atletas!R379="Outra Arma Curta C",615,IF(Atletas!R379="Dao D",616,IF(Atletas!R379="Jian D",617,IF(Atletas!R379="Bishou D",618,IF(Atletas!R379="Shanzi D",619,IF(Atletas!R379="Outra Arma Curta D",620,IF(Atletas!R379="Dao E",621,IF(Atletas!R379="Jian E",622,IF(Atletas!R379="Bishou E",623,IF(Atletas!R379="Shanzi E",624,IF(Atletas!R379="Outra Arma Curta E",625,IF(Atletas!R379="Dao F",626,IF(Atletas!R379="Jian F",627,IF(Atletas!R379="Bishou F",628,IF(Atletas!R379="Shanzi F",629,IF(Atletas!R379="Outra Arma Curta F",630, "")))))))))))))))))))))))))))))))</f>
        <v/>
      </c>
      <c r="CA388" s="50" t="str">
        <f>IF(Atletas!S379="","",IF(Atletas!X379&lt;&gt;"",10000,0)+IF(Atletas!B379="Feminino",1000,IF(Atletas!B379="Masculino",2000,""))+IF(Atletas!S379="Gun A",701,IF(Atletas!S379="Qiang A",702,IF(Atletas!S379="Pudao / Guandao A",703,IF(Atletas!S379="Outra Arma Longa A",704,IF(Atletas!S379="Gun B",705,IF(Atletas!S379="Qiang B",706,IF(Atletas!S379="Pudao / Guandao B",707,IF(Atletas!S379="Outra Arma Longa B",708,IF(Atletas!S379="Gun C",709,IF(Atletas!S379="Qiang C",710,IF(Atletas!S379="Pudao / Guandao C",711,IF(Atletas!S379="Outra Arma Longa C",712,IF(Atletas!S379="Gun D",713,IF(Atletas!S379="Qiang D",714,IF(Atletas!S379="Pudao / Guandao D",715,IF(Atletas!S379="Outra Arma Longa D",716,IF(Atletas!S379="Gun E",717,IF(Atletas!S379="Qiang E",718,IF(Atletas!S379="Pudao / Guandao E",719,IF(Atletas!S379="Outra Arma Longa E",720,IF(Atletas!S379="Gun F",721,IF(Atletas!S379="Qiang F",722,IF(Atletas!S379="Pudao / Guandao F",723,IF(Atletas!S379="Outra Arma Longa F",724,"")))))))))))))))))))))))))</f>
        <v/>
      </c>
      <c r="CB388" s="50" t="str">
        <f>IF(Atletas!T379="","",IF(Atletas!X379&lt;&gt;"",10000,0)+IF(Atletas!B379="Feminino",1000,IF(Atletas!B379="Masculino",2000,""))+IF(Atletas!T379="Outra Arma Dupla A",801,IF(Atletas!T379="Arma Maleável A",802,IF(Atletas!T379="Outra Arma Dupla B",803,IF(Atletas!T379="Arma Maleável B",804,IF(Atletas!T379="Outra Arma Dupla C",805,IF(Atletas!T379="Arma Maleável C",806,IF(Atletas!T379="Outra Arma Dupla D",807,IF(Atletas!T379="Arma Maleável D",808,IF(Atletas!T379="Outra Arma Dupla E",809,IF(Atletas!T379="Arma Maleável E",810,IF(Atletas!T379="Outra Arma Dupla F",811,IF(Atletas!T379="Arma Maleável F",812,IF(Atletas!T379="Shuangdao A",813,IF(Atletas!T379="Shuangdao B",814,IF(Atletas!T379="Shuangdao C",815,IF(Atletas!T379="Shuangdao D",816,IF(Atletas!T379="Shuangdao E",817,IF(Atletas!T379="Shuangdao F",818,"")))))))))))))))))))</f>
        <v/>
      </c>
      <c r="CC388" s="50" t="str">
        <f>IF(Atletas!U379="","",IF(Atletas!X379&lt;&gt;"",10000,0)+IF(Atletas!B379="Feminino",1000,IF(Atletas!B379="Masculino",2000,""))+IF(OR(Atletas!U379="Taijijian Yang A",Atletas!U379="Taijijian Yang Standard A"),901,IF(OR(Atletas!U379="Taijijian Chen A", Atletas!U379="Taijijian Chen Standard A"),902,IF(Atletas!U379="Taijijian Sun A",903,IF(Atletas!U379="Taijijian Wu A",904,IF(Atletas!U379="Taijijian Wu-Hao A",905,IF(OR(Atletas!U379="Taijijian 32 A",Atletas!U379="Taijijian 42 A"),906,IF(OR(Atletas!U379="Taijijian Yang B",Atletas!U379="Taijijian Yang Standard B"),907,IF(OR(Atletas!U379="Taijijian Chen B", Atletas!U379="Taijijian Chen Standard B"),908,IF(Atletas!U379="Taijijian Sun B",909,IF(Atletas!U379="Taijijian Wu B",910,IF(Atletas!U379="Taijijian Wu-Hao B",911,IF(OR(Atletas!U379="Taijijian 32 B",Atletas!U379="Taijijian 42 B"),912,IF(OR(Atletas!U379="Taijijian Yang C",Atletas!U379="Taijijian Yang Standard C"),913,IF(OR(Atletas!U379="Taijijian Chen C", Atletas!U379="Taijijian Chen Standard C"),914,IF(Atletas!U379="Taijijian Sun C",915,IF(Atletas!U379="Taijijian Wu C",916,IF(Atletas!U379="Taijijian Wu-Hao C",917,IF(OR(Atletas!U379="Taijijian 32 C",Atletas!U379="Taijijian 42 C"),918,IF(OR(Atletas!U379="Taijijian Yang D",Atletas!U379="Taijijian Yang Standard D"),919,IF(OR(Atletas!U379="Taijijian Chen D", Atletas!U379="Taijijian Chen Standard D"),920,IF(Atletas!U379="Taijijian Sun D",921,IF(Atletas!U379="Taijijian Wu D",922,IF(Atletas!U379="Taijijian Wu-Hao D",923,IF(OR(Atletas!U379="Taijijian 32 D",Atletas!U379="Taijijian 42 D"),924,IF(OR(Atletas!U379="Taijijian Yang E",Atletas!U379="Taijijian Yang Standard E"),925,IF(OR(Atletas!U379="Taijijian Chen E", Atletas!U379="Taijijian Chen Standard E"),926,IF(Atletas!U379="Taijijian Sun E",927,IF(Atletas!U379="Taijijian Wu E",928,IF(Atletas!U379="Taijijian Wu-Hao E",929,IF(OR(Atletas!U379="Taijijian 32 E",Atletas!U379="Taijijian 42 E"),930,IF(OR(Atletas!U379="Taijijian Yang F",Atletas!U379="Taijijian Yang Standard F"),931,IF(OR(Atletas!U379="Taijijian Chen F", Atletas!U379="Taijijian Chen Standard F"),932,IF(Atletas!U379="Taijijian Sun F",933,IF(Atletas!U379="Taijijian Wu F",934,IF(Atletas!U379="Taijijian Wu-Hao F",935,IF(OR(Atletas!U379="Taijijian 32 F",Atletas!U379="Taijijian 42 F"),936,"")))))))))))))))))))))))))))))))))))))</f>
        <v/>
      </c>
      <c r="CD388" s="50" t="str">
        <f>IF(Atletas!V379="","",IF(Atletas!X379&lt;&gt;"",10000,0)+IF(Atletas!B379="Feminino",1000,IF(Atletas!B379="Masculino",2000,""))+IF(Atletas!V379="Taijidao A",937,IF(Atletas!V379="TaijiShanzi A",938,IF(Atletas!V379="Taijiqiang A",939,IF(Atletas!V379="Bagua de Arma A",940,IF(Atletas!V379="Xingyi de Arma A",941,IF(Atletas!V379="Taijidao B",942,IF(Atletas!V379="TaijiShanzi B",943,IF(Atletas!V379="Taijiqiang B",944,IF(Atletas!V379="Bagua de Arma B",945,IF(Atletas!V379="Xingyi de Arma B",946,IF(Atletas!V379="Taijidao C",947,IF(Atletas!V379="TaijiShanzi C",948,IF(Atletas!V379="Taijiqiang C",949,IF(Atletas!V379="Bagua de Arma C",950,IF(Atletas!V379="Xingyi de Arma C",951,IF(Atletas!V379="Taijidao D",952,IF(Atletas!V379="TaijiShanzi D",953,IF(Atletas!V379="Taijiqiang D",954,IF(Atletas!V379="Bagua de Arma D",955,IF(Atletas!V379="Xingyi de Arma D",956,IF(Atletas!V379="Taijidao E",957,IF(Atletas!V379="TaijiShanzi E",958,IF(Atletas!V379="Taijiqiang E",959,IF(Atletas!V379="Bagua de Arma E",960,IF(Atletas!V379="Xingyi de Arma E",961,IF(Atletas!V379="Taijidao F",962,IF(Atletas!V379="TaijiShanzi F",963,IF(Atletas!V379="Taijiqiang F",964,IF(Atletas!V379="Bagua de Arma F",965,IF(Atletas!V379="Xingyi de Arma F",966,"")))))))))))))))))))))))))))))))</f>
        <v/>
      </c>
      <c r="CJ388" s="66"/>
      <c r="CL388" s="66"/>
      <c r="CM388" s="50" t="str">
        <f xml:space="preserve"> IF(Atletas!W379="","",IF(Atletas!W379="Duilian de Mãos BC - Equipe 1",1,IF(Atletas!W379="Duilian de Mãos BC - Equipe 2",2,IF(Atletas!W379="Duilian de Armas BC - Equipe 1",3,IF(Atletas!W379="Duilian de Armas BC - Equipe 2",4,IF(Atletas!W379="Duilian de Mãos DE - Equipe 1",5,IF(Atletas!W379="Duilian de Mãos DE - Equipe 2",6,IF(Atletas!W379="Duilian de Armas DE - Equipe 1",7,IF(Atletas!W379="Duilian de Armas DE - Equipe 2",8,IF(Atletas!W379="Duilian de Tuishou - Equipe 1",9,IF(Atletas!W379="Duilian de Tuishou - Equipe 2",10,IF(Atletas!W379="Grupo Externo ABC - Equipe 1",11,IF(Atletas!W379="Grupo Externo ABC - Equipe 2",12,IF(Atletas!W379="Grupo Interno ABC - Equipe 1",13,IF(Atletas!W379="Grupo Interno ABC - Equipe 2",14,IF(Atletas!W379="Grupo Externo DEF - Equipe 1",15,IF(Atletas!W379="Grupo Externo DEF - Equipe 2",16,IF(Atletas!W379="Grupo Interno DEF - Equipe 1",17,IF(Atletas!W379="Grupo Interno DEF - Equipe 2",18,"")))))))))))))))))))</f>
        <v/>
      </c>
    </row>
    <row r="389" spans="40:91">
      <c r="AN389" s="52" t="str">
        <f>IF(Atletas!D380="","",IF(Atletas!B380="Feminino",100,IF(Atletas!B380="Masculino",200,""))+(IF(Atletas!D380="Kids 30kg",1,IF(Atletas!D380="Kids 32kg",2, IF(Atletas!D380="Kids 34kg",3,IF(Atletas!D380="Kids 36kg",4,IF(Atletas!D380="Kids 39kg",5,IF(Atletas!D380="Kids 42kg",6,IF(Atletas!D380="Kids 45kg",7, IF(Atletas!D380="Infantil 39kg",8,IF(Atletas!D380="Infantil 42kg",9,IF(Atletas!D380="Infantil 45kg",10,IF(Atletas!D380="Infantil 48kg",11,IF(Atletas!D380="Infantil 52kg",12,IF(Atletas!D380="Infantil 56kg",13,IF(Atletas!D380="Infantil 60kg",14,IF(Atletas!D380="Juvenil 48kg",15,IF(Atletas!D380="Juvenil 52kg",16,IF(Atletas!D380="Juvenil 56kg",17,IF(Atletas!D380="Juvenil 60kg",18,IF(Atletas!D380="Juvenil 65kg",19,IF(Atletas!D380="Juvenil 70kg",20,IF(Atletas!D380="Juvenil 75kg",21,IF(Atletas!D380="Juvenil 80kg",22, IF(Atletas!D380="Juvenil 85kg",23,IF(Atletas!D380="Adulto 48kg",24,IF(Atletas!D380="Adulto 52kg",25,IF(Atletas!D380="Adulto 56kg",26,IF(Atletas!D380="Adulto 60kg",27,IF(Atletas!D380="Adulto 65kg",28,IF(Atletas!D380="Adulto 70kg",29,IF(Atletas!D380="Adulto 75kg",30,IF(Atletas!D380="Adulto 80kg",31,IF(Atletas!D380="Adulto 85kg",32,IF(Atletas!D380="Adulto 90kg",33,IF(Atletas!D380="Adulto 100kg",34, IF(Atletas!D380="Adulto +100kg",35,"")))))))))))))))))))))))))))))))))))))</f>
        <v/>
      </c>
      <c r="AS389" s="6" t="str">
        <f>IF(Atletas!E380="","",IF(Atletas!B380="Feminino",100,IF(Atletas!B380="Masculino",200,""))+(IF(Atletas!E380="Juvenil 44kg",1,IF(Atletas!E380="Juvenil 48kg",2,IF(Atletas!E380="Juvenil 52kg",3,IF(Atletas!E380="Juvenil 56kg",4,IF(Atletas!E380="Juvenil 60kg",5,IF(Atletas!E380="Juvenil 65kg",6,IF(Atletas!E380="Juvenil 70kg",7,IF(Atletas!E380="Juvenil 75kg",8,IF(Atletas!E380="Juvenil 82kg",9,IF(Atletas!E380="Juvenil 90kg",10,IF(Atletas!E380="Juvenil 100kg",11,IF(Atletas!E380="Adulto 48kg",12,IF(Atletas!E380="Adulto 52kg",13,IF(Atletas!E380="Adulto 56kg",14,IF(Atletas!E380="Adulto 60kg",15,IF(Atletas!E380="Adulto 65kg",16,IF(Atletas!E380="Adulto 70kg",17,IF(Atletas!E380="Adulto 75kg",18,IF(Atletas!E380="Adulto 82kg",19,IF(Atletas!E380="Adulto 90kg",20,IF(Atletas!E380="Adulto 100kg",21,IF(Atletas!E380="Adulto +100kg",22,""))))))))))))))))))))))))</f>
        <v/>
      </c>
      <c r="AX389" s="6" t="str">
        <f>IF(Atletas!F380="","",IF(Atletas!B380="Feminino",100,IF(Atletas!B380="Masculino",200,""))+(IF(Atletas!F380="Adulto 48kg",1,IF(Atletas!F380="Adulto 56kg",2,IF(Atletas!F380="Adulto 65kg",3,IF(Atletas!F380="Adulto 75kg",4,IF(Atletas!F380="Adulto +75kg",5,IF(Atletas!F380="Adulto 52kg",6,IF(Atletas!F380="Adulto 60kg",7,IF(Atletas!F380="Adulto 70kg",8,IF(Atletas!F380="Adulto 80kg",9,IF(Atletas!F380="Adulto 90kg",10,IF(Atletas!F380="Adulto +90kg",11,"")))))))))))))</f>
        <v/>
      </c>
      <c r="BC389" s="6" t="str">
        <f>IF(Atletas!G380="","",IF(Atletas!B380="Feminino",10,IF(Atletas!B380="Masculino",20,""))+(IF(Atletas!G380="Baduanjin A",1,IF(Atletas!G380="Baduanjin B",2))))</f>
        <v/>
      </c>
      <c r="BF389" s="52" t="str">
        <f>IF(Atletas!H380="","",IF(Atletas!B380="Feminino",100,IF(Atletas!B380="Masculino",200,""))+(IF(Atletas!H380="Changquan Mirim",1,IF(Atletas!H380="Nanquan Mirim",2,IF(Atletas!H380="Taijiquan Mirim",3,IF(Atletas!H380="Changquan Grupo C",4,IF(Atletas!H380="Nanquan Grupo C",5,IF(Atletas!H380="Taijiquan Grupo C",6,IF(Atletas!H380="Changquan Grupo B",7,IF(Atletas!H380="Nanquan Grupo B",8,IF(Atletas!H380="Taijiquan Grupo B",9,IF(Atletas!H380="Changquan Grupo A",10,IF(Atletas!H380="Nanquan Grupo A",11,IF(Atletas!H380="Taijiquan Grupo A",12,IF(Atletas!H380="Changquan Opcional",13,IF(Atletas!H380="Nanquan Opcional",14,IF(Atletas!H380="Taijiquan Opcional",15,IF(Atletas!H380="Changquan Adulto",16,IF(Atletas!H380="Nanquan Adulto",17,IF(Atletas!H380="Taijiquan Adulto",18,""))))))))))))))))))))</f>
        <v/>
      </c>
      <c r="BG389" s="52" t="str">
        <f>IF(Atletas!I380="","",IF(Atletas!B380="Feminino",100,IF(Atletas!B380="Masculino",200,""))+(IF(Atletas!I380="Daoshu Mirim",19,IF(Atletas!I380="Jianshu Mirim",20,IF(Atletas!I380="Nandao Mirim",21,IF(Atletas!I380="Taijijian Mirim",22,IF(Atletas!I380="Daoshu Grupo C",23,IF(Atletas!I380="Jianshu Grupo C",24,IF(Atletas!I380="Nandao Grupo C",25,IF(Atletas!I380="Taijijian Grupo C",26,IF(Atletas!I380="Daoshu Grupo B",27,IF(Atletas!I380="Jianshu Grupo B",28,IF(Atletas!I380="Nandao Grupo B",29,IF(Atletas!I380="Taijijian Grupo B",30,IF(Atletas!I380="Daoshu Grupo A",31,IF(Atletas!I380="Jianshu Grupo A",32,IF(Atletas!I380="Nandao Grupo A",33,IF(Atletas!I380="Taijijian Grupo A",34,IF(Atletas!I380="Daoshu Opcional",35,IF(Atletas!I380="Jianshu Opcional",36,IF(Atletas!I380="Nandao Opcional",37,IF(Atletas!I380="Taijijian Opcional",38,IF(Atletas!I380="Daoshu Adulto",39,IF(Atletas!I380="Jianshu Adulto",40,IF(Atletas!I380="Nandao Adulto",41,IF(Atletas!I380="Taijijian Adulto",42,""))))))))))))))))))))))))))</f>
        <v/>
      </c>
      <c r="BH389" s="52" t="str">
        <f>IF(Atletas!J380="","",IF(Atletas!B380="Feminino",100,IF(Atletas!B380="Masculino",200,""))+(IF(Atletas!J380="Gunshu Mirim",43,IF(Atletas!J380="Qiangshu Mirim",44,IF(Atletas!J380="Nangun Mirim",45,IF(Atletas!J380="Gunshu Grupo C",46,IF(Atletas!J380="Qiangshu Grupo C",47,IF(Atletas!J380="Nangun Grupo C",48,IF(Atletas!J380="Gunshu Grupo B",49,IF(Atletas!J380="Qiangshu Grupo B",50,IF(Atletas!J380="Nangun Grupo B",51,IF(Atletas!J380="Gunshu Grupo A",52,IF(Atletas!J380="Qiangshu Grupo A",53,IF(Atletas!J380="Nangun Grupo A",54,IF(Atletas!J380="Gunshu Opcional",55,IF(Atletas!J380="Qiangshu Opcional",56,IF(Atletas!J380="Nangun Opcional",57,IF(Atletas!J380="Gunshu Adulto",58,IF(Atletas!J380="Qiangshu Adulto",59,IF(Atletas!J380="Nangun Adulto",60,IF(Atletas!J380="Taijishan Grupo B",61,IF(Atletas!J380="Taijishan Grupo A",62,""))))))))))))))))))))))</f>
        <v/>
      </c>
      <c r="BM389" s="50" t="str">
        <f>IF(Atletas!K380="","",IF(Atletas!B380="Feminino",100,IF(Atletas!B380="Masculino",200,""))+(IF(Atletas!K380="Equipe 1 Grupo B",1,IF(Atletas!K380="Equipe 2 Grupo B",2,IF(Atletas!K380="Equipe 1 Grupo A",3,IF(Atletas!K380="Equipe 2 Grupo A",4,IF(Atletas!K380="Equipe 1 Adulto",5,IF(Atletas!K380="Equipe 2 Adulto",6,""))))))))</f>
        <v/>
      </c>
      <c r="BR389" s="50" t="str">
        <f>IF(Atletas!L380="","",IF(Atletas!X380&lt;&gt;"",10000,0)+(IF(Atletas!B380="Feminino",1000,IF(Atletas!B380="Masculino",2000,""))+IF(Atletas!L380="Choylayfut A",1,IF(Atletas!L380="Hunggar A",2,IF(Atletas!L380="Wuzuquan A",3,IF(Atletas!L380="Wingchun A",4,IF(Atletas!L380="Outra Mão de Sul A",5,IF(Atletas!L380="Choylayfut B",6,IF(Atletas!L380="Hunggar B",7,IF(Atletas!L380="Wuzuquan B",8,IF(Atletas!L380="Wingchun B",9,IF(Atletas!L380="Outra Mão de Sul B",10,IF(Atletas!L380="Choylayfut C",11,IF(Atletas!L380="Hunggar C",12,IF(Atletas!L380="Wuzuquan C",13,IF(Atletas!L380="Wingchun C",14,IF(Atletas!L380="Outra Mão de Sul C",15,IF(Atletas!L380="Choylayfut D",16,IF(Atletas!L380="Hunggar D",17,IF(Atletas!L380="Wuzuquan D",18,IF(Atletas!L380="Wingchun D",19,IF(Atletas!L380="Outra Mão de Sul D",20,IF(Atletas!L380="Choylayfut E",21,IF(Atletas!L380="Hunggar E",22,IF(Atletas!L380="Wuzuquan E",23,IF(Atletas!L380="Wingchun E",24,IF(Atletas!L380="Outra Mão de Sul E",25,IF(Atletas!L380="Choylayfut F",26,IF(Atletas!L380="Hunggar F",27,IF(Atletas!L380="Wuzuquan F",28,IF(Atletas!L380="Wingchun F",29,IF(Atletas!L380="Outra Mão de Sul F",30,IF(Atletas!L380="Dishuquan A",31,IF(Atletas!L380="Dishuquan B",32,IF(Atletas!L380="Dishuquan C",33,IF(Atletas!L380="Dishuquan D",34,IF(Atletas!L380="Dishuquan E",35,IF(Atletas!L380="Dishuquan F",36,""))))))))))))))))))))))))))))))))))))))</f>
        <v/>
      </c>
      <c r="BS389" s="50" t="str">
        <f>IF(Atletas!M380="","",IF(Atletas!X380&lt;&gt;"",10000,0)+(IF(Atletas!B380="Feminino",1000,IF(Atletas!B380="Masculino",2000,""))+(IF(Atletas!M380="Chaquan A",101,IF(Atletas!M380="Emeiquan A",102,IF(Atletas!M380="Fanziquan A",103,IF(Atletas!M380="Huaquan A",104,IF(Atletas!M380="Hongquan A",105,IF(Atletas!M380="Paoquan A",106,IF(Atletas!M380="Piguaquan A",107,IF(Atletas!M380="Shaolinquan A",108,IF(Atletas!M380="Tanglangquan A",109,IF(Atletas!M380="Yingzhaoquan A",110,IF(Atletas!M380="Tongbeiquan A",111,IF(Atletas!M380="Wudangquan A",112,IF(Atletas!M380="Outros Estilos A",113,IF(Atletas!M380="Chaquan B",114,IF(Atletas!M380="Emeiquan B",115,IF(Atletas!M380="Fanziquan B",116,IF(Atletas!M380="Huaquan B",117,IF(Atletas!M380="Hongquan B",118,IF(Atletas!M380="Paoquan B",119,IF(Atletas!M380="Piguaquan B",120,IF(Atletas!M380="Shaolinquan B",121,IF(Atletas!M380="Tanglangquan B",122,IF(Atletas!M380="Yingzhaoquan B",123,IF(Atletas!M380="Tongbeiquan B",124,IF(Atletas!M380="Wudangquan B",125,IF(Atletas!M380="Outros Estilos B",126,IF(Atletas!M380="Chaquan C",127,IF(Atletas!M380="Emeiquan C",128,IF(Atletas!M380="Fanziquan C",129,IF(Atletas!M380="Huaquan C",130,IF(Atletas!M380="Hongquan C",131,IF(Atletas!M380="Paoquan C",132,IF(Atletas!M380="Piguaquan C",133,IF(Atletas!M380="Shaolinquan C",134,IF(Atletas!M380="Tanglangquan C",135,IF(Atletas!M380="Yingzhaoquan C",136,IF(Atletas!M380="Tongbeiquan C",137,IF(Atletas!M380="Wudangquan C",138,IF(Atletas!M380="Outros Estilos C",139,0))))))))))))))))))))))))))))))))))))))))))</f>
        <v/>
      </c>
      <c r="BT389" s="50" t="str">
        <f>IF(Atletas!M380="","",IF(Atletas!X380&lt;&gt;"",10000,0)+(IF(Atletas!B380="Feminino",1000,IF(Atletas!B380="Masculino",2000,""))+(IF(Atletas!M380="Chaquan D",140,IF(Atletas!M380="Emeiquan D",141,IF(Atletas!M380="Fanziquan D",142,IF(Atletas!M380="Huaquan D",143,IF(Atletas!M380="Hongquan D",144,IF(Atletas!M380="Paoquan D",145,IF(Atletas!M380="Piguaquan D",146,IF(Atletas!M380="Shaolinquan D",147,IF(Atletas!M380="Tanglangquan D",148,IF(Atletas!M380="Yingzhaoquan D",149,IF(Atletas!M380="Tongbeiquan D",150,IF(Atletas!M380="Wudangquan D",151,IF(Atletas!M380="Outros Estilos D",152,IF(Atletas!M380="Chaquan E",153,IF(Atletas!M380="Emeiquan E",154,IF(Atletas!M380="Fanziquan E",155,IF(Atletas!M380="Huaquan E",156,IF(Atletas!M380="Hongquan E",157,IF(Atletas!M380="Paoquan E",158,IF(Atletas!M380="Piguaquan E",159,IF(Atletas!M380="Shaolinquan E",160,IF(Atletas!M380="Tanglangquan E",161,IF(Atletas!M380="Yingzhaoquan E",162,IF(Atletas!M380="Tongbeiquan E",163,IF(Atletas!M380="Wudangquan E",164,IF(Atletas!M380="Outros Estilos E",165,IF(Atletas!M380="Chaquan F",166,IF(Atletas!M380="Emeiquan F",167,IF(Atletas!M380="Fanziquan F",168,IF(Atletas!M380="Huaquan F",169,IF(Atletas!M380="Hongquan F",170,IF(Atletas!M380="Paoquan F",171,IF(Atletas!M380="Piguaquan F",172,IF(Atletas!M380="Shaolinquan F",173,IF(Atletas!M380="Tanglangquan F",174,IF(Atletas!M380="Yingzhaoquan F",175,IF(Atletas!M380="Tongbeiquan F",176,IF(Atletas!M380="Wudangquan F",177,IF(Atletas!M380="Outros Estilos F",178,0))))))))))))))))))))))))))))))))))))))))))</f>
        <v/>
      </c>
      <c r="BU389" s="50" t="str">
        <f>IF(Atletas!N380="","",IF(Atletas!X380&lt;&gt;"",10000,0)+(IF(Atletas!B380="Feminino",1000,IF(Atletas!B380="Masculino",2000,""))+(IF(Atletas!N380="Ditangquan A",201,IF(Atletas!N380="Houquan A",202,IF(Atletas!N380="Zuiquan A",203,IF(Atletas!N380="Ditangquan B",204,IF(Atletas!N380="Houquan B",205,IF(Atletas!N380="Zuiquan B",206,IF(Atletas!N380="Ditangquan C",207,IF(Atletas!N380="Houquan C",208,IF(Atletas!N380="Zuiquan C",209,IF(Atletas!N380="Ditangquan D",210,IF(Atletas!N380="Houquan D",211,IF(Atletas!N380="Zuiquan D",212,IF(Atletas!N380="Ditangquan E",213,IF(Atletas!N380="Houquan E",214,IF(Atletas!N380="Zuiquan E",215,IF(Atletas!N380="Ditangquan F",216,IF(Atletas!N380="Houquan F",217,IF(Atletas!N380="Zuiquan F",218,"")))))))))))))))))))))</f>
        <v/>
      </c>
      <c r="BV389" s="50" t="str">
        <f>IF(Atletas!O380="","",IF(Atletas!X380&lt;&gt;"",10000,0)+IF(Atletas!B380="Feminino",1000,IF(Atletas!B380="Masculino",2000,""))+IF(Atletas!O380="Yang A",301,IF(Atletas!O380="Chen A",302,IF(Atletas!O380="Sun A",303,IF(Atletas!O380="Wu A",304,IF(Atletas!O380="Wu-Hao A",305,IF(Atletas!O380="Outro Taijiquan A",306,IF(Atletas!O380="Yang B",307,IF(Atletas!O380="Chen B",308,IF(Atletas!O380="Sun B",309,IF(Atletas!O380="Wu B",310,IF(Atletas!O380="Wu-Hao B",311,IF(Atletas!O380="Outro Taijiquan B",312,IF(Atletas!O380="Yang C",313,IF(Atletas!O380="Chen C",314,IF(Atletas!O380="Sun C",315,IF(Atletas!O380="Wu C",316,IF(Atletas!O380="Wu-Hao C",317,IF(Atletas!O380="Outro Taijiquan C",318,IF(Atletas!O380="Yang D",319,IF(Atletas!O380="Chen D",320,IF(Atletas!O380="Sun D",321,IF(Atletas!O380="Wu D",322,IF(Atletas!O380="Wu-Hao D",323,IF(Atletas!O380="Outro Taijiquan D",324,IF(Atletas!O380="Yang E",325,IF(Atletas!O380="Chen E",326,IF(Atletas!O380="Sun E",327,IF(Atletas!O380="Wu E",328,IF(Atletas!O380="Wu-Hao E",329,IF(Atletas!O380="Outro Taijiquan E",330,IF(Atletas!O380="Yang F",331,IF(Atletas!O380="Chen F",332,IF(Atletas!O380="Sun F",333,IF(Atletas!O380="Wu F",334,IF(Atletas!O380="Wu-Hao F",335,IF(Atletas!O380="Outro Taijiquan F",336,"")))))))))))))))))))))))))))))))))))))</f>
        <v/>
      </c>
      <c r="BW389" s="50" t="str">
        <f>IF(Atletas!P380="","",IF(Atletas!X380&lt;&gt;"",10000,0)+IF(Atletas!B380="Feminino",1000,IF(Atletas!B380="Masculino",2000,""))+IF(OR(Atletas!P380="Yang 26 A",Atletas!P380="Yang 40 A"),401,IF(OR(Atletas!P380="Chen 25 A",Atletas!P380="Chen 36 A",Atletas!P380="Chen 56 A"),402,IF(Atletas!P380="Sun 73 A",403,IF(Atletas!P380="Wu 45 A",404,IF(Atletas!P380="Wu-Hao 46 A",405,IF(OR(Atletas!P380="Taijiquan 16 A",Atletas!P380="Taijiquan 24 A",Atletas!P380="Taijiquan 32 A",Atletas!P380="Taijiquan 42 A"),406,IF(OR(Atletas!P380="Yang 26 B",Atletas!P380="Yang 40 B"),407,IF(OR(Atletas!P380="Chen 25 B",Atletas!P380="Chen 36 B",Atletas!P380="Chen 56 B"),408,IF(Atletas!P380="Sun 73 B",409,IF(Atletas!P380="Wu 45 B",410,IF(Atletas!P380="Wu-Hao 46 B",411,IF(OR(Atletas!P380="Taijiquan 16 B",Atletas!P380="Taijiquan 24 B",Atletas!P380="Taijiquan 32 B",Atletas!P380="Taijiquan 42 B"),412,IF(OR(Atletas!P380="Yang 26 C",Atletas!P380="Yang 40 C"),413,IF(OR(Atletas!P380="Chen 25 C",Atletas!P380="Chen 36 C",Atletas!P380="Chen 56 C"),414,IF(Atletas!P380="Sun 73 C",415,IF(Atletas!P380="Wu 45 C",416,IF(Atletas!P380="Wu-Hao 46 C",417,IF(OR(Atletas!P380="Taijiquan 16 C",Atletas!P380="Taijiquan 24 C",Atletas!P380="Taijiquan 32 C",Atletas!P380="Taijiquan 42 C"),418,0)))))))))))))))))))</f>
        <v/>
      </c>
      <c r="BX389" s="50" t="str">
        <f>IF(Atletas!P380="","",IF(Atletas!X380&lt;&gt;"",10000,0)+IF(Atletas!B380="Feminino",1000,IF(Atletas!B380="Masculino",2000,""))+IF(OR(Atletas!P380="Yang 26 D",Atletas!P380="Yang 40 D"),419,IF(OR(Atletas!P380="Chen 25 D",Atletas!P380="Chen 36 D",Atletas!P380="Chen 56 D"),420,IF(Atletas!P380="Sun 73 D",421,IF(Atletas!P380="Wu 45 D",422,IF(Atletas!P380="Wu-Hao 46 D",423,IF(OR(Atletas!P380="Taijiquan 16 D",Atletas!P380="Taijiquan 24 D",Atletas!P380="Taijiquan 32 D",Atletas!P380="Taijiquan 42 D"),424,IF(OR(Atletas!P380="Yang 26 E",Atletas!P380="Yang 40 E"),425,IF(OR(Atletas!P380="Chen 25 E",Atletas!P380="Chen 36 E",Atletas!P380="Chen 56 E"),426,IF(Atletas!P380="Sun 73 E",427,IF(Atletas!P380="Wu 45 E",428,IF(Atletas!P380="Wu-Hao 46 E",429,IF(OR(Atletas!P380="Taijiquan 16 E",Atletas!P380="Taijiquan 24 E",Atletas!P380="Taijiquan 32 E",Atletas!P380="Taijiquan 42 E"),430,IF(OR(Atletas!P380="Yang 26 F",Atletas!P380="Yang 40 F"),431,IF(OR(Atletas!P380="Chen 25 F",Atletas!P380="Chen 36 F",Atletas!P380="Chen 56 F"),432,IF(Atletas!P380="Sun 73 F",433,IF(Atletas!P380="Wu 45 F",434,IF(Atletas!P380="Wu-Hao 46 F",435,IF(OR(Atletas!P380="Taijiquan 16 F",Atletas!P380="Taijiquan 24 F",Atletas!P380="Taijiquan 32 F",Atletas!P380="Taijiquan 42 F"),436,0)))))))))))))))))))</f>
        <v/>
      </c>
      <c r="BY389" s="50" t="str">
        <f>IF(Atletas!Q380="","",IF(Atletas!X380&lt;&gt;"",10000,0)+IF(Atletas!B380="Feminino",1000,IF(Atletas!B380="Masculino",2000,""))+IF(Atletas!Q380="Xingyiquan A",501,IF(Atletas!Q380="Baguazhang A",502,IF(Atletas!Q380="Outro Estilo Interno A",503,IF(Atletas!Q380="Xingyiquan B",504,IF(Atletas!Q380="Baguazhang B",505,IF(Atletas!Q380="Outro Estilo Interno B",506,IF(Atletas!Q380="Xingyiquan C",507,IF(Atletas!Q380="Baguazhang C",508,IF(Atletas!Q380="Outro Estilo Interno C",509,IF(Atletas!Q380="Xingyiquan D",510,IF(Atletas!Q380="Baguazhang D",511,IF(Atletas!Q380="Outro Estilo Interno D",512,IF(Atletas!Q380="Xingyiquan E",513,IF(Atletas!Q380="Baguazhang E",514,IF(Atletas!Q380="Outro Estilo Interno E",515,IF(Atletas!Q380="Xingyiquan F",516,IF(Atletas!Q380="Baguazhang F",517,IF(Atletas!Q380="Outro Estilo Interno F",518, "")))))))))))))))))))</f>
        <v/>
      </c>
      <c r="BZ389" s="50" t="str">
        <f>IF(Atletas!R380="","",IF(Atletas!X380&lt;&gt;"",10000,0)+IF(Atletas!B380="Feminino",1000,IF(Atletas!B380="Masculino",2000,""))+IF(Atletas!R380="Dao A",601,IF(Atletas!R380="Jian A",602,IF(Atletas!R380="Bishou A",603,IF(Atletas!R380="Shanzi A",604,IF(Atletas!R380="Outra Arma Curta A",605,IF(Atletas!R380="Dao B",606,IF(Atletas!R380="Jian B",607,IF(Atletas!R380="Bishou B",608,IF(Atletas!R380="Shanzi B",609,IF(Atletas!R380="Outra Arma Curta B",610,IF(Atletas!R380="Dao C",611,IF(Atletas!R380="Jian C",612,IF(Atletas!R380="Bishou C",613,IF(Atletas!R380="Shanzi C",614,IF(Atletas!R380="Outra Arma Curta C",615,IF(Atletas!R380="Dao D",616,IF(Atletas!R380="Jian D",617,IF(Atletas!R380="Bishou D",618,IF(Atletas!R380="Shanzi D",619,IF(Atletas!R380="Outra Arma Curta D",620,IF(Atletas!R380="Dao E",621,IF(Atletas!R380="Jian E",622,IF(Atletas!R380="Bishou E",623,IF(Atletas!R380="Shanzi E",624,IF(Atletas!R380="Outra Arma Curta E",625,IF(Atletas!R380="Dao F",626,IF(Atletas!R380="Jian F",627,IF(Atletas!R380="Bishou F",628,IF(Atletas!R380="Shanzi F",629,IF(Atletas!R380="Outra Arma Curta F",630, "")))))))))))))))))))))))))))))))</f>
        <v/>
      </c>
      <c r="CA389" s="50" t="str">
        <f>IF(Atletas!S380="","",IF(Atletas!X380&lt;&gt;"",10000,0)+IF(Atletas!B380="Feminino",1000,IF(Atletas!B380="Masculino",2000,""))+IF(Atletas!S380="Gun A",701,IF(Atletas!S380="Qiang A",702,IF(Atletas!S380="Pudao / Guandao A",703,IF(Atletas!S380="Outra Arma Longa A",704,IF(Atletas!S380="Gun B",705,IF(Atletas!S380="Qiang B",706,IF(Atletas!S380="Pudao / Guandao B",707,IF(Atletas!S380="Outra Arma Longa B",708,IF(Atletas!S380="Gun C",709,IF(Atletas!S380="Qiang C",710,IF(Atletas!S380="Pudao / Guandao C",711,IF(Atletas!S380="Outra Arma Longa C",712,IF(Atletas!S380="Gun D",713,IF(Atletas!S380="Qiang D",714,IF(Atletas!S380="Pudao / Guandao D",715,IF(Atletas!S380="Outra Arma Longa D",716,IF(Atletas!S380="Gun E",717,IF(Atletas!S380="Qiang E",718,IF(Atletas!S380="Pudao / Guandao E",719,IF(Atletas!S380="Outra Arma Longa E",720,IF(Atletas!S380="Gun F",721,IF(Atletas!S380="Qiang F",722,IF(Atletas!S380="Pudao / Guandao F",723,IF(Atletas!S380="Outra Arma Longa F",724,"")))))))))))))))))))))))))</f>
        <v/>
      </c>
      <c r="CB389" s="50" t="str">
        <f>IF(Atletas!T380="","",IF(Atletas!X380&lt;&gt;"",10000,0)+IF(Atletas!B380="Feminino",1000,IF(Atletas!B380="Masculino",2000,""))+IF(Atletas!T380="Outra Arma Dupla A",801,IF(Atletas!T380="Arma Maleável A",802,IF(Atletas!T380="Outra Arma Dupla B",803,IF(Atletas!T380="Arma Maleável B",804,IF(Atletas!T380="Outra Arma Dupla C",805,IF(Atletas!T380="Arma Maleável C",806,IF(Atletas!T380="Outra Arma Dupla D",807,IF(Atletas!T380="Arma Maleável D",808,IF(Atletas!T380="Outra Arma Dupla E",809,IF(Atletas!T380="Arma Maleável E",810,IF(Atletas!T380="Outra Arma Dupla F",811,IF(Atletas!T380="Arma Maleável F",812,IF(Atletas!T380="Shuangdao A",813,IF(Atletas!T380="Shuangdao B",814,IF(Atletas!T380="Shuangdao C",815,IF(Atletas!T380="Shuangdao D",816,IF(Atletas!T380="Shuangdao E",817,IF(Atletas!T380="Shuangdao F",818,"")))))))))))))))))))</f>
        <v/>
      </c>
      <c r="CC389" s="50" t="str">
        <f>IF(Atletas!U380="","",IF(Atletas!X380&lt;&gt;"",10000,0)+IF(Atletas!B380="Feminino",1000,IF(Atletas!B380="Masculino",2000,""))+IF(OR(Atletas!U380="Taijijian Yang A",Atletas!U380="Taijijian Yang Standard A"),901,IF(OR(Atletas!U380="Taijijian Chen A", Atletas!U380="Taijijian Chen Standard A"),902,IF(Atletas!U380="Taijijian Sun A",903,IF(Atletas!U380="Taijijian Wu A",904,IF(Atletas!U380="Taijijian Wu-Hao A",905,IF(OR(Atletas!U380="Taijijian 32 A",Atletas!U380="Taijijian 42 A"),906,IF(OR(Atletas!U380="Taijijian Yang B",Atletas!U380="Taijijian Yang Standard B"),907,IF(OR(Atletas!U380="Taijijian Chen B", Atletas!U380="Taijijian Chen Standard B"),908,IF(Atletas!U380="Taijijian Sun B",909,IF(Atletas!U380="Taijijian Wu B",910,IF(Atletas!U380="Taijijian Wu-Hao B",911,IF(OR(Atletas!U380="Taijijian 32 B",Atletas!U380="Taijijian 42 B"),912,IF(OR(Atletas!U380="Taijijian Yang C",Atletas!U380="Taijijian Yang Standard C"),913,IF(OR(Atletas!U380="Taijijian Chen C", Atletas!U380="Taijijian Chen Standard C"),914,IF(Atletas!U380="Taijijian Sun C",915,IF(Atletas!U380="Taijijian Wu C",916,IF(Atletas!U380="Taijijian Wu-Hao C",917,IF(OR(Atletas!U380="Taijijian 32 C",Atletas!U380="Taijijian 42 C"),918,IF(OR(Atletas!U380="Taijijian Yang D",Atletas!U380="Taijijian Yang Standard D"),919,IF(OR(Atletas!U380="Taijijian Chen D", Atletas!U380="Taijijian Chen Standard D"),920,IF(Atletas!U380="Taijijian Sun D",921,IF(Atletas!U380="Taijijian Wu D",922,IF(Atletas!U380="Taijijian Wu-Hao D",923,IF(OR(Atletas!U380="Taijijian 32 D",Atletas!U380="Taijijian 42 D"),924,IF(OR(Atletas!U380="Taijijian Yang E",Atletas!U380="Taijijian Yang Standard E"),925,IF(OR(Atletas!U380="Taijijian Chen E", Atletas!U380="Taijijian Chen Standard E"),926,IF(Atletas!U380="Taijijian Sun E",927,IF(Atletas!U380="Taijijian Wu E",928,IF(Atletas!U380="Taijijian Wu-Hao E",929,IF(OR(Atletas!U380="Taijijian 32 E",Atletas!U380="Taijijian 42 E"),930,IF(OR(Atletas!U380="Taijijian Yang F",Atletas!U380="Taijijian Yang Standard F"),931,IF(OR(Atletas!U380="Taijijian Chen F", Atletas!U380="Taijijian Chen Standard F"),932,IF(Atletas!U380="Taijijian Sun F",933,IF(Atletas!U380="Taijijian Wu F",934,IF(Atletas!U380="Taijijian Wu-Hao F",935,IF(OR(Atletas!U380="Taijijian 32 F",Atletas!U380="Taijijian 42 F"),936,"")))))))))))))))))))))))))))))))))))))</f>
        <v/>
      </c>
      <c r="CD389" s="50" t="str">
        <f>IF(Atletas!V380="","",IF(Atletas!X380&lt;&gt;"",10000,0)+IF(Atletas!B380="Feminino",1000,IF(Atletas!B380="Masculino",2000,""))+IF(Atletas!V380="Taijidao A",937,IF(Atletas!V380="TaijiShanzi A",938,IF(Atletas!V380="Taijiqiang A",939,IF(Atletas!V380="Bagua de Arma A",940,IF(Atletas!V380="Xingyi de Arma A",941,IF(Atletas!V380="Taijidao B",942,IF(Atletas!V380="TaijiShanzi B",943,IF(Atletas!V380="Taijiqiang B",944,IF(Atletas!V380="Bagua de Arma B",945,IF(Atletas!V380="Xingyi de Arma B",946,IF(Atletas!V380="Taijidao C",947,IF(Atletas!V380="TaijiShanzi C",948,IF(Atletas!V380="Taijiqiang C",949,IF(Atletas!V380="Bagua de Arma C",950,IF(Atletas!V380="Xingyi de Arma C",951,IF(Atletas!V380="Taijidao D",952,IF(Atletas!V380="TaijiShanzi D",953,IF(Atletas!V380="Taijiqiang D",954,IF(Atletas!V380="Bagua de Arma D",955,IF(Atletas!V380="Xingyi de Arma D",956,IF(Atletas!V380="Taijidao E",957,IF(Atletas!V380="TaijiShanzi E",958,IF(Atletas!V380="Taijiqiang E",959,IF(Atletas!V380="Bagua de Arma E",960,IF(Atletas!V380="Xingyi de Arma E",961,IF(Atletas!V380="Taijidao F",962,IF(Atletas!V380="TaijiShanzi F",963,IF(Atletas!V380="Taijiqiang F",964,IF(Atletas!V380="Bagua de Arma F",965,IF(Atletas!V380="Xingyi de Arma F",966,"")))))))))))))))))))))))))))))))</f>
        <v/>
      </c>
      <c r="CJ389" s="66"/>
      <c r="CL389" s="66"/>
      <c r="CM389" s="50" t="str">
        <f xml:space="preserve"> IF(Atletas!W380="","",IF(Atletas!W380="Duilian de Mãos BC - Equipe 1",1,IF(Atletas!W380="Duilian de Mãos BC - Equipe 2",2,IF(Atletas!W380="Duilian de Armas BC - Equipe 1",3,IF(Atletas!W380="Duilian de Armas BC - Equipe 2",4,IF(Atletas!W380="Duilian de Mãos DE - Equipe 1",5,IF(Atletas!W380="Duilian de Mãos DE - Equipe 2",6,IF(Atletas!W380="Duilian de Armas DE - Equipe 1",7,IF(Atletas!W380="Duilian de Armas DE - Equipe 2",8,IF(Atletas!W380="Duilian de Tuishou - Equipe 1",9,IF(Atletas!W380="Duilian de Tuishou - Equipe 2",10,IF(Atletas!W380="Grupo Externo ABC - Equipe 1",11,IF(Atletas!W380="Grupo Externo ABC - Equipe 2",12,IF(Atletas!W380="Grupo Interno ABC - Equipe 1",13,IF(Atletas!W380="Grupo Interno ABC - Equipe 2",14,IF(Atletas!W380="Grupo Externo DEF - Equipe 1",15,IF(Atletas!W380="Grupo Externo DEF - Equipe 2",16,IF(Atletas!W380="Grupo Interno DEF - Equipe 1",17,IF(Atletas!W380="Grupo Interno DEF - Equipe 2",18,"")))))))))))))))))))</f>
        <v/>
      </c>
    </row>
    <row r="390" spans="40:91">
      <c r="AN390" s="52" t="str">
        <f>IF(Atletas!D381="","",IF(Atletas!B381="Feminino",100,IF(Atletas!B381="Masculino",200,""))+(IF(Atletas!D381="Kids 30kg",1,IF(Atletas!D381="Kids 32kg",2, IF(Atletas!D381="Kids 34kg",3,IF(Atletas!D381="Kids 36kg",4,IF(Atletas!D381="Kids 39kg",5,IF(Atletas!D381="Kids 42kg",6,IF(Atletas!D381="Kids 45kg",7, IF(Atletas!D381="Infantil 39kg",8,IF(Atletas!D381="Infantil 42kg",9,IF(Atletas!D381="Infantil 45kg",10,IF(Atletas!D381="Infantil 48kg",11,IF(Atletas!D381="Infantil 52kg",12,IF(Atletas!D381="Infantil 56kg",13,IF(Atletas!D381="Infantil 60kg",14,IF(Atletas!D381="Juvenil 48kg",15,IF(Atletas!D381="Juvenil 52kg",16,IF(Atletas!D381="Juvenil 56kg",17,IF(Atletas!D381="Juvenil 60kg",18,IF(Atletas!D381="Juvenil 65kg",19,IF(Atletas!D381="Juvenil 70kg",20,IF(Atletas!D381="Juvenil 75kg",21,IF(Atletas!D381="Juvenil 80kg",22, IF(Atletas!D381="Juvenil 85kg",23,IF(Atletas!D381="Adulto 48kg",24,IF(Atletas!D381="Adulto 52kg",25,IF(Atletas!D381="Adulto 56kg",26,IF(Atletas!D381="Adulto 60kg",27,IF(Atletas!D381="Adulto 65kg",28,IF(Atletas!D381="Adulto 70kg",29,IF(Atletas!D381="Adulto 75kg",30,IF(Atletas!D381="Adulto 80kg",31,IF(Atletas!D381="Adulto 85kg",32,IF(Atletas!D381="Adulto 90kg",33,IF(Atletas!D381="Adulto 100kg",34, IF(Atletas!D381="Adulto +100kg",35,"")))))))))))))))))))))))))))))))))))))</f>
        <v/>
      </c>
      <c r="AS390" s="6" t="str">
        <f>IF(Atletas!E381="","",IF(Atletas!B381="Feminino",100,IF(Atletas!B381="Masculino",200,""))+(IF(Atletas!E381="Juvenil 44kg",1,IF(Atletas!E381="Juvenil 48kg",2,IF(Atletas!E381="Juvenil 52kg",3,IF(Atletas!E381="Juvenil 56kg",4,IF(Atletas!E381="Juvenil 60kg",5,IF(Atletas!E381="Juvenil 65kg",6,IF(Atletas!E381="Juvenil 70kg",7,IF(Atletas!E381="Juvenil 75kg",8,IF(Atletas!E381="Juvenil 82kg",9,IF(Atletas!E381="Juvenil 90kg",10,IF(Atletas!E381="Juvenil 100kg",11,IF(Atletas!E381="Adulto 48kg",12,IF(Atletas!E381="Adulto 52kg",13,IF(Atletas!E381="Adulto 56kg",14,IF(Atletas!E381="Adulto 60kg",15,IF(Atletas!E381="Adulto 65kg",16,IF(Atletas!E381="Adulto 70kg",17,IF(Atletas!E381="Adulto 75kg",18,IF(Atletas!E381="Adulto 82kg",19,IF(Atletas!E381="Adulto 90kg",20,IF(Atletas!E381="Adulto 100kg",21,IF(Atletas!E381="Adulto +100kg",22,""))))))))))))))))))))))))</f>
        <v/>
      </c>
      <c r="AX390" s="6" t="str">
        <f>IF(Atletas!F381="","",IF(Atletas!B381="Feminino",100,IF(Atletas!B381="Masculino",200,""))+(IF(Atletas!F381="Adulto 48kg",1,IF(Atletas!F381="Adulto 56kg",2,IF(Atletas!F381="Adulto 65kg",3,IF(Atletas!F381="Adulto 75kg",4,IF(Atletas!F381="Adulto +75kg",5,IF(Atletas!F381="Adulto 52kg",6,IF(Atletas!F381="Adulto 60kg",7,IF(Atletas!F381="Adulto 70kg",8,IF(Atletas!F381="Adulto 80kg",9,IF(Atletas!F381="Adulto 90kg",10,IF(Atletas!F381="Adulto +90kg",11,"")))))))))))))</f>
        <v/>
      </c>
      <c r="BC390" s="6" t="str">
        <f>IF(Atletas!G381="","",IF(Atletas!B381="Feminino",10,IF(Atletas!B381="Masculino",20,""))+(IF(Atletas!G381="Baduanjin A",1,IF(Atletas!G381="Baduanjin B",2))))</f>
        <v/>
      </c>
      <c r="BF390" s="52" t="str">
        <f>IF(Atletas!H381="","",IF(Atletas!B381="Feminino",100,IF(Atletas!B381="Masculino",200,""))+(IF(Atletas!H381="Changquan Mirim",1,IF(Atletas!H381="Nanquan Mirim",2,IF(Atletas!H381="Taijiquan Mirim",3,IF(Atletas!H381="Changquan Grupo C",4,IF(Atletas!H381="Nanquan Grupo C",5,IF(Atletas!H381="Taijiquan Grupo C",6,IF(Atletas!H381="Changquan Grupo B",7,IF(Atletas!H381="Nanquan Grupo B",8,IF(Atletas!H381="Taijiquan Grupo B",9,IF(Atletas!H381="Changquan Grupo A",10,IF(Atletas!H381="Nanquan Grupo A",11,IF(Atletas!H381="Taijiquan Grupo A",12,IF(Atletas!H381="Changquan Opcional",13,IF(Atletas!H381="Nanquan Opcional",14,IF(Atletas!H381="Taijiquan Opcional",15,IF(Atletas!H381="Changquan Adulto",16,IF(Atletas!H381="Nanquan Adulto",17,IF(Atletas!H381="Taijiquan Adulto",18,""))))))))))))))))))))</f>
        <v/>
      </c>
      <c r="BG390" s="52" t="str">
        <f>IF(Atletas!I381="","",IF(Atletas!B381="Feminino",100,IF(Atletas!B381="Masculino",200,""))+(IF(Atletas!I381="Daoshu Mirim",19,IF(Atletas!I381="Jianshu Mirim",20,IF(Atletas!I381="Nandao Mirim",21,IF(Atletas!I381="Taijijian Mirim",22,IF(Atletas!I381="Daoshu Grupo C",23,IF(Atletas!I381="Jianshu Grupo C",24,IF(Atletas!I381="Nandao Grupo C",25,IF(Atletas!I381="Taijijian Grupo C",26,IF(Atletas!I381="Daoshu Grupo B",27,IF(Atletas!I381="Jianshu Grupo B",28,IF(Atletas!I381="Nandao Grupo B",29,IF(Atletas!I381="Taijijian Grupo B",30,IF(Atletas!I381="Daoshu Grupo A",31,IF(Atletas!I381="Jianshu Grupo A",32,IF(Atletas!I381="Nandao Grupo A",33,IF(Atletas!I381="Taijijian Grupo A",34,IF(Atletas!I381="Daoshu Opcional",35,IF(Atletas!I381="Jianshu Opcional",36,IF(Atletas!I381="Nandao Opcional",37,IF(Atletas!I381="Taijijian Opcional",38,IF(Atletas!I381="Daoshu Adulto",39,IF(Atletas!I381="Jianshu Adulto",40,IF(Atletas!I381="Nandao Adulto",41,IF(Atletas!I381="Taijijian Adulto",42,""))))))))))))))))))))))))))</f>
        <v/>
      </c>
      <c r="BH390" s="52" t="str">
        <f>IF(Atletas!J381="","",IF(Atletas!B381="Feminino",100,IF(Atletas!B381="Masculino",200,""))+(IF(Atletas!J381="Gunshu Mirim",43,IF(Atletas!J381="Qiangshu Mirim",44,IF(Atletas!J381="Nangun Mirim",45,IF(Atletas!J381="Gunshu Grupo C",46,IF(Atletas!J381="Qiangshu Grupo C",47,IF(Atletas!J381="Nangun Grupo C",48,IF(Atletas!J381="Gunshu Grupo B",49,IF(Atletas!J381="Qiangshu Grupo B",50,IF(Atletas!J381="Nangun Grupo B",51,IF(Atletas!J381="Gunshu Grupo A",52,IF(Atletas!J381="Qiangshu Grupo A",53,IF(Atletas!J381="Nangun Grupo A",54,IF(Atletas!J381="Gunshu Opcional",55,IF(Atletas!J381="Qiangshu Opcional",56,IF(Atletas!J381="Nangun Opcional",57,IF(Atletas!J381="Gunshu Adulto",58,IF(Atletas!J381="Qiangshu Adulto",59,IF(Atletas!J381="Nangun Adulto",60,IF(Atletas!J381="Taijishan Grupo B",61,IF(Atletas!J381="Taijishan Grupo A",62,""))))))))))))))))))))))</f>
        <v/>
      </c>
      <c r="BM390" s="50" t="str">
        <f>IF(Atletas!K381="","",IF(Atletas!B381="Feminino",100,IF(Atletas!B381="Masculino",200,""))+(IF(Atletas!K381="Equipe 1 Grupo B",1,IF(Atletas!K381="Equipe 2 Grupo B",2,IF(Atletas!K381="Equipe 1 Grupo A",3,IF(Atletas!K381="Equipe 2 Grupo A",4,IF(Atletas!K381="Equipe 1 Adulto",5,IF(Atletas!K381="Equipe 2 Adulto",6,""))))))))</f>
        <v/>
      </c>
      <c r="BR390" s="50" t="str">
        <f>IF(Atletas!L381="","",IF(Atletas!X381&lt;&gt;"",10000,0)+(IF(Atletas!B381="Feminino",1000,IF(Atletas!B381="Masculino",2000,""))+IF(Atletas!L381="Choylayfut A",1,IF(Atletas!L381="Hunggar A",2,IF(Atletas!L381="Wuzuquan A",3,IF(Atletas!L381="Wingchun A",4,IF(Atletas!L381="Outra Mão de Sul A",5,IF(Atletas!L381="Choylayfut B",6,IF(Atletas!L381="Hunggar B",7,IF(Atletas!L381="Wuzuquan B",8,IF(Atletas!L381="Wingchun B",9,IF(Atletas!L381="Outra Mão de Sul B",10,IF(Atletas!L381="Choylayfut C",11,IF(Atletas!L381="Hunggar C",12,IF(Atletas!L381="Wuzuquan C",13,IF(Atletas!L381="Wingchun C",14,IF(Atletas!L381="Outra Mão de Sul C",15,IF(Atletas!L381="Choylayfut D",16,IF(Atletas!L381="Hunggar D",17,IF(Atletas!L381="Wuzuquan D",18,IF(Atletas!L381="Wingchun D",19,IF(Atletas!L381="Outra Mão de Sul D",20,IF(Atletas!L381="Choylayfut E",21,IF(Atletas!L381="Hunggar E",22,IF(Atletas!L381="Wuzuquan E",23,IF(Atletas!L381="Wingchun E",24,IF(Atletas!L381="Outra Mão de Sul E",25,IF(Atletas!L381="Choylayfut F",26,IF(Atletas!L381="Hunggar F",27,IF(Atletas!L381="Wuzuquan F",28,IF(Atletas!L381="Wingchun F",29,IF(Atletas!L381="Outra Mão de Sul F",30,IF(Atletas!L381="Dishuquan A",31,IF(Atletas!L381="Dishuquan B",32,IF(Atletas!L381="Dishuquan C",33,IF(Atletas!L381="Dishuquan D",34,IF(Atletas!L381="Dishuquan E",35,IF(Atletas!L381="Dishuquan F",36,""))))))))))))))))))))))))))))))))))))))</f>
        <v/>
      </c>
      <c r="BS390" s="50" t="str">
        <f>IF(Atletas!M381="","",IF(Atletas!X381&lt;&gt;"",10000,0)+(IF(Atletas!B381="Feminino",1000,IF(Atletas!B381="Masculino",2000,""))+(IF(Atletas!M381="Chaquan A",101,IF(Atletas!M381="Emeiquan A",102,IF(Atletas!M381="Fanziquan A",103,IF(Atletas!M381="Huaquan A",104,IF(Atletas!M381="Hongquan A",105,IF(Atletas!M381="Paoquan A",106,IF(Atletas!M381="Piguaquan A",107,IF(Atletas!M381="Shaolinquan A",108,IF(Atletas!M381="Tanglangquan A",109,IF(Atletas!M381="Yingzhaoquan A",110,IF(Atletas!M381="Tongbeiquan A",111,IF(Atletas!M381="Wudangquan A",112,IF(Atletas!M381="Outros Estilos A",113,IF(Atletas!M381="Chaquan B",114,IF(Atletas!M381="Emeiquan B",115,IF(Atletas!M381="Fanziquan B",116,IF(Atletas!M381="Huaquan B",117,IF(Atletas!M381="Hongquan B",118,IF(Atletas!M381="Paoquan B",119,IF(Atletas!M381="Piguaquan B",120,IF(Atletas!M381="Shaolinquan B",121,IF(Atletas!M381="Tanglangquan B",122,IF(Atletas!M381="Yingzhaoquan B",123,IF(Atletas!M381="Tongbeiquan B",124,IF(Atletas!M381="Wudangquan B",125,IF(Atletas!M381="Outros Estilos B",126,IF(Atletas!M381="Chaquan C",127,IF(Atletas!M381="Emeiquan C",128,IF(Atletas!M381="Fanziquan C",129,IF(Atletas!M381="Huaquan C",130,IF(Atletas!M381="Hongquan C",131,IF(Atletas!M381="Paoquan C",132,IF(Atletas!M381="Piguaquan C",133,IF(Atletas!M381="Shaolinquan C",134,IF(Atletas!M381="Tanglangquan C",135,IF(Atletas!M381="Yingzhaoquan C",136,IF(Atletas!M381="Tongbeiquan C",137,IF(Atletas!M381="Wudangquan C",138,IF(Atletas!M381="Outros Estilos C",139,0))))))))))))))))))))))))))))))))))))))))))</f>
        <v/>
      </c>
      <c r="BT390" s="50" t="str">
        <f>IF(Atletas!M381="","",IF(Atletas!X381&lt;&gt;"",10000,0)+(IF(Atletas!B381="Feminino",1000,IF(Atletas!B381="Masculino",2000,""))+(IF(Atletas!M381="Chaquan D",140,IF(Atletas!M381="Emeiquan D",141,IF(Atletas!M381="Fanziquan D",142,IF(Atletas!M381="Huaquan D",143,IF(Atletas!M381="Hongquan D",144,IF(Atletas!M381="Paoquan D",145,IF(Atletas!M381="Piguaquan D",146,IF(Atletas!M381="Shaolinquan D",147,IF(Atletas!M381="Tanglangquan D",148,IF(Atletas!M381="Yingzhaoquan D",149,IF(Atletas!M381="Tongbeiquan D",150,IF(Atletas!M381="Wudangquan D",151,IF(Atletas!M381="Outros Estilos D",152,IF(Atletas!M381="Chaquan E",153,IF(Atletas!M381="Emeiquan E",154,IF(Atletas!M381="Fanziquan E",155,IF(Atletas!M381="Huaquan E",156,IF(Atletas!M381="Hongquan E",157,IF(Atletas!M381="Paoquan E",158,IF(Atletas!M381="Piguaquan E",159,IF(Atletas!M381="Shaolinquan E",160,IF(Atletas!M381="Tanglangquan E",161,IF(Atletas!M381="Yingzhaoquan E",162,IF(Atletas!M381="Tongbeiquan E",163,IF(Atletas!M381="Wudangquan E",164,IF(Atletas!M381="Outros Estilos E",165,IF(Atletas!M381="Chaquan F",166,IF(Atletas!M381="Emeiquan F",167,IF(Atletas!M381="Fanziquan F",168,IF(Atletas!M381="Huaquan F",169,IF(Atletas!M381="Hongquan F",170,IF(Atletas!M381="Paoquan F",171,IF(Atletas!M381="Piguaquan F",172,IF(Atletas!M381="Shaolinquan F",173,IF(Atletas!M381="Tanglangquan F",174,IF(Atletas!M381="Yingzhaoquan F",175,IF(Atletas!M381="Tongbeiquan F",176,IF(Atletas!M381="Wudangquan F",177,IF(Atletas!M381="Outros Estilos F",178,0))))))))))))))))))))))))))))))))))))))))))</f>
        <v/>
      </c>
      <c r="BU390" s="50" t="str">
        <f>IF(Atletas!N381="","",IF(Atletas!X381&lt;&gt;"",10000,0)+(IF(Atletas!B381="Feminino",1000,IF(Atletas!B381="Masculino",2000,""))+(IF(Atletas!N381="Ditangquan A",201,IF(Atletas!N381="Houquan A",202,IF(Atletas!N381="Zuiquan A",203,IF(Atletas!N381="Ditangquan B",204,IF(Atletas!N381="Houquan B",205,IF(Atletas!N381="Zuiquan B",206,IF(Atletas!N381="Ditangquan C",207,IF(Atletas!N381="Houquan C",208,IF(Atletas!N381="Zuiquan C",209,IF(Atletas!N381="Ditangquan D",210,IF(Atletas!N381="Houquan D",211,IF(Atletas!N381="Zuiquan D",212,IF(Atletas!N381="Ditangquan E",213,IF(Atletas!N381="Houquan E",214,IF(Atletas!N381="Zuiquan E",215,IF(Atletas!N381="Ditangquan F",216,IF(Atletas!N381="Houquan F",217,IF(Atletas!N381="Zuiquan F",218,"")))))))))))))))))))))</f>
        <v/>
      </c>
      <c r="BV390" s="50" t="str">
        <f>IF(Atletas!O381="","",IF(Atletas!X381&lt;&gt;"",10000,0)+IF(Atletas!B381="Feminino",1000,IF(Atletas!B381="Masculino",2000,""))+IF(Atletas!O381="Yang A",301,IF(Atletas!O381="Chen A",302,IF(Atletas!O381="Sun A",303,IF(Atletas!O381="Wu A",304,IF(Atletas!O381="Wu-Hao A",305,IF(Atletas!O381="Outro Taijiquan A",306,IF(Atletas!O381="Yang B",307,IF(Atletas!O381="Chen B",308,IF(Atletas!O381="Sun B",309,IF(Atletas!O381="Wu B",310,IF(Atletas!O381="Wu-Hao B",311,IF(Atletas!O381="Outro Taijiquan B",312,IF(Atletas!O381="Yang C",313,IF(Atletas!O381="Chen C",314,IF(Atletas!O381="Sun C",315,IF(Atletas!O381="Wu C",316,IF(Atletas!O381="Wu-Hao C",317,IF(Atletas!O381="Outro Taijiquan C",318,IF(Atletas!O381="Yang D",319,IF(Atletas!O381="Chen D",320,IF(Atletas!O381="Sun D",321,IF(Atletas!O381="Wu D",322,IF(Atletas!O381="Wu-Hao D",323,IF(Atletas!O381="Outro Taijiquan D",324,IF(Atletas!O381="Yang E",325,IF(Atletas!O381="Chen E",326,IF(Atletas!O381="Sun E",327,IF(Atletas!O381="Wu E",328,IF(Atletas!O381="Wu-Hao E",329,IF(Atletas!O381="Outro Taijiquan E",330,IF(Atletas!O381="Yang F",331,IF(Atletas!O381="Chen F",332,IF(Atletas!O381="Sun F",333,IF(Atletas!O381="Wu F",334,IF(Atletas!O381="Wu-Hao F",335,IF(Atletas!O381="Outro Taijiquan F",336,"")))))))))))))))))))))))))))))))))))))</f>
        <v/>
      </c>
      <c r="BW390" s="50" t="str">
        <f>IF(Atletas!P381="","",IF(Atletas!X381&lt;&gt;"",10000,0)+IF(Atletas!B381="Feminino",1000,IF(Atletas!B381="Masculino",2000,""))+IF(OR(Atletas!P381="Yang 26 A",Atletas!P381="Yang 40 A"),401,IF(OR(Atletas!P381="Chen 25 A",Atletas!P381="Chen 36 A",Atletas!P381="Chen 56 A"),402,IF(Atletas!P381="Sun 73 A",403,IF(Atletas!P381="Wu 45 A",404,IF(Atletas!P381="Wu-Hao 46 A",405,IF(OR(Atletas!P381="Taijiquan 16 A",Atletas!P381="Taijiquan 24 A",Atletas!P381="Taijiquan 32 A",Atletas!P381="Taijiquan 42 A"),406,IF(OR(Atletas!P381="Yang 26 B",Atletas!P381="Yang 40 B"),407,IF(OR(Atletas!P381="Chen 25 B",Atletas!P381="Chen 36 B",Atletas!P381="Chen 56 B"),408,IF(Atletas!P381="Sun 73 B",409,IF(Atletas!P381="Wu 45 B",410,IF(Atletas!P381="Wu-Hao 46 B",411,IF(OR(Atletas!P381="Taijiquan 16 B",Atletas!P381="Taijiquan 24 B",Atletas!P381="Taijiquan 32 B",Atletas!P381="Taijiquan 42 B"),412,IF(OR(Atletas!P381="Yang 26 C",Atletas!P381="Yang 40 C"),413,IF(OR(Atletas!P381="Chen 25 C",Atletas!P381="Chen 36 C",Atletas!P381="Chen 56 C"),414,IF(Atletas!P381="Sun 73 C",415,IF(Atletas!P381="Wu 45 C",416,IF(Atletas!P381="Wu-Hao 46 C",417,IF(OR(Atletas!P381="Taijiquan 16 C",Atletas!P381="Taijiquan 24 C",Atletas!P381="Taijiquan 32 C",Atletas!P381="Taijiquan 42 C"),418,0)))))))))))))))))))</f>
        <v/>
      </c>
      <c r="BX390" s="50" t="str">
        <f>IF(Atletas!P381="","",IF(Atletas!X381&lt;&gt;"",10000,0)+IF(Atletas!B381="Feminino",1000,IF(Atletas!B381="Masculino",2000,""))+IF(OR(Atletas!P381="Yang 26 D",Atletas!P381="Yang 40 D"),419,IF(OR(Atletas!P381="Chen 25 D",Atletas!P381="Chen 36 D",Atletas!P381="Chen 56 D"),420,IF(Atletas!P381="Sun 73 D",421,IF(Atletas!P381="Wu 45 D",422,IF(Atletas!P381="Wu-Hao 46 D",423,IF(OR(Atletas!P381="Taijiquan 16 D",Atletas!P381="Taijiquan 24 D",Atletas!P381="Taijiquan 32 D",Atletas!P381="Taijiquan 42 D"),424,IF(OR(Atletas!P381="Yang 26 E",Atletas!P381="Yang 40 E"),425,IF(OR(Atletas!P381="Chen 25 E",Atletas!P381="Chen 36 E",Atletas!P381="Chen 56 E"),426,IF(Atletas!P381="Sun 73 E",427,IF(Atletas!P381="Wu 45 E",428,IF(Atletas!P381="Wu-Hao 46 E",429,IF(OR(Atletas!P381="Taijiquan 16 E",Atletas!P381="Taijiquan 24 E",Atletas!P381="Taijiquan 32 E",Atletas!P381="Taijiquan 42 E"),430,IF(OR(Atletas!P381="Yang 26 F",Atletas!P381="Yang 40 F"),431,IF(OR(Atletas!P381="Chen 25 F",Atletas!P381="Chen 36 F",Atletas!P381="Chen 56 F"),432,IF(Atletas!P381="Sun 73 F",433,IF(Atletas!P381="Wu 45 F",434,IF(Atletas!P381="Wu-Hao 46 F",435,IF(OR(Atletas!P381="Taijiquan 16 F",Atletas!P381="Taijiquan 24 F",Atletas!P381="Taijiquan 32 F",Atletas!P381="Taijiquan 42 F"),436,0)))))))))))))))))))</f>
        <v/>
      </c>
      <c r="BY390" s="50" t="str">
        <f>IF(Atletas!Q381="","",IF(Atletas!X381&lt;&gt;"",10000,0)+IF(Atletas!B381="Feminino",1000,IF(Atletas!B381="Masculino",2000,""))+IF(Atletas!Q381="Xingyiquan A",501,IF(Atletas!Q381="Baguazhang A",502,IF(Atletas!Q381="Outro Estilo Interno A",503,IF(Atletas!Q381="Xingyiquan B",504,IF(Atletas!Q381="Baguazhang B",505,IF(Atletas!Q381="Outro Estilo Interno B",506,IF(Atletas!Q381="Xingyiquan C",507,IF(Atletas!Q381="Baguazhang C",508,IF(Atletas!Q381="Outro Estilo Interno C",509,IF(Atletas!Q381="Xingyiquan D",510,IF(Atletas!Q381="Baguazhang D",511,IF(Atletas!Q381="Outro Estilo Interno D",512,IF(Atletas!Q381="Xingyiquan E",513,IF(Atletas!Q381="Baguazhang E",514,IF(Atletas!Q381="Outro Estilo Interno E",515,IF(Atletas!Q381="Xingyiquan F",516,IF(Atletas!Q381="Baguazhang F",517,IF(Atletas!Q381="Outro Estilo Interno F",518, "")))))))))))))))))))</f>
        <v/>
      </c>
      <c r="BZ390" s="50" t="str">
        <f>IF(Atletas!R381="","",IF(Atletas!X381&lt;&gt;"",10000,0)+IF(Atletas!B381="Feminino",1000,IF(Atletas!B381="Masculino",2000,""))+IF(Atletas!R381="Dao A",601,IF(Atletas!R381="Jian A",602,IF(Atletas!R381="Bishou A",603,IF(Atletas!R381="Shanzi A",604,IF(Atletas!R381="Outra Arma Curta A",605,IF(Atletas!R381="Dao B",606,IF(Atletas!R381="Jian B",607,IF(Atletas!R381="Bishou B",608,IF(Atletas!R381="Shanzi B",609,IF(Atletas!R381="Outra Arma Curta B",610,IF(Atletas!R381="Dao C",611,IF(Atletas!R381="Jian C",612,IF(Atletas!R381="Bishou C",613,IF(Atletas!R381="Shanzi C",614,IF(Atletas!R381="Outra Arma Curta C",615,IF(Atletas!R381="Dao D",616,IF(Atletas!R381="Jian D",617,IF(Atletas!R381="Bishou D",618,IF(Atletas!R381="Shanzi D",619,IF(Atletas!R381="Outra Arma Curta D",620,IF(Atletas!R381="Dao E",621,IF(Atletas!R381="Jian E",622,IF(Atletas!R381="Bishou E",623,IF(Atletas!R381="Shanzi E",624,IF(Atletas!R381="Outra Arma Curta E",625,IF(Atletas!R381="Dao F",626,IF(Atletas!R381="Jian F",627,IF(Atletas!R381="Bishou F",628,IF(Atletas!R381="Shanzi F",629,IF(Atletas!R381="Outra Arma Curta F",630, "")))))))))))))))))))))))))))))))</f>
        <v/>
      </c>
      <c r="CA390" s="50" t="str">
        <f>IF(Atletas!S381="","",IF(Atletas!X381&lt;&gt;"",10000,0)+IF(Atletas!B381="Feminino",1000,IF(Atletas!B381="Masculino",2000,""))+IF(Atletas!S381="Gun A",701,IF(Atletas!S381="Qiang A",702,IF(Atletas!S381="Pudao / Guandao A",703,IF(Atletas!S381="Outra Arma Longa A",704,IF(Atletas!S381="Gun B",705,IF(Atletas!S381="Qiang B",706,IF(Atletas!S381="Pudao / Guandao B",707,IF(Atletas!S381="Outra Arma Longa B",708,IF(Atletas!S381="Gun C",709,IF(Atletas!S381="Qiang C",710,IF(Atletas!S381="Pudao / Guandao C",711,IF(Atletas!S381="Outra Arma Longa C",712,IF(Atletas!S381="Gun D",713,IF(Atletas!S381="Qiang D",714,IF(Atletas!S381="Pudao / Guandao D",715,IF(Atletas!S381="Outra Arma Longa D",716,IF(Atletas!S381="Gun E",717,IF(Atletas!S381="Qiang E",718,IF(Atletas!S381="Pudao / Guandao E",719,IF(Atletas!S381="Outra Arma Longa E",720,IF(Atletas!S381="Gun F",721,IF(Atletas!S381="Qiang F",722,IF(Atletas!S381="Pudao / Guandao F",723,IF(Atletas!S381="Outra Arma Longa F",724,"")))))))))))))))))))))))))</f>
        <v/>
      </c>
      <c r="CB390" s="50" t="str">
        <f>IF(Atletas!T381="","",IF(Atletas!X381&lt;&gt;"",10000,0)+IF(Atletas!B381="Feminino",1000,IF(Atletas!B381="Masculino",2000,""))+IF(Atletas!T381="Outra Arma Dupla A",801,IF(Atletas!T381="Arma Maleável A",802,IF(Atletas!T381="Outra Arma Dupla B",803,IF(Atletas!T381="Arma Maleável B",804,IF(Atletas!T381="Outra Arma Dupla C",805,IF(Atletas!T381="Arma Maleável C",806,IF(Atletas!T381="Outra Arma Dupla D",807,IF(Atletas!T381="Arma Maleável D",808,IF(Atletas!T381="Outra Arma Dupla E",809,IF(Atletas!T381="Arma Maleável E",810,IF(Atletas!T381="Outra Arma Dupla F",811,IF(Atletas!T381="Arma Maleável F",812,IF(Atletas!T381="Shuangdao A",813,IF(Atletas!T381="Shuangdao B",814,IF(Atletas!T381="Shuangdao C",815,IF(Atletas!T381="Shuangdao D",816,IF(Atletas!T381="Shuangdao E",817,IF(Atletas!T381="Shuangdao F",818,"")))))))))))))))))))</f>
        <v/>
      </c>
      <c r="CC390" s="50" t="str">
        <f>IF(Atletas!U381="","",IF(Atletas!X381&lt;&gt;"",10000,0)+IF(Atletas!B381="Feminino",1000,IF(Atletas!B381="Masculino",2000,""))+IF(OR(Atletas!U381="Taijijian Yang A",Atletas!U381="Taijijian Yang Standard A"),901,IF(OR(Atletas!U381="Taijijian Chen A", Atletas!U381="Taijijian Chen Standard A"),902,IF(Atletas!U381="Taijijian Sun A",903,IF(Atletas!U381="Taijijian Wu A",904,IF(Atletas!U381="Taijijian Wu-Hao A",905,IF(OR(Atletas!U381="Taijijian 32 A",Atletas!U381="Taijijian 42 A"),906,IF(OR(Atletas!U381="Taijijian Yang B",Atletas!U381="Taijijian Yang Standard B"),907,IF(OR(Atletas!U381="Taijijian Chen B", Atletas!U381="Taijijian Chen Standard B"),908,IF(Atletas!U381="Taijijian Sun B",909,IF(Atletas!U381="Taijijian Wu B",910,IF(Atletas!U381="Taijijian Wu-Hao B",911,IF(OR(Atletas!U381="Taijijian 32 B",Atletas!U381="Taijijian 42 B"),912,IF(OR(Atletas!U381="Taijijian Yang C",Atletas!U381="Taijijian Yang Standard C"),913,IF(OR(Atletas!U381="Taijijian Chen C", Atletas!U381="Taijijian Chen Standard C"),914,IF(Atletas!U381="Taijijian Sun C",915,IF(Atletas!U381="Taijijian Wu C",916,IF(Atletas!U381="Taijijian Wu-Hao C",917,IF(OR(Atletas!U381="Taijijian 32 C",Atletas!U381="Taijijian 42 C"),918,IF(OR(Atletas!U381="Taijijian Yang D",Atletas!U381="Taijijian Yang Standard D"),919,IF(OR(Atletas!U381="Taijijian Chen D", Atletas!U381="Taijijian Chen Standard D"),920,IF(Atletas!U381="Taijijian Sun D",921,IF(Atletas!U381="Taijijian Wu D",922,IF(Atletas!U381="Taijijian Wu-Hao D",923,IF(OR(Atletas!U381="Taijijian 32 D",Atletas!U381="Taijijian 42 D"),924,IF(OR(Atletas!U381="Taijijian Yang E",Atletas!U381="Taijijian Yang Standard E"),925,IF(OR(Atletas!U381="Taijijian Chen E", Atletas!U381="Taijijian Chen Standard E"),926,IF(Atletas!U381="Taijijian Sun E",927,IF(Atletas!U381="Taijijian Wu E",928,IF(Atletas!U381="Taijijian Wu-Hao E",929,IF(OR(Atletas!U381="Taijijian 32 E",Atletas!U381="Taijijian 42 E"),930,IF(OR(Atletas!U381="Taijijian Yang F",Atletas!U381="Taijijian Yang Standard F"),931,IF(OR(Atletas!U381="Taijijian Chen F", Atletas!U381="Taijijian Chen Standard F"),932,IF(Atletas!U381="Taijijian Sun F",933,IF(Atletas!U381="Taijijian Wu F",934,IF(Atletas!U381="Taijijian Wu-Hao F",935,IF(OR(Atletas!U381="Taijijian 32 F",Atletas!U381="Taijijian 42 F"),936,"")))))))))))))))))))))))))))))))))))))</f>
        <v/>
      </c>
      <c r="CD390" s="50" t="str">
        <f>IF(Atletas!V381="","",IF(Atletas!X381&lt;&gt;"",10000,0)+IF(Atletas!B381="Feminino",1000,IF(Atletas!B381="Masculino",2000,""))+IF(Atletas!V381="Taijidao A",937,IF(Atletas!V381="TaijiShanzi A",938,IF(Atletas!V381="Taijiqiang A",939,IF(Atletas!V381="Bagua de Arma A",940,IF(Atletas!V381="Xingyi de Arma A",941,IF(Atletas!V381="Taijidao B",942,IF(Atletas!V381="TaijiShanzi B",943,IF(Atletas!V381="Taijiqiang B",944,IF(Atletas!V381="Bagua de Arma B",945,IF(Atletas!V381="Xingyi de Arma B",946,IF(Atletas!V381="Taijidao C",947,IF(Atletas!V381="TaijiShanzi C",948,IF(Atletas!V381="Taijiqiang C",949,IF(Atletas!V381="Bagua de Arma C",950,IF(Atletas!V381="Xingyi de Arma C",951,IF(Atletas!V381="Taijidao D",952,IF(Atletas!V381="TaijiShanzi D",953,IF(Atletas!V381="Taijiqiang D",954,IF(Atletas!V381="Bagua de Arma D",955,IF(Atletas!V381="Xingyi de Arma D",956,IF(Atletas!V381="Taijidao E",957,IF(Atletas!V381="TaijiShanzi E",958,IF(Atletas!V381="Taijiqiang E",959,IF(Atletas!V381="Bagua de Arma E",960,IF(Atletas!V381="Xingyi de Arma E",961,IF(Atletas!V381="Taijidao F",962,IF(Atletas!V381="TaijiShanzi F",963,IF(Atletas!V381="Taijiqiang F",964,IF(Atletas!V381="Bagua de Arma F",965,IF(Atletas!V381="Xingyi de Arma F",966,"")))))))))))))))))))))))))))))))</f>
        <v/>
      </c>
      <c r="CJ390" s="66"/>
      <c r="CL390" s="66"/>
      <c r="CM390" s="50" t="str">
        <f xml:space="preserve"> IF(Atletas!W381="","",IF(Atletas!W381="Duilian de Mãos BC - Equipe 1",1,IF(Atletas!W381="Duilian de Mãos BC - Equipe 2",2,IF(Atletas!W381="Duilian de Armas BC - Equipe 1",3,IF(Atletas!W381="Duilian de Armas BC - Equipe 2",4,IF(Atletas!W381="Duilian de Mãos DE - Equipe 1",5,IF(Atletas!W381="Duilian de Mãos DE - Equipe 2",6,IF(Atletas!W381="Duilian de Armas DE - Equipe 1",7,IF(Atletas!W381="Duilian de Armas DE - Equipe 2",8,IF(Atletas!W381="Duilian de Tuishou - Equipe 1",9,IF(Atletas!W381="Duilian de Tuishou - Equipe 2",10,IF(Atletas!W381="Grupo Externo ABC - Equipe 1",11,IF(Atletas!W381="Grupo Externo ABC - Equipe 2",12,IF(Atletas!W381="Grupo Interno ABC - Equipe 1",13,IF(Atletas!W381="Grupo Interno ABC - Equipe 2",14,IF(Atletas!W381="Grupo Externo DEF - Equipe 1",15,IF(Atletas!W381="Grupo Externo DEF - Equipe 2",16,IF(Atletas!W381="Grupo Interno DEF - Equipe 1",17,IF(Atletas!W381="Grupo Interno DEF - Equipe 2",18,"")))))))))))))))))))</f>
        <v/>
      </c>
    </row>
    <row r="391" spans="40:91">
      <c r="AN391" s="52" t="str">
        <f>IF(Atletas!D382="","",IF(Atletas!B382="Feminino",100,IF(Atletas!B382="Masculino",200,""))+(IF(Atletas!D382="Kids 30kg",1,IF(Atletas!D382="Kids 32kg",2, IF(Atletas!D382="Kids 34kg",3,IF(Atletas!D382="Kids 36kg",4,IF(Atletas!D382="Kids 39kg",5,IF(Atletas!D382="Kids 42kg",6,IF(Atletas!D382="Kids 45kg",7, IF(Atletas!D382="Infantil 39kg",8,IF(Atletas!D382="Infantil 42kg",9,IF(Atletas!D382="Infantil 45kg",10,IF(Atletas!D382="Infantil 48kg",11,IF(Atletas!D382="Infantil 52kg",12,IF(Atletas!D382="Infantil 56kg",13,IF(Atletas!D382="Infantil 60kg",14,IF(Atletas!D382="Juvenil 48kg",15,IF(Atletas!D382="Juvenil 52kg",16,IF(Atletas!D382="Juvenil 56kg",17,IF(Atletas!D382="Juvenil 60kg",18,IF(Atletas!D382="Juvenil 65kg",19,IF(Atletas!D382="Juvenil 70kg",20,IF(Atletas!D382="Juvenil 75kg",21,IF(Atletas!D382="Juvenil 80kg",22, IF(Atletas!D382="Juvenil 85kg",23,IF(Atletas!D382="Adulto 48kg",24,IF(Atletas!D382="Adulto 52kg",25,IF(Atletas!D382="Adulto 56kg",26,IF(Atletas!D382="Adulto 60kg",27,IF(Atletas!D382="Adulto 65kg",28,IF(Atletas!D382="Adulto 70kg",29,IF(Atletas!D382="Adulto 75kg",30,IF(Atletas!D382="Adulto 80kg",31,IF(Atletas!D382="Adulto 85kg",32,IF(Atletas!D382="Adulto 90kg",33,IF(Atletas!D382="Adulto 100kg",34, IF(Atletas!D382="Adulto +100kg",35,"")))))))))))))))))))))))))))))))))))))</f>
        <v/>
      </c>
      <c r="AS391" s="6" t="str">
        <f>IF(Atletas!E382="","",IF(Atletas!B382="Feminino",100,IF(Atletas!B382="Masculino",200,""))+(IF(Atletas!E382="Juvenil 44kg",1,IF(Atletas!E382="Juvenil 48kg",2,IF(Atletas!E382="Juvenil 52kg",3,IF(Atletas!E382="Juvenil 56kg",4,IF(Atletas!E382="Juvenil 60kg",5,IF(Atletas!E382="Juvenil 65kg",6,IF(Atletas!E382="Juvenil 70kg",7,IF(Atletas!E382="Juvenil 75kg",8,IF(Atletas!E382="Juvenil 82kg",9,IF(Atletas!E382="Juvenil 90kg",10,IF(Atletas!E382="Juvenil 100kg",11,IF(Atletas!E382="Adulto 48kg",12,IF(Atletas!E382="Adulto 52kg",13,IF(Atletas!E382="Adulto 56kg",14,IF(Atletas!E382="Adulto 60kg",15,IF(Atletas!E382="Adulto 65kg",16,IF(Atletas!E382="Adulto 70kg",17,IF(Atletas!E382="Adulto 75kg",18,IF(Atletas!E382="Adulto 82kg",19,IF(Atletas!E382="Adulto 90kg",20,IF(Atletas!E382="Adulto 100kg",21,IF(Atletas!E382="Adulto +100kg",22,""))))))))))))))))))))))))</f>
        <v/>
      </c>
      <c r="AX391" s="6" t="str">
        <f>IF(Atletas!F382="","",IF(Atletas!B382="Feminino",100,IF(Atletas!B382="Masculino",200,""))+(IF(Atletas!F382="Adulto 48kg",1,IF(Atletas!F382="Adulto 56kg",2,IF(Atletas!F382="Adulto 65kg",3,IF(Atletas!F382="Adulto 75kg",4,IF(Atletas!F382="Adulto +75kg",5,IF(Atletas!F382="Adulto 52kg",6,IF(Atletas!F382="Adulto 60kg",7,IF(Atletas!F382="Adulto 70kg",8,IF(Atletas!F382="Adulto 80kg",9,IF(Atletas!F382="Adulto 90kg",10,IF(Atletas!F382="Adulto +90kg",11,"")))))))))))))</f>
        <v/>
      </c>
      <c r="BC391" s="6" t="str">
        <f>IF(Atletas!G382="","",IF(Atletas!B382="Feminino",10,IF(Atletas!B382="Masculino",20,""))+(IF(Atletas!G382="Baduanjin A",1,IF(Atletas!G382="Baduanjin B",2))))</f>
        <v/>
      </c>
      <c r="BF391" s="52" t="str">
        <f>IF(Atletas!H382="","",IF(Atletas!B382="Feminino",100,IF(Atletas!B382="Masculino",200,""))+(IF(Atletas!H382="Changquan Mirim",1,IF(Atletas!H382="Nanquan Mirim",2,IF(Atletas!H382="Taijiquan Mirim",3,IF(Atletas!H382="Changquan Grupo C",4,IF(Atletas!H382="Nanquan Grupo C",5,IF(Atletas!H382="Taijiquan Grupo C",6,IF(Atletas!H382="Changquan Grupo B",7,IF(Atletas!H382="Nanquan Grupo B",8,IF(Atletas!H382="Taijiquan Grupo B",9,IF(Atletas!H382="Changquan Grupo A",10,IF(Atletas!H382="Nanquan Grupo A",11,IF(Atletas!H382="Taijiquan Grupo A",12,IF(Atletas!H382="Changquan Opcional",13,IF(Atletas!H382="Nanquan Opcional",14,IF(Atletas!H382="Taijiquan Opcional",15,IF(Atletas!H382="Changquan Adulto",16,IF(Atletas!H382="Nanquan Adulto",17,IF(Atletas!H382="Taijiquan Adulto",18,""))))))))))))))))))))</f>
        <v/>
      </c>
      <c r="BG391" s="52" t="str">
        <f>IF(Atletas!I382="","",IF(Atletas!B382="Feminino",100,IF(Atletas!B382="Masculino",200,""))+(IF(Atletas!I382="Daoshu Mirim",19,IF(Atletas!I382="Jianshu Mirim",20,IF(Atletas!I382="Nandao Mirim",21,IF(Atletas!I382="Taijijian Mirim",22,IF(Atletas!I382="Daoshu Grupo C",23,IF(Atletas!I382="Jianshu Grupo C",24,IF(Atletas!I382="Nandao Grupo C",25,IF(Atletas!I382="Taijijian Grupo C",26,IF(Atletas!I382="Daoshu Grupo B",27,IF(Atletas!I382="Jianshu Grupo B",28,IF(Atletas!I382="Nandao Grupo B",29,IF(Atletas!I382="Taijijian Grupo B",30,IF(Atletas!I382="Daoshu Grupo A",31,IF(Atletas!I382="Jianshu Grupo A",32,IF(Atletas!I382="Nandao Grupo A",33,IF(Atletas!I382="Taijijian Grupo A",34,IF(Atletas!I382="Daoshu Opcional",35,IF(Atletas!I382="Jianshu Opcional",36,IF(Atletas!I382="Nandao Opcional",37,IF(Atletas!I382="Taijijian Opcional",38,IF(Atletas!I382="Daoshu Adulto",39,IF(Atletas!I382="Jianshu Adulto",40,IF(Atletas!I382="Nandao Adulto",41,IF(Atletas!I382="Taijijian Adulto",42,""))))))))))))))))))))))))))</f>
        <v/>
      </c>
      <c r="BH391" s="52" t="str">
        <f>IF(Atletas!J382="","",IF(Atletas!B382="Feminino",100,IF(Atletas!B382="Masculino",200,""))+(IF(Atletas!J382="Gunshu Mirim",43,IF(Atletas!J382="Qiangshu Mirim",44,IF(Atletas!J382="Nangun Mirim",45,IF(Atletas!J382="Gunshu Grupo C",46,IF(Atletas!J382="Qiangshu Grupo C",47,IF(Atletas!J382="Nangun Grupo C",48,IF(Atletas!J382="Gunshu Grupo B",49,IF(Atletas!J382="Qiangshu Grupo B",50,IF(Atletas!J382="Nangun Grupo B",51,IF(Atletas!J382="Gunshu Grupo A",52,IF(Atletas!J382="Qiangshu Grupo A",53,IF(Atletas!J382="Nangun Grupo A",54,IF(Atletas!J382="Gunshu Opcional",55,IF(Atletas!J382="Qiangshu Opcional",56,IF(Atletas!J382="Nangun Opcional",57,IF(Atletas!J382="Gunshu Adulto",58,IF(Atletas!J382="Qiangshu Adulto",59,IF(Atletas!J382="Nangun Adulto",60,IF(Atletas!J382="Taijishan Grupo B",61,IF(Atletas!J382="Taijishan Grupo A",62,""))))))))))))))))))))))</f>
        <v/>
      </c>
      <c r="BM391" s="50" t="str">
        <f>IF(Atletas!K382="","",IF(Atletas!B382="Feminino",100,IF(Atletas!B382="Masculino",200,""))+(IF(Atletas!K382="Equipe 1 Grupo B",1,IF(Atletas!K382="Equipe 2 Grupo B",2,IF(Atletas!K382="Equipe 1 Grupo A",3,IF(Atletas!K382="Equipe 2 Grupo A",4,IF(Atletas!K382="Equipe 1 Adulto",5,IF(Atletas!K382="Equipe 2 Adulto",6,""))))))))</f>
        <v/>
      </c>
      <c r="BR391" s="50" t="str">
        <f>IF(Atletas!L382="","",IF(Atletas!X382&lt;&gt;"",10000,0)+(IF(Atletas!B382="Feminino",1000,IF(Atletas!B382="Masculino",2000,""))+IF(Atletas!L382="Choylayfut A",1,IF(Atletas!L382="Hunggar A",2,IF(Atletas!L382="Wuzuquan A",3,IF(Atletas!L382="Wingchun A",4,IF(Atletas!L382="Outra Mão de Sul A",5,IF(Atletas!L382="Choylayfut B",6,IF(Atletas!L382="Hunggar B",7,IF(Atletas!L382="Wuzuquan B",8,IF(Atletas!L382="Wingchun B",9,IF(Atletas!L382="Outra Mão de Sul B",10,IF(Atletas!L382="Choylayfut C",11,IF(Atletas!L382="Hunggar C",12,IF(Atletas!L382="Wuzuquan C",13,IF(Atletas!L382="Wingchun C",14,IF(Atletas!L382="Outra Mão de Sul C",15,IF(Atletas!L382="Choylayfut D",16,IF(Atletas!L382="Hunggar D",17,IF(Atletas!L382="Wuzuquan D",18,IF(Atletas!L382="Wingchun D",19,IF(Atletas!L382="Outra Mão de Sul D",20,IF(Atletas!L382="Choylayfut E",21,IF(Atletas!L382="Hunggar E",22,IF(Atletas!L382="Wuzuquan E",23,IF(Atletas!L382="Wingchun E",24,IF(Atletas!L382="Outra Mão de Sul E",25,IF(Atletas!L382="Choylayfut F",26,IF(Atletas!L382="Hunggar F",27,IF(Atletas!L382="Wuzuquan F",28,IF(Atletas!L382="Wingchun F",29,IF(Atletas!L382="Outra Mão de Sul F",30,IF(Atletas!L382="Dishuquan A",31,IF(Atletas!L382="Dishuquan B",32,IF(Atletas!L382="Dishuquan C",33,IF(Atletas!L382="Dishuquan D",34,IF(Atletas!L382="Dishuquan E",35,IF(Atletas!L382="Dishuquan F",36,""))))))))))))))))))))))))))))))))))))))</f>
        <v/>
      </c>
      <c r="BS391" s="50" t="str">
        <f>IF(Atletas!M382="","",IF(Atletas!X382&lt;&gt;"",10000,0)+(IF(Atletas!B382="Feminino",1000,IF(Atletas!B382="Masculino",2000,""))+(IF(Atletas!M382="Chaquan A",101,IF(Atletas!M382="Emeiquan A",102,IF(Atletas!M382="Fanziquan A",103,IF(Atletas!M382="Huaquan A",104,IF(Atletas!M382="Hongquan A",105,IF(Atletas!M382="Paoquan A",106,IF(Atletas!M382="Piguaquan A",107,IF(Atletas!M382="Shaolinquan A",108,IF(Atletas!M382="Tanglangquan A",109,IF(Atletas!M382="Yingzhaoquan A",110,IF(Atletas!M382="Tongbeiquan A",111,IF(Atletas!M382="Wudangquan A",112,IF(Atletas!M382="Outros Estilos A",113,IF(Atletas!M382="Chaquan B",114,IF(Atletas!M382="Emeiquan B",115,IF(Atletas!M382="Fanziquan B",116,IF(Atletas!M382="Huaquan B",117,IF(Atletas!M382="Hongquan B",118,IF(Atletas!M382="Paoquan B",119,IF(Atletas!M382="Piguaquan B",120,IF(Atletas!M382="Shaolinquan B",121,IF(Atletas!M382="Tanglangquan B",122,IF(Atletas!M382="Yingzhaoquan B",123,IF(Atletas!M382="Tongbeiquan B",124,IF(Atletas!M382="Wudangquan B",125,IF(Atletas!M382="Outros Estilos B",126,IF(Atletas!M382="Chaquan C",127,IF(Atletas!M382="Emeiquan C",128,IF(Atletas!M382="Fanziquan C",129,IF(Atletas!M382="Huaquan C",130,IF(Atletas!M382="Hongquan C",131,IF(Atletas!M382="Paoquan C",132,IF(Atletas!M382="Piguaquan C",133,IF(Atletas!M382="Shaolinquan C",134,IF(Atletas!M382="Tanglangquan C",135,IF(Atletas!M382="Yingzhaoquan C",136,IF(Atletas!M382="Tongbeiquan C",137,IF(Atletas!M382="Wudangquan C",138,IF(Atletas!M382="Outros Estilos C",139,0))))))))))))))))))))))))))))))))))))))))))</f>
        <v/>
      </c>
      <c r="BT391" s="50" t="str">
        <f>IF(Atletas!M382="","",IF(Atletas!X382&lt;&gt;"",10000,0)+(IF(Atletas!B382="Feminino",1000,IF(Atletas!B382="Masculino",2000,""))+(IF(Atletas!M382="Chaquan D",140,IF(Atletas!M382="Emeiquan D",141,IF(Atletas!M382="Fanziquan D",142,IF(Atletas!M382="Huaquan D",143,IF(Atletas!M382="Hongquan D",144,IF(Atletas!M382="Paoquan D",145,IF(Atletas!M382="Piguaquan D",146,IF(Atletas!M382="Shaolinquan D",147,IF(Atletas!M382="Tanglangquan D",148,IF(Atletas!M382="Yingzhaoquan D",149,IF(Atletas!M382="Tongbeiquan D",150,IF(Atletas!M382="Wudangquan D",151,IF(Atletas!M382="Outros Estilos D",152,IF(Atletas!M382="Chaquan E",153,IF(Atletas!M382="Emeiquan E",154,IF(Atletas!M382="Fanziquan E",155,IF(Atletas!M382="Huaquan E",156,IF(Atletas!M382="Hongquan E",157,IF(Atletas!M382="Paoquan E",158,IF(Atletas!M382="Piguaquan E",159,IF(Atletas!M382="Shaolinquan E",160,IF(Atletas!M382="Tanglangquan E",161,IF(Atletas!M382="Yingzhaoquan E",162,IF(Atletas!M382="Tongbeiquan E",163,IF(Atletas!M382="Wudangquan E",164,IF(Atletas!M382="Outros Estilos E",165,IF(Atletas!M382="Chaquan F",166,IF(Atletas!M382="Emeiquan F",167,IF(Atletas!M382="Fanziquan F",168,IF(Atletas!M382="Huaquan F",169,IF(Atletas!M382="Hongquan F",170,IF(Atletas!M382="Paoquan F",171,IF(Atletas!M382="Piguaquan F",172,IF(Atletas!M382="Shaolinquan F",173,IF(Atletas!M382="Tanglangquan F",174,IF(Atletas!M382="Yingzhaoquan F",175,IF(Atletas!M382="Tongbeiquan F",176,IF(Atletas!M382="Wudangquan F",177,IF(Atletas!M382="Outros Estilos F",178,0))))))))))))))))))))))))))))))))))))))))))</f>
        <v/>
      </c>
      <c r="BU391" s="50" t="str">
        <f>IF(Atletas!N382="","",IF(Atletas!X382&lt;&gt;"",10000,0)+(IF(Atletas!B382="Feminino",1000,IF(Atletas!B382="Masculino",2000,""))+(IF(Atletas!N382="Ditangquan A",201,IF(Atletas!N382="Houquan A",202,IF(Atletas!N382="Zuiquan A",203,IF(Atletas!N382="Ditangquan B",204,IF(Atletas!N382="Houquan B",205,IF(Atletas!N382="Zuiquan B",206,IF(Atletas!N382="Ditangquan C",207,IF(Atletas!N382="Houquan C",208,IF(Atletas!N382="Zuiquan C",209,IF(Atletas!N382="Ditangquan D",210,IF(Atletas!N382="Houquan D",211,IF(Atletas!N382="Zuiquan D",212,IF(Atletas!N382="Ditangquan E",213,IF(Atletas!N382="Houquan E",214,IF(Atletas!N382="Zuiquan E",215,IF(Atletas!N382="Ditangquan F",216,IF(Atletas!N382="Houquan F",217,IF(Atletas!N382="Zuiquan F",218,"")))))))))))))))))))))</f>
        <v/>
      </c>
      <c r="BV391" s="50" t="str">
        <f>IF(Atletas!O382="","",IF(Atletas!X382&lt;&gt;"",10000,0)+IF(Atletas!B382="Feminino",1000,IF(Atletas!B382="Masculino",2000,""))+IF(Atletas!O382="Yang A",301,IF(Atletas!O382="Chen A",302,IF(Atletas!O382="Sun A",303,IF(Atletas!O382="Wu A",304,IF(Atletas!O382="Wu-Hao A",305,IF(Atletas!O382="Outro Taijiquan A",306,IF(Atletas!O382="Yang B",307,IF(Atletas!O382="Chen B",308,IF(Atletas!O382="Sun B",309,IF(Atletas!O382="Wu B",310,IF(Atletas!O382="Wu-Hao B",311,IF(Atletas!O382="Outro Taijiquan B",312,IF(Atletas!O382="Yang C",313,IF(Atletas!O382="Chen C",314,IF(Atletas!O382="Sun C",315,IF(Atletas!O382="Wu C",316,IF(Atletas!O382="Wu-Hao C",317,IF(Atletas!O382="Outro Taijiquan C",318,IF(Atletas!O382="Yang D",319,IF(Atletas!O382="Chen D",320,IF(Atletas!O382="Sun D",321,IF(Atletas!O382="Wu D",322,IF(Atletas!O382="Wu-Hao D",323,IF(Atletas!O382="Outro Taijiquan D",324,IF(Atletas!O382="Yang E",325,IF(Atletas!O382="Chen E",326,IF(Atletas!O382="Sun E",327,IF(Atletas!O382="Wu E",328,IF(Atletas!O382="Wu-Hao E",329,IF(Atletas!O382="Outro Taijiquan E",330,IF(Atletas!O382="Yang F",331,IF(Atletas!O382="Chen F",332,IF(Atletas!O382="Sun F",333,IF(Atletas!O382="Wu F",334,IF(Atletas!O382="Wu-Hao F",335,IF(Atletas!O382="Outro Taijiquan F",336,"")))))))))))))))))))))))))))))))))))))</f>
        <v/>
      </c>
      <c r="BW391" s="50" t="str">
        <f>IF(Atletas!P382="","",IF(Atletas!X382&lt;&gt;"",10000,0)+IF(Atletas!B382="Feminino",1000,IF(Atletas!B382="Masculino",2000,""))+IF(OR(Atletas!P382="Yang 26 A",Atletas!P382="Yang 40 A"),401,IF(OR(Atletas!P382="Chen 25 A",Atletas!P382="Chen 36 A",Atletas!P382="Chen 56 A"),402,IF(Atletas!P382="Sun 73 A",403,IF(Atletas!P382="Wu 45 A",404,IF(Atletas!P382="Wu-Hao 46 A",405,IF(OR(Atletas!P382="Taijiquan 16 A",Atletas!P382="Taijiquan 24 A",Atletas!P382="Taijiquan 32 A",Atletas!P382="Taijiquan 42 A"),406,IF(OR(Atletas!P382="Yang 26 B",Atletas!P382="Yang 40 B"),407,IF(OR(Atletas!P382="Chen 25 B",Atletas!P382="Chen 36 B",Atletas!P382="Chen 56 B"),408,IF(Atletas!P382="Sun 73 B",409,IF(Atletas!P382="Wu 45 B",410,IF(Atletas!P382="Wu-Hao 46 B",411,IF(OR(Atletas!P382="Taijiquan 16 B",Atletas!P382="Taijiquan 24 B",Atletas!P382="Taijiquan 32 B",Atletas!P382="Taijiquan 42 B"),412,IF(OR(Atletas!P382="Yang 26 C",Atletas!P382="Yang 40 C"),413,IF(OR(Atletas!P382="Chen 25 C",Atletas!P382="Chen 36 C",Atletas!P382="Chen 56 C"),414,IF(Atletas!P382="Sun 73 C",415,IF(Atletas!P382="Wu 45 C",416,IF(Atletas!P382="Wu-Hao 46 C",417,IF(OR(Atletas!P382="Taijiquan 16 C",Atletas!P382="Taijiquan 24 C",Atletas!P382="Taijiquan 32 C",Atletas!P382="Taijiquan 42 C"),418,0)))))))))))))))))))</f>
        <v/>
      </c>
      <c r="BX391" s="50" t="str">
        <f>IF(Atletas!P382="","",IF(Atletas!X382&lt;&gt;"",10000,0)+IF(Atletas!B382="Feminino",1000,IF(Atletas!B382="Masculino",2000,""))+IF(OR(Atletas!P382="Yang 26 D",Atletas!P382="Yang 40 D"),419,IF(OR(Atletas!P382="Chen 25 D",Atletas!P382="Chen 36 D",Atletas!P382="Chen 56 D"),420,IF(Atletas!P382="Sun 73 D",421,IF(Atletas!P382="Wu 45 D",422,IF(Atletas!P382="Wu-Hao 46 D",423,IF(OR(Atletas!P382="Taijiquan 16 D",Atletas!P382="Taijiquan 24 D",Atletas!P382="Taijiquan 32 D",Atletas!P382="Taijiquan 42 D"),424,IF(OR(Atletas!P382="Yang 26 E",Atletas!P382="Yang 40 E"),425,IF(OR(Atletas!P382="Chen 25 E",Atletas!P382="Chen 36 E",Atletas!P382="Chen 56 E"),426,IF(Atletas!P382="Sun 73 E",427,IF(Atletas!P382="Wu 45 E",428,IF(Atletas!P382="Wu-Hao 46 E",429,IF(OR(Atletas!P382="Taijiquan 16 E",Atletas!P382="Taijiquan 24 E",Atletas!P382="Taijiquan 32 E",Atletas!P382="Taijiquan 42 E"),430,IF(OR(Atletas!P382="Yang 26 F",Atletas!P382="Yang 40 F"),431,IF(OR(Atletas!P382="Chen 25 F",Atletas!P382="Chen 36 F",Atletas!P382="Chen 56 F"),432,IF(Atletas!P382="Sun 73 F",433,IF(Atletas!P382="Wu 45 F",434,IF(Atletas!P382="Wu-Hao 46 F",435,IF(OR(Atletas!P382="Taijiquan 16 F",Atletas!P382="Taijiquan 24 F",Atletas!P382="Taijiquan 32 F",Atletas!P382="Taijiquan 42 F"),436,0)))))))))))))))))))</f>
        <v/>
      </c>
      <c r="BY391" s="50" t="str">
        <f>IF(Atletas!Q382="","",IF(Atletas!X382&lt;&gt;"",10000,0)+IF(Atletas!B382="Feminino",1000,IF(Atletas!B382="Masculino",2000,""))+IF(Atletas!Q382="Xingyiquan A",501,IF(Atletas!Q382="Baguazhang A",502,IF(Atletas!Q382="Outro Estilo Interno A",503,IF(Atletas!Q382="Xingyiquan B",504,IF(Atletas!Q382="Baguazhang B",505,IF(Atletas!Q382="Outro Estilo Interno B",506,IF(Atletas!Q382="Xingyiquan C",507,IF(Atletas!Q382="Baguazhang C",508,IF(Atletas!Q382="Outro Estilo Interno C",509,IF(Atletas!Q382="Xingyiquan D",510,IF(Atletas!Q382="Baguazhang D",511,IF(Atletas!Q382="Outro Estilo Interno D",512,IF(Atletas!Q382="Xingyiquan E",513,IF(Atletas!Q382="Baguazhang E",514,IF(Atletas!Q382="Outro Estilo Interno E",515,IF(Atletas!Q382="Xingyiquan F",516,IF(Atletas!Q382="Baguazhang F",517,IF(Atletas!Q382="Outro Estilo Interno F",518, "")))))))))))))))))))</f>
        <v/>
      </c>
      <c r="BZ391" s="50" t="str">
        <f>IF(Atletas!R382="","",IF(Atletas!X382&lt;&gt;"",10000,0)+IF(Atletas!B382="Feminino",1000,IF(Atletas!B382="Masculino",2000,""))+IF(Atletas!R382="Dao A",601,IF(Atletas!R382="Jian A",602,IF(Atletas!R382="Bishou A",603,IF(Atletas!R382="Shanzi A",604,IF(Atletas!R382="Outra Arma Curta A",605,IF(Atletas!R382="Dao B",606,IF(Atletas!R382="Jian B",607,IF(Atletas!R382="Bishou B",608,IF(Atletas!R382="Shanzi B",609,IF(Atletas!R382="Outra Arma Curta B",610,IF(Atletas!R382="Dao C",611,IF(Atletas!R382="Jian C",612,IF(Atletas!R382="Bishou C",613,IF(Atletas!R382="Shanzi C",614,IF(Atletas!R382="Outra Arma Curta C",615,IF(Atletas!R382="Dao D",616,IF(Atletas!R382="Jian D",617,IF(Atletas!R382="Bishou D",618,IF(Atletas!R382="Shanzi D",619,IF(Atletas!R382="Outra Arma Curta D",620,IF(Atletas!R382="Dao E",621,IF(Atletas!R382="Jian E",622,IF(Atletas!R382="Bishou E",623,IF(Atletas!R382="Shanzi E",624,IF(Atletas!R382="Outra Arma Curta E",625,IF(Atletas!R382="Dao F",626,IF(Atletas!R382="Jian F",627,IF(Atletas!R382="Bishou F",628,IF(Atletas!R382="Shanzi F",629,IF(Atletas!R382="Outra Arma Curta F",630, "")))))))))))))))))))))))))))))))</f>
        <v/>
      </c>
      <c r="CA391" s="50" t="str">
        <f>IF(Atletas!S382="","",IF(Atletas!X382&lt;&gt;"",10000,0)+IF(Atletas!B382="Feminino",1000,IF(Atletas!B382="Masculino",2000,""))+IF(Atletas!S382="Gun A",701,IF(Atletas!S382="Qiang A",702,IF(Atletas!S382="Pudao / Guandao A",703,IF(Atletas!S382="Outra Arma Longa A",704,IF(Atletas!S382="Gun B",705,IF(Atletas!S382="Qiang B",706,IF(Atletas!S382="Pudao / Guandao B",707,IF(Atletas!S382="Outra Arma Longa B",708,IF(Atletas!S382="Gun C",709,IF(Atletas!S382="Qiang C",710,IF(Atletas!S382="Pudao / Guandao C",711,IF(Atletas!S382="Outra Arma Longa C",712,IF(Atletas!S382="Gun D",713,IF(Atletas!S382="Qiang D",714,IF(Atletas!S382="Pudao / Guandao D",715,IF(Atletas!S382="Outra Arma Longa D",716,IF(Atletas!S382="Gun E",717,IF(Atletas!S382="Qiang E",718,IF(Atletas!S382="Pudao / Guandao E",719,IF(Atletas!S382="Outra Arma Longa E",720,IF(Atletas!S382="Gun F",721,IF(Atletas!S382="Qiang F",722,IF(Atletas!S382="Pudao / Guandao F",723,IF(Atletas!S382="Outra Arma Longa F",724,"")))))))))))))))))))))))))</f>
        <v/>
      </c>
      <c r="CB391" s="50" t="str">
        <f>IF(Atletas!T382="","",IF(Atletas!X382&lt;&gt;"",10000,0)+IF(Atletas!B382="Feminino",1000,IF(Atletas!B382="Masculino",2000,""))+IF(Atletas!T382="Outra Arma Dupla A",801,IF(Atletas!T382="Arma Maleável A",802,IF(Atletas!T382="Outra Arma Dupla B",803,IF(Atletas!T382="Arma Maleável B",804,IF(Atletas!T382="Outra Arma Dupla C",805,IF(Atletas!T382="Arma Maleável C",806,IF(Atletas!T382="Outra Arma Dupla D",807,IF(Atletas!T382="Arma Maleável D",808,IF(Atletas!T382="Outra Arma Dupla E",809,IF(Atletas!T382="Arma Maleável E",810,IF(Atletas!T382="Outra Arma Dupla F",811,IF(Atletas!T382="Arma Maleável F",812,IF(Atletas!T382="Shuangdao A",813,IF(Atletas!T382="Shuangdao B",814,IF(Atletas!T382="Shuangdao C",815,IF(Atletas!T382="Shuangdao D",816,IF(Atletas!T382="Shuangdao E",817,IF(Atletas!T382="Shuangdao F",818,"")))))))))))))))))))</f>
        <v/>
      </c>
      <c r="CC391" s="50" t="str">
        <f>IF(Atletas!U382="","",IF(Atletas!X382&lt;&gt;"",10000,0)+IF(Atletas!B382="Feminino",1000,IF(Atletas!B382="Masculino",2000,""))+IF(OR(Atletas!U382="Taijijian Yang A",Atletas!U382="Taijijian Yang Standard A"),901,IF(OR(Atletas!U382="Taijijian Chen A", Atletas!U382="Taijijian Chen Standard A"),902,IF(Atletas!U382="Taijijian Sun A",903,IF(Atletas!U382="Taijijian Wu A",904,IF(Atletas!U382="Taijijian Wu-Hao A",905,IF(OR(Atletas!U382="Taijijian 32 A",Atletas!U382="Taijijian 42 A"),906,IF(OR(Atletas!U382="Taijijian Yang B",Atletas!U382="Taijijian Yang Standard B"),907,IF(OR(Atletas!U382="Taijijian Chen B", Atletas!U382="Taijijian Chen Standard B"),908,IF(Atletas!U382="Taijijian Sun B",909,IF(Atletas!U382="Taijijian Wu B",910,IF(Atletas!U382="Taijijian Wu-Hao B",911,IF(OR(Atletas!U382="Taijijian 32 B",Atletas!U382="Taijijian 42 B"),912,IF(OR(Atletas!U382="Taijijian Yang C",Atletas!U382="Taijijian Yang Standard C"),913,IF(OR(Atletas!U382="Taijijian Chen C", Atletas!U382="Taijijian Chen Standard C"),914,IF(Atletas!U382="Taijijian Sun C",915,IF(Atletas!U382="Taijijian Wu C",916,IF(Atletas!U382="Taijijian Wu-Hao C",917,IF(OR(Atletas!U382="Taijijian 32 C",Atletas!U382="Taijijian 42 C"),918,IF(OR(Atletas!U382="Taijijian Yang D",Atletas!U382="Taijijian Yang Standard D"),919,IF(OR(Atletas!U382="Taijijian Chen D", Atletas!U382="Taijijian Chen Standard D"),920,IF(Atletas!U382="Taijijian Sun D",921,IF(Atletas!U382="Taijijian Wu D",922,IF(Atletas!U382="Taijijian Wu-Hao D",923,IF(OR(Atletas!U382="Taijijian 32 D",Atletas!U382="Taijijian 42 D"),924,IF(OR(Atletas!U382="Taijijian Yang E",Atletas!U382="Taijijian Yang Standard E"),925,IF(OR(Atletas!U382="Taijijian Chen E", Atletas!U382="Taijijian Chen Standard E"),926,IF(Atletas!U382="Taijijian Sun E",927,IF(Atletas!U382="Taijijian Wu E",928,IF(Atletas!U382="Taijijian Wu-Hao E",929,IF(OR(Atletas!U382="Taijijian 32 E",Atletas!U382="Taijijian 42 E"),930,IF(OR(Atletas!U382="Taijijian Yang F",Atletas!U382="Taijijian Yang Standard F"),931,IF(OR(Atletas!U382="Taijijian Chen F", Atletas!U382="Taijijian Chen Standard F"),932,IF(Atletas!U382="Taijijian Sun F",933,IF(Atletas!U382="Taijijian Wu F",934,IF(Atletas!U382="Taijijian Wu-Hao F",935,IF(OR(Atletas!U382="Taijijian 32 F",Atletas!U382="Taijijian 42 F"),936,"")))))))))))))))))))))))))))))))))))))</f>
        <v/>
      </c>
      <c r="CD391" s="50" t="str">
        <f>IF(Atletas!V382="","",IF(Atletas!X382&lt;&gt;"",10000,0)+IF(Atletas!B382="Feminino",1000,IF(Atletas!B382="Masculino",2000,""))+IF(Atletas!V382="Taijidao A",937,IF(Atletas!V382="TaijiShanzi A",938,IF(Atletas!V382="Taijiqiang A",939,IF(Atletas!V382="Bagua de Arma A",940,IF(Atletas!V382="Xingyi de Arma A",941,IF(Atletas!V382="Taijidao B",942,IF(Atletas!V382="TaijiShanzi B",943,IF(Atletas!V382="Taijiqiang B",944,IF(Atletas!V382="Bagua de Arma B",945,IF(Atletas!V382="Xingyi de Arma B",946,IF(Atletas!V382="Taijidao C",947,IF(Atletas!V382="TaijiShanzi C",948,IF(Atletas!V382="Taijiqiang C",949,IF(Atletas!V382="Bagua de Arma C",950,IF(Atletas!V382="Xingyi de Arma C",951,IF(Atletas!V382="Taijidao D",952,IF(Atletas!V382="TaijiShanzi D",953,IF(Atletas!V382="Taijiqiang D",954,IF(Atletas!V382="Bagua de Arma D",955,IF(Atletas!V382="Xingyi de Arma D",956,IF(Atletas!V382="Taijidao E",957,IF(Atletas!V382="TaijiShanzi E",958,IF(Atletas!V382="Taijiqiang E",959,IF(Atletas!V382="Bagua de Arma E",960,IF(Atletas!V382="Xingyi de Arma E",961,IF(Atletas!V382="Taijidao F",962,IF(Atletas!V382="TaijiShanzi F",963,IF(Atletas!V382="Taijiqiang F",964,IF(Atletas!V382="Bagua de Arma F",965,IF(Atletas!V382="Xingyi de Arma F",966,"")))))))))))))))))))))))))))))))</f>
        <v/>
      </c>
      <c r="CJ391" s="66"/>
      <c r="CL391" s="66"/>
      <c r="CM391" s="50" t="str">
        <f xml:space="preserve"> IF(Atletas!W382="","",IF(Atletas!W382="Duilian de Mãos BC - Equipe 1",1,IF(Atletas!W382="Duilian de Mãos BC - Equipe 2",2,IF(Atletas!W382="Duilian de Armas BC - Equipe 1",3,IF(Atletas!W382="Duilian de Armas BC - Equipe 2",4,IF(Atletas!W382="Duilian de Mãos DE - Equipe 1",5,IF(Atletas!W382="Duilian de Mãos DE - Equipe 2",6,IF(Atletas!W382="Duilian de Armas DE - Equipe 1",7,IF(Atletas!W382="Duilian de Armas DE - Equipe 2",8,IF(Atletas!W382="Duilian de Tuishou - Equipe 1",9,IF(Atletas!W382="Duilian de Tuishou - Equipe 2",10,IF(Atletas!W382="Grupo Externo ABC - Equipe 1",11,IF(Atletas!W382="Grupo Externo ABC - Equipe 2",12,IF(Atletas!W382="Grupo Interno ABC - Equipe 1",13,IF(Atletas!W382="Grupo Interno ABC - Equipe 2",14,IF(Atletas!W382="Grupo Externo DEF - Equipe 1",15,IF(Atletas!W382="Grupo Externo DEF - Equipe 2",16,IF(Atletas!W382="Grupo Interno DEF - Equipe 1",17,IF(Atletas!W382="Grupo Interno DEF - Equipe 2",18,"")))))))))))))))))))</f>
        <v/>
      </c>
    </row>
    <row r="392" spans="40:91">
      <c r="AN392" s="52" t="str">
        <f>IF(Atletas!D383="","",IF(Atletas!B383="Feminino",100,IF(Atletas!B383="Masculino",200,""))+(IF(Atletas!D383="Kids 30kg",1,IF(Atletas!D383="Kids 32kg",2, IF(Atletas!D383="Kids 34kg",3,IF(Atletas!D383="Kids 36kg",4,IF(Atletas!D383="Kids 39kg",5,IF(Atletas!D383="Kids 42kg",6,IF(Atletas!D383="Kids 45kg",7, IF(Atletas!D383="Infantil 39kg",8,IF(Atletas!D383="Infantil 42kg",9,IF(Atletas!D383="Infantil 45kg",10,IF(Atletas!D383="Infantil 48kg",11,IF(Atletas!D383="Infantil 52kg",12,IF(Atletas!D383="Infantil 56kg",13,IF(Atletas!D383="Infantil 60kg",14,IF(Atletas!D383="Juvenil 48kg",15,IF(Atletas!D383="Juvenil 52kg",16,IF(Atletas!D383="Juvenil 56kg",17,IF(Atletas!D383="Juvenil 60kg",18,IF(Atletas!D383="Juvenil 65kg",19,IF(Atletas!D383="Juvenil 70kg",20,IF(Atletas!D383="Juvenil 75kg",21,IF(Atletas!D383="Juvenil 80kg",22, IF(Atletas!D383="Juvenil 85kg",23,IF(Atletas!D383="Adulto 48kg",24,IF(Atletas!D383="Adulto 52kg",25,IF(Atletas!D383="Adulto 56kg",26,IF(Atletas!D383="Adulto 60kg",27,IF(Atletas!D383="Adulto 65kg",28,IF(Atletas!D383="Adulto 70kg",29,IF(Atletas!D383="Adulto 75kg",30,IF(Atletas!D383="Adulto 80kg",31,IF(Atletas!D383="Adulto 85kg",32,IF(Atletas!D383="Adulto 90kg",33,IF(Atletas!D383="Adulto 100kg",34, IF(Atletas!D383="Adulto +100kg",35,"")))))))))))))))))))))))))))))))))))))</f>
        <v/>
      </c>
      <c r="AS392" s="6" t="str">
        <f>IF(Atletas!E383="","",IF(Atletas!B383="Feminino",100,IF(Atletas!B383="Masculino",200,""))+(IF(Atletas!E383="Juvenil 44kg",1,IF(Atletas!E383="Juvenil 48kg",2,IF(Atletas!E383="Juvenil 52kg",3,IF(Atletas!E383="Juvenil 56kg",4,IF(Atletas!E383="Juvenil 60kg",5,IF(Atletas!E383="Juvenil 65kg",6,IF(Atletas!E383="Juvenil 70kg",7,IF(Atletas!E383="Juvenil 75kg",8,IF(Atletas!E383="Juvenil 82kg",9,IF(Atletas!E383="Juvenil 90kg",10,IF(Atletas!E383="Juvenil 100kg",11,IF(Atletas!E383="Adulto 48kg",12,IF(Atletas!E383="Adulto 52kg",13,IF(Atletas!E383="Adulto 56kg",14,IF(Atletas!E383="Adulto 60kg",15,IF(Atletas!E383="Adulto 65kg",16,IF(Atletas!E383="Adulto 70kg",17,IF(Atletas!E383="Adulto 75kg",18,IF(Atletas!E383="Adulto 82kg",19,IF(Atletas!E383="Adulto 90kg",20,IF(Atletas!E383="Adulto 100kg",21,IF(Atletas!E383="Adulto +100kg",22,""))))))))))))))))))))))))</f>
        <v/>
      </c>
      <c r="AX392" s="6" t="str">
        <f>IF(Atletas!F383="","",IF(Atletas!B383="Feminino",100,IF(Atletas!B383="Masculino",200,""))+(IF(Atletas!F383="Adulto 48kg",1,IF(Atletas!F383="Adulto 56kg",2,IF(Atletas!F383="Adulto 65kg",3,IF(Atletas!F383="Adulto 75kg",4,IF(Atletas!F383="Adulto +75kg",5,IF(Atletas!F383="Adulto 52kg",6,IF(Atletas!F383="Adulto 60kg",7,IF(Atletas!F383="Adulto 70kg",8,IF(Atletas!F383="Adulto 80kg",9,IF(Atletas!F383="Adulto 90kg",10,IF(Atletas!F383="Adulto +90kg",11,"")))))))))))))</f>
        <v/>
      </c>
      <c r="BC392" s="6" t="str">
        <f>IF(Atletas!G383="","",IF(Atletas!B383="Feminino",10,IF(Atletas!B383="Masculino",20,""))+(IF(Atletas!G383="Baduanjin A",1,IF(Atletas!G383="Baduanjin B",2))))</f>
        <v/>
      </c>
      <c r="BF392" s="52" t="str">
        <f>IF(Atletas!H383="","",IF(Atletas!B383="Feminino",100,IF(Atletas!B383="Masculino",200,""))+(IF(Atletas!H383="Changquan Mirim",1,IF(Atletas!H383="Nanquan Mirim",2,IF(Atletas!H383="Taijiquan Mirim",3,IF(Atletas!H383="Changquan Grupo C",4,IF(Atletas!H383="Nanquan Grupo C",5,IF(Atletas!H383="Taijiquan Grupo C",6,IF(Atletas!H383="Changquan Grupo B",7,IF(Atletas!H383="Nanquan Grupo B",8,IF(Atletas!H383="Taijiquan Grupo B",9,IF(Atletas!H383="Changquan Grupo A",10,IF(Atletas!H383="Nanquan Grupo A",11,IF(Atletas!H383="Taijiquan Grupo A",12,IF(Atletas!H383="Changquan Opcional",13,IF(Atletas!H383="Nanquan Opcional",14,IF(Atletas!H383="Taijiquan Opcional",15,IF(Atletas!H383="Changquan Adulto",16,IF(Atletas!H383="Nanquan Adulto",17,IF(Atletas!H383="Taijiquan Adulto",18,""))))))))))))))))))))</f>
        <v/>
      </c>
      <c r="BG392" s="52" t="str">
        <f>IF(Atletas!I383="","",IF(Atletas!B383="Feminino",100,IF(Atletas!B383="Masculino",200,""))+(IF(Atletas!I383="Daoshu Mirim",19,IF(Atletas!I383="Jianshu Mirim",20,IF(Atletas!I383="Nandao Mirim",21,IF(Atletas!I383="Taijijian Mirim",22,IF(Atletas!I383="Daoshu Grupo C",23,IF(Atletas!I383="Jianshu Grupo C",24,IF(Atletas!I383="Nandao Grupo C",25,IF(Atletas!I383="Taijijian Grupo C",26,IF(Atletas!I383="Daoshu Grupo B",27,IF(Atletas!I383="Jianshu Grupo B",28,IF(Atletas!I383="Nandao Grupo B",29,IF(Atletas!I383="Taijijian Grupo B",30,IF(Atletas!I383="Daoshu Grupo A",31,IF(Atletas!I383="Jianshu Grupo A",32,IF(Atletas!I383="Nandao Grupo A",33,IF(Atletas!I383="Taijijian Grupo A",34,IF(Atletas!I383="Daoshu Opcional",35,IF(Atletas!I383="Jianshu Opcional",36,IF(Atletas!I383="Nandao Opcional",37,IF(Atletas!I383="Taijijian Opcional",38,IF(Atletas!I383="Daoshu Adulto",39,IF(Atletas!I383="Jianshu Adulto",40,IF(Atletas!I383="Nandao Adulto",41,IF(Atletas!I383="Taijijian Adulto",42,""))))))))))))))))))))))))))</f>
        <v/>
      </c>
      <c r="BH392" s="52" t="str">
        <f>IF(Atletas!J383="","",IF(Atletas!B383="Feminino",100,IF(Atletas!B383="Masculino",200,""))+(IF(Atletas!J383="Gunshu Mirim",43,IF(Atletas!J383="Qiangshu Mirim",44,IF(Atletas!J383="Nangun Mirim",45,IF(Atletas!J383="Gunshu Grupo C",46,IF(Atletas!J383="Qiangshu Grupo C",47,IF(Atletas!J383="Nangun Grupo C",48,IF(Atletas!J383="Gunshu Grupo B",49,IF(Atletas!J383="Qiangshu Grupo B",50,IF(Atletas!J383="Nangun Grupo B",51,IF(Atletas!J383="Gunshu Grupo A",52,IF(Atletas!J383="Qiangshu Grupo A",53,IF(Atletas!J383="Nangun Grupo A",54,IF(Atletas!J383="Gunshu Opcional",55,IF(Atletas!J383="Qiangshu Opcional",56,IF(Atletas!J383="Nangun Opcional",57,IF(Atletas!J383="Gunshu Adulto",58,IF(Atletas!J383="Qiangshu Adulto",59,IF(Atletas!J383="Nangun Adulto",60,IF(Atletas!J383="Taijishan Grupo B",61,IF(Atletas!J383="Taijishan Grupo A",62,""))))))))))))))))))))))</f>
        <v/>
      </c>
      <c r="BM392" s="50" t="str">
        <f>IF(Atletas!K383="","",IF(Atletas!B383="Feminino",100,IF(Atletas!B383="Masculino",200,""))+(IF(Atletas!K383="Equipe 1 Grupo B",1,IF(Atletas!K383="Equipe 2 Grupo B",2,IF(Atletas!K383="Equipe 1 Grupo A",3,IF(Atletas!K383="Equipe 2 Grupo A",4,IF(Atletas!K383="Equipe 1 Adulto",5,IF(Atletas!K383="Equipe 2 Adulto",6,""))))))))</f>
        <v/>
      </c>
      <c r="BR392" s="50" t="str">
        <f>IF(Atletas!L383="","",IF(Atletas!X383&lt;&gt;"",10000,0)+(IF(Atletas!B383="Feminino",1000,IF(Atletas!B383="Masculino",2000,""))+IF(Atletas!L383="Choylayfut A",1,IF(Atletas!L383="Hunggar A",2,IF(Atletas!L383="Wuzuquan A",3,IF(Atletas!L383="Wingchun A",4,IF(Atletas!L383="Outra Mão de Sul A",5,IF(Atletas!L383="Choylayfut B",6,IF(Atletas!L383="Hunggar B",7,IF(Atletas!L383="Wuzuquan B",8,IF(Atletas!L383="Wingchun B",9,IF(Atletas!L383="Outra Mão de Sul B",10,IF(Atletas!L383="Choylayfut C",11,IF(Atletas!L383="Hunggar C",12,IF(Atletas!L383="Wuzuquan C",13,IF(Atletas!L383="Wingchun C",14,IF(Atletas!L383="Outra Mão de Sul C",15,IF(Atletas!L383="Choylayfut D",16,IF(Atletas!L383="Hunggar D",17,IF(Atletas!L383="Wuzuquan D",18,IF(Atletas!L383="Wingchun D",19,IF(Atletas!L383="Outra Mão de Sul D",20,IF(Atletas!L383="Choylayfut E",21,IF(Atletas!L383="Hunggar E",22,IF(Atletas!L383="Wuzuquan E",23,IF(Atletas!L383="Wingchun E",24,IF(Atletas!L383="Outra Mão de Sul E",25,IF(Atletas!L383="Choylayfut F",26,IF(Atletas!L383="Hunggar F",27,IF(Atletas!L383="Wuzuquan F",28,IF(Atletas!L383="Wingchun F",29,IF(Atletas!L383="Outra Mão de Sul F",30,IF(Atletas!L383="Dishuquan A",31,IF(Atletas!L383="Dishuquan B",32,IF(Atletas!L383="Dishuquan C",33,IF(Atletas!L383="Dishuquan D",34,IF(Atletas!L383="Dishuquan E",35,IF(Atletas!L383="Dishuquan F",36,""))))))))))))))))))))))))))))))))))))))</f>
        <v/>
      </c>
      <c r="BS392" s="50" t="str">
        <f>IF(Atletas!M383="","",IF(Atletas!X383&lt;&gt;"",10000,0)+(IF(Atletas!B383="Feminino",1000,IF(Atletas!B383="Masculino",2000,""))+(IF(Atletas!M383="Chaquan A",101,IF(Atletas!M383="Emeiquan A",102,IF(Atletas!M383="Fanziquan A",103,IF(Atletas!M383="Huaquan A",104,IF(Atletas!M383="Hongquan A",105,IF(Atletas!M383="Paoquan A",106,IF(Atletas!M383="Piguaquan A",107,IF(Atletas!M383="Shaolinquan A",108,IF(Atletas!M383="Tanglangquan A",109,IF(Atletas!M383="Yingzhaoquan A",110,IF(Atletas!M383="Tongbeiquan A",111,IF(Atletas!M383="Wudangquan A",112,IF(Atletas!M383="Outros Estilos A",113,IF(Atletas!M383="Chaquan B",114,IF(Atletas!M383="Emeiquan B",115,IF(Atletas!M383="Fanziquan B",116,IF(Atletas!M383="Huaquan B",117,IF(Atletas!M383="Hongquan B",118,IF(Atletas!M383="Paoquan B",119,IF(Atletas!M383="Piguaquan B",120,IF(Atletas!M383="Shaolinquan B",121,IF(Atletas!M383="Tanglangquan B",122,IF(Atletas!M383="Yingzhaoquan B",123,IF(Atletas!M383="Tongbeiquan B",124,IF(Atletas!M383="Wudangquan B",125,IF(Atletas!M383="Outros Estilos B",126,IF(Atletas!M383="Chaquan C",127,IF(Atletas!M383="Emeiquan C",128,IF(Atletas!M383="Fanziquan C",129,IF(Atletas!M383="Huaquan C",130,IF(Atletas!M383="Hongquan C",131,IF(Atletas!M383="Paoquan C",132,IF(Atletas!M383="Piguaquan C",133,IF(Atletas!M383="Shaolinquan C",134,IF(Atletas!M383="Tanglangquan C",135,IF(Atletas!M383="Yingzhaoquan C",136,IF(Atletas!M383="Tongbeiquan C",137,IF(Atletas!M383="Wudangquan C",138,IF(Atletas!M383="Outros Estilos C",139,0))))))))))))))))))))))))))))))))))))))))))</f>
        <v/>
      </c>
      <c r="BT392" s="50" t="str">
        <f>IF(Atletas!M383="","",IF(Atletas!X383&lt;&gt;"",10000,0)+(IF(Atletas!B383="Feminino",1000,IF(Atletas!B383="Masculino",2000,""))+(IF(Atletas!M383="Chaquan D",140,IF(Atletas!M383="Emeiquan D",141,IF(Atletas!M383="Fanziquan D",142,IF(Atletas!M383="Huaquan D",143,IF(Atletas!M383="Hongquan D",144,IF(Atletas!M383="Paoquan D",145,IF(Atletas!M383="Piguaquan D",146,IF(Atletas!M383="Shaolinquan D",147,IF(Atletas!M383="Tanglangquan D",148,IF(Atletas!M383="Yingzhaoquan D",149,IF(Atletas!M383="Tongbeiquan D",150,IF(Atletas!M383="Wudangquan D",151,IF(Atletas!M383="Outros Estilos D",152,IF(Atletas!M383="Chaquan E",153,IF(Atletas!M383="Emeiquan E",154,IF(Atletas!M383="Fanziquan E",155,IF(Atletas!M383="Huaquan E",156,IF(Atletas!M383="Hongquan E",157,IF(Atletas!M383="Paoquan E",158,IF(Atletas!M383="Piguaquan E",159,IF(Atletas!M383="Shaolinquan E",160,IF(Atletas!M383="Tanglangquan E",161,IF(Atletas!M383="Yingzhaoquan E",162,IF(Atletas!M383="Tongbeiquan E",163,IF(Atletas!M383="Wudangquan E",164,IF(Atletas!M383="Outros Estilos E",165,IF(Atletas!M383="Chaquan F",166,IF(Atletas!M383="Emeiquan F",167,IF(Atletas!M383="Fanziquan F",168,IF(Atletas!M383="Huaquan F",169,IF(Atletas!M383="Hongquan F",170,IF(Atletas!M383="Paoquan F",171,IF(Atletas!M383="Piguaquan F",172,IF(Atletas!M383="Shaolinquan F",173,IF(Atletas!M383="Tanglangquan F",174,IF(Atletas!M383="Yingzhaoquan F",175,IF(Atletas!M383="Tongbeiquan F",176,IF(Atletas!M383="Wudangquan F",177,IF(Atletas!M383="Outros Estilos F",178,0))))))))))))))))))))))))))))))))))))))))))</f>
        <v/>
      </c>
      <c r="BU392" s="50" t="str">
        <f>IF(Atletas!N383="","",IF(Atletas!X383&lt;&gt;"",10000,0)+(IF(Atletas!B383="Feminino",1000,IF(Atletas!B383="Masculino",2000,""))+(IF(Atletas!N383="Ditangquan A",201,IF(Atletas!N383="Houquan A",202,IF(Atletas!N383="Zuiquan A",203,IF(Atletas!N383="Ditangquan B",204,IF(Atletas!N383="Houquan B",205,IF(Atletas!N383="Zuiquan B",206,IF(Atletas!N383="Ditangquan C",207,IF(Atletas!N383="Houquan C",208,IF(Atletas!N383="Zuiquan C",209,IF(Atletas!N383="Ditangquan D",210,IF(Atletas!N383="Houquan D",211,IF(Atletas!N383="Zuiquan D",212,IF(Atletas!N383="Ditangquan E",213,IF(Atletas!N383="Houquan E",214,IF(Atletas!N383="Zuiquan E",215,IF(Atletas!N383="Ditangquan F",216,IF(Atletas!N383="Houquan F",217,IF(Atletas!N383="Zuiquan F",218,"")))))))))))))))))))))</f>
        <v/>
      </c>
      <c r="BV392" s="50" t="str">
        <f>IF(Atletas!O383="","",IF(Atletas!X383&lt;&gt;"",10000,0)+IF(Atletas!B383="Feminino",1000,IF(Atletas!B383="Masculino",2000,""))+IF(Atletas!O383="Yang A",301,IF(Atletas!O383="Chen A",302,IF(Atletas!O383="Sun A",303,IF(Atletas!O383="Wu A",304,IF(Atletas!O383="Wu-Hao A",305,IF(Atletas!O383="Outro Taijiquan A",306,IF(Atletas!O383="Yang B",307,IF(Atletas!O383="Chen B",308,IF(Atletas!O383="Sun B",309,IF(Atletas!O383="Wu B",310,IF(Atletas!O383="Wu-Hao B",311,IF(Atletas!O383="Outro Taijiquan B",312,IF(Atletas!O383="Yang C",313,IF(Atletas!O383="Chen C",314,IF(Atletas!O383="Sun C",315,IF(Atletas!O383="Wu C",316,IF(Atletas!O383="Wu-Hao C",317,IF(Atletas!O383="Outro Taijiquan C",318,IF(Atletas!O383="Yang D",319,IF(Atletas!O383="Chen D",320,IF(Atletas!O383="Sun D",321,IF(Atletas!O383="Wu D",322,IF(Atletas!O383="Wu-Hao D",323,IF(Atletas!O383="Outro Taijiquan D",324,IF(Atletas!O383="Yang E",325,IF(Atletas!O383="Chen E",326,IF(Atletas!O383="Sun E",327,IF(Atletas!O383="Wu E",328,IF(Atletas!O383="Wu-Hao E",329,IF(Atletas!O383="Outro Taijiquan E",330,IF(Atletas!O383="Yang F",331,IF(Atletas!O383="Chen F",332,IF(Atletas!O383="Sun F",333,IF(Atletas!O383="Wu F",334,IF(Atletas!O383="Wu-Hao F",335,IF(Atletas!O383="Outro Taijiquan F",336,"")))))))))))))))))))))))))))))))))))))</f>
        <v/>
      </c>
      <c r="BW392" s="50" t="str">
        <f>IF(Atletas!P383="","",IF(Atletas!X383&lt;&gt;"",10000,0)+IF(Atletas!B383="Feminino",1000,IF(Atletas!B383="Masculino",2000,""))+IF(OR(Atletas!P383="Yang 26 A",Atletas!P383="Yang 40 A"),401,IF(OR(Atletas!P383="Chen 25 A",Atletas!P383="Chen 36 A",Atletas!P383="Chen 56 A"),402,IF(Atletas!P383="Sun 73 A",403,IF(Atletas!P383="Wu 45 A",404,IF(Atletas!P383="Wu-Hao 46 A",405,IF(OR(Atletas!P383="Taijiquan 16 A",Atletas!P383="Taijiquan 24 A",Atletas!P383="Taijiquan 32 A",Atletas!P383="Taijiquan 42 A"),406,IF(OR(Atletas!P383="Yang 26 B",Atletas!P383="Yang 40 B"),407,IF(OR(Atletas!P383="Chen 25 B",Atletas!P383="Chen 36 B",Atletas!P383="Chen 56 B"),408,IF(Atletas!P383="Sun 73 B",409,IF(Atletas!P383="Wu 45 B",410,IF(Atletas!P383="Wu-Hao 46 B",411,IF(OR(Atletas!P383="Taijiquan 16 B",Atletas!P383="Taijiquan 24 B",Atletas!P383="Taijiquan 32 B",Atletas!P383="Taijiquan 42 B"),412,IF(OR(Atletas!P383="Yang 26 C",Atletas!P383="Yang 40 C"),413,IF(OR(Atletas!P383="Chen 25 C",Atletas!P383="Chen 36 C",Atletas!P383="Chen 56 C"),414,IF(Atletas!P383="Sun 73 C",415,IF(Atletas!P383="Wu 45 C",416,IF(Atletas!P383="Wu-Hao 46 C",417,IF(OR(Atletas!P383="Taijiquan 16 C",Atletas!P383="Taijiquan 24 C",Atletas!P383="Taijiquan 32 C",Atletas!P383="Taijiquan 42 C"),418,0)))))))))))))))))))</f>
        <v/>
      </c>
      <c r="BX392" s="50" t="str">
        <f>IF(Atletas!P383="","",IF(Atletas!X383&lt;&gt;"",10000,0)+IF(Atletas!B383="Feminino",1000,IF(Atletas!B383="Masculino",2000,""))+IF(OR(Atletas!P383="Yang 26 D",Atletas!P383="Yang 40 D"),419,IF(OR(Atletas!P383="Chen 25 D",Atletas!P383="Chen 36 D",Atletas!P383="Chen 56 D"),420,IF(Atletas!P383="Sun 73 D",421,IF(Atletas!P383="Wu 45 D",422,IF(Atletas!P383="Wu-Hao 46 D",423,IF(OR(Atletas!P383="Taijiquan 16 D",Atletas!P383="Taijiquan 24 D",Atletas!P383="Taijiquan 32 D",Atletas!P383="Taijiquan 42 D"),424,IF(OR(Atletas!P383="Yang 26 E",Atletas!P383="Yang 40 E"),425,IF(OR(Atletas!P383="Chen 25 E",Atletas!P383="Chen 36 E",Atletas!P383="Chen 56 E"),426,IF(Atletas!P383="Sun 73 E",427,IF(Atletas!P383="Wu 45 E",428,IF(Atletas!P383="Wu-Hao 46 E",429,IF(OR(Atletas!P383="Taijiquan 16 E",Atletas!P383="Taijiquan 24 E",Atletas!P383="Taijiquan 32 E",Atletas!P383="Taijiquan 42 E"),430,IF(OR(Atletas!P383="Yang 26 F",Atletas!P383="Yang 40 F"),431,IF(OR(Atletas!P383="Chen 25 F",Atletas!P383="Chen 36 F",Atletas!P383="Chen 56 F"),432,IF(Atletas!P383="Sun 73 F",433,IF(Atletas!P383="Wu 45 F",434,IF(Atletas!P383="Wu-Hao 46 F",435,IF(OR(Atletas!P383="Taijiquan 16 F",Atletas!P383="Taijiquan 24 F",Atletas!P383="Taijiquan 32 F",Atletas!P383="Taijiquan 42 F"),436,0)))))))))))))))))))</f>
        <v/>
      </c>
      <c r="BY392" s="50" t="str">
        <f>IF(Atletas!Q383="","",IF(Atletas!X383&lt;&gt;"",10000,0)+IF(Atletas!B383="Feminino",1000,IF(Atletas!B383="Masculino",2000,""))+IF(Atletas!Q383="Xingyiquan A",501,IF(Atletas!Q383="Baguazhang A",502,IF(Atletas!Q383="Outro Estilo Interno A",503,IF(Atletas!Q383="Xingyiquan B",504,IF(Atletas!Q383="Baguazhang B",505,IF(Atletas!Q383="Outro Estilo Interno B",506,IF(Atletas!Q383="Xingyiquan C",507,IF(Atletas!Q383="Baguazhang C",508,IF(Atletas!Q383="Outro Estilo Interno C",509,IF(Atletas!Q383="Xingyiquan D",510,IF(Atletas!Q383="Baguazhang D",511,IF(Atletas!Q383="Outro Estilo Interno D",512,IF(Atletas!Q383="Xingyiquan E",513,IF(Atletas!Q383="Baguazhang E",514,IF(Atletas!Q383="Outro Estilo Interno E",515,IF(Atletas!Q383="Xingyiquan F",516,IF(Atletas!Q383="Baguazhang F",517,IF(Atletas!Q383="Outro Estilo Interno F",518, "")))))))))))))))))))</f>
        <v/>
      </c>
      <c r="BZ392" s="50" t="str">
        <f>IF(Atletas!R383="","",IF(Atletas!X383&lt;&gt;"",10000,0)+IF(Atletas!B383="Feminino",1000,IF(Atletas!B383="Masculino",2000,""))+IF(Atletas!R383="Dao A",601,IF(Atletas!R383="Jian A",602,IF(Atletas!R383="Bishou A",603,IF(Atletas!R383="Shanzi A",604,IF(Atletas!R383="Outra Arma Curta A",605,IF(Atletas!R383="Dao B",606,IF(Atletas!R383="Jian B",607,IF(Atletas!R383="Bishou B",608,IF(Atletas!R383="Shanzi B",609,IF(Atletas!R383="Outra Arma Curta B",610,IF(Atletas!R383="Dao C",611,IF(Atletas!R383="Jian C",612,IF(Atletas!R383="Bishou C",613,IF(Atletas!R383="Shanzi C",614,IF(Atletas!R383="Outra Arma Curta C",615,IF(Atletas!R383="Dao D",616,IF(Atletas!R383="Jian D",617,IF(Atletas!R383="Bishou D",618,IF(Atletas!R383="Shanzi D",619,IF(Atletas!R383="Outra Arma Curta D",620,IF(Atletas!R383="Dao E",621,IF(Atletas!R383="Jian E",622,IF(Atletas!R383="Bishou E",623,IF(Atletas!R383="Shanzi E",624,IF(Atletas!R383="Outra Arma Curta E",625,IF(Atletas!R383="Dao F",626,IF(Atletas!R383="Jian F",627,IF(Atletas!R383="Bishou F",628,IF(Atletas!R383="Shanzi F",629,IF(Atletas!R383="Outra Arma Curta F",630, "")))))))))))))))))))))))))))))))</f>
        <v/>
      </c>
      <c r="CA392" s="50" t="str">
        <f>IF(Atletas!S383="","",IF(Atletas!X383&lt;&gt;"",10000,0)+IF(Atletas!B383="Feminino",1000,IF(Atletas!B383="Masculino",2000,""))+IF(Atletas!S383="Gun A",701,IF(Atletas!S383="Qiang A",702,IF(Atletas!S383="Pudao / Guandao A",703,IF(Atletas!S383="Outra Arma Longa A",704,IF(Atletas!S383="Gun B",705,IF(Atletas!S383="Qiang B",706,IF(Atletas!S383="Pudao / Guandao B",707,IF(Atletas!S383="Outra Arma Longa B",708,IF(Atletas!S383="Gun C",709,IF(Atletas!S383="Qiang C",710,IF(Atletas!S383="Pudao / Guandao C",711,IF(Atletas!S383="Outra Arma Longa C",712,IF(Atletas!S383="Gun D",713,IF(Atletas!S383="Qiang D",714,IF(Atletas!S383="Pudao / Guandao D",715,IF(Atletas!S383="Outra Arma Longa D",716,IF(Atletas!S383="Gun E",717,IF(Atletas!S383="Qiang E",718,IF(Atletas!S383="Pudao / Guandao E",719,IF(Atletas!S383="Outra Arma Longa E",720,IF(Atletas!S383="Gun F",721,IF(Atletas!S383="Qiang F",722,IF(Atletas!S383="Pudao / Guandao F",723,IF(Atletas!S383="Outra Arma Longa F",724,"")))))))))))))))))))))))))</f>
        <v/>
      </c>
      <c r="CB392" s="50" t="str">
        <f>IF(Atletas!T383="","",IF(Atletas!X383&lt;&gt;"",10000,0)+IF(Atletas!B383="Feminino",1000,IF(Atletas!B383="Masculino",2000,""))+IF(Atletas!T383="Outra Arma Dupla A",801,IF(Atletas!T383="Arma Maleável A",802,IF(Atletas!T383="Outra Arma Dupla B",803,IF(Atletas!T383="Arma Maleável B",804,IF(Atletas!T383="Outra Arma Dupla C",805,IF(Atletas!T383="Arma Maleável C",806,IF(Atletas!T383="Outra Arma Dupla D",807,IF(Atletas!T383="Arma Maleável D",808,IF(Atletas!T383="Outra Arma Dupla E",809,IF(Atletas!T383="Arma Maleável E",810,IF(Atletas!T383="Outra Arma Dupla F",811,IF(Atletas!T383="Arma Maleável F",812,IF(Atletas!T383="Shuangdao A",813,IF(Atletas!T383="Shuangdao B",814,IF(Atletas!T383="Shuangdao C",815,IF(Atletas!T383="Shuangdao D",816,IF(Atletas!T383="Shuangdao E",817,IF(Atletas!T383="Shuangdao F",818,"")))))))))))))))))))</f>
        <v/>
      </c>
      <c r="CC392" s="50" t="str">
        <f>IF(Atletas!U383="","",IF(Atletas!X383&lt;&gt;"",10000,0)+IF(Atletas!B383="Feminino",1000,IF(Atletas!B383="Masculino",2000,""))+IF(OR(Atletas!U383="Taijijian Yang A",Atletas!U383="Taijijian Yang Standard A"),901,IF(OR(Atletas!U383="Taijijian Chen A", Atletas!U383="Taijijian Chen Standard A"),902,IF(Atletas!U383="Taijijian Sun A",903,IF(Atletas!U383="Taijijian Wu A",904,IF(Atletas!U383="Taijijian Wu-Hao A",905,IF(OR(Atletas!U383="Taijijian 32 A",Atletas!U383="Taijijian 42 A"),906,IF(OR(Atletas!U383="Taijijian Yang B",Atletas!U383="Taijijian Yang Standard B"),907,IF(OR(Atletas!U383="Taijijian Chen B", Atletas!U383="Taijijian Chen Standard B"),908,IF(Atletas!U383="Taijijian Sun B",909,IF(Atletas!U383="Taijijian Wu B",910,IF(Atletas!U383="Taijijian Wu-Hao B",911,IF(OR(Atletas!U383="Taijijian 32 B",Atletas!U383="Taijijian 42 B"),912,IF(OR(Atletas!U383="Taijijian Yang C",Atletas!U383="Taijijian Yang Standard C"),913,IF(OR(Atletas!U383="Taijijian Chen C", Atletas!U383="Taijijian Chen Standard C"),914,IF(Atletas!U383="Taijijian Sun C",915,IF(Atletas!U383="Taijijian Wu C",916,IF(Atletas!U383="Taijijian Wu-Hao C",917,IF(OR(Atletas!U383="Taijijian 32 C",Atletas!U383="Taijijian 42 C"),918,IF(OR(Atletas!U383="Taijijian Yang D",Atletas!U383="Taijijian Yang Standard D"),919,IF(OR(Atletas!U383="Taijijian Chen D", Atletas!U383="Taijijian Chen Standard D"),920,IF(Atletas!U383="Taijijian Sun D",921,IF(Atletas!U383="Taijijian Wu D",922,IF(Atletas!U383="Taijijian Wu-Hao D",923,IF(OR(Atletas!U383="Taijijian 32 D",Atletas!U383="Taijijian 42 D"),924,IF(OR(Atletas!U383="Taijijian Yang E",Atletas!U383="Taijijian Yang Standard E"),925,IF(OR(Atletas!U383="Taijijian Chen E", Atletas!U383="Taijijian Chen Standard E"),926,IF(Atletas!U383="Taijijian Sun E",927,IF(Atletas!U383="Taijijian Wu E",928,IF(Atletas!U383="Taijijian Wu-Hao E",929,IF(OR(Atletas!U383="Taijijian 32 E",Atletas!U383="Taijijian 42 E"),930,IF(OR(Atletas!U383="Taijijian Yang F",Atletas!U383="Taijijian Yang Standard F"),931,IF(OR(Atletas!U383="Taijijian Chen F", Atletas!U383="Taijijian Chen Standard F"),932,IF(Atletas!U383="Taijijian Sun F",933,IF(Atletas!U383="Taijijian Wu F",934,IF(Atletas!U383="Taijijian Wu-Hao F",935,IF(OR(Atletas!U383="Taijijian 32 F",Atletas!U383="Taijijian 42 F"),936,"")))))))))))))))))))))))))))))))))))))</f>
        <v/>
      </c>
      <c r="CD392" s="50" t="str">
        <f>IF(Atletas!V383="","",IF(Atletas!X383&lt;&gt;"",10000,0)+IF(Atletas!B383="Feminino",1000,IF(Atletas!B383="Masculino",2000,""))+IF(Atletas!V383="Taijidao A",937,IF(Atletas!V383="TaijiShanzi A",938,IF(Atletas!V383="Taijiqiang A",939,IF(Atletas!V383="Bagua de Arma A",940,IF(Atletas!V383="Xingyi de Arma A",941,IF(Atletas!V383="Taijidao B",942,IF(Atletas!V383="TaijiShanzi B",943,IF(Atletas!V383="Taijiqiang B",944,IF(Atletas!V383="Bagua de Arma B",945,IF(Atletas!V383="Xingyi de Arma B",946,IF(Atletas!V383="Taijidao C",947,IF(Atletas!V383="TaijiShanzi C",948,IF(Atletas!V383="Taijiqiang C",949,IF(Atletas!V383="Bagua de Arma C",950,IF(Atletas!V383="Xingyi de Arma C",951,IF(Atletas!V383="Taijidao D",952,IF(Atletas!V383="TaijiShanzi D",953,IF(Atletas!V383="Taijiqiang D",954,IF(Atletas!V383="Bagua de Arma D",955,IF(Atletas!V383="Xingyi de Arma D",956,IF(Atletas!V383="Taijidao E",957,IF(Atletas!V383="TaijiShanzi E",958,IF(Atletas!V383="Taijiqiang E",959,IF(Atletas!V383="Bagua de Arma E",960,IF(Atletas!V383="Xingyi de Arma E",961,IF(Atletas!V383="Taijidao F",962,IF(Atletas!V383="TaijiShanzi F",963,IF(Atletas!V383="Taijiqiang F",964,IF(Atletas!V383="Bagua de Arma F",965,IF(Atletas!V383="Xingyi de Arma F",966,"")))))))))))))))))))))))))))))))</f>
        <v/>
      </c>
      <c r="CJ392" s="66"/>
      <c r="CL392" s="66"/>
      <c r="CM392" s="50" t="str">
        <f xml:space="preserve"> IF(Atletas!W383="","",IF(Atletas!W383="Duilian de Mãos BC - Equipe 1",1,IF(Atletas!W383="Duilian de Mãos BC - Equipe 2",2,IF(Atletas!W383="Duilian de Armas BC - Equipe 1",3,IF(Atletas!W383="Duilian de Armas BC - Equipe 2",4,IF(Atletas!W383="Duilian de Mãos DE - Equipe 1",5,IF(Atletas!W383="Duilian de Mãos DE - Equipe 2",6,IF(Atletas!W383="Duilian de Armas DE - Equipe 1",7,IF(Atletas!W383="Duilian de Armas DE - Equipe 2",8,IF(Atletas!W383="Duilian de Tuishou - Equipe 1",9,IF(Atletas!W383="Duilian de Tuishou - Equipe 2",10,IF(Atletas!W383="Grupo Externo ABC - Equipe 1",11,IF(Atletas!W383="Grupo Externo ABC - Equipe 2",12,IF(Atletas!W383="Grupo Interno ABC - Equipe 1",13,IF(Atletas!W383="Grupo Interno ABC - Equipe 2",14,IF(Atletas!W383="Grupo Externo DEF - Equipe 1",15,IF(Atletas!W383="Grupo Externo DEF - Equipe 2",16,IF(Atletas!W383="Grupo Interno DEF - Equipe 1",17,IF(Atletas!W383="Grupo Interno DEF - Equipe 2",18,"")))))))))))))))))))</f>
        <v/>
      </c>
    </row>
    <row r="393" spans="40:91">
      <c r="AN393" s="52" t="str">
        <f>IF(Atletas!D384="","",IF(Atletas!B384="Feminino",100,IF(Atletas!B384="Masculino",200,""))+(IF(Atletas!D384="Kids 30kg",1,IF(Atletas!D384="Kids 32kg",2, IF(Atletas!D384="Kids 34kg",3,IF(Atletas!D384="Kids 36kg",4,IF(Atletas!D384="Kids 39kg",5,IF(Atletas!D384="Kids 42kg",6,IF(Atletas!D384="Kids 45kg",7, IF(Atletas!D384="Infantil 39kg",8,IF(Atletas!D384="Infantil 42kg",9,IF(Atletas!D384="Infantil 45kg",10,IF(Atletas!D384="Infantil 48kg",11,IF(Atletas!D384="Infantil 52kg",12,IF(Atletas!D384="Infantil 56kg",13,IF(Atletas!D384="Infantil 60kg",14,IF(Atletas!D384="Juvenil 48kg",15,IF(Atletas!D384="Juvenil 52kg",16,IF(Atletas!D384="Juvenil 56kg",17,IF(Atletas!D384="Juvenil 60kg",18,IF(Atletas!D384="Juvenil 65kg",19,IF(Atletas!D384="Juvenil 70kg",20,IF(Atletas!D384="Juvenil 75kg",21,IF(Atletas!D384="Juvenil 80kg",22, IF(Atletas!D384="Juvenil 85kg",23,IF(Atletas!D384="Adulto 48kg",24,IF(Atletas!D384="Adulto 52kg",25,IF(Atletas!D384="Adulto 56kg",26,IF(Atletas!D384="Adulto 60kg",27,IF(Atletas!D384="Adulto 65kg",28,IF(Atletas!D384="Adulto 70kg",29,IF(Atletas!D384="Adulto 75kg",30,IF(Atletas!D384="Adulto 80kg",31,IF(Atletas!D384="Adulto 85kg",32,IF(Atletas!D384="Adulto 90kg",33,IF(Atletas!D384="Adulto 100kg",34, IF(Atletas!D384="Adulto +100kg",35,"")))))))))))))))))))))))))))))))))))))</f>
        <v/>
      </c>
      <c r="AS393" s="6" t="str">
        <f>IF(Atletas!E384="","",IF(Atletas!B384="Feminino",100,IF(Atletas!B384="Masculino",200,""))+(IF(Atletas!E384="Juvenil 44kg",1,IF(Atletas!E384="Juvenil 48kg",2,IF(Atletas!E384="Juvenil 52kg",3,IF(Atletas!E384="Juvenil 56kg",4,IF(Atletas!E384="Juvenil 60kg",5,IF(Atletas!E384="Juvenil 65kg",6,IF(Atletas!E384="Juvenil 70kg",7,IF(Atletas!E384="Juvenil 75kg",8,IF(Atletas!E384="Juvenil 82kg",9,IF(Atletas!E384="Juvenil 90kg",10,IF(Atletas!E384="Juvenil 100kg",11,IF(Atletas!E384="Adulto 48kg",12,IF(Atletas!E384="Adulto 52kg",13,IF(Atletas!E384="Adulto 56kg",14,IF(Atletas!E384="Adulto 60kg",15,IF(Atletas!E384="Adulto 65kg",16,IF(Atletas!E384="Adulto 70kg",17,IF(Atletas!E384="Adulto 75kg",18,IF(Atletas!E384="Adulto 82kg",19,IF(Atletas!E384="Adulto 90kg",20,IF(Atletas!E384="Adulto 100kg",21,IF(Atletas!E384="Adulto +100kg",22,""))))))))))))))))))))))))</f>
        <v/>
      </c>
      <c r="AX393" s="6" t="str">
        <f>IF(Atletas!F384="","",IF(Atletas!B384="Feminino",100,IF(Atletas!B384="Masculino",200,""))+(IF(Atletas!F384="Adulto 48kg",1,IF(Atletas!F384="Adulto 56kg",2,IF(Atletas!F384="Adulto 65kg",3,IF(Atletas!F384="Adulto 75kg",4,IF(Atletas!F384="Adulto +75kg",5,IF(Atletas!F384="Adulto 52kg",6,IF(Atletas!F384="Adulto 60kg",7,IF(Atletas!F384="Adulto 70kg",8,IF(Atletas!F384="Adulto 80kg",9,IF(Atletas!F384="Adulto 90kg",10,IF(Atletas!F384="Adulto +90kg",11,"")))))))))))))</f>
        <v/>
      </c>
      <c r="BC393" s="6" t="str">
        <f>IF(Atletas!G384="","",IF(Atletas!B384="Feminino",10,IF(Atletas!B384="Masculino",20,""))+(IF(Atletas!G384="Baduanjin A",1,IF(Atletas!G384="Baduanjin B",2))))</f>
        <v/>
      </c>
      <c r="BF393" s="52" t="str">
        <f>IF(Atletas!H384="","",IF(Atletas!B384="Feminino",100,IF(Atletas!B384="Masculino",200,""))+(IF(Atletas!H384="Changquan Mirim",1,IF(Atletas!H384="Nanquan Mirim",2,IF(Atletas!H384="Taijiquan Mirim",3,IF(Atletas!H384="Changquan Grupo C",4,IF(Atletas!H384="Nanquan Grupo C",5,IF(Atletas!H384="Taijiquan Grupo C",6,IF(Atletas!H384="Changquan Grupo B",7,IF(Atletas!H384="Nanquan Grupo B",8,IF(Atletas!H384="Taijiquan Grupo B",9,IF(Atletas!H384="Changquan Grupo A",10,IF(Atletas!H384="Nanquan Grupo A",11,IF(Atletas!H384="Taijiquan Grupo A",12,IF(Atletas!H384="Changquan Opcional",13,IF(Atletas!H384="Nanquan Opcional",14,IF(Atletas!H384="Taijiquan Opcional",15,IF(Atletas!H384="Changquan Adulto",16,IF(Atletas!H384="Nanquan Adulto",17,IF(Atletas!H384="Taijiquan Adulto",18,""))))))))))))))))))))</f>
        <v/>
      </c>
      <c r="BG393" s="52" t="str">
        <f>IF(Atletas!I384="","",IF(Atletas!B384="Feminino",100,IF(Atletas!B384="Masculino",200,""))+(IF(Atletas!I384="Daoshu Mirim",19,IF(Atletas!I384="Jianshu Mirim",20,IF(Atletas!I384="Nandao Mirim",21,IF(Atletas!I384="Taijijian Mirim",22,IF(Atletas!I384="Daoshu Grupo C",23,IF(Atletas!I384="Jianshu Grupo C",24,IF(Atletas!I384="Nandao Grupo C",25,IF(Atletas!I384="Taijijian Grupo C",26,IF(Atletas!I384="Daoshu Grupo B",27,IF(Atletas!I384="Jianshu Grupo B",28,IF(Atletas!I384="Nandao Grupo B",29,IF(Atletas!I384="Taijijian Grupo B",30,IF(Atletas!I384="Daoshu Grupo A",31,IF(Atletas!I384="Jianshu Grupo A",32,IF(Atletas!I384="Nandao Grupo A",33,IF(Atletas!I384="Taijijian Grupo A",34,IF(Atletas!I384="Daoshu Opcional",35,IF(Atletas!I384="Jianshu Opcional",36,IF(Atletas!I384="Nandao Opcional",37,IF(Atletas!I384="Taijijian Opcional",38,IF(Atletas!I384="Daoshu Adulto",39,IF(Atletas!I384="Jianshu Adulto",40,IF(Atletas!I384="Nandao Adulto",41,IF(Atletas!I384="Taijijian Adulto",42,""))))))))))))))))))))))))))</f>
        <v/>
      </c>
      <c r="BH393" s="52" t="str">
        <f>IF(Atletas!J384="","",IF(Atletas!B384="Feminino",100,IF(Atletas!B384="Masculino",200,""))+(IF(Atletas!J384="Gunshu Mirim",43,IF(Atletas!J384="Qiangshu Mirim",44,IF(Atletas!J384="Nangun Mirim",45,IF(Atletas!J384="Gunshu Grupo C",46,IF(Atletas!J384="Qiangshu Grupo C",47,IF(Atletas!J384="Nangun Grupo C",48,IF(Atletas!J384="Gunshu Grupo B",49,IF(Atletas!J384="Qiangshu Grupo B",50,IF(Atletas!J384="Nangun Grupo B",51,IF(Atletas!J384="Gunshu Grupo A",52,IF(Atletas!J384="Qiangshu Grupo A",53,IF(Atletas!J384="Nangun Grupo A",54,IF(Atletas!J384="Gunshu Opcional",55,IF(Atletas!J384="Qiangshu Opcional",56,IF(Atletas!J384="Nangun Opcional",57,IF(Atletas!J384="Gunshu Adulto",58,IF(Atletas!J384="Qiangshu Adulto",59,IF(Atletas!J384="Nangun Adulto",60,IF(Atletas!J384="Taijishan Grupo B",61,IF(Atletas!J384="Taijishan Grupo A",62,""))))))))))))))))))))))</f>
        <v/>
      </c>
      <c r="BM393" s="50" t="str">
        <f>IF(Atletas!K384="","",IF(Atletas!B384="Feminino",100,IF(Atletas!B384="Masculino",200,""))+(IF(Atletas!K384="Equipe 1 Grupo B",1,IF(Atletas!K384="Equipe 2 Grupo B",2,IF(Atletas!K384="Equipe 1 Grupo A",3,IF(Atletas!K384="Equipe 2 Grupo A",4,IF(Atletas!K384="Equipe 1 Adulto",5,IF(Atletas!K384="Equipe 2 Adulto",6,""))))))))</f>
        <v/>
      </c>
      <c r="BR393" s="50" t="str">
        <f>IF(Atletas!L384="","",IF(Atletas!X384&lt;&gt;"",10000,0)+(IF(Atletas!B384="Feminino",1000,IF(Atletas!B384="Masculino",2000,""))+IF(Atletas!L384="Choylayfut A",1,IF(Atletas!L384="Hunggar A",2,IF(Atletas!L384="Wuzuquan A",3,IF(Atletas!L384="Wingchun A",4,IF(Atletas!L384="Outra Mão de Sul A",5,IF(Atletas!L384="Choylayfut B",6,IF(Atletas!L384="Hunggar B",7,IF(Atletas!L384="Wuzuquan B",8,IF(Atletas!L384="Wingchun B",9,IF(Atletas!L384="Outra Mão de Sul B",10,IF(Atletas!L384="Choylayfut C",11,IF(Atletas!L384="Hunggar C",12,IF(Atletas!L384="Wuzuquan C",13,IF(Atletas!L384="Wingchun C",14,IF(Atletas!L384="Outra Mão de Sul C",15,IF(Atletas!L384="Choylayfut D",16,IF(Atletas!L384="Hunggar D",17,IF(Atletas!L384="Wuzuquan D",18,IF(Atletas!L384="Wingchun D",19,IF(Atletas!L384="Outra Mão de Sul D",20,IF(Atletas!L384="Choylayfut E",21,IF(Atletas!L384="Hunggar E",22,IF(Atletas!L384="Wuzuquan E",23,IF(Atletas!L384="Wingchun E",24,IF(Atletas!L384="Outra Mão de Sul E",25,IF(Atletas!L384="Choylayfut F",26,IF(Atletas!L384="Hunggar F",27,IF(Atletas!L384="Wuzuquan F",28,IF(Atletas!L384="Wingchun F",29,IF(Atletas!L384="Outra Mão de Sul F",30,IF(Atletas!L384="Dishuquan A",31,IF(Atletas!L384="Dishuquan B",32,IF(Atletas!L384="Dishuquan C",33,IF(Atletas!L384="Dishuquan D",34,IF(Atletas!L384="Dishuquan E",35,IF(Atletas!L384="Dishuquan F",36,""))))))))))))))))))))))))))))))))))))))</f>
        <v/>
      </c>
      <c r="BS393" s="50" t="str">
        <f>IF(Atletas!M384="","",IF(Atletas!X384&lt;&gt;"",10000,0)+(IF(Atletas!B384="Feminino",1000,IF(Atletas!B384="Masculino",2000,""))+(IF(Atletas!M384="Chaquan A",101,IF(Atletas!M384="Emeiquan A",102,IF(Atletas!M384="Fanziquan A",103,IF(Atletas!M384="Huaquan A",104,IF(Atletas!M384="Hongquan A",105,IF(Atletas!M384="Paoquan A",106,IF(Atletas!M384="Piguaquan A",107,IF(Atletas!M384="Shaolinquan A",108,IF(Atletas!M384="Tanglangquan A",109,IF(Atletas!M384="Yingzhaoquan A",110,IF(Atletas!M384="Tongbeiquan A",111,IF(Atletas!M384="Wudangquan A",112,IF(Atletas!M384="Outros Estilos A",113,IF(Atletas!M384="Chaquan B",114,IF(Atletas!M384="Emeiquan B",115,IF(Atletas!M384="Fanziquan B",116,IF(Atletas!M384="Huaquan B",117,IF(Atletas!M384="Hongquan B",118,IF(Atletas!M384="Paoquan B",119,IF(Atletas!M384="Piguaquan B",120,IF(Atletas!M384="Shaolinquan B",121,IF(Atletas!M384="Tanglangquan B",122,IF(Atletas!M384="Yingzhaoquan B",123,IF(Atletas!M384="Tongbeiquan B",124,IF(Atletas!M384="Wudangquan B",125,IF(Atletas!M384="Outros Estilos B",126,IF(Atletas!M384="Chaquan C",127,IF(Atletas!M384="Emeiquan C",128,IF(Atletas!M384="Fanziquan C",129,IF(Atletas!M384="Huaquan C",130,IF(Atletas!M384="Hongquan C",131,IF(Atletas!M384="Paoquan C",132,IF(Atletas!M384="Piguaquan C",133,IF(Atletas!M384="Shaolinquan C",134,IF(Atletas!M384="Tanglangquan C",135,IF(Atletas!M384="Yingzhaoquan C",136,IF(Atletas!M384="Tongbeiquan C",137,IF(Atletas!M384="Wudangquan C",138,IF(Atletas!M384="Outros Estilos C",139,0))))))))))))))))))))))))))))))))))))))))))</f>
        <v/>
      </c>
      <c r="BT393" s="50" t="str">
        <f>IF(Atletas!M384="","",IF(Atletas!X384&lt;&gt;"",10000,0)+(IF(Atletas!B384="Feminino",1000,IF(Atletas!B384="Masculino",2000,""))+(IF(Atletas!M384="Chaquan D",140,IF(Atletas!M384="Emeiquan D",141,IF(Atletas!M384="Fanziquan D",142,IF(Atletas!M384="Huaquan D",143,IF(Atletas!M384="Hongquan D",144,IF(Atletas!M384="Paoquan D",145,IF(Atletas!M384="Piguaquan D",146,IF(Atletas!M384="Shaolinquan D",147,IF(Atletas!M384="Tanglangquan D",148,IF(Atletas!M384="Yingzhaoquan D",149,IF(Atletas!M384="Tongbeiquan D",150,IF(Atletas!M384="Wudangquan D",151,IF(Atletas!M384="Outros Estilos D",152,IF(Atletas!M384="Chaquan E",153,IF(Atletas!M384="Emeiquan E",154,IF(Atletas!M384="Fanziquan E",155,IF(Atletas!M384="Huaquan E",156,IF(Atletas!M384="Hongquan E",157,IF(Atletas!M384="Paoquan E",158,IF(Atletas!M384="Piguaquan E",159,IF(Atletas!M384="Shaolinquan E",160,IF(Atletas!M384="Tanglangquan E",161,IF(Atletas!M384="Yingzhaoquan E",162,IF(Atletas!M384="Tongbeiquan E",163,IF(Atletas!M384="Wudangquan E",164,IF(Atletas!M384="Outros Estilos E",165,IF(Atletas!M384="Chaquan F",166,IF(Atletas!M384="Emeiquan F",167,IF(Atletas!M384="Fanziquan F",168,IF(Atletas!M384="Huaquan F",169,IF(Atletas!M384="Hongquan F",170,IF(Atletas!M384="Paoquan F",171,IF(Atletas!M384="Piguaquan F",172,IF(Atletas!M384="Shaolinquan F",173,IF(Atletas!M384="Tanglangquan F",174,IF(Atletas!M384="Yingzhaoquan F",175,IF(Atletas!M384="Tongbeiquan F",176,IF(Atletas!M384="Wudangquan F",177,IF(Atletas!M384="Outros Estilos F",178,0))))))))))))))))))))))))))))))))))))))))))</f>
        <v/>
      </c>
      <c r="BU393" s="50" t="str">
        <f>IF(Atletas!N384="","",IF(Atletas!X384&lt;&gt;"",10000,0)+(IF(Atletas!B384="Feminino",1000,IF(Atletas!B384="Masculino",2000,""))+(IF(Atletas!N384="Ditangquan A",201,IF(Atletas!N384="Houquan A",202,IF(Atletas!N384="Zuiquan A",203,IF(Atletas!N384="Ditangquan B",204,IF(Atletas!N384="Houquan B",205,IF(Atletas!N384="Zuiquan B",206,IF(Atletas!N384="Ditangquan C",207,IF(Atletas!N384="Houquan C",208,IF(Atletas!N384="Zuiquan C",209,IF(Atletas!N384="Ditangquan D",210,IF(Atletas!N384="Houquan D",211,IF(Atletas!N384="Zuiquan D",212,IF(Atletas!N384="Ditangquan E",213,IF(Atletas!N384="Houquan E",214,IF(Atletas!N384="Zuiquan E",215,IF(Atletas!N384="Ditangquan F",216,IF(Atletas!N384="Houquan F",217,IF(Atletas!N384="Zuiquan F",218,"")))))))))))))))))))))</f>
        <v/>
      </c>
      <c r="BV393" s="50" t="str">
        <f>IF(Atletas!O384="","",IF(Atletas!X384&lt;&gt;"",10000,0)+IF(Atletas!B384="Feminino",1000,IF(Atletas!B384="Masculino",2000,""))+IF(Atletas!O384="Yang A",301,IF(Atletas!O384="Chen A",302,IF(Atletas!O384="Sun A",303,IF(Atletas!O384="Wu A",304,IF(Atletas!O384="Wu-Hao A",305,IF(Atletas!O384="Outro Taijiquan A",306,IF(Atletas!O384="Yang B",307,IF(Atletas!O384="Chen B",308,IF(Atletas!O384="Sun B",309,IF(Atletas!O384="Wu B",310,IF(Atletas!O384="Wu-Hao B",311,IF(Atletas!O384="Outro Taijiquan B",312,IF(Atletas!O384="Yang C",313,IF(Atletas!O384="Chen C",314,IF(Atletas!O384="Sun C",315,IF(Atletas!O384="Wu C",316,IF(Atletas!O384="Wu-Hao C",317,IF(Atletas!O384="Outro Taijiquan C",318,IF(Atletas!O384="Yang D",319,IF(Atletas!O384="Chen D",320,IF(Atletas!O384="Sun D",321,IF(Atletas!O384="Wu D",322,IF(Atletas!O384="Wu-Hao D",323,IF(Atletas!O384="Outro Taijiquan D",324,IF(Atletas!O384="Yang E",325,IF(Atletas!O384="Chen E",326,IF(Atletas!O384="Sun E",327,IF(Atletas!O384="Wu E",328,IF(Atletas!O384="Wu-Hao E",329,IF(Atletas!O384="Outro Taijiquan E",330,IF(Atletas!O384="Yang F",331,IF(Atletas!O384="Chen F",332,IF(Atletas!O384="Sun F",333,IF(Atletas!O384="Wu F",334,IF(Atletas!O384="Wu-Hao F",335,IF(Atletas!O384="Outro Taijiquan F",336,"")))))))))))))))))))))))))))))))))))))</f>
        <v/>
      </c>
      <c r="BW393" s="50" t="str">
        <f>IF(Atletas!P384="","",IF(Atletas!X384&lt;&gt;"",10000,0)+IF(Atletas!B384="Feminino",1000,IF(Atletas!B384="Masculino",2000,""))+IF(OR(Atletas!P384="Yang 26 A",Atletas!P384="Yang 40 A"),401,IF(OR(Atletas!P384="Chen 25 A",Atletas!P384="Chen 36 A",Atletas!P384="Chen 56 A"),402,IF(Atletas!P384="Sun 73 A",403,IF(Atletas!P384="Wu 45 A",404,IF(Atletas!P384="Wu-Hao 46 A",405,IF(OR(Atletas!P384="Taijiquan 16 A",Atletas!P384="Taijiquan 24 A",Atletas!P384="Taijiquan 32 A",Atletas!P384="Taijiquan 42 A"),406,IF(OR(Atletas!P384="Yang 26 B",Atletas!P384="Yang 40 B"),407,IF(OR(Atletas!P384="Chen 25 B",Atletas!P384="Chen 36 B",Atletas!P384="Chen 56 B"),408,IF(Atletas!P384="Sun 73 B",409,IF(Atletas!P384="Wu 45 B",410,IF(Atletas!P384="Wu-Hao 46 B",411,IF(OR(Atletas!P384="Taijiquan 16 B",Atletas!P384="Taijiquan 24 B",Atletas!P384="Taijiquan 32 B",Atletas!P384="Taijiquan 42 B"),412,IF(OR(Atletas!P384="Yang 26 C",Atletas!P384="Yang 40 C"),413,IF(OR(Atletas!P384="Chen 25 C",Atletas!P384="Chen 36 C",Atletas!P384="Chen 56 C"),414,IF(Atletas!P384="Sun 73 C",415,IF(Atletas!P384="Wu 45 C",416,IF(Atletas!P384="Wu-Hao 46 C",417,IF(OR(Atletas!P384="Taijiquan 16 C",Atletas!P384="Taijiquan 24 C",Atletas!P384="Taijiquan 32 C",Atletas!P384="Taijiquan 42 C"),418,0)))))))))))))))))))</f>
        <v/>
      </c>
      <c r="BX393" s="50" t="str">
        <f>IF(Atletas!P384="","",IF(Atletas!X384&lt;&gt;"",10000,0)+IF(Atletas!B384="Feminino",1000,IF(Atletas!B384="Masculino",2000,""))+IF(OR(Atletas!P384="Yang 26 D",Atletas!P384="Yang 40 D"),419,IF(OR(Atletas!P384="Chen 25 D",Atletas!P384="Chen 36 D",Atletas!P384="Chen 56 D"),420,IF(Atletas!P384="Sun 73 D",421,IF(Atletas!P384="Wu 45 D",422,IF(Atletas!P384="Wu-Hao 46 D",423,IF(OR(Atletas!P384="Taijiquan 16 D",Atletas!P384="Taijiquan 24 D",Atletas!P384="Taijiquan 32 D",Atletas!P384="Taijiquan 42 D"),424,IF(OR(Atletas!P384="Yang 26 E",Atletas!P384="Yang 40 E"),425,IF(OR(Atletas!P384="Chen 25 E",Atletas!P384="Chen 36 E",Atletas!P384="Chen 56 E"),426,IF(Atletas!P384="Sun 73 E",427,IF(Atletas!P384="Wu 45 E",428,IF(Atletas!P384="Wu-Hao 46 E",429,IF(OR(Atletas!P384="Taijiquan 16 E",Atletas!P384="Taijiquan 24 E",Atletas!P384="Taijiquan 32 E",Atletas!P384="Taijiquan 42 E"),430,IF(OR(Atletas!P384="Yang 26 F",Atletas!P384="Yang 40 F"),431,IF(OR(Atletas!P384="Chen 25 F",Atletas!P384="Chen 36 F",Atletas!P384="Chen 56 F"),432,IF(Atletas!P384="Sun 73 F",433,IF(Atletas!P384="Wu 45 F",434,IF(Atletas!P384="Wu-Hao 46 F",435,IF(OR(Atletas!P384="Taijiquan 16 F",Atletas!P384="Taijiquan 24 F",Atletas!P384="Taijiquan 32 F",Atletas!P384="Taijiquan 42 F"),436,0)))))))))))))))))))</f>
        <v/>
      </c>
      <c r="BY393" s="50" t="str">
        <f>IF(Atletas!Q384="","",IF(Atletas!X384&lt;&gt;"",10000,0)+IF(Atletas!B384="Feminino",1000,IF(Atletas!B384="Masculino",2000,""))+IF(Atletas!Q384="Xingyiquan A",501,IF(Atletas!Q384="Baguazhang A",502,IF(Atletas!Q384="Outro Estilo Interno A",503,IF(Atletas!Q384="Xingyiquan B",504,IF(Atletas!Q384="Baguazhang B",505,IF(Atletas!Q384="Outro Estilo Interno B",506,IF(Atletas!Q384="Xingyiquan C",507,IF(Atletas!Q384="Baguazhang C",508,IF(Atletas!Q384="Outro Estilo Interno C",509,IF(Atletas!Q384="Xingyiquan D",510,IF(Atletas!Q384="Baguazhang D",511,IF(Atletas!Q384="Outro Estilo Interno D",512,IF(Atletas!Q384="Xingyiquan E",513,IF(Atletas!Q384="Baguazhang E",514,IF(Atletas!Q384="Outro Estilo Interno E",515,IF(Atletas!Q384="Xingyiquan F",516,IF(Atletas!Q384="Baguazhang F",517,IF(Atletas!Q384="Outro Estilo Interno F",518, "")))))))))))))))))))</f>
        <v/>
      </c>
      <c r="BZ393" s="50" t="str">
        <f>IF(Atletas!R384="","",IF(Atletas!X384&lt;&gt;"",10000,0)+IF(Atletas!B384="Feminino",1000,IF(Atletas!B384="Masculino",2000,""))+IF(Atletas!R384="Dao A",601,IF(Atletas!R384="Jian A",602,IF(Atletas!R384="Bishou A",603,IF(Atletas!R384="Shanzi A",604,IF(Atletas!R384="Outra Arma Curta A",605,IF(Atletas!R384="Dao B",606,IF(Atletas!R384="Jian B",607,IF(Atletas!R384="Bishou B",608,IF(Atletas!R384="Shanzi B",609,IF(Atletas!R384="Outra Arma Curta B",610,IF(Atletas!R384="Dao C",611,IF(Atletas!R384="Jian C",612,IF(Atletas!R384="Bishou C",613,IF(Atletas!R384="Shanzi C",614,IF(Atletas!R384="Outra Arma Curta C",615,IF(Atletas!R384="Dao D",616,IF(Atletas!R384="Jian D",617,IF(Atletas!R384="Bishou D",618,IF(Atletas!R384="Shanzi D",619,IF(Atletas!R384="Outra Arma Curta D",620,IF(Atletas!R384="Dao E",621,IF(Atletas!R384="Jian E",622,IF(Atletas!R384="Bishou E",623,IF(Atletas!R384="Shanzi E",624,IF(Atletas!R384="Outra Arma Curta E",625,IF(Atletas!R384="Dao F",626,IF(Atletas!R384="Jian F",627,IF(Atletas!R384="Bishou F",628,IF(Atletas!R384="Shanzi F",629,IF(Atletas!R384="Outra Arma Curta F",630, "")))))))))))))))))))))))))))))))</f>
        <v/>
      </c>
      <c r="CA393" s="50" t="str">
        <f>IF(Atletas!S384="","",IF(Atletas!X384&lt;&gt;"",10000,0)+IF(Atletas!B384="Feminino",1000,IF(Atletas!B384="Masculino",2000,""))+IF(Atletas!S384="Gun A",701,IF(Atletas!S384="Qiang A",702,IF(Atletas!S384="Pudao / Guandao A",703,IF(Atletas!S384="Outra Arma Longa A",704,IF(Atletas!S384="Gun B",705,IF(Atletas!S384="Qiang B",706,IF(Atletas!S384="Pudao / Guandao B",707,IF(Atletas!S384="Outra Arma Longa B",708,IF(Atletas!S384="Gun C",709,IF(Atletas!S384="Qiang C",710,IF(Atletas!S384="Pudao / Guandao C",711,IF(Atletas!S384="Outra Arma Longa C",712,IF(Atletas!S384="Gun D",713,IF(Atletas!S384="Qiang D",714,IF(Atletas!S384="Pudao / Guandao D",715,IF(Atletas!S384="Outra Arma Longa D",716,IF(Atletas!S384="Gun E",717,IF(Atletas!S384="Qiang E",718,IF(Atletas!S384="Pudao / Guandao E",719,IF(Atletas!S384="Outra Arma Longa E",720,IF(Atletas!S384="Gun F",721,IF(Atletas!S384="Qiang F",722,IF(Atletas!S384="Pudao / Guandao F",723,IF(Atletas!S384="Outra Arma Longa F",724,"")))))))))))))))))))))))))</f>
        <v/>
      </c>
      <c r="CB393" s="50" t="str">
        <f>IF(Atletas!T384="","",IF(Atletas!X384&lt;&gt;"",10000,0)+IF(Atletas!B384="Feminino",1000,IF(Atletas!B384="Masculino",2000,""))+IF(Atletas!T384="Outra Arma Dupla A",801,IF(Atletas!T384="Arma Maleável A",802,IF(Atletas!T384="Outra Arma Dupla B",803,IF(Atletas!T384="Arma Maleável B",804,IF(Atletas!T384="Outra Arma Dupla C",805,IF(Atletas!T384="Arma Maleável C",806,IF(Atletas!T384="Outra Arma Dupla D",807,IF(Atletas!T384="Arma Maleável D",808,IF(Atletas!T384="Outra Arma Dupla E",809,IF(Atletas!T384="Arma Maleável E",810,IF(Atletas!T384="Outra Arma Dupla F",811,IF(Atletas!T384="Arma Maleável F",812,IF(Atletas!T384="Shuangdao A",813,IF(Atletas!T384="Shuangdao B",814,IF(Atletas!T384="Shuangdao C",815,IF(Atletas!T384="Shuangdao D",816,IF(Atletas!T384="Shuangdao E",817,IF(Atletas!T384="Shuangdao F",818,"")))))))))))))))))))</f>
        <v/>
      </c>
      <c r="CC393" s="50" t="str">
        <f>IF(Atletas!U384="","",IF(Atletas!X384&lt;&gt;"",10000,0)+IF(Atletas!B384="Feminino",1000,IF(Atletas!B384="Masculino",2000,""))+IF(OR(Atletas!U384="Taijijian Yang A",Atletas!U384="Taijijian Yang Standard A"),901,IF(OR(Atletas!U384="Taijijian Chen A", Atletas!U384="Taijijian Chen Standard A"),902,IF(Atletas!U384="Taijijian Sun A",903,IF(Atletas!U384="Taijijian Wu A",904,IF(Atletas!U384="Taijijian Wu-Hao A",905,IF(OR(Atletas!U384="Taijijian 32 A",Atletas!U384="Taijijian 42 A"),906,IF(OR(Atletas!U384="Taijijian Yang B",Atletas!U384="Taijijian Yang Standard B"),907,IF(OR(Atletas!U384="Taijijian Chen B", Atletas!U384="Taijijian Chen Standard B"),908,IF(Atletas!U384="Taijijian Sun B",909,IF(Atletas!U384="Taijijian Wu B",910,IF(Atletas!U384="Taijijian Wu-Hao B",911,IF(OR(Atletas!U384="Taijijian 32 B",Atletas!U384="Taijijian 42 B"),912,IF(OR(Atletas!U384="Taijijian Yang C",Atletas!U384="Taijijian Yang Standard C"),913,IF(OR(Atletas!U384="Taijijian Chen C", Atletas!U384="Taijijian Chen Standard C"),914,IF(Atletas!U384="Taijijian Sun C",915,IF(Atletas!U384="Taijijian Wu C",916,IF(Atletas!U384="Taijijian Wu-Hao C",917,IF(OR(Atletas!U384="Taijijian 32 C",Atletas!U384="Taijijian 42 C"),918,IF(OR(Atletas!U384="Taijijian Yang D",Atletas!U384="Taijijian Yang Standard D"),919,IF(OR(Atletas!U384="Taijijian Chen D", Atletas!U384="Taijijian Chen Standard D"),920,IF(Atletas!U384="Taijijian Sun D",921,IF(Atletas!U384="Taijijian Wu D",922,IF(Atletas!U384="Taijijian Wu-Hao D",923,IF(OR(Atletas!U384="Taijijian 32 D",Atletas!U384="Taijijian 42 D"),924,IF(OR(Atletas!U384="Taijijian Yang E",Atletas!U384="Taijijian Yang Standard E"),925,IF(OR(Atletas!U384="Taijijian Chen E", Atletas!U384="Taijijian Chen Standard E"),926,IF(Atletas!U384="Taijijian Sun E",927,IF(Atletas!U384="Taijijian Wu E",928,IF(Atletas!U384="Taijijian Wu-Hao E",929,IF(OR(Atletas!U384="Taijijian 32 E",Atletas!U384="Taijijian 42 E"),930,IF(OR(Atletas!U384="Taijijian Yang F",Atletas!U384="Taijijian Yang Standard F"),931,IF(OR(Atletas!U384="Taijijian Chen F", Atletas!U384="Taijijian Chen Standard F"),932,IF(Atletas!U384="Taijijian Sun F",933,IF(Atletas!U384="Taijijian Wu F",934,IF(Atletas!U384="Taijijian Wu-Hao F",935,IF(OR(Atletas!U384="Taijijian 32 F",Atletas!U384="Taijijian 42 F"),936,"")))))))))))))))))))))))))))))))))))))</f>
        <v/>
      </c>
      <c r="CD393" s="50" t="str">
        <f>IF(Atletas!V384="","",IF(Atletas!X384&lt;&gt;"",10000,0)+IF(Atletas!B384="Feminino",1000,IF(Atletas!B384="Masculino",2000,""))+IF(Atletas!V384="Taijidao A",937,IF(Atletas!V384="TaijiShanzi A",938,IF(Atletas!V384="Taijiqiang A",939,IF(Atletas!V384="Bagua de Arma A",940,IF(Atletas!V384="Xingyi de Arma A",941,IF(Atletas!V384="Taijidao B",942,IF(Atletas!V384="TaijiShanzi B",943,IF(Atletas!V384="Taijiqiang B",944,IF(Atletas!V384="Bagua de Arma B",945,IF(Atletas!V384="Xingyi de Arma B",946,IF(Atletas!V384="Taijidao C",947,IF(Atletas!V384="TaijiShanzi C",948,IF(Atletas!V384="Taijiqiang C",949,IF(Atletas!V384="Bagua de Arma C",950,IF(Atletas!V384="Xingyi de Arma C",951,IF(Atletas!V384="Taijidao D",952,IF(Atletas!V384="TaijiShanzi D",953,IF(Atletas!V384="Taijiqiang D",954,IF(Atletas!V384="Bagua de Arma D",955,IF(Atletas!V384="Xingyi de Arma D",956,IF(Atletas!V384="Taijidao E",957,IF(Atletas!V384="TaijiShanzi E",958,IF(Atletas!V384="Taijiqiang E",959,IF(Atletas!V384="Bagua de Arma E",960,IF(Atletas!V384="Xingyi de Arma E",961,IF(Atletas!V384="Taijidao F",962,IF(Atletas!V384="TaijiShanzi F",963,IF(Atletas!V384="Taijiqiang F",964,IF(Atletas!V384="Bagua de Arma F",965,IF(Atletas!V384="Xingyi de Arma F",966,"")))))))))))))))))))))))))))))))</f>
        <v/>
      </c>
      <c r="CJ393" s="66"/>
      <c r="CL393" s="66"/>
      <c r="CM393" s="50" t="str">
        <f xml:space="preserve"> IF(Atletas!W384="","",IF(Atletas!W384="Duilian de Mãos BC - Equipe 1",1,IF(Atletas!W384="Duilian de Mãos BC - Equipe 2",2,IF(Atletas!W384="Duilian de Armas BC - Equipe 1",3,IF(Atletas!W384="Duilian de Armas BC - Equipe 2",4,IF(Atletas!W384="Duilian de Mãos DE - Equipe 1",5,IF(Atletas!W384="Duilian de Mãos DE - Equipe 2",6,IF(Atletas!W384="Duilian de Armas DE - Equipe 1",7,IF(Atletas!W384="Duilian de Armas DE - Equipe 2",8,IF(Atletas!W384="Duilian de Tuishou - Equipe 1",9,IF(Atletas!W384="Duilian de Tuishou - Equipe 2",10,IF(Atletas!W384="Grupo Externo ABC - Equipe 1",11,IF(Atletas!W384="Grupo Externo ABC - Equipe 2",12,IF(Atletas!W384="Grupo Interno ABC - Equipe 1",13,IF(Atletas!W384="Grupo Interno ABC - Equipe 2",14,IF(Atletas!W384="Grupo Externo DEF - Equipe 1",15,IF(Atletas!W384="Grupo Externo DEF - Equipe 2",16,IF(Atletas!W384="Grupo Interno DEF - Equipe 1",17,IF(Atletas!W384="Grupo Interno DEF - Equipe 2",18,"")))))))))))))))))))</f>
        <v/>
      </c>
    </row>
    <row r="394" spans="40:91">
      <c r="AN394" s="52" t="str">
        <f>IF(Atletas!D385="","",IF(Atletas!B385="Feminino",100,IF(Atletas!B385="Masculino",200,""))+(IF(Atletas!D385="Kids 30kg",1,IF(Atletas!D385="Kids 32kg",2, IF(Atletas!D385="Kids 34kg",3,IF(Atletas!D385="Kids 36kg",4,IF(Atletas!D385="Kids 39kg",5,IF(Atletas!D385="Kids 42kg",6,IF(Atletas!D385="Kids 45kg",7, IF(Atletas!D385="Infantil 39kg",8,IF(Atletas!D385="Infantil 42kg",9,IF(Atletas!D385="Infantil 45kg",10,IF(Atletas!D385="Infantil 48kg",11,IF(Atletas!D385="Infantil 52kg",12,IF(Atletas!D385="Infantil 56kg",13,IF(Atletas!D385="Infantil 60kg",14,IF(Atletas!D385="Juvenil 48kg",15,IF(Atletas!D385="Juvenil 52kg",16,IF(Atletas!D385="Juvenil 56kg",17,IF(Atletas!D385="Juvenil 60kg",18,IF(Atletas!D385="Juvenil 65kg",19,IF(Atletas!D385="Juvenil 70kg",20,IF(Atletas!D385="Juvenil 75kg",21,IF(Atletas!D385="Juvenil 80kg",22, IF(Atletas!D385="Juvenil 85kg",23,IF(Atletas!D385="Adulto 48kg",24,IF(Atletas!D385="Adulto 52kg",25,IF(Atletas!D385="Adulto 56kg",26,IF(Atletas!D385="Adulto 60kg",27,IF(Atletas!D385="Adulto 65kg",28,IF(Atletas!D385="Adulto 70kg",29,IF(Atletas!D385="Adulto 75kg",30,IF(Atletas!D385="Adulto 80kg",31,IF(Atletas!D385="Adulto 85kg",32,IF(Atletas!D385="Adulto 90kg",33,IF(Atletas!D385="Adulto 100kg",34, IF(Atletas!D385="Adulto +100kg",35,"")))))))))))))))))))))))))))))))))))))</f>
        <v/>
      </c>
      <c r="AS394" s="6" t="str">
        <f>IF(Atletas!E385="","",IF(Atletas!B385="Feminino",100,IF(Atletas!B385="Masculino",200,""))+(IF(Atletas!E385="Juvenil 44kg",1,IF(Atletas!E385="Juvenil 48kg",2,IF(Atletas!E385="Juvenil 52kg",3,IF(Atletas!E385="Juvenil 56kg",4,IF(Atletas!E385="Juvenil 60kg",5,IF(Atletas!E385="Juvenil 65kg",6,IF(Atletas!E385="Juvenil 70kg",7,IF(Atletas!E385="Juvenil 75kg",8,IF(Atletas!E385="Juvenil 82kg",9,IF(Atletas!E385="Juvenil 90kg",10,IF(Atletas!E385="Juvenil 100kg",11,IF(Atletas!E385="Adulto 48kg",12,IF(Atletas!E385="Adulto 52kg",13,IF(Atletas!E385="Adulto 56kg",14,IF(Atletas!E385="Adulto 60kg",15,IF(Atletas!E385="Adulto 65kg",16,IF(Atletas!E385="Adulto 70kg",17,IF(Atletas!E385="Adulto 75kg",18,IF(Atletas!E385="Adulto 82kg",19,IF(Atletas!E385="Adulto 90kg",20,IF(Atletas!E385="Adulto 100kg",21,IF(Atletas!E385="Adulto +100kg",22,""))))))))))))))))))))))))</f>
        <v/>
      </c>
      <c r="AX394" s="6" t="str">
        <f>IF(Atletas!F385="","",IF(Atletas!B385="Feminino",100,IF(Atletas!B385="Masculino",200,""))+(IF(Atletas!F385="Adulto 48kg",1,IF(Atletas!F385="Adulto 56kg",2,IF(Atletas!F385="Adulto 65kg",3,IF(Atletas!F385="Adulto 75kg",4,IF(Atletas!F385="Adulto +75kg",5,IF(Atletas!F385="Adulto 52kg",6,IF(Atletas!F385="Adulto 60kg",7,IF(Atletas!F385="Adulto 70kg",8,IF(Atletas!F385="Adulto 80kg",9,IF(Atletas!F385="Adulto 90kg",10,IF(Atletas!F385="Adulto +90kg",11,"")))))))))))))</f>
        <v/>
      </c>
      <c r="BC394" s="6" t="str">
        <f>IF(Atletas!G385="","",IF(Atletas!B385="Feminino",10,IF(Atletas!B385="Masculino",20,""))+(IF(Atletas!G385="Baduanjin A",1,IF(Atletas!G385="Baduanjin B",2))))</f>
        <v/>
      </c>
      <c r="BF394" s="52" t="str">
        <f>IF(Atletas!H385="","",IF(Atletas!B385="Feminino",100,IF(Atletas!B385="Masculino",200,""))+(IF(Atletas!H385="Changquan Mirim",1,IF(Atletas!H385="Nanquan Mirim",2,IF(Atletas!H385="Taijiquan Mirim",3,IF(Atletas!H385="Changquan Grupo C",4,IF(Atletas!H385="Nanquan Grupo C",5,IF(Atletas!H385="Taijiquan Grupo C",6,IF(Atletas!H385="Changquan Grupo B",7,IF(Atletas!H385="Nanquan Grupo B",8,IF(Atletas!H385="Taijiquan Grupo B",9,IF(Atletas!H385="Changquan Grupo A",10,IF(Atletas!H385="Nanquan Grupo A",11,IF(Atletas!H385="Taijiquan Grupo A",12,IF(Atletas!H385="Changquan Opcional",13,IF(Atletas!H385="Nanquan Opcional",14,IF(Atletas!H385="Taijiquan Opcional",15,IF(Atletas!H385="Changquan Adulto",16,IF(Atletas!H385="Nanquan Adulto",17,IF(Atletas!H385="Taijiquan Adulto",18,""))))))))))))))))))))</f>
        <v/>
      </c>
      <c r="BG394" s="52" t="str">
        <f>IF(Atletas!I385="","",IF(Atletas!B385="Feminino",100,IF(Atletas!B385="Masculino",200,""))+(IF(Atletas!I385="Daoshu Mirim",19,IF(Atletas!I385="Jianshu Mirim",20,IF(Atletas!I385="Nandao Mirim",21,IF(Atletas!I385="Taijijian Mirim",22,IF(Atletas!I385="Daoshu Grupo C",23,IF(Atletas!I385="Jianshu Grupo C",24,IF(Atletas!I385="Nandao Grupo C",25,IF(Atletas!I385="Taijijian Grupo C",26,IF(Atletas!I385="Daoshu Grupo B",27,IF(Atletas!I385="Jianshu Grupo B",28,IF(Atletas!I385="Nandao Grupo B",29,IF(Atletas!I385="Taijijian Grupo B",30,IF(Atletas!I385="Daoshu Grupo A",31,IF(Atletas!I385="Jianshu Grupo A",32,IF(Atletas!I385="Nandao Grupo A",33,IF(Atletas!I385="Taijijian Grupo A",34,IF(Atletas!I385="Daoshu Opcional",35,IF(Atletas!I385="Jianshu Opcional",36,IF(Atletas!I385="Nandao Opcional",37,IF(Atletas!I385="Taijijian Opcional",38,IF(Atletas!I385="Daoshu Adulto",39,IF(Atletas!I385="Jianshu Adulto",40,IF(Atletas!I385="Nandao Adulto",41,IF(Atletas!I385="Taijijian Adulto",42,""))))))))))))))))))))))))))</f>
        <v/>
      </c>
      <c r="BH394" s="52" t="str">
        <f>IF(Atletas!J385="","",IF(Atletas!B385="Feminino",100,IF(Atletas!B385="Masculino",200,""))+(IF(Atletas!J385="Gunshu Mirim",43,IF(Atletas!J385="Qiangshu Mirim",44,IF(Atletas!J385="Nangun Mirim",45,IF(Atletas!J385="Gunshu Grupo C",46,IF(Atletas!J385="Qiangshu Grupo C",47,IF(Atletas!J385="Nangun Grupo C",48,IF(Atletas!J385="Gunshu Grupo B",49,IF(Atletas!J385="Qiangshu Grupo B",50,IF(Atletas!J385="Nangun Grupo B",51,IF(Atletas!J385="Gunshu Grupo A",52,IF(Atletas!J385="Qiangshu Grupo A",53,IF(Atletas!J385="Nangun Grupo A",54,IF(Atletas!J385="Gunshu Opcional",55,IF(Atletas!J385="Qiangshu Opcional",56,IF(Atletas!J385="Nangun Opcional",57,IF(Atletas!J385="Gunshu Adulto",58,IF(Atletas!J385="Qiangshu Adulto",59,IF(Atletas!J385="Nangun Adulto",60,IF(Atletas!J385="Taijishan Grupo B",61,IF(Atletas!J385="Taijishan Grupo A",62,""))))))))))))))))))))))</f>
        <v/>
      </c>
      <c r="BM394" s="50" t="str">
        <f>IF(Atletas!K385="","",IF(Atletas!B385="Feminino",100,IF(Atletas!B385="Masculino",200,""))+(IF(Atletas!K385="Equipe 1 Grupo B",1,IF(Atletas!K385="Equipe 2 Grupo B",2,IF(Atletas!K385="Equipe 1 Grupo A",3,IF(Atletas!K385="Equipe 2 Grupo A",4,IF(Atletas!K385="Equipe 1 Adulto",5,IF(Atletas!K385="Equipe 2 Adulto",6,""))))))))</f>
        <v/>
      </c>
      <c r="BR394" s="50" t="str">
        <f>IF(Atletas!L385="","",IF(Atletas!X385&lt;&gt;"",10000,0)+(IF(Atletas!B385="Feminino",1000,IF(Atletas!B385="Masculino",2000,""))+IF(Atletas!L385="Choylayfut A",1,IF(Atletas!L385="Hunggar A",2,IF(Atletas!L385="Wuzuquan A",3,IF(Atletas!L385="Wingchun A",4,IF(Atletas!L385="Outra Mão de Sul A",5,IF(Atletas!L385="Choylayfut B",6,IF(Atletas!L385="Hunggar B",7,IF(Atletas!L385="Wuzuquan B",8,IF(Atletas!L385="Wingchun B",9,IF(Atletas!L385="Outra Mão de Sul B",10,IF(Atletas!L385="Choylayfut C",11,IF(Atletas!L385="Hunggar C",12,IF(Atletas!L385="Wuzuquan C",13,IF(Atletas!L385="Wingchun C",14,IF(Atletas!L385="Outra Mão de Sul C",15,IF(Atletas!L385="Choylayfut D",16,IF(Atletas!L385="Hunggar D",17,IF(Atletas!L385="Wuzuquan D",18,IF(Atletas!L385="Wingchun D",19,IF(Atletas!L385="Outra Mão de Sul D",20,IF(Atletas!L385="Choylayfut E",21,IF(Atletas!L385="Hunggar E",22,IF(Atletas!L385="Wuzuquan E",23,IF(Atletas!L385="Wingchun E",24,IF(Atletas!L385="Outra Mão de Sul E",25,IF(Atletas!L385="Choylayfut F",26,IF(Atletas!L385="Hunggar F",27,IF(Atletas!L385="Wuzuquan F",28,IF(Atletas!L385="Wingchun F",29,IF(Atletas!L385="Outra Mão de Sul F",30,IF(Atletas!L385="Dishuquan A",31,IF(Atletas!L385="Dishuquan B",32,IF(Atletas!L385="Dishuquan C",33,IF(Atletas!L385="Dishuquan D",34,IF(Atletas!L385="Dishuquan E",35,IF(Atletas!L385="Dishuquan F",36,""))))))))))))))))))))))))))))))))))))))</f>
        <v/>
      </c>
      <c r="BS394" s="50" t="str">
        <f>IF(Atletas!M385="","",IF(Atletas!X385&lt;&gt;"",10000,0)+(IF(Atletas!B385="Feminino",1000,IF(Atletas!B385="Masculino",2000,""))+(IF(Atletas!M385="Chaquan A",101,IF(Atletas!M385="Emeiquan A",102,IF(Atletas!M385="Fanziquan A",103,IF(Atletas!M385="Huaquan A",104,IF(Atletas!M385="Hongquan A",105,IF(Atletas!M385="Paoquan A",106,IF(Atletas!M385="Piguaquan A",107,IF(Atletas!M385="Shaolinquan A",108,IF(Atletas!M385="Tanglangquan A",109,IF(Atletas!M385="Yingzhaoquan A",110,IF(Atletas!M385="Tongbeiquan A",111,IF(Atletas!M385="Wudangquan A",112,IF(Atletas!M385="Outros Estilos A",113,IF(Atletas!M385="Chaquan B",114,IF(Atletas!M385="Emeiquan B",115,IF(Atletas!M385="Fanziquan B",116,IF(Atletas!M385="Huaquan B",117,IF(Atletas!M385="Hongquan B",118,IF(Atletas!M385="Paoquan B",119,IF(Atletas!M385="Piguaquan B",120,IF(Atletas!M385="Shaolinquan B",121,IF(Atletas!M385="Tanglangquan B",122,IF(Atletas!M385="Yingzhaoquan B",123,IF(Atletas!M385="Tongbeiquan B",124,IF(Atletas!M385="Wudangquan B",125,IF(Atletas!M385="Outros Estilos B",126,IF(Atletas!M385="Chaquan C",127,IF(Atletas!M385="Emeiquan C",128,IF(Atletas!M385="Fanziquan C",129,IF(Atletas!M385="Huaquan C",130,IF(Atletas!M385="Hongquan C",131,IF(Atletas!M385="Paoquan C",132,IF(Atletas!M385="Piguaquan C",133,IF(Atletas!M385="Shaolinquan C",134,IF(Atletas!M385="Tanglangquan C",135,IF(Atletas!M385="Yingzhaoquan C",136,IF(Atletas!M385="Tongbeiquan C",137,IF(Atletas!M385="Wudangquan C",138,IF(Atletas!M385="Outros Estilos C",139,0))))))))))))))))))))))))))))))))))))))))))</f>
        <v/>
      </c>
      <c r="BT394" s="50" t="str">
        <f>IF(Atletas!M385="","",IF(Atletas!X385&lt;&gt;"",10000,0)+(IF(Atletas!B385="Feminino",1000,IF(Atletas!B385="Masculino",2000,""))+(IF(Atletas!M385="Chaquan D",140,IF(Atletas!M385="Emeiquan D",141,IF(Atletas!M385="Fanziquan D",142,IF(Atletas!M385="Huaquan D",143,IF(Atletas!M385="Hongquan D",144,IF(Atletas!M385="Paoquan D",145,IF(Atletas!M385="Piguaquan D",146,IF(Atletas!M385="Shaolinquan D",147,IF(Atletas!M385="Tanglangquan D",148,IF(Atletas!M385="Yingzhaoquan D",149,IF(Atletas!M385="Tongbeiquan D",150,IF(Atletas!M385="Wudangquan D",151,IF(Atletas!M385="Outros Estilos D",152,IF(Atletas!M385="Chaquan E",153,IF(Atletas!M385="Emeiquan E",154,IF(Atletas!M385="Fanziquan E",155,IF(Atletas!M385="Huaquan E",156,IF(Atletas!M385="Hongquan E",157,IF(Atletas!M385="Paoquan E",158,IF(Atletas!M385="Piguaquan E",159,IF(Atletas!M385="Shaolinquan E",160,IF(Atletas!M385="Tanglangquan E",161,IF(Atletas!M385="Yingzhaoquan E",162,IF(Atletas!M385="Tongbeiquan E",163,IF(Atletas!M385="Wudangquan E",164,IF(Atletas!M385="Outros Estilos E",165,IF(Atletas!M385="Chaquan F",166,IF(Atletas!M385="Emeiquan F",167,IF(Atletas!M385="Fanziquan F",168,IF(Atletas!M385="Huaquan F",169,IF(Atletas!M385="Hongquan F",170,IF(Atletas!M385="Paoquan F",171,IF(Atletas!M385="Piguaquan F",172,IF(Atletas!M385="Shaolinquan F",173,IF(Atletas!M385="Tanglangquan F",174,IF(Atletas!M385="Yingzhaoquan F",175,IF(Atletas!M385="Tongbeiquan F",176,IF(Atletas!M385="Wudangquan F",177,IF(Atletas!M385="Outros Estilos F",178,0))))))))))))))))))))))))))))))))))))))))))</f>
        <v/>
      </c>
      <c r="BU394" s="50" t="str">
        <f>IF(Atletas!N385="","",IF(Atletas!X385&lt;&gt;"",10000,0)+(IF(Atletas!B385="Feminino",1000,IF(Atletas!B385="Masculino",2000,""))+(IF(Atletas!N385="Ditangquan A",201,IF(Atletas!N385="Houquan A",202,IF(Atletas!N385="Zuiquan A",203,IF(Atletas!N385="Ditangquan B",204,IF(Atletas!N385="Houquan B",205,IF(Atletas!N385="Zuiquan B",206,IF(Atletas!N385="Ditangquan C",207,IF(Atletas!N385="Houquan C",208,IF(Atletas!N385="Zuiquan C",209,IF(Atletas!N385="Ditangquan D",210,IF(Atletas!N385="Houquan D",211,IF(Atletas!N385="Zuiquan D",212,IF(Atletas!N385="Ditangquan E",213,IF(Atletas!N385="Houquan E",214,IF(Atletas!N385="Zuiquan E",215,IF(Atletas!N385="Ditangquan F",216,IF(Atletas!N385="Houquan F",217,IF(Atletas!N385="Zuiquan F",218,"")))))))))))))))))))))</f>
        <v/>
      </c>
      <c r="BV394" s="50" t="str">
        <f>IF(Atletas!O385="","",IF(Atletas!X385&lt;&gt;"",10000,0)+IF(Atletas!B385="Feminino",1000,IF(Atletas!B385="Masculino",2000,""))+IF(Atletas!O385="Yang A",301,IF(Atletas!O385="Chen A",302,IF(Atletas!O385="Sun A",303,IF(Atletas!O385="Wu A",304,IF(Atletas!O385="Wu-Hao A",305,IF(Atletas!O385="Outro Taijiquan A",306,IF(Atletas!O385="Yang B",307,IF(Atletas!O385="Chen B",308,IF(Atletas!O385="Sun B",309,IF(Atletas!O385="Wu B",310,IF(Atletas!O385="Wu-Hao B",311,IF(Atletas!O385="Outro Taijiquan B",312,IF(Atletas!O385="Yang C",313,IF(Atletas!O385="Chen C",314,IF(Atletas!O385="Sun C",315,IF(Atletas!O385="Wu C",316,IF(Atletas!O385="Wu-Hao C",317,IF(Atletas!O385="Outro Taijiquan C",318,IF(Atletas!O385="Yang D",319,IF(Atletas!O385="Chen D",320,IF(Atletas!O385="Sun D",321,IF(Atletas!O385="Wu D",322,IF(Atletas!O385="Wu-Hao D",323,IF(Atletas!O385="Outro Taijiquan D",324,IF(Atletas!O385="Yang E",325,IF(Atletas!O385="Chen E",326,IF(Atletas!O385="Sun E",327,IF(Atletas!O385="Wu E",328,IF(Atletas!O385="Wu-Hao E",329,IF(Atletas!O385="Outro Taijiquan E",330,IF(Atletas!O385="Yang F",331,IF(Atletas!O385="Chen F",332,IF(Atletas!O385="Sun F",333,IF(Atletas!O385="Wu F",334,IF(Atletas!O385="Wu-Hao F",335,IF(Atletas!O385="Outro Taijiquan F",336,"")))))))))))))))))))))))))))))))))))))</f>
        <v/>
      </c>
      <c r="BW394" s="50" t="str">
        <f>IF(Atletas!P385="","",IF(Atletas!X385&lt;&gt;"",10000,0)+IF(Atletas!B385="Feminino",1000,IF(Atletas!B385="Masculino",2000,""))+IF(OR(Atletas!P385="Yang 26 A",Atletas!P385="Yang 40 A"),401,IF(OR(Atletas!P385="Chen 25 A",Atletas!P385="Chen 36 A",Atletas!P385="Chen 56 A"),402,IF(Atletas!P385="Sun 73 A",403,IF(Atletas!P385="Wu 45 A",404,IF(Atletas!P385="Wu-Hao 46 A",405,IF(OR(Atletas!P385="Taijiquan 16 A",Atletas!P385="Taijiquan 24 A",Atletas!P385="Taijiquan 32 A",Atletas!P385="Taijiquan 42 A"),406,IF(OR(Atletas!P385="Yang 26 B",Atletas!P385="Yang 40 B"),407,IF(OR(Atletas!P385="Chen 25 B",Atletas!P385="Chen 36 B",Atletas!P385="Chen 56 B"),408,IF(Atletas!P385="Sun 73 B",409,IF(Atletas!P385="Wu 45 B",410,IF(Atletas!P385="Wu-Hao 46 B",411,IF(OR(Atletas!P385="Taijiquan 16 B",Atletas!P385="Taijiquan 24 B",Atletas!P385="Taijiquan 32 B",Atletas!P385="Taijiquan 42 B"),412,IF(OR(Atletas!P385="Yang 26 C",Atletas!P385="Yang 40 C"),413,IF(OR(Atletas!P385="Chen 25 C",Atletas!P385="Chen 36 C",Atletas!P385="Chen 56 C"),414,IF(Atletas!P385="Sun 73 C",415,IF(Atletas!P385="Wu 45 C",416,IF(Atletas!P385="Wu-Hao 46 C",417,IF(OR(Atletas!P385="Taijiquan 16 C",Atletas!P385="Taijiquan 24 C",Atletas!P385="Taijiquan 32 C",Atletas!P385="Taijiquan 42 C"),418,0)))))))))))))))))))</f>
        <v/>
      </c>
      <c r="BX394" s="50" t="str">
        <f>IF(Atletas!P385="","",IF(Atletas!X385&lt;&gt;"",10000,0)+IF(Atletas!B385="Feminino",1000,IF(Atletas!B385="Masculino",2000,""))+IF(OR(Atletas!P385="Yang 26 D",Atletas!P385="Yang 40 D"),419,IF(OR(Atletas!P385="Chen 25 D",Atletas!P385="Chen 36 D",Atletas!P385="Chen 56 D"),420,IF(Atletas!P385="Sun 73 D",421,IF(Atletas!P385="Wu 45 D",422,IF(Atletas!P385="Wu-Hao 46 D",423,IF(OR(Atletas!P385="Taijiquan 16 D",Atletas!P385="Taijiquan 24 D",Atletas!P385="Taijiquan 32 D",Atletas!P385="Taijiquan 42 D"),424,IF(OR(Atletas!P385="Yang 26 E",Atletas!P385="Yang 40 E"),425,IF(OR(Atletas!P385="Chen 25 E",Atletas!P385="Chen 36 E",Atletas!P385="Chen 56 E"),426,IF(Atletas!P385="Sun 73 E",427,IF(Atletas!P385="Wu 45 E",428,IF(Atletas!P385="Wu-Hao 46 E",429,IF(OR(Atletas!P385="Taijiquan 16 E",Atletas!P385="Taijiquan 24 E",Atletas!P385="Taijiquan 32 E",Atletas!P385="Taijiquan 42 E"),430,IF(OR(Atletas!P385="Yang 26 F",Atletas!P385="Yang 40 F"),431,IF(OR(Atletas!P385="Chen 25 F",Atletas!P385="Chen 36 F",Atletas!P385="Chen 56 F"),432,IF(Atletas!P385="Sun 73 F",433,IF(Atletas!P385="Wu 45 F",434,IF(Atletas!P385="Wu-Hao 46 F",435,IF(OR(Atletas!P385="Taijiquan 16 F",Atletas!P385="Taijiquan 24 F",Atletas!P385="Taijiquan 32 F",Atletas!P385="Taijiquan 42 F"),436,0)))))))))))))))))))</f>
        <v/>
      </c>
      <c r="BY394" s="50" t="str">
        <f>IF(Atletas!Q385="","",IF(Atletas!X385&lt;&gt;"",10000,0)+IF(Atletas!B385="Feminino",1000,IF(Atletas!B385="Masculino",2000,""))+IF(Atletas!Q385="Xingyiquan A",501,IF(Atletas!Q385="Baguazhang A",502,IF(Atletas!Q385="Outro Estilo Interno A",503,IF(Atletas!Q385="Xingyiquan B",504,IF(Atletas!Q385="Baguazhang B",505,IF(Atletas!Q385="Outro Estilo Interno B",506,IF(Atletas!Q385="Xingyiquan C",507,IF(Atletas!Q385="Baguazhang C",508,IF(Atletas!Q385="Outro Estilo Interno C",509,IF(Atletas!Q385="Xingyiquan D",510,IF(Atletas!Q385="Baguazhang D",511,IF(Atletas!Q385="Outro Estilo Interno D",512,IF(Atletas!Q385="Xingyiquan E",513,IF(Atletas!Q385="Baguazhang E",514,IF(Atletas!Q385="Outro Estilo Interno E",515,IF(Atletas!Q385="Xingyiquan F",516,IF(Atletas!Q385="Baguazhang F",517,IF(Atletas!Q385="Outro Estilo Interno F",518, "")))))))))))))))))))</f>
        <v/>
      </c>
      <c r="BZ394" s="50" t="str">
        <f>IF(Atletas!R385="","",IF(Atletas!X385&lt;&gt;"",10000,0)+IF(Atletas!B385="Feminino",1000,IF(Atletas!B385="Masculino",2000,""))+IF(Atletas!R385="Dao A",601,IF(Atletas!R385="Jian A",602,IF(Atletas!R385="Bishou A",603,IF(Atletas!R385="Shanzi A",604,IF(Atletas!R385="Outra Arma Curta A",605,IF(Atletas!R385="Dao B",606,IF(Atletas!R385="Jian B",607,IF(Atletas!R385="Bishou B",608,IF(Atletas!R385="Shanzi B",609,IF(Atletas!R385="Outra Arma Curta B",610,IF(Atletas!R385="Dao C",611,IF(Atletas!R385="Jian C",612,IF(Atletas!R385="Bishou C",613,IF(Atletas!R385="Shanzi C",614,IF(Atletas!R385="Outra Arma Curta C",615,IF(Atletas!R385="Dao D",616,IF(Atletas!R385="Jian D",617,IF(Atletas!R385="Bishou D",618,IF(Atletas!R385="Shanzi D",619,IF(Atletas!R385="Outra Arma Curta D",620,IF(Atletas!R385="Dao E",621,IF(Atletas!R385="Jian E",622,IF(Atletas!R385="Bishou E",623,IF(Atletas!R385="Shanzi E",624,IF(Atletas!R385="Outra Arma Curta E",625,IF(Atletas!R385="Dao F",626,IF(Atletas!R385="Jian F",627,IF(Atletas!R385="Bishou F",628,IF(Atletas!R385="Shanzi F",629,IF(Atletas!R385="Outra Arma Curta F",630, "")))))))))))))))))))))))))))))))</f>
        <v/>
      </c>
      <c r="CA394" s="50" t="str">
        <f>IF(Atletas!S385="","",IF(Atletas!X385&lt;&gt;"",10000,0)+IF(Atletas!B385="Feminino",1000,IF(Atletas!B385="Masculino",2000,""))+IF(Atletas!S385="Gun A",701,IF(Atletas!S385="Qiang A",702,IF(Atletas!S385="Pudao / Guandao A",703,IF(Atletas!S385="Outra Arma Longa A",704,IF(Atletas!S385="Gun B",705,IF(Atletas!S385="Qiang B",706,IF(Atletas!S385="Pudao / Guandao B",707,IF(Atletas!S385="Outra Arma Longa B",708,IF(Atletas!S385="Gun C",709,IF(Atletas!S385="Qiang C",710,IF(Atletas!S385="Pudao / Guandao C",711,IF(Atletas!S385="Outra Arma Longa C",712,IF(Atletas!S385="Gun D",713,IF(Atletas!S385="Qiang D",714,IF(Atletas!S385="Pudao / Guandao D",715,IF(Atletas!S385="Outra Arma Longa D",716,IF(Atletas!S385="Gun E",717,IF(Atletas!S385="Qiang E",718,IF(Atletas!S385="Pudao / Guandao E",719,IF(Atletas!S385="Outra Arma Longa E",720,IF(Atletas!S385="Gun F",721,IF(Atletas!S385="Qiang F",722,IF(Atletas!S385="Pudao / Guandao F",723,IF(Atletas!S385="Outra Arma Longa F",724,"")))))))))))))))))))))))))</f>
        <v/>
      </c>
      <c r="CB394" s="50" t="str">
        <f>IF(Atletas!T385="","",IF(Atletas!X385&lt;&gt;"",10000,0)+IF(Atletas!B385="Feminino",1000,IF(Atletas!B385="Masculino",2000,""))+IF(Atletas!T385="Outra Arma Dupla A",801,IF(Atletas!T385="Arma Maleável A",802,IF(Atletas!T385="Outra Arma Dupla B",803,IF(Atletas!T385="Arma Maleável B",804,IF(Atletas!T385="Outra Arma Dupla C",805,IF(Atletas!T385="Arma Maleável C",806,IF(Atletas!T385="Outra Arma Dupla D",807,IF(Atletas!T385="Arma Maleável D",808,IF(Atletas!T385="Outra Arma Dupla E",809,IF(Atletas!T385="Arma Maleável E",810,IF(Atletas!T385="Outra Arma Dupla F",811,IF(Atletas!T385="Arma Maleável F",812,IF(Atletas!T385="Shuangdao A",813,IF(Atletas!T385="Shuangdao B",814,IF(Atletas!T385="Shuangdao C",815,IF(Atletas!T385="Shuangdao D",816,IF(Atletas!T385="Shuangdao E",817,IF(Atletas!T385="Shuangdao F",818,"")))))))))))))))))))</f>
        <v/>
      </c>
      <c r="CC394" s="50" t="str">
        <f>IF(Atletas!U385="","",IF(Atletas!X385&lt;&gt;"",10000,0)+IF(Atletas!B385="Feminino",1000,IF(Atletas!B385="Masculino",2000,""))+IF(OR(Atletas!U385="Taijijian Yang A",Atletas!U385="Taijijian Yang Standard A"),901,IF(OR(Atletas!U385="Taijijian Chen A", Atletas!U385="Taijijian Chen Standard A"),902,IF(Atletas!U385="Taijijian Sun A",903,IF(Atletas!U385="Taijijian Wu A",904,IF(Atletas!U385="Taijijian Wu-Hao A",905,IF(OR(Atletas!U385="Taijijian 32 A",Atletas!U385="Taijijian 42 A"),906,IF(OR(Atletas!U385="Taijijian Yang B",Atletas!U385="Taijijian Yang Standard B"),907,IF(OR(Atletas!U385="Taijijian Chen B", Atletas!U385="Taijijian Chen Standard B"),908,IF(Atletas!U385="Taijijian Sun B",909,IF(Atletas!U385="Taijijian Wu B",910,IF(Atletas!U385="Taijijian Wu-Hao B",911,IF(OR(Atletas!U385="Taijijian 32 B",Atletas!U385="Taijijian 42 B"),912,IF(OR(Atletas!U385="Taijijian Yang C",Atletas!U385="Taijijian Yang Standard C"),913,IF(OR(Atletas!U385="Taijijian Chen C", Atletas!U385="Taijijian Chen Standard C"),914,IF(Atletas!U385="Taijijian Sun C",915,IF(Atletas!U385="Taijijian Wu C",916,IF(Atletas!U385="Taijijian Wu-Hao C",917,IF(OR(Atletas!U385="Taijijian 32 C",Atletas!U385="Taijijian 42 C"),918,IF(OR(Atletas!U385="Taijijian Yang D",Atletas!U385="Taijijian Yang Standard D"),919,IF(OR(Atletas!U385="Taijijian Chen D", Atletas!U385="Taijijian Chen Standard D"),920,IF(Atletas!U385="Taijijian Sun D",921,IF(Atletas!U385="Taijijian Wu D",922,IF(Atletas!U385="Taijijian Wu-Hao D",923,IF(OR(Atletas!U385="Taijijian 32 D",Atletas!U385="Taijijian 42 D"),924,IF(OR(Atletas!U385="Taijijian Yang E",Atletas!U385="Taijijian Yang Standard E"),925,IF(OR(Atletas!U385="Taijijian Chen E", Atletas!U385="Taijijian Chen Standard E"),926,IF(Atletas!U385="Taijijian Sun E",927,IF(Atletas!U385="Taijijian Wu E",928,IF(Atletas!U385="Taijijian Wu-Hao E",929,IF(OR(Atletas!U385="Taijijian 32 E",Atletas!U385="Taijijian 42 E"),930,IF(OR(Atletas!U385="Taijijian Yang F",Atletas!U385="Taijijian Yang Standard F"),931,IF(OR(Atletas!U385="Taijijian Chen F", Atletas!U385="Taijijian Chen Standard F"),932,IF(Atletas!U385="Taijijian Sun F",933,IF(Atletas!U385="Taijijian Wu F",934,IF(Atletas!U385="Taijijian Wu-Hao F",935,IF(OR(Atletas!U385="Taijijian 32 F",Atletas!U385="Taijijian 42 F"),936,"")))))))))))))))))))))))))))))))))))))</f>
        <v/>
      </c>
      <c r="CD394" s="50" t="str">
        <f>IF(Atletas!V385="","",IF(Atletas!X385&lt;&gt;"",10000,0)+IF(Atletas!B385="Feminino",1000,IF(Atletas!B385="Masculino",2000,""))+IF(Atletas!V385="Taijidao A",937,IF(Atletas!V385="TaijiShanzi A",938,IF(Atletas!V385="Taijiqiang A",939,IF(Atletas!V385="Bagua de Arma A",940,IF(Atletas!V385="Xingyi de Arma A",941,IF(Atletas!V385="Taijidao B",942,IF(Atletas!V385="TaijiShanzi B",943,IF(Atletas!V385="Taijiqiang B",944,IF(Atletas!V385="Bagua de Arma B",945,IF(Atletas!V385="Xingyi de Arma B",946,IF(Atletas!V385="Taijidao C",947,IF(Atletas!V385="TaijiShanzi C",948,IF(Atletas!V385="Taijiqiang C",949,IF(Atletas!V385="Bagua de Arma C",950,IF(Atletas!V385="Xingyi de Arma C",951,IF(Atletas!V385="Taijidao D",952,IF(Atletas!V385="TaijiShanzi D",953,IF(Atletas!V385="Taijiqiang D",954,IF(Atletas!V385="Bagua de Arma D",955,IF(Atletas!V385="Xingyi de Arma D",956,IF(Atletas!V385="Taijidao E",957,IF(Atletas!V385="TaijiShanzi E",958,IF(Atletas!V385="Taijiqiang E",959,IF(Atletas!V385="Bagua de Arma E",960,IF(Atletas!V385="Xingyi de Arma E",961,IF(Atletas!V385="Taijidao F",962,IF(Atletas!V385="TaijiShanzi F",963,IF(Atletas!V385="Taijiqiang F",964,IF(Atletas!V385="Bagua de Arma F",965,IF(Atletas!V385="Xingyi de Arma F",966,"")))))))))))))))))))))))))))))))</f>
        <v/>
      </c>
      <c r="CJ394" s="66"/>
      <c r="CL394" s="66"/>
      <c r="CM394" s="50" t="str">
        <f xml:space="preserve"> IF(Atletas!W385="","",IF(Atletas!W385="Duilian de Mãos BC - Equipe 1",1,IF(Atletas!W385="Duilian de Mãos BC - Equipe 2",2,IF(Atletas!W385="Duilian de Armas BC - Equipe 1",3,IF(Atletas!W385="Duilian de Armas BC - Equipe 2",4,IF(Atletas!W385="Duilian de Mãos DE - Equipe 1",5,IF(Atletas!W385="Duilian de Mãos DE - Equipe 2",6,IF(Atletas!W385="Duilian de Armas DE - Equipe 1",7,IF(Atletas!W385="Duilian de Armas DE - Equipe 2",8,IF(Atletas!W385="Duilian de Tuishou - Equipe 1",9,IF(Atletas!W385="Duilian de Tuishou - Equipe 2",10,IF(Atletas!W385="Grupo Externo ABC - Equipe 1",11,IF(Atletas!W385="Grupo Externo ABC - Equipe 2",12,IF(Atletas!W385="Grupo Interno ABC - Equipe 1",13,IF(Atletas!W385="Grupo Interno ABC - Equipe 2",14,IF(Atletas!W385="Grupo Externo DEF - Equipe 1",15,IF(Atletas!W385="Grupo Externo DEF - Equipe 2",16,IF(Atletas!W385="Grupo Interno DEF - Equipe 1",17,IF(Atletas!W385="Grupo Interno DEF - Equipe 2",18,"")))))))))))))))))))</f>
        <v/>
      </c>
    </row>
    <row r="395" spans="40:91">
      <c r="AN395" s="52" t="str">
        <f>IF(Atletas!D386="","",IF(Atletas!B386="Feminino",100,IF(Atletas!B386="Masculino",200,""))+(IF(Atletas!D386="Kids 30kg",1,IF(Atletas!D386="Kids 32kg",2, IF(Atletas!D386="Kids 34kg",3,IF(Atletas!D386="Kids 36kg",4,IF(Atletas!D386="Kids 39kg",5,IF(Atletas!D386="Kids 42kg",6,IF(Atletas!D386="Kids 45kg",7, IF(Atletas!D386="Infantil 39kg",8,IF(Atletas!D386="Infantil 42kg",9,IF(Atletas!D386="Infantil 45kg",10,IF(Atletas!D386="Infantil 48kg",11,IF(Atletas!D386="Infantil 52kg",12,IF(Atletas!D386="Infantil 56kg",13,IF(Atletas!D386="Infantil 60kg",14,IF(Atletas!D386="Juvenil 48kg",15,IF(Atletas!D386="Juvenil 52kg",16,IF(Atletas!D386="Juvenil 56kg",17,IF(Atletas!D386="Juvenil 60kg",18,IF(Atletas!D386="Juvenil 65kg",19,IF(Atletas!D386="Juvenil 70kg",20,IF(Atletas!D386="Juvenil 75kg",21,IF(Atletas!D386="Juvenil 80kg",22, IF(Atletas!D386="Juvenil 85kg",23,IF(Atletas!D386="Adulto 48kg",24,IF(Atletas!D386="Adulto 52kg",25,IF(Atletas!D386="Adulto 56kg",26,IF(Atletas!D386="Adulto 60kg",27,IF(Atletas!D386="Adulto 65kg",28,IF(Atletas!D386="Adulto 70kg",29,IF(Atletas!D386="Adulto 75kg",30,IF(Atletas!D386="Adulto 80kg",31,IF(Atletas!D386="Adulto 85kg",32,IF(Atletas!D386="Adulto 90kg",33,IF(Atletas!D386="Adulto 100kg",34, IF(Atletas!D386="Adulto +100kg",35,"")))))))))))))))))))))))))))))))))))))</f>
        <v/>
      </c>
      <c r="AS395" s="6" t="str">
        <f>IF(Atletas!E386="","",IF(Atletas!B386="Feminino",100,IF(Atletas!B386="Masculino",200,""))+(IF(Atletas!E386="Juvenil 44kg",1,IF(Atletas!E386="Juvenil 48kg",2,IF(Atletas!E386="Juvenil 52kg",3,IF(Atletas!E386="Juvenil 56kg",4,IF(Atletas!E386="Juvenil 60kg",5,IF(Atletas!E386="Juvenil 65kg",6,IF(Atletas!E386="Juvenil 70kg",7,IF(Atletas!E386="Juvenil 75kg",8,IF(Atletas!E386="Juvenil 82kg",9,IF(Atletas!E386="Juvenil 90kg",10,IF(Atletas!E386="Juvenil 100kg",11,IF(Atletas!E386="Adulto 48kg",12,IF(Atletas!E386="Adulto 52kg",13,IF(Atletas!E386="Adulto 56kg",14,IF(Atletas!E386="Adulto 60kg",15,IF(Atletas!E386="Adulto 65kg",16,IF(Atletas!E386="Adulto 70kg",17,IF(Atletas!E386="Adulto 75kg",18,IF(Atletas!E386="Adulto 82kg",19,IF(Atletas!E386="Adulto 90kg",20,IF(Atletas!E386="Adulto 100kg",21,IF(Atletas!E386="Adulto +100kg",22,""))))))))))))))))))))))))</f>
        <v/>
      </c>
      <c r="AX395" s="6" t="str">
        <f>IF(Atletas!F386="","",IF(Atletas!B386="Feminino",100,IF(Atletas!B386="Masculino",200,""))+(IF(Atletas!F386="Adulto 48kg",1,IF(Atletas!F386="Adulto 56kg",2,IF(Atletas!F386="Adulto 65kg",3,IF(Atletas!F386="Adulto 75kg",4,IF(Atletas!F386="Adulto +75kg",5,IF(Atletas!F386="Adulto 52kg",6,IF(Atletas!F386="Adulto 60kg",7,IF(Atletas!F386="Adulto 70kg",8,IF(Atletas!F386="Adulto 80kg",9,IF(Atletas!F386="Adulto 90kg",10,IF(Atletas!F386="Adulto +90kg",11,"")))))))))))))</f>
        <v/>
      </c>
      <c r="BC395" s="6" t="str">
        <f>IF(Atletas!G386="","",IF(Atletas!B386="Feminino",10,IF(Atletas!B386="Masculino",20,""))+(IF(Atletas!G386="Baduanjin A",1,IF(Atletas!G386="Baduanjin B",2))))</f>
        <v/>
      </c>
      <c r="BF395" s="52" t="str">
        <f>IF(Atletas!H386="","",IF(Atletas!B386="Feminino",100,IF(Atletas!B386="Masculino",200,""))+(IF(Atletas!H386="Changquan Mirim",1,IF(Atletas!H386="Nanquan Mirim",2,IF(Atletas!H386="Taijiquan Mirim",3,IF(Atletas!H386="Changquan Grupo C",4,IF(Atletas!H386="Nanquan Grupo C",5,IF(Atletas!H386="Taijiquan Grupo C",6,IF(Atletas!H386="Changquan Grupo B",7,IF(Atletas!H386="Nanquan Grupo B",8,IF(Atletas!H386="Taijiquan Grupo B",9,IF(Atletas!H386="Changquan Grupo A",10,IF(Atletas!H386="Nanquan Grupo A",11,IF(Atletas!H386="Taijiquan Grupo A",12,IF(Atletas!H386="Changquan Opcional",13,IF(Atletas!H386="Nanquan Opcional",14,IF(Atletas!H386="Taijiquan Opcional",15,IF(Atletas!H386="Changquan Adulto",16,IF(Atletas!H386="Nanquan Adulto",17,IF(Atletas!H386="Taijiquan Adulto",18,""))))))))))))))))))))</f>
        <v/>
      </c>
      <c r="BG395" s="52" t="str">
        <f>IF(Atletas!I386="","",IF(Atletas!B386="Feminino",100,IF(Atletas!B386="Masculino",200,""))+(IF(Atletas!I386="Daoshu Mirim",19,IF(Atletas!I386="Jianshu Mirim",20,IF(Atletas!I386="Nandao Mirim",21,IF(Atletas!I386="Taijijian Mirim",22,IF(Atletas!I386="Daoshu Grupo C",23,IF(Atletas!I386="Jianshu Grupo C",24,IF(Atletas!I386="Nandao Grupo C",25,IF(Atletas!I386="Taijijian Grupo C",26,IF(Atletas!I386="Daoshu Grupo B",27,IF(Atletas!I386="Jianshu Grupo B",28,IF(Atletas!I386="Nandao Grupo B",29,IF(Atletas!I386="Taijijian Grupo B",30,IF(Atletas!I386="Daoshu Grupo A",31,IF(Atletas!I386="Jianshu Grupo A",32,IF(Atletas!I386="Nandao Grupo A",33,IF(Atletas!I386="Taijijian Grupo A",34,IF(Atletas!I386="Daoshu Opcional",35,IF(Atletas!I386="Jianshu Opcional",36,IF(Atletas!I386="Nandao Opcional",37,IF(Atletas!I386="Taijijian Opcional",38,IF(Atletas!I386="Daoshu Adulto",39,IF(Atletas!I386="Jianshu Adulto",40,IF(Atletas!I386="Nandao Adulto",41,IF(Atletas!I386="Taijijian Adulto",42,""))))))))))))))))))))))))))</f>
        <v/>
      </c>
      <c r="BH395" s="52" t="str">
        <f>IF(Atletas!J386="","",IF(Atletas!B386="Feminino",100,IF(Atletas!B386="Masculino",200,""))+(IF(Atletas!J386="Gunshu Mirim",43,IF(Atletas!J386="Qiangshu Mirim",44,IF(Atletas!J386="Nangun Mirim",45,IF(Atletas!J386="Gunshu Grupo C",46,IF(Atletas!J386="Qiangshu Grupo C",47,IF(Atletas!J386="Nangun Grupo C",48,IF(Atletas!J386="Gunshu Grupo B",49,IF(Atletas!J386="Qiangshu Grupo B",50,IF(Atletas!J386="Nangun Grupo B",51,IF(Atletas!J386="Gunshu Grupo A",52,IF(Atletas!J386="Qiangshu Grupo A",53,IF(Atletas!J386="Nangun Grupo A",54,IF(Atletas!J386="Gunshu Opcional",55,IF(Atletas!J386="Qiangshu Opcional",56,IF(Atletas!J386="Nangun Opcional",57,IF(Atletas!J386="Gunshu Adulto",58,IF(Atletas!J386="Qiangshu Adulto",59,IF(Atletas!J386="Nangun Adulto",60,IF(Atletas!J386="Taijishan Grupo B",61,IF(Atletas!J386="Taijishan Grupo A",62,""))))))))))))))))))))))</f>
        <v/>
      </c>
      <c r="BM395" s="50" t="str">
        <f>IF(Atletas!K386="","",IF(Atletas!B386="Feminino",100,IF(Atletas!B386="Masculino",200,""))+(IF(Atletas!K386="Equipe 1 Grupo B",1,IF(Atletas!K386="Equipe 2 Grupo B",2,IF(Atletas!K386="Equipe 1 Grupo A",3,IF(Atletas!K386="Equipe 2 Grupo A",4,IF(Atletas!K386="Equipe 1 Adulto",5,IF(Atletas!K386="Equipe 2 Adulto",6,""))))))))</f>
        <v/>
      </c>
      <c r="BR395" s="50" t="str">
        <f>IF(Atletas!L386="","",IF(Atletas!X386&lt;&gt;"",10000,0)+(IF(Atletas!B386="Feminino",1000,IF(Atletas!B386="Masculino",2000,""))+IF(Atletas!L386="Choylayfut A",1,IF(Atletas!L386="Hunggar A",2,IF(Atletas!L386="Wuzuquan A",3,IF(Atletas!L386="Wingchun A",4,IF(Atletas!L386="Outra Mão de Sul A",5,IF(Atletas!L386="Choylayfut B",6,IF(Atletas!L386="Hunggar B",7,IF(Atletas!L386="Wuzuquan B",8,IF(Atletas!L386="Wingchun B",9,IF(Atletas!L386="Outra Mão de Sul B",10,IF(Atletas!L386="Choylayfut C",11,IF(Atletas!L386="Hunggar C",12,IF(Atletas!L386="Wuzuquan C",13,IF(Atletas!L386="Wingchun C",14,IF(Atletas!L386="Outra Mão de Sul C",15,IF(Atletas!L386="Choylayfut D",16,IF(Atletas!L386="Hunggar D",17,IF(Atletas!L386="Wuzuquan D",18,IF(Atletas!L386="Wingchun D",19,IF(Atletas!L386="Outra Mão de Sul D",20,IF(Atletas!L386="Choylayfut E",21,IF(Atletas!L386="Hunggar E",22,IF(Atletas!L386="Wuzuquan E",23,IF(Atletas!L386="Wingchun E",24,IF(Atletas!L386="Outra Mão de Sul E",25,IF(Atletas!L386="Choylayfut F",26,IF(Atletas!L386="Hunggar F",27,IF(Atletas!L386="Wuzuquan F",28,IF(Atletas!L386="Wingchun F",29,IF(Atletas!L386="Outra Mão de Sul F",30,IF(Atletas!L386="Dishuquan A",31,IF(Atletas!L386="Dishuquan B",32,IF(Atletas!L386="Dishuquan C",33,IF(Atletas!L386="Dishuquan D",34,IF(Atletas!L386="Dishuquan E",35,IF(Atletas!L386="Dishuquan F",36,""))))))))))))))))))))))))))))))))))))))</f>
        <v/>
      </c>
      <c r="BS395" s="50" t="str">
        <f>IF(Atletas!M386="","",IF(Atletas!X386&lt;&gt;"",10000,0)+(IF(Atletas!B386="Feminino",1000,IF(Atletas!B386="Masculino",2000,""))+(IF(Atletas!M386="Chaquan A",101,IF(Atletas!M386="Emeiquan A",102,IF(Atletas!M386="Fanziquan A",103,IF(Atletas!M386="Huaquan A",104,IF(Atletas!M386="Hongquan A",105,IF(Atletas!M386="Paoquan A",106,IF(Atletas!M386="Piguaquan A",107,IF(Atletas!M386="Shaolinquan A",108,IF(Atletas!M386="Tanglangquan A",109,IF(Atletas!M386="Yingzhaoquan A",110,IF(Atletas!M386="Tongbeiquan A",111,IF(Atletas!M386="Wudangquan A",112,IF(Atletas!M386="Outros Estilos A",113,IF(Atletas!M386="Chaquan B",114,IF(Atletas!M386="Emeiquan B",115,IF(Atletas!M386="Fanziquan B",116,IF(Atletas!M386="Huaquan B",117,IF(Atletas!M386="Hongquan B",118,IF(Atletas!M386="Paoquan B",119,IF(Atletas!M386="Piguaquan B",120,IF(Atletas!M386="Shaolinquan B",121,IF(Atletas!M386="Tanglangquan B",122,IF(Atletas!M386="Yingzhaoquan B",123,IF(Atletas!M386="Tongbeiquan B",124,IF(Atletas!M386="Wudangquan B",125,IF(Atletas!M386="Outros Estilos B",126,IF(Atletas!M386="Chaquan C",127,IF(Atletas!M386="Emeiquan C",128,IF(Atletas!M386="Fanziquan C",129,IF(Atletas!M386="Huaquan C",130,IF(Atletas!M386="Hongquan C",131,IF(Atletas!M386="Paoquan C",132,IF(Atletas!M386="Piguaquan C",133,IF(Atletas!M386="Shaolinquan C",134,IF(Atletas!M386="Tanglangquan C",135,IF(Atletas!M386="Yingzhaoquan C",136,IF(Atletas!M386="Tongbeiquan C",137,IF(Atletas!M386="Wudangquan C",138,IF(Atletas!M386="Outros Estilos C",139,0))))))))))))))))))))))))))))))))))))))))))</f>
        <v/>
      </c>
      <c r="BT395" s="50" t="str">
        <f>IF(Atletas!M386="","",IF(Atletas!X386&lt;&gt;"",10000,0)+(IF(Atletas!B386="Feminino",1000,IF(Atletas!B386="Masculino",2000,""))+(IF(Atletas!M386="Chaquan D",140,IF(Atletas!M386="Emeiquan D",141,IF(Atletas!M386="Fanziquan D",142,IF(Atletas!M386="Huaquan D",143,IF(Atletas!M386="Hongquan D",144,IF(Atletas!M386="Paoquan D",145,IF(Atletas!M386="Piguaquan D",146,IF(Atletas!M386="Shaolinquan D",147,IF(Atletas!M386="Tanglangquan D",148,IF(Atletas!M386="Yingzhaoquan D",149,IF(Atletas!M386="Tongbeiquan D",150,IF(Atletas!M386="Wudangquan D",151,IF(Atletas!M386="Outros Estilos D",152,IF(Atletas!M386="Chaquan E",153,IF(Atletas!M386="Emeiquan E",154,IF(Atletas!M386="Fanziquan E",155,IF(Atletas!M386="Huaquan E",156,IF(Atletas!M386="Hongquan E",157,IF(Atletas!M386="Paoquan E",158,IF(Atletas!M386="Piguaquan E",159,IF(Atletas!M386="Shaolinquan E",160,IF(Atletas!M386="Tanglangquan E",161,IF(Atletas!M386="Yingzhaoquan E",162,IF(Atletas!M386="Tongbeiquan E",163,IF(Atletas!M386="Wudangquan E",164,IF(Atletas!M386="Outros Estilos E",165,IF(Atletas!M386="Chaquan F",166,IF(Atletas!M386="Emeiquan F",167,IF(Atletas!M386="Fanziquan F",168,IF(Atletas!M386="Huaquan F",169,IF(Atletas!M386="Hongquan F",170,IF(Atletas!M386="Paoquan F",171,IF(Atletas!M386="Piguaquan F",172,IF(Atletas!M386="Shaolinquan F",173,IF(Atletas!M386="Tanglangquan F",174,IF(Atletas!M386="Yingzhaoquan F",175,IF(Atletas!M386="Tongbeiquan F",176,IF(Atletas!M386="Wudangquan F",177,IF(Atletas!M386="Outros Estilos F",178,0))))))))))))))))))))))))))))))))))))))))))</f>
        <v/>
      </c>
      <c r="BU395" s="50" t="str">
        <f>IF(Atletas!N386="","",IF(Atletas!X386&lt;&gt;"",10000,0)+(IF(Atletas!B386="Feminino",1000,IF(Atletas!B386="Masculino",2000,""))+(IF(Atletas!N386="Ditangquan A",201,IF(Atletas!N386="Houquan A",202,IF(Atletas!N386="Zuiquan A",203,IF(Atletas!N386="Ditangquan B",204,IF(Atletas!N386="Houquan B",205,IF(Atletas!N386="Zuiquan B",206,IF(Atletas!N386="Ditangquan C",207,IF(Atletas!N386="Houquan C",208,IF(Atletas!N386="Zuiquan C",209,IF(Atletas!N386="Ditangquan D",210,IF(Atletas!N386="Houquan D",211,IF(Atletas!N386="Zuiquan D",212,IF(Atletas!N386="Ditangquan E",213,IF(Atletas!N386="Houquan E",214,IF(Atletas!N386="Zuiquan E",215,IF(Atletas!N386="Ditangquan F",216,IF(Atletas!N386="Houquan F",217,IF(Atletas!N386="Zuiquan F",218,"")))))))))))))))))))))</f>
        <v/>
      </c>
      <c r="BV395" s="50" t="str">
        <f>IF(Atletas!O386="","",IF(Atletas!X386&lt;&gt;"",10000,0)+IF(Atletas!B386="Feminino",1000,IF(Atletas!B386="Masculino",2000,""))+IF(Atletas!O386="Yang A",301,IF(Atletas!O386="Chen A",302,IF(Atletas!O386="Sun A",303,IF(Atletas!O386="Wu A",304,IF(Atletas!O386="Wu-Hao A",305,IF(Atletas!O386="Outro Taijiquan A",306,IF(Atletas!O386="Yang B",307,IF(Atletas!O386="Chen B",308,IF(Atletas!O386="Sun B",309,IF(Atletas!O386="Wu B",310,IF(Atletas!O386="Wu-Hao B",311,IF(Atletas!O386="Outro Taijiquan B",312,IF(Atletas!O386="Yang C",313,IF(Atletas!O386="Chen C",314,IF(Atletas!O386="Sun C",315,IF(Atletas!O386="Wu C",316,IF(Atletas!O386="Wu-Hao C",317,IF(Atletas!O386="Outro Taijiquan C",318,IF(Atletas!O386="Yang D",319,IF(Atletas!O386="Chen D",320,IF(Atletas!O386="Sun D",321,IF(Atletas!O386="Wu D",322,IF(Atletas!O386="Wu-Hao D",323,IF(Atletas!O386="Outro Taijiquan D",324,IF(Atletas!O386="Yang E",325,IF(Atletas!O386="Chen E",326,IF(Atletas!O386="Sun E",327,IF(Atletas!O386="Wu E",328,IF(Atletas!O386="Wu-Hao E",329,IF(Atletas!O386="Outro Taijiquan E",330,IF(Atletas!O386="Yang F",331,IF(Atletas!O386="Chen F",332,IF(Atletas!O386="Sun F",333,IF(Atletas!O386="Wu F",334,IF(Atletas!O386="Wu-Hao F",335,IF(Atletas!O386="Outro Taijiquan F",336,"")))))))))))))))))))))))))))))))))))))</f>
        <v/>
      </c>
      <c r="BW395" s="50" t="str">
        <f>IF(Atletas!P386="","",IF(Atletas!X386&lt;&gt;"",10000,0)+IF(Atletas!B386="Feminino",1000,IF(Atletas!B386="Masculino",2000,""))+IF(OR(Atletas!P386="Yang 26 A",Atletas!P386="Yang 40 A"),401,IF(OR(Atletas!P386="Chen 25 A",Atletas!P386="Chen 36 A",Atletas!P386="Chen 56 A"),402,IF(Atletas!P386="Sun 73 A",403,IF(Atletas!P386="Wu 45 A",404,IF(Atletas!P386="Wu-Hao 46 A",405,IF(OR(Atletas!P386="Taijiquan 16 A",Atletas!P386="Taijiquan 24 A",Atletas!P386="Taijiquan 32 A",Atletas!P386="Taijiquan 42 A"),406,IF(OR(Atletas!P386="Yang 26 B",Atletas!P386="Yang 40 B"),407,IF(OR(Atletas!P386="Chen 25 B",Atletas!P386="Chen 36 B",Atletas!P386="Chen 56 B"),408,IF(Atletas!P386="Sun 73 B",409,IF(Atletas!P386="Wu 45 B",410,IF(Atletas!P386="Wu-Hao 46 B",411,IF(OR(Atletas!P386="Taijiquan 16 B",Atletas!P386="Taijiquan 24 B",Atletas!P386="Taijiquan 32 B",Atletas!P386="Taijiquan 42 B"),412,IF(OR(Atletas!P386="Yang 26 C",Atletas!P386="Yang 40 C"),413,IF(OR(Atletas!P386="Chen 25 C",Atletas!P386="Chen 36 C",Atletas!P386="Chen 56 C"),414,IF(Atletas!P386="Sun 73 C",415,IF(Atletas!P386="Wu 45 C",416,IF(Atletas!P386="Wu-Hao 46 C",417,IF(OR(Atletas!P386="Taijiquan 16 C",Atletas!P386="Taijiquan 24 C",Atletas!P386="Taijiquan 32 C",Atletas!P386="Taijiquan 42 C"),418,0)))))))))))))))))))</f>
        <v/>
      </c>
      <c r="BX395" s="50" t="str">
        <f>IF(Atletas!P386="","",IF(Atletas!X386&lt;&gt;"",10000,0)+IF(Atletas!B386="Feminino",1000,IF(Atletas!B386="Masculino",2000,""))+IF(OR(Atletas!P386="Yang 26 D",Atletas!P386="Yang 40 D"),419,IF(OR(Atletas!P386="Chen 25 D",Atletas!P386="Chen 36 D",Atletas!P386="Chen 56 D"),420,IF(Atletas!P386="Sun 73 D",421,IF(Atletas!P386="Wu 45 D",422,IF(Atletas!P386="Wu-Hao 46 D",423,IF(OR(Atletas!P386="Taijiquan 16 D",Atletas!P386="Taijiquan 24 D",Atletas!P386="Taijiquan 32 D",Atletas!P386="Taijiquan 42 D"),424,IF(OR(Atletas!P386="Yang 26 E",Atletas!P386="Yang 40 E"),425,IF(OR(Atletas!P386="Chen 25 E",Atletas!P386="Chen 36 E",Atletas!P386="Chen 56 E"),426,IF(Atletas!P386="Sun 73 E",427,IF(Atletas!P386="Wu 45 E",428,IF(Atletas!P386="Wu-Hao 46 E",429,IF(OR(Atletas!P386="Taijiquan 16 E",Atletas!P386="Taijiquan 24 E",Atletas!P386="Taijiquan 32 E",Atletas!P386="Taijiquan 42 E"),430,IF(OR(Atletas!P386="Yang 26 F",Atletas!P386="Yang 40 F"),431,IF(OR(Atletas!P386="Chen 25 F",Atletas!P386="Chen 36 F",Atletas!P386="Chen 56 F"),432,IF(Atletas!P386="Sun 73 F",433,IF(Atletas!P386="Wu 45 F",434,IF(Atletas!P386="Wu-Hao 46 F",435,IF(OR(Atletas!P386="Taijiquan 16 F",Atletas!P386="Taijiquan 24 F",Atletas!P386="Taijiquan 32 F",Atletas!P386="Taijiquan 42 F"),436,0)))))))))))))))))))</f>
        <v/>
      </c>
      <c r="BY395" s="50" t="str">
        <f>IF(Atletas!Q386="","",IF(Atletas!X386&lt;&gt;"",10000,0)+IF(Atletas!B386="Feminino",1000,IF(Atletas!B386="Masculino",2000,""))+IF(Atletas!Q386="Xingyiquan A",501,IF(Atletas!Q386="Baguazhang A",502,IF(Atletas!Q386="Outro Estilo Interno A",503,IF(Atletas!Q386="Xingyiquan B",504,IF(Atletas!Q386="Baguazhang B",505,IF(Atletas!Q386="Outro Estilo Interno B",506,IF(Atletas!Q386="Xingyiquan C",507,IF(Atletas!Q386="Baguazhang C",508,IF(Atletas!Q386="Outro Estilo Interno C",509,IF(Atletas!Q386="Xingyiquan D",510,IF(Atletas!Q386="Baguazhang D",511,IF(Atletas!Q386="Outro Estilo Interno D",512,IF(Atletas!Q386="Xingyiquan E",513,IF(Atletas!Q386="Baguazhang E",514,IF(Atletas!Q386="Outro Estilo Interno E",515,IF(Atletas!Q386="Xingyiquan F",516,IF(Atletas!Q386="Baguazhang F",517,IF(Atletas!Q386="Outro Estilo Interno F",518, "")))))))))))))))))))</f>
        <v/>
      </c>
      <c r="BZ395" s="50" t="str">
        <f>IF(Atletas!R386="","",IF(Atletas!X386&lt;&gt;"",10000,0)+IF(Atletas!B386="Feminino",1000,IF(Atletas!B386="Masculino",2000,""))+IF(Atletas!R386="Dao A",601,IF(Atletas!R386="Jian A",602,IF(Atletas!R386="Bishou A",603,IF(Atletas!R386="Shanzi A",604,IF(Atletas!R386="Outra Arma Curta A",605,IF(Atletas!R386="Dao B",606,IF(Atletas!R386="Jian B",607,IF(Atletas!R386="Bishou B",608,IF(Atletas!R386="Shanzi B",609,IF(Atletas!R386="Outra Arma Curta B",610,IF(Atletas!R386="Dao C",611,IF(Atletas!R386="Jian C",612,IF(Atletas!R386="Bishou C",613,IF(Atletas!R386="Shanzi C",614,IF(Atletas!R386="Outra Arma Curta C",615,IF(Atletas!R386="Dao D",616,IF(Atletas!R386="Jian D",617,IF(Atletas!R386="Bishou D",618,IF(Atletas!R386="Shanzi D",619,IF(Atletas!R386="Outra Arma Curta D",620,IF(Atletas!R386="Dao E",621,IF(Atletas!R386="Jian E",622,IF(Atletas!R386="Bishou E",623,IF(Atletas!R386="Shanzi E",624,IF(Atletas!R386="Outra Arma Curta E",625,IF(Atletas!R386="Dao F",626,IF(Atletas!R386="Jian F",627,IF(Atletas!R386="Bishou F",628,IF(Atletas!R386="Shanzi F",629,IF(Atletas!R386="Outra Arma Curta F",630, "")))))))))))))))))))))))))))))))</f>
        <v/>
      </c>
      <c r="CA395" s="50" t="str">
        <f>IF(Atletas!S386="","",IF(Atletas!X386&lt;&gt;"",10000,0)+IF(Atletas!B386="Feminino",1000,IF(Atletas!B386="Masculino",2000,""))+IF(Atletas!S386="Gun A",701,IF(Atletas!S386="Qiang A",702,IF(Atletas!S386="Pudao / Guandao A",703,IF(Atletas!S386="Outra Arma Longa A",704,IF(Atletas!S386="Gun B",705,IF(Atletas!S386="Qiang B",706,IF(Atletas!S386="Pudao / Guandao B",707,IF(Atletas!S386="Outra Arma Longa B",708,IF(Atletas!S386="Gun C",709,IF(Atletas!S386="Qiang C",710,IF(Atletas!S386="Pudao / Guandao C",711,IF(Atletas!S386="Outra Arma Longa C",712,IF(Atletas!S386="Gun D",713,IF(Atletas!S386="Qiang D",714,IF(Atletas!S386="Pudao / Guandao D",715,IF(Atletas!S386="Outra Arma Longa D",716,IF(Atletas!S386="Gun E",717,IF(Atletas!S386="Qiang E",718,IF(Atletas!S386="Pudao / Guandao E",719,IF(Atletas!S386="Outra Arma Longa E",720,IF(Atletas!S386="Gun F",721,IF(Atletas!S386="Qiang F",722,IF(Atletas!S386="Pudao / Guandao F",723,IF(Atletas!S386="Outra Arma Longa F",724,"")))))))))))))))))))))))))</f>
        <v/>
      </c>
      <c r="CB395" s="50" t="str">
        <f>IF(Atletas!T386="","",IF(Atletas!X386&lt;&gt;"",10000,0)+IF(Atletas!B386="Feminino",1000,IF(Atletas!B386="Masculino",2000,""))+IF(Atletas!T386="Outra Arma Dupla A",801,IF(Atletas!T386="Arma Maleável A",802,IF(Atletas!T386="Outra Arma Dupla B",803,IF(Atletas!T386="Arma Maleável B",804,IF(Atletas!T386="Outra Arma Dupla C",805,IF(Atletas!T386="Arma Maleável C",806,IF(Atletas!T386="Outra Arma Dupla D",807,IF(Atletas!T386="Arma Maleável D",808,IF(Atletas!T386="Outra Arma Dupla E",809,IF(Atletas!T386="Arma Maleável E",810,IF(Atletas!T386="Outra Arma Dupla F",811,IF(Atletas!T386="Arma Maleável F",812,IF(Atletas!T386="Shuangdao A",813,IF(Atletas!T386="Shuangdao B",814,IF(Atletas!T386="Shuangdao C",815,IF(Atletas!T386="Shuangdao D",816,IF(Atletas!T386="Shuangdao E",817,IF(Atletas!T386="Shuangdao F",818,"")))))))))))))))))))</f>
        <v/>
      </c>
      <c r="CC395" s="50" t="str">
        <f>IF(Atletas!U386="","",IF(Atletas!X386&lt;&gt;"",10000,0)+IF(Atletas!B386="Feminino",1000,IF(Atletas!B386="Masculino",2000,""))+IF(OR(Atletas!U386="Taijijian Yang A",Atletas!U386="Taijijian Yang Standard A"),901,IF(OR(Atletas!U386="Taijijian Chen A", Atletas!U386="Taijijian Chen Standard A"),902,IF(Atletas!U386="Taijijian Sun A",903,IF(Atletas!U386="Taijijian Wu A",904,IF(Atletas!U386="Taijijian Wu-Hao A",905,IF(OR(Atletas!U386="Taijijian 32 A",Atletas!U386="Taijijian 42 A"),906,IF(OR(Atletas!U386="Taijijian Yang B",Atletas!U386="Taijijian Yang Standard B"),907,IF(OR(Atletas!U386="Taijijian Chen B", Atletas!U386="Taijijian Chen Standard B"),908,IF(Atletas!U386="Taijijian Sun B",909,IF(Atletas!U386="Taijijian Wu B",910,IF(Atletas!U386="Taijijian Wu-Hao B",911,IF(OR(Atletas!U386="Taijijian 32 B",Atletas!U386="Taijijian 42 B"),912,IF(OR(Atletas!U386="Taijijian Yang C",Atletas!U386="Taijijian Yang Standard C"),913,IF(OR(Atletas!U386="Taijijian Chen C", Atletas!U386="Taijijian Chen Standard C"),914,IF(Atletas!U386="Taijijian Sun C",915,IF(Atletas!U386="Taijijian Wu C",916,IF(Atletas!U386="Taijijian Wu-Hao C",917,IF(OR(Atletas!U386="Taijijian 32 C",Atletas!U386="Taijijian 42 C"),918,IF(OR(Atletas!U386="Taijijian Yang D",Atletas!U386="Taijijian Yang Standard D"),919,IF(OR(Atletas!U386="Taijijian Chen D", Atletas!U386="Taijijian Chen Standard D"),920,IF(Atletas!U386="Taijijian Sun D",921,IF(Atletas!U386="Taijijian Wu D",922,IF(Atletas!U386="Taijijian Wu-Hao D",923,IF(OR(Atletas!U386="Taijijian 32 D",Atletas!U386="Taijijian 42 D"),924,IF(OR(Atletas!U386="Taijijian Yang E",Atletas!U386="Taijijian Yang Standard E"),925,IF(OR(Atletas!U386="Taijijian Chen E", Atletas!U386="Taijijian Chen Standard E"),926,IF(Atletas!U386="Taijijian Sun E",927,IF(Atletas!U386="Taijijian Wu E",928,IF(Atletas!U386="Taijijian Wu-Hao E",929,IF(OR(Atletas!U386="Taijijian 32 E",Atletas!U386="Taijijian 42 E"),930,IF(OR(Atletas!U386="Taijijian Yang F",Atletas!U386="Taijijian Yang Standard F"),931,IF(OR(Atletas!U386="Taijijian Chen F", Atletas!U386="Taijijian Chen Standard F"),932,IF(Atletas!U386="Taijijian Sun F",933,IF(Atletas!U386="Taijijian Wu F",934,IF(Atletas!U386="Taijijian Wu-Hao F",935,IF(OR(Atletas!U386="Taijijian 32 F",Atletas!U386="Taijijian 42 F"),936,"")))))))))))))))))))))))))))))))))))))</f>
        <v/>
      </c>
      <c r="CD395" s="50" t="str">
        <f>IF(Atletas!V386="","",IF(Atletas!X386&lt;&gt;"",10000,0)+IF(Atletas!B386="Feminino",1000,IF(Atletas!B386="Masculino",2000,""))+IF(Atletas!V386="Taijidao A",937,IF(Atletas!V386="TaijiShanzi A",938,IF(Atletas!V386="Taijiqiang A",939,IF(Atletas!V386="Bagua de Arma A",940,IF(Atletas!V386="Xingyi de Arma A",941,IF(Atletas!V386="Taijidao B",942,IF(Atletas!V386="TaijiShanzi B",943,IF(Atletas!V386="Taijiqiang B",944,IF(Atletas!V386="Bagua de Arma B",945,IF(Atletas!V386="Xingyi de Arma B",946,IF(Atletas!V386="Taijidao C",947,IF(Atletas!V386="TaijiShanzi C",948,IF(Atletas!V386="Taijiqiang C",949,IF(Atletas!V386="Bagua de Arma C",950,IF(Atletas!V386="Xingyi de Arma C",951,IF(Atletas!V386="Taijidao D",952,IF(Atletas!V386="TaijiShanzi D",953,IF(Atletas!V386="Taijiqiang D",954,IF(Atletas!V386="Bagua de Arma D",955,IF(Atletas!V386="Xingyi de Arma D",956,IF(Atletas!V386="Taijidao E",957,IF(Atletas!V386="TaijiShanzi E",958,IF(Atletas!V386="Taijiqiang E",959,IF(Atletas!V386="Bagua de Arma E",960,IF(Atletas!V386="Xingyi de Arma E",961,IF(Atletas!V386="Taijidao F",962,IF(Atletas!V386="TaijiShanzi F",963,IF(Atletas!V386="Taijiqiang F",964,IF(Atletas!V386="Bagua de Arma F",965,IF(Atletas!V386="Xingyi de Arma F",966,"")))))))))))))))))))))))))))))))</f>
        <v/>
      </c>
      <c r="CJ395" s="66"/>
      <c r="CL395" s="66"/>
      <c r="CM395" s="50" t="str">
        <f xml:space="preserve"> IF(Atletas!W386="","",IF(Atletas!W386="Duilian de Mãos BC - Equipe 1",1,IF(Atletas!W386="Duilian de Mãos BC - Equipe 2",2,IF(Atletas!W386="Duilian de Armas BC - Equipe 1",3,IF(Atletas!W386="Duilian de Armas BC - Equipe 2",4,IF(Atletas!W386="Duilian de Mãos DE - Equipe 1",5,IF(Atletas!W386="Duilian de Mãos DE - Equipe 2",6,IF(Atletas!W386="Duilian de Armas DE - Equipe 1",7,IF(Atletas!W386="Duilian de Armas DE - Equipe 2",8,IF(Atletas!W386="Duilian de Tuishou - Equipe 1",9,IF(Atletas!W386="Duilian de Tuishou - Equipe 2",10,IF(Atletas!W386="Grupo Externo ABC - Equipe 1",11,IF(Atletas!W386="Grupo Externo ABC - Equipe 2",12,IF(Atletas!W386="Grupo Interno ABC - Equipe 1",13,IF(Atletas!W386="Grupo Interno ABC - Equipe 2",14,IF(Atletas!W386="Grupo Externo DEF - Equipe 1",15,IF(Atletas!W386="Grupo Externo DEF - Equipe 2",16,IF(Atletas!W386="Grupo Interno DEF - Equipe 1",17,IF(Atletas!W386="Grupo Interno DEF - Equipe 2",18,"")))))))))))))))))))</f>
        <v/>
      </c>
    </row>
    <row r="396" spans="40:91">
      <c r="AN396" s="52" t="str">
        <f>IF(Atletas!D387="","",IF(Atletas!B387="Feminino",100,IF(Atletas!B387="Masculino",200,""))+(IF(Atletas!D387="Kids 30kg",1,IF(Atletas!D387="Kids 32kg",2, IF(Atletas!D387="Kids 34kg",3,IF(Atletas!D387="Kids 36kg",4,IF(Atletas!D387="Kids 39kg",5,IF(Atletas!D387="Kids 42kg",6,IF(Atletas!D387="Kids 45kg",7, IF(Atletas!D387="Infantil 39kg",8,IF(Atletas!D387="Infantil 42kg",9,IF(Atletas!D387="Infantil 45kg",10,IF(Atletas!D387="Infantil 48kg",11,IF(Atletas!D387="Infantil 52kg",12,IF(Atletas!D387="Infantil 56kg",13,IF(Atletas!D387="Infantil 60kg",14,IF(Atletas!D387="Juvenil 48kg",15,IF(Atletas!D387="Juvenil 52kg",16,IF(Atletas!D387="Juvenil 56kg",17,IF(Atletas!D387="Juvenil 60kg",18,IF(Atletas!D387="Juvenil 65kg",19,IF(Atletas!D387="Juvenil 70kg",20,IF(Atletas!D387="Juvenil 75kg",21,IF(Atletas!D387="Juvenil 80kg",22, IF(Atletas!D387="Juvenil 85kg",23,IF(Atletas!D387="Adulto 48kg",24,IF(Atletas!D387="Adulto 52kg",25,IF(Atletas!D387="Adulto 56kg",26,IF(Atletas!D387="Adulto 60kg",27,IF(Atletas!D387="Adulto 65kg",28,IF(Atletas!D387="Adulto 70kg",29,IF(Atletas!D387="Adulto 75kg",30,IF(Atletas!D387="Adulto 80kg",31,IF(Atletas!D387="Adulto 85kg",32,IF(Atletas!D387="Adulto 90kg",33,IF(Atletas!D387="Adulto 100kg",34, IF(Atletas!D387="Adulto +100kg",35,"")))))))))))))))))))))))))))))))))))))</f>
        <v/>
      </c>
      <c r="AS396" s="6" t="str">
        <f>IF(Atletas!E387="","",IF(Atletas!B387="Feminino",100,IF(Atletas!B387="Masculino",200,""))+(IF(Atletas!E387="Juvenil 44kg",1,IF(Atletas!E387="Juvenil 48kg",2,IF(Atletas!E387="Juvenil 52kg",3,IF(Atletas!E387="Juvenil 56kg",4,IF(Atletas!E387="Juvenil 60kg",5,IF(Atletas!E387="Juvenil 65kg",6,IF(Atletas!E387="Juvenil 70kg",7,IF(Atletas!E387="Juvenil 75kg",8,IF(Atletas!E387="Juvenil 82kg",9,IF(Atletas!E387="Juvenil 90kg",10,IF(Atletas!E387="Juvenil 100kg",11,IF(Atletas!E387="Adulto 48kg",12,IF(Atletas!E387="Adulto 52kg",13,IF(Atletas!E387="Adulto 56kg",14,IF(Atletas!E387="Adulto 60kg",15,IF(Atletas!E387="Adulto 65kg",16,IF(Atletas!E387="Adulto 70kg",17,IF(Atletas!E387="Adulto 75kg",18,IF(Atletas!E387="Adulto 82kg",19,IF(Atletas!E387="Adulto 90kg",20,IF(Atletas!E387="Adulto 100kg",21,IF(Atletas!E387="Adulto +100kg",22,""))))))))))))))))))))))))</f>
        <v/>
      </c>
      <c r="AX396" s="6" t="str">
        <f>IF(Atletas!F387="","",IF(Atletas!B387="Feminino",100,IF(Atletas!B387="Masculino",200,""))+(IF(Atletas!F387="Adulto 48kg",1,IF(Atletas!F387="Adulto 56kg",2,IF(Atletas!F387="Adulto 65kg",3,IF(Atletas!F387="Adulto 75kg",4,IF(Atletas!F387="Adulto +75kg",5,IF(Atletas!F387="Adulto 52kg",6,IF(Atletas!F387="Adulto 60kg",7,IF(Atletas!F387="Adulto 70kg",8,IF(Atletas!F387="Adulto 80kg",9,IF(Atletas!F387="Adulto 90kg",10,IF(Atletas!F387="Adulto +90kg",11,"")))))))))))))</f>
        <v/>
      </c>
      <c r="BC396" s="6" t="str">
        <f>IF(Atletas!G387="","",IF(Atletas!B387="Feminino",10,IF(Atletas!B387="Masculino",20,""))+(IF(Atletas!G387="Baduanjin A",1,IF(Atletas!G387="Baduanjin B",2))))</f>
        <v/>
      </c>
      <c r="BF396" s="52" t="str">
        <f>IF(Atletas!H387="","",IF(Atletas!B387="Feminino",100,IF(Atletas!B387="Masculino",200,""))+(IF(Atletas!H387="Changquan Mirim",1,IF(Atletas!H387="Nanquan Mirim",2,IF(Atletas!H387="Taijiquan Mirim",3,IF(Atletas!H387="Changquan Grupo C",4,IF(Atletas!H387="Nanquan Grupo C",5,IF(Atletas!H387="Taijiquan Grupo C",6,IF(Atletas!H387="Changquan Grupo B",7,IF(Atletas!H387="Nanquan Grupo B",8,IF(Atletas!H387="Taijiquan Grupo B",9,IF(Atletas!H387="Changquan Grupo A",10,IF(Atletas!H387="Nanquan Grupo A",11,IF(Atletas!H387="Taijiquan Grupo A",12,IF(Atletas!H387="Changquan Opcional",13,IF(Atletas!H387="Nanquan Opcional",14,IF(Atletas!H387="Taijiquan Opcional",15,IF(Atletas!H387="Changquan Adulto",16,IF(Atletas!H387="Nanquan Adulto",17,IF(Atletas!H387="Taijiquan Adulto",18,""))))))))))))))))))))</f>
        <v/>
      </c>
      <c r="BG396" s="52" t="str">
        <f>IF(Atletas!I387="","",IF(Atletas!B387="Feminino",100,IF(Atletas!B387="Masculino",200,""))+(IF(Atletas!I387="Daoshu Mirim",19,IF(Atletas!I387="Jianshu Mirim",20,IF(Atletas!I387="Nandao Mirim",21,IF(Atletas!I387="Taijijian Mirim",22,IF(Atletas!I387="Daoshu Grupo C",23,IF(Atletas!I387="Jianshu Grupo C",24,IF(Atletas!I387="Nandao Grupo C",25,IF(Atletas!I387="Taijijian Grupo C",26,IF(Atletas!I387="Daoshu Grupo B",27,IF(Atletas!I387="Jianshu Grupo B",28,IF(Atletas!I387="Nandao Grupo B",29,IF(Atletas!I387="Taijijian Grupo B",30,IF(Atletas!I387="Daoshu Grupo A",31,IF(Atletas!I387="Jianshu Grupo A",32,IF(Atletas!I387="Nandao Grupo A",33,IF(Atletas!I387="Taijijian Grupo A",34,IF(Atletas!I387="Daoshu Opcional",35,IF(Atletas!I387="Jianshu Opcional",36,IF(Atletas!I387="Nandao Opcional",37,IF(Atletas!I387="Taijijian Opcional",38,IF(Atletas!I387="Daoshu Adulto",39,IF(Atletas!I387="Jianshu Adulto",40,IF(Atletas!I387="Nandao Adulto",41,IF(Atletas!I387="Taijijian Adulto",42,""))))))))))))))))))))))))))</f>
        <v/>
      </c>
      <c r="BH396" s="52" t="str">
        <f>IF(Atletas!J387="","",IF(Atletas!B387="Feminino",100,IF(Atletas!B387="Masculino",200,""))+(IF(Atletas!J387="Gunshu Mirim",43,IF(Atletas!J387="Qiangshu Mirim",44,IF(Atletas!J387="Nangun Mirim",45,IF(Atletas!J387="Gunshu Grupo C",46,IF(Atletas!J387="Qiangshu Grupo C",47,IF(Atletas!J387="Nangun Grupo C",48,IF(Atletas!J387="Gunshu Grupo B",49,IF(Atletas!J387="Qiangshu Grupo B",50,IF(Atletas!J387="Nangun Grupo B",51,IF(Atletas!J387="Gunshu Grupo A",52,IF(Atletas!J387="Qiangshu Grupo A",53,IF(Atletas!J387="Nangun Grupo A",54,IF(Atletas!J387="Gunshu Opcional",55,IF(Atletas!J387="Qiangshu Opcional",56,IF(Atletas!J387="Nangun Opcional",57,IF(Atletas!J387="Gunshu Adulto",58,IF(Atletas!J387="Qiangshu Adulto",59,IF(Atletas!J387="Nangun Adulto",60,IF(Atletas!J387="Taijishan Grupo B",61,IF(Atletas!J387="Taijishan Grupo A",62,""))))))))))))))))))))))</f>
        <v/>
      </c>
      <c r="BM396" s="50" t="str">
        <f>IF(Atletas!K387="","",IF(Atletas!B387="Feminino",100,IF(Atletas!B387="Masculino",200,""))+(IF(Atletas!K387="Equipe 1 Grupo B",1,IF(Atletas!K387="Equipe 2 Grupo B",2,IF(Atletas!K387="Equipe 1 Grupo A",3,IF(Atletas!K387="Equipe 2 Grupo A",4,IF(Atletas!K387="Equipe 1 Adulto",5,IF(Atletas!K387="Equipe 2 Adulto",6,""))))))))</f>
        <v/>
      </c>
      <c r="BR396" s="50" t="str">
        <f>IF(Atletas!L387="","",IF(Atletas!X387&lt;&gt;"",10000,0)+(IF(Atletas!B387="Feminino",1000,IF(Atletas!B387="Masculino",2000,""))+IF(Atletas!L387="Choylayfut A",1,IF(Atletas!L387="Hunggar A",2,IF(Atletas!L387="Wuzuquan A",3,IF(Atletas!L387="Wingchun A",4,IF(Atletas!L387="Outra Mão de Sul A",5,IF(Atletas!L387="Choylayfut B",6,IF(Atletas!L387="Hunggar B",7,IF(Atletas!L387="Wuzuquan B",8,IF(Atletas!L387="Wingchun B",9,IF(Atletas!L387="Outra Mão de Sul B",10,IF(Atletas!L387="Choylayfut C",11,IF(Atletas!L387="Hunggar C",12,IF(Atletas!L387="Wuzuquan C",13,IF(Atletas!L387="Wingchun C",14,IF(Atletas!L387="Outra Mão de Sul C",15,IF(Atletas!L387="Choylayfut D",16,IF(Atletas!L387="Hunggar D",17,IF(Atletas!L387="Wuzuquan D",18,IF(Atletas!L387="Wingchun D",19,IF(Atletas!L387="Outra Mão de Sul D",20,IF(Atletas!L387="Choylayfut E",21,IF(Atletas!L387="Hunggar E",22,IF(Atletas!L387="Wuzuquan E",23,IF(Atletas!L387="Wingchun E",24,IF(Atletas!L387="Outra Mão de Sul E",25,IF(Atletas!L387="Choylayfut F",26,IF(Atletas!L387="Hunggar F",27,IF(Atletas!L387="Wuzuquan F",28,IF(Atletas!L387="Wingchun F",29,IF(Atletas!L387="Outra Mão de Sul F",30,IF(Atletas!L387="Dishuquan A",31,IF(Atletas!L387="Dishuquan B",32,IF(Atletas!L387="Dishuquan C",33,IF(Atletas!L387="Dishuquan D",34,IF(Atletas!L387="Dishuquan E",35,IF(Atletas!L387="Dishuquan F",36,""))))))))))))))))))))))))))))))))))))))</f>
        <v/>
      </c>
      <c r="BS396" s="50" t="str">
        <f>IF(Atletas!M387="","",IF(Atletas!X387&lt;&gt;"",10000,0)+(IF(Atletas!B387="Feminino",1000,IF(Atletas!B387="Masculino",2000,""))+(IF(Atletas!M387="Chaquan A",101,IF(Atletas!M387="Emeiquan A",102,IF(Atletas!M387="Fanziquan A",103,IF(Atletas!M387="Huaquan A",104,IF(Atletas!M387="Hongquan A",105,IF(Atletas!M387="Paoquan A",106,IF(Atletas!M387="Piguaquan A",107,IF(Atletas!M387="Shaolinquan A",108,IF(Atletas!M387="Tanglangquan A",109,IF(Atletas!M387="Yingzhaoquan A",110,IF(Atletas!M387="Tongbeiquan A",111,IF(Atletas!M387="Wudangquan A",112,IF(Atletas!M387="Outros Estilos A",113,IF(Atletas!M387="Chaquan B",114,IF(Atletas!M387="Emeiquan B",115,IF(Atletas!M387="Fanziquan B",116,IF(Atletas!M387="Huaquan B",117,IF(Atletas!M387="Hongquan B",118,IF(Atletas!M387="Paoquan B",119,IF(Atletas!M387="Piguaquan B",120,IF(Atletas!M387="Shaolinquan B",121,IF(Atletas!M387="Tanglangquan B",122,IF(Atletas!M387="Yingzhaoquan B",123,IF(Atletas!M387="Tongbeiquan B",124,IF(Atletas!M387="Wudangquan B",125,IF(Atletas!M387="Outros Estilos B",126,IF(Atletas!M387="Chaquan C",127,IF(Atletas!M387="Emeiquan C",128,IF(Atletas!M387="Fanziquan C",129,IF(Atletas!M387="Huaquan C",130,IF(Atletas!M387="Hongquan C",131,IF(Atletas!M387="Paoquan C",132,IF(Atletas!M387="Piguaquan C",133,IF(Atletas!M387="Shaolinquan C",134,IF(Atletas!M387="Tanglangquan C",135,IF(Atletas!M387="Yingzhaoquan C",136,IF(Atletas!M387="Tongbeiquan C",137,IF(Atletas!M387="Wudangquan C",138,IF(Atletas!M387="Outros Estilos C",139,0))))))))))))))))))))))))))))))))))))))))))</f>
        <v/>
      </c>
      <c r="BT396" s="50" t="str">
        <f>IF(Atletas!M387="","",IF(Atletas!X387&lt;&gt;"",10000,0)+(IF(Atletas!B387="Feminino",1000,IF(Atletas!B387="Masculino",2000,""))+(IF(Atletas!M387="Chaquan D",140,IF(Atletas!M387="Emeiquan D",141,IF(Atletas!M387="Fanziquan D",142,IF(Atletas!M387="Huaquan D",143,IF(Atletas!M387="Hongquan D",144,IF(Atletas!M387="Paoquan D",145,IF(Atletas!M387="Piguaquan D",146,IF(Atletas!M387="Shaolinquan D",147,IF(Atletas!M387="Tanglangquan D",148,IF(Atletas!M387="Yingzhaoquan D",149,IF(Atletas!M387="Tongbeiquan D",150,IF(Atletas!M387="Wudangquan D",151,IF(Atletas!M387="Outros Estilos D",152,IF(Atletas!M387="Chaquan E",153,IF(Atletas!M387="Emeiquan E",154,IF(Atletas!M387="Fanziquan E",155,IF(Atletas!M387="Huaquan E",156,IF(Atletas!M387="Hongquan E",157,IF(Atletas!M387="Paoquan E",158,IF(Atletas!M387="Piguaquan E",159,IF(Atletas!M387="Shaolinquan E",160,IF(Atletas!M387="Tanglangquan E",161,IF(Atletas!M387="Yingzhaoquan E",162,IF(Atletas!M387="Tongbeiquan E",163,IF(Atletas!M387="Wudangquan E",164,IF(Atletas!M387="Outros Estilos E",165,IF(Atletas!M387="Chaquan F",166,IF(Atletas!M387="Emeiquan F",167,IF(Atletas!M387="Fanziquan F",168,IF(Atletas!M387="Huaquan F",169,IF(Atletas!M387="Hongquan F",170,IF(Atletas!M387="Paoquan F",171,IF(Atletas!M387="Piguaquan F",172,IF(Atletas!M387="Shaolinquan F",173,IF(Atletas!M387="Tanglangquan F",174,IF(Atletas!M387="Yingzhaoquan F",175,IF(Atletas!M387="Tongbeiquan F",176,IF(Atletas!M387="Wudangquan F",177,IF(Atletas!M387="Outros Estilos F",178,0))))))))))))))))))))))))))))))))))))))))))</f>
        <v/>
      </c>
      <c r="BU396" s="50" t="str">
        <f>IF(Atletas!N387="","",IF(Atletas!X387&lt;&gt;"",10000,0)+(IF(Atletas!B387="Feminino",1000,IF(Atletas!B387="Masculino",2000,""))+(IF(Atletas!N387="Ditangquan A",201,IF(Atletas!N387="Houquan A",202,IF(Atletas!N387="Zuiquan A",203,IF(Atletas!N387="Ditangquan B",204,IF(Atletas!N387="Houquan B",205,IF(Atletas!N387="Zuiquan B",206,IF(Atletas!N387="Ditangquan C",207,IF(Atletas!N387="Houquan C",208,IF(Atletas!N387="Zuiquan C",209,IF(Atletas!N387="Ditangquan D",210,IF(Atletas!N387="Houquan D",211,IF(Atletas!N387="Zuiquan D",212,IF(Atletas!N387="Ditangquan E",213,IF(Atletas!N387="Houquan E",214,IF(Atletas!N387="Zuiquan E",215,IF(Atletas!N387="Ditangquan F",216,IF(Atletas!N387="Houquan F",217,IF(Atletas!N387="Zuiquan F",218,"")))))))))))))))))))))</f>
        <v/>
      </c>
      <c r="BV396" s="50" t="str">
        <f>IF(Atletas!O387="","",IF(Atletas!X387&lt;&gt;"",10000,0)+IF(Atletas!B387="Feminino",1000,IF(Atletas!B387="Masculino",2000,""))+IF(Atletas!O387="Yang A",301,IF(Atletas!O387="Chen A",302,IF(Atletas!O387="Sun A",303,IF(Atletas!O387="Wu A",304,IF(Atletas!O387="Wu-Hao A",305,IF(Atletas!O387="Outro Taijiquan A",306,IF(Atletas!O387="Yang B",307,IF(Atletas!O387="Chen B",308,IF(Atletas!O387="Sun B",309,IF(Atletas!O387="Wu B",310,IF(Atletas!O387="Wu-Hao B",311,IF(Atletas!O387="Outro Taijiquan B",312,IF(Atletas!O387="Yang C",313,IF(Atletas!O387="Chen C",314,IF(Atletas!O387="Sun C",315,IF(Atletas!O387="Wu C",316,IF(Atletas!O387="Wu-Hao C",317,IF(Atletas!O387="Outro Taijiquan C",318,IF(Atletas!O387="Yang D",319,IF(Atletas!O387="Chen D",320,IF(Atletas!O387="Sun D",321,IF(Atletas!O387="Wu D",322,IF(Atletas!O387="Wu-Hao D",323,IF(Atletas!O387="Outro Taijiquan D",324,IF(Atletas!O387="Yang E",325,IF(Atletas!O387="Chen E",326,IF(Atletas!O387="Sun E",327,IF(Atletas!O387="Wu E",328,IF(Atletas!O387="Wu-Hao E",329,IF(Atletas!O387="Outro Taijiquan E",330,IF(Atletas!O387="Yang F",331,IF(Atletas!O387="Chen F",332,IF(Atletas!O387="Sun F",333,IF(Atletas!O387="Wu F",334,IF(Atletas!O387="Wu-Hao F",335,IF(Atletas!O387="Outro Taijiquan F",336,"")))))))))))))))))))))))))))))))))))))</f>
        <v/>
      </c>
      <c r="BW396" s="50" t="str">
        <f>IF(Atletas!P387="","",IF(Atletas!X387&lt;&gt;"",10000,0)+IF(Atletas!B387="Feminino",1000,IF(Atletas!B387="Masculino",2000,""))+IF(OR(Atletas!P387="Yang 26 A",Atletas!P387="Yang 40 A"),401,IF(OR(Atletas!P387="Chen 25 A",Atletas!P387="Chen 36 A",Atletas!P387="Chen 56 A"),402,IF(Atletas!P387="Sun 73 A",403,IF(Atletas!P387="Wu 45 A",404,IF(Atletas!P387="Wu-Hao 46 A",405,IF(OR(Atletas!P387="Taijiquan 16 A",Atletas!P387="Taijiquan 24 A",Atletas!P387="Taijiquan 32 A",Atletas!P387="Taijiquan 42 A"),406,IF(OR(Atletas!P387="Yang 26 B",Atletas!P387="Yang 40 B"),407,IF(OR(Atletas!P387="Chen 25 B",Atletas!P387="Chen 36 B",Atletas!P387="Chen 56 B"),408,IF(Atletas!P387="Sun 73 B",409,IF(Atletas!P387="Wu 45 B",410,IF(Atletas!P387="Wu-Hao 46 B",411,IF(OR(Atletas!P387="Taijiquan 16 B",Atletas!P387="Taijiquan 24 B",Atletas!P387="Taijiquan 32 B",Atletas!P387="Taijiquan 42 B"),412,IF(OR(Atletas!P387="Yang 26 C",Atletas!P387="Yang 40 C"),413,IF(OR(Atletas!P387="Chen 25 C",Atletas!P387="Chen 36 C",Atletas!P387="Chen 56 C"),414,IF(Atletas!P387="Sun 73 C",415,IF(Atletas!P387="Wu 45 C",416,IF(Atletas!P387="Wu-Hao 46 C",417,IF(OR(Atletas!P387="Taijiquan 16 C",Atletas!P387="Taijiquan 24 C",Atletas!P387="Taijiquan 32 C",Atletas!P387="Taijiquan 42 C"),418,0)))))))))))))))))))</f>
        <v/>
      </c>
      <c r="BX396" s="50" t="str">
        <f>IF(Atletas!P387="","",IF(Atletas!X387&lt;&gt;"",10000,0)+IF(Atletas!B387="Feminino",1000,IF(Atletas!B387="Masculino",2000,""))+IF(OR(Atletas!P387="Yang 26 D",Atletas!P387="Yang 40 D"),419,IF(OR(Atletas!P387="Chen 25 D",Atletas!P387="Chen 36 D",Atletas!P387="Chen 56 D"),420,IF(Atletas!P387="Sun 73 D",421,IF(Atletas!P387="Wu 45 D",422,IF(Atletas!P387="Wu-Hao 46 D",423,IF(OR(Atletas!P387="Taijiquan 16 D",Atletas!P387="Taijiquan 24 D",Atletas!P387="Taijiquan 32 D",Atletas!P387="Taijiquan 42 D"),424,IF(OR(Atletas!P387="Yang 26 E",Atletas!P387="Yang 40 E"),425,IF(OR(Atletas!P387="Chen 25 E",Atletas!P387="Chen 36 E",Atletas!P387="Chen 56 E"),426,IF(Atletas!P387="Sun 73 E",427,IF(Atletas!P387="Wu 45 E",428,IF(Atletas!P387="Wu-Hao 46 E",429,IF(OR(Atletas!P387="Taijiquan 16 E",Atletas!P387="Taijiquan 24 E",Atletas!P387="Taijiquan 32 E",Atletas!P387="Taijiquan 42 E"),430,IF(OR(Atletas!P387="Yang 26 F",Atletas!P387="Yang 40 F"),431,IF(OR(Atletas!P387="Chen 25 F",Atletas!P387="Chen 36 F",Atletas!P387="Chen 56 F"),432,IF(Atletas!P387="Sun 73 F",433,IF(Atletas!P387="Wu 45 F",434,IF(Atletas!P387="Wu-Hao 46 F",435,IF(OR(Atletas!P387="Taijiquan 16 F",Atletas!P387="Taijiquan 24 F",Atletas!P387="Taijiquan 32 F",Atletas!P387="Taijiquan 42 F"),436,0)))))))))))))))))))</f>
        <v/>
      </c>
      <c r="BY396" s="50" t="str">
        <f>IF(Atletas!Q387="","",IF(Atletas!X387&lt;&gt;"",10000,0)+IF(Atletas!B387="Feminino",1000,IF(Atletas!B387="Masculino",2000,""))+IF(Atletas!Q387="Xingyiquan A",501,IF(Atletas!Q387="Baguazhang A",502,IF(Atletas!Q387="Outro Estilo Interno A",503,IF(Atletas!Q387="Xingyiquan B",504,IF(Atletas!Q387="Baguazhang B",505,IF(Atletas!Q387="Outro Estilo Interno B",506,IF(Atletas!Q387="Xingyiquan C",507,IF(Atletas!Q387="Baguazhang C",508,IF(Atletas!Q387="Outro Estilo Interno C",509,IF(Atletas!Q387="Xingyiquan D",510,IF(Atletas!Q387="Baguazhang D",511,IF(Atletas!Q387="Outro Estilo Interno D",512,IF(Atletas!Q387="Xingyiquan E",513,IF(Atletas!Q387="Baguazhang E",514,IF(Atletas!Q387="Outro Estilo Interno E",515,IF(Atletas!Q387="Xingyiquan F",516,IF(Atletas!Q387="Baguazhang F",517,IF(Atletas!Q387="Outro Estilo Interno F",518, "")))))))))))))))))))</f>
        <v/>
      </c>
      <c r="BZ396" s="50" t="str">
        <f>IF(Atletas!R387="","",IF(Atletas!X387&lt;&gt;"",10000,0)+IF(Atletas!B387="Feminino",1000,IF(Atletas!B387="Masculino",2000,""))+IF(Atletas!R387="Dao A",601,IF(Atletas!R387="Jian A",602,IF(Atletas!R387="Bishou A",603,IF(Atletas!R387="Shanzi A",604,IF(Atletas!R387="Outra Arma Curta A",605,IF(Atletas!R387="Dao B",606,IF(Atletas!R387="Jian B",607,IF(Atletas!R387="Bishou B",608,IF(Atletas!R387="Shanzi B",609,IF(Atletas!R387="Outra Arma Curta B",610,IF(Atletas!R387="Dao C",611,IF(Atletas!R387="Jian C",612,IF(Atletas!R387="Bishou C",613,IF(Atletas!R387="Shanzi C",614,IF(Atletas!R387="Outra Arma Curta C",615,IF(Atletas!R387="Dao D",616,IF(Atletas!R387="Jian D",617,IF(Atletas!R387="Bishou D",618,IF(Atletas!R387="Shanzi D",619,IF(Atletas!R387="Outra Arma Curta D",620,IF(Atletas!R387="Dao E",621,IF(Atletas!R387="Jian E",622,IF(Atletas!R387="Bishou E",623,IF(Atletas!R387="Shanzi E",624,IF(Atletas!R387="Outra Arma Curta E",625,IF(Atletas!R387="Dao F",626,IF(Atletas!R387="Jian F",627,IF(Atletas!R387="Bishou F",628,IF(Atletas!R387="Shanzi F",629,IF(Atletas!R387="Outra Arma Curta F",630, "")))))))))))))))))))))))))))))))</f>
        <v/>
      </c>
      <c r="CA396" s="50" t="str">
        <f>IF(Atletas!S387="","",IF(Atletas!X387&lt;&gt;"",10000,0)+IF(Atletas!B387="Feminino",1000,IF(Atletas!B387="Masculino",2000,""))+IF(Atletas!S387="Gun A",701,IF(Atletas!S387="Qiang A",702,IF(Atletas!S387="Pudao / Guandao A",703,IF(Atletas!S387="Outra Arma Longa A",704,IF(Atletas!S387="Gun B",705,IF(Atletas!S387="Qiang B",706,IF(Atletas!S387="Pudao / Guandao B",707,IF(Atletas!S387="Outra Arma Longa B",708,IF(Atletas!S387="Gun C",709,IF(Atletas!S387="Qiang C",710,IF(Atletas!S387="Pudao / Guandao C",711,IF(Atletas!S387="Outra Arma Longa C",712,IF(Atletas!S387="Gun D",713,IF(Atletas!S387="Qiang D",714,IF(Atletas!S387="Pudao / Guandao D",715,IF(Atletas!S387="Outra Arma Longa D",716,IF(Atletas!S387="Gun E",717,IF(Atletas!S387="Qiang E",718,IF(Atletas!S387="Pudao / Guandao E",719,IF(Atletas!S387="Outra Arma Longa E",720,IF(Atletas!S387="Gun F",721,IF(Atletas!S387="Qiang F",722,IF(Atletas!S387="Pudao / Guandao F",723,IF(Atletas!S387="Outra Arma Longa F",724,"")))))))))))))))))))))))))</f>
        <v/>
      </c>
      <c r="CB396" s="50" t="str">
        <f>IF(Atletas!T387="","",IF(Atletas!X387&lt;&gt;"",10000,0)+IF(Atletas!B387="Feminino",1000,IF(Atletas!B387="Masculino",2000,""))+IF(Atletas!T387="Outra Arma Dupla A",801,IF(Atletas!T387="Arma Maleável A",802,IF(Atletas!T387="Outra Arma Dupla B",803,IF(Atletas!T387="Arma Maleável B",804,IF(Atletas!T387="Outra Arma Dupla C",805,IF(Atletas!T387="Arma Maleável C",806,IF(Atletas!T387="Outra Arma Dupla D",807,IF(Atletas!T387="Arma Maleável D",808,IF(Atletas!T387="Outra Arma Dupla E",809,IF(Atletas!T387="Arma Maleável E",810,IF(Atletas!T387="Outra Arma Dupla F",811,IF(Atletas!T387="Arma Maleável F",812,IF(Atletas!T387="Shuangdao A",813,IF(Atletas!T387="Shuangdao B",814,IF(Atletas!T387="Shuangdao C",815,IF(Atletas!T387="Shuangdao D",816,IF(Atletas!T387="Shuangdao E",817,IF(Atletas!T387="Shuangdao F",818,"")))))))))))))))))))</f>
        <v/>
      </c>
      <c r="CC396" s="50" t="str">
        <f>IF(Atletas!U387="","",IF(Atletas!X387&lt;&gt;"",10000,0)+IF(Atletas!B387="Feminino",1000,IF(Atletas!B387="Masculino",2000,""))+IF(OR(Atletas!U387="Taijijian Yang A",Atletas!U387="Taijijian Yang Standard A"),901,IF(OR(Atletas!U387="Taijijian Chen A", Atletas!U387="Taijijian Chen Standard A"),902,IF(Atletas!U387="Taijijian Sun A",903,IF(Atletas!U387="Taijijian Wu A",904,IF(Atletas!U387="Taijijian Wu-Hao A",905,IF(OR(Atletas!U387="Taijijian 32 A",Atletas!U387="Taijijian 42 A"),906,IF(OR(Atletas!U387="Taijijian Yang B",Atletas!U387="Taijijian Yang Standard B"),907,IF(OR(Atletas!U387="Taijijian Chen B", Atletas!U387="Taijijian Chen Standard B"),908,IF(Atletas!U387="Taijijian Sun B",909,IF(Atletas!U387="Taijijian Wu B",910,IF(Atletas!U387="Taijijian Wu-Hao B",911,IF(OR(Atletas!U387="Taijijian 32 B",Atletas!U387="Taijijian 42 B"),912,IF(OR(Atletas!U387="Taijijian Yang C",Atletas!U387="Taijijian Yang Standard C"),913,IF(OR(Atletas!U387="Taijijian Chen C", Atletas!U387="Taijijian Chen Standard C"),914,IF(Atletas!U387="Taijijian Sun C",915,IF(Atletas!U387="Taijijian Wu C",916,IF(Atletas!U387="Taijijian Wu-Hao C",917,IF(OR(Atletas!U387="Taijijian 32 C",Atletas!U387="Taijijian 42 C"),918,IF(OR(Atletas!U387="Taijijian Yang D",Atletas!U387="Taijijian Yang Standard D"),919,IF(OR(Atletas!U387="Taijijian Chen D", Atletas!U387="Taijijian Chen Standard D"),920,IF(Atletas!U387="Taijijian Sun D",921,IF(Atletas!U387="Taijijian Wu D",922,IF(Atletas!U387="Taijijian Wu-Hao D",923,IF(OR(Atletas!U387="Taijijian 32 D",Atletas!U387="Taijijian 42 D"),924,IF(OR(Atletas!U387="Taijijian Yang E",Atletas!U387="Taijijian Yang Standard E"),925,IF(OR(Atletas!U387="Taijijian Chen E", Atletas!U387="Taijijian Chen Standard E"),926,IF(Atletas!U387="Taijijian Sun E",927,IF(Atletas!U387="Taijijian Wu E",928,IF(Atletas!U387="Taijijian Wu-Hao E",929,IF(OR(Atletas!U387="Taijijian 32 E",Atletas!U387="Taijijian 42 E"),930,IF(OR(Atletas!U387="Taijijian Yang F",Atletas!U387="Taijijian Yang Standard F"),931,IF(OR(Atletas!U387="Taijijian Chen F", Atletas!U387="Taijijian Chen Standard F"),932,IF(Atletas!U387="Taijijian Sun F",933,IF(Atletas!U387="Taijijian Wu F",934,IF(Atletas!U387="Taijijian Wu-Hao F",935,IF(OR(Atletas!U387="Taijijian 32 F",Atletas!U387="Taijijian 42 F"),936,"")))))))))))))))))))))))))))))))))))))</f>
        <v/>
      </c>
      <c r="CD396" s="50" t="str">
        <f>IF(Atletas!V387="","",IF(Atletas!X387&lt;&gt;"",10000,0)+IF(Atletas!B387="Feminino",1000,IF(Atletas!B387="Masculino",2000,""))+IF(Atletas!V387="Taijidao A",937,IF(Atletas!V387="TaijiShanzi A",938,IF(Atletas!V387="Taijiqiang A",939,IF(Atletas!V387="Bagua de Arma A",940,IF(Atletas!V387="Xingyi de Arma A",941,IF(Atletas!V387="Taijidao B",942,IF(Atletas!V387="TaijiShanzi B",943,IF(Atletas!V387="Taijiqiang B",944,IF(Atletas!V387="Bagua de Arma B",945,IF(Atletas!V387="Xingyi de Arma B",946,IF(Atletas!V387="Taijidao C",947,IF(Atletas!V387="TaijiShanzi C",948,IF(Atletas!V387="Taijiqiang C",949,IF(Atletas!V387="Bagua de Arma C",950,IF(Atletas!V387="Xingyi de Arma C",951,IF(Atletas!V387="Taijidao D",952,IF(Atletas!V387="TaijiShanzi D",953,IF(Atletas!V387="Taijiqiang D",954,IF(Atletas!V387="Bagua de Arma D",955,IF(Atletas!V387="Xingyi de Arma D",956,IF(Atletas!V387="Taijidao E",957,IF(Atletas!V387="TaijiShanzi E",958,IF(Atletas!V387="Taijiqiang E",959,IF(Atletas!V387="Bagua de Arma E",960,IF(Atletas!V387="Xingyi de Arma E",961,IF(Atletas!V387="Taijidao F",962,IF(Atletas!V387="TaijiShanzi F",963,IF(Atletas!V387="Taijiqiang F",964,IF(Atletas!V387="Bagua de Arma F",965,IF(Atletas!V387="Xingyi de Arma F",966,"")))))))))))))))))))))))))))))))</f>
        <v/>
      </c>
      <c r="CJ396" s="66"/>
      <c r="CL396" s="66"/>
      <c r="CM396" s="50" t="str">
        <f xml:space="preserve"> IF(Atletas!W387="","",IF(Atletas!W387="Duilian de Mãos BC - Equipe 1",1,IF(Atletas!W387="Duilian de Mãos BC - Equipe 2",2,IF(Atletas!W387="Duilian de Armas BC - Equipe 1",3,IF(Atletas!W387="Duilian de Armas BC - Equipe 2",4,IF(Atletas!W387="Duilian de Mãos DE - Equipe 1",5,IF(Atletas!W387="Duilian de Mãos DE - Equipe 2",6,IF(Atletas!W387="Duilian de Armas DE - Equipe 1",7,IF(Atletas!W387="Duilian de Armas DE - Equipe 2",8,IF(Atletas!W387="Duilian de Tuishou - Equipe 1",9,IF(Atletas!W387="Duilian de Tuishou - Equipe 2",10,IF(Atletas!W387="Grupo Externo ABC - Equipe 1",11,IF(Atletas!W387="Grupo Externo ABC - Equipe 2",12,IF(Atletas!W387="Grupo Interno ABC - Equipe 1",13,IF(Atletas!W387="Grupo Interno ABC - Equipe 2",14,IF(Atletas!W387="Grupo Externo DEF - Equipe 1",15,IF(Atletas!W387="Grupo Externo DEF - Equipe 2",16,IF(Atletas!W387="Grupo Interno DEF - Equipe 1",17,IF(Atletas!W387="Grupo Interno DEF - Equipe 2",18,"")))))))))))))))))))</f>
        <v/>
      </c>
    </row>
    <row r="397" spans="40:91">
      <c r="AN397" s="52" t="str">
        <f>IF(Atletas!D388="","",IF(Atletas!B388="Feminino",100,IF(Atletas!B388="Masculino",200,""))+(IF(Atletas!D388="Kids 30kg",1,IF(Atletas!D388="Kids 32kg",2, IF(Atletas!D388="Kids 34kg",3,IF(Atletas!D388="Kids 36kg",4,IF(Atletas!D388="Kids 39kg",5,IF(Atletas!D388="Kids 42kg",6,IF(Atletas!D388="Kids 45kg",7, IF(Atletas!D388="Infantil 39kg",8,IF(Atletas!D388="Infantil 42kg",9,IF(Atletas!D388="Infantil 45kg",10,IF(Atletas!D388="Infantil 48kg",11,IF(Atletas!D388="Infantil 52kg",12,IF(Atletas!D388="Infantil 56kg",13,IF(Atletas!D388="Infantil 60kg",14,IF(Atletas!D388="Juvenil 48kg",15,IF(Atletas!D388="Juvenil 52kg",16,IF(Atletas!D388="Juvenil 56kg",17,IF(Atletas!D388="Juvenil 60kg",18,IF(Atletas!D388="Juvenil 65kg",19,IF(Atletas!D388="Juvenil 70kg",20,IF(Atletas!D388="Juvenil 75kg",21,IF(Atletas!D388="Juvenil 80kg",22, IF(Atletas!D388="Juvenil 85kg",23,IF(Atletas!D388="Adulto 48kg",24,IF(Atletas!D388="Adulto 52kg",25,IF(Atletas!D388="Adulto 56kg",26,IF(Atletas!D388="Adulto 60kg",27,IF(Atletas!D388="Adulto 65kg",28,IF(Atletas!D388="Adulto 70kg",29,IF(Atletas!D388="Adulto 75kg",30,IF(Atletas!D388="Adulto 80kg",31,IF(Atletas!D388="Adulto 85kg",32,IF(Atletas!D388="Adulto 90kg",33,IF(Atletas!D388="Adulto 100kg",34, IF(Atletas!D388="Adulto +100kg",35,"")))))))))))))))))))))))))))))))))))))</f>
        <v/>
      </c>
      <c r="AS397" s="6" t="str">
        <f>IF(Atletas!E388="","",IF(Atletas!B388="Feminino",100,IF(Atletas!B388="Masculino",200,""))+(IF(Atletas!E388="Juvenil 44kg",1,IF(Atletas!E388="Juvenil 48kg",2,IF(Atletas!E388="Juvenil 52kg",3,IF(Atletas!E388="Juvenil 56kg",4,IF(Atletas!E388="Juvenil 60kg",5,IF(Atletas!E388="Juvenil 65kg",6,IF(Atletas!E388="Juvenil 70kg",7,IF(Atletas!E388="Juvenil 75kg",8,IF(Atletas!E388="Juvenil 82kg",9,IF(Atletas!E388="Juvenil 90kg",10,IF(Atletas!E388="Juvenil 100kg",11,IF(Atletas!E388="Adulto 48kg",12,IF(Atletas!E388="Adulto 52kg",13,IF(Atletas!E388="Adulto 56kg",14,IF(Atletas!E388="Adulto 60kg",15,IF(Atletas!E388="Adulto 65kg",16,IF(Atletas!E388="Adulto 70kg",17,IF(Atletas!E388="Adulto 75kg",18,IF(Atletas!E388="Adulto 82kg",19,IF(Atletas!E388="Adulto 90kg",20,IF(Atletas!E388="Adulto 100kg",21,IF(Atletas!E388="Adulto +100kg",22,""))))))))))))))))))))))))</f>
        <v/>
      </c>
      <c r="AX397" s="6" t="str">
        <f>IF(Atletas!F388="","",IF(Atletas!B388="Feminino",100,IF(Atletas!B388="Masculino",200,""))+(IF(Atletas!F388="Adulto 48kg",1,IF(Atletas!F388="Adulto 56kg",2,IF(Atletas!F388="Adulto 65kg",3,IF(Atletas!F388="Adulto 75kg",4,IF(Atletas!F388="Adulto +75kg",5,IF(Atletas!F388="Adulto 52kg",6,IF(Atletas!F388="Adulto 60kg",7,IF(Atletas!F388="Adulto 70kg",8,IF(Atletas!F388="Adulto 80kg",9,IF(Atletas!F388="Adulto 90kg",10,IF(Atletas!F388="Adulto +90kg",11,"")))))))))))))</f>
        <v/>
      </c>
      <c r="BC397" s="6" t="str">
        <f>IF(Atletas!G388="","",IF(Atletas!B388="Feminino",10,IF(Atletas!B388="Masculino",20,""))+(IF(Atletas!G388="Baduanjin A",1,IF(Atletas!G388="Baduanjin B",2))))</f>
        <v/>
      </c>
      <c r="BF397" s="52" t="str">
        <f>IF(Atletas!H388="","",IF(Atletas!B388="Feminino",100,IF(Atletas!B388="Masculino",200,""))+(IF(Atletas!H388="Changquan Mirim",1,IF(Atletas!H388="Nanquan Mirim",2,IF(Atletas!H388="Taijiquan Mirim",3,IF(Atletas!H388="Changquan Grupo C",4,IF(Atletas!H388="Nanquan Grupo C",5,IF(Atletas!H388="Taijiquan Grupo C",6,IF(Atletas!H388="Changquan Grupo B",7,IF(Atletas!H388="Nanquan Grupo B",8,IF(Atletas!H388="Taijiquan Grupo B",9,IF(Atletas!H388="Changquan Grupo A",10,IF(Atletas!H388="Nanquan Grupo A",11,IF(Atletas!H388="Taijiquan Grupo A",12,IF(Atletas!H388="Changquan Opcional",13,IF(Atletas!H388="Nanquan Opcional",14,IF(Atletas!H388="Taijiquan Opcional",15,IF(Atletas!H388="Changquan Adulto",16,IF(Atletas!H388="Nanquan Adulto",17,IF(Atletas!H388="Taijiquan Adulto",18,""))))))))))))))))))))</f>
        <v/>
      </c>
      <c r="BG397" s="52" t="str">
        <f>IF(Atletas!I388="","",IF(Atletas!B388="Feminino",100,IF(Atletas!B388="Masculino",200,""))+(IF(Atletas!I388="Daoshu Mirim",19,IF(Atletas!I388="Jianshu Mirim",20,IF(Atletas!I388="Nandao Mirim",21,IF(Atletas!I388="Taijijian Mirim",22,IF(Atletas!I388="Daoshu Grupo C",23,IF(Atletas!I388="Jianshu Grupo C",24,IF(Atletas!I388="Nandao Grupo C",25,IF(Atletas!I388="Taijijian Grupo C",26,IF(Atletas!I388="Daoshu Grupo B",27,IF(Atletas!I388="Jianshu Grupo B",28,IF(Atletas!I388="Nandao Grupo B",29,IF(Atletas!I388="Taijijian Grupo B",30,IF(Atletas!I388="Daoshu Grupo A",31,IF(Atletas!I388="Jianshu Grupo A",32,IF(Atletas!I388="Nandao Grupo A",33,IF(Atletas!I388="Taijijian Grupo A",34,IF(Atletas!I388="Daoshu Opcional",35,IF(Atletas!I388="Jianshu Opcional",36,IF(Atletas!I388="Nandao Opcional",37,IF(Atletas!I388="Taijijian Opcional",38,IF(Atletas!I388="Daoshu Adulto",39,IF(Atletas!I388="Jianshu Adulto",40,IF(Atletas!I388="Nandao Adulto",41,IF(Atletas!I388="Taijijian Adulto",42,""))))))))))))))))))))))))))</f>
        <v/>
      </c>
      <c r="BH397" s="52" t="str">
        <f>IF(Atletas!J388="","",IF(Atletas!B388="Feminino",100,IF(Atletas!B388="Masculino",200,""))+(IF(Atletas!J388="Gunshu Mirim",43,IF(Atletas!J388="Qiangshu Mirim",44,IF(Atletas!J388="Nangun Mirim",45,IF(Atletas!J388="Gunshu Grupo C",46,IF(Atletas!J388="Qiangshu Grupo C",47,IF(Atletas!J388="Nangun Grupo C",48,IF(Atletas!J388="Gunshu Grupo B",49,IF(Atletas!J388="Qiangshu Grupo B",50,IF(Atletas!J388="Nangun Grupo B",51,IF(Atletas!J388="Gunshu Grupo A",52,IF(Atletas!J388="Qiangshu Grupo A",53,IF(Atletas!J388="Nangun Grupo A",54,IF(Atletas!J388="Gunshu Opcional",55,IF(Atletas!J388="Qiangshu Opcional",56,IF(Atletas!J388="Nangun Opcional",57,IF(Atletas!J388="Gunshu Adulto",58,IF(Atletas!J388="Qiangshu Adulto",59,IF(Atletas!J388="Nangun Adulto",60,IF(Atletas!J388="Taijishan Grupo B",61,IF(Atletas!J388="Taijishan Grupo A",62,""))))))))))))))))))))))</f>
        <v/>
      </c>
      <c r="BM397" s="50" t="str">
        <f>IF(Atletas!K388="","",IF(Atletas!B388="Feminino",100,IF(Atletas!B388="Masculino",200,""))+(IF(Atletas!K388="Equipe 1 Grupo B",1,IF(Atletas!K388="Equipe 2 Grupo B",2,IF(Atletas!K388="Equipe 1 Grupo A",3,IF(Atletas!K388="Equipe 2 Grupo A",4,IF(Atletas!K388="Equipe 1 Adulto",5,IF(Atletas!K388="Equipe 2 Adulto",6,""))))))))</f>
        <v/>
      </c>
      <c r="BR397" s="50" t="str">
        <f>IF(Atletas!L388="","",IF(Atletas!X388&lt;&gt;"",10000,0)+(IF(Atletas!B388="Feminino",1000,IF(Atletas!B388="Masculino",2000,""))+IF(Atletas!L388="Choylayfut A",1,IF(Atletas!L388="Hunggar A",2,IF(Atletas!L388="Wuzuquan A",3,IF(Atletas!L388="Wingchun A",4,IF(Atletas!L388="Outra Mão de Sul A",5,IF(Atletas!L388="Choylayfut B",6,IF(Atletas!L388="Hunggar B",7,IF(Atletas!L388="Wuzuquan B",8,IF(Atletas!L388="Wingchun B",9,IF(Atletas!L388="Outra Mão de Sul B",10,IF(Atletas!L388="Choylayfut C",11,IF(Atletas!L388="Hunggar C",12,IF(Atletas!L388="Wuzuquan C",13,IF(Atletas!L388="Wingchun C",14,IF(Atletas!L388="Outra Mão de Sul C",15,IF(Atletas!L388="Choylayfut D",16,IF(Atletas!L388="Hunggar D",17,IF(Atletas!L388="Wuzuquan D",18,IF(Atletas!L388="Wingchun D",19,IF(Atletas!L388="Outra Mão de Sul D",20,IF(Atletas!L388="Choylayfut E",21,IF(Atletas!L388="Hunggar E",22,IF(Atletas!L388="Wuzuquan E",23,IF(Atletas!L388="Wingchun E",24,IF(Atletas!L388="Outra Mão de Sul E",25,IF(Atletas!L388="Choylayfut F",26,IF(Atletas!L388="Hunggar F",27,IF(Atletas!L388="Wuzuquan F",28,IF(Atletas!L388="Wingchun F",29,IF(Atletas!L388="Outra Mão de Sul F",30,IF(Atletas!L388="Dishuquan A",31,IF(Atletas!L388="Dishuquan B",32,IF(Atletas!L388="Dishuquan C",33,IF(Atletas!L388="Dishuquan D",34,IF(Atletas!L388="Dishuquan E",35,IF(Atletas!L388="Dishuquan F",36,""))))))))))))))))))))))))))))))))))))))</f>
        <v/>
      </c>
      <c r="BS397" s="50" t="str">
        <f>IF(Atletas!M388="","",IF(Atletas!X388&lt;&gt;"",10000,0)+(IF(Atletas!B388="Feminino",1000,IF(Atletas!B388="Masculino",2000,""))+(IF(Atletas!M388="Chaquan A",101,IF(Atletas!M388="Emeiquan A",102,IF(Atletas!M388="Fanziquan A",103,IF(Atletas!M388="Huaquan A",104,IF(Atletas!M388="Hongquan A",105,IF(Atletas!M388="Paoquan A",106,IF(Atletas!M388="Piguaquan A",107,IF(Atletas!M388="Shaolinquan A",108,IF(Atletas!M388="Tanglangquan A",109,IF(Atletas!M388="Yingzhaoquan A",110,IF(Atletas!M388="Tongbeiquan A",111,IF(Atletas!M388="Wudangquan A",112,IF(Atletas!M388="Outros Estilos A",113,IF(Atletas!M388="Chaquan B",114,IF(Atletas!M388="Emeiquan B",115,IF(Atletas!M388="Fanziquan B",116,IF(Atletas!M388="Huaquan B",117,IF(Atletas!M388="Hongquan B",118,IF(Atletas!M388="Paoquan B",119,IF(Atletas!M388="Piguaquan B",120,IF(Atletas!M388="Shaolinquan B",121,IF(Atletas!M388="Tanglangquan B",122,IF(Atletas!M388="Yingzhaoquan B",123,IF(Atletas!M388="Tongbeiquan B",124,IF(Atletas!M388="Wudangquan B",125,IF(Atletas!M388="Outros Estilos B",126,IF(Atletas!M388="Chaquan C",127,IF(Atletas!M388="Emeiquan C",128,IF(Atletas!M388="Fanziquan C",129,IF(Atletas!M388="Huaquan C",130,IF(Atletas!M388="Hongquan C",131,IF(Atletas!M388="Paoquan C",132,IF(Atletas!M388="Piguaquan C",133,IF(Atletas!M388="Shaolinquan C",134,IF(Atletas!M388="Tanglangquan C",135,IF(Atletas!M388="Yingzhaoquan C",136,IF(Atletas!M388="Tongbeiquan C",137,IF(Atletas!M388="Wudangquan C",138,IF(Atletas!M388="Outros Estilos C",139,0))))))))))))))))))))))))))))))))))))))))))</f>
        <v/>
      </c>
      <c r="BT397" s="50" t="str">
        <f>IF(Atletas!M388="","",IF(Atletas!X388&lt;&gt;"",10000,0)+(IF(Atletas!B388="Feminino",1000,IF(Atletas!B388="Masculino",2000,""))+(IF(Atletas!M388="Chaquan D",140,IF(Atletas!M388="Emeiquan D",141,IF(Atletas!M388="Fanziquan D",142,IF(Atletas!M388="Huaquan D",143,IF(Atletas!M388="Hongquan D",144,IF(Atletas!M388="Paoquan D",145,IF(Atletas!M388="Piguaquan D",146,IF(Atletas!M388="Shaolinquan D",147,IF(Atletas!M388="Tanglangquan D",148,IF(Atletas!M388="Yingzhaoquan D",149,IF(Atletas!M388="Tongbeiquan D",150,IF(Atletas!M388="Wudangquan D",151,IF(Atletas!M388="Outros Estilos D",152,IF(Atletas!M388="Chaquan E",153,IF(Atletas!M388="Emeiquan E",154,IF(Atletas!M388="Fanziquan E",155,IF(Atletas!M388="Huaquan E",156,IF(Atletas!M388="Hongquan E",157,IF(Atletas!M388="Paoquan E",158,IF(Atletas!M388="Piguaquan E",159,IF(Atletas!M388="Shaolinquan E",160,IF(Atletas!M388="Tanglangquan E",161,IF(Atletas!M388="Yingzhaoquan E",162,IF(Atletas!M388="Tongbeiquan E",163,IF(Atletas!M388="Wudangquan E",164,IF(Atletas!M388="Outros Estilos E",165,IF(Atletas!M388="Chaquan F",166,IF(Atletas!M388="Emeiquan F",167,IF(Atletas!M388="Fanziquan F",168,IF(Atletas!M388="Huaquan F",169,IF(Atletas!M388="Hongquan F",170,IF(Atletas!M388="Paoquan F",171,IF(Atletas!M388="Piguaquan F",172,IF(Atletas!M388="Shaolinquan F",173,IF(Atletas!M388="Tanglangquan F",174,IF(Atletas!M388="Yingzhaoquan F",175,IF(Atletas!M388="Tongbeiquan F",176,IF(Atletas!M388="Wudangquan F",177,IF(Atletas!M388="Outros Estilos F",178,0))))))))))))))))))))))))))))))))))))))))))</f>
        <v/>
      </c>
      <c r="BU397" s="50" t="str">
        <f>IF(Atletas!N388="","",IF(Atletas!X388&lt;&gt;"",10000,0)+(IF(Atletas!B388="Feminino",1000,IF(Atletas!B388="Masculino",2000,""))+(IF(Atletas!N388="Ditangquan A",201,IF(Atletas!N388="Houquan A",202,IF(Atletas!N388="Zuiquan A",203,IF(Atletas!N388="Ditangquan B",204,IF(Atletas!N388="Houquan B",205,IF(Atletas!N388="Zuiquan B",206,IF(Atletas!N388="Ditangquan C",207,IF(Atletas!N388="Houquan C",208,IF(Atletas!N388="Zuiquan C",209,IF(Atletas!N388="Ditangquan D",210,IF(Atletas!N388="Houquan D",211,IF(Atletas!N388="Zuiquan D",212,IF(Atletas!N388="Ditangquan E",213,IF(Atletas!N388="Houquan E",214,IF(Atletas!N388="Zuiquan E",215,IF(Atletas!N388="Ditangquan F",216,IF(Atletas!N388="Houquan F",217,IF(Atletas!N388="Zuiquan F",218,"")))))))))))))))))))))</f>
        <v/>
      </c>
      <c r="BV397" s="50" t="str">
        <f>IF(Atletas!O388="","",IF(Atletas!X388&lt;&gt;"",10000,0)+IF(Atletas!B388="Feminino",1000,IF(Atletas!B388="Masculino",2000,""))+IF(Atletas!O388="Yang A",301,IF(Atletas!O388="Chen A",302,IF(Atletas!O388="Sun A",303,IF(Atletas!O388="Wu A",304,IF(Atletas!O388="Wu-Hao A",305,IF(Atletas!O388="Outro Taijiquan A",306,IF(Atletas!O388="Yang B",307,IF(Atletas!O388="Chen B",308,IF(Atletas!O388="Sun B",309,IF(Atletas!O388="Wu B",310,IF(Atletas!O388="Wu-Hao B",311,IF(Atletas!O388="Outro Taijiquan B",312,IF(Atletas!O388="Yang C",313,IF(Atletas!O388="Chen C",314,IF(Atletas!O388="Sun C",315,IF(Atletas!O388="Wu C",316,IF(Atletas!O388="Wu-Hao C",317,IF(Atletas!O388="Outro Taijiquan C",318,IF(Atletas!O388="Yang D",319,IF(Atletas!O388="Chen D",320,IF(Atletas!O388="Sun D",321,IF(Atletas!O388="Wu D",322,IF(Atletas!O388="Wu-Hao D",323,IF(Atletas!O388="Outro Taijiquan D",324,IF(Atletas!O388="Yang E",325,IF(Atletas!O388="Chen E",326,IF(Atletas!O388="Sun E",327,IF(Atletas!O388="Wu E",328,IF(Atletas!O388="Wu-Hao E",329,IF(Atletas!O388="Outro Taijiquan E",330,IF(Atletas!O388="Yang F",331,IF(Atletas!O388="Chen F",332,IF(Atletas!O388="Sun F",333,IF(Atletas!O388="Wu F",334,IF(Atletas!O388="Wu-Hao F",335,IF(Atletas!O388="Outro Taijiquan F",336,"")))))))))))))))))))))))))))))))))))))</f>
        <v/>
      </c>
      <c r="BW397" s="50" t="str">
        <f>IF(Atletas!P388="","",IF(Atletas!X388&lt;&gt;"",10000,0)+IF(Atletas!B388="Feminino",1000,IF(Atletas!B388="Masculino",2000,""))+IF(OR(Atletas!P388="Yang 26 A",Atletas!P388="Yang 40 A"),401,IF(OR(Atletas!P388="Chen 25 A",Atletas!P388="Chen 36 A",Atletas!P388="Chen 56 A"),402,IF(Atletas!P388="Sun 73 A",403,IF(Atletas!P388="Wu 45 A",404,IF(Atletas!P388="Wu-Hao 46 A",405,IF(OR(Atletas!P388="Taijiquan 16 A",Atletas!P388="Taijiquan 24 A",Atletas!P388="Taijiquan 32 A",Atletas!P388="Taijiquan 42 A"),406,IF(OR(Atletas!P388="Yang 26 B",Atletas!P388="Yang 40 B"),407,IF(OR(Atletas!P388="Chen 25 B",Atletas!P388="Chen 36 B",Atletas!P388="Chen 56 B"),408,IF(Atletas!P388="Sun 73 B",409,IF(Atletas!P388="Wu 45 B",410,IF(Atletas!P388="Wu-Hao 46 B",411,IF(OR(Atletas!P388="Taijiquan 16 B",Atletas!P388="Taijiquan 24 B",Atletas!P388="Taijiquan 32 B",Atletas!P388="Taijiquan 42 B"),412,IF(OR(Atletas!P388="Yang 26 C",Atletas!P388="Yang 40 C"),413,IF(OR(Atletas!P388="Chen 25 C",Atletas!P388="Chen 36 C",Atletas!P388="Chen 56 C"),414,IF(Atletas!P388="Sun 73 C",415,IF(Atletas!P388="Wu 45 C",416,IF(Atletas!P388="Wu-Hao 46 C",417,IF(OR(Atletas!P388="Taijiquan 16 C",Atletas!P388="Taijiquan 24 C",Atletas!P388="Taijiquan 32 C",Atletas!P388="Taijiquan 42 C"),418,0)))))))))))))))))))</f>
        <v/>
      </c>
      <c r="BX397" s="50" t="str">
        <f>IF(Atletas!P388="","",IF(Atletas!X388&lt;&gt;"",10000,0)+IF(Atletas!B388="Feminino",1000,IF(Atletas!B388="Masculino",2000,""))+IF(OR(Atletas!P388="Yang 26 D",Atletas!P388="Yang 40 D"),419,IF(OR(Atletas!P388="Chen 25 D",Atletas!P388="Chen 36 D",Atletas!P388="Chen 56 D"),420,IF(Atletas!P388="Sun 73 D",421,IF(Atletas!P388="Wu 45 D",422,IF(Atletas!P388="Wu-Hao 46 D",423,IF(OR(Atletas!P388="Taijiquan 16 D",Atletas!P388="Taijiquan 24 D",Atletas!P388="Taijiquan 32 D",Atletas!P388="Taijiquan 42 D"),424,IF(OR(Atletas!P388="Yang 26 E",Atletas!P388="Yang 40 E"),425,IF(OR(Atletas!P388="Chen 25 E",Atletas!P388="Chen 36 E",Atletas!P388="Chen 56 E"),426,IF(Atletas!P388="Sun 73 E",427,IF(Atletas!P388="Wu 45 E",428,IF(Atletas!P388="Wu-Hao 46 E",429,IF(OR(Atletas!P388="Taijiquan 16 E",Atletas!P388="Taijiquan 24 E",Atletas!P388="Taijiquan 32 E",Atletas!P388="Taijiquan 42 E"),430,IF(OR(Atletas!P388="Yang 26 F",Atletas!P388="Yang 40 F"),431,IF(OR(Atletas!P388="Chen 25 F",Atletas!P388="Chen 36 F",Atletas!P388="Chen 56 F"),432,IF(Atletas!P388="Sun 73 F",433,IF(Atletas!P388="Wu 45 F",434,IF(Atletas!P388="Wu-Hao 46 F",435,IF(OR(Atletas!P388="Taijiquan 16 F",Atletas!P388="Taijiquan 24 F",Atletas!P388="Taijiquan 32 F",Atletas!P388="Taijiquan 42 F"),436,0)))))))))))))))))))</f>
        <v/>
      </c>
      <c r="BY397" s="50" t="str">
        <f>IF(Atletas!Q388="","",IF(Atletas!X388&lt;&gt;"",10000,0)+IF(Atletas!B388="Feminino",1000,IF(Atletas!B388="Masculino",2000,""))+IF(Atletas!Q388="Xingyiquan A",501,IF(Atletas!Q388="Baguazhang A",502,IF(Atletas!Q388="Outro Estilo Interno A",503,IF(Atletas!Q388="Xingyiquan B",504,IF(Atletas!Q388="Baguazhang B",505,IF(Atletas!Q388="Outro Estilo Interno B",506,IF(Atletas!Q388="Xingyiquan C",507,IF(Atletas!Q388="Baguazhang C",508,IF(Atletas!Q388="Outro Estilo Interno C",509,IF(Atletas!Q388="Xingyiquan D",510,IF(Atletas!Q388="Baguazhang D",511,IF(Atletas!Q388="Outro Estilo Interno D",512,IF(Atletas!Q388="Xingyiquan E",513,IF(Atletas!Q388="Baguazhang E",514,IF(Atletas!Q388="Outro Estilo Interno E",515,IF(Atletas!Q388="Xingyiquan F",516,IF(Atletas!Q388="Baguazhang F",517,IF(Atletas!Q388="Outro Estilo Interno F",518, "")))))))))))))))))))</f>
        <v/>
      </c>
      <c r="BZ397" s="50" t="str">
        <f>IF(Atletas!R388="","",IF(Atletas!X388&lt;&gt;"",10000,0)+IF(Atletas!B388="Feminino",1000,IF(Atletas!B388="Masculino",2000,""))+IF(Atletas!R388="Dao A",601,IF(Atletas!R388="Jian A",602,IF(Atletas!R388="Bishou A",603,IF(Atletas!R388="Shanzi A",604,IF(Atletas!R388="Outra Arma Curta A",605,IF(Atletas!R388="Dao B",606,IF(Atletas!R388="Jian B",607,IF(Atletas!R388="Bishou B",608,IF(Atletas!R388="Shanzi B",609,IF(Atletas!R388="Outra Arma Curta B",610,IF(Atletas!R388="Dao C",611,IF(Atletas!R388="Jian C",612,IF(Atletas!R388="Bishou C",613,IF(Atletas!R388="Shanzi C",614,IF(Atletas!R388="Outra Arma Curta C",615,IF(Atletas!R388="Dao D",616,IF(Atletas!R388="Jian D",617,IF(Atletas!R388="Bishou D",618,IF(Atletas!R388="Shanzi D",619,IF(Atletas!R388="Outra Arma Curta D",620,IF(Atletas!R388="Dao E",621,IF(Atletas!R388="Jian E",622,IF(Atletas!R388="Bishou E",623,IF(Atletas!R388="Shanzi E",624,IF(Atletas!R388="Outra Arma Curta E",625,IF(Atletas!R388="Dao F",626,IF(Atletas!R388="Jian F",627,IF(Atletas!R388="Bishou F",628,IF(Atletas!R388="Shanzi F",629,IF(Atletas!R388="Outra Arma Curta F",630, "")))))))))))))))))))))))))))))))</f>
        <v/>
      </c>
      <c r="CA397" s="50" t="str">
        <f>IF(Atletas!S388="","",IF(Atletas!X388&lt;&gt;"",10000,0)+IF(Atletas!B388="Feminino",1000,IF(Atletas!B388="Masculino",2000,""))+IF(Atletas!S388="Gun A",701,IF(Atletas!S388="Qiang A",702,IF(Atletas!S388="Pudao / Guandao A",703,IF(Atletas!S388="Outra Arma Longa A",704,IF(Atletas!S388="Gun B",705,IF(Atletas!S388="Qiang B",706,IF(Atletas!S388="Pudao / Guandao B",707,IF(Atletas!S388="Outra Arma Longa B",708,IF(Atletas!S388="Gun C",709,IF(Atletas!S388="Qiang C",710,IF(Atletas!S388="Pudao / Guandao C",711,IF(Atletas!S388="Outra Arma Longa C",712,IF(Atletas!S388="Gun D",713,IF(Atletas!S388="Qiang D",714,IF(Atletas!S388="Pudao / Guandao D",715,IF(Atletas!S388="Outra Arma Longa D",716,IF(Atletas!S388="Gun E",717,IF(Atletas!S388="Qiang E",718,IF(Atletas!S388="Pudao / Guandao E",719,IF(Atletas!S388="Outra Arma Longa E",720,IF(Atletas!S388="Gun F",721,IF(Atletas!S388="Qiang F",722,IF(Atletas!S388="Pudao / Guandao F",723,IF(Atletas!S388="Outra Arma Longa F",724,"")))))))))))))))))))))))))</f>
        <v/>
      </c>
      <c r="CB397" s="50" t="str">
        <f>IF(Atletas!T388="","",IF(Atletas!X388&lt;&gt;"",10000,0)+IF(Atletas!B388="Feminino",1000,IF(Atletas!B388="Masculino",2000,""))+IF(Atletas!T388="Outra Arma Dupla A",801,IF(Atletas!T388="Arma Maleável A",802,IF(Atletas!T388="Outra Arma Dupla B",803,IF(Atletas!T388="Arma Maleável B",804,IF(Atletas!T388="Outra Arma Dupla C",805,IF(Atletas!T388="Arma Maleável C",806,IF(Atletas!T388="Outra Arma Dupla D",807,IF(Atletas!T388="Arma Maleável D",808,IF(Atletas!T388="Outra Arma Dupla E",809,IF(Atletas!T388="Arma Maleável E",810,IF(Atletas!T388="Outra Arma Dupla F",811,IF(Atletas!T388="Arma Maleável F",812,IF(Atletas!T388="Shuangdao A",813,IF(Atletas!T388="Shuangdao B",814,IF(Atletas!T388="Shuangdao C",815,IF(Atletas!T388="Shuangdao D",816,IF(Atletas!T388="Shuangdao E",817,IF(Atletas!T388="Shuangdao F",818,"")))))))))))))))))))</f>
        <v/>
      </c>
      <c r="CC397" s="50" t="str">
        <f>IF(Atletas!U388="","",IF(Atletas!X388&lt;&gt;"",10000,0)+IF(Atletas!B388="Feminino",1000,IF(Atletas!B388="Masculino",2000,""))+IF(OR(Atletas!U388="Taijijian Yang A",Atletas!U388="Taijijian Yang Standard A"),901,IF(OR(Atletas!U388="Taijijian Chen A", Atletas!U388="Taijijian Chen Standard A"),902,IF(Atletas!U388="Taijijian Sun A",903,IF(Atletas!U388="Taijijian Wu A",904,IF(Atletas!U388="Taijijian Wu-Hao A",905,IF(OR(Atletas!U388="Taijijian 32 A",Atletas!U388="Taijijian 42 A"),906,IF(OR(Atletas!U388="Taijijian Yang B",Atletas!U388="Taijijian Yang Standard B"),907,IF(OR(Atletas!U388="Taijijian Chen B", Atletas!U388="Taijijian Chen Standard B"),908,IF(Atletas!U388="Taijijian Sun B",909,IF(Atletas!U388="Taijijian Wu B",910,IF(Atletas!U388="Taijijian Wu-Hao B",911,IF(OR(Atletas!U388="Taijijian 32 B",Atletas!U388="Taijijian 42 B"),912,IF(OR(Atletas!U388="Taijijian Yang C",Atletas!U388="Taijijian Yang Standard C"),913,IF(OR(Atletas!U388="Taijijian Chen C", Atletas!U388="Taijijian Chen Standard C"),914,IF(Atletas!U388="Taijijian Sun C",915,IF(Atletas!U388="Taijijian Wu C",916,IF(Atletas!U388="Taijijian Wu-Hao C",917,IF(OR(Atletas!U388="Taijijian 32 C",Atletas!U388="Taijijian 42 C"),918,IF(OR(Atletas!U388="Taijijian Yang D",Atletas!U388="Taijijian Yang Standard D"),919,IF(OR(Atletas!U388="Taijijian Chen D", Atletas!U388="Taijijian Chen Standard D"),920,IF(Atletas!U388="Taijijian Sun D",921,IF(Atletas!U388="Taijijian Wu D",922,IF(Atletas!U388="Taijijian Wu-Hao D",923,IF(OR(Atletas!U388="Taijijian 32 D",Atletas!U388="Taijijian 42 D"),924,IF(OR(Atletas!U388="Taijijian Yang E",Atletas!U388="Taijijian Yang Standard E"),925,IF(OR(Atletas!U388="Taijijian Chen E", Atletas!U388="Taijijian Chen Standard E"),926,IF(Atletas!U388="Taijijian Sun E",927,IF(Atletas!U388="Taijijian Wu E",928,IF(Atletas!U388="Taijijian Wu-Hao E",929,IF(OR(Atletas!U388="Taijijian 32 E",Atletas!U388="Taijijian 42 E"),930,IF(OR(Atletas!U388="Taijijian Yang F",Atletas!U388="Taijijian Yang Standard F"),931,IF(OR(Atletas!U388="Taijijian Chen F", Atletas!U388="Taijijian Chen Standard F"),932,IF(Atletas!U388="Taijijian Sun F",933,IF(Atletas!U388="Taijijian Wu F",934,IF(Atletas!U388="Taijijian Wu-Hao F",935,IF(OR(Atletas!U388="Taijijian 32 F",Atletas!U388="Taijijian 42 F"),936,"")))))))))))))))))))))))))))))))))))))</f>
        <v/>
      </c>
      <c r="CD397" s="50" t="str">
        <f>IF(Atletas!V388="","",IF(Atletas!X388&lt;&gt;"",10000,0)+IF(Atletas!B388="Feminino",1000,IF(Atletas!B388="Masculino",2000,""))+IF(Atletas!V388="Taijidao A",937,IF(Atletas!V388="TaijiShanzi A",938,IF(Atletas!V388="Taijiqiang A",939,IF(Atletas!V388="Bagua de Arma A",940,IF(Atletas!V388="Xingyi de Arma A",941,IF(Atletas!V388="Taijidao B",942,IF(Atletas!V388="TaijiShanzi B",943,IF(Atletas!V388="Taijiqiang B",944,IF(Atletas!V388="Bagua de Arma B",945,IF(Atletas!V388="Xingyi de Arma B",946,IF(Atletas!V388="Taijidao C",947,IF(Atletas!V388="TaijiShanzi C",948,IF(Atletas!V388="Taijiqiang C",949,IF(Atletas!V388="Bagua de Arma C",950,IF(Atletas!V388="Xingyi de Arma C",951,IF(Atletas!V388="Taijidao D",952,IF(Atletas!V388="TaijiShanzi D",953,IF(Atletas!V388="Taijiqiang D",954,IF(Atletas!V388="Bagua de Arma D",955,IF(Atletas!V388="Xingyi de Arma D",956,IF(Atletas!V388="Taijidao E",957,IF(Atletas!V388="TaijiShanzi E",958,IF(Atletas!V388="Taijiqiang E",959,IF(Atletas!V388="Bagua de Arma E",960,IF(Atletas!V388="Xingyi de Arma E",961,IF(Atletas!V388="Taijidao F",962,IF(Atletas!V388="TaijiShanzi F",963,IF(Atletas!V388="Taijiqiang F",964,IF(Atletas!V388="Bagua de Arma F",965,IF(Atletas!V388="Xingyi de Arma F",966,"")))))))))))))))))))))))))))))))</f>
        <v/>
      </c>
      <c r="CJ397" s="66"/>
      <c r="CL397" s="66"/>
      <c r="CM397" s="50" t="str">
        <f xml:space="preserve"> IF(Atletas!W388="","",IF(Atletas!W388="Duilian de Mãos BC - Equipe 1",1,IF(Atletas!W388="Duilian de Mãos BC - Equipe 2",2,IF(Atletas!W388="Duilian de Armas BC - Equipe 1",3,IF(Atletas!W388="Duilian de Armas BC - Equipe 2",4,IF(Atletas!W388="Duilian de Mãos DE - Equipe 1",5,IF(Atletas!W388="Duilian de Mãos DE - Equipe 2",6,IF(Atletas!W388="Duilian de Armas DE - Equipe 1",7,IF(Atletas!W388="Duilian de Armas DE - Equipe 2",8,IF(Atletas!W388="Duilian de Tuishou - Equipe 1",9,IF(Atletas!W388="Duilian de Tuishou - Equipe 2",10,IF(Atletas!W388="Grupo Externo ABC - Equipe 1",11,IF(Atletas!W388="Grupo Externo ABC - Equipe 2",12,IF(Atletas!W388="Grupo Interno ABC - Equipe 1",13,IF(Atletas!W388="Grupo Interno ABC - Equipe 2",14,IF(Atletas!W388="Grupo Externo DEF - Equipe 1",15,IF(Atletas!W388="Grupo Externo DEF - Equipe 2",16,IF(Atletas!W388="Grupo Interno DEF - Equipe 1",17,IF(Atletas!W388="Grupo Interno DEF - Equipe 2",18,"")))))))))))))))))))</f>
        <v/>
      </c>
    </row>
    <row r="398" spans="40:91">
      <c r="AN398" s="52" t="str">
        <f>IF(Atletas!D389="","",IF(Atletas!B389="Feminino",100,IF(Atletas!B389="Masculino",200,""))+(IF(Atletas!D389="Kids 30kg",1,IF(Atletas!D389="Kids 32kg",2, IF(Atletas!D389="Kids 34kg",3,IF(Atletas!D389="Kids 36kg",4,IF(Atletas!D389="Kids 39kg",5,IF(Atletas!D389="Kids 42kg",6,IF(Atletas!D389="Kids 45kg",7, IF(Atletas!D389="Infantil 39kg",8,IF(Atletas!D389="Infantil 42kg",9,IF(Atletas!D389="Infantil 45kg",10,IF(Atletas!D389="Infantil 48kg",11,IF(Atletas!D389="Infantil 52kg",12,IF(Atletas!D389="Infantil 56kg",13,IF(Atletas!D389="Infantil 60kg",14,IF(Atletas!D389="Juvenil 48kg",15,IF(Atletas!D389="Juvenil 52kg",16,IF(Atletas!D389="Juvenil 56kg",17,IF(Atletas!D389="Juvenil 60kg",18,IF(Atletas!D389="Juvenil 65kg",19,IF(Atletas!D389="Juvenil 70kg",20,IF(Atletas!D389="Juvenil 75kg",21,IF(Atletas!D389="Juvenil 80kg",22, IF(Atletas!D389="Juvenil 85kg",23,IF(Atletas!D389="Adulto 48kg",24,IF(Atletas!D389="Adulto 52kg",25,IF(Atletas!D389="Adulto 56kg",26,IF(Atletas!D389="Adulto 60kg",27,IF(Atletas!D389="Adulto 65kg",28,IF(Atletas!D389="Adulto 70kg",29,IF(Atletas!D389="Adulto 75kg",30,IF(Atletas!D389="Adulto 80kg",31,IF(Atletas!D389="Adulto 85kg",32,IF(Atletas!D389="Adulto 90kg",33,IF(Atletas!D389="Adulto 100kg",34, IF(Atletas!D389="Adulto +100kg",35,"")))))))))))))))))))))))))))))))))))))</f>
        <v/>
      </c>
      <c r="AS398" s="6" t="str">
        <f>IF(Atletas!E389="","",IF(Atletas!B389="Feminino",100,IF(Atletas!B389="Masculino",200,""))+(IF(Atletas!E389="Juvenil 44kg",1,IF(Atletas!E389="Juvenil 48kg",2,IF(Atletas!E389="Juvenil 52kg",3,IF(Atletas!E389="Juvenil 56kg",4,IF(Atletas!E389="Juvenil 60kg",5,IF(Atletas!E389="Juvenil 65kg",6,IF(Atletas!E389="Juvenil 70kg",7,IF(Atletas!E389="Juvenil 75kg",8,IF(Atletas!E389="Juvenil 82kg",9,IF(Atletas!E389="Juvenil 90kg",10,IF(Atletas!E389="Juvenil 100kg",11,IF(Atletas!E389="Adulto 48kg",12,IF(Atletas!E389="Adulto 52kg",13,IF(Atletas!E389="Adulto 56kg",14,IF(Atletas!E389="Adulto 60kg",15,IF(Atletas!E389="Adulto 65kg",16,IF(Atletas!E389="Adulto 70kg",17,IF(Atletas!E389="Adulto 75kg",18,IF(Atletas!E389="Adulto 82kg",19,IF(Atletas!E389="Adulto 90kg",20,IF(Atletas!E389="Adulto 100kg",21,IF(Atletas!E389="Adulto +100kg",22,""))))))))))))))))))))))))</f>
        <v/>
      </c>
      <c r="AX398" s="6" t="str">
        <f>IF(Atletas!F389="","",IF(Atletas!B389="Feminino",100,IF(Atletas!B389="Masculino",200,""))+(IF(Atletas!F389="Adulto 48kg",1,IF(Atletas!F389="Adulto 56kg",2,IF(Atletas!F389="Adulto 65kg",3,IF(Atletas!F389="Adulto 75kg",4,IF(Atletas!F389="Adulto +75kg",5,IF(Atletas!F389="Adulto 52kg",6,IF(Atletas!F389="Adulto 60kg",7,IF(Atletas!F389="Adulto 70kg",8,IF(Atletas!F389="Adulto 80kg",9,IF(Atletas!F389="Adulto 90kg",10,IF(Atletas!F389="Adulto +90kg",11,"")))))))))))))</f>
        <v/>
      </c>
      <c r="BC398" s="6" t="str">
        <f>IF(Atletas!G389="","",IF(Atletas!B389="Feminino",10,IF(Atletas!B389="Masculino",20,""))+(IF(Atletas!G389="Baduanjin A",1,IF(Atletas!G389="Baduanjin B",2))))</f>
        <v/>
      </c>
      <c r="BF398" s="52" t="str">
        <f>IF(Atletas!H389="","",IF(Atletas!B389="Feminino",100,IF(Atletas!B389="Masculino",200,""))+(IF(Atletas!H389="Changquan Mirim",1,IF(Atletas!H389="Nanquan Mirim",2,IF(Atletas!H389="Taijiquan Mirim",3,IF(Atletas!H389="Changquan Grupo C",4,IF(Atletas!H389="Nanquan Grupo C",5,IF(Atletas!H389="Taijiquan Grupo C",6,IF(Atletas!H389="Changquan Grupo B",7,IF(Atletas!H389="Nanquan Grupo B",8,IF(Atletas!H389="Taijiquan Grupo B",9,IF(Atletas!H389="Changquan Grupo A",10,IF(Atletas!H389="Nanquan Grupo A",11,IF(Atletas!H389="Taijiquan Grupo A",12,IF(Atletas!H389="Changquan Opcional",13,IF(Atletas!H389="Nanquan Opcional",14,IF(Atletas!H389="Taijiquan Opcional",15,IF(Atletas!H389="Changquan Adulto",16,IF(Atletas!H389="Nanquan Adulto",17,IF(Atletas!H389="Taijiquan Adulto",18,""))))))))))))))))))))</f>
        <v/>
      </c>
      <c r="BG398" s="52" t="str">
        <f>IF(Atletas!I389="","",IF(Atletas!B389="Feminino",100,IF(Atletas!B389="Masculino",200,""))+(IF(Atletas!I389="Daoshu Mirim",19,IF(Atletas!I389="Jianshu Mirim",20,IF(Atletas!I389="Nandao Mirim",21,IF(Atletas!I389="Taijijian Mirim",22,IF(Atletas!I389="Daoshu Grupo C",23,IF(Atletas!I389="Jianshu Grupo C",24,IF(Atletas!I389="Nandao Grupo C",25,IF(Atletas!I389="Taijijian Grupo C",26,IF(Atletas!I389="Daoshu Grupo B",27,IF(Atletas!I389="Jianshu Grupo B",28,IF(Atletas!I389="Nandao Grupo B",29,IF(Atletas!I389="Taijijian Grupo B",30,IF(Atletas!I389="Daoshu Grupo A",31,IF(Atletas!I389="Jianshu Grupo A",32,IF(Atletas!I389="Nandao Grupo A",33,IF(Atletas!I389="Taijijian Grupo A",34,IF(Atletas!I389="Daoshu Opcional",35,IF(Atletas!I389="Jianshu Opcional",36,IF(Atletas!I389="Nandao Opcional",37,IF(Atletas!I389="Taijijian Opcional",38,IF(Atletas!I389="Daoshu Adulto",39,IF(Atletas!I389="Jianshu Adulto",40,IF(Atletas!I389="Nandao Adulto",41,IF(Atletas!I389="Taijijian Adulto",42,""))))))))))))))))))))))))))</f>
        <v/>
      </c>
      <c r="BH398" s="52" t="str">
        <f>IF(Atletas!J389="","",IF(Atletas!B389="Feminino",100,IF(Atletas!B389="Masculino",200,""))+(IF(Atletas!J389="Gunshu Mirim",43,IF(Atletas!J389="Qiangshu Mirim",44,IF(Atletas!J389="Nangun Mirim",45,IF(Atletas!J389="Gunshu Grupo C",46,IF(Atletas!J389="Qiangshu Grupo C",47,IF(Atletas!J389="Nangun Grupo C",48,IF(Atletas!J389="Gunshu Grupo B",49,IF(Atletas!J389="Qiangshu Grupo B",50,IF(Atletas!J389="Nangun Grupo B",51,IF(Atletas!J389="Gunshu Grupo A",52,IF(Atletas!J389="Qiangshu Grupo A",53,IF(Atletas!J389="Nangun Grupo A",54,IF(Atletas!J389="Gunshu Opcional",55,IF(Atletas!J389="Qiangshu Opcional",56,IF(Atletas!J389="Nangun Opcional",57,IF(Atletas!J389="Gunshu Adulto",58,IF(Atletas!J389="Qiangshu Adulto",59,IF(Atletas!J389="Nangun Adulto",60,IF(Atletas!J389="Taijishan Grupo B",61,IF(Atletas!J389="Taijishan Grupo A",62,""))))))))))))))))))))))</f>
        <v/>
      </c>
      <c r="BM398" s="50" t="str">
        <f>IF(Atletas!K389="","",IF(Atletas!B389="Feminino",100,IF(Atletas!B389="Masculino",200,""))+(IF(Atletas!K389="Equipe 1 Grupo B",1,IF(Atletas!K389="Equipe 2 Grupo B",2,IF(Atletas!K389="Equipe 1 Grupo A",3,IF(Atletas!K389="Equipe 2 Grupo A",4,IF(Atletas!K389="Equipe 1 Adulto",5,IF(Atletas!K389="Equipe 2 Adulto",6,""))))))))</f>
        <v/>
      </c>
      <c r="BR398" s="50" t="str">
        <f>IF(Atletas!L389="","",IF(Atletas!X389&lt;&gt;"",10000,0)+(IF(Atletas!B389="Feminino",1000,IF(Atletas!B389="Masculino",2000,""))+IF(Atletas!L389="Choylayfut A",1,IF(Atletas!L389="Hunggar A",2,IF(Atletas!L389="Wuzuquan A",3,IF(Atletas!L389="Wingchun A",4,IF(Atletas!L389="Outra Mão de Sul A",5,IF(Atletas!L389="Choylayfut B",6,IF(Atletas!L389="Hunggar B",7,IF(Atletas!L389="Wuzuquan B",8,IF(Atletas!L389="Wingchun B",9,IF(Atletas!L389="Outra Mão de Sul B",10,IF(Atletas!L389="Choylayfut C",11,IF(Atletas!L389="Hunggar C",12,IF(Atletas!L389="Wuzuquan C",13,IF(Atletas!L389="Wingchun C",14,IF(Atletas!L389="Outra Mão de Sul C",15,IF(Atletas!L389="Choylayfut D",16,IF(Atletas!L389="Hunggar D",17,IF(Atletas!L389="Wuzuquan D",18,IF(Atletas!L389="Wingchun D",19,IF(Atletas!L389="Outra Mão de Sul D",20,IF(Atletas!L389="Choylayfut E",21,IF(Atletas!L389="Hunggar E",22,IF(Atletas!L389="Wuzuquan E",23,IF(Atletas!L389="Wingchun E",24,IF(Atletas!L389="Outra Mão de Sul E",25,IF(Atletas!L389="Choylayfut F",26,IF(Atletas!L389="Hunggar F",27,IF(Atletas!L389="Wuzuquan F",28,IF(Atletas!L389="Wingchun F",29,IF(Atletas!L389="Outra Mão de Sul F",30,IF(Atletas!L389="Dishuquan A",31,IF(Atletas!L389="Dishuquan B",32,IF(Atletas!L389="Dishuquan C",33,IF(Atletas!L389="Dishuquan D",34,IF(Atletas!L389="Dishuquan E",35,IF(Atletas!L389="Dishuquan F",36,""))))))))))))))))))))))))))))))))))))))</f>
        <v/>
      </c>
      <c r="BS398" s="50" t="str">
        <f>IF(Atletas!M389="","",IF(Atletas!X389&lt;&gt;"",10000,0)+(IF(Atletas!B389="Feminino",1000,IF(Atletas!B389="Masculino",2000,""))+(IF(Atletas!M389="Chaquan A",101,IF(Atletas!M389="Emeiquan A",102,IF(Atletas!M389="Fanziquan A",103,IF(Atletas!M389="Huaquan A",104,IF(Atletas!M389="Hongquan A",105,IF(Atletas!M389="Paoquan A",106,IF(Atletas!M389="Piguaquan A",107,IF(Atletas!M389="Shaolinquan A",108,IF(Atletas!M389="Tanglangquan A",109,IF(Atletas!M389="Yingzhaoquan A",110,IF(Atletas!M389="Tongbeiquan A",111,IF(Atletas!M389="Wudangquan A",112,IF(Atletas!M389="Outros Estilos A",113,IF(Atletas!M389="Chaquan B",114,IF(Atletas!M389="Emeiquan B",115,IF(Atletas!M389="Fanziquan B",116,IF(Atletas!M389="Huaquan B",117,IF(Atletas!M389="Hongquan B",118,IF(Atletas!M389="Paoquan B",119,IF(Atletas!M389="Piguaquan B",120,IF(Atletas!M389="Shaolinquan B",121,IF(Atletas!M389="Tanglangquan B",122,IF(Atletas!M389="Yingzhaoquan B",123,IF(Atletas!M389="Tongbeiquan B",124,IF(Atletas!M389="Wudangquan B",125,IF(Atletas!M389="Outros Estilos B",126,IF(Atletas!M389="Chaquan C",127,IF(Atletas!M389="Emeiquan C",128,IF(Atletas!M389="Fanziquan C",129,IF(Atletas!M389="Huaquan C",130,IF(Atletas!M389="Hongquan C",131,IF(Atletas!M389="Paoquan C",132,IF(Atletas!M389="Piguaquan C",133,IF(Atletas!M389="Shaolinquan C",134,IF(Atletas!M389="Tanglangquan C",135,IF(Atletas!M389="Yingzhaoquan C",136,IF(Atletas!M389="Tongbeiquan C",137,IF(Atletas!M389="Wudangquan C",138,IF(Atletas!M389="Outros Estilos C",139,0))))))))))))))))))))))))))))))))))))))))))</f>
        <v/>
      </c>
      <c r="BT398" s="50" t="str">
        <f>IF(Atletas!M389="","",IF(Atletas!X389&lt;&gt;"",10000,0)+(IF(Atletas!B389="Feminino",1000,IF(Atletas!B389="Masculino",2000,""))+(IF(Atletas!M389="Chaquan D",140,IF(Atletas!M389="Emeiquan D",141,IF(Atletas!M389="Fanziquan D",142,IF(Atletas!M389="Huaquan D",143,IF(Atletas!M389="Hongquan D",144,IF(Atletas!M389="Paoquan D",145,IF(Atletas!M389="Piguaquan D",146,IF(Atletas!M389="Shaolinquan D",147,IF(Atletas!M389="Tanglangquan D",148,IF(Atletas!M389="Yingzhaoquan D",149,IF(Atletas!M389="Tongbeiquan D",150,IF(Atletas!M389="Wudangquan D",151,IF(Atletas!M389="Outros Estilos D",152,IF(Atletas!M389="Chaquan E",153,IF(Atletas!M389="Emeiquan E",154,IF(Atletas!M389="Fanziquan E",155,IF(Atletas!M389="Huaquan E",156,IF(Atletas!M389="Hongquan E",157,IF(Atletas!M389="Paoquan E",158,IF(Atletas!M389="Piguaquan E",159,IF(Atletas!M389="Shaolinquan E",160,IF(Atletas!M389="Tanglangquan E",161,IF(Atletas!M389="Yingzhaoquan E",162,IF(Atletas!M389="Tongbeiquan E",163,IF(Atletas!M389="Wudangquan E",164,IF(Atletas!M389="Outros Estilos E",165,IF(Atletas!M389="Chaquan F",166,IF(Atletas!M389="Emeiquan F",167,IF(Atletas!M389="Fanziquan F",168,IF(Atletas!M389="Huaquan F",169,IF(Atletas!M389="Hongquan F",170,IF(Atletas!M389="Paoquan F",171,IF(Atletas!M389="Piguaquan F",172,IF(Atletas!M389="Shaolinquan F",173,IF(Atletas!M389="Tanglangquan F",174,IF(Atletas!M389="Yingzhaoquan F",175,IF(Atletas!M389="Tongbeiquan F",176,IF(Atletas!M389="Wudangquan F",177,IF(Atletas!M389="Outros Estilos F",178,0))))))))))))))))))))))))))))))))))))))))))</f>
        <v/>
      </c>
      <c r="BU398" s="50" t="str">
        <f>IF(Atletas!N389="","",IF(Atletas!X389&lt;&gt;"",10000,0)+(IF(Atletas!B389="Feminino",1000,IF(Atletas!B389="Masculino",2000,""))+(IF(Atletas!N389="Ditangquan A",201,IF(Atletas!N389="Houquan A",202,IF(Atletas!N389="Zuiquan A",203,IF(Atletas!N389="Ditangquan B",204,IF(Atletas!N389="Houquan B",205,IF(Atletas!N389="Zuiquan B",206,IF(Atletas!N389="Ditangquan C",207,IF(Atletas!N389="Houquan C",208,IF(Atletas!N389="Zuiquan C",209,IF(Atletas!N389="Ditangquan D",210,IF(Atletas!N389="Houquan D",211,IF(Atletas!N389="Zuiquan D",212,IF(Atletas!N389="Ditangquan E",213,IF(Atletas!N389="Houquan E",214,IF(Atletas!N389="Zuiquan E",215,IF(Atletas!N389="Ditangquan F",216,IF(Atletas!N389="Houquan F",217,IF(Atletas!N389="Zuiquan F",218,"")))))))))))))))))))))</f>
        <v/>
      </c>
      <c r="BV398" s="50" t="str">
        <f>IF(Atletas!O389="","",IF(Atletas!X389&lt;&gt;"",10000,0)+IF(Atletas!B389="Feminino",1000,IF(Atletas!B389="Masculino",2000,""))+IF(Atletas!O389="Yang A",301,IF(Atletas!O389="Chen A",302,IF(Atletas!O389="Sun A",303,IF(Atletas!O389="Wu A",304,IF(Atletas!O389="Wu-Hao A",305,IF(Atletas!O389="Outro Taijiquan A",306,IF(Atletas!O389="Yang B",307,IF(Atletas!O389="Chen B",308,IF(Atletas!O389="Sun B",309,IF(Atletas!O389="Wu B",310,IF(Atletas!O389="Wu-Hao B",311,IF(Atletas!O389="Outro Taijiquan B",312,IF(Atletas!O389="Yang C",313,IF(Atletas!O389="Chen C",314,IF(Atletas!O389="Sun C",315,IF(Atletas!O389="Wu C",316,IF(Atletas!O389="Wu-Hao C",317,IF(Atletas!O389="Outro Taijiquan C",318,IF(Atletas!O389="Yang D",319,IF(Atletas!O389="Chen D",320,IF(Atletas!O389="Sun D",321,IF(Atletas!O389="Wu D",322,IF(Atletas!O389="Wu-Hao D",323,IF(Atletas!O389="Outro Taijiquan D",324,IF(Atletas!O389="Yang E",325,IF(Atletas!O389="Chen E",326,IF(Atletas!O389="Sun E",327,IF(Atletas!O389="Wu E",328,IF(Atletas!O389="Wu-Hao E",329,IF(Atletas!O389="Outro Taijiquan E",330,IF(Atletas!O389="Yang F",331,IF(Atletas!O389="Chen F",332,IF(Atletas!O389="Sun F",333,IF(Atletas!O389="Wu F",334,IF(Atletas!O389="Wu-Hao F",335,IF(Atletas!O389="Outro Taijiquan F",336,"")))))))))))))))))))))))))))))))))))))</f>
        <v/>
      </c>
      <c r="BW398" s="50" t="str">
        <f>IF(Atletas!P389="","",IF(Atletas!X389&lt;&gt;"",10000,0)+IF(Atletas!B389="Feminino",1000,IF(Atletas!B389="Masculino",2000,""))+IF(OR(Atletas!P389="Yang 26 A",Atletas!P389="Yang 40 A"),401,IF(OR(Atletas!P389="Chen 25 A",Atletas!P389="Chen 36 A",Atletas!P389="Chen 56 A"),402,IF(Atletas!P389="Sun 73 A",403,IF(Atletas!P389="Wu 45 A",404,IF(Atletas!P389="Wu-Hao 46 A",405,IF(OR(Atletas!P389="Taijiquan 16 A",Atletas!P389="Taijiquan 24 A",Atletas!P389="Taijiquan 32 A",Atletas!P389="Taijiquan 42 A"),406,IF(OR(Atletas!P389="Yang 26 B",Atletas!P389="Yang 40 B"),407,IF(OR(Atletas!P389="Chen 25 B",Atletas!P389="Chen 36 B",Atletas!P389="Chen 56 B"),408,IF(Atletas!P389="Sun 73 B",409,IF(Atletas!P389="Wu 45 B",410,IF(Atletas!P389="Wu-Hao 46 B",411,IF(OR(Atletas!P389="Taijiquan 16 B",Atletas!P389="Taijiquan 24 B",Atletas!P389="Taijiquan 32 B",Atletas!P389="Taijiquan 42 B"),412,IF(OR(Atletas!P389="Yang 26 C",Atletas!P389="Yang 40 C"),413,IF(OR(Atletas!P389="Chen 25 C",Atletas!P389="Chen 36 C",Atletas!P389="Chen 56 C"),414,IF(Atletas!P389="Sun 73 C",415,IF(Atletas!P389="Wu 45 C",416,IF(Atletas!P389="Wu-Hao 46 C",417,IF(OR(Atletas!P389="Taijiquan 16 C",Atletas!P389="Taijiquan 24 C",Atletas!P389="Taijiquan 32 C",Atletas!P389="Taijiquan 42 C"),418,0)))))))))))))))))))</f>
        <v/>
      </c>
      <c r="BX398" s="50" t="str">
        <f>IF(Atletas!P389="","",IF(Atletas!X389&lt;&gt;"",10000,0)+IF(Atletas!B389="Feminino",1000,IF(Atletas!B389="Masculino",2000,""))+IF(OR(Atletas!P389="Yang 26 D",Atletas!P389="Yang 40 D"),419,IF(OR(Atletas!P389="Chen 25 D",Atletas!P389="Chen 36 D",Atletas!P389="Chen 56 D"),420,IF(Atletas!P389="Sun 73 D",421,IF(Atletas!P389="Wu 45 D",422,IF(Atletas!P389="Wu-Hao 46 D",423,IF(OR(Atletas!P389="Taijiquan 16 D",Atletas!P389="Taijiquan 24 D",Atletas!P389="Taijiquan 32 D",Atletas!P389="Taijiquan 42 D"),424,IF(OR(Atletas!P389="Yang 26 E",Atletas!P389="Yang 40 E"),425,IF(OR(Atletas!P389="Chen 25 E",Atletas!P389="Chen 36 E",Atletas!P389="Chen 56 E"),426,IF(Atletas!P389="Sun 73 E",427,IF(Atletas!P389="Wu 45 E",428,IF(Atletas!P389="Wu-Hao 46 E",429,IF(OR(Atletas!P389="Taijiquan 16 E",Atletas!P389="Taijiquan 24 E",Atletas!P389="Taijiquan 32 E",Atletas!P389="Taijiquan 42 E"),430,IF(OR(Atletas!P389="Yang 26 F",Atletas!P389="Yang 40 F"),431,IF(OR(Atletas!P389="Chen 25 F",Atletas!P389="Chen 36 F",Atletas!P389="Chen 56 F"),432,IF(Atletas!P389="Sun 73 F",433,IF(Atletas!P389="Wu 45 F",434,IF(Atletas!P389="Wu-Hao 46 F",435,IF(OR(Atletas!P389="Taijiquan 16 F",Atletas!P389="Taijiquan 24 F",Atletas!P389="Taijiquan 32 F",Atletas!P389="Taijiquan 42 F"),436,0)))))))))))))))))))</f>
        <v/>
      </c>
      <c r="BY398" s="50" t="str">
        <f>IF(Atletas!Q389="","",IF(Atletas!X389&lt;&gt;"",10000,0)+IF(Atletas!B389="Feminino",1000,IF(Atletas!B389="Masculino",2000,""))+IF(Atletas!Q389="Xingyiquan A",501,IF(Atletas!Q389="Baguazhang A",502,IF(Atletas!Q389="Outro Estilo Interno A",503,IF(Atletas!Q389="Xingyiquan B",504,IF(Atletas!Q389="Baguazhang B",505,IF(Atletas!Q389="Outro Estilo Interno B",506,IF(Atletas!Q389="Xingyiquan C",507,IF(Atletas!Q389="Baguazhang C",508,IF(Atletas!Q389="Outro Estilo Interno C",509,IF(Atletas!Q389="Xingyiquan D",510,IF(Atletas!Q389="Baguazhang D",511,IF(Atletas!Q389="Outro Estilo Interno D",512,IF(Atletas!Q389="Xingyiquan E",513,IF(Atletas!Q389="Baguazhang E",514,IF(Atletas!Q389="Outro Estilo Interno E",515,IF(Atletas!Q389="Xingyiquan F",516,IF(Atletas!Q389="Baguazhang F",517,IF(Atletas!Q389="Outro Estilo Interno F",518, "")))))))))))))))))))</f>
        <v/>
      </c>
      <c r="BZ398" s="50" t="str">
        <f>IF(Atletas!R389="","",IF(Atletas!X389&lt;&gt;"",10000,0)+IF(Atletas!B389="Feminino",1000,IF(Atletas!B389="Masculino",2000,""))+IF(Atletas!R389="Dao A",601,IF(Atletas!R389="Jian A",602,IF(Atletas!R389="Bishou A",603,IF(Atletas!R389="Shanzi A",604,IF(Atletas!R389="Outra Arma Curta A",605,IF(Atletas!R389="Dao B",606,IF(Atletas!R389="Jian B",607,IF(Atletas!R389="Bishou B",608,IF(Atletas!R389="Shanzi B",609,IF(Atletas!R389="Outra Arma Curta B",610,IF(Atletas!R389="Dao C",611,IF(Atletas!R389="Jian C",612,IF(Atletas!R389="Bishou C",613,IF(Atletas!R389="Shanzi C",614,IF(Atletas!R389="Outra Arma Curta C",615,IF(Atletas!R389="Dao D",616,IF(Atletas!R389="Jian D",617,IF(Atletas!R389="Bishou D",618,IF(Atletas!R389="Shanzi D",619,IF(Atletas!R389="Outra Arma Curta D",620,IF(Atletas!R389="Dao E",621,IF(Atletas!R389="Jian E",622,IF(Atletas!R389="Bishou E",623,IF(Atletas!R389="Shanzi E",624,IF(Atletas!R389="Outra Arma Curta E",625,IF(Atletas!R389="Dao F",626,IF(Atletas!R389="Jian F",627,IF(Atletas!R389="Bishou F",628,IF(Atletas!R389="Shanzi F",629,IF(Atletas!R389="Outra Arma Curta F",630, "")))))))))))))))))))))))))))))))</f>
        <v/>
      </c>
      <c r="CA398" s="50" t="str">
        <f>IF(Atletas!S389="","",IF(Atletas!X389&lt;&gt;"",10000,0)+IF(Atletas!B389="Feminino",1000,IF(Atletas!B389="Masculino",2000,""))+IF(Atletas!S389="Gun A",701,IF(Atletas!S389="Qiang A",702,IF(Atletas!S389="Pudao / Guandao A",703,IF(Atletas!S389="Outra Arma Longa A",704,IF(Atletas!S389="Gun B",705,IF(Atletas!S389="Qiang B",706,IF(Atletas!S389="Pudao / Guandao B",707,IF(Atletas!S389="Outra Arma Longa B",708,IF(Atletas!S389="Gun C",709,IF(Atletas!S389="Qiang C",710,IF(Atletas!S389="Pudao / Guandao C",711,IF(Atletas!S389="Outra Arma Longa C",712,IF(Atletas!S389="Gun D",713,IF(Atletas!S389="Qiang D",714,IF(Atletas!S389="Pudao / Guandao D",715,IF(Atletas!S389="Outra Arma Longa D",716,IF(Atletas!S389="Gun E",717,IF(Atletas!S389="Qiang E",718,IF(Atletas!S389="Pudao / Guandao E",719,IF(Atletas!S389="Outra Arma Longa E",720,IF(Atletas!S389="Gun F",721,IF(Atletas!S389="Qiang F",722,IF(Atletas!S389="Pudao / Guandao F",723,IF(Atletas!S389="Outra Arma Longa F",724,"")))))))))))))))))))))))))</f>
        <v/>
      </c>
      <c r="CB398" s="50" t="str">
        <f>IF(Atletas!T389="","",IF(Atletas!X389&lt;&gt;"",10000,0)+IF(Atletas!B389="Feminino",1000,IF(Atletas!B389="Masculino",2000,""))+IF(Atletas!T389="Outra Arma Dupla A",801,IF(Atletas!T389="Arma Maleável A",802,IF(Atletas!T389="Outra Arma Dupla B",803,IF(Atletas!T389="Arma Maleável B",804,IF(Atletas!T389="Outra Arma Dupla C",805,IF(Atletas!T389="Arma Maleável C",806,IF(Atletas!T389="Outra Arma Dupla D",807,IF(Atletas!T389="Arma Maleável D",808,IF(Atletas!T389="Outra Arma Dupla E",809,IF(Atletas!T389="Arma Maleável E",810,IF(Atletas!T389="Outra Arma Dupla F",811,IF(Atletas!T389="Arma Maleável F",812,IF(Atletas!T389="Shuangdao A",813,IF(Atletas!T389="Shuangdao B",814,IF(Atletas!T389="Shuangdao C",815,IF(Atletas!T389="Shuangdao D",816,IF(Atletas!T389="Shuangdao E",817,IF(Atletas!T389="Shuangdao F",818,"")))))))))))))))))))</f>
        <v/>
      </c>
      <c r="CC398" s="50" t="str">
        <f>IF(Atletas!U389="","",IF(Atletas!X389&lt;&gt;"",10000,0)+IF(Atletas!B389="Feminino",1000,IF(Atletas!B389="Masculino",2000,""))+IF(OR(Atletas!U389="Taijijian Yang A",Atletas!U389="Taijijian Yang Standard A"),901,IF(OR(Atletas!U389="Taijijian Chen A", Atletas!U389="Taijijian Chen Standard A"),902,IF(Atletas!U389="Taijijian Sun A",903,IF(Atletas!U389="Taijijian Wu A",904,IF(Atletas!U389="Taijijian Wu-Hao A",905,IF(OR(Atletas!U389="Taijijian 32 A",Atletas!U389="Taijijian 42 A"),906,IF(OR(Atletas!U389="Taijijian Yang B",Atletas!U389="Taijijian Yang Standard B"),907,IF(OR(Atletas!U389="Taijijian Chen B", Atletas!U389="Taijijian Chen Standard B"),908,IF(Atletas!U389="Taijijian Sun B",909,IF(Atletas!U389="Taijijian Wu B",910,IF(Atletas!U389="Taijijian Wu-Hao B",911,IF(OR(Atletas!U389="Taijijian 32 B",Atletas!U389="Taijijian 42 B"),912,IF(OR(Atletas!U389="Taijijian Yang C",Atletas!U389="Taijijian Yang Standard C"),913,IF(OR(Atletas!U389="Taijijian Chen C", Atletas!U389="Taijijian Chen Standard C"),914,IF(Atletas!U389="Taijijian Sun C",915,IF(Atletas!U389="Taijijian Wu C",916,IF(Atletas!U389="Taijijian Wu-Hao C",917,IF(OR(Atletas!U389="Taijijian 32 C",Atletas!U389="Taijijian 42 C"),918,IF(OR(Atletas!U389="Taijijian Yang D",Atletas!U389="Taijijian Yang Standard D"),919,IF(OR(Atletas!U389="Taijijian Chen D", Atletas!U389="Taijijian Chen Standard D"),920,IF(Atletas!U389="Taijijian Sun D",921,IF(Atletas!U389="Taijijian Wu D",922,IF(Atletas!U389="Taijijian Wu-Hao D",923,IF(OR(Atletas!U389="Taijijian 32 D",Atletas!U389="Taijijian 42 D"),924,IF(OR(Atletas!U389="Taijijian Yang E",Atletas!U389="Taijijian Yang Standard E"),925,IF(OR(Atletas!U389="Taijijian Chen E", Atletas!U389="Taijijian Chen Standard E"),926,IF(Atletas!U389="Taijijian Sun E",927,IF(Atletas!U389="Taijijian Wu E",928,IF(Atletas!U389="Taijijian Wu-Hao E",929,IF(OR(Atletas!U389="Taijijian 32 E",Atletas!U389="Taijijian 42 E"),930,IF(OR(Atletas!U389="Taijijian Yang F",Atletas!U389="Taijijian Yang Standard F"),931,IF(OR(Atletas!U389="Taijijian Chen F", Atletas!U389="Taijijian Chen Standard F"),932,IF(Atletas!U389="Taijijian Sun F",933,IF(Atletas!U389="Taijijian Wu F",934,IF(Atletas!U389="Taijijian Wu-Hao F",935,IF(OR(Atletas!U389="Taijijian 32 F",Atletas!U389="Taijijian 42 F"),936,"")))))))))))))))))))))))))))))))))))))</f>
        <v/>
      </c>
      <c r="CD398" s="50" t="str">
        <f>IF(Atletas!V389="","",IF(Atletas!X389&lt;&gt;"",10000,0)+IF(Atletas!B389="Feminino",1000,IF(Atletas!B389="Masculino",2000,""))+IF(Atletas!V389="Taijidao A",937,IF(Atletas!V389="TaijiShanzi A",938,IF(Atletas!V389="Taijiqiang A",939,IF(Atletas!V389="Bagua de Arma A",940,IF(Atletas!V389="Xingyi de Arma A",941,IF(Atletas!V389="Taijidao B",942,IF(Atletas!V389="TaijiShanzi B",943,IF(Atletas!V389="Taijiqiang B",944,IF(Atletas!V389="Bagua de Arma B",945,IF(Atletas!V389="Xingyi de Arma B",946,IF(Atletas!V389="Taijidao C",947,IF(Atletas!V389="TaijiShanzi C",948,IF(Atletas!V389="Taijiqiang C",949,IF(Atletas!V389="Bagua de Arma C",950,IF(Atletas!V389="Xingyi de Arma C",951,IF(Atletas!V389="Taijidao D",952,IF(Atletas!V389="TaijiShanzi D",953,IF(Atletas!V389="Taijiqiang D",954,IF(Atletas!V389="Bagua de Arma D",955,IF(Atletas!V389="Xingyi de Arma D",956,IF(Atletas!V389="Taijidao E",957,IF(Atletas!V389="TaijiShanzi E",958,IF(Atletas!V389="Taijiqiang E",959,IF(Atletas!V389="Bagua de Arma E",960,IF(Atletas!V389="Xingyi de Arma E",961,IF(Atletas!V389="Taijidao F",962,IF(Atletas!V389="TaijiShanzi F",963,IF(Atletas!V389="Taijiqiang F",964,IF(Atletas!V389="Bagua de Arma F",965,IF(Atletas!V389="Xingyi de Arma F",966,"")))))))))))))))))))))))))))))))</f>
        <v/>
      </c>
      <c r="CJ398" s="66"/>
      <c r="CL398" s="66"/>
      <c r="CM398" s="50" t="str">
        <f xml:space="preserve"> IF(Atletas!W389="","",IF(Atletas!W389="Duilian de Mãos BC - Equipe 1",1,IF(Atletas!W389="Duilian de Mãos BC - Equipe 2",2,IF(Atletas!W389="Duilian de Armas BC - Equipe 1",3,IF(Atletas!W389="Duilian de Armas BC - Equipe 2",4,IF(Atletas!W389="Duilian de Mãos DE - Equipe 1",5,IF(Atletas!W389="Duilian de Mãos DE - Equipe 2",6,IF(Atletas!W389="Duilian de Armas DE - Equipe 1",7,IF(Atletas!W389="Duilian de Armas DE - Equipe 2",8,IF(Atletas!W389="Duilian de Tuishou - Equipe 1",9,IF(Atletas!W389="Duilian de Tuishou - Equipe 2",10,IF(Atletas!W389="Grupo Externo ABC - Equipe 1",11,IF(Atletas!W389="Grupo Externo ABC - Equipe 2",12,IF(Atletas!W389="Grupo Interno ABC - Equipe 1",13,IF(Atletas!W389="Grupo Interno ABC - Equipe 2",14,IF(Atletas!W389="Grupo Externo DEF - Equipe 1",15,IF(Atletas!W389="Grupo Externo DEF - Equipe 2",16,IF(Atletas!W389="Grupo Interno DEF - Equipe 1",17,IF(Atletas!W389="Grupo Interno DEF - Equipe 2",18,"")))))))))))))))))))</f>
        <v/>
      </c>
    </row>
    <row r="399" spans="40:91">
      <c r="AN399" s="52" t="str">
        <f>IF(Atletas!D390="","",IF(Atletas!B390="Feminino",100,IF(Atletas!B390="Masculino",200,""))+(IF(Atletas!D390="Kids 30kg",1,IF(Atletas!D390="Kids 32kg",2, IF(Atletas!D390="Kids 34kg",3,IF(Atletas!D390="Kids 36kg",4,IF(Atletas!D390="Kids 39kg",5,IF(Atletas!D390="Kids 42kg",6,IF(Atletas!D390="Kids 45kg",7, IF(Atletas!D390="Infantil 39kg",8,IF(Atletas!D390="Infantil 42kg",9,IF(Atletas!D390="Infantil 45kg",10,IF(Atletas!D390="Infantil 48kg",11,IF(Atletas!D390="Infantil 52kg",12,IF(Atletas!D390="Infantil 56kg",13,IF(Atletas!D390="Infantil 60kg",14,IF(Atletas!D390="Juvenil 48kg",15,IF(Atletas!D390="Juvenil 52kg",16,IF(Atletas!D390="Juvenil 56kg",17,IF(Atletas!D390="Juvenil 60kg",18,IF(Atletas!D390="Juvenil 65kg",19,IF(Atletas!D390="Juvenil 70kg",20,IF(Atletas!D390="Juvenil 75kg",21,IF(Atletas!D390="Juvenil 80kg",22, IF(Atletas!D390="Juvenil 85kg",23,IF(Atletas!D390="Adulto 48kg",24,IF(Atletas!D390="Adulto 52kg",25,IF(Atletas!D390="Adulto 56kg",26,IF(Atletas!D390="Adulto 60kg",27,IF(Atletas!D390="Adulto 65kg",28,IF(Atletas!D390="Adulto 70kg",29,IF(Atletas!D390="Adulto 75kg",30,IF(Atletas!D390="Adulto 80kg",31,IF(Atletas!D390="Adulto 85kg",32,IF(Atletas!D390="Adulto 90kg",33,IF(Atletas!D390="Adulto 100kg",34, IF(Atletas!D390="Adulto +100kg",35,"")))))))))))))))))))))))))))))))))))))</f>
        <v/>
      </c>
      <c r="AS399" s="6" t="str">
        <f>IF(Atletas!E390="","",IF(Atletas!B390="Feminino",100,IF(Atletas!B390="Masculino",200,""))+(IF(Atletas!E390="Juvenil 44kg",1,IF(Atletas!E390="Juvenil 48kg",2,IF(Atletas!E390="Juvenil 52kg",3,IF(Atletas!E390="Juvenil 56kg",4,IF(Atletas!E390="Juvenil 60kg",5,IF(Atletas!E390="Juvenil 65kg",6,IF(Atletas!E390="Juvenil 70kg",7,IF(Atletas!E390="Juvenil 75kg",8,IF(Atletas!E390="Juvenil 82kg",9,IF(Atletas!E390="Juvenil 90kg",10,IF(Atletas!E390="Juvenil 100kg",11,IF(Atletas!E390="Adulto 48kg",12,IF(Atletas!E390="Adulto 52kg",13,IF(Atletas!E390="Adulto 56kg",14,IF(Atletas!E390="Adulto 60kg",15,IF(Atletas!E390="Adulto 65kg",16,IF(Atletas!E390="Adulto 70kg",17,IF(Atletas!E390="Adulto 75kg",18,IF(Atletas!E390="Adulto 82kg",19,IF(Atletas!E390="Adulto 90kg",20,IF(Atletas!E390="Adulto 100kg",21,IF(Atletas!E390="Adulto +100kg",22,""))))))))))))))))))))))))</f>
        <v/>
      </c>
      <c r="AX399" s="6" t="str">
        <f>IF(Atletas!F390="","",IF(Atletas!B390="Feminino",100,IF(Atletas!B390="Masculino",200,""))+(IF(Atletas!F390="Adulto 48kg",1,IF(Atletas!F390="Adulto 56kg",2,IF(Atletas!F390="Adulto 65kg",3,IF(Atletas!F390="Adulto 75kg",4,IF(Atletas!F390="Adulto +75kg",5,IF(Atletas!F390="Adulto 52kg",6,IF(Atletas!F390="Adulto 60kg",7,IF(Atletas!F390="Adulto 70kg",8,IF(Atletas!F390="Adulto 80kg",9,IF(Atletas!F390="Adulto 90kg",10,IF(Atletas!F390="Adulto +90kg",11,"")))))))))))))</f>
        <v/>
      </c>
      <c r="BC399" s="6" t="str">
        <f>IF(Atletas!G390="","",IF(Atletas!B390="Feminino",10,IF(Atletas!B390="Masculino",20,""))+(IF(Atletas!G390="Baduanjin A",1,IF(Atletas!G390="Baduanjin B",2))))</f>
        <v/>
      </c>
      <c r="BF399" s="52" t="str">
        <f>IF(Atletas!H390="","",IF(Atletas!B390="Feminino",100,IF(Atletas!B390="Masculino",200,""))+(IF(Atletas!H390="Changquan Mirim",1,IF(Atletas!H390="Nanquan Mirim",2,IF(Atletas!H390="Taijiquan Mirim",3,IF(Atletas!H390="Changquan Grupo C",4,IF(Atletas!H390="Nanquan Grupo C",5,IF(Atletas!H390="Taijiquan Grupo C",6,IF(Atletas!H390="Changquan Grupo B",7,IF(Atletas!H390="Nanquan Grupo B",8,IF(Atletas!H390="Taijiquan Grupo B",9,IF(Atletas!H390="Changquan Grupo A",10,IF(Atletas!H390="Nanquan Grupo A",11,IF(Atletas!H390="Taijiquan Grupo A",12,IF(Atletas!H390="Changquan Opcional",13,IF(Atletas!H390="Nanquan Opcional",14,IF(Atletas!H390="Taijiquan Opcional",15,IF(Atletas!H390="Changquan Adulto",16,IF(Atletas!H390="Nanquan Adulto",17,IF(Atletas!H390="Taijiquan Adulto",18,""))))))))))))))))))))</f>
        <v/>
      </c>
      <c r="BG399" s="52" t="str">
        <f>IF(Atletas!I390="","",IF(Atletas!B390="Feminino",100,IF(Atletas!B390="Masculino",200,""))+(IF(Atletas!I390="Daoshu Mirim",19,IF(Atletas!I390="Jianshu Mirim",20,IF(Atletas!I390="Nandao Mirim",21,IF(Atletas!I390="Taijijian Mirim",22,IF(Atletas!I390="Daoshu Grupo C",23,IF(Atletas!I390="Jianshu Grupo C",24,IF(Atletas!I390="Nandao Grupo C",25,IF(Atletas!I390="Taijijian Grupo C",26,IF(Atletas!I390="Daoshu Grupo B",27,IF(Atletas!I390="Jianshu Grupo B",28,IF(Atletas!I390="Nandao Grupo B",29,IF(Atletas!I390="Taijijian Grupo B",30,IF(Atletas!I390="Daoshu Grupo A",31,IF(Atletas!I390="Jianshu Grupo A",32,IF(Atletas!I390="Nandao Grupo A",33,IF(Atletas!I390="Taijijian Grupo A",34,IF(Atletas!I390="Daoshu Opcional",35,IF(Atletas!I390="Jianshu Opcional",36,IF(Atletas!I390="Nandao Opcional",37,IF(Atletas!I390="Taijijian Opcional",38,IF(Atletas!I390="Daoshu Adulto",39,IF(Atletas!I390="Jianshu Adulto",40,IF(Atletas!I390="Nandao Adulto",41,IF(Atletas!I390="Taijijian Adulto",42,""))))))))))))))))))))))))))</f>
        <v/>
      </c>
      <c r="BH399" s="52" t="str">
        <f>IF(Atletas!J390="","",IF(Atletas!B390="Feminino",100,IF(Atletas!B390="Masculino",200,""))+(IF(Atletas!J390="Gunshu Mirim",43,IF(Atletas!J390="Qiangshu Mirim",44,IF(Atletas!J390="Nangun Mirim",45,IF(Atletas!J390="Gunshu Grupo C",46,IF(Atletas!J390="Qiangshu Grupo C",47,IF(Atletas!J390="Nangun Grupo C",48,IF(Atletas!J390="Gunshu Grupo B",49,IF(Atletas!J390="Qiangshu Grupo B",50,IF(Atletas!J390="Nangun Grupo B",51,IF(Atletas!J390="Gunshu Grupo A",52,IF(Atletas!J390="Qiangshu Grupo A",53,IF(Atletas!J390="Nangun Grupo A",54,IF(Atletas!J390="Gunshu Opcional",55,IF(Atletas!J390="Qiangshu Opcional",56,IF(Atletas!J390="Nangun Opcional",57,IF(Atletas!J390="Gunshu Adulto",58,IF(Atletas!J390="Qiangshu Adulto",59,IF(Atletas!J390="Nangun Adulto",60,IF(Atletas!J390="Taijishan Grupo B",61,IF(Atletas!J390="Taijishan Grupo A",62,""))))))))))))))))))))))</f>
        <v/>
      </c>
      <c r="BM399" s="50" t="str">
        <f>IF(Atletas!K390="","",IF(Atletas!B390="Feminino",100,IF(Atletas!B390="Masculino",200,""))+(IF(Atletas!K390="Equipe 1 Grupo B",1,IF(Atletas!K390="Equipe 2 Grupo B",2,IF(Atletas!K390="Equipe 1 Grupo A",3,IF(Atletas!K390="Equipe 2 Grupo A",4,IF(Atletas!K390="Equipe 1 Adulto",5,IF(Atletas!K390="Equipe 2 Adulto",6,""))))))))</f>
        <v/>
      </c>
      <c r="BR399" s="50" t="str">
        <f>IF(Atletas!L390="","",IF(Atletas!X390&lt;&gt;"",10000,0)+(IF(Atletas!B390="Feminino",1000,IF(Atletas!B390="Masculino",2000,""))+IF(Atletas!L390="Choylayfut A",1,IF(Atletas!L390="Hunggar A",2,IF(Atletas!L390="Wuzuquan A",3,IF(Atletas!L390="Wingchun A",4,IF(Atletas!L390="Outra Mão de Sul A",5,IF(Atletas!L390="Choylayfut B",6,IF(Atletas!L390="Hunggar B",7,IF(Atletas!L390="Wuzuquan B",8,IF(Atletas!L390="Wingchun B",9,IF(Atletas!L390="Outra Mão de Sul B",10,IF(Atletas!L390="Choylayfut C",11,IF(Atletas!L390="Hunggar C",12,IF(Atletas!L390="Wuzuquan C",13,IF(Atletas!L390="Wingchun C",14,IF(Atletas!L390="Outra Mão de Sul C",15,IF(Atletas!L390="Choylayfut D",16,IF(Atletas!L390="Hunggar D",17,IF(Atletas!L390="Wuzuquan D",18,IF(Atletas!L390="Wingchun D",19,IF(Atletas!L390="Outra Mão de Sul D",20,IF(Atletas!L390="Choylayfut E",21,IF(Atletas!L390="Hunggar E",22,IF(Atletas!L390="Wuzuquan E",23,IF(Atletas!L390="Wingchun E",24,IF(Atletas!L390="Outra Mão de Sul E",25,IF(Atletas!L390="Choylayfut F",26,IF(Atletas!L390="Hunggar F",27,IF(Atletas!L390="Wuzuquan F",28,IF(Atletas!L390="Wingchun F",29,IF(Atletas!L390="Outra Mão de Sul F",30,IF(Atletas!L390="Dishuquan A",31,IF(Atletas!L390="Dishuquan B",32,IF(Atletas!L390="Dishuquan C",33,IF(Atletas!L390="Dishuquan D",34,IF(Atletas!L390="Dishuquan E",35,IF(Atletas!L390="Dishuquan F",36,""))))))))))))))))))))))))))))))))))))))</f>
        <v/>
      </c>
      <c r="BS399" s="50" t="str">
        <f>IF(Atletas!M390="","",IF(Atletas!X390&lt;&gt;"",10000,0)+(IF(Atletas!B390="Feminino",1000,IF(Atletas!B390="Masculino",2000,""))+(IF(Atletas!M390="Chaquan A",101,IF(Atletas!M390="Emeiquan A",102,IF(Atletas!M390="Fanziquan A",103,IF(Atletas!M390="Huaquan A",104,IF(Atletas!M390="Hongquan A",105,IF(Atletas!M390="Paoquan A",106,IF(Atletas!M390="Piguaquan A",107,IF(Atletas!M390="Shaolinquan A",108,IF(Atletas!M390="Tanglangquan A",109,IF(Atletas!M390="Yingzhaoquan A",110,IF(Atletas!M390="Tongbeiquan A",111,IF(Atletas!M390="Wudangquan A",112,IF(Atletas!M390="Outros Estilos A",113,IF(Atletas!M390="Chaquan B",114,IF(Atletas!M390="Emeiquan B",115,IF(Atletas!M390="Fanziquan B",116,IF(Atletas!M390="Huaquan B",117,IF(Atletas!M390="Hongquan B",118,IF(Atletas!M390="Paoquan B",119,IF(Atletas!M390="Piguaquan B",120,IF(Atletas!M390="Shaolinquan B",121,IF(Atletas!M390="Tanglangquan B",122,IF(Atletas!M390="Yingzhaoquan B",123,IF(Atletas!M390="Tongbeiquan B",124,IF(Atletas!M390="Wudangquan B",125,IF(Atletas!M390="Outros Estilos B",126,IF(Atletas!M390="Chaquan C",127,IF(Atletas!M390="Emeiquan C",128,IF(Atletas!M390="Fanziquan C",129,IF(Atletas!M390="Huaquan C",130,IF(Atletas!M390="Hongquan C",131,IF(Atletas!M390="Paoquan C",132,IF(Atletas!M390="Piguaquan C",133,IF(Atletas!M390="Shaolinquan C",134,IF(Atletas!M390="Tanglangquan C",135,IF(Atletas!M390="Yingzhaoquan C",136,IF(Atletas!M390="Tongbeiquan C",137,IF(Atletas!M390="Wudangquan C",138,IF(Atletas!M390="Outros Estilos C",139,0))))))))))))))))))))))))))))))))))))))))))</f>
        <v/>
      </c>
      <c r="BT399" s="50" t="str">
        <f>IF(Atletas!M390="","",IF(Atletas!X390&lt;&gt;"",10000,0)+(IF(Atletas!B390="Feminino",1000,IF(Atletas!B390="Masculino",2000,""))+(IF(Atletas!M390="Chaquan D",140,IF(Atletas!M390="Emeiquan D",141,IF(Atletas!M390="Fanziquan D",142,IF(Atletas!M390="Huaquan D",143,IF(Atletas!M390="Hongquan D",144,IF(Atletas!M390="Paoquan D",145,IF(Atletas!M390="Piguaquan D",146,IF(Atletas!M390="Shaolinquan D",147,IF(Atletas!M390="Tanglangquan D",148,IF(Atletas!M390="Yingzhaoquan D",149,IF(Atletas!M390="Tongbeiquan D",150,IF(Atletas!M390="Wudangquan D",151,IF(Atletas!M390="Outros Estilos D",152,IF(Atletas!M390="Chaquan E",153,IF(Atletas!M390="Emeiquan E",154,IF(Atletas!M390="Fanziquan E",155,IF(Atletas!M390="Huaquan E",156,IF(Atletas!M390="Hongquan E",157,IF(Atletas!M390="Paoquan E",158,IF(Atletas!M390="Piguaquan E",159,IF(Atletas!M390="Shaolinquan E",160,IF(Atletas!M390="Tanglangquan E",161,IF(Atletas!M390="Yingzhaoquan E",162,IF(Atletas!M390="Tongbeiquan E",163,IF(Atletas!M390="Wudangquan E",164,IF(Atletas!M390="Outros Estilos E",165,IF(Atletas!M390="Chaquan F",166,IF(Atletas!M390="Emeiquan F",167,IF(Atletas!M390="Fanziquan F",168,IF(Atletas!M390="Huaquan F",169,IF(Atletas!M390="Hongquan F",170,IF(Atletas!M390="Paoquan F",171,IF(Atletas!M390="Piguaquan F",172,IF(Atletas!M390="Shaolinquan F",173,IF(Atletas!M390="Tanglangquan F",174,IF(Atletas!M390="Yingzhaoquan F",175,IF(Atletas!M390="Tongbeiquan F",176,IF(Atletas!M390="Wudangquan F",177,IF(Atletas!M390="Outros Estilos F",178,0))))))))))))))))))))))))))))))))))))))))))</f>
        <v/>
      </c>
      <c r="BU399" s="50" t="str">
        <f>IF(Atletas!N390="","",IF(Atletas!X390&lt;&gt;"",10000,0)+(IF(Atletas!B390="Feminino",1000,IF(Atletas!B390="Masculino",2000,""))+(IF(Atletas!N390="Ditangquan A",201,IF(Atletas!N390="Houquan A",202,IF(Atletas!N390="Zuiquan A",203,IF(Atletas!N390="Ditangquan B",204,IF(Atletas!N390="Houquan B",205,IF(Atletas!N390="Zuiquan B",206,IF(Atletas!N390="Ditangquan C",207,IF(Atletas!N390="Houquan C",208,IF(Atletas!N390="Zuiquan C",209,IF(Atletas!N390="Ditangquan D",210,IF(Atletas!N390="Houquan D",211,IF(Atletas!N390="Zuiquan D",212,IF(Atletas!N390="Ditangquan E",213,IF(Atletas!N390="Houquan E",214,IF(Atletas!N390="Zuiquan E",215,IF(Atletas!N390="Ditangquan F",216,IF(Atletas!N390="Houquan F",217,IF(Atletas!N390="Zuiquan F",218,"")))))))))))))))))))))</f>
        <v/>
      </c>
      <c r="BV399" s="50" t="str">
        <f>IF(Atletas!O390="","",IF(Atletas!X390&lt;&gt;"",10000,0)+IF(Atletas!B390="Feminino",1000,IF(Atletas!B390="Masculino",2000,""))+IF(Atletas!O390="Yang A",301,IF(Atletas!O390="Chen A",302,IF(Atletas!O390="Sun A",303,IF(Atletas!O390="Wu A",304,IF(Atletas!O390="Wu-Hao A",305,IF(Atletas!O390="Outro Taijiquan A",306,IF(Atletas!O390="Yang B",307,IF(Atletas!O390="Chen B",308,IF(Atletas!O390="Sun B",309,IF(Atletas!O390="Wu B",310,IF(Atletas!O390="Wu-Hao B",311,IF(Atletas!O390="Outro Taijiquan B",312,IF(Atletas!O390="Yang C",313,IF(Atletas!O390="Chen C",314,IF(Atletas!O390="Sun C",315,IF(Atletas!O390="Wu C",316,IF(Atletas!O390="Wu-Hao C",317,IF(Atletas!O390="Outro Taijiquan C",318,IF(Atletas!O390="Yang D",319,IF(Atletas!O390="Chen D",320,IF(Atletas!O390="Sun D",321,IF(Atletas!O390="Wu D",322,IF(Atletas!O390="Wu-Hao D",323,IF(Atletas!O390="Outro Taijiquan D",324,IF(Atletas!O390="Yang E",325,IF(Atletas!O390="Chen E",326,IF(Atletas!O390="Sun E",327,IF(Atletas!O390="Wu E",328,IF(Atletas!O390="Wu-Hao E",329,IF(Atletas!O390="Outro Taijiquan E",330,IF(Atletas!O390="Yang F",331,IF(Atletas!O390="Chen F",332,IF(Atletas!O390="Sun F",333,IF(Atletas!O390="Wu F",334,IF(Atletas!O390="Wu-Hao F",335,IF(Atletas!O390="Outro Taijiquan F",336,"")))))))))))))))))))))))))))))))))))))</f>
        <v/>
      </c>
      <c r="BW399" s="50" t="str">
        <f>IF(Atletas!P390="","",IF(Atletas!X390&lt;&gt;"",10000,0)+IF(Atletas!B390="Feminino",1000,IF(Atletas!B390="Masculino",2000,""))+IF(OR(Atletas!P390="Yang 26 A",Atletas!P390="Yang 40 A"),401,IF(OR(Atletas!P390="Chen 25 A",Atletas!P390="Chen 36 A",Atletas!P390="Chen 56 A"),402,IF(Atletas!P390="Sun 73 A",403,IF(Atletas!P390="Wu 45 A",404,IF(Atletas!P390="Wu-Hao 46 A",405,IF(OR(Atletas!P390="Taijiquan 16 A",Atletas!P390="Taijiquan 24 A",Atletas!P390="Taijiquan 32 A",Atletas!P390="Taijiquan 42 A"),406,IF(OR(Atletas!P390="Yang 26 B",Atletas!P390="Yang 40 B"),407,IF(OR(Atletas!P390="Chen 25 B",Atletas!P390="Chen 36 B",Atletas!P390="Chen 56 B"),408,IF(Atletas!P390="Sun 73 B",409,IF(Atletas!P390="Wu 45 B",410,IF(Atletas!P390="Wu-Hao 46 B",411,IF(OR(Atletas!P390="Taijiquan 16 B",Atletas!P390="Taijiquan 24 B",Atletas!P390="Taijiquan 32 B",Atletas!P390="Taijiquan 42 B"),412,IF(OR(Atletas!P390="Yang 26 C",Atletas!P390="Yang 40 C"),413,IF(OR(Atletas!P390="Chen 25 C",Atletas!P390="Chen 36 C",Atletas!P390="Chen 56 C"),414,IF(Atletas!P390="Sun 73 C",415,IF(Atletas!P390="Wu 45 C",416,IF(Atletas!P390="Wu-Hao 46 C",417,IF(OR(Atletas!P390="Taijiquan 16 C",Atletas!P390="Taijiquan 24 C",Atletas!P390="Taijiquan 32 C",Atletas!P390="Taijiquan 42 C"),418,0)))))))))))))))))))</f>
        <v/>
      </c>
      <c r="BX399" s="50" t="str">
        <f>IF(Atletas!P390="","",IF(Atletas!X390&lt;&gt;"",10000,0)+IF(Atletas!B390="Feminino",1000,IF(Atletas!B390="Masculino",2000,""))+IF(OR(Atletas!P390="Yang 26 D",Atletas!P390="Yang 40 D"),419,IF(OR(Atletas!P390="Chen 25 D",Atletas!P390="Chen 36 D",Atletas!P390="Chen 56 D"),420,IF(Atletas!P390="Sun 73 D",421,IF(Atletas!P390="Wu 45 D",422,IF(Atletas!P390="Wu-Hao 46 D",423,IF(OR(Atletas!P390="Taijiquan 16 D",Atletas!P390="Taijiquan 24 D",Atletas!P390="Taijiquan 32 D",Atletas!P390="Taijiquan 42 D"),424,IF(OR(Atletas!P390="Yang 26 E",Atletas!P390="Yang 40 E"),425,IF(OR(Atletas!P390="Chen 25 E",Atletas!P390="Chen 36 E",Atletas!P390="Chen 56 E"),426,IF(Atletas!P390="Sun 73 E",427,IF(Atletas!P390="Wu 45 E",428,IF(Atletas!P390="Wu-Hao 46 E",429,IF(OR(Atletas!P390="Taijiquan 16 E",Atletas!P390="Taijiquan 24 E",Atletas!P390="Taijiquan 32 E",Atletas!P390="Taijiquan 42 E"),430,IF(OR(Atletas!P390="Yang 26 F",Atletas!P390="Yang 40 F"),431,IF(OR(Atletas!P390="Chen 25 F",Atletas!P390="Chen 36 F",Atletas!P390="Chen 56 F"),432,IF(Atletas!P390="Sun 73 F",433,IF(Atletas!P390="Wu 45 F",434,IF(Atletas!P390="Wu-Hao 46 F",435,IF(OR(Atletas!P390="Taijiquan 16 F",Atletas!P390="Taijiquan 24 F",Atletas!P390="Taijiquan 32 F",Atletas!P390="Taijiquan 42 F"),436,0)))))))))))))))))))</f>
        <v/>
      </c>
      <c r="BY399" s="50" t="str">
        <f>IF(Atletas!Q390="","",IF(Atletas!X390&lt;&gt;"",10000,0)+IF(Atletas!B390="Feminino",1000,IF(Atletas!B390="Masculino",2000,""))+IF(Atletas!Q390="Xingyiquan A",501,IF(Atletas!Q390="Baguazhang A",502,IF(Atletas!Q390="Outro Estilo Interno A",503,IF(Atletas!Q390="Xingyiquan B",504,IF(Atletas!Q390="Baguazhang B",505,IF(Atletas!Q390="Outro Estilo Interno B",506,IF(Atletas!Q390="Xingyiquan C",507,IF(Atletas!Q390="Baguazhang C",508,IF(Atletas!Q390="Outro Estilo Interno C",509,IF(Atletas!Q390="Xingyiquan D",510,IF(Atletas!Q390="Baguazhang D",511,IF(Atletas!Q390="Outro Estilo Interno D",512,IF(Atletas!Q390="Xingyiquan E",513,IF(Atletas!Q390="Baguazhang E",514,IF(Atletas!Q390="Outro Estilo Interno E",515,IF(Atletas!Q390="Xingyiquan F",516,IF(Atletas!Q390="Baguazhang F",517,IF(Atletas!Q390="Outro Estilo Interno F",518, "")))))))))))))))))))</f>
        <v/>
      </c>
      <c r="BZ399" s="50" t="str">
        <f>IF(Atletas!R390="","",IF(Atletas!X390&lt;&gt;"",10000,0)+IF(Atletas!B390="Feminino",1000,IF(Atletas!B390="Masculino",2000,""))+IF(Atletas!R390="Dao A",601,IF(Atletas!R390="Jian A",602,IF(Atletas!R390="Bishou A",603,IF(Atletas!R390="Shanzi A",604,IF(Atletas!R390="Outra Arma Curta A",605,IF(Atletas!R390="Dao B",606,IF(Atletas!R390="Jian B",607,IF(Atletas!R390="Bishou B",608,IF(Atletas!R390="Shanzi B",609,IF(Atletas!R390="Outra Arma Curta B",610,IF(Atletas!R390="Dao C",611,IF(Atletas!R390="Jian C",612,IF(Atletas!R390="Bishou C",613,IF(Atletas!R390="Shanzi C",614,IF(Atletas!R390="Outra Arma Curta C",615,IF(Atletas!R390="Dao D",616,IF(Atletas!R390="Jian D",617,IF(Atletas!R390="Bishou D",618,IF(Atletas!R390="Shanzi D",619,IF(Atletas!R390="Outra Arma Curta D",620,IF(Atletas!R390="Dao E",621,IF(Atletas!R390="Jian E",622,IF(Atletas!R390="Bishou E",623,IF(Atletas!R390="Shanzi E",624,IF(Atletas!R390="Outra Arma Curta E",625,IF(Atletas!R390="Dao F",626,IF(Atletas!R390="Jian F",627,IF(Atletas!R390="Bishou F",628,IF(Atletas!R390="Shanzi F",629,IF(Atletas!R390="Outra Arma Curta F",630, "")))))))))))))))))))))))))))))))</f>
        <v/>
      </c>
      <c r="CA399" s="50" t="str">
        <f>IF(Atletas!S390="","",IF(Atletas!X390&lt;&gt;"",10000,0)+IF(Atletas!B390="Feminino",1000,IF(Atletas!B390="Masculino",2000,""))+IF(Atletas!S390="Gun A",701,IF(Atletas!S390="Qiang A",702,IF(Atletas!S390="Pudao / Guandao A",703,IF(Atletas!S390="Outra Arma Longa A",704,IF(Atletas!S390="Gun B",705,IF(Atletas!S390="Qiang B",706,IF(Atletas!S390="Pudao / Guandao B",707,IF(Atletas!S390="Outra Arma Longa B",708,IF(Atletas!S390="Gun C",709,IF(Atletas!S390="Qiang C",710,IF(Atletas!S390="Pudao / Guandao C",711,IF(Atletas!S390="Outra Arma Longa C",712,IF(Atletas!S390="Gun D",713,IF(Atletas!S390="Qiang D",714,IF(Atletas!S390="Pudao / Guandao D",715,IF(Atletas!S390="Outra Arma Longa D",716,IF(Atletas!S390="Gun E",717,IF(Atletas!S390="Qiang E",718,IF(Atletas!S390="Pudao / Guandao E",719,IF(Atletas!S390="Outra Arma Longa E",720,IF(Atletas!S390="Gun F",721,IF(Atletas!S390="Qiang F",722,IF(Atletas!S390="Pudao / Guandao F",723,IF(Atletas!S390="Outra Arma Longa F",724,"")))))))))))))))))))))))))</f>
        <v/>
      </c>
      <c r="CB399" s="50" t="str">
        <f>IF(Atletas!T390="","",IF(Atletas!X390&lt;&gt;"",10000,0)+IF(Atletas!B390="Feminino",1000,IF(Atletas!B390="Masculino",2000,""))+IF(Atletas!T390="Outra Arma Dupla A",801,IF(Atletas!T390="Arma Maleável A",802,IF(Atletas!T390="Outra Arma Dupla B",803,IF(Atletas!T390="Arma Maleável B",804,IF(Atletas!T390="Outra Arma Dupla C",805,IF(Atletas!T390="Arma Maleável C",806,IF(Atletas!T390="Outra Arma Dupla D",807,IF(Atletas!T390="Arma Maleável D",808,IF(Atletas!T390="Outra Arma Dupla E",809,IF(Atletas!T390="Arma Maleável E",810,IF(Atletas!T390="Outra Arma Dupla F",811,IF(Atletas!T390="Arma Maleável F",812,IF(Atletas!T390="Shuangdao A",813,IF(Atletas!T390="Shuangdao B",814,IF(Atletas!T390="Shuangdao C",815,IF(Atletas!T390="Shuangdao D",816,IF(Atletas!T390="Shuangdao E",817,IF(Atletas!T390="Shuangdao F",818,"")))))))))))))))))))</f>
        <v/>
      </c>
      <c r="CC399" s="50" t="str">
        <f>IF(Atletas!U390="","",IF(Atletas!X390&lt;&gt;"",10000,0)+IF(Atletas!B390="Feminino",1000,IF(Atletas!B390="Masculino",2000,""))+IF(OR(Atletas!U390="Taijijian Yang A",Atletas!U390="Taijijian Yang Standard A"),901,IF(OR(Atletas!U390="Taijijian Chen A", Atletas!U390="Taijijian Chen Standard A"),902,IF(Atletas!U390="Taijijian Sun A",903,IF(Atletas!U390="Taijijian Wu A",904,IF(Atletas!U390="Taijijian Wu-Hao A",905,IF(OR(Atletas!U390="Taijijian 32 A",Atletas!U390="Taijijian 42 A"),906,IF(OR(Atletas!U390="Taijijian Yang B",Atletas!U390="Taijijian Yang Standard B"),907,IF(OR(Atletas!U390="Taijijian Chen B", Atletas!U390="Taijijian Chen Standard B"),908,IF(Atletas!U390="Taijijian Sun B",909,IF(Atletas!U390="Taijijian Wu B",910,IF(Atletas!U390="Taijijian Wu-Hao B",911,IF(OR(Atletas!U390="Taijijian 32 B",Atletas!U390="Taijijian 42 B"),912,IF(OR(Atletas!U390="Taijijian Yang C",Atletas!U390="Taijijian Yang Standard C"),913,IF(OR(Atletas!U390="Taijijian Chen C", Atletas!U390="Taijijian Chen Standard C"),914,IF(Atletas!U390="Taijijian Sun C",915,IF(Atletas!U390="Taijijian Wu C",916,IF(Atletas!U390="Taijijian Wu-Hao C",917,IF(OR(Atletas!U390="Taijijian 32 C",Atletas!U390="Taijijian 42 C"),918,IF(OR(Atletas!U390="Taijijian Yang D",Atletas!U390="Taijijian Yang Standard D"),919,IF(OR(Atletas!U390="Taijijian Chen D", Atletas!U390="Taijijian Chen Standard D"),920,IF(Atletas!U390="Taijijian Sun D",921,IF(Atletas!U390="Taijijian Wu D",922,IF(Atletas!U390="Taijijian Wu-Hao D",923,IF(OR(Atletas!U390="Taijijian 32 D",Atletas!U390="Taijijian 42 D"),924,IF(OR(Atletas!U390="Taijijian Yang E",Atletas!U390="Taijijian Yang Standard E"),925,IF(OR(Atletas!U390="Taijijian Chen E", Atletas!U390="Taijijian Chen Standard E"),926,IF(Atletas!U390="Taijijian Sun E",927,IF(Atletas!U390="Taijijian Wu E",928,IF(Atletas!U390="Taijijian Wu-Hao E",929,IF(OR(Atletas!U390="Taijijian 32 E",Atletas!U390="Taijijian 42 E"),930,IF(OR(Atletas!U390="Taijijian Yang F",Atletas!U390="Taijijian Yang Standard F"),931,IF(OR(Atletas!U390="Taijijian Chen F", Atletas!U390="Taijijian Chen Standard F"),932,IF(Atletas!U390="Taijijian Sun F",933,IF(Atletas!U390="Taijijian Wu F",934,IF(Atletas!U390="Taijijian Wu-Hao F",935,IF(OR(Atletas!U390="Taijijian 32 F",Atletas!U390="Taijijian 42 F"),936,"")))))))))))))))))))))))))))))))))))))</f>
        <v/>
      </c>
      <c r="CD399" s="50" t="str">
        <f>IF(Atletas!V390="","",IF(Atletas!X390&lt;&gt;"",10000,0)+IF(Atletas!B390="Feminino",1000,IF(Atletas!B390="Masculino",2000,""))+IF(Atletas!V390="Taijidao A",937,IF(Atletas!V390="TaijiShanzi A",938,IF(Atletas!V390="Taijiqiang A",939,IF(Atletas!V390="Bagua de Arma A",940,IF(Atletas!V390="Xingyi de Arma A",941,IF(Atletas!V390="Taijidao B",942,IF(Atletas!V390="TaijiShanzi B",943,IF(Atletas!V390="Taijiqiang B",944,IF(Atletas!V390="Bagua de Arma B",945,IF(Atletas!V390="Xingyi de Arma B",946,IF(Atletas!V390="Taijidao C",947,IF(Atletas!V390="TaijiShanzi C",948,IF(Atletas!V390="Taijiqiang C",949,IF(Atletas!V390="Bagua de Arma C",950,IF(Atletas!V390="Xingyi de Arma C",951,IF(Atletas!V390="Taijidao D",952,IF(Atletas!V390="TaijiShanzi D",953,IF(Atletas!V390="Taijiqiang D",954,IF(Atletas!V390="Bagua de Arma D",955,IF(Atletas!V390="Xingyi de Arma D",956,IF(Atletas!V390="Taijidao E",957,IF(Atletas!V390="TaijiShanzi E",958,IF(Atletas!V390="Taijiqiang E",959,IF(Atletas!V390="Bagua de Arma E",960,IF(Atletas!V390="Xingyi de Arma E",961,IF(Atletas!V390="Taijidao F",962,IF(Atletas!V390="TaijiShanzi F",963,IF(Atletas!V390="Taijiqiang F",964,IF(Atletas!V390="Bagua de Arma F",965,IF(Atletas!V390="Xingyi de Arma F",966,"")))))))))))))))))))))))))))))))</f>
        <v/>
      </c>
      <c r="CJ399" s="66"/>
      <c r="CL399" s="66"/>
      <c r="CM399" s="50" t="str">
        <f xml:space="preserve"> IF(Atletas!W390="","",IF(Atletas!W390="Duilian de Mãos BC - Equipe 1",1,IF(Atletas!W390="Duilian de Mãos BC - Equipe 2",2,IF(Atletas!W390="Duilian de Armas BC - Equipe 1",3,IF(Atletas!W390="Duilian de Armas BC - Equipe 2",4,IF(Atletas!W390="Duilian de Mãos DE - Equipe 1",5,IF(Atletas!W390="Duilian de Mãos DE - Equipe 2",6,IF(Atletas!W390="Duilian de Armas DE - Equipe 1",7,IF(Atletas!W390="Duilian de Armas DE - Equipe 2",8,IF(Atletas!W390="Duilian de Tuishou - Equipe 1",9,IF(Atletas!W390="Duilian de Tuishou - Equipe 2",10,IF(Atletas!W390="Grupo Externo ABC - Equipe 1",11,IF(Atletas!W390="Grupo Externo ABC - Equipe 2",12,IF(Atletas!W390="Grupo Interno ABC - Equipe 1",13,IF(Atletas!W390="Grupo Interno ABC - Equipe 2",14,IF(Atletas!W390="Grupo Externo DEF - Equipe 1",15,IF(Atletas!W390="Grupo Externo DEF - Equipe 2",16,IF(Atletas!W390="Grupo Interno DEF - Equipe 1",17,IF(Atletas!W390="Grupo Interno DEF - Equipe 2",18,"")))))))))))))))))))</f>
        <v/>
      </c>
    </row>
    <row r="400" spans="40:91">
      <c r="AN400" s="52" t="str">
        <f>IF(Atletas!D391="","",IF(Atletas!B391="Feminino",100,IF(Atletas!B391="Masculino",200,""))+(IF(Atletas!D391="Kids 30kg",1,IF(Atletas!D391="Kids 32kg",2, IF(Atletas!D391="Kids 34kg",3,IF(Atletas!D391="Kids 36kg",4,IF(Atletas!D391="Kids 39kg",5,IF(Atletas!D391="Kids 42kg",6,IF(Atletas!D391="Kids 45kg",7, IF(Atletas!D391="Infantil 39kg",8,IF(Atletas!D391="Infantil 42kg",9,IF(Atletas!D391="Infantil 45kg",10,IF(Atletas!D391="Infantil 48kg",11,IF(Atletas!D391="Infantil 52kg",12,IF(Atletas!D391="Infantil 56kg",13,IF(Atletas!D391="Infantil 60kg",14,IF(Atletas!D391="Juvenil 48kg",15,IF(Atletas!D391="Juvenil 52kg",16,IF(Atletas!D391="Juvenil 56kg",17,IF(Atletas!D391="Juvenil 60kg",18,IF(Atletas!D391="Juvenil 65kg",19,IF(Atletas!D391="Juvenil 70kg",20,IF(Atletas!D391="Juvenil 75kg",21,IF(Atletas!D391="Juvenil 80kg",22, IF(Atletas!D391="Juvenil 85kg",23,IF(Atletas!D391="Adulto 48kg",24,IF(Atletas!D391="Adulto 52kg",25,IF(Atletas!D391="Adulto 56kg",26,IF(Atletas!D391="Adulto 60kg",27,IF(Atletas!D391="Adulto 65kg",28,IF(Atletas!D391="Adulto 70kg",29,IF(Atletas!D391="Adulto 75kg",30,IF(Atletas!D391="Adulto 80kg",31,IF(Atletas!D391="Adulto 85kg",32,IF(Atletas!D391="Adulto 90kg",33,IF(Atletas!D391="Adulto 100kg",34, IF(Atletas!D391="Adulto +100kg",35,"")))))))))))))))))))))))))))))))))))))</f>
        <v/>
      </c>
      <c r="AS400" s="6" t="str">
        <f>IF(Atletas!E391="","",IF(Atletas!B391="Feminino",100,IF(Atletas!B391="Masculino",200,""))+(IF(Atletas!E391="Juvenil 44kg",1,IF(Atletas!E391="Juvenil 48kg",2,IF(Atletas!E391="Juvenil 52kg",3,IF(Atletas!E391="Juvenil 56kg",4,IF(Atletas!E391="Juvenil 60kg",5,IF(Atletas!E391="Juvenil 65kg",6,IF(Atletas!E391="Juvenil 70kg",7,IF(Atletas!E391="Juvenil 75kg",8,IF(Atletas!E391="Juvenil 82kg",9,IF(Atletas!E391="Juvenil 90kg",10,IF(Atletas!E391="Juvenil 100kg",11,IF(Atletas!E391="Adulto 48kg",12,IF(Atletas!E391="Adulto 52kg",13,IF(Atletas!E391="Adulto 56kg",14,IF(Atletas!E391="Adulto 60kg",15,IF(Atletas!E391="Adulto 65kg",16,IF(Atletas!E391="Adulto 70kg",17,IF(Atletas!E391="Adulto 75kg",18,IF(Atletas!E391="Adulto 82kg",19,IF(Atletas!E391="Adulto 90kg",20,IF(Atletas!E391="Adulto 100kg",21,IF(Atletas!E391="Adulto +100kg",22,""))))))))))))))))))))))))</f>
        <v/>
      </c>
      <c r="AX400" s="6" t="str">
        <f>IF(Atletas!F391="","",IF(Atletas!B391="Feminino",100,IF(Atletas!B391="Masculino",200,""))+(IF(Atletas!F391="Adulto 48kg",1,IF(Atletas!F391="Adulto 56kg",2,IF(Atletas!F391="Adulto 65kg",3,IF(Atletas!F391="Adulto 75kg",4,IF(Atletas!F391="Adulto +75kg",5,IF(Atletas!F391="Adulto 52kg",6,IF(Atletas!F391="Adulto 60kg",7,IF(Atletas!F391="Adulto 70kg",8,IF(Atletas!F391="Adulto 80kg",9,IF(Atletas!F391="Adulto 90kg",10,IF(Atletas!F391="Adulto +90kg",11,"")))))))))))))</f>
        <v/>
      </c>
      <c r="BC400" s="6" t="str">
        <f>IF(Atletas!G391="","",IF(Atletas!B391="Feminino",10,IF(Atletas!B391="Masculino",20,""))+(IF(Atletas!G391="Baduanjin A",1,IF(Atletas!G391="Baduanjin B",2))))</f>
        <v/>
      </c>
      <c r="BF400" s="52" t="str">
        <f>IF(Atletas!H391="","",IF(Atletas!B391="Feminino",100,IF(Atletas!B391="Masculino",200,""))+(IF(Atletas!H391="Changquan Mirim",1,IF(Atletas!H391="Nanquan Mirim",2,IF(Atletas!H391="Taijiquan Mirim",3,IF(Atletas!H391="Changquan Grupo C",4,IF(Atletas!H391="Nanquan Grupo C",5,IF(Atletas!H391="Taijiquan Grupo C",6,IF(Atletas!H391="Changquan Grupo B",7,IF(Atletas!H391="Nanquan Grupo B",8,IF(Atletas!H391="Taijiquan Grupo B",9,IF(Atletas!H391="Changquan Grupo A",10,IF(Atletas!H391="Nanquan Grupo A",11,IF(Atletas!H391="Taijiquan Grupo A",12,IF(Atletas!H391="Changquan Opcional",13,IF(Atletas!H391="Nanquan Opcional",14,IF(Atletas!H391="Taijiquan Opcional",15,IF(Atletas!H391="Changquan Adulto",16,IF(Atletas!H391="Nanquan Adulto",17,IF(Atletas!H391="Taijiquan Adulto",18,""))))))))))))))))))))</f>
        <v/>
      </c>
      <c r="BG400" s="52" t="str">
        <f>IF(Atletas!I391="","",IF(Atletas!B391="Feminino",100,IF(Atletas!B391="Masculino",200,""))+(IF(Atletas!I391="Daoshu Mirim",19,IF(Atletas!I391="Jianshu Mirim",20,IF(Atletas!I391="Nandao Mirim",21,IF(Atletas!I391="Taijijian Mirim",22,IF(Atletas!I391="Daoshu Grupo C",23,IF(Atletas!I391="Jianshu Grupo C",24,IF(Atletas!I391="Nandao Grupo C",25,IF(Atletas!I391="Taijijian Grupo C",26,IF(Atletas!I391="Daoshu Grupo B",27,IF(Atletas!I391="Jianshu Grupo B",28,IF(Atletas!I391="Nandao Grupo B",29,IF(Atletas!I391="Taijijian Grupo B",30,IF(Atletas!I391="Daoshu Grupo A",31,IF(Atletas!I391="Jianshu Grupo A",32,IF(Atletas!I391="Nandao Grupo A",33,IF(Atletas!I391="Taijijian Grupo A",34,IF(Atletas!I391="Daoshu Opcional",35,IF(Atletas!I391="Jianshu Opcional",36,IF(Atletas!I391="Nandao Opcional",37,IF(Atletas!I391="Taijijian Opcional",38,IF(Atletas!I391="Daoshu Adulto",39,IF(Atletas!I391="Jianshu Adulto",40,IF(Atletas!I391="Nandao Adulto",41,IF(Atletas!I391="Taijijian Adulto",42,""))))))))))))))))))))))))))</f>
        <v/>
      </c>
      <c r="BH400" s="52" t="str">
        <f>IF(Atletas!J391="","",IF(Atletas!B391="Feminino",100,IF(Atletas!B391="Masculino",200,""))+(IF(Atletas!J391="Gunshu Mirim",43,IF(Atletas!J391="Qiangshu Mirim",44,IF(Atletas!J391="Nangun Mirim",45,IF(Atletas!J391="Gunshu Grupo C",46,IF(Atletas!J391="Qiangshu Grupo C",47,IF(Atletas!J391="Nangun Grupo C",48,IF(Atletas!J391="Gunshu Grupo B",49,IF(Atletas!J391="Qiangshu Grupo B",50,IF(Atletas!J391="Nangun Grupo B",51,IF(Atletas!J391="Gunshu Grupo A",52,IF(Atletas!J391="Qiangshu Grupo A",53,IF(Atletas!J391="Nangun Grupo A",54,IF(Atletas!J391="Gunshu Opcional",55,IF(Atletas!J391="Qiangshu Opcional",56,IF(Atletas!J391="Nangun Opcional",57,IF(Atletas!J391="Gunshu Adulto",58,IF(Atletas!J391="Qiangshu Adulto",59,IF(Atletas!J391="Nangun Adulto",60,IF(Atletas!J391="Taijishan Grupo B",61,IF(Atletas!J391="Taijishan Grupo A",62,""))))))))))))))))))))))</f>
        <v/>
      </c>
      <c r="BM400" s="50" t="str">
        <f>IF(Atletas!K391="","",IF(Atletas!B391="Feminino",100,IF(Atletas!B391="Masculino",200,""))+(IF(Atletas!K391="Equipe 1 Grupo B",1,IF(Atletas!K391="Equipe 2 Grupo B",2,IF(Atletas!K391="Equipe 1 Grupo A",3,IF(Atletas!K391="Equipe 2 Grupo A",4,IF(Atletas!K391="Equipe 1 Adulto",5,IF(Atletas!K391="Equipe 2 Adulto",6,""))))))))</f>
        <v/>
      </c>
      <c r="BR400" s="50" t="str">
        <f>IF(Atletas!L391="","",IF(Atletas!X391&lt;&gt;"",10000,0)+(IF(Atletas!B391="Feminino",1000,IF(Atletas!B391="Masculino",2000,""))+IF(Atletas!L391="Choylayfut A",1,IF(Atletas!L391="Hunggar A",2,IF(Atletas!L391="Wuzuquan A",3,IF(Atletas!L391="Wingchun A",4,IF(Atletas!L391="Outra Mão de Sul A",5,IF(Atletas!L391="Choylayfut B",6,IF(Atletas!L391="Hunggar B",7,IF(Atletas!L391="Wuzuquan B",8,IF(Atletas!L391="Wingchun B",9,IF(Atletas!L391="Outra Mão de Sul B",10,IF(Atletas!L391="Choylayfut C",11,IF(Atletas!L391="Hunggar C",12,IF(Atletas!L391="Wuzuquan C",13,IF(Atletas!L391="Wingchun C",14,IF(Atletas!L391="Outra Mão de Sul C",15,IF(Atletas!L391="Choylayfut D",16,IF(Atletas!L391="Hunggar D",17,IF(Atletas!L391="Wuzuquan D",18,IF(Atletas!L391="Wingchun D",19,IF(Atletas!L391="Outra Mão de Sul D",20,IF(Atletas!L391="Choylayfut E",21,IF(Atletas!L391="Hunggar E",22,IF(Atletas!L391="Wuzuquan E",23,IF(Atletas!L391="Wingchun E",24,IF(Atletas!L391="Outra Mão de Sul E",25,IF(Atletas!L391="Choylayfut F",26,IF(Atletas!L391="Hunggar F",27,IF(Atletas!L391="Wuzuquan F",28,IF(Atletas!L391="Wingchun F",29,IF(Atletas!L391="Outra Mão de Sul F",30,IF(Atletas!L391="Dishuquan A",31,IF(Atletas!L391="Dishuquan B",32,IF(Atletas!L391="Dishuquan C",33,IF(Atletas!L391="Dishuquan D",34,IF(Atletas!L391="Dishuquan E",35,IF(Atletas!L391="Dishuquan F",36,""))))))))))))))))))))))))))))))))))))))</f>
        <v/>
      </c>
      <c r="BS400" s="50" t="str">
        <f>IF(Atletas!M391="","",IF(Atletas!X391&lt;&gt;"",10000,0)+(IF(Atletas!B391="Feminino",1000,IF(Atletas!B391="Masculino",2000,""))+(IF(Atletas!M391="Chaquan A",101,IF(Atletas!M391="Emeiquan A",102,IF(Atletas!M391="Fanziquan A",103,IF(Atletas!M391="Huaquan A",104,IF(Atletas!M391="Hongquan A",105,IF(Atletas!M391="Paoquan A",106,IF(Atletas!M391="Piguaquan A",107,IF(Atletas!M391="Shaolinquan A",108,IF(Atletas!M391="Tanglangquan A",109,IF(Atletas!M391="Yingzhaoquan A",110,IF(Atletas!M391="Tongbeiquan A",111,IF(Atletas!M391="Wudangquan A",112,IF(Atletas!M391="Outros Estilos A",113,IF(Atletas!M391="Chaquan B",114,IF(Atletas!M391="Emeiquan B",115,IF(Atletas!M391="Fanziquan B",116,IF(Atletas!M391="Huaquan B",117,IF(Atletas!M391="Hongquan B",118,IF(Atletas!M391="Paoquan B",119,IF(Atletas!M391="Piguaquan B",120,IF(Atletas!M391="Shaolinquan B",121,IF(Atletas!M391="Tanglangquan B",122,IF(Atletas!M391="Yingzhaoquan B",123,IF(Atletas!M391="Tongbeiquan B",124,IF(Atletas!M391="Wudangquan B",125,IF(Atletas!M391="Outros Estilos B",126,IF(Atletas!M391="Chaquan C",127,IF(Atletas!M391="Emeiquan C",128,IF(Atletas!M391="Fanziquan C",129,IF(Atletas!M391="Huaquan C",130,IF(Atletas!M391="Hongquan C",131,IF(Atletas!M391="Paoquan C",132,IF(Atletas!M391="Piguaquan C",133,IF(Atletas!M391="Shaolinquan C",134,IF(Atletas!M391="Tanglangquan C",135,IF(Atletas!M391="Yingzhaoquan C",136,IF(Atletas!M391="Tongbeiquan C",137,IF(Atletas!M391="Wudangquan C",138,IF(Atletas!M391="Outros Estilos C",139,0))))))))))))))))))))))))))))))))))))))))))</f>
        <v/>
      </c>
      <c r="BT400" s="50" t="str">
        <f>IF(Atletas!M391="","",IF(Atletas!X391&lt;&gt;"",10000,0)+(IF(Atletas!B391="Feminino",1000,IF(Atletas!B391="Masculino",2000,""))+(IF(Atletas!M391="Chaquan D",140,IF(Atletas!M391="Emeiquan D",141,IF(Atletas!M391="Fanziquan D",142,IF(Atletas!M391="Huaquan D",143,IF(Atletas!M391="Hongquan D",144,IF(Atletas!M391="Paoquan D",145,IF(Atletas!M391="Piguaquan D",146,IF(Atletas!M391="Shaolinquan D",147,IF(Atletas!M391="Tanglangquan D",148,IF(Atletas!M391="Yingzhaoquan D",149,IF(Atletas!M391="Tongbeiquan D",150,IF(Atletas!M391="Wudangquan D",151,IF(Atletas!M391="Outros Estilos D",152,IF(Atletas!M391="Chaquan E",153,IF(Atletas!M391="Emeiquan E",154,IF(Atletas!M391="Fanziquan E",155,IF(Atletas!M391="Huaquan E",156,IF(Atletas!M391="Hongquan E",157,IF(Atletas!M391="Paoquan E",158,IF(Atletas!M391="Piguaquan E",159,IF(Atletas!M391="Shaolinquan E",160,IF(Atletas!M391="Tanglangquan E",161,IF(Atletas!M391="Yingzhaoquan E",162,IF(Atletas!M391="Tongbeiquan E",163,IF(Atletas!M391="Wudangquan E",164,IF(Atletas!M391="Outros Estilos E",165,IF(Atletas!M391="Chaquan F",166,IF(Atletas!M391="Emeiquan F",167,IF(Atletas!M391="Fanziquan F",168,IF(Atletas!M391="Huaquan F",169,IF(Atletas!M391="Hongquan F",170,IF(Atletas!M391="Paoquan F",171,IF(Atletas!M391="Piguaquan F",172,IF(Atletas!M391="Shaolinquan F",173,IF(Atletas!M391="Tanglangquan F",174,IF(Atletas!M391="Yingzhaoquan F",175,IF(Atletas!M391="Tongbeiquan F",176,IF(Atletas!M391="Wudangquan F",177,IF(Atletas!M391="Outros Estilos F",178,0))))))))))))))))))))))))))))))))))))))))))</f>
        <v/>
      </c>
      <c r="BU400" s="50" t="str">
        <f>IF(Atletas!N391="","",IF(Atletas!X391&lt;&gt;"",10000,0)+(IF(Atletas!B391="Feminino",1000,IF(Atletas!B391="Masculino",2000,""))+(IF(Atletas!N391="Ditangquan A",201,IF(Atletas!N391="Houquan A",202,IF(Atletas!N391="Zuiquan A",203,IF(Atletas!N391="Ditangquan B",204,IF(Atletas!N391="Houquan B",205,IF(Atletas!N391="Zuiquan B",206,IF(Atletas!N391="Ditangquan C",207,IF(Atletas!N391="Houquan C",208,IF(Atletas!N391="Zuiquan C",209,IF(Atletas!N391="Ditangquan D",210,IF(Atletas!N391="Houquan D",211,IF(Atletas!N391="Zuiquan D",212,IF(Atletas!N391="Ditangquan E",213,IF(Atletas!N391="Houquan E",214,IF(Atletas!N391="Zuiquan E",215,IF(Atletas!N391="Ditangquan F",216,IF(Atletas!N391="Houquan F",217,IF(Atletas!N391="Zuiquan F",218,"")))))))))))))))))))))</f>
        <v/>
      </c>
      <c r="BV400" s="50" t="str">
        <f>IF(Atletas!O391="","",IF(Atletas!X391&lt;&gt;"",10000,0)+IF(Atletas!B391="Feminino",1000,IF(Atletas!B391="Masculino",2000,""))+IF(Atletas!O391="Yang A",301,IF(Atletas!O391="Chen A",302,IF(Atletas!O391="Sun A",303,IF(Atletas!O391="Wu A",304,IF(Atletas!O391="Wu-Hao A",305,IF(Atletas!O391="Outro Taijiquan A",306,IF(Atletas!O391="Yang B",307,IF(Atletas!O391="Chen B",308,IF(Atletas!O391="Sun B",309,IF(Atletas!O391="Wu B",310,IF(Atletas!O391="Wu-Hao B",311,IF(Atletas!O391="Outro Taijiquan B",312,IF(Atletas!O391="Yang C",313,IF(Atletas!O391="Chen C",314,IF(Atletas!O391="Sun C",315,IF(Atletas!O391="Wu C",316,IF(Atletas!O391="Wu-Hao C",317,IF(Atletas!O391="Outro Taijiquan C",318,IF(Atletas!O391="Yang D",319,IF(Atletas!O391="Chen D",320,IF(Atletas!O391="Sun D",321,IF(Atletas!O391="Wu D",322,IF(Atletas!O391="Wu-Hao D",323,IF(Atletas!O391="Outro Taijiquan D",324,IF(Atletas!O391="Yang E",325,IF(Atletas!O391="Chen E",326,IF(Atletas!O391="Sun E",327,IF(Atletas!O391="Wu E",328,IF(Atletas!O391="Wu-Hao E",329,IF(Atletas!O391="Outro Taijiquan E",330,IF(Atletas!O391="Yang F",331,IF(Atletas!O391="Chen F",332,IF(Atletas!O391="Sun F",333,IF(Atletas!O391="Wu F",334,IF(Atletas!O391="Wu-Hao F",335,IF(Atletas!O391="Outro Taijiquan F",336,"")))))))))))))))))))))))))))))))))))))</f>
        <v/>
      </c>
      <c r="BW400" s="50" t="str">
        <f>IF(Atletas!P391="","",IF(Atletas!X391&lt;&gt;"",10000,0)+IF(Atletas!B391="Feminino",1000,IF(Atletas!B391="Masculino",2000,""))+IF(OR(Atletas!P391="Yang 26 A",Atletas!P391="Yang 40 A"),401,IF(OR(Atletas!P391="Chen 25 A",Atletas!P391="Chen 36 A",Atletas!P391="Chen 56 A"),402,IF(Atletas!P391="Sun 73 A",403,IF(Atletas!P391="Wu 45 A",404,IF(Atletas!P391="Wu-Hao 46 A",405,IF(OR(Atletas!P391="Taijiquan 16 A",Atletas!P391="Taijiquan 24 A",Atletas!P391="Taijiquan 32 A",Atletas!P391="Taijiquan 42 A"),406,IF(OR(Atletas!P391="Yang 26 B",Atletas!P391="Yang 40 B"),407,IF(OR(Atletas!P391="Chen 25 B",Atletas!P391="Chen 36 B",Atletas!P391="Chen 56 B"),408,IF(Atletas!P391="Sun 73 B",409,IF(Atletas!P391="Wu 45 B",410,IF(Atletas!P391="Wu-Hao 46 B",411,IF(OR(Atletas!P391="Taijiquan 16 B",Atletas!P391="Taijiquan 24 B",Atletas!P391="Taijiquan 32 B",Atletas!P391="Taijiquan 42 B"),412,IF(OR(Atletas!P391="Yang 26 C",Atletas!P391="Yang 40 C"),413,IF(OR(Atletas!P391="Chen 25 C",Atletas!P391="Chen 36 C",Atletas!P391="Chen 56 C"),414,IF(Atletas!P391="Sun 73 C",415,IF(Atletas!P391="Wu 45 C",416,IF(Atletas!P391="Wu-Hao 46 C",417,IF(OR(Atletas!P391="Taijiquan 16 C",Atletas!P391="Taijiquan 24 C",Atletas!P391="Taijiquan 32 C",Atletas!P391="Taijiquan 42 C"),418,0)))))))))))))))))))</f>
        <v/>
      </c>
      <c r="BX400" s="50" t="str">
        <f>IF(Atletas!P391="","",IF(Atletas!X391&lt;&gt;"",10000,0)+IF(Atletas!B391="Feminino",1000,IF(Atletas!B391="Masculino",2000,""))+IF(OR(Atletas!P391="Yang 26 D",Atletas!P391="Yang 40 D"),419,IF(OR(Atletas!P391="Chen 25 D",Atletas!P391="Chen 36 D",Atletas!P391="Chen 56 D"),420,IF(Atletas!P391="Sun 73 D",421,IF(Atletas!P391="Wu 45 D",422,IF(Atletas!P391="Wu-Hao 46 D",423,IF(OR(Atletas!P391="Taijiquan 16 D",Atletas!P391="Taijiquan 24 D",Atletas!P391="Taijiquan 32 D",Atletas!P391="Taijiquan 42 D"),424,IF(OR(Atletas!P391="Yang 26 E",Atletas!P391="Yang 40 E"),425,IF(OR(Atletas!P391="Chen 25 E",Atletas!P391="Chen 36 E",Atletas!P391="Chen 56 E"),426,IF(Atletas!P391="Sun 73 E",427,IF(Atletas!P391="Wu 45 E",428,IF(Atletas!P391="Wu-Hao 46 E",429,IF(OR(Atletas!P391="Taijiquan 16 E",Atletas!P391="Taijiquan 24 E",Atletas!P391="Taijiquan 32 E",Atletas!P391="Taijiquan 42 E"),430,IF(OR(Atletas!P391="Yang 26 F",Atletas!P391="Yang 40 F"),431,IF(OR(Atletas!P391="Chen 25 F",Atletas!P391="Chen 36 F",Atletas!P391="Chen 56 F"),432,IF(Atletas!P391="Sun 73 F",433,IF(Atletas!P391="Wu 45 F",434,IF(Atletas!P391="Wu-Hao 46 F",435,IF(OR(Atletas!P391="Taijiquan 16 F",Atletas!P391="Taijiquan 24 F",Atletas!P391="Taijiquan 32 F",Atletas!P391="Taijiquan 42 F"),436,0)))))))))))))))))))</f>
        <v/>
      </c>
      <c r="BY400" s="50" t="str">
        <f>IF(Atletas!Q391="","",IF(Atletas!X391&lt;&gt;"",10000,0)+IF(Atletas!B391="Feminino",1000,IF(Atletas!B391="Masculino",2000,""))+IF(Atletas!Q391="Xingyiquan A",501,IF(Atletas!Q391="Baguazhang A",502,IF(Atletas!Q391="Outro Estilo Interno A",503,IF(Atletas!Q391="Xingyiquan B",504,IF(Atletas!Q391="Baguazhang B",505,IF(Atletas!Q391="Outro Estilo Interno B",506,IF(Atletas!Q391="Xingyiquan C",507,IF(Atletas!Q391="Baguazhang C",508,IF(Atletas!Q391="Outro Estilo Interno C",509,IF(Atletas!Q391="Xingyiquan D",510,IF(Atletas!Q391="Baguazhang D",511,IF(Atletas!Q391="Outro Estilo Interno D",512,IF(Atletas!Q391="Xingyiquan E",513,IF(Atletas!Q391="Baguazhang E",514,IF(Atletas!Q391="Outro Estilo Interno E",515,IF(Atletas!Q391="Xingyiquan F",516,IF(Atletas!Q391="Baguazhang F",517,IF(Atletas!Q391="Outro Estilo Interno F",518, "")))))))))))))))))))</f>
        <v/>
      </c>
      <c r="BZ400" s="50" t="str">
        <f>IF(Atletas!R391="","",IF(Atletas!X391&lt;&gt;"",10000,0)+IF(Atletas!B391="Feminino",1000,IF(Atletas!B391="Masculino",2000,""))+IF(Atletas!R391="Dao A",601,IF(Atletas!R391="Jian A",602,IF(Atletas!R391="Bishou A",603,IF(Atletas!R391="Shanzi A",604,IF(Atletas!R391="Outra Arma Curta A",605,IF(Atletas!R391="Dao B",606,IF(Atletas!R391="Jian B",607,IF(Atletas!R391="Bishou B",608,IF(Atletas!R391="Shanzi B",609,IF(Atletas!R391="Outra Arma Curta B",610,IF(Atletas!R391="Dao C",611,IF(Atletas!R391="Jian C",612,IF(Atletas!R391="Bishou C",613,IF(Atletas!R391="Shanzi C",614,IF(Atletas!R391="Outra Arma Curta C",615,IF(Atletas!R391="Dao D",616,IF(Atletas!R391="Jian D",617,IF(Atletas!R391="Bishou D",618,IF(Atletas!R391="Shanzi D",619,IF(Atletas!R391="Outra Arma Curta D",620,IF(Atletas!R391="Dao E",621,IF(Atletas!R391="Jian E",622,IF(Atletas!R391="Bishou E",623,IF(Atletas!R391="Shanzi E",624,IF(Atletas!R391="Outra Arma Curta E",625,IF(Atletas!R391="Dao F",626,IF(Atletas!R391="Jian F",627,IF(Atletas!R391="Bishou F",628,IF(Atletas!R391="Shanzi F",629,IF(Atletas!R391="Outra Arma Curta F",630, "")))))))))))))))))))))))))))))))</f>
        <v/>
      </c>
      <c r="CA400" s="50" t="str">
        <f>IF(Atletas!S391="","",IF(Atletas!X391&lt;&gt;"",10000,0)+IF(Atletas!B391="Feminino",1000,IF(Atletas!B391="Masculino",2000,""))+IF(Atletas!S391="Gun A",701,IF(Atletas!S391="Qiang A",702,IF(Atletas!S391="Pudao / Guandao A",703,IF(Atletas!S391="Outra Arma Longa A",704,IF(Atletas!S391="Gun B",705,IF(Atletas!S391="Qiang B",706,IF(Atletas!S391="Pudao / Guandao B",707,IF(Atletas!S391="Outra Arma Longa B",708,IF(Atletas!S391="Gun C",709,IF(Atletas!S391="Qiang C",710,IF(Atletas!S391="Pudao / Guandao C",711,IF(Atletas!S391="Outra Arma Longa C",712,IF(Atletas!S391="Gun D",713,IF(Atletas!S391="Qiang D",714,IF(Atletas!S391="Pudao / Guandao D",715,IF(Atletas!S391="Outra Arma Longa D",716,IF(Atletas!S391="Gun E",717,IF(Atletas!S391="Qiang E",718,IF(Atletas!S391="Pudao / Guandao E",719,IF(Atletas!S391="Outra Arma Longa E",720,IF(Atletas!S391="Gun F",721,IF(Atletas!S391="Qiang F",722,IF(Atletas!S391="Pudao / Guandao F",723,IF(Atletas!S391="Outra Arma Longa F",724,"")))))))))))))))))))))))))</f>
        <v/>
      </c>
      <c r="CB400" s="50" t="str">
        <f>IF(Atletas!T391="","",IF(Atletas!X391&lt;&gt;"",10000,0)+IF(Atletas!B391="Feminino",1000,IF(Atletas!B391="Masculino",2000,""))+IF(Atletas!T391="Outra Arma Dupla A",801,IF(Atletas!T391="Arma Maleável A",802,IF(Atletas!T391="Outra Arma Dupla B",803,IF(Atletas!T391="Arma Maleável B",804,IF(Atletas!T391="Outra Arma Dupla C",805,IF(Atletas!T391="Arma Maleável C",806,IF(Atletas!T391="Outra Arma Dupla D",807,IF(Atletas!T391="Arma Maleável D",808,IF(Atletas!T391="Outra Arma Dupla E",809,IF(Atletas!T391="Arma Maleável E",810,IF(Atletas!T391="Outra Arma Dupla F",811,IF(Atletas!T391="Arma Maleável F",812,IF(Atletas!T391="Shuangdao A",813,IF(Atletas!T391="Shuangdao B",814,IF(Atletas!T391="Shuangdao C",815,IF(Atletas!T391="Shuangdao D",816,IF(Atletas!T391="Shuangdao E",817,IF(Atletas!T391="Shuangdao F",818,"")))))))))))))))))))</f>
        <v/>
      </c>
      <c r="CC400" s="50" t="str">
        <f>IF(Atletas!U391="","",IF(Atletas!X391&lt;&gt;"",10000,0)+IF(Atletas!B391="Feminino",1000,IF(Atletas!B391="Masculino",2000,""))+IF(OR(Atletas!U391="Taijijian Yang A",Atletas!U391="Taijijian Yang Standard A"),901,IF(OR(Atletas!U391="Taijijian Chen A", Atletas!U391="Taijijian Chen Standard A"),902,IF(Atletas!U391="Taijijian Sun A",903,IF(Atletas!U391="Taijijian Wu A",904,IF(Atletas!U391="Taijijian Wu-Hao A",905,IF(OR(Atletas!U391="Taijijian 32 A",Atletas!U391="Taijijian 42 A"),906,IF(OR(Atletas!U391="Taijijian Yang B",Atletas!U391="Taijijian Yang Standard B"),907,IF(OR(Atletas!U391="Taijijian Chen B", Atletas!U391="Taijijian Chen Standard B"),908,IF(Atletas!U391="Taijijian Sun B",909,IF(Atletas!U391="Taijijian Wu B",910,IF(Atletas!U391="Taijijian Wu-Hao B",911,IF(OR(Atletas!U391="Taijijian 32 B",Atletas!U391="Taijijian 42 B"),912,IF(OR(Atletas!U391="Taijijian Yang C",Atletas!U391="Taijijian Yang Standard C"),913,IF(OR(Atletas!U391="Taijijian Chen C", Atletas!U391="Taijijian Chen Standard C"),914,IF(Atletas!U391="Taijijian Sun C",915,IF(Atletas!U391="Taijijian Wu C",916,IF(Atletas!U391="Taijijian Wu-Hao C",917,IF(OR(Atletas!U391="Taijijian 32 C",Atletas!U391="Taijijian 42 C"),918,IF(OR(Atletas!U391="Taijijian Yang D",Atletas!U391="Taijijian Yang Standard D"),919,IF(OR(Atletas!U391="Taijijian Chen D", Atletas!U391="Taijijian Chen Standard D"),920,IF(Atletas!U391="Taijijian Sun D",921,IF(Atletas!U391="Taijijian Wu D",922,IF(Atletas!U391="Taijijian Wu-Hao D",923,IF(OR(Atletas!U391="Taijijian 32 D",Atletas!U391="Taijijian 42 D"),924,IF(OR(Atletas!U391="Taijijian Yang E",Atletas!U391="Taijijian Yang Standard E"),925,IF(OR(Atletas!U391="Taijijian Chen E", Atletas!U391="Taijijian Chen Standard E"),926,IF(Atletas!U391="Taijijian Sun E",927,IF(Atletas!U391="Taijijian Wu E",928,IF(Atletas!U391="Taijijian Wu-Hao E",929,IF(OR(Atletas!U391="Taijijian 32 E",Atletas!U391="Taijijian 42 E"),930,IF(OR(Atletas!U391="Taijijian Yang F",Atletas!U391="Taijijian Yang Standard F"),931,IF(OR(Atletas!U391="Taijijian Chen F", Atletas!U391="Taijijian Chen Standard F"),932,IF(Atletas!U391="Taijijian Sun F",933,IF(Atletas!U391="Taijijian Wu F",934,IF(Atletas!U391="Taijijian Wu-Hao F",935,IF(OR(Atletas!U391="Taijijian 32 F",Atletas!U391="Taijijian 42 F"),936,"")))))))))))))))))))))))))))))))))))))</f>
        <v/>
      </c>
      <c r="CD400" s="50" t="str">
        <f>IF(Atletas!V391="","",IF(Atletas!X391&lt;&gt;"",10000,0)+IF(Atletas!B391="Feminino",1000,IF(Atletas!B391="Masculino",2000,""))+IF(Atletas!V391="Taijidao A",937,IF(Atletas!V391="TaijiShanzi A",938,IF(Atletas!V391="Taijiqiang A",939,IF(Atletas!V391="Bagua de Arma A",940,IF(Atletas!V391="Xingyi de Arma A",941,IF(Atletas!V391="Taijidao B",942,IF(Atletas!V391="TaijiShanzi B",943,IF(Atletas!V391="Taijiqiang B",944,IF(Atletas!V391="Bagua de Arma B",945,IF(Atletas!V391="Xingyi de Arma B",946,IF(Atletas!V391="Taijidao C",947,IF(Atletas!V391="TaijiShanzi C",948,IF(Atletas!V391="Taijiqiang C",949,IF(Atletas!V391="Bagua de Arma C",950,IF(Atletas!V391="Xingyi de Arma C",951,IF(Atletas!V391="Taijidao D",952,IF(Atletas!V391="TaijiShanzi D",953,IF(Atletas!V391="Taijiqiang D",954,IF(Atletas!V391="Bagua de Arma D",955,IF(Atletas!V391="Xingyi de Arma D",956,IF(Atletas!V391="Taijidao E",957,IF(Atletas!V391="TaijiShanzi E",958,IF(Atletas!V391="Taijiqiang E",959,IF(Atletas!V391="Bagua de Arma E",960,IF(Atletas!V391="Xingyi de Arma E",961,IF(Atletas!V391="Taijidao F",962,IF(Atletas!V391="TaijiShanzi F",963,IF(Atletas!V391="Taijiqiang F",964,IF(Atletas!V391="Bagua de Arma F",965,IF(Atletas!V391="Xingyi de Arma F",966,"")))))))))))))))))))))))))))))))</f>
        <v/>
      </c>
      <c r="CJ400" s="66"/>
      <c r="CL400" s="66"/>
      <c r="CM400" s="50" t="str">
        <f xml:space="preserve"> IF(Atletas!W391="","",IF(Atletas!W391="Duilian de Mãos BC - Equipe 1",1,IF(Atletas!W391="Duilian de Mãos BC - Equipe 2",2,IF(Atletas!W391="Duilian de Armas BC - Equipe 1",3,IF(Atletas!W391="Duilian de Armas BC - Equipe 2",4,IF(Atletas!W391="Duilian de Mãos DE - Equipe 1",5,IF(Atletas!W391="Duilian de Mãos DE - Equipe 2",6,IF(Atletas!W391="Duilian de Armas DE - Equipe 1",7,IF(Atletas!W391="Duilian de Armas DE - Equipe 2",8,IF(Atletas!W391="Duilian de Tuishou - Equipe 1",9,IF(Atletas!W391="Duilian de Tuishou - Equipe 2",10,IF(Atletas!W391="Grupo Externo ABC - Equipe 1",11,IF(Atletas!W391="Grupo Externo ABC - Equipe 2",12,IF(Atletas!W391="Grupo Interno ABC - Equipe 1",13,IF(Atletas!W391="Grupo Interno ABC - Equipe 2",14,IF(Atletas!W391="Grupo Externo DEF - Equipe 1",15,IF(Atletas!W391="Grupo Externo DEF - Equipe 2",16,IF(Atletas!W391="Grupo Interno DEF - Equipe 1",17,IF(Atletas!W391="Grupo Interno DEF - Equipe 2",18,"")))))))))))))))))))</f>
        <v/>
      </c>
    </row>
    <row r="401" spans="40:91">
      <c r="AN401" s="52" t="str">
        <f>IF(Atletas!D392="","",IF(Atletas!B392="Feminino",100,IF(Atletas!B392="Masculino",200,""))+(IF(Atletas!D392="Kids 30kg",1,IF(Atletas!D392="Kids 32kg",2, IF(Atletas!D392="Kids 34kg",3,IF(Atletas!D392="Kids 36kg",4,IF(Atletas!D392="Kids 39kg",5,IF(Atletas!D392="Kids 42kg",6,IF(Atletas!D392="Kids 45kg",7, IF(Atletas!D392="Infantil 39kg",8,IF(Atletas!D392="Infantil 42kg",9,IF(Atletas!D392="Infantil 45kg",10,IF(Atletas!D392="Infantil 48kg",11,IF(Atletas!D392="Infantil 52kg",12,IF(Atletas!D392="Infantil 56kg",13,IF(Atletas!D392="Infantil 60kg",14,IF(Atletas!D392="Juvenil 48kg",15,IF(Atletas!D392="Juvenil 52kg",16,IF(Atletas!D392="Juvenil 56kg",17,IF(Atletas!D392="Juvenil 60kg",18,IF(Atletas!D392="Juvenil 65kg",19,IF(Atletas!D392="Juvenil 70kg",20,IF(Atletas!D392="Juvenil 75kg",21,IF(Atletas!D392="Juvenil 80kg",22, IF(Atletas!D392="Juvenil 85kg",23,IF(Atletas!D392="Adulto 48kg",24,IF(Atletas!D392="Adulto 52kg",25,IF(Atletas!D392="Adulto 56kg",26,IF(Atletas!D392="Adulto 60kg",27,IF(Atletas!D392="Adulto 65kg",28,IF(Atletas!D392="Adulto 70kg",29,IF(Atletas!D392="Adulto 75kg",30,IF(Atletas!D392="Adulto 80kg",31,IF(Atletas!D392="Adulto 85kg",32,IF(Atletas!D392="Adulto 90kg",33,IF(Atletas!D392="Adulto 100kg",34, IF(Atletas!D392="Adulto +100kg",35,"")))))))))))))))))))))))))))))))))))))</f>
        <v/>
      </c>
      <c r="AS401" s="6" t="str">
        <f>IF(Atletas!E392="","",IF(Atletas!B392="Feminino",100,IF(Atletas!B392="Masculino",200,""))+(IF(Atletas!E392="Juvenil 44kg",1,IF(Atletas!E392="Juvenil 48kg",2,IF(Atletas!E392="Juvenil 52kg",3,IF(Atletas!E392="Juvenil 56kg",4,IF(Atletas!E392="Juvenil 60kg",5,IF(Atletas!E392="Juvenil 65kg",6,IF(Atletas!E392="Juvenil 70kg",7,IF(Atletas!E392="Juvenil 75kg",8,IF(Atletas!E392="Juvenil 82kg",9,IF(Atletas!E392="Juvenil 90kg",10,IF(Atletas!E392="Juvenil 100kg",11,IF(Atletas!E392="Adulto 48kg",12,IF(Atletas!E392="Adulto 52kg",13,IF(Atletas!E392="Adulto 56kg",14,IF(Atletas!E392="Adulto 60kg",15,IF(Atletas!E392="Adulto 65kg",16,IF(Atletas!E392="Adulto 70kg",17,IF(Atletas!E392="Adulto 75kg",18,IF(Atletas!E392="Adulto 82kg",19,IF(Atletas!E392="Adulto 90kg",20,IF(Atletas!E392="Adulto 100kg",21,IF(Atletas!E392="Adulto +100kg",22,""))))))))))))))))))))))))</f>
        <v/>
      </c>
      <c r="AX401" s="6" t="str">
        <f>IF(Atletas!F392="","",IF(Atletas!B392="Feminino",100,IF(Atletas!B392="Masculino",200,""))+(IF(Atletas!F392="Adulto 48kg",1,IF(Atletas!F392="Adulto 56kg",2,IF(Atletas!F392="Adulto 65kg",3,IF(Atletas!F392="Adulto 75kg",4,IF(Atletas!F392="Adulto +75kg",5,IF(Atletas!F392="Adulto 52kg",6,IF(Atletas!F392="Adulto 60kg",7,IF(Atletas!F392="Adulto 70kg",8,IF(Atletas!F392="Adulto 80kg",9,IF(Atletas!F392="Adulto 90kg",10,IF(Atletas!F392="Adulto +90kg",11,"")))))))))))))</f>
        <v/>
      </c>
      <c r="BC401" s="6" t="str">
        <f>IF(Atletas!G392="","",IF(Atletas!B392="Feminino",10,IF(Atletas!B392="Masculino",20,""))+(IF(Atletas!G392="Baduanjin A",1,IF(Atletas!G392="Baduanjin B",2))))</f>
        <v/>
      </c>
      <c r="BF401" s="52" t="str">
        <f>IF(Atletas!H392="","",IF(Atletas!B392="Feminino",100,IF(Atletas!B392="Masculino",200,""))+(IF(Atletas!H392="Changquan Mirim",1,IF(Atletas!H392="Nanquan Mirim",2,IF(Atletas!H392="Taijiquan Mirim",3,IF(Atletas!H392="Changquan Grupo C",4,IF(Atletas!H392="Nanquan Grupo C",5,IF(Atletas!H392="Taijiquan Grupo C",6,IF(Atletas!H392="Changquan Grupo B",7,IF(Atletas!H392="Nanquan Grupo B",8,IF(Atletas!H392="Taijiquan Grupo B",9,IF(Atletas!H392="Changquan Grupo A",10,IF(Atletas!H392="Nanquan Grupo A",11,IF(Atletas!H392="Taijiquan Grupo A",12,IF(Atletas!H392="Changquan Opcional",13,IF(Atletas!H392="Nanquan Opcional",14,IF(Atletas!H392="Taijiquan Opcional",15,IF(Atletas!H392="Changquan Adulto",16,IF(Atletas!H392="Nanquan Adulto",17,IF(Atletas!H392="Taijiquan Adulto",18,""))))))))))))))))))))</f>
        <v/>
      </c>
      <c r="BG401" s="52" t="str">
        <f>IF(Atletas!I392="","",IF(Atletas!B392="Feminino",100,IF(Atletas!B392="Masculino",200,""))+(IF(Atletas!I392="Daoshu Mirim",19,IF(Atletas!I392="Jianshu Mirim",20,IF(Atletas!I392="Nandao Mirim",21,IF(Atletas!I392="Taijijian Mirim",22,IF(Atletas!I392="Daoshu Grupo C",23,IF(Atletas!I392="Jianshu Grupo C",24,IF(Atletas!I392="Nandao Grupo C",25,IF(Atletas!I392="Taijijian Grupo C",26,IF(Atletas!I392="Daoshu Grupo B",27,IF(Atletas!I392="Jianshu Grupo B",28,IF(Atletas!I392="Nandao Grupo B",29,IF(Atletas!I392="Taijijian Grupo B",30,IF(Atletas!I392="Daoshu Grupo A",31,IF(Atletas!I392="Jianshu Grupo A",32,IF(Atletas!I392="Nandao Grupo A",33,IF(Atletas!I392="Taijijian Grupo A",34,IF(Atletas!I392="Daoshu Opcional",35,IF(Atletas!I392="Jianshu Opcional",36,IF(Atletas!I392="Nandao Opcional",37,IF(Atletas!I392="Taijijian Opcional",38,IF(Atletas!I392="Daoshu Adulto",39,IF(Atletas!I392="Jianshu Adulto",40,IF(Atletas!I392="Nandao Adulto",41,IF(Atletas!I392="Taijijian Adulto",42,""))))))))))))))))))))))))))</f>
        <v/>
      </c>
      <c r="BH401" s="52" t="str">
        <f>IF(Atletas!J392="","",IF(Atletas!B392="Feminino",100,IF(Atletas!B392="Masculino",200,""))+(IF(Atletas!J392="Gunshu Mirim",43,IF(Atletas!J392="Qiangshu Mirim",44,IF(Atletas!J392="Nangun Mirim",45,IF(Atletas!J392="Gunshu Grupo C",46,IF(Atletas!J392="Qiangshu Grupo C",47,IF(Atletas!J392="Nangun Grupo C",48,IF(Atletas!J392="Gunshu Grupo B",49,IF(Atletas!J392="Qiangshu Grupo B",50,IF(Atletas!J392="Nangun Grupo B",51,IF(Atletas!J392="Gunshu Grupo A",52,IF(Atletas!J392="Qiangshu Grupo A",53,IF(Atletas!J392="Nangun Grupo A",54,IF(Atletas!J392="Gunshu Opcional",55,IF(Atletas!J392="Qiangshu Opcional",56,IF(Atletas!J392="Nangun Opcional",57,IF(Atletas!J392="Gunshu Adulto",58,IF(Atletas!J392="Qiangshu Adulto",59,IF(Atletas!J392="Nangun Adulto",60,IF(Atletas!J392="Taijishan Grupo B",61,IF(Atletas!J392="Taijishan Grupo A",62,""))))))))))))))))))))))</f>
        <v/>
      </c>
      <c r="BM401" s="50" t="str">
        <f>IF(Atletas!K392="","",IF(Atletas!B392="Feminino",100,IF(Atletas!B392="Masculino",200,""))+(IF(Atletas!K392="Equipe 1 Grupo B",1,IF(Atletas!K392="Equipe 2 Grupo B",2,IF(Atletas!K392="Equipe 1 Grupo A",3,IF(Atletas!K392="Equipe 2 Grupo A",4,IF(Atletas!K392="Equipe 1 Adulto",5,IF(Atletas!K392="Equipe 2 Adulto",6,""))))))))</f>
        <v/>
      </c>
      <c r="BR401" s="50" t="str">
        <f>IF(Atletas!L392="","",IF(Atletas!X392&lt;&gt;"",10000,0)+(IF(Atletas!B392="Feminino",1000,IF(Atletas!B392="Masculino",2000,""))+IF(Atletas!L392="Choylayfut A",1,IF(Atletas!L392="Hunggar A",2,IF(Atletas!L392="Wuzuquan A",3,IF(Atletas!L392="Wingchun A",4,IF(Atletas!L392="Outra Mão de Sul A",5,IF(Atletas!L392="Choylayfut B",6,IF(Atletas!L392="Hunggar B",7,IF(Atletas!L392="Wuzuquan B",8,IF(Atletas!L392="Wingchun B",9,IF(Atletas!L392="Outra Mão de Sul B",10,IF(Atletas!L392="Choylayfut C",11,IF(Atletas!L392="Hunggar C",12,IF(Atletas!L392="Wuzuquan C",13,IF(Atletas!L392="Wingchun C",14,IF(Atletas!L392="Outra Mão de Sul C",15,IF(Atletas!L392="Choylayfut D",16,IF(Atletas!L392="Hunggar D",17,IF(Atletas!L392="Wuzuquan D",18,IF(Atletas!L392="Wingchun D",19,IF(Atletas!L392="Outra Mão de Sul D",20,IF(Atletas!L392="Choylayfut E",21,IF(Atletas!L392="Hunggar E",22,IF(Atletas!L392="Wuzuquan E",23,IF(Atletas!L392="Wingchun E",24,IF(Atletas!L392="Outra Mão de Sul E",25,IF(Atletas!L392="Choylayfut F",26,IF(Atletas!L392="Hunggar F",27,IF(Atletas!L392="Wuzuquan F",28,IF(Atletas!L392="Wingchun F",29,IF(Atletas!L392="Outra Mão de Sul F",30,IF(Atletas!L392="Dishuquan A",31,IF(Atletas!L392="Dishuquan B",32,IF(Atletas!L392="Dishuquan C",33,IF(Atletas!L392="Dishuquan D",34,IF(Atletas!L392="Dishuquan E",35,IF(Atletas!L392="Dishuquan F",36,""))))))))))))))))))))))))))))))))))))))</f>
        <v/>
      </c>
      <c r="BS401" s="50" t="str">
        <f>IF(Atletas!M392="","",IF(Atletas!X392&lt;&gt;"",10000,0)+(IF(Atletas!B392="Feminino",1000,IF(Atletas!B392="Masculino",2000,""))+(IF(Atletas!M392="Chaquan A",101,IF(Atletas!M392="Emeiquan A",102,IF(Atletas!M392="Fanziquan A",103,IF(Atletas!M392="Huaquan A",104,IF(Atletas!M392="Hongquan A",105,IF(Atletas!M392="Paoquan A",106,IF(Atletas!M392="Piguaquan A",107,IF(Atletas!M392="Shaolinquan A",108,IF(Atletas!M392="Tanglangquan A",109,IF(Atletas!M392="Yingzhaoquan A",110,IF(Atletas!M392="Tongbeiquan A",111,IF(Atletas!M392="Wudangquan A",112,IF(Atletas!M392="Outros Estilos A",113,IF(Atletas!M392="Chaquan B",114,IF(Atletas!M392="Emeiquan B",115,IF(Atletas!M392="Fanziquan B",116,IF(Atletas!M392="Huaquan B",117,IF(Atletas!M392="Hongquan B",118,IF(Atletas!M392="Paoquan B",119,IF(Atletas!M392="Piguaquan B",120,IF(Atletas!M392="Shaolinquan B",121,IF(Atletas!M392="Tanglangquan B",122,IF(Atletas!M392="Yingzhaoquan B",123,IF(Atletas!M392="Tongbeiquan B",124,IF(Atletas!M392="Wudangquan B",125,IF(Atletas!M392="Outros Estilos B",126,IF(Atletas!M392="Chaquan C",127,IF(Atletas!M392="Emeiquan C",128,IF(Atletas!M392="Fanziquan C",129,IF(Atletas!M392="Huaquan C",130,IF(Atletas!M392="Hongquan C",131,IF(Atletas!M392="Paoquan C",132,IF(Atletas!M392="Piguaquan C",133,IF(Atletas!M392="Shaolinquan C",134,IF(Atletas!M392="Tanglangquan C",135,IF(Atletas!M392="Yingzhaoquan C",136,IF(Atletas!M392="Tongbeiquan C",137,IF(Atletas!M392="Wudangquan C",138,IF(Atletas!M392="Outros Estilos C",139,0))))))))))))))))))))))))))))))))))))))))))</f>
        <v/>
      </c>
      <c r="BT401" s="50" t="str">
        <f>IF(Atletas!M392="","",IF(Atletas!X392&lt;&gt;"",10000,0)+(IF(Atletas!B392="Feminino",1000,IF(Atletas!B392="Masculino",2000,""))+(IF(Atletas!M392="Chaquan D",140,IF(Atletas!M392="Emeiquan D",141,IF(Atletas!M392="Fanziquan D",142,IF(Atletas!M392="Huaquan D",143,IF(Atletas!M392="Hongquan D",144,IF(Atletas!M392="Paoquan D",145,IF(Atletas!M392="Piguaquan D",146,IF(Atletas!M392="Shaolinquan D",147,IF(Atletas!M392="Tanglangquan D",148,IF(Atletas!M392="Yingzhaoquan D",149,IF(Atletas!M392="Tongbeiquan D",150,IF(Atletas!M392="Wudangquan D",151,IF(Atletas!M392="Outros Estilos D",152,IF(Atletas!M392="Chaquan E",153,IF(Atletas!M392="Emeiquan E",154,IF(Atletas!M392="Fanziquan E",155,IF(Atletas!M392="Huaquan E",156,IF(Atletas!M392="Hongquan E",157,IF(Atletas!M392="Paoquan E",158,IF(Atletas!M392="Piguaquan E",159,IF(Atletas!M392="Shaolinquan E",160,IF(Atletas!M392="Tanglangquan E",161,IF(Atletas!M392="Yingzhaoquan E",162,IF(Atletas!M392="Tongbeiquan E",163,IF(Atletas!M392="Wudangquan E",164,IF(Atletas!M392="Outros Estilos E",165,IF(Atletas!M392="Chaquan F",166,IF(Atletas!M392="Emeiquan F",167,IF(Atletas!M392="Fanziquan F",168,IF(Atletas!M392="Huaquan F",169,IF(Atletas!M392="Hongquan F",170,IF(Atletas!M392="Paoquan F",171,IF(Atletas!M392="Piguaquan F",172,IF(Atletas!M392="Shaolinquan F",173,IF(Atletas!M392="Tanglangquan F",174,IF(Atletas!M392="Yingzhaoquan F",175,IF(Atletas!M392="Tongbeiquan F",176,IF(Atletas!M392="Wudangquan F",177,IF(Atletas!M392="Outros Estilos F",178,0))))))))))))))))))))))))))))))))))))))))))</f>
        <v/>
      </c>
      <c r="BU401" s="50" t="str">
        <f>IF(Atletas!N392="","",IF(Atletas!X392&lt;&gt;"",10000,0)+(IF(Atletas!B392="Feminino",1000,IF(Atletas!B392="Masculino",2000,""))+(IF(Atletas!N392="Ditangquan A",201,IF(Atletas!N392="Houquan A",202,IF(Atletas!N392="Zuiquan A",203,IF(Atletas!N392="Ditangquan B",204,IF(Atletas!N392="Houquan B",205,IF(Atletas!N392="Zuiquan B",206,IF(Atletas!N392="Ditangquan C",207,IF(Atletas!N392="Houquan C",208,IF(Atletas!N392="Zuiquan C",209,IF(Atletas!N392="Ditangquan D",210,IF(Atletas!N392="Houquan D",211,IF(Atletas!N392="Zuiquan D",212,IF(Atletas!N392="Ditangquan E",213,IF(Atletas!N392="Houquan E",214,IF(Atletas!N392="Zuiquan E",215,IF(Atletas!N392="Ditangquan F",216,IF(Atletas!N392="Houquan F",217,IF(Atletas!N392="Zuiquan F",218,"")))))))))))))))))))))</f>
        <v/>
      </c>
      <c r="BV401" s="50" t="str">
        <f>IF(Atletas!O392="","",IF(Atletas!X392&lt;&gt;"",10000,0)+IF(Atletas!B392="Feminino",1000,IF(Atletas!B392="Masculino",2000,""))+IF(Atletas!O392="Yang A",301,IF(Atletas!O392="Chen A",302,IF(Atletas!O392="Sun A",303,IF(Atletas!O392="Wu A",304,IF(Atletas!O392="Wu-Hao A",305,IF(Atletas!O392="Outro Taijiquan A",306,IF(Atletas!O392="Yang B",307,IF(Atletas!O392="Chen B",308,IF(Atletas!O392="Sun B",309,IF(Atletas!O392="Wu B",310,IF(Atletas!O392="Wu-Hao B",311,IF(Atletas!O392="Outro Taijiquan B",312,IF(Atletas!O392="Yang C",313,IF(Atletas!O392="Chen C",314,IF(Atletas!O392="Sun C",315,IF(Atletas!O392="Wu C",316,IF(Atletas!O392="Wu-Hao C",317,IF(Atletas!O392="Outro Taijiquan C",318,IF(Atletas!O392="Yang D",319,IF(Atletas!O392="Chen D",320,IF(Atletas!O392="Sun D",321,IF(Atletas!O392="Wu D",322,IF(Atletas!O392="Wu-Hao D",323,IF(Atletas!O392="Outro Taijiquan D",324,IF(Atletas!O392="Yang E",325,IF(Atletas!O392="Chen E",326,IF(Atletas!O392="Sun E",327,IF(Atletas!O392="Wu E",328,IF(Atletas!O392="Wu-Hao E",329,IF(Atletas!O392="Outro Taijiquan E",330,IF(Atletas!O392="Yang F",331,IF(Atletas!O392="Chen F",332,IF(Atletas!O392="Sun F",333,IF(Atletas!O392="Wu F",334,IF(Atletas!O392="Wu-Hao F",335,IF(Atletas!O392="Outro Taijiquan F",336,"")))))))))))))))))))))))))))))))))))))</f>
        <v/>
      </c>
      <c r="BW401" s="50" t="str">
        <f>IF(Atletas!P392="","",IF(Atletas!X392&lt;&gt;"",10000,0)+IF(Atletas!B392="Feminino",1000,IF(Atletas!B392="Masculino",2000,""))+IF(OR(Atletas!P392="Yang 26 A",Atletas!P392="Yang 40 A"),401,IF(OR(Atletas!P392="Chen 25 A",Atletas!P392="Chen 36 A",Atletas!P392="Chen 56 A"),402,IF(Atletas!P392="Sun 73 A",403,IF(Atletas!P392="Wu 45 A",404,IF(Atletas!P392="Wu-Hao 46 A",405,IF(OR(Atletas!P392="Taijiquan 16 A",Atletas!P392="Taijiquan 24 A",Atletas!P392="Taijiquan 32 A",Atletas!P392="Taijiquan 42 A"),406,IF(OR(Atletas!P392="Yang 26 B",Atletas!P392="Yang 40 B"),407,IF(OR(Atletas!P392="Chen 25 B",Atletas!P392="Chen 36 B",Atletas!P392="Chen 56 B"),408,IF(Atletas!P392="Sun 73 B",409,IF(Atletas!P392="Wu 45 B",410,IF(Atletas!P392="Wu-Hao 46 B",411,IF(OR(Atletas!P392="Taijiquan 16 B",Atletas!P392="Taijiquan 24 B",Atletas!P392="Taijiquan 32 B",Atletas!P392="Taijiquan 42 B"),412,IF(OR(Atletas!P392="Yang 26 C",Atletas!P392="Yang 40 C"),413,IF(OR(Atletas!P392="Chen 25 C",Atletas!P392="Chen 36 C",Atletas!P392="Chen 56 C"),414,IF(Atletas!P392="Sun 73 C",415,IF(Atletas!P392="Wu 45 C",416,IF(Atletas!P392="Wu-Hao 46 C",417,IF(OR(Atletas!P392="Taijiquan 16 C",Atletas!P392="Taijiquan 24 C",Atletas!P392="Taijiquan 32 C",Atletas!P392="Taijiquan 42 C"),418,0)))))))))))))))))))</f>
        <v/>
      </c>
      <c r="BX401" s="50" t="str">
        <f>IF(Atletas!P392="","",IF(Atletas!X392&lt;&gt;"",10000,0)+IF(Atletas!B392="Feminino",1000,IF(Atletas!B392="Masculino",2000,""))+IF(OR(Atletas!P392="Yang 26 D",Atletas!P392="Yang 40 D"),419,IF(OR(Atletas!P392="Chen 25 D",Atletas!P392="Chen 36 D",Atletas!P392="Chen 56 D"),420,IF(Atletas!P392="Sun 73 D",421,IF(Atletas!P392="Wu 45 D",422,IF(Atletas!P392="Wu-Hao 46 D",423,IF(OR(Atletas!P392="Taijiquan 16 D",Atletas!P392="Taijiquan 24 D",Atletas!P392="Taijiquan 32 D",Atletas!P392="Taijiquan 42 D"),424,IF(OR(Atletas!P392="Yang 26 E",Atletas!P392="Yang 40 E"),425,IF(OR(Atletas!P392="Chen 25 E",Atletas!P392="Chen 36 E",Atletas!P392="Chen 56 E"),426,IF(Atletas!P392="Sun 73 E",427,IF(Atletas!P392="Wu 45 E",428,IF(Atletas!P392="Wu-Hao 46 E",429,IF(OR(Atletas!P392="Taijiquan 16 E",Atletas!P392="Taijiquan 24 E",Atletas!P392="Taijiquan 32 E",Atletas!P392="Taijiquan 42 E"),430,IF(OR(Atletas!P392="Yang 26 F",Atletas!P392="Yang 40 F"),431,IF(OR(Atletas!P392="Chen 25 F",Atletas!P392="Chen 36 F",Atletas!P392="Chen 56 F"),432,IF(Atletas!P392="Sun 73 F",433,IF(Atletas!P392="Wu 45 F",434,IF(Atletas!P392="Wu-Hao 46 F",435,IF(OR(Atletas!P392="Taijiquan 16 F",Atletas!P392="Taijiquan 24 F",Atletas!P392="Taijiquan 32 F",Atletas!P392="Taijiquan 42 F"),436,0)))))))))))))))))))</f>
        <v/>
      </c>
      <c r="BY401" s="50" t="str">
        <f>IF(Atletas!Q392="","",IF(Atletas!X392&lt;&gt;"",10000,0)+IF(Atletas!B392="Feminino",1000,IF(Atletas!B392="Masculino",2000,""))+IF(Atletas!Q392="Xingyiquan A",501,IF(Atletas!Q392="Baguazhang A",502,IF(Atletas!Q392="Outro Estilo Interno A",503,IF(Atletas!Q392="Xingyiquan B",504,IF(Atletas!Q392="Baguazhang B",505,IF(Atletas!Q392="Outro Estilo Interno B",506,IF(Atletas!Q392="Xingyiquan C",507,IF(Atletas!Q392="Baguazhang C",508,IF(Atletas!Q392="Outro Estilo Interno C",509,IF(Atletas!Q392="Xingyiquan D",510,IF(Atletas!Q392="Baguazhang D",511,IF(Atletas!Q392="Outro Estilo Interno D",512,IF(Atletas!Q392="Xingyiquan E",513,IF(Atletas!Q392="Baguazhang E",514,IF(Atletas!Q392="Outro Estilo Interno E",515,IF(Atletas!Q392="Xingyiquan F",516,IF(Atletas!Q392="Baguazhang F",517,IF(Atletas!Q392="Outro Estilo Interno F",518, "")))))))))))))))))))</f>
        <v/>
      </c>
      <c r="BZ401" s="50" t="str">
        <f>IF(Atletas!R392="","",IF(Atletas!X392&lt;&gt;"",10000,0)+IF(Atletas!B392="Feminino",1000,IF(Atletas!B392="Masculino",2000,""))+IF(Atletas!R392="Dao A",601,IF(Atletas!R392="Jian A",602,IF(Atletas!R392="Bishou A",603,IF(Atletas!R392="Shanzi A",604,IF(Atletas!R392="Outra Arma Curta A",605,IF(Atletas!R392="Dao B",606,IF(Atletas!R392="Jian B",607,IF(Atletas!R392="Bishou B",608,IF(Atletas!R392="Shanzi B",609,IF(Atletas!R392="Outra Arma Curta B",610,IF(Atletas!R392="Dao C",611,IF(Atletas!R392="Jian C",612,IF(Atletas!R392="Bishou C",613,IF(Atletas!R392="Shanzi C",614,IF(Atletas!R392="Outra Arma Curta C",615,IF(Atletas!R392="Dao D",616,IF(Atletas!R392="Jian D",617,IF(Atletas!R392="Bishou D",618,IF(Atletas!R392="Shanzi D",619,IF(Atletas!R392="Outra Arma Curta D",620,IF(Atletas!R392="Dao E",621,IF(Atletas!R392="Jian E",622,IF(Atletas!R392="Bishou E",623,IF(Atletas!R392="Shanzi E",624,IF(Atletas!R392="Outra Arma Curta E",625,IF(Atletas!R392="Dao F",626,IF(Atletas!R392="Jian F",627,IF(Atletas!R392="Bishou F",628,IF(Atletas!R392="Shanzi F",629,IF(Atletas!R392="Outra Arma Curta F",630, "")))))))))))))))))))))))))))))))</f>
        <v/>
      </c>
      <c r="CA401" s="50" t="str">
        <f>IF(Atletas!S392="","",IF(Atletas!X392&lt;&gt;"",10000,0)+IF(Atletas!B392="Feminino",1000,IF(Atletas!B392="Masculino",2000,""))+IF(Atletas!S392="Gun A",701,IF(Atletas!S392="Qiang A",702,IF(Atletas!S392="Pudao / Guandao A",703,IF(Atletas!S392="Outra Arma Longa A",704,IF(Atletas!S392="Gun B",705,IF(Atletas!S392="Qiang B",706,IF(Atletas!S392="Pudao / Guandao B",707,IF(Atletas!S392="Outra Arma Longa B",708,IF(Atletas!S392="Gun C",709,IF(Atletas!S392="Qiang C",710,IF(Atletas!S392="Pudao / Guandao C",711,IF(Atletas!S392="Outra Arma Longa C",712,IF(Atletas!S392="Gun D",713,IF(Atletas!S392="Qiang D",714,IF(Atletas!S392="Pudao / Guandao D",715,IF(Atletas!S392="Outra Arma Longa D",716,IF(Atletas!S392="Gun E",717,IF(Atletas!S392="Qiang E",718,IF(Atletas!S392="Pudao / Guandao E",719,IF(Atletas!S392="Outra Arma Longa E",720,IF(Atletas!S392="Gun F",721,IF(Atletas!S392="Qiang F",722,IF(Atletas!S392="Pudao / Guandao F",723,IF(Atletas!S392="Outra Arma Longa F",724,"")))))))))))))))))))))))))</f>
        <v/>
      </c>
      <c r="CB401" s="50" t="str">
        <f>IF(Atletas!T392="","",IF(Atletas!X392&lt;&gt;"",10000,0)+IF(Atletas!B392="Feminino",1000,IF(Atletas!B392="Masculino",2000,""))+IF(Atletas!T392="Outra Arma Dupla A",801,IF(Atletas!T392="Arma Maleável A",802,IF(Atletas!T392="Outra Arma Dupla B",803,IF(Atletas!T392="Arma Maleável B",804,IF(Atletas!T392="Outra Arma Dupla C",805,IF(Atletas!T392="Arma Maleável C",806,IF(Atletas!T392="Outra Arma Dupla D",807,IF(Atletas!T392="Arma Maleável D",808,IF(Atletas!T392="Outra Arma Dupla E",809,IF(Atletas!T392="Arma Maleável E",810,IF(Atletas!T392="Outra Arma Dupla F",811,IF(Atletas!T392="Arma Maleável F",812,IF(Atletas!T392="Shuangdao A",813,IF(Atletas!T392="Shuangdao B",814,IF(Atletas!T392="Shuangdao C",815,IF(Atletas!T392="Shuangdao D",816,IF(Atletas!T392="Shuangdao E",817,IF(Atletas!T392="Shuangdao F",818,"")))))))))))))))))))</f>
        <v/>
      </c>
      <c r="CC401" s="50" t="str">
        <f>IF(Atletas!U392="","",IF(Atletas!X392&lt;&gt;"",10000,0)+IF(Atletas!B392="Feminino",1000,IF(Atletas!B392="Masculino",2000,""))+IF(OR(Atletas!U392="Taijijian Yang A",Atletas!U392="Taijijian Yang Standard A"),901,IF(OR(Atletas!U392="Taijijian Chen A", Atletas!U392="Taijijian Chen Standard A"),902,IF(Atletas!U392="Taijijian Sun A",903,IF(Atletas!U392="Taijijian Wu A",904,IF(Atletas!U392="Taijijian Wu-Hao A",905,IF(OR(Atletas!U392="Taijijian 32 A",Atletas!U392="Taijijian 42 A"),906,IF(OR(Atletas!U392="Taijijian Yang B",Atletas!U392="Taijijian Yang Standard B"),907,IF(OR(Atletas!U392="Taijijian Chen B", Atletas!U392="Taijijian Chen Standard B"),908,IF(Atletas!U392="Taijijian Sun B",909,IF(Atletas!U392="Taijijian Wu B",910,IF(Atletas!U392="Taijijian Wu-Hao B",911,IF(OR(Atletas!U392="Taijijian 32 B",Atletas!U392="Taijijian 42 B"),912,IF(OR(Atletas!U392="Taijijian Yang C",Atletas!U392="Taijijian Yang Standard C"),913,IF(OR(Atletas!U392="Taijijian Chen C", Atletas!U392="Taijijian Chen Standard C"),914,IF(Atletas!U392="Taijijian Sun C",915,IF(Atletas!U392="Taijijian Wu C",916,IF(Atletas!U392="Taijijian Wu-Hao C",917,IF(OR(Atletas!U392="Taijijian 32 C",Atletas!U392="Taijijian 42 C"),918,IF(OR(Atletas!U392="Taijijian Yang D",Atletas!U392="Taijijian Yang Standard D"),919,IF(OR(Atletas!U392="Taijijian Chen D", Atletas!U392="Taijijian Chen Standard D"),920,IF(Atletas!U392="Taijijian Sun D",921,IF(Atletas!U392="Taijijian Wu D",922,IF(Atletas!U392="Taijijian Wu-Hao D",923,IF(OR(Atletas!U392="Taijijian 32 D",Atletas!U392="Taijijian 42 D"),924,IF(OR(Atletas!U392="Taijijian Yang E",Atletas!U392="Taijijian Yang Standard E"),925,IF(OR(Atletas!U392="Taijijian Chen E", Atletas!U392="Taijijian Chen Standard E"),926,IF(Atletas!U392="Taijijian Sun E",927,IF(Atletas!U392="Taijijian Wu E",928,IF(Atletas!U392="Taijijian Wu-Hao E",929,IF(OR(Atletas!U392="Taijijian 32 E",Atletas!U392="Taijijian 42 E"),930,IF(OR(Atletas!U392="Taijijian Yang F",Atletas!U392="Taijijian Yang Standard F"),931,IF(OR(Atletas!U392="Taijijian Chen F", Atletas!U392="Taijijian Chen Standard F"),932,IF(Atletas!U392="Taijijian Sun F",933,IF(Atletas!U392="Taijijian Wu F",934,IF(Atletas!U392="Taijijian Wu-Hao F",935,IF(OR(Atletas!U392="Taijijian 32 F",Atletas!U392="Taijijian 42 F"),936,"")))))))))))))))))))))))))))))))))))))</f>
        <v/>
      </c>
      <c r="CD401" s="50" t="str">
        <f>IF(Atletas!V392="","",IF(Atletas!X392&lt;&gt;"",10000,0)+IF(Atletas!B392="Feminino",1000,IF(Atletas!B392="Masculino",2000,""))+IF(Atletas!V392="Taijidao A",937,IF(Atletas!V392="TaijiShanzi A",938,IF(Atletas!V392="Taijiqiang A",939,IF(Atletas!V392="Bagua de Arma A",940,IF(Atletas!V392="Xingyi de Arma A",941,IF(Atletas!V392="Taijidao B",942,IF(Atletas!V392="TaijiShanzi B",943,IF(Atletas!V392="Taijiqiang B",944,IF(Atletas!V392="Bagua de Arma B",945,IF(Atletas!V392="Xingyi de Arma B",946,IF(Atletas!V392="Taijidao C",947,IF(Atletas!V392="TaijiShanzi C",948,IF(Atletas!V392="Taijiqiang C",949,IF(Atletas!V392="Bagua de Arma C",950,IF(Atletas!V392="Xingyi de Arma C",951,IF(Atletas!V392="Taijidao D",952,IF(Atletas!V392="TaijiShanzi D",953,IF(Atletas!V392="Taijiqiang D",954,IF(Atletas!V392="Bagua de Arma D",955,IF(Atletas!V392="Xingyi de Arma D",956,IF(Atletas!V392="Taijidao E",957,IF(Atletas!V392="TaijiShanzi E",958,IF(Atletas!V392="Taijiqiang E",959,IF(Atletas!V392="Bagua de Arma E",960,IF(Atletas!V392="Xingyi de Arma E",961,IF(Atletas!V392="Taijidao F",962,IF(Atletas!V392="TaijiShanzi F",963,IF(Atletas!V392="Taijiqiang F",964,IF(Atletas!V392="Bagua de Arma F",965,IF(Atletas!V392="Xingyi de Arma F",966,"")))))))))))))))))))))))))))))))</f>
        <v/>
      </c>
      <c r="CJ401" s="66"/>
      <c r="CL401" s="66"/>
      <c r="CM401" s="50" t="str">
        <f xml:space="preserve"> IF(Atletas!W392="","",IF(Atletas!W392="Duilian de Mãos BC - Equipe 1",1,IF(Atletas!W392="Duilian de Mãos BC - Equipe 2",2,IF(Atletas!W392="Duilian de Armas BC - Equipe 1",3,IF(Atletas!W392="Duilian de Armas BC - Equipe 2",4,IF(Atletas!W392="Duilian de Mãos DE - Equipe 1",5,IF(Atletas!W392="Duilian de Mãos DE - Equipe 2",6,IF(Atletas!W392="Duilian de Armas DE - Equipe 1",7,IF(Atletas!W392="Duilian de Armas DE - Equipe 2",8,IF(Atletas!W392="Duilian de Tuishou - Equipe 1",9,IF(Atletas!W392="Duilian de Tuishou - Equipe 2",10,IF(Atletas!W392="Grupo Externo ABC - Equipe 1",11,IF(Atletas!W392="Grupo Externo ABC - Equipe 2",12,IF(Atletas!W392="Grupo Interno ABC - Equipe 1",13,IF(Atletas!W392="Grupo Interno ABC - Equipe 2",14,IF(Atletas!W392="Grupo Externo DEF - Equipe 1",15,IF(Atletas!W392="Grupo Externo DEF - Equipe 2",16,IF(Atletas!W392="Grupo Interno DEF - Equipe 1",17,IF(Atletas!W392="Grupo Interno DEF - Equipe 2",18,"")))))))))))))))))))</f>
        <v/>
      </c>
    </row>
    <row r="402" spans="40:91">
      <c r="AN402" s="52" t="str">
        <f>IF(Atletas!D393="","",IF(Atletas!B393="Feminino",100,IF(Atletas!B393="Masculino",200,""))+(IF(Atletas!D393="Kids 30kg",1,IF(Atletas!D393="Kids 32kg",2, IF(Atletas!D393="Kids 34kg",3,IF(Atletas!D393="Kids 36kg",4,IF(Atletas!D393="Kids 39kg",5,IF(Atletas!D393="Kids 42kg",6,IF(Atletas!D393="Kids 45kg",7, IF(Atletas!D393="Infantil 39kg",8,IF(Atletas!D393="Infantil 42kg",9,IF(Atletas!D393="Infantil 45kg",10,IF(Atletas!D393="Infantil 48kg",11,IF(Atletas!D393="Infantil 52kg",12,IF(Atletas!D393="Infantil 56kg",13,IF(Atletas!D393="Infantil 60kg",14,IF(Atletas!D393="Juvenil 48kg",15,IF(Atletas!D393="Juvenil 52kg",16,IF(Atletas!D393="Juvenil 56kg",17,IF(Atletas!D393="Juvenil 60kg",18,IF(Atletas!D393="Juvenil 65kg",19,IF(Atletas!D393="Juvenil 70kg",20,IF(Atletas!D393="Juvenil 75kg",21,IF(Atletas!D393="Juvenil 80kg",22, IF(Atletas!D393="Juvenil 85kg",23,IF(Atletas!D393="Adulto 48kg",24,IF(Atletas!D393="Adulto 52kg",25,IF(Atletas!D393="Adulto 56kg",26,IF(Atletas!D393="Adulto 60kg",27,IF(Atletas!D393="Adulto 65kg",28,IF(Atletas!D393="Adulto 70kg",29,IF(Atletas!D393="Adulto 75kg",30,IF(Atletas!D393="Adulto 80kg",31,IF(Atletas!D393="Adulto 85kg",32,IF(Atletas!D393="Adulto 90kg",33,IF(Atletas!D393="Adulto 100kg",34, IF(Atletas!D393="Adulto +100kg",35,"")))))))))))))))))))))))))))))))))))))</f>
        <v/>
      </c>
      <c r="AS402" s="6" t="str">
        <f>IF(Atletas!E393="","",IF(Atletas!B393="Feminino",100,IF(Atletas!B393="Masculino",200,""))+(IF(Atletas!E393="Juvenil 44kg",1,IF(Atletas!E393="Juvenil 48kg",2,IF(Atletas!E393="Juvenil 52kg",3,IF(Atletas!E393="Juvenil 56kg",4,IF(Atletas!E393="Juvenil 60kg",5,IF(Atletas!E393="Juvenil 65kg",6,IF(Atletas!E393="Juvenil 70kg",7,IF(Atletas!E393="Juvenil 75kg",8,IF(Atletas!E393="Juvenil 82kg",9,IF(Atletas!E393="Juvenil 90kg",10,IF(Atletas!E393="Juvenil 100kg",11,IF(Atletas!E393="Adulto 48kg",12,IF(Atletas!E393="Adulto 52kg",13,IF(Atletas!E393="Adulto 56kg",14,IF(Atletas!E393="Adulto 60kg",15,IF(Atletas!E393="Adulto 65kg",16,IF(Atletas!E393="Adulto 70kg",17,IF(Atletas!E393="Adulto 75kg",18,IF(Atletas!E393="Adulto 82kg",19,IF(Atletas!E393="Adulto 90kg",20,IF(Atletas!E393="Adulto 100kg",21,IF(Atletas!E393="Adulto +100kg",22,""))))))))))))))))))))))))</f>
        <v/>
      </c>
      <c r="AX402" s="6" t="str">
        <f>IF(Atletas!F393="","",IF(Atletas!B393="Feminino",100,IF(Atletas!B393="Masculino",200,""))+(IF(Atletas!F393="Adulto 48kg",1,IF(Atletas!F393="Adulto 56kg",2,IF(Atletas!F393="Adulto 65kg",3,IF(Atletas!F393="Adulto 75kg",4,IF(Atletas!F393="Adulto +75kg",5,IF(Atletas!F393="Adulto 52kg",6,IF(Atletas!F393="Adulto 60kg",7,IF(Atletas!F393="Adulto 70kg",8,IF(Atletas!F393="Adulto 80kg",9,IF(Atletas!F393="Adulto 90kg",10,IF(Atletas!F393="Adulto +90kg",11,"")))))))))))))</f>
        <v/>
      </c>
      <c r="BC402" s="6" t="str">
        <f>IF(Atletas!G393="","",IF(Atletas!B393="Feminino",10,IF(Atletas!B393="Masculino",20,""))+(IF(Atletas!G393="Baduanjin A",1,IF(Atletas!G393="Baduanjin B",2))))</f>
        <v/>
      </c>
      <c r="BF402" s="52" t="str">
        <f>IF(Atletas!H393="","",IF(Atletas!B393="Feminino",100,IF(Atletas!B393="Masculino",200,""))+(IF(Atletas!H393="Changquan Mirim",1,IF(Atletas!H393="Nanquan Mirim",2,IF(Atletas!H393="Taijiquan Mirim",3,IF(Atletas!H393="Changquan Grupo C",4,IF(Atletas!H393="Nanquan Grupo C",5,IF(Atletas!H393="Taijiquan Grupo C",6,IF(Atletas!H393="Changquan Grupo B",7,IF(Atletas!H393="Nanquan Grupo B",8,IF(Atletas!H393="Taijiquan Grupo B",9,IF(Atletas!H393="Changquan Grupo A",10,IF(Atletas!H393="Nanquan Grupo A",11,IF(Atletas!H393="Taijiquan Grupo A",12,IF(Atletas!H393="Changquan Opcional",13,IF(Atletas!H393="Nanquan Opcional",14,IF(Atletas!H393="Taijiquan Opcional",15,IF(Atletas!H393="Changquan Adulto",16,IF(Atletas!H393="Nanquan Adulto",17,IF(Atletas!H393="Taijiquan Adulto",18,""))))))))))))))))))))</f>
        <v/>
      </c>
      <c r="BG402" s="52" t="str">
        <f>IF(Atletas!I393="","",IF(Atletas!B393="Feminino",100,IF(Atletas!B393="Masculino",200,""))+(IF(Atletas!I393="Daoshu Mirim",19,IF(Atletas!I393="Jianshu Mirim",20,IF(Atletas!I393="Nandao Mirim",21,IF(Atletas!I393="Taijijian Mirim",22,IF(Atletas!I393="Daoshu Grupo C",23,IF(Atletas!I393="Jianshu Grupo C",24,IF(Atletas!I393="Nandao Grupo C",25,IF(Atletas!I393="Taijijian Grupo C",26,IF(Atletas!I393="Daoshu Grupo B",27,IF(Atletas!I393="Jianshu Grupo B",28,IF(Atletas!I393="Nandao Grupo B",29,IF(Atletas!I393="Taijijian Grupo B",30,IF(Atletas!I393="Daoshu Grupo A",31,IF(Atletas!I393="Jianshu Grupo A",32,IF(Atletas!I393="Nandao Grupo A",33,IF(Atletas!I393="Taijijian Grupo A",34,IF(Atletas!I393="Daoshu Opcional",35,IF(Atletas!I393="Jianshu Opcional",36,IF(Atletas!I393="Nandao Opcional",37,IF(Atletas!I393="Taijijian Opcional",38,IF(Atletas!I393="Daoshu Adulto",39,IF(Atletas!I393="Jianshu Adulto",40,IF(Atletas!I393="Nandao Adulto",41,IF(Atletas!I393="Taijijian Adulto",42,""))))))))))))))))))))))))))</f>
        <v/>
      </c>
      <c r="BH402" s="52" t="str">
        <f>IF(Atletas!J393="","",IF(Atletas!B393="Feminino",100,IF(Atletas!B393="Masculino",200,""))+(IF(Atletas!J393="Gunshu Mirim",43,IF(Atletas!J393="Qiangshu Mirim",44,IF(Atletas!J393="Nangun Mirim",45,IF(Atletas!J393="Gunshu Grupo C",46,IF(Atletas!J393="Qiangshu Grupo C",47,IF(Atletas!J393="Nangun Grupo C",48,IF(Atletas!J393="Gunshu Grupo B",49,IF(Atletas!J393="Qiangshu Grupo B",50,IF(Atletas!J393="Nangun Grupo B",51,IF(Atletas!J393="Gunshu Grupo A",52,IF(Atletas!J393="Qiangshu Grupo A",53,IF(Atletas!J393="Nangun Grupo A",54,IF(Atletas!J393="Gunshu Opcional",55,IF(Atletas!J393="Qiangshu Opcional",56,IF(Atletas!J393="Nangun Opcional",57,IF(Atletas!J393="Gunshu Adulto",58,IF(Atletas!J393="Qiangshu Adulto",59,IF(Atletas!J393="Nangun Adulto",60,IF(Atletas!J393="Taijishan Grupo B",61,IF(Atletas!J393="Taijishan Grupo A",62,""))))))))))))))))))))))</f>
        <v/>
      </c>
      <c r="BM402" s="50" t="str">
        <f>IF(Atletas!K393="","",IF(Atletas!B393="Feminino",100,IF(Atletas!B393="Masculino",200,""))+(IF(Atletas!K393="Equipe 1 Grupo B",1,IF(Atletas!K393="Equipe 2 Grupo B",2,IF(Atletas!K393="Equipe 1 Grupo A",3,IF(Atletas!K393="Equipe 2 Grupo A",4,IF(Atletas!K393="Equipe 1 Adulto",5,IF(Atletas!K393="Equipe 2 Adulto",6,""))))))))</f>
        <v/>
      </c>
      <c r="BR402" s="50" t="str">
        <f>IF(Atletas!L393="","",IF(Atletas!X393&lt;&gt;"",10000,0)+(IF(Atletas!B393="Feminino",1000,IF(Atletas!B393="Masculino",2000,""))+IF(Atletas!L393="Choylayfut A",1,IF(Atletas!L393="Hunggar A",2,IF(Atletas!L393="Wuzuquan A",3,IF(Atletas!L393="Wingchun A",4,IF(Atletas!L393="Outra Mão de Sul A",5,IF(Atletas!L393="Choylayfut B",6,IF(Atletas!L393="Hunggar B",7,IF(Atletas!L393="Wuzuquan B",8,IF(Atletas!L393="Wingchun B",9,IF(Atletas!L393="Outra Mão de Sul B",10,IF(Atletas!L393="Choylayfut C",11,IF(Atletas!L393="Hunggar C",12,IF(Atletas!L393="Wuzuquan C",13,IF(Atletas!L393="Wingchun C",14,IF(Atletas!L393="Outra Mão de Sul C",15,IF(Atletas!L393="Choylayfut D",16,IF(Atletas!L393="Hunggar D",17,IF(Atletas!L393="Wuzuquan D",18,IF(Atletas!L393="Wingchun D",19,IF(Atletas!L393="Outra Mão de Sul D",20,IF(Atletas!L393="Choylayfut E",21,IF(Atletas!L393="Hunggar E",22,IF(Atletas!L393="Wuzuquan E",23,IF(Atletas!L393="Wingchun E",24,IF(Atletas!L393="Outra Mão de Sul E",25,IF(Atletas!L393="Choylayfut F",26,IF(Atletas!L393="Hunggar F",27,IF(Atletas!L393="Wuzuquan F",28,IF(Atletas!L393="Wingchun F",29,IF(Atletas!L393="Outra Mão de Sul F",30,IF(Atletas!L393="Dishuquan A",31,IF(Atletas!L393="Dishuquan B",32,IF(Atletas!L393="Dishuquan C",33,IF(Atletas!L393="Dishuquan D",34,IF(Atletas!L393="Dishuquan E",35,IF(Atletas!L393="Dishuquan F",36,""))))))))))))))))))))))))))))))))))))))</f>
        <v/>
      </c>
      <c r="BS402" s="50" t="str">
        <f>IF(Atletas!M393="","",IF(Atletas!X393&lt;&gt;"",10000,0)+(IF(Atletas!B393="Feminino",1000,IF(Atletas!B393="Masculino",2000,""))+(IF(Atletas!M393="Chaquan A",101,IF(Atletas!M393="Emeiquan A",102,IF(Atletas!M393="Fanziquan A",103,IF(Atletas!M393="Huaquan A",104,IF(Atletas!M393="Hongquan A",105,IF(Atletas!M393="Paoquan A",106,IF(Atletas!M393="Piguaquan A",107,IF(Atletas!M393="Shaolinquan A",108,IF(Atletas!M393="Tanglangquan A",109,IF(Atletas!M393="Yingzhaoquan A",110,IF(Atletas!M393="Tongbeiquan A",111,IF(Atletas!M393="Wudangquan A",112,IF(Atletas!M393="Outros Estilos A",113,IF(Atletas!M393="Chaquan B",114,IF(Atletas!M393="Emeiquan B",115,IF(Atletas!M393="Fanziquan B",116,IF(Atletas!M393="Huaquan B",117,IF(Atletas!M393="Hongquan B",118,IF(Atletas!M393="Paoquan B",119,IF(Atletas!M393="Piguaquan B",120,IF(Atletas!M393="Shaolinquan B",121,IF(Atletas!M393="Tanglangquan B",122,IF(Atletas!M393="Yingzhaoquan B",123,IF(Atletas!M393="Tongbeiquan B",124,IF(Atletas!M393="Wudangquan B",125,IF(Atletas!M393="Outros Estilos B",126,IF(Atletas!M393="Chaquan C",127,IF(Atletas!M393="Emeiquan C",128,IF(Atletas!M393="Fanziquan C",129,IF(Atletas!M393="Huaquan C",130,IF(Atletas!M393="Hongquan C",131,IF(Atletas!M393="Paoquan C",132,IF(Atletas!M393="Piguaquan C",133,IF(Atletas!M393="Shaolinquan C",134,IF(Atletas!M393="Tanglangquan C",135,IF(Atletas!M393="Yingzhaoquan C",136,IF(Atletas!M393="Tongbeiquan C",137,IF(Atletas!M393="Wudangquan C",138,IF(Atletas!M393="Outros Estilos C",139,0))))))))))))))))))))))))))))))))))))))))))</f>
        <v/>
      </c>
      <c r="BT402" s="50" t="str">
        <f>IF(Atletas!M393="","",IF(Atletas!X393&lt;&gt;"",10000,0)+(IF(Atletas!B393="Feminino",1000,IF(Atletas!B393="Masculino",2000,""))+(IF(Atletas!M393="Chaquan D",140,IF(Atletas!M393="Emeiquan D",141,IF(Atletas!M393="Fanziquan D",142,IF(Atletas!M393="Huaquan D",143,IF(Atletas!M393="Hongquan D",144,IF(Atletas!M393="Paoquan D",145,IF(Atletas!M393="Piguaquan D",146,IF(Atletas!M393="Shaolinquan D",147,IF(Atletas!M393="Tanglangquan D",148,IF(Atletas!M393="Yingzhaoquan D",149,IF(Atletas!M393="Tongbeiquan D",150,IF(Atletas!M393="Wudangquan D",151,IF(Atletas!M393="Outros Estilos D",152,IF(Atletas!M393="Chaquan E",153,IF(Atletas!M393="Emeiquan E",154,IF(Atletas!M393="Fanziquan E",155,IF(Atletas!M393="Huaquan E",156,IF(Atletas!M393="Hongquan E",157,IF(Atletas!M393="Paoquan E",158,IF(Atletas!M393="Piguaquan E",159,IF(Atletas!M393="Shaolinquan E",160,IF(Atletas!M393="Tanglangquan E",161,IF(Atletas!M393="Yingzhaoquan E",162,IF(Atletas!M393="Tongbeiquan E",163,IF(Atletas!M393="Wudangquan E",164,IF(Atletas!M393="Outros Estilos E",165,IF(Atletas!M393="Chaquan F",166,IF(Atletas!M393="Emeiquan F",167,IF(Atletas!M393="Fanziquan F",168,IF(Atletas!M393="Huaquan F",169,IF(Atletas!M393="Hongquan F",170,IF(Atletas!M393="Paoquan F",171,IF(Atletas!M393="Piguaquan F",172,IF(Atletas!M393="Shaolinquan F",173,IF(Atletas!M393="Tanglangquan F",174,IF(Atletas!M393="Yingzhaoquan F",175,IF(Atletas!M393="Tongbeiquan F",176,IF(Atletas!M393="Wudangquan F",177,IF(Atletas!M393="Outros Estilos F",178,0))))))))))))))))))))))))))))))))))))))))))</f>
        <v/>
      </c>
      <c r="BU402" s="50" t="str">
        <f>IF(Atletas!N393="","",IF(Atletas!X393&lt;&gt;"",10000,0)+(IF(Atletas!B393="Feminino",1000,IF(Atletas!B393="Masculino",2000,""))+(IF(Atletas!N393="Ditangquan A",201,IF(Atletas!N393="Houquan A",202,IF(Atletas!N393="Zuiquan A",203,IF(Atletas!N393="Ditangquan B",204,IF(Atletas!N393="Houquan B",205,IF(Atletas!N393="Zuiquan B",206,IF(Atletas!N393="Ditangquan C",207,IF(Atletas!N393="Houquan C",208,IF(Atletas!N393="Zuiquan C",209,IF(Atletas!N393="Ditangquan D",210,IF(Atletas!N393="Houquan D",211,IF(Atletas!N393="Zuiquan D",212,IF(Atletas!N393="Ditangquan E",213,IF(Atletas!N393="Houquan E",214,IF(Atletas!N393="Zuiquan E",215,IF(Atletas!N393="Ditangquan F",216,IF(Atletas!N393="Houquan F",217,IF(Atletas!N393="Zuiquan F",218,"")))))))))))))))))))))</f>
        <v/>
      </c>
      <c r="BV402" s="50" t="str">
        <f>IF(Atletas!O393="","",IF(Atletas!X393&lt;&gt;"",10000,0)+IF(Atletas!B393="Feminino",1000,IF(Atletas!B393="Masculino",2000,""))+IF(Atletas!O393="Yang A",301,IF(Atletas!O393="Chen A",302,IF(Atletas!O393="Sun A",303,IF(Atletas!O393="Wu A",304,IF(Atletas!O393="Wu-Hao A",305,IF(Atletas!O393="Outro Taijiquan A",306,IF(Atletas!O393="Yang B",307,IF(Atletas!O393="Chen B",308,IF(Atletas!O393="Sun B",309,IF(Atletas!O393="Wu B",310,IF(Atletas!O393="Wu-Hao B",311,IF(Atletas!O393="Outro Taijiquan B",312,IF(Atletas!O393="Yang C",313,IF(Atletas!O393="Chen C",314,IF(Atletas!O393="Sun C",315,IF(Atletas!O393="Wu C",316,IF(Atletas!O393="Wu-Hao C",317,IF(Atletas!O393="Outro Taijiquan C",318,IF(Atletas!O393="Yang D",319,IF(Atletas!O393="Chen D",320,IF(Atletas!O393="Sun D",321,IF(Atletas!O393="Wu D",322,IF(Atletas!O393="Wu-Hao D",323,IF(Atletas!O393="Outro Taijiquan D",324,IF(Atletas!O393="Yang E",325,IF(Atletas!O393="Chen E",326,IF(Atletas!O393="Sun E",327,IF(Atletas!O393="Wu E",328,IF(Atletas!O393="Wu-Hao E",329,IF(Atletas!O393="Outro Taijiquan E",330,IF(Atletas!O393="Yang F",331,IF(Atletas!O393="Chen F",332,IF(Atletas!O393="Sun F",333,IF(Atletas!O393="Wu F",334,IF(Atletas!O393="Wu-Hao F",335,IF(Atletas!O393="Outro Taijiquan F",336,"")))))))))))))))))))))))))))))))))))))</f>
        <v/>
      </c>
      <c r="BW402" s="50" t="str">
        <f>IF(Atletas!P393="","",IF(Atletas!X393&lt;&gt;"",10000,0)+IF(Atletas!B393="Feminino",1000,IF(Atletas!B393="Masculino",2000,""))+IF(OR(Atletas!P393="Yang 26 A",Atletas!P393="Yang 40 A"),401,IF(OR(Atletas!P393="Chen 25 A",Atletas!P393="Chen 36 A",Atletas!P393="Chen 56 A"),402,IF(Atletas!P393="Sun 73 A",403,IF(Atletas!P393="Wu 45 A",404,IF(Atletas!P393="Wu-Hao 46 A",405,IF(OR(Atletas!P393="Taijiquan 16 A",Atletas!P393="Taijiquan 24 A",Atletas!P393="Taijiquan 32 A",Atletas!P393="Taijiquan 42 A"),406,IF(OR(Atletas!P393="Yang 26 B",Atletas!P393="Yang 40 B"),407,IF(OR(Atletas!P393="Chen 25 B",Atletas!P393="Chen 36 B",Atletas!P393="Chen 56 B"),408,IF(Atletas!P393="Sun 73 B",409,IF(Atletas!P393="Wu 45 B",410,IF(Atletas!P393="Wu-Hao 46 B",411,IF(OR(Atletas!P393="Taijiquan 16 B",Atletas!P393="Taijiquan 24 B",Atletas!P393="Taijiquan 32 B",Atletas!P393="Taijiquan 42 B"),412,IF(OR(Atletas!P393="Yang 26 C",Atletas!P393="Yang 40 C"),413,IF(OR(Atletas!P393="Chen 25 C",Atletas!P393="Chen 36 C",Atletas!P393="Chen 56 C"),414,IF(Atletas!P393="Sun 73 C",415,IF(Atletas!P393="Wu 45 C",416,IF(Atletas!P393="Wu-Hao 46 C",417,IF(OR(Atletas!P393="Taijiquan 16 C",Atletas!P393="Taijiquan 24 C",Atletas!P393="Taijiquan 32 C",Atletas!P393="Taijiquan 42 C"),418,0)))))))))))))))))))</f>
        <v/>
      </c>
      <c r="BX402" s="50" t="str">
        <f>IF(Atletas!P393="","",IF(Atletas!X393&lt;&gt;"",10000,0)+IF(Atletas!B393="Feminino",1000,IF(Atletas!B393="Masculino",2000,""))+IF(OR(Atletas!P393="Yang 26 D",Atletas!P393="Yang 40 D"),419,IF(OR(Atletas!P393="Chen 25 D",Atletas!P393="Chen 36 D",Atletas!P393="Chen 56 D"),420,IF(Atletas!P393="Sun 73 D",421,IF(Atletas!P393="Wu 45 D",422,IF(Atletas!P393="Wu-Hao 46 D",423,IF(OR(Atletas!P393="Taijiquan 16 D",Atletas!P393="Taijiquan 24 D",Atletas!P393="Taijiquan 32 D",Atletas!P393="Taijiquan 42 D"),424,IF(OR(Atletas!P393="Yang 26 E",Atletas!P393="Yang 40 E"),425,IF(OR(Atletas!P393="Chen 25 E",Atletas!P393="Chen 36 E",Atletas!P393="Chen 56 E"),426,IF(Atletas!P393="Sun 73 E",427,IF(Atletas!P393="Wu 45 E",428,IF(Atletas!P393="Wu-Hao 46 E",429,IF(OR(Atletas!P393="Taijiquan 16 E",Atletas!P393="Taijiquan 24 E",Atletas!P393="Taijiquan 32 E",Atletas!P393="Taijiquan 42 E"),430,IF(OR(Atletas!P393="Yang 26 F",Atletas!P393="Yang 40 F"),431,IF(OR(Atletas!P393="Chen 25 F",Atletas!P393="Chen 36 F",Atletas!P393="Chen 56 F"),432,IF(Atletas!P393="Sun 73 F",433,IF(Atletas!P393="Wu 45 F",434,IF(Atletas!P393="Wu-Hao 46 F",435,IF(OR(Atletas!P393="Taijiquan 16 F",Atletas!P393="Taijiquan 24 F",Atletas!P393="Taijiquan 32 F",Atletas!P393="Taijiquan 42 F"),436,0)))))))))))))))))))</f>
        <v/>
      </c>
      <c r="BY402" s="50" t="str">
        <f>IF(Atletas!Q393="","",IF(Atletas!X393&lt;&gt;"",10000,0)+IF(Atletas!B393="Feminino",1000,IF(Atletas!B393="Masculino",2000,""))+IF(Atletas!Q393="Xingyiquan A",501,IF(Atletas!Q393="Baguazhang A",502,IF(Atletas!Q393="Outro Estilo Interno A",503,IF(Atletas!Q393="Xingyiquan B",504,IF(Atletas!Q393="Baguazhang B",505,IF(Atletas!Q393="Outro Estilo Interno B",506,IF(Atletas!Q393="Xingyiquan C",507,IF(Atletas!Q393="Baguazhang C",508,IF(Atletas!Q393="Outro Estilo Interno C",509,IF(Atletas!Q393="Xingyiquan D",510,IF(Atletas!Q393="Baguazhang D",511,IF(Atletas!Q393="Outro Estilo Interno D",512,IF(Atletas!Q393="Xingyiquan E",513,IF(Atletas!Q393="Baguazhang E",514,IF(Atletas!Q393="Outro Estilo Interno E",515,IF(Atletas!Q393="Xingyiquan F",516,IF(Atletas!Q393="Baguazhang F",517,IF(Atletas!Q393="Outro Estilo Interno F",518, "")))))))))))))))))))</f>
        <v/>
      </c>
      <c r="BZ402" s="50" t="str">
        <f>IF(Atletas!R393="","",IF(Atletas!X393&lt;&gt;"",10000,0)+IF(Atletas!B393="Feminino",1000,IF(Atletas!B393="Masculino",2000,""))+IF(Atletas!R393="Dao A",601,IF(Atletas!R393="Jian A",602,IF(Atletas!R393="Bishou A",603,IF(Atletas!R393="Shanzi A",604,IF(Atletas!R393="Outra Arma Curta A",605,IF(Atletas!R393="Dao B",606,IF(Atletas!R393="Jian B",607,IF(Atletas!R393="Bishou B",608,IF(Atletas!R393="Shanzi B",609,IF(Atletas!R393="Outra Arma Curta B",610,IF(Atletas!R393="Dao C",611,IF(Atletas!R393="Jian C",612,IF(Atletas!R393="Bishou C",613,IF(Atletas!R393="Shanzi C",614,IF(Atletas!R393="Outra Arma Curta C",615,IF(Atletas!R393="Dao D",616,IF(Atletas!R393="Jian D",617,IF(Atletas!R393="Bishou D",618,IF(Atletas!R393="Shanzi D",619,IF(Atletas!R393="Outra Arma Curta D",620,IF(Atletas!R393="Dao E",621,IF(Atletas!R393="Jian E",622,IF(Atletas!R393="Bishou E",623,IF(Atletas!R393="Shanzi E",624,IF(Atletas!R393="Outra Arma Curta E",625,IF(Atletas!R393="Dao F",626,IF(Atletas!R393="Jian F",627,IF(Atletas!R393="Bishou F",628,IF(Atletas!R393="Shanzi F",629,IF(Atletas!R393="Outra Arma Curta F",630, "")))))))))))))))))))))))))))))))</f>
        <v/>
      </c>
      <c r="CA402" s="50" t="str">
        <f>IF(Atletas!S393="","",IF(Atletas!X393&lt;&gt;"",10000,0)+IF(Atletas!B393="Feminino",1000,IF(Atletas!B393="Masculino",2000,""))+IF(Atletas!S393="Gun A",701,IF(Atletas!S393="Qiang A",702,IF(Atletas!S393="Pudao / Guandao A",703,IF(Atletas!S393="Outra Arma Longa A",704,IF(Atletas!S393="Gun B",705,IF(Atletas!S393="Qiang B",706,IF(Atletas!S393="Pudao / Guandao B",707,IF(Atletas!S393="Outra Arma Longa B",708,IF(Atletas!S393="Gun C",709,IF(Atletas!S393="Qiang C",710,IF(Atletas!S393="Pudao / Guandao C",711,IF(Atletas!S393="Outra Arma Longa C",712,IF(Atletas!S393="Gun D",713,IF(Atletas!S393="Qiang D",714,IF(Atletas!S393="Pudao / Guandao D",715,IF(Atletas!S393="Outra Arma Longa D",716,IF(Atletas!S393="Gun E",717,IF(Atletas!S393="Qiang E",718,IF(Atletas!S393="Pudao / Guandao E",719,IF(Atletas!S393="Outra Arma Longa E",720,IF(Atletas!S393="Gun F",721,IF(Atletas!S393="Qiang F",722,IF(Atletas!S393="Pudao / Guandao F",723,IF(Atletas!S393="Outra Arma Longa F",724,"")))))))))))))))))))))))))</f>
        <v/>
      </c>
      <c r="CB402" s="50" t="str">
        <f>IF(Atletas!T393="","",IF(Atletas!X393&lt;&gt;"",10000,0)+IF(Atletas!B393="Feminino",1000,IF(Atletas!B393="Masculino",2000,""))+IF(Atletas!T393="Outra Arma Dupla A",801,IF(Atletas!T393="Arma Maleável A",802,IF(Atletas!T393="Outra Arma Dupla B",803,IF(Atletas!T393="Arma Maleável B",804,IF(Atletas!T393="Outra Arma Dupla C",805,IF(Atletas!T393="Arma Maleável C",806,IF(Atletas!T393="Outra Arma Dupla D",807,IF(Atletas!T393="Arma Maleável D",808,IF(Atletas!T393="Outra Arma Dupla E",809,IF(Atletas!T393="Arma Maleável E",810,IF(Atletas!T393="Outra Arma Dupla F",811,IF(Atletas!T393="Arma Maleável F",812,IF(Atletas!T393="Shuangdao A",813,IF(Atletas!T393="Shuangdao B",814,IF(Atletas!T393="Shuangdao C",815,IF(Atletas!T393="Shuangdao D",816,IF(Atletas!T393="Shuangdao E",817,IF(Atletas!T393="Shuangdao F",818,"")))))))))))))))))))</f>
        <v/>
      </c>
      <c r="CC402" s="50" t="str">
        <f>IF(Atletas!U393="","",IF(Atletas!X393&lt;&gt;"",10000,0)+IF(Atletas!B393="Feminino",1000,IF(Atletas!B393="Masculino",2000,""))+IF(OR(Atletas!U393="Taijijian Yang A",Atletas!U393="Taijijian Yang Standard A"),901,IF(OR(Atletas!U393="Taijijian Chen A", Atletas!U393="Taijijian Chen Standard A"),902,IF(Atletas!U393="Taijijian Sun A",903,IF(Atletas!U393="Taijijian Wu A",904,IF(Atletas!U393="Taijijian Wu-Hao A",905,IF(OR(Atletas!U393="Taijijian 32 A",Atletas!U393="Taijijian 42 A"),906,IF(OR(Atletas!U393="Taijijian Yang B",Atletas!U393="Taijijian Yang Standard B"),907,IF(OR(Atletas!U393="Taijijian Chen B", Atletas!U393="Taijijian Chen Standard B"),908,IF(Atletas!U393="Taijijian Sun B",909,IF(Atletas!U393="Taijijian Wu B",910,IF(Atletas!U393="Taijijian Wu-Hao B",911,IF(OR(Atletas!U393="Taijijian 32 B",Atletas!U393="Taijijian 42 B"),912,IF(OR(Atletas!U393="Taijijian Yang C",Atletas!U393="Taijijian Yang Standard C"),913,IF(OR(Atletas!U393="Taijijian Chen C", Atletas!U393="Taijijian Chen Standard C"),914,IF(Atletas!U393="Taijijian Sun C",915,IF(Atletas!U393="Taijijian Wu C",916,IF(Atletas!U393="Taijijian Wu-Hao C",917,IF(OR(Atletas!U393="Taijijian 32 C",Atletas!U393="Taijijian 42 C"),918,IF(OR(Atletas!U393="Taijijian Yang D",Atletas!U393="Taijijian Yang Standard D"),919,IF(OR(Atletas!U393="Taijijian Chen D", Atletas!U393="Taijijian Chen Standard D"),920,IF(Atletas!U393="Taijijian Sun D",921,IF(Atletas!U393="Taijijian Wu D",922,IF(Atletas!U393="Taijijian Wu-Hao D",923,IF(OR(Atletas!U393="Taijijian 32 D",Atletas!U393="Taijijian 42 D"),924,IF(OR(Atletas!U393="Taijijian Yang E",Atletas!U393="Taijijian Yang Standard E"),925,IF(OR(Atletas!U393="Taijijian Chen E", Atletas!U393="Taijijian Chen Standard E"),926,IF(Atletas!U393="Taijijian Sun E",927,IF(Atletas!U393="Taijijian Wu E",928,IF(Atletas!U393="Taijijian Wu-Hao E",929,IF(OR(Atletas!U393="Taijijian 32 E",Atletas!U393="Taijijian 42 E"),930,IF(OR(Atletas!U393="Taijijian Yang F",Atletas!U393="Taijijian Yang Standard F"),931,IF(OR(Atletas!U393="Taijijian Chen F", Atletas!U393="Taijijian Chen Standard F"),932,IF(Atletas!U393="Taijijian Sun F",933,IF(Atletas!U393="Taijijian Wu F",934,IF(Atletas!U393="Taijijian Wu-Hao F",935,IF(OR(Atletas!U393="Taijijian 32 F",Atletas!U393="Taijijian 42 F"),936,"")))))))))))))))))))))))))))))))))))))</f>
        <v/>
      </c>
      <c r="CD402" s="50" t="str">
        <f>IF(Atletas!V393="","",IF(Atletas!X393&lt;&gt;"",10000,0)+IF(Atletas!B393="Feminino",1000,IF(Atletas!B393="Masculino",2000,""))+IF(Atletas!V393="Taijidao A",937,IF(Atletas!V393="TaijiShanzi A",938,IF(Atletas!V393="Taijiqiang A",939,IF(Atletas!V393="Bagua de Arma A",940,IF(Atletas!V393="Xingyi de Arma A",941,IF(Atletas!V393="Taijidao B",942,IF(Atletas!V393="TaijiShanzi B",943,IF(Atletas!V393="Taijiqiang B",944,IF(Atletas!V393="Bagua de Arma B",945,IF(Atletas!V393="Xingyi de Arma B",946,IF(Atletas!V393="Taijidao C",947,IF(Atletas!V393="TaijiShanzi C",948,IF(Atletas!V393="Taijiqiang C",949,IF(Atletas!V393="Bagua de Arma C",950,IF(Atletas!V393="Xingyi de Arma C",951,IF(Atletas!V393="Taijidao D",952,IF(Atletas!V393="TaijiShanzi D",953,IF(Atletas!V393="Taijiqiang D",954,IF(Atletas!V393="Bagua de Arma D",955,IF(Atletas!V393="Xingyi de Arma D",956,IF(Atletas!V393="Taijidao E",957,IF(Atletas!V393="TaijiShanzi E",958,IF(Atletas!V393="Taijiqiang E",959,IF(Atletas!V393="Bagua de Arma E",960,IF(Atletas!V393="Xingyi de Arma E",961,IF(Atletas!V393="Taijidao F",962,IF(Atletas!V393="TaijiShanzi F",963,IF(Atletas!V393="Taijiqiang F",964,IF(Atletas!V393="Bagua de Arma F",965,IF(Atletas!V393="Xingyi de Arma F",966,"")))))))))))))))))))))))))))))))</f>
        <v/>
      </c>
      <c r="CJ402" s="66"/>
      <c r="CL402" s="66"/>
      <c r="CM402" s="50" t="str">
        <f xml:space="preserve"> IF(Atletas!W393="","",IF(Atletas!W393="Duilian de Mãos BC - Equipe 1",1,IF(Atletas!W393="Duilian de Mãos BC - Equipe 2",2,IF(Atletas!W393="Duilian de Armas BC - Equipe 1",3,IF(Atletas!W393="Duilian de Armas BC - Equipe 2",4,IF(Atletas!W393="Duilian de Mãos DE - Equipe 1",5,IF(Atletas!W393="Duilian de Mãos DE - Equipe 2",6,IF(Atletas!W393="Duilian de Armas DE - Equipe 1",7,IF(Atletas!W393="Duilian de Armas DE - Equipe 2",8,IF(Atletas!W393="Duilian de Tuishou - Equipe 1",9,IF(Atletas!W393="Duilian de Tuishou - Equipe 2",10,IF(Atletas!W393="Grupo Externo ABC - Equipe 1",11,IF(Atletas!W393="Grupo Externo ABC - Equipe 2",12,IF(Atletas!W393="Grupo Interno ABC - Equipe 1",13,IF(Atletas!W393="Grupo Interno ABC - Equipe 2",14,IF(Atletas!W393="Grupo Externo DEF - Equipe 1",15,IF(Atletas!W393="Grupo Externo DEF - Equipe 2",16,IF(Atletas!W393="Grupo Interno DEF - Equipe 1",17,IF(Atletas!W393="Grupo Interno DEF - Equipe 2",18,"")))))))))))))))))))</f>
        <v/>
      </c>
    </row>
    <row r="403" spans="40:91">
      <c r="AN403" s="52" t="str">
        <f>IF(Atletas!D394="","",IF(Atletas!B394="Feminino",100,IF(Atletas!B394="Masculino",200,""))+(IF(Atletas!D394="Kids 30kg",1,IF(Atletas!D394="Kids 32kg",2, IF(Atletas!D394="Kids 34kg",3,IF(Atletas!D394="Kids 36kg",4,IF(Atletas!D394="Kids 39kg",5,IF(Atletas!D394="Kids 42kg",6,IF(Atletas!D394="Kids 45kg",7, IF(Atletas!D394="Infantil 39kg",8,IF(Atletas!D394="Infantil 42kg",9,IF(Atletas!D394="Infantil 45kg",10,IF(Atletas!D394="Infantil 48kg",11,IF(Atletas!D394="Infantil 52kg",12,IF(Atletas!D394="Infantil 56kg",13,IF(Atletas!D394="Infantil 60kg",14,IF(Atletas!D394="Juvenil 48kg",15,IF(Atletas!D394="Juvenil 52kg",16,IF(Atletas!D394="Juvenil 56kg",17,IF(Atletas!D394="Juvenil 60kg",18,IF(Atletas!D394="Juvenil 65kg",19,IF(Atletas!D394="Juvenil 70kg",20,IF(Atletas!D394="Juvenil 75kg",21,IF(Atletas!D394="Juvenil 80kg",22, IF(Atletas!D394="Juvenil 85kg",23,IF(Atletas!D394="Adulto 48kg",24,IF(Atletas!D394="Adulto 52kg",25,IF(Atletas!D394="Adulto 56kg",26,IF(Atletas!D394="Adulto 60kg",27,IF(Atletas!D394="Adulto 65kg",28,IF(Atletas!D394="Adulto 70kg",29,IF(Atletas!D394="Adulto 75kg",30,IF(Atletas!D394="Adulto 80kg",31,IF(Atletas!D394="Adulto 85kg",32,IF(Atletas!D394="Adulto 90kg",33,IF(Atletas!D394="Adulto 100kg",34, IF(Atletas!D394="Adulto +100kg",35,"")))))))))))))))))))))))))))))))))))))</f>
        <v/>
      </c>
      <c r="AS403" s="6" t="str">
        <f>IF(Atletas!E394="","",IF(Atletas!B394="Feminino",100,IF(Atletas!B394="Masculino",200,""))+(IF(Atletas!E394="Juvenil 44kg",1,IF(Atletas!E394="Juvenil 48kg",2,IF(Atletas!E394="Juvenil 52kg",3,IF(Atletas!E394="Juvenil 56kg",4,IF(Atletas!E394="Juvenil 60kg",5,IF(Atletas!E394="Juvenil 65kg",6,IF(Atletas!E394="Juvenil 70kg",7,IF(Atletas!E394="Juvenil 75kg",8,IF(Atletas!E394="Juvenil 82kg",9,IF(Atletas!E394="Juvenil 90kg",10,IF(Atletas!E394="Juvenil 100kg",11,IF(Atletas!E394="Adulto 48kg",12,IF(Atletas!E394="Adulto 52kg",13,IF(Atletas!E394="Adulto 56kg",14,IF(Atletas!E394="Adulto 60kg",15,IF(Atletas!E394="Adulto 65kg",16,IF(Atletas!E394="Adulto 70kg",17,IF(Atletas!E394="Adulto 75kg",18,IF(Atletas!E394="Adulto 82kg",19,IF(Atletas!E394="Adulto 90kg",20,IF(Atletas!E394="Adulto 100kg",21,IF(Atletas!E394="Adulto +100kg",22,""))))))))))))))))))))))))</f>
        <v/>
      </c>
      <c r="AX403" s="6" t="str">
        <f>IF(Atletas!F394="","",IF(Atletas!B394="Feminino",100,IF(Atletas!B394="Masculino",200,""))+(IF(Atletas!F394="Adulto 48kg",1,IF(Atletas!F394="Adulto 56kg",2,IF(Atletas!F394="Adulto 65kg",3,IF(Atletas!F394="Adulto 75kg",4,IF(Atletas!F394="Adulto +75kg",5,IF(Atletas!F394="Adulto 52kg",6,IF(Atletas!F394="Adulto 60kg",7,IF(Atletas!F394="Adulto 70kg",8,IF(Atletas!F394="Adulto 80kg",9,IF(Atletas!F394="Adulto 90kg",10,IF(Atletas!F394="Adulto +90kg",11,"")))))))))))))</f>
        <v/>
      </c>
      <c r="BC403" s="6" t="str">
        <f>IF(Atletas!G394="","",IF(Atletas!B394="Feminino",10,IF(Atletas!B394="Masculino",20,""))+(IF(Atletas!G394="Baduanjin A",1,IF(Atletas!G394="Baduanjin B",2))))</f>
        <v/>
      </c>
      <c r="BF403" s="52" t="str">
        <f>IF(Atletas!H394="","",IF(Atletas!B394="Feminino",100,IF(Atletas!B394="Masculino",200,""))+(IF(Atletas!H394="Changquan Mirim",1,IF(Atletas!H394="Nanquan Mirim",2,IF(Atletas!H394="Taijiquan Mirim",3,IF(Atletas!H394="Changquan Grupo C",4,IF(Atletas!H394="Nanquan Grupo C",5,IF(Atletas!H394="Taijiquan Grupo C",6,IF(Atletas!H394="Changquan Grupo B",7,IF(Atletas!H394="Nanquan Grupo B",8,IF(Atletas!H394="Taijiquan Grupo B",9,IF(Atletas!H394="Changquan Grupo A",10,IF(Atletas!H394="Nanquan Grupo A",11,IF(Atletas!H394="Taijiquan Grupo A",12,IF(Atletas!H394="Changquan Opcional",13,IF(Atletas!H394="Nanquan Opcional",14,IF(Atletas!H394="Taijiquan Opcional",15,IF(Atletas!H394="Changquan Adulto",16,IF(Atletas!H394="Nanquan Adulto",17,IF(Atletas!H394="Taijiquan Adulto",18,""))))))))))))))))))))</f>
        <v/>
      </c>
      <c r="BG403" s="52" t="str">
        <f>IF(Atletas!I394="","",IF(Atletas!B394="Feminino",100,IF(Atletas!B394="Masculino",200,""))+(IF(Atletas!I394="Daoshu Mirim",19,IF(Atletas!I394="Jianshu Mirim",20,IF(Atletas!I394="Nandao Mirim",21,IF(Atletas!I394="Taijijian Mirim",22,IF(Atletas!I394="Daoshu Grupo C",23,IF(Atletas!I394="Jianshu Grupo C",24,IF(Atletas!I394="Nandao Grupo C",25,IF(Atletas!I394="Taijijian Grupo C",26,IF(Atletas!I394="Daoshu Grupo B",27,IF(Atletas!I394="Jianshu Grupo B",28,IF(Atletas!I394="Nandao Grupo B",29,IF(Atletas!I394="Taijijian Grupo B",30,IF(Atletas!I394="Daoshu Grupo A",31,IF(Atletas!I394="Jianshu Grupo A",32,IF(Atletas!I394="Nandao Grupo A",33,IF(Atletas!I394="Taijijian Grupo A",34,IF(Atletas!I394="Daoshu Opcional",35,IF(Atletas!I394="Jianshu Opcional",36,IF(Atletas!I394="Nandao Opcional",37,IF(Atletas!I394="Taijijian Opcional",38,IF(Atletas!I394="Daoshu Adulto",39,IF(Atletas!I394="Jianshu Adulto",40,IF(Atletas!I394="Nandao Adulto",41,IF(Atletas!I394="Taijijian Adulto",42,""))))))))))))))))))))))))))</f>
        <v/>
      </c>
      <c r="BH403" s="52" t="str">
        <f>IF(Atletas!J394="","",IF(Atletas!B394="Feminino",100,IF(Atletas!B394="Masculino",200,""))+(IF(Atletas!J394="Gunshu Mirim",43,IF(Atletas!J394="Qiangshu Mirim",44,IF(Atletas!J394="Nangun Mirim",45,IF(Atletas!J394="Gunshu Grupo C",46,IF(Atletas!J394="Qiangshu Grupo C",47,IF(Atletas!J394="Nangun Grupo C",48,IF(Atletas!J394="Gunshu Grupo B",49,IF(Atletas!J394="Qiangshu Grupo B",50,IF(Atletas!J394="Nangun Grupo B",51,IF(Atletas!J394="Gunshu Grupo A",52,IF(Atletas!J394="Qiangshu Grupo A",53,IF(Atletas!J394="Nangun Grupo A",54,IF(Atletas!J394="Gunshu Opcional",55,IF(Atletas!J394="Qiangshu Opcional",56,IF(Atletas!J394="Nangun Opcional",57,IF(Atletas!J394="Gunshu Adulto",58,IF(Atletas!J394="Qiangshu Adulto",59,IF(Atletas!J394="Nangun Adulto",60,IF(Atletas!J394="Taijishan Grupo B",61,IF(Atletas!J394="Taijishan Grupo A",62,""))))))))))))))))))))))</f>
        <v/>
      </c>
      <c r="BM403" s="50" t="str">
        <f>IF(Atletas!K394="","",IF(Atletas!B394="Feminino",100,IF(Atletas!B394="Masculino",200,""))+(IF(Atletas!K394="Equipe 1 Grupo B",1,IF(Atletas!K394="Equipe 2 Grupo B",2,IF(Atletas!K394="Equipe 1 Grupo A",3,IF(Atletas!K394="Equipe 2 Grupo A",4,IF(Atletas!K394="Equipe 1 Adulto",5,IF(Atletas!K394="Equipe 2 Adulto",6,""))))))))</f>
        <v/>
      </c>
      <c r="BR403" s="50" t="str">
        <f>IF(Atletas!L394="","",IF(Atletas!X394&lt;&gt;"",10000,0)+(IF(Atletas!B394="Feminino",1000,IF(Atletas!B394="Masculino",2000,""))+IF(Atletas!L394="Choylayfut A",1,IF(Atletas!L394="Hunggar A",2,IF(Atletas!L394="Wuzuquan A",3,IF(Atletas!L394="Wingchun A",4,IF(Atletas!L394="Outra Mão de Sul A",5,IF(Atletas!L394="Choylayfut B",6,IF(Atletas!L394="Hunggar B",7,IF(Atletas!L394="Wuzuquan B",8,IF(Atletas!L394="Wingchun B",9,IF(Atletas!L394="Outra Mão de Sul B",10,IF(Atletas!L394="Choylayfut C",11,IF(Atletas!L394="Hunggar C",12,IF(Atletas!L394="Wuzuquan C",13,IF(Atletas!L394="Wingchun C",14,IF(Atletas!L394="Outra Mão de Sul C",15,IF(Atletas!L394="Choylayfut D",16,IF(Atletas!L394="Hunggar D",17,IF(Atletas!L394="Wuzuquan D",18,IF(Atletas!L394="Wingchun D",19,IF(Atletas!L394="Outra Mão de Sul D",20,IF(Atletas!L394="Choylayfut E",21,IF(Atletas!L394="Hunggar E",22,IF(Atletas!L394="Wuzuquan E",23,IF(Atletas!L394="Wingchun E",24,IF(Atletas!L394="Outra Mão de Sul E",25,IF(Atletas!L394="Choylayfut F",26,IF(Atletas!L394="Hunggar F",27,IF(Atletas!L394="Wuzuquan F",28,IF(Atletas!L394="Wingchun F",29,IF(Atletas!L394="Outra Mão de Sul F",30,IF(Atletas!L394="Dishuquan A",31,IF(Atletas!L394="Dishuquan B",32,IF(Atletas!L394="Dishuquan C",33,IF(Atletas!L394="Dishuquan D",34,IF(Atletas!L394="Dishuquan E",35,IF(Atletas!L394="Dishuquan F",36,""))))))))))))))))))))))))))))))))))))))</f>
        <v/>
      </c>
      <c r="BS403" s="50" t="str">
        <f>IF(Atletas!M394="","",IF(Atletas!X394&lt;&gt;"",10000,0)+(IF(Atletas!B394="Feminino",1000,IF(Atletas!B394="Masculino",2000,""))+(IF(Atletas!M394="Chaquan A",101,IF(Atletas!M394="Emeiquan A",102,IF(Atletas!M394="Fanziquan A",103,IF(Atletas!M394="Huaquan A",104,IF(Atletas!M394="Hongquan A",105,IF(Atletas!M394="Paoquan A",106,IF(Atletas!M394="Piguaquan A",107,IF(Atletas!M394="Shaolinquan A",108,IF(Atletas!M394="Tanglangquan A",109,IF(Atletas!M394="Yingzhaoquan A",110,IF(Atletas!M394="Tongbeiquan A",111,IF(Atletas!M394="Wudangquan A",112,IF(Atletas!M394="Outros Estilos A",113,IF(Atletas!M394="Chaquan B",114,IF(Atletas!M394="Emeiquan B",115,IF(Atletas!M394="Fanziquan B",116,IF(Atletas!M394="Huaquan B",117,IF(Atletas!M394="Hongquan B",118,IF(Atletas!M394="Paoquan B",119,IF(Atletas!M394="Piguaquan B",120,IF(Atletas!M394="Shaolinquan B",121,IF(Atletas!M394="Tanglangquan B",122,IF(Atletas!M394="Yingzhaoquan B",123,IF(Atletas!M394="Tongbeiquan B",124,IF(Atletas!M394="Wudangquan B",125,IF(Atletas!M394="Outros Estilos B",126,IF(Atletas!M394="Chaquan C",127,IF(Atletas!M394="Emeiquan C",128,IF(Atletas!M394="Fanziquan C",129,IF(Atletas!M394="Huaquan C",130,IF(Atletas!M394="Hongquan C",131,IF(Atletas!M394="Paoquan C",132,IF(Atletas!M394="Piguaquan C",133,IF(Atletas!M394="Shaolinquan C",134,IF(Atletas!M394="Tanglangquan C",135,IF(Atletas!M394="Yingzhaoquan C",136,IF(Atletas!M394="Tongbeiquan C",137,IF(Atletas!M394="Wudangquan C",138,IF(Atletas!M394="Outros Estilos C",139,0))))))))))))))))))))))))))))))))))))))))))</f>
        <v/>
      </c>
      <c r="BT403" s="50" t="str">
        <f>IF(Atletas!M394="","",IF(Atletas!X394&lt;&gt;"",10000,0)+(IF(Atletas!B394="Feminino",1000,IF(Atletas!B394="Masculino",2000,""))+(IF(Atletas!M394="Chaquan D",140,IF(Atletas!M394="Emeiquan D",141,IF(Atletas!M394="Fanziquan D",142,IF(Atletas!M394="Huaquan D",143,IF(Atletas!M394="Hongquan D",144,IF(Atletas!M394="Paoquan D",145,IF(Atletas!M394="Piguaquan D",146,IF(Atletas!M394="Shaolinquan D",147,IF(Atletas!M394="Tanglangquan D",148,IF(Atletas!M394="Yingzhaoquan D",149,IF(Atletas!M394="Tongbeiquan D",150,IF(Atletas!M394="Wudangquan D",151,IF(Atletas!M394="Outros Estilos D",152,IF(Atletas!M394="Chaquan E",153,IF(Atletas!M394="Emeiquan E",154,IF(Atletas!M394="Fanziquan E",155,IF(Atletas!M394="Huaquan E",156,IF(Atletas!M394="Hongquan E",157,IF(Atletas!M394="Paoquan E",158,IF(Atletas!M394="Piguaquan E",159,IF(Atletas!M394="Shaolinquan E",160,IF(Atletas!M394="Tanglangquan E",161,IF(Atletas!M394="Yingzhaoquan E",162,IF(Atletas!M394="Tongbeiquan E",163,IF(Atletas!M394="Wudangquan E",164,IF(Atletas!M394="Outros Estilos E",165,IF(Atletas!M394="Chaquan F",166,IF(Atletas!M394="Emeiquan F",167,IF(Atletas!M394="Fanziquan F",168,IF(Atletas!M394="Huaquan F",169,IF(Atletas!M394="Hongquan F",170,IF(Atletas!M394="Paoquan F",171,IF(Atletas!M394="Piguaquan F",172,IF(Atletas!M394="Shaolinquan F",173,IF(Atletas!M394="Tanglangquan F",174,IF(Atletas!M394="Yingzhaoquan F",175,IF(Atletas!M394="Tongbeiquan F",176,IF(Atletas!M394="Wudangquan F",177,IF(Atletas!M394="Outros Estilos F",178,0))))))))))))))))))))))))))))))))))))))))))</f>
        <v/>
      </c>
      <c r="BU403" s="50" t="str">
        <f>IF(Atletas!N394="","",IF(Atletas!X394&lt;&gt;"",10000,0)+(IF(Atletas!B394="Feminino",1000,IF(Atletas!B394="Masculino",2000,""))+(IF(Atletas!N394="Ditangquan A",201,IF(Atletas!N394="Houquan A",202,IF(Atletas!N394="Zuiquan A",203,IF(Atletas!N394="Ditangquan B",204,IF(Atletas!N394="Houquan B",205,IF(Atletas!N394="Zuiquan B",206,IF(Atletas!N394="Ditangquan C",207,IF(Atletas!N394="Houquan C",208,IF(Atletas!N394="Zuiquan C",209,IF(Atletas!N394="Ditangquan D",210,IF(Atletas!N394="Houquan D",211,IF(Atletas!N394="Zuiquan D",212,IF(Atletas!N394="Ditangquan E",213,IF(Atletas!N394="Houquan E",214,IF(Atletas!N394="Zuiquan E",215,IF(Atletas!N394="Ditangquan F",216,IF(Atletas!N394="Houquan F",217,IF(Atletas!N394="Zuiquan F",218,"")))))))))))))))))))))</f>
        <v/>
      </c>
      <c r="BV403" s="50" t="str">
        <f>IF(Atletas!O394="","",IF(Atletas!X394&lt;&gt;"",10000,0)+IF(Atletas!B394="Feminino",1000,IF(Atletas!B394="Masculino",2000,""))+IF(Atletas!O394="Yang A",301,IF(Atletas!O394="Chen A",302,IF(Atletas!O394="Sun A",303,IF(Atletas!O394="Wu A",304,IF(Atletas!O394="Wu-Hao A",305,IF(Atletas!O394="Outro Taijiquan A",306,IF(Atletas!O394="Yang B",307,IF(Atletas!O394="Chen B",308,IF(Atletas!O394="Sun B",309,IF(Atletas!O394="Wu B",310,IF(Atletas!O394="Wu-Hao B",311,IF(Atletas!O394="Outro Taijiquan B",312,IF(Atletas!O394="Yang C",313,IF(Atletas!O394="Chen C",314,IF(Atletas!O394="Sun C",315,IF(Atletas!O394="Wu C",316,IF(Atletas!O394="Wu-Hao C",317,IF(Atletas!O394="Outro Taijiquan C",318,IF(Atletas!O394="Yang D",319,IF(Atletas!O394="Chen D",320,IF(Atletas!O394="Sun D",321,IF(Atletas!O394="Wu D",322,IF(Atletas!O394="Wu-Hao D",323,IF(Atletas!O394="Outro Taijiquan D",324,IF(Atletas!O394="Yang E",325,IF(Atletas!O394="Chen E",326,IF(Atletas!O394="Sun E",327,IF(Atletas!O394="Wu E",328,IF(Atletas!O394="Wu-Hao E",329,IF(Atletas!O394="Outro Taijiquan E",330,IF(Atletas!O394="Yang F",331,IF(Atletas!O394="Chen F",332,IF(Atletas!O394="Sun F",333,IF(Atletas!O394="Wu F",334,IF(Atletas!O394="Wu-Hao F",335,IF(Atletas!O394="Outro Taijiquan F",336,"")))))))))))))))))))))))))))))))))))))</f>
        <v/>
      </c>
      <c r="BW403" s="50" t="str">
        <f>IF(Atletas!P394="","",IF(Atletas!X394&lt;&gt;"",10000,0)+IF(Atletas!B394="Feminino",1000,IF(Atletas!B394="Masculino",2000,""))+IF(OR(Atletas!P394="Yang 26 A",Atletas!P394="Yang 40 A"),401,IF(OR(Atletas!P394="Chen 25 A",Atletas!P394="Chen 36 A",Atletas!P394="Chen 56 A"),402,IF(Atletas!P394="Sun 73 A",403,IF(Atletas!P394="Wu 45 A",404,IF(Atletas!P394="Wu-Hao 46 A",405,IF(OR(Atletas!P394="Taijiquan 16 A",Atletas!P394="Taijiquan 24 A",Atletas!P394="Taijiquan 32 A",Atletas!P394="Taijiquan 42 A"),406,IF(OR(Atletas!P394="Yang 26 B",Atletas!P394="Yang 40 B"),407,IF(OR(Atletas!P394="Chen 25 B",Atletas!P394="Chen 36 B",Atletas!P394="Chen 56 B"),408,IF(Atletas!P394="Sun 73 B",409,IF(Atletas!P394="Wu 45 B",410,IF(Atletas!P394="Wu-Hao 46 B",411,IF(OR(Atletas!P394="Taijiquan 16 B",Atletas!P394="Taijiquan 24 B",Atletas!P394="Taijiquan 32 B",Atletas!P394="Taijiquan 42 B"),412,IF(OR(Atletas!P394="Yang 26 C",Atletas!P394="Yang 40 C"),413,IF(OR(Atletas!P394="Chen 25 C",Atletas!P394="Chen 36 C",Atletas!P394="Chen 56 C"),414,IF(Atletas!P394="Sun 73 C",415,IF(Atletas!P394="Wu 45 C",416,IF(Atletas!P394="Wu-Hao 46 C",417,IF(OR(Atletas!P394="Taijiquan 16 C",Atletas!P394="Taijiquan 24 C",Atletas!P394="Taijiquan 32 C",Atletas!P394="Taijiquan 42 C"),418,0)))))))))))))))))))</f>
        <v/>
      </c>
      <c r="BX403" s="50" t="str">
        <f>IF(Atletas!P394="","",IF(Atletas!X394&lt;&gt;"",10000,0)+IF(Atletas!B394="Feminino",1000,IF(Atletas!B394="Masculino",2000,""))+IF(OR(Atletas!P394="Yang 26 D",Atletas!P394="Yang 40 D"),419,IF(OR(Atletas!P394="Chen 25 D",Atletas!P394="Chen 36 D",Atletas!P394="Chen 56 D"),420,IF(Atletas!P394="Sun 73 D",421,IF(Atletas!P394="Wu 45 D",422,IF(Atletas!P394="Wu-Hao 46 D",423,IF(OR(Atletas!P394="Taijiquan 16 D",Atletas!P394="Taijiquan 24 D",Atletas!P394="Taijiquan 32 D",Atletas!P394="Taijiquan 42 D"),424,IF(OR(Atletas!P394="Yang 26 E",Atletas!P394="Yang 40 E"),425,IF(OR(Atletas!P394="Chen 25 E",Atletas!P394="Chen 36 E",Atletas!P394="Chen 56 E"),426,IF(Atletas!P394="Sun 73 E",427,IF(Atletas!P394="Wu 45 E",428,IF(Atletas!P394="Wu-Hao 46 E",429,IF(OR(Atletas!P394="Taijiquan 16 E",Atletas!P394="Taijiquan 24 E",Atletas!P394="Taijiquan 32 E",Atletas!P394="Taijiquan 42 E"),430,IF(OR(Atletas!P394="Yang 26 F",Atletas!P394="Yang 40 F"),431,IF(OR(Atletas!P394="Chen 25 F",Atletas!P394="Chen 36 F",Atletas!P394="Chen 56 F"),432,IF(Atletas!P394="Sun 73 F",433,IF(Atletas!P394="Wu 45 F",434,IF(Atletas!P394="Wu-Hao 46 F",435,IF(OR(Atletas!P394="Taijiquan 16 F",Atletas!P394="Taijiquan 24 F",Atletas!P394="Taijiquan 32 F",Atletas!P394="Taijiquan 42 F"),436,0)))))))))))))))))))</f>
        <v/>
      </c>
      <c r="BY403" s="50" t="str">
        <f>IF(Atletas!Q394="","",IF(Atletas!X394&lt;&gt;"",10000,0)+IF(Atletas!B394="Feminino",1000,IF(Atletas!B394="Masculino",2000,""))+IF(Atletas!Q394="Xingyiquan A",501,IF(Atletas!Q394="Baguazhang A",502,IF(Atletas!Q394="Outro Estilo Interno A",503,IF(Atletas!Q394="Xingyiquan B",504,IF(Atletas!Q394="Baguazhang B",505,IF(Atletas!Q394="Outro Estilo Interno B",506,IF(Atletas!Q394="Xingyiquan C",507,IF(Atletas!Q394="Baguazhang C",508,IF(Atletas!Q394="Outro Estilo Interno C",509,IF(Atletas!Q394="Xingyiquan D",510,IF(Atletas!Q394="Baguazhang D",511,IF(Atletas!Q394="Outro Estilo Interno D",512,IF(Atletas!Q394="Xingyiquan E",513,IF(Atletas!Q394="Baguazhang E",514,IF(Atletas!Q394="Outro Estilo Interno E",515,IF(Atletas!Q394="Xingyiquan F",516,IF(Atletas!Q394="Baguazhang F",517,IF(Atletas!Q394="Outro Estilo Interno F",518, "")))))))))))))))))))</f>
        <v/>
      </c>
      <c r="BZ403" s="50" t="str">
        <f>IF(Atletas!R394="","",IF(Atletas!X394&lt;&gt;"",10000,0)+IF(Atletas!B394="Feminino",1000,IF(Atletas!B394="Masculino",2000,""))+IF(Atletas!R394="Dao A",601,IF(Atletas!R394="Jian A",602,IF(Atletas!R394="Bishou A",603,IF(Atletas!R394="Shanzi A",604,IF(Atletas!R394="Outra Arma Curta A",605,IF(Atletas!R394="Dao B",606,IF(Atletas!R394="Jian B",607,IF(Atletas!R394="Bishou B",608,IF(Atletas!R394="Shanzi B",609,IF(Atletas!R394="Outra Arma Curta B",610,IF(Atletas!R394="Dao C",611,IF(Atletas!R394="Jian C",612,IF(Atletas!R394="Bishou C",613,IF(Atletas!R394="Shanzi C",614,IF(Atletas!R394="Outra Arma Curta C",615,IF(Atletas!R394="Dao D",616,IF(Atletas!R394="Jian D",617,IF(Atletas!R394="Bishou D",618,IF(Atletas!R394="Shanzi D",619,IF(Atletas!R394="Outra Arma Curta D",620,IF(Atletas!R394="Dao E",621,IF(Atletas!R394="Jian E",622,IF(Atletas!R394="Bishou E",623,IF(Atletas!R394="Shanzi E",624,IF(Atletas!R394="Outra Arma Curta E",625,IF(Atletas!R394="Dao F",626,IF(Atletas!R394="Jian F",627,IF(Atletas!R394="Bishou F",628,IF(Atletas!R394="Shanzi F",629,IF(Atletas!R394="Outra Arma Curta F",630, "")))))))))))))))))))))))))))))))</f>
        <v/>
      </c>
      <c r="CA403" s="50" t="str">
        <f>IF(Atletas!S394="","",IF(Atletas!X394&lt;&gt;"",10000,0)+IF(Atletas!B394="Feminino",1000,IF(Atletas!B394="Masculino",2000,""))+IF(Atletas!S394="Gun A",701,IF(Atletas!S394="Qiang A",702,IF(Atletas!S394="Pudao / Guandao A",703,IF(Atletas!S394="Outra Arma Longa A",704,IF(Atletas!S394="Gun B",705,IF(Atletas!S394="Qiang B",706,IF(Atletas!S394="Pudao / Guandao B",707,IF(Atletas!S394="Outra Arma Longa B",708,IF(Atletas!S394="Gun C",709,IF(Atletas!S394="Qiang C",710,IF(Atletas!S394="Pudao / Guandao C",711,IF(Atletas!S394="Outra Arma Longa C",712,IF(Atletas!S394="Gun D",713,IF(Atletas!S394="Qiang D",714,IF(Atletas!S394="Pudao / Guandao D",715,IF(Atletas!S394="Outra Arma Longa D",716,IF(Atletas!S394="Gun E",717,IF(Atletas!S394="Qiang E",718,IF(Atletas!S394="Pudao / Guandao E",719,IF(Atletas!S394="Outra Arma Longa E",720,IF(Atletas!S394="Gun F",721,IF(Atletas!S394="Qiang F",722,IF(Atletas!S394="Pudao / Guandao F",723,IF(Atletas!S394="Outra Arma Longa F",724,"")))))))))))))))))))))))))</f>
        <v/>
      </c>
      <c r="CB403" s="50" t="str">
        <f>IF(Atletas!T394="","",IF(Atletas!X394&lt;&gt;"",10000,0)+IF(Atletas!B394="Feminino",1000,IF(Atletas!B394="Masculino",2000,""))+IF(Atletas!T394="Outra Arma Dupla A",801,IF(Atletas!T394="Arma Maleável A",802,IF(Atletas!T394="Outra Arma Dupla B",803,IF(Atletas!T394="Arma Maleável B",804,IF(Atletas!T394="Outra Arma Dupla C",805,IF(Atletas!T394="Arma Maleável C",806,IF(Atletas!T394="Outra Arma Dupla D",807,IF(Atletas!T394="Arma Maleável D",808,IF(Atletas!T394="Outra Arma Dupla E",809,IF(Atletas!T394="Arma Maleável E",810,IF(Atletas!T394="Outra Arma Dupla F",811,IF(Atletas!T394="Arma Maleável F",812,IF(Atletas!T394="Shuangdao A",813,IF(Atletas!T394="Shuangdao B",814,IF(Atletas!T394="Shuangdao C",815,IF(Atletas!T394="Shuangdao D",816,IF(Atletas!T394="Shuangdao E",817,IF(Atletas!T394="Shuangdao F",818,"")))))))))))))))))))</f>
        <v/>
      </c>
      <c r="CC403" s="50" t="str">
        <f>IF(Atletas!U394="","",IF(Atletas!X394&lt;&gt;"",10000,0)+IF(Atletas!B394="Feminino",1000,IF(Atletas!B394="Masculino",2000,""))+IF(OR(Atletas!U394="Taijijian Yang A",Atletas!U394="Taijijian Yang Standard A"),901,IF(OR(Atletas!U394="Taijijian Chen A", Atletas!U394="Taijijian Chen Standard A"),902,IF(Atletas!U394="Taijijian Sun A",903,IF(Atletas!U394="Taijijian Wu A",904,IF(Atletas!U394="Taijijian Wu-Hao A",905,IF(OR(Atletas!U394="Taijijian 32 A",Atletas!U394="Taijijian 42 A"),906,IF(OR(Atletas!U394="Taijijian Yang B",Atletas!U394="Taijijian Yang Standard B"),907,IF(OR(Atletas!U394="Taijijian Chen B", Atletas!U394="Taijijian Chen Standard B"),908,IF(Atletas!U394="Taijijian Sun B",909,IF(Atletas!U394="Taijijian Wu B",910,IF(Atletas!U394="Taijijian Wu-Hao B",911,IF(OR(Atletas!U394="Taijijian 32 B",Atletas!U394="Taijijian 42 B"),912,IF(OR(Atletas!U394="Taijijian Yang C",Atletas!U394="Taijijian Yang Standard C"),913,IF(OR(Atletas!U394="Taijijian Chen C", Atletas!U394="Taijijian Chen Standard C"),914,IF(Atletas!U394="Taijijian Sun C",915,IF(Atletas!U394="Taijijian Wu C",916,IF(Atletas!U394="Taijijian Wu-Hao C",917,IF(OR(Atletas!U394="Taijijian 32 C",Atletas!U394="Taijijian 42 C"),918,IF(OR(Atletas!U394="Taijijian Yang D",Atletas!U394="Taijijian Yang Standard D"),919,IF(OR(Atletas!U394="Taijijian Chen D", Atletas!U394="Taijijian Chen Standard D"),920,IF(Atletas!U394="Taijijian Sun D",921,IF(Atletas!U394="Taijijian Wu D",922,IF(Atletas!U394="Taijijian Wu-Hao D",923,IF(OR(Atletas!U394="Taijijian 32 D",Atletas!U394="Taijijian 42 D"),924,IF(OR(Atletas!U394="Taijijian Yang E",Atletas!U394="Taijijian Yang Standard E"),925,IF(OR(Atletas!U394="Taijijian Chen E", Atletas!U394="Taijijian Chen Standard E"),926,IF(Atletas!U394="Taijijian Sun E",927,IF(Atletas!U394="Taijijian Wu E",928,IF(Atletas!U394="Taijijian Wu-Hao E",929,IF(OR(Atletas!U394="Taijijian 32 E",Atletas!U394="Taijijian 42 E"),930,IF(OR(Atletas!U394="Taijijian Yang F",Atletas!U394="Taijijian Yang Standard F"),931,IF(OR(Atletas!U394="Taijijian Chen F", Atletas!U394="Taijijian Chen Standard F"),932,IF(Atletas!U394="Taijijian Sun F",933,IF(Atletas!U394="Taijijian Wu F",934,IF(Atletas!U394="Taijijian Wu-Hao F",935,IF(OR(Atletas!U394="Taijijian 32 F",Atletas!U394="Taijijian 42 F"),936,"")))))))))))))))))))))))))))))))))))))</f>
        <v/>
      </c>
      <c r="CD403" s="50" t="str">
        <f>IF(Atletas!V394="","",IF(Atletas!X394&lt;&gt;"",10000,0)+IF(Atletas!B394="Feminino",1000,IF(Atletas!B394="Masculino",2000,""))+IF(Atletas!V394="Taijidao A",937,IF(Atletas!V394="TaijiShanzi A",938,IF(Atletas!V394="Taijiqiang A",939,IF(Atletas!V394="Bagua de Arma A",940,IF(Atletas!V394="Xingyi de Arma A",941,IF(Atletas!V394="Taijidao B",942,IF(Atletas!V394="TaijiShanzi B",943,IF(Atletas!V394="Taijiqiang B",944,IF(Atletas!V394="Bagua de Arma B",945,IF(Atletas!V394="Xingyi de Arma B",946,IF(Atletas!V394="Taijidao C",947,IF(Atletas!V394="TaijiShanzi C",948,IF(Atletas!V394="Taijiqiang C",949,IF(Atletas!V394="Bagua de Arma C",950,IF(Atletas!V394="Xingyi de Arma C",951,IF(Atletas!V394="Taijidao D",952,IF(Atletas!V394="TaijiShanzi D",953,IF(Atletas!V394="Taijiqiang D",954,IF(Atletas!V394="Bagua de Arma D",955,IF(Atletas!V394="Xingyi de Arma D",956,IF(Atletas!V394="Taijidao E",957,IF(Atletas!V394="TaijiShanzi E",958,IF(Atletas!V394="Taijiqiang E",959,IF(Atletas!V394="Bagua de Arma E",960,IF(Atletas!V394="Xingyi de Arma E",961,IF(Atletas!V394="Taijidao F",962,IF(Atletas!V394="TaijiShanzi F",963,IF(Atletas!V394="Taijiqiang F",964,IF(Atletas!V394="Bagua de Arma F",965,IF(Atletas!V394="Xingyi de Arma F",966,"")))))))))))))))))))))))))))))))</f>
        <v/>
      </c>
      <c r="CJ403" s="66"/>
      <c r="CL403" s="66"/>
      <c r="CM403" s="50" t="str">
        <f xml:space="preserve"> IF(Atletas!W394="","",IF(Atletas!W394="Duilian de Mãos BC - Equipe 1",1,IF(Atletas!W394="Duilian de Mãos BC - Equipe 2",2,IF(Atletas!W394="Duilian de Armas BC - Equipe 1",3,IF(Atletas!W394="Duilian de Armas BC - Equipe 2",4,IF(Atletas!W394="Duilian de Mãos DE - Equipe 1",5,IF(Atletas!W394="Duilian de Mãos DE - Equipe 2",6,IF(Atletas!W394="Duilian de Armas DE - Equipe 1",7,IF(Atletas!W394="Duilian de Armas DE - Equipe 2",8,IF(Atletas!W394="Duilian de Tuishou - Equipe 1",9,IF(Atletas!W394="Duilian de Tuishou - Equipe 2",10,IF(Atletas!W394="Grupo Externo ABC - Equipe 1",11,IF(Atletas!W394="Grupo Externo ABC - Equipe 2",12,IF(Atletas!W394="Grupo Interno ABC - Equipe 1",13,IF(Atletas!W394="Grupo Interno ABC - Equipe 2",14,IF(Atletas!W394="Grupo Externo DEF - Equipe 1",15,IF(Atletas!W394="Grupo Externo DEF - Equipe 2",16,IF(Atletas!W394="Grupo Interno DEF - Equipe 1",17,IF(Atletas!W394="Grupo Interno DEF - Equipe 2",18,"")))))))))))))))))))</f>
        <v/>
      </c>
    </row>
    <row r="404" spans="40:91">
      <c r="AN404" s="52" t="str">
        <f>IF(Atletas!D395="","",IF(Atletas!B395="Feminino",100,IF(Atletas!B395="Masculino",200,""))+(IF(Atletas!D395="Kids 30kg",1,IF(Atletas!D395="Kids 32kg",2, IF(Atletas!D395="Kids 34kg",3,IF(Atletas!D395="Kids 36kg",4,IF(Atletas!D395="Kids 39kg",5,IF(Atletas!D395="Kids 42kg",6,IF(Atletas!D395="Kids 45kg",7, IF(Atletas!D395="Infantil 39kg",8,IF(Atletas!D395="Infantil 42kg",9,IF(Atletas!D395="Infantil 45kg",10,IF(Atletas!D395="Infantil 48kg",11,IF(Atletas!D395="Infantil 52kg",12,IF(Atletas!D395="Infantil 56kg",13,IF(Atletas!D395="Infantil 60kg",14,IF(Atletas!D395="Juvenil 48kg",15,IF(Atletas!D395="Juvenil 52kg",16,IF(Atletas!D395="Juvenil 56kg",17,IF(Atletas!D395="Juvenil 60kg",18,IF(Atletas!D395="Juvenil 65kg",19,IF(Atletas!D395="Juvenil 70kg",20,IF(Atletas!D395="Juvenil 75kg",21,IF(Atletas!D395="Juvenil 80kg",22, IF(Atletas!D395="Juvenil 85kg",23,IF(Atletas!D395="Adulto 48kg",24,IF(Atletas!D395="Adulto 52kg",25,IF(Atletas!D395="Adulto 56kg",26,IF(Atletas!D395="Adulto 60kg",27,IF(Atletas!D395="Adulto 65kg",28,IF(Atletas!D395="Adulto 70kg",29,IF(Atletas!D395="Adulto 75kg",30,IF(Atletas!D395="Adulto 80kg",31,IF(Atletas!D395="Adulto 85kg",32,IF(Atletas!D395="Adulto 90kg",33,IF(Atletas!D395="Adulto 100kg",34, IF(Atletas!D395="Adulto +100kg",35,"")))))))))))))))))))))))))))))))))))))</f>
        <v/>
      </c>
      <c r="AS404" s="6" t="str">
        <f>IF(Atletas!E395="","",IF(Atletas!B395="Feminino",100,IF(Atletas!B395="Masculino",200,""))+(IF(Atletas!E395="Juvenil 44kg",1,IF(Atletas!E395="Juvenil 48kg",2,IF(Atletas!E395="Juvenil 52kg",3,IF(Atletas!E395="Juvenil 56kg",4,IF(Atletas!E395="Juvenil 60kg",5,IF(Atletas!E395="Juvenil 65kg",6,IF(Atletas!E395="Juvenil 70kg",7,IF(Atletas!E395="Juvenil 75kg",8,IF(Atletas!E395="Juvenil 82kg",9,IF(Atletas!E395="Juvenil 90kg",10,IF(Atletas!E395="Juvenil 100kg",11,IF(Atletas!E395="Adulto 48kg",12,IF(Atletas!E395="Adulto 52kg",13,IF(Atletas!E395="Adulto 56kg",14,IF(Atletas!E395="Adulto 60kg",15,IF(Atletas!E395="Adulto 65kg",16,IF(Atletas!E395="Adulto 70kg",17,IF(Atletas!E395="Adulto 75kg",18,IF(Atletas!E395="Adulto 82kg",19,IF(Atletas!E395="Adulto 90kg",20,IF(Atletas!E395="Adulto 100kg",21,IF(Atletas!E395="Adulto +100kg",22,""))))))))))))))))))))))))</f>
        <v/>
      </c>
      <c r="AX404" s="6" t="str">
        <f>IF(Atletas!F395="","",IF(Atletas!B395="Feminino",100,IF(Atletas!B395="Masculino",200,""))+(IF(Atletas!F395="Adulto 48kg",1,IF(Atletas!F395="Adulto 56kg",2,IF(Atletas!F395="Adulto 65kg",3,IF(Atletas!F395="Adulto 75kg",4,IF(Atletas!F395="Adulto +75kg",5,IF(Atletas!F395="Adulto 52kg",6,IF(Atletas!F395="Adulto 60kg",7,IF(Atletas!F395="Adulto 70kg",8,IF(Atletas!F395="Adulto 80kg",9,IF(Atletas!F395="Adulto 90kg",10,IF(Atletas!F395="Adulto +90kg",11,"")))))))))))))</f>
        <v/>
      </c>
      <c r="BC404" s="6" t="str">
        <f>IF(Atletas!G395="","",IF(Atletas!B395="Feminino",10,IF(Atletas!B395="Masculino",20,""))+(IF(Atletas!G395="Baduanjin A",1,IF(Atletas!G395="Baduanjin B",2))))</f>
        <v/>
      </c>
      <c r="BF404" s="52" t="str">
        <f>IF(Atletas!H395="","",IF(Atletas!B395="Feminino",100,IF(Atletas!B395="Masculino",200,""))+(IF(Atletas!H395="Changquan Mirim",1,IF(Atletas!H395="Nanquan Mirim",2,IF(Atletas!H395="Taijiquan Mirim",3,IF(Atletas!H395="Changquan Grupo C",4,IF(Atletas!H395="Nanquan Grupo C",5,IF(Atletas!H395="Taijiquan Grupo C",6,IF(Atletas!H395="Changquan Grupo B",7,IF(Atletas!H395="Nanquan Grupo B",8,IF(Atletas!H395="Taijiquan Grupo B",9,IF(Atletas!H395="Changquan Grupo A",10,IF(Atletas!H395="Nanquan Grupo A",11,IF(Atletas!H395="Taijiquan Grupo A",12,IF(Atletas!H395="Changquan Opcional",13,IF(Atletas!H395="Nanquan Opcional",14,IF(Atletas!H395="Taijiquan Opcional",15,IF(Atletas!H395="Changquan Adulto",16,IF(Atletas!H395="Nanquan Adulto",17,IF(Atletas!H395="Taijiquan Adulto",18,""))))))))))))))))))))</f>
        <v/>
      </c>
      <c r="BG404" s="52" t="str">
        <f>IF(Atletas!I395="","",IF(Atletas!B395="Feminino",100,IF(Atletas!B395="Masculino",200,""))+(IF(Atletas!I395="Daoshu Mirim",19,IF(Atletas!I395="Jianshu Mirim",20,IF(Atletas!I395="Nandao Mirim",21,IF(Atletas!I395="Taijijian Mirim",22,IF(Atletas!I395="Daoshu Grupo C",23,IF(Atletas!I395="Jianshu Grupo C",24,IF(Atletas!I395="Nandao Grupo C",25,IF(Atletas!I395="Taijijian Grupo C",26,IF(Atletas!I395="Daoshu Grupo B",27,IF(Atletas!I395="Jianshu Grupo B",28,IF(Atletas!I395="Nandao Grupo B",29,IF(Atletas!I395="Taijijian Grupo B",30,IF(Atletas!I395="Daoshu Grupo A",31,IF(Atletas!I395="Jianshu Grupo A",32,IF(Atletas!I395="Nandao Grupo A",33,IF(Atletas!I395="Taijijian Grupo A",34,IF(Atletas!I395="Daoshu Opcional",35,IF(Atletas!I395="Jianshu Opcional",36,IF(Atletas!I395="Nandao Opcional",37,IF(Atletas!I395="Taijijian Opcional",38,IF(Atletas!I395="Daoshu Adulto",39,IF(Atletas!I395="Jianshu Adulto",40,IF(Atletas!I395="Nandao Adulto",41,IF(Atletas!I395="Taijijian Adulto",42,""))))))))))))))))))))))))))</f>
        <v/>
      </c>
      <c r="BH404" s="52" t="str">
        <f>IF(Atletas!J395="","",IF(Atletas!B395="Feminino",100,IF(Atletas!B395="Masculino",200,""))+(IF(Atletas!J395="Gunshu Mirim",43,IF(Atletas!J395="Qiangshu Mirim",44,IF(Atletas!J395="Nangun Mirim",45,IF(Atletas!J395="Gunshu Grupo C",46,IF(Atletas!J395="Qiangshu Grupo C",47,IF(Atletas!J395="Nangun Grupo C",48,IF(Atletas!J395="Gunshu Grupo B",49,IF(Atletas!J395="Qiangshu Grupo B",50,IF(Atletas!J395="Nangun Grupo B",51,IF(Atletas!J395="Gunshu Grupo A",52,IF(Atletas!J395="Qiangshu Grupo A",53,IF(Atletas!J395="Nangun Grupo A",54,IF(Atletas!J395="Gunshu Opcional",55,IF(Atletas!J395="Qiangshu Opcional",56,IF(Atletas!J395="Nangun Opcional",57,IF(Atletas!J395="Gunshu Adulto",58,IF(Atletas!J395="Qiangshu Adulto",59,IF(Atletas!J395="Nangun Adulto",60,IF(Atletas!J395="Taijishan Grupo B",61,IF(Atletas!J395="Taijishan Grupo A",62,""))))))))))))))))))))))</f>
        <v/>
      </c>
      <c r="BM404" s="50" t="str">
        <f>IF(Atletas!K395="","",IF(Atletas!B395="Feminino",100,IF(Atletas!B395="Masculino",200,""))+(IF(Atletas!K395="Equipe 1 Grupo B",1,IF(Atletas!K395="Equipe 2 Grupo B",2,IF(Atletas!K395="Equipe 1 Grupo A",3,IF(Atletas!K395="Equipe 2 Grupo A",4,IF(Atletas!K395="Equipe 1 Adulto",5,IF(Atletas!K395="Equipe 2 Adulto",6,""))))))))</f>
        <v/>
      </c>
      <c r="BR404" s="50" t="str">
        <f>IF(Atletas!L395="","",IF(Atletas!X395&lt;&gt;"",10000,0)+(IF(Atletas!B395="Feminino",1000,IF(Atletas!B395="Masculino",2000,""))+IF(Atletas!L395="Choylayfut A",1,IF(Atletas!L395="Hunggar A",2,IF(Atletas!L395="Wuzuquan A",3,IF(Atletas!L395="Wingchun A",4,IF(Atletas!L395="Outra Mão de Sul A",5,IF(Atletas!L395="Choylayfut B",6,IF(Atletas!L395="Hunggar B",7,IF(Atletas!L395="Wuzuquan B",8,IF(Atletas!L395="Wingchun B",9,IF(Atletas!L395="Outra Mão de Sul B",10,IF(Atletas!L395="Choylayfut C",11,IF(Atletas!L395="Hunggar C",12,IF(Atletas!L395="Wuzuquan C",13,IF(Atletas!L395="Wingchun C",14,IF(Atletas!L395="Outra Mão de Sul C",15,IF(Atletas!L395="Choylayfut D",16,IF(Atletas!L395="Hunggar D",17,IF(Atletas!L395="Wuzuquan D",18,IF(Atletas!L395="Wingchun D",19,IF(Atletas!L395="Outra Mão de Sul D",20,IF(Atletas!L395="Choylayfut E",21,IF(Atletas!L395="Hunggar E",22,IF(Atletas!L395="Wuzuquan E",23,IF(Atletas!L395="Wingchun E",24,IF(Atletas!L395="Outra Mão de Sul E",25,IF(Atletas!L395="Choylayfut F",26,IF(Atletas!L395="Hunggar F",27,IF(Atletas!L395="Wuzuquan F",28,IF(Atletas!L395="Wingchun F",29,IF(Atletas!L395="Outra Mão de Sul F",30,IF(Atletas!L395="Dishuquan A",31,IF(Atletas!L395="Dishuquan B",32,IF(Atletas!L395="Dishuquan C",33,IF(Atletas!L395="Dishuquan D",34,IF(Atletas!L395="Dishuquan E",35,IF(Atletas!L395="Dishuquan F",36,""))))))))))))))))))))))))))))))))))))))</f>
        <v/>
      </c>
      <c r="BS404" s="50" t="str">
        <f>IF(Atletas!M395="","",IF(Atletas!X395&lt;&gt;"",10000,0)+(IF(Atletas!B395="Feminino",1000,IF(Atletas!B395="Masculino",2000,""))+(IF(Atletas!M395="Chaquan A",101,IF(Atletas!M395="Emeiquan A",102,IF(Atletas!M395="Fanziquan A",103,IF(Atletas!M395="Huaquan A",104,IF(Atletas!M395="Hongquan A",105,IF(Atletas!M395="Paoquan A",106,IF(Atletas!M395="Piguaquan A",107,IF(Atletas!M395="Shaolinquan A",108,IF(Atletas!M395="Tanglangquan A",109,IF(Atletas!M395="Yingzhaoquan A",110,IF(Atletas!M395="Tongbeiquan A",111,IF(Atletas!M395="Wudangquan A",112,IF(Atletas!M395="Outros Estilos A",113,IF(Atletas!M395="Chaquan B",114,IF(Atletas!M395="Emeiquan B",115,IF(Atletas!M395="Fanziquan B",116,IF(Atletas!M395="Huaquan B",117,IF(Atletas!M395="Hongquan B",118,IF(Atletas!M395="Paoquan B",119,IF(Atletas!M395="Piguaquan B",120,IF(Atletas!M395="Shaolinquan B",121,IF(Atletas!M395="Tanglangquan B",122,IF(Atletas!M395="Yingzhaoquan B",123,IF(Atletas!M395="Tongbeiquan B",124,IF(Atletas!M395="Wudangquan B",125,IF(Atletas!M395="Outros Estilos B",126,IF(Atletas!M395="Chaquan C",127,IF(Atletas!M395="Emeiquan C",128,IF(Atletas!M395="Fanziquan C",129,IF(Atletas!M395="Huaquan C",130,IF(Atletas!M395="Hongquan C",131,IF(Atletas!M395="Paoquan C",132,IF(Atletas!M395="Piguaquan C",133,IF(Atletas!M395="Shaolinquan C",134,IF(Atletas!M395="Tanglangquan C",135,IF(Atletas!M395="Yingzhaoquan C",136,IF(Atletas!M395="Tongbeiquan C",137,IF(Atletas!M395="Wudangquan C",138,IF(Atletas!M395="Outros Estilos C",139,0))))))))))))))))))))))))))))))))))))))))))</f>
        <v/>
      </c>
      <c r="BT404" s="50" t="str">
        <f>IF(Atletas!M395="","",IF(Atletas!X395&lt;&gt;"",10000,0)+(IF(Atletas!B395="Feminino",1000,IF(Atletas!B395="Masculino",2000,""))+(IF(Atletas!M395="Chaquan D",140,IF(Atletas!M395="Emeiquan D",141,IF(Atletas!M395="Fanziquan D",142,IF(Atletas!M395="Huaquan D",143,IF(Atletas!M395="Hongquan D",144,IF(Atletas!M395="Paoquan D",145,IF(Atletas!M395="Piguaquan D",146,IF(Atletas!M395="Shaolinquan D",147,IF(Atletas!M395="Tanglangquan D",148,IF(Atletas!M395="Yingzhaoquan D",149,IF(Atletas!M395="Tongbeiquan D",150,IF(Atletas!M395="Wudangquan D",151,IF(Atletas!M395="Outros Estilos D",152,IF(Atletas!M395="Chaquan E",153,IF(Atletas!M395="Emeiquan E",154,IF(Atletas!M395="Fanziquan E",155,IF(Atletas!M395="Huaquan E",156,IF(Atletas!M395="Hongquan E",157,IF(Atletas!M395="Paoquan E",158,IF(Atletas!M395="Piguaquan E",159,IF(Atletas!M395="Shaolinquan E",160,IF(Atletas!M395="Tanglangquan E",161,IF(Atletas!M395="Yingzhaoquan E",162,IF(Atletas!M395="Tongbeiquan E",163,IF(Atletas!M395="Wudangquan E",164,IF(Atletas!M395="Outros Estilos E",165,IF(Atletas!M395="Chaquan F",166,IF(Atletas!M395="Emeiquan F",167,IF(Atletas!M395="Fanziquan F",168,IF(Atletas!M395="Huaquan F",169,IF(Atletas!M395="Hongquan F",170,IF(Atletas!M395="Paoquan F",171,IF(Atletas!M395="Piguaquan F",172,IF(Atletas!M395="Shaolinquan F",173,IF(Atletas!M395="Tanglangquan F",174,IF(Atletas!M395="Yingzhaoquan F",175,IF(Atletas!M395="Tongbeiquan F",176,IF(Atletas!M395="Wudangquan F",177,IF(Atletas!M395="Outros Estilos F",178,0))))))))))))))))))))))))))))))))))))))))))</f>
        <v/>
      </c>
      <c r="BU404" s="50" t="str">
        <f>IF(Atletas!N395="","",IF(Atletas!X395&lt;&gt;"",10000,0)+(IF(Atletas!B395="Feminino",1000,IF(Atletas!B395="Masculino",2000,""))+(IF(Atletas!N395="Ditangquan A",201,IF(Atletas!N395="Houquan A",202,IF(Atletas!N395="Zuiquan A",203,IF(Atletas!N395="Ditangquan B",204,IF(Atletas!N395="Houquan B",205,IF(Atletas!N395="Zuiquan B",206,IF(Atletas!N395="Ditangquan C",207,IF(Atletas!N395="Houquan C",208,IF(Atletas!N395="Zuiquan C",209,IF(Atletas!N395="Ditangquan D",210,IF(Atletas!N395="Houquan D",211,IF(Atletas!N395="Zuiquan D",212,IF(Atletas!N395="Ditangquan E",213,IF(Atletas!N395="Houquan E",214,IF(Atletas!N395="Zuiquan E",215,IF(Atletas!N395="Ditangquan F",216,IF(Atletas!N395="Houquan F",217,IF(Atletas!N395="Zuiquan F",218,"")))))))))))))))))))))</f>
        <v/>
      </c>
      <c r="BV404" s="50" t="str">
        <f>IF(Atletas!O395="","",IF(Atletas!X395&lt;&gt;"",10000,0)+IF(Atletas!B395="Feminino",1000,IF(Atletas!B395="Masculino",2000,""))+IF(Atletas!O395="Yang A",301,IF(Atletas!O395="Chen A",302,IF(Atletas!O395="Sun A",303,IF(Atletas!O395="Wu A",304,IF(Atletas!O395="Wu-Hao A",305,IF(Atletas!O395="Outro Taijiquan A",306,IF(Atletas!O395="Yang B",307,IF(Atletas!O395="Chen B",308,IF(Atletas!O395="Sun B",309,IF(Atletas!O395="Wu B",310,IF(Atletas!O395="Wu-Hao B",311,IF(Atletas!O395="Outro Taijiquan B",312,IF(Atletas!O395="Yang C",313,IF(Atletas!O395="Chen C",314,IF(Atletas!O395="Sun C",315,IF(Atletas!O395="Wu C",316,IF(Atletas!O395="Wu-Hao C",317,IF(Atletas!O395="Outro Taijiquan C",318,IF(Atletas!O395="Yang D",319,IF(Atletas!O395="Chen D",320,IF(Atletas!O395="Sun D",321,IF(Atletas!O395="Wu D",322,IF(Atletas!O395="Wu-Hao D",323,IF(Atletas!O395="Outro Taijiquan D",324,IF(Atletas!O395="Yang E",325,IF(Atletas!O395="Chen E",326,IF(Atletas!O395="Sun E",327,IF(Atletas!O395="Wu E",328,IF(Atletas!O395="Wu-Hao E",329,IF(Atletas!O395="Outro Taijiquan E",330,IF(Atletas!O395="Yang F",331,IF(Atletas!O395="Chen F",332,IF(Atletas!O395="Sun F",333,IF(Atletas!O395="Wu F",334,IF(Atletas!O395="Wu-Hao F",335,IF(Atletas!O395="Outro Taijiquan F",336,"")))))))))))))))))))))))))))))))))))))</f>
        <v/>
      </c>
      <c r="BW404" s="50" t="str">
        <f>IF(Atletas!P395="","",IF(Atletas!X395&lt;&gt;"",10000,0)+IF(Atletas!B395="Feminino",1000,IF(Atletas!B395="Masculino",2000,""))+IF(OR(Atletas!P395="Yang 26 A",Atletas!P395="Yang 40 A"),401,IF(OR(Atletas!P395="Chen 25 A",Atletas!P395="Chen 36 A",Atletas!P395="Chen 56 A"),402,IF(Atletas!P395="Sun 73 A",403,IF(Atletas!P395="Wu 45 A",404,IF(Atletas!P395="Wu-Hao 46 A",405,IF(OR(Atletas!P395="Taijiquan 16 A",Atletas!P395="Taijiquan 24 A",Atletas!P395="Taijiquan 32 A",Atletas!P395="Taijiquan 42 A"),406,IF(OR(Atletas!P395="Yang 26 B",Atletas!P395="Yang 40 B"),407,IF(OR(Atletas!P395="Chen 25 B",Atletas!P395="Chen 36 B",Atletas!P395="Chen 56 B"),408,IF(Atletas!P395="Sun 73 B",409,IF(Atletas!P395="Wu 45 B",410,IF(Atletas!P395="Wu-Hao 46 B",411,IF(OR(Atletas!P395="Taijiquan 16 B",Atletas!P395="Taijiquan 24 B",Atletas!P395="Taijiquan 32 B",Atletas!P395="Taijiquan 42 B"),412,IF(OR(Atletas!P395="Yang 26 C",Atletas!P395="Yang 40 C"),413,IF(OR(Atletas!P395="Chen 25 C",Atletas!P395="Chen 36 C",Atletas!P395="Chen 56 C"),414,IF(Atletas!P395="Sun 73 C",415,IF(Atletas!P395="Wu 45 C",416,IF(Atletas!P395="Wu-Hao 46 C",417,IF(OR(Atletas!P395="Taijiquan 16 C",Atletas!P395="Taijiquan 24 C",Atletas!P395="Taijiquan 32 C",Atletas!P395="Taijiquan 42 C"),418,0)))))))))))))))))))</f>
        <v/>
      </c>
      <c r="BX404" s="50" t="str">
        <f>IF(Atletas!P395="","",IF(Atletas!X395&lt;&gt;"",10000,0)+IF(Atletas!B395="Feminino",1000,IF(Atletas!B395="Masculino",2000,""))+IF(OR(Atletas!P395="Yang 26 D",Atletas!P395="Yang 40 D"),419,IF(OR(Atletas!P395="Chen 25 D",Atletas!P395="Chen 36 D",Atletas!P395="Chen 56 D"),420,IF(Atletas!P395="Sun 73 D",421,IF(Atletas!P395="Wu 45 D",422,IF(Atletas!P395="Wu-Hao 46 D",423,IF(OR(Atletas!P395="Taijiquan 16 D",Atletas!P395="Taijiquan 24 D",Atletas!P395="Taijiquan 32 D",Atletas!P395="Taijiquan 42 D"),424,IF(OR(Atletas!P395="Yang 26 E",Atletas!P395="Yang 40 E"),425,IF(OR(Atletas!P395="Chen 25 E",Atletas!P395="Chen 36 E",Atletas!P395="Chen 56 E"),426,IF(Atletas!P395="Sun 73 E",427,IF(Atletas!P395="Wu 45 E",428,IF(Atletas!P395="Wu-Hao 46 E",429,IF(OR(Atletas!P395="Taijiquan 16 E",Atletas!P395="Taijiquan 24 E",Atletas!P395="Taijiquan 32 E",Atletas!P395="Taijiquan 42 E"),430,IF(OR(Atletas!P395="Yang 26 F",Atletas!P395="Yang 40 F"),431,IF(OR(Atletas!P395="Chen 25 F",Atletas!P395="Chen 36 F",Atletas!P395="Chen 56 F"),432,IF(Atletas!P395="Sun 73 F",433,IF(Atletas!P395="Wu 45 F",434,IF(Atletas!P395="Wu-Hao 46 F",435,IF(OR(Atletas!P395="Taijiquan 16 F",Atletas!P395="Taijiquan 24 F",Atletas!P395="Taijiquan 32 F",Atletas!P395="Taijiquan 42 F"),436,0)))))))))))))))))))</f>
        <v/>
      </c>
      <c r="BY404" s="50" t="str">
        <f>IF(Atletas!Q395="","",IF(Atletas!X395&lt;&gt;"",10000,0)+IF(Atletas!B395="Feminino",1000,IF(Atletas!B395="Masculino",2000,""))+IF(Atletas!Q395="Xingyiquan A",501,IF(Atletas!Q395="Baguazhang A",502,IF(Atletas!Q395="Outro Estilo Interno A",503,IF(Atletas!Q395="Xingyiquan B",504,IF(Atletas!Q395="Baguazhang B",505,IF(Atletas!Q395="Outro Estilo Interno B",506,IF(Atletas!Q395="Xingyiquan C",507,IF(Atletas!Q395="Baguazhang C",508,IF(Atletas!Q395="Outro Estilo Interno C",509,IF(Atletas!Q395="Xingyiquan D",510,IF(Atletas!Q395="Baguazhang D",511,IF(Atletas!Q395="Outro Estilo Interno D",512,IF(Atletas!Q395="Xingyiquan E",513,IF(Atletas!Q395="Baguazhang E",514,IF(Atletas!Q395="Outro Estilo Interno E",515,IF(Atletas!Q395="Xingyiquan F",516,IF(Atletas!Q395="Baguazhang F",517,IF(Atletas!Q395="Outro Estilo Interno F",518, "")))))))))))))))))))</f>
        <v/>
      </c>
      <c r="BZ404" s="50" t="str">
        <f>IF(Atletas!R395="","",IF(Atletas!X395&lt;&gt;"",10000,0)+IF(Atletas!B395="Feminino",1000,IF(Atletas!B395="Masculino",2000,""))+IF(Atletas!R395="Dao A",601,IF(Atletas!R395="Jian A",602,IF(Atletas!R395="Bishou A",603,IF(Atletas!R395="Shanzi A",604,IF(Atletas!R395="Outra Arma Curta A",605,IF(Atletas!R395="Dao B",606,IF(Atletas!R395="Jian B",607,IF(Atletas!R395="Bishou B",608,IF(Atletas!R395="Shanzi B",609,IF(Atletas!R395="Outra Arma Curta B",610,IF(Atletas!R395="Dao C",611,IF(Atletas!R395="Jian C",612,IF(Atletas!R395="Bishou C",613,IF(Atletas!R395="Shanzi C",614,IF(Atletas!R395="Outra Arma Curta C",615,IF(Atletas!R395="Dao D",616,IF(Atletas!R395="Jian D",617,IF(Atletas!R395="Bishou D",618,IF(Atletas!R395="Shanzi D",619,IF(Atletas!R395="Outra Arma Curta D",620,IF(Atletas!R395="Dao E",621,IF(Atletas!R395="Jian E",622,IF(Atletas!R395="Bishou E",623,IF(Atletas!R395="Shanzi E",624,IF(Atletas!R395="Outra Arma Curta E",625,IF(Atletas!R395="Dao F",626,IF(Atletas!R395="Jian F",627,IF(Atletas!R395="Bishou F",628,IF(Atletas!R395="Shanzi F",629,IF(Atletas!R395="Outra Arma Curta F",630, "")))))))))))))))))))))))))))))))</f>
        <v/>
      </c>
      <c r="CA404" s="50" t="str">
        <f>IF(Atletas!S395="","",IF(Atletas!X395&lt;&gt;"",10000,0)+IF(Atletas!B395="Feminino",1000,IF(Atletas!B395="Masculino",2000,""))+IF(Atletas!S395="Gun A",701,IF(Atletas!S395="Qiang A",702,IF(Atletas!S395="Pudao / Guandao A",703,IF(Atletas!S395="Outra Arma Longa A",704,IF(Atletas!S395="Gun B",705,IF(Atletas!S395="Qiang B",706,IF(Atletas!S395="Pudao / Guandao B",707,IF(Atletas!S395="Outra Arma Longa B",708,IF(Atletas!S395="Gun C",709,IF(Atletas!S395="Qiang C",710,IF(Atletas!S395="Pudao / Guandao C",711,IF(Atletas!S395="Outra Arma Longa C",712,IF(Atletas!S395="Gun D",713,IF(Atletas!S395="Qiang D",714,IF(Atletas!S395="Pudao / Guandao D",715,IF(Atletas!S395="Outra Arma Longa D",716,IF(Atletas!S395="Gun E",717,IF(Atletas!S395="Qiang E",718,IF(Atletas!S395="Pudao / Guandao E",719,IF(Atletas!S395="Outra Arma Longa E",720,IF(Atletas!S395="Gun F",721,IF(Atletas!S395="Qiang F",722,IF(Atletas!S395="Pudao / Guandao F",723,IF(Atletas!S395="Outra Arma Longa F",724,"")))))))))))))))))))))))))</f>
        <v/>
      </c>
      <c r="CB404" s="50" t="str">
        <f>IF(Atletas!T395="","",IF(Atletas!X395&lt;&gt;"",10000,0)+IF(Atletas!B395="Feminino",1000,IF(Atletas!B395="Masculino",2000,""))+IF(Atletas!T395="Outra Arma Dupla A",801,IF(Atletas!T395="Arma Maleável A",802,IF(Atletas!T395="Outra Arma Dupla B",803,IF(Atletas!T395="Arma Maleável B",804,IF(Atletas!T395="Outra Arma Dupla C",805,IF(Atletas!T395="Arma Maleável C",806,IF(Atletas!T395="Outra Arma Dupla D",807,IF(Atletas!T395="Arma Maleável D",808,IF(Atletas!T395="Outra Arma Dupla E",809,IF(Atletas!T395="Arma Maleável E",810,IF(Atletas!T395="Outra Arma Dupla F",811,IF(Atletas!T395="Arma Maleável F",812,IF(Atletas!T395="Shuangdao A",813,IF(Atletas!T395="Shuangdao B",814,IF(Atletas!T395="Shuangdao C",815,IF(Atletas!T395="Shuangdao D",816,IF(Atletas!T395="Shuangdao E",817,IF(Atletas!T395="Shuangdao F",818,"")))))))))))))))))))</f>
        <v/>
      </c>
      <c r="CC404" s="50" t="str">
        <f>IF(Atletas!U395="","",IF(Atletas!X395&lt;&gt;"",10000,0)+IF(Atletas!B395="Feminino",1000,IF(Atletas!B395="Masculino",2000,""))+IF(OR(Atletas!U395="Taijijian Yang A",Atletas!U395="Taijijian Yang Standard A"),901,IF(OR(Atletas!U395="Taijijian Chen A", Atletas!U395="Taijijian Chen Standard A"),902,IF(Atletas!U395="Taijijian Sun A",903,IF(Atletas!U395="Taijijian Wu A",904,IF(Atletas!U395="Taijijian Wu-Hao A",905,IF(OR(Atletas!U395="Taijijian 32 A",Atletas!U395="Taijijian 42 A"),906,IF(OR(Atletas!U395="Taijijian Yang B",Atletas!U395="Taijijian Yang Standard B"),907,IF(OR(Atletas!U395="Taijijian Chen B", Atletas!U395="Taijijian Chen Standard B"),908,IF(Atletas!U395="Taijijian Sun B",909,IF(Atletas!U395="Taijijian Wu B",910,IF(Atletas!U395="Taijijian Wu-Hao B",911,IF(OR(Atletas!U395="Taijijian 32 B",Atletas!U395="Taijijian 42 B"),912,IF(OR(Atletas!U395="Taijijian Yang C",Atletas!U395="Taijijian Yang Standard C"),913,IF(OR(Atletas!U395="Taijijian Chen C", Atletas!U395="Taijijian Chen Standard C"),914,IF(Atletas!U395="Taijijian Sun C",915,IF(Atletas!U395="Taijijian Wu C",916,IF(Atletas!U395="Taijijian Wu-Hao C",917,IF(OR(Atletas!U395="Taijijian 32 C",Atletas!U395="Taijijian 42 C"),918,IF(OR(Atletas!U395="Taijijian Yang D",Atletas!U395="Taijijian Yang Standard D"),919,IF(OR(Atletas!U395="Taijijian Chen D", Atletas!U395="Taijijian Chen Standard D"),920,IF(Atletas!U395="Taijijian Sun D",921,IF(Atletas!U395="Taijijian Wu D",922,IF(Atletas!U395="Taijijian Wu-Hao D",923,IF(OR(Atletas!U395="Taijijian 32 D",Atletas!U395="Taijijian 42 D"),924,IF(OR(Atletas!U395="Taijijian Yang E",Atletas!U395="Taijijian Yang Standard E"),925,IF(OR(Atletas!U395="Taijijian Chen E", Atletas!U395="Taijijian Chen Standard E"),926,IF(Atletas!U395="Taijijian Sun E",927,IF(Atletas!U395="Taijijian Wu E",928,IF(Atletas!U395="Taijijian Wu-Hao E",929,IF(OR(Atletas!U395="Taijijian 32 E",Atletas!U395="Taijijian 42 E"),930,IF(OR(Atletas!U395="Taijijian Yang F",Atletas!U395="Taijijian Yang Standard F"),931,IF(OR(Atletas!U395="Taijijian Chen F", Atletas!U395="Taijijian Chen Standard F"),932,IF(Atletas!U395="Taijijian Sun F",933,IF(Atletas!U395="Taijijian Wu F",934,IF(Atletas!U395="Taijijian Wu-Hao F",935,IF(OR(Atletas!U395="Taijijian 32 F",Atletas!U395="Taijijian 42 F"),936,"")))))))))))))))))))))))))))))))))))))</f>
        <v/>
      </c>
      <c r="CD404" s="50" t="str">
        <f>IF(Atletas!V395="","",IF(Atletas!X395&lt;&gt;"",10000,0)+IF(Atletas!B395="Feminino",1000,IF(Atletas!B395="Masculino",2000,""))+IF(Atletas!V395="Taijidao A",937,IF(Atletas!V395="TaijiShanzi A",938,IF(Atletas!V395="Taijiqiang A",939,IF(Atletas!V395="Bagua de Arma A",940,IF(Atletas!V395="Xingyi de Arma A",941,IF(Atletas!V395="Taijidao B",942,IF(Atletas!V395="TaijiShanzi B",943,IF(Atletas!V395="Taijiqiang B",944,IF(Atletas!V395="Bagua de Arma B",945,IF(Atletas!V395="Xingyi de Arma B",946,IF(Atletas!V395="Taijidao C",947,IF(Atletas!V395="TaijiShanzi C",948,IF(Atletas!V395="Taijiqiang C",949,IF(Atletas!V395="Bagua de Arma C",950,IF(Atletas!V395="Xingyi de Arma C",951,IF(Atletas!V395="Taijidao D",952,IF(Atletas!V395="TaijiShanzi D",953,IF(Atletas!V395="Taijiqiang D",954,IF(Atletas!V395="Bagua de Arma D",955,IF(Atletas!V395="Xingyi de Arma D",956,IF(Atletas!V395="Taijidao E",957,IF(Atletas!V395="TaijiShanzi E",958,IF(Atletas!V395="Taijiqiang E",959,IF(Atletas!V395="Bagua de Arma E",960,IF(Atletas!V395="Xingyi de Arma E",961,IF(Atletas!V395="Taijidao F",962,IF(Atletas!V395="TaijiShanzi F",963,IF(Atletas!V395="Taijiqiang F",964,IF(Atletas!V395="Bagua de Arma F",965,IF(Atletas!V395="Xingyi de Arma F",966,"")))))))))))))))))))))))))))))))</f>
        <v/>
      </c>
      <c r="CJ404" s="66"/>
      <c r="CL404" s="66"/>
      <c r="CM404" s="50" t="str">
        <f xml:space="preserve"> IF(Atletas!W395="","",IF(Atletas!W395="Duilian de Mãos BC - Equipe 1",1,IF(Atletas!W395="Duilian de Mãos BC - Equipe 2",2,IF(Atletas!W395="Duilian de Armas BC - Equipe 1",3,IF(Atletas!W395="Duilian de Armas BC - Equipe 2",4,IF(Atletas!W395="Duilian de Mãos DE - Equipe 1",5,IF(Atletas!W395="Duilian de Mãos DE - Equipe 2",6,IF(Atletas!W395="Duilian de Armas DE - Equipe 1",7,IF(Atletas!W395="Duilian de Armas DE - Equipe 2",8,IF(Atletas!W395="Duilian de Tuishou - Equipe 1",9,IF(Atletas!W395="Duilian de Tuishou - Equipe 2",10,IF(Atletas!W395="Grupo Externo ABC - Equipe 1",11,IF(Atletas!W395="Grupo Externo ABC - Equipe 2",12,IF(Atletas!W395="Grupo Interno ABC - Equipe 1",13,IF(Atletas!W395="Grupo Interno ABC - Equipe 2",14,IF(Atletas!W395="Grupo Externo DEF - Equipe 1",15,IF(Atletas!W395="Grupo Externo DEF - Equipe 2",16,IF(Atletas!W395="Grupo Interno DEF - Equipe 1",17,IF(Atletas!W395="Grupo Interno DEF - Equipe 2",18,"")))))))))))))))))))</f>
        <v/>
      </c>
    </row>
    <row r="405" spans="40:91">
      <c r="AN405" s="52" t="str">
        <f>IF(Atletas!D396="","",IF(Atletas!B396="Feminino",100,IF(Atletas!B396="Masculino",200,""))+(IF(Atletas!D396="Kids 30kg",1,IF(Atletas!D396="Kids 32kg",2, IF(Atletas!D396="Kids 34kg",3,IF(Atletas!D396="Kids 36kg",4,IF(Atletas!D396="Kids 39kg",5,IF(Atletas!D396="Kids 42kg",6,IF(Atletas!D396="Kids 45kg",7, IF(Atletas!D396="Infantil 39kg",8,IF(Atletas!D396="Infantil 42kg",9,IF(Atletas!D396="Infantil 45kg",10,IF(Atletas!D396="Infantil 48kg",11,IF(Atletas!D396="Infantil 52kg",12,IF(Atletas!D396="Infantil 56kg",13,IF(Atletas!D396="Infantil 60kg",14,IF(Atletas!D396="Juvenil 48kg",15,IF(Atletas!D396="Juvenil 52kg",16,IF(Atletas!D396="Juvenil 56kg",17,IF(Atletas!D396="Juvenil 60kg",18,IF(Atletas!D396="Juvenil 65kg",19,IF(Atletas!D396="Juvenil 70kg",20,IF(Atletas!D396="Juvenil 75kg",21,IF(Atletas!D396="Juvenil 80kg",22, IF(Atletas!D396="Juvenil 85kg",23,IF(Atletas!D396="Adulto 48kg",24,IF(Atletas!D396="Adulto 52kg",25,IF(Atletas!D396="Adulto 56kg",26,IF(Atletas!D396="Adulto 60kg",27,IF(Atletas!D396="Adulto 65kg",28,IF(Atletas!D396="Adulto 70kg",29,IF(Atletas!D396="Adulto 75kg",30,IF(Atletas!D396="Adulto 80kg",31,IF(Atletas!D396="Adulto 85kg",32,IF(Atletas!D396="Adulto 90kg",33,IF(Atletas!D396="Adulto 100kg",34, IF(Atletas!D396="Adulto +100kg",35,"")))))))))))))))))))))))))))))))))))))</f>
        <v/>
      </c>
      <c r="AS405" s="6" t="str">
        <f>IF(Atletas!E396="","",IF(Atletas!B396="Feminino",100,IF(Atletas!B396="Masculino",200,""))+(IF(Atletas!E396="Juvenil 44kg",1,IF(Atletas!E396="Juvenil 48kg",2,IF(Atletas!E396="Juvenil 52kg",3,IF(Atletas!E396="Juvenil 56kg",4,IF(Atletas!E396="Juvenil 60kg",5,IF(Atletas!E396="Juvenil 65kg",6,IF(Atletas!E396="Juvenil 70kg",7,IF(Atletas!E396="Juvenil 75kg",8,IF(Atletas!E396="Juvenil 82kg",9,IF(Atletas!E396="Juvenil 90kg",10,IF(Atletas!E396="Juvenil 100kg",11,IF(Atletas!E396="Adulto 48kg",12,IF(Atletas!E396="Adulto 52kg",13,IF(Atletas!E396="Adulto 56kg",14,IF(Atletas!E396="Adulto 60kg",15,IF(Atletas!E396="Adulto 65kg",16,IF(Atletas!E396="Adulto 70kg",17,IF(Atletas!E396="Adulto 75kg",18,IF(Atletas!E396="Adulto 82kg",19,IF(Atletas!E396="Adulto 90kg",20,IF(Atletas!E396="Adulto 100kg",21,IF(Atletas!E396="Adulto +100kg",22,""))))))))))))))))))))))))</f>
        <v/>
      </c>
      <c r="AX405" s="6" t="str">
        <f>IF(Atletas!F396="","",IF(Atletas!B396="Feminino",100,IF(Atletas!B396="Masculino",200,""))+(IF(Atletas!F396="Adulto 48kg",1,IF(Atletas!F396="Adulto 56kg",2,IF(Atletas!F396="Adulto 65kg",3,IF(Atletas!F396="Adulto 75kg",4,IF(Atletas!F396="Adulto +75kg",5,IF(Atletas!F396="Adulto 52kg",6,IF(Atletas!F396="Adulto 60kg",7,IF(Atletas!F396="Adulto 70kg",8,IF(Atletas!F396="Adulto 80kg",9,IF(Atletas!F396="Adulto 90kg",10,IF(Atletas!F396="Adulto +90kg",11,"")))))))))))))</f>
        <v/>
      </c>
      <c r="BC405" s="6" t="str">
        <f>IF(Atletas!G396="","",IF(Atletas!B396="Feminino",10,IF(Atletas!B396="Masculino",20,""))+(IF(Atletas!G396="Baduanjin A",1,IF(Atletas!G396="Baduanjin B",2))))</f>
        <v/>
      </c>
      <c r="BF405" s="52" t="str">
        <f>IF(Atletas!H396="","",IF(Atletas!B396="Feminino",100,IF(Atletas!B396="Masculino",200,""))+(IF(Atletas!H396="Changquan Mirim",1,IF(Atletas!H396="Nanquan Mirim",2,IF(Atletas!H396="Taijiquan Mirim",3,IF(Atletas!H396="Changquan Grupo C",4,IF(Atletas!H396="Nanquan Grupo C",5,IF(Atletas!H396="Taijiquan Grupo C",6,IF(Atletas!H396="Changquan Grupo B",7,IF(Atletas!H396="Nanquan Grupo B",8,IF(Atletas!H396="Taijiquan Grupo B",9,IF(Atletas!H396="Changquan Grupo A",10,IF(Atletas!H396="Nanquan Grupo A",11,IF(Atletas!H396="Taijiquan Grupo A",12,IF(Atletas!H396="Changquan Opcional",13,IF(Atletas!H396="Nanquan Opcional",14,IF(Atletas!H396="Taijiquan Opcional",15,IF(Atletas!H396="Changquan Adulto",16,IF(Atletas!H396="Nanquan Adulto",17,IF(Atletas!H396="Taijiquan Adulto",18,""))))))))))))))))))))</f>
        <v/>
      </c>
      <c r="BG405" s="52" t="str">
        <f>IF(Atletas!I396="","",IF(Atletas!B396="Feminino",100,IF(Atletas!B396="Masculino",200,""))+(IF(Atletas!I396="Daoshu Mirim",19,IF(Atletas!I396="Jianshu Mirim",20,IF(Atletas!I396="Nandao Mirim",21,IF(Atletas!I396="Taijijian Mirim",22,IF(Atletas!I396="Daoshu Grupo C",23,IF(Atletas!I396="Jianshu Grupo C",24,IF(Atletas!I396="Nandao Grupo C",25,IF(Atletas!I396="Taijijian Grupo C",26,IF(Atletas!I396="Daoshu Grupo B",27,IF(Atletas!I396="Jianshu Grupo B",28,IF(Atletas!I396="Nandao Grupo B",29,IF(Atletas!I396="Taijijian Grupo B",30,IF(Atletas!I396="Daoshu Grupo A",31,IF(Atletas!I396="Jianshu Grupo A",32,IF(Atletas!I396="Nandao Grupo A",33,IF(Atletas!I396="Taijijian Grupo A",34,IF(Atletas!I396="Daoshu Opcional",35,IF(Atletas!I396="Jianshu Opcional",36,IF(Atletas!I396="Nandao Opcional",37,IF(Atletas!I396="Taijijian Opcional",38,IF(Atletas!I396="Daoshu Adulto",39,IF(Atletas!I396="Jianshu Adulto",40,IF(Atletas!I396="Nandao Adulto",41,IF(Atletas!I396="Taijijian Adulto",42,""))))))))))))))))))))))))))</f>
        <v/>
      </c>
      <c r="BH405" s="52" t="str">
        <f>IF(Atletas!J396="","",IF(Atletas!B396="Feminino",100,IF(Atletas!B396="Masculino",200,""))+(IF(Atletas!J396="Gunshu Mirim",43,IF(Atletas!J396="Qiangshu Mirim",44,IF(Atletas!J396="Nangun Mirim",45,IF(Atletas!J396="Gunshu Grupo C",46,IF(Atletas!J396="Qiangshu Grupo C",47,IF(Atletas!J396="Nangun Grupo C",48,IF(Atletas!J396="Gunshu Grupo B",49,IF(Atletas!J396="Qiangshu Grupo B",50,IF(Atletas!J396="Nangun Grupo B",51,IF(Atletas!J396="Gunshu Grupo A",52,IF(Atletas!J396="Qiangshu Grupo A",53,IF(Atletas!J396="Nangun Grupo A",54,IF(Atletas!J396="Gunshu Opcional",55,IF(Atletas!J396="Qiangshu Opcional",56,IF(Atletas!J396="Nangun Opcional",57,IF(Atletas!J396="Gunshu Adulto",58,IF(Atletas!J396="Qiangshu Adulto",59,IF(Atletas!J396="Nangun Adulto",60,IF(Atletas!J396="Taijishan Grupo B",61,IF(Atletas!J396="Taijishan Grupo A",62,""))))))))))))))))))))))</f>
        <v/>
      </c>
      <c r="BM405" s="50" t="str">
        <f>IF(Atletas!K396="","",IF(Atletas!B396="Feminino",100,IF(Atletas!B396="Masculino",200,""))+(IF(Atletas!K396="Equipe 1 Grupo B",1,IF(Atletas!K396="Equipe 2 Grupo B",2,IF(Atletas!K396="Equipe 1 Grupo A",3,IF(Atletas!K396="Equipe 2 Grupo A",4,IF(Atletas!K396="Equipe 1 Adulto",5,IF(Atletas!K396="Equipe 2 Adulto",6,""))))))))</f>
        <v/>
      </c>
      <c r="BR405" s="50" t="str">
        <f>IF(Atletas!L396="","",IF(Atletas!X396&lt;&gt;"",10000,0)+(IF(Atletas!B396="Feminino",1000,IF(Atletas!B396="Masculino",2000,""))+IF(Atletas!L396="Choylayfut A",1,IF(Atletas!L396="Hunggar A",2,IF(Atletas!L396="Wuzuquan A",3,IF(Atletas!L396="Wingchun A",4,IF(Atletas!L396="Outra Mão de Sul A",5,IF(Atletas!L396="Choylayfut B",6,IF(Atletas!L396="Hunggar B",7,IF(Atletas!L396="Wuzuquan B",8,IF(Atletas!L396="Wingchun B",9,IF(Atletas!L396="Outra Mão de Sul B",10,IF(Atletas!L396="Choylayfut C",11,IF(Atletas!L396="Hunggar C",12,IF(Atletas!L396="Wuzuquan C",13,IF(Atletas!L396="Wingchun C",14,IF(Atletas!L396="Outra Mão de Sul C",15,IF(Atletas!L396="Choylayfut D",16,IF(Atletas!L396="Hunggar D",17,IF(Atletas!L396="Wuzuquan D",18,IF(Atletas!L396="Wingchun D",19,IF(Atletas!L396="Outra Mão de Sul D",20,IF(Atletas!L396="Choylayfut E",21,IF(Atletas!L396="Hunggar E",22,IF(Atletas!L396="Wuzuquan E",23,IF(Atletas!L396="Wingchun E",24,IF(Atletas!L396="Outra Mão de Sul E",25,IF(Atletas!L396="Choylayfut F",26,IF(Atletas!L396="Hunggar F",27,IF(Atletas!L396="Wuzuquan F",28,IF(Atletas!L396="Wingchun F",29,IF(Atletas!L396="Outra Mão de Sul F",30,IF(Atletas!L396="Dishuquan A",31,IF(Atletas!L396="Dishuquan B",32,IF(Atletas!L396="Dishuquan C",33,IF(Atletas!L396="Dishuquan D",34,IF(Atletas!L396="Dishuquan E",35,IF(Atletas!L396="Dishuquan F",36,""))))))))))))))))))))))))))))))))))))))</f>
        <v/>
      </c>
      <c r="BS405" s="50" t="str">
        <f>IF(Atletas!M396="","",IF(Atletas!X396&lt;&gt;"",10000,0)+(IF(Atletas!B396="Feminino",1000,IF(Atletas!B396="Masculino",2000,""))+(IF(Atletas!M396="Chaquan A",101,IF(Atletas!M396="Emeiquan A",102,IF(Atletas!M396="Fanziquan A",103,IF(Atletas!M396="Huaquan A",104,IF(Atletas!M396="Hongquan A",105,IF(Atletas!M396="Paoquan A",106,IF(Atletas!M396="Piguaquan A",107,IF(Atletas!M396="Shaolinquan A",108,IF(Atletas!M396="Tanglangquan A",109,IF(Atletas!M396="Yingzhaoquan A",110,IF(Atletas!M396="Tongbeiquan A",111,IF(Atletas!M396="Wudangquan A",112,IF(Atletas!M396="Outros Estilos A",113,IF(Atletas!M396="Chaquan B",114,IF(Atletas!M396="Emeiquan B",115,IF(Atletas!M396="Fanziquan B",116,IF(Atletas!M396="Huaquan B",117,IF(Atletas!M396="Hongquan B",118,IF(Atletas!M396="Paoquan B",119,IF(Atletas!M396="Piguaquan B",120,IF(Atletas!M396="Shaolinquan B",121,IF(Atletas!M396="Tanglangquan B",122,IF(Atletas!M396="Yingzhaoquan B",123,IF(Atletas!M396="Tongbeiquan B",124,IF(Atletas!M396="Wudangquan B",125,IF(Atletas!M396="Outros Estilos B",126,IF(Atletas!M396="Chaquan C",127,IF(Atletas!M396="Emeiquan C",128,IF(Atletas!M396="Fanziquan C",129,IF(Atletas!M396="Huaquan C",130,IF(Atletas!M396="Hongquan C",131,IF(Atletas!M396="Paoquan C",132,IF(Atletas!M396="Piguaquan C",133,IF(Atletas!M396="Shaolinquan C",134,IF(Atletas!M396="Tanglangquan C",135,IF(Atletas!M396="Yingzhaoquan C",136,IF(Atletas!M396="Tongbeiquan C",137,IF(Atletas!M396="Wudangquan C",138,IF(Atletas!M396="Outros Estilos C",139,0))))))))))))))))))))))))))))))))))))))))))</f>
        <v/>
      </c>
      <c r="BT405" s="50" t="str">
        <f>IF(Atletas!M396="","",IF(Atletas!X396&lt;&gt;"",10000,0)+(IF(Atletas!B396="Feminino",1000,IF(Atletas!B396="Masculino",2000,""))+(IF(Atletas!M396="Chaquan D",140,IF(Atletas!M396="Emeiquan D",141,IF(Atletas!M396="Fanziquan D",142,IF(Atletas!M396="Huaquan D",143,IF(Atletas!M396="Hongquan D",144,IF(Atletas!M396="Paoquan D",145,IF(Atletas!M396="Piguaquan D",146,IF(Atletas!M396="Shaolinquan D",147,IF(Atletas!M396="Tanglangquan D",148,IF(Atletas!M396="Yingzhaoquan D",149,IF(Atletas!M396="Tongbeiquan D",150,IF(Atletas!M396="Wudangquan D",151,IF(Atletas!M396="Outros Estilos D",152,IF(Atletas!M396="Chaquan E",153,IF(Atletas!M396="Emeiquan E",154,IF(Atletas!M396="Fanziquan E",155,IF(Atletas!M396="Huaquan E",156,IF(Atletas!M396="Hongquan E",157,IF(Atletas!M396="Paoquan E",158,IF(Atletas!M396="Piguaquan E",159,IF(Atletas!M396="Shaolinquan E",160,IF(Atletas!M396="Tanglangquan E",161,IF(Atletas!M396="Yingzhaoquan E",162,IF(Atletas!M396="Tongbeiquan E",163,IF(Atletas!M396="Wudangquan E",164,IF(Atletas!M396="Outros Estilos E",165,IF(Atletas!M396="Chaquan F",166,IF(Atletas!M396="Emeiquan F",167,IF(Atletas!M396="Fanziquan F",168,IF(Atletas!M396="Huaquan F",169,IF(Atletas!M396="Hongquan F",170,IF(Atletas!M396="Paoquan F",171,IF(Atletas!M396="Piguaquan F",172,IF(Atletas!M396="Shaolinquan F",173,IF(Atletas!M396="Tanglangquan F",174,IF(Atletas!M396="Yingzhaoquan F",175,IF(Atletas!M396="Tongbeiquan F",176,IF(Atletas!M396="Wudangquan F",177,IF(Atletas!M396="Outros Estilos F",178,0))))))))))))))))))))))))))))))))))))))))))</f>
        <v/>
      </c>
      <c r="BU405" s="50" t="str">
        <f>IF(Atletas!N396="","",IF(Atletas!X396&lt;&gt;"",10000,0)+(IF(Atletas!B396="Feminino",1000,IF(Atletas!B396="Masculino",2000,""))+(IF(Atletas!N396="Ditangquan A",201,IF(Atletas!N396="Houquan A",202,IF(Atletas!N396="Zuiquan A",203,IF(Atletas!N396="Ditangquan B",204,IF(Atletas!N396="Houquan B",205,IF(Atletas!N396="Zuiquan B",206,IF(Atletas!N396="Ditangquan C",207,IF(Atletas!N396="Houquan C",208,IF(Atletas!N396="Zuiquan C",209,IF(Atletas!N396="Ditangquan D",210,IF(Atletas!N396="Houquan D",211,IF(Atletas!N396="Zuiquan D",212,IF(Atletas!N396="Ditangquan E",213,IF(Atletas!N396="Houquan E",214,IF(Atletas!N396="Zuiquan E",215,IF(Atletas!N396="Ditangquan F",216,IF(Atletas!N396="Houquan F",217,IF(Atletas!N396="Zuiquan F",218,"")))))))))))))))))))))</f>
        <v/>
      </c>
      <c r="BV405" s="50" t="str">
        <f>IF(Atletas!O396="","",IF(Atletas!X396&lt;&gt;"",10000,0)+IF(Atletas!B396="Feminino",1000,IF(Atletas!B396="Masculino",2000,""))+IF(Atletas!O396="Yang A",301,IF(Atletas!O396="Chen A",302,IF(Atletas!O396="Sun A",303,IF(Atletas!O396="Wu A",304,IF(Atletas!O396="Wu-Hao A",305,IF(Atletas!O396="Outro Taijiquan A",306,IF(Atletas!O396="Yang B",307,IF(Atletas!O396="Chen B",308,IF(Atletas!O396="Sun B",309,IF(Atletas!O396="Wu B",310,IF(Atletas!O396="Wu-Hao B",311,IF(Atletas!O396="Outro Taijiquan B",312,IF(Atletas!O396="Yang C",313,IF(Atletas!O396="Chen C",314,IF(Atletas!O396="Sun C",315,IF(Atletas!O396="Wu C",316,IF(Atletas!O396="Wu-Hao C",317,IF(Atletas!O396="Outro Taijiquan C",318,IF(Atletas!O396="Yang D",319,IF(Atletas!O396="Chen D",320,IF(Atletas!O396="Sun D",321,IF(Atletas!O396="Wu D",322,IF(Atletas!O396="Wu-Hao D",323,IF(Atletas!O396="Outro Taijiquan D",324,IF(Atletas!O396="Yang E",325,IF(Atletas!O396="Chen E",326,IF(Atletas!O396="Sun E",327,IF(Atletas!O396="Wu E",328,IF(Atletas!O396="Wu-Hao E",329,IF(Atletas!O396="Outro Taijiquan E",330,IF(Atletas!O396="Yang F",331,IF(Atletas!O396="Chen F",332,IF(Atletas!O396="Sun F",333,IF(Atletas!O396="Wu F",334,IF(Atletas!O396="Wu-Hao F",335,IF(Atletas!O396="Outro Taijiquan F",336,"")))))))))))))))))))))))))))))))))))))</f>
        <v/>
      </c>
      <c r="BW405" s="50" t="str">
        <f>IF(Atletas!P396="","",IF(Atletas!X396&lt;&gt;"",10000,0)+IF(Atletas!B396="Feminino",1000,IF(Atletas!B396="Masculino",2000,""))+IF(OR(Atletas!P396="Yang 26 A",Atletas!P396="Yang 40 A"),401,IF(OR(Atletas!P396="Chen 25 A",Atletas!P396="Chen 36 A",Atletas!P396="Chen 56 A"),402,IF(Atletas!P396="Sun 73 A",403,IF(Atletas!P396="Wu 45 A",404,IF(Atletas!P396="Wu-Hao 46 A",405,IF(OR(Atletas!P396="Taijiquan 16 A",Atletas!P396="Taijiquan 24 A",Atletas!P396="Taijiquan 32 A",Atletas!P396="Taijiquan 42 A"),406,IF(OR(Atletas!P396="Yang 26 B",Atletas!P396="Yang 40 B"),407,IF(OR(Atletas!P396="Chen 25 B",Atletas!P396="Chen 36 B",Atletas!P396="Chen 56 B"),408,IF(Atletas!P396="Sun 73 B",409,IF(Atletas!P396="Wu 45 B",410,IF(Atletas!P396="Wu-Hao 46 B",411,IF(OR(Atletas!P396="Taijiquan 16 B",Atletas!P396="Taijiquan 24 B",Atletas!P396="Taijiquan 32 B",Atletas!P396="Taijiquan 42 B"),412,IF(OR(Atletas!P396="Yang 26 C",Atletas!P396="Yang 40 C"),413,IF(OR(Atletas!P396="Chen 25 C",Atletas!P396="Chen 36 C",Atletas!P396="Chen 56 C"),414,IF(Atletas!P396="Sun 73 C",415,IF(Atletas!P396="Wu 45 C",416,IF(Atletas!P396="Wu-Hao 46 C",417,IF(OR(Atletas!P396="Taijiquan 16 C",Atletas!P396="Taijiquan 24 C",Atletas!P396="Taijiquan 32 C",Atletas!P396="Taijiquan 42 C"),418,0)))))))))))))))))))</f>
        <v/>
      </c>
      <c r="BX405" s="50" t="str">
        <f>IF(Atletas!P396="","",IF(Atletas!X396&lt;&gt;"",10000,0)+IF(Atletas!B396="Feminino",1000,IF(Atletas!B396="Masculino",2000,""))+IF(OR(Atletas!P396="Yang 26 D",Atletas!P396="Yang 40 D"),419,IF(OR(Atletas!P396="Chen 25 D",Atletas!P396="Chen 36 D",Atletas!P396="Chen 56 D"),420,IF(Atletas!P396="Sun 73 D",421,IF(Atletas!P396="Wu 45 D",422,IF(Atletas!P396="Wu-Hao 46 D",423,IF(OR(Atletas!P396="Taijiquan 16 D",Atletas!P396="Taijiquan 24 D",Atletas!P396="Taijiquan 32 D",Atletas!P396="Taijiquan 42 D"),424,IF(OR(Atletas!P396="Yang 26 E",Atletas!P396="Yang 40 E"),425,IF(OR(Atletas!P396="Chen 25 E",Atletas!P396="Chen 36 E",Atletas!P396="Chen 56 E"),426,IF(Atletas!P396="Sun 73 E",427,IF(Atletas!P396="Wu 45 E",428,IF(Atletas!P396="Wu-Hao 46 E",429,IF(OR(Atletas!P396="Taijiquan 16 E",Atletas!P396="Taijiquan 24 E",Atletas!P396="Taijiquan 32 E",Atletas!P396="Taijiquan 42 E"),430,IF(OR(Atletas!P396="Yang 26 F",Atletas!P396="Yang 40 F"),431,IF(OR(Atletas!P396="Chen 25 F",Atletas!P396="Chen 36 F",Atletas!P396="Chen 56 F"),432,IF(Atletas!P396="Sun 73 F",433,IF(Atletas!P396="Wu 45 F",434,IF(Atletas!P396="Wu-Hao 46 F",435,IF(OR(Atletas!P396="Taijiquan 16 F",Atletas!P396="Taijiquan 24 F",Atletas!P396="Taijiquan 32 F",Atletas!P396="Taijiquan 42 F"),436,0)))))))))))))))))))</f>
        <v/>
      </c>
      <c r="BY405" s="50" t="str">
        <f>IF(Atletas!Q396="","",IF(Atletas!X396&lt;&gt;"",10000,0)+IF(Atletas!B396="Feminino",1000,IF(Atletas!B396="Masculino",2000,""))+IF(Atletas!Q396="Xingyiquan A",501,IF(Atletas!Q396="Baguazhang A",502,IF(Atletas!Q396="Outro Estilo Interno A",503,IF(Atletas!Q396="Xingyiquan B",504,IF(Atletas!Q396="Baguazhang B",505,IF(Atletas!Q396="Outro Estilo Interno B",506,IF(Atletas!Q396="Xingyiquan C",507,IF(Atletas!Q396="Baguazhang C",508,IF(Atletas!Q396="Outro Estilo Interno C",509,IF(Atletas!Q396="Xingyiquan D",510,IF(Atletas!Q396="Baguazhang D",511,IF(Atletas!Q396="Outro Estilo Interno D",512,IF(Atletas!Q396="Xingyiquan E",513,IF(Atletas!Q396="Baguazhang E",514,IF(Atletas!Q396="Outro Estilo Interno E",515,IF(Atletas!Q396="Xingyiquan F",516,IF(Atletas!Q396="Baguazhang F",517,IF(Atletas!Q396="Outro Estilo Interno F",518, "")))))))))))))))))))</f>
        <v/>
      </c>
      <c r="BZ405" s="50" t="str">
        <f>IF(Atletas!R396="","",IF(Atletas!X396&lt;&gt;"",10000,0)+IF(Atletas!B396="Feminino",1000,IF(Atletas!B396="Masculino",2000,""))+IF(Atletas!R396="Dao A",601,IF(Atletas!R396="Jian A",602,IF(Atletas!R396="Bishou A",603,IF(Atletas!R396="Shanzi A",604,IF(Atletas!R396="Outra Arma Curta A",605,IF(Atletas!R396="Dao B",606,IF(Atletas!R396="Jian B",607,IF(Atletas!R396="Bishou B",608,IF(Atletas!R396="Shanzi B",609,IF(Atletas!R396="Outra Arma Curta B",610,IF(Atletas!R396="Dao C",611,IF(Atletas!R396="Jian C",612,IF(Atletas!R396="Bishou C",613,IF(Atletas!R396="Shanzi C",614,IF(Atletas!R396="Outra Arma Curta C",615,IF(Atletas!R396="Dao D",616,IF(Atletas!R396="Jian D",617,IF(Atletas!R396="Bishou D",618,IF(Atletas!R396="Shanzi D",619,IF(Atletas!R396="Outra Arma Curta D",620,IF(Atletas!R396="Dao E",621,IF(Atletas!R396="Jian E",622,IF(Atletas!R396="Bishou E",623,IF(Atletas!R396="Shanzi E",624,IF(Atletas!R396="Outra Arma Curta E",625,IF(Atletas!R396="Dao F",626,IF(Atletas!R396="Jian F",627,IF(Atletas!R396="Bishou F",628,IF(Atletas!R396="Shanzi F",629,IF(Atletas!R396="Outra Arma Curta F",630, "")))))))))))))))))))))))))))))))</f>
        <v/>
      </c>
      <c r="CA405" s="50" t="str">
        <f>IF(Atletas!S396="","",IF(Atletas!X396&lt;&gt;"",10000,0)+IF(Atletas!B396="Feminino",1000,IF(Atletas!B396="Masculino",2000,""))+IF(Atletas!S396="Gun A",701,IF(Atletas!S396="Qiang A",702,IF(Atletas!S396="Pudao / Guandao A",703,IF(Atletas!S396="Outra Arma Longa A",704,IF(Atletas!S396="Gun B",705,IF(Atletas!S396="Qiang B",706,IF(Atletas!S396="Pudao / Guandao B",707,IF(Atletas!S396="Outra Arma Longa B",708,IF(Atletas!S396="Gun C",709,IF(Atletas!S396="Qiang C",710,IF(Atletas!S396="Pudao / Guandao C",711,IF(Atletas!S396="Outra Arma Longa C",712,IF(Atletas!S396="Gun D",713,IF(Atletas!S396="Qiang D",714,IF(Atletas!S396="Pudao / Guandao D",715,IF(Atletas!S396="Outra Arma Longa D",716,IF(Atletas!S396="Gun E",717,IF(Atletas!S396="Qiang E",718,IF(Atletas!S396="Pudao / Guandao E",719,IF(Atletas!S396="Outra Arma Longa E",720,IF(Atletas!S396="Gun F",721,IF(Atletas!S396="Qiang F",722,IF(Atletas!S396="Pudao / Guandao F",723,IF(Atletas!S396="Outra Arma Longa F",724,"")))))))))))))))))))))))))</f>
        <v/>
      </c>
      <c r="CB405" s="50" t="str">
        <f>IF(Atletas!T396="","",IF(Atletas!X396&lt;&gt;"",10000,0)+IF(Atletas!B396="Feminino",1000,IF(Atletas!B396="Masculino",2000,""))+IF(Atletas!T396="Outra Arma Dupla A",801,IF(Atletas!T396="Arma Maleável A",802,IF(Atletas!T396="Outra Arma Dupla B",803,IF(Atletas!T396="Arma Maleável B",804,IF(Atletas!T396="Outra Arma Dupla C",805,IF(Atletas!T396="Arma Maleável C",806,IF(Atletas!T396="Outra Arma Dupla D",807,IF(Atletas!T396="Arma Maleável D",808,IF(Atletas!T396="Outra Arma Dupla E",809,IF(Atletas!T396="Arma Maleável E",810,IF(Atletas!T396="Outra Arma Dupla F",811,IF(Atletas!T396="Arma Maleável F",812,IF(Atletas!T396="Shuangdao A",813,IF(Atletas!T396="Shuangdao B",814,IF(Atletas!T396="Shuangdao C",815,IF(Atletas!T396="Shuangdao D",816,IF(Atletas!T396="Shuangdao E",817,IF(Atletas!T396="Shuangdao F",818,"")))))))))))))))))))</f>
        <v/>
      </c>
      <c r="CC405" s="50" t="str">
        <f>IF(Atletas!U396="","",IF(Atletas!X396&lt;&gt;"",10000,0)+IF(Atletas!B396="Feminino",1000,IF(Atletas!B396="Masculino",2000,""))+IF(OR(Atletas!U396="Taijijian Yang A",Atletas!U396="Taijijian Yang Standard A"),901,IF(OR(Atletas!U396="Taijijian Chen A", Atletas!U396="Taijijian Chen Standard A"),902,IF(Atletas!U396="Taijijian Sun A",903,IF(Atletas!U396="Taijijian Wu A",904,IF(Atletas!U396="Taijijian Wu-Hao A",905,IF(OR(Atletas!U396="Taijijian 32 A",Atletas!U396="Taijijian 42 A"),906,IF(OR(Atletas!U396="Taijijian Yang B",Atletas!U396="Taijijian Yang Standard B"),907,IF(OR(Atletas!U396="Taijijian Chen B", Atletas!U396="Taijijian Chen Standard B"),908,IF(Atletas!U396="Taijijian Sun B",909,IF(Atletas!U396="Taijijian Wu B",910,IF(Atletas!U396="Taijijian Wu-Hao B",911,IF(OR(Atletas!U396="Taijijian 32 B",Atletas!U396="Taijijian 42 B"),912,IF(OR(Atletas!U396="Taijijian Yang C",Atletas!U396="Taijijian Yang Standard C"),913,IF(OR(Atletas!U396="Taijijian Chen C", Atletas!U396="Taijijian Chen Standard C"),914,IF(Atletas!U396="Taijijian Sun C",915,IF(Atletas!U396="Taijijian Wu C",916,IF(Atletas!U396="Taijijian Wu-Hao C",917,IF(OR(Atletas!U396="Taijijian 32 C",Atletas!U396="Taijijian 42 C"),918,IF(OR(Atletas!U396="Taijijian Yang D",Atletas!U396="Taijijian Yang Standard D"),919,IF(OR(Atletas!U396="Taijijian Chen D", Atletas!U396="Taijijian Chen Standard D"),920,IF(Atletas!U396="Taijijian Sun D",921,IF(Atletas!U396="Taijijian Wu D",922,IF(Atletas!U396="Taijijian Wu-Hao D",923,IF(OR(Atletas!U396="Taijijian 32 D",Atletas!U396="Taijijian 42 D"),924,IF(OR(Atletas!U396="Taijijian Yang E",Atletas!U396="Taijijian Yang Standard E"),925,IF(OR(Atletas!U396="Taijijian Chen E", Atletas!U396="Taijijian Chen Standard E"),926,IF(Atletas!U396="Taijijian Sun E",927,IF(Atletas!U396="Taijijian Wu E",928,IF(Atletas!U396="Taijijian Wu-Hao E",929,IF(OR(Atletas!U396="Taijijian 32 E",Atletas!U396="Taijijian 42 E"),930,IF(OR(Atletas!U396="Taijijian Yang F",Atletas!U396="Taijijian Yang Standard F"),931,IF(OR(Atletas!U396="Taijijian Chen F", Atletas!U396="Taijijian Chen Standard F"),932,IF(Atletas!U396="Taijijian Sun F",933,IF(Atletas!U396="Taijijian Wu F",934,IF(Atletas!U396="Taijijian Wu-Hao F",935,IF(OR(Atletas!U396="Taijijian 32 F",Atletas!U396="Taijijian 42 F"),936,"")))))))))))))))))))))))))))))))))))))</f>
        <v/>
      </c>
      <c r="CD405" s="50" t="str">
        <f>IF(Atletas!V396="","",IF(Atletas!X396&lt;&gt;"",10000,0)+IF(Atletas!B396="Feminino",1000,IF(Atletas!B396="Masculino",2000,""))+IF(Atletas!V396="Taijidao A",937,IF(Atletas!V396="TaijiShanzi A",938,IF(Atletas!V396="Taijiqiang A",939,IF(Atletas!V396="Bagua de Arma A",940,IF(Atletas!V396="Xingyi de Arma A",941,IF(Atletas!V396="Taijidao B",942,IF(Atletas!V396="TaijiShanzi B",943,IF(Atletas!V396="Taijiqiang B",944,IF(Atletas!V396="Bagua de Arma B",945,IF(Atletas!V396="Xingyi de Arma B",946,IF(Atletas!V396="Taijidao C",947,IF(Atletas!V396="TaijiShanzi C",948,IF(Atletas!V396="Taijiqiang C",949,IF(Atletas!V396="Bagua de Arma C",950,IF(Atletas!V396="Xingyi de Arma C",951,IF(Atletas!V396="Taijidao D",952,IF(Atletas!V396="TaijiShanzi D",953,IF(Atletas!V396="Taijiqiang D",954,IF(Atletas!V396="Bagua de Arma D",955,IF(Atletas!V396="Xingyi de Arma D",956,IF(Atletas!V396="Taijidao E",957,IF(Atletas!V396="TaijiShanzi E",958,IF(Atletas!V396="Taijiqiang E",959,IF(Atletas!V396="Bagua de Arma E",960,IF(Atletas!V396="Xingyi de Arma E",961,IF(Atletas!V396="Taijidao F",962,IF(Atletas!V396="TaijiShanzi F",963,IF(Atletas!V396="Taijiqiang F",964,IF(Atletas!V396="Bagua de Arma F",965,IF(Atletas!V396="Xingyi de Arma F",966,"")))))))))))))))))))))))))))))))</f>
        <v/>
      </c>
      <c r="CJ405" s="66"/>
      <c r="CL405" s="66"/>
      <c r="CM405" s="50" t="str">
        <f xml:space="preserve"> IF(Atletas!W396="","",IF(Atletas!W396="Duilian de Mãos BC - Equipe 1",1,IF(Atletas!W396="Duilian de Mãos BC - Equipe 2",2,IF(Atletas!W396="Duilian de Armas BC - Equipe 1",3,IF(Atletas!W396="Duilian de Armas BC - Equipe 2",4,IF(Atletas!W396="Duilian de Mãos DE - Equipe 1",5,IF(Atletas!W396="Duilian de Mãos DE - Equipe 2",6,IF(Atletas!W396="Duilian de Armas DE - Equipe 1",7,IF(Atletas!W396="Duilian de Armas DE - Equipe 2",8,IF(Atletas!W396="Duilian de Tuishou - Equipe 1",9,IF(Atletas!W396="Duilian de Tuishou - Equipe 2",10,IF(Atletas!W396="Grupo Externo ABC - Equipe 1",11,IF(Atletas!W396="Grupo Externo ABC - Equipe 2",12,IF(Atletas!W396="Grupo Interno ABC - Equipe 1",13,IF(Atletas!W396="Grupo Interno ABC - Equipe 2",14,IF(Atletas!W396="Grupo Externo DEF - Equipe 1",15,IF(Atletas!W396="Grupo Externo DEF - Equipe 2",16,IF(Atletas!W396="Grupo Interno DEF - Equipe 1",17,IF(Atletas!W396="Grupo Interno DEF - Equipe 2",18,"")))))))))))))))))))</f>
        <v/>
      </c>
    </row>
    <row r="406" spans="40:91">
      <c r="AN406" s="52" t="str">
        <f>IF(Atletas!D397="","",IF(Atletas!B397="Feminino",100,IF(Atletas!B397="Masculino",200,""))+(IF(Atletas!D397="Kids 30kg",1,IF(Atletas!D397="Kids 32kg",2, IF(Atletas!D397="Kids 34kg",3,IF(Atletas!D397="Kids 36kg",4,IF(Atletas!D397="Kids 39kg",5,IF(Atletas!D397="Kids 42kg",6,IF(Atletas!D397="Kids 45kg",7, IF(Atletas!D397="Infantil 39kg",8,IF(Atletas!D397="Infantil 42kg",9,IF(Atletas!D397="Infantil 45kg",10,IF(Atletas!D397="Infantil 48kg",11,IF(Atletas!D397="Infantil 52kg",12,IF(Atletas!D397="Infantil 56kg",13,IF(Atletas!D397="Infantil 60kg",14,IF(Atletas!D397="Juvenil 48kg",15,IF(Atletas!D397="Juvenil 52kg",16,IF(Atletas!D397="Juvenil 56kg",17,IF(Atletas!D397="Juvenil 60kg",18,IF(Atletas!D397="Juvenil 65kg",19,IF(Atletas!D397="Juvenil 70kg",20,IF(Atletas!D397="Juvenil 75kg",21,IF(Atletas!D397="Juvenil 80kg",22, IF(Atletas!D397="Juvenil 85kg",23,IF(Atletas!D397="Adulto 48kg",24,IF(Atletas!D397="Adulto 52kg",25,IF(Atletas!D397="Adulto 56kg",26,IF(Atletas!D397="Adulto 60kg",27,IF(Atletas!D397="Adulto 65kg",28,IF(Atletas!D397="Adulto 70kg",29,IF(Atletas!D397="Adulto 75kg",30,IF(Atletas!D397="Adulto 80kg",31,IF(Atletas!D397="Adulto 85kg",32,IF(Atletas!D397="Adulto 90kg",33,IF(Atletas!D397="Adulto 100kg",34, IF(Atletas!D397="Adulto +100kg",35,"")))))))))))))))))))))))))))))))))))))</f>
        <v/>
      </c>
      <c r="AS406" s="6" t="str">
        <f>IF(Atletas!E397="","",IF(Atletas!B397="Feminino",100,IF(Atletas!B397="Masculino",200,""))+(IF(Atletas!E397="Juvenil 44kg",1,IF(Atletas!E397="Juvenil 48kg",2,IF(Atletas!E397="Juvenil 52kg",3,IF(Atletas!E397="Juvenil 56kg",4,IF(Atletas!E397="Juvenil 60kg",5,IF(Atletas!E397="Juvenil 65kg",6,IF(Atletas!E397="Juvenil 70kg",7,IF(Atletas!E397="Juvenil 75kg",8,IF(Atletas!E397="Juvenil 82kg",9,IF(Atletas!E397="Juvenil 90kg",10,IF(Atletas!E397="Juvenil 100kg",11,IF(Atletas!E397="Adulto 48kg",12,IF(Atletas!E397="Adulto 52kg",13,IF(Atletas!E397="Adulto 56kg",14,IF(Atletas!E397="Adulto 60kg",15,IF(Atletas!E397="Adulto 65kg",16,IF(Atletas!E397="Adulto 70kg",17,IF(Atletas!E397="Adulto 75kg",18,IF(Atletas!E397="Adulto 82kg",19,IF(Atletas!E397="Adulto 90kg",20,IF(Atletas!E397="Adulto 100kg",21,IF(Atletas!E397="Adulto +100kg",22,""))))))))))))))))))))))))</f>
        <v/>
      </c>
      <c r="AX406" s="6" t="str">
        <f>IF(Atletas!F397="","",IF(Atletas!B397="Feminino",100,IF(Atletas!B397="Masculino",200,""))+(IF(Atletas!F397="Adulto 48kg",1,IF(Atletas!F397="Adulto 56kg",2,IF(Atletas!F397="Adulto 65kg",3,IF(Atletas!F397="Adulto 75kg",4,IF(Atletas!F397="Adulto +75kg",5,IF(Atletas!F397="Adulto 52kg",6,IF(Atletas!F397="Adulto 60kg",7,IF(Atletas!F397="Adulto 70kg",8,IF(Atletas!F397="Adulto 80kg",9,IF(Atletas!F397="Adulto 90kg",10,IF(Atletas!F397="Adulto +90kg",11,"")))))))))))))</f>
        <v/>
      </c>
      <c r="BC406" s="6" t="str">
        <f>IF(Atletas!G397="","",IF(Atletas!B397="Feminino",10,IF(Atletas!B397="Masculino",20,""))+(IF(Atletas!G397="Baduanjin A",1,IF(Atletas!G397="Baduanjin B",2))))</f>
        <v/>
      </c>
      <c r="BF406" s="52" t="str">
        <f>IF(Atletas!H397="","",IF(Atletas!B397="Feminino",100,IF(Atletas!B397="Masculino",200,""))+(IF(Atletas!H397="Changquan Mirim",1,IF(Atletas!H397="Nanquan Mirim",2,IF(Atletas!H397="Taijiquan Mirim",3,IF(Atletas!H397="Changquan Grupo C",4,IF(Atletas!H397="Nanquan Grupo C",5,IF(Atletas!H397="Taijiquan Grupo C",6,IF(Atletas!H397="Changquan Grupo B",7,IF(Atletas!H397="Nanquan Grupo B",8,IF(Atletas!H397="Taijiquan Grupo B",9,IF(Atletas!H397="Changquan Grupo A",10,IF(Atletas!H397="Nanquan Grupo A",11,IF(Atletas!H397="Taijiquan Grupo A",12,IF(Atletas!H397="Changquan Opcional",13,IF(Atletas!H397="Nanquan Opcional",14,IF(Atletas!H397="Taijiquan Opcional",15,IF(Atletas!H397="Changquan Adulto",16,IF(Atletas!H397="Nanquan Adulto",17,IF(Atletas!H397="Taijiquan Adulto",18,""))))))))))))))))))))</f>
        <v/>
      </c>
      <c r="BG406" s="52" t="str">
        <f>IF(Atletas!I397="","",IF(Atletas!B397="Feminino",100,IF(Atletas!B397="Masculino",200,""))+(IF(Atletas!I397="Daoshu Mirim",19,IF(Atletas!I397="Jianshu Mirim",20,IF(Atletas!I397="Nandao Mirim",21,IF(Atletas!I397="Taijijian Mirim",22,IF(Atletas!I397="Daoshu Grupo C",23,IF(Atletas!I397="Jianshu Grupo C",24,IF(Atletas!I397="Nandao Grupo C",25,IF(Atletas!I397="Taijijian Grupo C",26,IF(Atletas!I397="Daoshu Grupo B",27,IF(Atletas!I397="Jianshu Grupo B",28,IF(Atletas!I397="Nandao Grupo B",29,IF(Atletas!I397="Taijijian Grupo B",30,IF(Atletas!I397="Daoshu Grupo A",31,IF(Atletas!I397="Jianshu Grupo A",32,IF(Atletas!I397="Nandao Grupo A",33,IF(Atletas!I397="Taijijian Grupo A",34,IF(Atletas!I397="Daoshu Opcional",35,IF(Atletas!I397="Jianshu Opcional",36,IF(Atletas!I397="Nandao Opcional",37,IF(Atletas!I397="Taijijian Opcional",38,IF(Atletas!I397="Daoshu Adulto",39,IF(Atletas!I397="Jianshu Adulto",40,IF(Atletas!I397="Nandao Adulto",41,IF(Atletas!I397="Taijijian Adulto",42,""))))))))))))))))))))))))))</f>
        <v/>
      </c>
      <c r="BH406" s="52" t="str">
        <f>IF(Atletas!J397="","",IF(Atletas!B397="Feminino",100,IF(Atletas!B397="Masculino",200,""))+(IF(Atletas!J397="Gunshu Mirim",43,IF(Atletas!J397="Qiangshu Mirim",44,IF(Atletas!J397="Nangun Mirim",45,IF(Atletas!J397="Gunshu Grupo C",46,IF(Atletas!J397="Qiangshu Grupo C",47,IF(Atletas!J397="Nangun Grupo C",48,IF(Atletas!J397="Gunshu Grupo B",49,IF(Atletas!J397="Qiangshu Grupo B",50,IF(Atletas!J397="Nangun Grupo B",51,IF(Atletas!J397="Gunshu Grupo A",52,IF(Atletas!J397="Qiangshu Grupo A",53,IF(Atletas!J397="Nangun Grupo A",54,IF(Atletas!J397="Gunshu Opcional",55,IF(Atletas!J397="Qiangshu Opcional",56,IF(Atletas!J397="Nangun Opcional",57,IF(Atletas!J397="Gunshu Adulto",58,IF(Atletas!J397="Qiangshu Adulto",59,IF(Atletas!J397="Nangun Adulto",60,IF(Atletas!J397="Taijishan Grupo B",61,IF(Atletas!J397="Taijishan Grupo A",62,""))))))))))))))))))))))</f>
        <v/>
      </c>
      <c r="BM406" s="50" t="str">
        <f>IF(Atletas!K397="","",IF(Atletas!B397="Feminino",100,IF(Atletas!B397="Masculino",200,""))+(IF(Atletas!K397="Equipe 1 Grupo B",1,IF(Atletas!K397="Equipe 2 Grupo B",2,IF(Atletas!K397="Equipe 1 Grupo A",3,IF(Atletas!K397="Equipe 2 Grupo A",4,IF(Atletas!K397="Equipe 1 Adulto",5,IF(Atletas!K397="Equipe 2 Adulto",6,""))))))))</f>
        <v/>
      </c>
      <c r="BR406" s="50" t="str">
        <f>IF(Atletas!L397="","",IF(Atletas!X397&lt;&gt;"",10000,0)+(IF(Atletas!B397="Feminino",1000,IF(Atletas!B397="Masculino",2000,""))+IF(Atletas!L397="Choylayfut A",1,IF(Atletas!L397="Hunggar A",2,IF(Atletas!L397="Wuzuquan A",3,IF(Atletas!L397="Wingchun A",4,IF(Atletas!L397="Outra Mão de Sul A",5,IF(Atletas!L397="Choylayfut B",6,IF(Atletas!L397="Hunggar B",7,IF(Atletas!L397="Wuzuquan B",8,IF(Atletas!L397="Wingchun B",9,IF(Atletas!L397="Outra Mão de Sul B",10,IF(Atletas!L397="Choylayfut C",11,IF(Atletas!L397="Hunggar C",12,IF(Atletas!L397="Wuzuquan C",13,IF(Atletas!L397="Wingchun C",14,IF(Atletas!L397="Outra Mão de Sul C",15,IF(Atletas!L397="Choylayfut D",16,IF(Atletas!L397="Hunggar D",17,IF(Atletas!L397="Wuzuquan D",18,IF(Atletas!L397="Wingchun D",19,IF(Atletas!L397="Outra Mão de Sul D",20,IF(Atletas!L397="Choylayfut E",21,IF(Atletas!L397="Hunggar E",22,IF(Atletas!L397="Wuzuquan E",23,IF(Atletas!L397="Wingchun E",24,IF(Atletas!L397="Outra Mão de Sul E",25,IF(Atletas!L397="Choylayfut F",26,IF(Atletas!L397="Hunggar F",27,IF(Atletas!L397="Wuzuquan F",28,IF(Atletas!L397="Wingchun F",29,IF(Atletas!L397="Outra Mão de Sul F",30,IF(Atletas!L397="Dishuquan A",31,IF(Atletas!L397="Dishuquan B",32,IF(Atletas!L397="Dishuquan C",33,IF(Atletas!L397="Dishuquan D",34,IF(Atletas!L397="Dishuquan E",35,IF(Atletas!L397="Dishuquan F",36,""))))))))))))))))))))))))))))))))))))))</f>
        <v/>
      </c>
      <c r="BS406" s="50" t="str">
        <f>IF(Atletas!M397="","",IF(Atletas!X397&lt;&gt;"",10000,0)+(IF(Atletas!B397="Feminino",1000,IF(Atletas!B397="Masculino",2000,""))+(IF(Atletas!M397="Chaquan A",101,IF(Atletas!M397="Emeiquan A",102,IF(Atletas!M397="Fanziquan A",103,IF(Atletas!M397="Huaquan A",104,IF(Atletas!M397="Hongquan A",105,IF(Atletas!M397="Paoquan A",106,IF(Atletas!M397="Piguaquan A",107,IF(Atletas!M397="Shaolinquan A",108,IF(Atletas!M397="Tanglangquan A",109,IF(Atletas!M397="Yingzhaoquan A",110,IF(Atletas!M397="Tongbeiquan A",111,IF(Atletas!M397="Wudangquan A",112,IF(Atletas!M397="Outros Estilos A",113,IF(Atletas!M397="Chaquan B",114,IF(Atletas!M397="Emeiquan B",115,IF(Atletas!M397="Fanziquan B",116,IF(Atletas!M397="Huaquan B",117,IF(Atletas!M397="Hongquan B",118,IF(Atletas!M397="Paoquan B",119,IF(Atletas!M397="Piguaquan B",120,IF(Atletas!M397="Shaolinquan B",121,IF(Atletas!M397="Tanglangquan B",122,IF(Atletas!M397="Yingzhaoquan B",123,IF(Atletas!M397="Tongbeiquan B",124,IF(Atletas!M397="Wudangquan B",125,IF(Atletas!M397="Outros Estilos B",126,IF(Atletas!M397="Chaquan C",127,IF(Atletas!M397="Emeiquan C",128,IF(Atletas!M397="Fanziquan C",129,IF(Atletas!M397="Huaquan C",130,IF(Atletas!M397="Hongquan C",131,IF(Atletas!M397="Paoquan C",132,IF(Atletas!M397="Piguaquan C",133,IF(Atletas!M397="Shaolinquan C",134,IF(Atletas!M397="Tanglangquan C",135,IF(Atletas!M397="Yingzhaoquan C",136,IF(Atletas!M397="Tongbeiquan C",137,IF(Atletas!M397="Wudangquan C",138,IF(Atletas!M397="Outros Estilos C",139,0))))))))))))))))))))))))))))))))))))))))))</f>
        <v/>
      </c>
      <c r="BT406" s="50" t="str">
        <f>IF(Atletas!M397="","",IF(Atletas!X397&lt;&gt;"",10000,0)+(IF(Atletas!B397="Feminino",1000,IF(Atletas!B397="Masculino",2000,""))+(IF(Atletas!M397="Chaquan D",140,IF(Atletas!M397="Emeiquan D",141,IF(Atletas!M397="Fanziquan D",142,IF(Atletas!M397="Huaquan D",143,IF(Atletas!M397="Hongquan D",144,IF(Atletas!M397="Paoquan D",145,IF(Atletas!M397="Piguaquan D",146,IF(Atletas!M397="Shaolinquan D",147,IF(Atletas!M397="Tanglangquan D",148,IF(Atletas!M397="Yingzhaoquan D",149,IF(Atletas!M397="Tongbeiquan D",150,IF(Atletas!M397="Wudangquan D",151,IF(Atletas!M397="Outros Estilos D",152,IF(Atletas!M397="Chaquan E",153,IF(Atletas!M397="Emeiquan E",154,IF(Atletas!M397="Fanziquan E",155,IF(Atletas!M397="Huaquan E",156,IF(Atletas!M397="Hongquan E",157,IF(Atletas!M397="Paoquan E",158,IF(Atletas!M397="Piguaquan E",159,IF(Atletas!M397="Shaolinquan E",160,IF(Atletas!M397="Tanglangquan E",161,IF(Atletas!M397="Yingzhaoquan E",162,IF(Atletas!M397="Tongbeiquan E",163,IF(Atletas!M397="Wudangquan E",164,IF(Atletas!M397="Outros Estilos E",165,IF(Atletas!M397="Chaquan F",166,IF(Atletas!M397="Emeiquan F",167,IF(Atletas!M397="Fanziquan F",168,IF(Atletas!M397="Huaquan F",169,IF(Atletas!M397="Hongquan F",170,IF(Atletas!M397="Paoquan F",171,IF(Atletas!M397="Piguaquan F",172,IF(Atletas!M397="Shaolinquan F",173,IF(Atletas!M397="Tanglangquan F",174,IF(Atletas!M397="Yingzhaoquan F",175,IF(Atletas!M397="Tongbeiquan F",176,IF(Atletas!M397="Wudangquan F",177,IF(Atletas!M397="Outros Estilos F",178,0))))))))))))))))))))))))))))))))))))))))))</f>
        <v/>
      </c>
      <c r="BU406" s="50" t="str">
        <f>IF(Atletas!N397="","",IF(Atletas!X397&lt;&gt;"",10000,0)+(IF(Atletas!B397="Feminino",1000,IF(Atletas!B397="Masculino",2000,""))+(IF(Atletas!N397="Ditangquan A",201,IF(Atletas!N397="Houquan A",202,IF(Atletas!N397="Zuiquan A",203,IF(Atletas!N397="Ditangquan B",204,IF(Atletas!N397="Houquan B",205,IF(Atletas!N397="Zuiquan B",206,IF(Atletas!N397="Ditangquan C",207,IF(Atletas!N397="Houquan C",208,IF(Atletas!N397="Zuiquan C",209,IF(Atletas!N397="Ditangquan D",210,IF(Atletas!N397="Houquan D",211,IF(Atletas!N397="Zuiquan D",212,IF(Atletas!N397="Ditangquan E",213,IF(Atletas!N397="Houquan E",214,IF(Atletas!N397="Zuiquan E",215,IF(Atletas!N397="Ditangquan F",216,IF(Atletas!N397="Houquan F",217,IF(Atletas!N397="Zuiquan F",218,"")))))))))))))))))))))</f>
        <v/>
      </c>
      <c r="BV406" s="50" t="str">
        <f>IF(Atletas!O397="","",IF(Atletas!X397&lt;&gt;"",10000,0)+IF(Atletas!B397="Feminino",1000,IF(Atletas!B397="Masculino",2000,""))+IF(Atletas!O397="Yang A",301,IF(Atletas!O397="Chen A",302,IF(Atletas!O397="Sun A",303,IF(Atletas!O397="Wu A",304,IF(Atletas!O397="Wu-Hao A",305,IF(Atletas!O397="Outro Taijiquan A",306,IF(Atletas!O397="Yang B",307,IF(Atletas!O397="Chen B",308,IF(Atletas!O397="Sun B",309,IF(Atletas!O397="Wu B",310,IF(Atletas!O397="Wu-Hao B",311,IF(Atletas!O397="Outro Taijiquan B",312,IF(Atletas!O397="Yang C",313,IF(Atletas!O397="Chen C",314,IF(Atletas!O397="Sun C",315,IF(Atletas!O397="Wu C",316,IF(Atletas!O397="Wu-Hao C",317,IF(Atletas!O397="Outro Taijiquan C",318,IF(Atletas!O397="Yang D",319,IF(Atletas!O397="Chen D",320,IF(Atletas!O397="Sun D",321,IF(Atletas!O397="Wu D",322,IF(Atletas!O397="Wu-Hao D",323,IF(Atletas!O397="Outro Taijiquan D",324,IF(Atletas!O397="Yang E",325,IF(Atletas!O397="Chen E",326,IF(Atletas!O397="Sun E",327,IF(Atletas!O397="Wu E",328,IF(Atletas!O397="Wu-Hao E",329,IF(Atletas!O397="Outro Taijiquan E",330,IF(Atletas!O397="Yang F",331,IF(Atletas!O397="Chen F",332,IF(Atletas!O397="Sun F",333,IF(Atletas!O397="Wu F",334,IF(Atletas!O397="Wu-Hao F",335,IF(Atletas!O397="Outro Taijiquan F",336,"")))))))))))))))))))))))))))))))))))))</f>
        <v/>
      </c>
      <c r="BW406" s="50" t="str">
        <f>IF(Atletas!P397="","",IF(Atletas!X397&lt;&gt;"",10000,0)+IF(Atletas!B397="Feminino",1000,IF(Atletas!B397="Masculino",2000,""))+IF(OR(Atletas!P397="Yang 26 A",Atletas!P397="Yang 40 A"),401,IF(OR(Atletas!P397="Chen 25 A",Atletas!P397="Chen 36 A",Atletas!P397="Chen 56 A"),402,IF(Atletas!P397="Sun 73 A",403,IF(Atletas!P397="Wu 45 A",404,IF(Atletas!P397="Wu-Hao 46 A",405,IF(OR(Atletas!P397="Taijiquan 16 A",Atletas!P397="Taijiquan 24 A",Atletas!P397="Taijiquan 32 A",Atletas!P397="Taijiquan 42 A"),406,IF(OR(Atletas!P397="Yang 26 B",Atletas!P397="Yang 40 B"),407,IF(OR(Atletas!P397="Chen 25 B",Atletas!P397="Chen 36 B",Atletas!P397="Chen 56 B"),408,IF(Atletas!P397="Sun 73 B",409,IF(Atletas!P397="Wu 45 B",410,IF(Atletas!P397="Wu-Hao 46 B",411,IF(OR(Atletas!P397="Taijiquan 16 B",Atletas!P397="Taijiquan 24 B",Atletas!P397="Taijiquan 32 B",Atletas!P397="Taijiquan 42 B"),412,IF(OR(Atletas!P397="Yang 26 C",Atletas!P397="Yang 40 C"),413,IF(OR(Atletas!P397="Chen 25 C",Atletas!P397="Chen 36 C",Atletas!P397="Chen 56 C"),414,IF(Atletas!P397="Sun 73 C",415,IF(Atletas!P397="Wu 45 C",416,IF(Atletas!P397="Wu-Hao 46 C",417,IF(OR(Atletas!P397="Taijiquan 16 C",Atletas!P397="Taijiquan 24 C",Atletas!P397="Taijiquan 32 C",Atletas!P397="Taijiquan 42 C"),418,0)))))))))))))))))))</f>
        <v/>
      </c>
      <c r="BX406" s="50" t="str">
        <f>IF(Atletas!P397="","",IF(Atletas!X397&lt;&gt;"",10000,0)+IF(Atletas!B397="Feminino",1000,IF(Atletas!B397="Masculino",2000,""))+IF(OR(Atletas!P397="Yang 26 D",Atletas!P397="Yang 40 D"),419,IF(OR(Atletas!P397="Chen 25 D",Atletas!P397="Chen 36 D",Atletas!P397="Chen 56 D"),420,IF(Atletas!P397="Sun 73 D",421,IF(Atletas!P397="Wu 45 D",422,IF(Atletas!P397="Wu-Hao 46 D",423,IF(OR(Atletas!P397="Taijiquan 16 D",Atletas!P397="Taijiquan 24 D",Atletas!P397="Taijiquan 32 D",Atletas!P397="Taijiquan 42 D"),424,IF(OR(Atletas!P397="Yang 26 E",Atletas!P397="Yang 40 E"),425,IF(OR(Atletas!P397="Chen 25 E",Atletas!P397="Chen 36 E",Atletas!P397="Chen 56 E"),426,IF(Atletas!P397="Sun 73 E",427,IF(Atletas!P397="Wu 45 E",428,IF(Atletas!P397="Wu-Hao 46 E",429,IF(OR(Atletas!P397="Taijiquan 16 E",Atletas!P397="Taijiquan 24 E",Atletas!P397="Taijiquan 32 E",Atletas!P397="Taijiquan 42 E"),430,IF(OR(Atletas!P397="Yang 26 F",Atletas!P397="Yang 40 F"),431,IF(OR(Atletas!P397="Chen 25 F",Atletas!P397="Chen 36 F",Atletas!P397="Chen 56 F"),432,IF(Atletas!P397="Sun 73 F",433,IF(Atletas!P397="Wu 45 F",434,IF(Atletas!P397="Wu-Hao 46 F",435,IF(OR(Atletas!P397="Taijiquan 16 F",Atletas!P397="Taijiquan 24 F",Atletas!P397="Taijiquan 32 F",Atletas!P397="Taijiquan 42 F"),436,0)))))))))))))))))))</f>
        <v/>
      </c>
      <c r="BY406" s="50" t="str">
        <f>IF(Atletas!Q397="","",IF(Atletas!X397&lt;&gt;"",10000,0)+IF(Atletas!B397="Feminino",1000,IF(Atletas!B397="Masculino",2000,""))+IF(Atletas!Q397="Xingyiquan A",501,IF(Atletas!Q397="Baguazhang A",502,IF(Atletas!Q397="Outro Estilo Interno A",503,IF(Atletas!Q397="Xingyiquan B",504,IF(Atletas!Q397="Baguazhang B",505,IF(Atletas!Q397="Outro Estilo Interno B",506,IF(Atletas!Q397="Xingyiquan C",507,IF(Atletas!Q397="Baguazhang C",508,IF(Atletas!Q397="Outro Estilo Interno C",509,IF(Atletas!Q397="Xingyiquan D",510,IF(Atletas!Q397="Baguazhang D",511,IF(Atletas!Q397="Outro Estilo Interno D",512,IF(Atletas!Q397="Xingyiquan E",513,IF(Atletas!Q397="Baguazhang E",514,IF(Atletas!Q397="Outro Estilo Interno E",515,IF(Atletas!Q397="Xingyiquan F",516,IF(Atletas!Q397="Baguazhang F",517,IF(Atletas!Q397="Outro Estilo Interno F",518, "")))))))))))))))))))</f>
        <v/>
      </c>
      <c r="BZ406" s="50" t="str">
        <f>IF(Atletas!R397="","",IF(Atletas!X397&lt;&gt;"",10000,0)+IF(Atletas!B397="Feminino",1000,IF(Atletas!B397="Masculino",2000,""))+IF(Atletas!R397="Dao A",601,IF(Atletas!R397="Jian A",602,IF(Atletas!R397="Bishou A",603,IF(Atletas!R397="Shanzi A",604,IF(Atletas!R397="Outra Arma Curta A",605,IF(Atletas!R397="Dao B",606,IF(Atletas!R397="Jian B",607,IF(Atletas!R397="Bishou B",608,IF(Atletas!R397="Shanzi B",609,IF(Atletas!R397="Outra Arma Curta B",610,IF(Atletas!R397="Dao C",611,IF(Atletas!R397="Jian C",612,IF(Atletas!R397="Bishou C",613,IF(Atletas!R397="Shanzi C",614,IF(Atletas!R397="Outra Arma Curta C",615,IF(Atletas!R397="Dao D",616,IF(Atletas!R397="Jian D",617,IF(Atletas!R397="Bishou D",618,IF(Atletas!R397="Shanzi D",619,IF(Atletas!R397="Outra Arma Curta D",620,IF(Atletas!R397="Dao E",621,IF(Atletas!R397="Jian E",622,IF(Atletas!R397="Bishou E",623,IF(Atletas!R397="Shanzi E",624,IF(Atletas!R397="Outra Arma Curta E",625,IF(Atletas!R397="Dao F",626,IF(Atletas!R397="Jian F",627,IF(Atletas!R397="Bishou F",628,IF(Atletas!R397="Shanzi F",629,IF(Atletas!R397="Outra Arma Curta F",630, "")))))))))))))))))))))))))))))))</f>
        <v/>
      </c>
      <c r="CA406" s="50" t="str">
        <f>IF(Atletas!S397="","",IF(Atletas!X397&lt;&gt;"",10000,0)+IF(Atletas!B397="Feminino",1000,IF(Atletas!B397="Masculino",2000,""))+IF(Atletas!S397="Gun A",701,IF(Atletas!S397="Qiang A",702,IF(Atletas!S397="Pudao / Guandao A",703,IF(Atletas!S397="Outra Arma Longa A",704,IF(Atletas!S397="Gun B",705,IF(Atletas!S397="Qiang B",706,IF(Atletas!S397="Pudao / Guandao B",707,IF(Atletas!S397="Outra Arma Longa B",708,IF(Atletas!S397="Gun C",709,IF(Atletas!S397="Qiang C",710,IF(Atletas!S397="Pudao / Guandao C",711,IF(Atletas!S397="Outra Arma Longa C",712,IF(Atletas!S397="Gun D",713,IF(Atletas!S397="Qiang D",714,IF(Atletas!S397="Pudao / Guandao D",715,IF(Atletas!S397="Outra Arma Longa D",716,IF(Atletas!S397="Gun E",717,IF(Atletas!S397="Qiang E",718,IF(Atletas!S397="Pudao / Guandao E",719,IF(Atletas!S397="Outra Arma Longa E",720,IF(Atletas!S397="Gun F",721,IF(Atletas!S397="Qiang F",722,IF(Atletas!S397="Pudao / Guandao F",723,IF(Atletas!S397="Outra Arma Longa F",724,"")))))))))))))))))))))))))</f>
        <v/>
      </c>
      <c r="CB406" s="50" t="str">
        <f>IF(Atletas!T397="","",IF(Atletas!X397&lt;&gt;"",10000,0)+IF(Atletas!B397="Feminino",1000,IF(Atletas!B397="Masculino",2000,""))+IF(Atletas!T397="Outra Arma Dupla A",801,IF(Atletas!T397="Arma Maleável A",802,IF(Atletas!T397="Outra Arma Dupla B",803,IF(Atletas!T397="Arma Maleável B",804,IF(Atletas!T397="Outra Arma Dupla C",805,IF(Atletas!T397="Arma Maleável C",806,IF(Atletas!T397="Outra Arma Dupla D",807,IF(Atletas!T397="Arma Maleável D",808,IF(Atletas!T397="Outra Arma Dupla E",809,IF(Atletas!T397="Arma Maleável E",810,IF(Atletas!T397="Outra Arma Dupla F",811,IF(Atletas!T397="Arma Maleável F",812,IF(Atletas!T397="Shuangdao A",813,IF(Atletas!T397="Shuangdao B",814,IF(Atletas!T397="Shuangdao C",815,IF(Atletas!T397="Shuangdao D",816,IF(Atletas!T397="Shuangdao E",817,IF(Atletas!T397="Shuangdao F",818,"")))))))))))))))))))</f>
        <v/>
      </c>
      <c r="CC406" s="50" t="str">
        <f>IF(Atletas!U397="","",IF(Atletas!X397&lt;&gt;"",10000,0)+IF(Atletas!B397="Feminino",1000,IF(Atletas!B397="Masculino",2000,""))+IF(OR(Atletas!U397="Taijijian Yang A",Atletas!U397="Taijijian Yang Standard A"),901,IF(OR(Atletas!U397="Taijijian Chen A", Atletas!U397="Taijijian Chen Standard A"),902,IF(Atletas!U397="Taijijian Sun A",903,IF(Atletas!U397="Taijijian Wu A",904,IF(Atletas!U397="Taijijian Wu-Hao A",905,IF(OR(Atletas!U397="Taijijian 32 A",Atletas!U397="Taijijian 42 A"),906,IF(OR(Atletas!U397="Taijijian Yang B",Atletas!U397="Taijijian Yang Standard B"),907,IF(OR(Atletas!U397="Taijijian Chen B", Atletas!U397="Taijijian Chen Standard B"),908,IF(Atletas!U397="Taijijian Sun B",909,IF(Atletas!U397="Taijijian Wu B",910,IF(Atletas!U397="Taijijian Wu-Hao B",911,IF(OR(Atletas!U397="Taijijian 32 B",Atletas!U397="Taijijian 42 B"),912,IF(OR(Atletas!U397="Taijijian Yang C",Atletas!U397="Taijijian Yang Standard C"),913,IF(OR(Atletas!U397="Taijijian Chen C", Atletas!U397="Taijijian Chen Standard C"),914,IF(Atletas!U397="Taijijian Sun C",915,IF(Atletas!U397="Taijijian Wu C",916,IF(Atletas!U397="Taijijian Wu-Hao C",917,IF(OR(Atletas!U397="Taijijian 32 C",Atletas!U397="Taijijian 42 C"),918,IF(OR(Atletas!U397="Taijijian Yang D",Atletas!U397="Taijijian Yang Standard D"),919,IF(OR(Atletas!U397="Taijijian Chen D", Atletas!U397="Taijijian Chen Standard D"),920,IF(Atletas!U397="Taijijian Sun D",921,IF(Atletas!U397="Taijijian Wu D",922,IF(Atletas!U397="Taijijian Wu-Hao D",923,IF(OR(Atletas!U397="Taijijian 32 D",Atletas!U397="Taijijian 42 D"),924,IF(OR(Atletas!U397="Taijijian Yang E",Atletas!U397="Taijijian Yang Standard E"),925,IF(OR(Atletas!U397="Taijijian Chen E", Atletas!U397="Taijijian Chen Standard E"),926,IF(Atletas!U397="Taijijian Sun E",927,IF(Atletas!U397="Taijijian Wu E",928,IF(Atletas!U397="Taijijian Wu-Hao E",929,IF(OR(Atletas!U397="Taijijian 32 E",Atletas!U397="Taijijian 42 E"),930,IF(OR(Atletas!U397="Taijijian Yang F",Atletas!U397="Taijijian Yang Standard F"),931,IF(OR(Atletas!U397="Taijijian Chen F", Atletas!U397="Taijijian Chen Standard F"),932,IF(Atletas!U397="Taijijian Sun F",933,IF(Atletas!U397="Taijijian Wu F",934,IF(Atletas!U397="Taijijian Wu-Hao F",935,IF(OR(Atletas!U397="Taijijian 32 F",Atletas!U397="Taijijian 42 F"),936,"")))))))))))))))))))))))))))))))))))))</f>
        <v/>
      </c>
      <c r="CD406" s="50" t="str">
        <f>IF(Atletas!V397="","",IF(Atletas!X397&lt;&gt;"",10000,0)+IF(Atletas!B397="Feminino",1000,IF(Atletas!B397="Masculino",2000,""))+IF(Atletas!V397="Taijidao A",937,IF(Atletas!V397="TaijiShanzi A",938,IF(Atletas!V397="Taijiqiang A",939,IF(Atletas!V397="Bagua de Arma A",940,IF(Atletas!V397="Xingyi de Arma A",941,IF(Atletas!V397="Taijidao B",942,IF(Atletas!V397="TaijiShanzi B",943,IF(Atletas!V397="Taijiqiang B",944,IF(Atletas!V397="Bagua de Arma B",945,IF(Atletas!V397="Xingyi de Arma B",946,IF(Atletas!V397="Taijidao C",947,IF(Atletas!V397="TaijiShanzi C",948,IF(Atletas!V397="Taijiqiang C",949,IF(Atletas!V397="Bagua de Arma C",950,IF(Atletas!V397="Xingyi de Arma C",951,IF(Atletas!V397="Taijidao D",952,IF(Atletas!V397="TaijiShanzi D",953,IF(Atletas!V397="Taijiqiang D",954,IF(Atletas!V397="Bagua de Arma D",955,IF(Atletas!V397="Xingyi de Arma D",956,IF(Atletas!V397="Taijidao E",957,IF(Atletas!V397="TaijiShanzi E",958,IF(Atletas!V397="Taijiqiang E",959,IF(Atletas!V397="Bagua de Arma E",960,IF(Atletas!V397="Xingyi de Arma E",961,IF(Atletas!V397="Taijidao F",962,IF(Atletas!V397="TaijiShanzi F",963,IF(Atletas!V397="Taijiqiang F",964,IF(Atletas!V397="Bagua de Arma F",965,IF(Atletas!V397="Xingyi de Arma F",966,"")))))))))))))))))))))))))))))))</f>
        <v/>
      </c>
      <c r="CJ406" s="66"/>
      <c r="CL406" s="66"/>
      <c r="CM406" s="50" t="str">
        <f xml:space="preserve"> IF(Atletas!W397="","",IF(Atletas!W397="Duilian de Mãos BC - Equipe 1",1,IF(Atletas!W397="Duilian de Mãos BC - Equipe 2",2,IF(Atletas!W397="Duilian de Armas BC - Equipe 1",3,IF(Atletas!W397="Duilian de Armas BC - Equipe 2",4,IF(Atletas!W397="Duilian de Mãos DE - Equipe 1",5,IF(Atletas!W397="Duilian de Mãos DE - Equipe 2",6,IF(Atletas!W397="Duilian de Armas DE - Equipe 1",7,IF(Atletas!W397="Duilian de Armas DE - Equipe 2",8,IF(Atletas!W397="Duilian de Tuishou - Equipe 1",9,IF(Atletas!W397="Duilian de Tuishou - Equipe 2",10,IF(Atletas!W397="Grupo Externo ABC - Equipe 1",11,IF(Atletas!W397="Grupo Externo ABC - Equipe 2",12,IF(Atletas!W397="Grupo Interno ABC - Equipe 1",13,IF(Atletas!W397="Grupo Interno ABC - Equipe 2",14,IF(Atletas!W397="Grupo Externo DEF - Equipe 1",15,IF(Atletas!W397="Grupo Externo DEF - Equipe 2",16,IF(Atletas!W397="Grupo Interno DEF - Equipe 1",17,IF(Atletas!W397="Grupo Interno DEF - Equipe 2",18,"")))))))))))))))))))</f>
        <v/>
      </c>
    </row>
    <row r="407" spans="40:91">
      <c r="AN407" s="52" t="str">
        <f>IF(Atletas!D398="","",IF(Atletas!B398="Feminino",100,IF(Atletas!B398="Masculino",200,""))+(IF(Atletas!D398="Kids 30kg",1,IF(Atletas!D398="Kids 32kg",2, IF(Atletas!D398="Kids 34kg",3,IF(Atletas!D398="Kids 36kg",4,IF(Atletas!D398="Kids 39kg",5,IF(Atletas!D398="Kids 42kg",6,IF(Atletas!D398="Kids 45kg",7, IF(Atletas!D398="Infantil 39kg",8,IF(Atletas!D398="Infantil 42kg",9,IF(Atletas!D398="Infantil 45kg",10,IF(Atletas!D398="Infantil 48kg",11,IF(Atletas!D398="Infantil 52kg",12,IF(Atletas!D398="Infantil 56kg",13,IF(Atletas!D398="Infantil 60kg",14,IF(Atletas!D398="Juvenil 48kg",15,IF(Atletas!D398="Juvenil 52kg",16,IF(Atletas!D398="Juvenil 56kg",17,IF(Atletas!D398="Juvenil 60kg",18,IF(Atletas!D398="Juvenil 65kg",19,IF(Atletas!D398="Juvenil 70kg",20,IF(Atletas!D398="Juvenil 75kg",21,IF(Atletas!D398="Juvenil 80kg",22, IF(Atletas!D398="Juvenil 85kg",23,IF(Atletas!D398="Adulto 48kg",24,IF(Atletas!D398="Adulto 52kg",25,IF(Atletas!D398="Adulto 56kg",26,IF(Atletas!D398="Adulto 60kg",27,IF(Atletas!D398="Adulto 65kg",28,IF(Atletas!D398="Adulto 70kg",29,IF(Atletas!D398="Adulto 75kg",30,IF(Atletas!D398="Adulto 80kg",31,IF(Atletas!D398="Adulto 85kg",32,IF(Atletas!D398="Adulto 90kg",33,IF(Atletas!D398="Adulto 100kg",34, IF(Atletas!D398="Adulto +100kg",35,"")))))))))))))))))))))))))))))))))))))</f>
        <v/>
      </c>
      <c r="AS407" s="6" t="str">
        <f>IF(Atletas!E398="","",IF(Atletas!B398="Feminino",100,IF(Atletas!B398="Masculino",200,""))+(IF(Atletas!E398="Juvenil 44kg",1,IF(Atletas!E398="Juvenil 48kg",2,IF(Atletas!E398="Juvenil 52kg",3,IF(Atletas!E398="Juvenil 56kg",4,IF(Atletas!E398="Juvenil 60kg",5,IF(Atletas!E398="Juvenil 65kg",6,IF(Atletas!E398="Juvenil 70kg",7,IF(Atletas!E398="Juvenil 75kg",8,IF(Atletas!E398="Juvenil 82kg",9,IF(Atletas!E398="Juvenil 90kg",10,IF(Atletas!E398="Juvenil 100kg",11,IF(Atletas!E398="Adulto 48kg",12,IF(Atletas!E398="Adulto 52kg",13,IF(Atletas!E398="Adulto 56kg",14,IF(Atletas!E398="Adulto 60kg",15,IF(Atletas!E398="Adulto 65kg",16,IF(Atletas!E398="Adulto 70kg",17,IF(Atletas!E398="Adulto 75kg",18,IF(Atletas!E398="Adulto 82kg",19,IF(Atletas!E398="Adulto 90kg",20,IF(Atletas!E398="Adulto 100kg",21,IF(Atletas!E398="Adulto +100kg",22,""))))))))))))))))))))))))</f>
        <v/>
      </c>
      <c r="AX407" s="6" t="str">
        <f>IF(Atletas!F398="","",IF(Atletas!B398="Feminino",100,IF(Atletas!B398="Masculino",200,""))+(IF(Atletas!F398="Adulto 48kg",1,IF(Atletas!F398="Adulto 56kg",2,IF(Atletas!F398="Adulto 65kg",3,IF(Atletas!F398="Adulto 75kg",4,IF(Atletas!F398="Adulto +75kg",5,IF(Atletas!F398="Adulto 52kg",6,IF(Atletas!F398="Adulto 60kg",7,IF(Atletas!F398="Adulto 70kg",8,IF(Atletas!F398="Adulto 80kg",9,IF(Atletas!F398="Adulto 90kg",10,IF(Atletas!F398="Adulto +90kg",11,"")))))))))))))</f>
        <v/>
      </c>
      <c r="BC407" s="6" t="str">
        <f>IF(Atletas!G398="","",IF(Atletas!B398="Feminino",10,IF(Atletas!B398="Masculino",20,""))+(IF(Atletas!G398="Baduanjin A",1,IF(Atletas!G398="Baduanjin B",2))))</f>
        <v/>
      </c>
      <c r="BF407" s="52" t="str">
        <f>IF(Atletas!H398="","",IF(Atletas!B398="Feminino",100,IF(Atletas!B398="Masculino",200,""))+(IF(Atletas!H398="Changquan Mirim",1,IF(Atletas!H398="Nanquan Mirim",2,IF(Atletas!H398="Taijiquan Mirim",3,IF(Atletas!H398="Changquan Grupo C",4,IF(Atletas!H398="Nanquan Grupo C",5,IF(Atletas!H398="Taijiquan Grupo C",6,IF(Atletas!H398="Changquan Grupo B",7,IF(Atletas!H398="Nanquan Grupo B",8,IF(Atletas!H398="Taijiquan Grupo B",9,IF(Atletas!H398="Changquan Grupo A",10,IF(Atletas!H398="Nanquan Grupo A",11,IF(Atletas!H398="Taijiquan Grupo A",12,IF(Atletas!H398="Changquan Opcional",13,IF(Atletas!H398="Nanquan Opcional",14,IF(Atletas!H398="Taijiquan Opcional",15,IF(Atletas!H398="Changquan Adulto",16,IF(Atletas!H398="Nanquan Adulto",17,IF(Atletas!H398="Taijiquan Adulto",18,""))))))))))))))))))))</f>
        <v/>
      </c>
      <c r="BG407" s="52" t="str">
        <f>IF(Atletas!I398="","",IF(Atletas!B398="Feminino",100,IF(Atletas!B398="Masculino",200,""))+(IF(Atletas!I398="Daoshu Mirim",19,IF(Atletas!I398="Jianshu Mirim",20,IF(Atletas!I398="Nandao Mirim",21,IF(Atletas!I398="Taijijian Mirim",22,IF(Atletas!I398="Daoshu Grupo C",23,IF(Atletas!I398="Jianshu Grupo C",24,IF(Atletas!I398="Nandao Grupo C",25,IF(Atletas!I398="Taijijian Grupo C",26,IF(Atletas!I398="Daoshu Grupo B",27,IF(Atletas!I398="Jianshu Grupo B",28,IF(Atletas!I398="Nandao Grupo B",29,IF(Atletas!I398="Taijijian Grupo B",30,IF(Atletas!I398="Daoshu Grupo A",31,IF(Atletas!I398="Jianshu Grupo A",32,IF(Atletas!I398="Nandao Grupo A",33,IF(Atletas!I398="Taijijian Grupo A",34,IF(Atletas!I398="Daoshu Opcional",35,IF(Atletas!I398="Jianshu Opcional",36,IF(Atletas!I398="Nandao Opcional",37,IF(Atletas!I398="Taijijian Opcional",38,IF(Atletas!I398="Daoshu Adulto",39,IF(Atletas!I398="Jianshu Adulto",40,IF(Atletas!I398="Nandao Adulto",41,IF(Atletas!I398="Taijijian Adulto",42,""))))))))))))))))))))))))))</f>
        <v/>
      </c>
      <c r="BH407" s="52" t="str">
        <f>IF(Atletas!J398="","",IF(Atletas!B398="Feminino",100,IF(Atletas!B398="Masculino",200,""))+(IF(Atletas!J398="Gunshu Mirim",43,IF(Atletas!J398="Qiangshu Mirim",44,IF(Atletas!J398="Nangun Mirim",45,IF(Atletas!J398="Gunshu Grupo C",46,IF(Atletas!J398="Qiangshu Grupo C",47,IF(Atletas!J398="Nangun Grupo C",48,IF(Atletas!J398="Gunshu Grupo B",49,IF(Atletas!J398="Qiangshu Grupo B",50,IF(Atletas!J398="Nangun Grupo B",51,IF(Atletas!J398="Gunshu Grupo A",52,IF(Atletas!J398="Qiangshu Grupo A",53,IF(Atletas!J398="Nangun Grupo A",54,IF(Atletas!J398="Gunshu Opcional",55,IF(Atletas!J398="Qiangshu Opcional",56,IF(Atletas!J398="Nangun Opcional",57,IF(Atletas!J398="Gunshu Adulto",58,IF(Atletas!J398="Qiangshu Adulto",59,IF(Atletas!J398="Nangun Adulto",60,IF(Atletas!J398="Taijishan Grupo B",61,IF(Atletas!J398="Taijishan Grupo A",62,""))))))))))))))))))))))</f>
        <v/>
      </c>
      <c r="BM407" s="50" t="str">
        <f>IF(Atletas!K398="","",IF(Atletas!B398="Feminino",100,IF(Atletas!B398="Masculino",200,""))+(IF(Atletas!K398="Equipe 1 Grupo B",1,IF(Atletas!K398="Equipe 2 Grupo B",2,IF(Atletas!K398="Equipe 1 Grupo A",3,IF(Atletas!K398="Equipe 2 Grupo A",4,IF(Atletas!K398="Equipe 1 Adulto",5,IF(Atletas!K398="Equipe 2 Adulto",6,""))))))))</f>
        <v/>
      </c>
      <c r="BR407" s="50" t="str">
        <f>IF(Atletas!L398="","",IF(Atletas!X398&lt;&gt;"",10000,0)+(IF(Atletas!B398="Feminino",1000,IF(Atletas!B398="Masculino",2000,""))+IF(Atletas!L398="Choylayfut A",1,IF(Atletas!L398="Hunggar A",2,IF(Atletas!L398="Wuzuquan A",3,IF(Atletas!L398="Wingchun A",4,IF(Atletas!L398="Outra Mão de Sul A",5,IF(Atletas!L398="Choylayfut B",6,IF(Atletas!L398="Hunggar B",7,IF(Atletas!L398="Wuzuquan B",8,IF(Atletas!L398="Wingchun B",9,IF(Atletas!L398="Outra Mão de Sul B",10,IF(Atletas!L398="Choylayfut C",11,IF(Atletas!L398="Hunggar C",12,IF(Atletas!L398="Wuzuquan C",13,IF(Atletas!L398="Wingchun C",14,IF(Atletas!L398="Outra Mão de Sul C",15,IF(Atletas!L398="Choylayfut D",16,IF(Atletas!L398="Hunggar D",17,IF(Atletas!L398="Wuzuquan D",18,IF(Atletas!L398="Wingchun D",19,IF(Atletas!L398="Outra Mão de Sul D",20,IF(Atletas!L398="Choylayfut E",21,IF(Atletas!L398="Hunggar E",22,IF(Atletas!L398="Wuzuquan E",23,IF(Atletas!L398="Wingchun E",24,IF(Atletas!L398="Outra Mão de Sul E",25,IF(Atletas!L398="Choylayfut F",26,IF(Atletas!L398="Hunggar F",27,IF(Atletas!L398="Wuzuquan F",28,IF(Atletas!L398="Wingchun F",29,IF(Atletas!L398="Outra Mão de Sul F",30,IF(Atletas!L398="Dishuquan A",31,IF(Atletas!L398="Dishuquan B",32,IF(Atletas!L398="Dishuquan C",33,IF(Atletas!L398="Dishuquan D",34,IF(Atletas!L398="Dishuquan E",35,IF(Atletas!L398="Dishuquan F",36,""))))))))))))))))))))))))))))))))))))))</f>
        <v/>
      </c>
      <c r="BS407" s="50" t="str">
        <f>IF(Atletas!M398="","",IF(Atletas!X398&lt;&gt;"",10000,0)+(IF(Atletas!B398="Feminino",1000,IF(Atletas!B398="Masculino",2000,""))+(IF(Atletas!M398="Chaquan A",101,IF(Atletas!M398="Emeiquan A",102,IF(Atletas!M398="Fanziquan A",103,IF(Atletas!M398="Huaquan A",104,IF(Atletas!M398="Hongquan A",105,IF(Atletas!M398="Paoquan A",106,IF(Atletas!M398="Piguaquan A",107,IF(Atletas!M398="Shaolinquan A",108,IF(Atletas!M398="Tanglangquan A",109,IF(Atletas!M398="Yingzhaoquan A",110,IF(Atletas!M398="Tongbeiquan A",111,IF(Atletas!M398="Wudangquan A",112,IF(Atletas!M398="Outros Estilos A",113,IF(Atletas!M398="Chaquan B",114,IF(Atletas!M398="Emeiquan B",115,IF(Atletas!M398="Fanziquan B",116,IF(Atletas!M398="Huaquan B",117,IF(Atletas!M398="Hongquan B",118,IF(Atletas!M398="Paoquan B",119,IF(Atletas!M398="Piguaquan B",120,IF(Atletas!M398="Shaolinquan B",121,IF(Atletas!M398="Tanglangquan B",122,IF(Atletas!M398="Yingzhaoquan B",123,IF(Atletas!M398="Tongbeiquan B",124,IF(Atletas!M398="Wudangquan B",125,IF(Atletas!M398="Outros Estilos B",126,IF(Atletas!M398="Chaquan C",127,IF(Atletas!M398="Emeiquan C",128,IF(Atletas!M398="Fanziquan C",129,IF(Atletas!M398="Huaquan C",130,IF(Atletas!M398="Hongquan C",131,IF(Atletas!M398="Paoquan C",132,IF(Atletas!M398="Piguaquan C",133,IF(Atletas!M398="Shaolinquan C",134,IF(Atletas!M398="Tanglangquan C",135,IF(Atletas!M398="Yingzhaoquan C",136,IF(Atletas!M398="Tongbeiquan C",137,IF(Atletas!M398="Wudangquan C",138,IF(Atletas!M398="Outros Estilos C",139,0))))))))))))))))))))))))))))))))))))))))))</f>
        <v/>
      </c>
      <c r="BT407" s="50" t="str">
        <f>IF(Atletas!M398="","",IF(Atletas!X398&lt;&gt;"",10000,0)+(IF(Atletas!B398="Feminino",1000,IF(Atletas!B398="Masculino",2000,""))+(IF(Atletas!M398="Chaquan D",140,IF(Atletas!M398="Emeiquan D",141,IF(Atletas!M398="Fanziquan D",142,IF(Atletas!M398="Huaquan D",143,IF(Atletas!M398="Hongquan D",144,IF(Atletas!M398="Paoquan D",145,IF(Atletas!M398="Piguaquan D",146,IF(Atletas!M398="Shaolinquan D",147,IF(Atletas!M398="Tanglangquan D",148,IF(Atletas!M398="Yingzhaoquan D",149,IF(Atletas!M398="Tongbeiquan D",150,IF(Atletas!M398="Wudangquan D",151,IF(Atletas!M398="Outros Estilos D",152,IF(Atletas!M398="Chaquan E",153,IF(Atletas!M398="Emeiquan E",154,IF(Atletas!M398="Fanziquan E",155,IF(Atletas!M398="Huaquan E",156,IF(Atletas!M398="Hongquan E",157,IF(Atletas!M398="Paoquan E",158,IF(Atletas!M398="Piguaquan E",159,IF(Atletas!M398="Shaolinquan E",160,IF(Atletas!M398="Tanglangquan E",161,IF(Atletas!M398="Yingzhaoquan E",162,IF(Atletas!M398="Tongbeiquan E",163,IF(Atletas!M398="Wudangquan E",164,IF(Atletas!M398="Outros Estilos E",165,IF(Atletas!M398="Chaquan F",166,IF(Atletas!M398="Emeiquan F",167,IF(Atletas!M398="Fanziquan F",168,IF(Atletas!M398="Huaquan F",169,IF(Atletas!M398="Hongquan F",170,IF(Atletas!M398="Paoquan F",171,IF(Atletas!M398="Piguaquan F",172,IF(Atletas!M398="Shaolinquan F",173,IF(Atletas!M398="Tanglangquan F",174,IF(Atletas!M398="Yingzhaoquan F",175,IF(Atletas!M398="Tongbeiquan F",176,IF(Atletas!M398="Wudangquan F",177,IF(Atletas!M398="Outros Estilos F",178,0))))))))))))))))))))))))))))))))))))))))))</f>
        <v/>
      </c>
      <c r="BU407" s="50" t="str">
        <f>IF(Atletas!N398="","",IF(Atletas!X398&lt;&gt;"",10000,0)+(IF(Atletas!B398="Feminino",1000,IF(Atletas!B398="Masculino",2000,""))+(IF(Atletas!N398="Ditangquan A",201,IF(Atletas!N398="Houquan A",202,IF(Atletas!N398="Zuiquan A",203,IF(Atletas!N398="Ditangquan B",204,IF(Atletas!N398="Houquan B",205,IF(Atletas!N398="Zuiquan B",206,IF(Atletas!N398="Ditangquan C",207,IF(Atletas!N398="Houquan C",208,IF(Atletas!N398="Zuiquan C",209,IF(Atletas!N398="Ditangquan D",210,IF(Atletas!N398="Houquan D",211,IF(Atletas!N398="Zuiquan D",212,IF(Atletas!N398="Ditangquan E",213,IF(Atletas!N398="Houquan E",214,IF(Atletas!N398="Zuiquan E",215,IF(Atletas!N398="Ditangquan F",216,IF(Atletas!N398="Houquan F",217,IF(Atletas!N398="Zuiquan F",218,"")))))))))))))))))))))</f>
        <v/>
      </c>
      <c r="BV407" s="50" t="str">
        <f>IF(Atletas!O398="","",IF(Atletas!X398&lt;&gt;"",10000,0)+IF(Atletas!B398="Feminino",1000,IF(Atletas!B398="Masculino",2000,""))+IF(Atletas!O398="Yang A",301,IF(Atletas!O398="Chen A",302,IF(Atletas!O398="Sun A",303,IF(Atletas!O398="Wu A",304,IF(Atletas!O398="Wu-Hao A",305,IF(Atletas!O398="Outro Taijiquan A",306,IF(Atletas!O398="Yang B",307,IF(Atletas!O398="Chen B",308,IF(Atletas!O398="Sun B",309,IF(Atletas!O398="Wu B",310,IF(Atletas!O398="Wu-Hao B",311,IF(Atletas!O398="Outro Taijiquan B",312,IF(Atletas!O398="Yang C",313,IF(Atletas!O398="Chen C",314,IF(Atletas!O398="Sun C",315,IF(Atletas!O398="Wu C",316,IF(Atletas!O398="Wu-Hao C",317,IF(Atletas!O398="Outro Taijiquan C",318,IF(Atletas!O398="Yang D",319,IF(Atletas!O398="Chen D",320,IF(Atletas!O398="Sun D",321,IF(Atletas!O398="Wu D",322,IF(Atletas!O398="Wu-Hao D",323,IF(Atletas!O398="Outro Taijiquan D",324,IF(Atletas!O398="Yang E",325,IF(Atletas!O398="Chen E",326,IF(Atletas!O398="Sun E",327,IF(Atletas!O398="Wu E",328,IF(Atletas!O398="Wu-Hao E",329,IF(Atletas!O398="Outro Taijiquan E",330,IF(Atletas!O398="Yang F",331,IF(Atletas!O398="Chen F",332,IF(Atletas!O398="Sun F",333,IF(Atletas!O398="Wu F",334,IF(Atletas!O398="Wu-Hao F",335,IF(Atletas!O398="Outro Taijiquan F",336,"")))))))))))))))))))))))))))))))))))))</f>
        <v/>
      </c>
      <c r="BW407" s="50" t="str">
        <f>IF(Atletas!P398="","",IF(Atletas!X398&lt;&gt;"",10000,0)+IF(Atletas!B398="Feminino",1000,IF(Atletas!B398="Masculino",2000,""))+IF(OR(Atletas!P398="Yang 26 A",Atletas!P398="Yang 40 A"),401,IF(OR(Atletas!P398="Chen 25 A",Atletas!P398="Chen 36 A",Atletas!P398="Chen 56 A"),402,IF(Atletas!P398="Sun 73 A",403,IF(Atletas!P398="Wu 45 A",404,IF(Atletas!P398="Wu-Hao 46 A",405,IF(OR(Atletas!P398="Taijiquan 16 A",Atletas!P398="Taijiquan 24 A",Atletas!P398="Taijiquan 32 A",Atletas!P398="Taijiquan 42 A"),406,IF(OR(Atletas!P398="Yang 26 B",Atletas!P398="Yang 40 B"),407,IF(OR(Atletas!P398="Chen 25 B",Atletas!P398="Chen 36 B",Atletas!P398="Chen 56 B"),408,IF(Atletas!P398="Sun 73 B",409,IF(Atletas!P398="Wu 45 B",410,IF(Atletas!P398="Wu-Hao 46 B",411,IF(OR(Atletas!P398="Taijiquan 16 B",Atletas!P398="Taijiquan 24 B",Atletas!P398="Taijiquan 32 B",Atletas!P398="Taijiquan 42 B"),412,IF(OR(Atletas!P398="Yang 26 C",Atletas!P398="Yang 40 C"),413,IF(OR(Atletas!P398="Chen 25 C",Atletas!P398="Chen 36 C",Atletas!P398="Chen 56 C"),414,IF(Atletas!P398="Sun 73 C",415,IF(Atletas!P398="Wu 45 C",416,IF(Atletas!P398="Wu-Hao 46 C",417,IF(OR(Atletas!P398="Taijiquan 16 C",Atletas!P398="Taijiquan 24 C",Atletas!P398="Taijiquan 32 C",Atletas!P398="Taijiquan 42 C"),418,0)))))))))))))))))))</f>
        <v/>
      </c>
      <c r="BX407" s="50" t="str">
        <f>IF(Atletas!P398="","",IF(Atletas!X398&lt;&gt;"",10000,0)+IF(Atletas!B398="Feminino",1000,IF(Atletas!B398="Masculino",2000,""))+IF(OR(Atletas!P398="Yang 26 D",Atletas!P398="Yang 40 D"),419,IF(OR(Atletas!P398="Chen 25 D",Atletas!P398="Chen 36 D",Atletas!P398="Chen 56 D"),420,IF(Atletas!P398="Sun 73 D",421,IF(Atletas!P398="Wu 45 D",422,IF(Atletas!P398="Wu-Hao 46 D",423,IF(OR(Atletas!P398="Taijiquan 16 D",Atletas!P398="Taijiquan 24 D",Atletas!P398="Taijiquan 32 D",Atletas!P398="Taijiquan 42 D"),424,IF(OR(Atletas!P398="Yang 26 E",Atletas!P398="Yang 40 E"),425,IF(OR(Atletas!P398="Chen 25 E",Atletas!P398="Chen 36 E",Atletas!P398="Chen 56 E"),426,IF(Atletas!P398="Sun 73 E",427,IF(Atletas!P398="Wu 45 E",428,IF(Atletas!P398="Wu-Hao 46 E",429,IF(OR(Atletas!P398="Taijiquan 16 E",Atletas!P398="Taijiquan 24 E",Atletas!P398="Taijiquan 32 E",Atletas!P398="Taijiquan 42 E"),430,IF(OR(Atletas!P398="Yang 26 F",Atletas!P398="Yang 40 F"),431,IF(OR(Atletas!P398="Chen 25 F",Atletas!P398="Chen 36 F",Atletas!P398="Chen 56 F"),432,IF(Atletas!P398="Sun 73 F",433,IF(Atletas!P398="Wu 45 F",434,IF(Atletas!P398="Wu-Hao 46 F",435,IF(OR(Atletas!P398="Taijiquan 16 F",Atletas!P398="Taijiquan 24 F",Atletas!P398="Taijiquan 32 F",Atletas!P398="Taijiquan 42 F"),436,0)))))))))))))))))))</f>
        <v/>
      </c>
      <c r="BY407" s="50" t="str">
        <f>IF(Atletas!Q398="","",IF(Atletas!X398&lt;&gt;"",10000,0)+IF(Atletas!B398="Feminino",1000,IF(Atletas!B398="Masculino",2000,""))+IF(Atletas!Q398="Xingyiquan A",501,IF(Atletas!Q398="Baguazhang A",502,IF(Atletas!Q398="Outro Estilo Interno A",503,IF(Atletas!Q398="Xingyiquan B",504,IF(Atletas!Q398="Baguazhang B",505,IF(Atletas!Q398="Outro Estilo Interno B",506,IF(Atletas!Q398="Xingyiquan C",507,IF(Atletas!Q398="Baguazhang C",508,IF(Atletas!Q398="Outro Estilo Interno C",509,IF(Atletas!Q398="Xingyiquan D",510,IF(Atletas!Q398="Baguazhang D",511,IF(Atletas!Q398="Outro Estilo Interno D",512,IF(Atletas!Q398="Xingyiquan E",513,IF(Atletas!Q398="Baguazhang E",514,IF(Atletas!Q398="Outro Estilo Interno E",515,IF(Atletas!Q398="Xingyiquan F",516,IF(Atletas!Q398="Baguazhang F",517,IF(Atletas!Q398="Outro Estilo Interno F",518, "")))))))))))))))))))</f>
        <v/>
      </c>
      <c r="BZ407" s="50" t="str">
        <f>IF(Atletas!R398="","",IF(Atletas!X398&lt;&gt;"",10000,0)+IF(Atletas!B398="Feminino",1000,IF(Atletas!B398="Masculino",2000,""))+IF(Atletas!R398="Dao A",601,IF(Atletas!R398="Jian A",602,IF(Atletas!R398="Bishou A",603,IF(Atletas!R398="Shanzi A",604,IF(Atletas!R398="Outra Arma Curta A",605,IF(Atletas!R398="Dao B",606,IF(Atletas!R398="Jian B",607,IF(Atletas!R398="Bishou B",608,IF(Atletas!R398="Shanzi B",609,IF(Atletas!R398="Outra Arma Curta B",610,IF(Atletas!R398="Dao C",611,IF(Atletas!R398="Jian C",612,IF(Atletas!R398="Bishou C",613,IF(Atletas!R398="Shanzi C",614,IF(Atletas!R398="Outra Arma Curta C",615,IF(Atletas!R398="Dao D",616,IF(Atletas!R398="Jian D",617,IF(Atletas!R398="Bishou D",618,IF(Atletas!R398="Shanzi D",619,IF(Atletas!R398="Outra Arma Curta D",620,IF(Atletas!R398="Dao E",621,IF(Atletas!R398="Jian E",622,IF(Atletas!R398="Bishou E",623,IF(Atletas!R398="Shanzi E",624,IF(Atletas!R398="Outra Arma Curta E",625,IF(Atletas!R398="Dao F",626,IF(Atletas!R398="Jian F",627,IF(Atletas!R398="Bishou F",628,IF(Atletas!R398="Shanzi F",629,IF(Atletas!R398="Outra Arma Curta F",630, "")))))))))))))))))))))))))))))))</f>
        <v/>
      </c>
      <c r="CA407" s="50" t="str">
        <f>IF(Atletas!S398="","",IF(Atletas!X398&lt;&gt;"",10000,0)+IF(Atletas!B398="Feminino",1000,IF(Atletas!B398="Masculino",2000,""))+IF(Atletas!S398="Gun A",701,IF(Atletas!S398="Qiang A",702,IF(Atletas!S398="Pudao / Guandao A",703,IF(Atletas!S398="Outra Arma Longa A",704,IF(Atletas!S398="Gun B",705,IF(Atletas!S398="Qiang B",706,IF(Atletas!S398="Pudao / Guandao B",707,IF(Atletas!S398="Outra Arma Longa B",708,IF(Atletas!S398="Gun C",709,IF(Atletas!S398="Qiang C",710,IF(Atletas!S398="Pudao / Guandao C",711,IF(Atletas!S398="Outra Arma Longa C",712,IF(Atletas!S398="Gun D",713,IF(Atletas!S398="Qiang D",714,IF(Atletas!S398="Pudao / Guandao D",715,IF(Atletas!S398="Outra Arma Longa D",716,IF(Atletas!S398="Gun E",717,IF(Atletas!S398="Qiang E",718,IF(Atletas!S398="Pudao / Guandao E",719,IF(Atletas!S398="Outra Arma Longa E",720,IF(Atletas!S398="Gun F",721,IF(Atletas!S398="Qiang F",722,IF(Atletas!S398="Pudao / Guandao F",723,IF(Atletas!S398="Outra Arma Longa F",724,"")))))))))))))))))))))))))</f>
        <v/>
      </c>
      <c r="CB407" s="50" t="str">
        <f>IF(Atletas!T398="","",IF(Atletas!X398&lt;&gt;"",10000,0)+IF(Atletas!B398="Feminino",1000,IF(Atletas!B398="Masculino",2000,""))+IF(Atletas!T398="Outra Arma Dupla A",801,IF(Atletas!T398="Arma Maleável A",802,IF(Atletas!T398="Outra Arma Dupla B",803,IF(Atletas!T398="Arma Maleável B",804,IF(Atletas!T398="Outra Arma Dupla C",805,IF(Atletas!T398="Arma Maleável C",806,IF(Atletas!T398="Outra Arma Dupla D",807,IF(Atletas!T398="Arma Maleável D",808,IF(Atletas!T398="Outra Arma Dupla E",809,IF(Atletas!T398="Arma Maleável E",810,IF(Atletas!T398="Outra Arma Dupla F",811,IF(Atletas!T398="Arma Maleável F",812,IF(Atletas!T398="Shuangdao A",813,IF(Atletas!T398="Shuangdao B",814,IF(Atletas!T398="Shuangdao C",815,IF(Atletas!T398="Shuangdao D",816,IF(Atletas!T398="Shuangdao E",817,IF(Atletas!T398="Shuangdao F",818,"")))))))))))))))))))</f>
        <v/>
      </c>
      <c r="CC407" s="50" t="str">
        <f>IF(Atletas!U398="","",IF(Atletas!X398&lt;&gt;"",10000,0)+IF(Atletas!B398="Feminino",1000,IF(Atletas!B398="Masculino",2000,""))+IF(OR(Atletas!U398="Taijijian Yang A",Atletas!U398="Taijijian Yang Standard A"),901,IF(OR(Atletas!U398="Taijijian Chen A", Atletas!U398="Taijijian Chen Standard A"),902,IF(Atletas!U398="Taijijian Sun A",903,IF(Atletas!U398="Taijijian Wu A",904,IF(Atletas!U398="Taijijian Wu-Hao A",905,IF(OR(Atletas!U398="Taijijian 32 A",Atletas!U398="Taijijian 42 A"),906,IF(OR(Atletas!U398="Taijijian Yang B",Atletas!U398="Taijijian Yang Standard B"),907,IF(OR(Atletas!U398="Taijijian Chen B", Atletas!U398="Taijijian Chen Standard B"),908,IF(Atletas!U398="Taijijian Sun B",909,IF(Atletas!U398="Taijijian Wu B",910,IF(Atletas!U398="Taijijian Wu-Hao B",911,IF(OR(Atletas!U398="Taijijian 32 B",Atletas!U398="Taijijian 42 B"),912,IF(OR(Atletas!U398="Taijijian Yang C",Atletas!U398="Taijijian Yang Standard C"),913,IF(OR(Atletas!U398="Taijijian Chen C", Atletas!U398="Taijijian Chen Standard C"),914,IF(Atletas!U398="Taijijian Sun C",915,IF(Atletas!U398="Taijijian Wu C",916,IF(Atletas!U398="Taijijian Wu-Hao C",917,IF(OR(Atletas!U398="Taijijian 32 C",Atletas!U398="Taijijian 42 C"),918,IF(OR(Atletas!U398="Taijijian Yang D",Atletas!U398="Taijijian Yang Standard D"),919,IF(OR(Atletas!U398="Taijijian Chen D", Atletas!U398="Taijijian Chen Standard D"),920,IF(Atletas!U398="Taijijian Sun D",921,IF(Atletas!U398="Taijijian Wu D",922,IF(Atletas!U398="Taijijian Wu-Hao D",923,IF(OR(Atletas!U398="Taijijian 32 D",Atletas!U398="Taijijian 42 D"),924,IF(OR(Atletas!U398="Taijijian Yang E",Atletas!U398="Taijijian Yang Standard E"),925,IF(OR(Atletas!U398="Taijijian Chen E", Atletas!U398="Taijijian Chen Standard E"),926,IF(Atletas!U398="Taijijian Sun E",927,IF(Atletas!U398="Taijijian Wu E",928,IF(Atletas!U398="Taijijian Wu-Hao E",929,IF(OR(Atletas!U398="Taijijian 32 E",Atletas!U398="Taijijian 42 E"),930,IF(OR(Atletas!U398="Taijijian Yang F",Atletas!U398="Taijijian Yang Standard F"),931,IF(OR(Atletas!U398="Taijijian Chen F", Atletas!U398="Taijijian Chen Standard F"),932,IF(Atletas!U398="Taijijian Sun F",933,IF(Atletas!U398="Taijijian Wu F",934,IF(Atletas!U398="Taijijian Wu-Hao F",935,IF(OR(Atletas!U398="Taijijian 32 F",Atletas!U398="Taijijian 42 F"),936,"")))))))))))))))))))))))))))))))))))))</f>
        <v/>
      </c>
      <c r="CD407" s="50" t="str">
        <f>IF(Atletas!V398="","",IF(Atletas!X398&lt;&gt;"",10000,0)+IF(Atletas!B398="Feminino",1000,IF(Atletas!B398="Masculino",2000,""))+IF(Atletas!V398="Taijidao A",937,IF(Atletas!V398="TaijiShanzi A",938,IF(Atletas!V398="Taijiqiang A",939,IF(Atletas!V398="Bagua de Arma A",940,IF(Atletas!V398="Xingyi de Arma A",941,IF(Atletas!V398="Taijidao B",942,IF(Atletas!V398="TaijiShanzi B",943,IF(Atletas!V398="Taijiqiang B",944,IF(Atletas!V398="Bagua de Arma B",945,IF(Atletas!V398="Xingyi de Arma B",946,IF(Atletas!V398="Taijidao C",947,IF(Atletas!V398="TaijiShanzi C",948,IF(Atletas!V398="Taijiqiang C",949,IF(Atletas!V398="Bagua de Arma C",950,IF(Atletas!V398="Xingyi de Arma C",951,IF(Atletas!V398="Taijidao D",952,IF(Atletas!V398="TaijiShanzi D",953,IF(Atletas!V398="Taijiqiang D",954,IF(Atletas!V398="Bagua de Arma D",955,IF(Atletas!V398="Xingyi de Arma D",956,IF(Atletas!V398="Taijidao E",957,IF(Atletas!V398="TaijiShanzi E",958,IF(Atletas!V398="Taijiqiang E",959,IF(Atletas!V398="Bagua de Arma E",960,IF(Atletas!V398="Xingyi de Arma E",961,IF(Atletas!V398="Taijidao F",962,IF(Atletas!V398="TaijiShanzi F",963,IF(Atletas!V398="Taijiqiang F",964,IF(Atletas!V398="Bagua de Arma F",965,IF(Atletas!V398="Xingyi de Arma F",966,"")))))))))))))))))))))))))))))))</f>
        <v/>
      </c>
      <c r="CJ407" s="66"/>
      <c r="CL407" s="66"/>
      <c r="CM407" s="50" t="str">
        <f xml:space="preserve"> IF(Atletas!W398="","",IF(Atletas!W398="Duilian de Mãos BC - Equipe 1",1,IF(Atletas!W398="Duilian de Mãos BC - Equipe 2",2,IF(Atletas!W398="Duilian de Armas BC - Equipe 1",3,IF(Atletas!W398="Duilian de Armas BC - Equipe 2",4,IF(Atletas!W398="Duilian de Mãos DE - Equipe 1",5,IF(Atletas!W398="Duilian de Mãos DE - Equipe 2",6,IF(Atletas!W398="Duilian de Armas DE - Equipe 1",7,IF(Atletas!W398="Duilian de Armas DE - Equipe 2",8,IF(Atletas!W398="Duilian de Tuishou - Equipe 1",9,IF(Atletas!W398="Duilian de Tuishou - Equipe 2",10,IF(Atletas!W398="Grupo Externo ABC - Equipe 1",11,IF(Atletas!W398="Grupo Externo ABC - Equipe 2",12,IF(Atletas!W398="Grupo Interno ABC - Equipe 1",13,IF(Atletas!W398="Grupo Interno ABC - Equipe 2",14,IF(Atletas!W398="Grupo Externo DEF - Equipe 1",15,IF(Atletas!W398="Grupo Externo DEF - Equipe 2",16,IF(Atletas!W398="Grupo Interno DEF - Equipe 1",17,IF(Atletas!W398="Grupo Interno DEF - Equipe 2",18,"")))))))))))))))))))</f>
        <v/>
      </c>
    </row>
    <row r="408" spans="40:91">
      <c r="AN408" s="52" t="str">
        <f>IF(Atletas!D399="","",IF(Atletas!B399="Feminino",100,IF(Atletas!B399="Masculino",200,""))+(IF(Atletas!D399="Kids 30kg",1,IF(Atletas!D399="Kids 32kg",2, IF(Atletas!D399="Kids 34kg",3,IF(Atletas!D399="Kids 36kg",4,IF(Atletas!D399="Kids 39kg",5,IF(Atletas!D399="Kids 42kg",6,IF(Atletas!D399="Kids 45kg",7, IF(Atletas!D399="Infantil 39kg",8,IF(Atletas!D399="Infantil 42kg",9,IF(Atletas!D399="Infantil 45kg",10,IF(Atletas!D399="Infantil 48kg",11,IF(Atletas!D399="Infantil 52kg",12,IF(Atletas!D399="Infantil 56kg",13,IF(Atletas!D399="Infantil 60kg",14,IF(Atletas!D399="Juvenil 48kg",15,IF(Atletas!D399="Juvenil 52kg",16,IF(Atletas!D399="Juvenil 56kg",17,IF(Atletas!D399="Juvenil 60kg",18,IF(Atletas!D399="Juvenil 65kg",19,IF(Atletas!D399="Juvenil 70kg",20,IF(Atletas!D399="Juvenil 75kg",21,IF(Atletas!D399="Juvenil 80kg",22, IF(Atletas!D399="Juvenil 85kg",23,IF(Atletas!D399="Adulto 48kg",24,IF(Atletas!D399="Adulto 52kg",25,IF(Atletas!D399="Adulto 56kg",26,IF(Atletas!D399="Adulto 60kg",27,IF(Atletas!D399="Adulto 65kg",28,IF(Atletas!D399="Adulto 70kg",29,IF(Atletas!D399="Adulto 75kg",30,IF(Atletas!D399="Adulto 80kg",31,IF(Atletas!D399="Adulto 85kg",32,IF(Atletas!D399="Adulto 90kg",33,IF(Atletas!D399="Adulto 100kg",34, IF(Atletas!D399="Adulto +100kg",35,"")))))))))))))))))))))))))))))))))))))</f>
        <v/>
      </c>
      <c r="AS408" s="6" t="str">
        <f>IF(Atletas!E399="","",IF(Atletas!B399="Feminino",100,IF(Atletas!B399="Masculino",200,""))+(IF(Atletas!E399="Juvenil 44kg",1,IF(Atletas!E399="Juvenil 48kg",2,IF(Atletas!E399="Juvenil 52kg",3,IF(Atletas!E399="Juvenil 56kg",4,IF(Atletas!E399="Juvenil 60kg",5,IF(Atletas!E399="Juvenil 65kg",6,IF(Atletas!E399="Juvenil 70kg",7,IF(Atletas!E399="Juvenil 75kg",8,IF(Atletas!E399="Juvenil 82kg",9,IF(Atletas!E399="Juvenil 90kg",10,IF(Atletas!E399="Juvenil 100kg",11,IF(Atletas!E399="Adulto 48kg",12,IF(Atletas!E399="Adulto 52kg",13,IF(Atletas!E399="Adulto 56kg",14,IF(Atletas!E399="Adulto 60kg",15,IF(Atletas!E399="Adulto 65kg",16,IF(Atletas!E399="Adulto 70kg",17,IF(Atletas!E399="Adulto 75kg",18,IF(Atletas!E399="Adulto 82kg",19,IF(Atletas!E399="Adulto 90kg",20,IF(Atletas!E399="Adulto 100kg",21,IF(Atletas!E399="Adulto +100kg",22,""))))))))))))))))))))))))</f>
        <v/>
      </c>
      <c r="AX408" s="6" t="str">
        <f>IF(Atletas!F399="","",IF(Atletas!B399="Feminino",100,IF(Atletas!B399="Masculino",200,""))+(IF(Atletas!F399="Adulto 48kg",1,IF(Atletas!F399="Adulto 56kg",2,IF(Atletas!F399="Adulto 65kg",3,IF(Atletas!F399="Adulto 75kg",4,IF(Atletas!F399="Adulto +75kg",5,IF(Atletas!F399="Adulto 52kg",6,IF(Atletas!F399="Adulto 60kg",7,IF(Atletas!F399="Adulto 70kg",8,IF(Atletas!F399="Adulto 80kg",9,IF(Atletas!F399="Adulto 90kg",10,IF(Atletas!F399="Adulto +90kg",11,"")))))))))))))</f>
        <v/>
      </c>
      <c r="BC408" s="6" t="str">
        <f>IF(Atletas!G399="","",IF(Atletas!B399="Feminino",10,IF(Atletas!B399="Masculino",20,""))+(IF(Atletas!G399="Baduanjin A",1,IF(Atletas!G399="Baduanjin B",2))))</f>
        <v/>
      </c>
      <c r="BF408" s="52" t="str">
        <f>IF(Atletas!H399="","",IF(Atletas!B399="Feminino",100,IF(Atletas!B399="Masculino",200,""))+(IF(Atletas!H399="Changquan Mirim",1,IF(Atletas!H399="Nanquan Mirim",2,IF(Atletas!H399="Taijiquan Mirim",3,IF(Atletas!H399="Changquan Grupo C",4,IF(Atletas!H399="Nanquan Grupo C",5,IF(Atletas!H399="Taijiquan Grupo C",6,IF(Atletas!H399="Changquan Grupo B",7,IF(Atletas!H399="Nanquan Grupo B",8,IF(Atletas!H399="Taijiquan Grupo B",9,IF(Atletas!H399="Changquan Grupo A",10,IF(Atletas!H399="Nanquan Grupo A",11,IF(Atletas!H399="Taijiquan Grupo A",12,IF(Atletas!H399="Changquan Opcional",13,IF(Atletas!H399="Nanquan Opcional",14,IF(Atletas!H399="Taijiquan Opcional",15,IF(Atletas!H399="Changquan Adulto",16,IF(Atletas!H399="Nanquan Adulto",17,IF(Atletas!H399="Taijiquan Adulto",18,""))))))))))))))))))))</f>
        <v/>
      </c>
      <c r="BG408" s="52" t="str">
        <f>IF(Atletas!I399="","",IF(Atletas!B399="Feminino",100,IF(Atletas!B399="Masculino",200,""))+(IF(Atletas!I399="Daoshu Mirim",19,IF(Atletas!I399="Jianshu Mirim",20,IF(Atletas!I399="Nandao Mirim",21,IF(Atletas!I399="Taijijian Mirim",22,IF(Atletas!I399="Daoshu Grupo C",23,IF(Atletas!I399="Jianshu Grupo C",24,IF(Atletas!I399="Nandao Grupo C",25,IF(Atletas!I399="Taijijian Grupo C",26,IF(Atletas!I399="Daoshu Grupo B",27,IF(Atletas!I399="Jianshu Grupo B",28,IF(Atletas!I399="Nandao Grupo B",29,IF(Atletas!I399="Taijijian Grupo B",30,IF(Atletas!I399="Daoshu Grupo A",31,IF(Atletas!I399="Jianshu Grupo A",32,IF(Atletas!I399="Nandao Grupo A",33,IF(Atletas!I399="Taijijian Grupo A",34,IF(Atletas!I399="Daoshu Opcional",35,IF(Atletas!I399="Jianshu Opcional",36,IF(Atletas!I399="Nandao Opcional",37,IF(Atletas!I399="Taijijian Opcional",38,IF(Atletas!I399="Daoshu Adulto",39,IF(Atletas!I399="Jianshu Adulto",40,IF(Atletas!I399="Nandao Adulto",41,IF(Atletas!I399="Taijijian Adulto",42,""))))))))))))))))))))))))))</f>
        <v/>
      </c>
      <c r="BH408" s="52" t="str">
        <f>IF(Atletas!J399="","",IF(Atletas!B399="Feminino",100,IF(Atletas!B399="Masculino",200,""))+(IF(Atletas!J399="Gunshu Mirim",43,IF(Atletas!J399="Qiangshu Mirim",44,IF(Atletas!J399="Nangun Mirim",45,IF(Atletas!J399="Gunshu Grupo C",46,IF(Atletas!J399="Qiangshu Grupo C",47,IF(Atletas!J399="Nangun Grupo C",48,IF(Atletas!J399="Gunshu Grupo B",49,IF(Atletas!J399="Qiangshu Grupo B",50,IF(Atletas!J399="Nangun Grupo B",51,IF(Atletas!J399="Gunshu Grupo A",52,IF(Atletas!J399="Qiangshu Grupo A",53,IF(Atletas!J399="Nangun Grupo A",54,IF(Atletas!J399="Gunshu Opcional",55,IF(Atletas!J399="Qiangshu Opcional",56,IF(Atletas!J399="Nangun Opcional",57,IF(Atletas!J399="Gunshu Adulto",58,IF(Atletas!J399="Qiangshu Adulto",59,IF(Atletas!J399="Nangun Adulto",60,IF(Atletas!J399="Taijishan Grupo B",61,IF(Atletas!J399="Taijishan Grupo A",62,""))))))))))))))))))))))</f>
        <v/>
      </c>
      <c r="BM408" s="50" t="str">
        <f>IF(Atletas!K399="","",IF(Atletas!B399="Feminino",100,IF(Atletas!B399="Masculino",200,""))+(IF(Atletas!K399="Equipe 1 Grupo B",1,IF(Atletas!K399="Equipe 2 Grupo B",2,IF(Atletas!K399="Equipe 1 Grupo A",3,IF(Atletas!K399="Equipe 2 Grupo A",4,IF(Atletas!K399="Equipe 1 Adulto",5,IF(Atletas!K399="Equipe 2 Adulto",6,""))))))))</f>
        <v/>
      </c>
      <c r="BR408" s="50" t="str">
        <f>IF(Atletas!L399="","",IF(Atletas!X399&lt;&gt;"",10000,0)+(IF(Atletas!B399="Feminino",1000,IF(Atletas!B399="Masculino",2000,""))+IF(Atletas!L399="Choylayfut A",1,IF(Atletas!L399="Hunggar A",2,IF(Atletas!L399="Wuzuquan A",3,IF(Atletas!L399="Wingchun A",4,IF(Atletas!L399="Outra Mão de Sul A",5,IF(Atletas!L399="Choylayfut B",6,IF(Atletas!L399="Hunggar B",7,IF(Atletas!L399="Wuzuquan B",8,IF(Atletas!L399="Wingchun B",9,IF(Atletas!L399="Outra Mão de Sul B",10,IF(Atletas!L399="Choylayfut C",11,IF(Atletas!L399="Hunggar C",12,IF(Atletas!L399="Wuzuquan C",13,IF(Atletas!L399="Wingchun C",14,IF(Atletas!L399="Outra Mão de Sul C",15,IF(Atletas!L399="Choylayfut D",16,IF(Atletas!L399="Hunggar D",17,IF(Atletas!L399="Wuzuquan D",18,IF(Atletas!L399="Wingchun D",19,IF(Atletas!L399="Outra Mão de Sul D",20,IF(Atletas!L399="Choylayfut E",21,IF(Atletas!L399="Hunggar E",22,IF(Atletas!L399="Wuzuquan E",23,IF(Atletas!L399="Wingchun E",24,IF(Atletas!L399="Outra Mão de Sul E",25,IF(Atletas!L399="Choylayfut F",26,IF(Atletas!L399="Hunggar F",27,IF(Atletas!L399="Wuzuquan F",28,IF(Atletas!L399="Wingchun F",29,IF(Atletas!L399="Outra Mão de Sul F",30,IF(Atletas!L399="Dishuquan A",31,IF(Atletas!L399="Dishuquan B",32,IF(Atletas!L399="Dishuquan C",33,IF(Atletas!L399="Dishuquan D",34,IF(Atletas!L399="Dishuquan E",35,IF(Atletas!L399="Dishuquan F",36,""))))))))))))))))))))))))))))))))))))))</f>
        <v/>
      </c>
      <c r="BS408" s="50" t="str">
        <f>IF(Atletas!M399="","",IF(Atletas!X399&lt;&gt;"",10000,0)+(IF(Atletas!B399="Feminino",1000,IF(Atletas!B399="Masculino",2000,""))+(IF(Atletas!M399="Chaquan A",101,IF(Atletas!M399="Emeiquan A",102,IF(Atletas!M399="Fanziquan A",103,IF(Atletas!M399="Huaquan A",104,IF(Atletas!M399="Hongquan A",105,IF(Atletas!M399="Paoquan A",106,IF(Atletas!M399="Piguaquan A",107,IF(Atletas!M399="Shaolinquan A",108,IF(Atletas!M399="Tanglangquan A",109,IF(Atletas!M399="Yingzhaoquan A",110,IF(Atletas!M399="Tongbeiquan A",111,IF(Atletas!M399="Wudangquan A",112,IF(Atletas!M399="Outros Estilos A",113,IF(Atletas!M399="Chaquan B",114,IF(Atletas!M399="Emeiquan B",115,IF(Atletas!M399="Fanziquan B",116,IF(Atletas!M399="Huaquan B",117,IF(Atletas!M399="Hongquan B",118,IF(Atletas!M399="Paoquan B",119,IF(Atletas!M399="Piguaquan B",120,IF(Atletas!M399="Shaolinquan B",121,IF(Atletas!M399="Tanglangquan B",122,IF(Atletas!M399="Yingzhaoquan B",123,IF(Atletas!M399="Tongbeiquan B",124,IF(Atletas!M399="Wudangquan B",125,IF(Atletas!M399="Outros Estilos B",126,IF(Atletas!M399="Chaquan C",127,IF(Atletas!M399="Emeiquan C",128,IF(Atletas!M399="Fanziquan C",129,IF(Atletas!M399="Huaquan C",130,IF(Atletas!M399="Hongquan C",131,IF(Atletas!M399="Paoquan C",132,IF(Atletas!M399="Piguaquan C",133,IF(Atletas!M399="Shaolinquan C",134,IF(Atletas!M399="Tanglangquan C",135,IF(Atletas!M399="Yingzhaoquan C",136,IF(Atletas!M399="Tongbeiquan C",137,IF(Atletas!M399="Wudangquan C",138,IF(Atletas!M399="Outros Estilos C",139,0))))))))))))))))))))))))))))))))))))))))))</f>
        <v/>
      </c>
      <c r="BT408" s="50" t="str">
        <f>IF(Atletas!M399="","",IF(Atletas!X399&lt;&gt;"",10000,0)+(IF(Atletas!B399="Feminino",1000,IF(Atletas!B399="Masculino",2000,""))+(IF(Atletas!M399="Chaquan D",140,IF(Atletas!M399="Emeiquan D",141,IF(Atletas!M399="Fanziquan D",142,IF(Atletas!M399="Huaquan D",143,IF(Atletas!M399="Hongquan D",144,IF(Atletas!M399="Paoquan D",145,IF(Atletas!M399="Piguaquan D",146,IF(Atletas!M399="Shaolinquan D",147,IF(Atletas!M399="Tanglangquan D",148,IF(Atletas!M399="Yingzhaoquan D",149,IF(Atletas!M399="Tongbeiquan D",150,IF(Atletas!M399="Wudangquan D",151,IF(Atletas!M399="Outros Estilos D",152,IF(Atletas!M399="Chaquan E",153,IF(Atletas!M399="Emeiquan E",154,IF(Atletas!M399="Fanziquan E",155,IF(Atletas!M399="Huaquan E",156,IF(Atletas!M399="Hongquan E",157,IF(Atletas!M399="Paoquan E",158,IF(Atletas!M399="Piguaquan E",159,IF(Atletas!M399="Shaolinquan E",160,IF(Atletas!M399="Tanglangquan E",161,IF(Atletas!M399="Yingzhaoquan E",162,IF(Atletas!M399="Tongbeiquan E",163,IF(Atletas!M399="Wudangquan E",164,IF(Atletas!M399="Outros Estilos E",165,IF(Atletas!M399="Chaquan F",166,IF(Atletas!M399="Emeiquan F",167,IF(Atletas!M399="Fanziquan F",168,IF(Atletas!M399="Huaquan F",169,IF(Atletas!M399="Hongquan F",170,IF(Atletas!M399="Paoquan F",171,IF(Atletas!M399="Piguaquan F",172,IF(Atletas!M399="Shaolinquan F",173,IF(Atletas!M399="Tanglangquan F",174,IF(Atletas!M399="Yingzhaoquan F",175,IF(Atletas!M399="Tongbeiquan F",176,IF(Atletas!M399="Wudangquan F",177,IF(Atletas!M399="Outros Estilos F",178,0))))))))))))))))))))))))))))))))))))))))))</f>
        <v/>
      </c>
      <c r="BU408" s="50" t="str">
        <f>IF(Atletas!N399="","",IF(Atletas!X399&lt;&gt;"",10000,0)+(IF(Atletas!B399="Feminino",1000,IF(Atletas!B399="Masculino",2000,""))+(IF(Atletas!N399="Ditangquan A",201,IF(Atletas!N399="Houquan A",202,IF(Atletas!N399="Zuiquan A",203,IF(Atletas!N399="Ditangquan B",204,IF(Atletas!N399="Houquan B",205,IF(Atletas!N399="Zuiquan B",206,IF(Atletas!N399="Ditangquan C",207,IF(Atletas!N399="Houquan C",208,IF(Atletas!N399="Zuiquan C",209,IF(Atletas!N399="Ditangquan D",210,IF(Atletas!N399="Houquan D",211,IF(Atletas!N399="Zuiquan D",212,IF(Atletas!N399="Ditangquan E",213,IF(Atletas!N399="Houquan E",214,IF(Atletas!N399="Zuiquan E",215,IF(Atletas!N399="Ditangquan F",216,IF(Atletas!N399="Houquan F",217,IF(Atletas!N399="Zuiquan F",218,"")))))))))))))))))))))</f>
        <v/>
      </c>
      <c r="BV408" s="50" t="str">
        <f>IF(Atletas!O399="","",IF(Atletas!X399&lt;&gt;"",10000,0)+IF(Atletas!B399="Feminino",1000,IF(Atletas!B399="Masculino",2000,""))+IF(Atletas!O399="Yang A",301,IF(Atletas!O399="Chen A",302,IF(Atletas!O399="Sun A",303,IF(Atletas!O399="Wu A",304,IF(Atletas!O399="Wu-Hao A",305,IF(Atletas!O399="Outro Taijiquan A",306,IF(Atletas!O399="Yang B",307,IF(Atletas!O399="Chen B",308,IF(Atletas!O399="Sun B",309,IF(Atletas!O399="Wu B",310,IF(Atletas!O399="Wu-Hao B",311,IF(Atletas!O399="Outro Taijiquan B",312,IF(Atletas!O399="Yang C",313,IF(Atletas!O399="Chen C",314,IF(Atletas!O399="Sun C",315,IF(Atletas!O399="Wu C",316,IF(Atletas!O399="Wu-Hao C",317,IF(Atletas!O399="Outro Taijiquan C",318,IF(Atletas!O399="Yang D",319,IF(Atletas!O399="Chen D",320,IF(Atletas!O399="Sun D",321,IF(Atletas!O399="Wu D",322,IF(Atletas!O399="Wu-Hao D",323,IF(Atletas!O399="Outro Taijiquan D",324,IF(Atletas!O399="Yang E",325,IF(Atletas!O399="Chen E",326,IF(Atletas!O399="Sun E",327,IF(Atletas!O399="Wu E",328,IF(Atletas!O399="Wu-Hao E",329,IF(Atletas!O399="Outro Taijiquan E",330,IF(Atletas!O399="Yang F",331,IF(Atletas!O399="Chen F",332,IF(Atletas!O399="Sun F",333,IF(Atletas!O399="Wu F",334,IF(Atletas!O399="Wu-Hao F",335,IF(Atletas!O399="Outro Taijiquan F",336,"")))))))))))))))))))))))))))))))))))))</f>
        <v/>
      </c>
      <c r="BW408" s="50" t="str">
        <f>IF(Atletas!P399="","",IF(Atletas!X399&lt;&gt;"",10000,0)+IF(Atletas!B399="Feminino",1000,IF(Atletas!B399="Masculino",2000,""))+IF(OR(Atletas!P399="Yang 26 A",Atletas!P399="Yang 40 A"),401,IF(OR(Atletas!P399="Chen 25 A",Atletas!P399="Chen 36 A",Atletas!P399="Chen 56 A"),402,IF(Atletas!P399="Sun 73 A",403,IF(Atletas!P399="Wu 45 A",404,IF(Atletas!P399="Wu-Hao 46 A",405,IF(OR(Atletas!P399="Taijiquan 16 A",Atletas!P399="Taijiquan 24 A",Atletas!P399="Taijiquan 32 A",Atletas!P399="Taijiquan 42 A"),406,IF(OR(Atletas!P399="Yang 26 B",Atletas!P399="Yang 40 B"),407,IF(OR(Atletas!P399="Chen 25 B",Atletas!P399="Chen 36 B",Atletas!P399="Chen 56 B"),408,IF(Atletas!P399="Sun 73 B",409,IF(Atletas!P399="Wu 45 B",410,IF(Atletas!P399="Wu-Hao 46 B",411,IF(OR(Atletas!P399="Taijiquan 16 B",Atletas!P399="Taijiquan 24 B",Atletas!P399="Taijiquan 32 B",Atletas!P399="Taijiquan 42 B"),412,IF(OR(Atletas!P399="Yang 26 C",Atletas!P399="Yang 40 C"),413,IF(OR(Atletas!P399="Chen 25 C",Atletas!P399="Chen 36 C",Atletas!P399="Chen 56 C"),414,IF(Atletas!P399="Sun 73 C",415,IF(Atletas!P399="Wu 45 C",416,IF(Atletas!P399="Wu-Hao 46 C",417,IF(OR(Atletas!P399="Taijiquan 16 C",Atletas!P399="Taijiquan 24 C",Atletas!P399="Taijiquan 32 C",Atletas!P399="Taijiquan 42 C"),418,0)))))))))))))))))))</f>
        <v/>
      </c>
      <c r="BX408" s="50" t="str">
        <f>IF(Atletas!P399="","",IF(Atletas!X399&lt;&gt;"",10000,0)+IF(Atletas!B399="Feminino",1000,IF(Atletas!B399="Masculino",2000,""))+IF(OR(Atletas!P399="Yang 26 D",Atletas!P399="Yang 40 D"),419,IF(OR(Atletas!P399="Chen 25 D",Atletas!P399="Chen 36 D",Atletas!P399="Chen 56 D"),420,IF(Atletas!P399="Sun 73 D",421,IF(Atletas!P399="Wu 45 D",422,IF(Atletas!P399="Wu-Hao 46 D",423,IF(OR(Atletas!P399="Taijiquan 16 D",Atletas!P399="Taijiquan 24 D",Atletas!P399="Taijiquan 32 D",Atletas!P399="Taijiquan 42 D"),424,IF(OR(Atletas!P399="Yang 26 E",Atletas!P399="Yang 40 E"),425,IF(OR(Atletas!P399="Chen 25 E",Atletas!P399="Chen 36 E",Atletas!P399="Chen 56 E"),426,IF(Atletas!P399="Sun 73 E",427,IF(Atletas!P399="Wu 45 E",428,IF(Atletas!P399="Wu-Hao 46 E",429,IF(OR(Atletas!P399="Taijiquan 16 E",Atletas!P399="Taijiquan 24 E",Atletas!P399="Taijiquan 32 E",Atletas!P399="Taijiquan 42 E"),430,IF(OR(Atletas!P399="Yang 26 F",Atletas!P399="Yang 40 F"),431,IF(OR(Atletas!P399="Chen 25 F",Atletas!P399="Chen 36 F",Atletas!P399="Chen 56 F"),432,IF(Atletas!P399="Sun 73 F",433,IF(Atletas!P399="Wu 45 F",434,IF(Atletas!P399="Wu-Hao 46 F",435,IF(OR(Atletas!P399="Taijiquan 16 F",Atletas!P399="Taijiquan 24 F",Atletas!P399="Taijiquan 32 F",Atletas!P399="Taijiquan 42 F"),436,0)))))))))))))))))))</f>
        <v/>
      </c>
      <c r="BY408" s="50" t="str">
        <f>IF(Atletas!Q399="","",IF(Atletas!X399&lt;&gt;"",10000,0)+IF(Atletas!B399="Feminino",1000,IF(Atletas!B399="Masculino",2000,""))+IF(Atletas!Q399="Xingyiquan A",501,IF(Atletas!Q399="Baguazhang A",502,IF(Atletas!Q399="Outro Estilo Interno A",503,IF(Atletas!Q399="Xingyiquan B",504,IF(Atletas!Q399="Baguazhang B",505,IF(Atletas!Q399="Outro Estilo Interno B",506,IF(Atletas!Q399="Xingyiquan C",507,IF(Atletas!Q399="Baguazhang C",508,IF(Atletas!Q399="Outro Estilo Interno C",509,IF(Atletas!Q399="Xingyiquan D",510,IF(Atletas!Q399="Baguazhang D",511,IF(Atletas!Q399="Outro Estilo Interno D",512,IF(Atletas!Q399="Xingyiquan E",513,IF(Atletas!Q399="Baguazhang E",514,IF(Atletas!Q399="Outro Estilo Interno E",515,IF(Atletas!Q399="Xingyiquan F",516,IF(Atletas!Q399="Baguazhang F",517,IF(Atletas!Q399="Outro Estilo Interno F",518, "")))))))))))))))))))</f>
        <v/>
      </c>
      <c r="BZ408" s="50" t="str">
        <f>IF(Atletas!R399="","",IF(Atletas!X399&lt;&gt;"",10000,0)+IF(Atletas!B399="Feminino",1000,IF(Atletas!B399="Masculino",2000,""))+IF(Atletas!R399="Dao A",601,IF(Atletas!R399="Jian A",602,IF(Atletas!R399="Bishou A",603,IF(Atletas!R399="Shanzi A",604,IF(Atletas!R399="Outra Arma Curta A",605,IF(Atletas!R399="Dao B",606,IF(Atletas!R399="Jian B",607,IF(Atletas!R399="Bishou B",608,IF(Atletas!R399="Shanzi B",609,IF(Atletas!R399="Outra Arma Curta B",610,IF(Atletas!R399="Dao C",611,IF(Atletas!R399="Jian C",612,IF(Atletas!R399="Bishou C",613,IF(Atletas!R399="Shanzi C",614,IF(Atletas!R399="Outra Arma Curta C",615,IF(Atletas!R399="Dao D",616,IF(Atletas!R399="Jian D",617,IF(Atletas!R399="Bishou D",618,IF(Atletas!R399="Shanzi D",619,IF(Atletas!R399="Outra Arma Curta D",620,IF(Atletas!R399="Dao E",621,IF(Atletas!R399="Jian E",622,IF(Atletas!R399="Bishou E",623,IF(Atletas!R399="Shanzi E",624,IF(Atletas!R399="Outra Arma Curta E",625,IF(Atletas!R399="Dao F",626,IF(Atletas!R399="Jian F",627,IF(Atletas!R399="Bishou F",628,IF(Atletas!R399="Shanzi F",629,IF(Atletas!R399="Outra Arma Curta F",630, "")))))))))))))))))))))))))))))))</f>
        <v/>
      </c>
      <c r="CA408" s="50" t="str">
        <f>IF(Atletas!S399="","",IF(Atletas!X399&lt;&gt;"",10000,0)+IF(Atletas!B399="Feminino",1000,IF(Atletas!B399="Masculino",2000,""))+IF(Atletas!S399="Gun A",701,IF(Atletas!S399="Qiang A",702,IF(Atletas!S399="Pudao / Guandao A",703,IF(Atletas!S399="Outra Arma Longa A",704,IF(Atletas!S399="Gun B",705,IF(Atletas!S399="Qiang B",706,IF(Atletas!S399="Pudao / Guandao B",707,IF(Atletas!S399="Outra Arma Longa B",708,IF(Atletas!S399="Gun C",709,IF(Atletas!S399="Qiang C",710,IF(Atletas!S399="Pudao / Guandao C",711,IF(Atletas!S399="Outra Arma Longa C",712,IF(Atletas!S399="Gun D",713,IF(Atletas!S399="Qiang D",714,IF(Atletas!S399="Pudao / Guandao D",715,IF(Atletas!S399="Outra Arma Longa D",716,IF(Atletas!S399="Gun E",717,IF(Atletas!S399="Qiang E",718,IF(Atletas!S399="Pudao / Guandao E",719,IF(Atletas!S399="Outra Arma Longa E",720,IF(Atletas!S399="Gun F",721,IF(Atletas!S399="Qiang F",722,IF(Atletas!S399="Pudao / Guandao F",723,IF(Atletas!S399="Outra Arma Longa F",724,"")))))))))))))))))))))))))</f>
        <v/>
      </c>
      <c r="CB408" s="50" t="str">
        <f>IF(Atletas!T399="","",IF(Atletas!X399&lt;&gt;"",10000,0)+IF(Atletas!B399="Feminino",1000,IF(Atletas!B399="Masculino",2000,""))+IF(Atletas!T399="Outra Arma Dupla A",801,IF(Atletas!T399="Arma Maleável A",802,IF(Atletas!T399="Outra Arma Dupla B",803,IF(Atletas!T399="Arma Maleável B",804,IF(Atletas!T399="Outra Arma Dupla C",805,IF(Atletas!T399="Arma Maleável C",806,IF(Atletas!T399="Outra Arma Dupla D",807,IF(Atletas!T399="Arma Maleável D",808,IF(Atletas!T399="Outra Arma Dupla E",809,IF(Atletas!T399="Arma Maleável E",810,IF(Atletas!T399="Outra Arma Dupla F",811,IF(Atletas!T399="Arma Maleável F",812,IF(Atletas!T399="Shuangdao A",813,IF(Atletas!T399="Shuangdao B",814,IF(Atletas!T399="Shuangdao C",815,IF(Atletas!T399="Shuangdao D",816,IF(Atletas!T399="Shuangdao E",817,IF(Atletas!T399="Shuangdao F",818,"")))))))))))))))))))</f>
        <v/>
      </c>
      <c r="CC408" s="50" t="str">
        <f>IF(Atletas!U399="","",IF(Atletas!X399&lt;&gt;"",10000,0)+IF(Atletas!B399="Feminino",1000,IF(Atletas!B399="Masculino",2000,""))+IF(OR(Atletas!U399="Taijijian Yang A",Atletas!U399="Taijijian Yang Standard A"),901,IF(OR(Atletas!U399="Taijijian Chen A", Atletas!U399="Taijijian Chen Standard A"),902,IF(Atletas!U399="Taijijian Sun A",903,IF(Atletas!U399="Taijijian Wu A",904,IF(Atletas!U399="Taijijian Wu-Hao A",905,IF(OR(Atletas!U399="Taijijian 32 A",Atletas!U399="Taijijian 42 A"),906,IF(OR(Atletas!U399="Taijijian Yang B",Atletas!U399="Taijijian Yang Standard B"),907,IF(OR(Atletas!U399="Taijijian Chen B", Atletas!U399="Taijijian Chen Standard B"),908,IF(Atletas!U399="Taijijian Sun B",909,IF(Atletas!U399="Taijijian Wu B",910,IF(Atletas!U399="Taijijian Wu-Hao B",911,IF(OR(Atletas!U399="Taijijian 32 B",Atletas!U399="Taijijian 42 B"),912,IF(OR(Atletas!U399="Taijijian Yang C",Atletas!U399="Taijijian Yang Standard C"),913,IF(OR(Atletas!U399="Taijijian Chen C", Atletas!U399="Taijijian Chen Standard C"),914,IF(Atletas!U399="Taijijian Sun C",915,IF(Atletas!U399="Taijijian Wu C",916,IF(Atletas!U399="Taijijian Wu-Hao C",917,IF(OR(Atletas!U399="Taijijian 32 C",Atletas!U399="Taijijian 42 C"),918,IF(OR(Atletas!U399="Taijijian Yang D",Atletas!U399="Taijijian Yang Standard D"),919,IF(OR(Atletas!U399="Taijijian Chen D", Atletas!U399="Taijijian Chen Standard D"),920,IF(Atletas!U399="Taijijian Sun D",921,IF(Atletas!U399="Taijijian Wu D",922,IF(Atletas!U399="Taijijian Wu-Hao D",923,IF(OR(Atletas!U399="Taijijian 32 D",Atletas!U399="Taijijian 42 D"),924,IF(OR(Atletas!U399="Taijijian Yang E",Atletas!U399="Taijijian Yang Standard E"),925,IF(OR(Atletas!U399="Taijijian Chen E", Atletas!U399="Taijijian Chen Standard E"),926,IF(Atletas!U399="Taijijian Sun E",927,IF(Atletas!U399="Taijijian Wu E",928,IF(Atletas!U399="Taijijian Wu-Hao E",929,IF(OR(Atletas!U399="Taijijian 32 E",Atletas!U399="Taijijian 42 E"),930,IF(OR(Atletas!U399="Taijijian Yang F",Atletas!U399="Taijijian Yang Standard F"),931,IF(OR(Atletas!U399="Taijijian Chen F", Atletas!U399="Taijijian Chen Standard F"),932,IF(Atletas!U399="Taijijian Sun F",933,IF(Atletas!U399="Taijijian Wu F",934,IF(Atletas!U399="Taijijian Wu-Hao F",935,IF(OR(Atletas!U399="Taijijian 32 F",Atletas!U399="Taijijian 42 F"),936,"")))))))))))))))))))))))))))))))))))))</f>
        <v/>
      </c>
      <c r="CD408" s="50" t="str">
        <f>IF(Atletas!V399="","",IF(Atletas!X399&lt;&gt;"",10000,0)+IF(Atletas!B399="Feminino",1000,IF(Atletas!B399="Masculino",2000,""))+IF(Atletas!V399="Taijidao A",937,IF(Atletas!V399="TaijiShanzi A",938,IF(Atletas!V399="Taijiqiang A",939,IF(Atletas!V399="Bagua de Arma A",940,IF(Atletas!V399="Xingyi de Arma A",941,IF(Atletas!V399="Taijidao B",942,IF(Atletas!V399="TaijiShanzi B",943,IF(Atletas!V399="Taijiqiang B",944,IF(Atletas!V399="Bagua de Arma B",945,IF(Atletas!V399="Xingyi de Arma B",946,IF(Atletas!V399="Taijidao C",947,IF(Atletas!V399="TaijiShanzi C",948,IF(Atletas!V399="Taijiqiang C",949,IF(Atletas!V399="Bagua de Arma C",950,IF(Atletas!V399="Xingyi de Arma C",951,IF(Atletas!V399="Taijidao D",952,IF(Atletas!V399="TaijiShanzi D",953,IF(Atletas!V399="Taijiqiang D",954,IF(Atletas!V399="Bagua de Arma D",955,IF(Atletas!V399="Xingyi de Arma D",956,IF(Atletas!V399="Taijidao E",957,IF(Atletas!V399="TaijiShanzi E",958,IF(Atletas!V399="Taijiqiang E",959,IF(Atletas!V399="Bagua de Arma E",960,IF(Atletas!V399="Xingyi de Arma E",961,IF(Atletas!V399="Taijidao F",962,IF(Atletas!V399="TaijiShanzi F",963,IF(Atletas!V399="Taijiqiang F",964,IF(Atletas!V399="Bagua de Arma F",965,IF(Atletas!V399="Xingyi de Arma F",966,"")))))))))))))))))))))))))))))))</f>
        <v/>
      </c>
      <c r="CJ408" s="66"/>
      <c r="CL408" s="66"/>
      <c r="CM408" s="50" t="str">
        <f xml:space="preserve"> IF(Atletas!W399="","",IF(Atletas!W399="Duilian de Mãos BC - Equipe 1",1,IF(Atletas!W399="Duilian de Mãos BC - Equipe 2",2,IF(Atletas!W399="Duilian de Armas BC - Equipe 1",3,IF(Atletas!W399="Duilian de Armas BC - Equipe 2",4,IF(Atletas!W399="Duilian de Mãos DE - Equipe 1",5,IF(Atletas!W399="Duilian de Mãos DE - Equipe 2",6,IF(Atletas!W399="Duilian de Armas DE - Equipe 1",7,IF(Atletas!W399="Duilian de Armas DE - Equipe 2",8,IF(Atletas!W399="Duilian de Tuishou - Equipe 1",9,IF(Atletas!W399="Duilian de Tuishou - Equipe 2",10,IF(Atletas!W399="Grupo Externo ABC - Equipe 1",11,IF(Atletas!W399="Grupo Externo ABC - Equipe 2",12,IF(Atletas!W399="Grupo Interno ABC - Equipe 1",13,IF(Atletas!W399="Grupo Interno ABC - Equipe 2",14,IF(Atletas!W399="Grupo Externo DEF - Equipe 1",15,IF(Atletas!W399="Grupo Externo DEF - Equipe 2",16,IF(Atletas!W399="Grupo Interno DEF - Equipe 1",17,IF(Atletas!W399="Grupo Interno DEF - Equipe 2",18,"")))))))))))))))))))</f>
        <v/>
      </c>
    </row>
    <row r="409" spans="40:91">
      <c r="AN409" s="52" t="str">
        <f>IF(Atletas!D400="","",IF(Atletas!B400="Feminino",100,IF(Atletas!B400="Masculino",200,""))+(IF(Atletas!D400="Kids 30kg",1,IF(Atletas!D400="Kids 32kg",2, IF(Atletas!D400="Kids 34kg",3,IF(Atletas!D400="Kids 36kg",4,IF(Atletas!D400="Kids 39kg",5,IF(Atletas!D400="Kids 42kg",6,IF(Atletas!D400="Kids 45kg",7, IF(Atletas!D400="Infantil 39kg",8,IF(Atletas!D400="Infantil 42kg",9,IF(Atletas!D400="Infantil 45kg",10,IF(Atletas!D400="Infantil 48kg",11,IF(Atletas!D400="Infantil 52kg",12,IF(Atletas!D400="Infantil 56kg",13,IF(Atletas!D400="Infantil 60kg",14,IF(Atletas!D400="Juvenil 48kg",15,IF(Atletas!D400="Juvenil 52kg",16,IF(Atletas!D400="Juvenil 56kg",17,IF(Atletas!D400="Juvenil 60kg",18,IF(Atletas!D400="Juvenil 65kg",19,IF(Atletas!D400="Juvenil 70kg",20,IF(Atletas!D400="Juvenil 75kg",21,IF(Atletas!D400="Juvenil 80kg",22, IF(Atletas!D400="Juvenil 85kg",23,IF(Atletas!D400="Adulto 48kg",24,IF(Atletas!D400="Adulto 52kg",25,IF(Atletas!D400="Adulto 56kg",26,IF(Atletas!D400="Adulto 60kg",27,IF(Atletas!D400="Adulto 65kg",28,IF(Atletas!D400="Adulto 70kg",29,IF(Atletas!D400="Adulto 75kg",30,IF(Atletas!D400="Adulto 80kg",31,IF(Atletas!D400="Adulto 85kg",32,IF(Atletas!D400="Adulto 90kg",33,IF(Atletas!D400="Adulto 100kg",34, IF(Atletas!D400="Adulto +100kg",35,"")))))))))))))))))))))))))))))))))))))</f>
        <v/>
      </c>
      <c r="AS409" s="6" t="str">
        <f>IF(Atletas!E400="","",IF(Atletas!B400="Feminino",100,IF(Atletas!B400="Masculino",200,""))+(IF(Atletas!E400="Juvenil 44kg",1,IF(Atletas!E400="Juvenil 48kg",2,IF(Atletas!E400="Juvenil 52kg",3,IF(Atletas!E400="Juvenil 56kg",4,IF(Atletas!E400="Juvenil 60kg",5,IF(Atletas!E400="Juvenil 65kg",6,IF(Atletas!E400="Juvenil 70kg",7,IF(Atletas!E400="Juvenil 75kg",8,IF(Atletas!E400="Juvenil 82kg",9,IF(Atletas!E400="Juvenil 90kg",10,IF(Atletas!E400="Juvenil 100kg",11,IF(Atletas!E400="Adulto 48kg",12,IF(Atletas!E400="Adulto 52kg",13,IF(Atletas!E400="Adulto 56kg",14,IF(Atletas!E400="Adulto 60kg",15,IF(Atletas!E400="Adulto 65kg",16,IF(Atletas!E400="Adulto 70kg",17,IF(Atletas!E400="Adulto 75kg",18,IF(Atletas!E400="Adulto 82kg",19,IF(Atletas!E400="Adulto 90kg",20,IF(Atletas!E400="Adulto 100kg",21,IF(Atletas!E400="Adulto +100kg",22,""))))))))))))))))))))))))</f>
        <v/>
      </c>
      <c r="AX409" s="6" t="str">
        <f>IF(Atletas!F400="","",IF(Atletas!B400="Feminino",100,IF(Atletas!B400="Masculino",200,""))+(IF(Atletas!F400="Adulto 48kg",1,IF(Atletas!F400="Adulto 56kg",2,IF(Atletas!F400="Adulto 65kg",3,IF(Atletas!F400="Adulto 75kg",4,IF(Atletas!F400="Adulto +75kg",5,IF(Atletas!F400="Adulto 52kg",6,IF(Atletas!F400="Adulto 60kg",7,IF(Atletas!F400="Adulto 70kg",8,IF(Atletas!F400="Adulto 80kg",9,IF(Atletas!F400="Adulto 90kg",10,IF(Atletas!F400="Adulto +90kg",11,"")))))))))))))</f>
        <v/>
      </c>
      <c r="BC409" s="6" t="str">
        <f>IF(Atletas!G400="","",IF(Atletas!B400="Feminino",10,IF(Atletas!B400="Masculino",20,""))+(IF(Atletas!G400="Baduanjin A",1,IF(Atletas!G400="Baduanjin B",2))))</f>
        <v/>
      </c>
      <c r="BF409" s="52" t="str">
        <f>IF(Atletas!H400="","",IF(Atletas!B400="Feminino",100,IF(Atletas!B400="Masculino",200,""))+(IF(Atletas!H400="Changquan Mirim",1,IF(Atletas!H400="Nanquan Mirim",2,IF(Atletas!H400="Taijiquan Mirim",3,IF(Atletas!H400="Changquan Grupo C",4,IF(Atletas!H400="Nanquan Grupo C",5,IF(Atletas!H400="Taijiquan Grupo C",6,IF(Atletas!H400="Changquan Grupo B",7,IF(Atletas!H400="Nanquan Grupo B",8,IF(Atletas!H400="Taijiquan Grupo B",9,IF(Atletas!H400="Changquan Grupo A",10,IF(Atletas!H400="Nanquan Grupo A",11,IF(Atletas!H400="Taijiquan Grupo A",12,IF(Atletas!H400="Changquan Opcional",13,IF(Atletas!H400="Nanquan Opcional",14,IF(Atletas!H400="Taijiquan Opcional",15,IF(Atletas!H400="Changquan Adulto",16,IF(Atletas!H400="Nanquan Adulto",17,IF(Atletas!H400="Taijiquan Adulto",18,""))))))))))))))))))))</f>
        <v/>
      </c>
      <c r="BG409" s="52" t="str">
        <f>IF(Atletas!I400="","",IF(Atletas!B400="Feminino",100,IF(Atletas!B400="Masculino",200,""))+(IF(Atletas!I400="Daoshu Mirim",19,IF(Atletas!I400="Jianshu Mirim",20,IF(Atletas!I400="Nandao Mirim",21,IF(Atletas!I400="Taijijian Mirim",22,IF(Atletas!I400="Daoshu Grupo C",23,IF(Atletas!I400="Jianshu Grupo C",24,IF(Atletas!I400="Nandao Grupo C",25,IF(Atletas!I400="Taijijian Grupo C",26,IF(Atletas!I400="Daoshu Grupo B",27,IF(Atletas!I400="Jianshu Grupo B",28,IF(Atletas!I400="Nandao Grupo B",29,IF(Atletas!I400="Taijijian Grupo B",30,IF(Atletas!I400="Daoshu Grupo A",31,IF(Atletas!I400="Jianshu Grupo A",32,IF(Atletas!I400="Nandao Grupo A",33,IF(Atletas!I400="Taijijian Grupo A",34,IF(Atletas!I400="Daoshu Opcional",35,IF(Atletas!I400="Jianshu Opcional",36,IF(Atletas!I400="Nandao Opcional",37,IF(Atletas!I400="Taijijian Opcional",38,IF(Atletas!I400="Daoshu Adulto",39,IF(Atletas!I400="Jianshu Adulto",40,IF(Atletas!I400="Nandao Adulto",41,IF(Atletas!I400="Taijijian Adulto",42,""))))))))))))))))))))))))))</f>
        <v/>
      </c>
      <c r="BH409" s="52" t="str">
        <f>IF(Atletas!J400="","",IF(Atletas!B400="Feminino",100,IF(Atletas!B400="Masculino",200,""))+(IF(Atletas!J400="Gunshu Mirim",43,IF(Atletas!J400="Qiangshu Mirim",44,IF(Atletas!J400="Nangun Mirim",45,IF(Atletas!J400="Gunshu Grupo C",46,IF(Atletas!J400="Qiangshu Grupo C",47,IF(Atletas!J400="Nangun Grupo C",48,IF(Atletas!J400="Gunshu Grupo B",49,IF(Atletas!J400="Qiangshu Grupo B",50,IF(Atletas!J400="Nangun Grupo B",51,IF(Atletas!J400="Gunshu Grupo A",52,IF(Atletas!J400="Qiangshu Grupo A",53,IF(Atletas!J400="Nangun Grupo A",54,IF(Atletas!J400="Gunshu Opcional",55,IF(Atletas!J400="Qiangshu Opcional",56,IF(Atletas!J400="Nangun Opcional",57,IF(Atletas!J400="Gunshu Adulto",58,IF(Atletas!J400="Qiangshu Adulto",59,IF(Atletas!J400="Nangun Adulto",60,IF(Atletas!J400="Taijishan Grupo B",61,IF(Atletas!J400="Taijishan Grupo A",62,""))))))))))))))))))))))</f>
        <v/>
      </c>
      <c r="BM409" s="50" t="str">
        <f>IF(Atletas!K400="","",IF(Atletas!B400="Feminino",100,IF(Atletas!B400="Masculino",200,""))+(IF(Atletas!K400="Equipe 1 Grupo B",1,IF(Atletas!K400="Equipe 2 Grupo B",2,IF(Atletas!K400="Equipe 1 Grupo A",3,IF(Atletas!K400="Equipe 2 Grupo A",4,IF(Atletas!K400="Equipe 1 Adulto",5,IF(Atletas!K400="Equipe 2 Adulto",6,""))))))))</f>
        <v/>
      </c>
      <c r="BR409" s="50" t="str">
        <f>IF(Atletas!L400="","",IF(Atletas!X400&lt;&gt;"",10000,0)+(IF(Atletas!B400="Feminino",1000,IF(Atletas!B400="Masculino",2000,""))+IF(Atletas!L400="Choylayfut A",1,IF(Atletas!L400="Hunggar A",2,IF(Atletas!L400="Wuzuquan A",3,IF(Atletas!L400="Wingchun A",4,IF(Atletas!L400="Outra Mão de Sul A",5,IF(Atletas!L400="Choylayfut B",6,IF(Atletas!L400="Hunggar B",7,IF(Atletas!L400="Wuzuquan B",8,IF(Atletas!L400="Wingchun B",9,IF(Atletas!L400="Outra Mão de Sul B",10,IF(Atletas!L400="Choylayfut C",11,IF(Atletas!L400="Hunggar C",12,IF(Atletas!L400="Wuzuquan C",13,IF(Atletas!L400="Wingchun C",14,IF(Atletas!L400="Outra Mão de Sul C",15,IF(Atletas!L400="Choylayfut D",16,IF(Atletas!L400="Hunggar D",17,IF(Atletas!L400="Wuzuquan D",18,IF(Atletas!L400="Wingchun D",19,IF(Atletas!L400="Outra Mão de Sul D",20,IF(Atletas!L400="Choylayfut E",21,IF(Atletas!L400="Hunggar E",22,IF(Atletas!L400="Wuzuquan E",23,IF(Atletas!L400="Wingchun E",24,IF(Atletas!L400="Outra Mão de Sul E",25,IF(Atletas!L400="Choylayfut F",26,IF(Atletas!L400="Hunggar F",27,IF(Atletas!L400="Wuzuquan F",28,IF(Atletas!L400="Wingchun F",29,IF(Atletas!L400="Outra Mão de Sul F",30,IF(Atletas!L400="Dishuquan A",31,IF(Atletas!L400="Dishuquan B",32,IF(Atletas!L400="Dishuquan C",33,IF(Atletas!L400="Dishuquan D",34,IF(Atletas!L400="Dishuquan E",35,IF(Atletas!L400="Dishuquan F",36,""))))))))))))))))))))))))))))))))))))))</f>
        <v/>
      </c>
      <c r="BS409" s="50" t="str">
        <f>IF(Atletas!M400="","",IF(Atletas!X400&lt;&gt;"",10000,0)+(IF(Atletas!B400="Feminino",1000,IF(Atletas!B400="Masculino",2000,""))+(IF(Atletas!M400="Chaquan A",101,IF(Atletas!M400="Emeiquan A",102,IF(Atletas!M400="Fanziquan A",103,IF(Atletas!M400="Huaquan A",104,IF(Atletas!M400="Hongquan A",105,IF(Atletas!M400="Paoquan A",106,IF(Atletas!M400="Piguaquan A",107,IF(Atletas!M400="Shaolinquan A",108,IF(Atletas!M400="Tanglangquan A",109,IF(Atletas!M400="Yingzhaoquan A",110,IF(Atletas!M400="Tongbeiquan A",111,IF(Atletas!M400="Wudangquan A",112,IF(Atletas!M400="Outros Estilos A",113,IF(Atletas!M400="Chaquan B",114,IF(Atletas!M400="Emeiquan B",115,IF(Atletas!M400="Fanziquan B",116,IF(Atletas!M400="Huaquan B",117,IF(Atletas!M400="Hongquan B",118,IF(Atletas!M400="Paoquan B",119,IF(Atletas!M400="Piguaquan B",120,IF(Atletas!M400="Shaolinquan B",121,IF(Atletas!M400="Tanglangquan B",122,IF(Atletas!M400="Yingzhaoquan B",123,IF(Atletas!M400="Tongbeiquan B",124,IF(Atletas!M400="Wudangquan B",125,IF(Atletas!M400="Outros Estilos B",126,IF(Atletas!M400="Chaquan C",127,IF(Atletas!M400="Emeiquan C",128,IF(Atletas!M400="Fanziquan C",129,IF(Atletas!M400="Huaquan C",130,IF(Atletas!M400="Hongquan C",131,IF(Atletas!M400="Paoquan C",132,IF(Atletas!M400="Piguaquan C",133,IF(Atletas!M400="Shaolinquan C",134,IF(Atletas!M400="Tanglangquan C",135,IF(Atletas!M400="Yingzhaoquan C",136,IF(Atletas!M400="Tongbeiquan C",137,IF(Atletas!M400="Wudangquan C",138,IF(Atletas!M400="Outros Estilos C",139,0))))))))))))))))))))))))))))))))))))))))))</f>
        <v/>
      </c>
      <c r="BT409" s="50" t="str">
        <f>IF(Atletas!M400="","",IF(Atletas!X400&lt;&gt;"",10000,0)+(IF(Atletas!B400="Feminino",1000,IF(Atletas!B400="Masculino",2000,""))+(IF(Atletas!M400="Chaquan D",140,IF(Atletas!M400="Emeiquan D",141,IF(Atletas!M400="Fanziquan D",142,IF(Atletas!M400="Huaquan D",143,IF(Atletas!M400="Hongquan D",144,IF(Atletas!M400="Paoquan D",145,IF(Atletas!M400="Piguaquan D",146,IF(Atletas!M400="Shaolinquan D",147,IF(Atletas!M400="Tanglangquan D",148,IF(Atletas!M400="Yingzhaoquan D",149,IF(Atletas!M400="Tongbeiquan D",150,IF(Atletas!M400="Wudangquan D",151,IF(Atletas!M400="Outros Estilos D",152,IF(Atletas!M400="Chaquan E",153,IF(Atletas!M400="Emeiquan E",154,IF(Atletas!M400="Fanziquan E",155,IF(Atletas!M400="Huaquan E",156,IF(Atletas!M400="Hongquan E",157,IF(Atletas!M400="Paoquan E",158,IF(Atletas!M400="Piguaquan E",159,IF(Atletas!M400="Shaolinquan E",160,IF(Atletas!M400="Tanglangquan E",161,IF(Atletas!M400="Yingzhaoquan E",162,IF(Atletas!M400="Tongbeiquan E",163,IF(Atletas!M400="Wudangquan E",164,IF(Atletas!M400="Outros Estilos E",165,IF(Atletas!M400="Chaquan F",166,IF(Atletas!M400="Emeiquan F",167,IF(Atletas!M400="Fanziquan F",168,IF(Atletas!M400="Huaquan F",169,IF(Atletas!M400="Hongquan F",170,IF(Atletas!M400="Paoquan F",171,IF(Atletas!M400="Piguaquan F",172,IF(Atletas!M400="Shaolinquan F",173,IF(Atletas!M400="Tanglangquan F",174,IF(Atletas!M400="Yingzhaoquan F",175,IF(Atletas!M400="Tongbeiquan F",176,IF(Atletas!M400="Wudangquan F",177,IF(Atletas!M400="Outros Estilos F",178,0))))))))))))))))))))))))))))))))))))))))))</f>
        <v/>
      </c>
      <c r="BU409" s="50" t="str">
        <f>IF(Atletas!N400="","",IF(Atletas!X400&lt;&gt;"",10000,0)+(IF(Atletas!B400="Feminino",1000,IF(Atletas!B400="Masculino",2000,""))+(IF(Atletas!N400="Ditangquan A",201,IF(Atletas!N400="Houquan A",202,IF(Atletas!N400="Zuiquan A",203,IF(Atletas!N400="Ditangquan B",204,IF(Atletas!N400="Houquan B",205,IF(Atletas!N400="Zuiquan B",206,IF(Atletas!N400="Ditangquan C",207,IF(Atletas!N400="Houquan C",208,IF(Atletas!N400="Zuiquan C",209,IF(Atletas!N400="Ditangquan D",210,IF(Atletas!N400="Houquan D",211,IF(Atletas!N400="Zuiquan D",212,IF(Atletas!N400="Ditangquan E",213,IF(Atletas!N400="Houquan E",214,IF(Atletas!N400="Zuiquan E",215,IF(Atletas!N400="Ditangquan F",216,IF(Atletas!N400="Houquan F",217,IF(Atletas!N400="Zuiquan F",218,"")))))))))))))))))))))</f>
        <v/>
      </c>
      <c r="BV409" s="50" t="str">
        <f>IF(Atletas!O400="","",IF(Atletas!X400&lt;&gt;"",10000,0)+IF(Atletas!B400="Feminino",1000,IF(Atletas!B400="Masculino",2000,""))+IF(Atletas!O400="Yang A",301,IF(Atletas!O400="Chen A",302,IF(Atletas!O400="Sun A",303,IF(Atletas!O400="Wu A",304,IF(Atletas!O400="Wu-Hao A",305,IF(Atletas!O400="Outro Taijiquan A",306,IF(Atletas!O400="Yang B",307,IF(Atletas!O400="Chen B",308,IF(Atletas!O400="Sun B",309,IF(Atletas!O400="Wu B",310,IF(Atletas!O400="Wu-Hao B",311,IF(Atletas!O400="Outro Taijiquan B",312,IF(Atletas!O400="Yang C",313,IF(Atletas!O400="Chen C",314,IF(Atletas!O400="Sun C",315,IF(Atletas!O400="Wu C",316,IF(Atletas!O400="Wu-Hao C",317,IF(Atletas!O400="Outro Taijiquan C",318,IF(Atletas!O400="Yang D",319,IF(Atletas!O400="Chen D",320,IF(Atletas!O400="Sun D",321,IF(Atletas!O400="Wu D",322,IF(Atletas!O400="Wu-Hao D",323,IF(Atletas!O400="Outro Taijiquan D",324,IF(Atletas!O400="Yang E",325,IF(Atletas!O400="Chen E",326,IF(Atletas!O400="Sun E",327,IF(Atletas!O400="Wu E",328,IF(Atletas!O400="Wu-Hao E",329,IF(Atletas!O400="Outro Taijiquan E",330,IF(Atletas!O400="Yang F",331,IF(Atletas!O400="Chen F",332,IF(Atletas!O400="Sun F",333,IF(Atletas!O400="Wu F",334,IF(Atletas!O400="Wu-Hao F",335,IF(Atletas!O400="Outro Taijiquan F",336,"")))))))))))))))))))))))))))))))))))))</f>
        <v/>
      </c>
      <c r="BW409" s="50" t="str">
        <f>IF(Atletas!P400="","",IF(Atletas!X400&lt;&gt;"",10000,0)+IF(Atletas!B400="Feminino",1000,IF(Atletas!B400="Masculino",2000,""))+IF(OR(Atletas!P400="Yang 26 A",Atletas!P400="Yang 40 A"),401,IF(OR(Atletas!P400="Chen 25 A",Atletas!P400="Chen 36 A",Atletas!P400="Chen 56 A"),402,IF(Atletas!P400="Sun 73 A",403,IF(Atletas!P400="Wu 45 A",404,IF(Atletas!P400="Wu-Hao 46 A",405,IF(OR(Atletas!P400="Taijiquan 16 A",Atletas!P400="Taijiquan 24 A",Atletas!P400="Taijiquan 32 A",Atletas!P400="Taijiquan 42 A"),406,IF(OR(Atletas!P400="Yang 26 B",Atletas!P400="Yang 40 B"),407,IF(OR(Atletas!P400="Chen 25 B",Atletas!P400="Chen 36 B",Atletas!P400="Chen 56 B"),408,IF(Atletas!P400="Sun 73 B",409,IF(Atletas!P400="Wu 45 B",410,IF(Atletas!P400="Wu-Hao 46 B",411,IF(OR(Atletas!P400="Taijiquan 16 B",Atletas!P400="Taijiquan 24 B",Atletas!P400="Taijiquan 32 B",Atletas!P400="Taijiquan 42 B"),412,IF(OR(Atletas!P400="Yang 26 C",Atletas!P400="Yang 40 C"),413,IF(OR(Atletas!P400="Chen 25 C",Atletas!P400="Chen 36 C",Atletas!P400="Chen 56 C"),414,IF(Atletas!P400="Sun 73 C",415,IF(Atletas!P400="Wu 45 C",416,IF(Atletas!P400="Wu-Hao 46 C",417,IF(OR(Atletas!P400="Taijiquan 16 C",Atletas!P400="Taijiquan 24 C",Atletas!P400="Taijiquan 32 C",Atletas!P400="Taijiquan 42 C"),418,0)))))))))))))))))))</f>
        <v/>
      </c>
      <c r="BX409" s="50" t="str">
        <f>IF(Atletas!P400="","",IF(Atletas!X400&lt;&gt;"",10000,0)+IF(Atletas!B400="Feminino",1000,IF(Atletas!B400="Masculino",2000,""))+IF(OR(Atletas!P400="Yang 26 D",Atletas!P400="Yang 40 D"),419,IF(OR(Atletas!P400="Chen 25 D",Atletas!P400="Chen 36 D",Atletas!P400="Chen 56 D"),420,IF(Atletas!P400="Sun 73 D",421,IF(Atletas!P400="Wu 45 D",422,IF(Atletas!P400="Wu-Hao 46 D",423,IF(OR(Atletas!P400="Taijiquan 16 D",Atletas!P400="Taijiquan 24 D",Atletas!P400="Taijiquan 32 D",Atletas!P400="Taijiquan 42 D"),424,IF(OR(Atletas!P400="Yang 26 E",Atletas!P400="Yang 40 E"),425,IF(OR(Atletas!P400="Chen 25 E",Atletas!P400="Chen 36 E",Atletas!P400="Chen 56 E"),426,IF(Atletas!P400="Sun 73 E",427,IF(Atletas!P400="Wu 45 E",428,IF(Atletas!P400="Wu-Hao 46 E",429,IF(OR(Atletas!P400="Taijiquan 16 E",Atletas!P400="Taijiquan 24 E",Atletas!P400="Taijiquan 32 E",Atletas!P400="Taijiquan 42 E"),430,IF(OR(Atletas!P400="Yang 26 F",Atletas!P400="Yang 40 F"),431,IF(OR(Atletas!P400="Chen 25 F",Atletas!P400="Chen 36 F",Atletas!P400="Chen 56 F"),432,IF(Atletas!P400="Sun 73 F",433,IF(Atletas!P400="Wu 45 F",434,IF(Atletas!P400="Wu-Hao 46 F",435,IF(OR(Atletas!P400="Taijiquan 16 F",Atletas!P400="Taijiquan 24 F",Atletas!P400="Taijiquan 32 F",Atletas!P400="Taijiquan 42 F"),436,0)))))))))))))))))))</f>
        <v/>
      </c>
      <c r="BY409" s="50" t="str">
        <f>IF(Atletas!Q400="","",IF(Atletas!X400&lt;&gt;"",10000,0)+IF(Atletas!B400="Feminino",1000,IF(Atletas!B400="Masculino",2000,""))+IF(Atletas!Q400="Xingyiquan A",501,IF(Atletas!Q400="Baguazhang A",502,IF(Atletas!Q400="Outro Estilo Interno A",503,IF(Atletas!Q400="Xingyiquan B",504,IF(Atletas!Q400="Baguazhang B",505,IF(Atletas!Q400="Outro Estilo Interno B",506,IF(Atletas!Q400="Xingyiquan C",507,IF(Atletas!Q400="Baguazhang C",508,IF(Atletas!Q400="Outro Estilo Interno C",509,IF(Atletas!Q400="Xingyiquan D",510,IF(Atletas!Q400="Baguazhang D",511,IF(Atletas!Q400="Outro Estilo Interno D",512,IF(Atletas!Q400="Xingyiquan E",513,IF(Atletas!Q400="Baguazhang E",514,IF(Atletas!Q400="Outro Estilo Interno E",515,IF(Atletas!Q400="Xingyiquan F",516,IF(Atletas!Q400="Baguazhang F",517,IF(Atletas!Q400="Outro Estilo Interno F",518, "")))))))))))))))))))</f>
        <v/>
      </c>
      <c r="BZ409" s="50" t="str">
        <f>IF(Atletas!R400="","",IF(Atletas!X400&lt;&gt;"",10000,0)+IF(Atletas!B400="Feminino",1000,IF(Atletas!B400="Masculino",2000,""))+IF(Atletas!R400="Dao A",601,IF(Atletas!R400="Jian A",602,IF(Atletas!R400="Bishou A",603,IF(Atletas!R400="Shanzi A",604,IF(Atletas!R400="Outra Arma Curta A",605,IF(Atletas!R400="Dao B",606,IF(Atletas!R400="Jian B",607,IF(Atletas!R400="Bishou B",608,IF(Atletas!R400="Shanzi B",609,IF(Atletas!R400="Outra Arma Curta B",610,IF(Atletas!R400="Dao C",611,IF(Atletas!R400="Jian C",612,IF(Atletas!R400="Bishou C",613,IF(Atletas!R400="Shanzi C",614,IF(Atletas!R400="Outra Arma Curta C",615,IF(Atletas!R400="Dao D",616,IF(Atletas!R400="Jian D",617,IF(Atletas!R400="Bishou D",618,IF(Atletas!R400="Shanzi D",619,IF(Atletas!R400="Outra Arma Curta D",620,IF(Atletas!R400="Dao E",621,IF(Atletas!R400="Jian E",622,IF(Atletas!R400="Bishou E",623,IF(Atletas!R400="Shanzi E",624,IF(Atletas!R400="Outra Arma Curta E",625,IF(Atletas!R400="Dao F",626,IF(Atletas!R400="Jian F",627,IF(Atletas!R400="Bishou F",628,IF(Atletas!R400="Shanzi F",629,IF(Atletas!R400="Outra Arma Curta F",630, "")))))))))))))))))))))))))))))))</f>
        <v/>
      </c>
      <c r="CA409" s="50" t="str">
        <f>IF(Atletas!S400="","",IF(Atletas!X400&lt;&gt;"",10000,0)+IF(Atletas!B400="Feminino",1000,IF(Atletas!B400="Masculino",2000,""))+IF(Atletas!S400="Gun A",701,IF(Atletas!S400="Qiang A",702,IF(Atletas!S400="Pudao / Guandao A",703,IF(Atletas!S400="Outra Arma Longa A",704,IF(Atletas!S400="Gun B",705,IF(Atletas!S400="Qiang B",706,IF(Atletas!S400="Pudao / Guandao B",707,IF(Atletas!S400="Outra Arma Longa B",708,IF(Atletas!S400="Gun C",709,IF(Atletas!S400="Qiang C",710,IF(Atletas!S400="Pudao / Guandao C",711,IF(Atletas!S400="Outra Arma Longa C",712,IF(Atletas!S400="Gun D",713,IF(Atletas!S400="Qiang D",714,IF(Atletas!S400="Pudao / Guandao D",715,IF(Atletas!S400="Outra Arma Longa D",716,IF(Atletas!S400="Gun E",717,IF(Atletas!S400="Qiang E",718,IF(Atletas!S400="Pudao / Guandao E",719,IF(Atletas!S400="Outra Arma Longa E",720,IF(Atletas!S400="Gun F",721,IF(Atletas!S400="Qiang F",722,IF(Atletas!S400="Pudao / Guandao F",723,IF(Atletas!S400="Outra Arma Longa F",724,"")))))))))))))))))))))))))</f>
        <v/>
      </c>
      <c r="CB409" s="50" t="str">
        <f>IF(Atletas!T400="","",IF(Atletas!X400&lt;&gt;"",10000,0)+IF(Atletas!B400="Feminino",1000,IF(Atletas!B400="Masculino",2000,""))+IF(Atletas!T400="Outra Arma Dupla A",801,IF(Atletas!T400="Arma Maleável A",802,IF(Atletas!T400="Outra Arma Dupla B",803,IF(Atletas!T400="Arma Maleável B",804,IF(Atletas!T400="Outra Arma Dupla C",805,IF(Atletas!T400="Arma Maleável C",806,IF(Atletas!T400="Outra Arma Dupla D",807,IF(Atletas!T400="Arma Maleável D",808,IF(Atletas!T400="Outra Arma Dupla E",809,IF(Atletas!T400="Arma Maleável E",810,IF(Atletas!T400="Outra Arma Dupla F",811,IF(Atletas!T400="Arma Maleável F",812,IF(Atletas!T400="Shuangdao A",813,IF(Atletas!T400="Shuangdao B",814,IF(Atletas!T400="Shuangdao C",815,IF(Atletas!T400="Shuangdao D",816,IF(Atletas!T400="Shuangdao E",817,IF(Atletas!T400="Shuangdao F",818,"")))))))))))))))))))</f>
        <v/>
      </c>
      <c r="CC409" s="50" t="str">
        <f>IF(Atletas!U400="","",IF(Atletas!X400&lt;&gt;"",10000,0)+IF(Atletas!B400="Feminino",1000,IF(Atletas!B400="Masculino",2000,""))+IF(OR(Atletas!U400="Taijijian Yang A",Atletas!U400="Taijijian Yang Standard A"),901,IF(OR(Atletas!U400="Taijijian Chen A", Atletas!U400="Taijijian Chen Standard A"),902,IF(Atletas!U400="Taijijian Sun A",903,IF(Atletas!U400="Taijijian Wu A",904,IF(Atletas!U400="Taijijian Wu-Hao A",905,IF(OR(Atletas!U400="Taijijian 32 A",Atletas!U400="Taijijian 42 A"),906,IF(OR(Atletas!U400="Taijijian Yang B",Atletas!U400="Taijijian Yang Standard B"),907,IF(OR(Atletas!U400="Taijijian Chen B", Atletas!U400="Taijijian Chen Standard B"),908,IF(Atletas!U400="Taijijian Sun B",909,IF(Atletas!U400="Taijijian Wu B",910,IF(Atletas!U400="Taijijian Wu-Hao B",911,IF(OR(Atletas!U400="Taijijian 32 B",Atletas!U400="Taijijian 42 B"),912,IF(OR(Atletas!U400="Taijijian Yang C",Atletas!U400="Taijijian Yang Standard C"),913,IF(OR(Atletas!U400="Taijijian Chen C", Atletas!U400="Taijijian Chen Standard C"),914,IF(Atletas!U400="Taijijian Sun C",915,IF(Atletas!U400="Taijijian Wu C",916,IF(Atletas!U400="Taijijian Wu-Hao C",917,IF(OR(Atletas!U400="Taijijian 32 C",Atletas!U400="Taijijian 42 C"),918,IF(OR(Atletas!U400="Taijijian Yang D",Atletas!U400="Taijijian Yang Standard D"),919,IF(OR(Atletas!U400="Taijijian Chen D", Atletas!U400="Taijijian Chen Standard D"),920,IF(Atletas!U400="Taijijian Sun D",921,IF(Atletas!U400="Taijijian Wu D",922,IF(Atletas!U400="Taijijian Wu-Hao D",923,IF(OR(Atletas!U400="Taijijian 32 D",Atletas!U400="Taijijian 42 D"),924,IF(OR(Atletas!U400="Taijijian Yang E",Atletas!U400="Taijijian Yang Standard E"),925,IF(OR(Atletas!U400="Taijijian Chen E", Atletas!U400="Taijijian Chen Standard E"),926,IF(Atletas!U400="Taijijian Sun E",927,IF(Atletas!U400="Taijijian Wu E",928,IF(Atletas!U400="Taijijian Wu-Hao E",929,IF(OR(Atletas!U400="Taijijian 32 E",Atletas!U400="Taijijian 42 E"),930,IF(OR(Atletas!U400="Taijijian Yang F",Atletas!U400="Taijijian Yang Standard F"),931,IF(OR(Atletas!U400="Taijijian Chen F", Atletas!U400="Taijijian Chen Standard F"),932,IF(Atletas!U400="Taijijian Sun F",933,IF(Atletas!U400="Taijijian Wu F",934,IF(Atletas!U400="Taijijian Wu-Hao F",935,IF(OR(Atletas!U400="Taijijian 32 F",Atletas!U400="Taijijian 42 F"),936,"")))))))))))))))))))))))))))))))))))))</f>
        <v/>
      </c>
      <c r="CD409" s="50" t="str">
        <f>IF(Atletas!V400="","",IF(Atletas!X400&lt;&gt;"",10000,0)+IF(Atletas!B400="Feminino",1000,IF(Atletas!B400="Masculino",2000,""))+IF(Atletas!V400="Taijidao A",937,IF(Atletas!V400="TaijiShanzi A",938,IF(Atletas!V400="Taijiqiang A",939,IF(Atletas!V400="Bagua de Arma A",940,IF(Atletas!V400="Xingyi de Arma A",941,IF(Atletas!V400="Taijidao B",942,IF(Atletas!V400="TaijiShanzi B",943,IF(Atletas!V400="Taijiqiang B",944,IF(Atletas!V400="Bagua de Arma B",945,IF(Atletas!V400="Xingyi de Arma B",946,IF(Atletas!V400="Taijidao C",947,IF(Atletas!V400="TaijiShanzi C",948,IF(Atletas!V400="Taijiqiang C",949,IF(Atletas!V400="Bagua de Arma C",950,IF(Atletas!V400="Xingyi de Arma C",951,IF(Atletas!V400="Taijidao D",952,IF(Atletas!V400="TaijiShanzi D",953,IF(Atletas!V400="Taijiqiang D",954,IF(Atletas!V400="Bagua de Arma D",955,IF(Atletas!V400="Xingyi de Arma D",956,IF(Atletas!V400="Taijidao E",957,IF(Atletas!V400="TaijiShanzi E",958,IF(Atletas!V400="Taijiqiang E",959,IF(Atletas!V400="Bagua de Arma E",960,IF(Atletas!V400="Xingyi de Arma E",961,IF(Atletas!V400="Taijidao F",962,IF(Atletas!V400="TaijiShanzi F",963,IF(Atletas!V400="Taijiqiang F",964,IF(Atletas!V400="Bagua de Arma F",965,IF(Atletas!V400="Xingyi de Arma F",966,"")))))))))))))))))))))))))))))))</f>
        <v/>
      </c>
      <c r="CM409" s="50" t="str">
        <f xml:space="preserve"> IF(Atletas!W400="","",IF(Atletas!W400="Duilian de Mãos BC - Equipe 1",1,IF(Atletas!W400="Duilian de Mãos BC - Equipe 2",2,IF(Atletas!W400="Duilian de Armas BC - Equipe 1",3,IF(Atletas!W400="Duilian de Armas BC - Equipe 2",4,IF(Atletas!W400="Duilian de Mãos DE - Equipe 1",5,IF(Atletas!W400="Duilian de Mãos DE - Equipe 2",6,IF(Atletas!W400="Duilian de Armas DE - Equipe 1",7,IF(Atletas!W400="Duilian de Armas DE - Equipe 2",8,IF(Atletas!W400="Duilian de Tuishou - Equipe 1",9,IF(Atletas!W400="Duilian de Tuishou - Equipe 2",10,IF(Atletas!W400="Grupo Externo ABC - Equipe 1",11,IF(Atletas!W400="Grupo Externo ABC - Equipe 2",12,IF(Atletas!W400="Grupo Interno ABC - Equipe 1",13,IF(Atletas!W400="Grupo Interno ABC - Equipe 2",14,IF(Atletas!W400="Grupo Externo DEF - Equipe 1",15,IF(Atletas!W400="Grupo Externo DEF - Equipe 2",16,IF(Atletas!W400="Grupo Interno DEF - Equipe 1",17,IF(Atletas!W400="Grupo Interno DEF - Equipe 2",18,"")))))))))))))))))))</f>
        <v/>
      </c>
    </row>
    <row r="410" spans="40:91">
      <c r="AN410" s="52" t="str">
        <f>IF(Atletas!D401="","",IF(Atletas!B401="Feminino",100,IF(Atletas!B401="Masculino",200,""))+(IF(Atletas!D401="Kids 30kg",1,IF(Atletas!D401="Kids 32kg",2, IF(Atletas!D401="Kids 34kg",3,IF(Atletas!D401="Kids 36kg",4,IF(Atletas!D401="Kids 39kg",5,IF(Atletas!D401="Kids 42kg",6,IF(Atletas!D401="Kids 45kg",7, IF(Atletas!D401="Infantil 39kg",8,IF(Atletas!D401="Infantil 42kg",9,IF(Atletas!D401="Infantil 45kg",10,IF(Atletas!D401="Infantil 48kg",11,IF(Atletas!D401="Infantil 52kg",12,IF(Atletas!D401="Infantil 56kg",13,IF(Atletas!D401="Infantil 60kg",14,IF(Atletas!D401="Juvenil 48kg",15,IF(Atletas!D401="Juvenil 52kg",16,IF(Atletas!D401="Juvenil 56kg",17,IF(Atletas!D401="Juvenil 60kg",18,IF(Atletas!D401="Juvenil 65kg",19,IF(Atletas!D401="Juvenil 70kg",20,IF(Atletas!D401="Juvenil 75kg",21,IF(Atletas!D401="Juvenil 80kg",22, IF(Atletas!D401="Juvenil 85kg",23,IF(Atletas!D401="Adulto 48kg",24,IF(Atletas!D401="Adulto 52kg",25,IF(Atletas!D401="Adulto 56kg",26,IF(Atletas!D401="Adulto 60kg",27,IF(Atletas!D401="Adulto 65kg",28,IF(Atletas!D401="Adulto 70kg",29,IF(Atletas!D401="Adulto 75kg",30,IF(Atletas!D401="Adulto 80kg",31,IF(Atletas!D401="Adulto 85kg",32,IF(Atletas!D401="Adulto 90kg",33,IF(Atletas!D401="Adulto 100kg",34, IF(Atletas!D401="Adulto +100kg",35,"")))))))))))))))))))))))))))))))))))))</f>
        <v/>
      </c>
      <c r="AS410" s="6" t="str">
        <f>IF(Atletas!E401="","",IF(Atletas!B401="Feminino",100,IF(Atletas!B401="Masculino",200,""))+(IF(Atletas!E401="Juvenil 44kg",1,IF(Atletas!E401="Juvenil 48kg",2,IF(Atletas!E401="Juvenil 52kg",3,IF(Atletas!E401="Juvenil 56kg",4,IF(Atletas!E401="Juvenil 60kg",5,IF(Atletas!E401="Juvenil 65kg",6,IF(Atletas!E401="Juvenil 70kg",7,IF(Atletas!E401="Juvenil 75kg",8,IF(Atletas!E401="Juvenil 82kg",9,IF(Atletas!E401="Juvenil 90kg",10,IF(Atletas!E401="Juvenil 100kg",11,IF(Atletas!E401="Adulto 48kg",12,IF(Atletas!E401="Adulto 52kg",13,IF(Atletas!E401="Adulto 56kg",14,IF(Atletas!E401="Adulto 60kg",15,IF(Atletas!E401="Adulto 65kg",16,IF(Atletas!E401="Adulto 70kg",17,IF(Atletas!E401="Adulto 75kg",18,IF(Atletas!E401="Adulto 82kg",19,IF(Atletas!E401="Adulto 90kg",20,IF(Atletas!E401="Adulto 100kg",21,IF(Atletas!E401="Adulto +100kg",22,""))))))))))))))))))))))))</f>
        <v/>
      </c>
      <c r="AX410" s="6" t="str">
        <f>IF(Atletas!F401="","",IF(Atletas!B401="Feminino",100,IF(Atletas!B401="Masculino",200,""))+(IF(Atletas!F401="Adulto 48kg",1,IF(Atletas!F401="Adulto 56kg",2,IF(Atletas!F401="Adulto 65kg",3,IF(Atletas!F401="Adulto 75kg",4,IF(Atletas!F401="Adulto +75kg",5,IF(Atletas!F401="Adulto 52kg",6,IF(Atletas!F401="Adulto 60kg",7,IF(Atletas!F401="Adulto 70kg",8,IF(Atletas!F401="Adulto 80kg",9,IF(Atletas!F401="Adulto 90kg",10,IF(Atletas!F401="Adulto +90kg",11,"")))))))))))))</f>
        <v/>
      </c>
      <c r="BC410" s="6" t="str">
        <f>IF(Atletas!G401="","",IF(Atletas!B401="Feminino",10,IF(Atletas!B401="Masculino",20,""))+(IF(Atletas!G401="Baduanjin A",1,IF(Atletas!G401="Baduanjin B",2))))</f>
        <v/>
      </c>
      <c r="BF410" s="52" t="str">
        <f>IF(Atletas!H401="","",IF(Atletas!B401="Feminino",100,IF(Atletas!B401="Masculino",200,""))+(IF(Atletas!H401="Changquan Mirim",1,IF(Atletas!H401="Nanquan Mirim",2,IF(Atletas!H401="Taijiquan Mirim",3,IF(Atletas!H401="Changquan Grupo C",4,IF(Atletas!H401="Nanquan Grupo C",5,IF(Atletas!H401="Taijiquan Grupo C",6,IF(Atletas!H401="Changquan Grupo B",7,IF(Atletas!H401="Nanquan Grupo B",8,IF(Atletas!H401="Taijiquan Grupo B",9,IF(Atletas!H401="Changquan Grupo A",10,IF(Atletas!H401="Nanquan Grupo A",11,IF(Atletas!H401="Taijiquan Grupo A",12,IF(Atletas!H401="Changquan Opcional",13,IF(Atletas!H401="Nanquan Opcional",14,IF(Atletas!H401="Taijiquan Opcional",15,IF(Atletas!H401="Changquan Adulto",16,IF(Atletas!H401="Nanquan Adulto",17,IF(Atletas!H401="Taijiquan Adulto",18,""))))))))))))))))))))</f>
        <v/>
      </c>
      <c r="BG410" s="52" t="str">
        <f>IF(Atletas!I401="","",IF(Atletas!B401="Feminino",100,IF(Atletas!B401="Masculino",200,""))+(IF(Atletas!I401="Daoshu Mirim",19,IF(Atletas!I401="Jianshu Mirim",20,IF(Atletas!I401="Nandao Mirim",21,IF(Atletas!I401="Taijijian Mirim",22,IF(Atletas!I401="Daoshu Grupo C",23,IF(Atletas!I401="Jianshu Grupo C",24,IF(Atletas!I401="Nandao Grupo C",25,IF(Atletas!I401="Taijijian Grupo C",26,IF(Atletas!I401="Daoshu Grupo B",27,IF(Atletas!I401="Jianshu Grupo B",28,IF(Atletas!I401="Nandao Grupo B",29,IF(Atletas!I401="Taijijian Grupo B",30,IF(Atletas!I401="Daoshu Grupo A",31,IF(Atletas!I401="Jianshu Grupo A",32,IF(Atletas!I401="Nandao Grupo A",33,IF(Atletas!I401="Taijijian Grupo A",34,IF(Atletas!I401="Daoshu Opcional",35,IF(Atletas!I401="Jianshu Opcional",36,IF(Atletas!I401="Nandao Opcional",37,IF(Atletas!I401="Taijijian Opcional",38,IF(Atletas!I401="Daoshu Adulto",39,IF(Atletas!I401="Jianshu Adulto",40,IF(Atletas!I401="Nandao Adulto",41,IF(Atletas!I401="Taijijian Adulto",42,""))))))))))))))))))))))))))</f>
        <v/>
      </c>
      <c r="BH410" s="52" t="str">
        <f>IF(Atletas!J401="","",IF(Atletas!B401="Feminino",100,IF(Atletas!B401="Masculino",200,""))+(IF(Atletas!J401="Gunshu Mirim",43,IF(Atletas!J401="Qiangshu Mirim",44,IF(Atletas!J401="Nangun Mirim",45,IF(Atletas!J401="Gunshu Grupo C",46,IF(Atletas!J401="Qiangshu Grupo C",47,IF(Atletas!J401="Nangun Grupo C",48,IF(Atletas!J401="Gunshu Grupo B",49,IF(Atletas!J401="Qiangshu Grupo B",50,IF(Atletas!J401="Nangun Grupo B",51,IF(Atletas!J401="Gunshu Grupo A",52,IF(Atletas!J401="Qiangshu Grupo A",53,IF(Atletas!J401="Nangun Grupo A",54,IF(Atletas!J401="Gunshu Opcional",55,IF(Atletas!J401="Qiangshu Opcional",56,IF(Atletas!J401="Nangun Opcional",57,IF(Atletas!J401="Gunshu Adulto",58,IF(Atletas!J401="Qiangshu Adulto",59,IF(Atletas!J401="Nangun Adulto",60,IF(Atletas!J401="Taijishan Grupo B",61,IF(Atletas!J401="Taijishan Grupo A",62,""))))))))))))))))))))))</f>
        <v/>
      </c>
      <c r="BM410" s="50" t="str">
        <f>IF(Atletas!K401="","",IF(Atletas!B401="Feminino",100,IF(Atletas!B401="Masculino",200,""))+(IF(Atletas!K401="Equipe 1 Grupo B",1,IF(Atletas!K401="Equipe 2 Grupo B",2,IF(Atletas!K401="Equipe 1 Grupo A",3,IF(Atletas!K401="Equipe 2 Grupo A",4,IF(Atletas!K401="Equipe 1 Adulto",5,IF(Atletas!K401="Equipe 2 Adulto",6,""))))))))</f>
        <v/>
      </c>
      <c r="BR410" s="50" t="str">
        <f>IF(Atletas!L401="","",IF(Atletas!X401&lt;&gt;"",10000,0)+(IF(Atletas!B401="Feminino",1000,IF(Atletas!B401="Masculino",2000,""))+IF(Atletas!L401="Choylayfut A",1,IF(Atletas!L401="Hunggar A",2,IF(Atletas!L401="Wuzuquan A",3,IF(Atletas!L401="Wingchun A",4,IF(Atletas!L401="Outra Mão de Sul A",5,IF(Atletas!L401="Choylayfut B",6,IF(Atletas!L401="Hunggar B",7,IF(Atletas!L401="Wuzuquan B",8,IF(Atletas!L401="Wingchun B",9,IF(Atletas!L401="Outra Mão de Sul B",10,IF(Atletas!L401="Choylayfut C",11,IF(Atletas!L401="Hunggar C",12,IF(Atletas!L401="Wuzuquan C",13,IF(Atletas!L401="Wingchun C",14,IF(Atletas!L401="Outra Mão de Sul C",15,IF(Atletas!L401="Choylayfut D",16,IF(Atletas!L401="Hunggar D",17,IF(Atletas!L401="Wuzuquan D",18,IF(Atletas!L401="Wingchun D",19,IF(Atletas!L401="Outra Mão de Sul D",20,IF(Atletas!L401="Choylayfut E",21,IF(Atletas!L401="Hunggar E",22,IF(Atletas!L401="Wuzuquan E",23,IF(Atletas!L401="Wingchun E",24,IF(Atletas!L401="Outra Mão de Sul E",25,IF(Atletas!L401="Choylayfut F",26,IF(Atletas!L401="Hunggar F",27,IF(Atletas!L401="Wuzuquan F",28,IF(Atletas!L401="Wingchun F",29,IF(Atletas!L401="Outra Mão de Sul F",30,IF(Atletas!L401="Dishuquan A",31,IF(Atletas!L401="Dishuquan B",32,IF(Atletas!L401="Dishuquan C",33,IF(Atletas!L401="Dishuquan D",34,IF(Atletas!L401="Dishuquan E",35,IF(Atletas!L401="Dishuquan F",36,""))))))))))))))))))))))))))))))))))))))</f>
        <v/>
      </c>
      <c r="BS410" s="50" t="str">
        <f>IF(Atletas!M401="","",IF(Atletas!X401&lt;&gt;"",10000,0)+(IF(Atletas!B401="Feminino",1000,IF(Atletas!B401="Masculino",2000,""))+(IF(Atletas!M401="Chaquan A",101,IF(Atletas!M401="Emeiquan A",102,IF(Atletas!M401="Fanziquan A",103,IF(Atletas!M401="Huaquan A",104,IF(Atletas!M401="Hongquan A",105,IF(Atletas!M401="Paoquan A",106,IF(Atletas!M401="Piguaquan A",107,IF(Atletas!M401="Shaolinquan A",108,IF(Atletas!M401="Tanglangquan A",109,IF(Atletas!M401="Yingzhaoquan A",110,IF(Atletas!M401="Tongbeiquan A",111,IF(Atletas!M401="Wudangquan A",112,IF(Atletas!M401="Outros Estilos A",113,IF(Atletas!M401="Chaquan B",114,IF(Atletas!M401="Emeiquan B",115,IF(Atletas!M401="Fanziquan B",116,IF(Atletas!M401="Huaquan B",117,IF(Atletas!M401="Hongquan B",118,IF(Atletas!M401="Paoquan B",119,IF(Atletas!M401="Piguaquan B",120,IF(Atletas!M401="Shaolinquan B",121,IF(Atletas!M401="Tanglangquan B",122,IF(Atletas!M401="Yingzhaoquan B",123,IF(Atletas!M401="Tongbeiquan B",124,IF(Atletas!M401="Wudangquan B",125,IF(Atletas!M401="Outros Estilos B",126,IF(Atletas!M401="Chaquan C",127,IF(Atletas!M401="Emeiquan C",128,IF(Atletas!M401="Fanziquan C",129,IF(Atletas!M401="Huaquan C",130,IF(Atletas!M401="Hongquan C",131,IF(Atletas!M401="Paoquan C",132,IF(Atletas!M401="Piguaquan C",133,IF(Atletas!M401="Shaolinquan C",134,IF(Atletas!M401="Tanglangquan C",135,IF(Atletas!M401="Yingzhaoquan C",136,IF(Atletas!M401="Tongbeiquan C",137,IF(Atletas!M401="Wudangquan C",138,IF(Atletas!M401="Outros Estilos C",139,0))))))))))))))))))))))))))))))))))))))))))</f>
        <v/>
      </c>
      <c r="BT410" s="50" t="str">
        <f>IF(Atletas!M401="","",IF(Atletas!X401&lt;&gt;"",10000,0)+(IF(Atletas!B401="Feminino",1000,IF(Atletas!B401="Masculino",2000,""))+(IF(Atletas!M401="Chaquan D",140,IF(Atletas!M401="Emeiquan D",141,IF(Atletas!M401="Fanziquan D",142,IF(Atletas!M401="Huaquan D",143,IF(Atletas!M401="Hongquan D",144,IF(Atletas!M401="Paoquan D",145,IF(Atletas!M401="Piguaquan D",146,IF(Atletas!M401="Shaolinquan D",147,IF(Atletas!M401="Tanglangquan D",148,IF(Atletas!M401="Yingzhaoquan D",149,IF(Atletas!M401="Tongbeiquan D",150,IF(Atletas!M401="Wudangquan D",151,IF(Atletas!M401="Outros Estilos D",152,IF(Atletas!M401="Chaquan E",153,IF(Atletas!M401="Emeiquan E",154,IF(Atletas!M401="Fanziquan E",155,IF(Atletas!M401="Huaquan E",156,IF(Atletas!M401="Hongquan E",157,IF(Atletas!M401="Paoquan E",158,IF(Atletas!M401="Piguaquan E",159,IF(Atletas!M401="Shaolinquan E",160,IF(Atletas!M401="Tanglangquan E",161,IF(Atletas!M401="Yingzhaoquan E",162,IF(Atletas!M401="Tongbeiquan E",163,IF(Atletas!M401="Wudangquan E",164,IF(Atletas!M401="Outros Estilos E",165,IF(Atletas!M401="Chaquan F",166,IF(Atletas!M401="Emeiquan F",167,IF(Atletas!M401="Fanziquan F",168,IF(Atletas!M401="Huaquan F",169,IF(Atletas!M401="Hongquan F",170,IF(Atletas!M401="Paoquan F",171,IF(Atletas!M401="Piguaquan F",172,IF(Atletas!M401="Shaolinquan F",173,IF(Atletas!M401="Tanglangquan F",174,IF(Atletas!M401="Yingzhaoquan F",175,IF(Atletas!M401="Tongbeiquan F",176,IF(Atletas!M401="Wudangquan F",177,IF(Atletas!M401="Outros Estilos F",178,0))))))))))))))))))))))))))))))))))))))))))</f>
        <v/>
      </c>
      <c r="BU410" s="50" t="str">
        <f>IF(Atletas!N401="","",IF(Atletas!X401&lt;&gt;"",10000,0)+(IF(Atletas!B401="Feminino",1000,IF(Atletas!B401="Masculino",2000,""))+(IF(Atletas!N401="Ditangquan A",201,IF(Atletas!N401="Houquan A",202,IF(Atletas!N401="Zuiquan A",203,IF(Atletas!N401="Ditangquan B",204,IF(Atletas!N401="Houquan B",205,IF(Atletas!N401="Zuiquan B",206,IF(Atletas!N401="Ditangquan C",207,IF(Atletas!N401="Houquan C",208,IF(Atletas!N401="Zuiquan C",209,IF(Atletas!N401="Ditangquan D",210,IF(Atletas!N401="Houquan D",211,IF(Atletas!N401="Zuiquan D",212,IF(Atletas!N401="Ditangquan E",213,IF(Atletas!N401="Houquan E",214,IF(Atletas!N401="Zuiquan E",215,IF(Atletas!N401="Ditangquan F",216,IF(Atletas!N401="Houquan F",217,IF(Atletas!N401="Zuiquan F",218,"")))))))))))))))))))))</f>
        <v/>
      </c>
      <c r="BV410" s="50" t="str">
        <f>IF(Atletas!O401="","",IF(Atletas!X401&lt;&gt;"",10000,0)+IF(Atletas!B401="Feminino",1000,IF(Atletas!B401="Masculino",2000,""))+IF(Atletas!O401="Yang A",301,IF(Atletas!O401="Chen A",302,IF(Atletas!O401="Sun A",303,IF(Atletas!O401="Wu A",304,IF(Atletas!O401="Wu-Hao A",305,IF(Atletas!O401="Outro Taijiquan A",306,IF(Atletas!O401="Yang B",307,IF(Atletas!O401="Chen B",308,IF(Atletas!O401="Sun B",309,IF(Atletas!O401="Wu B",310,IF(Atletas!O401="Wu-Hao B",311,IF(Atletas!O401="Outro Taijiquan B",312,IF(Atletas!O401="Yang C",313,IF(Atletas!O401="Chen C",314,IF(Atletas!O401="Sun C",315,IF(Atletas!O401="Wu C",316,IF(Atletas!O401="Wu-Hao C",317,IF(Atletas!O401="Outro Taijiquan C",318,IF(Atletas!O401="Yang D",319,IF(Atletas!O401="Chen D",320,IF(Atletas!O401="Sun D",321,IF(Atletas!O401="Wu D",322,IF(Atletas!O401="Wu-Hao D",323,IF(Atletas!O401="Outro Taijiquan D",324,IF(Atletas!O401="Yang E",325,IF(Atletas!O401="Chen E",326,IF(Atletas!O401="Sun E",327,IF(Atletas!O401="Wu E",328,IF(Atletas!O401="Wu-Hao E",329,IF(Atletas!O401="Outro Taijiquan E",330,IF(Atletas!O401="Yang F",331,IF(Atletas!O401="Chen F",332,IF(Atletas!O401="Sun F",333,IF(Atletas!O401="Wu F",334,IF(Atletas!O401="Wu-Hao F",335,IF(Atletas!O401="Outro Taijiquan F",336,"")))))))))))))))))))))))))))))))))))))</f>
        <v/>
      </c>
      <c r="BW410" s="50" t="str">
        <f>IF(Atletas!P401="","",IF(Atletas!X401&lt;&gt;"",10000,0)+IF(Atletas!B401="Feminino",1000,IF(Atletas!B401="Masculino",2000,""))+IF(OR(Atletas!P401="Yang 26 A",Atletas!P401="Yang 40 A"),401,IF(OR(Atletas!P401="Chen 25 A",Atletas!P401="Chen 36 A",Atletas!P401="Chen 56 A"),402,IF(Atletas!P401="Sun 73 A",403,IF(Atletas!P401="Wu 45 A",404,IF(Atletas!P401="Wu-Hao 46 A",405,IF(OR(Atletas!P401="Taijiquan 16 A",Atletas!P401="Taijiquan 24 A",Atletas!P401="Taijiquan 32 A",Atletas!P401="Taijiquan 42 A"),406,IF(OR(Atletas!P401="Yang 26 B",Atletas!P401="Yang 40 B"),407,IF(OR(Atletas!P401="Chen 25 B",Atletas!P401="Chen 36 B",Atletas!P401="Chen 56 B"),408,IF(Atletas!P401="Sun 73 B",409,IF(Atletas!P401="Wu 45 B",410,IF(Atletas!P401="Wu-Hao 46 B",411,IF(OR(Atletas!P401="Taijiquan 16 B",Atletas!P401="Taijiquan 24 B",Atletas!P401="Taijiquan 32 B",Atletas!P401="Taijiquan 42 B"),412,IF(OR(Atletas!P401="Yang 26 C",Atletas!P401="Yang 40 C"),413,IF(OR(Atletas!P401="Chen 25 C",Atletas!P401="Chen 36 C",Atletas!P401="Chen 56 C"),414,IF(Atletas!P401="Sun 73 C",415,IF(Atletas!P401="Wu 45 C",416,IF(Atletas!P401="Wu-Hao 46 C",417,IF(OR(Atletas!P401="Taijiquan 16 C",Atletas!P401="Taijiquan 24 C",Atletas!P401="Taijiquan 32 C",Atletas!P401="Taijiquan 42 C"),418,0)))))))))))))))))))</f>
        <v/>
      </c>
      <c r="BX410" s="50" t="str">
        <f>IF(Atletas!P401="","",IF(Atletas!X401&lt;&gt;"",10000,0)+IF(Atletas!B401="Feminino",1000,IF(Atletas!B401="Masculino",2000,""))+IF(OR(Atletas!P401="Yang 26 D",Atletas!P401="Yang 40 D"),419,IF(OR(Atletas!P401="Chen 25 D",Atletas!P401="Chen 36 D",Atletas!P401="Chen 56 D"),420,IF(Atletas!P401="Sun 73 D",421,IF(Atletas!P401="Wu 45 D",422,IF(Atletas!P401="Wu-Hao 46 D",423,IF(OR(Atletas!P401="Taijiquan 16 D",Atletas!P401="Taijiquan 24 D",Atletas!P401="Taijiquan 32 D",Atletas!P401="Taijiquan 42 D"),424,IF(OR(Atletas!P401="Yang 26 E",Atletas!P401="Yang 40 E"),425,IF(OR(Atletas!P401="Chen 25 E",Atletas!P401="Chen 36 E",Atletas!P401="Chen 56 E"),426,IF(Atletas!P401="Sun 73 E",427,IF(Atletas!P401="Wu 45 E",428,IF(Atletas!P401="Wu-Hao 46 E",429,IF(OR(Atletas!P401="Taijiquan 16 E",Atletas!P401="Taijiquan 24 E",Atletas!P401="Taijiquan 32 E",Atletas!P401="Taijiquan 42 E"),430,IF(OR(Atletas!P401="Yang 26 F",Atletas!P401="Yang 40 F"),431,IF(OR(Atletas!P401="Chen 25 F",Atletas!P401="Chen 36 F",Atletas!P401="Chen 56 F"),432,IF(Atletas!P401="Sun 73 F",433,IF(Atletas!P401="Wu 45 F",434,IF(Atletas!P401="Wu-Hao 46 F",435,IF(OR(Atletas!P401="Taijiquan 16 F",Atletas!P401="Taijiquan 24 F",Atletas!P401="Taijiquan 32 F",Atletas!P401="Taijiquan 42 F"),436,0)))))))))))))))))))</f>
        <v/>
      </c>
      <c r="BY410" s="50" t="str">
        <f>IF(Atletas!Q401="","",IF(Atletas!X401&lt;&gt;"",10000,0)+IF(Atletas!B401="Feminino",1000,IF(Atletas!B401="Masculino",2000,""))+IF(Atletas!Q401="Xingyiquan A",501,IF(Atletas!Q401="Baguazhang A",502,IF(Atletas!Q401="Outro Estilo Interno A",503,IF(Atletas!Q401="Xingyiquan B",504,IF(Atletas!Q401="Baguazhang B",505,IF(Atletas!Q401="Outro Estilo Interno B",506,IF(Atletas!Q401="Xingyiquan C",507,IF(Atletas!Q401="Baguazhang C",508,IF(Atletas!Q401="Outro Estilo Interno C",509,IF(Atletas!Q401="Xingyiquan D",510,IF(Atletas!Q401="Baguazhang D",511,IF(Atletas!Q401="Outro Estilo Interno D",512,IF(Atletas!Q401="Xingyiquan E",513,IF(Atletas!Q401="Baguazhang E",514,IF(Atletas!Q401="Outro Estilo Interno E",515,IF(Atletas!Q401="Xingyiquan F",516,IF(Atletas!Q401="Baguazhang F",517,IF(Atletas!Q401="Outro Estilo Interno F",518, "")))))))))))))))))))</f>
        <v/>
      </c>
      <c r="BZ410" s="50" t="str">
        <f>IF(Atletas!R401="","",IF(Atletas!X401&lt;&gt;"",10000,0)+IF(Atletas!B401="Feminino",1000,IF(Atletas!B401="Masculino",2000,""))+IF(Atletas!R401="Dao A",601,IF(Atletas!R401="Jian A",602,IF(Atletas!R401="Bishou A",603,IF(Atletas!R401="Shanzi A",604,IF(Atletas!R401="Outra Arma Curta A",605,IF(Atletas!R401="Dao B",606,IF(Atletas!R401="Jian B",607,IF(Atletas!R401="Bishou B",608,IF(Atletas!R401="Shanzi B",609,IF(Atletas!R401="Outra Arma Curta B",610,IF(Atletas!R401="Dao C",611,IF(Atletas!R401="Jian C",612,IF(Atletas!R401="Bishou C",613,IF(Atletas!R401="Shanzi C",614,IF(Atletas!R401="Outra Arma Curta C",615,IF(Atletas!R401="Dao D",616,IF(Atletas!R401="Jian D",617,IF(Atletas!R401="Bishou D",618,IF(Atletas!R401="Shanzi D",619,IF(Atletas!R401="Outra Arma Curta D",620,IF(Atletas!R401="Dao E",621,IF(Atletas!R401="Jian E",622,IF(Atletas!R401="Bishou E",623,IF(Atletas!R401="Shanzi E",624,IF(Atletas!R401="Outra Arma Curta E",625,IF(Atletas!R401="Dao F",626,IF(Atletas!R401="Jian F",627,IF(Atletas!R401="Bishou F",628,IF(Atletas!R401="Shanzi F",629,IF(Atletas!R401="Outra Arma Curta F",630, "")))))))))))))))))))))))))))))))</f>
        <v/>
      </c>
      <c r="CA410" s="50" t="str">
        <f>IF(Atletas!S401="","",IF(Atletas!X401&lt;&gt;"",10000,0)+IF(Atletas!B401="Feminino",1000,IF(Atletas!B401="Masculino",2000,""))+IF(Atletas!S401="Gun A",701,IF(Atletas!S401="Qiang A",702,IF(Atletas!S401="Pudao / Guandao A",703,IF(Atletas!S401="Outra Arma Longa A",704,IF(Atletas!S401="Gun B",705,IF(Atletas!S401="Qiang B",706,IF(Atletas!S401="Pudao / Guandao B",707,IF(Atletas!S401="Outra Arma Longa B",708,IF(Atletas!S401="Gun C",709,IF(Atletas!S401="Qiang C",710,IF(Atletas!S401="Pudao / Guandao C",711,IF(Atletas!S401="Outra Arma Longa C",712,IF(Atletas!S401="Gun D",713,IF(Atletas!S401="Qiang D",714,IF(Atletas!S401="Pudao / Guandao D",715,IF(Atletas!S401="Outra Arma Longa D",716,IF(Atletas!S401="Gun E",717,IF(Atletas!S401="Qiang E",718,IF(Atletas!S401="Pudao / Guandao E",719,IF(Atletas!S401="Outra Arma Longa E",720,IF(Atletas!S401="Gun F",721,IF(Atletas!S401="Qiang F",722,IF(Atletas!S401="Pudao / Guandao F",723,IF(Atletas!S401="Outra Arma Longa F",724,"")))))))))))))))))))))))))</f>
        <v/>
      </c>
      <c r="CB410" s="50" t="str">
        <f>IF(Atletas!T401="","",IF(Atletas!X401&lt;&gt;"",10000,0)+IF(Atletas!B401="Feminino",1000,IF(Atletas!B401="Masculino",2000,""))+IF(Atletas!T401="Outra Arma Dupla A",801,IF(Atletas!T401="Arma Maleável A",802,IF(Atletas!T401="Outra Arma Dupla B",803,IF(Atletas!T401="Arma Maleável B",804,IF(Atletas!T401="Outra Arma Dupla C",805,IF(Atletas!T401="Arma Maleável C",806,IF(Atletas!T401="Outra Arma Dupla D",807,IF(Atletas!T401="Arma Maleável D",808,IF(Atletas!T401="Outra Arma Dupla E",809,IF(Atletas!T401="Arma Maleável E",810,IF(Atletas!T401="Outra Arma Dupla F",811,IF(Atletas!T401="Arma Maleável F",812,IF(Atletas!T401="Shuangdao A",813,IF(Atletas!T401="Shuangdao B",814,IF(Atletas!T401="Shuangdao C",815,IF(Atletas!T401="Shuangdao D",816,IF(Atletas!T401="Shuangdao E",817,IF(Atletas!T401="Shuangdao F",818,"")))))))))))))))))))</f>
        <v/>
      </c>
      <c r="CC410" s="50" t="str">
        <f>IF(Atletas!U401="","",IF(Atletas!X401&lt;&gt;"",10000,0)+IF(Atletas!B401="Feminino",1000,IF(Atletas!B401="Masculino",2000,""))+IF(OR(Atletas!U401="Taijijian Yang A",Atletas!U401="Taijijian Yang Standard A"),901,IF(OR(Atletas!U401="Taijijian Chen A", Atletas!U401="Taijijian Chen Standard A"),902,IF(Atletas!U401="Taijijian Sun A",903,IF(Atletas!U401="Taijijian Wu A",904,IF(Atletas!U401="Taijijian Wu-Hao A",905,IF(OR(Atletas!U401="Taijijian 32 A",Atletas!U401="Taijijian 42 A"),906,IF(OR(Atletas!U401="Taijijian Yang B",Atletas!U401="Taijijian Yang Standard B"),907,IF(OR(Atletas!U401="Taijijian Chen B", Atletas!U401="Taijijian Chen Standard B"),908,IF(Atletas!U401="Taijijian Sun B",909,IF(Atletas!U401="Taijijian Wu B",910,IF(Atletas!U401="Taijijian Wu-Hao B",911,IF(OR(Atletas!U401="Taijijian 32 B",Atletas!U401="Taijijian 42 B"),912,IF(OR(Atletas!U401="Taijijian Yang C",Atletas!U401="Taijijian Yang Standard C"),913,IF(OR(Atletas!U401="Taijijian Chen C", Atletas!U401="Taijijian Chen Standard C"),914,IF(Atletas!U401="Taijijian Sun C",915,IF(Atletas!U401="Taijijian Wu C",916,IF(Atletas!U401="Taijijian Wu-Hao C",917,IF(OR(Atletas!U401="Taijijian 32 C",Atletas!U401="Taijijian 42 C"),918,IF(OR(Atletas!U401="Taijijian Yang D",Atletas!U401="Taijijian Yang Standard D"),919,IF(OR(Atletas!U401="Taijijian Chen D", Atletas!U401="Taijijian Chen Standard D"),920,IF(Atletas!U401="Taijijian Sun D",921,IF(Atletas!U401="Taijijian Wu D",922,IF(Atletas!U401="Taijijian Wu-Hao D",923,IF(OR(Atletas!U401="Taijijian 32 D",Atletas!U401="Taijijian 42 D"),924,IF(OR(Atletas!U401="Taijijian Yang E",Atletas!U401="Taijijian Yang Standard E"),925,IF(OR(Atletas!U401="Taijijian Chen E", Atletas!U401="Taijijian Chen Standard E"),926,IF(Atletas!U401="Taijijian Sun E",927,IF(Atletas!U401="Taijijian Wu E",928,IF(Atletas!U401="Taijijian Wu-Hao E",929,IF(OR(Atletas!U401="Taijijian 32 E",Atletas!U401="Taijijian 42 E"),930,IF(OR(Atletas!U401="Taijijian Yang F",Atletas!U401="Taijijian Yang Standard F"),931,IF(OR(Atletas!U401="Taijijian Chen F", Atletas!U401="Taijijian Chen Standard F"),932,IF(Atletas!U401="Taijijian Sun F",933,IF(Atletas!U401="Taijijian Wu F",934,IF(Atletas!U401="Taijijian Wu-Hao F",935,IF(OR(Atletas!U401="Taijijian 32 F",Atletas!U401="Taijijian 42 F"),936,"")))))))))))))))))))))))))))))))))))))</f>
        <v/>
      </c>
      <c r="CD410" s="50" t="str">
        <f>IF(Atletas!V401="","",IF(Atletas!X401&lt;&gt;"",10000,0)+IF(Atletas!B401="Feminino",1000,IF(Atletas!B401="Masculino",2000,""))+IF(Atletas!V401="Taijidao A",937,IF(Atletas!V401="TaijiShanzi A",938,IF(Atletas!V401="Taijiqiang A",939,IF(Atletas!V401="Bagua de Arma A",940,IF(Atletas!V401="Xingyi de Arma A",941,IF(Atletas!V401="Taijidao B",942,IF(Atletas!V401="TaijiShanzi B",943,IF(Atletas!V401="Taijiqiang B",944,IF(Atletas!V401="Bagua de Arma B",945,IF(Atletas!V401="Xingyi de Arma B",946,IF(Atletas!V401="Taijidao C",947,IF(Atletas!V401="TaijiShanzi C",948,IF(Atletas!V401="Taijiqiang C",949,IF(Atletas!V401="Bagua de Arma C",950,IF(Atletas!V401="Xingyi de Arma C",951,IF(Atletas!V401="Taijidao D",952,IF(Atletas!V401="TaijiShanzi D",953,IF(Atletas!V401="Taijiqiang D",954,IF(Atletas!V401="Bagua de Arma D",955,IF(Atletas!V401="Xingyi de Arma D",956,IF(Atletas!V401="Taijidao E",957,IF(Atletas!V401="TaijiShanzi E",958,IF(Atletas!V401="Taijiqiang E",959,IF(Atletas!V401="Bagua de Arma E",960,IF(Atletas!V401="Xingyi de Arma E",961,IF(Atletas!V401="Taijidao F",962,IF(Atletas!V401="TaijiShanzi F",963,IF(Atletas!V401="Taijiqiang F",964,IF(Atletas!V401="Bagua de Arma F",965,IF(Atletas!V401="Xingyi de Arma F",966,"")))))))))))))))))))))))))))))))</f>
        <v/>
      </c>
      <c r="CM410" s="50" t="str">
        <f xml:space="preserve"> IF(Atletas!W401="","",IF(Atletas!W401="Duilian de Mãos BC - Equipe 1",1,IF(Atletas!W401="Duilian de Mãos BC - Equipe 2",2,IF(Atletas!W401="Duilian de Armas BC - Equipe 1",3,IF(Atletas!W401="Duilian de Armas BC - Equipe 2",4,IF(Atletas!W401="Duilian de Mãos DE - Equipe 1",5,IF(Atletas!W401="Duilian de Mãos DE - Equipe 2",6,IF(Atletas!W401="Duilian de Armas DE - Equipe 1",7,IF(Atletas!W401="Duilian de Armas DE - Equipe 2",8,IF(Atletas!W401="Duilian de Tuishou - Equipe 1",9,IF(Atletas!W401="Duilian de Tuishou - Equipe 2",10,IF(Atletas!W401="Grupo Externo ABC - Equipe 1",11,IF(Atletas!W401="Grupo Externo ABC - Equipe 2",12,IF(Atletas!W401="Grupo Interno ABC - Equipe 1",13,IF(Atletas!W401="Grupo Interno ABC - Equipe 2",14,IF(Atletas!W401="Grupo Externo DEF - Equipe 1",15,IF(Atletas!W401="Grupo Externo DEF - Equipe 2",16,IF(Atletas!W401="Grupo Interno DEF - Equipe 1",17,IF(Atletas!W401="Grupo Interno DEF - Equipe 2",18,"")))))))))))))))))))</f>
        <v/>
      </c>
    </row>
    <row r="411" spans="40:91">
      <c r="AN411" s="52" t="str">
        <f>IF(Atletas!D402="","",IF(Atletas!B402="Feminino",100,IF(Atletas!B402="Masculino",200,""))+(IF(Atletas!D402="Kids 30kg",1,IF(Atletas!D402="Kids 32kg",2, IF(Atletas!D402="Kids 34kg",3,IF(Atletas!D402="Kids 36kg",4,IF(Atletas!D402="Kids 39kg",5,IF(Atletas!D402="Kids 42kg",6,IF(Atletas!D402="Kids 45kg",7, IF(Atletas!D402="Infantil 39kg",8,IF(Atletas!D402="Infantil 42kg",9,IF(Atletas!D402="Infantil 45kg",10,IF(Atletas!D402="Infantil 48kg",11,IF(Atletas!D402="Infantil 52kg",12,IF(Atletas!D402="Infantil 56kg",13,IF(Atletas!D402="Infantil 60kg",14,IF(Atletas!D402="Juvenil 48kg",15,IF(Atletas!D402="Juvenil 52kg",16,IF(Atletas!D402="Juvenil 56kg",17,IF(Atletas!D402="Juvenil 60kg",18,IF(Atletas!D402="Juvenil 65kg",19,IF(Atletas!D402="Juvenil 70kg",20,IF(Atletas!D402="Juvenil 75kg",21,IF(Atletas!D402="Juvenil 80kg",22, IF(Atletas!D402="Juvenil 85kg",23,IF(Atletas!D402="Adulto 48kg",24,IF(Atletas!D402="Adulto 52kg",25,IF(Atletas!D402="Adulto 56kg",26,IF(Atletas!D402="Adulto 60kg",27,IF(Atletas!D402="Adulto 65kg",28,IF(Atletas!D402="Adulto 70kg",29,IF(Atletas!D402="Adulto 75kg",30,IF(Atletas!D402="Adulto 80kg",31,IF(Atletas!D402="Adulto 85kg",32,IF(Atletas!D402="Adulto 90kg",33,IF(Atletas!D402="Adulto 100kg",34, IF(Atletas!D402="Adulto +100kg",35,"")))))))))))))))))))))))))))))))))))))</f>
        <v/>
      </c>
      <c r="AS411" s="6" t="str">
        <f>IF(Atletas!E402="","",IF(Atletas!B402="Feminino",100,IF(Atletas!B402="Masculino",200,""))+(IF(Atletas!E402="Juvenil 44kg",1,IF(Atletas!E402="Juvenil 48kg",2,IF(Atletas!E402="Juvenil 52kg",3,IF(Atletas!E402="Juvenil 56kg",4,IF(Atletas!E402="Juvenil 60kg",5,IF(Atletas!E402="Juvenil 65kg",6,IF(Atletas!E402="Juvenil 70kg",7,IF(Atletas!E402="Juvenil 75kg",8,IF(Atletas!E402="Juvenil 82kg",9,IF(Atletas!E402="Juvenil 90kg",10,IF(Atletas!E402="Juvenil 100kg",11,IF(Atletas!E402="Adulto 48kg",12,IF(Atletas!E402="Adulto 52kg",13,IF(Atletas!E402="Adulto 56kg",14,IF(Atletas!E402="Adulto 60kg",15,IF(Atletas!E402="Adulto 65kg",16,IF(Atletas!E402="Adulto 70kg",17,IF(Atletas!E402="Adulto 75kg",18,IF(Atletas!E402="Adulto 82kg",19,IF(Atletas!E402="Adulto 90kg",20,IF(Atletas!E402="Adulto 100kg",21,IF(Atletas!E402="Adulto +100kg",22,""))))))))))))))))))))))))</f>
        <v/>
      </c>
      <c r="AX411" s="6" t="str">
        <f>IF(Atletas!F402="","",IF(Atletas!B402="Feminino",100,IF(Atletas!B402="Masculino",200,""))+(IF(Atletas!F402="Adulto 48kg",1,IF(Atletas!F402="Adulto 56kg",2,IF(Atletas!F402="Adulto 65kg",3,IF(Atletas!F402="Adulto 75kg",4,IF(Atletas!F402="Adulto +75kg",5,IF(Atletas!F402="Adulto 52kg",6,IF(Atletas!F402="Adulto 60kg",7,IF(Atletas!F402="Adulto 70kg",8,IF(Atletas!F402="Adulto 80kg",9,IF(Atletas!F402="Adulto 90kg",10,IF(Atletas!F402="Adulto +90kg",11,"")))))))))))))</f>
        <v/>
      </c>
      <c r="BC411" s="6" t="str">
        <f>IF(Atletas!G402="","",IF(Atletas!B402="Feminino",10,IF(Atletas!B402="Masculino",20,""))+(IF(Atletas!G402="Baduanjin A",1,IF(Atletas!G402="Baduanjin B",2))))</f>
        <v/>
      </c>
      <c r="BF411" s="52" t="str">
        <f>IF(Atletas!H402="","",IF(Atletas!B402="Feminino",100,IF(Atletas!B402="Masculino",200,""))+(IF(Atletas!H402="Changquan Mirim",1,IF(Atletas!H402="Nanquan Mirim",2,IF(Atletas!H402="Taijiquan Mirim",3,IF(Atletas!H402="Changquan Grupo C",4,IF(Atletas!H402="Nanquan Grupo C",5,IF(Atletas!H402="Taijiquan Grupo C",6,IF(Atletas!H402="Changquan Grupo B",7,IF(Atletas!H402="Nanquan Grupo B",8,IF(Atletas!H402="Taijiquan Grupo B",9,IF(Atletas!H402="Changquan Grupo A",10,IF(Atletas!H402="Nanquan Grupo A",11,IF(Atletas!H402="Taijiquan Grupo A",12,IF(Atletas!H402="Changquan Opcional",13,IF(Atletas!H402="Nanquan Opcional",14,IF(Atletas!H402="Taijiquan Opcional",15,IF(Atletas!H402="Changquan Adulto",16,IF(Atletas!H402="Nanquan Adulto",17,IF(Atletas!H402="Taijiquan Adulto",18,""))))))))))))))))))))</f>
        <v/>
      </c>
      <c r="BG411" s="52" t="str">
        <f>IF(Atletas!I402="","",IF(Atletas!B402="Feminino",100,IF(Atletas!B402="Masculino",200,""))+(IF(Atletas!I402="Daoshu Mirim",19,IF(Atletas!I402="Jianshu Mirim",20,IF(Atletas!I402="Nandao Mirim",21,IF(Atletas!I402="Taijijian Mirim",22,IF(Atletas!I402="Daoshu Grupo C",23,IF(Atletas!I402="Jianshu Grupo C",24,IF(Atletas!I402="Nandao Grupo C",25,IF(Atletas!I402="Taijijian Grupo C",26,IF(Atletas!I402="Daoshu Grupo B",27,IF(Atletas!I402="Jianshu Grupo B",28,IF(Atletas!I402="Nandao Grupo B",29,IF(Atletas!I402="Taijijian Grupo B",30,IF(Atletas!I402="Daoshu Grupo A",31,IF(Atletas!I402="Jianshu Grupo A",32,IF(Atletas!I402="Nandao Grupo A",33,IF(Atletas!I402="Taijijian Grupo A",34,IF(Atletas!I402="Daoshu Opcional",35,IF(Atletas!I402="Jianshu Opcional",36,IF(Atletas!I402="Nandao Opcional",37,IF(Atletas!I402="Taijijian Opcional",38,IF(Atletas!I402="Daoshu Adulto",39,IF(Atletas!I402="Jianshu Adulto",40,IF(Atletas!I402="Nandao Adulto",41,IF(Atletas!I402="Taijijian Adulto",42,""))))))))))))))))))))))))))</f>
        <v/>
      </c>
      <c r="BH411" s="52" t="str">
        <f>IF(Atletas!J402="","",IF(Atletas!B402="Feminino",100,IF(Atletas!B402="Masculino",200,""))+(IF(Atletas!J402="Gunshu Mirim",43,IF(Atletas!J402="Qiangshu Mirim",44,IF(Atletas!J402="Nangun Mirim",45,IF(Atletas!J402="Gunshu Grupo C",46,IF(Atletas!J402="Qiangshu Grupo C",47,IF(Atletas!J402="Nangun Grupo C",48,IF(Atletas!J402="Gunshu Grupo B",49,IF(Atletas!J402="Qiangshu Grupo B",50,IF(Atletas!J402="Nangun Grupo B",51,IF(Atletas!J402="Gunshu Grupo A",52,IF(Atletas!J402="Qiangshu Grupo A",53,IF(Atletas!J402="Nangun Grupo A",54,IF(Atletas!J402="Gunshu Opcional",55,IF(Atletas!J402="Qiangshu Opcional",56,IF(Atletas!J402="Nangun Opcional",57,IF(Atletas!J402="Gunshu Adulto",58,IF(Atletas!J402="Qiangshu Adulto",59,IF(Atletas!J402="Nangun Adulto",60,IF(Atletas!J402="Taijishan Grupo B",61,IF(Atletas!J402="Taijishan Grupo A",62,""))))))))))))))))))))))</f>
        <v/>
      </c>
      <c r="BM411" s="50" t="str">
        <f>IF(Atletas!K402="","",IF(Atletas!B402="Feminino",100,IF(Atletas!B402="Masculino",200,""))+(IF(Atletas!K402="Equipe 1 Grupo B",1,IF(Atletas!K402="Equipe 2 Grupo B",2,IF(Atletas!K402="Equipe 1 Grupo A",3,IF(Atletas!K402="Equipe 2 Grupo A",4,IF(Atletas!K402="Equipe 1 Adulto",5,IF(Atletas!K402="Equipe 2 Adulto",6,""))))))))</f>
        <v/>
      </c>
      <c r="BR411" s="50" t="str">
        <f>IF(Atletas!L402="","",IF(Atletas!X402&lt;&gt;"",10000,0)+(IF(Atletas!B402="Feminino",1000,IF(Atletas!B402="Masculino",2000,""))+IF(Atletas!L402="Choylayfut A",1,IF(Atletas!L402="Hunggar A",2,IF(Atletas!L402="Wuzuquan A",3,IF(Atletas!L402="Wingchun A",4,IF(Atletas!L402="Outra Mão de Sul A",5,IF(Atletas!L402="Choylayfut B",6,IF(Atletas!L402="Hunggar B",7,IF(Atletas!L402="Wuzuquan B",8,IF(Atletas!L402="Wingchun B",9,IF(Atletas!L402="Outra Mão de Sul B",10,IF(Atletas!L402="Choylayfut C",11,IF(Atletas!L402="Hunggar C",12,IF(Atletas!L402="Wuzuquan C",13,IF(Atletas!L402="Wingchun C",14,IF(Atletas!L402="Outra Mão de Sul C",15,IF(Atletas!L402="Choylayfut D",16,IF(Atletas!L402="Hunggar D",17,IF(Atletas!L402="Wuzuquan D",18,IF(Atletas!L402="Wingchun D",19,IF(Atletas!L402="Outra Mão de Sul D",20,IF(Atletas!L402="Choylayfut E",21,IF(Atletas!L402="Hunggar E",22,IF(Atletas!L402="Wuzuquan E",23,IF(Atletas!L402="Wingchun E",24,IF(Atletas!L402="Outra Mão de Sul E",25,IF(Atletas!L402="Choylayfut F",26,IF(Atletas!L402="Hunggar F",27,IF(Atletas!L402="Wuzuquan F",28,IF(Atletas!L402="Wingchun F",29,IF(Atletas!L402="Outra Mão de Sul F",30,IF(Atletas!L402="Dishuquan A",31,IF(Atletas!L402="Dishuquan B",32,IF(Atletas!L402="Dishuquan C",33,IF(Atletas!L402="Dishuquan D",34,IF(Atletas!L402="Dishuquan E",35,IF(Atletas!L402="Dishuquan F",36,""))))))))))))))))))))))))))))))))))))))</f>
        <v/>
      </c>
      <c r="BS411" s="50" t="str">
        <f>IF(Atletas!M402="","",IF(Atletas!X402&lt;&gt;"",10000,0)+(IF(Atletas!B402="Feminino",1000,IF(Atletas!B402="Masculino",2000,""))+(IF(Atletas!M402="Chaquan A",101,IF(Atletas!M402="Emeiquan A",102,IF(Atletas!M402="Fanziquan A",103,IF(Atletas!M402="Huaquan A",104,IF(Atletas!M402="Hongquan A",105,IF(Atletas!M402="Paoquan A",106,IF(Atletas!M402="Piguaquan A",107,IF(Atletas!M402="Shaolinquan A",108,IF(Atletas!M402="Tanglangquan A",109,IF(Atletas!M402="Yingzhaoquan A",110,IF(Atletas!M402="Tongbeiquan A",111,IF(Atletas!M402="Wudangquan A",112,IF(Atletas!M402="Outros Estilos A",113,IF(Atletas!M402="Chaquan B",114,IF(Atletas!M402="Emeiquan B",115,IF(Atletas!M402="Fanziquan B",116,IF(Atletas!M402="Huaquan B",117,IF(Atletas!M402="Hongquan B",118,IF(Atletas!M402="Paoquan B",119,IF(Atletas!M402="Piguaquan B",120,IF(Atletas!M402="Shaolinquan B",121,IF(Atletas!M402="Tanglangquan B",122,IF(Atletas!M402="Yingzhaoquan B",123,IF(Atletas!M402="Tongbeiquan B",124,IF(Atletas!M402="Wudangquan B",125,IF(Atletas!M402="Outros Estilos B",126,IF(Atletas!M402="Chaquan C",127,IF(Atletas!M402="Emeiquan C",128,IF(Atletas!M402="Fanziquan C",129,IF(Atletas!M402="Huaquan C",130,IF(Atletas!M402="Hongquan C",131,IF(Atletas!M402="Paoquan C",132,IF(Atletas!M402="Piguaquan C",133,IF(Atletas!M402="Shaolinquan C",134,IF(Atletas!M402="Tanglangquan C",135,IF(Atletas!M402="Yingzhaoquan C",136,IF(Atletas!M402="Tongbeiquan C",137,IF(Atletas!M402="Wudangquan C",138,IF(Atletas!M402="Outros Estilos C",139,0))))))))))))))))))))))))))))))))))))))))))</f>
        <v/>
      </c>
      <c r="BT411" s="50" t="str">
        <f>IF(Atletas!M402="","",IF(Atletas!X402&lt;&gt;"",10000,0)+(IF(Atletas!B402="Feminino",1000,IF(Atletas!B402="Masculino",2000,""))+(IF(Atletas!M402="Chaquan D",140,IF(Atletas!M402="Emeiquan D",141,IF(Atletas!M402="Fanziquan D",142,IF(Atletas!M402="Huaquan D",143,IF(Atletas!M402="Hongquan D",144,IF(Atletas!M402="Paoquan D",145,IF(Atletas!M402="Piguaquan D",146,IF(Atletas!M402="Shaolinquan D",147,IF(Atletas!M402="Tanglangquan D",148,IF(Atletas!M402="Yingzhaoquan D",149,IF(Atletas!M402="Tongbeiquan D",150,IF(Atletas!M402="Wudangquan D",151,IF(Atletas!M402="Outros Estilos D",152,IF(Atletas!M402="Chaquan E",153,IF(Atletas!M402="Emeiquan E",154,IF(Atletas!M402="Fanziquan E",155,IF(Atletas!M402="Huaquan E",156,IF(Atletas!M402="Hongquan E",157,IF(Atletas!M402="Paoquan E",158,IF(Atletas!M402="Piguaquan E",159,IF(Atletas!M402="Shaolinquan E",160,IF(Atletas!M402="Tanglangquan E",161,IF(Atletas!M402="Yingzhaoquan E",162,IF(Atletas!M402="Tongbeiquan E",163,IF(Atletas!M402="Wudangquan E",164,IF(Atletas!M402="Outros Estilos E",165,IF(Atletas!M402="Chaquan F",166,IF(Atletas!M402="Emeiquan F",167,IF(Atletas!M402="Fanziquan F",168,IF(Atletas!M402="Huaquan F",169,IF(Atletas!M402="Hongquan F",170,IF(Atletas!M402="Paoquan F",171,IF(Atletas!M402="Piguaquan F",172,IF(Atletas!M402="Shaolinquan F",173,IF(Atletas!M402="Tanglangquan F",174,IF(Atletas!M402="Yingzhaoquan F",175,IF(Atletas!M402="Tongbeiquan F",176,IF(Atletas!M402="Wudangquan F",177,IF(Atletas!M402="Outros Estilos F",178,0))))))))))))))))))))))))))))))))))))))))))</f>
        <v/>
      </c>
      <c r="BU411" s="50" t="str">
        <f>IF(Atletas!N402="","",IF(Atletas!X402&lt;&gt;"",10000,0)+(IF(Atletas!B402="Feminino",1000,IF(Atletas!B402="Masculino",2000,""))+(IF(Atletas!N402="Ditangquan A",201,IF(Atletas!N402="Houquan A",202,IF(Atletas!N402="Zuiquan A",203,IF(Atletas!N402="Ditangquan B",204,IF(Atletas!N402="Houquan B",205,IF(Atletas!N402="Zuiquan B",206,IF(Atletas!N402="Ditangquan C",207,IF(Atletas!N402="Houquan C",208,IF(Atletas!N402="Zuiquan C",209,IF(Atletas!N402="Ditangquan D",210,IF(Atletas!N402="Houquan D",211,IF(Atletas!N402="Zuiquan D",212,IF(Atletas!N402="Ditangquan E",213,IF(Atletas!N402="Houquan E",214,IF(Atletas!N402="Zuiquan E",215,IF(Atletas!N402="Ditangquan F",216,IF(Atletas!N402="Houquan F",217,IF(Atletas!N402="Zuiquan F",218,"")))))))))))))))))))))</f>
        <v/>
      </c>
      <c r="BV411" s="50" t="str">
        <f>IF(Atletas!O402="","",IF(Atletas!X402&lt;&gt;"",10000,0)+IF(Atletas!B402="Feminino",1000,IF(Atletas!B402="Masculino",2000,""))+IF(Atletas!O402="Yang A",301,IF(Atletas!O402="Chen A",302,IF(Atletas!O402="Sun A",303,IF(Atletas!O402="Wu A",304,IF(Atletas!O402="Wu-Hao A",305,IF(Atletas!O402="Outro Taijiquan A",306,IF(Atletas!O402="Yang B",307,IF(Atletas!O402="Chen B",308,IF(Atletas!O402="Sun B",309,IF(Atletas!O402="Wu B",310,IF(Atletas!O402="Wu-Hao B",311,IF(Atletas!O402="Outro Taijiquan B",312,IF(Atletas!O402="Yang C",313,IF(Atletas!O402="Chen C",314,IF(Atletas!O402="Sun C",315,IF(Atletas!O402="Wu C",316,IF(Atletas!O402="Wu-Hao C",317,IF(Atletas!O402="Outro Taijiquan C",318,IF(Atletas!O402="Yang D",319,IF(Atletas!O402="Chen D",320,IF(Atletas!O402="Sun D",321,IF(Atletas!O402="Wu D",322,IF(Atletas!O402="Wu-Hao D",323,IF(Atletas!O402="Outro Taijiquan D",324,IF(Atletas!O402="Yang E",325,IF(Atletas!O402="Chen E",326,IF(Atletas!O402="Sun E",327,IF(Atletas!O402="Wu E",328,IF(Atletas!O402="Wu-Hao E",329,IF(Atletas!O402="Outro Taijiquan E",330,IF(Atletas!O402="Yang F",331,IF(Atletas!O402="Chen F",332,IF(Atletas!O402="Sun F",333,IF(Atletas!O402="Wu F",334,IF(Atletas!O402="Wu-Hao F",335,IF(Atletas!O402="Outro Taijiquan F",336,"")))))))))))))))))))))))))))))))))))))</f>
        <v/>
      </c>
      <c r="BW411" s="50" t="str">
        <f>IF(Atletas!P402="","",IF(Atletas!X402&lt;&gt;"",10000,0)+IF(Atletas!B402="Feminino",1000,IF(Atletas!B402="Masculino",2000,""))+IF(OR(Atletas!P402="Yang 26 A",Atletas!P402="Yang 40 A"),401,IF(OR(Atletas!P402="Chen 25 A",Atletas!P402="Chen 36 A",Atletas!P402="Chen 56 A"),402,IF(Atletas!P402="Sun 73 A",403,IF(Atletas!P402="Wu 45 A",404,IF(Atletas!P402="Wu-Hao 46 A",405,IF(OR(Atletas!P402="Taijiquan 16 A",Atletas!P402="Taijiquan 24 A",Atletas!P402="Taijiquan 32 A",Atletas!P402="Taijiquan 42 A"),406,IF(OR(Atletas!P402="Yang 26 B",Atletas!P402="Yang 40 B"),407,IF(OR(Atletas!P402="Chen 25 B",Atletas!P402="Chen 36 B",Atletas!P402="Chen 56 B"),408,IF(Atletas!P402="Sun 73 B",409,IF(Atletas!P402="Wu 45 B",410,IF(Atletas!P402="Wu-Hao 46 B",411,IF(OR(Atletas!P402="Taijiquan 16 B",Atletas!P402="Taijiquan 24 B",Atletas!P402="Taijiquan 32 B",Atletas!P402="Taijiquan 42 B"),412,IF(OR(Atletas!P402="Yang 26 C",Atletas!P402="Yang 40 C"),413,IF(OR(Atletas!P402="Chen 25 C",Atletas!P402="Chen 36 C",Atletas!P402="Chen 56 C"),414,IF(Atletas!P402="Sun 73 C",415,IF(Atletas!P402="Wu 45 C",416,IF(Atletas!P402="Wu-Hao 46 C",417,IF(OR(Atletas!P402="Taijiquan 16 C",Atletas!P402="Taijiquan 24 C",Atletas!P402="Taijiquan 32 C",Atletas!P402="Taijiquan 42 C"),418,0)))))))))))))))))))</f>
        <v/>
      </c>
      <c r="BX411" s="50" t="str">
        <f>IF(Atletas!P402="","",IF(Atletas!X402&lt;&gt;"",10000,0)+IF(Atletas!B402="Feminino",1000,IF(Atletas!B402="Masculino",2000,""))+IF(OR(Atletas!P402="Yang 26 D",Atletas!P402="Yang 40 D"),419,IF(OR(Atletas!P402="Chen 25 D",Atletas!P402="Chen 36 D",Atletas!P402="Chen 56 D"),420,IF(Atletas!P402="Sun 73 D",421,IF(Atletas!P402="Wu 45 D",422,IF(Atletas!P402="Wu-Hao 46 D",423,IF(OR(Atletas!P402="Taijiquan 16 D",Atletas!P402="Taijiquan 24 D",Atletas!P402="Taijiquan 32 D",Atletas!P402="Taijiquan 42 D"),424,IF(OR(Atletas!P402="Yang 26 E",Atletas!P402="Yang 40 E"),425,IF(OR(Atletas!P402="Chen 25 E",Atletas!P402="Chen 36 E",Atletas!P402="Chen 56 E"),426,IF(Atletas!P402="Sun 73 E",427,IF(Atletas!P402="Wu 45 E",428,IF(Atletas!P402="Wu-Hao 46 E",429,IF(OR(Atletas!P402="Taijiquan 16 E",Atletas!P402="Taijiquan 24 E",Atletas!P402="Taijiquan 32 E",Atletas!P402="Taijiquan 42 E"),430,IF(OR(Atletas!P402="Yang 26 F",Atletas!P402="Yang 40 F"),431,IF(OR(Atletas!P402="Chen 25 F",Atletas!P402="Chen 36 F",Atletas!P402="Chen 56 F"),432,IF(Atletas!P402="Sun 73 F",433,IF(Atletas!P402="Wu 45 F",434,IF(Atletas!P402="Wu-Hao 46 F",435,IF(OR(Atletas!P402="Taijiquan 16 F",Atletas!P402="Taijiquan 24 F",Atletas!P402="Taijiquan 32 F",Atletas!P402="Taijiquan 42 F"),436,0)))))))))))))))))))</f>
        <v/>
      </c>
      <c r="BY411" s="50" t="str">
        <f>IF(Atletas!Q402="","",IF(Atletas!X402&lt;&gt;"",10000,0)+IF(Atletas!B402="Feminino",1000,IF(Atletas!B402="Masculino",2000,""))+IF(Atletas!Q402="Xingyiquan A",501,IF(Atletas!Q402="Baguazhang A",502,IF(Atletas!Q402="Outro Estilo Interno A",503,IF(Atletas!Q402="Xingyiquan B",504,IF(Atletas!Q402="Baguazhang B",505,IF(Atletas!Q402="Outro Estilo Interno B",506,IF(Atletas!Q402="Xingyiquan C",507,IF(Atletas!Q402="Baguazhang C",508,IF(Atletas!Q402="Outro Estilo Interno C",509,IF(Atletas!Q402="Xingyiquan D",510,IF(Atletas!Q402="Baguazhang D",511,IF(Atletas!Q402="Outro Estilo Interno D",512,IF(Atletas!Q402="Xingyiquan E",513,IF(Atletas!Q402="Baguazhang E",514,IF(Atletas!Q402="Outro Estilo Interno E",515,IF(Atletas!Q402="Xingyiquan F",516,IF(Atletas!Q402="Baguazhang F",517,IF(Atletas!Q402="Outro Estilo Interno F",518, "")))))))))))))))))))</f>
        <v/>
      </c>
      <c r="BZ411" s="50" t="str">
        <f>IF(Atletas!R402="","",IF(Atletas!X402&lt;&gt;"",10000,0)+IF(Atletas!B402="Feminino",1000,IF(Atletas!B402="Masculino",2000,""))+IF(Atletas!R402="Dao A",601,IF(Atletas!R402="Jian A",602,IF(Atletas!R402="Bishou A",603,IF(Atletas!R402="Shanzi A",604,IF(Atletas!R402="Outra Arma Curta A",605,IF(Atletas!R402="Dao B",606,IF(Atletas!R402="Jian B",607,IF(Atletas!R402="Bishou B",608,IF(Atletas!R402="Shanzi B",609,IF(Atletas!R402="Outra Arma Curta B",610,IF(Atletas!R402="Dao C",611,IF(Atletas!R402="Jian C",612,IF(Atletas!R402="Bishou C",613,IF(Atletas!R402="Shanzi C",614,IF(Atletas!R402="Outra Arma Curta C",615,IF(Atletas!R402="Dao D",616,IF(Atletas!R402="Jian D",617,IF(Atletas!R402="Bishou D",618,IF(Atletas!R402="Shanzi D",619,IF(Atletas!R402="Outra Arma Curta D",620,IF(Atletas!R402="Dao E",621,IF(Atletas!R402="Jian E",622,IF(Atletas!R402="Bishou E",623,IF(Atletas!R402="Shanzi E",624,IF(Atletas!R402="Outra Arma Curta E",625,IF(Atletas!R402="Dao F",626,IF(Atletas!R402="Jian F",627,IF(Atletas!R402="Bishou F",628,IF(Atletas!R402="Shanzi F",629,IF(Atletas!R402="Outra Arma Curta F",630, "")))))))))))))))))))))))))))))))</f>
        <v/>
      </c>
      <c r="CA411" s="50" t="str">
        <f>IF(Atletas!S402="","",IF(Atletas!X402&lt;&gt;"",10000,0)+IF(Atletas!B402="Feminino",1000,IF(Atletas!B402="Masculino",2000,""))+IF(Atletas!S402="Gun A",701,IF(Atletas!S402="Qiang A",702,IF(Atletas!S402="Pudao / Guandao A",703,IF(Atletas!S402="Outra Arma Longa A",704,IF(Atletas!S402="Gun B",705,IF(Atletas!S402="Qiang B",706,IF(Atletas!S402="Pudao / Guandao B",707,IF(Atletas!S402="Outra Arma Longa B",708,IF(Atletas!S402="Gun C",709,IF(Atletas!S402="Qiang C",710,IF(Atletas!S402="Pudao / Guandao C",711,IF(Atletas!S402="Outra Arma Longa C",712,IF(Atletas!S402="Gun D",713,IF(Atletas!S402="Qiang D",714,IF(Atletas!S402="Pudao / Guandao D",715,IF(Atletas!S402="Outra Arma Longa D",716,IF(Atletas!S402="Gun E",717,IF(Atletas!S402="Qiang E",718,IF(Atletas!S402="Pudao / Guandao E",719,IF(Atletas!S402="Outra Arma Longa E",720,IF(Atletas!S402="Gun F",721,IF(Atletas!S402="Qiang F",722,IF(Atletas!S402="Pudao / Guandao F",723,IF(Atletas!S402="Outra Arma Longa F",724,"")))))))))))))))))))))))))</f>
        <v/>
      </c>
      <c r="CB411" s="50" t="str">
        <f>IF(Atletas!T402="","",IF(Atletas!X402&lt;&gt;"",10000,0)+IF(Atletas!B402="Feminino",1000,IF(Atletas!B402="Masculino",2000,""))+IF(Atletas!T402="Outra Arma Dupla A",801,IF(Atletas!T402="Arma Maleável A",802,IF(Atletas!T402="Outra Arma Dupla B",803,IF(Atletas!T402="Arma Maleável B",804,IF(Atletas!T402="Outra Arma Dupla C",805,IF(Atletas!T402="Arma Maleável C",806,IF(Atletas!T402="Outra Arma Dupla D",807,IF(Atletas!T402="Arma Maleável D",808,IF(Atletas!T402="Outra Arma Dupla E",809,IF(Atletas!T402="Arma Maleável E",810,IF(Atletas!T402="Outra Arma Dupla F",811,IF(Atletas!T402="Arma Maleável F",812,IF(Atletas!T402="Shuangdao A",813,IF(Atletas!T402="Shuangdao B",814,IF(Atletas!T402="Shuangdao C",815,IF(Atletas!T402="Shuangdao D",816,IF(Atletas!T402="Shuangdao E",817,IF(Atletas!T402="Shuangdao F",818,"")))))))))))))))))))</f>
        <v/>
      </c>
      <c r="CC411" s="50" t="str">
        <f>IF(Atletas!U402="","",IF(Atletas!X402&lt;&gt;"",10000,0)+IF(Atletas!B402="Feminino",1000,IF(Atletas!B402="Masculino",2000,""))+IF(OR(Atletas!U402="Taijijian Yang A",Atletas!U402="Taijijian Yang Standard A"),901,IF(OR(Atletas!U402="Taijijian Chen A", Atletas!U402="Taijijian Chen Standard A"),902,IF(Atletas!U402="Taijijian Sun A",903,IF(Atletas!U402="Taijijian Wu A",904,IF(Atletas!U402="Taijijian Wu-Hao A",905,IF(OR(Atletas!U402="Taijijian 32 A",Atletas!U402="Taijijian 42 A"),906,IF(OR(Atletas!U402="Taijijian Yang B",Atletas!U402="Taijijian Yang Standard B"),907,IF(OR(Atletas!U402="Taijijian Chen B", Atletas!U402="Taijijian Chen Standard B"),908,IF(Atletas!U402="Taijijian Sun B",909,IF(Atletas!U402="Taijijian Wu B",910,IF(Atletas!U402="Taijijian Wu-Hao B",911,IF(OR(Atletas!U402="Taijijian 32 B",Atletas!U402="Taijijian 42 B"),912,IF(OR(Atletas!U402="Taijijian Yang C",Atletas!U402="Taijijian Yang Standard C"),913,IF(OR(Atletas!U402="Taijijian Chen C", Atletas!U402="Taijijian Chen Standard C"),914,IF(Atletas!U402="Taijijian Sun C",915,IF(Atletas!U402="Taijijian Wu C",916,IF(Atletas!U402="Taijijian Wu-Hao C",917,IF(OR(Atletas!U402="Taijijian 32 C",Atletas!U402="Taijijian 42 C"),918,IF(OR(Atletas!U402="Taijijian Yang D",Atletas!U402="Taijijian Yang Standard D"),919,IF(OR(Atletas!U402="Taijijian Chen D", Atletas!U402="Taijijian Chen Standard D"),920,IF(Atletas!U402="Taijijian Sun D",921,IF(Atletas!U402="Taijijian Wu D",922,IF(Atletas!U402="Taijijian Wu-Hao D",923,IF(OR(Atletas!U402="Taijijian 32 D",Atletas!U402="Taijijian 42 D"),924,IF(OR(Atletas!U402="Taijijian Yang E",Atletas!U402="Taijijian Yang Standard E"),925,IF(OR(Atletas!U402="Taijijian Chen E", Atletas!U402="Taijijian Chen Standard E"),926,IF(Atletas!U402="Taijijian Sun E",927,IF(Atletas!U402="Taijijian Wu E",928,IF(Atletas!U402="Taijijian Wu-Hao E",929,IF(OR(Atletas!U402="Taijijian 32 E",Atletas!U402="Taijijian 42 E"),930,IF(OR(Atletas!U402="Taijijian Yang F",Atletas!U402="Taijijian Yang Standard F"),931,IF(OR(Atletas!U402="Taijijian Chen F", Atletas!U402="Taijijian Chen Standard F"),932,IF(Atletas!U402="Taijijian Sun F",933,IF(Atletas!U402="Taijijian Wu F",934,IF(Atletas!U402="Taijijian Wu-Hao F",935,IF(OR(Atletas!U402="Taijijian 32 F",Atletas!U402="Taijijian 42 F"),936,"")))))))))))))))))))))))))))))))))))))</f>
        <v/>
      </c>
      <c r="CD411" s="50" t="str">
        <f>IF(Atletas!V402="","",IF(Atletas!X402&lt;&gt;"",10000,0)+IF(Atletas!B402="Feminino",1000,IF(Atletas!B402="Masculino",2000,""))+IF(Atletas!V402="Taijidao A",937,IF(Atletas!V402="TaijiShanzi A",938,IF(Atletas!V402="Taijiqiang A",939,IF(Atletas!V402="Bagua de Arma A",940,IF(Atletas!V402="Xingyi de Arma A",941,IF(Atletas!V402="Taijidao B",942,IF(Atletas!V402="TaijiShanzi B",943,IF(Atletas!V402="Taijiqiang B",944,IF(Atletas!V402="Bagua de Arma B",945,IF(Atletas!V402="Xingyi de Arma B",946,IF(Atletas!V402="Taijidao C",947,IF(Atletas!V402="TaijiShanzi C",948,IF(Atletas!V402="Taijiqiang C",949,IF(Atletas!V402="Bagua de Arma C",950,IF(Atletas!V402="Xingyi de Arma C",951,IF(Atletas!V402="Taijidao D",952,IF(Atletas!V402="TaijiShanzi D",953,IF(Atletas!V402="Taijiqiang D",954,IF(Atletas!V402="Bagua de Arma D",955,IF(Atletas!V402="Xingyi de Arma D",956,IF(Atletas!V402="Taijidao E",957,IF(Atletas!V402="TaijiShanzi E",958,IF(Atletas!V402="Taijiqiang E",959,IF(Atletas!V402="Bagua de Arma E",960,IF(Atletas!V402="Xingyi de Arma E",961,IF(Atletas!V402="Taijidao F",962,IF(Atletas!V402="TaijiShanzi F",963,IF(Atletas!V402="Taijiqiang F",964,IF(Atletas!V402="Bagua de Arma F",965,IF(Atletas!V402="Xingyi de Arma F",966,"")))))))))))))))))))))))))))))))</f>
        <v/>
      </c>
      <c r="CM411" s="50" t="str">
        <f xml:space="preserve"> IF(Atletas!W402="","",IF(Atletas!W402="Duilian de Mãos BC - Equipe 1",1,IF(Atletas!W402="Duilian de Mãos BC - Equipe 2",2,IF(Atletas!W402="Duilian de Armas BC - Equipe 1",3,IF(Atletas!W402="Duilian de Armas BC - Equipe 2",4,IF(Atletas!W402="Duilian de Mãos DE - Equipe 1",5,IF(Atletas!W402="Duilian de Mãos DE - Equipe 2",6,IF(Atletas!W402="Duilian de Armas DE - Equipe 1",7,IF(Atletas!W402="Duilian de Armas DE - Equipe 2",8,IF(Atletas!W402="Duilian de Tuishou - Equipe 1",9,IF(Atletas!W402="Duilian de Tuishou - Equipe 2",10,IF(Atletas!W402="Grupo Externo ABC - Equipe 1",11,IF(Atletas!W402="Grupo Externo ABC - Equipe 2",12,IF(Atletas!W402="Grupo Interno ABC - Equipe 1",13,IF(Atletas!W402="Grupo Interno ABC - Equipe 2",14,IF(Atletas!W402="Grupo Externo DEF - Equipe 1",15,IF(Atletas!W402="Grupo Externo DEF - Equipe 2",16,IF(Atletas!W402="Grupo Interno DEF - Equipe 1",17,IF(Atletas!W402="Grupo Interno DEF - Equipe 2",18,"")))))))))))))))))))</f>
        <v/>
      </c>
    </row>
    <row r="412" spans="40:91">
      <c r="AN412" s="52" t="str">
        <f>IF(Atletas!D403="","",IF(Atletas!B403="Feminino",100,IF(Atletas!B403="Masculino",200,""))+(IF(Atletas!D403="Kids 30kg",1,IF(Atletas!D403="Kids 32kg",2, IF(Atletas!D403="Kids 34kg",3,IF(Atletas!D403="Kids 36kg",4,IF(Atletas!D403="Kids 39kg",5,IF(Atletas!D403="Kids 42kg",6,IF(Atletas!D403="Kids 45kg",7, IF(Atletas!D403="Infantil 39kg",8,IF(Atletas!D403="Infantil 42kg",9,IF(Atletas!D403="Infantil 45kg",10,IF(Atletas!D403="Infantil 48kg",11,IF(Atletas!D403="Infantil 52kg",12,IF(Atletas!D403="Infantil 56kg",13,IF(Atletas!D403="Infantil 60kg",14,IF(Atletas!D403="Juvenil 48kg",15,IF(Atletas!D403="Juvenil 52kg",16,IF(Atletas!D403="Juvenil 56kg",17,IF(Atletas!D403="Juvenil 60kg",18,IF(Atletas!D403="Juvenil 65kg",19,IF(Atletas!D403="Juvenil 70kg",20,IF(Atletas!D403="Juvenil 75kg",21,IF(Atletas!D403="Juvenil 80kg",22, IF(Atletas!D403="Juvenil 85kg",23,IF(Atletas!D403="Adulto 48kg",24,IF(Atletas!D403="Adulto 52kg",25,IF(Atletas!D403="Adulto 56kg",26,IF(Atletas!D403="Adulto 60kg",27,IF(Atletas!D403="Adulto 65kg",28,IF(Atletas!D403="Adulto 70kg",29,IF(Atletas!D403="Adulto 75kg",30,IF(Atletas!D403="Adulto 80kg",31,IF(Atletas!D403="Adulto 85kg",32,IF(Atletas!D403="Adulto 90kg",33,IF(Atletas!D403="Adulto 100kg",34, IF(Atletas!D403="Adulto +100kg",35,"")))))))))))))))))))))))))))))))))))))</f>
        <v/>
      </c>
      <c r="AS412" s="6" t="str">
        <f>IF(Atletas!E403="","",IF(Atletas!B403="Feminino",100,IF(Atletas!B403="Masculino",200,""))+(IF(Atletas!E403="Juvenil 44kg",1,IF(Atletas!E403="Juvenil 48kg",2,IF(Atletas!E403="Juvenil 52kg",3,IF(Atletas!E403="Juvenil 56kg",4,IF(Atletas!E403="Juvenil 60kg",5,IF(Atletas!E403="Juvenil 65kg",6,IF(Atletas!E403="Juvenil 70kg",7,IF(Atletas!E403="Juvenil 75kg",8,IF(Atletas!E403="Juvenil 82kg",9,IF(Atletas!E403="Juvenil 90kg",10,IF(Atletas!E403="Juvenil 100kg",11,IF(Atletas!E403="Adulto 48kg",12,IF(Atletas!E403="Adulto 52kg",13,IF(Atletas!E403="Adulto 56kg",14,IF(Atletas!E403="Adulto 60kg",15,IF(Atletas!E403="Adulto 65kg",16,IF(Atletas!E403="Adulto 70kg",17,IF(Atletas!E403="Adulto 75kg",18,IF(Atletas!E403="Adulto 82kg",19,IF(Atletas!E403="Adulto 90kg",20,IF(Atletas!E403="Adulto 100kg",21,IF(Atletas!E403="Adulto +100kg",22,""))))))))))))))))))))))))</f>
        <v/>
      </c>
      <c r="AX412" s="6" t="str">
        <f>IF(Atletas!F403="","",IF(Atletas!B403="Feminino",100,IF(Atletas!B403="Masculino",200,""))+(IF(Atletas!F403="Adulto 48kg",1,IF(Atletas!F403="Adulto 56kg",2,IF(Atletas!F403="Adulto 65kg",3,IF(Atletas!F403="Adulto 75kg",4,IF(Atletas!F403="Adulto +75kg",5,IF(Atletas!F403="Adulto 52kg",6,IF(Atletas!F403="Adulto 60kg",7,IF(Atletas!F403="Adulto 70kg",8,IF(Atletas!F403="Adulto 80kg",9,IF(Atletas!F403="Adulto 90kg",10,IF(Atletas!F403="Adulto +90kg",11,"")))))))))))))</f>
        <v/>
      </c>
      <c r="BC412" s="6" t="str">
        <f>IF(Atletas!G403="","",IF(Atletas!B403="Feminino",10,IF(Atletas!B403="Masculino",20,""))+(IF(Atletas!G403="Baduanjin A",1,IF(Atletas!G403="Baduanjin B",2))))</f>
        <v/>
      </c>
      <c r="BF412" s="52" t="str">
        <f>IF(Atletas!H403="","",IF(Atletas!B403="Feminino",100,IF(Atletas!B403="Masculino",200,""))+(IF(Atletas!H403="Changquan Mirim",1,IF(Atletas!H403="Nanquan Mirim",2,IF(Atletas!H403="Taijiquan Mirim",3,IF(Atletas!H403="Changquan Grupo C",4,IF(Atletas!H403="Nanquan Grupo C",5,IF(Atletas!H403="Taijiquan Grupo C",6,IF(Atletas!H403="Changquan Grupo B",7,IF(Atletas!H403="Nanquan Grupo B",8,IF(Atletas!H403="Taijiquan Grupo B",9,IF(Atletas!H403="Changquan Grupo A",10,IF(Atletas!H403="Nanquan Grupo A",11,IF(Atletas!H403="Taijiquan Grupo A",12,IF(Atletas!H403="Changquan Opcional",13,IF(Atletas!H403="Nanquan Opcional",14,IF(Atletas!H403="Taijiquan Opcional",15,IF(Atletas!H403="Changquan Adulto",16,IF(Atletas!H403="Nanquan Adulto",17,IF(Atletas!H403="Taijiquan Adulto",18,""))))))))))))))))))))</f>
        <v/>
      </c>
      <c r="BG412" s="52" t="str">
        <f>IF(Atletas!I403="","",IF(Atletas!B403="Feminino",100,IF(Atletas!B403="Masculino",200,""))+(IF(Atletas!I403="Daoshu Mirim",19,IF(Atletas!I403="Jianshu Mirim",20,IF(Atletas!I403="Nandao Mirim",21,IF(Atletas!I403="Taijijian Mirim",22,IF(Atletas!I403="Daoshu Grupo C",23,IF(Atletas!I403="Jianshu Grupo C",24,IF(Atletas!I403="Nandao Grupo C",25,IF(Atletas!I403="Taijijian Grupo C",26,IF(Atletas!I403="Daoshu Grupo B",27,IF(Atletas!I403="Jianshu Grupo B",28,IF(Atletas!I403="Nandao Grupo B",29,IF(Atletas!I403="Taijijian Grupo B",30,IF(Atletas!I403="Daoshu Grupo A",31,IF(Atletas!I403="Jianshu Grupo A",32,IF(Atletas!I403="Nandao Grupo A",33,IF(Atletas!I403="Taijijian Grupo A",34,IF(Atletas!I403="Daoshu Opcional",35,IF(Atletas!I403="Jianshu Opcional",36,IF(Atletas!I403="Nandao Opcional",37,IF(Atletas!I403="Taijijian Opcional",38,IF(Atletas!I403="Daoshu Adulto",39,IF(Atletas!I403="Jianshu Adulto",40,IF(Atletas!I403="Nandao Adulto",41,IF(Atletas!I403="Taijijian Adulto",42,""))))))))))))))))))))))))))</f>
        <v/>
      </c>
      <c r="BH412" s="52" t="str">
        <f>IF(Atletas!J403="","",IF(Atletas!B403="Feminino",100,IF(Atletas!B403="Masculino",200,""))+(IF(Atletas!J403="Gunshu Mirim",43,IF(Atletas!J403="Qiangshu Mirim",44,IF(Atletas!J403="Nangun Mirim",45,IF(Atletas!J403="Gunshu Grupo C",46,IF(Atletas!J403="Qiangshu Grupo C",47,IF(Atletas!J403="Nangun Grupo C",48,IF(Atletas!J403="Gunshu Grupo B",49,IF(Atletas!J403="Qiangshu Grupo B",50,IF(Atletas!J403="Nangun Grupo B",51,IF(Atletas!J403="Gunshu Grupo A",52,IF(Atletas!J403="Qiangshu Grupo A",53,IF(Atletas!J403="Nangun Grupo A",54,IF(Atletas!J403="Gunshu Opcional",55,IF(Atletas!J403="Qiangshu Opcional",56,IF(Atletas!J403="Nangun Opcional",57,IF(Atletas!J403="Gunshu Adulto",58,IF(Atletas!J403="Qiangshu Adulto",59,IF(Atletas!J403="Nangun Adulto",60,IF(Atletas!J403="Taijishan Grupo B",61,IF(Atletas!J403="Taijishan Grupo A",62,""))))))))))))))))))))))</f>
        <v/>
      </c>
      <c r="BM412" s="50" t="str">
        <f>IF(Atletas!K403="","",IF(Atletas!B403="Feminino",100,IF(Atletas!B403="Masculino",200,""))+(IF(Atletas!K403="Equipe 1 Grupo B",1,IF(Atletas!K403="Equipe 2 Grupo B",2,IF(Atletas!K403="Equipe 1 Grupo A",3,IF(Atletas!K403="Equipe 2 Grupo A",4,IF(Atletas!K403="Equipe 1 Adulto",5,IF(Atletas!K403="Equipe 2 Adulto",6,""))))))))</f>
        <v/>
      </c>
      <c r="BR412" s="50" t="str">
        <f>IF(Atletas!L403="","",IF(Atletas!X403&lt;&gt;"",10000,0)+(IF(Atletas!B403="Feminino",1000,IF(Atletas!B403="Masculino",2000,""))+IF(Atletas!L403="Choylayfut A",1,IF(Atletas!L403="Hunggar A",2,IF(Atletas!L403="Wuzuquan A",3,IF(Atletas!L403="Wingchun A",4,IF(Atletas!L403="Outra Mão de Sul A",5,IF(Atletas!L403="Choylayfut B",6,IF(Atletas!L403="Hunggar B",7,IF(Atletas!L403="Wuzuquan B",8,IF(Atletas!L403="Wingchun B",9,IF(Atletas!L403="Outra Mão de Sul B",10,IF(Atletas!L403="Choylayfut C",11,IF(Atletas!L403="Hunggar C",12,IF(Atletas!L403="Wuzuquan C",13,IF(Atletas!L403="Wingchun C",14,IF(Atletas!L403="Outra Mão de Sul C",15,IF(Atletas!L403="Choylayfut D",16,IF(Atletas!L403="Hunggar D",17,IF(Atletas!L403="Wuzuquan D",18,IF(Atletas!L403="Wingchun D",19,IF(Atletas!L403="Outra Mão de Sul D",20,IF(Atletas!L403="Choylayfut E",21,IF(Atletas!L403="Hunggar E",22,IF(Atletas!L403="Wuzuquan E",23,IF(Atletas!L403="Wingchun E",24,IF(Atletas!L403="Outra Mão de Sul E",25,IF(Atletas!L403="Choylayfut F",26,IF(Atletas!L403="Hunggar F",27,IF(Atletas!L403="Wuzuquan F",28,IF(Atletas!L403="Wingchun F",29,IF(Atletas!L403="Outra Mão de Sul F",30,IF(Atletas!L403="Dishuquan A",31,IF(Atletas!L403="Dishuquan B",32,IF(Atletas!L403="Dishuquan C",33,IF(Atletas!L403="Dishuquan D",34,IF(Atletas!L403="Dishuquan E",35,IF(Atletas!L403="Dishuquan F",36,""))))))))))))))))))))))))))))))))))))))</f>
        <v/>
      </c>
      <c r="BS412" s="50" t="str">
        <f>IF(Atletas!M403="","",IF(Atletas!X403&lt;&gt;"",10000,0)+(IF(Atletas!B403="Feminino",1000,IF(Atletas!B403="Masculino",2000,""))+(IF(Atletas!M403="Chaquan A",101,IF(Atletas!M403="Emeiquan A",102,IF(Atletas!M403="Fanziquan A",103,IF(Atletas!M403="Huaquan A",104,IF(Atletas!M403="Hongquan A",105,IF(Atletas!M403="Paoquan A",106,IF(Atletas!M403="Piguaquan A",107,IF(Atletas!M403="Shaolinquan A",108,IF(Atletas!M403="Tanglangquan A",109,IF(Atletas!M403="Yingzhaoquan A",110,IF(Atletas!M403="Tongbeiquan A",111,IF(Atletas!M403="Wudangquan A",112,IF(Atletas!M403="Outros Estilos A",113,IF(Atletas!M403="Chaquan B",114,IF(Atletas!M403="Emeiquan B",115,IF(Atletas!M403="Fanziquan B",116,IF(Atletas!M403="Huaquan B",117,IF(Atletas!M403="Hongquan B",118,IF(Atletas!M403="Paoquan B",119,IF(Atletas!M403="Piguaquan B",120,IF(Atletas!M403="Shaolinquan B",121,IF(Atletas!M403="Tanglangquan B",122,IF(Atletas!M403="Yingzhaoquan B",123,IF(Atletas!M403="Tongbeiquan B",124,IF(Atletas!M403="Wudangquan B",125,IF(Atletas!M403="Outros Estilos B",126,IF(Atletas!M403="Chaquan C",127,IF(Atletas!M403="Emeiquan C",128,IF(Atletas!M403="Fanziquan C",129,IF(Atletas!M403="Huaquan C",130,IF(Atletas!M403="Hongquan C",131,IF(Atletas!M403="Paoquan C",132,IF(Atletas!M403="Piguaquan C",133,IF(Atletas!M403="Shaolinquan C",134,IF(Atletas!M403="Tanglangquan C",135,IF(Atletas!M403="Yingzhaoquan C",136,IF(Atletas!M403="Tongbeiquan C",137,IF(Atletas!M403="Wudangquan C",138,IF(Atletas!M403="Outros Estilos C",139,0))))))))))))))))))))))))))))))))))))))))))</f>
        <v/>
      </c>
      <c r="BT412" s="50" t="str">
        <f>IF(Atletas!M403="","",IF(Atletas!X403&lt;&gt;"",10000,0)+(IF(Atletas!B403="Feminino",1000,IF(Atletas!B403="Masculino",2000,""))+(IF(Atletas!M403="Chaquan D",140,IF(Atletas!M403="Emeiquan D",141,IF(Atletas!M403="Fanziquan D",142,IF(Atletas!M403="Huaquan D",143,IF(Atletas!M403="Hongquan D",144,IF(Atletas!M403="Paoquan D",145,IF(Atletas!M403="Piguaquan D",146,IF(Atletas!M403="Shaolinquan D",147,IF(Atletas!M403="Tanglangquan D",148,IF(Atletas!M403="Yingzhaoquan D",149,IF(Atletas!M403="Tongbeiquan D",150,IF(Atletas!M403="Wudangquan D",151,IF(Atletas!M403="Outros Estilos D",152,IF(Atletas!M403="Chaquan E",153,IF(Atletas!M403="Emeiquan E",154,IF(Atletas!M403="Fanziquan E",155,IF(Atletas!M403="Huaquan E",156,IF(Atletas!M403="Hongquan E",157,IF(Atletas!M403="Paoquan E",158,IF(Atletas!M403="Piguaquan E",159,IF(Atletas!M403="Shaolinquan E",160,IF(Atletas!M403="Tanglangquan E",161,IF(Atletas!M403="Yingzhaoquan E",162,IF(Atletas!M403="Tongbeiquan E",163,IF(Atletas!M403="Wudangquan E",164,IF(Atletas!M403="Outros Estilos E",165,IF(Atletas!M403="Chaquan F",166,IF(Atletas!M403="Emeiquan F",167,IF(Atletas!M403="Fanziquan F",168,IF(Atletas!M403="Huaquan F",169,IF(Atletas!M403="Hongquan F",170,IF(Atletas!M403="Paoquan F",171,IF(Atletas!M403="Piguaquan F",172,IF(Atletas!M403="Shaolinquan F",173,IF(Atletas!M403="Tanglangquan F",174,IF(Atletas!M403="Yingzhaoquan F",175,IF(Atletas!M403="Tongbeiquan F",176,IF(Atletas!M403="Wudangquan F",177,IF(Atletas!M403="Outros Estilos F",178,0))))))))))))))))))))))))))))))))))))))))))</f>
        <v/>
      </c>
      <c r="BU412" s="50" t="str">
        <f>IF(Atletas!N403="","",IF(Atletas!X403&lt;&gt;"",10000,0)+(IF(Atletas!B403="Feminino",1000,IF(Atletas!B403="Masculino",2000,""))+(IF(Atletas!N403="Ditangquan A",201,IF(Atletas!N403="Houquan A",202,IF(Atletas!N403="Zuiquan A",203,IF(Atletas!N403="Ditangquan B",204,IF(Atletas!N403="Houquan B",205,IF(Atletas!N403="Zuiquan B",206,IF(Atletas!N403="Ditangquan C",207,IF(Atletas!N403="Houquan C",208,IF(Atletas!N403="Zuiquan C",209,IF(Atletas!N403="Ditangquan D",210,IF(Atletas!N403="Houquan D",211,IF(Atletas!N403="Zuiquan D",212,IF(Atletas!N403="Ditangquan E",213,IF(Atletas!N403="Houquan E",214,IF(Atletas!N403="Zuiquan E",215,IF(Atletas!N403="Ditangquan F",216,IF(Atletas!N403="Houquan F",217,IF(Atletas!N403="Zuiquan F",218,"")))))))))))))))))))))</f>
        <v/>
      </c>
      <c r="BV412" s="50" t="str">
        <f>IF(Atletas!O403="","",IF(Atletas!X403&lt;&gt;"",10000,0)+IF(Atletas!B403="Feminino",1000,IF(Atletas!B403="Masculino",2000,""))+IF(Atletas!O403="Yang A",301,IF(Atletas!O403="Chen A",302,IF(Atletas!O403="Sun A",303,IF(Atletas!O403="Wu A",304,IF(Atletas!O403="Wu-Hao A",305,IF(Atletas!O403="Outro Taijiquan A",306,IF(Atletas!O403="Yang B",307,IF(Atletas!O403="Chen B",308,IF(Atletas!O403="Sun B",309,IF(Atletas!O403="Wu B",310,IF(Atletas!O403="Wu-Hao B",311,IF(Atletas!O403="Outro Taijiquan B",312,IF(Atletas!O403="Yang C",313,IF(Atletas!O403="Chen C",314,IF(Atletas!O403="Sun C",315,IF(Atletas!O403="Wu C",316,IF(Atletas!O403="Wu-Hao C",317,IF(Atletas!O403="Outro Taijiquan C",318,IF(Atletas!O403="Yang D",319,IF(Atletas!O403="Chen D",320,IF(Atletas!O403="Sun D",321,IF(Atletas!O403="Wu D",322,IF(Atletas!O403="Wu-Hao D",323,IF(Atletas!O403="Outro Taijiquan D",324,IF(Atletas!O403="Yang E",325,IF(Atletas!O403="Chen E",326,IF(Atletas!O403="Sun E",327,IF(Atletas!O403="Wu E",328,IF(Atletas!O403="Wu-Hao E",329,IF(Atletas!O403="Outro Taijiquan E",330,IF(Atletas!O403="Yang F",331,IF(Atletas!O403="Chen F",332,IF(Atletas!O403="Sun F",333,IF(Atletas!O403="Wu F",334,IF(Atletas!O403="Wu-Hao F",335,IF(Atletas!O403="Outro Taijiquan F",336,"")))))))))))))))))))))))))))))))))))))</f>
        <v/>
      </c>
      <c r="BW412" s="50" t="str">
        <f>IF(Atletas!P403="","",IF(Atletas!X403&lt;&gt;"",10000,0)+IF(Atletas!B403="Feminino",1000,IF(Atletas!B403="Masculino",2000,""))+IF(OR(Atletas!P403="Yang 26 A",Atletas!P403="Yang 40 A"),401,IF(OR(Atletas!P403="Chen 25 A",Atletas!P403="Chen 36 A",Atletas!P403="Chen 56 A"),402,IF(Atletas!P403="Sun 73 A",403,IF(Atletas!P403="Wu 45 A",404,IF(Atletas!P403="Wu-Hao 46 A",405,IF(OR(Atletas!P403="Taijiquan 16 A",Atletas!P403="Taijiquan 24 A",Atletas!P403="Taijiquan 32 A",Atletas!P403="Taijiquan 42 A"),406,IF(OR(Atletas!P403="Yang 26 B",Atletas!P403="Yang 40 B"),407,IF(OR(Atletas!P403="Chen 25 B",Atletas!P403="Chen 36 B",Atletas!P403="Chen 56 B"),408,IF(Atletas!P403="Sun 73 B",409,IF(Atletas!P403="Wu 45 B",410,IF(Atletas!P403="Wu-Hao 46 B",411,IF(OR(Atletas!P403="Taijiquan 16 B",Atletas!P403="Taijiquan 24 B",Atletas!P403="Taijiquan 32 B",Atletas!P403="Taijiquan 42 B"),412,IF(OR(Atletas!P403="Yang 26 C",Atletas!P403="Yang 40 C"),413,IF(OR(Atletas!P403="Chen 25 C",Atletas!P403="Chen 36 C",Atletas!P403="Chen 56 C"),414,IF(Atletas!P403="Sun 73 C",415,IF(Atletas!P403="Wu 45 C",416,IF(Atletas!P403="Wu-Hao 46 C",417,IF(OR(Atletas!P403="Taijiquan 16 C",Atletas!P403="Taijiquan 24 C",Atletas!P403="Taijiquan 32 C",Atletas!P403="Taijiquan 42 C"),418,0)))))))))))))))))))</f>
        <v/>
      </c>
      <c r="BX412" s="50" t="str">
        <f>IF(Atletas!P403="","",IF(Atletas!X403&lt;&gt;"",10000,0)+IF(Atletas!B403="Feminino",1000,IF(Atletas!B403="Masculino",2000,""))+IF(OR(Atletas!P403="Yang 26 D",Atletas!P403="Yang 40 D"),419,IF(OR(Atletas!P403="Chen 25 D",Atletas!P403="Chen 36 D",Atletas!P403="Chen 56 D"),420,IF(Atletas!P403="Sun 73 D",421,IF(Atletas!P403="Wu 45 D",422,IF(Atletas!P403="Wu-Hao 46 D",423,IF(OR(Atletas!P403="Taijiquan 16 D",Atletas!P403="Taijiquan 24 D",Atletas!P403="Taijiquan 32 D",Atletas!P403="Taijiquan 42 D"),424,IF(OR(Atletas!P403="Yang 26 E",Atletas!P403="Yang 40 E"),425,IF(OR(Atletas!P403="Chen 25 E",Atletas!P403="Chen 36 E",Atletas!P403="Chen 56 E"),426,IF(Atletas!P403="Sun 73 E",427,IF(Atletas!P403="Wu 45 E",428,IF(Atletas!P403="Wu-Hao 46 E",429,IF(OR(Atletas!P403="Taijiquan 16 E",Atletas!P403="Taijiquan 24 E",Atletas!P403="Taijiquan 32 E",Atletas!P403="Taijiquan 42 E"),430,IF(OR(Atletas!P403="Yang 26 F",Atletas!P403="Yang 40 F"),431,IF(OR(Atletas!P403="Chen 25 F",Atletas!P403="Chen 36 F",Atletas!P403="Chen 56 F"),432,IF(Atletas!P403="Sun 73 F",433,IF(Atletas!P403="Wu 45 F",434,IF(Atletas!P403="Wu-Hao 46 F",435,IF(OR(Atletas!P403="Taijiquan 16 F",Atletas!P403="Taijiquan 24 F",Atletas!P403="Taijiquan 32 F",Atletas!P403="Taijiquan 42 F"),436,0)))))))))))))))))))</f>
        <v/>
      </c>
      <c r="BY412" s="50" t="str">
        <f>IF(Atletas!Q403="","",IF(Atletas!X403&lt;&gt;"",10000,0)+IF(Atletas!B403="Feminino",1000,IF(Atletas!B403="Masculino",2000,""))+IF(Atletas!Q403="Xingyiquan A",501,IF(Atletas!Q403="Baguazhang A",502,IF(Atletas!Q403="Outro Estilo Interno A",503,IF(Atletas!Q403="Xingyiquan B",504,IF(Atletas!Q403="Baguazhang B",505,IF(Atletas!Q403="Outro Estilo Interno B",506,IF(Atletas!Q403="Xingyiquan C",507,IF(Atletas!Q403="Baguazhang C",508,IF(Atletas!Q403="Outro Estilo Interno C",509,IF(Atletas!Q403="Xingyiquan D",510,IF(Atletas!Q403="Baguazhang D",511,IF(Atletas!Q403="Outro Estilo Interno D",512,IF(Atletas!Q403="Xingyiquan E",513,IF(Atletas!Q403="Baguazhang E",514,IF(Atletas!Q403="Outro Estilo Interno E",515,IF(Atletas!Q403="Xingyiquan F",516,IF(Atletas!Q403="Baguazhang F",517,IF(Atletas!Q403="Outro Estilo Interno F",518, "")))))))))))))))))))</f>
        <v/>
      </c>
      <c r="BZ412" s="50" t="str">
        <f>IF(Atletas!R403="","",IF(Atletas!X403&lt;&gt;"",10000,0)+IF(Atletas!B403="Feminino",1000,IF(Atletas!B403="Masculino",2000,""))+IF(Atletas!R403="Dao A",601,IF(Atletas!R403="Jian A",602,IF(Atletas!R403="Bishou A",603,IF(Atletas!R403="Shanzi A",604,IF(Atletas!R403="Outra Arma Curta A",605,IF(Atletas!R403="Dao B",606,IF(Atletas!R403="Jian B",607,IF(Atletas!R403="Bishou B",608,IF(Atletas!R403="Shanzi B",609,IF(Atletas!R403="Outra Arma Curta B",610,IF(Atletas!R403="Dao C",611,IF(Atletas!R403="Jian C",612,IF(Atletas!R403="Bishou C",613,IF(Atletas!R403="Shanzi C",614,IF(Atletas!R403="Outra Arma Curta C",615,IF(Atletas!R403="Dao D",616,IF(Atletas!R403="Jian D",617,IF(Atletas!R403="Bishou D",618,IF(Atletas!R403="Shanzi D",619,IF(Atletas!R403="Outra Arma Curta D",620,IF(Atletas!R403="Dao E",621,IF(Atletas!R403="Jian E",622,IF(Atletas!R403="Bishou E",623,IF(Atletas!R403="Shanzi E",624,IF(Atletas!R403="Outra Arma Curta E",625,IF(Atletas!R403="Dao F",626,IF(Atletas!R403="Jian F",627,IF(Atletas!R403="Bishou F",628,IF(Atletas!R403="Shanzi F",629,IF(Atletas!R403="Outra Arma Curta F",630, "")))))))))))))))))))))))))))))))</f>
        <v/>
      </c>
      <c r="CA412" s="50" t="str">
        <f>IF(Atletas!S403="","",IF(Atletas!X403&lt;&gt;"",10000,0)+IF(Atletas!B403="Feminino",1000,IF(Atletas!B403="Masculino",2000,""))+IF(Atletas!S403="Gun A",701,IF(Atletas!S403="Qiang A",702,IF(Atletas!S403="Pudao / Guandao A",703,IF(Atletas!S403="Outra Arma Longa A",704,IF(Atletas!S403="Gun B",705,IF(Atletas!S403="Qiang B",706,IF(Atletas!S403="Pudao / Guandao B",707,IF(Atletas!S403="Outra Arma Longa B",708,IF(Atletas!S403="Gun C",709,IF(Atletas!S403="Qiang C",710,IF(Atletas!S403="Pudao / Guandao C",711,IF(Atletas!S403="Outra Arma Longa C",712,IF(Atletas!S403="Gun D",713,IF(Atletas!S403="Qiang D",714,IF(Atletas!S403="Pudao / Guandao D",715,IF(Atletas!S403="Outra Arma Longa D",716,IF(Atletas!S403="Gun E",717,IF(Atletas!S403="Qiang E",718,IF(Atletas!S403="Pudao / Guandao E",719,IF(Atletas!S403="Outra Arma Longa E",720,IF(Atletas!S403="Gun F",721,IF(Atletas!S403="Qiang F",722,IF(Atletas!S403="Pudao / Guandao F",723,IF(Atletas!S403="Outra Arma Longa F",724,"")))))))))))))))))))))))))</f>
        <v/>
      </c>
      <c r="CB412" s="50" t="str">
        <f>IF(Atletas!T403="","",IF(Atletas!X403&lt;&gt;"",10000,0)+IF(Atletas!B403="Feminino",1000,IF(Atletas!B403="Masculino",2000,""))+IF(Atletas!T403="Outra Arma Dupla A",801,IF(Atletas!T403="Arma Maleável A",802,IF(Atletas!T403="Outra Arma Dupla B",803,IF(Atletas!T403="Arma Maleável B",804,IF(Atletas!T403="Outra Arma Dupla C",805,IF(Atletas!T403="Arma Maleável C",806,IF(Atletas!T403="Outra Arma Dupla D",807,IF(Atletas!T403="Arma Maleável D",808,IF(Atletas!T403="Outra Arma Dupla E",809,IF(Atletas!T403="Arma Maleável E",810,IF(Atletas!T403="Outra Arma Dupla F",811,IF(Atletas!T403="Arma Maleável F",812,IF(Atletas!T403="Shuangdao A",813,IF(Atletas!T403="Shuangdao B",814,IF(Atletas!T403="Shuangdao C",815,IF(Atletas!T403="Shuangdao D",816,IF(Atletas!T403="Shuangdao E",817,IF(Atletas!T403="Shuangdao F",818,"")))))))))))))))))))</f>
        <v/>
      </c>
      <c r="CC412" s="50" t="str">
        <f>IF(Atletas!U403="","",IF(Atletas!X403&lt;&gt;"",10000,0)+IF(Atletas!B403="Feminino",1000,IF(Atletas!B403="Masculino",2000,""))+IF(OR(Atletas!U403="Taijijian Yang A",Atletas!U403="Taijijian Yang Standard A"),901,IF(OR(Atletas!U403="Taijijian Chen A", Atletas!U403="Taijijian Chen Standard A"),902,IF(Atletas!U403="Taijijian Sun A",903,IF(Atletas!U403="Taijijian Wu A",904,IF(Atletas!U403="Taijijian Wu-Hao A",905,IF(OR(Atletas!U403="Taijijian 32 A",Atletas!U403="Taijijian 42 A"),906,IF(OR(Atletas!U403="Taijijian Yang B",Atletas!U403="Taijijian Yang Standard B"),907,IF(OR(Atletas!U403="Taijijian Chen B", Atletas!U403="Taijijian Chen Standard B"),908,IF(Atletas!U403="Taijijian Sun B",909,IF(Atletas!U403="Taijijian Wu B",910,IF(Atletas!U403="Taijijian Wu-Hao B",911,IF(OR(Atletas!U403="Taijijian 32 B",Atletas!U403="Taijijian 42 B"),912,IF(OR(Atletas!U403="Taijijian Yang C",Atletas!U403="Taijijian Yang Standard C"),913,IF(OR(Atletas!U403="Taijijian Chen C", Atletas!U403="Taijijian Chen Standard C"),914,IF(Atletas!U403="Taijijian Sun C",915,IF(Atletas!U403="Taijijian Wu C",916,IF(Atletas!U403="Taijijian Wu-Hao C",917,IF(OR(Atletas!U403="Taijijian 32 C",Atletas!U403="Taijijian 42 C"),918,IF(OR(Atletas!U403="Taijijian Yang D",Atletas!U403="Taijijian Yang Standard D"),919,IF(OR(Atletas!U403="Taijijian Chen D", Atletas!U403="Taijijian Chen Standard D"),920,IF(Atletas!U403="Taijijian Sun D",921,IF(Atletas!U403="Taijijian Wu D",922,IF(Atletas!U403="Taijijian Wu-Hao D",923,IF(OR(Atletas!U403="Taijijian 32 D",Atletas!U403="Taijijian 42 D"),924,IF(OR(Atletas!U403="Taijijian Yang E",Atletas!U403="Taijijian Yang Standard E"),925,IF(OR(Atletas!U403="Taijijian Chen E", Atletas!U403="Taijijian Chen Standard E"),926,IF(Atletas!U403="Taijijian Sun E",927,IF(Atletas!U403="Taijijian Wu E",928,IF(Atletas!U403="Taijijian Wu-Hao E",929,IF(OR(Atletas!U403="Taijijian 32 E",Atletas!U403="Taijijian 42 E"),930,IF(OR(Atletas!U403="Taijijian Yang F",Atletas!U403="Taijijian Yang Standard F"),931,IF(OR(Atletas!U403="Taijijian Chen F", Atletas!U403="Taijijian Chen Standard F"),932,IF(Atletas!U403="Taijijian Sun F",933,IF(Atletas!U403="Taijijian Wu F",934,IF(Atletas!U403="Taijijian Wu-Hao F",935,IF(OR(Atletas!U403="Taijijian 32 F",Atletas!U403="Taijijian 42 F"),936,"")))))))))))))))))))))))))))))))))))))</f>
        <v/>
      </c>
      <c r="CD412" s="50" t="str">
        <f>IF(Atletas!V403="","",IF(Atletas!X403&lt;&gt;"",10000,0)+IF(Atletas!B403="Feminino",1000,IF(Atletas!B403="Masculino",2000,""))+IF(Atletas!V403="Taijidao A",937,IF(Atletas!V403="TaijiShanzi A",938,IF(Atletas!V403="Taijiqiang A",939,IF(Atletas!V403="Bagua de Arma A",940,IF(Atletas!V403="Xingyi de Arma A",941,IF(Atletas!V403="Taijidao B",942,IF(Atletas!V403="TaijiShanzi B",943,IF(Atletas!V403="Taijiqiang B",944,IF(Atletas!V403="Bagua de Arma B",945,IF(Atletas!V403="Xingyi de Arma B",946,IF(Atletas!V403="Taijidao C",947,IF(Atletas!V403="TaijiShanzi C",948,IF(Atletas!V403="Taijiqiang C",949,IF(Atletas!V403="Bagua de Arma C",950,IF(Atletas!V403="Xingyi de Arma C",951,IF(Atletas!V403="Taijidao D",952,IF(Atletas!V403="TaijiShanzi D",953,IF(Atletas!V403="Taijiqiang D",954,IF(Atletas!V403="Bagua de Arma D",955,IF(Atletas!V403="Xingyi de Arma D",956,IF(Atletas!V403="Taijidao E",957,IF(Atletas!V403="TaijiShanzi E",958,IF(Atletas!V403="Taijiqiang E",959,IF(Atletas!V403="Bagua de Arma E",960,IF(Atletas!V403="Xingyi de Arma E",961,IF(Atletas!V403="Taijidao F",962,IF(Atletas!V403="TaijiShanzi F",963,IF(Atletas!V403="Taijiqiang F",964,IF(Atletas!V403="Bagua de Arma F",965,IF(Atletas!V403="Xingyi de Arma F",966,"")))))))))))))))))))))))))))))))</f>
        <v/>
      </c>
      <c r="CM412" s="50" t="str">
        <f xml:space="preserve"> IF(Atletas!W403="","",IF(Atletas!W403="Duilian de Mãos BC - Equipe 1",1,IF(Atletas!W403="Duilian de Mãos BC - Equipe 2",2,IF(Atletas!W403="Duilian de Armas BC - Equipe 1",3,IF(Atletas!W403="Duilian de Armas BC - Equipe 2",4,IF(Atletas!W403="Duilian de Mãos DE - Equipe 1",5,IF(Atletas!W403="Duilian de Mãos DE - Equipe 2",6,IF(Atletas!W403="Duilian de Armas DE - Equipe 1",7,IF(Atletas!W403="Duilian de Armas DE - Equipe 2",8,IF(Atletas!W403="Duilian de Tuishou - Equipe 1",9,IF(Atletas!W403="Duilian de Tuishou - Equipe 2",10,IF(Atletas!W403="Grupo Externo ABC - Equipe 1",11,IF(Atletas!W403="Grupo Externo ABC - Equipe 2",12,IF(Atletas!W403="Grupo Interno ABC - Equipe 1",13,IF(Atletas!W403="Grupo Interno ABC - Equipe 2",14,IF(Atletas!W403="Grupo Externo DEF - Equipe 1",15,IF(Atletas!W403="Grupo Externo DEF - Equipe 2",16,IF(Atletas!W403="Grupo Interno DEF - Equipe 1",17,IF(Atletas!W403="Grupo Interno DEF - Equipe 2",18,"")))))))))))))))))))</f>
        <v/>
      </c>
    </row>
    <row r="413" spans="40:91">
      <c r="AN413" s="52" t="str">
        <f>IF(Atletas!D404="","",IF(Atletas!B404="Feminino",100,IF(Atletas!B404="Masculino",200,""))+(IF(Atletas!D404="Kids 30kg",1,IF(Atletas!D404="Kids 32kg",2, IF(Atletas!D404="Kids 34kg",3,IF(Atletas!D404="Kids 36kg",4,IF(Atletas!D404="Kids 39kg",5,IF(Atletas!D404="Kids 42kg",6,IF(Atletas!D404="Kids 45kg",7, IF(Atletas!D404="Infantil 39kg",8,IF(Atletas!D404="Infantil 42kg",9,IF(Atletas!D404="Infantil 45kg",10,IF(Atletas!D404="Infantil 48kg",11,IF(Atletas!D404="Infantil 52kg",12,IF(Atletas!D404="Infantil 56kg",13,IF(Atletas!D404="Infantil 60kg",14,IF(Atletas!D404="Juvenil 48kg",15,IF(Atletas!D404="Juvenil 52kg",16,IF(Atletas!D404="Juvenil 56kg",17,IF(Atletas!D404="Juvenil 60kg",18,IF(Atletas!D404="Juvenil 65kg",19,IF(Atletas!D404="Juvenil 70kg",20,IF(Atletas!D404="Juvenil 75kg",21,IF(Atletas!D404="Juvenil 80kg",22, IF(Atletas!D404="Juvenil 85kg",23,IF(Atletas!D404="Adulto 48kg",24,IF(Atletas!D404="Adulto 52kg",25,IF(Atletas!D404="Adulto 56kg",26,IF(Atletas!D404="Adulto 60kg",27,IF(Atletas!D404="Adulto 65kg",28,IF(Atletas!D404="Adulto 70kg",29,IF(Atletas!D404="Adulto 75kg",30,IF(Atletas!D404="Adulto 80kg",31,IF(Atletas!D404="Adulto 85kg",32,IF(Atletas!D404="Adulto 90kg",33,IF(Atletas!D404="Adulto 100kg",34, IF(Atletas!D404="Adulto +100kg",35,"")))))))))))))))))))))))))))))))))))))</f>
        <v/>
      </c>
      <c r="AS413" s="6" t="str">
        <f>IF(Atletas!E404="","",IF(Atletas!B404="Feminino",100,IF(Atletas!B404="Masculino",200,""))+(IF(Atletas!E404="Juvenil 44kg",1,IF(Atletas!E404="Juvenil 48kg",2,IF(Atletas!E404="Juvenil 52kg",3,IF(Atletas!E404="Juvenil 56kg",4,IF(Atletas!E404="Juvenil 60kg",5,IF(Atletas!E404="Juvenil 65kg",6,IF(Atletas!E404="Juvenil 70kg",7,IF(Atletas!E404="Juvenil 75kg",8,IF(Atletas!E404="Juvenil 82kg",9,IF(Atletas!E404="Juvenil 90kg",10,IF(Atletas!E404="Juvenil 100kg",11,IF(Atletas!E404="Adulto 48kg",12,IF(Atletas!E404="Adulto 52kg",13,IF(Atletas!E404="Adulto 56kg",14,IF(Atletas!E404="Adulto 60kg",15,IF(Atletas!E404="Adulto 65kg",16,IF(Atletas!E404="Adulto 70kg",17,IF(Atletas!E404="Adulto 75kg",18,IF(Atletas!E404="Adulto 82kg",19,IF(Atletas!E404="Adulto 90kg",20,IF(Atletas!E404="Adulto 100kg",21,IF(Atletas!E404="Adulto +100kg",22,""))))))))))))))))))))))))</f>
        <v/>
      </c>
      <c r="AX413" s="6" t="str">
        <f>IF(Atletas!F404="","",IF(Atletas!B404="Feminino",100,IF(Atletas!B404="Masculino",200,""))+(IF(Atletas!F404="Adulto 48kg",1,IF(Atletas!F404="Adulto 56kg",2,IF(Atletas!F404="Adulto 65kg",3,IF(Atletas!F404="Adulto 75kg",4,IF(Atletas!F404="Adulto +75kg",5,IF(Atletas!F404="Adulto 52kg",6,IF(Atletas!F404="Adulto 60kg",7,IF(Atletas!F404="Adulto 70kg",8,IF(Atletas!F404="Adulto 80kg",9,IF(Atletas!F404="Adulto 90kg",10,IF(Atletas!F404="Adulto +90kg",11,"")))))))))))))</f>
        <v/>
      </c>
      <c r="BC413" s="6" t="str">
        <f>IF(Atletas!G404="","",IF(Atletas!B404="Feminino",10,IF(Atletas!B404="Masculino",20,""))+(IF(Atletas!G404="Baduanjin A",1,IF(Atletas!G404="Baduanjin B",2))))</f>
        <v/>
      </c>
      <c r="BF413" s="52" t="str">
        <f>IF(Atletas!H404="","",IF(Atletas!B404="Feminino",100,IF(Atletas!B404="Masculino",200,""))+(IF(Atletas!H404="Changquan Mirim",1,IF(Atletas!H404="Nanquan Mirim",2,IF(Atletas!H404="Taijiquan Mirim",3,IF(Atletas!H404="Changquan Grupo C",4,IF(Atletas!H404="Nanquan Grupo C",5,IF(Atletas!H404="Taijiquan Grupo C",6,IF(Atletas!H404="Changquan Grupo B",7,IF(Atletas!H404="Nanquan Grupo B",8,IF(Atletas!H404="Taijiquan Grupo B",9,IF(Atletas!H404="Changquan Grupo A",10,IF(Atletas!H404="Nanquan Grupo A",11,IF(Atletas!H404="Taijiquan Grupo A",12,IF(Atletas!H404="Changquan Opcional",13,IF(Atletas!H404="Nanquan Opcional",14,IF(Atletas!H404="Taijiquan Opcional",15,IF(Atletas!H404="Changquan Adulto",16,IF(Atletas!H404="Nanquan Adulto",17,IF(Atletas!H404="Taijiquan Adulto",18,""))))))))))))))))))))</f>
        <v/>
      </c>
      <c r="BG413" s="52" t="str">
        <f>IF(Atletas!I404="","",IF(Atletas!B404="Feminino",100,IF(Atletas!B404="Masculino",200,""))+(IF(Atletas!I404="Daoshu Mirim",19,IF(Atletas!I404="Jianshu Mirim",20,IF(Atletas!I404="Nandao Mirim",21,IF(Atletas!I404="Taijijian Mirim",22,IF(Atletas!I404="Daoshu Grupo C",23,IF(Atletas!I404="Jianshu Grupo C",24,IF(Atletas!I404="Nandao Grupo C",25,IF(Atletas!I404="Taijijian Grupo C",26,IF(Atletas!I404="Daoshu Grupo B",27,IF(Atletas!I404="Jianshu Grupo B",28,IF(Atletas!I404="Nandao Grupo B",29,IF(Atletas!I404="Taijijian Grupo B",30,IF(Atletas!I404="Daoshu Grupo A",31,IF(Atletas!I404="Jianshu Grupo A",32,IF(Atletas!I404="Nandao Grupo A",33,IF(Atletas!I404="Taijijian Grupo A",34,IF(Atletas!I404="Daoshu Opcional",35,IF(Atletas!I404="Jianshu Opcional",36,IF(Atletas!I404="Nandao Opcional",37,IF(Atletas!I404="Taijijian Opcional",38,IF(Atletas!I404="Daoshu Adulto",39,IF(Atletas!I404="Jianshu Adulto",40,IF(Atletas!I404="Nandao Adulto",41,IF(Atletas!I404="Taijijian Adulto",42,""))))))))))))))))))))))))))</f>
        <v/>
      </c>
      <c r="BH413" s="52" t="str">
        <f>IF(Atletas!J404="","",IF(Atletas!B404="Feminino",100,IF(Atletas!B404="Masculino",200,""))+(IF(Atletas!J404="Gunshu Mirim",43,IF(Atletas!J404="Qiangshu Mirim",44,IF(Atletas!J404="Nangun Mirim",45,IF(Atletas!J404="Gunshu Grupo C",46,IF(Atletas!J404="Qiangshu Grupo C",47,IF(Atletas!J404="Nangun Grupo C",48,IF(Atletas!J404="Gunshu Grupo B",49,IF(Atletas!J404="Qiangshu Grupo B",50,IF(Atletas!J404="Nangun Grupo B",51,IF(Atletas!J404="Gunshu Grupo A",52,IF(Atletas!J404="Qiangshu Grupo A",53,IF(Atletas!J404="Nangun Grupo A",54,IF(Atletas!J404="Gunshu Opcional",55,IF(Atletas!J404="Qiangshu Opcional",56,IF(Atletas!J404="Nangun Opcional",57,IF(Atletas!J404="Gunshu Adulto",58,IF(Atletas!J404="Qiangshu Adulto",59,IF(Atletas!J404="Nangun Adulto",60,IF(Atletas!J404="Taijishan Grupo B",61,IF(Atletas!J404="Taijishan Grupo A",62,""))))))))))))))))))))))</f>
        <v/>
      </c>
      <c r="BM413" s="50" t="str">
        <f>IF(Atletas!K404="","",IF(Atletas!B404="Feminino",100,IF(Atletas!B404="Masculino",200,""))+(IF(Atletas!K404="Equipe 1 Grupo B",1,IF(Atletas!K404="Equipe 2 Grupo B",2,IF(Atletas!K404="Equipe 1 Grupo A",3,IF(Atletas!K404="Equipe 2 Grupo A",4,IF(Atletas!K404="Equipe 1 Adulto",5,IF(Atletas!K404="Equipe 2 Adulto",6,""))))))))</f>
        <v/>
      </c>
      <c r="BR413" s="50" t="str">
        <f>IF(Atletas!L404="","",IF(Atletas!X404&lt;&gt;"",10000,0)+(IF(Atletas!B404="Feminino",1000,IF(Atletas!B404="Masculino",2000,""))+IF(Atletas!L404="Choylayfut A",1,IF(Atletas!L404="Hunggar A",2,IF(Atletas!L404="Wuzuquan A",3,IF(Atletas!L404="Wingchun A",4,IF(Atletas!L404="Outra Mão de Sul A",5,IF(Atletas!L404="Choylayfut B",6,IF(Atletas!L404="Hunggar B",7,IF(Atletas!L404="Wuzuquan B",8,IF(Atletas!L404="Wingchun B",9,IF(Atletas!L404="Outra Mão de Sul B",10,IF(Atletas!L404="Choylayfut C",11,IF(Atletas!L404="Hunggar C",12,IF(Atletas!L404="Wuzuquan C",13,IF(Atletas!L404="Wingchun C",14,IF(Atletas!L404="Outra Mão de Sul C",15,IF(Atletas!L404="Choylayfut D",16,IF(Atletas!L404="Hunggar D",17,IF(Atletas!L404="Wuzuquan D",18,IF(Atletas!L404="Wingchun D",19,IF(Atletas!L404="Outra Mão de Sul D",20,IF(Atletas!L404="Choylayfut E",21,IF(Atletas!L404="Hunggar E",22,IF(Atletas!L404="Wuzuquan E",23,IF(Atletas!L404="Wingchun E",24,IF(Atletas!L404="Outra Mão de Sul E",25,IF(Atletas!L404="Choylayfut F",26,IF(Atletas!L404="Hunggar F",27,IF(Atletas!L404="Wuzuquan F",28,IF(Atletas!L404="Wingchun F",29,IF(Atletas!L404="Outra Mão de Sul F",30,IF(Atletas!L404="Dishuquan A",31,IF(Atletas!L404="Dishuquan B",32,IF(Atletas!L404="Dishuquan C",33,IF(Atletas!L404="Dishuquan D",34,IF(Atletas!L404="Dishuquan E",35,IF(Atletas!L404="Dishuquan F",36,""))))))))))))))))))))))))))))))))))))))</f>
        <v/>
      </c>
      <c r="BS413" s="50" t="str">
        <f>IF(Atletas!M404="","",IF(Atletas!X404&lt;&gt;"",10000,0)+(IF(Atletas!B404="Feminino",1000,IF(Atletas!B404="Masculino",2000,""))+(IF(Atletas!M404="Chaquan A",101,IF(Atletas!M404="Emeiquan A",102,IF(Atletas!M404="Fanziquan A",103,IF(Atletas!M404="Huaquan A",104,IF(Atletas!M404="Hongquan A",105,IF(Atletas!M404="Paoquan A",106,IF(Atletas!M404="Piguaquan A",107,IF(Atletas!M404="Shaolinquan A",108,IF(Atletas!M404="Tanglangquan A",109,IF(Atletas!M404="Yingzhaoquan A",110,IF(Atletas!M404="Tongbeiquan A",111,IF(Atletas!M404="Wudangquan A",112,IF(Atletas!M404="Outros Estilos A",113,IF(Atletas!M404="Chaquan B",114,IF(Atletas!M404="Emeiquan B",115,IF(Atletas!M404="Fanziquan B",116,IF(Atletas!M404="Huaquan B",117,IF(Atletas!M404="Hongquan B",118,IF(Atletas!M404="Paoquan B",119,IF(Atletas!M404="Piguaquan B",120,IF(Atletas!M404="Shaolinquan B",121,IF(Atletas!M404="Tanglangquan B",122,IF(Atletas!M404="Yingzhaoquan B",123,IF(Atletas!M404="Tongbeiquan B",124,IF(Atletas!M404="Wudangquan B",125,IF(Atletas!M404="Outros Estilos B",126,IF(Atletas!M404="Chaquan C",127,IF(Atletas!M404="Emeiquan C",128,IF(Atletas!M404="Fanziquan C",129,IF(Atletas!M404="Huaquan C",130,IF(Atletas!M404="Hongquan C",131,IF(Atletas!M404="Paoquan C",132,IF(Atletas!M404="Piguaquan C",133,IF(Atletas!M404="Shaolinquan C",134,IF(Atletas!M404="Tanglangquan C",135,IF(Atletas!M404="Yingzhaoquan C",136,IF(Atletas!M404="Tongbeiquan C",137,IF(Atletas!M404="Wudangquan C",138,IF(Atletas!M404="Outros Estilos C",139,0))))))))))))))))))))))))))))))))))))))))))</f>
        <v/>
      </c>
      <c r="BT413" s="50" t="str">
        <f>IF(Atletas!M404="","",IF(Atletas!X404&lt;&gt;"",10000,0)+(IF(Atletas!B404="Feminino",1000,IF(Atletas!B404="Masculino",2000,""))+(IF(Atletas!M404="Chaquan D",140,IF(Atletas!M404="Emeiquan D",141,IF(Atletas!M404="Fanziquan D",142,IF(Atletas!M404="Huaquan D",143,IF(Atletas!M404="Hongquan D",144,IF(Atletas!M404="Paoquan D",145,IF(Atletas!M404="Piguaquan D",146,IF(Atletas!M404="Shaolinquan D",147,IF(Atletas!M404="Tanglangquan D",148,IF(Atletas!M404="Yingzhaoquan D",149,IF(Atletas!M404="Tongbeiquan D",150,IF(Atletas!M404="Wudangquan D",151,IF(Atletas!M404="Outros Estilos D",152,IF(Atletas!M404="Chaquan E",153,IF(Atletas!M404="Emeiquan E",154,IF(Atletas!M404="Fanziquan E",155,IF(Atletas!M404="Huaquan E",156,IF(Atletas!M404="Hongquan E",157,IF(Atletas!M404="Paoquan E",158,IF(Atletas!M404="Piguaquan E",159,IF(Atletas!M404="Shaolinquan E",160,IF(Atletas!M404="Tanglangquan E",161,IF(Atletas!M404="Yingzhaoquan E",162,IF(Atletas!M404="Tongbeiquan E",163,IF(Atletas!M404="Wudangquan E",164,IF(Atletas!M404="Outros Estilos E",165,IF(Atletas!M404="Chaquan F",166,IF(Atletas!M404="Emeiquan F",167,IF(Atletas!M404="Fanziquan F",168,IF(Atletas!M404="Huaquan F",169,IF(Atletas!M404="Hongquan F",170,IF(Atletas!M404="Paoquan F",171,IF(Atletas!M404="Piguaquan F",172,IF(Atletas!M404="Shaolinquan F",173,IF(Atletas!M404="Tanglangquan F",174,IF(Atletas!M404="Yingzhaoquan F",175,IF(Atletas!M404="Tongbeiquan F",176,IF(Atletas!M404="Wudangquan F",177,IF(Atletas!M404="Outros Estilos F",178,0))))))))))))))))))))))))))))))))))))))))))</f>
        <v/>
      </c>
      <c r="BU413" s="50" t="str">
        <f>IF(Atletas!N404="","",IF(Atletas!X404&lt;&gt;"",10000,0)+(IF(Atletas!B404="Feminino",1000,IF(Atletas!B404="Masculino",2000,""))+(IF(Atletas!N404="Ditangquan A",201,IF(Atletas!N404="Houquan A",202,IF(Atletas!N404="Zuiquan A",203,IF(Atletas!N404="Ditangquan B",204,IF(Atletas!N404="Houquan B",205,IF(Atletas!N404="Zuiquan B",206,IF(Atletas!N404="Ditangquan C",207,IF(Atletas!N404="Houquan C",208,IF(Atletas!N404="Zuiquan C",209,IF(Atletas!N404="Ditangquan D",210,IF(Atletas!N404="Houquan D",211,IF(Atletas!N404="Zuiquan D",212,IF(Atletas!N404="Ditangquan E",213,IF(Atletas!N404="Houquan E",214,IF(Atletas!N404="Zuiquan E",215,IF(Atletas!N404="Ditangquan F",216,IF(Atletas!N404="Houquan F",217,IF(Atletas!N404="Zuiquan F",218,"")))))))))))))))))))))</f>
        <v/>
      </c>
      <c r="BV413" s="50" t="str">
        <f>IF(Atletas!O404="","",IF(Atletas!X404&lt;&gt;"",10000,0)+IF(Atletas!B404="Feminino",1000,IF(Atletas!B404="Masculino",2000,""))+IF(Atletas!O404="Yang A",301,IF(Atletas!O404="Chen A",302,IF(Atletas!O404="Sun A",303,IF(Atletas!O404="Wu A",304,IF(Atletas!O404="Wu-Hao A",305,IF(Atletas!O404="Outro Taijiquan A",306,IF(Atletas!O404="Yang B",307,IF(Atletas!O404="Chen B",308,IF(Atletas!O404="Sun B",309,IF(Atletas!O404="Wu B",310,IF(Atletas!O404="Wu-Hao B",311,IF(Atletas!O404="Outro Taijiquan B",312,IF(Atletas!O404="Yang C",313,IF(Atletas!O404="Chen C",314,IF(Atletas!O404="Sun C",315,IF(Atletas!O404="Wu C",316,IF(Atletas!O404="Wu-Hao C",317,IF(Atletas!O404="Outro Taijiquan C",318,IF(Atletas!O404="Yang D",319,IF(Atletas!O404="Chen D",320,IF(Atletas!O404="Sun D",321,IF(Atletas!O404="Wu D",322,IF(Atletas!O404="Wu-Hao D",323,IF(Atletas!O404="Outro Taijiquan D",324,IF(Atletas!O404="Yang E",325,IF(Atletas!O404="Chen E",326,IF(Atletas!O404="Sun E",327,IF(Atletas!O404="Wu E",328,IF(Atletas!O404="Wu-Hao E",329,IF(Atletas!O404="Outro Taijiquan E",330,IF(Atletas!O404="Yang F",331,IF(Atletas!O404="Chen F",332,IF(Atletas!O404="Sun F",333,IF(Atletas!O404="Wu F",334,IF(Atletas!O404="Wu-Hao F",335,IF(Atletas!O404="Outro Taijiquan F",336,"")))))))))))))))))))))))))))))))))))))</f>
        <v/>
      </c>
      <c r="BW413" s="50" t="str">
        <f>IF(Atletas!P404="","",IF(Atletas!X404&lt;&gt;"",10000,0)+IF(Atletas!B404="Feminino",1000,IF(Atletas!B404="Masculino",2000,""))+IF(OR(Atletas!P404="Yang 26 A",Atletas!P404="Yang 40 A"),401,IF(OR(Atletas!P404="Chen 25 A",Atletas!P404="Chen 36 A",Atletas!P404="Chen 56 A"),402,IF(Atletas!P404="Sun 73 A",403,IF(Atletas!P404="Wu 45 A",404,IF(Atletas!P404="Wu-Hao 46 A",405,IF(OR(Atletas!P404="Taijiquan 16 A",Atletas!P404="Taijiquan 24 A",Atletas!P404="Taijiquan 32 A",Atletas!P404="Taijiquan 42 A"),406,IF(OR(Atletas!P404="Yang 26 B",Atletas!P404="Yang 40 B"),407,IF(OR(Atletas!P404="Chen 25 B",Atletas!P404="Chen 36 B",Atletas!P404="Chen 56 B"),408,IF(Atletas!P404="Sun 73 B",409,IF(Atletas!P404="Wu 45 B",410,IF(Atletas!P404="Wu-Hao 46 B",411,IF(OR(Atletas!P404="Taijiquan 16 B",Atletas!P404="Taijiquan 24 B",Atletas!P404="Taijiquan 32 B",Atletas!P404="Taijiquan 42 B"),412,IF(OR(Atletas!P404="Yang 26 C",Atletas!P404="Yang 40 C"),413,IF(OR(Atletas!P404="Chen 25 C",Atletas!P404="Chen 36 C",Atletas!P404="Chen 56 C"),414,IF(Atletas!P404="Sun 73 C",415,IF(Atletas!P404="Wu 45 C",416,IF(Atletas!P404="Wu-Hao 46 C",417,IF(OR(Atletas!P404="Taijiquan 16 C",Atletas!P404="Taijiquan 24 C",Atletas!P404="Taijiquan 32 C",Atletas!P404="Taijiquan 42 C"),418,0)))))))))))))))))))</f>
        <v/>
      </c>
      <c r="BX413" s="50" t="str">
        <f>IF(Atletas!P404="","",IF(Atletas!X404&lt;&gt;"",10000,0)+IF(Atletas!B404="Feminino",1000,IF(Atletas!B404="Masculino",2000,""))+IF(OR(Atletas!P404="Yang 26 D",Atletas!P404="Yang 40 D"),419,IF(OR(Atletas!P404="Chen 25 D",Atletas!P404="Chen 36 D",Atletas!P404="Chen 56 D"),420,IF(Atletas!P404="Sun 73 D",421,IF(Atletas!P404="Wu 45 D",422,IF(Atletas!P404="Wu-Hao 46 D",423,IF(OR(Atletas!P404="Taijiquan 16 D",Atletas!P404="Taijiquan 24 D",Atletas!P404="Taijiquan 32 D",Atletas!P404="Taijiquan 42 D"),424,IF(OR(Atletas!P404="Yang 26 E",Atletas!P404="Yang 40 E"),425,IF(OR(Atletas!P404="Chen 25 E",Atletas!P404="Chen 36 E",Atletas!P404="Chen 56 E"),426,IF(Atletas!P404="Sun 73 E",427,IF(Atletas!P404="Wu 45 E",428,IF(Atletas!P404="Wu-Hao 46 E",429,IF(OR(Atletas!P404="Taijiquan 16 E",Atletas!P404="Taijiquan 24 E",Atletas!P404="Taijiquan 32 E",Atletas!P404="Taijiquan 42 E"),430,IF(OR(Atletas!P404="Yang 26 F",Atletas!P404="Yang 40 F"),431,IF(OR(Atletas!P404="Chen 25 F",Atletas!P404="Chen 36 F",Atletas!P404="Chen 56 F"),432,IF(Atletas!P404="Sun 73 F",433,IF(Atletas!P404="Wu 45 F",434,IF(Atletas!P404="Wu-Hao 46 F",435,IF(OR(Atletas!P404="Taijiquan 16 F",Atletas!P404="Taijiquan 24 F",Atletas!P404="Taijiquan 32 F",Atletas!P404="Taijiquan 42 F"),436,0)))))))))))))))))))</f>
        <v/>
      </c>
      <c r="BY413" s="50" t="str">
        <f>IF(Atletas!Q404="","",IF(Atletas!X404&lt;&gt;"",10000,0)+IF(Atletas!B404="Feminino",1000,IF(Atletas!B404="Masculino",2000,""))+IF(Atletas!Q404="Xingyiquan A",501,IF(Atletas!Q404="Baguazhang A",502,IF(Atletas!Q404="Outro Estilo Interno A",503,IF(Atletas!Q404="Xingyiquan B",504,IF(Atletas!Q404="Baguazhang B",505,IF(Atletas!Q404="Outro Estilo Interno B",506,IF(Atletas!Q404="Xingyiquan C",507,IF(Atletas!Q404="Baguazhang C",508,IF(Atletas!Q404="Outro Estilo Interno C",509,IF(Atletas!Q404="Xingyiquan D",510,IF(Atletas!Q404="Baguazhang D",511,IF(Atletas!Q404="Outro Estilo Interno D",512,IF(Atletas!Q404="Xingyiquan E",513,IF(Atletas!Q404="Baguazhang E",514,IF(Atletas!Q404="Outro Estilo Interno E",515,IF(Atletas!Q404="Xingyiquan F",516,IF(Atletas!Q404="Baguazhang F",517,IF(Atletas!Q404="Outro Estilo Interno F",518, "")))))))))))))))))))</f>
        <v/>
      </c>
      <c r="BZ413" s="50" t="str">
        <f>IF(Atletas!R404="","",IF(Atletas!X404&lt;&gt;"",10000,0)+IF(Atletas!B404="Feminino",1000,IF(Atletas!B404="Masculino",2000,""))+IF(Atletas!R404="Dao A",601,IF(Atletas!R404="Jian A",602,IF(Atletas!R404="Bishou A",603,IF(Atletas!R404="Shanzi A",604,IF(Atletas!R404="Outra Arma Curta A",605,IF(Atletas!R404="Dao B",606,IF(Atletas!R404="Jian B",607,IF(Atletas!R404="Bishou B",608,IF(Atletas!R404="Shanzi B",609,IF(Atletas!R404="Outra Arma Curta B",610,IF(Atletas!R404="Dao C",611,IF(Atletas!R404="Jian C",612,IF(Atletas!R404="Bishou C",613,IF(Atletas!R404="Shanzi C",614,IF(Atletas!R404="Outra Arma Curta C",615,IF(Atletas!R404="Dao D",616,IF(Atletas!R404="Jian D",617,IF(Atletas!R404="Bishou D",618,IF(Atletas!R404="Shanzi D",619,IF(Atletas!R404="Outra Arma Curta D",620,IF(Atletas!R404="Dao E",621,IF(Atletas!R404="Jian E",622,IF(Atletas!R404="Bishou E",623,IF(Atletas!R404="Shanzi E",624,IF(Atletas!R404="Outra Arma Curta E",625,IF(Atletas!R404="Dao F",626,IF(Atletas!R404="Jian F",627,IF(Atletas!R404="Bishou F",628,IF(Atletas!R404="Shanzi F",629,IF(Atletas!R404="Outra Arma Curta F",630, "")))))))))))))))))))))))))))))))</f>
        <v/>
      </c>
      <c r="CA413" s="50" t="str">
        <f>IF(Atletas!S404="","",IF(Atletas!X404&lt;&gt;"",10000,0)+IF(Atletas!B404="Feminino",1000,IF(Atletas!B404="Masculino",2000,""))+IF(Atletas!S404="Gun A",701,IF(Atletas!S404="Qiang A",702,IF(Atletas!S404="Pudao / Guandao A",703,IF(Atletas!S404="Outra Arma Longa A",704,IF(Atletas!S404="Gun B",705,IF(Atletas!S404="Qiang B",706,IF(Atletas!S404="Pudao / Guandao B",707,IF(Atletas!S404="Outra Arma Longa B",708,IF(Atletas!S404="Gun C",709,IF(Atletas!S404="Qiang C",710,IF(Atletas!S404="Pudao / Guandao C",711,IF(Atletas!S404="Outra Arma Longa C",712,IF(Atletas!S404="Gun D",713,IF(Atletas!S404="Qiang D",714,IF(Atletas!S404="Pudao / Guandao D",715,IF(Atletas!S404="Outra Arma Longa D",716,IF(Atletas!S404="Gun E",717,IF(Atletas!S404="Qiang E",718,IF(Atletas!S404="Pudao / Guandao E",719,IF(Atletas!S404="Outra Arma Longa E",720,IF(Atletas!S404="Gun F",721,IF(Atletas!S404="Qiang F",722,IF(Atletas!S404="Pudao / Guandao F",723,IF(Atletas!S404="Outra Arma Longa F",724,"")))))))))))))))))))))))))</f>
        <v/>
      </c>
      <c r="CB413" s="50" t="str">
        <f>IF(Atletas!T404="","",IF(Atletas!X404&lt;&gt;"",10000,0)+IF(Atletas!B404="Feminino",1000,IF(Atletas!B404="Masculino",2000,""))+IF(Atletas!T404="Outra Arma Dupla A",801,IF(Atletas!T404="Arma Maleável A",802,IF(Atletas!T404="Outra Arma Dupla B",803,IF(Atletas!T404="Arma Maleável B",804,IF(Atletas!T404="Outra Arma Dupla C",805,IF(Atletas!T404="Arma Maleável C",806,IF(Atletas!T404="Outra Arma Dupla D",807,IF(Atletas!T404="Arma Maleável D",808,IF(Atletas!T404="Outra Arma Dupla E",809,IF(Atletas!T404="Arma Maleável E",810,IF(Atletas!T404="Outra Arma Dupla F",811,IF(Atletas!T404="Arma Maleável F",812,IF(Atletas!T404="Shuangdao A",813,IF(Atletas!T404="Shuangdao B",814,IF(Atletas!T404="Shuangdao C",815,IF(Atletas!T404="Shuangdao D",816,IF(Atletas!T404="Shuangdao E",817,IF(Atletas!T404="Shuangdao F",818,"")))))))))))))))))))</f>
        <v/>
      </c>
      <c r="CC413" s="50" t="str">
        <f>IF(Atletas!U404="","",IF(Atletas!X404&lt;&gt;"",10000,0)+IF(Atletas!B404="Feminino",1000,IF(Atletas!B404="Masculino",2000,""))+IF(OR(Atletas!U404="Taijijian Yang A",Atletas!U404="Taijijian Yang Standard A"),901,IF(OR(Atletas!U404="Taijijian Chen A", Atletas!U404="Taijijian Chen Standard A"),902,IF(Atletas!U404="Taijijian Sun A",903,IF(Atletas!U404="Taijijian Wu A",904,IF(Atletas!U404="Taijijian Wu-Hao A",905,IF(OR(Atletas!U404="Taijijian 32 A",Atletas!U404="Taijijian 42 A"),906,IF(OR(Atletas!U404="Taijijian Yang B",Atletas!U404="Taijijian Yang Standard B"),907,IF(OR(Atletas!U404="Taijijian Chen B", Atletas!U404="Taijijian Chen Standard B"),908,IF(Atletas!U404="Taijijian Sun B",909,IF(Atletas!U404="Taijijian Wu B",910,IF(Atletas!U404="Taijijian Wu-Hao B",911,IF(OR(Atletas!U404="Taijijian 32 B",Atletas!U404="Taijijian 42 B"),912,IF(OR(Atletas!U404="Taijijian Yang C",Atletas!U404="Taijijian Yang Standard C"),913,IF(OR(Atletas!U404="Taijijian Chen C", Atletas!U404="Taijijian Chen Standard C"),914,IF(Atletas!U404="Taijijian Sun C",915,IF(Atletas!U404="Taijijian Wu C",916,IF(Atletas!U404="Taijijian Wu-Hao C",917,IF(OR(Atletas!U404="Taijijian 32 C",Atletas!U404="Taijijian 42 C"),918,IF(OR(Atletas!U404="Taijijian Yang D",Atletas!U404="Taijijian Yang Standard D"),919,IF(OR(Atletas!U404="Taijijian Chen D", Atletas!U404="Taijijian Chen Standard D"),920,IF(Atletas!U404="Taijijian Sun D",921,IF(Atletas!U404="Taijijian Wu D",922,IF(Atletas!U404="Taijijian Wu-Hao D",923,IF(OR(Atletas!U404="Taijijian 32 D",Atletas!U404="Taijijian 42 D"),924,IF(OR(Atletas!U404="Taijijian Yang E",Atletas!U404="Taijijian Yang Standard E"),925,IF(OR(Atletas!U404="Taijijian Chen E", Atletas!U404="Taijijian Chen Standard E"),926,IF(Atletas!U404="Taijijian Sun E",927,IF(Atletas!U404="Taijijian Wu E",928,IF(Atletas!U404="Taijijian Wu-Hao E",929,IF(OR(Atletas!U404="Taijijian 32 E",Atletas!U404="Taijijian 42 E"),930,IF(OR(Atletas!U404="Taijijian Yang F",Atletas!U404="Taijijian Yang Standard F"),931,IF(OR(Atletas!U404="Taijijian Chen F", Atletas!U404="Taijijian Chen Standard F"),932,IF(Atletas!U404="Taijijian Sun F",933,IF(Atletas!U404="Taijijian Wu F",934,IF(Atletas!U404="Taijijian Wu-Hao F",935,IF(OR(Atletas!U404="Taijijian 32 F",Atletas!U404="Taijijian 42 F"),936,"")))))))))))))))))))))))))))))))))))))</f>
        <v/>
      </c>
      <c r="CD413" s="50" t="str">
        <f>IF(Atletas!V404="","",IF(Atletas!X404&lt;&gt;"",10000,0)+IF(Atletas!B404="Feminino",1000,IF(Atletas!B404="Masculino",2000,""))+IF(Atletas!V404="Taijidao A",937,IF(Atletas!V404="TaijiShanzi A",938,IF(Atletas!V404="Taijiqiang A",939,IF(Atletas!V404="Bagua de Arma A",940,IF(Atletas!V404="Xingyi de Arma A",941,IF(Atletas!V404="Taijidao B",942,IF(Atletas!V404="TaijiShanzi B",943,IF(Atletas!V404="Taijiqiang B",944,IF(Atletas!V404="Bagua de Arma B",945,IF(Atletas!V404="Xingyi de Arma B",946,IF(Atletas!V404="Taijidao C",947,IF(Atletas!V404="TaijiShanzi C",948,IF(Atletas!V404="Taijiqiang C",949,IF(Atletas!V404="Bagua de Arma C",950,IF(Atletas!V404="Xingyi de Arma C",951,IF(Atletas!V404="Taijidao D",952,IF(Atletas!V404="TaijiShanzi D",953,IF(Atletas!V404="Taijiqiang D",954,IF(Atletas!V404="Bagua de Arma D",955,IF(Atletas!V404="Xingyi de Arma D",956,IF(Atletas!V404="Taijidao E",957,IF(Atletas!V404="TaijiShanzi E",958,IF(Atletas!V404="Taijiqiang E",959,IF(Atletas!V404="Bagua de Arma E",960,IF(Atletas!V404="Xingyi de Arma E",961,IF(Atletas!V404="Taijidao F",962,IF(Atletas!V404="TaijiShanzi F",963,IF(Atletas!V404="Taijiqiang F",964,IF(Atletas!V404="Bagua de Arma F",965,IF(Atletas!V404="Xingyi de Arma F",966,"")))))))))))))))))))))))))))))))</f>
        <v/>
      </c>
      <c r="CM413" s="50" t="str">
        <f xml:space="preserve"> IF(Atletas!W404="","",IF(Atletas!W404="Duilian de Mãos BC - Equipe 1",1,IF(Atletas!W404="Duilian de Mãos BC - Equipe 2",2,IF(Atletas!W404="Duilian de Armas BC - Equipe 1",3,IF(Atletas!W404="Duilian de Armas BC - Equipe 2",4,IF(Atletas!W404="Duilian de Mãos DE - Equipe 1",5,IF(Atletas!W404="Duilian de Mãos DE - Equipe 2",6,IF(Atletas!W404="Duilian de Armas DE - Equipe 1",7,IF(Atletas!W404="Duilian de Armas DE - Equipe 2",8,IF(Atletas!W404="Duilian de Tuishou - Equipe 1",9,IF(Atletas!W404="Duilian de Tuishou - Equipe 2",10,IF(Atletas!W404="Grupo Externo ABC - Equipe 1",11,IF(Atletas!W404="Grupo Externo ABC - Equipe 2",12,IF(Atletas!W404="Grupo Interno ABC - Equipe 1",13,IF(Atletas!W404="Grupo Interno ABC - Equipe 2",14,IF(Atletas!W404="Grupo Externo DEF - Equipe 1",15,IF(Atletas!W404="Grupo Externo DEF - Equipe 2",16,IF(Atletas!W404="Grupo Interno DEF - Equipe 1",17,IF(Atletas!W404="Grupo Interno DEF - Equipe 2",18,"")))))))))))))))))))</f>
        <v/>
      </c>
    </row>
    <row r="414" spans="40:91">
      <c r="AN414" s="52" t="str">
        <f>IF(Atletas!D405="","",IF(Atletas!B405="Feminino",100,IF(Atletas!B405="Masculino",200,""))+(IF(Atletas!D405="Kids 30kg",1,IF(Atletas!D405="Kids 32kg",2, IF(Atletas!D405="Kids 34kg",3,IF(Atletas!D405="Kids 36kg",4,IF(Atletas!D405="Kids 39kg",5,IF(Atletas!D405="Kids 42kg",6,IF(Atletas!D405="Kids 45kg",7, IF(Atletas!D405="Infantil 39kg",8,IF(Atletas!D405="Infantil 42kg",9,IF(Atletas!D405="Infantil 45kg",10,IF(Atletas!D405="Infantil 48kg",11,IF(Atletas!D405="Infantil 52kg",12,IF(Atletas!D405="Infantil 56kg",13,IF(Atletas!D405="Infantil 60kg",14,IF(Atletas!D405="Juvenil 48kg",15,IF(Atletas!D405="Juvenil 52kg",16,IF(Atletas!D405="Juvenil 56kg",17,IF(Atletas!D405="Juvenil 60kg",18,IF(Atletas!D405="Juvenil 65kg",19,IF(Atletas!D405="Juvenil 70kg",20,IF(Atletas!D405="Juvenil 75kg",21,IF(Atletas!D405="Juvenil 80kg",22, IF(Atletas!D405="Juvenil 85kg",23,IF(Atletas!D405="Adulto 48kg",24,IF(Atletas!D405="Adulto 52kg",25,IF(Atletas!D405="Adulto 56kg",26,IF(Atletas!D405="Adulto 60kg",27,IF(Atletas!D405="Adulto 65kg",28,IF(Atletas!D405="Adulto 70kg",29,IF(Atletas!D405="Adulto 75kg",30,IF(Atletas!D405="Adulto 80kg",31,IF(Atletas!D405="Adulto 85kg",32,IF(Atletas!D405="Adulto 90kg",33,IF(Atletas!D405="Adulto 100kg",34, IF(Atletas!D405="Adulto +100kg",35,"")))))))))))))))))))))))))))))))))))))</f>
        <v/>
      </c>
      <c r="AS414" s="6" t="str">
        <f>IF(Atletas!E405="","",IF(Atletas!B405="Feminino",100,IF(Atletas!B405="Masculino",200,""))+(IF(Atletas!E405="Juvenil 44kg",1,IF(Atletas!E405="Juvenil 48kg",2,IF(Atletas!E405="Juvenil 52kg",3,IF(Atletas!E405="Juvenil 56kg",4,IF(Atletas!E405="Juvenil 60kg",5,IF(Atletas!E405="Juvenil 65kg",6,IF(Atletas!E405="Juvenil 70kg",7,IF(Atletas!E405="Juvenil 75kg",8,IF(Atletas!E405="Juvenil 82kg",9,IF(Atletas!E405="Juvenil 90kg",10,IF(Atletas!E405="Juvenil 100kg",11,IF(Atletas!E405="Adulto 48kg",12,IF(Atletas!E405="Adulto 52kg",13,IF(Atletas!E405="Adulto 56kg",14,IF(Atletas!E405="Adulto 60kg",15,IF(Atletas!E405="Adulto 65kg",16,IF(Atletas!E405="Adulto 70kg",17,IF(Atletas!E405="Adulto 75kg",18,IF(Atletas!E405="Adulto 82kg",19,IF(Atletas!E405="Adulto 90kg",20,IF(Atletas!E405="Adulto 100kg",21,IF(Atletas!E405="Adulto +100kg",22,""))))))))))))))))))))))))</f>
        <v/>
      </c>
      <c r="AX414" s="6" t="str">
        <f>IF(Atletas!F405="","",IF(Atletas!B405="Feminino",100,IF(Atletas!B405="Masculino",200,""))+(IF(Atletas!F405="Adulto 48kg",1,IF(Atletas!F405="Adulto 56kg",2,IF(Atletas!F405="Adulto 65kg",3,IF(Atletas!F405="Adulto 75kg",4,IF(Atletas!F405="Adulto +75kg",5,IF(Atletas!F405="Adulto 52kg",6,IF(Atletas!F405="Adulto 60kg",7,IF(Atletas!F405="Adulto 70kg",8,IF(Atletas!F405="Adulto 80kg",9,IF(Atletas!F405="Adulto 90kg",10,IF(Atletas!F405="Adulto +90kg",11,"")))))))))))))</f>
        <v/>
      </c>
      <c r="BC414" s="6" t="str">
        <f>IF(Atletas!G405="","",IF(Atletas!B405="Feminino",10,IF(Atletas!B405="Masculino",20,""))+(IF(Atletas!G405="Baduanjin A",1,IF(Atletas!G405="Baduanjin B",2))))</f>
        <v/>
      </c>
      <c r="BF414" s="52" t="str">
        <f>IF(Atletas!H405="","",IF(Atletas!B405="Feminino",100,IF(Atletas!B405="Masculino",200,""))+(IF(Atletas!H405="Changquan Mirim",1,IF(Atletas!H405="Nanquan Mirim",2,IF(Atletas!H405="Taijiquan Mirim",3,IF(Atletas!H405="Changquan Grupo C",4,IF(Atletas!H405="Nanquan Grupo C",5,IF(Atletas!H405="Taijiquan Grupo C",6,IF(Atletas!H405="Changquan Grupo B",7,IF(Atletas!H405="Nanquan Grupo B",8,IF(Atletas!H405="Taijiquan Grupo B",9,IF(Atletas!H405="Changquan Grupo A",10,IF(Atletas!H405="Nanquan Grupo A",11,IF(Atletas!H405="Taijiquan Grupo A",12,IF(Atletas!H405="Changquan Opcional",13,IF(Atletas!H405="Nanquan Opcional",14,IF(Atletas!H405="Taijiquan Opcional",15,IF(Atletas!H405="Changquan Adulto",16,IF(Atletas!H405="Nanquan Adulto",17,IF(Atletas!H405="Taijiquan Adulto",18,""))))))))))))))))))))</f>
        <v/>
      </c>
      <c r="BG414" s="52" t="str">
        <f>IF(Atletas!I405="","",IF(Atletas!B405="Feminino",100,IF(Atletas!B405="Masculino",200,""))+(IF(Atletas!I405="Daoshu Mirim",19,IF(Atletas!I405="Jianshu Mirim",20,IF(Atletas!I405="Nandao Mirim",21,IF(Atletas!I405="Taijijian Mirim",22,IF(Atletas!I405="Daoshu Grupo C",23,IF(Atletas!I405="Jianshu Grupo C",24,IF(Atletas!I405="Nandao Grupo C",25,IF(Atletas!I405="Taijijian Grupo C",26,IF(Atletas!I405="Daoshu Grupo B",27,IF(Atletas!I405="Jianshu Grupo B",28,IF(Atletas!I405="Nandao Grupo B",29,IF(Atletas!I405="Taijijian Grupo B",30,IF(Atletas!I405="Daoshu Grupo A",31,IF(Atletas!I405="Jianshu Grupo A",32,IF(Atletas!I405="Nandao Grupo A",33,IF(Atletas!I405="Taijijian Grupo A",34,IF(Atletas!I405="Daoshu Opcional",35,IF(Atletas!I405="Jianshu Opcional",36,IF(Atletas!I405="Nandao Opcional",37,IF(Atletas!I405="Taijijian Opcional",38,IF(Atletas!I405="Daoshu Adulto",39,IF(Atletas!I405="Jianshu Adulto",40,IF(Atletas!I405="Nandao Adulto",41,IF(Atletas!I405="Taijijian Adulto",42,""))))))))))))))))))))))))))</f>
        <v/>
      </c>
      <c r="BH414" s="52" t="str">
        <f>IF(Atletas!J405="","",IF(Atletas!B405="Feminino",100,IF(Atletas!B405="Masculino",200,""))+(IF(Atletas!J405="Gunshu Mirim",43,IF(Atletas!J405="Qiangshu Mirim",44,IF(Atletas!J405="Nangun Mirim",45,IF(Atletas!J405="Gunshu Grupo C",46,IF(Atletas!J405="Qiangshu Grupo C",47,IF(Atletas!J405="Nangun Grupo C",48,IF(Atletas!J405="Gunshu Grupo B",49,IF(Atletas!J405="Qiangshu Grupo B",50,IF(Atletas!J405="Nangun Grupo B",51,IF(Atletas!J405="Gunshu Grupo A",52,IF(Atletas!J405="Qiangshu Grupo A",53,IF(Atletas!J405="Nangun Grupo A",54,IF(Atletas!J405="Gunshu Opcional",55,IF(Atletas!J405="Qiangshu Opcional",56,IF(Atletas!J405="Nangun Opcional",57,IF(Atletas!J405="Gunshu Adulto",58,IF(Atletas!J405="Qiangshu Adulto",59,IF(Atletas!J405="Nangun Adulto",60,IF(Atletas!J405="Taijishan Grupo B",61,IF(Atletas!J405="Taijishan Grupo A",62,""))))))))))))))))))))))</f>
        <v/>
      </c>
      <c r="BM414" s="50" t="str">
        <f>IF(Atletas!K405="","",IF(Atletas!B405="Feminino",100,IF(Atletas!B405="Masculino",200,""))+(IF(Atletas!K405="Equipe 1 Grupo B",1,IF(Atletas!K405="Equipe 2 Grupo B",2,IF(Atletas!K405="Equipe 1 Grupo A",3,IF(Atletas!K405="Equipe 2 Grupo A",4,IF(Atletas!K405="Equipe 1 Adulto",5,IF(Atletas!K405="Equipe 2 Adulto",6,""))))))))</f>
        <v/>
      </c>
      <c r="BR414" s="50" t="str">
        <f>IF(Atletas!L405="","",IF(Atletas!X405&lt;&gt;"",10000,0)+(IF(Atletas!B405="Feminino",1000,IF(Atletas!B405="Masculino",2000,""))+IF(Atletas!L405="Choylayfut A",1,IF(Atletas!L405="Hunggar A",2,IF(Atletas!L405="Wuzuquan A",3,IF(Atletas!L405="Wingchun A",4,IF(Atletas!L405="Outra Mão de Sul A",5,IF(Atletas!L405="Choylayfut B",6,IF(Atletas!L405="Hunggar B",7,IF(Atletas!L405="Wuzuquan B",8,IF(Atletas!L405="Wingchun B",9,IF(Atletas!L405="Outra Mão de Sul B",10,IF(Atletas!L405="Choylayfut C",11,IF(Atletas!L405="Hunggar C",12,IF(Atletas!L405="Wuzuquan C",13,IF(Atletas!L405="Wingchun C",14,IF(Atletas!L405="Outra Mão de Sul C",15,IF(Atletas!L405="Choylayfut D",16,IF(Atletas!L405="Hunggar D",17,IF(Atletas!L405="Wuzuquan D",18,IF(Atletas!L405="Wingchun D",19,IF(Atletas!L405="Outra Mão de Sul D",20,IF(Atletas!L405="Choylayfut E",21,IF(Atletas!L405="Hunggar E",22,IF(Atletas!L405="Wuzuquan E",23,IF(Atletas!L405="Wingchun E",24,IF(Atletas!L405="Outra Mão de Sul E",25,IF(Atletas!L405="Choylayfut F",26,IF(Atletas!L405="Hunggar F",27,IF(Atletas!L405="Wuzuquan F",28,IF(Atletas!L405="Wingchun F",29,IF(Atletas!L405="Outra Mão de Sul F",30,IF(Atletas!L405="Dishuquan A",31,IF(Atletas!L405="Dishuquan B",32,IF(Atletas!L405="Dishuquan C",33,IF(Atletas!L405="Dishuquan D",34,IF(Atletas!L405="Dishuquan E",35,IF(Atletas!L405="Dishuquan F",36,""))))))))))))))))))))))))))))))))))))))</f>
        <v/>
      </c>
      <c r="BS414" s="50" t="str">
        <f>IF(Atletas!M405="","",IF(Atletas!X405&lt;&gt;"",10000,0)+(IF(Atletas!B405="Feminino",1000,IF(Atletas!B405="Masculino",2000,""))+(IF(Atletas!M405="Chaquan A",101,IF(Atletas!M405="Emeiquan A",102,IF(Atletas!M405="Fanziquan A",103,IF(Atletas!M405="Huaquan A",104,IF(Atletas!M405="Hongquan A",105,IF(Atletas!M405="Paoquan A",106,IF(Atletas!M405="Piguaquan A",107,IF(Atletas!M405="Shaolinquan A",108,IF(Atletas!M405="Tanglangquan A",109,IF(Atletas!M405="Yingzhaoquan A",110,IF(Atletas!M405="Tongbeiquan A",111,IF(Atletas!M405="Wudangquan A",112,IF(Atletas!M405="Outros Estilos A",113,IF(Atletas!M405="Chaquan B",114,IF(Atletas!M405="Emeiquan B",115,IF(Atletas!M405="Fanziquan B",116,IF(Atletas!M405="Huaquan B",117,IF(Atletas!M405="Hongquan B",118,IF(Atletas!M405="Paoquan B",119,IF(Atletas!M405="Piguaquan B",120,IF(Atletas!M405="Shaolinquan B",121,IF(Atletas!M405="Tanglangquan B",122,IF(Atletas!M405="Yingzhaoquan B",123,IF(Atletas!M405="Tongbeiquan B",124,IF(Atletas!M405="Wudangquan B",125,IF(Atletas!M405="Outros Estilos B",126,IF(Atletas!M405="Chaquan C",127,IF(Atletas!M405="Emeiquan C",128,IF(Atletas!M405="Fanziquan C",129,IF(Atletas!M405="Huaquan C",130,IF(Atletas!M405="Hongquan C",131,IF(Atletas!M405="Paoquan C",132,IF(Atletas!M405="Piguaquan C",133,IF(Atletas!M405="Shaolinquan C",134,IF(Atletas!M405="Tanglangquan C",135,IF(Atletas!M405="Yingzhaoquan C",136,IF(Atletas!M405="Tongbeiquan C",137,IF(Atletas!M405="Wudangquan C",138,IF(Atletas!M405="Outros Estilos C",139,0))))))))))))))))))))))))))))))))))))))))))</f>
        <v/>
      </c>
      <c r="BT414" s="50" t="str">
        <f>IF(Atletas!M405="","",IF(Atletas!X405&lt;&gt;"",10000,0)+(IF(Atletas!B405="Feminino",1000,IF(Atletas!B405="Masculino",2000,""))+(IF(Atletas!M405="Chaquan D",140,IF(Atletas!M405="Emeiquan D",141,IF(Atletas!M405="Fanziquan D",142,IF(Atletas!M405="Huaquan D",143,IF(Atletas!M405="Hongquan D",144,IF(Atletas!M405="Paoquan D",145,IF(Atletas!M405="Piguaquan D",146,IF(Atletas!M405="Shaolinquan D",147,IF(Atletas!M405="Tanglangquan D",148,IF(Atletas!M405="Yingzhaoquan D",149,IF(Atletas!M405="Tongbeiquan D",150,IF(Atletas!M405="Wudangquan D",151,IF(Atletas!M405="Outros Estilos D",152,IF(Atletas!M405="Chaquan E",153,IF(Atletas!M405="Emeiquan E",154,IF(Atletas!M405="Fanziquan E",155,IF(Atletas!M405="Huaquan E",156,IF(Atletas!M405="Hongquan E",157,IF(Atletas!M405="Paoquan E",158,IF(Atletas!M405="Piguaquan E",159,IF(Atletas!M405="Shaolinquan E",160,IF(Atletas!M405="Tanglangquan E",161,IF(Atletas!M405="Yingzhaoquan E",162,IF(Atletas!M405="Tongbeiquan E",163,IF(Atletas!M405="Wudangquan E",164,IF(Atletas!M405="Outros Estilos E",165,IF(Atletas!M405="Chaquan F",166,IF(Atletas!M405="Emeiquan F",167,IF(Atletas!M405="Fanziquan F",168,IF(Atletas!M405="Huaquan F",169,IF(Atletas!M405="Hongquan F",170,IF(Atletas!M405="Paoquan F",171,IF(Atletas!M405="Piguaquan F",172,IF(Atletas!M405="Shaolinquan F",173,IF(Atletas!M405="Tanglangquan F",174,IF(Atletas!M405="Yingzhaoquan F",175,IF(Atletas!M405="Tongbeiquan F",176,IF(Atletas!M405="Wudangquan F",177,IF(Atletas!M405="Outros Estilos F",178,0))))))))))))))))))))))))))))))))))))))))))</f>
        <v/>
      </c>
      <c r="BU414" s="50" t="str">
        <f>IF(Atletas!N405="","",IF(Atletas!X405&lt;&gt;"",10000,0)+(IF(Atletas!B405="Feminino",1000,IF(Atletas!B405="Masculino",2000,""))+(IF(Atletas!N405="Ditangquan A",201,IF(Atletas!N405="Houquan A",202,IF(Atletas!N405="Zuiquan A",203,IF(Atletas!N405="Ditangquan B",204,IF(Atletas!N405="Houquan B",205,IF(Atletas!N405="Zuiquan B",206,IF(Atletas!N405="Ditangquan C",207,IF(Atletas!N405="Houquan C",208,IF(Atletas!N405="Zuiquan C",209,IF(Atletas!N405="Ditangquan D",210,IF(Atletas!N405="Houquan D",211,IF(Atletas!N405="Zuiquan D",212,IF(Atletas!N405="Ditangquan E",213,IF(Atletas!N405="Houquan E",214,IF(Atletas!N405="Zuiquan E",215,IF(Atletas!N405="Ditangquan F",216,IF(Atletas!N405="Houquan F",217,IF(Atletas!N405="Zuiquan F",218,"")))))))))))))))))))))</f>
        <v/>
      </c>
      <c r="BV414" s="50" t="str">
        <f>IF(Atletas!O405="","",IF(Atletas!X405&lt;&gt;"",10000,0)+IF(Atletas!B405="Feminino",1000,IF(Atletas!B405="Masculino",2000,""))+IF(Atletas!O405="Yang A",301,IF(Atletas!O405="Chen A",302,IF(Atletas!O405="Sun A",303,IF(Atletas!O405="Wu A",304,IF(Atletas!O405="Wu-Hao A",305,IF(Atletas!O405="Outro Taijiquan A",306,IF(Atletas!O405="Yang B",307,IF(Atletas!O405="Chen B",308,IF(Atletas!O405="Sun B",309,IF(Atletas!O405="Wu B",310,IF(Atletas!O405="Wu-Hao B",311,IF(Atletas!O405="Outro Taijiquan B",312,IF(Atletas!O405="Yang C",313,IF(Atletas!O405="Chen C",314,IF(Atletas!O405="Sun C",315,IF(Atletas!O405="Wu C",316,IF(Atletas!O405="Wu-Hao C",317,IF(Atletas!O405="Outro Taijiquan C",318,IF(Atletas!O405="Yang D",319,IF(Atletas!O405="Chen D",320,IF(Atletas!O405="Sun D",321,IF(Atletas!O405="Wu D",322,IF(Atletas!O405="Wu-Hao D",323,IF(Atletas!O405="Outro Taijiquan D",324,IF(Atletas!O405="Yang E",325,IF(Atletas!O405="Chen E",326,IF(Atletas!O405="Sun E",327,IF(Atletas!O405="Wu E",328,IF(Atletas!O405="Wu-Hao E",329,IF(Atletas!O405="Outro Taijiquan E",330,IF(Atletas!O405="Yang F",331,IF(Atletas!O405="Chen F",332,IF(Atletas!O405="Sun F",333,IF(Atletas!O405="Wu F",334,IF(Atletas!O405="Wu-Hao F",335,IF(Atletas!O405="Outro Taijiquan F",336,"")))))))))))))))))))))))))))))))))))))</f>
        <v/>
      </c>
      <c r="BW414" s="50" t="str">
        <f>IF(Atletas!P405="","",IF(Atletas!X405&lt;&gt;"",10000,0)+IF(Atletas!B405="Feminino",1000,IF(Atletas!B405="Masculino",2000,""))+IF(OR(Atletas!P405="Yang 26 A",Atletas!P405="Yang 40 A"),401,IF(OR(Atletas!P405="Chen 25 A",Atletas!P405="Chen 36 A",Atletas!P405="Chen 56 A"),402,IF(Atletas!P405="Sun 73 A",403,IF(Atletas!P405="Wu 45 A",404,IF(Atletas!P405="Wu-Hao 46 A",405,IF(OR(Atletas!P405="Taijiquan 16 A",Atletas!P405="Taijiquan 24 A",Atletas!P405="Taijiquan 32 A",Atletas!P405="Taijiquan 42 A"),406,IF(OR(Atletas!P405="Yang 26 B",Atletas!P405="Yang 40 B"),407,IF(OR(Atletas!P405="Chen 25 B",Atletas!P405="Chen 36 B",Atletas!P405="Chen 56 B"),408,IF(Atletas!P405="Sun 73 B",409,IF(Atletas!P405="Wu 45 B",410,IF(Atletas!P405="Wu-Hao 46 B",411,IF(OR(Atletas!P405="Taijiquan 16 B",Atletas!P405="Taijiquan 24 B",Atletas!P405="Taijiquan 32 B",Atletas!P405="Taijiquan 42 B"),412,IF(OR(Atletas!P405="Yang 26 C",Atletas!P405="Yang 40 C"),413,IF(OR(Atletas!P405="Chen 25 C",Atletas!P405="Chen 36 C",Atletas!P405="Chen 56 C"),414,IF(Atletas!P405="Sun 73 C",415,IF(Atletas!P405="Wu 45 C",416,IF(Atletas!P405="Wu-Hao 46 C",417,IF(OR(Atletas!P405="Taijiquan 16 C",Atletas!P405="Taijiquan 24 C",Atletas!P405="Taijiquan 32 C",Atletas!P405="Taijiquan 42 C"),418,0)))))))))))))))))))</f>
        <v/>
      </c>
      <c r="BX414" s="50" t="str">
        <f>IF(Atletas!P405="","",IF(Atletas!X405&lt;&gt;"",10000,0)+IF(Atletas!B405="Feminino",1000,IF(Atletas!B405="Masculino",2000,""))+IF(OR(Atletas!P405="Yang 26 D",Atletas!P405="Yang 40 D"),419,IF(OR(Atletas!P405="Chen 25 D",Atletas!P405="Chen 36 D",Atletas!P405="Chen 56 D"),420,IF(Atletas!P405="Sun 73 D",421,IF(Atletas!P405="Wu 45 D",422,IF(Atletas!P405="Wu-Hao 46 D",423,IF(OR(Atletas!P405="Taijiquan 16 D",Atletas!P405="Taijiquan 24 D",Atletas!P405="Taijiquan 32 D",Atletas!P405="Taijiquan 42 D"),424,IF(OR(Atletas!P405="Yang 26 E",Atletas!P405="Yang 40 E"),425,IF(OR(Atletas!P405="Chen 25 E",Atletas!P405="Chen 36 E",Atletas!P405="Chen 56 E"),426,IF(Atletas!P405="Sun 73 E",427,IF(Atletas!P405="Wu 45 E",428,IF(Atletas!P405="Wu-Hao 46 E",429,IF(OR(Atletas!P405="Taijiquan 16 E",Atletas!P405="Taijiquan 24 E",Atletas!P405="Taijiquan 32 E",Atletas!P405="Taijiquan 42 E"),430,IF(OR(Atletas!P405="Yang 26 F",Atletas!P405="Yang 40 F"),431,IF(OR(Atletas!P405="Chen 25 F",Atletas!P405="Chen 36 F",Atletas!P405="Chen 56 F"),432,IF(Atletas!P405="Sun 73 F",433,IF(Atletas!P405="Wu 45 F",434,IF(Atletas!P405="Wu-Hao 46 F",435,IF(OR(Atletas!P405="Taijiquan 16 F",Atletas!P405="Taijiquan 24 F",Atletas!P405="Taijiquan 32 F",Atletas!P405="Taijiquan 42 F"),436,0)))))))))))))))))))</f>
        <v/>
      </c>
      <c r="BY414" s="50" t="str">
        <f>IF(Atletas!Q405="","",IF(Atletas!X405&lt;&gt;"",10000,0)+IF(Atletas!B405="Feminino",1000,IF(Atletas!B405="Masculino",2000,""))+IF(Atletas!Q405="Xingyiquan A",501,IF(Atletas!Q405="Baguazhang A",502,IF(Atletas!Q405="Outro Estilo Interno A",503,IF(Atletas!Q405="Xingyiquan B",504,IF(Atletas!Q405="Baguazhang B",505,IF(Atletas!Q405="Outro Estilo Interno B",506,IF(Atletas!Q405="Xingyiquan C",507,IF(Atletas!Q405="Baguazhang C",508,IF(Atletas!Q405="Outro Estilo Interno C",509,IF(Atletas!Q405="Xingyiquan D",510,IF(Atletas!Q405="Baguazhang D",511,IF(Atletas!Q405="Outro Estilo Interno D",512,IF(Atletas!Q405="Xingyiquan E",513,IF(Atletas!Q405="Baguazhang E",514,IF(Atletas!Q405="Outro Estilo Interno E",515,IF(Atletas!Q405="Xingyiquan F",516,IF(Atletas!Q405="Baguazhang F",517,IF(Atletas!Q405="Outro Estilo Interno F",518, "")))))))))))))))))))</f>
        <v/>
      </c>
      <c r="BZ414" s="50" t="str">
        <f>IF(Atletas!R405="","",IF(Atletas!X405&lt;&gt;"",10000,0)+IF(Atletas!B405="Feminino",1000,IF(Atletas!B405="Masculino",2000,""))+IF(Atletas!R405="Dao A",601,IF(Atletas!R405="Jian A",602,IF(Atletas!R405="Bishou A",603,IF(Atletas!R405="Shanzi A",604,IF(Atletas!R405="Outra Arma Curta A",605,IF(Atletas!R405="Dao B",606,IF(Atletas!R405="Jian B",607,IF(Atletas!R405="Bishou B",608,IF(Atletas!R405="Shanzi B",609,IF(Atletas!R405="Outra Arma Curta B",610,IF(Atletas!R405="Dao C",611,IF(Atletas!R405="Jian C",612,IF(Atletas!R405="Bishou C",613,IF(Atletas!R405="Shanzi C",614,IF(Atletas!R405="Outra Arma Curta C",615,IF(Atletas!R405="Dao D",616,IF(Atletas!R405="Jian D",617,IF(Atletas!R405="Bishou D",618,IF(Atletas!R405="Shanzi D",619,IF(Atletas!R405="Outra Arma Curta D",620,IF(Atletas!R405="Dao E",621,IF(Atletas!R405="Jian E",622,IF(Atletas!R405="Bishou E",623,IF(Atletas!R405="Shanzi E",624,IF(Atletas!R405="Outra Arma Curta E",625,IF(Atletas!R405="Dao F",626,IF(Atletas!R405="Jian F",627,IF(Atletas!R405="Bishou F",628,IF(Atletas!R405="Shanzi F",629,IF(Atletas!R405="Outra Arma Curta F",630, "")))))))))))))))))))))))))))))))</f>
        <v/>
      </c>
      <c r="CA414" s="50" t="str">
        <f>IF(Atletas!S405="","",IF(Atletas!X405&lt;&gt;"",10000,0)+IF(Atletas!B405="Feminino",1000,IF(Atletas!B405="Masculino",2000,""))+IF(Atletas!S405="Gun A",701,IF(Atletas!S405="Qiang A",702,IF(Atletas!S405="Pudao / Guandao A",703,IF(Atletas!S405="Outra Arma Longa A",704,IF(Atletas!S405="Gun B",705,IF(Atletas!S405="Qiang B",706,IF(Atletas!S405="Pudao / Guandao B",707,IF(Atletas!S405="Outra Arma Longa B",708,IF(Atletas!S405="Gun C",709,IF(Atletas!S405="Qiang C",710,IF(Atletas!S405="Pudao / Guandao C",711,IF(Atletas!S405="Outra Arma Longa C",712,IF(Atletas!S405="Gun D",713,IF(Atletas!S405="Qiang D",714,IF(Atletas!S405="Pudao / Guandao D",715,IF(Atletas!S405="Outra Arma Longa D",716,IF(Atletas!S405="Gun E",717,IF(Atletas!S405="Qiang E",718,IF(Atletas!S405="Pudao / Guandao E",719,IF(Atletas!S405="Outra Arma Longa E",720,IF(Atletas!S405="Gun F",721,IF(Atletas!S405="Qiang F",722,IF(Atletas!S405="Pudao / Guandao F",723,IF(Atletas!S405="Outra Arma Longa F",724,"")))))))))))))))))))))))))</f>
        <v/>
      </c>
      <c r="CB414" s="50" t="str">
        <f>IF(Atletas!T405="","",IF(Atletas!X405&lt;&gt;"",10000,0)+IF(Atletas!B405="Feminino",1000,IF(Atletas!B405="Masculino",2000,""))+IF(Atletas!T405="Outra Arma Dupla A",801,IF(Atletas!T405="Arma Maleável A",802,IF(Atletas!T405="Outra Arma Dupla B",803,IF(Atletas!T405="Arma Maleável B",804,IF(Atletas!T405="Outra Arma Dupla C",805,IF(Atletas!T405="Arma Maleável C",806,IF(Atletas!T405="Outra Arma Dupla D",807,IF(Atletas!T405="Arma Maleável D",808,IF(Atletas!T405="Outra Arma Dupla E",809,IF(Atletas!T405="Arma Maleável E",810,IF(Atletas!T405="Outra Arma Dupla F",811,IF(Atletas!T405="Arma Maleável F",812,IF(Atletas!T405="Shuangdao A",813,IF(Atletas!T405="Shuangdao B",814,IF(Atletas!T405="Shuangdao C",815,IF(Atletas!T405="Shuangdao D",816,IF(Atletas!T405="Shuangdao E",817,IF(Atletas!T405="Shuangdao F",818,"")))))))))))))))))))</f>
        <v/>
      </c>
      <c r="CC414" s="50" t="str">
        <f>IF(Atletas!U405="","",IF(Atletas!X405&lt;&gt;"",10000,0)+IF(Atletas!B405="Feminino",1000,IF(Atletas!B405="Masculino",2000,""))+IF(OR(Atletas!U405="Taijijian Yang A",Atletas!U405="Taijijian Yang Standard A"),901,IF(OR(Atletas!U405="Taijijian Chen A", Atletas!U405="Taijijian Chen Standard A"),902,IF(Atletas!U405="Taijijian Sun A",903,IF(Atletas!U405="Taijijian Wu A",904,IF(Atletas!U405="Taijijian Wu-Hao A",905,IF(OR(Atletas!U405="Taijijian 32 A",Atletas!U405="Taijijian 42 A"),906,IF(OR(Atletas!U405="Taijijian Yang B",Atletas!U405="Taijijian Yang Standard B"),907,IF(OR(Atletas!U405="Taijijian Chen B", Atletas!U405="Taijijian Chen Standard B"),908,IF(Atletas!U405="Taijijian Sun B",909,IF(Atletas!U405="Taijijian Wu B",910,IF(Atletas!U405="Taijijian Wu-Hao B",911,IF(OR(Atletas!U405="Taijijian 32 B",Atletas!U405="Taijijian 42 B"),912,IF(OR(Atletas!U405="Taijijian Yang C",Atletas!U405="Taijijian Yang Standard C"),913,IF(OR(Atletas!U405="Taijijian Chen C", Atletas!U405="Taijijian Chen Standard C"),914,IF(Atletas!U405="Taijijian Sun C",915,IF(Atletas!U405="Taijijian Wu C",916,IF(Atletas!U405="Taijijian Wu-Hao C",917,IF(OR(Atletas!U405="Taijijian 32 C",Atletas!U405="Taijijian 42 C"),918,IF(OR(Atletas!U405="Taijijian Yang D",Atletas!U405="Taijijian Yang Standard D"),919,IF(OR(Atletas!U405="Taijijian Chen D", Atletas!U405="Taijijian Chen Standard D"),920,IF(Atletas!U405="Taijijian Sun D",921,IF(Atletas!U405="Taijijian Wu D",922,IF(Atletas!U405="Taijijian Wu-Hao D",923,IF(OR(Atletas!U405="Taijijian 32 D",Atletas!U405="Taijijian 42 D"),924,IF(OR(Atletas!U405="Taijijian Yang E",Atletas!U405="Taijijian Yang Standard E"),925,IF(OR(Atletas!U405="Taijijian Chen E", Atletas!U405="Taijijian Chen Standard E"),926,IF(Atletas!U405="Taijijian Sun E",927,IF(Atletas!U405="Taijijian Wu E",928,IF(Atletas!U405="Taijijian Wu-Hao E",929,IF(OR(Atletas!U405="Taijijian 32 E",Atletas!U405="Taijijian 42 E"),930,IF(OR(Atletas!U405="Taijijian Yang F",Atletas!U405="Taijijian Yang Standard F"),931,IF(OR(Atletas!U405="Taijijian Chen F", Atletas!U405="Taijijian Chen Standard F"),932,IF(Atletas!U405="Taijijian Sun F",933,IF(Atletas!U405="Taijijian Wu F",934,IF(Atletas!U405="Taijijian Wu-Hao F",935,IF(OR(Atletas!U405="Taijijian 32 F",Atletas!U405="Taijijian 42 F"),936,"")))))))))))))))))))))))))))))))))))))</f>
        <v/>
      </c>
      <c r="CD414" s="50" t="str">
        <f>IF(Atletas!V405="","",IF(Atletas!X405&lt;&gt;"",10000,0)+IF(Atletas!B405="Feminino",1000,IF(Atletas!B405="Masculino",2000,""))+IF(Atletas!V405="Taijidao A",937,IF(Atletas!V405="TaijiShanzi A",938,IF(Atletas!V405="Taijiqiang A",939,IF(Atletas!V405="Bagua de Arma A",940,IF(Atletas!V405="Xingyi de Arma A",941,IF(Atletas!V405="Taijidao B",942,IF(Atletas!V405="TaijiShanzi B",943,IF(Atletas!V405="Taijiqiang B",944,IF(Atletas!V405="Bagua de Arma B",945,IF(Atletas!V405="Xingyi de Arma B",946,IF(Atletas!V405="Taijidao C",947,IF(Atletas!V405="TaijiShanzi C",948,IF(Atletas!V405="Taijiqiang C",949,IF(Atletas!V405="Bagua de Arma C",950,IF(Atletas!V405="Xingyi de Arma C",951,IF(Atletas!V405="Taijidao D",952,IF(Atletas!V405="TaijiShanzi D",953,IF(Atletas!V405="Taijiqiang D",954,IF(Atletas!V405="Bagua de Arma D",955,IF(Atletas!V405="Xingyi de Arma D",956,IF(Atletas!V405="Taijidao E",957,IF(Atletas!V405="TaijiShanzi E",958,IF(Atletas!V405="Taijiqiang E",959,IF(Atletas!V405="Bagua de Arma E",960,IF(Atletas!V405="Xingyi de Arma E",961,IF(Atletas!V405="Taijidao F",962,IF(Atletas!V405="TaijiShanzi F",963,IF(Atletas!V405="Taijiqiang F",964,IF(Atletas!V405="Bagua de Arma F",965,IF(Atletas!V405="Xingyi de Arma F",966,"")))))))))))))))))))))))))))))))</f>
        <v/>
      </c>
      <c r="CM414" s="50" t="str">
        <f xml:space="preserve"> IF(Atletas!W405="","",IF(Atletas!W405="Duilian de Mãos BC - Equipe 1",1,IF(Atletas!W405="Duilian de Mãos BC - Equipe 2",2,IF(Atletas!W405="Duilian de Armas BC - Equipe 1",3,IF(Atletas!W405="Duilian de Armas BC - Equipe 2",4,IF(Atletas!W405="Duilian de Mãos DE - Equipe 1",5,IF(Atletas!W405="Duilian de Mãos DE - Equipe 2",6,IF(Atletas!W405="Duilian de Armas DE - Equipe 1",7,IF(Atletas!W405="Duilian de Armas DE - Equipe 2",8,IF(Atletas!W405="Duilian de Tuishou - Equipe 1",9,IF(Atletas!W405="Duilian de Tuishou - Equipe 2",10,IF(Atletas!W405="Grupo Externo ABC - Equipe 1",11,IF(Atletas!W405="Grupo Externo ABC - Equipe 2",12,IF(Atletas!W405="Grupo Interno ABC - Equipe 1",13,IF(Atletas!W405="Grupo Interno ABC - Equipe 2",14,IF(Atletas!W405="Grupo Externo DEF - Equipe 1",15,IF(Atletas!W405="Grupo Externo DEF - Equipe 2",16,IF(Atletas!W405="Grupo Interno DEF - Equipe 1",17,IF(Atletas!W405="Grupo Interno DEF - Equipe 2",18,"")))))))))))))))))))</f>
        <v/>
      </c>
    </row>
    <row r="415" spans="40:91">
      <c r="AN415" s="52" t="str">
        <f>IF(Atletas!D406="","",IF(Atletas!B406="Feminino",100,IF(Atletas!B406="Masculino",200,""))+(IF(Atletas!D406="Kids 30kg",1,IF(Atletas!D406="Kids 32kg",2, IF(Atletas!D406="Kids 34kg",3,IF(Atletas!D406="Kids 36kg",4,IF(Atletas!D406="Kids 39kg",5,IF(Atletas!D406="Kids 42kg",6,IF(Atletas!D406="Kids 45kg",7, IF(Atletas!D406="Infantil 39kg",8,IF(Atletas!D406="Infantil 42kg",9,IF(Atletas!D406="Infantil 45kg",10,IF(Atletas!D406="Infantil 48kg",11,IF(Atletas!D406="Infantil 52kg",12,IF(Atletas!D406="Infantil 56kg",13,IF(Atletas!D406="Infantil 60kg",14,IF(Atletas!D406="Juvenil 48kg",15,IF(Atletas!D406="Juvenil 52kg",16,IF(Atletas!D406="Juvenil 56kg",17,IF(Atletas!D406="Juvenil 60kg",18,IF(Atletas!D406="Juvenil 65kg",19,IF(Atletas!D406="Juvenil 70kg",20,IF(Atletas!D406="Juvenil 75kg",21,IF(Atletas!D406="Juvenil 80kg",22, IF(Atletas!D406="Juvenil 85kg",23,IF(Atletas!D406="Adulto 48kg",24,IF(Atletas!D406="Adulto 52kg",25,IF(Atletas!D406="Adulto 56kg",26,IF(Atletas!D406="Adulto 60kg",27,IF(Atletas!D406="Adulto 65kg",28,IF(Atletas!D406="Adulto 70kg",29,IF(Atletas!D406="Adulto 75kg",30,IF(Atletas!D406="Adulto 80kg",31,IF(Atletas!D406="Adulto 85kg",32,IF(Atletas!D406="Adulto 90kg",33,IF(Atletas!D406="Adulto 100kg",34, IF(Atletas!D406="Adulto +100kg",35,"")))))))))))))))))))))))))))))))))))))</f>
        <v/>
      </c>
      <c r="AS415" s="6" t="str">
        <f>IF(Atletas!E406="","",IF(Atletas!B406="Feminino",100,IF(Atletas!B406="Masculino",200,""))+(IF(Atletas!E406="Juvenil 44kg",1,IF(Atletas!E406="Juvenil 48kg",2,IF(Atletas!E406="Juvenil 52kg",3,IF(Atletas!E406="Juvenil 56kg",4,IF(Atletas!E406="Juvenil 60kg",5,IF(Atletas!E406="Juvenil 65kg",6,IF(Atletas!E406="Juvenil 70kg",7,IF(Atletas!E406="Juvenil 75kg",8,IF(Atletas!E406="Juvenil 82kg",9,IF(Atletas!E406="Juvenil 90kg",10,IF(Atletas!E406="Juvenil 100kg",11,IF(Atletas!E406="Adulto 48kg",12,IF(Atletas!E406="Adulto 52kg",13,IF(Atletas!E406="Adulto 56kg",14,IF(Atletas!E406="Adulto 60kg",15,IF(Atletas!E406="Adulto 65kg",16,IF(Atletas!E406="Adulto 70kg",17,IF(Atletas!E406="Adulto 75kg",18,IF(Atletas!E406="Adulto 82kg",19,IF(Atletas!E406="Adulto 90kg",20,IF(Atletas!E406="Adulto 100kg",21,IF(Atletas!E406="Adulto +100kg",22,""))))))))))))))))))))))))</f>
        <v/>
      </c>
      <c r="AX415" s="6" t="str">
        <f>IF(Atletas!F406="","",IF(Atletas!B406="Feminino",100,IF(Atletas!B406="Masculino",200,""))+(IF(Atletas!F406="Adulto 48kg",1,IF(Atletas!F406="Adulto 56kg",2,IF(Atletas!F406="Adulto 65kg",3,IF(Atletas!F406="Adulto 75kg",4,IF(Atletas!F406="Adulto +75kg",5,IF(Atletas!F406="Adulto 52kg",6,IF(Atletas!F406="Adulto 60kg",7,IF(Atletas!F406="Adulto 70kg",8,IF(Atletas!F406="Adulto 80kg",9,IF(Atletas!F406="Adulto 90kg",10,IF(Atletas!F406="Adulto +90kg",11,"")))))))))))))</f>
        <v/>
      </c>
      <c r="BC415" s="6" t="str">
        <f>IF(Atletas!G406="","",IF(Atletas!B406="Feminino",10,IF(Atletas!B406="Masculino",20,""))+(IF(Atletas!G406="Baduanjin A",1,IF(Atletas!G406="Baduanjin B",2))))</f>
        <v/>
      </c>
      <c r="BF415" s="52" t="str">
        <f>IF(Atletas!H406="","",IF(Atletas!B406="Feminino",100,IF(Atletas!B406="Masculino",200,""))+(IF(Atletas!H406="Changquan Mirim",1,IF(Atletas!H406="Nanquan Mirim",2,IF(Atletas!H406="Taijiquan Mirim",3,IF(Atletas!H406="Changquan Grupo C",4,IF(Atletas!H406="Nanquan Grupo C",5,IF(Atletas!H406="Taijiquan Grupo C",6,IF(Atletas!H406="Changquan Grupo B",7,IF(Atletas!H406="Nanquan Grupo B",8,IF(Atletas!H406="Taijiquan Grupo B",9,IF(Atletas!H406="Changquan Grupo A",10,IF(Atletas!H406="Nanquan Grupo A",11,IF(Atletas!H406="Taijiquan Grupo A",12,IF(Atletas!H406="Changquan Opcional",13,IF(Atletas!H406="Nanquan Opcional",14,IF(Atletas!H406="Taijiquan Opcional",15,IF(Atletas!H406="Changquan Adulto",16,IF(Atletas!H406="Nanquan Adulto",17,IF(Atletas!H406="Taijiquan Adulto",18,""))))))))))))))))))))</f>
        <v/>
      </c>
      <c r="BG415" s="52" t="str">
        <f>IF(Atletas!I406="","",IF(Atletas!B406="Feminino",100,IF(Atletas!B406="Masculino",200,""))+(IF(Atletas!I406="Daoshu Mirim",19,IF(Atletas!I406="Jianshu Mirim",20,IF(Atletas!I406="Nandao Mirim",21,IF(Atletas!I406="Taijijian Mirim",22,IF(Atletas!I406="Daoshu Grupo C",23,IF(Atletas!I406="Jianshu Grupo C",24,IF(Atletas!I406="Nandao Grupo C",25,IF(Atletas!I406="Taijijian Grupo C",26,IF(Atletas!I406="Daoshu Grupo B",27,IF(Atletas!I406="Jianshu Grupo B",28,IF(Atletas!I406="Nandao Grupo B",29,IF(Atletas!I406="Taijijian Grupo B",30,IF(Atletas!I406="Daoshu Grupo A",31,IF(Atletas!I406="Jianshu Grupo A",32,IF(Atletas!I406="Nandao Grupo A",33,IF(Atletas!I406="Taijijian Grupo A",34,IF(Atletas!I406="Daoshu Opcional",35,IF(Atletas!I406="Jianshu Opcional",36,IF(Atletas!I406="Nandao Opcional",37,IF(Atletas!I406="Taijijian Opcional",38,IF(Atletas!I406="Daoshu Adulto",39,IF(Atletas!I406="Jianshu Adulto",40,IF(Atletas!I406="Nandao Adulto",41,IF(Atletas!I406="Taijijian Adulto",42,""))))))))))))))))))))))))))</f>
        <v/>
      </c>
      <c r="BH415" s="52" t="str">
        <f>IF(Atletas!J406="","",IF(Atletas!B406="Feminino",100,IF(Atletas!B406="Masculino",200,""))+(IF(Atletas!J406="Gunshu Mirim",43,IF(Atletas!J406="Qiangshu Mirim",44,IF(Atletas!J406="Nangun Mirim",45,IF(Atletas!J406="Gunshu Grupo C",46,IF(Atletas!J406="Qiangshu Grupo C",47,IF(Atletas!J406="Nangun Grupo C",48,IF(Atletas!J406="Gunshu Grupo B",49,IF(Atletas!J406="Qiangshu Grupo B",50,IF(Atletas!J406="Nangun Grupo B",51,IF(Atletas!J406="Gunshu Grupo A",52,IF(Atletas!J406="Qiangshu Grupo A",53,IF(Atletas!J406="Nangun Grupo A",54,IF(Atletas!J406="Gunshu Opcional",55,IF(Atletas!J406="Qiangshu Opcional",56,IF(Atletas!J406="Nangun Opcional",57,IF(Atletas!J406="Gunshu Adulto",58,IF(Atletas!J406="Qiangshu Adulto",59,IF(Atletas!J406="Nangun Adulto",60,IF(Atletas!J406="Taijishan Grupo B",61,IF(Atletas!J406="Taijishan Grupo A",62,""))))))))))))))))))))))</f>
        <v/>
      </c>
      <c r="BM415" s="50" t="str">
        <f>IF(Atletas!K406="","",IF(Atletas!B406="Feminino",100,IF(Atletas!B406="Masculino",200,""))+(IF(Atletas!K406="Equipe 1 Grupo B",1,IF(Atletas!K406="Equipe 2 Grupo B",2,IF(Atletas!K406="Equipe 1 Grupo A",3,IF(Atletas!K406="Equipe 2 Grupo A",4,IF(Atletas!K406="Equipe 1 Adulto",5,IF(Atletas!K406="Equipe 2 Adulto",6,""))))))))</f>
        <v/>
      </c>
      <c r="BR415" s="50" t="str">
        <f>IF(Atletas!L406="","",IF(Atletas!X406&lt;&gt;"",10000,0)+(IF(Atletas!B406="Feminino",1000,IF(Atletas!B406="Masculino",2000,""))+IF(Atletas!L406="Choylayfut A",1,IF(Atletas!L406="Hunggar A",2,IF(Atletas!L406="Wuzuquan A",3,IF(Atletas!L406="Wingchun A",4,IF(Atletas!L406="Outra Mão de Sul A",5,IF(Atletas!L406="Choylayfut B",6,IF(Atletas!L406="Hunggar B",7,IF(Atletas!L406="Wuzuquan B",8,IF(Atletas!L406="Wingchun B",9,IF(Atletas!L406="Outra Mão de Sul B",10,IF(Atletas!L406="Choylayfut C",11,IF(Atletas!L406="Hunggar C",12,IF(Atletas!L406="Wuzuquan C",13,IF(Atletas!L406="Wingchun C",14,IF(Atletas!L406="Outra Mão de Sul C",15,IF(Atletas!L406="Choylayfut D",16,IF(Atletas!L406="Hunggar D",17,IF(Atletas!L406="Wuzuquan D",18,IF(Atletas!L406="Wingchun D",19,IF(Atletas!L406="Outra Mão de Sul D",20,IF(Atletas!L406="Choylayfut E",21,IF(Atletas!L406="Hunggar E",22,IF(Atletas!L406="Wuzuquan E",23,IF(Atletas!L406="Wingchun E",24,IF(Atletas!L406="Outra Mão de Sul E",25,IF(Atletas!L406="Choylayfut F",26,IF(Atletas!L406="Hunggar F",27,IF(Atletas!L406="Wuzuquan F",28,IF(Atletas!L406="Wingchun F",29,IF(Atletas!L406="Outra Mão de Sul F",30,IF(Atletas!L406="Dishuquan A",31,IF(Atletas!L406="Dishuquan B",32,IF(Atletas!L406="Dishuquan C",33,IF(Atletas!L406="Dishuquan D",34,IF(Atletas!L406="Dishuquan E",35,IF(Atletas!L406="Dishuquan F",36,""))))))))))))))))))))))))))))))))))))))</f>
        <v/>
      </c>
      <c r="BS415" s="50" t="str">
        <f>IF(Atletas!M406="","",IF(Atletas!X406&lt;&gt;"",10000,0)+(IF(Atletas!B406="Feminino",1000,IF(Atletas!B406="Masculino",2000,""))+(IF(Atletas!M406="Chaquan A",101,IF(Atletas!M406="Emeiquan A",102,IF(Atletas!M406="Fanziquan A",103,IF(Atletas!M406="Huaquan A",104,IF(Atletas!M406="Hongquan A",105,IF(Atletas!M406="Paoquan A",106,IF(Atletas!M406="Piguaquan A",107,IF(Atletas!M406="Shaolinquan A",108,IF(Atletas!M406="Tanglangquan A",109,IF(Atletas!M406="Yingzhaoquan A",110,IF(Atletas!M406="Tongbeiquan A",111,IF(Atletas!M406="Wudangquan A",112,IF(Atletas!M406="Outros Estilos A",113,IF(Atletas!M406="Chaquan B",114,IF(Atletas!M406="Emeiquan B",115,IF(Atletas!M406="Fanziquan B",116,IF(Atletas!M406="Huaquan B",117,IF(Atletas!M406="Hongquan B",118,IF(Atletas!M406="Paoquan B",119,IF(Atletas!M406="Piguaquan B",120,IF(Atletas!M406="Shaolinquan B",121,IF(Atletas!M406="Tanglangquan B",122,IF(Atletas!M406="Yingzhaoquan B",123,IF(Atletas!M406="Tongbeiquan B",124,IF(Atletas!M406="Wudangquan B",125,IF(Atletas!M406="Outros Estilos B",126,IF(Atletas!M406="Chaquan C",127,IF(Atletas!M406="Emeiquan C",128,IF(Atletas!M406="Fanziquan C",129,IF(Atletas!M406="Huaquan C",130,IF(Atletas!M406="Hongquan C",131,IF(Atletas!M406="Paoquan C",132,IF(Atletas!M406="Piguaquan C",133,IF(Atletas!M406="Shaolinquan C",134,IF(Atletas!M406="Tanglangquan C",135,IF(Atletas!M406="Yingzhaoquan C",136,IF(Atletas!M406="Tongbeiquan C",137,IF(Atletas!M406="Wudangquan C",138,IF(Atletas!M406="Outros Estilos C",139,0))))))))))))))))))))))))))))))))))))))))))</f>
        <v/>
      </c>
      <c r="BT415" s="50" t="str">
        <f>IF(Atletas!M406="","",IF(Atletas!X406&lt;&gt;"",10000,0)+(IF(Atletas!B406="Feminino",1000,IF(Atletas!B406="Masculino",2000,""))+(IF(Atletas!M406="Chaquan D",140,IF(Atletas!M406="Emeiquan D",141,IF(Atletas!M406="Fanziquan D",142,IF(Atletas!M406="Huaquan D",143,IF(Atletas!M406="Hongquan D",144,IF(Atletas!M406="Paoquan D",145,IF(Atletas!M406="Piguaquan D",146,IF(Atletas!M406="Shaolinquan D",147,IF(Atletas!M406="Tanglangquan D",148,IF(Atletas!M406="Yingzhaoquan D",149,IF(Atletas!M406="Tongbeiquan D",150,IF(Atletas!M406="Wudangquan D",151,IF(Atletas!M406="Outros Estilos D",152,IF(Atletas!M406="Chaquan E",153,IF(Atletas!M406="Emeiquan E",154,IF(Atletas!M406="Fanziquan E",155,IF(Atletas!M406="Huaquan E",156,IF(Atletas!M406="Hongquan E",157,IF(Atletas!M406="Paoquan E",158,IF(Atletas!M406="Piguaquan E",159,IF(Atletas!M406="Shaolinquan E",160,IF(Atletas!M406="Tanglangquan E",161,IF(Atletas!M406="Yingzhaoquan E",162,IF(Atletas!M406="Tongbeiquan E",163,IF(Atletas!M406="Wudangquan E",164,IF(Atletas!M406="Outros Estilos E",165,IF(Atletas!M406="Chaquan F",166,IF(Atletas!M406="Emeiquan F",167,IF(Atletas!M406="Fanziquan F",168,IF(Atletas!M406="Huaquan F",169,IF(Atletas!M406="Hongquan F",170,IF(Atletas!M406="Paoquan F",171,IF(Atletas!M406="Piguaquan F",172,IF(Atletas!M406="Shaolinquan F",173,IF(Atletas!M406="Tanglangquan F",174,IF(Atletas!M406="Yingzhaoquan F",175,IF(Atletas!M406="Tongbeiquan F",176,IF(Atletas!M406="Wudangquan F",177,IF(Atletas!M406="Outros Estilos F",178,0))))))))))))))))))))))))))))))))))))))))))</f>
        <v/>
      </c>
      <c r="BU415" s="50" t="str">
        <f>IF(Atletas!N406="","",IF(Atletas!X406&lt;&gt;"",10000,0)+(IF(Atletas!B406="Feminino",1000,IF(Atletas!B406="Masculino",2000,""))+(IF(Atletas!N406="Ditangquan A",201,IF(Atletas!N406="Houquan A",202,IF(Atletas!N406="Zuiquan A",203,IF(Atletas!N406="Ditangquan B",204,IF(Atletas!N406="Houquan B",205,IF(Atletas!N406="Zuiquan B",206,IF(Atletas!N406="Ditangquan C",207,IF(Atletas!N406="Houquan C",208,IF(Atletas!N406="Zuiquan C",209,IF(Atletas!N406="Ditangquan D",210,IF(Atletas!N406="Houquan D",211,IF(Atletas!N406="Zuiquan D",212,IF(Atletas!N406="Ditangquan E",213,IF(Atletas!N406="Houquan E",214,IF(Atletas!N406="Zuiquan E",215,IF(Atletas!N406="Ditangquan F",216,IF(Atletas!N406="Houquan F",217,IF(Atletas!N406="Zuiquan F",218,"")))))))))))))))))))))</f>
        <v/>
      </c>
      <c r="BV415" s="50" t="str">
        <f>IF(Atletas!O406="","",IF(Atletas!X406&lt;&gt;"",10000,0)+IF(Atletas!B406="Feminino",1000,IF(Atletas!B406="Masculino",2000,""))+IF(Atletas!O406="Yang A",301,IF(Atletas!O406="Chen A",302,IF(Atletas!O406="Sun A",303,IF(Atletas!O406="Wu A",304,IF(Atletas!O406="Wu-Hao A",305,IF(Atletas!O406="Outro Taijiquan A",306,IF(Atletas!O406="Yang B",307,IF(Atletas!O406="Chen B",308,IF(Atletas!O406="Sun B",309,IF(Atletas!O406="Wu B",310,IF(Atletas!O406="Wu-Hao B",311,IF(Atletas!O406="Outro Taijiquan B",312,IF(Atletas!O406="Yang C",313,IF(Atletas!O406="Chen C",314,IF(Atletas!O406="Sun C",315,IF(Atletas!O406="Wu C",316,IF(Atletas!O406="Wu-Hao C",317,IF(Atletas!O406="Outro Taijiquan C",318,IF(Atletas!O406="Yang D",319,IF(Atletas!O406="Chen D",320,IF(Atletas!O406="Sun D",321,IF(Atletas!O406="Wu D",322,IF(Atletas!O406="Wu-Hao D",323,IF(Atletas!O406="Outro Taijiquan D",324,IF(Atletas!O406="Yang E",325,IF(Atletas!O406="Chen E",326,IF(Atletas!O406="Sun E",327,IF(Atletas!O406="Wu E",328,IF(Atletas!O406="Wu-Hao E",329,IF(Atletas!O406="Outro Taijiquan E",330,IF(Atletas!O406="Yang F",331,IF(Atletas!O406="Chen F",332,IF(Atletas!O406="Sun F",333,IF(Atletas!O406="Wu F",334,IF(Atletas!O406="Wu-Hao F",335,IF(Atletas!O406="Outro Taijiquan F",336,"")))))))))))))))))))))))))))))))))))))</f>
        <v/>
      </c>
      <c r="BW415" s="50" t="str">
        <f>IF(Atletas!P406="","",IF(Atletas!X406&lt;&gt;"",10000,0)+IF(Atletas!B406="Feminino",1000,IF(Atletas!B406="Masculino",2000,""))+IF(OR(Atletas!P406="Yang 26 A",Atletas!P406="Yang 40 A"),401,IF(OR(Atletas!P406="Chen 25 A",Atletas!P406="Chen 36 A",Atletas!P406="Chen 56 A"),402,IF(Atletas!P406="Sun 73 A",403,IF(Atletas!P406="Wu 45 A",404,IF(Atletas!P406="Wu-Hao 46 A",405,IF(OR(Atletas!P406="Taijiquan 16 A",Atletas!P406="Taijiquan 24 A",Atletas!P406="Taijiquan 32 A",Atletas!P406="Taijiquan 42 A"),406,IF(OR(Atletas!P406="Yang 26 B",Atletas!P406="Yang 40 B"),407,IF(OR(Atletas!P406="Chen 25 B",Atletas!P406="Chen 36 B",Atletas!P406="Chen 56 B"),408,IF(Atletas!P406="Sun 73 B",409,IF(Atletas!P406="Wu 45 B",410,IF(Atletas!P406="Wu-Hao 46 B",411,IF(OR(Atletas!P406="Taijiquan 16 B",Atletas!P406="Taijiquan 24 B",Atletas!P406="Taijiquan 32 B",Atletas!P406="Taijiquan 42 B"),412,IF(OR(Atletas!P406="Yang 26 C",Atletas!P406="Yang 40 C"),413,IF(OR(Atletas!P406="Chen 25 C",Atletas!P406="Chen 36 C",Atletas!P406="Chen 56 C"),414,IF(Atletas!P406="Sun 73 C",415,IF(Atletas!P406="Wu 45 C",416,IF(Atletas!P406="Wu-Hao 46 C",417,IF(OR(Atletas!P406="Taijiquan 16 C",Atletas!P406="Taijiquan 24 C",Atletas!P406="Taijiquan 32 C",Atletas!P406="Taijiquan 42 C"),418,0)))))))))))))))))))</f>
        <v/>
      </c>
      <c r="BX415" s="50" t="str">
        <f>IF(Atletas!P406="","",IF(Atletas!X406&lt;&gt;"",10000,0)+IF(Atletas!B406="Feminino",1000,IF(Atletas!B406="Masculino",2000,""))+IF(OR(Atletas!P406="Yang 26 D",Atletas!P406="Yang 40 D"),419,IF(OR(Atletas!P406="Chen 25 D",Atletas!P406="Chen 36 D",Atletas!P406="Chen 56 D"),420,IF(Atletas!P406="Sun 73 D",421,IF(Atletas!P406="Wu 45 D",422,IF(Atletas!P406="Wu-Hao 46 D",423,IF(OR(Atletas!P406="Taijiquan 16 D",Atletas!P406="Taijiquan 24 D",Atletas!P406="Taijiquan 32 D",Atletas!P406="Taijiquan 42 D"),424,IF(OR(Atletas!P406="Yang 26 E",Atletas!P406="Yang 40 E"),425,IF(OR(Atletas!P406="Chen 25 E",Atletas!P406="Chen 36 E",Atletas!P406="Chen 56 E"),426,IF(Atletas!P406="Sun 73 E",427,IF(Atletas!P406="Wu 45 E",428,IF(Atletas!P406="Wu-Hao 46 E",429,IF(OR(Atletas!P406="Taijiquan 16 E",Atletas!P406="Taijiquan 24 E",Atletas!P406="Taijiquan 32 E",Atletas!P406="Taijiquan 42 E"),430,IF(OR(Atletas!P406="Yang 26 F",Atletas!P406="Yang 40 F"),431,IF(OR(Atletas!P406="Chen 25 F",Atletas!P406="Chen 36 F",Atletas!P406="Chen 56 F"),432,IF(Atletas!P406="Sun 73 F",433,IF(Atletas!P406="Wu 45 F",434,IF(Atletas!P406="Wu-Hao 46 F",435,IF(OR(Atletas!P406="Taijiquan 16 F",Atletas!P406="Taijiquan 24 F",Atletas!P406="Taijiquan 32 F",Atletas!P406="Taijiquan 42 F"),436,0)))))))))))))))))))</f>
        <v/>
      </c>
      <c r="BY415" s="50" t="str">
        <f>IF(Atletas!Q406="","",IF(Atletas!X406&lt;&gt;"",10000,0)+IF(Atletas!B406="Feminino",1000,IF(Atletas!B406="Masculino",2000,""))+IF(Atletas!Q406="Xingyiquan A",501,IF(Atletas!Q406="Baguazhang A",502,IF(Atletas!Q406="Outro Estilo Interno A",503,IF(Atletas!Q406="Xingyiquan B",504,IF(Atletas!Q406="Baguazhang B",505,IF(Atletas!Q406="Outro Estilo Interno B",506,IF(Atletas!Q406="Xingyiquan C",507,IF(Atletas!Q406="Baguazhang C",508,IF(Atletas!Q406="Outro Estilo Interno C",509,IF(Atletas!Q406="Xingyiquan D",510,IF(Atletas!Q406="Baguazhang D",511,IF(Atletas!Q406="Outro Estilo Interno D",512,IF(Atletas!Q406="Xingyiquan E",513,IF(Atletas!Q406="Baguazhang E",514,IF(Atletas!Q406="Outro Estilo Interno E",515,IF(Atletas!Q406="Xingyiquan F",516,IF(Atletas!Q406="Baguazhang F",517,IF(Atletas!Q406="Outro Estilo Interno F",518, "")))))))))))))))))))</f>
        <v/>
      </c>
      <c r="BZ415" s="50" t="str">
        <f>IF(Atletas!R406="","",IF(Atletas!X406&lt;&gt;"",10000,0)+IF(Atletas!B406="Feminino",1000,IF(Atletas!B406="Masculino",2000,""))+IF(Atletas!R406="Dao A",601,IF(Atletas!R406="Jian A",602,IF(Atletas!R406="Bishou A",603,IF(Atletas!R406="Shanzi A",604,IF(Atletas!R406="Outra Arma Curta A",605,IF(Atletas!R406="Dao B",606,IF(Atletas!R406="Jian B",607,IF(Atletas!R406="Bishou B",608,IF(Atletas!R406="Shanzi B",609,IF(Atletas!R406="Outra Arma Curta B",610,IF(Atletas!R406="Dao C",611,IF(Atletas!R406="Jian C",612,IF(Atletas!R406="Bishou C",613,IF(Atletas!R406="Shanzi C",614,IF(Atletas!R406="Outra Arma Curta C",615,IF(Atletas!R406="Dao D",616,IF(Atletas!R406="Jian D",617,IF(Atletas!R406="Bishou D",618,IF(Atletas!R406="Shanzi D",619,IF(Atletas!R406="Outra Arma Curta D",620,IF(Atletas!R406="Dao E",621,IF(Atletas!R406="Jian E",622,IF(Atletas!R406="Bishou E",623,IF(Atletas!R406="Shanzi E",624,IF(Atletas!R406="Outra Arma Curta E",625,IF(Atletas!R406="Dao F",626,IF(Atletas!R406="Jian F",627,IF(Atletas!R406="Bishou F",628,IF(Atletas!R406="Shanzi F",629,IF(Atletas!R406="Outra Arma Curta F",630, "")))))))))))))))))))))))))))))))</f>
        <v/>
      </c>
      <c r="CA415" s="50" t="str">
        <f>IF(Atletas!S406="","",IF(Atletas!X406&lt;&gt;"",10000,0)+IF(Atletas!B406="Feminino",1000,IF(Atletas!B406="Masculino",2000,""))+IF(Atletas!S406="Gun A",701,IF(Atletas!S406="Qiang A",702,IF(Atletas!S406="Pudao / Guandao A",703,IF(Atletas!S406="Outra Arma Longa A",704,IF(Atletas!S406="Gun B",705,IF(Atletas!S406="Qiang B",706,IF(Atletas!S406="Pudao / Guandao B",707,IF(Atletas!S406="Outra Arma Longa B",708,IF(Atletas!S406="Gun C",709,IF(Atletas!S406="Qiang C",710,IF(Atletas!S406="Pudao / Guandao C",711,IF(Atletas!S406="Outra Arma Longa C",712,IF(Atletas!S406="Gun D",713,IF(Atletas!S406="Qiang D",714,IF(Atletas!S406="Pudao / Guandao D",715,IF(Atletas!S406="Outra Arma Longa D",716,IF(Atletas!S406="Gun E",717,IF(Atletas!S406="Qiang E",718,IF(Atletas!S406="Pudao / Guandao E",719,IF(Atletas!S406="Outra Arma Longa E",720,IF(Atletas!S406="Gun F",721,IF(Atletas!S406="Qiang F",722,IF(Atletas!S406="Pudao / Guandao F",723,IF(Atletas!S406="Outra Arma Longa F",724,"")))))))))))))))))))))))))</f>
        <v/>
      </c>
      <c r="CB415" s="50" t="str">
        <f>IF(Atletas!T406="","",IF(Atletas!X406&lt;&gt;"",10000,0)+IF(Atletas!B406="Feminino",1000,IF(Atletas!B406="Masculino",2000,""))+IF(Atletas!T406="Outra Arma Dupla A",801,IF(Atletas!T406="Arma Maleável A",802,IF(Atletas!T406="Outra Arma Dupla B",803,IF(Atletas!T406="Arma Maleável B",804,IF(Atletas!T406="Outra Arma Dupla C",805,IF(Atletas!T406="Arma Maleável C",806,IF(Atletas!T406="Outra Arma Dupla D",807,IF(Atletas!T406="Arma Maleável D",808,IF(Atletas!T406="Outra Arma Dupla E",809,IF(Atletas!T406="Arma Maleável E",810,IF(Atletas!T406="Outra Arma Dupla F",811,IF(Atletas!T406="Arma Maleável F",812,IF(Atletas!T406="Shuangdao A",813,IF(Atletas!T406="Shuangdao B",814,IF(Atletas!T406="Shuangdao C",815,IF(Atletas!T406="Shuangdao D",816,IF(Atletas!T406="Shuangdao E",817,IF(Atletas!T406="Shuangdao F",818,"")))))))))))))))))))</f>
        <v/>
      </c>
      <c r="CC415" s="50" t="str">
        <f>IF(Atletas!U406="","",IF(Atletas!X406&lt;&gt;"",10000,0)+IF(Atletas!B406="Feminino",1000,IF(Atletas!B406="Masculino",2000,""))+IF(OR(Atletas!U406="Taijijian Yang A",Atletas!U406="Taijijian Yang Standard A"),901,IF(OR(Atletas!U406="Taijijian Chen A", Atletas!U406="Taijijian Chen Standard A"),902,IF(Atletas!U406="Taijijian Sun A",903,IF(Atletas!U406="Taijijian Wu A",904,IF(Atletas!U406="Taijijian Wu-Hao A",905,IF(OR(Atletas!U406="Taijijian 32 A",Atletas!U406="Taijijian 42 A"),906,IF(OR(Atletas!U406="Taijijian Yang B",Atletas!U406="Taijijian Yang Standard B"),907,IF(OR(Atletas!U406="Taijijian Chen B", Atletas!U406="Taijijian Chen Standard B"),908,IF(Atletas!U406="Taijijian Sun B",909,IF(Atletas!U406="Taijijian Wu B",910,IF(Atletas!U406="Taijijian Wu-Hao B",911,IF(OR(Atletas!U406="Taijijian 32 B",Atletas!U406="Taijijian 42 B"),912,IF(OR(Atletas!U406="Taijijian Yang C",Atletas!U406="Taijijian Yang Standard C"),913,IF(OR(Atletas!U406="Taijijian Chen C", Atletas!U406="Taijijian Chen Standard C"),914,IF(Atletas!U406="Taijijian Sun C",915,IF(Atletas!U406="Taijijian Wu C",916,IF(Atletas!U406="Taijijian Wu-Hao C",917,IF(OR(Atletas!U406="Taijijian 32 C",Atletas!U406="Taijijian 42 C"),918,IF(OR(Atletas!U406="Taijijian Yang D",Atletas!U406="Taijijian Yang Standard D"),919,IF(OR(Atletas!U406="Taijijian Chen D", Atletas!U406="Taijijian Chen Standard D"),920,IF(Atletas!U406="Taijijian Sun D",921,IF(Atletas!U406="Taijijian Wu D",922,IF(Atletas!U406="Taijijian Wu-Hao D",923,IF(OR(Atletas!U406="Taijijian 32 D",Atletas!U406="Taijijian 42 D"),924,IF(OR(Atletas!U406="Taijijian Yang E",Atletas!U406="Taijijian Yang Standard E"),925,IF(OR(Atletas!U406="Taijijian Chen E", Atletas!U406="Taijijian Chen Standard E"),926,IF(Atletas!U406="Taijijian Sun E",927,IF(Atletas!U406="Taijijian Wu E",928,IF(Atletas!U406="Taijijian Wu-Hao E",929,IF(OR(Atletas!U406="Taijijian 32 E",Atletas!U406="Taijijian 42 E"),930,IF(OR(Atletas!U406="Taijijian Yang F",Atletas!U406="Taijijian Yang Standard F"),931,IF(OR(Atletas!U406="Taijijian Chen F", Atletas!U406="Taijijian Chen Standard F"),932,IF(Atletas!U406="Taijijian Sun F",933,IF(Atletas!U406="Taijijian Wu F",934,IF(Atletas!U406="Taijijian Wu-Hao F",935,IF(OR(Atletas!U406="Taijijian 32 F",Atletas!U406="Taijijian 42 F"),936,"")))))))))))))))))))))))))))))))))))))</f>
        <v/>
      </c>
      <c r="CD415" s="50" t="str">
        <f>IF(Atletas!V406="","",IF(Atletas!X406&lt;&gt;"",10000,0)+IF(Atletas!B406="Feminino",1000,IF(Atletas!B406="Masculino",2000,""))+IF(Atletas!V406="Taijidao A",937,IF(Atletas!V406="TaijiShanzi A",938,IF(Atletas!V406="Taijiqiang A",939,IF(Atletas!V406="Bagua de Arma A",940,IF(Atletas!V406="Xingyi de Arma A",941,IF(Atletas!V406="Taijidao B",942,IF(Atletas!V406="TaijiShanzi B",943,IF(Atletas!V406="Taijiqiang B",944,IF(Atletas!V406="Bagua de Arma B",945,IF(Atletas!V406="Xingyi de Arma B",946,IF(Atletas!V406="Taijidao C",947,IF(Atletas!V406="TaijiShanzi C",948,IF(Atletas!V406="Taijiqiang C",949,IF(Atletas!V406="Bagua de Arma C",950,IF(Atletas!V406="Xingyi de Arma C",951,IF(Atletas!V406="Taijidao D",952,IF(Atletas!V406="TaijiShanzi D",953,IF(Atletas!V406="Taijiqiang D",954,IF(Atletas!V406="Bagua de Arma D",955,IF(Atletas!V406="Xingyi de Arma D",956,IF(Atletas!V406="Taijidao E",957,IF(Atletas!V406="TaijiShanzi E",958,IF(Atletas!V406="Taijiqiang E",959,IF(Atletas!V406="Bagua de Arma E",960,IF(Atletas!V406="Xingyi de Arma E",961,IF(Atletas!V406="Taijidao F",962,IF(Atletas!V406="TaijiShanzi F",963,IF(Atletas!V406="Taijiqiang F",964,IF(Atletas!V406="Bagua de Arma F",965,IF(Atletas!V406="Xingyi de Arma F",966,"")))))))))))))))))))))))))))))))</f>
        <v/>
      </c>
      <c r="CM415" s="50" t="str">
        <f xml:space="preserve"> IF(Atletas!W406="","",IF(Atletas!W406="Duilian de Mãos BC - Equipe 1",1,IF(Atletas!W406="Duilian de Mãos BC - Equipe 2",2,IF(Atletas!W406="Duilian de Armas BC - Equipe 1",3,IF(Atletas!W406="Duilian de Armas BC - Equipe 2",4,IF(Atletas!W406="Duilian de Mãos DE - Equipe 1",5,IF(Atletas!W406="Duilian de Mãos DE - Equipe 2",6,IF(Atletas!W406="Duilian de Armas DE - Equipe 1",7,IF(Atletas!W406="Duilian de Armas DE - Equipe 2",8,IF(Atletas!W406="Duilian de Tuishou - Equipe 1",9,IF(Atletas!W406="Duilian de Tuishou - Equipe 2",10,IF(Atletas!W406="Grupo Externo ABC - Equipe 1",11,IF(Atletas!W406="Grupo Externo ABC - Equipe 2",12,IF(Atletas!W406="Grupo Interno ABC - Equipe 1",13,IF(Atletas!W406="Grupo Interno ABC - Equipe 2",14,IF(Atletas!W406="Grupo Externo DEF - Equipe 1",15,IF(Atletas!W406="Grupo Externo DEF - Equipe 2",16,IF(Atletas!W406="Grupo Interno DEF - Equipe 1",17,IF(Atletas!W406="Grupo Interno DEF - Equipe 2",18,"")))))))))))))))))))</f>
        <v/>
      </c>
    </row>
    <row r="416" spans="40:91">
      <c r="AN416" s="52" t="str">
        <f>IF(Atletas!D407="","",IF(Atletas!B407="Feminino",100,IF(Atletas!B407="Masculino",200,""))+(IF(Atletas!D407="Kids 30kg",1,IF(Atletas!D407="Kids 32kg",2, IF(Atletas!D407="Kids 34kg",3,IF(Atletas!D407="Kids 36kg",4,IF(Atletas!D407="Kids 39kg",5,IF(Atletas!D407="Kids 42kg",6,IF(Atletas!D407="Kids 45kg",7, IF(Atletas!D407="Infantil 39kg",8,IF(Atletas!D407="Infantil 42kg",9,IF(Atletas!D407="Infantil 45kg",10,IF(Atletas!D407="Infantil 48kg",11,IF(Atletas!D407="Infantil 52kg",12,IF(Atletas!D407="Infantil 56kg",13,IF(Atletas!D407="Infantil 60kg",14,IF(Atletas!D407="Juvenil 48kg",15,IF(Atletas!D407="Juvenil 52kg",16,IF(Atletas!D407="Juvenil 56kg",17,IF(Atletas!D407="Juvenil 60kg",18,IF(Atletas!D407="Juvenil 65kg",19,IF(Atletas!D407="Juvenil 70kg",20,IF(Atletas!D407="Juvenil 75kg",21,IF(Atletas!D407="Juvenil 80kg",22, IF(Atletas!D407="Juvenil 85kg",23,IF(Atletas!D407="Adulto 48kg",24,IF(Atletas!D407="Adulto 52kg",25,IF(Atletas!D407="Adulto 56kg",26,IF(Atletas!D407="Adulto 60kg",27,IF(Atletas!D407="Adulto 65kg",28,IF(Atletas!D407="Adulto 70kg",29,IF(Atletas!D407="Adulto 75kg",30,IF(Atletas!D407="Adulto 80kg",31,IF(Atletas!D407="Adulto 85kg",32,IF(Atletas!D407="Adulto 90kg",33,IF(Atletas!D407="Adulto 100kg",34, IF(Atletas!D407="Adulto +100kg",35,"")))))))))))))))))))))))))))))))))))))</f>
        <v/>
      </c>
      <c r="AS416" s="6" t="str">
        <f>IF(Atletas!E407="","",IF(Atletas!B407="Feminino",100,IF(Atletas!B407="Masculino",200,""))+(IF(Atletas!E407="Juvenil 44kg",1,IF(Atletas!E407="Juvenil 48kg",2,IF(Atletas!E407="Juvenil 52kg",3,IF(Atletas!E407="Juvenil 56kg",4,IF(Atletas!E407="Juvenil 60kg",5,IF(Atletas!E407="Juvenil 65kg",6,IF(Atletas!E407="Juvenil 70kg",7,IF(Atletas!E407="Juvenil 75kg",8,IF(Atletas!E407="Juvenil 82kg",9,IF(Atletas!E407="Juvenil 90kg",10,IF(Atletas!E407="Juvenil 100kg",11,IF(Atletas!E407="Adulto 48kg",12,IF(Atletas!E407="Adulto 52kg",13,IF(Atletas!E407="Adulto 56kg",14,IF(Atletas!E407="Adulto 60kg",15,IF(Atletas!E407="Adulto 65kg",16,IF(Atletas!E407="Adulto 70kg",17,IF(Atletas!E407="Adulto 75kg",18,IF(Atletas!E407="Adulto 82kg",19,IF(Atletas!E407="Adulto 90kg",20,IF(Atletas!E407="Adulto 100kg",21,IF(Atletas!E407="Adulto +100kg",22,""))))))))))))))))))))))))</f>
        <v/>
      </c>
      <c r="AX416" s="6" t="str">
        <f>IF(Atletas!F407="","",IF(Atletas!B407="Feminino",100,IF(Atletas!B407="Masculino",200,""))+(IF(Atletas!F407="Adulto 48kg",1,IF(Atletas!F407="Adulto 56kg",2,IF(Atletas!F407="Adulto 65kg",3,IF(Atletas!F407="Adulto 75kg",4,IF(Atletas!F407="Adulto +75kg",5,IF(Atletas!F407="Adulto 52kg",6,IF(Atletas!F407="Adulto 60kg",7,IF(Atletas!F407="Adulto 70kg",8,IF(Atletas!F407="Adulto 80kg",9,IF(Atletas!F407="Adulto 90kg",10,IF(Atletas!F407="Adulto +90kg",11,"")))))))))))))</f>
        <v/>
      </c>
      <c r="BC416" s="6" t="str">
        <f>IF(Atletas!G407="","",IF(Atletas!B407="Feminino",10,IF(Atletas!B407="Masculino",20,""))+(IF(Atletas!G407="Baduanjin A",1,IF(Atletas!G407="Baduanjin B",2))))</f>
        <v/>
      </c>
      <c r="BF416" s="52" t="str">
        <f>IF(Atletas!H407="","",IF(Atletas!B407="Feminino",100,IF(Atletas!B407="Masculino",200,""))+(IF(Atletas!H407="Changquan Mirim",1,IF(Atletas!H407="Nanquan Mirim",2,IF(Atletas!H407="Taijiquan Mirim",3,IF(Atletas!H407="Changquan Grupo C",4,IF(Atletas!H407="Nanquan Grupo C",5,IF(Atletas!H407="Taijiquan Grupo C",6,IF(Atletas!H407="Changquan Grupo B",7,IF(Atletas!H407="Nanquan Grupo B",8,IF(Atletas!H407="Taijiquan Grupo B",9,IF(Atletas!H407="Changquan Grupo A",10,IF(Atletas!H407="Nanquan Grupo A",11,IF(Atletas!H407="Taijiquan Grupo A",12,IF(Atletas!H407="Changquan Opcional",13,IF(Atletas!H407="Nanquan Opcional",14,IF(Atletas!H407="Taijiquan Opcional",15,IF(Atletas!H407="Changquan Adulto",16,IF(Atletas!H407="Nanquan Adulto",17,IF(Atletas!H407="Taijiquan Adulto",18,""))))))))))))))))))))</f>
        <v/>
      </c>
      <c r="BG416" s="52" t="str">
        <f>IF(Atletas!I407="","",IF(Atletas!B407="Feminino",100,IF(Atletas!B407="Masculino",200,""))+(IF(Atletas!I407="Daoshu Mirim",19,IF(Atletas!I407="Jianshu Mirim",20,IF(Atletas!I407="Nandao Mirim",21,IF(Atletas!I407="Taijijian Mirim",22,IF(Atletas!I407="Daoshu Grupo C",23,IF(Atletas!I407="Jianshu Grupo C",24,IF(Atletas!I407="Nandao Grupo C",25,IF(Atletas!I407="Taijijian Grupo C",26,IF(Atletas!I407="Daoshu Grupo B",27,IF(Atletas!I407="Jianshu Grupo B",28,IF(Atletas!I407="Nandao Grupo B",29,IF(Atletas!I407="Taijijian Grupo B",30,IF(Atletas!I407="Daoshu Grupo A",31,IF(Atletas!I407="Jianshu Grupo A",32,IF(Atletas!I407="Nandao Grupo A",33,IF(Atletas!I407="Taijijian Grupo A",34,IF(Atletas!I407="Daoshu Opcional",35,IF(Atletas!I407="Jianshu Opcional",36,IF(Atletas!I407="Nandao Opcional",37,IF(Atletas!I407="Taijijian Opcional",38,IF(Atletas!I407="Daoshu Adulto",39,IF(Atletas!I407="Jianshu Adulto",40,IF(Atletas!I407="Nandao Adulto",41,IF(Atletas!I407="Taijijian Adulto",42,""))))))))))))))))))))))))))</f>
        <v/>
      </c>
      <c r="BH416" s="52" t="str">
        <f>IF(Atletas!J407="","",IF(Atletas!B407="Feminino",100,IF(Atletas!B407="Masculino",200,""))+(IF(Atletas!J407="Gunshu Mirim",43,IF(Atletas!J407="Qiangshu Mirim",44,IF(Atletas!J407="Nangun Mirim",45,IF(Atletas!J407="Gunshu Grupo C",46,IF(Atletas!J407="Qiangshu Grupo C",47,IF(Atletas!J407="Nangun Grupo C",48,IF(Atletas!J407="Gunshu Grupo B",49,IF(Atletas!J407="Qiangshu Grupo B",50,IF(Atletas!J407="Nangun Grupo B",51,IF(Atletas!J407="Gunshu Grupo A",52,IF(Atletas!J407="Qiangshu Grupo A",53,IF(Atletas!J407="Nangun Grupo A",54,IF(Atletas!J407="Gunshu Opcional",55,IF(Atletas!J407="Qiangshu Opcional",56,IF(Atletas!J407="Nangun Opcional",57,IF(Atletas!J407="Gunshu Adulto",58,IF(Atletas!J407="Qiangshu Adulto",59,IF(Atletas!J407="Nangun Adulto",60,IF(Atletas!J407="Taijishan Grupo B",61,IF(Atletas!J407="Taijishan Grupo A",62,""))))))))))))))))))))))</f>
        <v/>
      </c>
      <c r="BM416" s="50" t="str">
        <f>IF(Atletas!K407="","",IF(Atletas!B407="Feminino",100,IF(Atletas!B407="Masculino",200,""))+(IF(Atletas!K407="Equipe 1 Grupo B",1,IF(Atletas!K407="Equipe 2 Grupo B",2,IF(Atletas!K407="Equipe 1 Grupo A",3,IF(Atletas!K407="Equipe 2 Grupo A",4,IF(Atletas!K407="Equipe 1 Adulto",5,IF(Atletas!K407="Equipe 2 Adulto",6,""))))))))</f>
        <v/>
      </c>
      <c r="BR416" s="50" t="str">
        <f>IF(Atletas!L407="","",IF(Atletas!X407&lt;&gt;"",10000,0)+(IF(Atletas!B407="Feminino",1000,IF(Atletas!B407="Masculino",2000,""))+IF(Atletas!L407="Choylayfut A",1,IF(Atletas!L407="Hunggar A",2,IF(Atletas!L407="Wuzuquan A",3,IF(Atletas!L407="Wingchun A",4,IF(Atletas!L407="Outra Mão de Sul A",5,IF(Atletas!L407="Choylayfut B",6,IF(Atletas!L407="Hunggar B",7,IF(Atletas!L407="Wuzuquan B",8,IF(Atletas!L407="Wingchun B",9,IF(Atletas!L407="Outra Mão de Sul B",10,IF(Atletas!L407="Choylayfut C",11,IF(Atletas!L407="Hunggar C",12,IF(Atletas!L407="Wuzuquan C",13,IF(Atletas!L407="Wingchun C",14,IF(Atletas!L407="Outra Mão de Sul C",15,IF(Atletas!L407="Choylayfut D",16,IF(Atletas!L407="Hunggar D",17,IF(Atletas!L407="Wuzuquan D",18,IF(Atletas!L407="Wingchun D",19,IF(Atletas!L407="Outra Mão de Sul D",20,IF(Atletas!L407="Choylayfut E",21,IF(Atletas!L407="Hunggar E",22,IF(Atletas!L407="Wuzuquan E",23,IF(Atletas!L407="Wingchun E",24,IF(Atletas!L407="Outra Mão de Sul E",25,IF(Atletas!L407="Choylayfut F",26,IF(Atletas!L407="Hunggar F",27,IF(Atletas!L407="Wuzuquan F",28,IF(Atletas!L407="Wingchun F",29,IF(Atletas!L407="Outra Mão de Sul F",30,IF(Atletas!L407="Dishuquan A",31,IF(Atletas!L407="Dishuquan B",32,IF(Atletas!L407="Dishuquan C",33,IF(Atletas!L407="Dishuquan D",34,IF(Atletas!L407="Dishuquan E",35,IF(Atletas!L407="Dishuquan F",36,""))))))))))))))))))))))))))))))))))))))</f>
        <v/>
      </c>
      <c r="BS416" s="50" t="str">
        <f>IF(Atletas!M407="","",IF(Atletas!X407&lt;&gt;"",10000,0)+(IF(Atletas!B407="Feminino",1000,IF(Atletas!B407="Masculino",2000,""))+(IF(Atletas!M407="Chaquan A",101,IF(Atletas!M407="Emeiquan A",102,IF(Atletas!M407="Fanziquan A",103,IF(Atletas!M407="Huaquan A",104,IF(Atletas!M407="Hongquan A",105,IF(Atletas!M407="Paoquan A",106,IF(Atletas!M407="Piguaquan A",107,IF(Atletas!M407="Shaolinquan A",108,IF(Atletas!M407="Tanglangquan A",109,IF(Atletas!M407="Yingzhaoquan A",110,IF(Atletas!M407="Tongbeiquan A",111,IF(Atletas!M407="Wudangquan A",112,IF(Atletas!M407="Outros Estilos A",113,IF(Atletas!M407="Chaquan B",114,IF(Atletas!M407="Emeiquan B",115,IF(Atletas!M407="Fanziquan B",116,IF(Atletas!M407="Huaquan B",117,IF(Atletas!M407="Hongquan B",118,IF(Atletas!M407="Paoquan B",119,IF(Atletas!M407="Piguaquan B",120,IF(Atletas!M407="Shaolinquan B",121,IF(Atletas!M407="Tanglangquan B",122,IF(Atletas!M407="Yingzhaoquan B",123,IF(Atletas!M407="Tongbeiquan B",124,IF(Atletas!M407="Wudangquan B",125,IF(Atletas!M407="Outros Estilos B",126,IF(Atletas!M407="Chaquan C",127,IF(Atletas!M407="Emeiquan C",128,IF(Atletas!M407="Fanziquan C",129,IF(Atletas!M407="Huaquan C",130,IF(Atletas!M407="Hongquan C",131,IF(Atletas!M407="Paoquan C",132,IF(Atletas!M407="Piguaquan C",133,IF(Atletas!M407="Shaolinquan C",134,IF(Atletas!M407="Tanglangquan C",135,IF(Atletas!M407="Yingzhaoquan C",136,IF(Atletas!M407="Tongbeiquan C",137,IF(Atletas!M407="Wudangquan C",138,IF(Atletas!M407="Outros Estilos C",139,0))))))))))))))))))))))))))))))))))))))))))</f>
        <v/>
      </c>
      <c r="BT416" s="50" t="str">
        <f>IF(Atletas!M407="","",IF(Atletas!X407&lt;&gt;"",10000,0)+(IF(Atletas!B407="Feminino",1000,IF(Atletas!B407="Masculino",2000,""))+(IF(Atletas!M407="Chaquan D",140,IF(Atletas!M407="Emeiquan D",141,IF(Atletas!M407="Fanziquan D",142,IF(Atletas!M407="Huaquan D",143,IF(Atletas!M407="Hongquan D",144,IF(Atletas!M407="Paoquan D",145,IF(Atletas!M407="Piguaquan D",146,IF(Atletas!M407="Shaolinquan D",147,IF(Atletas!M407="Tanglangquan D",148,IF(Atletas!M407="Yingzhaoquan D",149,IF(Atletas!M407="Tongbeiquan D",150,IF(Atletas!M407="Wudangquan D",151,IF(Atletas!M407="Outros Estilos D",152,IF(Atletas!M407="Chaquan E",153,IF(Atletas!M407="Emeiquan E",154,IF(Atletas!M407="Fanziquan E",155,IF(Atletas!M407="Huaquan E",156,IF(Atletas!M407="Hongquan E",157,IF(Atletas!M407="Paoquan E",158,IF(Atletas!M407="Piguaquan E",159,IF(Atletas!M407="Shaolinquan E",160,IF(Atletas!M407="Tanglangquan E",161,IF(Atletas!M407="Yingzhaoquan E",162,IF(Atletas!M407="Tongbeiquan E",163,IF(Atletas!M407="Wudangquan E",164,IF(Atletas!M407="Outros Estilos E",165,IF(Atletas!M407="Chaquan F",166,IF(Atletas!M407="Emeiquan F",167,IF(Atletas!M407="Fanziquan F",168,IF(Atletas!M407="Huaquan F",169,IF(Atletas!M407="Hongquan F",170,IF(Atletas!M407="Paoquan F",171,IF(Atletas!M407="Piguaquan F",172,IF(Atletas!M407="Shaolinquan F",173,IF(Atletas!M407="Tanglangquan F",174,IF(Atletas!M407="Yingzhaoquan F",175,IF(Atletas!M407="Tongbeiquan F",176,IF(Atletas!M407="Wudangquan F",177,IF(Atletas!M407="Outros Estilos F",178,0))))))))))))))))))))))))))))))))))))))))))</f>
        <v/>
      </c>
      <c r="BU416" s="50" t="str">
        <f>IF(Atletas!N407="","",IF(Atletas!X407&lt;&gt;"",10000,0)+(IF(Atletas!B407="Feminino",1000,IF(Atletas!B407="Masculino",2000,""))+(IF(Atletas!N407="Ditangquan A",201,IF(Atletas!N407="Houquan A",202,IF(Atletas!N407="Zuiquan A",203,IF(Atletas!N407="Ditangquan B",204,IF(Atletas!N407="Houquan B",205,IF(Atletas!N407="Zuiquan B",206,IF(Atletas!N407="Ditangquan C",207,IF(Atletas!N407="Houquan C",208,IF(Atletas!N407="Zuiquan C",209,IF(Atletas!N407="Ditangquan D",210,IF(Atletas!N407="Houquan D",211,IF(Atletas!N407="Zuiquan D",212,IF(Atletas!N407="Ditangquan E",213,IF(Atletas!N407="Houquan E",214,IF(Atletas!N407="Zuiquan E",215,IF(Atletas!N407="Ditangquan F",216,IF(Atletas!N407="Houquan F",217,IF(Atletas!N407="Zuiquan F",218,"")))))))))))))))))))))</f>
        <v/>
      </c>
      <c r="BV416" s="50" t="str">
        <f>IF(Atletas!O407="","",IF(Atletas!X407&lt;&gt;"",10000,0)+IF(Atletas!B407="Feminino",1000,IF(Atletas!B407="Masculino",2000,""))+IF(Atletas!O407="Yang A",301,IF(Atletas!O407="Chen A",302,IF(Atletas!O407="Sun A",303,IF(Atletas!O407="Wu A",304,IF(Atletas!O407="Wu-Hao A",305,IF(Atletas!O407="Outro Taijiquan A",306,IF(Atletas!O407="Yang B",307,IF(Atletas!O407="Chen B",308,IF(Atletas!O407="Sun B",309,IF(Atletas!O407="Wu B",310,IF(Atletas!O407="Wu-Hao B",311,IF(Atletas!O407="Outro Taijiquan B",312,IF(Atletas!O407="Yang C",313,IF(Atletas!O407="Chen C",314,IF(Atletas!O407="Sun C",315,IF(Atletas!O407="Wu C",316,IF(Atletas!O407="Wu-Hao C",317,IF(Atletas!O407="Outro Taijiquan C",318,IF(Atletas!O407="Yang D",319,IF(Atletas!O407="Chen D",320,IF(Atletas!O407="Sun D",321,IF(Atletas!O407="Wu D",322,IF(Atletas!O407="Wu-Hao D",323,IF(Atletas!O407="Outro Taijiquan D",324,IF(Atletas!O407="Yang E",325,IF(Atletas!O407="Chen E",326,IF(Atletas!O407="Sun E",327,IF(Atletas!O407="Wu E",328,IF(Atletas!O407="Wu-Hao E",329,IF(Atletas!O407="Outro Taijiquan E",330,IF(Atletas!O407="Yang F",331,IF(Atletas!O407="Chen F",332,IF(Atletas!O407="Sun F",333,IF(Atletas!O407="Wu F",334,IF(Atletas!O407="Wu-Hao F",335,IF(Atletas!O407="Outro Taijiquan F",336,"")))))))))))))))))))))))))))))))))))))</f>
        <v/>
      </c>
      <c r="BW416" s="50" t="str">
        <f>IF(Atletas!P407="","",IF(Atletas!X407&lt;&gt;"",10000,0)+IF(Atletas!B407="Feminino",1000,IF(Atletas!B407="Masculino",2000,""))+IF(OR(Atletas!P407="Yang 26 A",Atletas!P407="Yang 40 A"),401,IF(OR(Atletas!P407="Chen 25 A",Atletas!P407="Chen 36 A",Atletas!P407="Chen 56 A"),402,IF(Atletas!P407="Sun 73 A",403,IF(Atletas!P407="Wu 45 A",404,IF(Atletas!P407="Wu-Hao 46 A",405,IF(OR(Atletas!P407="Taijiquan 16 A",Atletas!P407="Taijiquan 24 A",Atletas!P407="Taijiquan 32 A",Atletas!P407="Taijiquan 42 A"),406,IF(OR(Atletas!P407="Yang 26 B",Atletas!P407="Yang 40 B"),407,IF(OR(Atletas!P407="Chen 25 B",Atletas!P407="Chen 36 B",Atletas!P407="Chen 56 B"),408,IF(Atletas!P407="Sun 73 B",409,IF(Atletas!P407="Wu 45 B",410,IF(Atletas!P407="Wu-Hao 46 B",411,IF(OR(Atletas!P407="Taijiquan 16 B",Atletas!P407="Taijiquan 24 B",Atletas!P407="Taijiquan 32 B",Atletas!P407="Taijiquan 42 B"),412,IF(OR(Atletas!P407="Yang 26 C",Atletas!P407="Yang 40 C"),413,IF(OR(Atletas!P407="Chen 25 C",Atletas!P407="Chen 36 C",Atletas!P407="Chen 56 C"),414,IF(Atletas!P407="Sun 73 C",415,IF(Atletas!P407="Wu 45 C",416,IF(Atletas!P407="Wu-Hao 46 C",417,IF(OR(Atletas!P407="Taijiquan 16 C",Atletas!P407="Taijiquan 24 C",Atletas!P407="Taijiquan 32 C",Atletas!P407="Taijiquan 42 C"),418,0)))))))))))))))))))</f>
        <v/>
      </c>
      <c r="BX416" s="50" t="str">
        <f>IF(Atletas!P407="","",IF(Atletas!X407&lt;&gt;"",10000,0)+IF(Atletas!B407="Feminino",1000,IF(Atletas!B407="Masculino",2000,""))+IF(OR(Atletas!P407="Yang 26 D",Atletas!P407="Yang 40 D"),419,IF(OR(Atletas!P407="Chen 25 D",Atletas!P407="Chen 36 D",Atletas!P407="Chen 56 D"),420,IF(Atletas!P407="Sun 73 D",421,IF(Atletas!P407="Wu 45 D",422,IF(Atletas!P407="Wu-Hao 46 D",423,IF(OR(Atletas!P407="Taijiquan 16 D",Atletas!P407="Taijiquan 24 D",Atletas!P407="Taijiquan 32 D",Atletas!P407="Taijiquan 42 D"),424,IF(OR(Atletas!P407="Yang 26 E",Atletas!P407="Yang 40 E"),425,IF(OR(Atletas!P407="Chen 25 E",Atletas!P407="Chen 36 E",Atletas!P407="Chen 56 E"),426,IF(Atletas!P407="Sun 73 E",427,IF(Atletas!P407="Wu 45 E",428,IF(Atletas!P407="Wu-Hao 46 E",429,IF(OR(Atletas!P407="Taijiquan 16 E",Atletas!P407="Taijiquan 24 E",Atletas!P407="Taijiquan 32 E",Atletas!P407="Taijiquan 42 E"),430,IF(OR(Atletas!P407="Yang 26 F",Atletas!P407="Yang 40 F"),431,IF(OR(Atletas!P407="Chen 25 F",Atletas!P407="Chen 36 F",Atletas!P407="Chen 56 F"),432,IF(Atletas!P407="Sun 73 F",433,IF(Atletas!P407="Wu 45 F",434,IF(Atletas!P407="Wu-Hao 46 F",435,IF(OR(Atletas!P407="Taijiquan 16 F",Atletas!P407="Taijiquan 24 F",Atletas!P407="Taijiquan 32 F",Atletas!P407="Taijiquan 42 F"),436,0)))))))))))))))))))</f>
        <v/>
      </c>
      <c r="BY416" s="50" t="str">
        <f>IF(Atletas!Q407="","",IF(Atletas!X407&lt;&gt;"",10000,0)+IF(Atletas!B407="Feminino",1000,IF(Atletas!B407="Masculino",2000,""))+IF(Atletas!Q407="Xingyiquan A",501,IF(Atletas!Q407="Baguazhang A",502,IF(Atletas!Q407="Outro Estilo Interno A",503,IF(Atletas!Q407="Xingyiquan B",504,IF(Atletas!Q407="Baguazhang B",505,IF(Atletas!Q407="Outro Estilo Interno B",506,IF(Atletas!Q407="Xingyiquan C",507,IF(Atletas!Q407="Baguazhang C",508,IF(Atletas!Q407="Outro Estilo Interno C",509,IF(Atletas!Q407="Xingyiquan D",510,IF(Atletas!Q407="Baguazhang D",511,IF(Atletas!Q407="Outro Estilo Interno D",512,IF(Atletas!Q407="Xingyiquan E",513,IF(Atletas!Q407="Baguazhang E",514,IF(Atletas!Q407="Outro Estilo Interno E",515,IF(Atletas!Q407="Xingyiquan F",516,IF(Atletas!Q407="Baguazhang F",517,IF(Atletas!Q407="Outro Estilo Interno F",518, "")))))))))))))))))))</f>
        <v/>
      </c>
      <c r="BZ416" s="50" t="str">
        <f>IF(Atletas!R407="","",IF(Atletas!X407&lt;&gt;"",10000,0)+IF(Atletas!B407="Feminino",1000,IF(Atletas!B407="Masculino",2000,""))+IF(Atletas!R407="Dao A",601,IF(Atletas!R407="Jian A",602,IF(Atletas!R407="Bishou A",603,IF(Atletas!R407="Shanzi A",604,IF(Atletas!R407="Outra Arma Curta A",605,IF(Atletas!R407="Dao B",606,IF(Atletas!R407="Jian B",607,IF(Atletas!R407="Bishou B",608,IF(Atletas!R407="Shanzi B",609,IF(Atletas!R407="Outra Arma Curta B",610,IF(Atletas!R407="Dao C",611,IF(Atletas!R407="Jian C",612,IF(Atletas!R407="Bishou C",613,IF(Atletas!R407="Shanzi C",614,IF(Atletas!R407="Outra Arma Curta C",615,IF(Atletas!R407="Dao D",616,IF(Atletas!R407="Jian D",617,IF(Atletas!R407="Bishou D",618,IF(Atletas!R407="Shanzi D",619,IF(Atletas!R407="Outra Arma Curta D",620,IF(Atletas!R407="Dao E",621,IF(Atletas!R407="Jian E",622,IF(Atletas!R407="Bishou E",623,IF(Atletas!R407="Shanzi E",624,IF(Atletas!R407="Outra Arma Curta E",625,IF(Atletas!R407="Dao F",626,IF(Atletas!R407="Jian F",627,IF(Atletas!R407="Bishou F",628,IF(Atletas!R407="Shanzi F",629,IF(Atletas!R407="Outra Arma Curta F",630, "")))))))))))))))))))))))))))))))</f>
        <v/>
      </c>
      <c r="CA416" s="50" t="str">
        <f>IF(Atletas!S407="","",IF(Atletas!X407&lt;&gt;"",10000,0)+IF(Atletas!B407="Feminino",1000,IF(Atletas!B407="Masculino",2000,""))+IF(Atletas!S407="Gun A",701,IF(Atletas!S407="Qiang A",702,IF(Atletas!S407="Pudao / Guandao A",703,IF(Atletas!S407="Outra Arma Longa A",704,IF(Atletas!S407="Gun B",705,IF(Atletas!S407="Qiang B",706,IF(Atletas!S407="Pudao / Guandao B",707,IF(Atletas!S407="Outra Arma Longa B",708,IF(Atletas!S407="Gun C",709,IF(Atletas!S407="Qiang C",710,IF(Atletas!S407="Pudao / Guandao C",711,IF(Atletas!S407="Outra Arma Longa C",712,IF(Atletas!S407="Gun D",713,IF(Atletas!S407="Qiang D",714,IF(Atletas!S407="Pudao / Guandao D",715,IF(Atletas!S407="Outra Arma Longa D",716,IF(Atletas!S407="Gun E",717,IF(Atletas!S407="Qiang E",718,IF(Atletas!S407="Pudao / Guandao E",719,IF(Atletas!S407="Outra Arma Longa E",720,IF(Atletas!S407="Gun F",721,IF(Atletas!S407="Qiang F",722,IF(Atletas!S407="Pudao / Guandao F",723,IF(Atletas!S407="Outra Arma Longa F",724,"")))))))))))))))))))))))))</f>
        <v/>
      </c>
      <c r="CB416" s="50" t="str">
        <f>IF(Atletas!T407="","",IF(Atletas!X407&lt;&gt;"",10000,0)+IF(Atletas!B407="Feminino",1000,IF(Atletas!B407="Masculino",2000,""))+IF(Atletas!T407="Outra Arma Dupla A",801,IF(Atletas!T407="Arma Maleável A",802,IF(Atletas!T407="Outra Arma Dupla B",803,IF(Atletas!T407="Arma Maleável B",804,IF(Atletas!T407="Outra Arma Dupla C",805,IF(Atletas!T407="Arma Maleável C",806,IF(Atletas!T407="Outra Arma Dupla D",807,IF(Atletas!T407="Arma Maleável D",808,IF(Atletas!T407="Outra Arma Dupla E",809,IF(Atletas!T407="Arma Maleável E",810,IF(Atletas!T407="Outra Arma Dupla F",811,IF(Atletas!T407="Arma Maleável F",812,IF(Atletas!T407="Shuangdao A",813,IF(Atletas!T407="Shuangdao B",814,IF(Atletas!T407="Shuangdao C",815,IF(Atletas!T407="Shuangdao D",816,IF(Atletas!T407="Shuangdao E",817,IF(Atletas!T407="Shuangdao F",818,"")))))))))))))))))))</f>
        <v/>
      </c>
      <c r="CC416" s="50" t="str">
        <f>IF(Atletas!U407="","",IF(Atletas!X407&lt;&gt;"",10000,0)+IF(Atletas!B407="Feminino",1000,IF(Atletas!B407="Masculino",2000,""))+IF(OR(Atletas!U407="Taijijian Yang A",Atletas!U407="Taijijian Yang Standard A"),901,IF(OR(Atletas!U407="Taijijian Chen A", Atletas!U407="Taijijian Chen Standard A"),902,IF(Atletas!U407="Taijijian Sun A",903,IF(Atletas!U407="Taijijian Wu A",904,IF(Atletas!U407="Taijijian Wu-Hao A",905,IF(OR(Atletas!U407="Taijijian 32 A",Atletas!U407="Taijijian 42 A"),906,IF(OR(Atletas!U407="Taijijian Yang B",Atletas!U407="Taijijian Yang Standard B"),907,IF(OR(Atletas!U407="Taijijian Chen B", Atletas!U407="Taijijian Chen Standard B"),908,IF(Atletas!U407="Taijijian Sun B",909,IF(Atletas!U407="Taijijian Wu B",910,IF(Atletas!U407="Taijijian Wu-Hao B",911,IF(OR(Atletas!U407="Taijijian 32 B",Atletas!U407="Taijijian 42 B"),912,IF(OR(Atletas!U407="Taijijian Yang C",Atletas!U407="Taijijian Yang Standard C"),913,IF(OR(Atletas!U407="Taijijian Chen C", Atletas!U407="Taijijian Chen Standard C"),914,IF(Atletas!U407="Taijijian Sun C",915,IF(Atletas!U407="Taijijian Wu C",916,IF(Atletas!U407="Taijijian Wu-Hao C",917,IF(OR(Atletas!U407="Taijijian 32 C",Atletas!U407="Taijijian 42 C"),918,IF(OR(Atletas!U407="Taijijian Yang D",Atletas!U407="Taijijian Yang Standard D"),919,IF(OR(Atletas!U407="Taijijian Chen D", Atletas!U407="Taijijian Chen Standard D"),920,IF(Atletas!U407="Taijijian Sun D",921,IF(Atletas!U407="Taijijian Wu D",922,IF(Atletas!U407="Taijijian Wu-Hao D",923,IF(OR(Atletas!U407="Taijijian 32 D",Atletas!U407="Taijijian 42 D"),924,IF(OR(Atletas!U407="Taijijian Yang E",Atletas!U407="Taijijian Yang Standard E"),925,IF(OR(Atletas!U407="Taijijian Chen E", Atletas!U407="Taijijian Chen Standard E"),926,IF(Atletas!U407="Taijijian Sun E",927,IF(Atletas!U407="Taijijian Wu E",928,IF(Atletas!U407="Taijijian Wu-Hao E",929,IF(OR(Atletas!U407="Taijijian 32 E",Atletas!U407="Taijijian 42 E"),930,IF(OR(Atletas!U407="Taijijian Yang F",Atletas!U407="Taijijian Yang Standard F"),931,IF(OR(Atletas!U407="Taijijian Chen F", Atletas!U407="Taijijian Chen Standard F"),932,IF(Atletas!U407="Taijijian Sun F",933,IF(Atletas!U407="Taijijian Wu F",934,IF(Atletas!U407="Taijijian Wu-Hao F",935,IF(OR(Atletas!U407="Taijijian 32 F",Atletas!U407="Taijijian 42 F"),936,"")))))))))))))))))))))))))))))))))))))</f>
        <v/>
      </c>
      <c r="CD416" s="50" t="str">
        <f>IF(Atletas!V407="","",IF(Atletas!X407&lt;&gt;"",10000,0)+IF(Atletas!B407="Feminino",1000,IF(Atletas!B407="Masculino",2000,""))+IF(Atletas!V407="Taijidao A",937,IF(Atletas!V407="TaijiShanzi A",938,IF(Atletas!V407="Taijiqiang A",939,IF(Atletas!V407="Bagua de Arma A",940,IF(Atletas!V407="Xingyi de Arma A",941,IF(Atletas!V407="Taijidao B",942,IF(Atletas!V407="TaijiShanzi B",943,IF(Atletas!V407="Taijiqiang B",944,IF(Atletas!V407="Bagua de Arma B",945,IF(Atletas!V407="Xingyi de Arma B",946,IF(Atletas!V407="Taijidao C",947,IF(Atletas!V407="TaijiShanzi C",948,IF(Atletas!V407="Taijiqiang C",949,IF(Atletas!V407="Bagua de Arma C",950,IF(Atletas!V407="Xingyi de Arma C",951,IF(Atletas!V407="Taijidao D",952,IF(Atletas!V407="TaijiShanzi D",953,IF(Atletas!V407="Taijiqiang D",954,IF(Atletas!V407="Bagua de Arma D",955,IF(Atletas!V407="Xingyi de Arma D",956,IF(Atletas!V407="Taijidao E",957,IF(Atletas!V407="TaijiShanzi E",958,IF(Atletas!V407="Taijiqiang E",959,IF(Atletas!V407="Bagua de Arma E",960,IF(Atletas!V407="Xingyi de Arma E",961,IF(Atletas!V407="Taijidao F",962,IF(Atletas!V407="TaijiShanzi F",963,IF(Atletas!V407="Taijiqiang F",964,IF(Atletas!V407="Bagua de Arma F",965,IF(Atletas!V407="Xingyi de Arma F",966,"")))))))))))))))))))))))))))))))</f>
        <v/>
      </c>
      <c r="CM416" s="50" t="str">
        <f xml:space="preserve"> IF(Atletas!W407="","",IF(Atletas!W407="Duilian de Mãos BC - Equipe 1",1,IF(Atletas!W407="Duilian de Mãos BC - Equipe 2",2,IF(Atletas!W407="Duilian de Armas BC - Equipe 1",3,IF(Atletas!W407="Duilian de Armas BC - Equipe 2",4,IF(Atletas!W407="Duilian de Mãos DE - Equipe 1",5,IF(Atletas!W407="Duilian de Mãos DE - Equipe 2",6,IF(Atletas!W407="Duilian de Armas DE - Equipe 1",7,IF(Atletas!W407="Duilian de Armas DE - Equipe 2",8,IF(Atletas!W407="Duilian de Tuishou - Equipe 1",9,IF(Atletas!W407="Duilian de Tuishou - Equipe 2",10,IF(Atletas!W407="Grupo Externo ABC - Equipe 1",11,IF(Atletas!W407="Grupo Externo ABC - Equipe 2",12,IF(Atletas!W407="Grupo Interno ABC - Equipe 1",13,IF(Atletas!W407="Grupo Interno ABC - Equipe 2",14,IF(Atletas!W407="Grupo Externo DEF - Equipe 1",15,IF(Atletas!W407="Grupo Externo DEF - Equipe 2",16,IF(Atletas!W407="Grupo Interno DEF - Equipe 1",17,IF(Atletas!W407="Grupo Interno DEF - Equipe 2",18,"")))))))))))))))))))</f>
        <v/>
      </c>
    </row>
    <row r="417" spans="40:91">
      <c r="AN417" s="52" t="str">
        <f>IF(Atletas!D408="","",IF(Atletas!B408="Feminino",100,IF(Atletas!B408="Masculino",200,""))+(IF(Atletas!D408="Kids 30kg",1,IF(Atletas!D408="Kids 32kg",2, IF(Atletas!D408="Kids 34kg",3,IF(Atletas!D408="Kids 36kg",4,IF(Atletas!D408="Kids 39kg",5,IF(Atletas!D408="Kids 42kg",6,IF(Atletas!D408="Kids 45kg",7, IF(Atletas!D408="Infantil 39kg",8,IF(Atletas!D408="Infantil 42kg",9,IF(Atletas!D408="Infantil 45kg",10,IF(Atletas!D408="Infantil 48kg",11,IF(Atletas!D408="Infantil 52kg",12,IF(Atletas!D408="Infantil 56kg",13,IF(Atletas!D408="Infantil 60kg",14,IF(Atletas!D408="Juvenil 48kg",15,IF(Atletas!D408="Juvenil 52kg",16,IF(Atletas!D408="Juvenil 56kg",17,IF(Atletas!D408="Juvenil 60kg",18,IF(Atletas!D408="Juvenil 65kg",19,IF(Atletas!D408="Juvenil 70kg",20,IF(Atletas!D408="Juvenil 75kg",21,IF(Atletas!D408="Juvenil 80kg",22, IF(Atletas!D408="Juvenil 85kg",23,IF(Atletas!D408="Adulto 48kg",24,IF(Atletas!D408="Adulto 52kg",25,IF(Atletas!D408="Adulto 56kg",26,IF(Atletas!D408="Adulto 60kg",27,IF(Atletas!D408="Adulto 65kg",28,IF(Atletas!D408="Adulto 70kg",29,IF(Atletas!D408="Adulto 75kg",30,IF(Atletas!D408="Adulto 80kg",31,IF(Atletas!D408="Adulto 85kg",32,IF(Atletas!D408="Adulto 90kg",33,IF(Atletas!D408="Adulto 100kg",34, IF(Atletas!D408="Adulto +100kg",35,"")))))))))))))))))))))))))))))))))))))</f>
        <v/>
      </c>
      <c r="AS417" s="6" t="str">
        <f>IF(Atletas!E408="","",IF(Atletas!B408="Feminino",100,IF(Atletas!B408="Masculino",200,""))+(IF(Atletas!E408="Juvenil 44kg",1,IF(Atletas!E408="Juvenil 48kg",2,IF(Atletas!E408="Juvenil 52kg",3,IF(Atletas!E408="Juvenil 56kg",4,IF(Atletas!E408="Juvenil 60kg",5,IF(Atletas!E408="Juvenil 65kg",6,IF(Atletas!E408="Juvenil 70kg",7,IF(Atletas!E408="Juvenil 75kg",8,IF(Atletas!E408="Juvenil 82kg",9,IF(Atletas!E408="Juvenil 90kg",10,IF(Atletas!E408="Juvenil 100kg",11,IF(Atletas!E408="Adulto 48kg",12,IF(Atletas!E408="Adulto 52kg",13,IF(Atletas!E408="Adulto 56kg",14,IF(Atletas!E408="Adulto 60kg",15,IF(Atletas!E408="Adulto 65kg",16,IF(Atletas!E408="Adulto 70kg",17,IF(Atletas!E408="Adulto 75kg",18,IF(Atletas!E408="Adulto 82kg",19,IF(Atletas!E408="Adulto 90kg",20,IF(Atletas!E408="Adulto 100kg",21,IF(Atletas!E408="Adulto +100kg",22,""))))))))))))))))))))))))</f>
        <v/>
      </c>
      <c r="AX417" s="6" t="str">
        <f>IF(Atletas!F408="","",IF(Atletas!B408="Feminino",100,IF(Atletas!B408="Masculino",200,""))+(IF(Atletas!F408="Adulto 48kg",1,IF(Atletas!F408="Adulto 56kg",2,IF(Atletas!F408="Adulto 65kg",3,IF(Atletas!F408="Adulto 75kg",4,IF(Atletas!F408="Adulto +75kg",5,IF(Atletas!F408="Adulto 52kg",6,IF(Atletas!F408="Adulto 60kg",7,IF(Atletas!F408="Adulto 70kg",8,IF(Atletas!F408="Adulto 80kg",9,IF(Atletas!F408="Adulto 90kg",10,IF(Atletas!F408="Adulto +90kg",11,"")))))))))))))</f>
        <v/>
      </c>
      <c r="BC417" s="6" t="str">
        <f>IF(Atletas!G408="","",IF(Atletas!B408="Feminino",10,IF(Atletas!B408="Masculino",20,""))+(IF(Atletas!G408="Baduanjin A",1,IF(Atletas!G408="Baduanjin B",2))))</f>
        <v/>
      </c>
      <c r="BF417" s="52" t="str">
        <f>IF(Atletas!H408="","",IF(Atletas!B408="Feminino",100,IF(Atletas!B408="Masculino",200,""))+(IF(Atletas!H408="Changquan Mirim",1,IF(Atletas!H408="Nanquan Mirim",2,IF(Atletas!H408="Taijiquan Mirim",3,IF(Atletas!H408="Changquan Grupo C",4,IF(Atletas!H408="Nanquan Grupo C",5,IF(Atletas!H408="Taijiquan Grupo C",6,IF(Atletas!H408="Changquan Grupo B",7,IF(Atletas!H408="Nanquan Grupo B",8,IF(Atletas!H408="Taijiquan Grupo B",9,IF(Atletas!H408="Changquan Grupo A",10,IF(Atletas!H408="Nanquan Grupo A",11,IF(Atletas!H408="Taijiquan Grupo A",12,IF(Atletas!H408="Changquan Opcional",13,IF(Atletas!H408="Nanquan Opcional",14,IF(Atletas!H408="Taijiquan Opcional",15,IF(Atletas!H408="Changquan Adulto",16,IF(Atletas!H408="Nanquan Adulto",17,IF(Atletas!H408="Taijiquan Adulto",18,""))))))))))))))))))))</f>
        <v/>
      </c>
      <c r="BG417" s="52" t="str">
        <f>IF(Atletas!I408="","",IF(Atletas!B408="Feminino",100,IF(Atletas!B408="Masculino",200,""))+(IF(Atletas!I408="Daoshu Mirim",19,IF(Atletas!I408="Jianshu Mirim",20,IF(Atletas!I408="Nandao Mirim",21,IF(Atletas!I408="Taijijian Mirim",22,IF(Atletas!I408="Daoshu Grupo C",23,IF(Atletas!I408="Jianshu Grupo C",24,IF(Atletas!I408="Nandao Grupo C",25,IF(Atletas!I408="Taijijian Grupo C",26,IF(Atletas!I408="Daoshu Grupo B",27,IF(Atletas!I408="Jianshu Grupo B",28,IF(Atletas!I408="Nandao Grupo B",29,IF(Atletas!I408="Taijijian Grupo B",30,IF(Atletas!I408="Daoshu Grupo A",31,IF(Atletas!I408="Jianshu Grupo A",32,IF(Atletas!I408="Nandao Grupo A",33,IF(Atletas!I408="Taijijian Grupo A",34,IF(Atletas!I408="Daoshu Opcional",35,IF(Atletas!I408="Jianshu Opcional",36,IF(Atletas!I408="Nandao Opcional",37,IF(Atletas!I408="Taijijian Opcional",38,IF(Atletas!I408="Daoshu Adulto",39,IF(Atletas!I408="Jianshu Adulto",40,IF(Atletas!I408="Nandao Adulto",41,IF(Atletas!I408="Taijijian Adulto",42,""))))))))))))))))))))))))))</f>
        <v/>
      </c>
      <c r="BH417" s="52" t="str">
        <f>IF(Atletas!J408="","",IF(Atletas!B408="Feminino",100,IF(Atletas!B408="Masculino",200,""))+(IF(Atletas!J408="Gunshu Mirim",43,IF(Atletas!J408="Qiangshu Mirim",44,IF(Atletas!J408="Nangun Mirim",45,IF(Atletas!J408="Gunshu Grupo C",46,IF(Atletas!J408="Qiangshu Grupo C",47,IF(Atletas!J408="Nangun Grupo C",48,IF(Atletas!J408="Gunshu Grupo B",49,IF(Atletas!J408="Qiangshu Grupo B",50,IF(Atletas!J408="Nangun Grupo B",51,IF(Atletas!J408="Gunshu Grupo A",52,IF(Atletas!J408="Qiangshu Grupo A",53,IF(Atletas!J408="Nangun Grupo A",54,IF(Atletas!J408="Gunshu Opcional",55,IF(Atletas!J408="Qiangshu Opcional",56,IF(Atletas!J408="Nangun Opcional",57,IF(Atletas!J408="Gunshu Adulto",58,IF(Atletas!J408="Qiangshu Adulto",59,IF(Atletas!J408="Nangun Adulto",60,IF(Atletas!J408="Taijishan Grupo B",61,IF(Atletas!J408="Taijishan Grupo A",62,""))))))))))))))))))))))</f>
        <v/>
      </c>
      <c r="BM417" s="50" t="str">
        <f>IF(Atletas!K408="","",IF(Atletas!B408="Feminino",100,IF(Atletas!B408="Masculino",200,""))+(IF(Atletas!K408="Equipe 1 Grupo B",1,IF(Atletas!K408="Equipe 2 Grupo B",2,IF(Atletas!K408="Equipe 1 Grupo A",3,IF(Atletas!K408="Equipe 2 Grupo A",4,IF(Atletas!K408="Equipe 1 Adulto",5,IF(Atletas!K408="Equipe 2 Adulto",6,""))))))))</f>
        <v/>
      </c>
      <c r="BR417" s="50" t="str">
        <f>IF(Atletas!L408="","",IF(Atletas!X408&lt;&gt;"",10000,0)+(IF(Atletas!B408="Feminino",1000,IF(Atletas!B408="Masculino",2000,""))+IF(Atletas!L408="Choylayfut A",1,IF(Atletas!L408="Hunggar A",2,IF(Atletas!L408="Wuzuquan A",3,IF(Atletas!L408="Wingchun A",4,IF(Atletas!L408="Outra Mão de Sul A",5,IF(Atletas!L408="Choylayfut B",6,IF(Atletas!L408="Hunggar B",7,IF(Atletas!L408="Wuzuquan B",8,IF(Atletas!L408="Wingchun B",9,IF(Atletas!L408="Outra Mão de Sul B",10,IF(Atletas!L408="Choylayfut C",11,IF(Atletas!L408="Hunggar C",12,IF(Atletas!L408="Wuzuquan C",13,IF(Atletas!L408="Wingchun C",14,IF(Atletas!L408="Outra Mão de Sul C",15,IF(Atletas!L408="Choylayfut D",16,IF(Atletas!L408="Hunggar D",17,IF(Atletas!L408="Wuzuquan D",18,IF(Atletas!L408="Wingchun D",19,IF(Atletas!L408="Outra Mão de Sul D",20,IF(Atletas!L408="Choylayfut E",21,IF(Atletas!L408="Hunggar E",22,IF(Atletas!L408="Wuzuquan E",23,IF(Atletas!L408="Wingchun E",24,IF(Atletas!L408="Outra Mão de Sul E",25,IF(Atletas!L408="Choylayfut F",26,IF(Atletas!L408="Hunggar F",27,IF(Atletas!L408="Wuzuquan F",28,IF(Atletas!L408="Wingchun F",29,IF(Atletas!L408="Outra Mão de Sul F",30,IF(Atletas!L408="Dishuquan A",31,IF(Atletas!L408="Dishuquan B",32,IF(Atletas!L408="Dishuquan C",33,IF(Atletas!L408="Dishuquan D",34,IF(Atletas!L408="Dishuquan E",35,IF(Atletas!L408="Dishuquan F",36,""))))))))))))))))))))))))))))))))))))))</f>
        <v/>
      </c>
      <c r="BS417" s="50" t="str">
        <f>IF(Atletas!M408="","",IF(Atletas!X408&lt;&gt;"",10000,0)+(IF(Atletas!B408="Feminino",1000,IF(Atletas!B408="Masculino",2000,""))+(IF(Atletas!M408="Chaquan A",101,IF(Atletas!M408="Emeiquan A",102,IF(Atletas!M408="Fanziquan A",103,IF(Atletas!M408="Huaquan A",104,IF(Atletas!M408="Hongquan A",105,IF(Atletas!M408="Paoquan A",106,IF(Atletas!M408="Piguaquan A",107,IF(Atletas!M408="Shaolinquan A",108,IF(Atletas!M408="Tanglangquan A",109,IF(Atletas!M408="Yingzhaoquan A",110,IF(Atletas!M408="Tongbeiquan A",111,IF(Atletas!M408="Wudangquan A",112,IF(Atletas!M408="Outros Estilos A",113,IF(Atletas!M408="Chaquan B",114,IF(Atletas!M408="Emeiquan B",115,IF(Atletas!M408="Fanziquan B",116,IF(Atletas!M408="Huaquan B",117,IF(Atletas!M408="Hongquan B",118,IF(Atletas!M408="Paoquan B",119,IF(Atletas!M408="Piguaquan B",120,IF(Atletas!M408="Shaolinquan B",121,IF(Atletas!M408="Tanglangquan B",122,IF(Atletas!M408="Yingzhaoquan B",123,IF(Atletas!M408="Tongbeiquan B",124,IF(Atletas!M408="Wudangquan B",125,IF(Atletas!M408="Outros Estilos B",126,IF(Atletas!M408="Chaquan C",127,IF(Atletas!M408="Emeiquan C",128,IF(Atletas!M408="Fanziquan C",129,IF(Atletas!M408="Huaquan C",130,IF(Atletas!M408="Hongquan C",131,IF(Atletas!M408="Paoquan C",132,IF(Atletas!M408="Piguaquan C",133,IF(Atletas!M408="Shaolinquan C",134,IF(Atletas!M408="Tanglangquan C",135,IF(Atletas!M408="Yingzhaoquan C",136,IF(Atletas!M408="Tongbeiquan C",137,IF(Atletas!M408="Wudangquan C",138,IF(Atletas!M408="Outros Estilos C",139,0))))))))))))))))))))))))))))))))))))))))))</f>
        <v/>
      </c>
      <c r="BT417" s="50" t="str">
        <f>IF(Atletas!M408="","",IF(Atletas!X408&lt;&gt;"",10000,0)+(IF(Atletas!B408="Feminino",1000,IF(Atletas!B408="Masculino",2000,""))+(IF(Atletas!M408="Chaquan D",140,IF(Atletas!M408="Emeiquan D",141,IF(Atletas!M408="Fanziquan D",142,IF(Atletas!M408="Huaquan D",143,IF(Atletas!M408="Hongquan D",144,IF(Atletas!M408="Paoquan D",145,IF(Atletas!M408="Piguaquan D",146,IF(Atletas!M408="Shaolinquan D",147,IF(Atletas!M408="Tanglangquan D",148,IF(Atletas!M408="Yingzhaoquan D",149,IF(Atletas!M408="Tongbeiquan D",150,IF(Atletas!M408="Wudangquan D",151,IF(Atletas!M408="Outros Estilos D",152,IF(Atletas!M408="Chaquan E",153,IF(Atletas!M408="Emeiquan E",154,IF(Atletas!M408="Fanziquan E",155,IF(Atletas!M408="Huaquan E",156,IF(Atletas!M408="Hongquan E",157,IF(Atletas!M408="Paoquan E",158,IF(Atletas!M408="Piguaquan E",159,IF(Atletas!M408="Shaolinquan E",160,IF(Atletas!M408="Tanglangquan E",161,IF(Atletas!M408="Yingzhaoquan E",162,IF(Atletas!M408="Tongbeiquan E",163,IF(Atletas!M408="Wudangquan E",164,IF(Atletas!M408="Outros Estilos E",165,IF(Atletas!M408="Chaquan F",166,IF(Atletas!M408="Emeiquan F",167,IF(Atletas!M408="Fanziquan F",168,IF(Atletas!M408="Huaquan F",169,IF(Atletas!M408="Hongquan F",170,IF(Atletas!M408="Paoquan F",171,IF(Atletas!M408="Piguaquan F",172,IF(Atletas!M408="Shaolinquan F",173,IF(Atletas!M408="Tanglangquan F",174,IF(Atletas!M408="Yingzhaoquan F",175,IF(Atletas!M408="Tongbeiquan F",176,IF(Atletas!M408="Wudangquan F",177,IF(Atletas!M408="Outros Estilos F",178,0))))))))))))))))))))))))))))))))))))))))))</f>
        <v/>
      </c>
      <c r="BU417" s="50" t="str">
        <f>IF(Atletas!N408="","",IF(Atletas!X408&lt;&gt;"",10000,0)+(IF(Atletas!B408="Feminino",1000,IF(Atletas!B408="Masculino",2000,""))+(IF(Atletas!N408="Ditangquan A",201,IF(Atletas!N408="Houquan A",202,IF(Atletas!N408="Zuiquan A",203,IF(Atletas!N408="Ditangquan B",204,IF(Atletas!N408="Houquan B",205,IF(Atletas!N408="Zuiquan B",206,IF(Atletas!N408="Ditangquan C",207,IF(Atletas!N408="Houquan C",208,IF(Atletas!N408="Zuiquan C",209,IF(Atletas!N408="Ditangquan D",210,IF(Atletas!N408="Houquan D",211,IF(Atletas!N408="Zuiquan D",212,IF(Atletas!N408="Ditangquan E",213,IF(Atletas!N408="Houquan E",214,IF(Atletas!N408="Zuiquan E",215,IF(Atletas!N408="Ditangquan F",216,IF(Atletas!N408="Houquan F",217,IF(Atletas!N408="Zuiquan F",218,"")))))))))))))))))))))</f>
        <v/>
      </c>
      <c r="BV417" s="50" t="str">
        <f>IF(Atletas!O408="","",IF(Atletas!X408&lt;&gt;"",10000,0)+IF(Atletas!B408="Feminino",1000,IF(Atletas!B408="Masculino",2000,""))+IF(Atletas!O408="Yang A",301,IF(Atletas!O408="Chen A",302,IF(Atletas!O408="Sun A",303,IF(Atletas!O408="Wu A",304,IF(Atletas!O408="Wu-Hao A",305,IF(Atletas!O408="Outro Taijiquan A",306,IF(Atletas!O408="Yang B",307,IF(Atletas!O408="Chen B",308,IF(Atletas!O408="Sun B",309,IF(Atletas!O408="Wu B",310,IF(Atletas!O408="Wu-Hao B",311,IF(Atletas!O408="Outro Taijiquan B",312,IF(Atletas!O408="Yang C",313,IF(Atletas!O408="Chen C",314,IF(Atletas!O408="Sun C",315,IF(Atletas!O408="Wu C",316,IF(Atletas!O408="Wu-Hao C",317,IF(Atletas!O408="Outro Taijiquan C",318,IF(Atletas!O408="Yang D",319,IF(Atletas!O408="Chen D",320,IF(Atletas!O408="Sun D",321,IF(Atletas!O408="Wu D",322,IF(Atletas!O408="Wu-Hao D",323,IF(Atletas!O408="Outro Taijiquan D",324,IF(Atletas!O408="Yang E",325,IF(Atletas!O408="Chen E",326,IF(Atletas!O408="Sun E",327,IF(Atletas!O408="Wu E",328,IF(Atletas!O408="Wu-Hao E",329,IF(Atletas!O408="Outro Taijiquan E",330,IF(Atletas!O408="Yang F",331,IF(Atletas!O408="Chen F",332,IF(Atletas!O408="Sun F",333,IF(Atletas!O408="Wu F",334,IF(Atletas!O408="Wu-Hao F",335,IF(Atletas!O408="Outro Taijiquan F",336,"")))))))))))))))))))))))))))))))))))))</f>
        <v/>
      </c>
      <c r="BW417" s="50" t="str">
        <f>IF(Atletas!P408="","",IF(Atletas!X408&lt;&gt;"",10000,0)+IF(Atletas!B408="Feminino",1000,IF(Atletas!B408="Masculino",2000,""))+IF(OR(Atletas!P408="Yang 26 A",Atletas!P408="Yang 40 A"),401,IF(OR(Atletas!P408="Chen 25 A",Atletas!P408="Chen 36 A",Atletas!P408="Chen 56 A"),402,IF(Atletas!P408="Sun 73 A",403,IF(Atletas!P408="Wu 45 A",404,IF(Atletas!P408="Wu-Hao 46 A",405,IF(OR(Atletas!P408="Taijiquan 16 A",Atletas!P408="Taijiquan 24 A",Atletas!P408="Taijiquan 32 A",Atletas!P408="Taijiquan 42 A"),406,IF(OR(Atletas!P408="Yang 26 B",Atletas!P408="Yang 40 B"),407,IF(OR(Atletas!P408="Chen 25 B",Atletas!P408="Chen 36 B",Atletas!P408="Chen 56 B"),408,IF(Atletas!P408="Sun 73 B",409,IF(Atletas!P408="Wu 45 B",410,IF(Atletas!P408="Wu-Hao 46 B",411,IF(OR(Atletas!P408="Taijiquan 16 B",Atletas!P408="Taijiquan 24 B",Atletas!P408="Taijiquan 32 B",Atletas!P408="Taijiquan 42 B"),412,IF(OR(Atletas!P408="Yang 26 C",Atletas!P408="Yang 40 C"),413,IF(OR(Atletas!P408="Chen 25 C",Atletas!P408="Chen 36 C",Atletas!P408="Chen 56 C"),414,IF(Atletas!P408="Sun 73 C",415,IF(Atletas!P408="Wu 45 C",416,IF(Atletas!P408="Wu-Hao 46 C",417,IF(OR(Atletas!P408="Taijiquan 16 C",Atletas!P408="Taijiquan 24 C",Atletas!P408="Taijiquan 32 C",Atletas!P408="Taijiquan 42 C"),418,0)))))))))))))))))))</f>
        <v/>
      </c>
      <c r="BX417" s="50" t="str">
        <f>IF(Atletas!P408="","",IF(Atletas!X408&lt;&gt;"",10000,0)+IF(Atletas!B408="Feminino",1000,IF(Atletas!B408="Masculino",2000,""))+IF(OR(Atletas!P408="Yang 26 D",Atletas!P408="Yang 40 D"),419,IF(OR(Atletas!P408="Chen 25 D",Atletas!P408="Chen 36 D",Atletas!P408="Chen 56 D"),420,IF(Atletas!P408="Sun 73 D",421,IF(Atletas!P408="Wu 45 D",422,IF(Atletas!P408="Wu-Hao 46 D",423,IF(OR(Atletas!P408="Taijiquan 16 D",Atletas!P408="Taijiquan 24 D",Atletas!P408="Taijiquan 32 D",Atletas!P408="Taijiquan 42 D"),424,IF(OR(Atletas!P408="Yang 26 E",Atletas!P408="Yang 40 E"),425,IF(OR(Atletas!P408="Chen 25 E",Atletas!P408="Chen 36 E",Atletas!P408="Chen 56 E"),426,IF(Atletas!P408="Sun 73 E",427,IF(Atletas!P408="Wu 45 E",428,IF(Atletas!P408="Wu-Hao 46 E",429,IF(OR(Atletas!P408="Taijiquan 16 E",Atletas!P408="Taijiquan 24 E",Atletas!P408="Taijiquan 32 E",Atletas!P408="Taijiquan 42 E"),430,IF(OR(Atletas!P408="Yang 26 F",Atletas!P408="Yang 40 F"),431,IF(OR(Atletas!P408="Chen 25 F",Atletas!P408="Chen 36 F",Atletas!P408="Chen 56 F"),432,IF(Atletas!P408="Sun 73 F",433,IF(Atletas!P408="Wu 45 F",434,IF(Atletas!P408="Wu-Hao 46 F",435,IF(OR(Atletas!P408="Taijiquan 16 F",Atletas!P408="Taijiquan 24 F",Atletas!P408="Taijiquan 32 F",Atletas!P408="Taijiquan 42 F"),436,0)))))))))))))))))))</f>
        <v/>
      </c>
      <c r="BY417" s="50" t="str">
        <f>IF(Atletas!Q408="","",IF(Atletas!X408&lt;&gt;"",10000,0)+IF(Atletas!B408="Feminino",1000,IF(Atletas!B408="Masculino",2000,""))+IF(Atletas!Q408="Xingyiquan A",501,IF(Atletas!Q408="Baguazhang A",502,IF(Atletas!Q408="Outro Estilo Interno A",503,IF(Atletas!Q408="Xingyiquan B",504,IF(Atletas!Q408="Baguazhang B",505,IF(Atletas!Q408="Outro Estilo Interno B",506,IF(Atletas!Q408="Xingyiquan C",507,IF(Atletas!Q408="Baguazhang C",508,IF(Atletas!Q408="Outro Estilo Interno C",509,IF(Atletas!Q408="Xingyiquan D",510,IF(Atletas!Q408="Baguazhang D",511,IF(Atletas!Q408="Outro Estilo Interno D",512,IF(Atletas!Q408="Xingyiquan E",513,IF(Atletas!Q408="Baguazhang E",514,IF(Atletas!Q408="Outro Estilo Interno E",515,IF(Atletas!Q408="Xingyiquan F",516,IF(Atletas!Q408="Baguazhang F",517,IF(Atletas!Q408="Outro Estilo Interno F",518, "")))))))))))))))))))</f>
        <v/>
      </c>
      <c r="BZ417" s="50" t="str">
        <f>IF(Atletas!R408="","",IF(Atletas!X408&lt;&gt;"",10000,0)+IF(Atletas!B408="Feminino",1000,IF(Atletas!B408="Masculino",2000,""))+IF(Atletas!R408="Dao A",601,IF(Atletas!R408="Jian A",602,IF(Atletas!R408="Bishou A",603,IF(Atletas!R408="Shanzi A",604,IF(Atletas!R408="Outra Arma Curta A",605,IF(Atletas!R408="Dao B",606,IF(Atletas!R408="Jian B",607,IF(Atletas!R408="Bishou B",608,IF(Atletas!R408="Shanzi B",609,IF(Atletas!R408="Outra Arma Curta B",610,IF(Atletas!R408="Dao C",611,IF(Atletas!R408="Jian C",612,IF(Atletas!R408="Bishou C",613,IF(Atletas!R408="Shanzi C",614,IF(Atletas!R408="Outra Arma Curta C",615,IF(Atletas!R408="Dao D",616,IF(Atletas!R408="Jian D",617,IF(Atletas!R408="Bishou D",618,IF(Atletas!R408="Shanzi D",619,IF(Atletas!R408="Outra Arma Curta D",620,IF(Atletas!R408="Dao E",621,IF(Atletas!R408="Jian E",622,IF(Atletas!R408="Bishou E",623,IF(Atletas!R408="Shanzi E",624,IF(Atletas!R408="Outra Arma Curta E",625,IF(Atletas!R408="Dao F",626,IF(Atletas!R408="Jian F",627,IF(Atletas!R408="Bishou F",628,IF(Atletas!R408="Shanzi F",629,IF(Atletas!R408="Outra Arma Curta F",630, "")))))))))))))))))))))))))))))))</f>
        <v/>
      </c>
      <c r="CA417" s="50" t="str">
        <f>IF(Atletas!S408="","",IF(Atletas!X408&lt;&gt;"",10000,0)+IF(Atletas!B408="Feminino",1000,IF(Atletas!B408="Masculino",2000,""))+IF(Atletas!S408="Gun A",701,IF(Atletas!S408="Qiang A",702,IF(Atletas!S408="Pudao / Guandao A",703,IF(Atletas!S408="Outra Arma Longa A",704,IF(Atletas!S408="Gun B",705,IF(Atletas!S408="Qiang B",706,IF(Atletas!S408="Pudao / Guandao B",707,IF(Atletas!S408="Outra Arma Longa B",708,IF(Atletas!S408="Gun C",709,IF(Atletas!S408="Qiang C",710,IF(Atletas!S408="Pudao / Guandao C",711,IF(Atletas!S408="Outra Arma Longa C",712,IF(Atletas!S408="Gun D",713,IF(Atletas!S408="Qiang D",714,IF(Atletas!S408="Pudao / Guandao D",715,IF(Atletas!S408="Outra Arma Longa D",716,IF(Atletas!S408="Gun E",717,IF(Atletas!S408="Qiang E",718,IF(Atletas!S408="Pudao / Guandao E",719,IF(Atletas!S408="Outra Arma Longa E",720,IF(Atletas!S408="Gun F",721,IF(Atletas!S408="Qiang F",722,IF(Atletas!S408="Pudao / Guandao F",723,IF(Atletas!S408="Outra Arma Longa F",724,"")))))))))))))))))))))))))</f>
        <v/>
      </c>
      <c r="CB417" s="50" t="str">
        <f>IF(Atletas!T408="","",IF(Atletas!X408&lt;&gt;"",10000,0)+IF(Atletas!B408="Feminino",1000,IF(Atletas!B408="Masculino",2000,""))+IF(Atletas!T408="Outra Arma Dupla A",801,IF(Atletas!T408="Arma Maleável A",802,IF(Atletas!T408="Outra Arma Dupla B",803,IF(Atletas!T408="Arma Maleável B",804,IF(Atletas!T408="Outra Arma Dupla C",805,IF(Atletas!T408="Arma Maleável C",806,IF(Atletas!T408="Outra Arma Dupla D",807,IF(Atletas!T408="Arma Maleável D",808,IF(Atletas!T408="Outra Arma Dupla E",809,IF(Atletas!T408="Arma Maleável E",810,IF(Atletas!T408="Outra Arma Dupla F",811,IF(Atletas!T408="Arma Maleável F",812,IF(Atletas!T408="Shuangdao A",813,IF(Atletas!T408="Shuangdao B",814,IF(Atletas!T408="Shuangdao C",815,IF(Atletas!T408="Shuangdao D",816,IF(Atletas!T408="Shuangdao E",817,IF(Atletas!T408="Shuangdao F",818,"")))))))))))))))))))</f>
        <v/>
      </c>
      <c r="CC417" s="50" t="str">
        <f>IF(Atletas!U408="","",IF(Atletas!X408&lt;&gt;"",10000,0)+IF(Atletas!B408="Feminino",1000,IF(Atletas!B408="Masculino",2000,""))+IF(OR(Atletas!U408="Taijijian Yang A",Atletas!U408="Taijijian Yang Standard A"),901,IF(OR(Atletas!U408="Taijijian Chen A", Atletas!U408="Taijijian Chen Standard A"),902,IF(Atletas!U408="Taijijian Sun A",903,IF(Atletas!U408="Taijijian Wu A",904,IF(Atletas!U408="Taijijian Wu-Hao A",905,IF(OR(Atletas!U408="Taijijian 32 A",Atletas!U408="Taijijian 42 A"),906,IF(OR(Atletas!U408="Taijijian Yang B",Atletas!U408="Taijijian Yang Standard B"),907,IF(OR(Atletas!U408="Taijijian Chen B", Atletas!U408="Taijijian Chen Standard B"),908,IF(Atletas!U408="Taijijian Sun B",909,IF(Atletas!U408="Taijijian Wu B",910,IF(Atletas!U408="Taijijian Wu-Hao B",911,IF(OR(Atletas!U408="Taijijian 32 B",Atletas!U408="Taijijian 42 B"),912,IF(OR(Atletas!U408="Taijijian Yang C",Atletas!U408="Taijijian Yang Standard C"),913,IF(OR(Atletas!U408="Taijijian Chen C", Atletas!U408="Taijijian Chen Standard C"),914,IF(Atletas!U408="Taijijian Sun C",915,IF(Atletas!U408="Taijijian Wu C",916,IF(Atletas!U408="Taijijian Wu-Hao C",917,IF(OR(Atletas!U408="Taijijian 32 C",Atletas!U408="Taijijian 42 C"),918,IF(OR(Atletas!U408="Taijijian Yang D",Atletas!U408="Taijijian Yang Standard D"),919,IF(OR(Atletas!U408="Taijijian Chen D", Atletas!U408="Taijijian Chen Standard D"),920,IF(Atletas!U408="Taijijian Sun D",921,IF(Atletas!U408="Taijijian Wu D",922,IF(Atletas!U408="Taijijian Wu-Hao D",923,IF(OR(Atletas!U408="Taijijian 32 D",Atletas!U408="Taijijian 42 D"),924,IF(OR(Atletas!U408="Taijijian Yang E",Atletas!U408="Taijijian Yang Standard E"),925,IF(OR(Atletas!U408="Taijijian Chen E", Atletas!U408="Taijijian Chen Standard E"),926,IF(Atletas!U408="Taijijian Sun E",927,IF(Atletas!U408="Taijijian Wu E",928,IF(Atletas!U408="Taijijian Wu-Hao E",929,IF(OR(Atletas!U408="Taijijian 32 E",Atletas!U408="Taijijian 42 E"),930,IF(OR(Atletas!U408="Taijijian Yang F",Atletas!U408="Taijijian Yang Standard F"),931,IF(OR(Atletas!U408="Taijijian Chen F", Atletas!U408="Taijijian Chen Standard F"),932,IF(Atletas!U408="Taijijian Sun F",933,IF(Atletas!U408="Taijijian Wu F",934,IF(Atletas!U408="Taijijian Wu-Hao F",935,IF(OR(Atletas!U408="Taijijian 32 F",Atletas!U408="Taijijian 42 F"),936,"")))))))))))))))))))))))))))))))))))))</f>
        <v/>
      </c>
      <c r="CD417" s="50" t="str">
        <f>IF(Atletas!V408="","",IF(Atletas!X408&lt;&gt;"",10000,0)+IF(Atletas!B408="Feminino",1000,IF(Atletas!B408="Masculino",2000,""))+IF(Atletas!V408="Taijidao A",937,IF(Atletas!V408="TaijiShanzi A",938,IF(Atletas!V408="Taijiqiang A",939,IF(Atletas!V408="Bagua de Arma A",940,IF(Atletas!V408="Xingyi de Arma A",941,IF(Atletas!V408="Taijidao B",942,IF(Atletas!V408="TaijiShanzi B",943,IF(Atletas!V408="Taijiqiang B",944,IF(Atletas!V408="Bagua de Arma B",945,IF(Atletas!V408="Xingyi de Arma B",946,IF(Atletas!V408="Taijidao C",947,IF(Atletas!V408="TaijiShanzi C",948,IF(Atletas!V408="Taijiqiang C",949,IF(Atletas!V408="Bagua de Arma C",950,IF(Atletas!V408="Xingyi de Arma C",951,IF(Atletas!V408="Taijidao D",952,IF(Atletas!V408="TaijiShanzi D",953,IF(Atletas!V408="Taijiqiang D",954,IF(Atletas!V408="Bagua de Arma D",955,IF(Atletas!V408="Xingyi de Arma D",956,IF(Atletas!V408="Taijidao E",957,IF(Atletas!V408="TaijiShanzi E",958,IF(Atletas!V408="Taijiqiang E",959,IF(Atletas!V408="Bagua de Arma E",960,IF(Atletas!V408="Xingyi de Arma E",961,IF(Atletas!V408="Taijidao F",962,IF(Atletas!V408="TaijiShanzi F",963,IF(Atletas!V408="Taijiqiang F",964,IF(Atletas!V408="Bagua de Arma F",965,IF(Atletas!V408="Xingyi de Arma F",966,"")))))))))))))))))))))))))))))))</f>
        <v/>
      </c>
      <c r="CM417" s="50" t="str">
        <f xml:space="preserve"> IF(Atletas!W408="","",IF(Atletas!W408="Duilian de Mãos BC - Equipe 1",1,IF(Atletas!W408="Duilian de Mãos BC - Equipe 2",2,IF(Atletas!W408="Duilian de Armas BC - Equipe 1",3,IF(Atletas!W408="Duilian de Armas BC - Equipe 2",4,IF(Atletas!W408="Duilian de Mãos DE - Equipe 1",5,IF(Atletas!W408="Duilian de Mãos DE - Equipe 2",6,IF(Atletas!W408="Duilian de Armas DE - Equipe 1",7,IF(Atletas!W408="Duilian de Armas DE - Equipe 2",8,IF(Atletas!W408="Duilian de Tuishou - Equipe 1",9,IF(Atletas!W408="Duilian de Tuishou - Equipe 2",10,IF(Atletas!W408="Grupo Externo ABC - Equipe 1",11,IF(Atletas!W408="Grupo Externo ABC - Equipe 2",12,IF(Atletas!W408="Grupo Interno ABC - Equipe 1",13,IF(Atletas!W408="Grupo Interno ABC - Equipe 2",14,IF(Atletas!W408="Grupo Externo DEF - Equipe 1",15,IF(Atletas!W408="Grupo Externo DEF - Equipe 2",16,IF(Atletas!W408="Grupo Interno DEF - Equipe 1",17,IF(Atletas!W408="Grupo Interno DEF - Equipe 2",18,"")))))))))))))))))))</f>
        <v/>
      </c>
    </row>
    <row r="418" spans="40:91">
      <c r="AN418" s="52" t="str">
        <f>IF(Atletas!D409="","",IF(Atletas!B409="Feminino",100,IF(Atletas!B409="Masculino",200,""))+(IF(Atletas!D409="Kids 30kg",1,IF(Atletas!D409="Kids 32kg",2, IF(Atletas!D409="Kids 34kg",3,IF(Atletas!D409="Kids 36kg",4,IF(Atletas!D409="Kids 39kg",5,IF(Atletas!D409="Kids 42kg",6,IF(Atletas!D409="Kids 45kg",7, IF(Atletas!D409="Infantil 39kg",8,IF(Atletas!D409="Infantil 42kg",9,IF(Atletas!D409="Infantil 45kg",10,IF(Atletas!D409="Infantil 48kg",11,IF(Atletas!D409="Infantil 52kg",12,IF(Atletas!D409="Infantil 56kg",13,IF(Atletas!D409="Infantil 60kg",14,IF(Atletas!D409="Juvenil 48kg",15,IF(Atletas!D409="Juvenil 52kg",16,IF(Atletas!D409="Juvenil 56kg",17,IF(Atletas!D409="Juvenil 60kg",18,IF(Atletas!D409="Juvenil 65kg",19,IF(Atletas!D409="Juvenil 70kg",20,IF(Atletas!D409="Juvenil 75kg",21,IF(Atletas!D409="Juvenil 80kg",22, IF(Atletas!D409="Juvenil 85kg",23,IF(Atletas!D409="Adulto 48kg",24,IF(Atletas!D409="Adulto 52kg",25,IF(Atletas!D409="Adulto 56kg",26,IF(Atletas!D409="Adulto 60kg",27,IF(Atletas!D409="Adulto 65kg",28,IF(Atletas!D409="Adulto 70kg",29,IF(Atletas!D409="Adulto 75kg",30,IF(Atletas!D409="Adulto 80kg",31,IF(Atletas!D409="Adulto 85kg",32,IF(Atletas!D409="Adulto 90kg",33,IF(Atletas!D409="Adulto 100kg",34, IF(Atletas!D409="Adulto +100kg",35,"")))))))))))))))))))))))))))))))))))))</f>
        <v/>
      </c>
      <c r="AS418" s="6" t="str">
        <f>IF(Atletas!E409="","",IF(Atletas!B409="Feminino",100,IF(Atletas!B409="Masculino",200,""))+(IF(Atletas!E409="Juvenil 44kg",1,IF(Atletas!E409="Juvenil 48kg",2,IF(Atletas!E409="Juvenil 52kg",3,IF(Atletas!E409="Juvenil 56kg",4,IF(Atletas!E409="Juvenil 60kg",5,IF(Atletas!E409="Juvenil 65kg",6,IF(Atletas!E409="Juvenil 70kg",7,IF(Atletas!E409="Juvenil 75kg",8,IF(Atletas!E409="Juvenil 82kg",9,IF(Atletas!E409="Juvenil 90kg",10,IF(Atletas!E409="Juvenil 100kg",11,IF(Atletas!E409="Adulto 48kg",12,IF(Atletas!E409="Adulto 52kg",13,IF(Atletas!E409="Adulto 56kg",14,IF(Atletas!E409="Adulto 60kg",15,IF(Atletas!E409="Adulto 65kg",16,IF(Atletas!E409="Adulto 70kg",17,IF(Atletas!E409="Adulto 75kg",18,IF(Atletas!E409="Adulto 82kg",19,IF(Atletas!E409="Adulto 90kg",20,IF(Atletas!E409="Adulto 100kg",21,IF(Atletas!E409="Adulto +100kg",22,""))))))))))))))))))))))))</f>
        <v/>
      </c>
      <c r="AX418" s="6" t="str">
        <f>IF(Atletas!F409="","",IF(Atletas!B409="Feminino",100,IF(Atletas!B409="Masculino",200,""))+(IF(Atletas!F409="Adulto 48kg",1,IF(Atletas!F409="Adulto 56kg",2,IF(Atletas!F409="Adulto 65kg",3,IF(Atletas!F409="Adulto 75kg",4,IF(Atletas!F409="Adulto +75kg",5,IF(Atletas!F409="Adulto 52kg",6,IF(Atletas!F409="Adulto 60kg",7,IF(Atletas!F409="Adulto 70kg",8,IF(Atletas!F409="Adulto 80kg",9,IF(Atletas!F409="Adulto 90kg",10,IF(Atletas!F409="Adulto +90kg",11,"")))))))))))))</f>
        <v/>
      </c>
      <c r="BC418" s="6" t="str">
        <f>IF(Atletas!G409="","",IF(Atletas!B409="Feminino",10,IF(Atletas!B409="Masculino",20,""))+(IF(Atletas!G409="Baduanjin A",1,IF(Atletas!G409="Baduanjin B",2))))</f>
        <v/>
      </c>
      <c r="BF418" s="52" t="str">
        <f>IF(Atletas!H409="","",IF(Atletas!B409="Feminino",100,IF(Atletas!B409="Masculino",200,""))+(IF(Atletas!H409="Changquan Mirim",1,IF(Atletas!H409="Nanquan Mirim",2,IF(Atletas!H409="Taijiquan Mirim",3,IF(Atletas!H409="Changquan Grupo C",4,IF(Atletas!H409="Nanquan Grupo C",5,IF(Atletas!H409="Taijiquan Grupo C",6,IF(Atletas!H409="Changquan Grupo B",7,IF(Atletas!H409="Nanquan Grupo B",8,IF(Atletas!H409="Taijiquan Grupo B",9,IF(Atletas!H409="Changquan Grupo A",10,IF(Atletas!H409="Nanquan Grupo A",11,IF(Atletas!H409="Taijiquan Grupo A",12,IF(Atletas!H409="Changquan Opcional",13,IF(Atletas!H409="Nanquan Opcional",14,IF(Atletas!H409="Taijiquan Opcional",15,IF(Atletas!H409="Changquan Adulto",16,IF(Atletas!H409="Nanquan Adulto",17,IF(Atletas!H409="Taijiquan Adulto",18,""))))))))))))))))))))</f>
        <v/>
      </c>
      <c r="BG418" s="52" t="str">
        <f>IF(Atletas!I409="","",IF(Atletas!B409="Feminino",100,IF(Atletas!B409="Masculino",200,""))+(IF(Atletas!I409="Daoshu Mirim",19,IF(Atletas!I409="Jianshu Mirim",20,IF(Atletas!I409="Nandao Mirim",21,IF(Atletas!I409="Taijijian Mirim",22,IF(Atletas!I409="Daoshu Grupo C",23,IF(Atletas!I409="Jianshu Grupo C",24,IF(Atletas!I409="Nandao Grupo C",25,IF(Atletas!I409="Taijijian Grupo C",26,IF(Atletas!I409="Daoshu Grupo B",27,IF(Atletas!I409="Jianshu Grupo B",28,IF(Atletas!I409="Nandao Grupo B",29,IF(Atletas!I409="Taijijian Grupo B",30,IF(Atletas!I409="Daoshu Grupo A",31,IF(Atletas!I409="Jianshu Grupo A",32,IF(Atletas!I409="Nandao Grupo A",33,IF(Atletas!I409="Taijijian Grupo A",34,IF(Atletas!I409="Daoshu Opcional",35,IF(Atletas!I409="Jianshu Opcional",36,IF(Atletas!I409="Nandao Opcional",37,IF(Atletas!I409="Taijijian Opcional",38,IF(Atletas!I409="Daoshu Adulto",39,IF(Atletas!I409="Jianshu Adulto",40,IF(Atletas!I409="Nandao Adulto",41,IF(Atletas!I409="Taijijian Adulto",42,""))))))))))))))))))))))))))</f>
        <v/>
      </c>
      <c r="BH418" s="52" t="str">
        <f>IF(Atletas!J409="","",IF(Atletas!B409="Feminino",100,IF(Atletas!B409="Masculino",200,""))+(IF(Atletas!J409="Gunshu Mirim",43,IF(Atletas!J409="Qiangshu Mirim",44,IF(Atletas!J409="Nangun Mirim",45,IF(Atletas!J409="Gunshu Grupo C",46,IF(Atletas!J409="Qiangshu Grupo C",47,IF(Atletas!J409="Nangun Grupo C",48,IF(Atletas!J409="Gunshu Grupo B",49,IF(Atletas!J409="Qiangshu Grupo B",50,IF(Atletas!J409="Nangun Grupo B",51,IF(Atletas!J409="Gunshu Grupo A",52,IF(Atletas!J409="Qiangshu Grupo A",53,IF(Atletas!J409="Nangun Grupo A",54,IF(Atletas!J409="Gunshu Opcional",55,IF(Atletas!J409="Qiangshu Opcional",56,IF(Atletas!J409="Nangun Opcional",57,IF(Atletas!J409="Gunshu Adulto",58,IF(Atletas!J409="Qiangshu Adulto",59,IF(Atletas!J409="Nangun Adulto",60,IF(Atletas!J409="Taijishan Grupo B",61,IF(Atletas!J409="Taijishan Grupo A",62,""))))))))))))))))))))))</f>
        <v/>
      </c>
      <c r="BM418" s="50" t="str">
        <f>IF(Atletas!K409="","",IF(Atletas!B409="Feminino",100,IF(Atletas!B409="Masculino",200,""))+(IF(Atletas!K409="Equipe 1 Grupo B",1,IF(Atletas!K409="Equipe 2 Grupo B",2,IF(Atletas!K409="Equipe 1 Grupo A",3,IF(Atletas!K409="Equipe 2 Grupo A",4,IF(Atletas!K409="Equipe 1 Adulto",5,IF(Atletas!K409="Equipe 2 Adulto",6,""))))))))</f>
        <v/>
      </c>
      <c r="BR418" s="50" t="str">
        <f>IF(Atletas!L409="","",IF(Atletas!X409&lt;&gt;"",10000,0)+(IF(Atletas!B409="Feminino",1000,IF(Atletas!B409="Masculino",2000,""))+IF(Atletas!L409="Choylayfut A",1,IF(Atletas!L409="Hunggar A",2,IF(Atletas!L409="Wuzuquan A",3,IF(Atletas!L409="Wingchun A",4,IF(Atletas!L409="Outra Mão de Sul A",5,IF(Atletas!L409="Choylayfut B",6,IF(Atletas!L409="Hunggar B",7,IF(Atletas!L409="Wuzuquan B",8,IF(Atletas!L409="Wingchun B",9,IF(Atletas!L409="Outra Mão de Sul B",10,IF(Atletas!L409="Choylayfut C",11,IF(Atletas!L409="Hunggar C",12,IF(Atletas!L409="Wuzuquan C",13,IF(Atletas!L409="Wingchun C",14,IF(Atletas!L409="Outra Mão de Sul C",15,IF(Atletas!L409="Choylayfut D",16,IF(Atletas!L409="Hunggar D",17,IF(Atletas!L409="Wuzuquan D",18,IF(Atletas!L409="Wingchun D",19,IF(Atletas!L409="Outra Mão de Sul D",20,IF(Atletas!L409="Choylayfut E",21,IF(Atletas!L409="Hunggar E",22,IF(Atletas!L409="Wuzuquan E",23,IF(Atletas!L409="Wingchun E",24,IF(Atletas!L409="Outra Mão de Sul E",25,IF(Atletas!L409="Choylayfut F",26,IF(Atletas!L409="Hunggar F",27,IF(Atletas!L409="Wuzuquan F",28,IF(Atletas!L409="Wingchun F",29,IF(Atletas!L409="Outra Mão de Sul F",30,IF(Atletas!L409="Dishuquan A",31,IF(Atletas!L409="Dishuquan B",32,IF(Atletas!L409="Dishuquan C",33,IF(Atletas!L409="Dishuquan D",34,IF(Atletas!L409="Dishuquan E",35,IF(Atletas!L409="Dishuquan F",36,""))))))))))))))))))))))))))))))))))))))</f>
        <v/>
      </c>
      <c r="BS418" s="50" t="str">
        <f>IF(Atletas!M409="","",IF(Atletas!X409&lt;&gt;"",10000,0)+(IF(Atletas!B409="Feminino",1000,IF(Atletas!B409="Masculino",2000,""))+(IF(Atletas!M409="Chaquan A",101,IF(Atletas!M409="Emeiquan A",102,IF(Atletas!M409="Fanziquan A",103,IF(Atletas!M409="Huaquan A",104,IF(Atletas!M409="Hongquan A",105,IF(Atletas!M409="Paoquan A",106,IF(Atletas!M409="Piguaquan A",107,IF(Atletas!M409="Shaolinquan A",108,IF(Atletas!M409="Tanglangquan A",109,IF(Atletas!M409="Yingzhaoquan A",110,IF(Atletas!M409="Tongbeiquan A",111,IF(Atletas!M409="Wudangquan A",112,IF(Atletas!M409="Outros Estilos A",113,IF(Atletas!M409="Chaquan B",114,IF(Atletas!M409="Emeiquan B",115,IF(Atletas!M409="Fanziquan B",116,IF(Atletas!M409="Huaquan B",117,IF(Atletas!M409="Hongquan B",118,IF(Atletas!M409="Paoquan B",119,IF(Atletas!M409="Piguaquan B",120,IF(Atletas!M409="Shaolinquan B",121,IF(Atletas!M409="Tanglangquan B",122,IF(Atletas!M409="Yingzhaoquan B",123,IF(Atletas!M409="Tongbeiquan B",124,IF(Atletas!M409="Wudangquan B",125,IF(Atletas!M409="Outros Estilos B",126,IF(Atletas!M409="Chaquan C",127,IF(Atletas!M409="Emeiquan C",128,IF(Atletas!M409="Fanziquan C",129,IF(Atletas!M409="Huaquan C",130,IF(Atletas!M409="Hongquan C",131,IF(Atletas!M409="Paoquan C",132,IF(Atletas!M409="Piguaquan C",133,IF(Atletas!M409="Shaolinquan C",134,IF(Atletas!M409="Tanglangquan C",135,IF(Atletas!M409="Yingzhaoquan C",136,IF(Atletas!M409="Tongbeiquan C",137,IF(Atletas!M409="Wudangquan C",138,IF(Atletas!M409="Outros Estilos C",139,0))))))))))))))))))))))))))))))))))))))))))</f>
        <v/>
      </c>
      <c r="BT418" s="50" t="str">
        <f>IF(Atletas!M409="","",IF(Atletas!X409&lt;&gt;"",10000,0)+(IF(Atletas!B409="Feminino",1000,IF(Atletas!B409="Masculino",2000,""))+(IF(Atletas!M409="Chaquan D",140,IF(Atletas!M409="Emeiquan D",141,IF(Atletas!M409="Fanziquan D",142,IF(Atletas!M409="Huaquan D",143,IF(Atletas!M409="Hongquan D",144,IF(Atletas!M409="Paoquan D",145,IF(Atletas!M409="Piguaquan D",146,IF(Atletas!M409="Shaolinquan D",147,IF(Atletas!M409="Tanglangquan D",148,IF(Atletas!M409="Yingzhaoquan D",149,IF(Atletas!M409="Tongbeiquan D",150,IF(Atletas!M409="Wudangquan D",151,IF(Atletas!M409="Outros Estilos D",152,IF(Atletas!M409="Chaquan E",153,IF(Atletas!M409="Emeiquan E",154,IF(Atletas!M409="Fanziquan E",155,IF(Atletas!M409="Huaquan E",156,IF(Atletas!M409="Hongquan E",157,IF(Atletas!M409="Paoquan E",158,IF(Atletas!M409="Piguaquan E",159,IF(Atletas!M409="Shaolinquan E",160,IF(Atletas!M409="Tanglangquan E",161,IF(Atletas!M409="Yingzhaoquan E",162,IF(Atletas!M409="Tongbeiquan E",163,IF(Atletas!M409="Wudangquan E",164,IF(Atletas!M409="Outros Estilos E",165,IF(Atletas!M409="Chaquan F",166,IF(Atletas!M409="Emeiquan F",167,IF(Atletas!M409="Fanziquan F",168,IF(Atletas!M409="Huaquan F",169,IF(Atletas!M409="Hongquan F",170,IF(Atletas!M409="Paoquan F",171,IF(Atletas!M409="Piguaquan F",172,IF(Atletas!M409="Shaolinquan F",173,IF(Atletas!M409="Tanglangquan F",174,IF(Atletas!M409="Yingzhaoquan F",175,IF(Atletas!M409="Tongbeiquan F",176,IF(Atletas!M409="Wudangquan F",177,IF(Atletas!M409="Outros Estilos F",178,0))))))))))))))))))))))))))))))))))))))))))</f>
        <v/>
      </c>
      <c r="BU418" s="50" t="str">
        <f>IF(Atletas!N409="","",IF(Atletas!X409&lt;&gt;"",10000,0)+(IF(Atletas!B409="Feminino",1000,IF(Atletas!B409="Masculino",2000,""))+(IF(Atletas!N409="Ditangquan A",201,IF(Atletas!N409="Houquan A",202,IF(Atletas!N409="Zuiquan A",203,IF(Atletas!N409="Ditangquan B",204,IF(Atletas!N409="Houquan B",205,IF(Atletas!N409="Zuiquan B",206,IF(Atletas!N409="Ditangquan C",207,IF(Atletas!N409="Houquan C",208,IF(Atletas!N409="Zuiquan C",209,IF(Atletas!N409="Ditangquan D",210,IF(Atletas!N409="Houquan D",211,IF(Atletas!N409="Zuiquan D",212,IF(Atletas!N409="Ditangquan E",213,IF(Atletas!N409="Houquan E",214,IF(Atletas!N409="Zuiquan E",215,IF(Atletas!N409="Ditangquan F",216,IF(Atletas!N409="Houquan F",217,IF(Atletas!N409="Zuiquan F",218,"")))))))))))))))))))))</f>
        <v/>
      </c>
      <c r="BV418" s="50" t="str">
        <f>IF(Atletas!O409="","",IF(Atletas!X409&lt;&gt;"",10000,0)+IF(Atletas!B409="Feminino",1000,IF(Atletas!B409="Masculino",2000,""))+IF(Atletas!O409="Yang A",301,IF(Atletas!O409="Chen A",302,IF(Atletas!O409="Sun A",303,IF(Atletas!O409="Wu A",304,IF(Atletas!O409="Wu-Hao A",305,IF(Atletas!O409="Outro Taijiquan A",306,IF(Atletas!O409="Yang B",307,IF(Atletas!O409="Chen B",308,IF(Atletas!O409="Sun B",309,IF(Atletas!O409="Wu B",310,IF(Atletas!O409="Wu-Hao B",311,IF(Atletas!O409="Outro Taijiquan B",312,IF(Atletas!O409="Yang C",313,IF(Atletas!O409="Chen C",314,IF(Atletas!O409="Sun C",315,IF(Atletas!O409="Wu C",316,IF(Atletas!O409="Wu-Hao C",317,IF(Atletas!O409="Outro Taijiquan C",318,IF(Atletas!O409="Yang D",319,IF(Atletas!O409="Chen D",320,IF(Atletas!O409="Sun D",321,IF(Atletas!O409="Wu D",322,IF(Atletas!O409="Wu-Hao D",323,IF(Atletas!O409="Outro Taijiquan D",324,IF(Atletas!O409="Yang E",325,IF(Atletas!O409="Chen E",326,IF(Atletas!O409="Sun E",327,IF(Atletas!O409="Wu E",328,IF(Atletas!O409="Wu-Hao E",329,IF(Atletas!O409="Outro Taijiquan E",330,IF(Atletas!O409="Yang F",331,IF(Atletas!O409="Chen F",332,IF(Atletas!O409="Sun F",333,IF(Atletas!O409="Wu F",334,IF(Atletas!O409="Wu-Hao F",335,IF(Atletas!O409="Outro Taijiquan F",336,"")))))))))))))))))))))))))))))))))))))</f>
        <v/>
      </c>
      <c r="BW418" s="50" t="str">
        <f>IF(Atletas!P409="","",IF(Atletas!X409&lt;&gt;"",10000,0)+IF(Atletas!B409="Feminino",1000,IF(Atletas!B409="Masculino",2000,""))+IF(OR(Atletas!P409="Yang 26 A",Atletas!P409="Yang 40 A"),401,IF(OR(Atletas!P409="Chen 25 A",Atletas!P409="Chen 36 A",Atletas!P409="Chen 56 A"),402,IF(Atletas!P409="Sun 73 A",403,IF(Atletas!P409="Wu 45 A",404,IF(Atletas!P409="Wu-Hao 46 A",405,IF(OR(Atletas!P409="Taijiquan 16 A",Atletas!P409="Taijiquan 24 A",Atletas!P409="Taijiquan 32 A",Atletas!P409="Taijiquan 42 A"),406,IF(OR(Atletas!P409="Yang 26 B",Atletas!P409="Yang 40 B"),407,IF(OR(Atletas!P409="Chen 25 B",Atletas!P409="Chen 36 B",Atletas!P409="Chen 56 B"),408,IF(Atletas!P409="Sun 73 B",409,IF(Atletas!P409="Wu 45 B",410,IF(Atletas!P409="Wu-Hao 46 B",411,IF(OR(Atletas!P409="Taijiquan 16 B",Atletas!P409="Taijiquan 24 B",Atletas!P409="Taijiquan 32 B",Atletas!P409="Taijiquan 42 B"),412,IF(OR(Atletas!P409="Yang 26 C",Atletas!P409="Yang 40 C"),413,IF(OR(Atletas!P409="Chen 25 C",Atletas!P409="Chen 36 C",Atletas!P409="Chen 56 C"),414,IF(Atletas!P409="Sun 73 C",415,IF(Atletas!P409="Wu 45 C",416,IF(Atletas!P409="Wu-Hao 46 C",417,IF(OR(Atletas!P409="Taijiquan 16 C",Atletas!P409="Taijiquan 24 C",Atletas!P409="Taijiquan 32 C",Atletas!P409="Taijiquan 42 C"),418,0)))))))))))))))))))</f>
        <v/>
      </c>
      <c r="BX418" s="50" t="str">
        <f>IF(Atletas!P409="","",IF(Atletas!X409&lt;&gt;"",10000,0)+IF(Atletas!B409="Feminino",1000,IF(Atletas!B409="Masculino",2000,""))+IF(OR(Atletas!P409="Yang 26 D",Atletas!P409="Yang 40 D"),419,IF(OR(Atletas!P409="Chen 25 D",Atletas!P409="Chen 36 D",Atletas!P409="Chen 56 D"),420,IF(Atletas!P409="Sun 73 D",421,IF(Atletas!P409="Wu 45 D",422,IF(Atletas!P409="Wu-Hao 46 D",423,IF(OR(Atletas!P409="Taijiquan 16 D",Atletas!P409="Taijiquan 24 D",Atletas!P409="Taijiquan 32 D",Atletas!P409="Taijiquan 42 D"),424,IF(OR(Atletas!P409="Yang 26 E",Atletas!P409="Yang 40 E"),425,IF(OR(Atletas!P409="Chen 25 E",Atletas!P409="Chen 36 E",Atletas!P409="Chen 56 E"),426,IF(Atletas!P409="Sun 73 E",427,IF(Atletas!P409="Wu 45 E",428,IF(Atletas!P409="Wu-Hao 46 E",429,IF(OR(Atletas!P409="Taijiquan 16 E",Atletas!P409="Taijiquan 24 E",Atletas!P409="Taijiquan 32 E",Atletas!P409="Taijiquan 42 E"),430,IF(OR(Atletas!P409="Yang 26 F",Atletas!P409="Yang 40 F"),431,IF(OR(Atletas!P409="Chen 25 F",Atletas!P409="Chen 36 F",Atletas!P409="Chen 56 F"),432,IF(Atletas!P409="Sun 73 F",433,IF(Atletas!P409="Wu 45 F",434,IF(Atletas!P409="Wu-Hao 46 F",435,IF(OR(Atletas!P409="Taijiquan 16 F",Atletas!P409="Taijiquan 24 F",Atletas!P409="Taijiquan 32 F",Atletas!P409="Taijiquan 42 F"),436,0)))))))))))))))))))</f>
        <v/>
      </c>
      <c r="BY418" s="50" t="str">
        <f>IF(Atletas!Q409="","",IF(Atletas!X409&lt;&gt;"",10000,0)+IF(Atletas!B409="Feminino",1000,IF(Atletas!B409="Masculino",2000,""))+IF(Atletas!Q409="Xingyiquan A",501,IF(Atletas!Q409="Baguazhang A",502,IF(Atletas!Q409="Outro Estilo Interno A",503,IF(Atletas!Q409="Xingyiquan B",504,IF(Atletas!Q409="Baguazhang B",505,IF(Atletas!Q409="Outro Estilo Interno B",506,IF(Atletas!Q409="Xingyiquan C",507,IF(Atletas!Q409="Baguazhang C",508,IF(Atletas!Q409="Outro Estilo Interno C",509,IF(Atletas!Q409="Xingyiquan D",510,IF(Atletas!Q409="Baguazhang D",511,IF(Atletas!Q409="Outro Estilo Interno D",512,IF(Atletas!Q409="Xingyiquan E",513,IF(Atletas!Q409="Baguazhang E",514,IF(Atletas!Q409="Outro Estilo Interno E",515,IF(Atletas!Q409="Xingyiquan F",516,IF(Atletas!Q409="Baguazhang F",517,IF(Atletas!Q409="Outro Estilo Interno F",518, "")))))))))))))))))))</f>
        <v/>
      </c>
      <c r="BZ418" s="50" t="str">
        <f>IF(Atletas!R409="","",IF(Atletas!X409&lt;&gt;"",10000,0)+IF(Atletas!B409="Feminino",1000,IF(Atletas!B409="Masculino",2000,""))+IF(Atletas!R409="Dao A",601,IF(Atletas!R409="Jian A",602,IF(Atletas!R409="Bishou A",603,IF(Atletas!R409="Shanzi A",604,IF(Atletas!R409="Outra Arma Curta A",605,IF(Atletas!R409="Dao B",606,IF(Atletas!R409="Jian B",607,IF(Atletas!R409="Bishou B",608,IF(Atletas!R409="Shanzi B",609,IF(Atletas!R409="Outra Arma Curta B",610,IF(Atletas!R409="Dao C",611,IF(Atletas!R409="Jian C",612,IF(Atletas!R409="Bishou C",613,IF(Atletas!R409="Shanzi C",614,IF(Atletas!R409="Outra Arma Curta C",615,IF(Atletas!R409="Dao D",616,IF(Atletas!R409="Jian D",617,IF(Atletas!R409="Bishou D",618,IF(Atletas!R409="Shanzi D",619,IF(Atletas!R409="Outra Arma Curta D",620,IF(Atletas!R409="Dao E",621,IF(Atletas!R409="Jian E",622,IF(Atletas!R409="Bishou E",623,IF(Atletas!R409="Shanzi E",624,IF(Atletas!R409="Outra Arma Curta E",625,IF(Atletas!R409="Dao F",626,IF(Atletas!R409="Jian F",627,IF(Atletas!R409="Bishou F",628,IF(Atletas!R409="Shanzi F",629,IF(Atletas!R409="Outra Arma Curta F",630, "")))))))))))))))))))))))))))))))</f>
        <v/>
      </c>
      <c r="CA418" s="50" t="str">
        <f>IF(Atletas!S409="","",IF(Atletas!X409&lt;&gt;"",10000,0)+IF(Atletas!B409="Feminino",1000,IF(Atletas!B409="Masculino",2000,""))+IF(Atletas!S409="Gun A",701,IF(Atletas!S409="Qiang A",702,IF(Atletas!S409="Pudao / Guandao A",703,IF(Atletas!S409="Outra Arma Longa A",704,IF(Atletas!S409="Gun B",705,IF(Atletas!S409="Qiang B",706,IF(Atletas!S409="Pudao / Guandao B",707,IF(Atletas!S409="Outra Arma Longa B",708,IF(Atletas!S409="Gun C",709,IF(Atletas!S409="Qiang C",710,IF(Atletas!S409="Pudao / Guandao C",711,IF(Atletas!S409="Outra Arma Longa C",712,IF(Atletas!S409="Gun D",713,IF(Atletas!S409="Qiang D",714,IF(Atletas!S409="Pudao / Guandao D",715,IF(Atletas!S409="Outra Arma Longa D",716,IF(Atletas!S409="Gun E",717,IF(Atletas!S409="Qiang E",718,IF(Atletas!S409="Pudao / Guandao E",719,IF(Atletas!S409="Outra Arma Longa E",720,IF(Atletas!S409="Gun F",721,IF(Atletas!S409="Qiang F",722,IF(Atletas!S409="Pudao / Guandao F",723,IF(Atletas!S409="Outra Arma Longa F",724,"")))))))))))))))))))))))))</f>
        <v/>
      </c>
      <c r="CB418" s="50" t="str">
        <f>IF(Atletas!T409="","",IF(Atletas!X409&lt;&gt;"",10000,0)+IF(Atletas!B409="Feminino",1000,IF(Atletas!B409="Masculino",2000,""))+IF(Atletas!T409="Outra Arma Dupla A",801,IF(Atletas!T409="Arma Maleável A",802,IF(Atletas!T409="Outra Arma Dupla B",803,IF(Atletas!T409="Arma Maleável B",804,IF(Atletas!T409="Outra Arma Dupla C",805,IF(Atletas!T409="Arma Maleável C",806,IF(Atletas!T409="Outra Arma Dupla D",807,IF(Atletas!T409="Arma Maleável D",808,IF(Atletas!T409="Outra Arma Dupla E",809,IF(Atletas!T409="Arma Maleável E",810,IF(Atletas!T409="Outra Arma Dupla F",811,IF(Atletas!T409="Arma Maleável F",812,IF(Atletas!T409="Shuangdao A",813,IF(Atletas!T409="Shuangdao B",814,IF(Atletas!T409="Shuangdao C",815,IF(Atletas!T409="Shuangdao D",816,IF(Atletas!T409="Shuangdao E",817,IF(Atletas!T409="Shuangdao F",818,"")))))))))))))))))))</f>
        <v/>
      </c>
      <c r="CC418" s="50" t="str">
        <f>IF(Atletas!U409="","",IF(Atletas!X409&lt;&gt;"",10000,0)+IF(Atletas!B409="Feminino",1000,IF(Atletas!B409="Masculino",2000,""))+IF(OR(Atletas!U409="Taijijian Yang A",Atletas!U409="Taijijian Yang Standard A"),901,IF(OR(Atletas!U409="Taijijian Chen A", Atletas!U409="Taijijian Chen Standard A"),902,IF(Atletas!U409="Taijijian Sun A",903,IF(Atletas!U409="Taijijian Wu A",904,IF(Atletas!U409="Taijijian Wu-Hao A",905,IF(OR(Atletas!U409="Taijijian 32 A",Atletas!U409="Taijijian 42 A"),906,IF(OR(Atletas!U409="Taijijian Yang B",Atletas!U409="Taijijian Yang Standard B"),907,IF(OR(Atletas!U409="Taijijian Chen B", Atletas!U409="Taijijian Chen Standard B"),908,IF(Atletas!U409="Taijijian Sun B",909,IF(Atletas!U409="Taijijian Wu B",910,IF(Atletas!U409="Taijijian Wu-Hao B",911,IF(OR(Atletas!U409="Taijijian 32 B",Atletas!U409="Taijijian 42 B"),912,IF(OR(Atletas!U409="Taijijian Yang C",Atletas!U409="Taijijian Yang Standard C"),913,IF(OR(Atletas!U409="Taijijian Chen C", Atletas!U409="Taijijian Chen Standard C"),914,IF(Atletas!U409="Taijijian Sun C",915,IF(Atletas!U409="Taijijian Wu C",916,IF(Atletas!U409="Taijijian Wu-Hao C",917,IF(OR(Atletas!U409="Taijijian 32 C",Atletas!U409="Taijijian 42 C"),918,IF(OR(Atletas!U409="Taijijian Yang D",Atletas!U409="Taijijian Yang Standard D"),919,IF(OR(Atletas!U409="Taijijian Chen D", Atletas!U409="Taijijian Chen Standard D"),920,IF(Atletas!U409="Taijijian Sun D",921,IF(Atletas!U409="Taijijian Wu D",922,IF(Atletas!U409="Taijijian Wu-Hao D",923,IF(OR(Atletas!U409="Taijijian 32 D",Atletas!U409="Taijijian 42 D"),924,IF(OR(Atletas!U409="Taijijian Yang E",Atletas!U409="Taijijian Yang Standard E"),925,IF(OR(Atletas!U409="Taijijian Chen E", Atletas!U409="Taijijian Chen Standard E"),926,IF(Atletas!U409="Taijijian Sun E",927,IF(Atletas!U409="Taijijian Wu E",928,IF(Atletas!U409="Taijijian Wu-Hao E",929,IF(OR(Atletas!U409="Taijijian 32 E",Atletas!U409="Taijijian 42 E"),930,IF(OR(Atletas!U409="Taijijian Yang F",Atletas!U409="Taijijian Yang Standard F"),931,IF(OR(Atletas!U409="Taijijian Chen F", Atletas!U409="Taijijian Chen Standard F"),932,IF(Atletas!U409="Taijijian Sun F",933,IF(Atletas!U409="Taijijian Wu F",934,IF(Atletas!U409="Taijijian Wu-Hao F",935,IF(OR(Atletas!U409="Taijijian 32 F",Atletas!U409="Taijijian 42 F"),936,"")))))))))))))))))))))))))))))))))))))</f>
        <v/>
      </c>
      <c r="CD418" s="50" t="str">
        <f>IF(Atletas!V409="","",IF(Atletas!X409&lt;&gt;"",10000,0)+IF(Atletas!B409="Feminino",1000,IF(Atletas!B409="Masculino",2000,""))+IF(Atletas!V409="Taijidao A",937,IF(Atletas!V409="TaijiShanzi A",938,IF(Atletas!V409="Taijiqiang A",939,IF(Atletas!V409="Bagua de Arma A",940,IF(Atletas!V409="Xingyi de Arma A",941,IF(Atletas!V409="Taijidao B",942,IF(Atletas!V409="TaijiShanzi B",943,IF(Atletas!V409="Taijiqiang B",944,IF(Atletas!V409="Bagua de Arma B",945,IF(Atletas!V409="Xingyi de Arma B",946,IF(Atletas!V409="Taijidao C",947,IF(Atletas!V409="TaijiShanzi C",948,IF(Atletas!V409="Taijiqiang C",949,IF(Atletas!V409="Bagua de Arma C",950,IF(Atletas!V409="Xingyi de Arma C",951,IF(Atletas!V409="Taijidao D",952,IF(Atletas!V409="TaijiShanzi D",953,IF(Atletas!V409="Taijiqiang D",954,IF(Atletas!V409="Bagua de Arma D",955,IF(Atletas!V409="Xingyi de Arma D",956,IF(Atletas!V409="Taijidao E",957,IF(Atletas!V409="TaijiShanzi E",958,IF(Atletas!V409="Taijiqiang E",959,IF(Atletas!V409="Bagua de Arma E",960,IF(Atletas!V409="Xingyi de Arma E",961,IF(Atletas!V409="Taijidao F",962,IF(Atletas!V409="TaijiShanzi F",963,IF(Atletas!V409="Taijiqiang F",964,IF(Atletas!V409="Bagua de Arma F",965,IF(Atletas!V409="Xingyi de Arma F",966,"")))))))))))))))))))))))))))))))</f>
        <v/>
      </c>
      <c r="CM418" s="50" t="str">
        <f xml:space="preserve"> IF(Atletas!W409="","",IF(Atletas!W409="Duilian de Mãos BC - Equipe 1",1,IF(Atletas!W409="Duilian de Mãos BC - Equipe 2",2,IF(Atletas!W409="Duilian de Armas BC - Equipe 1",3,IF(Atletas!W409="Duilian de Armas BC - Equipe 2",4,IF(Atletas!W409="Duilian de Mãos DE - Equipe 1",5,IF(Atletas!W409="Duilian de Mãos DE - Equipe 2",6,IF(Atletas!W409="Duilian de Armas DE - Equipe 1",7,IF(Atletas!W409="Duilian de Armas DE - Equipe 2",8,IF(Atletas!W409="Duilian de Tuishou - Equipe 1",9,IF(Atletas!W409="Duilian de Tuishou - Equipe 2",10,IF(Atletas!W409="Grupo Externo ABC - Equipe 1",11,IF(Atletas!W409="Grupo Externo ABC - Equipe 2",12,IF(Atletas!W409="Grupo Interno ABC - Equipe 1",13,IF(Atletas!W409="Grupo Interno ABC - Equipe 2",14,IF(Atletas!W409="Grupo Externo DEF - Equipe 1",15,IF(Atletas!W409="Grupo Externo DEF - Equipe 2",16,IF(Atletas!W409="Grupo Interno DEF - Equipe 1",17,IF(Atletas!W409="Grupo Interno DEF - Equipe 2",18,"")))))))))))))))))))</f>
        <v/>
      </c>
    </row>
    <row r="419" spans="40:91">
      <c r="AN419" s="52" t="str">
        <f>IF(Atletas!D410="","",IF(Atletas!B410="Feminino",100,IF(Atletas!B410="Masculino",200,""))+(IF(Atletas!D410="Kids 30kg",1,IF(Atletas!D410="Kids 32kg",2, IF(Atletas!D410="Kids 34kg",3,IF(Atletas!D410="Kids 36kg",4,IF(Atletas!D410="Kids 39kg",5,IF(Atletas!D410="Kids 42kg",6,IF(Atletas!D410="Kids 45kg",7, IF(Atletas!D410="Infantil 39kg",8,IF(Atletas!D410="Infantil 42kg",9,IF(Atletas!D410="Infantil 45kg",10,IF(Atletas!D410="Infantil 48kg",11,IF(Atletas!D410="Infantil 52kg",12,IF(Atletas!D410="Infantil 56kg",13,IF(Atletas!D410="Infantil 60kg",14,IF(Atletas!D410="Juvenil 48kg",15,IF(Atletas!D410="Juvenil 52kg",16,IF(Atletas!D410="Juvenil 56kg",17,IF(Atletas!D410="Juvenil 60kg",18,IF(Atletas!D410="Juvenil 65kg",19,IF(Atletas!D410="Juvenil 70kg",20,IF(Atletas!D410="Juvenil 75kg",21,IF(Atletas!D410="Juvenil 80kg",22, IF(Atletas!D410="Juvenil 85kg",23,IF(Atletas!D410="Adulto 48kg",24,IF(Atletas!D410="Adulto 52kg",25,IF(Atletas!D410="Adulto 56kg",26,IF(Atletas!D410="Adulto 60kg",27,IF(Atletas!D410="Adulto 65kg",28,IF(Atletas!D410="Adulto 70kg",29,IF(Atletas!D410="Adulto 75kg",30,IF(Atletas!D410="Adulto 80kg",31,IF(Atletas!D410="Adulto 85kg",32,IF(Atletas!D410="Adulto 90kg",33,IF(Atletas!D410="Adulto 100kg",34, IF(Atletas!D410="Adulto +100kg",35,"")))))))))))))))))))))))))))))))))))))</f>
        <v/>
      </c>
      <c r="AS419" s="6" t="str">
        <f>IF(Atletas!E410="","",IF(Atletas!B410="Feminino",100,IF(Atletas!B410="Masculino",200,""))+(IF(Atletas!E410="Juvenil 44kg",1,IF(Atletas!E410="Juvenil 48kg",2,IF(Atletas!E410="Juvenil 52kg",3,IF(Atletas!E410="Juvenil 56kg",4,IF(Atletas!E410="Juvenil 60kg",5,IF(Atletas!E410="Juvenil 65kg",6,IF(Atletas!E410="Juvenil 70kg",7,IF(Atletas!E410="Juvenil 75kg",8,IF(Atletas!E410="Juvenil 82kg",9,IF(Atletas!E410="Juvenil 90kg",10,IF(Atletas!E410="Juvenil 100kg",11,IF(Atletas!E410="Adulto 48kg",12,IF(Atletas!E410="Adulto 52kg",13,IF(Atletas!E410="Adulto 56kg",14,IF(Atletas!E410="Adulto 60kg",15,IF(Atletas!E410="Adulto 65kg",16,IF(Atletas!E410="Adulto 70kg",17,IF(Atletas!E410="Adulto 75kg",18,IF(Atletas!E410="Adulto 82kg",19,IF(Atletas!E410="Adulto 90kg",20,IF(Atletas!E410="Adulto 100kg",21,IF(Atletas!E410="Adulto +100kg",22,""))))))))))))))))))))))))</f>
        <v/>
      </c>
      <c r="AX419" s="6" t="str">
        <f>IF(Atletas!F410="","",IF(Atletas!B410="Feminino",100,IF(Atletas!B410="Masculino",200,""))+(IF(Atletas!F410="Adulto 48kg",1,IF(Atletas!F410="Adulto 56kg",2,IF(Atletas!F410="Adulto 65kg",3,IF(Atletas!F410="Adulto 75kg",4,IF(Atletas!F410="Adulto +75kg",5,IF(Atletas!F410="Adulto 52kg",6,IF(Atletas!F410="Adulto 60kg",7,IF(Atletas!F410="Adulto 70kg",8,IF(Atletas!F410="Adulto 80kg",9,IF(Atletas!F410="Adulto 90kg",10,IF(Atletas!F410="Adulto +90kg",11,"")))))))))))))</f>
        <v/>
      </c>
      <c r="BC419" s="6" t="str">
        <f>IF(Atletas!G410="","",IF(Atletas!B410="Feminino",10,IF(Atletas!B410="Masculino",20,""))+(IF(Atletas!G410="Baduanjin A",1,IF(Atletas!G410="Baduanjin B",2))))</f>
        <v/>
      </c>
      <c r="BF419" s="52" t="str">
        <f>IF(Atletas!H410="","",IF(Atletas!B410="Feminino",100,IF(Atletas!B410="Masculino",200,""))+(IF(Atletas!H410="Changquan Mirim",1,IF(Atletas!H410="Nanquan Mirim",2,IF(Atletas!H410="Taijiquan Mirim",3,IF(Atletas!H410="Changquan Grupo C",4,IF(Atletas!H410="Nanquan Grupo C",5,IF(Atletas!H410="Taijiquan Grupo C",6,IF(Atletas!H410="Changquan Grupo B",7,IF(Atletas!H410="Nanquan Grupo B",8,IF(Atletas!H410="Taijiquan Grupo B",9,IF(Atletas!H410="Changquan Grupo A",10,IF(Atletas!H410="Nanquan Grupo A",11,IF(Atletas!H410="Taijiquan Grupo A",12,IF(Atletas!H410="Changquan Opcional",13,IF(Atletas!H410="Nanquan Opcional",14,IF(Atletas!H410="Taijiquan Opcional",15,IF(Atletas!H410="Changquan Adulto",16,IF(Atletas!H410="Nanquan Adulto",17,IF(Atletas!H410="Taijiquan Adulto",18,""))))))))))))))))))))</f>
        <v/>
      </c>
      <c r="BG419" s="52" t="str">
        <f>IF(Atletas!I410="","",IF(Atletas!B410="Feminino",100,IF(Atletas!B410="Masculino",200,""))+(IF(Atletas!I410="Daoshu Mirim",19,IF(Atletas!I410="Jianshu Mirim",20,IF(Atletas!I410="Nandao Mirim",21,IF(Atletas!I410="Taijijian Mirim",22,IF(Atletas!I410="Daoshu Grupo C",23,IF(Atletas!I410="Jianshu Grupo C",24,IF(Atletas!I410="Nandao Grupo C",25,IF(Atletas!I410="Taijijian Grupo C",26,IF(Atletas!I410="Daoshu Grupo B",27,IF(Atletas!I410="Jianshu Grupo B",28,IF(Atletas!I410="Nandao Grupo B",29,IF(Atletas!I410="Taijijian Grupo B",30,IF(Atletas!I410="Daoshu Grupo A",31,IF(Atletas!I410="Jianshu Grupo A",32,IF(Atletas!I410="Nandao Grupo A",33,IF(Atletas!I410="Taijijian Grupo A",34,IF(Atletas!I410="Daoshu Opcional",35,IF(Atletas!I410="Jianshu Opcional",36,IF(Atletas!I410="Nandao Opcional",37,IF(Atletas!I410="Taijijian Opcional",38,IF(Atletas!I410="Daoshu Adulto",39,IF(Atletas!I410="Jianshu Adulto",40,IF(Atletas!I410="Nandao Adulto",41,IF(Atletas!I410="Taijijian Adulto",42,""))))))))))))))))))))))))))</f>
        <v/>
      </c>
      <c r="BH419" s="52" t="str">
        <f>IF(Atletas!J410="","",IF(Atletas!B410="Feminino",100,IF(Atletas!B410="Masculino",200,""))+(IF(Atletas!J410="Gunshu Mirim",43,IF(Atletas!J410="Qiangshu Mirim",44,IF(Atletas!J410="Nangun Mirim",45,IF(Atletas!J410="Gunshu Grupo C",46,IF(Atletas!J410="Qiangshu Grupo C",47,IF(Atletas!J410="Nangun Grupo C",48,IF(Atletas!J410="Gunshu Grupo B",49,IF(Atletas!J410="Qiangshu Grupo B",50,IF(Atletas!J410="Nangun Grupo B",51,IF(Atletas!J410="Gunshu Grupo A",52,IF(Atletas!J410="Qiangshu Grupo A",53,IF(Atletas!J410="Nangun Grupo A",54,IF(Atletas!J410="Gunshu Opcional",55,IF(Atletas!J410="Qiangshu Opcional",56,IF(Atletas!J410="Nangun Opcional",57,IF(Atletas!J410="Gunshu Adulto",58,IF(Atletas!J410="Qiangshu Adulto",59,IF(Atletas!J410="Nangun Adulto",60,IF(Atletas!J410="Taijishan Grupo B",61,IF(Atletas!J410="Taijishan Grupo A",62,""))))))))))))))))))))))</f>
        <v/>
      </c>
      <c r="BM419" s="50" t="str">
        <f>IF(Atletas!K410="","",IF(Atletas!B410="Feminino",100,IF(Atletas!B410="Masculino",200,""))+(IF(Atletas!K410="Equipe 1 Grupo B",1,IF(Atletas!K410="Equipe 2 Grupo B",2,IF(Atletas!K410="Equipe 1 Grupo A",3,IF(Atletas!K410="Equipe 2 Grupo A",4,IF(Atletas!K410="Equipe 1 Adulto",5,IF(Atletas!K410="Equipe 2 Adulto",6,""))))))))</f>
        <v/>
      </c>
      <c r="BR419" s="50" t="str">
        <f>IF(Atletas!L410="","",IF(Atletas!X410&lt;&gt;"",10000,0)+(IF(Atletas!B410="Feminino",1000,IF(Atletas!B410="Masculino",2000,""))+IF(Atletas!L410="Choylayfut A",1,IF(Atletas!L410="Hunggar A",2,IF(Atletas!L410="Wuzuquan A",3,IF(Atletas!L410="Wingchun A",4,IF(Atletas!L410="Outra Mão de Sul A",5,IF(Atletas!L410="Choylayfut B",6,IF(Atletas!L410="Hunggar B",7,IF(Atletas!L410="Wuzuquan B",8,IF(Atletas!L410="Wingchun B",9,IF(Atletas!L410="Outra Mão de Sul B",10,IF(Atletas!L410="Choylayfut C",11,IF(Atletas!L410="Hunggar C",12,IF(Atletas!L410="Wuzuquan C",13,IF(Atletas!L410="Wingchun C",14,IF(Atletas!L410="Outra Mão de Sul C",15,IF(Atletas!L410="Choylayfut D",16,IF(Atletas!L410="Hunggar D",17,IF(Atletas!L410="Wuzuquan D",18,IF(Atletas!L410="Wingchun D",19,IF(Atletas!L410="Outra Mão de Sul D",20,IF(Atletas!L410="Choylayfut E",21,IF(Atletas!L410="Hunggar E",22,IF(Atletas!L410="Wuzuquan E",23,IF(Atletas!L410="Wingchun E",24,IF(Atletas!L410="Outra Mão de Sul E",25,IF(Atletas!L410="Choylayfut F",26,IF(Atletas!L410="Hunggar F",27,IF(Atletas!L410="Wuzuquan F",28,IF(Atletas!L410="Wingchun F",29,IF(Atletas!L410="Outra Mão de Sul F",30,IF(Atletas!L410="Dishuquan A",31,IF(Atletas!L410="Dishuquan B",32,IF(Atletas!L410="Dishuquan C",33,IF(Atletas!L410="Dishuquan D",34,IF(Atletas!L410="Dishuquan E",35,IF(Atletas!L410="Dishuquan F",36,""))))))))))))))))))))))))))))))))))))))</f>
        <v/>
      </c>
      <c r="BS419" s="50" t="str">
        <f>IF(Atletas!M410="","",IF(Atletas!X410&lt;&gt;"",10000,0)+(IF(Atletas!B410="Feminino",1000,IF(Atletas!B410="Masculino",2000,""))+(IF(Atletas!M410="Chaquan A",101,IF(Atletas!M410="Emeiquan A",102,IF(Atletas!M410="Fanziquan A",103,IF(Atletas!M410="Huaquan A",104,IF(Atletas!M410="Hongquan A",105,IF(Atletas!M410="Paoquan A",106,IF(Atletas!M410="Piguaquan A",107,IF(Atletas!M410="Shaolinquan A",108,IF(Atletas!M410="Tanglangquan A",109,IF(Atletas!M410="Yingzhaoquan A",110,IF(Atletas!M410="Tongbeiquan A",111,IF(Atletas!M410="Wudangquan A",112,IF(Atletas!M410="Outros Estilos A",113,IF(Atletas!M410="Chaquan B",114,IF(Atletas!M410="Emeiquan B",115,IF(Atletas!M410="Fanziquan B",116,IF(Atletas!M410="Huaquan B",117,IF(Atletas!M410="Hongquan B",118,IF(Atletas!M410="Paoquan B",119,IF(Atletas!M410="Piguaquan B",120,IF(Atletas!M410="Shaolinquan B",121,IF(Atletas!M410="Tanglangquan B",122,IF(Atletas!M410="Yingzhaoquan B",123,IF(Atletas!M410="Tongbeiquan B",124,IF(Atletas!M410="Wudangquan B",125,IF(Atletas!M410="Outros Estilos B",126,IF(Atletas!M410="Chaquan C",127,IF(Atletas!M410="Emeiquan C",128,IF(Atletas!M410="Fanziquan C",129,IF(Atletas!M410="Huaquan C",130,IF(Atletas!M410="Hongquan C",131,IF(Atletas!M410="Paoquan C",132,IF(Atletas!M410="Piguaquan C",133,IF(Atletas!M410="Shaolinquan C",134,IF(Atletas!M410="Tanglangquan C",135,IF(Atletas!M410="Yingzhaoquan C",136,IF(Atletas!M410="Tongbeiquan C",137,IF(Atletas!M410="Wudangquan C",138,IF(Atletas!M410="Outros Estilos C",139,0))))))))))))))))))))))))))))))))))))))))))</f>
        <v/>
      </c>
      <c r="BT419" s="50" t="str">
        <f>IF(Atletas!M410="","",IF(Atletas!X410&lt;&gt;"",10000,0)+(IF(Atletas!B410="Feminino",1000,IF(Atletas!B410="Masculino",2000,""))+(IF(Atletas!M410="Chaquan D",140,IF(Atletas!M410="Emeiquan D",141,IF(Atletas!M410="Fanziquan D",142,IF(Atletas!M410="Huaquan D",143,IF(Atletas!M410="Hongquan D",144,IF(Atletas!M410="Paoquan D",145,IF(Atletas!M410="Piguaquan D",146,IF(Atletas!M410="Shaolinquan D",147,IF(Atletas!M410="Tanglangquan D",148,IF(Atletas!M410="Yingzhaoquan D",149,IF(Atletas!M410="Tongbeiquan D",150,IF(Atletas!M410="Wudangquan D",151,IF(Atletas!M410="Outros Estilos D",152,IF(Atletas!M410="Chaquan E",153,IF(Atletas!M410="Emeiquan E",154,IF(Atletas!M410="Fanziquan E",155,IF(Atletas!M410="Huaquan E",156,IF(Atletas!M410="Hongquan E",157,IF(Atletas!M410="Paoquan E",158,IF(Atletas!M410="Piguaquan E",159,IF(Atletas!M410="Shaolinquan E",160,IF(Atletas!M410="Tanglangquan E",161,IF(Atletas!M410="Yingzhaoquan E",162,IF(Atletas!M410="Tongbeiquan E",163,IF(Atletas!M410="Wudangquan E",164,IF(Atletas!M410="Outros Estilos E",165,IF(Atletas!M410="Chaquan F",166,IF(Atletas!M410="Emeiquan F",167,IF(Atletas!M410="Fanziquan F",168,IF(Atletas!M410="Huaquan F",169,IF(Atletas!M410="Hongquan F",170,IF(Atletas!M410="Paoquan F",171,IF(Atletas!M410="Piguaquan F",172,IF(Atletas!M410="Shaolinquan F",173,IF(Atletas!M410="Tanglangquan F",174,IF(Atletas!M410="Yingzhaoquan F",175,IF(Atletas!M410="Tongbeiquan F",176,IF(Atletas!M410="Wudangquan F",177,IF(Atletas!M410="Outros Estilos F",178,0))))))))))))))))))))))))))))))))))))))))))</f>
        <v/>
      </c>
      <c r="BU419" s="50" t="str">
        <f>IF(Atletas!N410="","",IF(Atletas!X410&lt;&gt;"",10000,0)+(IF(Atletas!B410="Feminino",1000,IF(Atletas!B410="Masculino",2000,""))+(IF(Atletas!N410="Ditangquan A",201,IF(Atletas!N410="Houquan A",202,IF(Atletas!N410="Zuiquan A",203,IF(Atletas!N410="Ditangquan B",204,IF(Atletas!N410="Houquan B",205,IF(Atletas!N410="Zuiquan B",206,IF(Atletas!N410="Ditangquan C",207,IF(Atletas!N410="Houquan C",208,IF(Atletas!N410="Zuiquan C",209,IF(Atletas!N410="Ditangquan D",210,IF(Atletas!N410="Houquan D",211,IF(Atletas!N410="Zuiquan D",212,IF(Atletas!N410="Ditangquan E",213,IF(Atletas!N410="Houquan E",214,IF(Atletas!N410="Zuiquan E",215,IF(Atletas!N410="Ditangquan F",216,IF(Atletas!N410="Houquan F",217,IF(Atletas!N410="Zuiquan F",218,"")))))))))))))))))))))</f>
        <v/>
      </c>
      <c r="BV419" s="50" t="str">
        <f>IF(Atletas!O410="","",IF(Atletas!X410&lt;&gt;"",10000,0)+IF(Atletas!B410="Feminino",1000,IF(Atletas!B410="Masculino",2000,""))+IF(Atletas!O410="Yang A",301,IF(Atletas!O410="Chen A",302,IF(Atletas!O410="Sun A",303,IF(Atletas!O410="Wu A",304,IF(Atletas!O410="Wu-Hao A",305,IF(Atletas!O410="Outro Taijiquan A",306,IF(Atletas!O410="Yang B",307,IF(Atletas!O410="Chen B",308,IF(Atletas!O410="Sun B",309,IF(Atletas!O410="Wu B",310,IF(Atletas!O410="Wu-Hao B",311,IF(Atletas!O410="Outro Taijiquan B",312,IF(Atletas!O410="Yang C",313,IF(Atletas!O410="Chen C",314,IF(Atletas!O410="Sun C",315,IF(Atletas!O410="Wu C",316,IF(Atletas!O410="Wu-Hao C",317,IF(Atletas!O410="Outro Taijiquan C",318,IF(Atletas!O410="Yang D",319,IF(Atletas!O410="Chen D",320,IF(Atletas!O410="Sun D",321,IF(Atletas!O410="Wu D",322,IF(Atletas!O410="Wu-Hao D",323,IF(Atletas!O410="Outro Taijiquan D",324,IF(Atletas!O410="Yang E",325,IF(Atletas!O410="Chen E",326,IF(Atletas!O410="Sun E",327,IF(Atletas!O410="Wu E",328,IF(Atletas!O410="Wu-Hao E",329,IF(Atletas!O410="Outro Taijiquan E",330,IF(Atletas!O410="Yang F",331,IF(Atletas!O410="Chen F",332,IF(Atletas!O410="Sun F",333,IF(Atletas!O410="Wu F",334,IF(Atletas!O410="Wu-Hao F",335,IF(Atletas!O410="Outro Taijiquan F",336,"")))))))))))))))))))))))))))))))))))))</f>
        <v/>
      </c>
      <c r="BW419" s="50" t="str">
        <f>IF(Atletas!P410="","",IF(Atletas!X410&lt;&gt;"",10000,0)+IF(Atletas!B410="Feminino",1000,IF(Atletas!B410="Masculino",2000,""))+IF(OR(Atletas!P410="Yang 26 A",Atletas!P410="Yang 40 A"),401,IF(OR(Atletas!P410="Chen 25 A",Atletas!P410="Chen 36 A",Atletas!P410="Chen 56 A"),402,IF(Atletas!P410="Sun 73 A",403,IF(Atletas!P410="Wu 45 A",404,IF(Atletas!P410="Wu-Hao 46 A",405,IF(OR(Atletas!P410="Taijiquan 16 A",Atletas!P410="Taijiquan 24 A",Atletas!P410="Taijiquan 32 A",Atletas!P410="Taijiquan 42 A"),406,IF(OR(Atletas!P410="Yang 26 B",Atletas!P410="Yang 40 B"),407,IF(OR(Atletas!P410="Chen 25 B",Atletas!P410="Chen 36 B",Atletas!P410="Chen 56 B"),408,IF(Atletas!P410="Sun 73 B",409,IF(Atletas!P410="Wu 45 B",410,IF(Atletas!P410="Wu-Hao 46 B",411,IF(OR(Atletas!P410="Taijiquan 16 B",Atletas!P410="Taijiquan 24 B",Atletas!P410="Taijiquan 32 B",Atletas!P410="Taijiquan 42 B"),412,IF(OR(Atletas!P410="Yang 26 C",Atletas!P410="Yang 40 C"),413,IF(OR(Atletas!P410="Chen 25 C",Atletas!P410="Chen 36 C",Atletas!P410="Chen 56 C"),414,IF(Atletas!P410="Sun 73 C",415,IF(Atletas!P410="Wu 45 C",416,IF(Atletas!P410="Wu-Hao 46 C",417,IF(OR(Atletas!P410="Taijiquan 16 C",Atletas!P410="Taijiquan 24 C",Atletas!P410="Taijiquan 32 C",Atletas!P410="Taijiquan 42 C"),418,0)))))))))))))))))))</f>
        <v/>
      </c>
      <c r="BX419" s="50" t="str">
        <f>IF(Atletas!P410="","",IF(Atletas!X410&lt;&gt;"",10000,0)+IF(Atletas!B410="Feminino",1000,IF(Atletas!B410="Masculino",2000,""))+IF(OR(Atletas!P410="Yang 26 D",Atletas!P410="Yang 40 D"),419,IF(OR(Atletas!P410="Chen 25 D",Atletas!P410="Chen 36 D",Atletas!P410="Chen 56 D"),420,IF(Atletas!P410="Sun 73 D",421,IF(Atletas!P410="Wu 45 D",422,IF(Atletas!P410="Wu-Hao 46 D",423,IF(OR(Atletas!P410="Taijiquan 16 D",Atletas!P410="Taijiquan 24 D",Atletas!P410="Taijiquan 32 D",Atletas!P410="Taijiquan 42 D"),424,IF(OR(Atletas!P410="Yang 26 E",Atletas!P410="Yang 40 E"),425,IF(OR(Atletas!P410="Chen 25 E",Atletas!P410="Chen 36 E",Atletas!P410="Chen 56 E"),426,IF(Atletas!P410="Sun 73 E",427,IF(Atletas!P410="Wu 45 E",428,IF(Atletas!P410="Wu-Hao 46 E",429,IF(OR(Atletas!P410="Taijiquan 16 E",Atletas!P410="Taijiquan 24 E",Atletas!P410="Taijiquan 32 E",Atletas!P410="Taijiquan 42 E"),430,IF(OR(Atletas!P410="Yang 26 F",Atletas!P410="Yang 40 F"),431,IF(OR(Atletas!P410="Chen 25 F",Atletas!P410="Chen 36 F",Atletas!P410="Chen 56 F"),432,IF(Atletas!P410="Sun 73 F",433,IF(Atletas!P410="Wu 45 F",434,IF(Atletas!P410="Wu-Hao 46 F",435,IF(OR(Atletas!P410="Taijiquan 16 F",Atletas!P410="Taijiquan 24 F",Atletas!P410="Taijiquan 32 F",Atletas!P410="Taijiquan 42 F"),436,0)))))))))))))))))))</f>
        <v/>
      </c>
      <c r="BY419" s="50" t="str">
        <f>IF(Atletas!Q410="","",IF(Atletas!X410&lt;&gt;"",10000,0)+IF(Atletas!B410="Feminino",1000,IF(Atletas!B410="Masculino",2000,""))+IF(Atletas!Q410="Xingyiquan A",501,IF(Atletas!Q410="Baguazhang A",502,IF(Atletas!Q410="Outro Estilo Interno A",503,IF(Atletas!Q410="Xingyiquan B",504,IF(Atletas!Q410="Baguazhang B",505,IF(Atletas!Q410="Outro Estilo Interno B",506,IF(Atletas!Q410="Xingyiquan C",507,IF(Atletas!Q410="Baguazhang C",508,IF(Atletas!Q410="Outro Estilo Interno C",509,IF(Atletas!Q410="Xingyiquan D",510,IF(Atletas!Q410="Baguazhang D",511,IF(Atletas!Q410="Outro Estilo Interno D",512,IF(Atletas!Q410="Xingyiquan E",513,IF(Atletas!Q410="Baguazhang E",514,IF(Atletas!Q410="Outro Estilo Interno E",515,IF(Atletas!Q410="Xingyiquan F",516,IF(Atletas!Q410="Baguazhang F",517,IF(Atletas!Q410="Outro Estilo Interno F",518, "")))))))))))))))))))</f>
        <v/>
      </c>
      <c r="BZ419" s="50" t="str">
        <f>IF(Atletas!R410="","",IF(Atletas!X410&lt;&gt;"",10000,0)+IF(Atletas!B410="Feminino",1000,IF(Atletas!B410="Masculino",2000,""))+IF(Atletas!R410="Dao A",601,IF(Atletas!R410="Jian A",602,IF(Atletas!R410="Bishou A",603,IF(Atletas!R410="Shanzi A",604,IF(Atletas!R410="Outra Arma Curta A",605,IF(Atletas!R410="Dao B",606,IF(Atletas!R410="Jian B",607,IF(Atletas!R410="Bishou B",608,IF(Atletas!R410="Shanzi B",609,IF(Atletas!R410="Outra Arma Curta B",610,IF(Atletas!R410="Dao C",611,IF(Atletas!R410="Jian C",612,IF(Atletas!R410="Bishou C",613,IF(Atletas!R410="Shanzi C",614,IF(Atletas!R410="Outra Arma Curta C",615,IF(Atletas!R410="Dao D",616,IF(Atletas!R410="Jian D",617,IF(Atletas!R410="Bishou D",618,IF(Atletas!R410="Shanzi D",619,IF(Atletas!R410="Outra Arma Curta D",620,IF(Atletas!R410="Dao E",621,IF(Atletas!R410="Jian E",622,IF(Atletas!R410="Bishou E",623,IF(Atletas!R410="Shanzi E",624,IF(Atletas!R410="Outra Arma Curta E",625,IF(Atletas!R410="Dao F",626,IF(Atletas!R410="Jian F",627,IF(Atletas!R410="Bishou F",628,IF(Atletas!R410="Shanzi F",629,IF(Atletas!R410="Outra Arma Curta F",630, "")))))))))))))))))))))))))))))))</f>
        <v/>
      </c>
      <c r="CA419" s="50" t="str">
        <f>IF(Atletas!S410="","",IF(Atletas!X410&lt;&gt;"",10000,0)+IF(Atletas!B410="Feminino",1000,IF(Atletas!B410="Masculino",2000,""))+IF(Atletas!S410="Gun A",701,IF(Atletas!S410="Qiang A",702,IF(Atletas!S410="Pudao / Guandao A",703,IF(Atletas!S410="Outra Arma Longa A",704,IF(Atletas!S410="Gun B",705,IF(Atletas!S410="Qiang B",706,IF(Atletas!S410="Pudao / Guandao B",707,IF(Atletas!S410="Outra Arma Longa B",708,IF(Atletas!S410="Gun C",709,IF(Atletas!S410="Qiang C",710,IF(Atletas!S410="Pudao / Guandao C",711,IF(Atletas!S410="Outra Arma Longa C",712,IF(Atletas!S410="Gun D",713,IF(Atletas!S410="Qiang D",714,IF(Atletas!S410="Pudao / Guandao D",715,IF(Atletas!S410="Outra Arma Longa D",716,IF(Atletas!S410="Gun E",717,IF(Atletas!S410="Qiang E",718,IF(Atletas!S410="Pudao / Guandao E",719,IF(Atletas!S410="Outra Arma Longa E",720,IF(Atletas!S410="Gun F",721,IF(Atletas!S410="Qiang F",722,IF(Atletas!S410="Pudao / Guandao F",723,IF(Atletas!S410="Outra Arma Longa F",724,"")))))))))))))))))))))))))</f>
        <v/>
      </c>
      <c r="CB419" s="50" t="str">
        <f>IF(Atletas!T410="","",IF(Atletas!X410&lt;&gt;"",10000,0)+IF(Atletas!B410="Feminino",1000,IF(Atletas!B410="Masculino",2000,""))+IF(Atletas!T410="Outra Arma Dupla A",801,IF(Atletas!T410="Arma Maleável A",802,IF(Atletas!T410="Outra Arma Dupla B",803,IF(Atletas!T410="Arma Maleável B",804,IF(Atletas!T410="Outra Arma Dupla C",805,IF(Atletas!T410="Arma Maleável C",806,IF(Atletas!T410="Outra Arma Dupla D",807,IF(Atletas!T410="Arma Maleável D",808,IF(Atletas!T410="Outra Arma Dupla E",809,IF(Atletas!T410="Arma Maleável E",810,IF(Atletas!T410="Outra Arma Dupla F",811,IF(Atletas!T410="Arma Maleável F",812,IF(Atletas!T410="Shuangdao A",813,IF(Atletas!T410="Shuangdao B",814,IF(Atletas!T410="Shuangdao C",815,IF(Atletas!T410="Shuangdao D",816,IF(Atletas!T410="Shuangdao E",817,IF(Atletas!T410="Shuangdao F",818,"")))))))))))))))))))</f>
        <v/>
      </c>
      <c r="CC419" s="50" t="str">
        <f>IF(Atletas!U410="","",IF(Atletas!X410&lt;&gt;"",10000,0)+IF(Atletas!B410="Feminino",1000,IF(Atletas!B410="Masculino",2000,""))+IF(OR(Atletas!U410="Taijijian Yang A",Atletas!U410="Taijijian Yang Standard A"),901,IF(OR(Atletas!U410="Taijijian Chen A", Atletas!U410="Taijijian Chen Standard A"),902,IF(Atletas!U410="Taijijian Sun A",903,IF(Atletas!U410="Taijijian Wu A",904,IF(Atletas!U410="Taijijian Wu-Hao A",905,IF(OR(Atletas!U410="Taijijian 32 A",Atletas!U410="Taijijian 42 A"),906,IF(OR(Atletas!U410="Taijijian Yang B",Atletas!U410="Taijijian Yang Standard B"),907,IF(OR(Atletas!U410="Taijijian Chen B", Atletas!U410="Taijijian Chen Standard B"),908,IF(Atletas!U410="Taijijian Sun B",909,IF(Atletas!U410="Taijijian Wu B",910,IF(Atletas!U410="Taijijian Wu-Hao B",911,IF(OR(Atletas!U410="Taijijian 32 B",Atletas!U410="Taijijian 42 B"),912,IF(OR(Atletas!U410="Taijijian Yang C",Atletas!U410="Taijijian Yang Standard C"),913,IF(OR(Atletas!U410="Taijijian Chen C", Atletas!U410="Taijijian Chen Standard C"),914,IF(Atletas!U410="Taijijian Sun C",915,IF(Atletas!U410="Taijijian Wu C",916,IF(Atletas!U410="Taijijian Wu-Hao C",917,IF(OR(Atletas!U410="Taijijian 32 C",Atletas!U410="Taijijian 42 C"),918,IF(OR(Atletas!U410="Taijijian Yang D",Atletas!U410="Taijijian Yang Standard D"),919,IF(OR(Atletas!U410="Taijijian Chen D", Atletas!U410="Taijijian Chen Standard D"),920,IF(Atletas!U410="Taijijian Sun D",921,IF(Atletas!U410="Taijijian Wu D",922,IF(Atletas!U410="Taijijian Wu-Hao D",923,IF(OR(Atletas!U410="Taijijian 32 D",Atletas!U410="Taijijian 42 D"),924,IF(OR(Atletas!U410="Taijijian Yang E",Atletas!U410="Taijijian Yang Standard E"),925,IF(OR(Atletas!U410="Taijijian Chen E", Atletas!U410="Taijijian Chen Standard E"),926,IF(Atletas!U410="Taijijian Sun E",927,IF(Atletas!U410="Taijijian Wu E",928,IF(Atletas!U410="Taijijian Wu-Hao E",929,IF(OR(Atletas!U410="Taijijian 32 E",Atletas!U410="Taijijian 42 E"),930,IF(OR(Atletas!U410="Taijijian Yang F",Atletas!U410="Taijijian Yang Standard F"),931,IF(OR(Atletas!U410="Taijijian Chen F", Atletas!U410="Taijijian Chen Standard F"),932,IF(Atletas!U410="Taijijian Sun F",933,IF(Atletas!U410="Taijijian Wu F",934,IF(Atletas!U410="Taijijian Wu-Hao F",935,IF(OR(Atletas!U410="Taijijian 32 F",Atletas!U410="Taijijian 42 F"),936,"")))))))))))))))))))))))))))))))))))))</f>
        <v/>
      </c>
      <c r="CD419" s="50" t="str">
        <f>IF(Atletas!V410="","",IF(Atletas!X410&lt;&gt;"",10000,0)+IF(Atletas!B410="Feminino",1000,IF(Atletas!B410="Masculino",2000,""))+IF(Atletas!V410="Taijidao A",937,IF(Atletas!V410="TaijiShanzi A",938,IF(Atletas!V410="Taijiqiang A",939,IF(Atletas!V410="Bagua de Arma A",940,IF(Atletas!V410="Xingyi de Arma A",941,IF(Atletas!V410="Taijidao B",942,IF(Atletas!V410="TaijiShanzi B",943,IF(Atletas!V410="Taijiqiang B",944,IF(Atletas!V410="Bagua de Arma B",945,IF(Atletas!V410="Xingyi de Arma B",946,IF(Atletas!V410="Taijidao C",947,IF(Atletas!V410="TaijiShanzi C",948,IF(Atletas!V410="Taijiqiang C",949,IF(Atletas!V410="Bagua de Arma C",950,IF(Atletas!V410="Xingyi de Arma C",951,IF(Atletas!V410="Taijidao D",952,IF(Atletas!V410="TaijiShanzi D",953,IF(Atletas!V410="Taijiqiang D",954,IF(Atletas!V410="Bagua de Arma D",955,IF(Atletas!V410="Xingyi de Arma D",956,IF(Atletas!V410="Taijidao E",957,IF(Atletas!V410="TaijiShanzi E",958,IF(Atletas!V410="Taijiqiang E",959,IF(Atletas!V410="Bagua de Arma E",960,IF(Atletas!V410="Xingyi de Arma E",961,IF(Atletas!V410="Taijidao F",962,IF(Atletas!V410="TaijiShanzi F",963,IF(Atletas!V410="Taijiqiang F",964,IF(Atletas!V410="Bagua de Arma F",965,IF(Atletas!V410="Xingyi de Arma F",966,"")))))))))))))))))))))))))))))))</f>
        <v/>
      </c>
      <c r="CM419" s="50" t="str">
        <f xml:space="preserve"> IF(Atletas!W410="","",IF(Atletas!W410="Duilian de Mãos BC - Equipe 1",1,IF(Atletas!W410="Duilian de Mãos BC - Equipe 2",2,IF(Atletas!W410="Duilian de Armas BC - Equipe 1",3,IF(Atletas!W410="Duilian de Armas BC - Equipe 2",4,IF(Atletas!W410="Duilian de Mãos DE - Equipe 1",5,IF(Atletas!W410="Duilian de Mãos DE - Equipe 2",6,IF(Atletas!W410="Duilian de Armas DE - Equipe 1",7,IF(Atletas!W410="Duilian de Armas DE - Equipe 2",8,IF(Atletas!W410="Duilian de Tuishou - Equipe 1",9,IF(Atletas!W410="Duilian de Tuishou - Equipe 2",10,IF(Atletas!W410="Grupo Externo ABC - Equipe 1",11,IF(Atletas!W410="Grupo Externo ABC - Equipe 2",12,IF(Atletas!W410="Grupo Interno ABC - Equipe 1",13,IF(Atletas!W410="Grupo Interno ABC - Equipe 2",14,IF(Atletas!W410="Grupo Externo DEF - Equipe 1",15,IF(Atletas!W410="Grupo Externo DEF - Equipe 2",16,IF(Atletas!W410="Grupo Interno DEF - Equipe 1",17,IF(Atletas!W410="Grupo Interno DEF - Equipe 2",18,"")))))))))))))))))))</f>
        <v/>
      </c>
    </row>
    <row r="420" spans="40:91">
      <c r="AN420" s="52" t="str">
        <f>IF(Atletas!D411="","",IF(Atletas!B411="Feminino",100,IF(Atletas!B411="Masculino",200,""))+(IF(Atletas!D411="Kids 30kg",1,IF(Atletas!D411="Kids 32kg",2, IF(Atletas!D411="Kids 34kg",3,IF(Atletas!D411="Kids 36kg",4,IF(Atletas!D411="Kids 39kg",5,IF(Atletas!D411="Kids 42kg",6,IF(Atletas!D411="Kids 45kg",7, IF(Atletas!D411="Infantil 39kg",8,IF(Atletas!D411="Infantil 42kg",9,IF(Atletas!D411="Infantil 45kg",10,IF(Atletas!D411="Infantil 48kg",11,IF(Atletas!D411="Infantil 52kg",12,IF(Atletas!D411="Infantil 56kg",13,IF(Atletas!D411="Infantil 60kg",14,IF(Atletas!D411="Juvenil 48kg",15,IF(Atletas!D411="Juvenil 52kg",16,IF(Atletas!D411="Juvenil 56kg",17,IF(Atletas!D411="Juvenil 60kg",18,IF(Atletas!D411="Juvenil 65kg",19,IF(Atletas!D411="Juvenil 70kg",20,IF(Atletas!D411="Juvenil 75kg",21,IF(Atletas!D411="Juvenil 80kg",22, IF(Atletas!D411="Juvenil 85kg",23,IF(Atletas!D411="Adulto 48kg",24,IF(Atletas!D411="Adulto 52kg",25,IF(Atletas!D411="Adulto 56kg",26,IF(Atletas!D411="Adulto 60kg",27,IF(Atletas!D411="Adulto 65kg",28,IF(Atletas!D411="Adulto 70kg",29,IF(Atletas!D411="Adulto 75kg",30,IF(Atletas!D411="Adulto 80kg",31,IF(Atletas!D411="Adulto 85kg",32,IF(Atletas!D411="Adulto 90kg",33,IF(Atletas!D411="Adulto 100kg",34, IF(Atletas!D411="Adulto +100kg",35,"")))))))))))))))))))))))))))))))))))))</f>
        <v/>
      </c>
      <c r="AS420" s="6" t="str">
        <f>IF(Atletas!E411="","",IF(Atletas!B411="Feminino",100,IF(Atletas!B411="Masculino",200,""))+(IF(Atletas!E411="Juvenil 44kg",1,IF(Atletas!E411="Juvenil 48kg",2,IF(Atletas!E411="Juvenil 52kg",3,IF(Atletas!E411="Juvenil 56kg",4,IF(Atletas!E411="Juvenil 60kg",5,IF(Atletas!E411="Juvenil 65kg",6,IF(Atletas!E411="Juvenil 70kg",7,IF(Atletas!E411="Juvenil 75kg",8,IF(Atletas!E411="Juvenil 82kg",9,IF(Atletas!E411="Juvenil 90kg",10,IF(Atletas!E411="Juvenil 100kg",11,IF(Atletas!E411="Adulto 48kg",12,IF(Atletas!E411="Adulto 52kg",13,IF(Atletas!E411="Adulto 56kg",14,IF(Atletas!E411="Adulto 60kg",15,IF(Atletas!E411="Adulto 65kg",16,IF(Atletas!E411="Adulto 70kg",17,IF(Atletas!E411="Adulto 75kg",18,IF(Atletas!E411="Adulto 82kg",19,IF(Atletas!E411="Adulto 90kg",20,IF(Atletas!E411="Adulto 100kg",21,IF(Atletas!E411="Adulto +100kg",22,""))))))))))))))))))))))))</f>
        <v/>
      </c>
      <c r="AX420" s="6" t="str">
        <f>IF(Atletas!F411="","",IF(Atletas!B411="Feminino",100,IF(Atletas!B411="Masculino",200,""))+(IF(Atletas!F411="Adulto 48kg",1,IF(Atletas!F411="Adulto 56kg",2,IF(Atletas!F411="Adulto 65kg",3,IF(Atletas!F411="Adulto 75kg",4,IF(Atletas!F411="Adulto +75kg",5,IF(Atletas!F411="Adulto 52kg",6,IF(Atletas!F411="Adulto 60kg",7,IF(Atletas!F411="Adulto 70kg",8,IF(Atletas!F411="Adulto 80kg",9,IF(Atletas!F411="Adulto 90kg",10,IF(Atletas!F411="Adulto +90kg",11,"")))))))))))))</f>
        <v/>
      </c>
      <c r="BC420" s="6" t="str">
        <f>IF(Atletas!G411="","",IF(Atletas!B411="Feminino",10,IF(Atletas!B411="Masculino",20,""))+(IF(Atletas!G411="Baduanjin A",1,IF(Atletas!G411="Baduanjin B",2))))</f>
        <v/>
      </c>
      <c r="BF420" s="52" t="str">
        <f>IF(Atletas!H411="","",IF(Atletas!B411="Feminino",100,IF(Atletas!B411="Masculino",200,""))+(IF(Atletas!H411="Changquan Mirim",1,IF(Atletas!H411="Nanquan Mirim",2,IF(Atletas!H411="Taijiquan Mirim",3,IF(Atletas!H411="Changquan Grupo C",4,IF(Atletas!H411="Nanquan Grupo C",5,IF(Atletas!H411="Taijiquan Grupo C",6,IF(Atletas!H411="Changquan Grupo B",7,IF(Atletas!H411="Nanquan Grupo B",8,IF(Atletas!H411="Taijiquan Grupo B",9,IF(Atletas!H411="Changquan Grupo A",10,IF(Atletas!H411="Nanquan Grupo A",11,IF(Atletas!H411="Taijiquan Grupo A",12,IF(Atletas!H411="Changquan Opcional",13,IF(Atletas!H411="Nanquan Opcional",14,IF(Atletas!H411="Taijiquan Opcional",15,IF(Atletas!H411="Changquan Adulto",16,IF(Atletas!H411="Nanquan Adulto",17,IF(Atletas!H411="Taijiquan Adulto",18,""))))))))))))))))))))</f>
        <v/>
      </c>
      <c r="BG420" s="52" t="str">
        <f>IF(Atletas!I411="","",IF(Atletas!B411="Feminino",100,IF(Atletas!B411="Masculino",200,""))+(IF(Atletas!I411="Daoshu Mirim",19,IF(Atletas!I411="Jianshu Mirim",20,IF(Atletas!I411="Nandao Mirim",21,IF(Atletas!I411="Taijijian Mirim",22,IF(Atletas!I411="Daoshu Grupo C",23,IF(Atletas!I411="Jianshu Grupo C",24,IF(Atletas!I411="Nandao Grupo C",25,IF(Atletas!I411="Taijijian Grupo C",26,IF(Atletas!I411="Daoshu Grupo B",27,IF(Atletas!I411="Jianshu Grupo B",28,IF(Atletas!I411="Nandao Grupo B",29,IF(Atletas!I411="Taijijian Grupo B",30,IF(Atletas!I411="Daoshu Grupo A",31,IF(Atletas!I411="Jianshu Grupo A",32,IF(Atletas!I411="Nandao Grupo A",33,IF(Atletas!I411="Taijijian Grupo A",34,IF(Atletas!I411="Daoshu Opcional",35,IF(Atletas!I411="Jianshu Opcional",36,IF(Atletas!I411="Nandao Opcional",37,IF(Atletas!I411="Taijijian Opcional",38,IF(Atletas!I411="Daoshu Adulto",39,IF(Atletas!I411="Jianshu Adulto",40,IF(Atletas!I411="Nandao Adulto",41,IF(Atletas!I411="Taijijian Adulto",42,""))))))))))))))))))))))))))</f>
        <v/>
      </c>
      <c r="BH420" s="52" t="str">
        <f>IF(Atletas!J411="","",IF(Atletas!B411="Feminino",100,IF(Atletas!B411="Masculino",200,""))+(IF(Atletas!J411="Gunshu Mirim",43,IF(Atletas!J411="Qiangshu Mirim",44,IF(Atletas!J411="Nangun Mirim",45,IF(Atletas!J411="Gunshu Grupo C",46,IF(Atletas!J411="Qiangshu Grupo C",47,IF(Atletas!J411="Nangun Grupo C",48,IF(Atletas!J411="Gunshu Grupo B",49,IF(Atletas!J411="Qiangshu Grupo B",50,IF(Atletas!J411="Nangun Grupo B",51,IF(Atletas!J411="Gunshu Grupo A",52,IF(Atletas!J411="Qiangshu Grupo A",53,IF(Atletas!J411="Nangun Grupo A",54,IF(Atletas!J411="Gunshu Opcional",55,IF(Atletas!J411="Qiangshu Opcional",56,IF(Atletas!J411="Nangun Opcional",57,IF(Atletas!J411="Gunshu Adulto",58,IF(Atletas!J411="Qiangshu Adulto",59,IF(Atletas!J411="Nangun Adulto",60,IF(Atletas!J411="Taijishan Grupo B",61,IF(Atletas!J411="Taijishan Grupo A",62,""))))))))))))))))))))))</f>
        <v/>
      </c>
      <c r="BM420" s="50" t="str">
        <f>IF(Atletas!K411="","",IF(Atletas!B411="Feminino",100,IF(Atletas!B411="Masculino",200,""))+(IF(Atletas!K411="Equipe 1 Grupo B",1,IF(Atletas!K411="Equipe 2 Grupo B",2,IF(Atletas!K411="Equipe 1 Grupo A",3,IF(Atletas!K411="Equipe 2 Grupo A",4,IF(Atletas!K411="Equipe 1 Adulto",5,IF(Atletas!K411="Equipe 2 Adulto",6,""))))))))</f>
        <v/>
      </c>
      <c r="BR420" s="50" t="str">
        <f>IF(Atletas!L411="","",IF(Atletas!X411&lt;&gt;"",10000,0)+(IF(Atletas!B411="Feminino",1000,IF(Atletas!B411="Masculino",2000,""))+IF(Atletas!L411="Choylayfut A",1,IF(Atletas!L411="Hunggar A",2,IF(Atletas!L411="Wuzuquan A",3,IF(Atletas!L411="Wingchun A",4,IF(Atletas!L411="Outra Mão de Sul A",5,IF(Atletas!L411="Choylayfut B",6,IF(Atletas!L411="Hunggar B",7,IF(Atletas!L411="Wuzuquan B",8,IF(Atletas!L411="Wingchun B",9,IF(Atletas!L411="Outra Mão de Sul B",10,IF(Atletas!L411="Choylayfut C",11,IF(Atletas!L411="Hunggar C",12,IF(Atletas!L411="Wuzuquan C",13,IF(Atletas!L411="Wingchun C",14,IF(Atletas!L411="Outra Mão de Sul C",15,IF(Atletas!L411="Choylayfut D",16,IF(Atletas!L411="Hunggar D",17,IF(Atletas!L411="Wuzuquan D",18,IF(Atletas!L411="Wingchun D",19,IF(Atletas!L411="Outra Mão de Sul D",20,IF(Atletas!L411="Choylayfut E",21,IF(Atletas!L411="Hunggar E",22,IF(Atletas!L411="Wuzuquan E",23,IF(Atletas!L411="Wingchun E",24,IF(Atletas!L411="Outra Mão de Sul E",25,IF(Atletas!L411="Choylayfut F",26,IF(Atletas!L411="Hunggar F",27,IF(Atletas!L411="Wuzuquan F",28,IF(Atletas!L411="Wingchun F",29,IF(Atletas!L411="Outra Mão de Sul F",30,IF(Atletas!L411="Dishuquan A",31,IF(Atletas!L411="Dishuquan B",32,IF(Atletas!L411="Dishuquan C",33,IF(Atletas!L411="Dishuquan D",34,IF(Atletas!L411="Dishuquan E",35,IF(Atletas!L411="Dishuquan F",36,""))))))))))))))))))))))))))))))))))))))</f>
        <v/>
      </c>
      <c r="BS420" s="50" t="str">
        <f>IF(Atletas!M411="","",IF(Atletas!X411&lt;&gt;"",10000,0)+(IF(Atletas!B411="Feminino",1000,IF(Atletas!B411="Masculino",2000,""))+(IF(Atletas!M411="Chaquan A",101,IF(Atletas!M411="Emeiquan A",102,IF(Atletas!M411="Fanziquan A",103,IF(Atletas!M411="Huaquan A",104,IF(Atletas!M411="Hongquan A",105,IF(Atletas!M411="Paoquan A",106,IF(Atletas!M411="Piguaquan A",107,IF(Atletas!M411="Shaolinquan A",108,IF(Atletas!M411="Tanglangquan A",109,IF(Atletas!M411="Yingzhaoquan A",110,IF(Atletas!M411="Tongbeiquan A",111,IF(Atletas!M411="Wudangquan A",112,IF(Atletas!M411="Outros Estilos A",113,IF(Atletas!M411="Chaquan B",114,IF(Atletas!M411="Emeiquan B",115,IF(Atletas!M411="Fanziquan B",116,IF(Atletas!M411="Huaquan B",117,IF(Atletas!M411="Hongquan B",118,IF(Atletas!M411="Paoquan B",119,IF(Atletas!M411="Piguaquan B",120,IF(Atletas!M411="Shaolinquan B",121,IF(Atletas!M411="Tanglangquan B",122,IF(Atletas!M411="Yingzhaoquan B",123,IF(Atletas!M411="Tongbeiquan B",124,IF(Atletas!M411="Wudangquan B",125,IF(Atletas!M411="Outros Estilos B",126,IF(Atletas!M411="Chaquan C",127,IF(Atletas!M411="Emeiquan C",128,IF(Atletas!M411="Fanziquan C",129,IF(Atletas!M411="Huaquan C",130,IF(Atletas!M411="Hongquan C",131,IF(Atletas!M411="Paoquan C",132,IF(Atletas!M411="Piguaquan C",133,IF(Atletas!M411="Shaolinquan C",134,IF(Atletas!M411="Tanglangquan C",135,IF(Atletas!M411="Yingzhaoquan C",136,IF(Atletas!M411="Tongbeiquan C",137,IF(Atletas!M411="Wudangquan C",138,IF(Atletas!M411="Outros Estilos C",139,0))))))))))))))))))))))))))))))))))))))))))</f>
        <v/>
      </c>
      <c r="BT420" s="50" t="str">
        <f>IF(Atletas!M411="","",IF(Atletas!X411&lt;&gt;"",10000,0)+(IF(Atletas!B411="Feminino",1000,IF(Atletas!B411="Masculino",2000,""))+(IF(Atletas!M411="Chaquan D",140,IF(Atletas!M411="Emeiquan D",141,IF(Atletas!M411="Fanziquan D",142,IF(Atletas!M411="Huaquan D",143,IF(Atletas!M411="Hongquan D",144,IF(Atletas!M411="Paoquan D",145,IF(Atletas!M411="Piguaquan D",146,IF(Atletas!M411="Shaolinquan D",147,IF(Atletas!M411="Tanglangquan D",148,IF(Atletas!M411="Yingzhaoquan D",149,IF(Atletas!M411="Tongbeiquan D",150,IF(Atletas!M411="Wudangquan D",151,IF(Atletas!M411="Outros Estilos D",152,IF(Atletas!M411="Chaquan E",153,IF(Atletas!M411="Emeiquan E",154,IF(Atletas!M411="Fanziquan E",155,IF(Atletas!M411="Huaquan E",156,IF(Atletas!M411="Hongquan E",157,IF(Atletas!M411="Paoquan E",158,IF(Atletas!M411="Piguaquan E",159,IF(Atletas!M411="Shaolinquan E",160,IF(Atletas!M411="Tanglangquan E",161,IF(Atletas!M411="Yingzhaoquan E",162,IF(Atletas!M411="Tongbeiquan E",163,IF(Atletas!M411="Wudangquan E",164,IF(Atletas!M411="Outros Estilos E",165,IF(Atletas!M411="Chaquan F",166,IF(Atletas!M411="Emeiquan F",167,IF(Atletas!M411="Fanziquan F",168,IF(Atletas!M411="Huaquan F",169,IF(Atletas!M411="Hongquan F",170,IF(Atletas!M411="Paoquan F",171,IF(Atletas!M411="Piguaquan F",172,IF(Atletas!M411="Shaolinquan F",173,IF(Atletas!M411="Tanglangquan F",174,IF(Atletas!M411="Yingzhaoquan F",175,IF(Atletas!M411="Tongbeiquan F",176,IF(Atletas!M411="Wudangquan F",177,IF(Atletas!M411="Outros Estilos F",178,0))))))))))))))))))))))))))))))))))))))))))</f>
        <v/>
      </c>
      <c r="BU420" s="50" t="str">
        <f>IF(Atletas!N411="","",IF(Atletas!X411&lt;&gt;"",10000,0)+(IF(Atletas!B411="Feminino",1000,IF(Atletas!B411="Masculino",2000,""))+(IF(Atletas!N411="Ditangquan A",201,IF(Atletas!N411="Houquan A",202,IF(Atletas!N411="Zuiquan A",203,IF(Atletas!N411="Ditangquan B",204,IF(Atletas!N411="Houquan B",205,IF(Atletas!N411="Zuiquan B",206,IF(Atletas!N411="Ditangquan C",207,IF(Atletas!N411="Houquan C",208,IF(Atletas!N411="Zuiquan C",209,IF(Atletas!N411="Ditangquan D",210,IF(Atletas!N411="Houquan D",211,IF(Atletas!N411="Zuiquan D",212,IF(Atletas!N411="Ditangquan E",213,IF(Atletas!N411="Houquan E",214,IF(Atletas!N411="Zuiquan E",215,IF(Atletas!N411="Ditangquan F",216,IF(Atletas!N411="Houquan F",217,IF(Atletas!N411="Zuiquan F",218,"")))))))))))))))))))))</f>
        <v/>
      </c>
      <c r="BV420" s="50" t="str">
        <f>IF(Atletas!O411="","",IF(Atletas!X411&lt;&gt;"",10000,0)+IF(Atletas!B411="Feminino",1000,IF(Atletas!B411="Masculino",2000,""))+IF(Atletas!O411="Yang A",301,IF(Atletas!O411="Chen A",302,IF(Atletas!O411="Sun A",303,IF(Atletas!O411="Wu A",304,IF(Atletas!O411="Wu-Hao A",305,IF(Atletas!O411="Outro Taijiquan A",306,IF(Atletas!O411="Yang B",307,IF(Atletas!O411="Chen B",308,IF(Atletas!O411="Sun B",309,IF(Atletas!O411="Wu B",310,IF(Atletas!O411="Wu-Hao B",311,IF(Atletas!O411="Outro Taijiquan B",312,IF(Atletas!O411="Yang C",313,IF(Atletas!O411="Chen C",314,IF(Atletas!O411="Sun C",315,IF(Atletas!O411="Wu C",316,IF(Atletas!O411="Wu-Hao C",317,IF(Atletas!O411="Outro Taijiquan C",318,IF(Atletas!O411="Yang D",319,IF(Atletas!O411="Chen D",320,IF(Atletas!O411="Sun D",321,IF(Atletas!O411="Wu D",322,IF(Atletas!O411="Wu-Hao D",323,IF(Atletas!O411="Outro Taijiquan D",324,IF(Atletas!O411="Yang E",325,IF(Atletas!O411="Chen E",326,IF(Atletas!O411="Sun E",327,IF(Atletas!O411="Wu E",328,IF(Atletas!O411="Wu-Hao E",329,IF(Atletas!O411="Outro Taijiquan E",330,IF(Atletas!O411="Yang F",331,IF(Atletas!O411="Chen F",332,IF(Atletas!O411="Sun F",333,IF(Atletas!O411="Wu F",334,IF(Atletas!O411="Wu-Hao F",335,IF(Atletas!O411="Outro Taijiquan F",336,"")))))))))))))))))))))))))))))))))))))</f>
        <v/>
      </c>
      <c r="BW420" s="50" t="str">
        <f>IF(Atletas!P411="","",IF(Atletas!X411&lt;&gt;"",10000,0)+IF(Atletas!B411="Feminino",1000,IF(Atletas!B411="Masculino",2000,""))+IF(OR(Atletas!P411="Yang 26 A",Atletas!P411="Yang 40 A"),401,IF(OR(Atletas!P411="Chen 25 A",Atletas!P411="Chen 36 A",Atletas!P411="Chen 56 A"),402,IF(Atletas!P411="Sun 73 A",403,IF(Atletas!P411="Wu 45 A",404,IF(Atletas!P411="Wu-Hao 46 A",405,IF(OR(Atletas!P411="Taijiquan 16 A",Atletas!P411="Taijiquan 24 A",Atletas!P411="Taijiquan 32 A",Atletas!P411="Taijiquan 42 A"),406,IF(OR(Atletas!P411="Yang 26 B",Atletas!P411="Yang 40 B"),407,IF(OR(Atletas!P411="Chen 25 B",Atletas!P411="Chen 36 B",Atletas!P411="Chen 56 B"),408,IF(Atletas!P411="Sun 73 B",409,IF(Atletas!P411="Wu 45 B",410,IF(Atletas!P411="Wu-Hao 46 B",411,IF(OR(Atletas!P411="Taijiquan 16 B",Atletas!P411="Taijiquan 24 B",Atletas!P411="Taijiquan 32 B",Atletas!P411="Taijiquan 42 B"),412,IF(OR(Atletas!P411="Yang 26 C",Atletas!P411="Yang 40 C"),413,IF(OR(Atletas!P411="Chen 25 C",Atletas!P411="Chen 36 C",Atletas!P411="Chen 56 C"),414,IF(Atletas!P411="Sun 73 C",415,IF(Atletas!P411="Wu 45 C",416,IF(Atletas!P411="Wu-Hao 46 C",417,IF(OR(Atletas!P411="Taijiquan 16 C",Atletas!P411="Taijiquan 24 C",Atletas!P411="Taijiquan 32 C",Atletas!P411="Taijiquan 42 C"),418,0)))))))))))))))))))</f>
        <v/>
      </c>
      <c r="BX420" s="50" t="str">
        <f>IF(Atletas!P411="","",IF(Atletas!X411&lt;&gt;"",10000,0)+IF(Atletas!B411="Feminino",1000,IF(Atletas!B411="Masculino",2000,""))+IF(OR(Atletas!P411="Yang 26 D",Atletas!P411="Yang 40 D"),419,IF(OR(Atletas!P411="Chen 25 D",Atletas!P411="Chen 36 D",Atletas!P411="Chen 56 D"),420,IF(Atletas!P411="Sun 73 D",421,IF(Atletas!P411="Wu 45 D",422,IF(Atletas!P411="Wu-Hao 46 D",423,IF(OR(Atletas!P411="Taijiquan 16 D",Atletas!P411="Taijiquan 24 D",Atletas!P411="Taijiquan 32 D",Atletas!P411="Taijiquan 42 D"),424,IF(OR(Atletas!P411="Yang 26 E",Atletas!P411="Yang 40 E"),425,IF(OR(Atletas!P411="Chen 25 E",Atletas!P411="Chen 36 E",Atletas!P411="Chen 56 E"),426,IF(Atletas!P411="Sun 73 E",427,IF(Atletas!P411="Wu 45 E",428,IF(Atletas!P411="Wu-Hao 46 E",429,IF(OR(Atletas!P411="Taijiquan 16 E",Atletas!P411="Taijiquan 24 E",Atletas!P411="Taijiquan 32 E",Atletas!P411="Taijiquan 42 E"),430,IF(OR(Atletas!P411="Yang 26 F",Atletas!P411="Yang 40 F"),431,IF(OR(Atletas!P411="Chen 25 F",Atletas!P411="Chen 36 F",Atletas!P411="Chen 56 F"),432,IF(Atletas!P411="Sun 73 F",433,IF(Atletas!P411="Wu 45 F",434,IF(Atletas!P411="Wu-Hao 46 F",435,IF(OR(Atletas!P411="Taijiquan 16 F",Atletas!P411="Taijiquan 24 F",Atletas!P411="Taijiquan 32 F",Atletas!P411="Taijiquan 42 F"),436,0)))))))))))))))))))</f>
        <v/>
      </c>
      <c r="BY420" s="50" t="str">
        <f>IF(Atletas!Q411="","",IF(Atletas!X411&lt;&gt;"",10000,0)+IF(Atletas!B411="Feminino",1000,IF(Atletas!B411="Masculino",2000,""))+IF(Atletas!Q411="Xingyiquan A",501,IF(Atletas!Q411="Baguazhang A",502,IF(Atletas!Q411="Outro Estilo Interno A",503,IF(Atletas!Q411="Xingyiquan B",504,IF(Atletas!Q411="Baguazhang B",505,IF(Atletas!Q411="Outro Estilo Interno B",506,IF(Atletas!Q411="Xingyiquan C",507,IF(Atletas!Q411="Baguazhang C",508,IF(Atletas!Q411="Outro Estilo Interno C",509,IF(Atletas!Q411="Xingyiquan D",510,IF(Atletas!Q411="Baguazhang D",511,IF(Atletas!Q411="Outro Estilo Interno D",512,IF(Atletas!Q411="Xingyiquan E",513,IF(Atletas!Q411="Baguazhang E",514,IF(Atletas!Q411="Outro Estilo Interno E",515,IF(Atletas!Q411="Xingyiquan F",516,IF(Atletas!Q411="Baguazhang F",517,IF(Atletas!Q411="Outro Estilo Interno F",518, "")))))))))))))))))))</f>
        <v/>
      </c>
      <c r="BZ420" s="50" t="str">
        <f>IF(Atletas!R411="","",IF(Atletas!X411&lt;&gt;"",10000,0)+IF(Atletas!B411="Feminino",1000,IF(Atletas!B411="Masculino",2000,""))+IF(Atletas!R411="Dao A",601,IF(Atletas!R411="Jian A",602,IF(Atletas!R411="Bishou A",603,IF(Atletas!R411="Shanzi A",604,IF(Atletas!R411="Outra Arma Curta A",605,IF(Atletas!R411="Dao B",606,IF(Atletas!R411="Jian B",607,IF(Atletas!R411="Bishou B",608,IF(Atletas!R411="Shanzi B",609,IF(Atletas!R411="Outra Arma Curta B",610,IF(Atletas!R411="Dao C",611,IF(Atletas!R411="Jian C",612,IF(Atletas!R411="Bishou C",613,IF(Atletas!R411="Shanzi C",614,IF(Atletas!R411="Outra Arma Curta C",615,IF(Atletas!R411="Dao D",616,IF(Atletas!R411="Jian D",617,IF(Atletas!R411="Bishou D",618,IF(Atletas!R411="Shanzi D",619,IF(Atletas!R411="Outra Arma Curta D",620,IF(Atletas!R411="Dao E",621,IF(Atletas!R411="Jian E",622,IF(Atletas!R411="Bishou E",623,IF(Atletas!R411="Shanzi E",624,IF(Atletas!R411="Outra Arma Curta E",625,IF(Atletas!R411="Dao F",626,IF(Atletas!R411="Jian F",627,IF(Atletas!R411="Bishou F",628,IF(Atletas!R411="Shanzi F",629,IF(Atletas!R411="Outra Arma Curta F",630, "")))))))))))))))))))))))))))))))</f>
        <v/>
      </c>
      <c r="CA420" s="50" t="str">
        <f>IF(Atletas!S411="","",IF(Atletas!X411&lt;&gt;"",10000,0)+IF(Atletas!B411="Feminino",1000,IF(Atletas!B411="Masculino",2000,""))+IF(Atletas!S411="Gun A",701,IF(Atletas!S411="Qiang A",702,IF(Atletas!S411="Pudao / Guandao A",703,IF(Atletas!S411="Outra Arma Longa A",704,IF(Atletas!S411="Gun B",705,IF(Atletas!S411="Qiang B",706,IF(Atletas!S411="Pudao / Guandao B",707,IF(Atletas!S411="Outra Arma Longa B",708,IF(Atletas!S411="Gun C",709,IF(Atletas!S411="Qiang C",710,IF(Atletas!S411="Pudao / Guandao C",711,IF(Atletas!S411="Outra Arma Longa C",712,IF(Atletas!S411="Gun D",713,IF(Atletas!S411="Qiang D",714,IF(Atletas!S411="Pudao / Guandao D",715,IF(Atletas!S411="Outra Arma Longa D",716,IF(Atletas!S411="Gun E",717,IF(Atletas!S411="Qiang E",718,IF(Atletas!S411="Pudao / Guandao E",719,IF(Atletas!S411="Outra Arma Longa E",720,IF(Atletas!S411="Gun F",721,IF(Atletas!S411="Qiang F",722,IF(Atletas!S411="Pudao / Guandao F",723,IF(Atletas!S411="Outra Arma Longa F",724,"")))))))))))))))))))))))))</f>
        <v/>
      </c>
      <c r="CB420" s="50" t="str">
        <f>IF(Atletas!T411="","",IF(Atletas!X411&lt;&gt;"",10000,0)+IF(Atletas!B411="Feminino",1000,IF(Atletas!B411="Masculino",2000,""))+IF(Atletas!T411="Outra Arma Dupla A",801,IF(Atletas!T411="Arma Maleável A",802,IF(Atletas!T411="Outra Arma Dupla B",803,IF(Atletas!T411="Arma Maleável B",804,IF(Atletas!T411="Outra Arma Dupla C",805,IF(Atletas!T411="Arma Maleável C",806,IF(Atletas!T411="Outra Arma Dupla D",807,IF(Atletas!T411="Arma Maleável D",808,IF(Atletas!T411="Outra Arma Dupla E",809,IF(Atletas!T411="Arma Maleável E",810,IF(Atletas!T411="Outra Arma Dupla F",811,IF(Atletas!T411="Arma Maleável F",812,IF(Atletas!T411="Shuangdao A",813,IF(Atletas!T411="Shuangdao B",814,IF(Atletas!T411="Shuangdao C",815,IF(Atletas!T411="Shuangdao D",816,IF(Atletas!T411="Shuangdao E",817,IF(Atletas!T411="Shuangdao F",818,"")))))))))))))))))))</f>
        <v/>
      </c>
      <c r="CC420" s="50" t="str">
        <f>IF(Atletas!U411="","",IF(Atletas!X411&lt;&gt;"",10000,0)+IF(Atletas!B411="Feminino",1000,IF(Atletas!B411="Masculino",2000,""))+IF(OR(Atletas!U411="Taijijian Yang A",Atletas!U411="Taijijian Yang Standard A"),901,IF(OR(Atletas!U411="Taijijian Chen A", Atletas!U411="Taijijian Chen Standard A"),902,IF(Atletas!U411="Taijijian Sun A",903,IF(Atletas!U411="Taijijian Wu A",904,IF(Atletas!U411="Taijijian Wu-Hao A",905,IF(OR(Atletas!U411="Taijijian 32 A",Atletas!U411="Taijijian 42 A"),906,IF(OR(Atletas!U411="Taijijian Yang B",Atletas!U411="Taijijian Yang Standard B"),907,IF(OR(Atletas!U411="Taijijian Chen B", Atletas!U411="Taijijian Chen Standard B"),908,IF(Atletas!U411="Taijijian Sun B",909,IF(Atletas!U411="Taijijian Wu B",910,IF(Atletas!U411="Taijijian Wu-Hao B",911,IF(OR(Atletas!U411="Taijijian 32 B",Atletas!U411="Taijijian 42 B"),912,IF(OR(Atletas!U411="Taijijian Yang C",Atletas!U411="Taijijian Yang Standard C"),913,IF(OR(Atletas!U411="Taijijian Chen C", Atletas!U411="Taijijian Chen Standard C"),914,IF(Atletas!U411="Taijijian Sun C",915,IF(Atletas!U411="Taijijian Wu C",916,IF(Atletas!U411="Taijijian Wu-Hao C",917,IF(OR(Atletas!U411="Taijijian 32 C",Atletas!U411="Taijijian 42 C"),918,IF(OR(Atletas!U411="Taijijian Yang D",Atletas!U411="Taijijian Yang Standard D"),919,IF(OR(Atletas!U411="Taijijian Chen D", Atletas!U411="Taijijian Chen Standard D"),920,IF(Atletas!U411="Taijijian Sun D",921,IF(Atletas!U411="Taijijian Wu D",922,IF(Atletas!U411="Taijijian Wu-Hao D",923,IF(OR(Atletas!U411="Taijijian 32 D",Atletas!U411="Taijijian 42 D"),924,IF(OR(Atletas!U411="Taijijian Yang E",Atletas!U411="Taijijian Yang Standard E"),925,IF(OR(Atletas!U411="Taijijian Chen E", Atletas!U411="Taijijian Chen Standard E"),926,IF(Atletas!U411="Taijijian Sun E",927,IF(Atletas!U411="Taijijian Wu E",928,IF(Atletas!U411="Taijijian Wu-Hao E",929,IF(OR(Atletas!U411="Taijijian 32 E",Atletas!U411="Taijijian 42 E"),930,IF(OR(Atletas!U411="Taijijian Yang F",Atletas!U411="Taijijian Yang Standard F"),931,IF(OR(Atletas!U411="Taijijian Chen F", Atletas!U411="Taijijian Chen Standard F"),932,IF(Atletas!U411="Taijijian Sun F",933,IF(Atletas!U411="Taijijian Wu F",934,IF(Atletas!U411="Taijijian Wu-Hao F",935,IF(OR(Atletas!U411="Taijijian 32 F",Atletas!U411="Taijijian 42 F"),936,"")))))))))))))))))))))))))))))))))))))</f>
        <v/>
      </c>
      <c r="CD420" s="50" t="str">
        <f>IF(Atletas!V411="","",IF(Atletas!X411&lt;&gt;"",10000,0)+IF(Atletas!B411="Feminino",1000,IF(Atletas!B411="Masculino",2000,""))+IF(Atletas!V411="Taijidao A",937,IF(Atletas!V411="TaijiShanzi A",938,IF(Atletas!V411="Taijiqiang A",939,IF(Atletas!V411="Bagua de Arma A",940,IF(Atletas!V411="Xingyi de Arma A",941,IF(Atletas!V411="Taijidao B",942,IF(Atletas!V411="TaijiShanzi B",943,IF(Atletas!V411="Taijiqiang B",944,IF(Atletas!V411="Bagua de Arma B",945,IF(Atletas!V411="Xingyi de Arma B",946,IF(Atletas!V411="Taijidao C",947,IF(Atletas!V411="TaijiShanzi C",948,IF(Atletas!V411="Taijiqiang C",949,IF(Atletas!V411="Bagua de Arma C",950,IF(Atletas!V411="Xingyi de Arma C",951,IF(Atletas!V411="Taijidao D",952,IF(Atletas!V411="TaijiShanzi D",953,IF(Atletas!V411="Taijiqiang D",954,IF(Atletas!V411="Bagua de Arma D",955,IF(Atletas!V411="Xingyi de Arma D",956,IF(Atletas!V411="Taijidao E",957,IF(Atletas!V411="TaijiShanzi E",958,IF(Atletas!V411="Taijiqiang E",959,IF(Atletas!V411="Bagua de Arma E",960,IF(Atletas!V411="Xingyi de Arma E",961,IF(Atletas!V411="Taijidao F",962,IF(Atletas!V411="TaijiShanzi F",963,IF(Atletas!V411="Taijiqiang F",964,IF(Atletas!V411="Bagua de Arma F",965,IF(Atletas!V411="Xingyi de Arma F",966,"")))))))))))))))))))))))))))))))</f>
        <v/>
      </c>
      <c r="CM420" s="50" t="str">
        <f xml:space="preserve"> IF(Atletas!W411="","",IF(Atletas!W411="Duilian de Mãos BC - Equipe 1",1,IF(Atletas!W411="Duilian de Mãos BC - Equipe 2",2,IF(Atletas!W411="Duilian de Armas BC - Equipe 1",3,IF(Atletas!W411="Duilian de Armas BC - Equipe 2",4,IF(Atletas!W411="Duilian de Mãos DE - Equipe 1",5,IF(Atletas!W411="Duilian de Mãos DE - Equipe 2",6,IF(Atletas!W411="Duilian de Armas DE - Equipe 1",7,IF(Atletas!W411="Duilian de Armas DE - Equipe 2",8,IF(Atletas!W411="Duilian de Tuishou - Equipe 1",9,IF(Atletas!W411="Duilian de Tuishou - Equipe 2",10,IF(Atletas!W411="Grupo Externo ABC - Equipe 1",11,IF(Atletas!W411="Grupo Externo ABC - Equipe 2",12,IF(Atletas!W411="Grupo Interno ABC - Equipe 1",13,IF(Atletas!W411="Grupo Interno ABC - Equipe 2",14,IF(Atletas!W411="Grupo Externo DEF - Equipe 1",15,IF(Atletas!W411="Grupo Externo DEF - Equipe 2",16,IF(Atletas!W411="Grupo Interno DEF - Equipe 1",17,IF(Atletas!W411="Grupo Interno DEF - Equipe 2",18,"")))))))))))))))))))</f>
        <v/>
      </c>
    </row>
    <row r="421" spans="40:91">
      <c r="AN421" s="52" t="str">
        <f>IF(Atletas!D412="","",IF(Atletas!B412="Feminino",100,IF(Atletas!B412="Masculino",200,""))+(IF(Atletas!D412="Kids 30kg",1,IF(Atletas!D412="Kids 32kg",2, IF(Atletas!D412="Kids 34kg",3,IF(Atletas!D412="Kids 36kg",4,IF(Atletas!D412="Kids 39kg",5,IF(Atletas!D412="Kids 42kg",6,IF(Atletas!D412="Kids 45kg",7, IF(Atletas!D412="Infantil 39kg",8,IF(Atletas!D412="Infantil 42kg",9,IF(Atletas!D412="Infantil 45kg",10,IF(Atletas!D412="Infantil 48kg",11,IF(Atletas!D412="Infantil 52kg",12,IF(Atletas!D412="Infantil 56kg",13,IF(Atletas!D412="Infantil 60kg",14,IF(Atletas!D412="Juvenil 48kg",15,IF(Atletas!D412="Juvenil 52kg",16,IF(Atletas!D412="Juvenil 56kg",17,IF(Atletas!D412="Juvenil 60kg",18,IF(Atletas!D412="Juvenil 65kg",19,IF(Atletas!D412="Juvenil 70kg",20,IF(Atletas!D412="Juvenil 75kg",21,IF(Atletas!D412="Juvenil 80kg",22, IF(Atletas!D412="Juvenil 85kg",23,IF(Atletas!D412="Adulto 48kg",24,IF(Atletas!D412="Adulto 52kg",25,IF(Atletas!D412="Adulto 56kg",26,IF(Atletas!D412="Adulto 60kg",27,IF(Atletas!D412="Adulto 65kg",28,IF(Atletas!D412="Adulto 70kg",29,IF(Atletas!D412="Adulto 75kg",30,IF(Atletas!D412="Adulto 80kg",31,IF(Atletas!D412="Adulto 85kg",32,IF(Atletas!D412="Adulto 90kg",33,IF(Atletas!D412="Adulto 100kg",34, IF(Atletas!D412="Adulto +100kg",35,"")))))))))))))))))))))))))))))))))))))</f>
        <v/>
      </c>
      <c r="AS421" s="6" t="str">
        <f>IF(Atletas!E412="","",IF(Atletas!B412="Feminino",100,IF(Atletas!B412="Masculino",200,""))+(IF(Atletas!E412="Juvenil 44kg",1,IF(Atletas!E412="Juvenil 48kg",2,IF(Atletas!E412="Juvenil 52kg",3,IF(Atletas!E412="Juvenil 56kg",4,IF(Atletas!E412="Juvenil 60kg",5,IF(Atletas!E412="Juvenil 65kg",6,IF(Atletas!E412="Juvenil 70kg",7,IF(Atletas!E412="Juvenil 75kg",8,IF(Atletas!E412="Juvenil 82kg",9,IF(Atletas!E412="Juvenil 90kg",10,IF(Atletas!E412="Juvenil 100kg",11,IF(Atletas!E412="Adulto 48kg",12,IF(Atletas!E412="Adulto 52kg",13,IF(Atletas!E412="Adulto 56kg",14,IF(Atletas!E412="Adulto 60kg",15,IF(Atletas!E412="Adulto 65kg",16,IF(Atletas!E412="Adulto 70kg",17,IF(Atletas!E412="Adulto 75kg",18,IF(Atletas!E412="Adulto 82kg",19,IF(Atletas!E412="Adulto 90kg",20,IF(Atletas!E412="Adulto 100kg",21,IF(Atletas!E412="Adulto +100kg",22,""))))))))))))))))))))))))</f>
        <v/>
      </c>
      <c r="AX421" s="6" t="str">
        <f>IF(Atletas!F412="","",IF(Atletas!B412="Feminino",100,IF(Atletas!B412="Masculino",200,""))+(IF(Atletas!F412="Adulto 48kg",1,IF(Atletas!F412="Adulto 56kg",2,IF(Atletas!F412="Adulto 65kg",3,IF(Atletas!F412="Adulto 75kg",4,IF(Atletas!F412="Adulto +75kg",5,IF(Atletas!F412="Adulto 52kg",6,IF(Atletas!F412="Adulto 60kg",7,IF(Atletas!F412="Adulto 70kg",8,IF(Atletas!F412="Adulto 80kg",9,IF(Atletas!F412="Adulto 90kg",10,IF(Atletas!F412="Adulto +90kg",11,"")))))))))))))</f>
        <v/>
      </c>
      <c r="BC421" s="6" t="str">
        <f>IF(Atletas!G412="","",IF(Atletas!B412="Feminino",10,IF(Atletas!B412="Masculino",20,""))+(IF(Atletas!G412="Baduanjin A",1,IF(Atletas!G412="Baduanjin B",2))))</f>
        <v/>
      </c>
      <c r="BF421" s="52" t="str">
        <f>IF(Atletas!H412="","",IF(Atletas!B412="Feminino",100,IF(Atletas!B412="Masculino",200,""))+(IF(Atletas!H412="Changquan Mirim",1,IF(Atletas!H412="Nanquan Mirim",2,IF(Atletas!H412="Taijiquan Mirim",3,IF(Atletas!H412="Changquan Grupo C",4,IF(Atletas!H412="Nanquan Grupo C",5,IF(Atletas!H412="Taijiquan Grupo C",6,IF(Atletas!H412="Changquan Grupo B",7,IF(Atletas!H412="Nanquan Grupo B",8,IF(Atletas!H412="Taijiquan Grupo B",9,IF(Atletas!H412="Changquan Grupo A",10,IF(Atletas!H412="Nanquan Grupo A",11,IF(Atletas!H412="Taijiquan Grupo A",12,IF(Atletas!H412="Changquan Opcional",13,IF(Atletas!H412="Nanquan Opcional",14,IF(Atletas!H412="Taijiquan Opcional",15,IF(Atletas!H412="Changquan Adulto",16,IF(Atletas!H412="Nanquan Adulto",17,IF(Atletas!H412="Taijiquan Adulto",18,""))))))))))))))))))))</f>
        <v/>
      </c>
      <c r="BG421" s="52" t="str">
        <f>IF(Atletas!I412="","",IF(Atletas!B412="Feminino",100,IF(Atletas!B412="Masculino",200,""))+(IF(Atletas!I412="Daoshu Mirim",19,IF(Atletas!I412="Jianshu Mirim",20,IF(Atletas!I412="Nandao Mirim",21,IF(Atletas!I412="Taijijian Mirim",22,IF(Atletas!I412="Daoshu Grupo C",23,IF(Atletas!I412="Jianshu Grupo C",24,IF(Atletas!I412="Nandao Grupo C",25,IF(Atletas!I412="Taijijian Grupo C",26,IF(Atletas!I412="Daoshu Grupo B",27,IF(Atletas!I412="Jianshu Grupo B",28,IF(Atletas!I412="Nandao Grupo B",29,IF(Atletas!I412="Taijijian Grupo B",30,IF(Atletas!I412="Daoshu Grupo A",31,IF(Atletas!I412="Jianshu Grupo A",32,IF(Atletas!I412="Nandao Grupo A",33,IF(Atletas!I412="Taijijian Grupo A",34,IF(Atletas!I412="Daoshu Opcional",35,IF(Atletas!I412="Jianshu Opcional",36,IF(Atletas!I412="Nandao Opcional",37,IF(Atletas!I412="Taijijian Opcional",38,IF(Atletas!I412="Daoshu Adulto",39,IF(Atletas!I412="Jianshu Adulto",40,IF(Atletas!I412="Nandao Adulto",41,IF(Atletas!I412="Taijijian Adulto",42,""))))))))))))))))))))))))))</f>
        <v/>
      </c>
      <c r="BH421" s="52" t="str">
        <f>IF(Atletas!J412="","",IF(Atletas!B412="Feminino",100,IF(Atletas!B412="Masculino",200,""))+(IF(Atletas!J412="Gunshu Mirim",43,IF(Atletas!J412="Qiangshu Mirim",44,IF(Atletas!J412="Nangun Mirim",45,IF(Atletas!J412="Gunshu Grupo C",46,IF(Atletas!J412="Qiangshu Grupo C",47,IF(Atletas!J412="Nangun Grupo C",48,IF(Atletas!J412="Gunshu Grupo B",49,IF(Atletas!J412="Qiangshu Grupo B",50,IF(Atletas!J412="Nangun Grupo B",51,IF(Atletas!J412="Gunshu Grupo A",52,IF(Atletas!J412="Qiangshu Grupo A",53,IF(Atletas!J412="Nangun Grupo A",54,IF(Atletas!J412="Gunshu Opcional",55,IF(Atletas!J412="Qiangshu Opcional",56,IF(Atletas!J412="Nangun Opcional",57,IF(Atletas!J412="Gunshu Adulto",58,IF(Atletas!J412="Qiangshu Adulto",59,IF(Atletas!J412="Nangun Adulto",60,IF(Atletas!J412="Taijishan Grupo B",61,IF(Atletas!J412="Taijishan Grupo A",62,""))))))))))))))))))))))</f>
        <v/>
      </c>
      <c r="BM421" s="50" t="str">
        <f>IF(Atletas!K412="","",IF(Atletas!B412="Feminino",100,IF(Atletas!B412="Masculino",200,""))+(IF(Atletas!K412="Equipe 1 Grupo B",1,IF(Atletas!K412="Equipe 2 Grupo B",2,IF(Atletas!K412="Equipe 1 Grupo A",3,IF(Atletas!K412="Equipe 2 Grupo A",4,IF(Atletas!K412="Equipe 1 Adulto",5,IF(Atletas!K412="Equipe 2 Adulto",6,""))))))))</f>
        <v/>
      </c>
      <c r="BR421" s="50" t="str">
        <f>IF(Atletas!L412="","",IF(Atletas!X412&lt;&gt;"",10000,0)+(IF(Atletas!B412="Feminino",1000,IF(Atletas!B412="Masculino",2000,""))+IF(Atletas!L412="Choylayfut A",1,IF(Atletas!L412="Hunggar A",2,IF(Atletas!L412="Wuzuquan A",3,IF(Atletas!L412="Wingchun A",4,IF(Atletas!L412="Outra Mão de Sul A",5,IF(Atletas!L412="Choylayfut B",6,IF(Atletas!L412="Hunggar B",7,IF(Atletas!L412="Wuzuquan B",8,IF(Atletas!L412="Wingchun B",9,IF(Atletas!L412="Outra Mão de Sul B",10,IF(Atletas!L412="Choylayfut C",11,IF(Atletas!L412="Hunggar C",12,IF(Atletas!L412="Wuzuquan C",13,IF(Atletas!L412="Wingchun C",14,IF(Atletas!L412="Outra Mão de Sul C",15,IF(Atletas!L412="Choylayfut D",16,IF(Atletas!L412="Hunggar D",17,IF(Atletas!L412="Wuzuquan D",18,IF(Atletas!L412="Wingchun D",19,IF(Atletas!L412="Outra Mão de Sul D",20,IF(Atletas!L412="Choylayfut E",21,IF(Atletas!L412="Hunggar E",22,IF(Atletas!L412="Wuzuquan E",23,IF(Atletas!L412="Wingchun E",24,IF(Atletas!L412="Outra Mão de Sul E",25,IF(Atletas!L412="Choylayfut F",26,IF(Atletas!L412="Hunggar F",27,IF(Atletas!L412="Wuzuquan F",28,IF(Atletas!L412="Wingchun F",29,IF(Atletas!L412="Outra Mão de Sul F",30,IF(Atletas!L412="Dishuquan A",31,IF(Atletas!L412="Dishuquan B",32,IF(Atletas!L412="Dishuquan C",33,IF(Atletas!L412="Dishuquan D",34,IF(Atletas!L412="Dishuquan E",35,IF(Atletas!L412="Dishuquan F",36,""))))))))))))))))))))))))))))))))))))))</f>
        <v/>
      </c>
      <c r="BS421" s="50" t="str">
        <f>IF(Atletas!M412="","",IF(Atletas!X412&lt;&gt;"",10000,0)+(IF(Atletas!B412="Feminino",1000,IF(Atletas!B412="Masculino",2000,""))+(IF(Atletas!M412="Chaquan A",101,IF(Atletas!M412="Emeiquan A",102,IF(Atletas!M412="Fanziquan A",103,IF(Atletas!M412="Huaquan A",104,IF(Atletas!M412="Hongquan A",105,IF(Atletas!M412="Paoquan A",106,IF(Atletas!M412="Piguaquan A",107,IF(Atletas!M412="Shaolinquan A",108,IF(Atletas!M412="Tanglangquan A",109,IF(Atletas!M412="Yingzhaoquan A",110,IF(Atletas!M412="Tongbeiquan A",111,IF(Atletas!M412="Wudangquan A",112,IF(Atletas!M412="Outros Estilos A",113,IF(Atletas!M412="Chaquan B",114,IF(Atletas!M412="Emeiquan B",115,IF(Atletas!M412="Fanziquan B",116,IF(Atletas!M412="Huaquan B",117,IF(Atletas!M412="Hongquan B",118,IF(Atletas!M412="Paoquan B",119,IF(Atletas!M412="Piguaquan B",120,IF(Atletas!M412="Shaolinquan B",121,IF(Atletas!M412="Tanglangquan B",122,IF(Atletas!M412="Yingzhaoquan B",123,IF(Atletas!M412="Tongbeiquan B",124,IF(Atletas!M412="Wudangquan B",125,IF(Atletas!M412="Outros Estilos B",126,IF(Atletas!M412="Chaquan C",127,IF(Atletas!M412="Emeiquan C",128,IF(Atletas!M412="Fanziquan C",129,IF(Atletas!M412="Huaquan C",130,IF(Atletas!M412="Hongquan C",131,IF(Atletas!M412="Paoquan C",132,IF(Atletas!M412="Piguaquan C",133,IF(Atletas!M412="Shaolinquan C",134,IF(Atletas!M412="Tanglangquan C",135,IF(Atletas!M412="Yingzhaoquan C",136,IF(Atletas!M412="Tongbeiquan C",137,IF(Atletas!M412="Wudangquan C",138,IF(Atletas!M412="Outros Estilos C",139,0))))))))))))))))))))))))))))))))))))))))))</f>
        <v/>
      </c>
      <c r="BT421" s="50" t="str">
        <f>IF(Atletas!M412="","",IF(Atletas!X412&lt;&gt;"",10000,0)+(IF(Atletas!B412="Feminino",1000,IF(Atletas!B412="Masculino",2000,""))+(IF(Atletas!M412="Chaquan D",140,IF(Atletas!M412="Emeiquan D",141,IF(Atletas!M412="Fanziquan D",142,IF(Atletas!M412="Huaquan D",143,IF(Atletas!M412="Hongquan D",144,IF(Atletas!M412="Paoquan D",145,IF(Atletas!M412="Piguaquan D",146,IF(Atletas!M412="Shaolinquan D",147,IF(Atletas!M412="Tanglangquan D",148,IF(Atletas!M412="Yingzhaoquan D",149,IF(Atletas!M412="Tongbeiquan D",150,IF(Atletas!M412="Wudangquan D",151,IF(Atletas!M412="Outros Estilos D",152,IF(Atletas!M412="Chaquan E",153,IF(Atletas!M412="Emeiquan E",154,IF(Atletas!M412="Fanziquan E",155,IF(Atletas!M412="Huaquan E",156,IF(Atletas!M412="Hongquan E",157,IF(Atletas!M412="Paoquan E",158,IF(Atletas!M412="Piguaquan E",159,IF(Atletas!M412="Shaolinquan E",160,IF(Atletas!M412="Tanglangquan E",161,IF(Atletas!M412="Yingzhaoquan E",162,IF(Atletas!M412="Tongbeiquan E",163,IF(Atletas!M412="Wudangquan E",164,IF(Atletas!M412="Outros Estilos E",165,IF(Atletas!M412="Chaquan F",166,IF(Atletas!M412="Emeiquan F",167,IF(Atletas!M412="Fanziquan F",168,IF(Atletas!M412="Huaquan F",169,IF(Atletas!M412="Hongquan F",170,IF(Atletas!M412="Paoquan F",171,IF(Atletas!M412="Piguaquan F",172,IF(Atletas!M412="Shaolinquan F",173,IF(Atletas!M412="Tanglangquan F",174,IF(Atletas!M412="Yingzhaoquan F",175,IF(Atletas!M412="Tongbeiquan F",176,IF(Atletas!M412="Wudangquan F",177,IF(Atletas!M412="Outros Estilos F",178,0))))))))))))))))))))))))))))))))))))))))))</f>
        <v/>
      </c>
      <c r="BU421" s="50" t="str">
        <f>IF(Atletas!N412="","",IF(Atletas!X412&lt;&gt;"",10000,0)+(IF(Atletas!B412="Feminino",1000,IF(Atletas!B412="Masculino",2000,""))+(IF(Atletas!N412="Ditangquan A",201,IF(Atletas!N412="Houquan A",202,IF(Atletas!N412="Zuiquan A",203,IF(Atletas!N412="Ditangquan B",204,IF(Atletas!N412="Houquan B",205,IF(Atletas!N412="Zuiquan B",206,IF(Atletas!N412="Ditangquan C",207,IF(Atletas!N412="Houquan C",208,IF(Atletas!N412="Zuiquan C",209,IF(Atletas!N412="Ditangquan D",210,IF(Atletas!N412="Houquan D",211,IF(Atletas!N412="Zuiquan D",212,IF(Atletas!N412="Ditangquan E",213,IF(Atletas!N412="Houquan E",214,IF(Atletas!N412="Zuiquan E",215,IF(Atletas!N412="Ditangquan F",216,IF(Atletas!N412="Houquan F",217,IF(Atletas!N412="Zuiquan F",218,"")))))))))))))))))))))</f>
        <v/>
      </c>
      <c r="BV421" s="50" t="str">
        <f>IF(Atletas!O412="","",IF(Atletas!X412&lt;&gt;"",10000,0)+IF(Atletas!B412="Feminino",1000,IF(Atletas!B412="Masculino",2000,""))+IF(Atletas!O412="Yang A",301,IF(Atletas!O412="Chen A",302,IF(Atletas!O412="Sun A",303,IF(Atletas!O412="Wu A",304,IF(Atletas!O412="Wu-Hao A",305,IF(Atletas!O412="Outro Taijiquan A",306,IF(Atletas!O412="Yang B",307,IF(Atletas!O412="Chen B",308,IF(Atletas!O412="Sun B",309,IF(Atletas!O412="Wu B",310,IF(Atletas!O412="Wu-Hao B",311,IF(Atletas!O412="Outro Taijiquan B",312,IF(Atletas!O412="Yang C",313,IF(Atletas!O412="Chen C",314,IF(Atletas!O412="Sun C",315,IF(Atletas!O412="Wu C",316,IF(Atletas!O412="Wu-Hao C",317,IF(Atletas!O412="Outro Taijiquan C",318,IF(Atletas!O412="Yang D",319,IF(Atletas!O412="Chen D",320,IF(Atletas!O412="Sun D",321,IF(Atletas!O412="Wu D",322,IF(Atletas!O412="Wu-Hao D",323,IF(Atletas!O412="Outro Taijiquan D",324,IF(Atletas!O412="Yang E",325,IF(Atletas!O412="Chen E",326,IF(Atletas!O412="Sun E",327,IF(Atletas!O412="Wu E",328,IF(Atletas!O412="Wu-Hao E",329,IF(Atletas!O412="Outro Taijiquan E",330,IF(Atletas!O412="Yang F",331,IF(Atletas!O412="Chen F",332,IF(Atletas!O412="Sun F",333,IF(Atletas!O412="Wu F",334,IF(Atletas!O412="Wu-Hao F",335,IF(Atletas!O412="Outro Taijiquan F",336,"")))))))))))))))))))))))))))))))))))))</f>
        <v/>
      </c>
      <c r="BW421" s="50" t="str">
        <f>IF(Atletas!P412="","",IF(Atletas!X412&lt;&gt;"",10000,0)+IF(Atletas!B412="Feminino",1000,IF(Atletas!B412="Masculino",2000,""))+IF(OR(Atletas!P412="Yang 26 A",Atletas!P412="Yang 40 A"),401,IF(OR(Atletas!P412="Chen 25 A",Atletas!P412="Chen 36 A",Atletas!P412="Chen 56 A"),402,IF(Atletas!P412="Sun 73 A",403,IF(Atletas!P412="Wu 45 A",404,IF(Atletas!P412="Wu-Hao 46 A",405,IF(OR(Atletas!P412="Taijiquan 16 A",Atletas!P412="Taijiquan 24 A",Atletas!P412="Taijiquan 32 A",Atletas!P412="Taijiquan 42 A"),406,IF(OR(Atletas!P412="Yang 26 B",Atletas!P412="Yang 40 B"),407,IF(OR(Atletas!P412="Chen 25 B",Atletas!P412="Chen 36 B",Atletas!P412="Chen 56 B"),408,IF(Atletas!P412="Sun 73 B",409,IF(Atletas!P412="Wu 45 B",410,IF(Atletas!P412="Wu-Hao 46 B",411,IF(OR(Atletas!P412="Taijiquan 16 B",Atletas!P412="Taijiquan 24 B",Atletas!P412="Taijiquan 32 B",Atletas!P412="Taijiquan 42 B"),412,IF(OR(Atletas!P412="Yang 26 C",Atletas!P412="Yang 40 C"),413,IF(OR(Atletas!P412="Chen 25 C",Atletas!P412="Chen 36 C",Atletas!P412="Chen 56 C"),414,IF(Atletas!P412="Sun 73 C",415,IF(Atletas!P412="Wu 45 C",416,IF(Atletas!P412="Wu-Hao 46 C",417,IF(OR(Atletas!P412="Taijiquan 16 C",Atletas!P412="Taijiquan 24 C",Atletas!P412="Taijiquan 32 C",Atletas!P412="Taijiquan 42 C"),418,0)))))))))))))))))))</f>
        <v/>
      </c>
      <c r="BX421" s="50" t="str">
        <f>IF(Atletas!P412="","",IF(Atletas!X412&lt;&gt;"",10000,0)+IF(Atletas!B412="Feminino",1000,IF(Atletas!B412="Masculino",2000,""))+IF(OR(Atletas!P412="Yang 26 D",Atletas!P412="Yang 40 D"),419,IF(OR(Atletas!P412="Chen 25 D",Atletas!P412="Chen 36 D",Atletas!P412="Chen 56 D"),420,IF(Atletas!P412="Sun 73 D",421,IF(Atletas!P412="Wu 45 D",422,IF(Atletas!P412="Wu-Hao 46 D",423,IF(OR(Atletas!P412="Taijiquan 16 D",Atletas!P412="Taijiquan 24 D",Atletas!P412="Taijiquan 32 D",Atletas!P412="Taijiquan 42 D"),424,IF(OR(Atletas!P412="Yang 26 E",Atletas!P412="Yang 40 E"),425,IF(OR(Atletas!P412="Chen 25 E",Atletas!P412="Chen 36 E",Atletas!P412="Chen 56 E"),426,IF(Atletas!P412="Sun 73 E",427,IF(Atletas!P412="Wu 45 E",428,IF(Atletas!P412="Wu-Hao 46 E",429,IF(OR(Atletas!P412="Taijiquan 16 E",Atletas!P412="Taijiquan 24 E",Atletas!P412="Taijiquan 32 E",Atletas!P412="Taijiquan 42 E"),430,IF(OR(Atletas!P412="Yang 26 F",Atletas!P412="Yang 40 F"),431,IF(OR(Atletas!P412="Chen 25 F",Atletas!P412="Chen 36 F",Atletas!P412="Chen 56 F"),432,IF(Atletas!P412="Sun 73 F",433,IF(Atletas!P412="Wu 45 F",434,IF(Atletas!P412="Wu-Hao 46 F",435,IF(OR(Atletas!P412="Taijiquan 16 F",Atletas!P412="Taijiquan 24 F",Atletas!P412="Taijiquan 32 F",Atletas!P412="Taijiquan 42 F"),436,0)))))))))))))))))))</f>
        <v/>
      </c>
      <c r="BY421" s="50" t="str">
        <f>IF(Atletas!Q412="","",IF(Atletas!X412&lt;&gt;"",10000,0)+IF(Atletas!B412="Feminino",1000,IF(Atletas!B412="Masculino",2000,""))+IF(Atletas!Q412="Xingyiquan A",501,IF(Atletas!Q412="Baguazhang A",502,IF(Atletas!Q412="Outro Estilo Interno A",503,IF(Atletas!Q412="Xingyiquan B",504,IF(Atletas!Q412="Baguazhang B",505,IF(Atletas!Q412="Outro Estilo Interno B",506,IF(Atletas!Q412="Xingyiquan C",507,IF(Atletas!Q412="Baguazhang C",508,IF(Atletas!Q412="Outro Estilo Interno C",509,IF(Atletas!Q412="Xingyiquan D",510,IF(Atletas!Q412="Baguazhang D",511,IF(Atletas!Q412="Outro Estilo Interno D",512,IF(Atletas!Q412="Xingyiquan E",513,IF(Atletas!Q412="Baguazhang E",514,IF(Atletas!Q412="Outro Estilo Interno E",515,IF(Atletas!Q412="Xingyiquan F",516,IF(Atletas!Q412="Baguazhang F",517,IF(Atletas!Q412="Outro Estilo Interno F",518, "")))))))))))))))))))</f>
        <v/>
      </c>
      <c r="BZ421" s="50" t="str">
        <f>IF(Atletas!R412="","",IF(Atletas!X412&lt;&gt;"",10000,0)+IF(Atletas!B412="Feminino",1000,IF(Atletas!B412="Masculino",2000,""))+IF(Atletas!R412="Dao A",601,IF(Atletas!R412="Jian A",602,IF(Atletas!R412="Bishou A",603,IF(Atletas!R412="Shanzi A",604,IF(Atletas!R412="Outra Arma Curta A",605,IF(Atletas!R412="Dao B",606,IF(Atletas!R412="Jian B",607,IF(Atletas!R412="Bishou B",608,IF(Atletas!R412="Shanzi B",609,IF(Atletas!R412="Outra Arma Curta B",610,IF(Atletas!R412="Dao C",611,IF(Atletas!R412="Jian C",612,IF(Atletas!R412="Bishou C",613,IF(Atletas!R412="Shanzi C",614,IF(Atletas!R412="Outra Arma Curta C",615,IF(Atletas!R412="Dao D",616,IF(Atletas!R412="Jian D",617,IF(Atletas!R412="Bishou D",618,IF(Atletas!R412="Shanzi D",619,IF(Atletas!R412="Outra Arma Curta D",620,IF(Atletas!R412="Dao E",621,IF(Atletas!R412="Jian E",622,IF(Atletas!R412="Bishou E",623,IF(Atletas!R412="Shanzi E",624,IF(Atletas!R412="Outra Arma Curta E",625,IF(Atletas!R412="Dao F",626,IF(Atletas!R412="Jian F",627,IF(Atletas!R412="Bishou F",628,IF(Atletas!R412="Shanzi F",629,IF(Atletas!R412="Outra Arma Curta F",630, "")))))))))))))))))))))))))))))))</f>
        <v/>
      </c>
      <c r="CA421" s="50" t="str">
        <f>IF(Atletas!S412="","",IF(Atletas!X412&lt;&gt;"",10000,0)+IF(Atletas!B412="Feminino",1000,IF(Atletas!B412="Masculino",2000,""))+IF(Atletas!S412="Gun A",701,IF(Atletas!S412="Qiang A",702,IF(Atletas!S412="Pudao / Guandao A",703,IF(Atletas!S412="Outra Arma Longa A",704,IF(Atletas!S412="Gun B",705,IF(Atletas!S412="Qiang B",706,IF(Atletas!S412="Pudao / Guandao B",707,IF(Atletas!S412="Outra Arma Longa B",708,IF(Atletas!S412="Gun C",709,IF(Atletas!S412="Qiang C",710,IF(Atletas!S412="Pudao / Guandao C",711,IF(Atletas!S412="Outra Arma Longa C",712,IF(Atletas!S412="Gun D",713,IF(Atletas!S412="Qiang D",714,IF(Atletas!S412="Pudao / Guandao D",715,IF(Atletas!S412="Outra Arma Longa D",716,IF(Atletas!S412="Gun E",717,IF(Atletas!S412="Qiang E",718,IF(Atletas!S412="Pudao / Guandao E",719,IF(Atletas!S412="Outra Arma Longa E",720,IF(Atletas!S412="Gun F",721,IF(Atletas!S412="Qiang F",722,IF(Atletas!S412="Pudao / Guandao F",723,IF(Atletas!S412="Outra Arma Longa F",724,"")))))))))))))))))))))))))</f>
        <v/>
      </c>
      <c r="CB421" s="50" t="str">
        <f>IF(Atletas!T412="","",IF(Atletas!X412&lt;&gt;"",10000,0)+IF(Atletas!B412="Feminino",1000,IF(Atletas!B412="Masculino",2000,""))+IF(Atletas!T412="Outra Arma Dupla A",801,IF(Atletas!T412="Arma Maleável A",802,IF(Atletas!T412="Outra Arma Dupla B",803,IF(Atletas!T412="Arma Maleável B",804,IF(Atletas!T412="Outra Arma Dupla C",805,IF(Atletas!T412="Arma Maleável C",806,IF(Atletas!T412="Outra Arma Dupla D",807,IF(Atletas!T412="Arma Maleável D",808,IF(Atletas!T412="Outra Arma Dupla E",809,IF(Atletas!T412="Arma Maleável E",810,IF(Atletas!T412="Outra Arma Dupla F",811,IF(Atletas!T412="Arma Maleável F",812,IF(Atletas!T412="Shuangdao A",813,IF(Atletas!T412="Shuangdao B",814,IF(Atletas!T412="Shuangdao C",815,IF(Atletas!T412="Shuangdao D",816,IF(Atletas!T412="Shuangdao E",817,IF(Atletas!T412="Shuangdao F",818,"")))))))))))))))))))</f>
        <v/>
      </c>
      <c r="CC421" s="50" t="str">
        <f>IF(Atletas!U412="","",IF(Atletas!X412&lt;&gt;"",10000,0)+IF(Atletas!B412="Feminino",1000,IF(Atletas!B412="Masculino",2000,""))+IF(OR(Atletas!U412="Taijijian Yang A",Atletas!U412="Taijijian Yang Standard A"),901,IF(OR(Atletas!U412="Taijijian Chen A", Atletas!U412="Taijijian Chen Standard A"),902,IF(Atletas!U412="Taijijian Sun A",903,IF(Atletas!U412="Taijijian Wu A",904,IF(Atletas!U412="Taijijian Wu-Hao A",905,IF(OR(Atletas!U412="Taijijian 32 A",Atletas!U412="Taijijian 42 A"),906,IF(OR(Atletas!U412="Taijijian Yang B",Atletas!U412="Taijijian Yang Standard B"),907,IF(OR(Atletas!U412="Taijijian Chen B", Atletas!U412="Taijijian Chen Standard B"),908,IF(Atletas!U412="Taijijian Sun B",909,IF(Atletas!U412="Taijijian Wu B",910,IF(Atletas!U412="Taijijian Wu-Hao B",911,IF(OR(Atletas!U412="Taijijian 32 B",Atletas!U412="Taijijian 42 B"),912,IF(OR(Atletas!U412="Taijijian Yang C",Atletas!U412="Taijijian Yang Standard C"),913,IF(OR(Atletas!U412="Taijijian Chen C", Atletas!U412="Taijijian Chen Standard C"),914,IF(Atletas!U412="Taijijian Sun C",915,IF(Atletas!U412="Taijijian Wu C",916,IF(Atletas!U412="Taijijian Wu-Hao C",917,IF(OR(Atletas!U412="Taijijian 32 C",Atletas!U412="Taijijian 42 C"),918,IF(OR(Atletas!U412="Taijijian Yang D",Atletas!U412="Taijijian Yang Standard D"),919,IF(OR(Atletas!U412="Taijijian Chen D", Atletas!U412="Taijijian Chen Standard D"),920,IF(Atletas!U412="Taijijian Sun D",921,IF(Atletas!U412="Taijijian Wu D",922,IF(Atletas!U412="Taijijian Wu-Hao D",923,IF(OR(Atletas!U412="Taijijian 32 D",Atletas!U412="Taijijian 42 D"),924,IF(OR(Atletas!U412="Taijijian Yang E",Atletas!U412="Taijijian Yang Standard E"),925,IF(OR(Atletas!U412="Taijijian Chen E", Atletas!U412="Taijijian Chen Standard E"),926,IF(Atletas!U412="Taijijian Sun E",927,IF(Atletas!U412="Taijijian Wu E",928,IF(Atletas!U412="Taijijian Wu-Hao E",929,IF(OR(Atletas!U412="Taijijian 32 E",Atletas!U412="Taijijian 42 E"),930,IF(OR(Atletas!U412="Taijijian Yang F",Atletas!U412="Taijijian Yang Standard F"),931,IF(OR(Atletas!U412="Taijijian Chen F", Atletas!U412="Taijijian Chen Standard F"),932,IF(Atletas!U412="Taijijian Sun F",933,IF(Atletas!U412="Taijijian Wu F",934,IF(Atletas!U412="Taijijian Wu-Hao F",935,IF(OR(Atletas!U412="Taijijian 32 F",Atletas!U412="Taijijian 42 F"),936,"")))))))))))))))))))))))))))))))))))))</f>
        <v/>
      </c>
      <c r="CD421" s="50" t="str">
        <f>IF(Atletas!V412="","",IF(Atletas!X412&lt;&gt;"",10000,0)+IF(Atletas!B412="Feminino",1000,IF(Atletas!B412="Masculino",2000,""))+IF(Atletas!V412="Taijidao A",937,IF(Atletas!V412="TaijiShanzi A",938,IF(Atletas!V412="Taijiqiang A",939,IF(Atletas!V412="Bagua de Arma A",940,IF(Atletas!V412="Xingyi de Arma A",941,IF(Atletas!V412="Taijidao B",942,IF(Atletas!V412="TaijiShanzi B",943,IF(Atletas!V412="Taijiqiang B",944,IF(Atletas!V412="Bagua de Arma B",945,IF(Atletas!V412="Xingyi de Arma B",946,IF(Atletas!V412="Taijidao C",947,IF(Atletas!V412="TaijiShanzi C",948,IF(Atletas!V412="Taijiqiang C",949,IF(Atletas!V412="Bagua de Arma C",950,IF(Atletas!V412="Xingyi de Arma C",951,IF(Atletas!V412="Taijidao D",952,IF(Atletas!V412="TaijiShanzi D",953,IF(Atletas!V412="Taijiqiang D",954,IF(Atletas!V412="Bagua de Arma D",955,IF(Atletas!V412="Xingyi de Arma D",956,IF(Atletas!V412="Taijidao E",957,IF(Atletas!V412="TaijiShanzi E",958,IF(Atletas!V412="Taijiqiang E",959,IF(Atletas!V412="Bagua de Arma E",960,IF(Atletas!V412="Xingyi de Arma E",961,IF(Atletas!V412="Taijidao F",962,IF(Atletas!V412="TaijiShanzi F",963,IF(Atletas!V412="Taijiqiang F",964,IF(Atletas!V412="Bagua de Arma F",965,IF(Atletas!V412="Xingyi de Arma F",966,"")))))))))))))))))))))))))))))))</f>
        <v/>
      </c>
      <c r="CM421" s="50" t="str">
        <f xml:space="preserve"> IF(Atletas!W412="","",IF(Atletas!W412="Duilian de Mãos BC - Equipe 1",1,IF(Atletas!W412="Duilian de Mãos BC - Equipe 2",2,IF(Atletas!W412="Duilian de Armas BC - Equipe 1",3,IF(Atletas!W412="Duilian de Armas BC - Equipe 2",4,IF(Atletas!W412="Duilian de Mãos DE - Equipe 1",5,IF(Atletas!W412="Duilian de Mãos DE - Equipe 2",6,IF(Atletas!W412="Duilian de Armas DE - Equipe 1",7,IF(Atletas!W412="Duilian de Armas DE - Equipe 2",8,IF(Atletas!W412="Duilian de Tuishou - Equipe 1",9,IF(Atletas!W412="Duilian de Tuishou - Equipe 2",10,IF(Atletas!W412="Grupo Externo ABC - Equipe 1",11,IF(Atletas!W412="Grupo Externo ABC - Equipe 2",12,IF(Atletas!W412="Grupo Interno ABC - Equipe 1",13,IF(Atletas!W412="Grupo Interno ABC - Equipe 2",14,IF(Atletas!W412="Grupo Externo DEF - Equipe 1",15,IF(Atletas!W412="Grupo Externo DEF - Equipe 2",16,IF(Atletas!W412="Grupo Interno DEF - Equipe 1",17,IF(Atletas!W412="Grupo Interno DEF - Equipe 2",18,"")))))))))))))))))))</f>
        <v/>
      </c>
    </row>
    <row r="422" spans="40:91">
      <c r="AN422" s="52" t="str">
        <f>IF(Atletas!D413="","",IF(Atletas!B413="Feminino",100,IF(Atletas!B413="Masculino",200,""))+(IF(Atletas!D413="Kids 30kg",1,IF(Atletas!D413="Kids 32kg",2, IF(Atletas!D413="Kids 34kg",3,IF(Atletas!D413="Kids 36kg",4,IF(Atletas!D413="Kids 39kg",5,IF(Atletas!D413="Kids 42kg",6,IF(Atletas!D413="Kids 45kg",7, IF(Atletas!D413="Infantil 39kg",8,IF(Atletas!D413="Infantil 42kg",9,IF(Atletas!D413="Infantil 45kg",10,IF(Atletas!D413="Infantil 48kg",11,IF(Atletas!D413="Infantil 52kg",12,IF(Atletas!D413="Infantil 56kg",13,IF(Atletas!D413="Infantil 60kg",14,IF(Atletas!D413="Juvenil 48kg",15,IF(Atletas!D413="Juvenil 52kg",16,IF(Atletas!D413="Juvenil 56kg",17,IF(Atletas!D413="Juvenil 60kg",18,IF(Atletas!D413="Juvenil 65kg",19,IF(Atletas!D413="Juvenil 70kg",20,IF(Atletas!D413="Juvenil 75kg",21,IF(Atletas!D413="Juvenil 80kg",22, IF(Atletas!D413="Juvenil 85kg",23,IF(Atletas!D413="Adulto 48kg",24,IF(Atletas!D413="Adulto 52kg",25,IF(Atletas!D413="Adulto 56kg",26,IF(Atletas!D413="Adulto 60kg",27,IF(Atletas!D413="Adulto 65kg",28,IF(Atletas!D413="Adulto 70kg",29,IF(Atletas!D413="Adulto 75kg",30,IF(Atletas!D413="Adulto 80kg",31,IF(Atletas!D413="Adulto 85kg",32,IF(Atletas!D413="Adulto 90kg",33,IF(Atletas!D413="Adulto 100kg",34, IF(Atletas!D413="Adulto +100kg",35,"")))))))))))))))))))))))))))))))))))))</f>
        <v/>
      </c>
      <c r="AS422" s="6" t="str">
        <f>IF(Atletas!E413="","",IF(Atletas!B413="Feminino",100,IF(Atletas!B413="Masculino",200,""))+(IF(Atletas!E413="Juvenil 44kg",1,IF(Atletas!E413="Juvenil 48kg",2,IF(Atletas!E413="Juvenil 52kg",3,IF(Atletas!E413="Juvenil 56kg",4,IF(Atletas!E413="Juvenil 60kg",5,IF(Atletas!E413="Juvenil 65kg",6,IF(Atletas!E413="Juvenil 70kg",7,IF(Atletas!E413="Juvenil 75kg",8,IF(Atletas!E413="Juvenil 82kg",9,IF(Atletas!E413="Juvenil 90kg",10,IF(Atletas!E413="Juvenil 100kg",11,IF(Atletas!E413="Adulto 48kg",12,IF(Atletas!E413="Adulto 52kg",13,IF(Atletas!E413="Adulto 56kg",14,IF(Atletas!E413="Adulto 60kg",15,IF(Atletas!E413="Adulto 65kg",16,IF(Atletas!E413="Adulto 70kg",17,IF(Atletas!E413="Adulto 75kg",18,IF(Atletas!E413="Adulto 82kg",19,IF(Atletas!E413="Adulto 90kg",20,IF(Atletas!E413="Adulto 100kg",21,IF(Atletas!E413="Adulto +100kg",22,""))))))))))))))))))))))))</f>
        <v/>
      </c>
      <c r="AX422" s="6" t="str">
        <f>IF(Atletas!F413="","",IF(Atletas!B413="Feminino",100,IF(Atletas!B413="Masculino",200,""))+(IF(Atletas!F413="Adulto 48kg",1,IF(Atletas!F413="Adulto 56kg",2,IF(Atletas!F413="Adulto 65kg",3,IF(Atletas!F413="Adulto 75kg",4,IF(Atletas!F413="Adulto +75kg",5,IF(Atletas!F413="Adulto 52kg",6,IF(Atletas!F413="Adulto 60kg",7,IF(Atletas!F413="Adulto 70kg",8,IF(Atletas!F413="Adulto 80kg",9,IF(Atletas!F413="Adulto 90kg",10,IF(Atletas!F413="Adulto +90kg",11,"")))))))))))))</f>
        <v/>
      </c>
      <c r="BC422" s="6" t="str">
        <f>IF(Atletas!G413="","",IF(Atletas!B413="Feminino",10,IF(Atletas!B413="Masculino",20,""))+(IF(Atletas!G413="Baduanjin A",1,IF(Atletas!G413="Baduanjin B",2))))</f>
        <v/>
      </c>
      <c r="BF422" s="52" t="str">
        <f>IF(Atletas!H413="","",IF(Atletas!B413="Feminino",100,IF(Atletas!B413="Masculino",200,""))+(IF(Atletas!H413="Changquan Mirim",1,IF(Atletas!H413="Nanquan Mirim",2,IF(Atletas!H413="Taijiquan Mirim",3,IF(Atletas!H413="Changquan Grupo C",4,IF(Atletas!H413="Nanquan Grupo C",5,IF(Atletas!H413="Taijiquan Grupo C",6,IF(Atletas!H413="Changquan Grupo B",7,IF(Atletas!H413="Nanquan Grupo B",8,IF(Atletas!H413="Taijiquan Grupo B",9,IF(Atletas!H413="Changquan Grupo A",10,IF(Atletas!H413="Nanquan Grupo A",11,IF(Atletas!H413="Taijiquan Grupo A",12,IF(Atletas!H413="Changquan Opcional",13,IF(Atletas!H413="Nanquan Opcional",14,IF(Atletas!H413="Taijiquan Opcional",15,IF(Atletas!H413="Changquan Adulto",16,IF(Atletas!H413="Nanquan Adulto",17,IF(Atletas!H413="Taijiquan Adulto",18,""))))))))))))))))))))</f>
        <v/>
      </c>
      <c r="BG422" s="52" t="str">
        <f>IF(Atletas!I413="","",IF(Atletas!B413="Feminino",100,IF(Atletas!B413="Masculino",200,""))+(IF(Atletas!I413="Daoshu Mirim",19,IF(Atletas!I413="Jianshu Mirim",20,IF(Atletas!I413="Nandao Mirim",21,IF(Atletas!I413="Taijijian Mirim",22,IF(Atletas!I413="Daoshu Grupo C",23,IF(Atletas!I413="Jianshu Grupo C",24,IF(Atletas!I413="Nandao Grupo C",25,IF(Atletas!I413="Taijijian Grupo C",26,IF(Atletas!I413="Daoshu Grupo B",27,IF(Atletas!I413="Jianshu Grupo B",28,IF(Atletas!I413="Nandao Grupo B",29,IF(Atletas!I413="Taijijian Grupo B",30,IF(Atletas!I413="Daoshu Grupo A",31,IF(Atletas!I413="Jianshu Grupo A",32,IF(Atletas!I413="Nandao Grupo A",33,IF(Atletas!I413="Taijijian Grupo A",34,IF(Atletas!I413="Daoshu Opcional",35,IF(Atletas!I413="Jianshu Opcional",36,IF(Atletas!I413="Nandao Opcional",37,IF(Atletas!I413="Taijijian Opcional",38,IF(Atletas!I413="Daoshu Adulto",39,IF(Atletas!I413="Jianshu Adulto",40,IF(Atletas!I413="Nandao Adulto",41,IF(Atletas!I413="Taijijian Adulto",42,""))))))))))))))))))))))))))</f>
        <v/>
      </c>
      <c r="BH422" s="52" t="str">
        <f>IF(Atletas!J413="","",IF(Atletas!B413="Feminino",100,IF(Atletas!B413="Masculino",200,""))+(IF(Atletas!J413="Gunshu Mirim",43,IF(Atletas!J413="Qiangshu Mirim",44,IF(Atletas!J413="Nangun Mirim",45,IF(Atletas!J413="Gunshu Grupo C",46,IF(Atletas!J413="Qiangshu Grupo C",47,IF(Atletas!J413="Nangun Grupo C",48,IF(Atletas!J413="Gunshu Grupo B",49,IF(Atletas!J413="Qiangshu Grupo B",50,IF(Atletas!J413="Nangun Grupo B",51,IF(Atletas!J413="Gunshu Grupo A",52,IF(Atletas!J413="Qiangshu Grupo A",53,IF(Atletas!J413="Nangun Grupo A",54,IF(Atletas!J413="Gunshu Opcional",55,IF(Atletas!J413="Qiangshu Opcional",56,IF(Atletas!J413="Nangun Opcional",57,IF(Atletas!J413="Gunshu Adulto",58,IF(Atletas!J413="Qiangshu Adulto",59,IF(Atletas!J413="Nangun Adulto",60,IF(Atletas!J413="Taijishan Grupo B",61,IF(Atletas!J413="Taijishan Grupo A",62,""))))))))))))))))))))))</f>
        <v/>
      </c>
      <c r="BM422" s="50" t="str">
        <f>IF(Atletas!K413="","",IF(Atletas!B413="Feminino",100,IF(Atletas!B413="Masculino",200,""))+(IF(Atletas!K413="Equipe 1 Grupo B",1,IF(Atletas!K413="Equipe 2 Grupo B",2,IF(Atletas!K413="Equipe 1 Grupo A",3,IF(Atletas!K413="Equipe 2 Grupo A",4,IF(Atletas!K413="Equipe 1 Adulto",5,IF(Atletas!K413="Equipe 2 Adulto",6,""))))))))</f>
        <v/>
      </c>
      <c r="BR422" s="50" t="str">
        <f>IF(Atletas!L413="","",IF(Atletas!X413&lt;&gt;"",10000,0)+(IF(Atletas!B413="Feminino",1000,IF(Atletas!B413="Masculino",2000,""))+IF(Atletas!L413="Choylayfut A",1,IF(Atletas!L413="Hunggar A",2,IF(Atletas!L413="Wuzuquan A",3,IF(Atletas!L413="Wingchun A",4,IF(Atletas!L413="Outra Mão de Sul A",5,IF(Atletas!L413="Choylayfut B",6,IF(Atletas!L413="Hunggar B",7,IF(Atletas!L413="Wuzuquan B",8,IF(Atletas!L413="Wingchun B",9,IF(Atletas!L413="Outra Mão de Sul B",10,IF(Atletas!L413="Choylayfut C",11,IF(Atletas!L413="Hunggar C",12,IF(Atletas!L413="Wuzuquan C",13,IF(Atletas!L413="Wingchun C",14,IF(Atletas!L413="Outra Mão de Sul C",15,IF(Atletas!L413="Choylayfut D",16,IF(Atletas!L413="Hunggar D",17,IF(Atletas!L413="Wuzuquan D",18,IF(Atletas!L413="Wingchun D",19,IF(Atletas!L413="Outra Mão de Sul D",20,IF(Atletas!L413="Choylayfut E",21,IF(Atletas!L413="Hunggar E",22,IF(Atletas!L413="Wuzuquan E",23,IF(Atletas!L413="Wingchun E",24,IF(Atletas!L413="Outra Mão de Sul E",25,IF(Atletas!L413="Choylayfut F",26,IF(Atletas!L413="Hunggar F",27,IF(Atletas!L413="Wuzuquan F",28,IF(Atletas!L413="Wingchun F",29,IF(Atletas!L413="Outra Mão de Sul F",30,IF(Atletas!L413="Dishuquan A",31,IF(Atletas!L413="Dishuquan B",32,IF(Atletas!L413="Dishuquan C",33,IF(Atletas!L413="Dishuquan D",34,IF(Atletas!L413="Dishuquan E",35,IF(Atletas!L413="Dishuquan F",36,""))))))))))))))))))))))))))))))))))))))</f>
        <v/>
      </c>
      <c r="BS422" s="50" t="str">
        <f>IF(Atletas!M413="","",IF(Atletas!X413&lt;&gt;"",10000,0)+(IF(Atletas!B413="Feminino",1000,IF(Atletas!B413="Masculino",2000,""))+(IF(Atletas!M413="Chaquan A",101,IF(Atletas!M413="Emeiquan A",102,IF(Atletas!M413="Fanziquan A",103,IF(Atletas!M413="Huaquan A",104,IF(Atletas!M413="Hongquan A",105,IF(Atletas!M413="Paoquan A",106,IF(Atletas!M413="Piguaquan A",107,IF(Atletas!M413="Shaolinquan A",108,IF(Atletas!M413="Tanglangquan A",109,IF(Atletas!M413="Yingzhaoquan A",110,IF(Atletas!M413="Tongbeiquan A",111,IF(Atletas!M413="Wudangquan A",112,IF(Atletas!M413="Outros Estilos A",113,IF(Atletas!M413="Chaquan B",114,IF(Atletas!M413="Emeiquan B",115,IF(Atletas!M413="Fanziquan B",116,IF(Atletas!M413="Huaquan B",117,IF(Atletas!M413="Hongquan B",118,IF(Atletas!M413="Paoquan B",119,IF(Atletas!M413="Piguaquan B",120,IF(Atletas!M413="Shaolinquan B",121,IF(Atletas!M413="Tanglangquan B",122,IF(Atletas!M413="Yingzhaoquan B",123,IF(Atletas!M413="Tongbeiquan B",124,IF(Atletas!M413="Wudangquan B",125,IF(Atletas!M413="Outros Estilos B",126,IF(Atletas!M413="Chaquan C",127,IF(Atletas!M413="Emeiquan C",128,IF(Atletas!M413="Fanziquan C",129,IF(Atletas!M413="Huaquan C",130,IF(Atletas!M413="Hongquan C",131,IF(Atletas!M413="Paoquan C",132,IF(Atletas!M413="Piguaquan C",133,IF(Atletas!M413="Shaolinquan C",134,IF(Atletas!M413="Tanglangquan C",135,IF(Atletas!M413="Yingzhaoquan C",136,IF(Atletas!M413="Tongbeiquan C",137,IF(Atletas!M413="Wudangquan C",138,IF(Atletas!M413="Outros Estilos C",139,0))))))))))))))))))))))))))))))))))))))))))</f>
        <v/>
      </c>
      <c r="BT422" s="50" t="str">
        <f>IF(Atletas!M413="","",IF(Atletas!X413&lt;&gt;"",10000,0)+(IF(Atletas!B413="Feminino",1000,IF(Atletas!B413="Masculino",2000,""))+(IF(Atletas!M413="Chaquan D",140,IF(Atletas!M413="Emeiquan D",141,IF(Atletas!M413="Fanziquan D",142,IF(Atletas!M413="Huaquan D",143,IF(Atletas!M413="Hongquan D",144,IF(Atletas!M413="Paoquan D",145,IF(Atletas!M413="Piguaquan D",146,IF(Atletas!M413="Shaolinquan D",147,IF(Atletas!M413="Tanglangquan D",148,IF(Atletas!M413="Yingzhaoquan D",149,IF(Atletas!M413="Tongbeiquan D",150,IF(Atletas!M413="Wudangquan D",151,IF(Atletas!M413="Outros Estilos D",152,IF(Atletas!M413="Chaquan E",153,IF(Atletas!M413="Emeiquan E",154,IF(Atletas!M413="Fanziquan E",155,IF(Atletas!M413="Huaquan E",156,IF(Atletas!M413="Hongquan E",157,IF(Atletas!M413="Paoquan E",158,IF(Atletas!M413="Piguaquan E",159,IF(Atletas!M413="Shaolinquan E",160,IF(Atletas!M413="Tanglangquan E",161,IF(Atletas!M413="Yingzhaoquan E",162,IF(Atletas!M413="Tongbeiquan E",163,IF(Atletas!M413="Wudangquan E",164,IF(Atletas!M413="Outros Estilos E",165,IF(Atletas!M413="Chaquan F",166,IF(Atletas!M413="Emeiquan F",167,IF(Atletas!M413="Fanziquan F",168,IF(Atletas!M413="Huaquan F",169,IF(Atletas!M413="Hongquan F",170,IF(Atletas!M413="Paoquan F",171,IF(Atletas!M413="Piguaquan F",172,IF(Atletas!M413="Shaolinquan F",173,IF(Atletas!M413="Tanglangquan F",174,IF(Atletas!M413="Yingzhaoquan F",175,IF(Atletas!M413="Tongbeiquan F",176,IF(Atletas!M413="Wudangquan F",177,IF(Atletas!M413="Outros Estilos F",178,0))))))))))))))))))))))))))))))))))))))))))</f>
        <v/>
      </c>
      <c r="BU422" s="50" t="str">
        <f>IF(Atletas!N413="","",IF(Atletas!X413&lt;&gt;"",10000,0)+(IF(Atletas!B413="Feminino",1000,IF(Atletas!B413="Masculino",2000,""))+(IF(Atletas!N413="Ditangquan A",201,IF(Atletas!N413="Houquan A",202,IF(Atletas!N413="Zuiquan A",203,IF(Atletas!N413="Ditangquan B",204,IF(Atletas!N413="Houquan B",205,IF(Atletas!N413="Zuiquan B",206,IF(Atletas!N413="Ditangquan C",207,IF(Atletas!N413="Houquan C",208,IF(Atletas!N413="Zuiquan C",209,IF(Atletas!N413="Ditangquan D",210,IF(Atletas!N413="Houquan D",211,IF(Atletas!N413="Zuiquan D",212,IF(Atletas!N413="Ditangquan E",213,IF(Atletas!N413="Houquan E",214,IF(Atletas!N413="Zuiquan E",215,IF(Atletas!N413="Ditangquan F",216,IF(Atletas!N413="Houquan F",217,IF(Atletas!N413="Zuiquan F",218,"")))))))))))))))))))))</f>
        <v/>
      </c>
      <c r="BV422" s="50" t="str">
        <f>IF(Atletas!O413="","",IF(Atletas!X413&lt;&gt;"",10000,0)+IF(Atletas!B413="Feminino",1000,IF(Atletas!B413="Masculino",2000,""))+IF(Atletas!O413="Yang A",301,IF(Atletas!O413="Chen A",302,IF(Atletas!O413="Sun A",303,IF(Atletas!O413="Wu A",304,IF(Atletas!O413="Wu-Hao A",305,IF(Atletas!O413="Outro Taijiquan A",306,IF(Atletas!O413="Yang B",307,IF(Atletas!O413="Chen B",308,IF(Atletas!O413="Sun B",309,IF(Atletas!O413="Wu B",310,IF(Atletas!O413="Wu-Hao B",311,IF(Atletas!O413="Outro Taijiquan B",312,IF(Atletas!O413="Yang C",313,IF(Atletas!O413="Chen C",314,IF(Atletas!O413="Sun C",315,IF(Atletas!O413="Wu C",316,IF(Atletas!O413="Wu-Hao C",317,IF(Atletas!O413="Outro Taijiquan C",318,IF(Atletas!O413="Yang D",319,IF(Atletas!O413="Chen D",320,IF(Atletas!O413="Sun D",321,IF(Atletas!O413="Wu D",322,IF(Atletas!O413="Wu-Hao D",323,IF(Atletas!O413="Outro Taijiquan D",324,IF(Atletas!O413="Yang E",325,IF(Atletas!O413="Chen E",326,IF(Atletas!O413="Sun E",327,IF(Atletas!O413="Wu E",328,IF(Atletas!O413="Wu-Hao E",329,IF(Atletas!O413="Outro Taijiquan E",330,IF(Atletas!O413="Yang F",331,IF(Atletas!O413="Chen F",332,IF(Atletas!O413="Sun F",333,IF(Atletas!O413="Wu F",334,IF(Atletas!O413="Wu-Hao F",335,IF(Atletas!O413="Outro Taijiquan F",336,"")))))))))))))))))))))))))))))))))))))</f>
        <v/>
      </c>
      <c r="BW422" s="50" t="str">
        <f>IF(Atletas!P413="","",IF(Atletas!X413&lt;&gt;"",10000,0)+IF(Atletas!B413="Feminino",1000,IF(Atletas!B413="Masculino",2000,""))+IF(OR(Atletas!P413="Yang 26 A",Atletas!P413="Yang 40 A"),401,IF(OR(Atletas!P413="Chen 25 A",Atletas!P413="Chen 36 A",Atletas!P413="Chen 56 A"),402,IF(Atletas!P413="Sun 73 A",403,IF(Atletas!P413="Wu 45 A",404,IF(Atletas!P413="Wu-Hao 46 A",405,IF(OR(Atletas!P413="Taijiquan 16 A",Atletas!P413="Taijiquan 24 A",Atletas!P413="Taijiquan 32 A",Atletas!P413="Taijiquan 42 A"),406,IF(OR(Atletas!P413="Yang 26 B",Atletas!P413="Yang 40 B"),407,IF(OR(Atletas!P413="Chen 25 B",Atletas!P413="Chen 36 B",Atletas!P413="Chen 56 B"),408,IF(Atletas!P413="Sun 73 B",409,IF(Atletas!P413="Wu 45 B",410,IF(Atletas!P413="Wu-Hao 46 B",411,IF(OR(Atletas!P413="Taijiquan 16 B",Atletas!P413="Taijiquan 24 B",Atletas!P413="Taijiquan 32 B",Atletas!P413="Taijiquan 42 B"),412,IF(OR(Atletas!P413="Yang 26 C",Atletas!P413="Yang 40 C"),413,IF(OR(Atletas!P413="Chen 25 C",Atletas!P413="Chen 36 C",Atletas!P413="Chen 56 C"),414,IF(Atletas!P413="Sun 73 C",415,IF(Atletas!P413="Wu 45 C",416,IF(Atletas!P413="Wu-Hao 46 C",417,IF(OR(Atletas!P413="Taijiquan 16 C",Atletas!P413="Taijiquan 24 C",Atletas!P413="Taijiquan 32 C",Atletas!P413="Taijiquan 42 C"),418,0)))))))))))))))))))</f>
        <v/>
      </c>
      <c r="BX422" s="50" t="str">
        <f>IF(Atletas!P413="","",IF(Atletas!X413&lt;&gt;"",10000,0)+IF(Atletas!B413="Feminino",1000,IF(Atletas!B413="Masculino",2000,""))+IF(OR(Atletas!P413="Yang 26 D",Atletas!P413="Yang 40 D"),419,IF(OR(Atletas!P413="Chen 25 D",Atletas!P413="Chen 36 D",Atletas!P413="Chen 56 D"),420,IF(Atletas!P413="Sun 73 D",421,IF(Atletas!P413="Wu 45 D",422,IF(Atletas!P413="Wu-Hao 46 D",423,IF(OR(Atletas!P413="Taijiquan 16 D",Atletas!P413="Taijiquan 24 D",Atletas!P413="Taijiquan 32 D",Atletas!P413="Taijiquan 42 D"),424,IF(OR(Atletas!P413="Yang 26 E",Atletas!P413="Yang 40 E"),425,IF(OR(Atletas!P413="Chen 25 E",Atletas!P413="Chen 36 E",Atletas!P413="Chen 56 E"),426,IF(Atletas!P413="Sun 73 E",427,IF(Atletas!P413="Wu 45 E",428,IF(Atletas!P413="Wu-Hao 46 E",429,IF(OR(Atletas!P413="Taijiquan 16 E",Atletas!P413="Taijiquan 24 E",Atletas!P413="Taijiquan 32 E",Atletas!P413="Taijiquan 42 E"),430,IF(OR(Atletas!P413="Yang 26 F",Atletas!P413="Yang 40 F"),431,IF(OR(Atletas!P413="Chen 25 F",Atletas!P413="Chen 36 F",Atletas!P413="Chen 56 F"),432,IF(Atletas!P413="Sun 73 F",433,IF(Atletas!P413="Wu 45 F",434,IF(Atletas!P413="Wu-Hao 46 F",435,IF(OR(Atletas!P413="Taijiquan 16 F",Atletas!P413="Taijiquan 24 F",Atletas!P413="Taijiquan 32 F",Atletas!P413="Taijiquan 42 F"),436,0)))))))))))))))))))</f>
        <v/>
      </c>
      <c r="BY422" s="50" t="str">
        <f>IF(Atletas!Q413="","",IF(Atletas!X413&lt;&gt;"",10000,0)+IF(Atletas!B413="Feminino",1000,IF(Atletas!B413="Masculino",2000,""))+IF(Atletas!Q413="Xingyiquan A",501,IF(Atletas!Q413="Baguazhang A",502,IF(Atletas!Q413="Outro Estilo Interno A",503,IF(Atletas!Q413="Xingyiquan B",504,IF(Atletas!Q413="Baguazhang B",505,IF(Atletas!Q413="Outro Estilo Interno B",506,IF(Atletas!Q413="Xingyiquan C",507,IF(Atletas!Q413="Baguazhang C",508,IF(Atletas!Q413="Outro Estilo Interno C",509,IF(Atletas!Q413="Xingyiquan D",510,IF(Atletas!Q413="Baguazhang D",511,IF(Atletas!Q413="Outro Estilo Interno D",512,IF(Atletas!Q413="Xingyiquan E",513,IF(Atletas!Q413="Baguazhang E",514,IF(Atletas!Q413="Outro Estilo Interno E",515,IF(Atletas!Q413="Xingyiquan F",516,IF(Atletas!Q413="Baguazhang F",517,IF(Atletas!Q413="Outro Estilo Interno F",518, "")))))))))))))))))))</f>
        <v/>
      </c>
      <c r="BZ422" s="50" t="str">
        <f>IF(Atletas!R413="","",IF(Atletas!X413&lt;&gt;"",10000,0)+IF(Atletas!B413="Feminino",1000,IF(Atletas!B413="Masculino",2000,""))+IF(Atletas!R413="Dao A",601,IF(Atletas!R413="Jian A",602,IF(Atletas!R413="Bishou A",603,IF(Atletas!R413="Shanzi A",604,IF(Atletas!R413="Outra Arma Curta A",605,IF(Atletas!R413="Dao B",606,IF(Atletas!R413="Jian B",607,IF(Atletas!R413="Bishou B",608,IF(Atletas!R413="Shanzi B",609,IF(Atletas!R413="Outra Arma Curta B",610,IF(Atletas!R413="Dao C",611,IF(Atletas!R413="Jian C",612,IF(Atletas!R413="Bishou C",613,IF(Atletas!R413="Shanzi C",614,IF(Atletas!R413="Outra Arma Curta C",615,IF(Atletas!R413="Dao D",616,IF(Atletas!R413="Jian D",617,IF(Atletas!R413="Bishou D",618,IF(Atletas!R413="Shanzi D",619,IF(Atletas!R413="Outra Arma Curta D",620,IF(Atletas!R413="Dao E",621,IF(Atletas!R413="Jian E",622,IF(Atletas!R413="Bishou E",623,IF(Atletas!R413="Shanzi E",624,IF(Atletas!R413="Outra Arma Curta E",625,IF(Atletas!R413="Dao F",626,IF(Atletas!R413="Jian F",627,IF(Atletas!R413="Bishou F",628,IF(Atletas!R413="Shanzi F",629,IF(Atletas!R413="Outra Arma Curta F",630, "")))))))))))))))))))))))))))))))</f>
        <v/>
      </c>
      <c r="CA422" s="50" t="str">
        <f>IF(Atletas!S413="","",IF(Atletas!X413&lt;&gt;"",10000,0)+IF(Atletas!B413="Feminino",1000,IF(Atletas!B413="Masculino",2000,""))+IF(Atletas!S413="Gun A",701,IF(Atletas!S413="Qiang A",702,IF(Atletas!S413="Pudao / Guandao A",703,IF(Atletas!S413="Outra Arma Longa A",704,IF(Atletas!S413="Gun B",705,IF(Atletas!S413="Qiang B",706,IF(Atletas!S413="Pudao / Guandao B",707,IF(Atletas!S413="Outra Arma Longa B",708,IF(Atletas!S413="Gun C",709,IF(Atletas!S413="Qiang C",710,IF(Atletas!S413="Pudao / Guandao C",711,IF(Atletas!S413="Outra Arma Longa C",712,IF(Atletas!S413="Gun D",713,IF(Atletas!S413="Qiang D",714,IF(Atletas!S413="Pudao / Guandao D",715,IF(Atletas!S413="Outra Arma Longa D",716,IF(Atletas!S413="Gun E",717,IF(Atletas!S413="Qiang E",718,IF(Atletas!S413="Pudao / Guandao E",719,IF(Atletas!S413="Outra Arma Longa E",720,IF(Atletas!S413="Gun F",721,IF(Atletas!S413="Qiang F",722,IF(Atletas!S413="Pudao / Guandao F",723,IF(Atletas!S413="Outra Arma Longa F",724,"")))))))))))))))))))))))))</f>
        <v/>
      </c>
      <c r="CB422" s="50" t="str">
        <f>IF(Atletas!T413="","",IF(Atletas!X413&lt;&gt;"",10000,0)+IF(Atletas!B413="Feminino",1000,IF(Atletas!B413="Masculino",2000,""))+IF(Atletas!T413="Outra Arma Dupla A",801,IF(Atletas!T413="Arma Maleável A",802,IF(Atletas!T413="Outra Arma Dupla B",803,IF(Atletas!T413="Arma Maleável B",804,IF(Atletas!T413="Outra Arma Dupla C",805,IF(Atletas!T413="Arma Maleável C",806,IF(Atletas!T413="Outra Arma Dupla D",807,IF(Atletas!T413="Arma Maleável D",808,IF(Atletas!T413="Outra Arma Dupla E",809,IF(Atletas!T413="Arma Maleável E",810,IF(Atletas!T413="Outra Arma Dupla F",811,IF(Atletas!T413="Arma Maleável F",812,IF(Atletas!T413="Shuangdao A",813,IF(Atletas!T413="Shuangdao B",814,IF(Atletas!T413="Shuangdao C",815,IF(Atletas!T413="Shuangdao D",816,IF(Atletas!T413="Shuangdao E",817,IF(Atletas!T413="Shuangdao F",818,"")))))))))))))))))))</f>
        <v/>
      </c>
      <c r="CC422" s="50" t="str">
        <f>IF(Atletas!U413="","",IF(Atletas!X413&lt;&gt;"",10000,0)+IF(Atletas!B413="Feminino",1000,IF(Atletas!B413="Masculino",2000,""))+IF(OR(Atletas!U413="Taijijian Yang A",Atletas!U413="Taijijian Yang Standard A"),901,IF(OR(Atletas!U413="Taijijian Chen A", Atletas!U413="Taijijian Chen Standard A"),902,IF(Atletas!U413="Taijijian Sun A",903,IF(Atletas!U413="Taijijian Wu A",904,IF(Atletas!U413="Taijijian Wu-Hao A",905,IF(OR(Atletas!U413="Taijijian 32 A",Atletas!U413="Taijijian 42 A"),906,IF(OR(Atletas!U413="Taijijian Yang B",Atletas!U413="Taijijian Yang Standard B"),907,IF(OR(Atletas!U413="Taijijian Chen B", Atletas!U413="Taijijian Chen Standard B"),908,IF(Atletas!U413="Taijijian Sun B",909,IF(Atletas!U413="Taijijian Wu B",910,IF(Atletas!U413="Taijijian Wu-Hao B",911,IF(OR(Atletas!U413="Taijijian 32 B",Atletas!U413="Taijijian 42 B"),912,IF(OR(Atletas!U413="Taijijian Yang C",Atletas!U413="Taijijian Yang Standard C"),913,IF(OR(Atletas!U413="Taijijian Chen C", Atletas!U413="Taijijian Chen Standard C"),914,IF(Atletas!U413="Taijijian Sun C",915,IF(Atletas!U413="Taijijian Wu C",916,IF(Atletas!U413="Taijijian Wu-Hao C",917,IF(OR(Atletas!U413="Taijijian 32 C",Atletas!U413="Taijijian 42 C"),918,IF(OR(Atletas!U413="Taijijian Yang D",Atletas!U413="Taijijian Yang Standard D"),919,IF(OR(Atletas!U413="Taijijian Chen D", Atletas!U413="Taijijian Chen Standard D"),920,IF(Atletas!U413="Taijijian Sun D",921,IF(Atletas!U413="Taijijian Wu D",922,IF(Atletas!U413="Taijijian Wu-Hao D",923,IF(OR(Atletas!U413="Taijijian 32 D",Atletas!U413="Taijijian 42 D"),924,IF(OR(Atletas!U413="Taijijian Yang E",Atletas!U413="Taijijian Yang Standard E"),925,IF(OR(Atletas!U413="Taijijian Chen E", Atletas!U413="Taijijian Chen Standard E"),926,IF(Atletas!U413="Taijijian Sun E",927,IF(Atletas!U413="Taijijian Wu E",928,IF(Atletas!U413="Taijijian Wu-Hao E",929,IF(OR(Atletas!U413="Taijijian 32 E",Atletas!U413="Taijijian 42 E"),930,IF(OR(Atletas!U413="Taijijian Yang F",Atletas!U413="Taijijian Yang Standard F"),931,IF(OR(Atletas!U413="Taijijian Chen F", Atletas!U413="Taijijian Chen Standard F"),932,IF(Atletas!U413="Taijijian Sun F",933,IF(Atletas!U413="Taijijian Wu F",934,IF(Atletas!U413="Taijijian Wu-Hao F",935,IF(OR(Atletas!U413="Taijijian 32 F",Atletas!U413="Taijijian 42 F"),936,"")))))))))))))))))))))))))))))))))))))</f>
        <v/>
      </c>
      <c r="CD422" s="50" t="str">
        <f>IF(Atletas!V413="","",IF(Atletas!X413&lt;&gt;"",10000,0)+IF(Atletas!B413="Feminino",1000,IF(Atletas!B413="Masculino",2000,""))+IF(Atletas!V413="Taijidao A",937,IF(Atletas!V413="TaijiShanzi A",938,IF(Atletas!V413="Taijiqiang A",939,IF(Atletas!V413="Bagua de Arma A",940,IF(Atletas!V413="Xingyi de Arma A",941,IF(Atletas!V413="Taijidao B",942,IF(Atletas!V413="TaijiShanzi B",943,IF(Atletas!V413="Taijiqiang B",944,IF(Atletas!V413="Bagua de Arma B",945,IF(Atletas!V413="Xingyi de Arma B",946,IF(Atletas!V413="Taijidao C",947,IF(Atletas!V413="TaijiShanzi C",948,IF(Atletas!V413="Taijiqiang C",949,IF(Atletas!V413="Bagua de Arma C",950,IF(Atletas!V413="Xingyi de Arma C",951,IF(Atletas!V413="Taijidao D",952,IF(Atletas!V413="TaijiShanzi D",953,IF(Atletas!V413="Taijiqiang D",954,IF(Atletas!V413="Bagua de Arma D",955,IF(Atletas!V413="Xingyi de Arma D",956,IF(Atletas!V413="Taijidao E",957,IF(Atletas!V413="TaijiShanzi E",958,IF(Atletas!V413="Taijiqiang E",959,IF(Atletas!V413="Bagua de Arma E",960,IF(Atletas!V413="Xingyi de Arma E",961,IF(Atletas!V413="Taijidao F",962,IF(Atletas!V413="TaijiShanzi F",963,IF(Atletas!V413="Taijiqiang F",964,IF(Atletas!V413="Bagua de Arma F",965,IF(Atletas!V413="Xingyi de Arma F",966,"")))))))))))))))))))))))))))))))</f>
        <v/>
      </c>
      <c r="CM422" s="50" t="str">
        <f xml:space="preserve"> IF(Atletas!W413="","",IF(Atletas!W413="Duilian de Mãos BC - Equipe 1",1,IF(Atletas!W413="Duilian de Mãos BC - Equipe 2",2,IF(Atletas!W413="Duilian de Armas BC - Equipe 1",3,IF(Atletas!W413="Duilian de Armas BC - Equipe 2",4,IF(Atletas!W413="Duilian de Mãos DE - Equipe 1",5,IF(Atletas!W413="Duilian de Mãos DE - Equipe 2",6,IF(Atletas!W413="Duilian de Armas DE - Equipe 1",7,IF(Atletas!W413="Duilian de Armas DE - Equipe 2",8,IF(Atletas!W413="Duilian de Tuishou - Equipe 1",9,IF(Atletas!W413="Duilian de Tuishou - Equipe 2",10,IF(Atletas!W413="Grupo Externo ABC - Equipe 1",11,IF(Atletas!W413="Grupo Externo ABC - Equipe 2",12,IF(Atletas!W413="Grupo Interno ABC - Equipe 1",13,IF(Atletas!W413="Grupo Interno ABC - Equipe 2",14,IF(Atletas!W413="Grupo Externo DEF - Equipe 1",15,IF(Atletas!W413="Grupo Externo DEF - Equipe 2",16,IF(Atletas!W413="Grupo Interno DEF - Equipe 1",17,IF(Atletas!W413="Grupo Interno DEF - Equipe 2",18,"")))))))))))))))))))</f>
        <v/>
      </c>
    </row>
    <row r="423" spans="40:91">
      <c r="AN423" s="52" t="str">
        <f>IF(Atletas!D414="","",IF(Atletas!B414="Feminino",100,IF(Atletas!B414="Masculino",200,""))+(IF(Atletas!D414="Kids 30kg",1,IF(Atletas!D414="Kids 32kg",2, IF(Atletas!D414="Kids 34kg",3,IF(Atletas!D414="Kids 36kg",4,IF(Atletas!D414="Kids 39kg",5,IF(Atletas!D414="Kids 42kg",6,IF(Atletas!D414="Kids 45kg",7, IF(Atletas!D414="Infantil 39kg",8,IF(Atletas!D414="Infantil 42kg",9,IF(Atletas!D414="Infantil 45kg",10,IF(Atletas!D414="Infantil 48kg",11,IF(Atletas!D414="Infantil 52kg",12,IF(Atletas!D414="Infantil 56kg",13,IF(Atletas!D414="Infantil 60kg",14,IF(Atletas!D414="Juvenil 48kg",15,IF(Atletas!D414="Juvenil 52kg",16,IF(Atletas!D414="Juvenil 56kg",17,IF(Atletas!D414="Juvenil 60kg",18,IF(Atletas!D414="Juvenil 65kg",19,IF(Atletas!D414="Juvenil 70kg",20,IF(Atletas!D414="Juvenil 75kg",21,IF(Atletas!D414="Juvenil 80kg",22, IF(Atletas!D414="Juvenil 85kg",23,IF(Atletas!D414="Adulto 48kg",24,IF(Atletas!D414="Adulto 52kg",25,IF(Atletas!D414="Adulto 56kg",26,IF(Atletas!D414="Adulto 60kg",27,IF(Atletas!D414="Adulto 65kg",28,IF(Atletas!D414="Adulto 70kg",29,IF(Atletas!D414="Adulto 75kg",30,IF(Atletas!D414="Adulto 80kg",31,IF(Atletas!D414="Adulto 85kg",32,IF(Atletas!D414="Adulto 90kg",33,IF(Atletas!D414="Adulto 100kg",34, IF(Atletas!D414="Adulto +100kg",35,"")))))))))))))))))))))))))))))))))))))</f>
        <v/>
      </c>
      <c r="AS423" s="6" t="str">
        <f>IF(Atletas!E414="","",IF(Atletas!B414="Feminino",100,IF(Atletas!B414="Masculino",200,""))+(IF(Atletas!E414="Juvenil 44kg",1,IF(Atletas!E414="Juvenil 48kg",2,IF(Atletas!E414="Juvenil 52kg",3,IF(Atletas!E414="Juvenil 56kg",4,IF(Atletas!E414="Juvenil 60kg",5,IF(Atletas!E414="Juvenil 65kg",6,IF(Atletas!E414="Juvenil 70kg",7,IF(Atletas!E414="Juvenil 75kg",8,IF(Atletas!E414="Juvenil 82kg",9,IF(Atletas!E414="Juvenil 90kg",10,IF(Atletas!E414="Juvenil 100kg",11,IF(Atletas!E414="Adulto 48kg",12,IF(Atletas!E414="Adulto 52kg",13,IF(Atletas!E414="Adulto 56kg",14,IF(Atletas!E414="Adulto 60kg",15,IF(Atletas!E414="Adulto 65kg",16,IF(Atletas!E414="Adulto 70kg",17,IF(Atletas!E414="Adulto 75kg",18,IF(Atletas!E414="Adulto 82kg",19,IF(Atletas!E414="Adulto 90kg",20,IF(Atletas!E414="Adulto 100kg",21,IF(Atletas!E414="Adulto +100kg",22,""))))))))))))))))))))))))</f>
        <v/>
      </c>
      <c r="AX423" s="6" t="str">
        <f>IF(Atletas!F414="","",IF(Atletas!B414="Feminino",100,IF(Atletas!B414="Masculino",200,""))+(IF(Atletas!F414="Adulto 48kg",1,IF(Atletas!F414="Adulto 56kg",2,IF(Atletas!F414="Adulto 65kg",3,IF(Atletas!F414="Adulto 75kg",4,IF(Atletas!F414="Adulto +75kg",5,IF(Atletas!F414="Adulto 52kg",6,IF(Atletas!F414="Adulto 60kg",7,IF(Atletas!F414="Adulto 70kg",8,IF(Atletas!F414="Adulto 80kg",9,IF(Atletas!F414="Adulto 90kg",10,IF(Atletas!F414="Adulto +90kg",11,"")))))))))))))</f>
        <v/>
      </c>
      <c r="BC423" s="6" t="str">
        <f>IF(Atletas!G414="","",IF(Atletas!B414="Feminino",10,IF(Atletas!B414="Masculino",20,""))+(IF(Atletas!G414="Baduanjin A",1,IF(Atletas!G414="Baduanjin B",2))))</f>
        <v/>
      </c>
      <c r="BF423" s="52" t="str">
        <f>IF(Atletas!H414="","",IF(Atletas!B414="Feminino",100,IF(Atletas!B414="Masculino",200,""))+(IF(Atletas!H414="Changquan Mirim",1,IF(Atletas!H414="Nanquan Mirim",2,IF(Atletas!H414="Taijiquan Mirim",3,IF(Atletas!H414="Changquan Grupo C",4,IF(Atletas!H414="Nanquan Grupo C",5,IF(Atletas!H414="Taijiquan Grupo C",6,IF(Atletas!H414="Changquan Grupo B",7,IF(Atletas!H414="Nanquan Grupo B",8,IF(Atletas!H414="Taijiquan Grupo B",9,IF(Atletas!H414="Changquan Grupo A",10,IF(Atletas!H414="Nanquan Grupo A",11,IF(Atletas!H414="Taijiquan Grupo A",12,IF(Atletas!H414="Changquan Opcional",13,IF(Atletas!H414="Nanquan Opcional",14,IF(Atletas!H414="Taijiquan Opcional",15,IF(Atletas!H414="Changquan Adulto",16,IF(Atletas!H414="Nanquan Adulto",17,IF(Atletas!H414="Taijiquan Adulto",18,""))))))))))))))))))))</f>
        <v/>
      </c>
      <c r="BG423" s="52" t="str">
        <f>IF(Atletas!I414="","",IF(Atletas!B414="Feminino",100,IF(Atletas!B414="Masculino",200,""))+(IF(Atletas!I414="Daoshu Mirim",19,IF(Atletas!I414="Jianshu Mirim",20,IF(Atletas!I414="Nandao Mirim",21,IF(Atletas!I414="Taijijian Mirim",22,IF(Atletas!I414="Daoshu Grupo C",23,IF(Atletas!I414="Jianshu Grupo C",24,IF(Atletas!I414="Nandao Grupo C",25,IF(Atletas!I414="Taijijian Grupo C",26,IF(Atletas!I414="Daoshu Grupo B",27,IF(Atletas!I414="Jianshu Grupo B",28,IF(Atletas!I414="Nandao Grupo B",29,IF(Atletas!I414="Taijijian Grupo B",30,IF(Atletas!I414="Daoshu Grupo A",31,IF(Atletas!I414="Jianshu Grupo A",32,IF(Atletas!I414="Nandao Grupo A",33,IF(Atletas!I414="Taijijian Grupo A",34,IF(Atletas!I414="Daoshu Opcional",35,IF(Atletas!I414="Jianshu Opcional",36,IF(Atletas!I414="Nandao Opcional",37,IF(Atletas!I414="Taijijian Opcional",38,IF(Atletas!I414="Daoshu Adulto",39,IF(Atletas!I414="Jianshu Adulto",40,IF(Atletas!I414="Nandao Adulto",41,IF(Atletas!I414="Taijijian Adulto",42,""))))))))))))))))))))))))))</f>
        <v/>
      </c>
      <c r="BH423" s="52" t="str">
        <f>IF(Atletas!J414="","",IF(Atletas!B414="Feminino",100,IF(Atletas!B414="Masculino",200,""))+(IF(Atletas!J414="Gunshu Mirim",43,IF(Atletas!J414="Qiangshu Mirim",44,IF(Atletas!J414="Nangun Mirim",45,IF(Atletas!J414="Gunshu Grupo C",46,IF(Atletas!J414="Qiangshu Grupo C",47,IF(Atletas!J414="Nangun Grupo C",48,IF(Atletas!J414="Gunshu Grupo B",49,IF(Atletas!J414="Qiangshu Grupo B",50,IF(Atletas!J414="Nangun Grupo B",51,IF(Atletas!J414="Gunshu Grupo A",52,IF(Atletas!J414="Qiangshu Grupo A",53,IF(Atletas!J414="Nangun Grupo A",54,IF(Atletas!J414="Gunshu Opcional",55,IF(Atletas!J414="Qiangshu Opcional",56,IF(Atletas!J414="Nangun Opcional",57,IF(Atletas!J414="Gunshu Adulto",58,IF(Atletas!J414="Qiangshu Adulto",59,IF(Atletas!J414="Nangun Adulto",60,IF(Atletas!J414="Taijishan Grupo B",61,IF(Atletas!J414="Taijishan Grupo A",62,""))))))))))))))))))))))</f>
        <v/>
      </c>
      <c r="BM423" s="50" t="str">
        <f>IF(Atletas!K414="","",IF(Atletas!B414="Feminino",100,IF(Atletas!B414="Masculino",200,""))+(IF(Atletas!K414="Equipe 1 Grupo B",1,IF(Atletas!K414="Equipe 2 Grupo B",2,IF(Atletas!K414="Equipe 1 Grupo A",3,IF(Atletas!K414="Equipe 2 Grupo A",4,IF(Atletas!K414="Equipe 1 Adulto",5,IF(Atletas!K414="Equipe 2 Adulto",6,""))))))))</f>
        <v/>
      </c>
      <c r="BR423" s="50" t="str">
        <f>IF(Atletas!L414="","",IF(Atletas!X414&lt;&gt;"",10000,0)+(IF(Atletas!B414="Feminino",1000,IF(Atletas!B414="Masculino",2000,""))+IF(Atletas!L414="Choylayfut A",1,IF(Atletas!L414="Hunggar A",2,IF(Atletas!L414="Wuzuquan A",3,IF(Atletas!L414="Wingchun A",4,IF(Atletas!L414="Outra Mão de Sul A",5,IF(Atletas!L414="Choylayfut B",6,IF(Atletas!L414="Hunggar B",7,IF(Atletas!L414="Wuzuquan B",8,IF(Atletas!L414="Wingchun B",9,IF(Atletas!L414="Outra Mão de Sul B",10,IF(Atletas!L414="Choylayfut C",11,IF(Atletas!L414="Hunggar C",12,IF(Atletas!L414="Wuzuquan C",13,IF(Atletas!L414="Wingchun C",14,IF(Atletas!L414="Outra Mão de Sul C",15,IF(Atletas!L414="Choylayfut D",16,IF(Atletas!L414="Hunggar D",17,IF(Atletas!L414="Wuzuquan D",18,IF(Atletas!L414="Wingchun D",19,IF(Atletas!L414="Outra Mão de Sul D",20,IF(Atletas!L414="Choylayfut E",21,IF(Atletas!L414="Hunggar E",22,IF(Atletas!L414="Wuzuquan E",23,IF(Atletas!L414="Wingchun E",24,IF(Atletas!L414="Outra Mão de Sul E",25,IF(Atletas!L414="Choylayfut F",26,IF(Atletas!L414="Hunggar F",27,IF(Atletas!L414="Wuzuquan F",28,IF(Atletas!L414="Wingchun F",29,IF(Atletas!L414="Outra Mão de Sul F",30,IF(Atletas!L414="Dishuquan A",31,IF(Atletas!L414="Dishuquan B",32,IF(Atletas!L414="Dishuquan C",33,IF(Atletas!L414="Dishuquan D",34,IF(Atletas!L414="Dishuquan E",35,IF(Atletas!L414="Dishuquan F",36,""))))))))))))))))))))))))))))))))))))))</f>
        <v/>
      </c>
      <c r="BS423" s="50" t="str">
        <f>IF(Atletas!M414="","",IF(Atletas!X414&lt;&gt;"",10000,0)+(IF(Atletas!B414="Feminino",1000,IF(Atletas!B414="Masculino",2000,""))+(IF(Atletas!M414="Chaquan A",101,IF(Atletas!M414="Emeiquan A",102,IF(Atletas!M414="Fanziquan A",103,IF(Atletas!M414="Huaquan A",104,IF(Atletas!M414="Hongquan A",105,IF(Atletas!M414="Paoquan A",106,IF(Atletas!M414="Piguaquan A",107,IF(Atletas!M414="Shaolinquan A",108,IF(Atletas!M414="Tanglangquan A",109,IF(Atletas!M414="Yingzhaoquan A",110,IF(Atletas!M414="Tongbeiquan A",111,IF(Atletas!M414="Wudangquan A",112,IF(Atletas!M414="Outros Estilos A",113,IF(Atletas!M414="Chaquan B",114,IF(Atletas!M414="Emeiquan B",115,IF(Atletas!M414="Fanziquan B",116,IF(Atletas!M414="Huaquan B",117,IF(Atletas!M414="Hongquan B",118,IF(Atletas!M414="Paoquan B",119,IF(Atletas!M414="Piguaquan B",120,IF(Atletas!M414="Shaolinquan B",121,IF(Atletas!M414="Tanglangquan B",122,IF(Atletas!M414="Yingzhaoquan B",123,IF(Atletas!M414="Tongbeiquan B",124,IF(Atletas!M414="Wudangquan B",125,IF(Atletas!M414="Outros Estilos B",126,IF(Atletas!M414="Chaquan C",127,IF(Atletas!M414="Emeiquan C",128,IF(Atletas!M414="Fanziquan C",129,IF(Atletas!M414="Huaquan C",130,IF(Atletas!M414="Hongquan C",131,IF(Atletas!M414="Paoquan C",132,IF(Atletas!M414="Piguaquan C",133,IF(Atletas!M414="Shaolinquan C",134,IF(Atletas!M414="Tanglangquan C",135,IF(Atletas!M414="Yingzhaoquan C",136,IF(Atletas!M414="Tongbeiquan C",137,IF(Atletas!M414="Wudangquan C",138,IF(Atletas!M414="Outros Estilos C",139,0))))))))))))))))))))))))))))))))))))))))))</f>
        <v/>
      </c>
      <c r="BT423" s="50" t="str">
        <f>IF(Atletas!M414="","",IF(Atletas!X414&lt;&gt;"",10000,0)+(IF(Atletas!B414="Feminino",1000,IF(Atletas!B414="Masculino",2000,""))+(IF(Atletas!M414="Chaquan D",140,IF(Atletas!M414="Emeiquan D",141,IF(Atletas!M414="Fanziquan D",142,IF(Atletas!M414="Huaquan D",143,IF(Atletas!M414="Hongquan D",144,IF(Atletas!M414="Paoquan D",145,IF(Atletas!M414="Piguaquan D",146,IF(Atletas!M414="Shaolinquan D",147,IF(Atletas!M414="Tanglangquan D",148,IF(Atletas!M414="Yingzhaoquan D",149,IF(Atletas!M414="Tongbeiquan D",150,IF(Atletas!M414="Wudangquan D",151,IF(Atletas!M414="Outros Estilos D",152,IF(Atletas!M414="Chaquan E",153,IF(Atletas!M414="Emeiquan E",154,IF(Atletas!M414="Fanziquan E",155,IF(Atletas!M414="Huaquan E",156,IF(Atletas!M414="Hongquan E",157,IF(Atletas!M414="Paoquan E",158,IF(Atletas!M414="Piguaquan E",159,IF(Atletas!M414="Shaolinquan E",160,IF(Atletas!M414="Tanglangquan E",161,IF(Atletas!M414="Yingzhaoquan E",162,IF(Atletas!M414="Tongbeiquan E",163,IF(Atletas!M414="Wudangquan E",164,IF(Atletas!M414="Outros Estilos E",165,IF(Atletas!M414="Chaquan F",166,IF(Atletas!M414="Emeiquan F",167,IF(Atletas!M414="Fanziquan F",168,IF(Atletas!M414="Huaquan F",169,IF(Atletas!M414="Hongquan F",170,IF(Atletas!M414="Paoquan F",171,IF(Atletas!M414="Piguaquan F",172,IF(Atletas!M414="Shaolinquan F",173,IF(Atletas!M414="Tanglangquan F",174,IF(Atletas!M414="Yingzhaoquan F",175,IF(Atletas!M414="Tongbeiquan F",176,IF(Atletas!M414="Wudangquan F",177,IF(Atletas!M414="Outros Estilos F",178,0))))))))))))))))))))))))))))))))))))))))))</f>
        <v/>
      </c>
      <c r="BU423" s="50" t="str">
        <f>IF(Atletas!N414="","",IF(Atletas!X414&lt;&gt;"",10000,0)+(IF(Atletas!B414="Feminino",1000,IF(Atletas!B414="Masculino",2000,""))+(IF(Atletas!N414="Ditangquan A",201,IF(Atletas!N414="Houquan A",202,IF(Atletas!N414="Zuiquan A",203,IF(Atletas!N414="Ditangquan B",204,IF(Atletas!N414="Houquan B",205,IF(Atletas!N414="Zuiquan B",206,IF(Atletas!N414="Ditangquan C",207,IF(Atletas!N414="Houquan C",208,IF(Atletas!N414="Zuiquan C",209,IF(Atletas!N414="Ditangquan D",210,IF(Atletas!N414="Houquan D",211,IF(Atletas!N414="Zuiquan D",212,IF(Atletas!N414="Ditangquan E",213,IF(Atletas!N414="Houquan E",214,IF(Atletas!N414="Zuiquan E",215,IF(Atletas!N414="Ditangquan F",216,IF(Atletas!N414="Houquan F",217,IF(Atletas!N414="Zuiquan F",218,"")))))))))))))))))))))</f>
        <v/>
      </c>
      <c r="BV423" s="50" t="str">
        <f>IF(Atletas!O414="","",IF(Atletas!X414&lt;&gt;"",10000,0)+IF(Atletas!B414="Feminino",1000,IF(Atletas!B414="Masculino",2000,""))+IF(Atletas!O414="Yang A",301,IF(Atletas!O414="Chen A",302,IF(Atletas!O414="Sun A",303,IF(Atletas!O414="Wu A",304,IF(Atletas!O414="Wu-Hao A",305,IF(Atletas!O414="Outro Taijiquan A",306,IF(Atletas!O414="Yang B",307,IF(Atletas!O414="Chen B",308,IF(Atletas!O414="Sun B",309,IF(Atletas!O414="Wu B",310,IF(Atletas!O414="Wu-Hao B",311,IF(Atletas!O414="Outro Taijiquan B",312,IF(Atletas!O414="Yang C",313,IF(Atletas!O414="Chen C",314,IF(Atletas!O414="Sun C",315,IF(Atletas!O414="Wu C",316,IF(Atletas!O414="Wu-Hao C",317,IF(Atletas!O414="Outro Taijiquan C",318,IF(Atletas!O414="Yang D",319,IF(Atletas!O414="Chen D",320,IF(Atletas!O414="Sun D",321,IF(Atletas!O414="Wu D",322,IF(Atletas!O414="Wu-Hao D",323,IF(Atletas!O414="Outro Taijiquan D",324,IF(Atletas!O414="Yang E",325,IF(Atletas!O414="Chen E",326,IF(Atletas!O414="Sun E",327,IF(Atletas!O414="Wu E",328,IF(Atletas!O414="Wu-Hao E",329,IF(Atletas!O414="Outro Taijiquan E",330,IF(Atletas!O414="Yang F",331,IF(Atletas!O414="Chen F",332,IF(Atletas!O414="Sun F",333,IF(Atletas!O414="Wu F",334,IF(Atletas!O414="Wu-Hao F",335,IF(Atletas!O414="Outro Taijiquan F",336,"")))))))))))))))))))))))))))))))))))))</f>
        <v/>
      </c>
      <c r="BW423" s="50" t="str">
        <f>IF(Atletas!P414="","",IF(Atletas!X414&lt;&gt;"",10000,0)+IF(Atletas!B414="Feminino",1000,IF(Atletas!B414="Masculino",2000,""))+IF(OR(Atletas!P414="Yang 26 A",Atletas!P414="Yang 40 A"),401,IF(OR(Atletas!P414="Chen 25 A",Atletas!P414="Chen 36 A",Atletas!P414="Chen 56 A"),402,IF(Atletas!P414="Sun 73 A",403,IF(Atletas!P414="Wu 45 A",404,IF(Atletas!P414="Wu-Hao 46 A",405,IF(OR(Atletas!P414="Taijiquan 16 A",Atletas!P414="Taijiquan 24 A",Atletas!P414="Taijiquan 32 A",Atletas!P414="Taijiquan 42 A"),406,IF(OR(Atletas!P414="Yang 26 B",Atletas!P414="Yang 40 B"),407,IF(OR(Atletas!P414="Chen 25 B",Atletas!P414="Chen 36 B",Atletas!P414="Chen 56 B"),408,IF(Atletas!P414="Sun 73 B",409,IF(Atletas!P414="Wu 45 B",410,IF(Atletas!P414="Wu-Hao 46 B",411,IF(OR(Atletas!P414="Taijiquan 16 B",Atletas!P414="Taijiquan 24 B",Atletas!P414="Taijiquan 32 B",Atletas!P414="Taijiquan 42 B"),412,IF(OR(Atletas!P414="Yang 26 C",Atletas!P414="Yang 40 C"),413,IF(OR(Atletas!P414="Chen 25 C",Atletas!P414="Chen 36 C",Atletas!P414="Chen 56 C"),414,IF(Atletas!P414="Sun 73 C",415,IF(Atletas!P414="Wu 45 C",416,IF(Atletas!P414="Wu-Hao 46 C",417,IF(OR(Atletas!P414="Taijiquan 16 C",Atletas!P414="Taijiquan 24 C",Atletas!P414="Taijiquan 32 C",Atletas!P414="Taijiquan 42 C"),418,0)))))))))))))))))))</f>
        <v/>
      </c>
      <c r="BX423" s="50" t="str">
        <f>IF(Atletas!P414="","",IF(Atletas!X414&lt;&gt;"",10000,0)+IF(Atletas!B414="Feminino",1000,IF(Atletas!B414="Masculino",2000,""))+IF(OR(Atletas!P414="Yang 26 D",Atletas!P414="Yang 40 D"),419,IF(OR(Atletas!P414="Chen 25 D",Atletas!P414="Chen 36 D",Atletas!P414="Chen 56 D"),420,IF(Atletas!P414="Sun 73 D",421,IF(Atletas!P414="Wu 45 D",422,IF(Atletas!P414="Wu-Hao 46 D",423,IF(OR(Atletas!P414="Taijiquan 16 D",Atletas!P414="Taijiquan 24 D",Atletas!P414="Taijiquan 32 D",Atletas!P414="Taijiquan 42 D"),424,IF(OR(Atletas!P414="Yang 26 E",Atletas!P414="Yang 40 E"),425,IF(OR(Atletas!P414="Chen 25 E",Atletas!P414="Chen 36 E",Atletas!P414="Chen 56 E"),426,IF(Atletas!P414="Sun 73 E",427,IF(Atletas!P414="Wu 45 E",428,IF(Atletas!P414="Wu-Hao 46 E",429,IF(OR(Atletas!P414="Taijiquan 16 E",Atletas!P414="Taijiquan 24 E",Atletas!P414="Taijiquan 32 E",Atletas!P414="Taijiquan 42 E"),430,IF(OR(Atletas!P414="Yang 26 F",Atletas!P414="Yang 40 F"),431,IF(OR(Atletas!P414="Chen 25 F",Atletas!P414="Chen 36 F",Atletas!P414="Chen 56 F"),432,IF(Atletas!P414="Sun 73 F",433,IF(Atletas!P414="Wu 45 F",434,IF(Atletas!P414="Wu-Hao 46 F",435,IF(OR(Atletas!P414="Taijiquan 16 F",Atletas!P414="Taijiquan 24 F",Atletas!P414="Taijiquan 32 F",Atletas!P414="Taijiquan 42 F"),436,0)))))))))))))))))))</f>
        <v/>
      </c>
      <c r="BY423" s="50" t="str">
        <f>IF(Atletas!Q414="","",IF(Atletas!X414&lt;&gt;"",10000,0)+IF(Atletas!B414="Feminino",1000,IF(Atletas!B414="Masculino",2000,""))+IF(Atletas!Q414="Xingyiquan A",501,IF(Atletas!Q414="Baguazhang A",502,IF(Atletas!Q414="Outro Estilo Interno A",503,IF(Atletas!Q414="Xingyiquan B",504,IF(Atletas!Q414="Baguazhang B",505,IF(Atletas!Q414="Outro Estilo Interno B",506,IF(Atletas!Q414="Xingyiquan C",507,IF(Atletas!Q414="Baguazhang C",508,IF(Atletas!Q414="Outro Estilo Interno C",509,IF(Atletas!Q414="Xingyiquan D",510,IF(Atletas!Q414="Baguazhang D",511,IF(Atletas!Q414="Outro Estilo Interno D",512,IF(Atletas!Q414="Xingyiquan E",513,IF(Atletas!Q414="Baguazhang E",514,IF(Atletas!Q414="Outro Estilo Interno E",515,IF(Atletas!Q414="Xingyiquan F",516,IF(Atletas!Q414="Baguazhang F",517,IF(Atletas!Q414="Outro Estilo Interno F",518, "")))))))))))))))))))</f>
        <v/>
      </c>
      <c r="BZ423" s="50" t="str">
        <f>IF(Atletas!R414="","",IF(Atletas!X414&lt;&gt;"",10000,0)+IF(Atletas!B414="Feminino",1000,IF(Atletas!B414="Masculino",2000,""))+IF(Atletas!R414="Dao A",601,IF(Atletas!R414="Jian A",602,IF(Atletas!R414="Bishou A",603,IF(Atletas!R414="Shanzi A",604,IF(Atletas!R414="Outra Arma Curta A",605,IF(Atletas!R414="Dao B",606,IF(Atletas!R414="Jian B",607,IF(Atletas!R414="Bishou B",608,IF(Atletas!R414="Shanzi B",609,IF(Atletas!R414="Outra Arma Curta B",610,IF(Atletas!R414="Dao C",611,IF(Atletas!R414="Jian C",612,IF(Atletas!R414="Bishou C",613,IF(Atletas!R414="Shanzi C",614,IF(Atletas!R414="Outra Arma Curta C",615,IF(Atletas!R414="Dao D",616,IF(Atletas!R414="Jian D",617,IF(Atletas!R414="Bishou D",618,IF(Atletas!R414="Shanzi D",619,IF(Atletas!R414="Outra Arma Curta D",620,IF(Atletas!R414="Dao E",621,IF(Atletas!R414="Jian E",622,IF(Atletas!R414="Bishou E",623,IF(Atletas!R414="Shanzi E",624,IF(Atletas!R414="Outra Arma Curta E",625,IF(Atletas!R414="Dao F",626,IF(Atletas!R414="Jian F",627,IF(Atletas!R414="Bishou F",628,IF(Atletas!R414="Shanzi F",629,IF(Atletas!R414="Outra Arma Curta F",630, "")))))))))))))))))))))))))))))))</f>
        <v/>
      </c>
      <c r="CA423" s="50" t="str">
        <f>IF(Atletas!S414="","",IF(Atletas!X414&lt;&gt;"",10000,0)+IF(Atletas!B414="Feminino",1000,IF(Atletas!B414="Masculino",2000,""))+IF(Atletas!S414="Gun A",701,IF(Atletas!S414="Qiang A",702,IF(Atletas!S414="Pudao / Guandao A",703,IF(Atletas!S414="Outra Arma Longa A",704,IF(Atletas!S414="Gun B",705,IF(Atletas!S414="Qiang B",706,IF(Atletas!S414="Pudao / Guandao B",707,IF(Atletas!S414="Outra Arma Longa B",708,IF(Atletas!S414="Gun C",709,IF(Atletas!S414="Qiang C",710,IF(Atletas!S414="Pudao / Guandao C",711,IF(Atletas!S414="Outra Arma Longa C",712,IF(Atletas!S414="Gun D",713,IF(Atletas!S414="Qiang D",714,IF(Atletas!S414="Pudao / Guandao D",715,IF(Atletas!S414="Outra Arma Longa D",716,IF(Atletas!S414="Gun E",717,IF(Atletas!S414="Qiang E",718,IF(Atletas!S414="Pudao / Guandao E",719,IF(Atletas!S414="Outra Arma Longa E",720,IF(Atletas!S414="Gun F",721,IF(Atletas!S414="Qiang F",722,IF(Atletas!S414="Pudao / Guandao F",723,IF(Atletas!S414="Outra Arma Longa F",724,"")))))))))))))))))))))))))</f>
        <v/>
      </c>
      <c r="CB423" s="50" t="str">
        <f>IF(Atletas!T414="","",IF(Atletas!X414&lt;&gt;"",10000,0)+IF(Atletas!B414="Feminino",1000,IF(Atletas!B414="Masculino",2000,""))+IF(Atletas!T414="Outra Arma Dupla A",801,IF(Atletas!T414="Arma Maleável A",802,IF(Atletas!T414="Outra Arma Dupla B",803,IF(Atletas!T414="Arma Maleável B",804,IF(Atletas!T414="Outra Arma Dupla C",805,IF(Atletas!T414="Arma Maleável C",806,IF(Atletas!T414="Outra Arma Dupla D",807,IF(Atletas!T414="Arma Maleável D",808,IF(Atletas!T414="Outra Arma Dupla E",809,IF(Atletas!T414="Arma Maleável E",810,IF(Atletas!T414="Outra Arma Dupla F",811,IF(Atletas!T414="Arma Maleável F",812,IF(Atletas!T414="Shuangdao A",813,IF(Atletas!T414="Shuangdao B",814,IF(Atletas!T414="Shuangdao C",815,IF(Atletas!T414="Shuangdao D",816,IF(Atletas!T414="Shuangdao E",817,IF(Atletas!T414="Shuangdao F",818,"")))))))))))))))))))</f>
        <v/>
      </c>
      <c r="CC423" s="50" t="str">
        <f>IF(Atletas!U414="","",IF(Atletas!X414&lt;&gt;"",10000,0)+IF(Atletas!B414="Feminino",1000,IF(Atletas!B414="Masculino",2000,""))+IF(OR(Atletas!U414="Taijijian Yang A",Atletas!U414="Taijijian Yang Standard A"),901,IF(OR(Atletas!U414="Taijijian Chen A", Atletas!U414="Taijijian Chen Standard A"),902,IF(Atletas!U414="Taijijian Sun A",903,IF(Atletas!U414="Taijijian Wu A",904,IF(Atletas!U414="Taijijian Wu-Hao A",905,IF(OR(Atletas!U414="Taijijian 32 A",Atletas!U414="Taijijian 42 A"),906,IF(OR(Atletas!U414="Taijijian Yang B",Atletas!U414="Taijijian Yang Standard B"),907,IF(OR(Atletas!U414="Taijijian Chen B", Atletas!U414="Taijijian Chen Standard B"),908,IF(Atletas!U414="Taijijian Sun B",909,IF(Atletas!U414="Taijijian Wu B",910,IF(Atletas!U414="Taijijian Wu-Hao B",911,IF(OR(Atletas!U414="Taijijian 32 B",Atletas!U414="Taijijian 42 B"),912,IF(OR(Atletas!U414="Taijijian Yang C",Atletas!U414="Taijijian Yang Standard C"),913,IF(OR(Atletas!U414="Taijijian Chen C", Atletas!U414="Taijijian Chen Standard C"),914,IF(Atletas!U414="Taijijian Sun C",915,IF(Atletas!U414="Taijijian Wu C",916,IF(Atletas!U414="Taijijian Wu-Hao C",917,IF(OR(Atletas!U414="Taijijian 32 C",Atletas!U414="Taijijian 42 C"),918,IF(OR(Atletas!U414="Taijijian Yang D",Atletas!U414="Taijijian Yang Standard D"),919,IF(OR(Atletas!U414="Taijijian Chen D", Atletas!U414="Taijijian Chen Standard D"),920,IF(Atletas!U414="Taijijian Sun D",921,IF(Atletas!U414="Taijijian Wu D",922,IF(Atletas!U414="Taijijian Wu-Hao D",923,IF(OR(Atletas!U414="Taijijian 32 D",Atletas!U414="Taijijian 42 D"),924,IF(OR(Atletas!U414="Taijijian Yang E",Atletas!U414="Taijijian Yang Standard E"),925,IF(OR(Atletas!U414="Taijijian Chen E", Atletas!U414="Taijijian Chen Standard E"),926,IF(Atletas!U414="Taijijian Sun E",927,IF(Atletas!U414="Taijijian Wu E",928,IF(Atletas!U414="Taijijian Wu-Hao E",929,IF(OR(Atletas!U414="Taijijian 32 E",Atletas!U414="Taijijian 42 E"),930,IF(OR(Atletas!U414="Taijijian Yang F",Atletas!U414="Taijijian Yang Standard F"),931,IF(OR(Atletas!U414="Taijijian Chen F", Atletas!U414="Taijijian Chen Standard F"),932,IF(Atletas!U414="Taijijian Sun F",933,IF(Atletas!U414="Taijijian Wu F",934,IF(Atletas!U414="Taijijian Wu-Hao F",935,IF(OR(Atletas!U414="Taijijian 32 F",Atletas!U414="Taijijian 42 F"),936,"")))))))))))))))))))))))))))))))))))))</f>
        <v/>
      </c>
      <c r="CD423" s="50" t="str">
        <f>IF(Atletas!V414="","",IF(Atletas!X414&lt;&gt;"",10000,0)+IF(Atletas!B414="Feminino",1000,IF(Atletas!B414="Masculino",2000,""))+IF(Atletas!V414="Taijidao A",937,IF(Atletas!V414="TaijiShanzi A",938,IF(Atletas!V414="Taijiqiang A",939,IF(Atletas!V414="Bagua de Arma A",940,IF(Atletas!V414="Xingyi de Arma A",941,IF(Atletas!V414="Taijidao B",942,IF(Atletas!V414="TaijiShanzi B",943,IF(Atletas!V414="Taijiqiang B",944,IF(Atletas!V414="Bagua de Arma B",945,IF(Atletas!V414="Xingyi de Arma B",946,IF(Atletas!V414="Taijidao C",947,IF(Atletas!V414="TaijiShanzi C",948,IF(Atletas!V414="Taijiqiang C",949,IF(Atletas!V414="Bagua de Arma C",950,IF(Atletas!V414="Xingyi de Arma C",951,IF(Atletas!V414="Taijidao D",952,IF(Atletas!V414="TaijiShanzi D",953,IF(Atletas!V414="Taijiqiang D",954,IF(Atletas!V414="Bagua de Arma D",955,IF(Atletas!V414="Xingyi de Arma D",956,IF(Atletas!V414="Taijidao E",957,IF(Atletas!V414="TaijiShanzi E",958,IF(Atletas!V414="Taijiqiang E",959,IF(Atletas!V414="Bagua de Arma E",960,IF(Atletas!V414="Xingyi de Arma E",961,IF(Atletas!V414="Taijidao F",962,IF(Atletas!V414="TaijiShanzi F",963,IF(Atletas!V414="Taijiqiang F",964,IF(Atletas!V414="Bagua de Arma F",965,IF(Atletas!V414="Xingyi de Arma F",966,"")))))))))))))))))))))))))))))))</f>
        <v/>
      </c>
      <c r="CM423" s="50" t="str">
        <f xml:space="preserve"> IF(Atletas!W414="","",IF(Atletas!W414="Duilian de Mãos BC - Equipe 1",1,IF(Atletas!W414="Duilian de Mãos BC - Equipe 2",2,IF(Atletas!W414="Duilian de Armas BC - Equipe 1",3,IF(Atletas!W414="Duilian de Armas BC - Equipe 2",4,IF(Atletas!W414="Duilian de Mãos DE - Equipe 1",5,IF(Atletas!W414="Duilian de Mãos DE - Equipe 2",6,IF(Atletas!W414="Duilian de Armas DE - Equipe 1",7,IF(Atletas!W414="Duilian de Armas DE - Equipe 2",8,IF(Atletas!W414="Duilian de Tuishou - Equipe 1",9,IF(Atletas!W414="Duilian de Tuishou - Equipe 2",10,IF(Atletas!W414="Grupo Externo ABC - Equipe 1",11,IF(Atletas!W414="Grupo Externo ABC - Equipe 2",12,IF(Atletas!W414="Grupo Interno ABC - Equipe 1",13,IF(Atletas!W414="Grupo Interno ABC - Equipe 2",14,IF(Atletas!W414="Grupo Externo DEF - Equipe 1",15,IF(Atletas!W414="Grupo Externo DEF - Equipe 2",16,IF(Atletas!W414="Grupo Interno DEF - Equipe 1",17,IF(Atletas!W414="Grupo Interno DEF - Equipe 2",18,"")))))))))))))))))))</f>
        <v/>
      </c>
    </row>
    <row r="424" spans="40:91">
      <c r="AN424" s="52" t="str">
        <f>IF(Atletas!D415="","",IF(Atletas!B415="Feminino",100,IF(Atletas!B415="Masculino",200,""))+(IF(Atletas!D415="Kids 30kg",1,IF(Atletas!D415="Kids 32kg",2, IF(Atletas!D415="Kids 34kg",3,IF(Atletas!D415="Kids 36kg",4,IF(Atletas!D415="Kids 39kg",5,IF(Atletas!D415="Kids 42kg",6,IF(Atletas!D415="Kids 45kg",7, IF(Atletas!D415="Infantil 39kg",8,IF(Atletas!D415="Infantil 42kg",9,IF(Atletas!D415="Infantil 45kg",10,IF(Atletas!D415="Infantil 48kg",11,IF(Atletas!D415="Infantil 52kg",12,IF(Atletas!D415="Infantil 56kg",13,IF(Atletas!D415="Infantil 60kg",14,IF(Atletas!D415="Juvenil 48kg",15,IF(Atletas!D415="Juvenil 52kg",16,IF(Atletas!D415="Juvenil 56kg",17,IF(Atletas!D415="Juvenil 60kg",18,IF(Atletas!D415="Juvenil 65kg",19,IF(Atletas!D415="Juvenil 70kg",20,IF(Atletas!D415="Juvenil 75kg",21,IF(Atletas!D415="Juvenil 80kg",22, IF(Atletas!D415="Juvenil 85kg",23,IF(Atletas!D415="Adulto 48kg",24,IF(Atletas!D415="Adulto 52kg",25,IF(Atletas!D415="Adulto 56kg",26,IF(Atletas!D415="Adulto 60kg",27,IF(Atletas!D415="Adulto 65kg",28,IF(Atletas!D415="Adulto 70kg",29,IF(Atletas!D415="Adulto 75kg",30,IF(Atletas!D415="Adulto 80kg",31,IF(Atletas!D415="Adulto 85kg",32,IF(Atletas!D415="Adulto 90kg",33,IF(Atletas!D415="Adulto 100kg",34, IF(Atletas!D415="Adulto +100kg",35,"")))))))))))))))))))))))))))))))))))))</f>
        <v/>
      </c>
      <c r="AS424" s="6" t="str">
        <f>IF(Atletas!E415="","",IF(Atletas!B415="Feminino",100,IF(Atletas!B415="Masculino",200,""))+(IF(Atletas!E415="Juvenil 44kg",1,IF(Atletas!E415="Juvenil 48kg",2,IF(Atletas!E415="Juvenil 52kg",3,IF(Atletas!E415="Juvenil 56kg",4,IF(Atletas!E415="Juvenil 60kg",5,IF(Atletas!E415="Juvenil 65kg",6,IF(Atletas!E415="Juvenil 70kg",7,IF(Atletas!E415="Juvenil 75kg",8,IF(Atletas!E415="Juvenil 82kg",9,IF(Atletas!E415="Juvenil 90kg",10,IF(Atletas!E415="Juvenil 100kg",11,IF(Atletas!E415="Adulto 48kg",12,IF(Atletas!E415="Adulto 52kg",13,IF(Atletas!E415="Adulto 56kg",14,IF(Atletas!E415="Adulto 60kg",15,IF(Atletas!E415="Adulto 65kg",16,IF(Atletas!E415="Adulto 70kg",17,IF(Atletas!E415="Adulto 75kg",18,IF(Atletas!E415="Adulto 82kg",19,IF(Atletas!E415="Adulto 90kg",20,IF(Atletas!E415="Adulto 100kg",21,IF(Atletas!E415="Adulto +100kg",22,""))))))))))))))))))))))))</f>
        <v/>
      </c>
      <c r="AX424" s="6" t="str">
        <f>IF(Atletas!F415="","",IF(Atletas!B415="Feminino",100,IF(Atletas!B415="Masculino",200,""))+(IF(Atletas!F415="Adulto 48kg",1,IF(Atletas!F415="Adulto 56kg",2,IF(Atletas!F415="Adulto 65kg",3,IF(Atletas!F415="Adulto 75kg",4,IF(Atletas!F415="Adulto +75kg",5,IF(Atletas!F415="Adulto 52kg",6,IF(Atletas!F415="Adulto 60kg",7,IF(Atletas!F415="Adulto 70kg",8,IF(Atletas!F415="Adulto 80kg",9,IF(Atletas!F415="Adulto 90kg",10,IF(Atletas!F415="Adulto +90kg",11,"")))))))))))))</f>
        <v/>
      </c>
      <c r="BC424" s="6" t="str">
        <f>IF(Atletas!G415="","",IF(Atletas!B415="Feminino",10,IF(Atletas!B415="Masculino",20,""))+(IF(Atletas!G415="Baduanjin A",1,IF(Atletas!G415="Baduanjin B",2))))</f>
        <v/>
      </c>
      <c r="BF424" s="52" t="str">
        <f>IF(Atletas!H415="","",IF(Atletas!B415="Feminino",100,IF(Atletas!B415="Masculino",200,""))+(IF(Atletas!H415="Changquan Mirim",1,IF(Atletas!H415="Nanquan Mirim",2,IF(Atletas!H415="Taijiquan Mirim",3,IF(Atletas!H415="Changquan Grupo C",4,IF(Atletas!H415="Nanquan Grupo C",5,IF(Atletas!H415="Taijiquan Grupo C",6,IF(Atletas!H415="Changquan Grupo B",7,IF(Atletas!H415="Nanquan Grupo B",8,IF(Atletas!H415="Taijiquan Grupo B",9,IF(Atletas!H415="Changquan Grupo A",10,IF(Atletas!H415="Nanquan Grupo A",11,IF(Atletas!H415="Taijiquan Grupo A",12,IF(Atletas!H415="Changquan Opcional",13,IF(Atletas!H415="Nanquan Opcional",14,IF(Atletas!H415="Taijiquan Opcional",15,IF(Atletas!H415="Changquan Adulto",16,IF(Atletas!H415="Nanquan Adulto",17,IF(Atletas!H415="Taijiquan Adulto",18,""))))))))))))))))))))</f>
        <v/>
      </c>
      <c r="BG424" s="52" t="str">
        <f>IF(Atletas!I415="","",IF(Atletas!B415="Feminino",100,IF(Atletas!B415="Masculino",200,""))+(IF(Atletas!I415="Daoshu Mirim",19,IF(Atletas!I415="Jianshu Mirim",20,IF(Atletas!I415="Nandao Mirim",21,IF(Atletas!I415="Taijijian Mirim",22,IF(Atletas!I415="Daoshu Grupo C",23,IF(Atletas!I415="Jianshu Grupo C",24,IF(Atletas!I415="Nandao Grupo C",25,IF(Atletas!I415="Taijijian Grupo C",26,IF(Atletas!I415="Daoshu Grupo B",27,IF(Atletas!I415="Jianshu Grupo B",28,IF(Atletas!I415="Nandao Grupo B",29,IF(Atletas!I415="Taijijian Grupo B",30,IF(Atletas!I415="Daoshu Grupo A",31,IF(Atletas!I415="Jianshu Grupo A",32,IF(Atletas!I415="Nandao Grupo A",33,IF(Atletas!I415="Taijijian Grupo A",34,IF(Atletas!I415="Daoshu Opcional",35,IF(Atletas!I415="Jianshu Opcional",36,IF(Atletas!I415="Nandao Opcional",37,IF(Atletas!I415="Taijijian Opcional",38,IF(Atletas!I415="Daoshu Adulto",39,IF(Atletas!I415="Jianshu Adulto",40,IF(Atletas!I415="Nandao Adulto",41,IF(Atletas!I415="Taijijian Adulto",42,""))))))))))))))))))))))))))</f>
        <v/>
      </c>
      <c r="BH424" s="52" t="str">
        <f>IF(Atletas!J415="","",IF(Atletas!B415="Feminino",100,IF(Atletas!B415="Masculino",200,""))+(IF(Atletas!J415="Gunshu Mirim",43,IF(Atletas!J415="Qiangshu Mirim",44,IF(Atletas!J415="Nangun Mirim",45,IF(Atletas!J415="Gunshu Grupo C",46,IF(Atletas!J415="Qiangshu Grupo C",47,IF(Atletas!J415="Nangun Grupo C",48,IF(Atletas!J415="Gunshu Grupo B",49,IF(Atletas!J415="Qiangshu Grupo B",50,IF(Atletas!J415="Nangun Grupo B",51,IF(Atletas!J415="Gunshu Grupo A",52,IF(Atletas!J415="Qiangshu Grupo A",53,IF(Atletas!J415="Nangun Grupo A",54,IF(Atletas!J415="Gunshu Opcional",55,IF(Atletas!J415="Qiangshu Opcional",56,IF(Atletas!J415="Nangun Opcional",57,IF(Atletas!J415="Gunshu Adulto",58,IF(Atletas!J415="Qiangshu Adulto",59,IF(Atletas!J415="Nangun Adulto",60,IF(Atletas!J415="Taijishan Grupo B",61,IF(Atletas!J415="Taijishan Grupo A",62,""))))))))))))))))))))))</f>
        <v/>
      </c>
      <c r="BM424" s="50" t="str">
        <f>IF(Atletas!K415="","",IF(Atletas!B415="Feminino",100,IF(Atletas!B415="Masculino",200,""))+(IF(Atletas!K415="Equipe 1 Grupo B",1,IF(Atletas!K415="Equipe 2 Grupo B",2,IF(Atletas!K415="Equipe 1 Grupo A",3,IF(Atletas!K415="Equipe 2 Grupo A",4,IF(Atletas!K415="Equipe 1 Adulto",5,IF(Atletas!K415="Equipe 2 Adulto",6,""))))))))</f>
        <v/>
      </c>
      <c r="BR424" s="50" t="str">
        <f>IF(Atletas!L415="","",IF(Atletas!X415&lt;&gt;"",10000,0)+(IF(Atletas!B415="Feminino",1000,IF(Atletas!B415="Masculino",2000,""))+IF(Atletas!L415="Choylayfut A",1,IF(Atletas!L415="Hunggar A",2,IF(Atletas!L415="Wuzuquan A",3,IF(Atletas!L415="Wingchun A",4,IF(Atletas!L415="Outra Mão de Sul A",5,IF(Atletas!L415="Choylayfut B",6,IF(Atletas!L415="Hunggar B",7,IF(Atletas!L415="Wuzuquan B",8,IF(Atletas!L415="Wingchun B",9,IF(Atletas!L415="Outra Mão de Sul B",10,IF(Atletas!L415="Choylayfut C",11,IF(Atletas!L415="Hunggar C",12,IF(Atletas!L415="Wuzuquan C",13,IF(Atletas!L415="Wingchun C",14,IF(Atletas!L415="Outra Mão de Sul C",15,IF(Atletas!L415="Choylayfut D",16,IF(Atletas!L415="Hunggar D",17,IF(Atletas!L415="Wuzuquan D",18,IF(Atletas!L415="Wingchun D",19,IF(Atletas!L415="Outra Mão de Sul D",20,IF(Atletas!L415="Choylayfut E",21,IF(Atletas!L415="Hunggar E",22,IF(Atletas!L415="Wuzuquan E",23,IF(Atletas!L415="Wingchun E",24,IF(Atletas!L415="Outra Mão de Sul E",25,IF(Atletas!L415="Choylayfut F",26,IF(Atletas!L415="Hunggar F",27,IF(Atletas!L415="Wuzuquan F",28,IF(Atletas!L415="Wingchun F",29,IF(Atletas!L415="Outra Mão de Sul F",30,IF(Atletas!L415="Dishuquan A",31,IF(Atletas!L415="Dishuquan B",32,IF(Atletas!L415="Dishuquan C",33,IF(Atletas!L415="Dishuquan D",34,IF(Atletas!L415="Dishuquan E",35,IF(Atletas!L415="Dishuquan F",36,""))))))))))))))))))))))))))))))))))))))</f>
        <v/>
      </c>
      <c r="BS424" s="50" t="str">
        <f>IF(Atletas!M415="","",IF(Atletas!X415&lt;&gt;"",10000,0)+(IF(Atletas!B415="Feminino",1000,IF(Atletas!B415="Masculino",2000,""))+(IF(Atletas!M415="Chaquan A",101,IF(Atletas!M415="Emeiquan A",102,IF(Atletas!M415="Fanziquan A",103,IF(Atletas!M415="Huaquan A",104,IF(Atletas!M415="Hongquan A",105,IF(Atletas!M415="Paoquan A",106,IF(Atletas!M415="Piguaquan A",107,IF(Atletas!M415="Shaolinquan A",108,IF(Atletas!M415="Tanglangquan A",109,IF(Atletas!M415="Yingzhaoquan A",110,IF(Atletas!M415="Tongbeiquan A",111,IF(Atletas!M415="Wudangquan A",112,IF(Atletas!M415="Outros Estilos A",113,IF(Atletas!M415="Chaquan B",114,IF(Atletas!M415="Emeiquan B",115,IF(Atletas!M415="Fanziquan B",116,IF(Atletas!M415="Huaquan B",117,IF(Atletas!M415="Hongquan B",118,IF(Atletas!M415="Paoquan B",119,IF(Atletas!M415="Piguaquan B",120,IF(Atletas!M415="Shaolinquan B",121,IF(Atletas!M415="Tanglangquan B",122,IF(Atletas!M415="Yingzhaoquan B",123,IF(Atletas!M415="Tongbeiquan B",124,IF(Atletas!M415="Wudangquan B",125,IF(Atletas!M415="Outros Estilos B",126,IF(Atletas!M415="Chaquan C",127,IF(Atletas!M415="Emeiquan C",128,IF(Atletas!M415="Fanziquan C",129,IF(Atletas!M415="Huaquan C",130,IF(Atletas!M415="Hongquan C",131,IF(Atletas!M415="Paoquan C",132,IF(Atletas!M415="Piguaquan C",133,IF(Atletas!M415="Shaolinquan C",134,IF(Atletas!M415="Tanglangquan C",135,IF(Atletas!M415="Yingzhaoquan C",136,IF(Atletas!M415="Tongbeiquan C",137,IF(Atletas!M415="Wudangquan C",138,IF(Atletas!M415="Outros Estilos C",139,0))))))))))))))))))))))))))))))))))))))))))</f>
        <v/>
      </c>
      <c r="BT424" s="50" t="str">
        <f>IF(Atletas!M415="","",IF(Atletas!X415&lt;&gt;"",10000,0)+(IF(Atletas!B415="Feminino",1000,IF(Atletas!B415="Masculino",2000,""))+(IF(Atletas!M415="Chaquan D",140,IF(Atletas!M415="Emeiquan D",141,IF(Atletas!M415="Fanziquan D",142,IF(Atletas!M415="Huaquan D",143,IF(Atletas!M415="Hongquan D",144,IF(Atletas!M415="Paoquan D",145,IF(Atletas!M415="Piguaquan D",146,IF(Atletas!M415="Shaolinquan D",147,IF(Atletas!M415="Tanglangquan D",148,IF(Atletas!M415="Yingzhaoquan D",149,IF(Atletas!M415="Tongbeiquan D",150,IF(Atletas!M415="Wudangquan D",151,IF(Atletas!M415="Outros Estilos D",152,IF(Atletas!M415="Chaquan E",153,IF(Atletas!M415="Emeiquan E",154,IF(Atletas!M415="Fanziquan E",155,IF(Atletas!M415="Huaquan E",156,IF(Atletas!M415="Hongquan E",157,IF(Atletas!M415="Paoquan E",158,IF(Atletas!M415="Piguaquan E",159,IF(Atletas!M415="Shaolinquan E",160,IF(Atletas!M415="Tanglangquan E",161,IF(Atletas!M415="Yingzhaoquan E",162,IF(Atletas!M415="Tongbeiquan E",163,IF(Atletas!M415="Wudangquan E",164,IF(Atletas!M415="Outros Estilos E",165,IF(Atletas!M415="Chaquan F",166,IF(Atletas!M415="Emeiquan F",167,IF(Atletas!M415="Fanziquan F",168,IF(Atletas!M415="Huaquan F",169,IF(Atletas!M415="Hongquan F",170,IF(Atletas!M415="Paoquan F",171,IF(Atletas!M415="Piguaquan F",172,IF(Atletas!M415="Shaolinquan F",173,IF(Atletas!M415="Tanglangquan F",174,IF(Atletas!M415="Yingzhaoquan F",175,IF(Atletas!M415="Tongbeiquan F",176,IF(Atletas!M415="Wudangquan F",177,IF(Atletas!M415="Outros Estilos F",178,0))))))))))))))))))))))))))))))))))))))))))</f>
        <v/>
      </c>
      <c r="BU424" s="50" t="str">
        <f>IF(Atletas!N415="","",IF(Atletas!X415&lt;&gt;"",10000,0)+(IF(Atletas!B415="Feminino",1000,IF(Atletas!B415="Masculino",2000,""))+(IF(Atletas!N415="Ditangquan A",201,IF(Atletas!N415="Houquan A",202,IF(Atletas!N415="Zuiquan A",203,IF(Atletas!N415="Ditangquan B",204,IF(Atletas!N415="Houquan B",205,IF(Atletas!N415="Zuiquan B",206,IF(Atletas!N415="Ditangquan C",207,IF(Atletas!N415="Houquan C",208,IF(Atletas!N415="Zuiquan C",209,IF(Atletas!N415="Ditangquan D",210,IF(Atletas!N415="Houquan D",211,IF(Atletas!N415="Zuiquan D",212,IF(Atletas!N415="Ditangquan E",213,IF(Atletas!N415="Houquan E",214,IF(Atletas!N415="Zuiquan E",215,IF(Atletas!N415="Ditangquan F",216,IF(Atletas!N415="Houquan F",217,IF(Atletas!N415="Zuiquan F",218,"")))))))))))))))))))))</f>
        <v/>
      </c>
      <c r="BV424" s="50" t="str">
        <f>IF(Atletas!O415="","",IF(Atletas!X415&lt;&gt;"",10000,0)+IF(Atletas!B415="Feminino",1000,IF(Atletas!B415="Masculino",2000,""))+IF(Atletas!O415="Yang A",301,IF(Atletas!O415="Chen A",302,IF(Atletas!O415="Sun A",303,IF(Atletas!O415="Wu A",304,IF(Atletas!O415="Wu-Hao A",305,IF(Atletas!O415="Outro Taijiquan A",306,IF(Atletas!O415="Yang B",307,IF(Atletas!O415="Chen B",308,IF(Atletas!O415="Sun B",309,IF(Atletas!O415="Wu B",310,IF(Atletas!O415="Wu-Hao B",311,IF(Atletas!O415="Outro Taijiquan B",312,IF(Atletas!O415="Yang C",313,IF(Atletas!O415="Chen C",314,IF(Atletas!O415="Sun C",315,IF(Atletas!O415="Wu C",316,IF(Atletas!O415="Wu-Hao C",317,IF(Atletas!O415="Outro Taijiquan C",318,IF(Atletas!O415="Yang D",319,IF(Atletas!O415="Chen D",320,IF(Atletas!O415="Sun D",321,IF(Atletas!O415="Wu D",322,IF(Atletas!O415="Wu-Hao D",323,IF(Atletas!O415="Outro Taijiquan D",324,IF(Atletas!O415="Yang E",325,IF(Atletas!O415="Chen E",326,IF(Atletas!O415="Sun E",327,IF(Atletas!O415="Wu E",328,IF(Atletas!O415="Wu-Hao E",329,IF(Atletas!O415="Outro Taijiquan E",330,IF(Atletas!O415="Yang F",331,IF(Atletas!O415="Chen F",332,IF(Atletas!O415="Sun F",333,IF(Atletas!O415="Wu F",334,IF(Atletas!O415="Wu-Hao F",335,IF(Atletas!O415="Outro Taijiquan F",336,"")))))))))))))))))))))))))))))))))))))</f>
        <v/>
      </c>
      <c r="BW424" s="50" t="str">
        <f>IF(Atletas!P415="","",IF(Atletas!X415&lt;&gt;"",10000,0)+IF(Atletas!B415="Feminino",1000,IF(Atletas!B415="Masculino",2000,""))+IF(OR(Atletas!P415="Yang 26 A",Atletas!P415="Yang 40 A"),401,IF(OR(Atletas!P415="Chen 25 A",Atletas!P415="Chen 36 A",Atletas!P415="Chen 56 A"),402,IF(Atletas!P415="Sun 73 A",403,IF(Atletas!P415="Wu 45 A",404,IF(Atletas!P415="Wu-Hao 46 A",405,IF(OR(Atletas!P415="Taijiquan 16 A",Atletas!P415="Taijiquan 24 A",Atletas!P415="Taijiquan 32 A",Atletas!P415="Taijiquan 42 A"),406,IF(OR(Atletas!P415="Yang 26 B",Atletas!P415="Yang 40 B"),407,IF(OR(Atletas!P415="Chen 25 B",Atletas!P415="Chen 36 B",Atletas!P415="Chen 56 B"),408,IF(Atletas!P415="Sun 73 B",409,IF(Atletas!P415="Wu 45 B",410,IF(Atletas!P415="Wu-Hao 46 B",411,IF(OR(Atletas!P415="Taijiquan 16 B",Atletas!P415="Taijiquan 24 B",Atletas!P415="Taijiquan 32 B",Atletas!P415="Taijiquan 42 B"),412,IF(OR(Atletas!P415="Yang 26 C",Atletas!P415="Yang 40 C"),413,IF(OR(Atletas!P415="Chen 25 C",Atletas!P415="Chen 36 C",Atletas!P415="Chen 56 C"),414,IF(Atletas!P415="Sun 73 C",415,IF(Atletas!P415="Wu 45 C",416,IF(Atletas!P415="Wu-Hao 46 C",417,IF(OR(Atletas!P415="Taijiquan 16 C",Atletas!P415="Taijiquan 24 C",Atletas!P415="Taijiquan 32 C",Atletas!P415="Taijiquan 42 C"),418,0)))))))))))))))))))</f>
        <v/>
      </c>
      <c r="BX424" s="50" t="str">
        <f>IF(Atletas!P415="","",IF(Atletas!X415&lt;&gt;"",10000,0)+IF(Atletas!B415="Feminino",1000,IF(Atletas!B415="Masculino",2000,""))+IF(OR(Atletas!P415="Yang 26 D",Atletas!P415="Yang 40 D"),419,IF(OR(Atletas!P415="Chen 25 D",Atletas!P415="Chen 36 D",Atletas!P415="Chen 56 D"),420,IF(Atletas!P415="Sun 73 D",421,IF(Atletas!P415="Wu 45 D",422,IF(Atletas!P415="Wu-Hao 46 D",423,IF(OR(Atletas!P415="Taijiquan 16 D",Atletas!P415="Taijiquan 24 D",Atletas!P415="Taijiquan 32 D",Atletas!P415="Taijiquan 42 D"),424,IF(OR(Atletas!P415="Yang 26 E",Atletas!P415="Yang 40 E"),425,IF(OR(Atletas!P415="Chen 25 E",Atletas!P415="Chen 36 E",Atletas!P415="Chen 56 E"),426,IF(Atletas!P415="Sun 73 E",427,IF(Atletas!P415="Wu 45 E",428,IF(Atletas!P415="Wu-Hao 46 E",429,IF(OR(Atletas!P415="Taijiquan 16 E",Atletas!P415="Taijiquan 24 E",Atletas!P415="Taijiquan 32 E",Atletas!P415="Taijiquan 42 E"),430,IF(OR(Atletas!P415="Yang 26 F",Atletas!P415="Yang 40 F"),431,IF(OR(Atletas!P415="Chen 25 F",Atletas!P415="Chen 36 F",Atletas!P415="Chen 56 F"),432,IF(Atletas!P415="Sun 73 F",433,IF(Atletas!P415="Wu 45 F",434,IF(Atletas!P415="Wu-Hao 46 F",435,IF(OR(Atletas!P415="Taijiquan 16 F",Atletas!P415="Taijiquan 24 F",Atletas!P415="Taijiquan 32 F",Atletas!P415="Taijiquan 42 F"),436,0)))))))))))))))))))</f>
        <v/>
      </c>
      <c r="BY424" s="50" t="str">
        <f>IF(Atletas!Q415="","",IF(Atletas!X415&lt;&gt;"",10000,0)+IF(Atletas!B415="Feminino",1000,IF(Atletas!B415="Masculino",2000,""))+IF(Atletas!Q415="Xingyiquan A",501,IF(Atletas!Q415="Baguazhang A",502,IF(Atletas!Q415="Outro Estilo Interno A",503,IF(Atletas!Q415="Xingyiquan B",504,IF(Atletas!Q415="Baguazhang B",505,IF(Atletas!Q415="Outro Estilo Interno B",506,IF(Atletas!Q415="Xingyiquan C",507,IF(Atletas!Q415="Baguazhang C",508,IF(Atletas!Q415="Outro Estilo Interno C",509,IF(Atletas!Q415="Xingyiquan D",510,IF(Atletas!Q415="Baguazhang D",511,IF(Atletas!Q415="Outro Estilo Interno D",512,IF(Atletas!Q415="Xingyiquan E",513,IF(Atletas!Q415="Baguazhang E",514,IF(Atletas!Q415="Outro Estilo Interno E",515,IF(Atletas!Q415="Xingyiquan F",516,IF(Atletas!Q415="Baguazhang F",517,IF(Atletas!Q415="Outro Estilo Interno F",518, "")))))))))))))))))))</f>
        <v/>
      </c>
      <c r="BZ424" s="50" t="str">
        <f>IF(Atletas!R415="","",IF(Atletas!X415&lt;&gt;"",10000,0)+IF(Atletas!B415="Feminino",1000,IF(Atletas!B415="Masculino",2000,""))+IF(Atletas!R415="Dao A",601,IF(Atletas!R415="Jian A",602,IF(Atletas!R415="Bishou A",603,IF(Atletas!R415="Shanzi A",604,IF(Atletas!R415="Outra Arma Curta A",605,IF(Atletas!R415="Dao B",606,IF(Atletas!R415="Jian B",607,IF(Atletas!R415="Bishou B",608,IF(Atletas!R415="Shanzi B",609,IF(Atletas!R415="Outra Arma Curta B",610,IF(Atletas!R415="Dao C",611,IF(Atletas!R415="Jian C",612,IF(Atletas!R415="Bishou C",613,IF(Atletas!R415="Shanzi C",614,IF(Atletas!R415="Outra Arma Curta C",615,IF(Atletas!R415="Dao D",616,IF(Atletas!R415="Jian D",617,IF(Atletas!R415="Bishou D",618,IF(Atletas!R415="Shanzi D",619,IF(Atletas!R415="Outra Arma Curta D",620,IF(Atletas!R415="Dao E",621,IF(Atletas!R415="Jian E",622,IF(Atletas!R415="Bishou E",623,IF(Atletas!R415="Shanzi E",624,IF(Atletas!R415="Outra Arma Curta E",625,IF(Atletas!R415="Dao F",626,IF(Atletas!R415="Jian F",627,IF(Atletas!R415="Bishou F",628,IF(Atletas!R415="Shanzi F",629,IF(Atletas!R415="Outra Arma Curta F",630, "")))))))))))))))))))))))))))))))</f>
        <v/>
      </c>
      <c r="CA424" s="50" t="str">
        <f>IF(Atletas!S415="","",IF(Atletas!X415&lt;&gt;"",10000,0)+IF(Atletas!B415="Feminino",1000,IF(Atletas!B415="Masculino",2000,""))+IF(Atletas!S415="Gun A",701,IF(Atletas!S415="Qiang A",702,IF(Atletas!S415="Pudao / Guandao A",703,IF(Atletas!S415="Outra Arma Longa A",704,IF(Atletas!S415="Gun B",705,IF(Atletas!S415="Qiang B",706,IF(Atletas!S415="Pudao / Guandao B",707,IF(Atletas!S415="Outra Arma Longa B",708,IF(Atletas!S415="Gun C",709,IF(Atletas!S415="Qiang C",710,IF(Atletas!S415="Pudao / Guandao C",711,IF(Atletas!S415="Outra Arma Longa C",712,IF(Atletas!S415="Gun D",713,IF(Atletas!S415="Qiang D",714,IF(Atletas!S415="Pudao / Guandao D",715,IF(Atletas!S415="Outra Arma Longa D",716,IF(Atletas!S415="Gun E",717,IF(Atletas!S415="Qiang E",718,IF(Atletas!S415="Pudao / Guandao E",719,IF(Atletas!S415="Outra Arma Longa E",720,IF(Atletas!S415="Gun F",721,IF(Atletas!S415="Qiang F",722,IF(Atletas!S415="Pudao / Guandao F",723,IF(Atletas!S415="Outra Arma Longa F",724,"")))))))))))))))))))))))))</f>
        <v/>
      </c>
      <c r="CB424" s="50" t="str">
        <f>IF(Atletas!T415="","",IF(Atletas!X415&lt;&gt;"",10000,0)+IF(Atletas!B415="Feminino",1000,IF(Atletas!B415="Masculino",2000,""))+IF(Atletas!T415="Outra Arma Dupla A",801,IF(Atletas!T415="Arma Maleável A",802,IF(Atletas!T415="Outra Arma Dupla B",803,IF(Atletas!T415="Arma Maleável B",804,IF(Atletas!T415="Outra Arma Dupla C",805,IF(Atletas!T415="Arma Maleável C",806,IF(Atletas!T415="Outra Arma Dupla D",807,IF(Atletas!T415="Arma Maleável D",808,IF(Atletas!T415="Outra Arma Dupla E",809,IF(Atletas!T415="Arma Maleável E",810,IF(Atletas!T415="Outra Arma Dupla F",811,IF(Atletas!T415="Arma Maleável F",812,IF(Atletas!T415="Shuangdao A",813,IF(Atletas!T415="Shuangdao B",814,IF(Atletas!T415="Shuangdao C",815,IF(Atletas!T415="Shuangdao D",816,IF(Atletas!T415="Shuangdao E",817,IF(Atletas!T415="Shuangdao F",818,"")))))))))))))))))))</f>
        <v/>
      </c>
      <c r="CC424" s="50" t="str">
        <f>IF(Atletas!U415="","",IF(Atletas!X415&lt;&gt;"",10000,0)+IF(Atletas!B415="Feminino",1000,IF(Atletas!B415="Masculino",2000,""))+IF(OR(Atletas!U415="Taijijian Yang A",Atletas!U415="Taijijian Yang Standard A"),901,IF(OR(Atletas!U415="Taijijian Chen A", Atletas!U415="Taijijian Chen Standard A"),902,IF(Atletas!U415="Taijijian Sun A",903,IF(Atletas!U415="Taijijian Wu A",904,IF(Atletas!U415="Taijijian Wu-Hao A",905,IF(OR(Atletas!U415="Taijijian 32 A",Atletas!U415="Taijijian 42 A"),906,IF(OR(Atletas!U415="Taijijian Yang B",Atletas!U415="Taijijian Yang Standard B"),907,IF(OR(Atletas!U415="Taijijian Chen B", Atletas!U415="Taijijian Chen Standard B"),908,IF(Atletas!U415="Taijijian Sun B",909,IF(Atletas!U415="Taijijian Wu B",910,IF(Atletas!U415="Taijijian Wu-Hao B",911,IF(OR(Atletas!U415="Taijijian 32 B",Atletas!U415="Taijijian 42 B"),912,IF(OR(Atletas!U415="Taijijian Yang C",Atletas!U415="Taijijian Yang Standard C"),913,IF(OR(Atletas!U415="Taijijian Chen C", Atletas!U415="Taijijian Chen Standard C"),914,IF(Atletas!U415="Taijijian Sun C",915,IF(Atletas!U415="Taijijian Wu C",916,IF(Atletas!U415="Taijijian Wu-Hao C",917,IF(OR(Atletas!U415="Taijijian 32 C",Atletas!U415="Taijijian 42 C"),918,IF(OR(Atletas!U415="Taijijian Yang D",Atletas!U415="Taijijian Yang Standard D"),919,IF(OR(Atletas!U415="Taijijian Chen D", Atletas!U415="Taijijian Chen Standard D"),920,IF(Atletas!U415="Taijijian Sun D",921,IF(Atletas!U415="Taijijian Wu D",922,IF(Atletas!U415="Taijijian Wu-Hao D",923,IF(OR(Atletas!U415="Taijijian 32 D",Atletas!U415="Taijijian 42 D"),924,IF(OR(Atletas!U415="Taijijian Yang E",Atletas!U415="Taijijian Yang Standard E"),925,IF(OR(Atletas!U415="Taijijian Chen E", Atletas!U415="Taijijian Chen Standard E"),926,IF(Atletas!U415="Taijijian Sun E",927,IF(Atletas!U415="Taijijian Wu E",928,IF(Atletas!U415="Taijijian Wu-Hao E",929,IF(OR(Atletas!U415="Taijijian 32 E",Atletas!U415="Taijijian 42 E"),930,IF(OR(Atletas!U415="Taijijian Yang F",Atletas!U415="Taijijian Yang Standard F"),931,IF(OR(Atletas!U415="Taijijian Chen F", Atletas!U415="Taijijian Chen Standard F"),932,IF(Atletas!U415="Taijijian Sun F",933,IF(Atletas!U415="Taijijian Wu F",934,IF(Atletas!U415="Taijijian Wu-Hao F",935,IF(OR(Atletas!U415="Taijijian 32 F",Atletas!U415="Taijijian 42 F"),936,"")))))))))))))))))))))))))))))))))))))</f>
        <v/>
      </c>
      <c r="CD424" s="50" t="str">
        <f>IF(Atletas!V415="","",IF(Atletas!X415&lt;&gt;"",10000,0)+IF(Atletas!B415="Feminino",1000,IF(Atletas!B415="Masculino",2000,""))+IF(Atletas!V415="Taijidao A",937,IF(Atletas!V415="TaijiShanzi A",938,IF(Atletas!V415="Taijiqiang A",939,IF(Atletas!V415="Bagua de Arma A",940,IF(Atletas!V415="Xingyi de Arma A",941,IF(Atletas!V415="Taijidao B",942,IF(Atletas!V415="TaijiShanzi B",943,IF(Atletas!V415="Taijiqiang B",944,IF(Atletas!V415="Bagua de Arma B",945,IF(Atletas!V415="Xingyi de Arma B",946,IF(Atletas!V415="Taijidao C",947,IF(Atletas!V415="TaijiShanzi C",948,IF(Atletas!V415="Taijiqiang C",949,IF(Atletas!V415="Bagua de Arma C",950,IF(Atletas!V415="Xingyi de Arma C",951,IF(Atletas!V415="Taijidao D",952,IF(Atletas!V415="TaijiShanzi D",953,IF(Atletas!V415="Taijiqiang D",954,IF(Atletas!V415="Bagua de Arma D",955,IF(Atletas!V415="Xingyi de Arma D",956,IF(Atletas!V415="Taijidao E",957,IF(Atletas!V415="TaijiShanzi E",958,IF(Atletas!V415="Taijiqiang E",959,IF(Atletas!V415="Bagua de Arma E",960,IF(Atletas!V415="Xingyi de Arma E",961,IF(Atletas!V415="Taijidao F",962,IF(Atletas!V415="TaijiShanzi F",963,IF(Atletas!V415="Taijiqiang F",964,IF(Atletas!V415="Bagua de Arma F",965,IF(Atletas!V415="Xingyi de Arma F",966,"")))))))))))))))))))))))))))))))</f>
        <v/>
      </c>
      <c r="CM424" s="50" t="str">
        <f xml:space="preserve"> IF(Atletas!W415="","",IF(Atletas!W415="Duilian de Mãos BC - Equipe 1",1,IF(Atletas!W415="Duilian de Mãos BC - Equipe 2",2,IF(Atletas!W415="Duilian de Armas BC - Equipe 1",3,IF(Atletas!W415="Duilian de Armas BC - Equipe 2",4,IF(Atletas!W415="Duilian de Mãos DE - Equipe 1",5,IF(Atletas!W415="Duilian de Mãos DE - Equipe 2",6,IF(Atletas!W415="Duilian de Armas DE - Equipe 1",7,IF(Atletas!W415="Duilian de Armas DE - Equipe 2",8,IF(Atletas!W415="Duilian de Tuishou - Equipe 1",9,IF(Atletas!W415="Duilian de Tuishou - Equipe 2",10,IF(Atletas!W415="Grupo Externo ABC - Equipe 1",11,IF(Atletas!W415="Grupo Externo ABC - Equipe 2",12,IF(Atletas!W415="Grupo Interno ABC - Equipe 1",13,IF(Atletas!W415="Grupo Interno ABC - Equipe 2",14,IF(Atletas!W415="Grupo Externo DEF - Equipe 1",15,IF(Atletas!W415="Grupo Externo DEF - Equipe 2",16,IF(Atletas!W415="Grupo Interno DEF - Equipe 1",17,IF(Atletas!W415="Grupo Interno DEF - Equipe 2",18,"")))))))))))))))))))</f>
        <v/>
      </c>
    </row>
    <row r="425" spans="40:91">
      <c r="AN425" s="52" t="str">
        <f>IF(Atletas!D416="","",IF(Atletas!B416="Feminino",100,IF(Atletas!B416="Masculino",200,""))+(IF(Atletas!D416="Kids 30kg",1,IF(Atletas!D416="Kids 32kg",2, IF(Atletas!D416="Kids 34kg",3,IF(Atletas!D416="Kids 36kg",4,IF(Atletas!D416="Kids 39kg",5,IF(Atletas!D416="Kids 42kg",6,IF(Atletas!D416="Kids 45kg",7, IF(Atletas!D416="Infantil 39kg",8,IF(Atletas!D416="Infantil 42kg",9,IF(Atletas!D416="Infantil 45kg",10,IF(Atletas!D416="Infantil 48kg",11,IF(Atletas!D416="Infantil 52kg",12,IF(Atletas!D416="Infantil 56kg",13,IF(Atletas!D416="Infantil 60kg",14,IF(Atletas!D416="Juvenil 48kg",15,IF(Atletas!D416="Juvenil 52kg",16,IF(Atletas!D416="Juvenil 56kg",17,IF(Atletas!D416="Juvenil 60kg",18,IF(Atletas!D416="Juvenil 65kg",19,IF(Atletas!D416="Juvenil 70kg",20,IF(Atletas!D416="Juvenil 75kg",21,IF(Atletas!D416="Juvenil 80kg",22, IF(Atletas!D416="Juvenil 85kg",23,IF(Atletas!D416="Adulto 48kg",24,IF(Atletas!D416="Adulto 52kg",25,IF(Atletas!D416="Adulto 56kg",26,IF(Atletas!D416="Adulto 60kg",27,IF(Atletas!D416="Adulto 65kg",28,IF(Atletas!D416="Adulto 70kg",29,IF(Atletas!D416="Adulto 75kg",30,IF(Atletas!D416="Adulto 80kg",31,IF(Atletas!D416="Adulto 85kg",32,IF(Atletas!D416="Adulto 90kg",33,IF(Atletas!D416="Adulto 100kg",34, IF(Atletas!D416="Adulto +100kg",35,"")))))))))))))))))))))))))))))))))))))</f>
        <v/>
      </c>
      <c r="AS425" s="6" t="str">
        <f>IF(Atletas!E416="","",IF(Atletas!B416="Feminino",100,IF(Atletas!B416="Masculino",200,""))+(IF(Atletas!E416="Juvenil 44kg",1,IF(Atletas!E416="Juvenil 48kg",2,IF(Atletas!E416="Juvenil 52kg",3,IF(Atletas!E416="Juvenil 56kg",4,IF(Atletas!E416="Juvenil 60kg",5,IF(Atletas!E416="Juvenil 65kg",6,IF(Atletas!E416="Juvenil 70kg",7,IF(Atletas!E416="Juvenil 75kg",8,IF(Atletas!E416="Juvenil 82kg",9,IF(Atletas!E416="Juvenil 90kg",10,IF(Atletas!E416="Juvenil 100kg",11,IF(Atletas!E416="Adulto 48kg",12,IF(Atletas!E416="Adulto 52kg",13,IF(Atletas!E416="Adulto 56kg",14,IF(Atletas!E416="Adulto 60kg",15,IF(Atletas!E416="Adulto 65kg",16,IF(Atletas!E416="Adulto 70kg",17,IF(Atletas!E416="Adulto 75kg",18,IF(Atletas!E416="Adulto 82kg",19,IF(Atletas!E416="Adulto 90kg",20,IF(Atletas!E416="Adulto 100kg",21,IF(Atletas!E416="Adulto +100kg",22,""))))))))))))))))))))))))</f>
        <v/>
      </c>
      <c r="AX425" s="6" t="str">
        <f>IF(Atletas!F416="","",IF(Atletas!B416="Feminino",100,IF(Atletas!B416="Masculino",200,""))+(IF(Atletas!F416="Adulto 48kg",1,IF(Atletas!F416="Adulto 56kg",2,IF(Atletas!F416="Adulto 65kg",3,IF(Atletas!F416="Adulto 75kg",4,IF(Atletas!F416="Adulto +75kg",5,IF(Atletas!F416="Adulto 52kg",6,IF(Atletas!F416="Adulto 60kg",7,IF(Atletas!F416="Adulto 70kg",8,IF(Atletas!F416="Adulto 80kg",9,IF(Atletas!F416="Adulto 90kg",10,IF(Atletas!F416="Adulto +90kg",11,"")))))))))))))</f>
        <v/>
      </c>
      <c r="BC425" s="6" t="str">
        <f>IF(Atletas!G416="","",IF(Atletas!B416="Feminino",10,IF(Atletas!B416="Masculino",20,""))+(IF(Atletas!G416="Baduanjin A",1,IF(Atletas!G416="Baduanjin B",2))))</f>
        <v/>
      </c>
      <c r="BF425" s="52" t="str">
        <f>IF(Atletas!H416="","",IF(Atletas!B416="Feminino",100,IF(Atletas!B416="Masculino",200,""))+(IF(Atletas!H416="Changquan Mirim",1,IF(Atletas!H416="Nanquan Mirim",2,IF(Atletas!H416="Taijiquan Mirim",3,IF(Atletas!H416="Changquan Grupo C",4,IF(Atletas!H416="Nanquan Grupo C",5,IF(Atletas!H416="Taijiquan Grupo C",6,IF(Atletas!H416="Changquan Grupo B",7,IF(Atletas!H416="Nanquan Grupo B",8,IF(Atletas!H416="Taijiquan Grupo B",9,IF(Atletas!H416="Changquan Grupo A",10,IF(Atletas!H416="Nanquan Grupo A",11,IF(Atletas!H416="Taijiquan Grupo A",12,IF(Atletas!H416="Changquan Opcional",13,IF(Atletas!H416="Nanquan Opcional",14,IF(Atletas!H416="Taijiquan Opcional",15,IF(Atletas!H416="Changquan Adulto",16,IF(Atletas!H416="Nanquan Adulto",17,IF(Atletas!H416="Taijiquan Adulto",18,""))))))))))))))))))))</f>
        <v/>
      </c>
      <c r="BG425" s="52" t="str">
        <f>IF(Atletas!I416="","",IF(Atletas!B416="Feminino",100,IF(Atletas!B416="Masculino",200,""))+(IF(Atletas!I416="Daoshu Mirim",19,IF(Atletas!I416="Jianshu Mirim",20,IF(Atletas!I416="Nandao Mirim",21,IF(Atletas!I416="Taijijian Mirim",22,IF(Atletas!I416="Daoshu Grupo C",23,IF(Atletas!I416="Jianshu Grupo C",24,IF(Atletas!I416="Nandao Grupo C",25,IF(Atletas!I416="Taijijian Grupo C",26,IF(Atletas!I416="Daoshu Grupo B",27,IF(Atletas!I416="Jianshu Grupo B",28,IF(Atletas!I416="Nandao Grupo B",29,IF(Atletas!I416="Taijijian Grupo B",30,IF(Atletas!I416="Daoshu Grupo A",31,IF(Atletas!I416="Jianshu Grupo A",32,IF(Atletas!I416="Nandao Grupo A",33,IF(Atletas!I416="Taijijian Grupo A",34,IF(Atletas!I416="Daoshu Opcional",35,IF(Atletas!I416="Jianshu Opcional",36,IF(Atletas!I416="Nandao Opcional",37,IF(Atletas!I416="Taijijian Opcional",38,IF(Atletas!I416="Daoshu Adulto",39,IF(Atletas!I416="Jianshu Adulto",40,IF(Atletas!I416="Nandao Adulto",41,IF(Atletas!I416="Taijijian Adulto",42,""))))))))))))))))))))))))))</f>
        <v/>
      </c>
      <c r="BH425" s="52" t="str">
        <f>IF(Atletas!J416="","",IF(Atletas!B416="Feminino",100,IF(Atletas!B416="Masculino",200,""))+(IF(Atletas!J416="Gunshu Mirim",43,IF(Atletas!J416="Qiangshu Mirim",44,IF(Atletas!J416="Nangun Mirim",45,IF(Atletas!J416="Gunshu Grupo C",46,IF(Atletas!J416="Qiangshu Grupo C",47,IF(Atletas!J416="Nangun Grupo C",48,IF(Atletas!J416="Gunshu Grupo B",49,IF(Atletas!J416="Qiangshu Grupo B",50,IF(Atletas!J416="Nangun Grupo B",51,IF(Atletas!J416="Gunshu Grupo A",52,IF(Atletas!J416="Qiangshu Grupo A",53,IF(Atletas!J416="Nangun Grupo A",54,IF(Atletas!J416="Gunshu Opcional",55,IF(Atletas!J416="Qiangshu Opcional",56,IF(Atletas!J416="Nangun Opcional",57,IF(Atletas!J416="Gunshu Adulto",58,IF(Atletas!J416="Qiangshu Adulto",59,IF(Atletas!J416="Nangun Adulto",60,IF(Atletas!J416="Taijishan Grupo B",61,IF(Atletas!J416="Taijishan Grupo A",62,""))))))))))))))))))))))</f>
        <v/>
      </c>
      <c r="BM425" s="50" t="str">
        <f>IF(Atletas!K416="","",IF(Atletas!B416="Feminino",100,IF(Atletas!B416="Masculino",200,""))+(IF(Atletas!K416="Equipe 1 Grupo B",1,IF(Atletas!K416="Equipe 2 Grupo B",2,IF(Atletas!K416="Equipe 1 Grupo A",3,IF(Atletas!K416="Equipe 2 Grupo A",4,IF(Atletas!K416="Equipe 1 Adulto",5,IF(Atletas!K416="Equipe 2 Adulto",6,""))))))))</f>
        <v/>
      </c>
      <c r="BR425" s="50" t="str">
        <f>IF(Atletas!L416="","",IF(Atletas!X416&lt;&gt;"",10000,0)+(IF(Atletas!B416="Feminino",1000,IF(Atletas!B416="Masculino",2000,""))+IF(Atletas!L416="Choylayfut A",1,IF(Atletas!L416="Hunggar A",2,IF(Atletas!L416="Wuzuquan A",3,IF(Atletas!L416="Wingchun A",4,IF(Atletas!L416="Outra Mão de Sul A",5,IF(Atletas!L416="Choylayfut B",6,IF(Atletas!L416="Hunggar B",7,IF(Atletas!L416="Wuzuquan B",8,IF(Atletas!L416="Wingchun B",9,IF(Atletas!L416="Outra Mão de Sul B",10,IF(Atletas!L416="Choylayfut C",11,IF(Atletas!L416="Hunggar C",12,IF(Atletas!L416="Wuzuquan C",13,IF(Atletas!L416="Wingchun C",14,IF(Atletas!L416="Outra Mão de Sul C",15,IF(Atletas!L416="Choylayfut D",16,IF(Atletas!L416="Hunggar D",17,IF(Atletas!L416="Wuzuquan D",18,IF(Atletas!L416="Wingchun D",19,IF(Atletas!L416="Outra Mão de Sul D",20,IF(Atletas!L416="Choylayfut E",21,IF(Atletas!L416="Hunggar E",22,IF(Atletas!L416="Wuzuquan E",23,IF(Atletas!L416="Wingchun E",24,IF(Atletas!L416="Outra Mão de Sul E",25,IF(Atletas!L416="Choylayfut F",26,IF(Atletas!L416="Hunggar F",27,IF(Atletas!L416="Wuzuquan F",28,IF(Atletas!L416="Wingchun F",29,IF(Atletas!L416="Outra Mão de Sul F",30,IF(Atletas!L416="Dishuquan A",31,IF(Atletas!L416="Dishuquan B",32,IF(Atletas!L416="Dishuquan C",33,IF(Atletas!L416="Dishuquan D",34,IF(Atletas!L416="Dishuquan E",35,IF(Atletas!L416="Dishuquan F",36,""))))))))))))))))))))))))))))))))))))))</f>
        <v/>
      </c>
      <c r="BS425" s="50" t="str">
        <f>IF(Atletas!M416="","",IF(Atletas!X416&lt;&gt;"",10000,0)+(IF(Atletas!B416="Feminino",1000,IF(Atletas!B416="Masculino",2000,""))+(IF(Atletas!M416="Chaquan A",101,IF(Atletas!M416="Emeiquan A",102,IF(Atletas!M416="Fanziquan A",103,IF(Atletas!M416="Huaquan A",104,IF(Atletas!M416="Hongquan A",105,IF(Atletas!M416="Paoquan A",106,IF(Atletas!M416="Piguaquan A",107,IF(Atletas!M416="Shaolinquan A",108,IF(Atletas!M416="Tanglangquan A",109,IF(Atletas!M416="Yingzhaoquan A",110,IF(Atletas!M416="Tongbeiquan A",111,IF(Atletas!M416="Wudangquan A",112,IF(Atletas!M416="Outros Estilos A",113,IF(Atletas!M416="Chaquan B",114,IF(Atletas!M416="Emeiquan B",115,IF(Atletas!M416="Fanziquan B",116,IF(Atletas!M416="Huaquan B",117,IF(Atletas!M416="Hongquan B",118,IF(Atletas!M416="Paoquan B",119,IF(Atletas!M416="Piguaquan B",120,IF(Atletas!M416="Shaolinquan B",121,IF(Atletas!M416="Tanglangquan B",122,IF(Atletas!M416="Yingzhaoquan B",123,IF(Atletas!M416="Tongbeiquan B",124,IF(Atletas!M416="Wudangquan B",125,IF(Atletas!M416="Outros Estilos B",126,IF(Atletas!M416="Chaquan C",127,IF(Atletas!M416="Emeiquan C",128,IF(Atletas!M416="Fanziquan C",129,IF(Atletas!M416="Huaquan C",130,IF(Atletas!M416="Hongquan C",131,IF(Atletas!M416="Paoquan C",132,IF(Atletas!M416="Piguaquan C",133,IF(Atletas!M416="Shaolinquan C",134,IF(Atletas!M416="Tanglangquan C",135,IF(Atletas!M416="Yingzhaoquan C",136,IF(Atletas!M416="Tongbeiquan C",137,IF(Atletas!M416="Wudangquan C",138,IF(Atletas!M416="Outros Estilos C",139,0))))))))))))))))))))))))))))))))))))))))))</f>
        <v/>
      </c>
      <c r="BT425" s="50" t="str">
        <f>IF(Atletas!M416="","",IF(Atletas!X416&lt;&gt;"",10000,0)+(IF(Atletas!B416="Feminino",1000,IF(Atletas!B416="Masculino",2000,""))+(IF(Atletas!M416="Chaquan D",140,IF(Atletas!M416="Emeiquan D",141,IF(Atletas!M416="Fanziquan D",142,IF(Atletas!M416="Huaquan D",143,IF(Atletas!M416="Hongquan D",144,IF(Atletas!M416="Paoquan D",145,IF(Atletas!M416="Piguaquan D",146,IF(Atletas!M416="Shaolinquan D",147,IF(Atletas!M416="Tanglangquan D",148,IF(Atletas!M416="Yingzhaoquan D",149,IF(Atletas!M416="Tongbeiquan D",150,IF(Atletas!M416="Wudangquan D",151,IF(Atletas!M416="Outros Estilos D",152,IF(Atletas!M416="Chaquan E",153,IF(Atletas!M416="Emeiquan E",154,IF(Atletas!M416="Fanziquan E",155,IF(Atletas!M416="Huaquan E",156,IF(Atletas!M416="Hongquan E",157,IF(Atletas!M416="Paoquan E",158,IF(Atletas!M416="Piguaquan E",159,IF(Atletas!M416="Shaolinquan E",160,IF(Atletas!M416="Tanglangquan E",161,IF(Atletas!M416="Yingzhaoquan E",162,IF(Atletas!M416="Tongbeiquan E",163,IF(Atletas!M416="Wudangquan E",164,IF(Atletas!M416="Outros Estilos E",165,IF(Atletas!M416="Chaquan F",166,IF(Atletas!M416="Emeiquan F",167,IF(Atletas!M416="Fanziquan F",168,IF(Atletas!M416="Huaquan F",169,IF(Atletas!M416="Hongquan F",170,IF(Atletas!M416="Paoquan F",171,IF(Atletas!M416="Piguaquan F",172,IF(Atletas!M416="Shaolinquan F",173,IF(Atletas!M416="Tanglangquan F",174,IF(Atletas!M416="Yingzhaoquan F",175,IF(Atletas!M416="Tongbeiquan F",176,IF(Atletas!M416="Wudangquan F",177,IF(Atletas!M416="Outros Estilos F",178,0))))))))))))))))))))))))))))))))))))))))))</f>
        <v/>
      </c>
      <c r="BU425" s="50" t="str">
        <f>IF(Atletas!N416="","",IF(Atletas!X416&lt;&gt;"",10000,0)+(IF(Atletas!B416="Feminino",1000,IF(Atletas!B416="Masculino",2000,""))+(IF(Atletas!N416="Ditangquan A",201,IF(Atletas!N416="Houquan A",202,IF(Atletas!N416="Zuiquan A",203,IF(Atletas!N416="Ditangquan B",204,IF(Atletas!N416="Houquan B",205,IF(Atletas!N416="Zuiquan B",206,IF(Atletas!N416="Ditangquan C",207,IF(Atletas!N416="Houquan C",208,IF(Atletas!N416="Zuiquan C",209,IF(Atletas!N416="Ditangquan D",210,IF(Atletas!N416="Houquan D",211,IF(Atletas!N416="Zuiquan D",212,IF(Atletas!N416="Ditangquan E",213,IF(Atletas!N416="Houquan E",214,IF(Atletas!N416="Zuiquan E",215,IF(Atletas!N416="Ditangquan F",216,IF(Atletas!N416="Houquan F",217,IF(Atletas!N416="Zuiquan F",218,"")))))))))))))))))))))</f>
        <v/>
      </c>
      <c r="BV425" s="50" t="str">
        <f>IF(Atletas!O416="","",IF(Atletas!X416&lt;&gt;"",10000,0)+IF(Atletas!B416="Feminino",1000,IF(Atletas!B416="Masculino",2000,""))+IF(Atletas!O416="Yang A",301,IF(Atletas!O416="Chen A",302,IF(Atletas!O416="Sun A",303,IF(Atletas!O416="Wu A",304,IF(Atletas!O416="Wu-Hao A",305,IF(Atletas!O416="Outro Taijiquan A",306,IF(Atletas!O416="Yang B",307,IF(Atletas!O416="Chen B",308,IF(Atletas!O416="Sun B",309,IF(Atletas!O416="Wu B",310,IF(Atletas!O416="Wu-Hao B",311,IF(Atletas!O416="Outro Taijiquan B",312,IF(Atletas!O416="Yang C",313,IF(Atletas!O416="Chen C",314,IF(Atletas!O416="Sun C",315,IF(Atletas!O416="Wu C",316,IF(Atletas!O416="Wu-Hao C",317,IF(Atletas!O416="Outro Taijiquan C",318,IF(Atletas!O416="Yang D",319,IF(Atletas!O416="Chen D",320,IF(Atletas!O416="Sun D",321,IF(Atletas!O416="Wu D",322,IF(Atletas!O416="Wu-Hao D",323,IF(Atletas!O416="Outro Taijiquan D",324,IF(Atletas!O416="Yang E",325,IF(Atletas!O416="Chen E",326,IF(Atletas!O416="Sun E",327,IF(Atletas!O416="Wu E",328,IF(Atletas!O416="Wu-Hao E",329,IF(Atletas!O416="Outro Taijiquan E",330,IF(Atletas!O416="Yang F",331,IF(Atletas!O416="Chen F",332,IF(Atletas!O416="Sun F",333,IF(Atletas!O416="Wu F",334,IF(Atletas!O416="Wu-Hao F",335,IF(Atletas!O416="Outro Taijiquan F",336,"")))))))))))))))))))))))))))))))))))))</f>
        <v/>
      </c>
      <c r="BW425" s="50" t="str">
        <f>IF(Atletas!P416="","",IF(Atletas!X416&lt;&gt;"",10000,0)+IF(Atletas!B416="Feminino",1000,IF(Atletas!B416="Masculino",2000,""))+IF(OR(Atletas!P416="Yang 26 A",Atletas!P416="Yang 40 A"),401,IF(OR(Atletas!P416="Chen 25 A",Atletas!P416="Chen 36 A",Atletas!P416="Chen 56 A"),402,IF(Atletas!P416="Sun 73 A",403,IF(Atletas!P416="Wu 45 A",404,IF(Atletas!P416="Wu-Hao 46 A",405,IF(OR(Atletas!P416="Taijiquan 16 A",Atletas!P416="Taijiquan 24 A",Atletas!P416="Taijiquan 32 A",Atletas!P416="Taijiquan 42 A"),406,IF(OR(Atletas!P416="Yang 26 B",Atletas!P416="Yang 40 B"),407,IF(OR(Atletas!P416="Chen 25 B",Atletas!P416="Chen 36 B",Atletas!P416="Chen 56 B"),408,IF(Atletas!P416="Sun 73 B",409,IF(Atletas!P416="Wu 45 B",410,IF(Atletas!P416="Wu-Hao 46 B",411,IF(OR(Atletas!P416="Taijiquan 16 B",Atletas!P416="Taijiquan 24 B",Atletas!P416="Taijiquan 32 B",Atletas!P416="Taijiquan 42 B"),412,IF(OR(Atletas!P416="Yang 26 C",Atletas!P416="Yang 40 C"),413,IF(OR(Atletas!P416="Chen 25 C",Atletas!P416="Chen 36 C",Atletas!P416="Chen 56 C"),414,IF(Atletas!P416="Sun 73 C",415,IF(Atletas!P416="Wu 45 C",416,IF(Atletas!P416="Wu-Hao 46 C",417,IF(OR(Atletas!P416="Taijiquan 16 C",Atletas!P416="Taijiquan 24 C",Atletas!P416="Taijiquan 32 C",Atletas!P416="Taijiquan 42 C"),418,0)))))))))))))))))))</f>
        <v/>
      </c>
      <c r="BX425" s="50" t="str">
        <f>IF(Atletas!P416="","",IF(Atletas!X416&lt;&gt;"",10000,0)+IF(Atletas!B416="Feminino",1000,IF(Atletas!B416="Masculino",2000,""))+IF(OR(Atletas!P416="Yang 26 D",Atletas!P416="Yang 40 D"),419,IF(OR(Atletas!P416="Chen 25 D",Atletas!P416="Chen 36 D",Atletas!P416="Chen 56 D"),420,IF(Atletas!P416="Sun 73 D",421,IF(Atletas!P416="Wu 45 D",422,IF(Atletas!P416="Wu-Hao 46 D",423,IF(OR(Atletas!P416="Taijiquan 16 D",Atletas!P416="Taijiquan 24 D",Atletas!P416="Taijiquan 32 D",Atletas!P416="Taijiquan 42 D"),424,IF(OR(Atletas!P416="Yang 26 E",Atletas!P416="Yang 40 E"),425,IF(OR(Atletas!P416="Chen 25 E",Atletas!P416="Chen 36 E",Atletas!P416="Chen 56 E"),426,IF(Atletas!P416="Sun 73 E",427,IF(Atletas!P416="Wu 45 E",428,IF(Atletas!P416="Wu-Hao 46 E",429,IF(OR(Atletas!P416="Taijiquan 16 E",Atletas!P416="Taijiquan 24 E",Atletas!P416="Taijiquan 32 E",Atletas!P416="Taijiquan 42 E"),430,IF(OR(Atletas!P416="Yang 26 F",Atletas!P416="Yang 40 F"),431,IF(OR(Atletas!P416="Chen 25 F",Atletas!P416="Chen 36 F",Atletas!P416="Chen 56 F"),432,IF(Atletas!P416="Sun 73 F",433,IF(Atletas!P416="Wu 45 F",434,IF(Atletas!P416="Wu-Hao 46 F",435,IF(OR(Atletas!P416="Taijiquan 16 F",Atletas!P416="Taijiquan 24 F",Atletas!P416="Taijiquan 32 F",Atletas!P416="Taijiquan 42 F"),436,0)))))))))))))))))))</f>
        <v/>
      </c>
      <c r="BY425" s="50" t="str">
        <f>IF(Atletas!Q416="","",IF(Atletas!X416&lt;&gt;"",10000,0)+IF(Atletas!B416="Feminino",1000,IF(Atletas!B416="Masculino",2000,""))+IF(Atletas!Q416="Xingyiquan A",501,IF(Atletas!Q416="Baguazhang A",502,IF(Atletas!Q416="Outro Estilo Interno A",503,IF(Atletas!Q416="Xingyiquan B",504,IF(Atletas!Q416="Baguazhang B",505,IF(Atletas!Q416="Outro Estilo Interno B",506,IF(Atletas!Q416="Xingyiquan C",507,IF(Atletas!Q416="Baguazhang C",508,IF(Atletas!Q416="Outro Estilo Interno C",509,IF(Atletas!Q416="Xingyiquan D",510,IF(Atletas!Q416="Baguazhang D",511,IF(Atletas!Q416="Outro Estilo Interno D",512,IF(Atletas!Q416="Xingyiquan E",513,IF(Atletas!Q416="Baguazhang E",514,IF(Atletas!Q416="Outro Estilo Interno E",515,IF(Atletas!Q416="Xingyiquan F",516,IF(Atletas!Q416="Baguazhang F",517,IF(Atletas!Q416="Outro Estilo Interno F",518, "")))))))))))))))))))</f>
        <v/>
      </c>
      <c r="BZ425" s="50" t="str">
        <f>IF(Atletas!R416="","",IF(Atletas!X416&lt;&gt;"",10000,0)+IF(Atletas!B416="Feminino",1000,IF(Atletas!B416="Masculino",2000,""))+IF(Atletas!R416="Dao A",601,IF(Atletas!R416="Jian A",602,IF(Atletas!R416="Bishou A",603,IF(Atletas!R416="Shanzi A",604,IF(Atletas!R416="Outra Arma Curta A",605,IF(Atletas!R416="Dao B",606,IF(Atletas!R416="Jian B",607,IF(Atletas!R416="Bishou B",608,IF(Atletas!R416="Shanzi B",609,IF(Atletas!R416="Outra Arma Curta B",610,IF(Atletas!R416="Dao C",611,IF(Atletas!R416="Jian C",612,IF(Atletas!R416="Bishou C",613,IF(Atletas!R416="Shanzi C",614,IF(Atletas!R416="Outra Arma Curta C",615,IF(Atletas!R416="Dao D",616,IF(Atletas!R416="Jian D",617,IF(Atletas!R416="Bishou D",618,IF(Atletas!R416="Shanzi D",619,IF(Atletas!R416="Outra Arma Curta D",620,IF(Atletas!R416="Dao E",621,IF(Atletas!R416="Jian E",622,IF(Atletas!R416="Bishou E",623,IF(Atletas!R416="Shanzi E",624,IF(Atletas!R416="Outra Arma Curta E",625,IF(Atletas!R416="Dao F",626,IF(Atletas!R416="Jian F",627,IF(Atletas!R416="Bishou F",628,IF(Atletas!R416="Shanzi F",629,IF(Atletas!R416="Outra Arma Curta F",630, "")))))))))))))))))))))))))))))))</f>
        <v/>
      </c>
      <c r="CA425" s="50" t="str">
        <f>IF(Atletas!S416="","",IF(Atletas!X416&lt;&gt;"",10000,0)+IF(Atletas!B416="Feminino",1000,IF(Atletas!B416="Masculino",2000,""))+IF(Atletas!S416="Gun A",701,IF(Atletas!S416="Qiang A",702,IF(Atletas!S416="Pudao / Guandao A",703,IF(Atletas!S416="Outra Arma Longa A",704,IF(Atletas!S416="Gun B",705,IF(Atletas!S416="Qiang B",706,IF(Atletas!S416="Pudao / Guandao B",707,IF(Atletas!S416="Outra Arma Longa B",708,IF(Atletas!S416="Gun C",709,IF(Atletas!S416="Qiang C",710,IF(Atletas!S416="Pudao / Guandao C",711,IF(Atletas!S416="Outra Arma Longa C",712,IF(Atletas!S416="Gun D",713,IF(Atletas!S416="Qiang D",714,IF(Atletas!S416="Pudao / Guandao D",715,IF(Atletas!S416="Outra Arma Longa D",716,IF(Atletas!S416="Gun E",717,IF(Atletas!S416="Qiang E",718,IF(Atletas!S416="Pudao / Guandao E",719,IF(Atletas!S416="Outra Arma Longa E",720,IF(Atletas!S416="Gun F",721,IF(Atletas!S416="Qiang F",722,IF(Atletas!S416="Pudao / Guandao F",723,IF(Atletas!S416="Outra Arma Longa F",724,"")))))))))))))))))))))))))</f>
        <v/>
      </c>
      <c r="CB425" s="50" t="str">
        <f>IF(Atletas!T416="","",IF(Atletas!X416&lt;&gt;"",10000,0)+IF(Atletas!B416="Feminino",1000,IF(Atletas!B416="Masculino",2000,""))+IF(Atletas!T416="Outra Arma Dupla A",801,IF(Atletas!T416="Arma Maleável A",802,IF(Atletas!T416="Outra Arma Dupla B",803,IF(Atletas!T416="Arma Maleável B",804,IF(Atletas!T416="Outra Arma Dupla C",805,IF(Atletas!T416="Arma Maleável C",806,IF(Atletas!T416="Outra Arma Dupla D",807,IF(Atletas!T416="Arma Maleável D",808,IF(Atletas!T416="Outra Arma Dupla E",809,IF(Atletas!T416="Arma Maleável E",810,IF(Atletas!T416="Outra Arma Dupla F",811,IF(Atletas!T416="Arma Maleável F",812,IF(Atletas!T416="Shuangdao A",813,IF(Atletas!T416="Shuangdao B",814,IF(Atletas!T416="Shuangdao C",815,IF(Atletas!T416="Shuangdao D",816,IF(Atletas!T416="Shuangdao E",817,IF(Atletas!T416="Shuangdao F",818,"")))))))))))))))))))</f>
        <v/>
      </c>
      <c r="CC425" s="50" t="str">
        <f>IF(Atletas!U416="","",IF(Atletas!X416&lt;&gt;"",10000,0)+IF(Atletas!B416="Feminino",1000,IF(Atletas!B416="Masculino",2000,""))+IF(OR(Atletas!U416="Taijijian Yang A",Atletas!U416="Taijijian Yang Standard A"),901,IF(OR(Atletas!U416="Taijijian Chen A", Atletas!U416="Taijijian Chen Standard A"),902,IF(Atletas!U416="Taijijian Sun A",903,IF(Atletas!U416="Taijijian Wu A",904,IF(Atletas!U416="Taijijian Wu-Hao A",905,IF(OR(Atletas!U416="Taijijian 32 A",Atletas!U416="Taijijian 42 A"),906,IF(OR(Atletas!U416="Taijijian Yang B",Atletas!U416="Taijijian Yang Standard B"),907,IF(OR(Atletas!U416="Taijijian Chen B", Atletas!U416="Taijijian Chen Standard B"),908,IF(Atletas!U416="Taijijian Sun B",909,IF(Atletas!U416="Taijijian Wu B",910,IF(Atletas!U416="Taijijian Wu-Hao B",911,IF(OR(Atletas!U416="Taijijian 32 B",Atletas!U416="Taijijian 42 B"),912,IF(OR(Atletas!U416="Taijijian Yang C",Atletas!U416="Taijijian Yang Standard C"),913,IF(OR(Atletas!U416="Taijijian Chen C", Atletas!U416="Taijijian Chen Standard C"),914,IF(Atletas!U416="Taijijian Sun C",915,IF(Atletas!U416="Taijijian Wu C",916,IF(Atletas!U416="Taijijian Wu-Hao C",917,IF(OR(Atletas!U416="Taijijian 32 C",Atletas!U416="Taijijian 42 C"),918,IF(OR(Atletas!U416="Taijijian Yang D",Atletas!U416="Taijijian Yang Standard D"),919,IF(OR(Atletas!U416="Taijijian Chen D", Atletas!U416="Taijijian Chen Standard D"),920,IF(Atletas!U416="Taijijian Sun D",921,IF(Atletas!U416="Taijijian Wu D",922,IF(Atletas!U416="Taijijian Wu-Hao D",923,IF(OR(Atletas!U416="Taijijian 32 D",Atletas!U416="Taijijian 42 D"),924,IF(OR(Atletas!U416="Taijijian Yang E",Atletas!U416="Taijijian Yang Standard E"),925,IF(OR(Atletas!U416="Taijijian Chen E", Atletas!U416="Taijijian Chen Standard E"),926,IF(Atletas!U416="Taijijian Sun E",927,IF(Atletas!U416="Taijijian Wu E",928,IF(Atletas!U416="Taijijian Wu-Hao E",929,IF(OR(Atletas!U416="Taijijian 32 E",Atletas!U416="Taijijian 42 E"),930,IF(OR(Atletas!U416="Taijijian Yang F",Atletas!U416="Taijijian Yang Standard F"),931,IF(OR(Atletas!U416="Taijijian Chen F", Atletas!U416="Taijijian Chen Standard F"),932,IF(Atletas!U416="Taijijian Sun F",933,IF(Atletas!U416="Taijijian Wu F",934,IF(Atletas!U416="Taijijian Wu-Hao F",935,IF(OR(Atletas!U416="Taijijian 32 F",Atletas!U416="Taijijian 42 F"),936,"")))))))))))))))))))))))))))))))))))))</f>
        <v/>
      </c>
      <c r="CD425" s="50" t="str">
        <f>IF(Atletas!V416="","",IF(Atletas!X416&lt;&gt;"",10000,0)+IF(Atletas!B416="Feminino",1000,IF(Atletas!B416="Masculino",2000,""))+IF(Atletas!V416="Taijidao A",937,IF(Atletas!V416="TaijiShanzi A",938,IF(Atletas!V416="Taijiqiang A",939,IF(Atletas!V416="Bagua de Arma A",940,IF(Atletas!V416="Xingyi de Arma A",941,IF(Atletas!V416="Taijidao B",942,IF(Atletas!V416="TaijiShanzi B",943,IF(Atletas!V416="Taijiqiang B",944,IF(Atletas!V416="Bagua de Arma B",945,IF(Atletas!V416="Xingyi de Arma B",946,IF(Atletas!V416="Taijidao C",947,IF(Atletas!V416="TaijiShanzi C",948,IF(Atletas!V416="Taijiqiang C",949,IF(Atletas!V416="Bagua de Arma C",950,IF(Atletas!V416="Xingyi de Arma C",951,IF(Atletas!V416="Taijidao D",952,IF(Atletas!V416="TaijiShanzi D",953,IF(Atletas!V416="Taijiqiang D",954,IF(Atletas!V416="Bagua de Arma D",955,IF(Atletas!V416="Xingyi de Arma D",956,IF(Atletas!V416="Taijidao E",957,IF(Atletas!V416="TaijiShanzi E",958,IF(Atletas!V416="Taijiqiang E",959,IF(Atletas!V416="Bagua de Arma E",960,IF(Atletas!V416="Xingyi de Arma E",961,IF(Atletas!V416="Taijidao F",962,IF(Atletas!V416="TaijiShanzi F",963,IF(Atletas!V416="Taijiqiang F",964,IF(Atletas!V416="Bagua de Arma F",965,IF(Atletas!V416="Xingyi de Arma F",966,"")))))))))))))))))))))))))))))))</f>
        <v/>
      </c>
      <c r="CM425" s="50" t="str">
        <f xml:space="preserve"> IF(Atletas!W416="","",IF(Atletas!W416="Duilian de Mãos BC - Equipe 1",1,IF(Atletas!W416="Duilian de Mãos BC - Equipe 2",2,IF(Atletas!W416="Duilian de Armas BC - Equipe 1",3,IF(Atletas!W416="Duilian de Armas BC - Equipe 2",4,IF(Atletas!W416="Duilian de Mãos DE - Equipe 1",5,IF(Atletas!W416="Duilian de Mãos DE - Equipe 2",6,IF(Atletas!W416="Duilian de Armas DE - Equipe 1",7,IF(Atletas!W416="Duilian de Armas DE - Equipe 2",8,IF(Atletas!W416="Duilian de Tuishou - Equipe 1",9,IF(Atletas!W416="Duilian de Tuishou - Equipe 2",10,IF(Atletas!W416="Grupo Externo ABC - Equipe 1",11,IF(Atletas!W416="Grupo Externo ABC - Equipe 2",12,IF(Atletas!W416="Grupo Interno ABC - Equipe 1",13,IF(Atletas!W416="Grupo Interno ABC - Equipe 2",14,IF(Atletas!W416="Grupo Externo DEF - Equipe 1",15,IF(Atletas!W416="Grupo Externo DEF - Equipe 2",16,IF(Atletas!W416="Grupo Interno DEF - Equipe 1",17,IF(Atletas!W416="Grupo Interno DEF - Equipe 2",18,"")))))))))))))))))))</f>
        <v/>
      </c>
    </row>
    <row r="426" spans="40:91">
      <c r="AN426" s="52" t="str">
        <f>IF(Atletas!D417="","",IF(Atletas!B417="Feminino",100,IF(Atletas!B417="Masculino",200,""))+(IF(Atletas!D417="Kids 30kg",1,IF(Atletas!D417="Kids 32kg",2, IF(Atletas!D417="Kids 34kg",3,IF(Atletas!D417="Kids 36kg",4,IF(Atletas!D417="Kids 39kg",5,IF(Atletas!D417="Kids 42kg",6,IF(Atletas!D417="Kids 45kg",7, IF(Atletas!D417="Infantil 39kg",8,IF(Atletas!D417="Infantil 42kg",9,IF(Atletas!D417="Infantil 45kg",10,IF(Atletas!D417="Infantil 48kg",11,IF(Atletas!D417="Infantil 52kg",12,IF(Atletas!D417="Infantil 56kg",13,IF(Atletas!D417="Infantil 60kg",14,IF(Atletas!D417="Juvenil 48kg",15,IF(Atletas!D417="Juvenil 52kg",16,IF(Atletas!D417="Juvenil 56kg",17,IF(Atletas!D417="Juvenil 60kg",18,IF(Atletas!D417="Juvenil 65kg",19,IF(Atletas!D417="Juvenil 70kg",20,IF(Atletas!D417="Juvenil 75kg",21,IF(Atletas!D417="Juvenil 80kg",22, IF(Atletas!D417="Juvenil 85kg",23,IF(Atletas!D417="Adulto 48kg",24,IF(Atletas!D417="Adulto 52kg",25,IF(Atletas!D417="Adulto 56kg",26,IF(Atletas!D417="Adulto 60kg",27,IF(Atletas!D417="Adulto 65kg",28,IF(Atletas!D417="Adulto 70kg",29,IF(Atletas!D417="Adulto 75kg",30,IF(Atletas!D417="Adulto 80kg",31,IF(Atletas!D417="Adulto 85kg",32,IF(Atletas!D417="Adulto 90kg",33,IF(Atletas!D417="Adulto 100kg",34, IF(Atletas!D417="Adulto +100kg",35,"")))))))))))))))))))))))))))))))))))))</f>
        <v/>
      </c>
      <c r="AS426" s="6" t="str">
        <f>IF(Atletas!E417="","",IF(Atletas!B417="Feminino",100,IF(Atletas!B417="Masculino",200,""))+(IF(Atletas!E417="Juvenil 44kg",1,IF(Atletas!E417="Juvenil 48kg",2,IF(Atletas!E417="Juvenil 52kg",3,IF(Atletas!E417="Juvenil 56kg",4,IF(Atletas!E417="Juvenil 60kg",5,IF(Atletas!E417="Juvenil 65kg",6,IF(Atletas!E417="Juvenil 70kg",7,IF(Atletas!E417="Juvenil 75kg",8,IF(Atletas!E417="Juvenil 82kg",9,IF(Atletas!E417="Juvenil 90kg",10,IF(Atletas!E417="Juvenil 100kg",11,IF(Atletas!E417="Adulto 48kg",12,IF(Atletas!E417="Adulto 52kg",13,IF(Atletas!E417="Adulto 56kg",14,IF(Atletas!E417="Adulto 60kg",15,IF(Atletas!E417="Adulto 65kg",16,IF(Atletas!E417="Adulto 70kg",17,IF(Atletas!E417="Adulto 75kg",18,IF(Atletas!E417="Adulto 82kg",19,IF(Atletas!E417="Adulto 90kg",20,IF(Atletas!E417="Adulto 100kg",21,IF(Atletas!E417="Adulto +100kg",22,""))))))))))))))))))))))))</f>
        <v/>
      </c>
      <c r="AX426" s="6" t="str">
        <f>IF(Atletas!F417="","",IF(Atletas!B417="Feminino",100,IF(Atletas!B417="Masculino",200,""))+(IF(Atletas!F417="Adulto 48kg",1,IF(Atletas!F417="Adulto 56kg",2,IF(Atletas!F417="Adulto 65kg",3,IF(Atletas!F417="Adulto 75kg",4,IF(Atletas!F417="Adulto +75kg",5,IF(Atletas!F417="Adulto 52kg",6,IF(Atletas!F417="Adulto 60kg",7,IF(Atletas!F417="Adulto 70kg",8,IF(Atletas!F417="Adulto 80kg",9,IF(Atletas!F417="Adulto 90kg",10,IF(Atletas!F417="Adulto +90kg",11,"")))))))))))))</f>
        <v/>
      </c>
      <c r="BC426" s="6" t="str">
        <f>IF(Atletas!G417="","",IF(Atletas!B417="Feminino",10,IF(Atletas!B417="Masculino",20,""))+(IF(Atletas!G417="Baduanjin A",1,IF(Atletas!G417="Baduanjin B",2))))</f>
        <v/>
      </c>
      <c r="BF426" s="52" t="str">
        <f>IF(Atletas!H417="","",IF(Atletas!B417="Feminino",100,IF(Atletas!B417="Masculino",200,""))+(IF(Atletas!H417="Changquan Mirim",1,IF(Atletas!H417="Nanquan Mirim",2,IF(Atletas!H417="Taijiquan Mirim",3,IF(Atletas!H417="Changquan Grupo C",4,IF(Atletas!H417="Nanquan Grupo C",5,IF(Atletas!H417="Taijiquan Grupo C",6,IF(Atletas!H417="Changquan Grupo B",7,IF(Atletas!H417="Nanquan Grupo B",8,IF(Atletas!H417="Taijiquan Grupo B",9,IF(Atletas!H417="Changquan Grupo A",10,IF(Atletas!H417="Nanquan Grupo A",11,IF(Atletas!H417="Taijiquan Grupo A",12,IF(Atletas!H417="Changquan Opcional",13,IF(Atletas!H417="Nanquan Opcional",14,IF(Atletas!H417="Taijiquan Opcional",15,IF(Atletas!H417="Changquan Adulto",16,IF(Atletas!H417="Nanquan Adulto",17,IF(Atletas!H417="Taijiquan Adulto",18,""))))))))))))))))))))</f>
        <v/>
      </c>
      <c r="BG426" s="52" t="str">
        <f>IF(Atletas!I417="","",IF(Atletas!B417="Feminino",100,IF(Atletas!B417="Masculino",200,""))+(IF(Atletas!I417="Daoshu Mirim",19,IF(Atletas!I417="Jianshu Mirim",20,IF(Atletas!I417="Nandao Mirim",21,IF(Atletas!I417="Taijijian Mirim",22,IF(Atletas!I417="Daoshu Grupo C",23,IF(Atletas!I417="Jianshu Grupo C",24,IF(Atletas!I417="Nandao Grupo C",25,IF(Atletas!I417="Taijijian Grupo C",26,IF(Atletas!I417="Daoshu Grupo B",27,IF(Atletas!I417="Jianshu Grupo B",28,IF(Atletas!I417="Nandao Grupo B",29,IF(Atletas!I417="Taijijian Grupo B",30,IF(Atletas!I417="Daoshu Grupo A",31,IF(Atletas!I417="Jianshu Grupo A",32,IF(Atletas!I417="Nandao Grupo A",33,IF(Atletas!I417="Taijijian Grupo A",34,IF(Atletas!I417="Daoshu Opcional",35,IF(Atletas!I417="Jianshu Opcional",36,IF(Atletas!I417="Nandao Opcional",37,IF(Atletas!I417="Taijijian Opcional",38,IF(Atletas!I417="Daoshu Adulto",39,IF(Atletas!I417="Jianshu Adulto",40,IF(Atletas!I417="Nandao Adulto",41,IF(Atletas!I417="Taijijian Adulto",42,""))))))))))))))))))))))))))</f>
        <v/>
      </c>
      <c r="BH426" s="52" t="str">
        <f>IF(Atletas!J417="","",IF(Atletas!B417="Feminino",100,IF(Atletas!B417="Masculino",200,""))+(IF(Atletas!J417="Gunshu Mirim",43,IF(Atletas!J417="Qiangshu Mirim",44,IF(Atletas!J417="Nangun Mirim",45,IF(Atletas!J417="Gunshu Grupo C",46,IF(Atletas!J417="Qiangshu Grupo C",47,IF(Atletas!J417="Nangun Grupo C",48,IF(Atletas!J417="Gunshu Grupo B",49,IF(Atletas!J417="Qiangshu Grupo B",50,IF(Atletas!J417="Nangun Grupo B",51,IF(Atletas!J417="Gunshu Grupo A",52,IF(Atletas!J417="Qiangshu Grupo A",53,IF(Atletas!J417="Nangun Grupo A",54,IF(Atletas!J417="Gunshu Opcional",55,IF(Atletas!J417="Qiangshu Opcional",56,IF(Atletas!J417="Nangun Opcional",57,IF(Atletas!J417="Gunshu Adulto",58,IF(Atletas!J417="Qiangshu Adulto",59,IF(Atletas!J417="Nangun Adulto",60,IF(Atletas!J417="Taijishan Grupo B",61,IF(Atletas!J417="Taijishan Grupo A",62,""))))))))))))))))))))))</f>
        <v/>
      </c>
      <c r="BM426" s="50" t="str">
        <f>IF(Atletas!K417="","",IF(Atletas!B417="Feminino",100,IF(Atletas!B417="Masculino",200,""))+(IF(Atletas!K417="Equipe 1 Grupo B",1,IF(Atletas!K417="Equipe 2 Grupo B",2,IF(Atletas!K417="Equipe 1 Grupo A",3,IF(Atletas!K417="Equipe 2 Grupo A",4,IF(Atletas!K417="Equipe 1 Adulto",5,IF(Atletas!K417="Equipe 2 Adulto",6,""))))))))</f>
        <v/>
      </c>
      <c r="BR426" s="50" t="str">
        <f>IF(Atletas!L417="","",IF(Atletas!X417&lt;&gt;"",10000,0)+(IF(Atletas!B417="Feminino",1000,IF(Atletas!B417="Masculino",2000,""))+IF(Atletas!L417="Choylayfut A",1,IF(Atletas!L417="Hunggar A",2,IF(Atletas!L417="Wuzuquan A",3,IF(Atletas!L417="Wingchun A",4,IF(Atletas!L417="Outra Mão de Sul A",5,IF(Atletas!L417="Choylayfut B",6,IF(Atletas!L417="Hunggar B",7,IF(Atletas!L417="Wuzuquan B",8,IF(Atletas!L417="Wingchun B",9,IF(Atletas!L417="Outra Mão de Sul B",10,IF(Atletas!L417="Choylayfut C",11,IF(Atletas!L417="Hunggar C",12,IF(Atletas!L417="Wuzuquan C",13,IF(Atletas!L417="Wingchun C",14,IF(Atletas!L417="Outra Mão de Sul C",15,IF(Atletas!L417="Choylayfut D",16,IF(Atletas!L417="Hunggar D",17,IF(Atletas!L417="Wuzuquan D",18,IF(Atletas!L417="Wingchun D",19,IF(Atletas!L417="Outra Mão de Sul D",20,IF(Atletas!L417="Choylayfut E",21,IF(Atletas!L417="Hunggar E",22,IF(Atletas!L417="Wuzuquan E",23,IF(Atletas!L417="Wingchun E",24,IF(Atletas!L417="Outra Mão de Sul E",25,IF(Atletas!L417="Choylayfut F",26,IF(Atletas!L417="Hunggar F",27,IF(Atletas!L417="Wuzuquan F",28,IF(Atletas!L417="Wingchun F",29,IF(Atletas!L417="Outra Mão de Sul F",30,IF(Atletas!L417="Dishuquan A",31,IF(Atletas!L417="Dishuquan B",32,IF(Atletas!L417="Dishuquan C",33,IF(Atletas!L417="Dishuquan D",34,IF(Atletas!L417="Dishuquan E",35,IF(Atletas!L417="Dishuquan F",36,""))))))))))))))))))))))))))))))))))))))</f>
        <v/>
      </c>
      <c r="BS426" s="50" t="str">
        <f>IF(Atletas!M417="","",IF(Atletas!X417&lt;&gt;"",10000,0)+(IF(Atletas!B417="Feminino",1000,IF(Atletas!B417="Masculino",2000,""))+(IF(Atletas!M417="Chaquan A",101,IF(Atletas!M417="Emeiquan A",102,IF(Atletas!M417="Fanziquan A",103,IF(Atletas!M417="Huaquan A",104,IF(Atletas!M417="Hongquan A",105,IF(Atletas!M417="Paoquan A",106,IF(Atletas!M417="Piguaquan A",107,IF(Atletas!M417="Shaolinquan A",108,IF(Atletas!M417="Tanglangquan A",109,IF(Atletas!M417="Yingzhaoquan A",110,IF(Atletas!M417="Tongbeiquan A",111,IF(Atletas!M417="Wudangquan A",112,IF(Atletas!M417="Outros Estilos A",113,IF(Atletas!M417="Chaquan B",114,IF(Atletas!M417="Emeiquan B",115,IF(Atletas!M417="Fanziquan B",116,IF(Atletas!M417="Huaquan B",117,IF(Atletas!M417="Hongquan B",118,IF(Atletas!M417="Paoquan B",119,IF(Atletas!M417="Piguaquan B",120,IF(Atletas!M417="Shaolinquan B",121,IF(Atletas!M417="Tanglangquan B",122,IF(Atletas!M417="Yingzhaoquan B",123,IF(Atletas!M417="Tongbeiquan B",124,IF(Atletas!M417="Wudangquan B",125,IF(Atletas!M417="Outros Estilos B",126,IF(Atletas!M417="Chaquan C",127,IF(Atletas!M417="Emeiquan C",128,IF(Atletas!M417="Fanziquan C",129,IF(Atletas!M417="Huaquan C",130,IF(Atletas!M417="Hongquan C",131,IF(Atletas!M417="Paoquan C",132,IF(Atletas!M417="Piguaquan C",133,IF(Atletas!M417="Shaolinquan C",134,IF(Atletas!M417="Tanglangquan C",135,IF(Atletas!M417="Yingzhaoquan C",136,IF(Atletas!M417="Tongbeiquan C",137,IF(Atletas!M417="Wudangquan C",138,IF(Atletas!M417="Outros Estilos C",139,0))))))))))))))))))))))))))))))))))))))))))</f>
        <v/>
      </c>
      <c r="BT426" s="50" t="str">
        <f>IF(Atletas!M417="","",IF(Atletas!X417&lt;&gt;"",10000,0)+(IF(Atletas!B417="Feminino",1000,IF(Atletas!B417="Masculino",2000,""))+(IF(Atletas!M417="Chaquan D",140,IF(Atletas!M417="Emeiquan D",141,IF(Atletas!M417="Fanziquan D",142,IF(Atletas!M417="Huaquan D",143,IF(Atletas!M417="Hongquan D",144,IF(Atletas!M417="Paoquan D",145,IF(Atletas!M417="Piguaquan D",146,IF(Atletas!M417="Shaolinquan D",147,IF(Atletas!M417="Tanglangquan D",148,IF(Atletas!M417="Yingzhaoquan D",149,IF(Atletas!M417="Tongbeiquan D",150,IF(Atletas!M417="Wudangquan D",151,IF(Atletas!M417="Outros Estilos D",152,IF(Atletas!M417="Chaquan E",153,IF(Atletas!M417="Emeiquan E",154,IF(Atletas!M417="Fanziquan E",155,IF(Atletas!M417="Huaquan E",156,IF(Atletas!M417="Hongquan E",157,IF(Atletas!M417="Paoquan E",158,IF(Atletas!M417="Piguaquan E",159,IF(Atletas!M417="Shaolinquan E",160,IF(Atletas!M417="Tanglangquan E",161,IF(Atletas!M417="Yingzhaoquan E",162,IF(Atletas!M417="Tongbeiquan E",163,IF(Atletas!M417="Wudangquan E",164,IF(Atletas!M417="Outros Estilos E",165,IF(Atletas!M417="Chaquan F",166,IF(Atletas!M417="Emeiquan F",167,IF(Atletas!M417="Fanziquan F",168,IF(Atletas!M417="Huaquan F",169,IF(Atletas!M417="Hongquan F",170,IF(Atletas!M417="Paoquan F",171,IF(Atletas!M417="Piguaquan F",172,IF(Atletas!M417="Shaolinquan F",173,IF(Atletas!M417="Tanglangquan F",174,IF(Atletas!M417="Yingzhaoquan F",175,IF(Atletas!M417="Tongbeiquan F",176,IF(Atletas!M417="Wudangquan F",177,IF(Atletas!M417="Outros Estilos F",178,0))))))))))))))))))))))))))))))))))))))))))</f>
        <v/>
      </c>
      <c r="BU426" s="50" t="str">
        <f>IF(Atletas!N417="","",IF(Atletas!X417&lt;&gt;"",10000,0)+(IF(Atletas!B417="Feminino",1000,IF(Atletas!B417="Masculino",2000,""))+(IF(Atletas!N417="Ditangquan A",201,IF(Atletas!N417="Houquan A",202,IF(Atletas!N417="Zuiquan A",203,IF(Atletas!N417="Ditangquan B",204,IF(Atletas!N417="Houquan B",205,IF(Atletas!N417="Zuiquan B",206,IF(Atletas!N417="Ditangquan C",207,IF(Atletas!N417="Houquan C",208,IF(Atletas!N417="Zuiquan C",209,IF(Atletas!N417="Ditangquan D",210,IF(Atletas!N417="Houquan D",211,IF(Atletas!N417="Zuiquan D",212,IF(Atletas!N417="Ditangquan E",213,IF(Atletas!N417="Houquan E",214,IF(Atletas!N417="Zuiquan E",215,IF(Atletas!N417="Ditangquan F",216,IF(Atletas!N417="Houquan F",217,IF(Atletas!N417="Zuiquan F",218,"")))))))))))))))))))))</f>
        <v/>
      </c>
      <c r="BV426" s="50" t="str">
        <f>IF(Atletas!O417="","",IF(Atletas!X417&lt;&gt;"",10000,0)+IF(Atletas!B417="Feminino",1000,IF(Atletas!B417="Masculino",2000,""))+IF(Atletas!O417="Yang A",301,IF(Atletas!O417="Chen A",302,IF(Atletas!O417="Sun A",303,IF(Atletas!O417="Wu A",304,IF(Atletas!O417="Wu-Hao A",305,IF(Atletas!O417="Outro Taijiquan A",306,IF(Atletas!O417="Yang B",307,IF(Atletas!O417="Chen B",308,IF(Atletas!O417="Sun B",309,IF(Atletas!O417="Wu B",310,IF(Atletas!O417="Wu-Hao B",311,IF(Atletas!O417="Outro Taijiquan B",312,IF(Atletas!O417="Yang C",313,IF(Atletas!O417="Chen C",314,IF(Atletas!O417="Sun C",315,IF(Atletas!O417="Wu C",316,IF(Atletas!O417="Wu-Hao C",317,IF(Atletas!O417="Outro Taijiquan C",318,IF(Atletas!O417="Yang D",319,IF(Atletas!O417="Chen D",320,IF(Atletas!O417="Sun D",321,IF(Atletas!O417="Wu D",322,IF(Atletas!O417="Wu-Hao D",323,IF(Atletas!O417="Outro Taijiquan D",324,IF(Atletas!O417="Yang E",325,IF(Atletas!O417="Chen E",326,IF(Atletas!O417="Sun E",327,IF(Atletas!O417="Wu E",328,IF(Atletas!O417="Wu-Hao E",329,IF(Atletas!O417="Outro Taijiquan E",330,IF(Atletas!O417="Yang F",331,IF(Atletas!O417="Chen F",332,IF(Atletas!O417="Sun F",333,IF(Atletas!O417="Wu F",334,IF(Atletas!O417="Wu-Hao F",335,IF(Atletas!O417="Outro Taijiquan F",336,"")))))))))))))))))))))))))))))))))))))</f>
        <v/>
      </c>
      <c r="BW426" s="50" t="str">
        <f>IF(Atletas!P417="","",IF(Atletas!X417&lt;&gt;"",10000,0)+IF(Atletas!B417="Feminino",1000,IF(Atletas!B417="Masculino",2000,""))+IF(OR(Atletas!P417="Yang 26 A",Atletas!P417="Yang 40 A"),401,IF(OR(Atletas!P417="Chen 25 A",Atletas!P417="Chen 36 A",Atletas!P417="Chen 56 A"),402,IF(Atletas!P417="Sun 73 A",403,IF(Atletas!P417="Wu 45 A",404,IF(Atletas!P417="Wu-Hao 46 A",405,IF(OR(Atletas!P417="Taijiquan 16 A",Atletas!P417="Taijiquan 24 A",Atletas!P417="Taijiquan 32 A",Atletas!P417="Taijiquan 42 A"),406,IF(OR(Atletas!P417="Yang 26 B",Atletas!P417="Yang 40 B"),407,IF(OR(Atletas!P417="Chen 25 B",Atletas!P417="Chen 36 B",Atletas!P417="Chen 56 B"),408,IF(Atletas!P417="Sun 73 B",409,IF(Atletas!P417="Wu 45 B",410,IF(Atletas!P417="Wu-Hao 46 B",411,IF(OR(Atletas!P417="Taijiquan 16 B",Atletas!P417="Taijiquan 24 B",Atletas!P417="Taijiquan 32 B",Atletas!P417="Taijiquan 42 B"),412,IF(OR(Atletas!P417="Yang 26 C",Atletas!P417="Yang 40 C"),413,IF(OR(Atletas!P417="Chen 25 C",Atletas!P417="Chen 36 C",Atletas!P417="Chen 56 C"),414,IF(Atletas!P417="Sun 73 C",415,IF(Atletas!P417="Wu 45 C",416,IF(Atletas!P417="Wu-Hao 46 C",417,IF(OR(Atletas!P417="Taijiquan 16 C",Atletas!P417="Taijiquan 24 C",Atletas!P417="Taijiquan 32 C",Atletas!P417="Taijiquan 42 C"),418,0)))))))))))))))))))</f>
        <v/>
      </c>
      <c r="BX426" s="50" t="str">
        <f>IF(Atletas!P417="","",IF(Atletas!X417&lt;&gt;"",10000,0)+IF(Atletas!B417="Feminino",1000,IF(Atletas!B417="Masculino",2000,""))+IF(OR(Atletas!P417="Yang 26 D",Atletas!P417="Yang 40 D"),419,IF(OR(Atletas!P417="Chen 25 D",Atletas!P417="Chen 36 D",Atletas!P417="Chen 56 D"),420,IF(Atletas!P417="Sun 73 D",421,IF(Atletas!P417="Wu 45 D",422,IF(Atletas!P417="Wu-Hao 46 D",423,IF(OR(Atletas!P417="Taijiquan 16 D",Atletas!P417="Taijiquan 24 D",Atletas!P417="Taijiquan 32 D",Atletas!P417="Taijiquan 42 D"),424,IF(OR(Atletas!P417="Yang 26 E",Atletas!P417="Yang 40 E"),425,IF(OR(Atletas!P417="Chen 25 E",Atletas!P417="Chen 36 E",Atletas!P417="Chen 56 E"),426,IF(Atletas!P417="Sun 73 E",427,IF(Atletas!P417="Wu 45 E",428,IF(Atletas!P417="Wu-Hao 46 E",429,IF(OR(Atletas!P417="Taijiquan 16 E",Atletas!P417="Taijiquan 24 E",Atletas!P417="Taijiquan 32 E",Atletas!P417="Taijiquan 42 E"),430,IF(OR(Atletas!P417="Yang 26 F",Atletas!P417="Yang 40 F"),431,IF(OR(Atletas!P417="Chen 25 F",Atletas!P417="Chen 36 F",Atletas!P417="Chen 56 F"),432,IF(Atletas!P417="Sun 73 F",433,IF(Atletas!P417="Wu 45 F",434,IF(Atletas!P417="Wu-Hao 46 F",435,IF(OR(Atletas!P417="Taijiquan 16 F",Atletas!P417="Taijiquan 24 F",Atletas!P417="Taijiquan 32 F",Atletas!P417="Taijiquan 42 F"),436,0)))))))))))))))))))</f>
        <v/>
      </c>
      <c r="BY426" s="50" t="str">
        <f>IF(Atletas!Q417="","",IF(Atletas!X417&lt;&gt;"",10000,0)+IF(Atletas!B417="Feminino",1000,IF(Atletas!B417="Masculino",2000,""))+IF(Atletas!Q417="Xingyiquan A",501,IF(Atletas!Q417="Baguazhang A",502,IF(Atletas!Q417="Outro Estilo Interno A",503,IF(Atletas!Q417="Xingyiquan B",504,IF(Atletas!Q417="Baguazhang B",505,IF(Atletas!Q417="Outro Estilo Interno B",506,IF(Atletas!Q417="Xingyiquan C",507,IF(Atletas!Q417="Baguazhang C",508,IF(Atletas!Q417="Outro Estilo Interno C",509,IF(Atletas!Q417="Xingyiquan D",510,IF(Atletas!Q417="Baguazhang D",511,IF(Atletas!Q417="Outro Estilo Interno D",512,IF(Atletas!Q417="Xingyiquan E",513,IF(Atletas!Q417="Baguazhang E",514,IF(Atletas!Q417="Outro Estilo Interno E",515,IF(Atletas!Q417="Xingyiquan F",516,IF(Atletas!Q417="Baguazhang F",517,IF(Atletas!Q417="Outro Estilo Interno F",518, "")))))))))))))))))))</f>
        <v/>
      </c>
      <c r="BZ426" s="50" t="str">
        <f>IF(Atletas!R417="","",IF(Atletas!X417&lt;&gt;"",10000,0)+IF(Atletas!B417="Feminino",1000,IF(Atletas!B417="Masculino",2000,""))+IF(Atletas!R417="Dao A",601,IF(Atletas!R417="Jian A",602,IF(Atletas!R417="Bishou A",603,IF(Atletas!R417="Shanzi A",604,IF(Atletas!R417="Outra Arma Curta A",605,IF(Atletas!R417="Dao B",606,IF(Atletas!R417="Jian B",607,IF(Atletas!R417="Bishou B",608,IF(Atletas!R417="Shanzi B",609,IF(Atletas!R417="Outra Arma Curta B",610,IF(Atletas!R417="Dao C",611,IF(Atletas!R417="Jian C",612,IF(Atletas!R417="Bishou C",613,IF(Atletas!R417="Shanzi C",614,IF(Atletas!R417="Outra Arma Curta C",615,IF(Atletas!R417="Dao D",616,IF(Atletas!R417="Jian D",617,IF(Atletas!R417="Bishou D",618,IF(Atletas!R417="Shanzi D",619,IF(Atletas!R417="Outra Arma Curta D",620,IF(Atletas!R417="Dao E",621,IF(Atletas!R417="Jian E",622,IF(Atletas!R417="Bishou E",623,IF(Atletas!R417="Shanzi E",624,IF(Atletas!R417="Outra Arma Curta E",625,IF(Atletas!R417="Dao F",626,IF(Atletas!R417="Jian F",627,IF(Atletas!R417="Bishou F",628,IF(Atletas!R417="Shanzi F",629,IF(Atletas!R417="Outra Arma Curta F",630, "")))))))))))))))))))))))))))))))</f>
        <v/>
      </c>
      <c r="CA426" s="50" t="str">
        <f>IF(Atletas!S417="","",IF(Atletas!X417&lt;&gt;"",10000,0)+IF(Atletas!B417="Feminino",1000,IF(Atletas!B417="Masculino",2000,""))+IF(Atletas!S417="Gun A",701,IF(Atletas!S417="Qiang A",702,IF(Atletas!S417="Pudao / Guandao A",703,IF(Atletas!S417="Outra Arma Longa A",704,IF(Atletas!S417="Gun B",705,IF(Atletas!S417="Qiang B",706,IF(Atletas!S417="Pudao / Guandao B",707,IF(Atletas!S417="Outra Arma Longa B",708,IF(Atletas!S417="Gun C",709,IF(Atletas!S417="Qiang C",710,IF(Atletas!S417="Pudao / Guandao C",711,IF(Atletas!S417="Outra Arma Longa C",712,IF(Atletas!S417="Gun D",713,IF(Atletas!S417="Qiang D",714,IF(Atletas!S417="Pudao / Guandao D",715,IF(Atletas!S417="Outra Arma Longa D",716,IF(Atletas!S417="Gun E",717,IF(Atletas!S417="Qiang E",718,IF(Atletas!S417="Pudao / Guandao E",719,IF(Atletas!S417="Outra Arma Longa E",720,IF(Atletas!S417="Gun F",721,IF(Atletas!S417="Qiang F",722,IF(Atletas!S417="Pudao / Guandao F",723,IF(Atletas!S417="Outra Arma Longa F",724,"")))))))))))))))))))))))))</f>
        <v/>
      </c>
      <c r="CB426" s="50" t="str">
        <f>IF(Atletas!T417="","",IF(Atletas!X417&lt;&gt;"",10000,0)+IF(Atletas!B417="Feminino",1000,IF(Atletas!B417="Masculino",2000,""))+IF(Atletas!T417="Outra Arma Dupla A",801,IF(Atletas!T417="Arma Maleável A",802,IF(Atletas!T417="Outra Arma Dupla B",803,IF(Atletas!T417="Arma Maleável B",804,IF(Atletas!T417="Outra Arma Dupla C",805,IF(Atletas!T417="Arma Maleável C",806,IF(Atletas!T417="Outra Arma Dupla D",807,IF(Atletas!T417="Arma Maleável D",808,IF(Atletas!T417="Outra Arma Dupla E",809,IF(Atletas!T417="Arma Maleável E",810,IF(Atletas!T417="Outra Arma Dupla F",811,IF(Atletas!T417="Arma Maleável F",812,IF(Atletas!T417="Shuangdao A",813,IF(Atletas!T417="Shuangdao B",814,IF(Atletas!T417="Shuangdao C",815,IF(Atletas!T417="Shuangdao D",816,IF(Atletas!T417="Shuangdao E",817,IF(Atletas!T417="Shuangdao F",818,"")))))))))))))))))))</f>
        <v/>
      </c>
      <c r="CC426" s="50" t="str">
        <f>IF(Atletas!U417="","",IF(Atletas!X417&lt;&gt;"",10000,0)+IF(Atletas!B417="Feminino",1000,IF(Atletas!B417="Masculino",2000,""))+IF(OR(Atletas!U417="Taijijian Yang A",Atletas!U417="Taijijian Yang Standard A"),901,IF(OR(Atletas!U417="Taijijian Chen A", Atletas!U417="Taijijian Chen Standard A"),902,IF(Atletas!U417="Taijijian Sun A",903,IF(Atletas!U417="Taijijian Wu A",904,IF(Atletas!U417="Taijijian Wu-Hao A",905,IF(OR(Atletas!U417="Taijijian 32 A",Atletas!U417="Taijijian 42 A"),906,IF(OR(Atletas!U417="Taijijian Yang B",Atletas!U417="Taijijian Yang Standard B"),907,IF(OR(Atletas!U417="Taijijian Chen B", Atletas!U417="Taijijian Chen Standard B"),908,IF(Atletas!U417="Taijijian Sun B",909,IF(Atletas!U417="Taijijian Wu B",910,IF(Atletas!U417="Taijijian Wu-Hao B",911,IF(OR(Atletas!U417="Taijijian 32 B",Atletas!U417="Taijijian 42 B"),912,IF(OR(Atletas!U417="Taijijian Yang C",Atletas!U417="Taijijian Yang Standard C"),913,IF(OR(Atletas!U417="Taijijian Chen C", Atletas!U417="Taijijian Chen Standard C"),914,IF(Atletas!U417="Taijijian Sun C",915,IF(Atletas!U417="Taijijian Wu C",916,IF(Atletas!U417="Taijijian Wu-Hao C",917,IF(OR(Atletas!U417="Taijijian 32 C",Atletas!U417="Taijijian 42 C"),918,IF(OR(Atletas!U417="Taijijian Yang D",Atletas!U417="Taijijian Yang Standard D"),919,IF(OR(Atletas!U417="Taijijian Chen D", Atletas!U417="Taijijian Chen Standard D"),920,IF(Atletas!U417="Taijijian Sun D",921,IF(Atletas!U417="Taijijian Wu D",922,IF(Atletas!U417="Taijijian Wu-Hao D",923,IF(OR(Atletas!U417="Taijijian 32 D",Atletas!U417="Taijijian 42 D"),924,IF(OR(Atletas!U417="Taijijian Yang E",Atletas!U417="Taijijian Yang Standard E"),925,IF(OR(Atletas!U417="Taijijian Chen E", Atletas!U417="Taijijian Chen Standard E"),926,IF(Atletas!U417="Taijijian Sun E",927,IF(Atletas!U417="Taijijian Wu E",928,IF(Atletas!U417="Taijijian Wu-Hao E",929,IF(OR(Atletas!U417="Taijijian 32 E",Atletas!U417="Taijijian 42 E"),930,IF(OR(Atletas!U417="Taijijian Yang F",Atletas!U417="Taijijian Yang Standard F"),931,IF(OR(Atletas!U417="Taijijian Chen F", Atletas!U417="Taijijian Chen Standard F"),932,IF(Atletas!U417="Taijijian Sun F",933,IF(Atletas!U417="Taijijian Wu F",934,IF(Atletas!U417="Taijijian Wu-Hao F",935,IF(OR(Atletas!U417="Taijijian 32 F",Atletas!U417="Taijijian 42 F"),936,"")))))))))))))))))))))))))))))))))))))</f>
        <v/>
      </c>
      <c r="CD426" s="50" t="str">
        <f>IF(Atletas!V417="","",IF(Atletas!X417&lt;&gt;"",10000,0)+IF(Atletas!B417="Feminino",1000,IF(Atletas!B417="Masculino",2000,""))+IF(Atletas!V417="Taijidao A",937,IF(Atletas!V417="TaijiShanzi A",938,IF(Atletas!V417="Taijiqiang A",939,IF(Atletas!V417="Bagua de Arma A",940,IF(Atletas!V417="Xingyi de Arma A",941,IF(Atletas!V417="Taijidao B",942,IF(Atletas!V417="TaijiShanzi B",943,IF(Atletas!V417="Taijiqiang B",944,IF(Atletas!V417="Bagua de Arma B",945,IF(Atletas!V417="Xingyi de Arma B",946,IF(Atletas!V417="Taijidao C",947,IF(Atletas!V417="TaijiShanzi C",948,IF(Atletas!V417="Taijiqiang C",949,IF(Atletas!V417="Bagua de Arma C",950,IF(Atletas!V417="Xingyi de Arma C",951,IF(Atletas!V417="Taijidao D",952,IF(Atletas!V417="TaijiShanzi D",953,IF(Atletas!V417="Taijiqiang D",954,IF(Atletas!V417="Bagua de Arma D",955,IF(Atletas!V417="Xingyi de Arma D",956,IF(Atletas!V417="Taijidao E",957,IF(Atletas!V417="TaijiShanzi E",958,IF(Atletas!V417="Taijiqiang E",959,IF(Atletas!V417="Bagua de Arma E",960,IF(Atletas!V417="Xingyi de Arma E",961,IF(Atletas!V417="Taijidao F",962,IF(Atletas!V417="TaijiShanzi F",963,IF(Atletas!V417="Taijiqiang F",964,IF(Atletas!V417="Bagua de Arma F",965,IF(Atletas!V417="Xingyi de Arma F",966,"")))))))))))))))))))))))))))))))</f>
        <v/>
      </c>
      <c r="CM426" s="50" t="str">
        <f xml:space="preserve"> IF(Atletas!W417="","",IF(Atletas!W417="Duilian de Mãos BC - Equipe 1",1,IF(Atletas!W417="Duilian de Mãos BC - Equipe 2",2,IF(Atletas!W417="Duilian de Armas BC - Equipe 1",3,IF(Atletas!W417="Duilian de Armas BC - Equipe 2",4,IF(Atletas!W417="Duilian de Mãos DE - Equipe 1",5,IF(Atletas!W417="Duilian de Mãos DE - Equipe 2",6,IF(Atletas!W417="Duilian de Armas DE - Equipe 1",7,IF(Atletas!W417="Duilian de Armas DE - Equipe 2",8,IF(Atletas!W417="Duilian de Tuishou - Equipe 1",9,IF(Atletas!W417="Duilian de Tuishou - Equipe 2",10,IF(Atletas!W417="Grupo Externo ABC - Equipe 1",11,IF(Atletas!W417="Grupo Externo ABC - Equipe 2",12,IF(Atletas!W417="Grupo Interno ABC - Equipe 1",13,IF(Atletas!W417="Grupo Interno ABC - Equipe 2",14,IF(Atletas!W417="Grupo Externo DEF - Equipe 1",15,IF(Atletas!W417="Grupo Externo DEF - Equipe 2",16,IF(Atletas!W417="Grupo Interno DEF - Equipe 1",17,IF(Atletas!W417="Grupo Interno DEF - Equipe 2",18,"")))))))))))))))))))</f>
        <v/>
      </c>
    </row>
    <row r="427" spans="40:91">
      <c r="AN427" s="52" t="str">
        <f>IF(Atletas!D418="","",IF(Atletas!B418="Feminino",100,IF(Atletas!B418="Masculino",200,""))+(IF(Atletas!D418="Kids 30kg",1,IF(Atletas!D418="Kids 32kg",2, IF(Atletas!D418="Kids 34kg",3,IF(Atletas!D418="Kids 36kg",4,IF(Atletas!D418="Kids 39kg",5,IF(Atletas!D418="Kids 42kg",6,IF(Atletas!D418="Kids 45kg",7, IF(Atletas!D418="Infantil 39kg",8,IF(Atletas!D418="Infantil 42kg",9,IF(Atletas!D418="Infantil 45kg",10,IF(Atletas!D418="Infantil 48kg",11,IF(Atletas!D418="Infantil 52kg",12,IF(Atletas!D418="Infantil 56kg",13,IF(Atletas!D418="Infantil 60kg",14,IF(Atletas!D418="Juvenil 48kg",15,IF(Atletas!D418="Juvenil 52kg",16,IF(Atletas!D418="Juvenil 56kg",17,IF(Atletas!D418="Juvenil 60kg",18,IF(Atletas!D418="Juvenil 65kg",19,IF(Atletas!D418="Juvenil 70kg",20,IF(Atletas!D418="Juvenil 75kg",21,IF(Atletas!D418="Juvenil 80kg",22, IF(Atletas!D418="Juvenil 85kg",23,IF(Atletas!D418="Adulto 48kg",24,IF(Atletas!D418="Adulto 52kg",25,IF(Atletas!D418="Adulto 56kg",26,IF(Atletas!D418="Adulto 60kg",27,IF(Atletas!D418="Adulto 65kg",28,IF(Atletas!D418="Adulto 70kg",29,IF(Atletas!D418="Adulto 75kg",30,IF(Atletas!D418="Adulto 80kg",31,IF(Atletas!D418="Adulto 85kg",32,IF(Atletas!D418="Adulto 90kg",33,IF(Atletas!D418="Adulto 100kg",34, IF(Atletas!D418="Adulto +100kg",35,"")))))))))))))))))))))))))))))))))))))</f>
        <v/>
      </c>
      <c r="AS427" s="6" t="str">
        <f>IF(Atletas!E418="","",IF(Atletas!B418="Feminino",100,IF(Atletas!B418="Masculino",200,""))+(IF(Atletas!E418="Juvenil 44kg",1,IF(Atletas!E418="Juvenil 48kg",2,IF(Atletas!E418="Juvenil 52kg",3,IF(Atletas!E418="Juvenil 56kg",4,IF(Atletas!E418="Juvenil 60kg",5,IF(Atletas!E418="Juvenil 65kg",6,IF(Atletas!E418="Juvenil 70kg",7,IF(Atletas!E418="Juvenil 75kg",8,IF(Atletas!E418="Juvenil 82kg",9,IF(Atletas!E418="Juvenil 90kg",10,IF(Atletas!E418="Juvenil 100kg",11,IF(Atletas!E418="Adulto 48kg",12,IF(Atletas!E418="Adulto 52kg",13,IF(Atletas!E418="Adulto 56kg",14,IF(Atletas!E418="Adulto 60kg",15,IF(Atletas!E418="Adulto 65kg",16,IF(Atletas!E418="Adulto 70kg",17,IF(Atletas!E418="Adulto 75kg",18,IF(Atletas!E418="Adulto 82kg",19,IF(Atletas!E418="Adulto 90kg",20,IF(Atletas!E418="Adulto 100kg",21,IF(Atletas!E418="Adulto +100kg",22,""))))))))))))))))))))))))</f>
        <v/>
      </c>
      <c r="AX427" s="6" t="str">
        <f>IF(Atletas!F418="","",IF(Atletas!B418="Feminino",100,IF(Atletas!B418="Masculino",200,""))+(IF(Atletas!F418="Adulto 48kg",1,IF(Atletas!F418="Adulto 56kg",2,IF(Atletas!F418="Adulto 65kg",3,IF(Atletas!F418="Adulto 75kg",4,IF(Atletas!F418="Adulto +75kg",5,IF(Atletas!F418="Adulto 52kg",6,IF(Atletas!F418="Adulto 60kg",7,IF(Atletas!F418="Adulto 70kg",8,IF(Atletas!F418="Adulto 80kg",9,IF(Atletas!F418="Adulto 90kg",10,IF(Atletas!F418="Adulto +90kg",11,"")))))))))))))</f>
        <v/>
      </c>
      <c r="BC427" s="6" t="str">
        <f>IF(Atletas!G418="","",IF(Atletas!B418="Feminino",10,IF(Atletas!B418="Masculino",20,""))+(IF(Atletas!G418="Baduanjin A",1,IF(Atletas!G418="Baduanjin B",2))))</f>
        <v/>
      </c>
      <c r="BF427" s="52" t="str">
        <f>IF(Atletas!H418="","",IF(Atletas!B418="Feminino",100,IF(Atletas!B418="Masculino",200,""))+(IF(Atletas!H418="Changquan Mirim",1,IF(Atletas!H418="Nanquan Mirim",2,IF(Atletas!H418="Taijiquan Mirim",3,IF(Atletas!H418="Changquan Grupo C",4,IF(Atletas!H418="Nanquan Grupo C",5,IF(Atletas!H418="Taijiquan Grupo C",6,IF(Atletas!H418="Changquan Grupo B",7,IF(Atletas!H418="Nanquan Grupo B",8,IF(Atletas!H418="Taijiquan Grupo B",9,IF(Atletas!H418="Changquan Grupo A",10,IF(Atletas!H418="Nanquan Grupo A",11,IF(Atletas!H418="Taijiquan Grupo A",12,IF(Atletas!H418="Changquan Opcional",13,IF(Atletas!H418="Nanquan Opcional",14,IF(Atletas!H418="Taijiquan Opcional",15,IF(Atletas!H418="Changquan Adulto",16,IF(Atletas!H418="Nanquan Adulto",17,IF(Atletas!H418="Taijiquan Adulto",18,""))))))))))))))))))))</f>
        <v/>
      </c>
      <c r="BG427" s="52" t="str">
        <f>IF(Atletas!I418="","",IF(Atletas!B418="Feminino",100,IF(Atletas!B418="Masculino",200,""))+(IF(Atletas!I418="Daoshu Mirim",19,IF(Atletas!I418="Jianshu Mirim",20,IF(Atletas!I418="Nandao Mirim",21,IF(Atletas!I418="Taijijian Mirim",22,IF(Atletas!I418="Daoshu Grupo C",23,IF(Atletas!I418="Jianshu Grupo C",24,IF(Atletas!I418="Nandao Grupo C",25,IF(Atletas!I418="Taijijian Grupo C",26,IF(Atletas!I418="Daoshu Grupo B",27,IF(Atletas!I418="Jianshu Grupo B",28,IF(Atletas!I418="Nandao Grupo B",29,IF(Atletas!I418="Taijijian Grupo B",30,IF(Atletas!I418="Daoshu Grupo A",31,IF(Atletas!I418="Jianshu Grupo A",32,IF(Atletas!I418="Nandao Grupo A",33,IF(Atletas!I418="Taijijian Grupo A",34,IF(Atletas!I418="Daoshu Opcional",35,IF(Atletas!I418="Jianshu Opcional",36,IF(Atletas!I418="Nandao Opcional",37,IF(Atletas!I418="Taijijian Opcional",38,IF(Atletas!I418="Daoshu Adulto",39,IF(Atletas!I418="Jianshu Adulto",40,IF(Atletas!I418="Nandao Adulto",41,IF(Atletas!I418="Taijijian Adulto",42,""))))))))))))))))))))))))))</f>
        <v/>
      </c>
      <c r="BH427" s="52" t="str">
        <f>IF(Atletas!J418="","",IF(Atletas!B418="Feminino",100,IF(Atletas!B418="Masculino",200,""))+(IF(Atletas!J418="Gunshu Mirim",43,IF(Atletas!J418="Qiangshu Mirim",44,IF(Atletas!J418="Nangun Mirim",45,IF(Atletas!J418="Gunshu Grupo C",46,IF(Atletas!J418="Qiangshu Grupo C",47,IF(Atletas!J418="Nangun Grupo C",48,IF(Atletas!J418="Gunshu Grupo B",49,IF(Atletas!J418="Qiangshu Grupo B",50,IF(Atletas!J418="Nangun Grupo B",51,IF(Atletas!J418="Gunshu Grupo A",52,IF(Atletas!J418="Qiangshu Grupo A",53,IF(Atletas!J418="Nangun Grupo A",54,IF(Atletas!J418="Gunshu Opcional",55,IF(Atletas!J418="Qiangshu Opcional",56,IF(Atletas!J418="Nangun Opcional",57,IF(Atletas!J418="Gunshu Adulto",58,IF(Atletas!J418="Qiangshu Adulto",59,IF(Atletas!J418="Nangun Adulto",60,IF(Atletas!J418="Taijishan Grupo B",61,IF(Atletas!J418="Taijishan Grupo A",62,""))))))))))))))))))))))</f>
        <v/>
      </c>
      <c r="BM427" s="50" t="str">
        <f>IF(Atletas!K418="","",IF(Atletas!B418="Feminino",100,IF(Atletas!B418="Masculino",200,""))+(IF(Atletas!K418="Equipe 1 Grupo B",1,IF(Atletas!K418="Equipe 2 Grupo B",2,IF(Atletas!K418="Equipe 1 Grupo A",3,IF(Atletas!K418="Equipe 2 Grupo A",4,IF(Atletas!K418="Equipe 1 Adulto",5,IF(Atletas!K418="Equipe 2 Adulto",6,""))))))))</f>
        <v/>
      </c>
      <c r="BR427" s="50" t="str">
        <f>IF(Atletas!L418="","",IF(Atletas!X418&lt;&gt;"",10000,0)+(IF(Atletas!B418="Feminino",1000,IF(Atletas!B418="Masculino",2000,""))+IF(Atletas!L418="Choylayfut A",1,IF(Atletas!L418="Hunggar A",2,IF(Atletas!L418="Wuzuquan A",3,IF(Atletas!L418="Wingchun A",4,IF(Atletas!L418="Outra Mão de Sul A",5,IF(Atletas!L418="Choylayfut B",6,IF(Atletas!L418="Hunggar B",7,IF(Atletas!L418="Wuzuquan B",8,IF(Atletas!L418="Wingchun B",9,IF(Atletas!L418="Outra Mão de Sul B",10,IF(Atletas!L418="Choylayfut C",11,IF(Atletas!L418="Hunggar C",12,IF(Atletas!L418="Wuzuquan C",13,IF(Atletas!L418="Wingchun C",14,IF(Atletas!L418="Outra Mão de Sul C",15,IF(Atletas!L418="Choylayfut D",16,IF(Atletas!L418="Hunggar D",17,IF(Atletas!L418="Wuzuquan D",18,IF(Atletas!L418="Wingchun D",19,IF(Atletas!L418="Outra Mão de Sul D",20,IF(Atletas!L418="Choylayfut E",21,IF(Atletas!L418="Hunggar E",22,IF(Atletas!L418="Wuzuquan E",23,IF(Atletas!L418="Wingchun E",24,IF(Atletas!L418="Outra Mão de Sul E",25,IF(Atletas!L418="Choylayfut F",26,IF(Atletas!L418="Hunggar F",27,IF(Atletas!L418="Wuzuquan F",28,IF(Atletas!L418="Wingchun F",29,IF(Atletas!L418="Outra Mão de Sul F",30,IF(Atletas!L418="Dishuquan A",31,IF(Atletas!L418="Dishuquan B",32,IF(Atletas!L418="Dishuquan C",33,IF(Atletas!L418="Dishuquan D",34,IF(Atletas!L418="Dishuquan E",35,IF(Atletas!L418="Dishuquan F",36,""))))))))))))))))))))))))))))))))))))))</f>
        <v/>
      </c>
      <c r="BS427" s="50" t="str">
        <f>IF(Atletas!M418="","",IF(Atletas!X418&lt;&gt;"",10000,0)+(IF(Atletas!B418="Feminino",1000,IF(Atletas!B418="Masculino",2000,""))+(IF(Atletas!M418="Chaquan A",101,IF(Atletas!M418="Emeiquan A",102,IF(Atletas!M418="Fanziquan A",103,IF(Atletas!M418="Huaquan A",104,IF(Atletas!M418="Hongquan A",105,IF(Atletas!M418="Paoquan A",106,IF(Atletas!M418="Piguaquan A",107,IF(Atletas!M418="Shaolinquan A",108,IF(Atletas!M418="Tanglangquan A",109,IF(Atletas!M418="Yingzhaoquan A",110,IF(Atletas!M418="Tongbeiquan A",111,IF(Atletas!M418="Wudangquan A",112,IF(Atletas!M418="Outros Estilos A",113,IF(Atletas!M418="Chaquan B",114,IF(Atletas!M418="Emeiquan B",115,IF(Atletas!M418="Fanziquan B",116,IF(Atletas!M418="Huaquan B",117,IF(Atletas!M418="Hongquan B",118,IF(Atletas!M418="Paoquan B",119,IF(Atletas!M418="Piguaquan B",120,IF(Atletas!M418="Shaolinquan B",121,IF(Atletas!M418="Tanglangquan B",122,IF(Atletas!M418="Yingzhaoquan B",123,IF(Atletas!M418="Tongbeiquan B",124,IF(Atletas!M418="Wudangquan B",125,IF(Atletas!M418="Outros Estilos B",126,IF(Atletas!M418="Chaquan C",127,IF(Atletas!M418="Emeiquan C",128,IF(Atletas!M418="Fanziquan C",129,IF(Atletas!M418="Huaquan C",130,IF(Atletas!M418="Hongquan C",131,IF(Atletas!M418="Paoquan C",132,IF(Atletas!M418="Piguaquan C",133,IF(Atletas!M418="Shaolinquan C",134,IF(Atletas!M418="Tanglangquan C",135,IF(Atletas!M418="Yingzhaoquan C",136,IF(Atletas!M418="Tongbeiquan C",137,IF(Atletas!M418="Wudangquan C",138,IF(Atletas!M418="Outros Estilos C",139,0))))))))))))))))))))))))))))))))))))))))))</f>
        <v/>
      </c>
      <c r="BT427" s="50" t="str">
        <f>IF(Atletas!M418="","",IF(Atletas!X418&lt;&gt;"",10000,0)+(IF(Atletas!B418="Feminino",1000,IF(Atletas!B418="Masculino",2000,""))+(IF(Atletas!M418="Chaquan D",140,IF(Atletas!M418="Emeiquan D",141,IF(Atletas!M418="Fanziquan D",142,IF(Atletas!M418="Huaquan D",143,IF(Atletas!M418="Hongquan D",144,IF(Atletas!M418="Paoquan D",145,IF(Atletas!M418="Piguaquan D",146,IF(Atletas!M418="Shaolinquan D",147,IF(Atletas!M418="Tanglangquan D",148,IF(Atletas!M418="Yingzhaoquan D",149,IF(Atletas!M418="Tongbeiquan D",150,IF(Atletas!M418="Wudangquan D",151,IF(Atletas!M418="Outros Estilos D",152,IF(Atletas!M418="Chaquan E",153,IF(Atletas!M418="Emeiquan E",154,IF(Atletas!M418="Fanziquan E",155,IF(Atletas!M418="Huaquan E",156,IF(Atletas!M418="Hongquan E",157,IF(Atletas!M418="Paoquan E",158,IF(Atletas!M418="Piguaquan E",159,IF(Atletas!M418="Shaolinquan E",160,IF(Atletas!M418="Tanglangquan E",161,IF(Atletas!M418="Yingzhaoquan E",162,IF(Atletas!M418="Tongbeiquan E",163,IF(Atletas!M418="Wudangquan E",164,IF(Atletas!M418="Outros Estilos E",165,IF(Atletas!M418="Chaquan F",166,IF(Atletas!M418="Emeiquan F",167,IF(Atletas!M418="Fanziquan F",168,IF(Atletas!M418="Huaquan F",169,IF(Atletas!M418="Hongquan F",170,IF(Atletas!M418="Paoquan F",171,IF(Atletas!M418="Piguaquan F",172,IF(Atletas!M418="Shaolinquan F",173,IF(Atletas!M418="Tanglangquan F",174,IF(Atletas!M418="Yingzhaoquan F",175,IF(Atletas!M418="Tongbeiquan F",176,IF(Atletas!M418="Wudangquan F",177,IF(Atletas!M418="Outros Estilos F",178,0))))))))))))))))))))))))))))))))))))))))))</f>
        <v/>
      </c>
      <c r="BU427" s="50" t="str">
        <f>IF(Atletas!N418="","",IF(Atletas!X418&lt;&gt;"",10000,0)+(IF(Atletas!B418="Feminino",1000,IF(Atletas!B418="Masculino",2000,""))+(IF(Atletas!N418="Ditangquan A",201,IF(Atletas!N418="Houquan A",202,IF(Atletas!N418="Zuiquan A",203,IF(Atletas!N418="Ditangquan B",204,IF(Atletas!N418="Houquan B",205,IF(Atletas!N418="Zuiquan B",206,IF(Atletas!N418="Ditangquan C",207,IF(Atletas!N418="Houquan C",208,IF(Atletas!N418="Zuiquan C",209,IF(Atletas!N418="Ditangquan D",210,IF(Atletas!N418="Houquan D",211,IF(Atletas!N418="Zuiquan D",212,IF(Atletas!N418="Ditangquan E",213,IF(Atletas!N418="Houquan E",214,IF(Atletas!N418="Zuiquan E",215,IF(Atletas!N418="Ditangquan F",216,IF(Atletas!N418="Houquan F",217,IF(Atletas!N418="Zuiquan F",218,"")))))))))))))))))))))</f>
        <v/>
      </c>
      <c r="BV427" s="50" t="str">
        <f>IF(Atletas!O418="","",IF(Atletas!X418&lt;&gt;"",10000,0)+IF(Atletas!B418="Feminino",1000,IF(Atletas!B418="Masculino",2000,""))+IF(Atletas!O418="Yang A",301,IF(Atletas!O418="Chen A",302,IF(Atletas!O418="Sun A",303,IF(Atletas!O418="Wu A",304,IF(Atletas!O418="Wu-Hao A",305,IF(Atletas!O418="Outro Taijiquan A",306,IF(Atletas!O418="Yang B",307,IF(Atletas!O418="Chen B",308,IF(Atletas!O418="Sun B",309,IF(Atletas!O418="Wu B",310,IF(Atletas!O418="Wu-Hao B",311,IF(Atletas!O418="Outro Taijiquan B",312,IF(Atletas!O418="Yang C",313,IF(Atletas!O418="Chen C",314,IF(Atletas!O418="Sun C",315,IF(Atletas!O418="Wu C",316,IF(Atletas!O418="Wu-Hao C",317,IF(Atletas!O418="Outro Taijiquan C",318,IF(Atletas!O418="Yang D",319,IF(Atletas!O418="Chen D",320,IF(Atletas!O418="Sun D",321,IF(Atletas!O418="Wu D",322,IF(Atletas!O418="Wu-Hao D",323,IF(Atletas!O418="Outro Taijiquan D",324,IF(Atletas!O418="Yang E",325,IF(Atletas!O418="Chen E",326,IF(Atletas!O418="Sun E",327,IF(Atletas!O418="Wu E",328,IF(Atletas!O418="Wu-Hao E",329,IF(Atletas!O418="Outro Taijiquan E",330,IF(Atletas!O418="Yang F",331,IF(Atletas!O418="Chen F",332,IF(Atletas!O418="Sun F",333,IF(Atletas!O418="Wu F",334,IF(Atletas!O418="Wu-Hao F",335,IF(Atletas!O418="Outro Taijiquan F",336,"")))))))))))))))))))))))))))))))))))))</f>
        <v/>
      </c>
      <c r="BW427" s="50" t="str">
        <f>IF(Atletas!P418="","",IF(Atletas!X418&lt;&gt;"",10000,0)+IF(Atletas!B418="Feminino",1000,IF(Atletas!B418="Masculino",2000,""))+IF(OR(Atletas!P418="Yang 26 A",Atletas!P418="Yang 40 A"),401,IF(OR(Atletas!P418="Chen 25 A",Atletas!P418="Chen 36 A",Atletas!P418="Chen 56 A"),402,IF(Atletas!P418="Sun 73 A",403,IF(Atletas!P418="Wu 45 A",404,IF(Atletas!P418="Wu-Hao 46 A",405,IF(OR(Atletas!P418="Taijiquan 16 A",Atletas!P418="Taijiquan 24 A",Atletas!P418="Taijiquan 32 A",Atletas!P418="Taijiquan 42 A"),406,IF(OR(Atletas!P418="Yang 26 B",Atletas!P418="Yang 40 B"),407,IF(OR(Atletas!P418="Chen 25 B",Atletas!P418="Chen 36 B",Atletas!P418="Chen 56 B"),408,IF(Atletas!P418="Sun 73 B",409,IF(Atletas!P418="Wu 45 B",410,IF(Atletas!P418="Wu-Hao 46 B",411,IF(OR(Atletas!P418="Taijiquan 16 B",Atletas!P418="Taijiquan 24 B",Atletas!P418="Taijiquan 32 B",Atletas!P418="Taijiquan 42 B"),412,IF(OR(Atletas!P418="Yang 26 C",Atletas!P418="Yang 40 C"),413,IF(OR(Atletas!P418="Chen 25 C",Atletas!P418="Chen 36 C",Atletas!P418="Chen 56 C"),414,IF(Atletas!P418="Sun 73 C",415,IF(Atletas!P418="Wu 45 C",416,IF(Atletas!P418="Wu-Hao 46 C",417,IF(OR(Atletas!P418="Taijiquan 16 C",Atletas!P418="Taijiquan 24 C",Atletas!P418="Taijiquan 32 C",Atletas!P418="Taijiquan 42 C"),418,0)))))))))))))))))))</f>
        <v/>
      </c>
      <c r="BX427" s="50" t="str">
        <f>IF(Atletas!P418="","",IF(Atletas!X418&lt;&gt;"",10000,0)+IF(Atletas!B418="Feminino",1000,IF(Atletas!B418="Masculino",2000,""))+IF(OR(Atletas!P418="Yang 26 D",Atletas!P418="Yang 40 D"),419,IF(OR(Atletas!P418="Chen 25 D",Atletas!P418="Chen 36 D",Atletas!P418="Chen 56 D"),420,IF(Atletas!P418="Sun 73 D",421,IF(Atletas!P418="Wu 45 D",422,IF(Atletas!P418="Wu-Hao 46 D",423,IF(OR(Atletas!P418="Taijiquan 16 D",Atletas!P418="Taijiquan 24 D",Atletas!P418="Taijiquan 32 D",Atletas!P418="Taijiquan 42 D"),424,IF(OR(Atletas!P418="Yang 26 E",Atletas!P418="Yang 40 E"),425,IF(OR(Atletas!P418="Chen 25 E",Atletas!P418="Chen 36 E",Atletas!P418="Chen 56 E"),426,IF(Atletas!P418="Sun 73 E",427,IF(Atletas!P418="Wu 45 E",428,IF(Atletas!P418="Wu-Hao 46 E",429,IF(OR(Atletas!P418="Taijiquan 16 E",Atletas!P418="Taijiquan 24 E",Atletas!P418="Taijiquan 32 E",Atletas!P418="Taijiquan 42 E"),430,IF(OR(Atletas!P418="Yang 26 F",Atletas!P418="Yang 40 F"),431,IF(OR(Atletas!P418="Chen 25 F",Atletas!P418="Chen 36 F",Atletas!P418="Chen 56 F"),432,IF(Atletas!P418="Sun 73 F",433,IF(Atletas!P418="Wu 45 F",434,IF(Atletas!P418="Wu-Hao 46 F",435,IF(OR(Atletas!P418="Taijiquan 16 F",Atletas!P418="Taijiquan 24 F",Atletas!P418="Taijiquan 32 F",Atletas!P418="Taijiquan 42 F"),436,0)))))))))))))))))))</f>
        <v/>
      </c>
      <c r="BY427" s="50" t="str">
        <f>IF(Atletas!Q418="","",IF(Atletas!X418&lt;&gt;"",10000,0)+IF(Atletas!B418="Feminino",1000,IF(Atletas!B418="Masculino",2000,""))+IF(Atletas!Q418="Xingyiquan A",501,IF(Atletas!Q418="Baguazhang A",502,IF(Atletas!Q418="Outro Estilo Interno A",503,IF(Atletas!Q418="Xingyiquan B",504,IF(Atletas!Q418="Baguazhang B",505,IF(Atletas!Q418="Outro Estilo Interno B",506,IF(Atletas!Q418="Xingyiquan C",507,IF(Atletas!Q418="Baguazhang C",508,IF(Atletas!Q418="Outro Estilo Interno C",509,IF(Atletas!Q418="Xingyiquan D",510,IF(Atletas!Q418="Baguazhang D",511,IF(Atletas!Q418="Outro Estilo Interno D",512,IF(Atletas!Q418="Xingyiquan E",513,IF(Atletas!Q418="Baguazhang E",514,IF(Atletas!Q418="Outro Estilo Interno E",515,IF(Atletas!Q418="Xingyiquan F",516,IF(Atletas!Q418="Baguazhang F",517,IF(Atletas!Q418="Outro Estilo Interno F",518, "")))))))))))))))))))</f>
        <v/>
      </c>
      <c r="BZ427" s="50" t="str">
        <f>IF(Atletas!R418="","",IF(Atletas!X418&lt;&gt;"",10000,0)+IF(Atletas!B418="Feminino",1000,IF(Atletas!B418="Masculino",2000,""))+IF(Atletas!R418="Dao A",601,IF(Atletas!R418="Jian A",602,IF(Atletas!R418="Bishou A",603,IF(Atletas!R418="Shanzi A",604,IF(Atletas!R418="Outra Arma Curta A",605,IF(Atletas!R418="Dao B",606,IF(Atletas!R418="Jian B",607,IF(Atletas!R418="Bishou B",608,IF(Atletas!R418="Shanzi B",609,IF(Atletas!R418="Outra Arma Curta B",610,IF(Atletas!R418="Dao C",611,IF(Atletas!R418="Jian C",612,IF(Atletas!R418="Bishou C",613,IF(Atletas!R418="Shanzi C",614,IF(Atletas!R418="Outra Arma Curta C",615,IF(Atletas!R418="Dao D",616,IF(Atletas!R418="Jian D",617,IF(Atletas!R418="Bishou D",618,IF(Atletas!R418="Shanzi D",619,IF(Atletas!R418="Outra Arma Curta D",620,IF(Atletas!R418="Dao E",621,IF(Atletas!R418="Jian E",622,IF(Atletas!R418="Bishou E",623,IF(Atletas!R418="Shanzi E",624,IF(Atletas!R418="Outra Arma Curta E",625,IF(Atletas!R418="Dao F",626,IF(Atletas!R418="Jian F",627,IF(Atletas!R418="Bishou F",628,IF(Atletas!R418="Shanzi F",629,IF(Atletas!R418="Outra Arma Curta F",630, "")))))))))))))))))))))))))))))))</f>
        <v/>
      </c>
      <c r="CA427" s="50" t="str">
        <f>IF(Atletas!S418="","",IF(Atletas!X418&lt;&gt;"",10000,0)+IF(Atletas!B418="Feminino",1000,IF(Atletas!B418="Masculino",2000,""))+IF(Atletas!S418="Gun A",701,IF(Atletas!S418="Qiang A",702,IF(Atletas!S418="Pudao / Guandao A",703,IF(Atletas!S418="Outra Arma Longa A",704,IF(Atletas!S418="Gun B",705,IF(Atletas!S418="Qiang B",706,IF(Atletas!S418="Pudao / Guandao B",707,IF(Atletas!S418="Outra Arma Longa B",708,IF(Atletas!S418="Gun C",709,IF(Atletas!S418="Qiang C",710,IF(Atletas!S418="Pudao / Guandao C",711,IF(Atletas!S418="Outra Arma Longa C",712,IF(Atletas!S418="Gun D",713,IF(Atletas!S418="Qiang D",714,IF(Atletas!S418="Pudao / Guandao D",715,IF(Atletas!S418="Outra Arma Longa D",716,IF(Atletas!S418="Gun E",717,IF(Atletas!S418="Qiang E",718,IF(Atletas!S418="Pudao / Guandao E",719,IF(Atletas!S418="Outra Arma Longa E",720,IF(Atletas!S418="Gun F",721,IF(Atletas!S418="Qiang F",722,IF(Atletas!S418="Pudao / Guandao F",723,IF(Atletas!S418="Outra Arma Longa F",724,"")))))))))))))))))))))))))</f>
        <v/>
      </c>
      <c r="CB427" s="50" t="str">
        <f>IF(Atletas!T418="","",IF(Atletas!X418&lt;&gt;"",10000,0)+IF(Atletas!B418="Feminino",1000,IF(Atletas!B418="Masculino",2000,""))+IF(Atletas!T418="Outra Arma Dupla A",801,IF(Atletas!T418="Arma Maleável A",802,IF(Atletas!T418="Outra Arma Dupla B",803,IF(Atletas!T418="Arma Maleável B",804,IF(Atletas!T418="Outra Arma Dupla C",805,IF(Atletas!T418="Arma Maleável C",806,IF(Atletas!T418="Outra Arma Dupla D",807,IF(Atletas!T418="Arma Maleável D",808,IF(Atletas!T418="Outra Arma Dupla E",809,IF(Atletas!T418="Arma Maleável E",810,IF(Atletas!T418="Outra Arma Dupla F",811,IF(Atletas!T418="Arma Maleável F",812,IF(Atletas!T418="Shuangdao A",813,IF(Atletas!T418="Shuangdao B",814,IF(Atletas!T418="Shuangdao C",815,IF(Atletas!T418="Shuangdao D",816,IF(Atletas!T418="Shuangdao E",817,IF(Atletas!T418="Shuangdao F",818,"")))))))))))))))))))</f>
        <v/>
      </c>
      <c r="CC427" s="50" t="str">
        <f>IF(Atletas!U418="","",IF(Atletas!X418&lt;&gt;"",10000,0)+IF(Atletas!B418="Feminino",1000,IF(Atletas!B418="Masculino",2000,""))+IF(OR(Atletas!U418="Taijijian Yang A",Atletas!U418="Taijijian Yang Standard A"),901,IF(OR(Atletas!U418="Taijijian Chen A", Atletas!U418="Taijijian Chen Standard A"),902,IF(Atletas!U418="Taijijian Sun A",903,IF(Atletas!U418="Taijijian Wu A",904,IF(Atletas!U418="Taijijian Wu-Hao A",905,IF(OR(Atletas!U418="Taijijian 32 A",Atletas!U418="Taijijian 42 A"),906,IF(OR(Atletas!U418="Taijijian Yang B",Atletas!U418="Taijijian Yang Standard B"),907,IF(OR(Atletas!U418="Taijijian Chen B", Atletas!U418="Taijijian Chen Standard B"),908,IF(Atletas!U418="Taijijian Sun B",909,IF(Atletas!U418="Taijijian Wu B",910,IF(Atletas!U418="Taijijian Wu-Hao B",911,IF(OR(Atletas!U418="Taijijian 32 B",Atletas!U418="Taijijian 42 B"),912,IF(OR(Atletas!U418="Taijijian Yang C",Atletas!U418="Taijijian Yang Standard C"),913,IF(OR(Atletas!U418="Taijijian Chen C", Atletas!U418="Taijijian Chen Standard C"),914,IF(Atletas!U418="Taijijian Sun C",915,IF(Atletas!U418="Taijijian Wu C",916,IF(Atletas!U418="Taijijian Wu-Hao C",917,IF(OR(Atletas!U418="Taijijian 32 C",Atletas!U418="Taijijian 42 C"),918,IF(OR(Atletas!U418="Taijijian Yang D",Atletas!U418="Taijijian Yang Standard D"),919,IF(OR(Atletas!U418="Taijijian Chen D", Atletas!U418="Taijijian Chen Standard D"),920,IF(Atletas!U418="Taijijian Sun D",921,IF(Atletas!U418="Taijijian Wu D",922,IF(Atletas!U418="Taijijian Wu-Hao D",923,IF(OR(Atletas!U418="Taijijian 32 D",Atletas!U418="Taijijian 42 D"),924,IF(OR(Atletas!U418="Taijijian Yang E",Atletas!U418="Taijijian Yang Standard E"),925,IF(OR(Atletas!U418="Taijijian Chen E", Atletas!U418="Taijijian Chen Standard E"),926,IF(Atletas!U418="Taijijian Sun E",927,IF(Atletas!U418="Taijijian Wu E",928,IF(Atletas!U418="Taijijian Wu-Hao E",929,IF(OR(Atletas!U418="Taijijian 32 E",Atletas!U418="Taijijian 42 E"),930,IF(OR(Atletas!U418="Taijijian Yang F",Atletas!U418="Taijijian Yang Standard F"),931,IF(OR(Atletas!U418="Taijijian Chen F", Atletas!U418="Taijijian Chen Standard F"),932,IF(Atletas!U418="Taijijian Sun F",933,IF(Atletas!U418="Taijijian Wu F",934,IF(Atletas!U418="Taijijian Wu-Hao F",935,IF(OR(Atletas!U418="Taijijian 32 F",Atletas!U418="Taijijian 42 F"),936,"")))))))))))))))))))))))))))))))))))))</f>
        <v/>
      </c>
      <c r="CD427" s="50" t="str">
        <f>IF(Atletas!V418="","",IF(Atletas!X418&lt;&gt;"",10000,0)+IF(Atletas!B418="Feminino",1000,IF(Atletas!B418="Masculino",2000,""))+IF(Atletas!V418="Taijidao A",937,IF(Atletas!V418="TaijiShanzi A",938,IF(Atletas!V418="Taijiqiang A",939,IF(Atletas!V418="Bagua de Arma A",940,IF(Atletas!V418="Xingyi de Arma A",941,IF(Atletas!V418="Taijidao B",942,IF(Atletas!V418="TaijiShanzi B",943,IF(Atletas!V418="Taijiqiang B",944,IF(Atletas!V418="Bagua de Arma B",945,IF(Atletas!V418="Xingyi de Arma B",946,IF(Atletas!V418="Taijidao C",947,IF(Atletas!V418="TaijiShanzi C",948,IF(Atletas!V418="Taijiqiang C",949,IF(Atletas!V418="Bagua de Arma C",950,IF(Atletas!V418="Xingyi de Arma C",951,IF(Atletas!V418="Taijidao D",952,IF(Atletas!V418="TaijiShanzi D",953,IF(Atletas!V418="Taijiqiang D",954,IF(Atletas!V418="Bagua de Arma D",955,IF(Atletas!V418="Xingyi de Arma D",956,IF(Atletas!V418="Taijidao E",957,IF(Atletas!V418="TaijiShanzi E",958,IF(Atletas!V418="Taijiqiang E",959,IF(Atletas!V418="Bagua de Arma E",960,IF(Atletas!V418="Xingyi de Arma E",961,IF(Atletas!V418="Taijidao F",962,IF(Atletas!V418="TaijiShanzi F",963,IF(Atletas!V418="Taijiqiang F",964,IF(Atletas!V418="Bagua de Arma F",965,IF(Atletas!V418="Xingyi de Arma F",966,"")))))))))))))))))))))))))))))))</f>
        <v/>
      </c>
      <c r="CM427" s="50" t="str">
        <f xml:space="preserve"> IF(Atletas!W418="","",IF(Atletas!W418="Duilian de Mãos BC - Equipe 1",1,IF(Atletas!W418="Duilian de Mãos BC - Equipe 2",2,IF(Atletas!W418="Duilian de Armas BC - Equipe 1",3,IF(Atletas!W418="Duilian de Armas BC - Equipe 2",4,IF(Atletas!W418="Duilian de Mãos DE - Equipe 1",5,IF(Atletas!W418="Duilian de Mãos DE - Equipe 2",6,IF(Atletas!W418="Duilian de Armas DE - Equipe 1",7,IF(Atletas!W418="Duilian de Armas DE - Equipe 2",8,IF(Atletas!W418="Duilian de Tuishou - Equipe 1",9,IF(Atletas!W418="Duilian de Tuishou - Equipe 2",10,IF(Atletas!W418="Grupo Externo ABC - Equipe 1",11,IF(Atletas!W418="Grupo Externo ABC - Equipe 2",12,IF(Atletas!W418="Grupo Interno ABC - Equipe 1",13,IF(Atletas!W418="Grupo Interno ABC - Equipe 2",14,IF(Atletas!W418="Grupo Externo DEF - Equipe 1",15,IF(Atletas!W418="Grupo Externo DEF - Equipe 2",16,IF(Atletas!W418="Grupo Interno DEF - Equipe 1",17,IF(Atletas!W418="Grupo Interno DEF - Equipe 2",18,"")))))))))))))))))))</f>
        <v/>
      </c>
    </row>
    <row r="428" spans="40:91">
      <c r="AN428" s="52" t="str">
        <f>IF(Atletas!D419="","",IF(Atletas!B419="Feminino",100,IF(Atletas!B419="Masculino",200,""))+(IF(Atletas!D419="Kids 30kg",1,IF(Atletas!D419="Kids 32kg",2, IF(Atletas!D419="Kids 34kg",3,IF(Atletas!D419="Kids 36kg",4,IF(Atletas!D419="Kids 39kg",5,IF(Atletas!D419="Kids 42kg",6,IF(Atletas!D419="Kids 45kg",7, IF(Atletas!D419="Infantil 39kg",8,IF(Atletas!D419="Infantil 42kg",9,IF(Atletas!D419="Infantil 45kg",10,IF(Atletas!D419="Infantil 48kg",11,IF(Atletas!D419="Infantil 52kg",12,IF(Atletas!D419="Infantil 56kg",13,IF(Atletas!D419="Infantil 60kg",14,IF(Atletas!D419="Juvenil 48kg",15,IF(Atletas!D419="Juvenil 52kg",16,IF(Atletas!D419="Juvenil 56kg",17,IF(Atletas!D419="Juvenil 60kg",18,IF(Atletas!D419="Juvenil 65kg",19,IF(Atletas!D419="Juvenil 70kg",20,IF(Atletas!D419="Juvenil 75kg",21,IF(Atletas!D419="Juvenil 80kg",22, IF(Atletas!D419="Juvenil 85kg",23,IF(Atletas!D419="Adulto 48kg",24,IF(Atletas!D419="Adulto 52kg",25,IF(Atletas!D419="Adulto 56kg",26,IF(Atletas!D419="Adulto 60kg",27,IF(Atletas!D419="Adulto 65kg",28,IF(Atletas!D419="Adulto 70kg",29,IF(Atletas!D419="Adulto 75kg",30,IF(Atletas!D419="Adulto 80kg",31,IF(Atletas!D419="Adulto 85kg",32,IF(Atletas!D419="Adulto 90kg",33,IF(Atletas!D419="Adulto 100kg",34, IF(Atletas!D419="Adulto +100kg",35,"")))))))))))))))))))))))))))))))))))))</f>
        <v/>
      </c>
      <c r="AS428" s="6" t="str">
        <f>IF(Atletas!E419="","",IF(Atletas!B419="Feminino",100,IF(Atletas!B419="Masculino",200,""))+(IF(Atletas!E419="Juvenil 44kg",1,IF(Atletas!E419="Juvenil 48kg",2,IF(Atletas!E419="Juvenil 52kg",3,IF(Atletas!E419="Juvenil 56kg",4,IF(Atletas!E419="Juvenil 60kg",5,IF(Atletas!E419="Juvenil 65kg",6,IF(Atletas!E419="Juvenil 70kg",7,IF(Atletas!E419="Juvenil 75kg",8,IF(Atletas!E419="Juvenil 82kg",9,IF(Atletas!E419="Juvenil 90kg",10,IF(Atletas!E419="Juvenil 100kg",11,IF(Atletas!E419="Adulto 48kg",12,IF(Atletas!E419="Adulto 52kg",13,IF(Atletas!E419="Adulto 56kg",14,IF(Atletas!E419="Adulto 60kg",15,IF(Atletas!E419="Adulto 65kg",16,IF(Atletas!E419="Adulto 70kg",17,IF(Atletas!E419="Adulto 75kg",18,IF(Atletas!E419="Adulto 82kg",19,IF(Atletas!E419="Adulto 90kg",20,IF(Atletas!E419="Adulto 100kg",21,IF(Atletas!E419="Adulto +100kg",22,""))))))))))))))))))))))))</f>
        <v/>
      </c>
      <c r="AX428" s="6" t="str">
        <f>IF(Atletas!F419="","",IF(Atletas!B419="Feminino",100,IF(Atletas!B419="Masculino",200,""))+(IF(Atletas!F419="Adulto 48kg",1,IF(Atletas!F419="Adulto 56kg",2,IF(Atletas!F419="Adulto 65kg",3,IF(Atletas!F419="Adulto 75kg",4,IF(Atletas!F419="Adulto +75kg",5,IF(Atletas!F419="Adulto 52kg",6,IF(Atletas!F419="Adulto 60kg",7,IF(Atletas!F419="Adulto 70kg",8,IF(Atletas!F419="Adulto 80kg",9,IF(Atletas!F419="Adulto 90kg",10,IF(Atletas!F419="Adulto +90kg",11,"")))))))))))))</f>
        <v/>
      </c>
      <c r="BC428" s="6" t="str">
        <f>IF(Atletas!G419="","",IF(Atletas!B419="Feminino",10,IF(Atletas!B419="Masculino",20,""))+(IF(Atletas!G419="Baduanjin A",1,IF(Atletas!G419="Baduanjin B",2))))</f>
        <v/>
      </c>
      <c r="BF428" s="52" t="str">
        <f>IF(Atletas!H419="","",IF(Atletas!B419="Feminino",100,IF(Atletas!B419="Masculino",200,""))+(IF(Atletas!H419="Changquan Mirim",1,IF(Atletas!H419="Nanquan Mirim",2,IF(Atletas!H419="Taijiquan Mirim",3,IF(Atletas!H419="Changquan Grupo C",4,IF(Atletas!H419="Nanquan Grupo C",5,IF(Atletas!H419="Taijiquan Grupo C",6,IF(Atletas!H419="Changquan Grupo B",7,IF(Atletas!H419="Nanquan Grupo B",8,IF(Atletas!H419="Taijiquan Grupo B",9,IF(Atletas!H419="Changquan Grupo A",10,IF(Atletas!H419="Nanquan Grupo A",11,IF(Atletas!H419="Taijiquan Grupo A",12,IF(Atletas!H419="Changquan Opcional",13,IF(Atletas!H419="Nanquan Opcional",14,IF(Atletas!H419="Taijiquan Opcional",15,IF(Atletas!H419="Changquan Adulto",16,IF(Atletas!H419="Nanquan Adulto",17,IF(Atletas!H419="Taijiquan Adulto",18,""))))))))))))))))))))</f>
        <v/>
      </c>
      <c r="BG428" s="52" t="str">
        <f>IF(Atletas!I419="","",IF(Atletas!B419="Feminino",100,IF(Atletas!B419="Masculino",200,""))+(IF(Atletas!I419="Daoshu Mirim",19,IF(Atletas!I419="Jianshu Mirim",20,IF(Atletas!I419="Nandao Mirim",21,IF(Atletas!I419="Taijijian Mirim",22,IF(Atletas!I419="Daoshu Grupo C",23,IF(Atletas!I419="Jianshu Grupo C",24,IF(Atletas!I419="Nandao Grupo C",25,IF(Atletas!I419="Taijijian Grupo C",26,IF(Atletas!I419="Daoshu Grupo B",27,IF(Atletas!I419="Jianshu Grupo B",28,IF(Atletas!I419="Nandao Grupo B",29,IF(Atletas!I419="Taijijian Grupo B",30,IF(Atletas!I419="Daoshu Grupo A",31,IF(Atletas!I419="Jianshu Grupo A",32,IF(Atletas!I419="Nandao Grupo A",33,IF(Atletas!I419="Taijijian Grupo A",34,IF(Atletas!I419="Daoshu Opcional",35,IF(Atletas!I419="Jianshu Opcional",36,IF(Atletas!I419="Nandao Opcional",37,IF(Atletas!I419="Taijijian Opcional",38,IF(Atletas!I419="Daoshu Adulto",39,IF(Atletas!I419="Jianshu Adulto",40,IF(Atletas!I419="Nandao Adulto",41,IF(Atletas!I419="Taijijian Adulto",42,""))))))))))))))))))))))))))</f>
        <v/>
      </c>
      <c r="BH428" s="52" t="str">
        <f>IF(Atletas!J419="","",IF(Atletas!B419="Feminino",100,IF(Atletas!B419="Masculino",200,""))+(IF(Atletas!J419="Gunshu Mirim",43,IF(Atletas!J419="Qiangshu Mirim",44,IF(Atletas!J419="Nangun Mirim",45,IF(Atletas!J419="Gunshu Grupo C",46,IF(Atletas!J419="Qiangshu Grupo C",47,IF(Atletas!J419="Nangun Grupo C",48,IF(Atletas!J419="Gunshu Grupo B",49,IF(Atletas!J419="Qiangshu Grupo B",50,IF(Atletas!J419="Nangun Grupo B",51,IF(Atletas!J419="Gunshu Grupo A",52,IF(Atletas!J419="Qiangshu Grupo A",53,IF(Atletas!J419="Nangun Grupo A",54,IF(Atletas!J419="Gunshu Opcional",55,IF(Atletas!J419="Qiangshu Opcional",56,IF(Atletas!J419="Nangun Opcional",57,IF(Atletas!J419="Gunshu Adulto",58,IF(Atletas!J419="Qiangshu Adulto",59,IF(Atletas!J419="Nangun Adulto",60,IF(Atletas!J419="Taijishan Grupo B",61,IF(Atletas!J419="Taijishan Grupo A",62,""))))))))))))))))))))))</f>
        <v/>
      </c>
      <c r="BM428" s="50" t="str">
        <f>IF(Atletas!K419="","",IF(Atletas!B419="Feminino",100,IF(Atletas!B419="Masculino",200,""))+(IF(Atletas!K419="Equipe 1 Grupo B",1,IF(Atletas!K419="Equipe 2 Grupo B",2,IF(Atletas!K419="Equipe 1 Grupo A",3,IF(Atletas!K419="Equipe 2 Grupo A",4,IF(Atletas!K419="Equipe 1 Adulto",5,IF(Atletas!K419="Equipe 2 Adulto",6,""))))))))</f>
        <v/>
      </c>
      <c r="BR428" s="50" t="str">
        <f>IF(Atletas!L419="","",IF(Atletas!X419&lt;&gt;"",10000,0)+(IF(Atletas!B419="Feminino",1000,IF(Atletas!B419="Masculino",2000,""))+IF(Atletas!L419="Choylayfut A",1,IF(Atletas!L419="Hunggar A",2,IF(Atletas!L419="Wuzuquan A",3,IF(Atletas!L419="Wingchun A",4,IF(Atletas!L419="Outra Mão de Sul A",5,IF(Atletas!L419="Choylayfut B",6,IF(Atletas!L419="Hunggar B",7,IF(Atletas!L419="Wuzuquan B",8,IF(Atletas!L419="Wingchun B",9,IF(Atletas!L419="Outra Mão de Sul B",10,IF(Atletas!L419="Choylayfut C",11,IF(Atletas!L419="Hunggar C",12,IF(Atletas!L419="Wuzuquan C",13,IF(Atletas!L419="Wingchun C",14,IF(Atletas!L419="Outra Mão de Sul C",15,IF(Atletas!L419="Choylayfut D",16,IF(Atletas!L419="Hunggar D",17,IF(Atletas!L419="Wuzuquan D",18,IF(Atletas!L419="Wingchun D",19,IF(Atletas!L419="Outra Mão de Sul D",20,IF(Atletas!L419="Choylayfut E",21,IF(Atletas!L419="Hunggar E",22,IF(Atletas!L419="Wuzuquan E",23,IF(Atletas!L419="Wingchun E",24,IF(Atletas!L419="Outra Mão de Sul E",25,IF(Atletas!L419="Choylayfut F",26,IF(Atletas!L419="Hunggar F",27,IF(Atletas!L419="Wuzuquan F",28,IF(Atletas!L419="Wingchun F",29,IF(Atletas!L419="Outra Mão de Sul F",30,IF(Atletas!L419="Dishuquan A",31,IF(Atletas!L419="Dishuquan B",32,IF(Atletas!L419="Dishuquan C",33,IF(Atletas!L419="Dishuquan D",34,IF(Atletas!L419="Dishuquan E",35,IF(Atletas!L419="Dishuquan F",36,""))))))))))))))))))))))))))))))))))))))</f>
        <v/>
      </c>
      <c r="BS428" s="50" t="str">
        <f>IF(Atletas!M419="","",IF(Atletas!X419&lt;&gt;"",10000,0)+(IF(Atletas!B419="Feminino",1000,IF(Atletas!B419="Masculino",2000,""))+(IF(Atletas!M419="Chaquan A",101,IF(Atletas!M419="Emeiquan A",102,IF(Atletas!M419="Fanziquan A",103,IF(Atletas!M419="Huaquan A",104,IF(Atletas!M419="Hongquan A",105,IF(Atletas!M419="Paoquan A",106,IF(Atletas!M419="Piguaquan A",107,IF(Atletas!M419="Shaolinquan A",108,IF(Atletas!M419="Tanglangquan A",109,IF(Atletas!M419="Yingzhaoquan A",110,IF(Atletas!M419="Tongbeiquan A",111,IF(Atletas!M419="Wudangquan A",112,IF(Atletas!M419="Outros Estilos A",113,IF(Atletas!M419="Chaquan B",114,IF(Atletas!M419="Emeiquan B",115,IF(Atletas!M419="Fanziquan B",116,IF(Atletas!M419="Huaquan B",117,IF(Atletas!M419="Hongquan B",118,IF(Atletas!M419="Paoquan B",119,IF(Atletas!M419="Piguaquan B",120,IF(Atletas!M419="Shaolinquan B",121,IF(Atletas!M419="Tanglangquan B",122,IF(Atletas!M419="Yingzhaoquan B",123,IF(Atletas!M419="Tongbeiquan B",124,IF(Atletas!M419="Wudangquan B",125,IF(Atletas!M419="Outros Estilos B",126,IF(Atletas!M419="Chaquan C",127,IF(Atletas!M419="Emeiquan C",128,IF(Atletas!M419="Fanziquan C",129,IF(Atletas!M419="Huaquan C",130,IF(Atletas!M419="Hongquan C",131,IF(Atletas!M419="Paoquan C",132,IF(Atletas!M419="Piguaquan C",133,IF(Atletas!M419="Shaolinquan C",134,IF(Atletas!M419="Tanglangquan C",135,IF(Atletas!M419="Yingzhaoquan C",136,IF(Atletas!M419="Tongbeiquan C",137,IF(Atletas!M419="Wudangquan C",138,IF(Atletas!M419="Outros Estilos C",139,0))))))))))))))))))))))))))))))))))))))))))</f>
        <v/>
      </c>
      <c r="BT428" s="50" t="str">
        <f>IF(Atletas!M419="","",IF(Atletas!X419&lt;&gt;"",10000,0)+(IF(Atletas!B419="Feminino",1000,IF(Atletas!B419="Masculino",2000,""))+(IF(Atletas!M419="Chaquan D",140,IF(Atletas!M419="Emeiquan D",141,IF(Atletas!M419="Fanziquan D",142,IF(Atletas!M419="Huaquan D",143,IF(Atletas!M419="Hongquan D",144,IF(Atletas!M419="Paoquan D",145,IF(Atletas!M419="Piguaquan D",146,IF(Atletas!M419="Shaolinquan D",147,IF(Atletas!M419="Tanglangquan D",148,IF(Atletas!M419="Yingzhaoquan D",149,IF(Atletas!M419="Tongbeiquan D",150,IF(Atletas!M419="Wudangquan D",151,IF(Atletas!M419="Outros Estilos D",152,IF(Atletas!M419="Chaquan E",153,IF(Atletas!M419="Emeiquan E",154,IF(Atletas!M419="Fanziquan E",155,IF(Atletas!M419="Huaquan E",156,IF(Atletas!M419="Hongquan E",157,IF(Atletas!M419="Paoquan E",158,IF(Atletas!M419="Piguaquan E",159,IF(Atletas!M419="Shaolinquan E",160,IF(Atletas!M419="Tanglangquan E",161,IF(Atletas!M419="Yingzhaoquan E",162,IF(Atletas!M419="Tongbeiquan E",163,IF(Atletas!M419="Wudangquan E",164,IF(Atletas!M419="Outros Estilos E",165,IF(Atletas!M419="Chaquan F",166,IF(Atletas!M419="Emeiquan F",167,IF(Atletas!M419="Fanziquan F",168,IF(Atletas!M419="Huaquan F",169,IF(Atletas!M419="Hongquan F",170,IF(Atletas!M419="Paoquan F",171,IF(Atletas!M419="Piguaquan F",172,IF(Atletas!M419="Shaolinquan F",173,IF(Atletas!M419="Tanglangquan F",174,IF(Atletas!M419="Yingzhaoquan F",175,IF(Atletas!M419="Tongbeiquan F",176,IF(Atletas!M419="Wudangquan F",177,IF(Atletas!M419="Outros Estilos F",178,0))))))))))))))))))))))))))))))))))))))))))</f>
        <v/>
      </c>
      <c r="BU428" s="50" t="str">
        <f>IF(Atletas!N419="","",IF(Atletas!X419&lt;&gt;"",10000,0)+(IF(Atletas!B419="Feminino",1000,IF(Atletas!B419="Masculino",2000,""))+(IF(Atletas!N419="Ditangquan A",201,IF(Atletas!N419="Houquan A",202,IF(Atletas!N419="Zuiquan A",203,IF(Atletas!N419="Ditangquan B",204,IF(Atletas!N419="Houquan B",205,IF(Atletas!N419="Zuiquan B",206,IF(Atletas!N419="Ditangquan C",207,IF(Atletas!N419="Houquan C",208,IF(Atletas!N419="Zuiquan C",209,IF(Atletas!N419="Ditangquan D",210,IF(Atletas!N419="Houquan D",211,IF(Atletas!N419="Zuiquan D",212,IF(Atletas!N419="Ditangquan E",213,IF(Atletas!N419="Houquan E",214,IF(Atletas!N419="Zuiquan E",215,IF(Atletas!N419="Ditangquan F",216,IF(Atletas!N419="Houquan F",217,IF(Atletas!N419="Zuiquan F",218,"")))))))))))))))))))))</f>
        <v/>
      </c>
      <c r="BV428" s="50" t="str">
        <f>IF(Atletas!O419="","",IF(Atletas!X419&lt;&gt;"",10000,0)+IF(Atletas!B419="Feminino",1000,IF(Atletas!B419="Masculino",2000,""))+IF(Atletas!O419="Yang A",301,IF(Atletas!O419="Chen A",302,IF(Atletas!O419="Sun A",303,IF(Atletas!O419="Wu A",304,IF(Atletas!O419="Wu-Hao A",305,IF(Atletas!O419="Outro Taijiquan A",306,IF(Atletas!O419="Yang B",307,IF(Atletas!O419="Chen B",308,IF(Atletas!O419="Sun B",309,IF(Atletas!O419="Wu B",310,IF(Atletas!O419="Wu-Hao B",311,IF(Atletas!O419="Outro Taijiquan B",312,IF(Atletas!O419="Yang C",313,IF(Atletas!O419="Chen C",314,IF(Atletas!O419="Sun C",315,IF(Atletas!O419="Wu C",316,IF(Atletas!O419="Wu-Hao C",317,IF(Atletas!O419="Outro Taijiquan C",318,IF(Atletas!O419="Yang D",319,IF(Atletas!O419="Chen D",320,IF(Atletas!O419="Sun D",321,IF(Atletas!O419="Wu D",322,IF(Atletas!O419="Wu-Hao D",323,IF(Atletas!O419="Outro Taijiquan D",324,IF(Atletas!O419="Yang E",325,IF(Atletas!O419="Chen E",326,IF(Atletas!O419="Sun E",327,IF(Atletas!O419="Wu E",328,IF(Atletas!O419="Wu-Hao E",329,IF(Atletas!O419="Outro Taijiquan E",330,IF(Atletas!O419="Yang F",331,IF(Atletas!O419="Chen F",332,IF(Atletas!O419="Sun F",333,IF(Atletas!O419="Wu F",334,IF(Atletas!O419="Wu-Hao F",335,IF(Atletas!O419="Outro Taijiquan F",336,"")))))))))))))))))))))))))))))))))))))</f>
        <v/>
      </c>
      <c r="BW428" s="50" t="str">
        <f>IF(Atletas!P419="","",IF(Atletas!X419&lt;&gt;"",10000,0)+IF(Atletas!B419="Feminino",1000,IF(Atletas!B419="Masculino",2000,""))+IF(OR(Atletas!P419="Yang 26 A",Atletas!P419="Yang 40 A"),401,IF(OR(Atletas!P419="Chen 25 A",Atletas!P419="Chen 36 A",Atletas!P419="Chen 56 A"),402,IF(Atletas!P419="Sun 73 A",403,IF(Atletas!P419="Wu 45 A",404,IF(Atletas!P419="Wu-Hao 46 A",405,IF(OR(Atletas!P419="Taijiquan 16 A",Atletas!P419="Taijiquan 24 A",Atletas!P419="Taijiquan 32 A",Atletas!P419="Taijiquan 42 A"),406,IF(OR(Atletas!P419="Yang 26 B",Atletas!P419="Yang 40 B"),407,IF(OR(Atletas!P419="Chen 25 B",Atletas!P419="Chen 36 B",Atletas!P419="Chen 56 B"),408,IF(Atletas!P419="Sun 73 B",409,IF(Atletas!P419="Wu 45 B",410,IF(Atletas!P419="Wu-Hao 46 B",411,IF(OR(Atletas!P419="Taijiquan 16 B",Atletas!P419="Taijiquan 24 B",Atletas!P419="Taijiquan 32 B",Atletas!P419="Taijiquan 42 B"),412,IF(OR(Atletas!P419="Yang 26 C",Atletas!P419="Yang 40 C"),413,IF(OR(Atletas!P419="Chen 25 C",Atletas!P419="Chen 36 C",Atletas!P419="Chen 56 C"),414,IF(Atletas!P419="Sun 73 C",415,IF(Atletas!P419="Wu 45 C",416,IF(Atletas!P419="Wu-Hao 46 C",417,IF(OR(Atletas!P419="Taijiquan 16 C",Atletas!P419="Taijiquan 24 C",Atletas!P419="Taijiquan 32 C",Atletas!P419="Taijiquan 42 C"),418,0)))))))))))))))))))</f>
        <v/>
      </c>
      <c r="BX428" s="50" t="str">
        <f>IF(Atletas!P419="","",IF(Atletas!X419&lt;&gt;"",10000,0)+IF(Atletas!B419="Feminino",1000,IF(Atletas!B419="Masculino",2000,""))+IF(OR(Atletas!P419="Yang 26 D",Atletas!P419="Yang 40 D"),419,IF(OR(Atletas!P419="Chen 25 D",Atletas!P419="Chen 36 D",Atletas!P419="Chen 56 D"),420,IF(Atletas!P419="Sun 73 D",421,IF(Atletas!P419="Wu 45 D",422,IF(Atletas!P419="Wu-Hao 46 D",423,IF(OR(Atletas!P419="Taijiquan 16 D",Atletas!P419="Taijiquan 24 D",Atletas!P419="Taijiquan 32 D",Atletas!P419="Taijiquan 42 D"),424,IF(OR(Atletas!P419="Yang 26 E",Atletas!P419="Yang 40 E"),425,IF(OR(Atletas!P419="Chen 25 E",Atletas!P419="Chen 36 E",Atletas!P419="Chen 56 E"),426,IF(Atletas!P419="Sun 73 E",427,IF(Atletas!P419="Wu 45 E",428,IF(Atletas!P419="Wu-Hao 46 E",429,IF(OR(Atletas!P419="Taijiquan 16 E",Atletas!P419="Taijiquan 24 E",Atletas!P419="Taijiquan 32 E",Atletas!P419="Taijiquan 42 E"),430,IF(OR(Atletas!P419="Yang 26 F",Atletas!P419="Yang 40 F"),431,IF(OR(Atletas!P419="Chen 25 F",Atletas!P419="Chen 36 F",Atletas!P419="Chen 56 F"),432,IF(Atletas!P419="Sun 73 F",433,IF(Atletas!P419="Wu 45 F",434,IF(Atletas!P419="Wu-Hao 46 F",435,IF(OR(Atletas!P419="Taijiquan 16 F",Atletas!P419="Taijiquan 24 F",Atletas!P419="Taijiquan 32 F",Atletas!P419="Taijiquan 42 F"),436,0)))))))))))))))))))</f>
        <v/>
      </c>
      <c r="BY428" s="50" t="str">
        <f>IF(Atletas!Q419="","",IF(Atletas!X419&lt;&gt;"",10000,0)+IF(Atletas!B419="Feminino",1000,IF(Atletas!B419="Masculino",2000,""))+IF(Atletas!Q419="Xingyiquan A",501,IF(Atletas!Q419="Baguazhang A",502,IF(Atletas!Q419="Outro Estilo Interno A",503,IF(Atletas!Q419="Xingyiquan B",504,IF(Atletas!Q419="Baguazhang B",505,IF(Atletas!Q419="Outro Estilo Interno B",506,IF(Atletas!Q419="Xingyiquan C",507,IF(Atletas!Q419="Baguazhang C",508,IF(Atletas!Q419="Outro Estilo Interno C",509,IF(Atletas!Q419="Xingyiquan D",510,IF(Atletas!Q419="Baguazhang D",511,IF(Atletas!Q419="Outro Estilo Interno D",512,IF(Atletas!Q419="Xingyiquan E",513,IF(Atletas!Q419="Baguazhang E",514,IF(Atletas!Q419="Outro Estilo Interno E",515,IF(Atletas!Q419="Xingyiquan F",516,IF(Atletas!Q419="Baguazhang F",517,IF(Atletas!Q419="Outro Estilo Interno F",518, "")))))))))))))))))))</f>
        <v/>
      </c>
      <c r="BZ428" s="50" t="str">
        <f>IF(Atletas!R419="","",IF(Atletas!X419&lt;&gt;"",10000,0)+IF(Atletas!B419="Feminino",1000,IF(Atletas!B419="Masculino",2000,""))+IF(Atletas!R419="Dao A",601,IF(Atletas!R419="Jian A",602,IF(Atletas!R419="Bishou A",603,IF(Atletas!R419="Shanzi A",604,IF(Atletas!R419="Outra Arma Curta A",605,IF(Atletas!R419="Dao B",606,IF(Atletas!R419="Jian B",607,IF(Atletas!R419="Bishou B",608,IF(Atletas!R419="Shanzi B",609,IF(Atletas!R419="Outra Arma Curta B",610,IF(Atletas!R419="Dao C",611,IF(Atletas!R419="Jian C",612,IF(Atletas!R419="Bishou C",613,IF(Atletas!R419="Shanzi C",614,IF(Atletas!R419="Outra Arma Curta C",615,IF(Atletas!R419="Dao D",616,IF(Atletas!R419="Jian D",617,IF(Atletas!R419="Bishou D",618,IF(Atletas!R419="Shanzi D",619,IF(Atletas!R419="Outra Arma Curta D",620,IF(Atletas!R419="Dao E",621,IF(Atletas!R419="Jian E",622,IF(Atletas!R419="Bishou E",623,IF(Atletas!R419="Shanzi E",624,IF(Atletas!R419="Outra Arma Curta E",625,IF(Atletas!R419="Dao F",626,IF(Atletas!R419="Jian F",627,IF(Atletas!R419="Bishou F",628,IF(Atletas!R419="Shanzi F",629,IF(Atletas!R419="Outra Arma Curta F",630, "")))))))))))))))))))))))))))))))</f>
        <v/>
      </c>
      <c r="CA428" s="50" t="str">
        <f>IF(Atletas!S419="","",IF(Atletas!X419&lt;&gt;"",10000,0)+IF(Atletas!B419="Feminino",1000,IF(Atletas!B419="Masculino",2000,""))+IF(Atletas!S419="Gun A",701,IF(Atletas!S419="Qiang A",702,IF(Atletas!S419="Pudao / Guandao A",703,IF(Atletas!S419="Outra Arma Longa A",704,IF(Atletas!S419="Gun B",705,IF(Atletas!S419="Qiang B",706,IF(Atletas!S419="Pudao / Guandao B",707,IF(Atletas!S419="Outra Arma Longa B",708,IF(Atletas!S419="Gun C",709,IF(Atletas!S419="Qiang C",710,IF(Atletas!S419="Pudao / Guandao C",711,IF(Atletas!S419="Outra Arma Longa C",712,IF(Atletas!S419="Gun D",713,IF(Atletas!S419="Qiang D",714,IF(Atletas!S419="Pudao / Guandao D",715,IF(Atletas!S419="Outra Arma Longa D",716,IF(Atletas!S419="Gun E",717,IF(Atletas!S419="Qiang E",718,IF(Atletas!S419="Pudao / Guandao E",719,IF(Atletas!S419="Outra Arma Longa E",720,IF(Atletas!S419="Gun F",721,IF(Atletas!S419="Qiang F",722,IF(Atletas!S419="Pudao / Guandao F",723,IF(Atletas!S419="Outra Arma Longa F",724,"")))))))))))))))))))))))))</f>
        <v/>
      </c>
      <c r="CB428" s="50" t="str">
        <f>IF(Atletas!T419="","",IF(Atletas!X419&lt;&gt;"",10000,0)+IF(Atletas!B419="Feminino",1000,IF(Atletas!B419="Masculino",2000,""))+IF(Atletas!T419="Outra Arma Dupla A",801,IF(Atletas!T419="Arma Maleável A",802,IF(Atletas!T419="Outra Arma Dupla B",803,IF(Atletas!T419="Arma Maleável B",804,IF(Atletas!T419="Outra Arma Dupla C",805,IF(Atletas!T419="Arma Maleável C",806,IF(Atletas!T419="Outra Arma Dupla D",807,IF(Atletas!T419="Arma Maleável D",808,IF(Atletas!T419="Outra Arma Dupla E",809,IF(Atletas!T419="Arma Maleável E",810,IF(Atletas!T419="Outra Arma Dupla F",811,IF(Atletas!T419="Arma Maleável F",812,IF(Atletas!T419="Shuangdao A",813,IF(Atletas!T419="Shuangdao B",814,IF(Atletas!T419="Shuangdao C",815,IF(Atletas!T419="Shuangdao D",816,IF(Atletas!T419="Shuangdao E",817,IF(Atletas!T419="Shuangdao F",818,"")))))))))))))))))))</f>
        <v/>
      </c>
      <c r="CC428" s="50" t="str">
        <f>IF(Atletas!U419="","",IF(Atletas!X419&lt;&gt;"",10000,0)+IF(Atletas!B419="Feminino",1000,IF(Atletas!B419="Masculino",2000,""))+IF(OR(Atletas!U419="Taijijian Yang A",Atletas!U419="Taijijian Yang Standard A"),901,IF(OR(Atletas!U419="Taijijian Chen A", Atletas!U419="Taijijian Chen Standard A"),902,IF(Atletas!U419="Taijijian Sun A",903,IF(Atletas!U419="Taijijian Wu A",904,IF(Atletas!U419="Taijijian Wu-Hao A",905,IF(OR(Atletas!U419="Taijijian 32 A",Atletas!U419="Taijijian 42 A"),906,IF(OR(Atletas!U419="Taijijian Yang B",Atletas!U419="Taijijian Yang Standard B"),907,IF(OR(Atletas!U419="Taijijian Chen B", Atletas!U419="Taijijian Chen Standard B"),908,IF(Atletas!U419="Taijijian Sun B",909,IF(Atletas!U419="Taijijian Wu B",910,IF(Atletas!U419="Taijijian Wu-Hao B",911,IF(OR(Atletas!U419="Taijijian 32 B",Atletas!U419="Taijijian 42 B"),912,IF(OR(Atletas!U419="Taijijian Yang C",Atletas!U419="Taijijian Yang Standard C"),913,IF(OR(Atletas!U419="Taijijian Chen C", Atletas!U419="Taijijian Chen Standard C"),914,IF(Atletas!U419="Taijijian Sun C",915,IF(Atletas!U419="Taijijian Wu C",916,IF(Atletas!U419="Taijijian Wu-Hao C",917,IF(OR(Atletas!U419="Taijijian 32 C",Atletas!U419="Taijijian 42 C"),918,IF(OR(Atletas!U419="Taijijian Yang D",Atletas!U419="Taijijian Yang Standard D"),919,IF(OR(Atletas!U419="Taijijian Chen D", Atletas!U419="Taijijian Chen Standard D"),920,IF(Atletas!U419="Taijijian Sun D",921,IF(Atletas!U419="Taijijian Wu D",922,IF(Atletas!U419="Taijijian Wu-Hao D",923,IF(OR(Atletas!U419="Taijijian 32 D",Atletas!U419="Taijijian 42 D"),924,IF(OR(Atletas!U419="Taijijian Yang E",Atletas!U419="Taijijian Yang Standard E"),925,IF(OR(Atletas!U419="Taijijian Chen E", Atletas!U419="Taijijian Chen Standard E"),926,IF(Atletas!U419="Taijijian Sun E",927,IF(Atletas!U419="Taijijian Wu E",928,IF(Atletas!U419="Taijijian Wu-Hao E",929,IF(OR(Atletas!U419="Taijijian 32 E",Atletas!U419="Taijijian 42 E"),930,IF(OR(Atletas!U419="Taijijian Yang F",Atletas!U419="Taijijian Yang Standard F"),931,IF(OR(Atletas!U419="Taijijian Chen F", Atletas!U419="Taijijian Chen Standard F"),932,IF(Atletas!U419="Taijijian Sun F",933,IF(Atletas!U419="Taijijian Wu F",934,IF(Atletas!U419="Taijijian Wu-Hao F",935,IF(OR(Atletas!U419="Taijijian 32 F",Atletas!U419="Taijijian 42 F"),936,"")))))))))))))))))))))))))))))))))))))</f>
        <v/>
      </c>
      <c r="CD428" s="50" t="str">
        <f>IF(Atletas!V419="","",IF(Atletas!X419&lt;&gt;"",10000,0)+IF(Atletas!B419="Feminino",1000,IF(Atletas!B419="Masculino",2000,""))+IF(Atletas!V419="Taijidao A",937,IF(Atletas!V419="TaijiShanzi A",938,IF(Atletas!V419="Taijiqiang A",939,IF(Atletas!V419="Bagua de Arma A",940,IF(Atletas!V419="Xingyi de Arma A",941,IF(Atletas!V419="Taijidao B",942,IF(Atletas!V419="TaijiShanzi B",943,IF(Atletas!V419="Taijiqiang B",944,IF(Atletas!V419="Bagua de Arma B",945,IF(Atletas!V419="Xingyi de Arma B",946,IF(Atletas!V419="Taijidao C",947,IF(Atletas!V419="TaijiShanzi C",948,IF(Atletas!V419="Taijiqiang C",949,IF(Atletas!V419="Bagua de Arma C",950,IF(Atletas!V419="Xingyi de Arma C",951,IF(Atletas!V419="Taijidao D",952,IF(Atletas!V419="TaijiShanzi D",953,IF(Atletas!V419="Taijiqiang D",954,IF(Atletas!V419="Bagua de Arma D",955,IF(Atletas!V419="Xingyi de Arma D",956,IF(Atletas!V419="Taijidao E",957,IF(Atletas!V419="TaijiShanzi E",958,IF(Atletas!V419="Taijiqiang E",959,IF(Atletas!V419="Bagua de Arma E",960,IF(Atletas!V419="Xingyi de Arma E",961,IF(Atletas!V419="Taijidao F",962,IF(Atletas!V419="TaijiShanzi F",963,IF(Atletas!V419="Taijiqiang F",964,IF(Atletas!V419="Bagua de Arma F",965,IF(Atletas!V419="Xingyi de Arma F",966,"")))))))))))))))))))))))))))))))</f>
        <v/>
      </c>
      <c r="CM428" s="50" t="str">
        <f xml:space="preserve"> IF(Atletas!W419="","",IF(Atletas!W419="Duilian de Mãos BC - Equipe 1",1,IF(Atletas!W419="Duilian de Mãos BC - Equipe 2",2,IF(Atletas!W419="Duilian de Armas BC - Equipe 1",3,IF(Atletas!W419="Duilian de Armas BC - Equipe 2",4,IF(Atletas!W419="Duilian de Mãos DE - Equipe 1",5,IF(Atletas!W419="Duilian de Mãos DE - Equipe 2",6,IF(Atletas!W419="Duilian de Armas DE - Equipe 1",7,IF(Atletas!W419="Duilian de Armas DE - Equipe 2",8,IF(Atletas!W419="Duilian de Tuishou - Equipe 1",9,IF(Atletas!W419="Duilian de Tuishou - Equipe 2",10,IF(Atletas!W419="Grupo Externo ABC - Equipe 1",11,IF(Atletas!W419="Grupo Externo ABC - Equipe 2",12,IF(Atletas!W419="Grupo Interno ABC - Equipe 1",13,IF(Atletas!W419="Grupo Interno ABC - Equipe 2",14,IF(Atletas!W419="Grupo Externo DEF - Equipe 1",15,IF(Atletas!W419="Grupo Externo DEF - Equipe 2",16,IF(Atletas!W419="Grupo Interno DEF - Equipe 1",17,IF(Atletas!W419="Grupo Interno DEF - Equipe 2",18,"")))))))))))))))))))</f>
        <v/>
      </c>
    </row>
    <row r="429" spans="40:91">
      <c r="AN429" s="52" t="str">
        <f>IF(Atletas!D420="","",IF(Atletas!B420="Feminino",100,IF(Atletas!B420="Masculino",200,""))+(IF(Atletas!D420="Kids 30kg",1,IF(Atletas!D420="Kids 32kg",2, IF(Atletas!D420="Kids 34kg",3,IF(Atletas!D420="Kids 36kg",4,IF(Atletas!D420="Kids 39kg",5,IF(Atletas!D420="Kids 42kg",6,IF(Atletas!D420="Kids 45kg",7, IF(Atletas!D420="Infantil 39kg",8,IF(Atletas!D420="Infantil 42kg",9,IF(Atletas!D420="Infantil 45kg",10,IF(Atletas!D420="Infantil 48kg",11,IF(Atletas!D420="Infantil 52kg",12,IF(Atletas!D420="Infantil 56kg",13,IF(Atletas!D420="Infantil 60kg",14,IF(Atletas!D420="Juvenil 48kg",15,IF(Atletas!D420="Juvenil 52kg",16,IF(Atletas!D420="Juvenil 56kg",17,IF(Atletas!D420="Juvenil 60kg",18,IF(Atletas!D420="Juvenil 65kg",19,IF(Atletas!D420="Juvenil 70kg",20,IF(Atletas!D420="Juvenil 75kg",21,IF(Atletas!D420="Juvenil 80kg",22, IF(Atletas!D420="Juvenil 85kg",23,IF(Atletas!D420="Adulto 48kg",24,IF(Atletas!D420="Adulto 52kg",25,IF(Atletas!D420="Adulto 56kg",26,IF(Atletas!D420="Adulto 60kg",27,IF(Atletas!D420="Adulto 65kg",28,IF(Atletas!D420="Adulto 70kg",29,IF(Atletas!D420="Adulto 75kg",30,IF(Atletas!D420="Adulto 80kg",31,IF(Atletas!D420="Adulto 85kg",32,IF(Atletas!D420="Adulto 90kg",33,IF(Atletas!D420="Adulto 100kg",34, IF(Atletas!D420="Adulto +100kg",35,"")))))))))))))))))))))))))))))))))))))</f>
        <v/>
      </c>
      <c r="AS429" s="6" t="str">
        <f>IF(Atletas!E420="","",IF(Atletas!B420="Feminino",100,IF(Atletas!B420="Masculino",200,""))+(IF(Atletas!E420="Juvenil 44kg",1,IF(Atletas!E420="Juvenil 48kg",2,IF(Atletas!E420="Juvenil 52kg",3,IF(Atletas!E420="Juvenil 56kg",4,IF(Atletas!E420="Juvenil 60kg",5,IF(Atletas!E420="Juvenil 65kg",6,IF(Atletas!E420="Juvenil 70kg",7,IF(Atletas!E420="Juvenil 75kg",8,IF(Atletas!E420="Juvenil 82kg",9,IF(Atletas!E420="Juvenil 90kg",10,IF(Atletas!E420="Juvenil 100kg",11,IF(Atletas!E420="Adulto 48kg",12,IF(Atletas!E420="Adulto 52kg",13,IF(Atletas!E420="Adulto 56kg",14,IF(Atletas!E420="Adulto 60kg",15,IF(Atletas!E420="Adulto 65kg",16,IF(Atletas!E420="Adulto 70kg",17,IF(Atletas!E420="Adulto 75kg",18,IF(Atletas!E420="Adulto 82kg",19,IF(Atletas!E420="Adulto 90kg",20,IF(Atletas!E420="Adulto 100kg",21,IF(Atletas!E420="Adulto +100kg",22,""))))))))))))))))))))))))</f>
        <v/>
      </c>
      <c r="AX429" s="6" t="str">
        <f>IF(Atletas!F420="","",IF(Atletas!B420="Feminino",100,IF(Atletas!B420="Masculino",200,""))+(IF(Atletas!F420="Adulto 48kg",1,IF(Atletas!F420="Adulto 56kg",2,IF(Atletas!F420="Adulto 65kg",3,IF(Atletas!F420="Adulto 75kg",4,IF(Atletas!F420="Adulto +75kg",5,IF(Atletas!F420="Adulto 52kg",6,IF(Atletas!F420="Adulto 60kg",7,IF(Atletas!F420="Adulto 70kg",8,IF(Atletas!F420="Adulto 80kg",9,IF(Atletas!F420="Adulto 90kg",10,IF(Atletas!F420="Adulto +90kg",11,"")))))))))))))</f>
        <v/>
      </c>
      <c r="BC429" s="6" t="str">
        <f>IF(Atletas!G420="","",IF(Atletas!B420="Feminino",10,IF(Atletas!B420="Masculino",20,""))+(IF(Atletas!G420="Baduanjin A",1,IF(Atletas!G420="Baduanjin B",2))))</f>
        <v/>
      </c>
      <c r="BF429" s="52" t="str">
        <f>IF(Atletas!H420="","",IF(Atletas!B420="Feminino",100,IF(Atletas!B420="Masculino",200,""))+(IF(Atletas!H420="Changquan Mirim",1,IF(Atletas!H420="Nanquan Mirim",2,IF(Atletas!H420="Taijiquan Mirim",3,IF(Atletas!H420="Changquan Grupo C",4,IF(Atletas!H420="Nanquan Grupo C",5,IF(Atletas!H420="Taijiquan Grupo C",6,IF(Atletas!H420="Changquan Grupo B",7,IF(Atletas!H420="Nanquan Grupo B",8,IF(Atletas!H420="Taijiquan Grupo B",9,IF(Atletas!H420="Changquan Grupo A",10,IF(Atletas!H420="Nanquan Grupo A",11,IF(Atletas!H420="Taijiquan Grupo A",12,IF(Atletas!H420="Changquan Opcional",13,IF(Atletas!H420="Nanquan Opcional",14,IF(Atletas!H420="Taijiquan Opcional",15,IF(Atletas!H420="Changquan Adulto",16,IF(Atletas!H420="Nanquan Adulto",17,IF(Atletas!H420="Taijiquan Adulto",18,""))))))))))))))))))))</f>
        <v/>
      </c>
      <c r="BG429" s="52" t="str">
        <f>IF(Atletas!I420="","",IF(Atletas!B420="Feminino",100,IF(Atletas!B420="Masculino",200,""))+(IF(Atletas!I420="Daoshu Mirim",19,IF(Atletas!I420="Jianshu Mirim",20,IF(Atletas!I420="Nandao Mirim",21,IF(Atletas!I420="Taijijian Mirim",22,IF(Atletas!I420="Daoshu Grupo C",23,IF(Atletas!I420="Jianshu Grupo C",24,IF(Atletas!I420="Nandao Grupo C",25,IF(Atletas!I420="Taijijian Grupo C",26,IF(Atletas!I420="Daoshu Grupo B",27,IF(Atletas!I420="Jianshu Grupo B",28,IF(Atletas!I420="Nandao Grupo B",29,IF(Atletas!I420="Taijijian Grupo B",30,IF(Atletas!I420="Daoshu Grupo A",31,IF(Atletas!I420="Jianshu Grupo A",32,IF(Atletas!I420="Nandao Grupo A",33,IF(Atletas!I420="Taijijian Grupo A",34,IF(Atletas!I420="Daoshu Opcional",35,IF(Atletas!I420="Jianshu Opcional",36,IF(Atletas!I420="Nandao Opcional",37,IF(Atletas!I420="Taijijian Opcional",38,IF(Atletas!I420="Daoshu Adulto",39,IF(Atletas!I420="Jianshu Adulto",40,IF(Atletas!I420="Nandao Adulto",41,IF(Atletas!I420="Taijijian Adulto",42,""))))))))))))))))))))))))))</f>
        <v/>
      </c>
      <c r="BH429" s="52" t="str">
        <f>IF(Atletas!J420="","",IF(Atletas!B420="Feminino",100,IF(Atletas!B420="Masculino",200,""))+(IF(Atletas!J420="Gunshu Mirim",43,IF(Atletas!J420="Qiangshu Mirim",44,IF(Atletas!J420="Nangun Mirim",45,IF(Atletas!J420="Gunshu Grupo C",46,IF(Atletas!J420="Qiangshu Grupo C",47,IF(Atletas!J420="Nangun Grupo C",48,IF(Atletas!J420="Gunshu Grupo B",49,IF(Atletas!J420="Qiangshu Grupo B",50,IF(Atletas!J420="Nangun Grupo B",51,IF(Atletas!J420="Gunshu Grupo A",52,IF(Atletas!J420="Qiangshu Grupo A",53,IF(Atletas!J420="Nangun Grupo A",54,IF(Atletas!J420="Gunshu Opcional",55,IF(Atletas!J420="Qiangshu Opcional",56,IF(Atletas!J420="Nangun Opcional",57,IF(Atletas!J420="Gunshu Adulto",58,IF(Atletas!J420="Qiangshu Adulto",59,IF(Atletas!J420="Nangun Adulto",60,IF(Atletas!J420="Taijishan Grupo B",61,IF(Atletas!J420="Taijishan Grupo A",62,""))))))))))))))))))))))</f>
        <v/>
      </c>
      <c r="BM429" s="50" t="str">
        <f>IF(Atletas!K420="","",IF(Atletas!B420="Feminino",100,IF(Atletas!B420="Masculino",200,""))+(IF(Atletas!K420="Equipe 1 Grupo B",1,IF(Atletas!K420="Equipe 2 Grupo B",2,IF(Atletas!K420="Equipe 1 Grupo A",3,IF(Atletas!K420="Equipe 2 Grupo A",4,IF(Atletas!K420="Equipe 1 Adulto",5,IF(Atletas!K420="Equipe 2 Adulto",6,""))))))))</f>
        <v/>
      </c>
      <c r="BR429" s="50" t="str">
        <f>IF(Atletas!L420="","",IF(Atletas!X420&lt;&gt;"",10000,0)+(IF(Atletas!B420="Feminino",1000,IF(Atletas!B420="Masculino",2000,""))+IF(Atletas!L420="Choylayfut A",1,IF(Atletas!L420="Hunggar A",2,IF(Atletas!L420="Wuzuquan A",3,IF(Atletas!L420="Wingchun A",4,IF(Atletas!L420="Outra Mão de Sul A",5,IF(Atletas!L420="Choylayfut B",6,IF(Atletas!L420="Hunggar B",7,IF(Atletas!L420="Wuzuquan B",8,IF(Atletas!L420="Wingchun B",9,IF(Atletas!L420="Outra Mão de Sul B",10,IF(Atletas!L420="Choylayfut C",11,IF(Atletas!L420="Hunggar C",12,IF(Atletas!L420="Wuzuquan C",13,IF(Atletas!L420="Wingchun C",14,IF(Atletas!L420="Outra Mão de Sul C",15,IF(Atletas!L420="Choylayfut D",16,IF(Atletas!L420="Hunggar D",17,IF(Atletas!L420="Wuzuquan D",18,IF(Atletas!L420="Wingchun D",19,IF(Atletas!L420="Outra Mão de Sul D",20,IF(Atletas!L420="Choylayfut E",21,IF(Atletas!L420="Hunggar E",22,IF(Atletas!L420="Wuzuquan E",23,IF(Atletas!L420="Wingchun E",24,IF(Atletas!L420="Outra Mão de Sul E",25,IF(Atletas!L420="Choylayfut F",26,IF(Atletas!L420="Hunggar F",27,IF(Atletas!L420="Wuzuquan F",28,IF(Atletas!L420="Wingchun F",29,IF(Atletas!L420="Outra Mão de Sul F",30,IF(Atletas!L420="Dishuquan A",31,IF(Atletas!L420="Dishuquan B",32,IF(Atletas!L420="Dishuquan C",33,IF(Atletas!L420="Dishuquan D",34,IF(Atletas!L420="Dishuquan E",35,IF(Atletas!L420="Dishuquan F",36,""))))))))))))))))))))))))))))))))))))))</f>
        <v/>
      </c>
      <c r="BS429" s="50" t="str">
        <f>IF(Atletas!M420="","",IF(Atletas!X420&lt;&gt;"",10000,0)+(IF(Atletas!B420="Feminino",1000,IF(Atletas!B420="Masculino",2000,""))+(IF(Atletas!M420="Chaquan A",101,IF(Atletas!M420="Emeiquan A",102,IF(Atletas!M420="Fanziquan A",103,IF(Atletas!M420="Huaquan A",104,IF(Atletas!M420="Hongquan A",105,IF(Atletas!M420="Paoquan A",106,IF(Atletas!M420="Piguaquan A",107,IF(Atletas!M420="Shaolinquan A",108,IF(Atletas!M420="Tanglangquan A",109,IF(Atletas!M420="Yingzhaoquan A",110,IF(Atletas!M420="Tongbeiquan A",111,IF(Atletas!M420="Wudangquan A",112,IF(Atletas!M420="Outros Estilos A",113,IF(Atletas!M420="Chaquan B",114,IF(Atletas!M420="Emeiquan B",115,IF(Atletas!M420="Fanziquan B",116,IF(Atletas!M420="Huaquan B",117,IF(Atletas!M420="Hongquan B",118,IF(Atletas!M420="Paoquan B",119,IF(Atletas!M420="Piguaquan B",120,IF(Atletas!M420="Shaolinquan B",121,IF(Atletas!M420="Tanglangquan B",122,IF(Atletas!M420="Yingzhaoquan B",123,IF(Atletas!M420="Tongbeiquan B",124,IF(Atletas!M420="Wudangquan B",125,IF(Atletas!M420="Outros Estilos B",126,IF(Atletas!M420="Chaquan C",127,IF(Atletas!M420="Emeiquan C",128,IF(Atletas!M420="Fanziquan C",129,IF(Atletas!M420="Huaquan C",130,IF(Atletas!M420="Hongquan C",131,IF(Atletas!M420="Paoquan C",132,IF(Atletas!M420="Piguaquan C",133,IF(Atletas!M420="Shaolinquan C",134,IF(Atletas!M420="Tanglangquan C",135,IF(Atletas!M420="Yingzhaoquan C",136,IF(Atletas!M420="Tongbeiquan C",137,IF(Atletas!M420="Wudangquan C",138,IF(Atletas!M420="Outros Estilos C",139,0))))))))))))))))))))))))))))))))))))))))))</f>
        <v/>
      </c>
      <c r="BT429" s="50" t="str">
        <f>IF(Atletas!M420="","",IF(Atletas!X420&lt;&gt;"",10000,0)+(IF(Atletas!B420="Feminino",1000,IF(Atletas!B420="Masculino",2000,""))+(IF(Atletas!M420="Chaquan D",140,IF(Atletas!M420="Emeiquan D",141,IF(Atletas!M420="Fanziquan D",142,IF(Atletas!M420="Huaquan D",143,IF(Atletas!M420="Hongquan D",144,IF(Atletas!M420="Paoquan D",145,IF(Atletas!M420="Piguaquan D",146,IF(Atletas!M420="Shaolinquan D",147,IF(Atletas!M420="Tanglangquan D",148,IF(Atletas!M420="Yingzhaoquan D",149,IF(Atletas!M420="Tongbeiquan D",150,IF(Atletas!M420="Wudangquan D",151,IF(Atletas!M420="Outros Estilos D",152,IF(Atletas!M420="Chaquan E",153,IF(Atletas!M420="Emeiquan E",154,IF(Atletas!M420="Fanziquan E",155,IF(Atletas!M420="Huaquan E",156,IF(Atletas!M420="Hongquan E",157,IF(Atletas!M420="Paoquan E",158,IF(Atletas!M420="Piguaquan E",159,IF(Atletas!M420="Shaolinquan E",160,IF(Atletas!M420="Tanglangquan E",161,IF(Atletas!M420="Yingzhaoquan E",162,IF(Atletas!M420="Tongbeiquan E",163,IF(Atletas!M420="Wudangquan E",164,IF(Atletas!M420="Outros Estilos E",165,IF(Atletas!M420="Chaquan F",166,IF(Atletas!M420="Emeiquan F",167,IF(Atletas!M420="Fanziquan F",168,IF(Atletas!M420="Huaquan F",169,IF(Atletas!M420="Hongquan F",170,IF(Atletas!M420="Paoquan F",171,IF(Atletas!M420="Piguaquan F",172,IF(Atletas!M420="Shaolinquan F",173,IF(Atletas!M420="Tanglangquan F",174,IF(Atletas!M420="Yingzhaoquan F",175,IF(Atletas!M420="Tongbeiquan F",176,IF(Atletas!M420="Wudangquan F",177,IF(Atletas!M420="Outros Estilos F",178,0))))))))))))))))))))))))))))))))))))))))))</f>
        <v/>
      </c>
      <c r="BU429" s="50" t="str">
        <f>IF(Atletas!N420="","",IF(Atletas!X420&lt;&gt;"",10000,0)+(IF(Atletas!B420="Feminino",1000,IF(Atletas!B420="Masculino",2000,""))+(IF(Atletas!N420="Ditangquan A",201,IF(Atletas!N420="Houquan A",202,IF(Atletas!N420="Zuiquan A",203,IF(Atletas!N420="Ditangquan B",204,IF(Atletas!N420="Houquan B",205,IF(Atletas!N420="Zuiquan B",206,IF(Atletas!N420="Ditangquan C",207,IF(Atletas!N420="Houquan C",208,IF(Atletas!N420="Zuiquan C",209,IF(Atletas!N420="Ditangquan D",210,IF(Atletas!N420="Houquan D",211,IF(Atletas!N420="Zuiquan D",212,IF(Atletas!N420="Ditangquan E",213,IF(Atletas!N420="Houquan E",214,IF(Atletas!N420="Zuiquan E",215,IF(Atletas!N420="Ditangquan F",216,IF(Atletas!N420="Houquan F",217,IF(Atletas!N420="Zuiquan F",218,"")))))))))))))))))))))</f>
        <v/>
      </c>
      <c r="BV429" s="50" t="str">
        <f>IF(Atletas!O420="","",IF(Atletas!X420&lt;&gt;"",10000,0)+IF(Atletas!B420="Feminino",1000,IF(Atletas!B420="Masculino",2000,""))+IF(Atletas!O420="Yang A",301,IF(Atletas!O420="Chen A",302,IF(Atletas!O420="Sun A",303,IF(Atletas!O420="Wu A",304,IF(Atletas!O420="Wu-Hao A",305,IF(Atletas!O420="Outro Taijiquan A",306,IF(Atletas!O420="Yang B",307,IF(Atletas!O420="Chen B",308,IF(Atletas!O420="Sun B",309,IF(Atletas!O420="Wu B",310,IF(Atletas!O420="Wu-Hao B",311,IF(Atletas!O420="Outro Taijiquan B",312,IF(Atletas!O420="Yang C",313,IF(Atletas!O420="Chen C",314,IF(Atletas!O420="Sun C",315,IF(Atletas!O420="Wu C",316,IF(Atletas!O420="Wu-Hao C",317,IF(Atletas!O420="Outro Taijiquan C",318,IF(Atletas!O420="Yang D",319,IF(Atletas!O420="Chen D",320,IF(Atletas!O420="Sun D",321,IF(Atletas!O420="Wu D",322,IF(Atletas!O420="Wu-Hao D",323,IF(Atletas!O420="Outro Taijiquan D",324,IF(Atletas!O420="Yang E",325,IF(Atletas!O420="Chen E",326,IF(Atletas!O420="Sun E",327,IF(Atletas!O420="Wu E",328,IF(Atletas!O420="Wu-Hao E",329,IF(Atletas!O420="Outro Taijiquan E",330,IF(Atletas!O420="Yang F",331,IF(Atletas!O420="Chen F",332,IF(Atletas!O420="Sun F",333,IF(Atletas!O420="Wu F",334,IF(Atletas!O420="Wu-Hao F",335,IF(Atletas!O420="Outro Taijiquan F",336,"")))))))))))))))))))))))))))))))))))))</f>
        <v/>
      </c>
      <c r="BW429" s="50" t="str">
        <f>IF(Atletas!P420="","",IF(Atletas!X420&lt;&gt;"",10000,0)+IF(Atletas!B420="Feminino",1000,IF(Atletas!B420="Masculino",2000,""))+IF(OR(Atletas!P420="Yang 26 A",Atletas!P420="Yang 40 A"),401,IF(OR(Atletas!P420="Chen 25 A",Atletas!P420="Chen 36 A",Atletas!P420="Chen 56 A"),402,IF(Atletas!P420="Sun 73 A",403,IF(Atletas!P420="Wu 45 A",404,IF(Atletas!P420="Wu-Hao 46 A",405,IF(OR(Atletas!P420="Taijiquan 16 A",Atletas!P420="Taijiquan 24 A",Atletas!P420="Taijiquan 32 A",Atletas!P420="Taijiquan 42 A"),406,IF(OR(Atletas!P420="Yang 26 B",Atletas!P420="Yang 40 B"),407,IF(OR(Atletas!P420="Chen 25 B",Atletas!P420="Chen 36 B",Atletas!P420="Chen 56 B"),408,IF(Atletas!P420="Sun 73 B",409,IF(Atletas!P420="Wu 45 B",410,IF(Atletas!P420="Wu-Hao 46 B",411,IF(OR(Atletas!P420="Taijiquan 16 B",Atletas!P420="Taijiquan 24 B",Atletas!P420="Taijiquan 32 B",Atletas!P420="Taijiquan 42 B"),412,IF(OR(Atletas!P420="Yang 26 C",Atletas!P420="Yang 40 C"),413,IF(OR(Atletas!P420="Chen 25 C",Atletas!P420="Chen 36 C",Atletas!P420="Chen 56 C"),414,IF(Atletas!P420="Sun 73 C",415,IF(Atletas!P420="Wu 45 C",416,IF(Atletas!P420="Wu-Hao 46 C",417,IF(OR(Atletas!P420="Taijiquan 16 C",Atletas!P420="Taijiquan 24 C",Atletas!P420="Taijiquan 32 C",Atletas!P420="Taijiquan 42 C"),418,0)))))))))))))))))))</f>
        <v/>
      </c>
      <c r="BX429" s="50" t="str">
        <f>IF(Atletas!P420="","",IF(Atletas!X420&lt;&gt;"",10000,0)+IF(Atletas!B420="Feminino",1000,IF(Atletas!B420="Masculino",2000,""))+IF(OR(Atletas!P420="Yang 26 D",Atletas!P420="Yang 40 D"),419,IF(OR(Atletas!P420="Chen 25 D",Atletas!P420="Chen 36 D",Atletas!P420="Chen 56 D"),420,IF(Atletas!P420="Sun 73 D",421,IF(Atletas!P420="Wu 45 D",422,IF(Atletas!P420="Wu-Hao 46 D",423,IF(OR(Atletas!P420="Taijiquan 16 D",Atletas!P420="Taijiquan 24 D",Atletas!P420="Taijiquan 32 D",Atletas!P420="Taijiquan 42 D"),424,IF(OR(Atletas!P420="Yang 26 E",Atletas!P420="Yang 40 E"),425,IF(OR(Atletas!P420="Chen 25 E",Atletas!P420="Chen 36 E",Atletas!P420="Chen 56 E"),426,IF(Atletas!P420="Sun 73 E",427,IF(Atletas!P420="Wu 45 E",428,IF(Atletas!P420="Wu-Hao 46 E",429,IF(OR(Atletas!P420="Taijiquan 16 E",Atletas!P420="Taijiquan 24 E",Atletas!P420="Taijiquan 32 E",Atletas!P420="Taijiquan 42 E"),430,IF(OR(Atletas!P420="Yang 26 F",Atletas!P420="Yang 40 F"),431,IF(OR(Atletas!P420="Chen 25 F",Atletas!P420="Chen 36 F",Atletas!P420="Chen 56 F"),432,IF(Atletas!P420="Sun 73 F",433,IF(Atletas!P420="Wu 45 F",434,IF(Atletas!P420="Wu-Hao 46 F",435,IF(OR(Atletas!P420="Taijiquan 16 F",Atletas!P420="Taijiquan 24 F",Atletas!P420="Taijiquan 32 F",Atletas!P420="Taijiquan 42 F"),436,0)))))))))))))))))))</f>
        <v/>
      </c>
      <c r="BY429" s="50" t="str">
        <f>IF(Atletas!Q420="","",IF(Atletas!X420&lt;&gt;"",10000,0)+IF(Atletas!B420="Feminino",1000,IF(Atletas!B420="Masculino",2000,""))+IF(Atletas!Q420="Xingyiquan A",501,IF(Atletas!Q420="Baguazhang A",502,IF(Atletas!Q420="Outro Estilo Interno A",503,IF(Atletas!Q420="Xingyiquan B",504,IF(Atletas!Q420="Baguazhang B",505,IF(Atletas!Q420="Outro Estilo Interno B",506,IF(Atletas!Q420="Xingyiquan C",507,IF(Atletas!Q420="Baguazhang C",508,IF(Atletas!Q420="Outro Estilo Interno C",509,IF(Atletas!Q420="Xingyiquan D",510,IF(Atletas!Q420="Baguazhang D",511,IF(Atletas!Q420="Outro Estilo Interno D",512,IF(Atletas!Q420="Xingyiquan E",513,IF(Atletas!Q420="Baguazhang E",514,IF(Atletas!Q420="Outro Estilo Interno E",515,IF(Atletas!Q420="Xingyiquan F",516,IF(Atletas!Q420="Baguazhang F",517,IF(Atletas!Q420="Outro Estilo Interno F",518, "")))))))))))))))))))</f>
        <v/>
      </c>
      <c r="BZ429" s="50" t="str">
        <f>IF(Atletas!R420="","",IF(Atletas!X420&lt;&gt;"",10000,0)+IF(Atletas!B420="Feminino",1000,IF(Atletas!B420="Masculino",2000,""))+IF(Atletas!R420="Dao A",601,IF(Atletas!R420="Jian A",602,IF(Atletas!R420="Bishou A",603,IF(Atletas!R420="Shanzi A",604,IF(Atletas!R420="Outra Arma Curta A",605,IF(Atletas!R420="Dao B",606,IF(Atletas!R420="Jian B",607,IF(Atletas!R420="Bishou B",608,IF(Atletas!R420="Shanzi B",609,IF(Atletas!R420="Outra Arma Curta B",610,IF(Atletas!R420="Dao C",611,IF(Atletas!R420="Jian C",612,IF(Atletas!R420="Bishou C",613,IF(Atletas!R420="Shanzi C",614,IF(Atletas!R420="Outra Arma Curta C",615,IF(Atletas!R420="Dao D",616,IF(Atletas!R420="Jian D",617,IF(Atletas!R420="Bishou D",618,IF(Atletas!R420="Shanzi D",619,IF(Atletas!R420="Outra Arma Curta D",620,IF(Atletas!R420="Dao E",621,IF(Atletas!R420="Jian E",622,IF(Atletas!R420="Bishou E",623,IF(Atletas!R420="Shanzi E",624,IF(Atletas!R420="Outra Arma Curta E",625,IF(Atletas!R420="Dao F",626,IF(Atletas!R420="Jian F",627,IF(Atletas!R420="Bishou F",628,IF(Atletas!R420="Shanzi F",629,IF(Atletas!R420="Outra Arma Curta F",630, "")))))))))))))))))))))))))))))))</f>
        <v/>
      </c>
      <c r="CA429" s="50" t="str">
        <f>IF(Atletas!S420="","",IF(Atletas!X420&lt;&gt;"",10000,0)+IF(Atletas!B420="Feminino",1000,IF(Atletas!B420="Masculino",2000,""))+IF(Atletas!S420="Gun A",701,IF(Atletas!S420="Qiang A",702,IF(Atletas!S420="Pudao / Guandao A",703,IF(Atletas!S420="Outra Arma Longa A",704,IF(Atletas!S420="Gun B",705,IF(Atletas!S420="Qiang B",706,IF(Atletas!S420="Pudao / Guandao B",707,IF(Atletas!S420="Outra Arma Longa B",708,IF(Atletas!S420="Gun C",709,IF(Atletas!S420="Qiang C",710,IF(Atletas!S420="Pudao / Guandao C",711,IF(Atletas!S420="Outra Arma Longa C",712,IF(Atletas!S420="Gun D",713,IF(Atletas!S420="Qiang D",714,IF(Atletas!S420="Pudao / Guandao D",715,IF(Atletas!S420="Outra Arma Longa D",716,IF(Atletas!S420="Gun E",717,IF(Atletas!S420="Qiang E",718,IF(Atletas!S420="Pudao / Guandao E",719,IF(Atletas!S420="Outra Arma Longa E",720,IF(Atletas!S420="Gun F",721,IF(Atletas!S420="Qiang F",722,IF(Atletas!S420="Pudao / Guandao F",723,IF(Atletas!S420="Outra Arma Longa F",724,"")))))))))))))))))))))))))</f>
        <v/>
      </c>
      <c r="CB429" s="50" t="str">
        <f>IF(Atletas!T420="","",IF(Atletas!X420&lt;&gt;"",10000,0)+IF(Atletas!B420="Feminino",1000,IF(Atletas!B420="Masculino",2000,""))+IF(Atletas!T420="Outra Arma Dupla A",801,IF(Atletas!T420="Arma Maleável A",802,IF(Atletas!T420="Outra Arma Dupla B",803,IF(Atletas!T420="Arma Maleável B",804,IF(Atletas!T420="Outra Arma Dupla C",805,IF(Atletas!T420="Arma Maleável C",806,IF(Atletas!T420="Outra Arma Dupla D",807,IF(Atletas!T420="Arma Maleável D",808,IF(Atletas!T420="Outra Arma Dupla E",809,IF(Atletas!T420="Arma Maleável E",810,IF(Atletas!T420="Outra Arma Dupla F",811,IF(Atletas!T420="Arma Maleável F",812,IF(Atletas!T420="Shuangdao A",813,IF(Atletas!T420="Shuangdao B",814,IF(Atletas!T420="Shuangdao C",815,IF(Atletas!T420="Shuangdao D",816,IF(Atletas!T420="Shuangdao E",817,IF(Atletas!T420="Shuangdao F",818,"")))))))))))))))))))</f>
        <v/>
      </c>
      <c r="CC429" s="50" t="str">
        <f>IF(Atletas!U420="","",IF(Atletas!X420&lt;&gt;"",10000,0)+IF(Atletas!B420="Feminino",1000,IF(Atletas!B420="Masculino",2000,""))+IF(OR(Atletas!U420="Taijijian Yang A",Atletas!U420="Taijijian Yang Standard A"),901,IF(OR(Atletas!U420="Taijijian Chen A", Atletas!U420="Taijijian Chen Standard A"),902,IF(Atletas!U420="Taijijian Sun A",903,IF(Atletas!U420="Taijijian Wu A",904,IF(Atletas!U420="Taijijian Wu-Hao A",905,IF(OR(Atletas!U420="Taijijian 32 A",Atletas!U420="Taijijian 42 A"),906,IF(OR(Atletas!U420="Taijijian Yang B",Atletas!U420="Taijijian Yang Standard B"),907,IF(OR(Atletas!U420="Taijijian Chen B", Atletas!U420="Taijijian Chen Standard B"),908,IF(Atletas!U420="Taijijian Sun B",909,IF(Atletas!U420="Taijijian Wu B",910,IF(Atletas!U420="Taijijian Wu-Hao B",911,IF(OR(Atletas!U420="Taijijian 32 B",Atletas!U420="Taijijian 42 B"),912,IF(OR(Atletas!U420="Taijijian Yang C",Atletas!U420="Taijijian Yang Standard C"),913,IF(OR(Atletas!U420="Taijijian Chen C", Atletas!U420="Taijijian Chen Standard C"),914,IF(Atletas!U420="Taijijian Sun C",915,IF(Atletas!U420="Taijijian Wu C",916,IF(Atletas!U420="Taijijian Wu-Hao C",917,IF(OR(Atletas!U420="Taijijian 32 C",Atletas!U420="Taijijian 42 C"),918,IF(OR(Atletas!U420="Taijijian Yang D",Atletas!U420="Taijijian Yang Standard D"),919,IF(OR(Atletas!U420="Taijijian Chen D", Atletas!U420="Taijijian Chen Standard D"),920,IF(Atletas!U420="Taijijian Sun D",921,IF(Atletas!U420="Taijijian Wu D",922,IF(Atletas!U420="Taijijian Wu-Hao D",923,IF(OR(Atletas!U420="Taijijian 32 D",Atletas!U420="Taijijian 42 D"),924,IF(OR(Atletas!U420="Taijijian Yang E",Atletas!U420="Taijijian Yang Standard E"),925,IF(OR(Atletas!U420="Taijijian Chen E", Atletas!U420="Taijijian Chen Standard E"),926,IF(Atletas!U420="Taijijian Sun E",927,IF(Atletas!U420="Taijijian Wu E",928,IF(Atletas!U420="Taijijian Wu-Hao E",929,IF(OR(Atletas!U420="Taijijian 32 E",Atletas!U420="Taijijian 42 E"),930,IF(OR(Atletas!U420="Taijijian Yang F",Atletas!U420="Taijijian Yang Standard F"),931,IF(OR(Atletas!U420="Taijijian Chen F", Atletas!U420="Taijijian Chen Standard F"),932,IF(Atletas!U420="Taijijian Sun F",933,IF(Atletas!U420="Taijijian Wu F",934,IF(Atletas!U420="Taijijian Wu-Hao F",935,IF(OR(Atletas!U420="Taijijian 32 F",Atletas!U420="Taijijian 42 F"),936,"")))))))))))))))))))))))))))))))))))))</f>
        <v/>
      </c>
      <c r="CD429" s="50" t="str">
        <f>IF(Atletas!V420="","",IF(Atletas!X420&lt;&gt;"",10000,0)+IF(Atletas!B420="Feminino",1000,IF(Atletas!B420="Masculino",2000,""))+IF(Atletas!V420="Taijidao A",937,IF(Atletas!V420="TaijiShanzi A",938,IF(Atletas!V420="Taijiqiang A",939,IF(Atletas!V420="Bagua de Arma A",940,IF(Atletas!V420="Xingyi de Arma A",941,IF(Atletas!V420="Taijidao B",942,IF(Atletas!V420="TaijiShanzi B",943,IF(Atletas!V420="Taijiqiang B",944,IF(Atletas!V420="Bagua de Arma B",945,IF(Atletas!V420="Xingyi de Arma B",946,IF(Atletas!V420="Taijidao C",947,IF(Atletas!V420="TaijiShanzi C",948,IF(Atletas!V420="Taijiqiang C",949,IF(Atletas!V420="Bagua de Arma C",950,IF(Atletas!V420="Xingyi de Arma C",951,IF(Atletas!V420="Taijidao D",952,IF(Atletas!V420="TaijiShanzi D",953,IF(Atletas!V420="Taijiqiang D",954,IF(Atletas!V420="Bagua de Arma D",955,IF(Atletas!V420="Xingyi de Arma D",956,IF(Atletas!V420="Taijidao E",957,IF(Atletas!V420="TaijiShanzi E",958,IF(Atletas!V420="Taijiqiang E",959,IF(Atletas!V420="Bagua de Arma E",960,IF(Atletas!V420="Xingyi de Arma E",961,IF(Atletas!V420="Taijidao F",962,IF(Atletas!V420="TaijiShanzi F",963,IF(Atletas!V420="Taijiqiang F",964,IF(Atletas!V420="Bagua de Arma F",965,IF(Atletas!V420="Xingyi de Arma F",966,"")))))))))))))))))))))))))))))))</f>
        <v/>
      </c>
      <c r="CM429" s="50" t="str">
        <f xml:space="preserve"> IF(Atletas!W420="","",IF(Atletas!W420="Duilian de Mãos BC - Equipe 1",1,IF(Atletas!W420="Duilian de Mãos BC - Equipe 2",2,IF(Atletas!W420="Duilian de Armas BC - Equipe 1",3,IF(Atletas!W420="Duilian de Armas BC - Equipe 2",4,IF(Atletas!W420="Duilian de Mãos DE - Equipe 1",5,IF(Atletas!W420="Duilian de Mãos DE - Equipe 2",6,IF(Atletas!W420="Duilian de Armas DE - Equipe 1",7,IF(Atletas!W420="Duilian de Armas DE - Equipe 2",8,IF(Atletas!W420="Duilian de Tuishou - Equipe 1",9,IF(Atletas!W420="Duilian de Tuishou - Equipe 2",10,IF(Atletas!W420="Grupo Externo ABC - Equipe 1",11,IF(Atletas!W420="Grupo Externo ABC - Equipe 2",12,IF(Atletas!W420="Grupo Interno ABC - Equipe 1",13,IF(Atletas!W420="Grupo Interno ABC - Equipe 2",14,IF(Atletas!W420="Grupo Externo DEF - Equipe 1",15,IF(Atletas!W420="Grupo Externo DEF - Equipe 2",16,IF(Atletas!W420="Grupo Interno DEF - Equipe 1",17,IF(Atletas!W420="Grupo Interno DEF - Equipe 2",18,"")))))))))))))))))))</f>
        <v/>
      </c>
    </row>
    <row r="430" spans="40:91">
      <c r="AN430" s="52" t="str">
        <f>IF(Atletas!D421="","",IF(Atletas!B421="Feminino",100,IF(Atletas!B421="Masculino",200,""))+(IF(Atletas!D421="Kids 30kg",1,IF(Atletas!D421="Kids 32kg",2, IF(Atletas!D421="Kids 34kg",3,IF(Atletas!D421="Kids 36kg",4,IF(Atletas!D421="Kids 39kg",5,IF(Atletas!D421="Kids 42kg",6,IF(Atletas!D421="Kids 45kg",7, IF(Atletas!D421="Infantil 39kg",8,IF(Atletas!D421="Infantil 42kg",9,IF(Atletas!D421="Infantil 45kg",10,IF(Atletas!D421="Infantil 48kg",11,IF(Atletas!D421="Infantil 52kg",12,IF(Atletas!D421="Infantil 56kg",13,IF(Atletas!D421="Infantil 60kg",14,IF(Atletas!D421="Juvenil 48kg",15,IF(Atletas!D421="Juvenil 52kg",16,IF(Atletas!D421="Juvenil 56kg",17,IF(Atletas!D421="Juvenil 60kg",18,IF(Atletas!D421="Juvenil 65kg",19,IF(Atletas!D421="Juvenil 70kg",20,IF(Atletas!D421="Juvenil 75kg",21,IF(Atletas!D421="Juvenil 80kg",22, IF(Atletas!D421="Juvenil 85kg",23,IF(Atletas!D421="Adulto 48kg",24,IF(Atletas!D421="Adulto 52kg",25,IF(Atletas!D421="Adulto 56kg",26,IF(Atletas!D421="Adulto 60kg",27,IF(Atletas!D421="Adulto 65kg",28,IF(Atletas!D421="Adulto 70kg",29,IF(Atletas!D421="Adulto 75kg",30,IF(Atletas!D421="Adulto 80kg",31,IF(Atletas!D421="Adulto 85kg",32,IF(Atletas!D421="Adulto 90kg",33,IF(Atletas!D421="Adulto 100kg",34, IF(Atletas!D421="Adulto +100kg",35,"")))))))))))))))))))))))))))))))))))))</f>
        <v/>
      </c>
      <c r="AS430" s="6" t="str">
        <f>IF(Atletas!E421="","",IF(Atletas!B421="Feminino",100,IF(Atletas!B421="Masculino",200,""))+(IF(Atletas!E421="Juvenil 44kg",1,IF(Atletas!E421="Juvenil 48kg",2,IF(Atletas!E421="Juvenil 52kg",3,IF(Atletas!E421="Juvenil 56kg",4,IF(Atletas!E421="Juvenil 60kg",5,IF(Atletas!E421="Juvenil 65kg",6,IF(Atletas!E421="Juvenil 70kg",7,IF(Atletas!E421="Juvenil 75kg",8,IF(Atletas!E421="Juvenil 82kg",9,IF(Atletas!E421="Juvenil 90kg",10,IF(Atletas!E421="Juvenil 100kg",11,IF(Atletas!E421="Adulto 48kg",12,IF(Atletas!E421="Adulto 52kg",13,IF(Atletas!E421="Adulto 56kg",14,IF(Atletas!E421="Adulto 60kg",15,IF(Atletas!E421="Adulto 65kg",16,IF(Atletas!E421="Adulto 70kg",17,IF(Atletas!E421="Adulto 75kg",18,IF(Atletas!E421="Adulto 82kg",19,IF(Atletas!E421="Adulto 90kg",20,IF(Atletas!E421="Adulto 100kg",21,IF(Atletas!E421="Adulto +100kg",22,""))))))))))))))))))))))))</f>
        <v/>
      </c>
      <c r="AX430" s="6" t="str">
        <f>IF(Atletas!F421="","",IF(Atletas!B421="Feminino",100,IF(Atletas!B421="Masculino",200,""))+(IF(Atletas!F421="Adulto 48kg",1,IF(Atletas!F421="Adulto 56kg",2,IF(Atletas!F421="Adulto 65kg",3,IF(Atletas!F421="Adulto 75kg",4,IF(Atletas!F421="Adulto +75kg",5,IF(Atletas!F421="Adulto 52kg",6,IF(Atletas!F421="Adulto 60kg",7,IF(Atletas!F421="Adulto 70kg",8,IF(Atletas!F421="Adulto 80kg",9,IF(Atletas!F421="Adulto 90kg",10,IF(Atletas!F421="Adulto +90kg",11,"")))))))))))))</f>
        <v/>
      </c>
      <c r="BC430" s="6" t="str">
        <f>IF(Atletas!G421="","",IF(Atletas!B421="Feminino",10,IF(Atletas!B421="Masculino",20,""))+(IF(Atletas!G421="Baduanjin A",1,IF(Atletas!G421="Baduanjin B",2))))</f>
        <v/>
      </c>
      <c r="BF430" s="52" t="str">
        <f>IF(Atletas!H421="","",IF(Atletas!B421="Feminino",100,IF(Atletas!B421="Masculino",200,""))+(IF(Atletas!H421="Changquan Mirim",1,IF(Atletas!H421="Nanquan Mirim",2,IF(Atletas!H421="Taijiquan Mirim",3,IF(Atletas!H421="Changquan Grupo C",4,IF(Atletas!H421="Nanquan Grupo C",5,IF(Atletas!H421="Taijiquan Grupo C",6,IF(Atletas!H421="Changquan Grupo B",7,IF(Atletas!H421="Nanquan Grupo B",8,IF(Atletas!H421="Taijiquan Grupo B",9,IF(Atletas!H421="Changquan Grupo A",10,IF(Atletas!H421="Nanquan Grupo A",11,IF(Atletas!H421="Taijiquan Grupo A",12,IF(Atletas!H421="Changquan Opcional",13,IF(Atletas!H421="Nanquan Opcional",14,IF(Atletas!H421="Taijiquan Opcional",15,IF(Atletas!H421="Changquan Adulto",16,IF(Atletas!H421="Nanquan Adulto",17,IF(Atletas!H421="Taijiquan Adulto",18,""))))))))))))))))))))</f>
        <v/>
      </c>
      <c r="BG430" s="52" t="str">
        <f>IF(Atletas!I421="","",IF(Atletas!B421="Feminino",100,IF(Atletas!B421="Masculino",200,""))+(IF(Atletas!I421="Daoshu Mirim",19,IF(Atletas!I421="Jianshu Mirim",20,IF(Atletas!I421="Nandao Mirim",21,IF(Atletas!I421="Taijijian Mirim",22,IF(Atletas!I421="Daoshu Grupo C",23,IF(Atletas!I421="Jianshu Grupo C",24,IF(Atletas!I421="Nandao Grupo C",25,IF(Atletas!I421="Taijijian Grupo C",26,IF(Atletas!I421="Daoshu Grupo B",27,IF(Atletas!I421="Jianshu Grupo B",28,IF(Atletas!I421="Nandao Grupo B",29,IF(Atletas!I421="Taijijian Grupo B",30,IF(Atletas!I421="Daoshu Grupo A",31,IF(Atletas!I421="Jianshu Grupo A",32,IF(Atletas!I421="Nandao Grupo A",33,IF(Atletas!I421="Taijijian Grupo A",34,IF(Atletas!I421="Daoshu Opcional",35,IF(Atletas!I421="Jianshu Opcional",36,IF(Atletas!I421="Nandao Opcional",37,IF(Atletas!I421="Taijijian Opcional",38,IF(Atletas!I421="Daoshu Adulto",39,IF(Atletas!I421="Jianshu Adulto",40,IF(Atletas!I421="Nandao Adulto",41,IF(Atletas!I421="Taijijian Adulto",42,""))))))))))))))))))))))))))</f>
        <v/>
      </c>
      <c r="BH430" s="52" t="str">
        <f>IF(Atletas!J421="","",IF(Atletas!B421="Feminino",100,IF(Atletas!B421="Masculino",200,""))+(IF(Atletas!J421="Gunshu Mirim",43,IF(Atletas!J421="Qiangshu Mirim",44,IF(Atletas!J421="Nangun Mirim",45,IF(Atletas!J421="Gunshu Grupo C",46,IF(Atletas!J421="Qiangshu Grupo C",47,IF(Atletas!J421="Nangun Grupo C",48,IF(Atletas!J421="Gunshu Grupo B",49,IF(Atletas!J421="Qiangshu Grupo B",50,IF(Atletas!J421="Nangun Grupo B",51,IF(Atletas!J421="Gunshu Grupo A",52,IF(Atletas!J421="Qiangshu Grupo A",53,IF(Atletas!J421="Nangun Grupo A",54,IF(Atletas!J421="Gunshu Opcional",55,IF(Atletas!J421="Qiangshu Opcional",56,IF(Atletas!J421="Nangun Opcional",57,IF(Atletas!J421="Gunshu Adulto",58,IF(Atletas!J421="Qiangshu Adulto",59,IF(Atletas!J421="Nangun Adulto",60,IF(Atletas!J421="Taijishan Grupo B",61,IF(Atletas!J421="Taijishan Grupo A",62,""))))))))))))))))))))))</f>
        <v/>
      </c>
      <c r="BM430" s="50" t="str">
        <f>IF(Atletas!K421="","",IF(Atletas!B421="Feminino",100,IF(Atletas!B421="Masculino",200,""))+(IF(Atletas!K421="Equipe 1 Grupo B",1,IF(Atletas!K421="Equipe 2 Grupo B",2,IF(Atletas!K421="Equipe 1 Grupo A",3,IF(Atletas!K421="Equipe 2 Grupo A",4,IF(Atletas!K421="Equipe 1 Adulto",5,IF(Atletas!K421="Equipe 2 Adulto",6,""))))))))</f>
        <v/>
      </c>
      <c r="BR430" s="50" t="str">
        <f>IF(Atletas!L421="","",IF(Atletas!X421&lt;&gt;"",10000,0)+(IF(Atletas!B421="Feminino",1000,IF(Atletas!B421="Masculino",2000,""))+IF(Atletas!L421="Choylayfut A",1,IF(Atletas!L421="Hunggar A",2,IF(Atletas!L421="Wuzuquan A",3,IF(Atletas!L421="Wingchun A",4,IF(Atletas!L421="Outra Mão de Sul A",5,IF(Atletas!L421="Choylayfut B",6,IF(Atletas!L421="Hunggar B",7,IF(Atletas!L421="Wuzuquan B",8,IF(Atletas!L421="Wingchun B",9,IF(Atletas!L421="Outra Mão de Sul B",10,IF(Atletas!L421="Choylayfut C",11,IF(Atletas!L421="Hunggar C",12,IF(Atletas!L421="Wuzuquan C",13,IF(Atletas!L421="Wingchun C",14,IF(Atletas!L421="Outra Mão de Sul C",15,IF(Atletas!L421="Choylayfut D",16,IF(Atletas!L421="Hunggar D",17,IF(Atletas!L421="Wuzuquan D",18,IF(Atletas!L421="Wingchun D",19,IF(Atletas!L421="Outra Mão de Sul D",20,IF(Atletas!L421="Choylayfut E",21,IF(Atletas!L421="Hunggar E",22,IF(Atletas!L421="Wuzuquan E",23,IF(Atletas!L421="Wingchun E",24,IF(Atletas!L421="Outra Mão de Sul E",25,IF(Atletas!L421="Choylayfut F",26,IF(Atletas!L421="Hunggar F",27,IF(Atletas!L421="Wuzuquan F",28,IF(Atletas!L421="Wingchun F",29,IF(Atletas!L421="Outra Mão de Sul F",30,IF(Atletas!L421="Dishuquan A",31,IF(Atletas!L421="Dishuquan B",32,IF(Atletas!L421="Dishuquan C",33,IF(Atletas!L421="Dishuquan D",34,IF(Atletas!L421="Dishuquan E",35,IF(Atletas!L421="Dishuquan F",36,""))))))))))))))))))))))))))))))))))))))</f>
        <v/>
      </c>
      <c r="BS430" s="50" t="str">
        <f>IF(Atletas!M421="","",IF(Atletas!X421&lt;&gt;"",10000,0)+(IF(Atletas!B421="Feminino",1000,IF(Atletas!B421="Masculino",2000,""))+(IF(Atletas!M421="Chaquan A",101,IF(Atletas!M421="Emeiquan A",102,IF(Atletas!M421="Fanziquan A",103,IF(Atletas!M421="Huaquan A",104,IF(Atletas!M421="Hongquan A",105,IF(Atletas!M421="Paoquan A",106,IF(Atletas!M421="Piguaquan A",107,IF(Atletas!M421="Shaolinquan A",108,IF(Atletas!M421="Tanglangquan A",109,IF(Atletas!M421="Yingzhaoquan A",110,IF(Atletas!M421="Tongbeiquan A",111,IF(Atletas!M421="Wudangquan A",112,IF(Atletas!M421="Outros Estilos A",113,IF(Atletas!M421="Chaquan B",114,IF(Atletas!M421="Emeiquan B",115,IF(Atletas!M421="Fanziquan B",116,IF(Atletas!M421="Huaquan B",117,IF(Atletas!M421="Hongquan B",118,IF(Atletas!M421="Paoquan B",119,IF(Atletas!M421="Piguaquan B",120,IF(Atletas!M421="Shaolinquan B",121,IF(Atletas!M421="Tanglangquan B",122,IF(Atletas!M421="Yingzhaoquan B",123,IF(Atletas!M421="Tongbeiquan B",124,IF(Atletas!M421="Wudangquan B",125,IF(Atletas!M421="Outros Estilos B",126,IF(Atletas!M421="Chaquan C",127,IF(Atletas!M421="Emeiquan C",128,IF(Atletas!M421="Fanziquan C",129,IF(Atletas!M421="Huaquan C",130,IF(Atletas!M421="Hongquan C",131,IF(Atletas!M421="Paoquan C",132,IF(Atletas!M421="Piguaquan C",133,IF(Atletas!M421="Shaolinquan C",134,IF(Atletas!M421="Tanglangquan C",135,IF(Atletas!M421="Yingzhaoquan C",136,IF(Atletas!M421="Tongbeiquan C",137,IF(Atletas!M421="Wudangquan C",138,IF(Atletas!M421="Outros Estilos C",139,0))))))))))))))))))))))))))))))))))))))))))</f>
        <v/>
      </c>
      <c r="BT430" s="50" t="str">
        <f>IF(Atletas!M421="","",IF(Atletas!X421&lt;&gt;"",10000,0)+(IF(Atletas!B421="Feminino",1000,IF(Atletas!B421="Masculino",2000,""))+(IF(Atletas!M421="Chaquan D",140,IF(Atletas!M421="Emeiquan D",141,IF(Atletas!M421="Fanziquan D",142,IF(Atletas!M421="Huaquan D",143,IF(Atletas!M421="Hongquan D",144,IF(Atletas!M421="Paoquan D",145,IF(Atletas!M421="Piguaquan D",146,IF(Atletas!M421="Shaolinquan D",147,IF(Atletas!M421="Tanglangquan D",148,IF(Atletas!M421="Yingzhaoquan D",149,IF(Atletas!M421="Tongbeiquan D",150,IF(Atletas!M421="Wudangquan D",151,IF(Atletas!M421="Outros Estilos D",152,IF(Atletas!M421="Chaquan E",153,IF(Atletas!M421="Emeiquan E",154,IF(Atletas!M421="Fanziquan E",155,IF(Atletas!M421="Huaquan E",156,IF(Atletas!M421="Hongquan E",157,IF(Atletas!M421="Paoquan E",158,IF(Atletas!M421="Piguaquan E",159,IF(Atletas!M421="Shaolinquan E",160,IF(Atletas!M421="Tanglangquan E",161,IF(Atletas!M421="Yingzhaoquan E",162,IF(Atletas!M421="Tongbeiquan E",163,IF(Atletas!M421="Wudangquan E",164,IF(Atletas!M421="Outros Estilos E",165,IF(Atletas!M421="Chaquan F",166,IF(Atletas!M421="Emeiquan F",167,IF(Atletas!M421="Fanziquan F",168,IF(Atletas!M421="Huaquan F",169,IF(Atletas!M421="Hongquan F",170,IF(Atletas!M421="Paoquan F",171,IF(Atletas!M421="Piguaquan F",172,IF(Atletas!M421="Shaolinquan F",173,IF(Atletas!M421="Tanglangquan F",174,IF(Atletas!M421="Yingzhaoquan F",175,IF(Atletas!M421="Tongbeiquan F",176,IF(Atletas!M421="Wudangquan F",177,IF(Atletas!M421="Outros Estilos F",178,0))))))))))))))))))))))))))))))))))))))))))</f>
        <v/>
      </c>
      <c r="BU430" s="50" t="str">
        <f>IF(Atletas!N421="","",IF(Atletas!X421&lt;&gt;"",10000,0)+(IF(Atletas!B421="Feminino",1000,IF(Atletas!B421="Masculino",2000,""))+(IF(Atletas!N421="Ditangquan A",201,IF(Atletas!N421="Houquan A",202,IF(Atletas!N421="Zuiquan A",203,IF(Atletas!N421="Ditangquan B",204,IF(Atletas!N421="Houquan B",205,IF(Atletas!N421="Zuiquan B",206,IF(Atletas!N421="Ditangquan C",207,IF(Atletas!N421="Houquan C",208,IF(Atletas!N421="Zuiquan C",209,IF(Atletas!N421="Ditangquan D",210,IF(Atletas!N421="Houquan D",211,IF(Atletas!N421="Zuiquan D",212,IF(Atletas!N421="Ditangquan E",213,IF(Atletas!N421="Houquan E",214,IF(Atletas!N421="Zuiquan E",215,IF(Atletas!N421="Ditangquan F",216,IF(Atletas!N421="Houquan F",217,IF(Atletas!N421="Zuiquan F",218,"")))))))))))))))))))))</f>
        <v/>
      </c>
      <c r="BV430" s="50" t="str">
        <f>IF(Atletas!O421="","",IF(Atletas!X421&lt;&gt;"",10000,0)+IF(Atletas!B421="Feminino",1000,IF(Atletas!B421="Masculino",2000,""))+IF(Atletas!O421="Yang A",301,IF(Atletas!O421="Chen A",302,IF(Atletas!O421="Sun A",303,IF(Atletas!O421="Wu A",304,IF(Atletas!O421="Wu-Hao A",305,IF(Atletas!O421="Outro Taijiquan A",306,IF(Atletas!O421="Yang B",307,IF(Atletas!O421="Chen B",308,IF(Atletas!O421="Sun B",309,IF(Atletas!O421="Wu B",310,IF(Atletas!O421="Wu-Hao B",311,IF(Atletas!O421="Outro Taijiquan B",312,IF(Atletas!O421="Yang C",313,IF(Atletas!O421="Chen C",314,IF(Atletas!O421="Sun C",315,IF(Atletas!O421="Wu C",316,IF(Atletas!O421="Wu-Hao C",317,IF(Atletas!O421="Outro Taijiquan C",318,IF(Atletas!O421="Yang D",319,IF(Atletas!O421="Chen D",320,IF(Atletas!O421="Sun D",321,IF(Atletas!O421="Wu D",322,IF(Atletas!O421="Wu-Hao D",323,IF(Atletas!O421="Outro Taijiquan D",324,IF(Atletas!O421="Yang E",325,IF(Atletas!O421="Chen E",326,IF(Atletas!O421="Sun E",327,IF(Atletas!O421="Wu E",328,IF(Atletas!O421="Wu-Hao E",329,IF(Atletas!O421="Outro Taijiquan E",330,IF(Atletas!O421="Yang F",331,IF(Atletas!O421="Chen F",332,IF(Atletas!O421="Sun F",333,IF(Atletas!O421="Wu F",334,IF(Atletas!O421="Wu-Hao F",335,IF(Atletas!O421="Outro Taijiquan F",336,"")))))))))))))))))))))))))))))))))))))</f>
        <v/>
      </c>
      <c r="BW430" s="50" t="str">
        <f>IF(Atletas!P421="","",IF(Atletas!X421&lt;&gt;"",10000,0)+IF(Atletas!B421="Feminino",1000,IF(Atletas!B421="Masculino",2000,""))+IF(OR(Atletas!P421="Yang 26 A",Atletas!P421="Yang 40 A"),401,IF(OR(Atletas!P421="Chen 25 A",Atletas!P421="Chen 36 A",Atletas!P421="Chen 56 A"),402,IF(Atletas!P421="Sun 73 A",403,IF(Atletas!P421="Wu 45 A",404,IF(Atletas!P421="Wu-Hao 46 A",405,IF(OR(Atletas!P421="Taijiquan 16 A",Atletas!P421="Taijiquan 24 A",Atletas!P421="Taijiquan 32 A",Atletas!P421="Taijiquan 42 A"),406,IF(OR(Atletas!P421="Yang 26 B",Atletas!P421="Yang 40 B"),407,IF(OR(Atletas!P421="Chen 25 B",Atletas!P421="Chen 36 B",Atletas!P421="Chen 56 B"),408,IF(Atletas!P421="Sun 73 B",409,IF(Atletas!P421="Wu 45 B",410,IF(Atletas!P421="Wu-Hao 46 B",411,IF(OR(Atletas!P421="Taijiquan 16 B",Atletas!P421="Taijiquan 24 B",Atletas!P421="Taijiquan 32 B",Atletas!P421="Taijiquan 42 B"),412,IF(OR(Atletas!P421="Yang 26 C",Atletas!P421="Yang 40 C"),413,IF(OR(Atletas!P421="Chen 25 C",Atletas!P421="Chen 36 C",Atletas!P421="Chen 56 C"),414,IF(Atletas!P421="Sun 73 C",415,IF(Atletas!P421="Wu 45 C",416,IF(Atletas!P421="Wu-Hao 46 C",417,IF(OR(Atletas!P421="Taijiquan 16 C",Atletas!P421="Taijiquan 24 C",Atletas!P421="Taijiquan 32 C",Atletas!P421="Taijiquan 42 C"),418,0)))))))))))))))))))</f>
        <v/>
      </c>
      <c r="BX430" s="50" t="str">
        <f>IF(Atletas!P421="","",IF(Atletas!X421&lt;&gt;"",10000,0)+IF(Atletas!B421="Feminino",1000,IF(Atletas!B421="Masculino",2000,""))+IF(OR(Atletas!P421="Yang 26 D",Atletas!P421="Yang 40 D"),419,IF(OR(Atletas!P421="Chen 25 D",Atletas!P421="Chen 36 D",Atletas!P421="Chen 56 D"),420,IF(Atletas!P421="Sun 73 D",421,IF(Atletas!P421="Wu 45 D",422,IF(Atletas!P421="Wu-Hao 46 D",423,IF(OR(Atletas!P421="Taijiquan 16 D",Atletas!P421="Taijiquan 24 D",Atletas!P421="Taijiquan 32 D",Atletas!P421="Taijiquan 42 D"),424,IF(OR(Atletas!P421="Yang 26 E",Atletas!P421="Yang 40 E"),425,IF(OR(Atletas!P421="Chen 25 E",Atletas!P421="Chen 36 E",Atletas!P421="Chen 56 E"),426,IF(Atletas!P421="Sun 73 E",427,IF(Atletas!P421="Wu 45 E",428,IF(Atletas!P421="Wu-Hao 46 E",429,IF(OR(Atletas!P421="Taijiquan 16 E",Atletas!P421="Taijiquan 24 E",Atletas!P421="Taijiquan 32 E",Atletas!P421="Taijiquan 42 E"),430,IF(OR(Atletas!P421="Yang 26 F",Atletas!P421="Yang 40 F"),431,IF(OR(Atletas!P421="Chen 25 F",Atletas!P421="Chen 36 F",Atletas!P421="Chen 56 F"),432,IF(Atletas!P421="Sun 73 F",433,IF(Atletas!P421="Wu 45 F",434,IF(Atletas!P421="Wu-Hao 46 F",435,IF(OR(Atletas!P421="Taijiquan 16 F",Atletas!P421="Taijiquan 24 F",Atletas!P421="Taijiquan 32 F",Atletas!P421="Taijiquan 42 F"),436,0)))))))))))))))))))</f>
        <v/>
      </c>
      <c r="BY430" s="50" t="str">
        <f>IF(Atletas!Q421="","",IF(Atletas!X421&lt;&gt;"",10000,0)+IF(Atletas!B421="Feminino",1000,IF(Atletas!B421="Masculino",2000,""))+IF(Atletas!Q421="Xingyiquan A",501,IF(Atletas!Q421="Baguazhang A",502,IF(Atletas!Q421="Outro Estilo Interno A",503,IF(Atletas!Q421="Xingyiquan B",504,IF(Atletas!Q421="Baguazhang B",505,IF(Atletas!Q421="Outro Estilo Interno B",506,IF(Atletas!Q421="Xingyiquan C",507,IF(Atletas!Q421="Baguazhang C",508,IF(Atletas!Q421="Outro Estilo Interno C",509,IF(Atletas!Q421="Xingyiquan D",510,IF(Atletas!Q421="Baguazhang D",511,IF(Atletas!Q421="Outro Estilo Interno D",512,IF(Atletas!Q421="Xingyiquan E",513,IF(Atletas!Q421="Baguazhang E",514,IF(Atletas!Q421="Outro Estilo Interno E",515,IF(Atletas!Q421="Xingyiquan F",516,IF(Atletas!Q421="Baguazhang F",517,IF(Atletas!Q421="Outro Estilo Interno F",518, "")))))))))))))))))))</f>
        <v/>
      </c>
      <c r="BZ430" s="50" t="str">
        <f>IF(Atletas!R421="","",IF(Atletas!X421&lt;&gt;"",10000,0)+IF(Atletas!B421="Feminino",1000,IF(Atletas!B421="Masculino",2000,""))+IF(Atletas!R421="Dao A",601,IF(Atletas!R421="Jian A",602,IF(Atletas!R421="Bishou A",603,IF(Atletas!R421="Shanzi A",604,IF(Atletas!R421="Outra Arma Curta A",605,IF(Atletas!R421="Dao B",606,IF(Atletas!R421="Jian B",607,IF(Atletas!R421="Bishou B",608,IF(Atletas!R421="Shanzi B",609,IF(Atletas!R421="Outra Arma Curta B",610,IF(Atletas!R421="Dao C",611,IF(Atletas!R421="Jian C",612,IF(Atletas!R421="Bishou C",613,IF(Atletas!R421="Shanzi C",614,IF(Atletas!R421="Outra Arma Curta C",615,IF(Atletas!R421="Dao D",616,IF(Atletas!R421="Jian D",617,IF(Atletas!R421="Bishou D",618,IF(Atletas!R421="Shanzi D",619,IF(Atletas!R421="Outra Arma Curta D",620,IF(Atletas!R421="Dao E",621,IF(Atletas!R421="Jian E",622,IF(Atletas!R421="Bishou E",623,IF(Atletas!R421="Shanzi E",624,IF(Atletas!R421="Outra Arma Curta E",625,IF(Atletas!R421="Dao F",626,IF(Atletas!R421="Jian F",627,IF(Atletas!R421="Bishou F",628,IF(Atletas!R421="Shanzi F",629,IF(Atletas!R421="Outra Arma Curta F",630, "")))))))))))))))))))))))))))))))</f>
        <v/>
      </c>
      <c r="CA430" s="50" t="str">
        <f>IF(Atletas!S421="","",IF(Atletas!X421&lt;&gt;"",10000,0)+IF(Atletas!B421="Feminino",1000,IF(Atletas!B421="Masculino",2000,""))+IF(Atletas!S421="Gun A",701,IF(Atletas!S421="Qiang A",702,IF(Atletas!S421="Pudao / Guandao A",703,IF(Atletas!S421="Outra Arma Longa A",704,IF(Atletas!S421="Gun B",705,IF(Atletas!S421="Qiang B",706,IF(Atletas!S421="Pudao / Guandao B",707,IF(Atletas!S421="Outra Arma Longa B",708,IF(Atletas!S421="Gun C",709,IF(Atletas!S421="Qiang C",710,IF(Atletas!S421="Pudao / Guandao C",711,IF(Atletas!S421="Outra Arma Longa C",712,IF(Atletas!S421="Gun D",713,IF(Atletas!S421="Qiang D",714,IF(Atletas!S421="Pudao / Guandao D",715,IF(Atletas!S421="Outra Arma Longa D",716,IF(Atletas!S421="Gun E",717,IF(Atletas!S421="Qiang E",718,IF(Atletas!S421="Pudao / Guandao E",719,IF(Atletas!S421="Outra Arma Longa E",720,IF(Atletas!S421="Gun F",721,IF(Atletas!S421="Qiang F",722,IF(Atletas!S421="Pudao / Guandao F",723,IF(Atletas!S421="Outra Arma Longa F",724,"")))))))))))))))))))))))))</f>
        <v/>
      </c>
      <c r="CB430" s="50" t="str">
        <f>IF(Atletas!T421="","",IF(Atletas!X421&lt;&gt;"",10000,0)+IF(Atletas!B421="Feminino",1000,IF(Atletas!B421="Masculino",2000,""))+IF(Atletas!T421="Outra Arma Dupla A",801,IF(Atletas!T421="Arma Maleável A",802,IF(Atletas!T421="Outra Arma Dupla B",803,IF(Atletas!T421="Arma Maleável B",804,IF(Atletas!T421="Outra Arma Dupla C",805,IF(Atletas!T421="Arma Maleável C",806,IF(Atletas!T421="Outra Arma Dupla D",807,IF(Atletas!T421="Arma Maleável D",808,IF(Atletas!T421="Outra Arma Dupla E",809,IF(Atletas!T421="Arma Maleável E",810,IF(Atletas!T421="Outra Arma Dupla F",811,IF(Atletas!T421="Arma Maleável F",812,IF(Atletas!T421="Shuangdao A",813,IF(Atletas!T421="Shuangdao B",814,IF(Atletas!T421="Shuangdao C",815,IF(Atletas!T421="Shuangdao D",816,IF(Atletas!T421="Shuangdao E",817,IF(Atletas!T421="Shuangdao F",818,"")))))))))))))))))))</f>
        <v/>
      </c>
      <c r="CC430" s="50" t="str">
        <f>IF(Atletas!U421="","",IF(Atletas!X421&lt;&gt;"",10000,0)+IF(Atletas!B421="Feminino",1000,IF(Atletas!B421="Masculino",2000,""))+IF(OR(Atletas!U421="Taijijian Yang A",Atletas!U421="Taijijian Yang Standard A"),901,IF(OR(Atletas!U421="Taijijian Chen A", Atletas!U421="Taijijian Chen Standard A"),902,IF(Atletas!U421="Taijijian Sun A",903,IF(Atletas!U421="Taijijian Wu A",904,IF(Atletas!U421="Taijijian Wu-Hao A",905,IF(OR(Atletas!U421="Taijijian 32 A",Atletas!U421="Taijijian 42 A"),906,IF(OR(Atletas!U421="Taijijian Yang B",Atletas!U421="Taijijian Yang Standard B"),907,IF(OR(Atletas!U421="Taijijian Chen B", Atletas!U421="Taijijian Chen Standard B"),908,IF(Atletas!U421="Taijijian Sun B",909,IF(Atletas!U421="Taijijian Wu B",910,IF(Atletas!U421="Taijijian Wu-Hao B",911,IF(OR(Atletas!U421="Taijijian 32 B",Atletas!U421="Taijijian 42 B"),912,IF(OR(Atletas!U421="Taijijian Yang C",Atletas!U421="Taijijian Yang Standard C"),913,IF(OR(Atletas!U421="Taijijian Chen C", Atletas!U421="Taijijian Chen Standard C"),914,IF(Atletas!U421="Taijijian Sun C",915,IF(Atletas!U421="Taijijian Wu C",916,IF(Atletas!U421="Taijijian Wu-Hao C",917,IF(OR(Atletas!U421="Taijijian 32 C",Atletas!U421="Taijijian 42 C"),918,IF(OR(Atletas!U421="Taijijian Yang D",Atletas!U421="Taijijian Yang Standard D"),919,IF(OR(Atletas!U421="Taijijian Chen D", Atletas!U421="Taijijian Chen Standard D"),920,IF(Atletas!U421="Taijijian Sun D",921,IF(Atletas!U421="Taijijian Wu D",922,IF(Atletas!U421="Taijijian Wu-Hao D",923,IF(OR(Atletas!U421="Taijijian 32 D",Atletas!U421="Taijijian 42 D"),924,IF(OR(Atletas!U421="Taijijian Yang E",Atletas!U421="Taijijian Yang Standard E"),925,IF(OR(Atletas!U421="Taijijian Chen E", Atletas!U421="Taijijian Chen Standard E"),926,IF(Atletas!U421="Taijijian Sun E",927,IF(Atletas!U421="Taijijian Wu E",928,IF(Atletas!U421="Taijijian Wu-Hao E",929,IF(OR(Atletas!U421="Taijijian 32 E",Atletas!U421="Taijijian 42 E"),930,IF(OR(Atletas!U421="Taijijian Yang F",Atletas!U421="Taijijian Yang Standard F"),931,IF(OR(Atletas!U421="Taijijian Chen F", Atletas!U421="Taijijian Chen Standard F"),932,IF(Atletas!U421="Taijijian Sun F",933,IF(Atletas!U421="Taijijian Wu F",934,IF(Atletas!U421="Taijijian Wu-Hao F",935,IF(OR(Atletas!U421="Taijijian 32 F",Atletas!U421="Taijijian 42 F"),936,"")))))))))))))))))))))))))))))))))))))</f>
        <v/>
      </c>
      <c r="CD430" s="50" t="str">
        <f>IF(Atletas!V421="","",IF(Atletas!X421&lt;&gt;"",10000,0)+IF(Atletas!B421="Feminino",1000,IF(Atletas!B421="Masculino",2000,""))+IF(Atletas!V421="Taijidao A",937,IF(Atletas!V421="TaijiShanzi A",938,IF(Atletas!V421="Taijiqiang A",939,IF(Atletas!V421="Bagua de Arma A",940,IF(Atletas!V421="Xingyi de Arma A",941,IF(Atletas!V421="Taijidao B",942,IF(Atletas!V421="TaijiShanzi B",943,IF(Atletas!V421="Taijiqiang B",944,IF(Atletas!V421="Bagua de Arma B",945,IF(Atletas!V421="Xingyi de Arma B",946,IF(Atletas!V421="Taijidao C",947,IF(Atletas!V421="TaijiShanzi C",948,IF(Atletas!V421="Taijiqiang C",949,IF(Atletas!V421="Bagua de Arma C",950,IF(Atletas!V421="Xingyi de Arma C",951,IF(Atletas!V421="Taijidao D",952,IF(Atletas!V421="TaijiShanzi D",953,IF(Atletas!V421="Taijiqiang D",954,IF(Atletas!V421="Bagua de Arma D",955,IF(Atletas!V421="Xingyi de Arma D",956,IF(Atletas!V421="Taijidao E",957,IF(Atletas!V421="TaijiShanzi E",958,IF(Atletas!V421="Taijiqiang E",959,IF(Atletas!V421="Bagua de Arma E",960,IF(Atletas!V421="Xingyi de Arma E",961,IF(Atletas!V421="Taijidao F",962,IF(Atletas!V421="TaijiShanzi F",963,IF(Atletas!V421="Taijiqiang F",964,IF(Atletas!V421="Bagua de Arma F",965,IF(Atletas!V421="Xingyi de Arma F",966,"")))))))))))))))))))))))))))))))</f>
        <v/>
      </c>
      <c r="CM430" s="50" t="str">
        <f xml:space="preserve"> IF(Atletas!W421="","",IF(Atletas!W421="Duilian de Mãos BC - Equipe 1",1,IF(Atletas!W421="Duilian de Mãos BC - Equipe 2",2,IF(Atletas!W421="Duilian de Armas BC - Equipe 1",3,IF(Atletas!W421="Duilian de Armas BC - Equipe 2",4,IF(Atletas!W421="Duilian de Mãos DE - Equipe 1",5,IF(Atletas!W421="Duilian de Mãos DE - Equipe 2",6,IF(Atletas!W421="Duilian de Armas DE - Equipe 1",7,IF(Atletas!W421="Duilian de Armas DE - Equipe 2",8,IF(Atletas!W421="Duilian de Tuishou - Equipe 1",9,IF(Atletas!W421="Duilian de Tuishou - Equipe 2",10,IF(Atletas!W421="Grupo Externo ABC - Equipe 1",11,IF(Atletas!W421="Grupo Externo ABC - Equipe 2",12,IF(Atletas!W421="Grupo Interno ABC - Equipe 1",13,IF(Atletas!W421="Grupo Interno ABC - Equipe 2",14,IF(Atletas!W421="Grupo Externo DEF - Equipe 1",15,IF(Atletas!W421="Grupo Externo DEF - Equipe 2",16,IF(Atletas!W421="Grupo Interno DEF - Equipe 1",17,IF(Atletas!W421="Grupo Interno DEF - Equipe 2",18,"")))))))))))))))))))</f>
        <v/>
      </c>
    </row>
    <row r="431" spans="40:91">
      <c r="AN431" s="52" t="str">
        <f>IF(Atletas!D422="","",IF(Atletas!B422="Feminino",100,IF(Atletas!B422="Masculino",200,""))+(IF(Atletas!D422="Kids 30kg",1,IF(Atletas!D422="Kids 32kg",2, IF(Atletas!D422="Kids 34kg",3,IF(Atletas!D422="Kids 36kg",4,IF(Atletas!D422="Kids 39kg",5,IF(Atletas!D422="Kids 42kg",6,IF(Atletas!D422="Kids 45kg",7, IF(Atletas!D422="Infantil 39kg",8,IF(Atletas!D422="Infantil 42kg",9,IF(Atletas!D422="Infantil 45kg",10,IF(Atletas!D422="Infantil 48kg",11,IF(Atletas!D422="Infantil 52kg",12,IF(Atletas!D422="Infantil 56kg",13,IF(Atletas!D422="Infantil 60kg",14,IF(Atletas!D422="Juvenil 48kg",15,IF(Atletas!D422="Juvenil 52kg",16,IF(Atletas!D422="Juvenil 56kg",17,IF(Atletas!D422="Juvenil 60kg",18,IF(Atletas!D422="Juvenil 65kg",19,IF(Atletas!D422="Juvenil 70kg",20,IF(Atletas!D422="Juvenil 75kg",21,IF(Atletas!D422="Juvenil 80kg",22, IF(Atletas!D422="Juvenil 85kg",23,IF(Atletas!D422="Adulto 48kg",24,IF(Atletas!D422="Adulto 52kg",25,IF(Atletas!D422="Adulto 56kg",26,IF(Atletas!D422="Adulto 60kg",27,IF(Atletas!D422="Adulto 65kg",28,IF(Atletas!D422="Adulto 70kg",29,IF(Atletas!D422="Adulto 75kg",30,IF(Atletas!D422="Adulto 80kg",31,IF(Atletas!D422="Adulto 85kg",32,IF(Atletas!D422="Adulto 90kg",33,IF(Atletas!D422="Adulto 100kg",34, IF(Atletas!D422="Adulto +100kg",35,"")))))))))))))))))))))))))))))))))))))</f>
        <v/>
      </c>
      <c r="AS431" s="6" t="str">
        <f>IF(Atletas!E422="","",IF(Atletas!B422="Feminino",100,IF(Atletas!B422="Masculino",200,""))+(IF(Atletas!E422="Juvenil 44kg",1,IF(Atletas!E422="Juvenil 48kg",2,IF(Atletas!E422="Juvenil 52kg",3,IF(Atletas!E422="Juvenil 56kg",4,IF(Atletas!E422="Juvenil 60kg",5,IF(Atletas!E422="Juvenil 65kg",6,IF(Atletas!E422="Juvenil 70kg",7,IF(Atletas!E422="Juvenil 75kg",8,IF(Atletas!E422="Juvenil 82kg",9,IF(Atletas!E422="Juvenil 90kg",10,IF(Atletas!E422="Juvenil 100kg",11,IF(Atletas!E422="Adulto 48kg",12,IF(Atletas!E422="Adulto 52kg",13,IF(Atletas!E422="Adulto 56kg",14,IF(Atletas!E422="Adulto 60kg",15,IF(Atletas!E422="Adulto 65kg",16,IF(Atletas!E422="Adulto 70kg",17,IF(Atletas!E422="Adulto 75kg",18,IF(Atletas!E422="Adulto 82kg",19,IF(Atletas!E422="Adulto 90kg",20,IF(Atletas!E422="Adulto 100kg",21,IF(Atletas!E422="Adulto +100kg",22,""))))))))))))))))))))))))</f>
        <v/>
      </c>
      <c r="AX431" s="6" t="str">
        <f>IF(Atletas!F422="","",IF(Atletas!B422="Feminino",100,IF(Atletas!B422="Masculino",200,""))+(IF(Atletas!F422="Adulto 48kg",1,IF(Atletas!F422="Adulto 56kg",2,IF(Atletas!F422="Adulto 65kg",3,IF(Atletas!F422="Adulto 75kg",4,IF(Atletas!F422="Adulto +75kg",5,IF(Atletas!F422="Adulto 52kg",6,IF(Atletas!F422="Adulto 60kg",7,IF(Atletas!F422="Adulto 70kg",8,IF(Atletas!F422="Adulto 80kg",9,IF(Atletas!F422="Adulto 90kg",10,IF(Atletas!F422="Adulto +90kg",11,"")))))))))))))</f>
        <v/>
      </c>
      <c r="BC431" s="6" t="str">
        <f>IF(Atletas!G422="","",IF(Atletas!B422="Feminino",10,IF(Atletas!B422="Masculino",20,""))+(IF(Atletas!G422="Baduanjin A",1,IF(Atletas!G422="Baduanjin B",2))))</f>
        <v/>
      </c>
      <c r="BF431" s="52" t="str">
        <f>IF(Atletas!H422="","",IF(Atletas!B422="Feminino",100,IF(Atletas!B422="Masculino",200,""))+(IF(Atletas!H422="Changquan Mirim",1,IF(Atletas!H422="Nanquan Mirim",2,IF(Atletas!H422="Taijiquan Mirim",3,IF(Atletas!H422="Changquan Grupo C",4,IF(Atletas!H422="Nanquan Grupo C",5,IF(Atletas!H422="Taijiquan Grupo C",6,IF(Atletas!H422="Changquan Grupo B",7,IF(Atletas!H422="Nanquan Grupo B",8,IF(Atletas!H422="Taijiquan Grupo B",9,IF(Atletas!H422="Changquan Grupo A",10,IF(Atletas!H422="Nanquan Grupo A",11,IF(Atletas!H422="Taijiquan Grupo A",12,IF(Atletas!H422="Changquan Opcional",13,IF(Atletas!H422="Nanquan Opcional",14,IF(Atletas!H422="Taijiquan Opcional",15,IF(Atletas!H422="Changquan Adulto",16,IF(Atletas!H422="Nanquan Adulto",17,IF(Atletas!H422="Taijiquan Adulto",18,""))))))))))))))))))))</f>
        <v/>
      </c>
      <c r="BG431" s="52" t="str">
        <f>IF(Atletas!I422="","",IF(Atletas!B422="Feminino",100,IF(Atletas!B422="Masculino",200,""))+(IF(Atletas!I422="Daoshu Mirim",19,IF(Atletas!I422="Jianshu Mirim",20,IF(Atletas!I422="Nandao Mirim",21,IF(Atletas!I422="Taijijian Mirim",22,IF(Atletas!I422="Daoshu Grupo C",23,IF(Atletas!I422="Jianshu Grupo C",24,IF(Atletas!I422="Nandao Grupo C",25,IF(Atletas!I422="Taijijian Grupo C",26,IF(Atletas!I422="Daoshu Grupo B",27,IF(Atletas!I422="Jianshu Grupo B",28,IF(Atletas!I422="Nandao Grupo B",29,IF(Atletas!I422="Taijijian Grupo B",30,IF(Atletas!I422="Daoshu Grupo A",31,IF(Atletas!I422="Jianshu Grupo A",32,IF(Atletas!I422="Nandao Grupo A",33,IF(Atletas!I422="Taijijian Grupo A",34,IF(Atletas!I422="Daoshu Opcional",35,IF(Atletas!I422="Jianshu Opcional",36,IF(Atletas!I422="Nandao Opcional",37,IF(Atletas!I422="Taijijian Opcional",38,IF(Atletas!I422="Daoshu Adulto",39,IF(Atletas!I422="Jianshu Adulto",40,IF(Atletas!I422="Nandao Adulto",41,IF(Atletas!I422="Taijijian Adulto",42,""))))))))))))))))))))))))))</f>
        <v/>
      </c>
      <c r="BH431" s="52" t="str">
        <f>IF(Atletas!J422="","",IF(Atletas!B422="Feminino",100,IF(Atletas!B422="Masculino",200,""))+(IF(Atletas!J422="Gunshu Mirim",43,IF(Atletas!J422="Qiangshu Mirim",44,IF(Atletas!J422="Nangun Mirim",45,IF(Atletas!J422="Gunshu Grupo C",46,IF(Atletas!J422="Qiangshu Grupo C",47,IF(Atletas!J422="Nangun Grupo C",48,IF(Atletas!J422="Gunshu Grupo B",49,IF(Atletas!J422="Qiangshu Grupo B",50,IF(Atletas!J422="Nangun Grupo B",51,IF(Atletas!J422="Gunshu Grupo A",52,IF(Atletas!J422="Qiangshu Grupo A",53,IF(Atletas!J422="Nangun Grupo A",54,IF(Atletas!J422="Gunshu Opcional",55,IF(Atletas!J422="Qiangshu Opcional",56,IF(Atletas!J422="Nangun Opcional",57,IF(Atletas!J422="Gunshu Adulto",58,IF(Atletas!J422="Qiangshu Adulto",59,IF(Atletas!J422="Nangun Adulto",60,IF(Atletas!J422="Taijishan Grupo B",61,IF(Atletas!J422="Taijishan Grupo A",62,""))))))))))))))))))))))</f>
        <v/>
      </c>
      <c r="BM431" s="50" t="str">
        <f>IF(Atletas!K422="","",IF(Atletas!B422="Feminino",100,IF(Atletas!B422="Masculino",200,""))+(IF(Atletas!K422="Equipe 1 Grupo B",1,IF(Atletas!K422="Equipe 2 Grupo B",2,IF(Atletas!K422="Equipe 1 Grupo A",3,IF(Atletas!K422="Equipe 2 Grupo A",4,IF(Atletas!K422="Equipe 1 Adulto",5,IF(Atletas!K422="Equipe 2 Adulto",6,""))))))))</f>
        <v/>
      </c>
      <c r="BR431" s="50" t="str">
        <f>IF(Atletas!L422="","",IF(Atletas!X422&lt;&gt;"",10000,0)+(IF(Atletas!B422="Feminino",1000,IF(Atletas!B422="Masculino",2000,""))+IF(Atletas!L422="Choylayfut A",1,IF(Atletas!L422="Hunggar A",2,IF(Atletas!L422="Wuzuquan A",3,IF(Atletas!L422="Wingchun A",4,IF(Atletas!L422="Outra Mão de Sul A",5,IF(Atletas!L422="Choylayfut B",6,IF(Atletas!L422="Hunggar B",7,IF(Atletas!L422="Wuzuquan B",8,IF(Atletas!L422="Wingchun B",9,IF(Atletas!L422="Outra Mão de Sul B",10,IF(Atletas!L422="Choylayfut C",11,IF(Atletas!L422="Hunggar C",12,IF(Atletas!L422="Wuzuquan C",13,IF(Atletas!L422="Wingchun C",14,IF(Atletas!L422="Outra Mão de Sul C",15,IF(Atletas!L422="Choylayfut D",16,IF(Atletas!L422="Hunggar D",17,IF(Atletas!L422="Wuzuquan D",18,IF(Atletas!L422="Wingchun D",19,IF(Atletas!L422="Outra Mão de Sul D",20,IF(Atletas!L422="Choylayfut E",21,IF(Atletas!L422="Hunggar E",22,IF(Atletas!L422="Wuzuquan E",23,IF(Atletas!L422="Wingchun E",24,IF(Atletas!L422="Outra Mão de Sul E",25,IF(Atletas!L422="Choylayfut F",26,IF(Atletas!L422="Hunggar F",27,IF(Atletas!L422="Wuzuquan F",28,IF(Atletas!L422="Wingchun F",29,IF(Atletas!L422="Outra Mão de Sul F",30,IF(Atletas!L422="Dishuquan A",31,IF(Atletas!L422="Dishuquan B",32,IF(Atletas!L422="Dishuquan C",33,IF(Atletas!L422="Dishuquan D",34,IF(Atletas!L422="Dishuquan E",35,IF(Atletas!L422="Dishuquan F",36,""))))))))))))))))))))))))))))))))))))))</f>
        <v/>
      </c>
      <c r="BS431" s="50" t="str">
        <f>IF(Atletas!M422="","",IF(Atletas!X422&lt;&gt;"",10000,0)+(IF(Atletas!B422="Feminino",1000,IF(Atletas!B422="Masculino",2000,""))+(IF(Atletas!M422="Chaquan A",101,IF(Atletas!M422="Emeiquan A",102,IF(Atletas!M422="Fanziquan A",103,IF(Atletas!M422="Huaquan A",104,IF(Atletas!M422="Hongquan A",105,IF(Atletas!M422="Paoquan A",106,IF(Atletas!M422="Piguaquan A",107,IF(Atletas!M422="Shaolinquan A",108,IF(Atletas!M422="Tanglangquan A",109,IF(Atletas!M422="Yingzhaoquan A",110,IF(Atletas!M422="Tongbeiquan A",111,IF(Atletas!M422="Wudangquan A",112,IF(Atletas!M422="Outros Estilos A",113,IF(Atletas!M422="Chaquan B",114,IF(Atletas!M422="Emeiquan B",115,IF(Atletas!M422="Fanziquan B",116,IF(Atletas!M422="Huaquan B",117,IF(Atletas!M422="Hongquan B",118,IF(Atletas!M422="Paoquan B",119,IF(Atletas!M422="Piguaquan B",120,IF(Atletas!M422="Shaolinquan B",121,IF(Atletas!M422="Tanglangquan B",122,IF(Atletas!M422="Yingzhaoquan B",123,IF(Atletas!M422="Tongbeiquan B",124,IF(Atletas!M422="Wudangquan B",125,IF(Atletas!M422="Outros Estilos B",126,IF(Atletas!M422="Chaquan C",127,IF(Atletas!M422="Emeiquan C",128,IF(Atletas!M422="Fanziquan C",129,IF(Atletas!M422="Huaquan C",130,IF(Atletas!M422="Hongquan C",131,IF(Atletas!M422="Paoquan C",132,IF(Atletas!M422="Piguaquan C",133,IF(Atletas!M422="Shaolinquan C",134,IF(Atletas!M422="Tanglangquan C",135,IF(Atletas!M422="Yingzhaoquan C",136,IF(Atletas!M422="Tongbeiquan C",137,IF(Atletas!M422="Wudangquan C",138,IF(Atletas!M422="Outros Estilos C",139,0))))))))))))))))))))))))))))))))))))))))))</f>
        <v/>
      </c>
      <c r="BT431" s="50" t="str">
        <f>IF(Atletas!M422="","",IF(Atletas!X422&lt;&gt;"",10000,0)+(IF(Atletas!B422="Feminino",1000,IF(Atletas!B422="Masculino",2000,""))+(IF(Atletas!M422="Chaquan D",140,IF(Atletas!M422="Emeiquan D",141,IF(Atletas!M422="Fanziquan D",142,IF(Atletas!M422="Huaquan D",143,IF(Atletas!M422="Hongquan D",144,IF(Atletas!M422="Paoquan D",145,IF(Atletas!M422="Piguaquan D",146,IF(Atletas!M422="Shaolinquan D",147,IF(Atletas!M422="Tanglangquan D",148,IF(Atletas!M422="Yingzhaoquan D",149,IF(Atletas!M422="Tongbeiquan D",150,IF(Atletas!M422="Wudangquan D",151,IF(Atletas!M422="Outros Estilos D",152,IF(Atletas!M422="Chaquan E",153,IF(Atletas!M422="Emeiquan E",154,IF(Atletas!M422="Fanziquan E",155,IF(Atletas!M422="Huaquan E",156,IF(Atletas!M422="Hongquan E",157,IF(Atletas!M422="Paoquan E",158,IF(Atletas!M422="Piguaquan E",159,IF(Atletas!M422="Shaolinquan E",160,IF(Atletas!M422="Tanglangquan E",161,IF(Atletas!M422="Yingzhaoquan E",162,IF(Atletas!M422="Tongbeiquan E",163,IF(Atletas!M422="Wudangquan E",164,IF(Atletas!M422="Outros Estilos E",165,IF(Atletas!M422="Chaquan F",166,IF(Atletas!M422="Emeiquan F",167,IF(Atletas!M422="Fanziquan F",168,IF(Atletas!M422="Huaquan F",169,IF(Atletas!M422="Hongquan F",170,IF(Atletas!M422="Paoquan F",171,IF(Atletas!M422="Piguaquan F",172,IF(Atletas!M422="Shaolinquan F",173,IF(Atletas!M422="Tanglangquan F",174,IF(Atletas!M422="Yingzhaoquan F",175,IF(Atletas!M422="Tongbeiquan F",176,IF(Atletas!M422="Wudangquan F",177,IF(Atletas!M422="Outros Estilos F",178,0))))))))))))))))))))))))))))))))))))))))))</f>
        <v/>
      </c>
      <c r="BU431" s="50" t="str">
        <f>IF(Atletas!N422="","",IF(Atletas!X422&lt;&gt;"",10000,0)+(IF(Atletas!B422="Feminino",1000,IF(Atletas!B422="Masculino",2000,""))+(IF(Atletas!N422="Ditangquan A",201,IF(Atletas!N422="Houquan A",202,IF(Atletas!N422="Zuiquan A",203,IF(Atletas!N422="Ditangquan B",204,IF(Atletas!N422="Houquan B",205,IF(Atletas!N422="Zuiquan B",206,IF(Atletas!N422="Ditangquan C",207,IF(Atletas!N422="Houquan C",208,IF(Atletas!N422="Zuiquan C",209,IF(Atletas!N422="Ditangquan D",210,IF(Atletas!N422="Houquan D",211,IF(Atletas!N422="Zuiquan D",212,IF(Atletas!N422="Ditangquan E",213,IF(Atletas!N422="Houquan E",214,IF(Atletas!N422="Zuiquan E",215,IF(Atletas!N422="Ditangquan F",216,IF(Atletas!N422="Houquan F",217,IF(Atletas!N422="Zuiquan F",218,"")))))))))))))))))))))</f>
        <v/>
      </c>
      <c r="BV431" s="50" t="str">
        <f>IF(Atletas!O422="","",IF(Atletas!X422&lt;&gt;"",10000,0)+IF(Atletas!B422="Feminino",1000,IF(Atletas!B422="Masculino",2000,""))+IF(Atletas!O422="Yang A",301,IF(Atletas!O422="Chen A",302,IF(Atletas!O422="Sun A",303,IF(Atletas!O422="Wu A",304,IF(Atletas!O422="Wu-Hao A",305,IF(Atletas!O422="Outro Taijiquan A",306,IF(Atletas!O422="Yang B",307,IF(Atletas!O422="Chen B",308,IF(Atletas!O422="Sun B",309,IF(Atletas!O422="Wu B",310,IF(Atletas!O422="Wu-Hao B",311,IF(Atletas!O422="Outro Taijiquan B",312,IF(Atletas!O422="Yang C",313,IF(Atletas!O422="Chen C",314,IF(Atletas!O422="Sun C",315,IF(Atletas!O422="Wu C",316,IF(Atletas!O422="Wu-Hao C",317,IF(Atletas!O422="Outro Taijiquan C",318,IF(Atletas!O422="Yang D",319,IF(Atletas!O422="Chen D",320,IF(Atletas!O422="Sun D",321,IF(Atletas!O422="Wu D",322,IF(Atletas!O422="Wu-Hao D",323,IF(Atletas!O422="Outro Taijiquan D",324,IF(Atletas!O422="Yang E",325,IF(Atletas!O422="Chen E",326,IF(Atletas!O422="Sun E",327,IF(Atletas!O422="Wu E",328,IF(Atletas!O422="Wu-Hao E",329,IF(Atletas!O422="Outro Taijiquan E",330,IF(Atletas!O422="Yang F",331,IF(Atletas!O422="Chen F",332,IF(Atletas!O422="Sun F",333,IF(Atletas!O422="Wu F",334,IF(Atletas!O422="Wu-Hao F",335,IF(Atletas!O422="Outro Taijiquan F",336,"")))))))))))))))))))))))))))))))))))))</f>
        <v/>
      </c>
      <c r="BW431" s="50" t="str">
        <f>IF(Atletas!P422="","",IF(Atletas!X422&lt;&gt;"",10000,0)+IF(Atletas!B422="Feminino",1000,IF(Atletas!B422="Masculino",2000,""))+IF(OR(Atletas!P422="Yang 26 A",Atletas!P422="Yang 40 A"),401,IF(OR(Atletas!P422="Chen 25 A",Atletas!P422="Chen 36 A",Atletas!P422="Chen 56 A"),402,IF(Atletas!P422="Sun 73 A",403,IF(Atletas!P422="Wu 45 A",404,IF(Atletas!P422="Wu-Hao 46 A",405,IF(OR(Atletas!P422="Taijiquan 16 A",Atletas!P422="Taijiquan 24 A",Atletas!P422="Taijiquan 32 A",Atletas!P422="Taijiquan 42 A"),406,IF(OR(Atletas!P422="Yang 26 B",Atletas!P422="Yang 40 B"),407,IF(OR(Atletas!P422="Chen 25 B",Atletas!P422="Chen 36 B",Atletas!P422="Chen 56 B"),408,IF(Atletas!P422="Sun 73 B",409,IF(Atletas!P422="Wu 45 B",410,IF(Atletas!P422="Wu-Hao 46 B",411,IF(OR(Atletas!P422="Taijiquan 16 B",Atletas!P422="Taijiquan 24 B",Atletas!P422="Taijiquan 32 B",Atletas!P422="Taijiquan 42 B"),412,IF(OR(Atletas!P422="Yang 26 C",Atletas!P422="Yang 40 C"),413,IF(OR(Atletas!P422="Chen 25 C",Atletas!P422="Chen 36 C",Atletas!P422="Chen 56 C"),414,IF(Atletas!P422="Sun 73 C",415,IF(Atletas!P422="Wu 45 C",416,IF(Atletas!P422="Wu-Hao 46 C",417,IF(OR(Atletas!P422="Taijiquan 16 C",Atletas!P422="Taijiquan 24 C",Atletas!P422="Taijiquan 32 C",Atletas!P422="Taijiquan 42 C"),418,0)))))))))))))))))))</f>
        <v/>
      </c>
      <c r="BX431" s="50" t="str">
        <f>IF(Atletas!P422="","",IF(Atletas!X422&lt;&gt;"",10000,0)+IF(Atletas!B422="Feminino",1000,IF(Atletas!B422="Masculino",2000,""))+IF(OR(Atletas!P422="Yang 26 D",Atletas!P422="Yang 40 D"),419,IF(OR(Atletas!P422="Chen 25 D",Atletas!P422="Chen 36 D",Atletas!P422="Chen 56 D"),420,IF(Atletas!P422="Sun 73 D",421,IF(Atletas!P422="Wu 45 D",422,IF(Atletas!P422="Wu-Hao 46 D",423,IF(OR(Atletas!P422="Taijiquan 16 D",Atletas!P422="Taijiquan 24 D",Atletas!P422="Taijiquan 32 D",Atletas!P422="Taijiquan 42 D"),424,IF(OR(Atletas!P422="Yang 26 E",Atletas!P422="Yang 40 E"),425,IF(OR(Atletas!P422="Chen 25 E",Atletas!P422="Chen 36 E",Atletas!P422="Chen 56 E"),426,IF(Atletas!P422="Sun 73 E",427,IF(Atletas!P422="Wu 45 E",428,IF(Atletas!P422="Wu-Hao 46 E",429,IF(OR(Atletas!P422="Taijiquan 16 E",Atletas!P422="Taijiquan 24 E",Atletas!P422="Taijiquan 32 E",Atletas!P422="Taijiquan 42 E"),430,IF(OR(Atletas!P422="Yang 26 F",Atletas!P422="Yang 40 F"),431,IF(OR(Atletas!P422="Chen 25 F",Atletas!P422="Chen 36 F",Atletas!P422="Chen 56 F"),432,IF(Atletas!P422="Sun 73 F",433,IF(Atletas!P422="Wu 45 F",434,IF(Atletas!P422="Wu-Hao 46 F",435,IF(OR(Atletas!P422="Taijiquan 16 F",Atletas!P422="Taijiquan 24 F",Atletas!P422="Taijiquan 32 F",Atletas!P422="Taijiquan 42 F"),436,0)))))))))))))))))))</f>
        <v/>
      </c>
      <c r="BY431" s="50" t="str">
        <f>IF(Atletas!Q422="","",IF(Atletas!X422&lt;&gt;"",10000,0)+IF(Atletas!B422="Feminino",1000,IF(Atletas!B422="Masculino",2000,""))+IF(Atletas!Q422="Xingyiquan A",501,IF(Atletas!Q422="Baguazhang A",502,IF(Atletas!Q422="Outro Estilo Interno A",503,IF(Atletas!Q422="Xingyiquan B",504,IF(Atletas!Q422="Baguazhang B",505,IF(Atletas!Q422="Outro Estilo Interno B",506,IF(Atletas!Q422="Xingyiquan C",507,IF(Atletas!Q422="Baguazhang C",508,IF(Atletas!Q422="Outro Estilo Interno C",509,IF(Atletas!Q422="Xingyiquan D",510,IF(Atletas!Q422="Baguazhang D",511,IF(Atletas!Q422="Outro Estilo Interno D",512,IF(Atletas!Q422="Xingyiquan E",513,IF(Atletas!Q422="Baguazhang E",514,IF(Atletas!Q422="Outro Estilo Interno E",515,IF(Atletas!Q422="Xingyiquan F",516,IF(Atletas!Q422="Baguazhang F",517,IF(Atletas!Q422="Outro Estilo Interno F",518, "")))))))))))))))))))</f>
        <v/>
      </c>
      <c r="BZ431" s="50" t="str">
        <f>IF(Atletas!R422="","",IF(Atletas!X422&lt;&gt;"",10000,0)+IF(Atletas!B422="Feminino",1000,IF(Atletas!B422="Masculino",2000,""))+IF(Atletas!R422="Dao A",601,IF(Atletas!R422="Jian A",602,IF(Atletas!R422="Bishou A",603,IF(Atletas!R422="Shanzi A",604,IF(Atletas!R422="Outra Arma Curta A",605,IF(Atletas!R422="Dao B",606,IF(Atletas!R422="Jian B",607,IF(Atletas!R422="Bishou B",608,IF(Atletas!R422="Shanzi B",609,IF(Atletas!R422="Outra Arma Curta B",610,IF(Atletas!R422="Dao C",611,IF(Atletas!R422="Jian C",612,IF(Atletas!R422="Bishou C",613,IF(Atletas!R422="Shanzi C",614,IF(Atletas!R422="Outra Arma Curta C",615,IF(Atletas!R422="Dao D",616,IF(Atletas!R422="Jian D",617,IF(Atletas!R422="Bishou D",618,IF(Atletas!R422="Shanzi D",619,IF(Atletas!R422="Outra Arma Curta D",620,IF(Atletas!R422="Dao E",621,IF(Atletas!R422="Jian E",622,IF(Atletas!R422="Bishou E",623,IF(Atletas!R422="Shanzi E",624,IF(Atletas!R422="Outra Arma Curta E",625,IF(Atletas!R422="Dao F",626,IF(Atletas!R422="Jian F",627,IF(Atletas!R422="Bishou F",628,IF(Atletas!R422="Shanzi F",629,IF(Atletas!R422="Outra Arma Curta F",630, "")))))))))))))))))))))))))))))))</f>
        <v/>
      </c>
      <c r="CA431" s="50" t="str">
        <f>IF(Atletas!S422="","",IF(Atletas!X422&lt;&gt;"",10000,0)+IF(Atletas!B422="Feminino",1000,IF(Atletas!B422="Masculino",2000,""))+IF(Atletas!S422="Gun A",701,IF(Atletas!S422="Qiang A",702,IF(Atletas!S422="Pudao / Guandao A",703,IF(Atletas!S422="Outra Arma Longa A",704,IF(Atletas!S422="Gun B",705,IF(Atletas!S422="Qiang B",706,IF(Atletas!S422="Pudao / Guandao B",707,IF(Atletas!S422="Outra Arma Longa B",708,IF(Atletas!S422="Gun C",709,IF(Atletas!S422="Qiang C",710,IF(Atletas!S422="Pudao / Guandao C",711,IF(Atletas!S422="Outra Arma Longa C",712,IF(Atletas!S422="Gun D",713,IF(Atletas!S422="Qiang D",714,IF(Atletas!S422="Pudao / Guandao D",715,IF(Atletas!S422="Outra Arma Longa D",716,IF(Atletas!S422="Gun E",717,IF(Atletas!S422="Qiang E",718,IF(Atletas!S422="Pudao / Guandao E",719,IF(Atletas!S422="Outra Arma Longa E",720,IF(Atletas!S422="Gun F",721,IF(Atletas!S422="Qiang F",722,IF(Atletas!S422="Pudao / Guandao F",723,IF(Atletas!S422="Outra Arma Longa F",724,"")))))))))))))))))))))))))</f>
        <v/>
      </c>
      <c r="CB431" s="50" t="str">
        <f>IF(Atletas!T422="","",IF(Atletas!X422&lt;&gt;"",10000,0)+IF(Atletas!B422="Feminino",1000,IF(Atletas!B422="Masculino",2000,""))+IF(Atletas!T422="Outra Arma Dupla A",801,IF(Atletas!T422="Arma Maleável A",802,IF(Atletas!T422="Outra Arma Dupla B",803,IF(Atletas!T422="Arma Maleável B",804,IF(Atletas!T422="Outra Arma Dupla C",805,IF(Atletas!T422="Arma Maleável C",806,IF(Atletas!T422="Outra Arma Dupla D",807,IF(Atletas!T422="Arma Maleável D",808,IF(Atletas!T422="Outra Arma Dupla E",809,IF(Atletas!T422="Arma Maleável E",810,IF(Atletas!T422="Outra Arma Dupla F",811,IF(Atletas!T422="Arma Maleável F",812,IF(Atletas!T422="Shuangdao A",813,IF(Atletas!T422="Shuangdao B",814,IF(Atletas!T422="Shuangdao C",815,IF(Atletas!T422="Shuangdao D",816,IF(Atletas!T422="Shuangdao E",817,IF(Atletas!T422="Shuangdao F",818,"")))))))))))))))))))</f>
        <v/>
      </c>
      <c r="CC431" s="50" t="str">
        <f>IF(Atletas!U422="","",IF(Atletas!X422&lt;&gt;"",10000,0)+IF(Atletas!B422="Feminino",1000,IF(Atletas!B422="Masculino",2000,""))+IF(OR(Atletas!U422="Taijijian Yang A",Atletas!U422="Taijijian Yang Standard A"),901,IF(OR(Atletas!U422="Taijijian Chen A", Atletas!U422="Taijijian Chen Standard A"),902,IF(Atletas!U422="Taijijian Sun A",903,IF(Atletas!U422="Taijijian Wu A",904,IF(Atletas!U422="Taijijian Wu-Hao A",905,IF(OR(Atletas!U422="Taijijian 32 A",Atletas!U422="Taijijian 42 A"),906,IF(OR(Atletas!U422="Taijijian Yang B",Atletas!U422="Taijijian Yang Standard B"),907,IF(OR(Atletas!U422="Taijijian Chen B", Atletas!U422="Taijijian Chen Standard B"),908,IF(Atletas!U422="Taijijian Sun B",909,IF(Atletas!U422="Taijijian Wu B",910,IF(Atletas!U422="Taijijian Wu-Hao B",911,IF(OR(Atletas!U422="Taijijian 32 B",Atletas!U422="Taijijian 42 B"),912,IF(OR(Atletas!U422="Taijijian Yang C",Atletas!U422="Taijijian Yang Standard C"),913,IF(OR(Atletas!U422="Taijijian Chen C", Atletas!U422="Taijijian Chen Standard C"),914,IF(Atletas!U422="Taijijian Sun C",915,IF(Atletas!U422="Taijijian Wu C",916,IF(Atletas!U422="Taijijian Wu-Hao C",917,IF(OR(Atletas!U422="Taijijian 32 C",Atletas!U422="Taijijian 42 C"),918,IF(OR(Atletas!U422="Taijijian Yang D",Atletas!U422="Taijijian Yang Standard D"),919,IF(OR(Atletas!U422="Taijijian Chen D", Atletas!U422="Taijijian Chen Standard D"),920,IF(Atletas!U422="Taijijian Sun D",921,IF(Atletas!U422="Taijijian Wu D",922,IF(Atletas!U422="Taijijian Wu-Hao D",923,IF(OR(Atletas!U422="Taijijian 32 D",Atletas!U422="Taijijian 42 D"),924,IF(OR(Atletas!U422="Taijijian Yang E",Atletas!U422="Taijijian Yang Standard E"),925,IF(OR(Atletas!U422="Taijijian Chen E", Atletas!U422="Taijijian Chen Standard E"),926,IF(Atletas!U422="Taijijian Sun E",927,IF(Atletas!U422="Taijijian Wu E",928,IF(Atletas!U422="Taijijian Wu-Hao E",929,IF(OR(Atletas!U422="Taijijian 32 E",Atletas!U422="Taijijian 42 E"),930,IF(OR(Atletas!U422="Taijijian Yang F",Atletas!U422="Taijijian Yang Standard F"),931,IF(OR(Atletas!U422="Taijijian Chen F", Atletas!U422="Taijijian Chen Standard F"),932,IF(Atletas!U422="Taijijian Sun F",933,IF(Atletas!U422="Taijijian Wu F",934,IF(Atletas!U422="Taijijian Wu-Hao F",935,IF(OR(Atletas!U422="Taijijian 32 F",Atletas!U422="Taijijian 42 F"),936,"")))))))))))))))))))))))))))))))))))))</f>
        <v/>
      </c>
      <c r="CD431" s="50" t="str">
        <f>IF(Atletas!V422="","",IF(Atletas!X422&lt;&gt;"",10000,0)+IF(Atletas!B422="Feminino",1000,IF(Atletas!B422="Masculino",2000,""))+IF(Atletas!V422="Taijidao A",937,IF(Atletas!V422="TaijiShanzi A",938,IF(Atletas!V422="Taijiqiang A",939,IF(Atletas!V422="Bagua de Arma A",940,IF(Atletas!V422="Xingyi de Arma A",941,IF(Atletas!V422="Taijidao B",942,IF(Atletas!V422="TaijiShanzi B",943,IF(Atletas!V422="Taijiqiang B",944,IF(Atletas!V422="Bagua de Arma B",945,IF(Atletas!V422="Xingyi de Arma B",946,IF(Atletas!V422="Taijidao C",947,IF(Atletas!V422="TaijiShanzi C",948,IF(Atletas!V422="Taijiqiang C",949,IF(Atletas!V422="Bagua de Arma C",950,IF(Atletas!V422="Xingyi de Arma C",951,IF(Atletas!V422="Taijidao D",952,IF(Atletas!V422="TaijiShanzi D",953,IF(Atletas!V422="Taijiqiang D",954,IF(Atletas!V422="Bagua de Arma D",955,IF(Atletas!V422="Xingyi de Arma D",956,IF(Atletas!V422="Taijidao E",957,IF(Atletas!V422="TaijiShanzi E",958,IF(Atletas!V422="Taijiqiang E",959,IF(Atletas!V422="Bagua de Arma E",960,IF(Atletas!V422="Xingyi de Arma E",961,IF(Atletas!V422="Taijidao F",962,IF(Atletas!V422="TaijiShanzi F",963,IF(Atletas!V422="Taijiqiang F",964,IF(Atletas!V422="Bagua de Arma F",965,IF(Atletas!V422="Xingyi de Arma F",966,"")))))))))))))))))))))))))))))))</f>
        <v/>
      </c>
      <c r="CM431" s="50" t="str">
        <f xml:space="preserve"> IF(Atletas!W422="","",IF(Atletas!W422="Duilian de Mãos BC - Equipe 1",1,IF(Atletas!W422="Duilian de Mãos BC - Equipe 2",2,IF(Atletas!W422="Duilian de Armas BC - Equipe 1",3,IF(Atletas!W422="Duilian de Armas BC - Equipe 2",4,IF(Atletas!W422="Duilian de Mãos DE - Equipe 1",5,IF(Atletas!W422="Duilian de Mãos DE - Equipe 2",6,IF(Atletas!W422="Duilian de Armas DE - Equipe 1",7,IF(Atletas!W422="Duilian de Armas DE - Equipe 2",8,IF(Atletas!W422="Duilian de Tuishou - Equipe 1",9,IF(Atletas!W422="Duilian de Tuishou - Equipe 2",10,IF(Atletas!W422="Grupo Externo ABC - Equipe 1",11,IF(Atletas!W422="Grupo Externo ABC - Equipe 2",12,IF(Atletas!W422="Grupo Interno ABC - Equipe 1",13,IF(Atletas!W422="Grupo Interno ABC - Equipe 2",14,IF(Atletas!W422="Grupo Externo DEF - Equipe 1",15,IF(Atletas!W422="Grupo Externo DEF - Equipe 2",16,IF(Atletas!W422="Grupo Interno DEF - Equipe 1",17,IF(Atletas!W422="Grupo Interno DEF - Equipe 2",18,"")))))))))))))))))))</f>
        <v/>
      </c>
    </row>
    <row r="432" spans="40:91">
      <c r="AN432" s="52" t="str">
        <f>IF(Atletas!D423="","",IF(Atletas!B423="Feminino",100,IF(Atletas!B423="Masculino",200,""))+(IF(Atletas!D423="Kids 30kg",1,IF(Atletas!D423="Kids 32kg",2, IF(Atletas!D423="Kids 34kg",3,IF(Atletas!D423="Kids 36kg",4,IF(Atletas!D423="Kids 39kg",5,IF(Atletas!D423="Kids 42kg",6,IF(Atletas!D423="Kids 45kg",7, IF(Atletas!D423="Infantil 39kg",8,IF(Atletas!D423="Infantil 42kg",9,IF(Atletas!D423="Infantil 45kg",10,IF(Atletas!D423="Infantil 48kg",11,IF(Atletas!D423="Infantil 52kg",12,IF(Atletas!D423="Infantil 56kg",13,IF(Atletas!D423="Infantil 60kg",14,IF(Atletas!D423="Juvenil 48kg",15,IF(Atletas!D423="Juvenil 52kg",16,IF(Atletas!D423="Juvenil 56kg",17,IF(Atletas!D423="Juvenil 60kg",18,IF(Atletas!D423="Juvenil 65kg",19,IF(Atletas!D423="Juvenil 70kg",20,IF(Atletas!D423="Juvenil 75kg",21,IF(Atletas!D423="Juvenil 80kg",22, IF(Atletas!D423="Juvenil 85kg",23,IF(Atletas!D423="Adulto 48kg",24,IF(Atletas!D423="Adulto 52kg",25,IF(Atletas!D423="Adulto 56kg",26,IF(Atletas!D423="Adulto 60kg",27,IF(Atletas!D423="Adulto 65kg",28,IF(Atletas!D423="Adulto 70kg",29,IF(Atletas!D423="Adulto 75kg",30,IF(Atletas!D423="Adulto 80kg",31,IF(Atletas!D423="Adulto 85kg",32,IF(Atletas!D423="Adulto 90kg",33,IF(Atletas!D423="Adulto 100kg",34, IF(Atletas!D423="Adulto +100kg",35,"")))))))))))))))))))))))))))))))))))))</f>
        <v/>
      </c>
      <c r="AS432" s="6" t="str">
        <f>IF(Atletas!E423="","",IF(Atletas!B423="Feminino",100,IF(Atletas!B423="Masculino",200,""))+(IF(Atletas!E423="Juvenil 44kg",1,IF(Atletas!E423="Juvenil 48kg",2,IF(Atletas!E423="Juvenil 52kg",3,IF(Atletas!E423="Juvenil 56kg",4,IF(Atletas!E423="Juvenil 60kg",5,IF(Atletas!E423="Juvenil 65kg",6,IF(Atletas!E423="Juvenil 70kg",7,IF(Atletas!E423="Juvenil 75kg",8,IF(Atletas!E423="Juvenil 82kg",9,IF(Atletas!E423="Juvenil 90kg",10,IF(Atletas!E423="Juvenil 100kg",11,IF(Atletas!E423="Adulto 48kg",12,IF(Atletas!E423="Adulto 52kg",13,IF(Atletas!E423="Adulto 56kg",14,IF(Atletas!E423="Adulto 60kg",15,IF(Atletas!E423="Adulto 65kg",16,IF(Atletas!E423="Adulto 70kg",17,IF(Atletas!E423="Adulto 75kg",18,IF(Atletas!E423="Adulto 82kg",19,IF(Atletas!E423="Adulto 90kg",20,IF(Atletas!E423="Adulto 100kg",21,IF(Atletas!E423="Adulto +100kg",22,""))))))))))))))))))))))))</f>
        <v/>
      </c>
      <c r="AX432" s="6" t="str">
        <f>IF(Atletas!F423="","",IF(Atletas!B423="Feminino",100,IF(Atletas!B423="Masculino",200,""))+(IF(Atletas!F423="Adulto 48kg",1,IF(Atletas!F423="Adulto 56kg",2,IF(Atletas!F423="Adulto 65kg",3,IF(Atletas!F423="Adulto 75kg",4,IF(Atletas!F423="Adulto +75kg",5,IF(Atletas!F423="Adulto 52kg",6,IF(Atletas!F423="Adulto 60kg",7,IF(Atletas!F423="Adulto 70kg",8,IF(Atletas!F423="Adulto 80kg",9,IF(Atletas!F423="Adulto 90kg",10,IF(Atletas!F423="Adulto +90kg",11,"")))))))))))))</f>
        <v/>
      </c>
      <c r="BC432" s="6" t="str">
        <f>IF(Atletas!G423="","",IF(Atletas!B423="Feminino",10,IF(Atletas!B423="Masculino",20,""))+(IF(Atletas!G423="Baduanjin A",1,IF(Atletas!G423="Baduanjin B",2))))</f>
        <v/>
      </c>
      <c r="BF432" s="52" t="str">
        <f>IF(Atletas!H423="","",IF(Atletas!B423="Feminino",100,IF(Atletas!B423="Masculino",200,""))+(IF(Atletas!H423="Changquan Mirim",1,IF(Atletas!H423="Nanquan Mirim",2,IF(Atletas!H423="Taijiquan Mirim",3,IF(Atletas!H423="Changquan Grupo C",4,IF(Atletas!H423="Nanquan Grupo C",5,IF(Atletas!H423="Taijiquan Grupo C",6,IF(Atletas!H423="Changquan Grupo B",7,IF(Atletas!H423="Nanquan Grupo B",8,IF(Atletas!H423="Taijiquan Grupo B",9,IF(Atletas!H423="Changquan Grupo A",10,IF(Atletas!H423="Nanquan Grupo A",11,IF(Atletas!H423="Taijiquan Grupo A",12,IF(Atletas!H423="Changquan Opcional",13,IF(Atletas!H423="Nanquan Opcional",14,IF(Atletas!H423="Taijiquan Opcional",15,IF(Atletas!H423="Changquan Adulto",16,IF(Atletas!H423="Nanquan Adulto",17,IF(Atletas!H423="Taijiquan Adulto",18,""))))))))))))))))))))</f>
        <v/>
      </c>
      <c r="BG432" s="52" t="str">
        <f>IF(Atletas!I423="","",IF(Atletas!B423="Feminino",100,IF(Atletas!B423="Masculino",200,""))+(IF(Atletas!I423="Daoshu Mirim",19,IF(Atletas!I423="Jianshu Mirim",20,IF(Atletas!I423="Nandao Mirim",21,IF(Atletas!I423="Taijijian Mirim",22,IF(Atletas!I423="Daoshu Grupo C",23,IF(Atletas!I423="Jianshu Grupo C",24,IF(Atletas!I423="Nandao Grupo C",25,IF(Atletas!I423="Taijijian Grupo C",26,IF(Atletas!I423="Daoshu Grupo B",27,IF(Atletas!I423="Jianshu Grupo B",28,IF(Atletas!I423="Nandao Grupo B",29,IF(Atletas!I423="Taijijian Grupo B",30,IF(Atletas!I423="Daoshu Grupo A",31,IF(Atletas!I423="Jianshu Grupo A",32,IF(Atletas!I423="Nandao Grupo A",33,IF(Atletas!I423="Taijijian Grupo A",34,IF(Atletas!I423="Daoshu Opcional",35,IF(Atletas!I423="Jianshu Opcional",36,IF(Atletas!I423="Nandao Opcional",37,IF(Atletas!I423="Taijijian Opcional",38,IF(Atletas!I423="Daoshu Adulto",39,IF(Atletas!I423="Jianshu Adulto",40,IF(Atletas!I423="Nandao Adulto",41,IF(Atletas!I423="Taijijian Adulto",42,""))))))))))))))))))))))))))</f>
        <v/>
      </c>
      <c r="BH432" s="52" t="str">
        <f>IF(Atletas!J423="","",IF(Atletas!B423="Feminino",100,IF(Atletas!B423="Masculino",200,""))+(IF(Atletas!J423="Gunshu Mirim",43,IF(Atletas!J423="Qiangshu Mirim",44,IF(Atletas!J423="Nangun Mirim",45,IF(Atletas!J423="Gunshu Grupo C",46,IF(Atletas!J423="Qiangshu Grupo C",47,IF(Atletas!J423="Nangun Grupo C",48,IF(Atletas!J423="Gunshu Grupo B",49,IF(Atletas!J423="Qiangshu Grupo B",50,IF(Atletas!J423="Nangun Grupo B",51,IF(Atletas!J423="Gunshu Grupo A",52,IF(Atletas!J423="Qiangshu Grupo A",53,IF(Atletas!J423="Nangun Grupo A",54,IF(Atletas!J423="Gunshu Opcional",55,IF(Atletas!J423="Qiangshu Opcional",56,IF(Atletas!J423="Nangun Opcional",57,IF(Atletas!J423="Gunshu Adulto",58,IF(Atletas!J423="Qiangshu Adulto",59,IF(Atletas!J423="Nangun Adulto",60,IF(Atletas!J423="Taijishan Grupo B",61,IF(Atletas!J423="Taijishan Grupo A",62,""))))))))))))))))))))))</f>
        <v/>
      </c>
      <c r="BM432" s="50" t="str">
        <f>IF(Atletas!K423="","",IF(Atletas!B423="Feminino",100,IF(Atletas!B423="Masculino",200,""))+(IF(Atletas!K423="Equipe 1 Grupo B",1,IF(Atletas!K423="Equipe 2 Grupo B",2,IF(Atletas!K423="Equipe 1 Grupo A",3,IF(Atletas!K423="Equipe 2 Grupo A",4,IF(Atletas!K423="Equipe 1 Adulto",5,IF(Atletas!K423="Equipe 2 Adulto",6,""))))))))</f>
        <v/>
      </c>
      <c r="BR432" s="50" t="str">
        <f>IF(Atletas!L423="","",IF(Atletas!X423&lt;&gt;"",10000,0)+(IF(Atletas!B423="Feminino",1000,IF(Atletas!B423="Masculino",2000,""))+IF(Atletas!L423="Choylayfut A",1,IF(Atletas!L423="Hunggar A",2,IF(Atletas!L423="Wuzuquan A",3,IF(Atletas!L423="Wingchun A",4,IF(Atletas!L423="Outra Mão de Sul A",5,IF(Atletas!L423="Choylayfut B",6,IF(Atletas!L423="Hunggar B",7,IF(Atletas!L423="Wuzuquan B",8,IF(Atletas!L423="Wingchun B",9,IF(Atletas!L423="Outra Mão de Sul B",10,IF(Atletas!L423="Choylayfut C",11,IF(Atletas!L423="Hunggar C",12,IF(Atletas!L423="Wuzuquan C",13,IF(Atletas!L423="Wingchun C",14,IF(Atletas!L423="Outra Mão de Sul C",15,IF(Atletas!L423="Choylayfut D",16,IF(Atletas!L423="Hunggar D",17,IF(Atletas!L423="Wuzuquan D",18,IF(Atletas!L423="Wingchun D",19,IF(Atletas!L423="Outra Mão de Sul D",20,IF(Atletas!L423="Choylayfut E",21,IF(Atletas!L423="Hunggar E",22,IF(Atletas!L423="Wuzuquan E",23,IF(Atletas!L423="Wingchun E",24,IF(Atletas!L423="Outra Mão de Sul E",25,IF(Atletas!L423="Choylayfut F",26,IF(Atletas!L423="Hunggar F",27,IF(Atletas!L423="Wuzuquan F",28,IF(Atletas!L423="Wingchun F",29,IF(Atletas!L423="Outra Mão de Sul F",30,IF(Atletas!L423="Dishuquan A",31,IF(Atletas!L423="Dishuquan B",32,IF(Atletas!L423="Dishuquan C",33,IF(Atletas!L423="Dishuquan D",34,IF(Atletas!L423="Dishuquan E",35,IF(Atletas!L423="Dishuquan F",36,""))))))))))))))))))))))))))))))))))))))</f>
        <v/>
      </c>
      <c r="BS432" s="50" t="str">
        <f>IF(Atletas!M423="","",IF(Atletas!X423&lt;&gt;"",10000,0)+(IF(Atletas!B423="Feminino",1000,IF(Atletas!B423="Masculino",2000,""))+(IF(Atletas!M423="Chaquan A",101,IF(Atletas!M423="Emeiquan A",102,IF(Atletas!M423="Fanziquan A",103,IF(Atletas!M423="Huaquan A",104,IF(Atletas!M423="Hongquan A",105,IF(Atletas!M423="Paoquan A",106,IF(Atletas!M423="Piguaquan A",107,IF(Atletas!M423="Shaolinquan A",108,IF(Atletas!M423="Tanglangquan A",109,IF(Atletas!M423="Yingzhaoquan A",110,IF(Atletas!M423="Tongbeiquan A",111,IF(Atletas!M423="Wudangquan A",112,IF(Atletas!M423="Outros Estilos A",113,IF(Atletas!M423="Chaquan B",114,IF(Atletas!M423="Emeiquan B",115,IF(Atletas!M423="Fanziquan B",116,IF(Atletas!M423="Huaquan B",117,IF(Atletas!M423="Hongquan B",118,IF(Atletas!M423="Paoquan B",119,IF(Atletas!M423="Piguaquan B",120,IF(Atletas!M423="Shaolinquan B",121,IF(Atletas!M423="Tanglangquan B",122,IF(Atletas!M423="Yingzhaoquan B",123,IF(Atletas!M423="Tongbeiquan B",124,IF(Atletas!M423="Wudangquan B",125,IF(Atletas!M423="Outros Estilos B",126,IF(Atletas!M423="Chaquan C",127,IF(Atletas!M423="Emeiquan C",128,IF(Atletas!M423="Fanziquan C",129,IF(Atletas!M423="Huaquan C",130,IF(Atletas!M423="Hongquan C",131,IF(Atletas!M423="Paoquan C",132,IF(Atletas!M423="Piguaquan C",133,IF(Atletas!M423="Shaolinquan C",134,IF(Atletas!M423="Tanglangquan C",135,IF(Atletas!M423="Yingzhaoquan C",136,IF(Atletas!M423="Tongbeiquan C",137,IF(Atletas!M423="Wudangquan C",138,IF(Atletas!M423="Outros Estilos C",139,0))))))))))))))))))))))))))))))))))))))))))</f>
        <v/>
      </c>
      <c r="BT432" s="50" t="str">
        <f>IF(Atletas!M423="","",IF(Atletas!X423&lt;&gt;"",10000,0)+(IF(Atletas!B423="Feminino",1000,IF(Atletas!B423="Masculino",2000,""))+(IF(Atletas!M423="Chaquan D",140,IF(Atletas!M423="Emeiquan D",141,IF(Atletas!M423="Fanziquan D",142,IF(Atletas!M423="Huaquan D",143,IF(Atletas!M423="Hongquan D",144,IF(Atletas!M423="Paoquan D",145,IF(Atletas!M423="Piguaquan D",146,IF(Atletas!M423="Shaolinquan D",147,IF(Atletas!M423="Tanglangquan D",148,IF(Atletas!M423="Yingzhaoquan D",149,IF(Atletas!M423="Tongbeiquan D",150,IF(Atletas!M423="Wudangquan D",151,IF(Atletas!M423="Outros Estilos D",152,IF(Atletas!M423="Chaquan E",153,IF(Atletas!M423="Emeiquan E",154,IF(Atletas!M423="Fanziquan E",155,IF(Atletas!M423="Huaquan E",156,IF(Atletas!M423="Hongquan E",157,IF(Atletas!M423="Paoquan E",158,IF(Atletas!M423="Piguaquan E",159,IF(Atletas!M423="Shaolinquan E",160,IF(Atletas!M423="Tanglangquan E",161,IF(Atletas!M423="Yingzhaoquan E",162,IF(Atletas!M423="Tongbeiquan E",163,IF(Atletas!M423="Wudangquan E",164,IF(Atletas!M423="Outros Estilos E",165,IF(Atletas!M423="Chaquan F",166,IF(Atletas!M423="Emeiquan F",167,IF(Atletas!M423="Fanziquan F",168,IF(Atletas!M423="Huaquan F",169,IF(Atletas!M423="Hongquan F",170,IF(Atletas!M423="Paoquan F",171,IF(Atletas!M423="Piguaquan F",172,IF(Atletas!M423="Shaolinquan F",173,IF(Atletas!M423="Tanglangquan F",174,IF(Atletas!M423="Yingzhaoquan F",175,IF(Atletas!M423="Tongbeiquan F",176,IF(Atletas!M423="Wudangquan F",177,IF(Atletas!M423="Outros Estilos F",178,0))))))))))))))))))))))))))))))))))))))))))</f>
        <v/>
      </c>
      <c r="BU432" s="50" t="str">
        <f>IF(Atletas!N423="","",IF(Atletas!X423&lt;&gt;"",10000,0)+(IF(Atletas!B423="Feminino",1000,IF(Atletas!B423="Masculino",2000,""))+(IF(Atletas!N423="Ditangquan A",201,IF(Atletas!N423="Houquan A",202,IF(Atletas!N423="Zuiquan A",203,IF(Atletas!N423="Ditangquan B",204,IF(Atletas!N423="Houquan B",205,IF(Atletas!N423="Zuiquan B",206,IF(Atletas!N423="Ditangquan C",207,IF(Atletas!N423="Houquan C",208,IF(Atletas!N423="Zuiquan C",209,IF(Atletas!N423="Ditangquan D",210,IF(Atletas!N423="Houquan D",211,IF(Atletas!N423="Zuiquan D",212,IF(Atletas!N423="Ditangquan E",213,IF(Atletas!N423="Houquan E",214,IF(Atletas!N423="Zuiquan E",215,IF(Atletas!N423="Ditangquan F",216,IF(Atletas!N423="Houquan F",217,IF(Atletas!N423="Zuiquan F",218,"")))))))))))))))))))))</f>
        <v/>
      </c>
      <c r="BV432" s="50" t="str">
        <f>IF(Atletas!O423="","",IF(Atletas!X423&lt;&gt;"",10000,0)+IF(Atletas!B423="Feminino",1000,IF(Atletas!B423="Masculino",2000,""))+IF(Atletas!O423="Yang A",301,IF(Atletas!O423="Chen A",302,IF(Atletas!O423="Sun A",303,IF(Atletas!O423="Wu A",304,IF(Atletas!O423="Wu-Hao A",305,IF(Atletas!O423="Outro Taijiquan A",306,IF(Atletas!O423="Yang B",307,IF(Atletas!O423="Chen B",308,IF(Atletas!O423="Sun B",309,IF(Atletas!O423="Wu B",310,IF(Atletas!O423="Wu-Hao B",311,IF(Atletas!O423="Outro Taijiquan B",312,IF(Atletas!O423="Yang C",313,IF(Atletas!O423="Chen C",314,IF(Atletas!O423="Sun C",315,IF(Atletas!O423="Wu C",316,IF(Atletas!O423="Wu-Hao C",317,IF(Atletas!O423="Outro Taijiquan C",318,IF(Atletas!O423="Yang D",319,IF(Atletas!O423="Chen D",320,IF(Atletas!O423="Sun D",321,IF(Atletas!O423="Wu D",322,IF(Atletas!O423="Wu-Hao D",323,IF(Atletas!O423="Outro Taijiquan D",324,IF(Atletas!O423="Yang E",325,IF(Atletas!O423="Chen E",326,IF(Atletas!O423="Sun E",327,IF(Atletas!O423="Wu E",328,IF(Atletas!O423="Wu-Hao E",329,IF(Atletas!O423="Outro Taijiquan E",330,IF(Atletas!O423="Yang F",331,IF(Atletas!O423="Chen F",332,IF(Atletas!O423="Sun F",333,IF(Atletas!O423="Wu F",334,IF(Atletas!O423="Wu-Hao F",335,IF(Atletas!O423="Outro Taijiquan F",336,"")))))))))))))))))))))))))))))))))))))</f>
        <v/>
      </c>
      <c r="BW432" s="50" t="str">
        <f>IF(Atletas!P423="","",IF(Atletas!X423&lt;&gt;"",10000,0)+IF(Atletas!B423="Feminino",1000,IF(Atletas!B423="Masculino",2000,""))+IF(OR(Atletas!P423="Yang 26 A",Atletas!P423="Yang 40 A"),401,IF(OR(Atletas!P423="Chen 25 A",Atletas!P423="Chen 36 A",Atletas!P423="Chen 56 A"),402,IF(Atletas!P423="Sun 73 A",403,IF(Atletas!P423="Wu 45 A",404,IF(Atletas!P423="Wu-Hao 46 A",405,IF(OR(Atletas!P423="Taijiquan 16 A",Atletas!P423="Taijiquan 24 A",Atletas!P423="Taijiquan 32 A",Atletas!P423="Taijiquan 42 A"),406,IF(OR(Atletas!P423="Yang 26 B",Atletas!P423="Yang 40 B"),407,IF(OR(Atletas!P423="Chen 25 B",Atletas!P423="Chen 36 B",Atletas!P423="Chen 56 B"),408,IF(Atletas!P423="Sun 73 B",409,IF(Atletas!P423="Wu 45 B",410,IF(Atletas!P423="Wu-Hao 46 B",411,IF(OR(Atletas!P423="Taijiquan 16 B",Atletas!P423="Taijiquan 24 B",Atletas!P423="Taijiquan 32 B",Atletas!P423="Taijiquan 42 B"),412,IF(OR(Atletas!P423="Yang 26 C",Atletas!P423="Yang 40 C"),413,IF(OR(Atletas!P423="Chen 25 C",Atletas!P423="Chen 36 C",Atletas!P423="Chen 56 C"),414,IF(Atletas!P423="Sun 73 C",415,IF(Atletas!P423="Wu 45 C",416,IF(Atletas!P423="Wu-Hao 46 C",417,IF(OR(Atletas!P423="Taijiquan 16 C",Atletas!P423="Taijiquan 24 C",Atletas!P423="Taijiquan 32 C",Atletas!P423="Taijiquan 42 C"),418,0)))))))))))))))))))</f>
        <v/>
      </c>
      <c r="BX432" s="50" t="str">
        <f>IF(Atletas!P423="","",IF(Atletas!X423&lt;&gt;"",10000,0)+IF(Atletas!B423="Feminino",1000,IF(Atletas!B423="Masculino",2000,""))+IF(OR(Atletas!P423="Yang 26 D",Atletas!P423="Yang 40 D"),419,IF(OR(Atletas!P423="Chen 25 D",Atletas!P423="Chen 36 D",Atletas!P423="Chen 56 D"),420,IF(Atletas!P423="Sun 73 D",421,IF(Atletas!P423="Wu 45 D",422,IF(Atletas!P423="Wu-Hao 46 D",423,IF(OR(Atletas!P423="Taijiquan 16 D",Atletas!P423="Taijiquan 24 D",Atletas!P423="Taijiquan 32 D",Atletas!P423="Taijiquan 42 D"),424,IF(OR(Atletas!P423="Yang 26 E",Atletas!P423="Yang 40 E"),425,IF(OR(Atletas!P423="Chen 25 E",Atletas!P423="Chen 36 E",Atletas!P423="Chen 56 E"),426,IF(Atletas!P423="Sun 73 E",427,IF(Atletas!P423="Wu 45 E",428,IF(Atletas!P423="Wu-Hao 46 E",429,IF(OR(Atletas!P423="Taijiquan 16 E",Atletas!P423="Taijiquan 24 E",Atletas!P423="Taijiquan 32 E",Atletas!P423="Taijiquan 42 E"),430,IF(OR(Atletas!P423="Yang 26 F",Atletas!P423="Yang 40 F"),431,IF(OR(Atletas!P423="Chen 25 F",Atletas!P423="Chen 36 F",Atletas!P423="Chen 56 F"),432,IF(Atletas!P423="Sun 73 F",433,IF(Atletas!P423="Wu 45 F",434,IF(Atletas!P423="Wu-Hao 46 F",435,IF(OR(Atletas!P423="Taijiquan 16 F",Atletas!P423="Taijiquan 24 F",Atletas!P423="Taijiquan 32 F",Atletas!P423="Taijiquan 42 F"),436,0)))))))))))))))))))</f>
        <v/>
      </c>
      <c r="BY432" s="50" t="str">
        <f>IF(Atletas!Q423="","",IF(Atletas!X423&lt;&gt;"",10000,0)+IF(Atletas!B423="Feminino",1000,IF(Atletas!B423="Masculino",2000,""))+IF(Atletas!Q423="Xingyiquan A",501,IF(Atletas!Q423="Baguazhang A",502,IF(Atletas!Q423="Outro Estilo Interno A",503,IF(Atletas!Q423="Xingyiquan B",504,IF(Atletas!Q423="Baguazhang B",505,IF(Atletas!Q423="Outro Estilo Interno B",506,IF(Atletas!Q423="Xingyiquan C",507,IF(Atletas!Q423="Baguazhang C",508,IF(Atletas!Q423="Outro Estilo Interno C",509,IF(Atletas!Q423="Xingyiquan D",510,IF(Atletas!Q423="Baguazhang D",511,IF(Atletas!Q423="Outro Estilo Interno D",512,IF(Atletas!Q423="Xingyiquan E",513,IF(Atletas!Q423="Baguazhang E",514,IF(Atletas!Q423="Outro Estilo Interno E",515,IF(Atletas!Q423="Xingyiquan F",516,IF(Atletas!Q423="Baguazhang F",517,IF(Atletas!Q423="Outro Estilo Interno F",518, "")))))))))))))))))))</f>
        <v/>
      </c>
      <c r="BZ432" s="50" t="str">
        <f>IF(Atletas!R423="","",IF(Atletas!X423&lt;&gt;"",10000,0)+IF(Atletas!B423="Feminino",1000,IF(Atletas!B423="Masculino",2000,""))+IF(Atletas!R423="Dao A",601,IF(Atletas!R423="Jian A",602,IF(Atletas!R423="Bishou A",603,IF(Atletas!R423="Shanzi A",604,IF(Atletas!R423="Outra Arma Curta A",605,IF(Atletas!R423="Dao B",606,IF(Atletas!R423="Jian B",607,IF(Atletas!R423="Bishou B",608,IF(Atletas!R423="Shanzi B",609,IF(Atletas!R423="Outra Arma Curta B",610,IF(Atletas!R423="Dao C",611,IF(Atletas!R423="Jian C",612,IF(Atletas!R423="Bishou C",613,IF(Atletas!R423="Shanzi C",614,IF(Atletas!R423="Outra Arma Curta C",615,IF(Atletas!R423="Dao D",616,IF(Atletas!R423="Jian D",617,IF(Atletas!R423="Bishou D",618,IF(Atletas!R423="Shanzi D",619,IF(Atletas!R423="Outra Arma Curta D",620,IF(Atletas!R423="Dao E",621,IF(Atletas!R423="Jian E",622,IF(Atletas!R423="Bishou E",623,IF(Atletas!R423="Shanzi E",624,IF(Atletas!R423="Outra Arma Curta E",625,IF(Atletas!R423="Dao F",626,IF(Atletas!R423="Jian F",627,IF(Atletas!R423="Bishou F",628,IF(Atletas!R423="Shanzi F",629,IF(Atletas!R423="Outra Arma Curta F",630, "")))))))))))))))))))))))))))))))</f>
        <v/>
      </c>
      <c r="CA432" s="50" t="str">
        <f>IF(Atletas!S423="","",IF(Atletas!X423&lt;&gt;"",10000,0)+IF(Atletas!B423="Feminino",1000,IF(Atletas!B423="Masculino",2000,""))+IF(Atletas!S423="Gun A",701,IF(Atletas!S423="Qiang A",702,IF(Atletas!S423="Pudao / Guandao A",703,IF(Atletas!S423="Outra Arma Longa A",704,IF(Atletas!S423="Gun B",705,IF(Atletas!S423="Qiang B",706,IF(Atletas!S423="Pudao / Guandao B",707,IF(Atletas!S423="Outra Arma Longa B",708,IF(Atletas!S423="Gun C",709,IF(Atletas!S423="Qiang C",710,IF(Atletas!S423="Pudao / Guandao C",711,IF(Atletas!S423="Outra Arma Longa C",712,IF(Atletas!S423="Gun D",713,IF(Atletas!S423="Qiang D",714,IF(Atletas!S423="Pudao / Guandao D",715,IF(Atletas!S423="Outra Arma Longa D",716,IF(Atletas!S423="Gun E",717,IF(Atletas!S423="Qiang E",718,IF(Atletas!S423="Pudao / Guandao E",719,IF(Atletas!S423="Outra Arma Longa E",720,IF(Atletas!S423="Gun F",721,IF(Atletas!S423="Qiang F",722,IF(Atletas!S423="Pudao / Guandao F",723,IF(Atletas!S423="Outra Arma Longa F",724,"")))))))))))))))))))))))))</f>
        <v/>
      </c>
      <c r="CB432" s="50" t="str">
        <f>IF(Atletas!T423="","",IF(Atletas!X423&lt;&gt;"",10000,0)+IF(Atletas!B423="Feminino",1000,IF(Atletas!B423="Masculino",2000,""))+IF(Atletas!T423="Outra Arma Dupla A",801,IF(Atletas!T423="Arma Maleável A",802,IF(Atletas!T423="Outra Arma Dupla B",803,IF(Atletas!T423="Arma Maleável B",804,IF(Atletas!T423="Outra Arma Dupla C",805,IF(Atletas!T423="Arma Maleável C",806,IF(Atletas!T423="Outra Arma Dupla D",807,IF(Atletas!T423="Arma Maleável D",808,IF(Atletas!T423="Outra Arma Dupla E",809,IF(Atletas!T423="Arma Maleável E",810,IF(Atletas!T423="Outra Arma Dupla F",811,IF(Atletas!T423="Arma Maleável F",812,IF(Atletas!T423="Shuangdao A",813,IF(Atletas!T423="Shuangdao B",814,IF(Atletas!T423="Shuangdao C",815,IF(Atletas!T423="Shuangdao D",816,IF(Atletas!T423="Shuangdao E",817,IF(Atletas!T423="Shuangdao F",818,"")))))))))))))))))))</f>
        <v/>
      </c>
      <c r="CC432" s="50" t="str">
        <f>IF(Atletas!U423="","",IF(Atletas!X423&lt;&gt;"",10000,0)+IF(Atletas!B423="Feminino",1000,IF(Atletas!B423="Masculino",2000,""))+IF(OR(Atletas!U423="Taijijian Yang A",Atletas!U423="Taijijian Yang Standard A"),901,IF(OR(Atletas!U423="Taijijian Chen A", Atletas!U423="Taijijian Chen Standard A"),902,IF(Atletas!U423="Taijijian Sun A",903,IF(Atletas!U423="Taijijian Wu A",904,IF(Atletas!U423="Taijijian Wu-Hao A",905,IF(OR(Atletas!U423="Taijijian 32 A",Atletas!U423="Taijijian 42 A"),906,IF(OR(Atletas!U423="Taijijian Yang B",Atletas!U423="Taijijian Yang Standard B"),907,IF(OR(Atletas!U423="Taijijian Chen B", Atletas!U423="Taijijian Chen Standard B"),908,IF(Atletas!U423="Taijijian Sun B",909,IF(Atletas!U423="Taijijian Wu B",910,IF(Atletas!U423="Taijijian Wu-Hao B",911,IF(OR(Atletas!U423="Taijijian 32 B",Atletas!U423="Taijijian 42 B"),912,IF(OR(Atletas!U423="Taijijian Yang C",Atletas!U423="Taijijian Yang Standard C"),913,IF(OR(Atletas!U423="Taijijian Chen C", Atletas!U423="Taijijian Chen Standard C"),914,IF(Atletas!U423="Taijijian Sun C",915,IF(Atletas!U423="Taijijian Wu C",916,IF(Atletas!U423="Taijijian Wu-Hao C",917,IF(OR(Atletas!U423="Taijijian 32 C",Atletas!U423="Taijijian 42 C"),918,IF(OR(Atletas!U423="Taijijian Yang D",Atletas!U423="Taijijian Yang Standard D"),919,IF(OR(Atletas!U423="Taijijian Chen D", Atletas!U423="Taijijian Chen Standard D"),920,IF(Atletas!U423="Taijijian Sun D",921,IF(Atletas!U423="Taijijian Wu D",922,IF(Atletas!U423="Taijijian Wu-Hao D",923,IF(OR(Atletas!U423="Taijijian 32 D",Atletas!U423="Taijijian 42 D"),924,IF(OR(Atletas!U423="Taijijian Yang E",Atletas!U423="Taijijian Yang Standard E"),925,IF(OR(Atletas!U423="Taijijian Chen E", Atletas!U423="Taijijian Chen Standard E"),926,IF(Atletas!U423="Taijijian Sun E",927,IF(Atletas!U423="Taijijian Wu E",928,IF(Atletas!U423="Taijijian Wu-Hao E",929,IF(OR(Atletas!U423="Taijijian 32 E",Atletas!U423="Taijijian 42 E"),930,IF(OR(Atletas!U423="Taijijian Yang F",Atletas!U423="Taijijian Yang Standard F"),931,IF(OR(Atletas!U423="Taijijian Chen F", Atletas!U423="Taijijian Chen Standard F"),932,IF(Atletas!U423="Taijijian Sun F",933,IF(Atletas!U423="Taijijian Wu F",934,IF(Atletas!U423="Taijijian Wu-Hao F",935,IF(OR(Atletas!U423="Taijijian 32 F",Atletas!U423="Taijijian 42 F"),936,"")))))))))))))))))))))))))))))))))))))</f>
        <v/>
      </c>
      <c r="CD432" s="50" t="str">
        <f>IF(Atletas!V423="","",IF(Atletas!X423&lt;&gt;"",10000,0)+IF(Atletas!B423="Feminino",1000,IF(Atletas!B423="Masculino",2000,""))+IF(Atletas!V423="Taijidao A",937,IF(Atletas!V423="TaijiShanzi A",938,IF(Atletas!V423="Taijiqiang A",939,IF(Atletas!V423="Bagua de Arma A",940,IF(Atletas!V423="Xingyi de Arma A",941,IF(Atletas!V423="Taijidao B",942,IF(Atletas!V423="TaijiShanzi B",943,IF(Atletas!V423="Taijiqiang B",944,IF(Atletas!V423="Bagua de Arma B",945,IF(Atletas!V423="Xingyi de Arma B",946,IF(Atletas!V423="Taijidao C",947,IF(Atletas!V423="TaijiShanzi C",948,IF(Atletas!V423="Taijiqiang C",949,IF(Atletas!V423="Bagua de Arma C",950,IF(Atletas!V423="Xingyi de Arma C",951,IF(Atletas!V423="Taijidao D",952,IF(Atletas!V423="TaijiShanzi D",953,IF(Atletas!V423="Taijiqiang D",954,IF(Atletas!V423="Bagua de Arma D",955,IF(Atletas!V423="Xingyi de Arma D",956,IF(Atletas!V423="Taijidao E",957,IF(Atletas!V423="TaijiShanzi E",958,IF(Atletas!V423="Taijiqiang E",959,IF(Atletas!V423="Bagua de Arma E",960,IF(Atletas!V423="Xingyi de Arma E",961,IF(Atletas!V423="Taijidao F",962,IF(Atletas!V423="TaijiShanzi F",963,IF(Atletas!V423="Taijiqiang F",964,IF(Atletas!V423="Bagua de Arma F",965,IF(Atletas!V423="Xingyi de Arma F",966,"")))))))))))))))))))))))))))))))</f>
        <v/>
      </c>
      <c r="CM432" s="50" t="str">
        <f xml:space="preserve"> IF(Atletas!W423="","",IF(Atletas!W423="Duilian de Mãos BC - Equipe 1",1,IF(Atletas!W423="Duilian de Mãos BC - Equipe 2",2,IF(Atletas!W423="Duilian de Armas BC - Equipe 1",3,IF(Atletas!W423="Duilian de Armas BC - Equipe 2",4,IF(Atletas!W423="Duilian de Mãos DE - Equipe 1",5,IF(Atletas!W423="Duilian de Mãos DE - Equipe 2",6,IF(Atletas!W423="Duilian de Armas DE - Equipe 1",7,IF(Atletas!W423="Duilian de Armas DE - Equipe 2",8,IF(Atletas!W423="Duilian de Tuishou - Equipe 1",9,IF(Atletas!W423="Duilian de Tuishou - Equipe 2",10,IF(Atletas!W423="Grupo Externo ABC - Equipe 1",11,IF(Atletas!W423="Grupo Externo ABC - Equipe 2",12,IF(Atletas!W423="Grupo Interno ABC - Equipe 1",13,IF(Atletas!W423="Grupo Interno ABC - Equipe 2",14,IF(Atletas!W423="Grupo Externo DEF - Equipe 1",15,IF(Atletas!W423="Grupo Externo DEF - Equipe 2",16,IF(Atletas!W423="Grupo Interno DEF - Equipe 1",17,IF(Atletas!W423="Grupo Interno DEF - Equipe 2",18,"")))))))))))))))))))</f>
        <v/>
      </c>
    </row>
    <row r="433" spans="40:91">
      <c r="AN433" s="52" t="str">
        <f>IF(Atletas!D424="","",IF(Atletas!B424="Feminino",100,IF(Atletas!B424="Masculino",200,""))+(IF(Atletas!D424="Kids 30kg",1,IF(Atletas!D424="Kids 32kg",2, IF(Atletas!D424="Kids 34kg",3,IF(Atletas!D424="Kids 36kg",4,IF(Atletas!D424="Kids 39kg",5,IF(Atletas!D424="Kids 42kg",6,IF(Atletas!D424="Kids 45kg",7, IF(Atletas!D424="Infantil 39kg",8,IF(Atletas!D424="Infantil 42kg",9,IF(Atletas!D424="Infantil 45kg",10,IF(Atletas!D424="Infantil 48kg",11,IF(Atletas!D424="Infantil 52kg",12,IF(Atletas!D424="Infantil 56kg",13,IF(Atletas!D424="Infantil 60kg",14,IF(Atletas!D424="Juvenil 48kg",15,IF(Atletas!D424="Juvenil 52kg",16,IF(Atletas!D424="Juvenil 56kg",17,IF(Atletas!D424="Juvenil 60kg",18,IF(Atletas!D424="Juvenil 65kg",19,IF(Atletas!D424="Juvenil 70kg",20,IF(Atletas!D424="Juvenil 75kg",21,IF(Atletas!D424="Juvenil 80kg",22, IF(Atletas!D424="Juvenil 85kg",23,IF(Atletas!D424="Adulto 48kg",24,IF(Atletas!D424="Adulto 52kg",25,IF(Atletas!D424="Adulto 56kg",26,IF(Atletas!D424="Adulto 60kg",27,IF(Atletas!D424="Adulto 65kg",28,IF(Atletas!D424="Adulto 70kg",29,IF(Atletas!D424="Adulto 75kg",30,IF(Atletas!D424="Adulto 80kg",31,IF(Atletas!D424="Adulto 85kg",32,IF(Atletas!D424="Adulto 90kg",33,IF(Atletas!D424="Adulto 100kg",34, IF(Atletas!D424="Adulto +100kg",35,"")))))))))))))))))))))))))))))))))))))</f>
        <v/>
      </c>
      <c r="AS433" s="6" t="str">
        <f>IF(Atletas!E424="","",IF(Atletas!B424="Feminino",100,IF(Atletas!B424="Masculino",200,""))+(IF(Atletas!E424="Juvenil 44kg",1,IF(Atletas!E424="Juvenil 48kg",2,IF(Atletas!E424="Juvenil 52kg",3,IF(Atletas!E424="Juvenil 56kg",4,IF(Atletas!E424="Juvenil 60kg",5,IF(Atletas!E424="Juvenil 65kg",6,IF(Atletas!E424="Juvenil 70kg",7,IF(Atletas!E424="Juvenil 75kg",8,IF(Atletas!E424="Juvenil 82kg",9,IF(Atletas!E424="Juvenil 90kg",10,IF(Atletas!E424="Juvenil 100kg",11,IF(Atletas!E424="Adulto 48kg",12,IF(Atletas!E424="Adulto 52kg",13,IF(Atletas!E424="Adulto 56kg",14,IF(Atletas!E424="Adulto 60kg",15,IF(Atletas!E424="Adulto 65kg",16,IF(Atletas!E424="Adulto 70kg",17,IF(Atletas!E424="Adulto 75kg",18,IF(Atletas!E424="Adulto 82kg",19,IF(Atletas!E424="Adulto 90kg",20,IF(Atletas!E424="Adulto 100kg",21,IF(Atletas!E424="Adulto +100kg",22,""))))))))))))))))))))))))</f>
        <v/>
      </c>
      <c r="AX433" s="6" t="str">
        <f>IF(Atletas!F424="","",IF(Atletas!B424="Feminino",100,IF(Atletas!B424="Masculino",200,""))+(IF(Atletas!F424="Adulto 48kg",1,IF(Atletas!F424="Adulto 56kg",2,IF(Atletas!F424="Adulto 65kg",3,IF(Atletas!F424="Adulto 75kg",4,IF(Atletas!F424="Adulto +75kg",5,IF(Atletas!F424="Adulto 52kg",6,IF(Atletas!F424="Adulto 60kg",7,IF(Atletas!F424="Adulto 70kg",8,IF(Atletas!F424="Adulto 80kg",9,IF(Atletas!F424="Adulto 90kg",10,IF(Atletas!F424="Adulto +90kg",11,"")))))))))))))</f>
        <v/>
      </c>
      <c r="BC433" s="6" t="str">
        <f>IF(Atletas!G424="","",IF(Atletas!B424="Feminino",10,IF(Atletas!B424="Masculino",20,""))+(IF(Atletas!G424="Baduanjin A",1,IF(Atletas!G424="Baduanjin B",2))))</f>
        <v/>
      </c>
      <c r="BF433" s="52" t="str">
        <f>IF(Atletas!H424="","",IF(Atletas!B424="Feminino",100,IF(Atletas!B424="Masculino",200,""))+(IF(Atletas!H424="Changquan Mirim",1,IF(Atletas!H424="Nanquan Mirim",2,IF(Atletas!H424="Taijiquan Mirim",3,IF(Atletas!H424="Changquan Grupo C",4,IF(Atletas!H424="Nanquan Grupo C",5,IF(Atletas!H424="Taijiquan Grupo C",6,IF(Atletas!H424="Changquan Grupo B",7,IF(Atletas!H424="Nanquan Grupo B",8,IF(Atletas!H424="Taijiquan Grupo B",9,IF(Atletas!H424="Changquan Grupo A",10,IF(Atletas!H424="Nanquan Grupo A",11,IF(Atletas!H424="Taijiquan Grupo A",12,IF(Atletas!H424="Changquan Opcional",13,IF(Atletas!H424="Nanquan Opcional",14,IF(Atletas!H424="Taijiquan Opcional",15,IF(Atletas!H424="Changquan Adulto",16,IF(Atletas!H424="Nanquan Adulto",17,IF(Atletas!H424="Taijiquan Adulto",18,""))))))))))))))))))))</f>
        <v/>
      </c>
      <c r="BG433" s="52" t="str">
        <f>IF(Atletas!I424="","",IF(Atletas!B424="Feminino",100,IF(Atletas!B424="Masculino",200,""))+(IF(Atletas!I424="Daoshu Mirim",19,IF(Atletas!I424="Jianshu Mirim",20,IF(Atletas!I424="Nandao Mirim",21,IF(Atletas!I424="Taijijian Mirim",22,IF(Atletas!I424="Daoshu Grupo C",23,IF(Atletas!I424="Jianshu Grupo C",24,IF(Atletas!I424="Nandao Grupo C",25,IF(Atletas!I424="Taijijian Grupo C",26,IF(Atletas!I424="Daoshu Grupo B",27,IF(Atletas!I424="Jianshu Grupo B",28,IF(Atletas!I424="Nandao Grupo B",29,IF(Atletas!I424="Taijijian Grupo B",30,IF(Atletas!I424="Daoshu Grupo A",31,IF(Atletas!I424="Jianshu Grupo A",32,IF(Atletas!I424="Nandao Grupo A",33,IF(Atletas!I424="Taijijian Grupo A",34,IF(Atletas!I424="Daoshu Opcional",35,IF(Atletas!I424="Jianshu Opcional",36,IF(Atletas!I424="Nandao Opcional",37,IF(Atletas!I424="Taijijian Opcional",38,IF(Atletas!I424="Daoshu Adulto",39,IF(Atletas!I424="Jianshu Adulto",40,IF(Atletas!I424="Nandao Adulto",41,IF(Atletas!I424="Taijijian Adulto",42,""))))))))))))))))))))))))))</f>
        <v/>
      </c>
      <c r="BH433" s="52" t="str">
        <f>IF(Atletas!J424="","",IF(Atletas!B424="Feminino",100,IF(Atletas!B424="Masculino",200,""))+(IF(Atletas!J424="Gunshu Mirim",43,IF(Atletas!J424="Qiangshu Mirim",44,IF(Atletas!J424="Nangun Mirim",45,IF(Atletas!J424="Gunshu Grupo C",46,IF(Atletas!J424="Qiangshu Grupo C",47,IF(Atletas!J424="Nangun Grupo C",48,IF(Atletas!J424="Gunshu Grupo B",49,IF(Atletas!J424="Qiangshu Grupo B",50,IF(Atletas!J424="Nangun Grupo B",51,IF(Atletas!J424="Gunshu Grupo A",52,IF(Atletas!J424="Qiangshu Grupo A",53,IF(Atletas!J424="Nangun Grupo A",54,IF(Atletas!J424="Gunshu Opcional",55,IF(Atletas!J424="Qiangshu Opcional",56,IF(Atletas!J424="Nangun Opcional",57,IF(Atletas!J424="Gunshu Adulto",58,IF(Atletas!J424="Qiangshu Adulto",59,IF(Atletas!J424="Nangun Adulto",60,IF(Atletas!J424="Taijishan Grupo B",61,IF(Atletas!J424="Taijishan Grupo A",62,""))))))))))))))))))))))</f>
        <v/>
      </c>
      <c r="BM433" s="50" t="str">
        <f>IF(Atletas!K424="","",IF(Atletas!B424="Feminino",100,IF(Atletas!B424="Masculino",200,""))+(IF(Atletas!K424="Equipe 1 Grupo B",1,IF(Atletas!K424="Equipe 2 Grupo B",2,IF(Atletas!K424="Equipe 1 Grupo A",3,IF(Atletas!K424="Equipe 2 Grupo A",4,IF(Atletas!K424="Equipe 1 Adulto",5,IF(Atletas!K424="Equipe 2 Adulto",6,""))))))))</f>
        <v/>
      </c>
      <c r="BR433" s="50" t="str">
        <f>IF(Atletas!L424="","",IF(Atletas!X424&lt;&gt;"",10000,0)+(IF(Atletas!B424="Feminino",1000,IF(Atletas!B424="Masculino",2000,""))+IF(Atletas!L424="Choylayfut A",1,IF(Atletas!L424="Hunggar A",2,IF(Atletas!L424="Wuzuquan A",3,IF(Atletas!L424="Wingchun A",4,IF(Atletas!L424="Outra Mão de Sul A",5,IF(Atletas!L424="Choylayfut B",6,IF(Atletas!L424="Hunggar B",7,IF(Atletas!L424="Wuzuquan B",8,IF(Atletas!L424="Wingchun B",9,IF(Atletas!L424="Outra Mão de Sul B",10,IF(Atletas!L424="Choylayfut C",11,IF(Atletas!L424="Hunggar C",12,IF(Atletas!L424="Wuzuquan C",13,IF(Atletas!L424="Wingchun C",14,IF(Atletas!L424="Outra Mão de Sul C",15,IF(Atletas!L424="Choylayfut D",16,IF(Atletas!L424="Hunggar D",17,IF(Atletas!L424="Wuzuquan D",18,IF(Atletas!L424="Wingchun D",19,IF(Atletas!L424="Outra Mão de Sul D",20,IF(Atletas!L424="Choylayfut E",21,IF(Atletas!L424="Hunggar E",22,IF(Atletas!L424="Wuzuquan E",23,IF(Atletas!L424="Wingchun E",24,IF(Atletas!L424="Outra Mão de Sul E",25,IF(Atletas!L424="Choylayfut F",26,IF(Atletas!L424="Hunggar F",27,IF(Atletas!L424="Wuzuquan F",28,IF(Atletas!L424="Wingchun F",29,IF(Atletas!L424="Outra Mão de Sul F",30,IF(Atletas!L424="Dishuquan A",31,IF(Atletas!L424="Dishuquan B",32,IF(Atletas!L424="Dishuquan C",33,IF(Atletas!L424="Dishuquan D",34,IF(Atletas!L424="Dishuquan E",35,IF(Atletas!L424="Dishuquan F",36,""))))))))))))))))))))))))))))))))))))))</f>
        <v/>
      </c>
      <c r="BS433" s="50" t="str">
        <f>IF(Atletas!M424="","",IF(Atletas!X424&lt;&gt;"",10000,0)+(IF(Atletas!B424="Feminino",1000,IF(Atletas!B424="Masculino",2000,""))+(IF(Atletas!M424="Chaquan A",101,IF(Atletas!M424="Emeiquan A",102,IF(Atletas!M424="Fanziquan A",103,IF(Atletas!M424="Huaquan A",104,IF(Atletas!M424="Hongquan A",105,IF(Atletas!M424="Paoquan A",106,IF(Atletas!M424="Piguaquan A",107,IF(Atletas!M424="Shaolinquan A",108,IF(Atletas!M424="Tanglangquan A",109,IF(Atletas!M424="Yingzhaoquan A",110,IF(Atletas!M424="Tongbeiquan A",111,IF(Atletas!M424="Wudangquan A",112,IF(Atletas!M424="Outros Estilos A",113,IF(Atletas!M424="Chaquan B",114,IF(Atletas!M424="Emeiquan B",115,IF(Atletas!M424="Fanziquan B",116,IF(Atletas!M424="Huaquan B",117,IF(Atletas!M424="Hongquan B",118,IF(Atletas!M424="Paoquan B",119,IF(Atletas!M424="Piguaquan B",120,IF(Atletas!M424="Shaolinquan B",121,IF(Atletas!M424="Tanglangquan B",122,IF(Atletas!M424="Yingzhaoquan B",123,IF(Atletas!M424="Tongbeiquan B",124,IF(Atletas!M424="Wudangquan B",125,IF(Atletas!M424="Outros Estilos B",126,IF(Atletas!M424="Chaquan C",127,IF(Atletas!M424="Emeiquan C",128,IF(Atletas!M424="Fanziquan C",129,IF(Atletas!M424="Huaquan C",130,IF(Atletas!M424="Hongquan C",131,IF(Atletas!M424="Paoquan C",132,IF(Atletas!M424="Piguaquan C",133,IF(Atletas!M424="Shaolinquan C",134,IF(Atletas!M424="Tanglangquan C",135,IF(Atletas!M424="Yingzhaoquan C",136,IF(Atletas!M424="Tongbeiquan C",137,IF(Atletas!M424="Wudangquan C",138,IF(Atletas!M424="Outros Estilos C",139,0))))))))))))))))))))))))))))))))))))))))))</f>
        <v/>
      </c>
      <c r="BT433" s="50" t="str">
        <f>IF(Atletas!M424="","",IF(Atletas!X424&lt;&gt;"",10000,0)+(IF(Atletas!B424="Feminino",1000,IF(Atletas!B424="Masculino",2000,""))+(IF(Atletas!M424="Chaquan D",140,IF(Atletas!M424="Emeiquan D",141,IF(Atletas!M424="Fanziquan D",142,IF(Atletas!M424="Huaquan D",143,IF(Atletas!M424="Hongquan D",144,IF(Atletas!M424="Paoquan D",145,IF(Atletas!M424="Piguaquan D",146,IF(Atletas!M424="Shaolinquan D",147,IF(Atletas!M424="Tanglangquan D",148,IF(Atletas!M424="Yingzhaoquan D",149,IF(Atletas!M424="Tongbeiquan D",150,IF(Atletas!M424="Wudangquan D",151,IF(Atletas!M424="Outros Estilos D",152,IF(Atletas!M424="Chaquan E",153,IF(Atletas!M424="Emeiquan E",154,IF(Atletas!M424="Fanziquan E",155,IF(Atletas!M424="Huaquan E",156,IF(Atletas!M424="Hongquan E",157,IF(Atletas!M424="Paoquan E",158,IF(Atletas!M424="Piguaquan E",159,IF(Atletas!M424="Shaolinquan E",160,IF(Atletas!M424="Tanglangquan E",161,IF(Atletas!M424="Yingzhaoquan E",162,IF(Atletas!M424="Tongbeiquan E",163,IF(Atletas!M424="Wudangquan E",164,IF(Atletas!M424="Outros Estilos E",165,IF(Atletas!M424="Chaquan F",166,IF(Atletas!M424="Emeiquan F",167,IF(Atletas!M424="Fanziquan F",168,IF(Atletas!M424="Huaquan F",169,IF(Atletas!M424="Hongquan F",170,IF(Atletas!M424="Paoquan F",171,IF(Atletas!M424="Piguaquan F",172,IF(Atletas!M424="Shaolinquan F",173,IF(Atletas!M424="Tanglangquan F",174,IF(Atletas!M424="Yingzhaoquan F",175,IF(Atletas!M424="Tongbeiquan F",176,IF(Atletas!M424="Wudangquan F",177,IF(Atletas!M424="Outros Estilos F",178,0))))))))))))))))))))))))))))))))))))))))))</f>
        <v/>
      </c>
      <c r="BU433" s="50" t="str">
        <f>IF(Atletas!N424="","",IF(Atletas!X424&lt;&gt;"",10000,0)+(IF(Atletas!B424="Feminino",1000,IF(Atletas!B424="Masculino",2000,""))+(IF(Atletas!N424="Ditangquan A",201,IF(Atletas!N424="Houquan A",202,IF(Atletas!N424="Zuiquan A",203,IF(Atletas!N424="Ditangquan B",204,IF(Atletas!N424="Houquan B",205,IF(Atletas!N424="Zuiquan B",206,IF(Atletas!N424="Ditangquan C",207,IF(Atletas!N424="Houquan C",208,IF(Atletas!N424="Zuiquan C",209,IF(Atletas!N424="Ditangquan D",210,IF(Atletas!N424="Houquan D",211,IF(Atletas!N424="Zuiquan D",212,IF(Atletas!N424="Ditangquan E",213,IF(Atletas!N424="Houquan E",214,IF(Atletas!N424="Zuiquan E",215,IF(Atletas!N424="Ditangquan F",216,IF(Atletas!N424="Houquan F",217,IF(Atletas!N424="Zuiquan F",218,"")))))))))))))))))))))</f>
        <v/>
      </c>
      <c r="BV433" s="50" t="str">
        <f>IF(Atletas!O424="","",IF(Atletas!X424&lt;&gt;"",10000,0)+IF(Atletas!B424="Feminino",1000,IF(Atletas!B424="Masculino",2000,""))+IF(Atletas!O424="Yang A",301,IF(Atletas!O424="Chen A",302,IF(Atletas!O424="Sun A",303,IF(Atletas!O424="Wu A",304,IF(Atletas!O424="Wu-Hao A",305,IF(Atletas!O424="Outro Taijiquan A",306,IF(Atletas!O424="Yang B",307,IF(Atletas!O424="Chen B",308,IF(Atletas!O424="Sun B",309,IF(Atletas!O424="Wu B",310,IF(Atletas!O424="Wu-Hao B",311,IF(Atletas!O424="Outro Taijiquan B",312,IF(Atletas!O424="Yang C",313,IF(Atletas!O424="Chen C",314,IF(Atletas!O424="Sun C",315,IF(Atletas!O424="Wu C",316,IF(Atletas!O424="Wu-Hao C",317,IF(Atletas!O424="Outro Taijiquan C",318,IF(Atletas!O424="Yang D",319,IF(Atletas!O424="Chen D",320,IF(Atletas!O424="Sun D",321,IF(Atletas!O424="Wu D",322,IF(Atletas!O424="Wu-Hao D",323,IF(Atletas!O424="Outro Taijiquan D",324,IF(Atletas!O424="Yang E",325,IF(Atletas!O424="Chen E",326,IF(Atletas!O424="Sun E",327,IF(Atletas!O424="Wu E",328,IF(Atletas!O424="Wu-Hao E",329,IF(Atletas!O424="Outro Taijiquan E",330,IF(Atletas!O424="Yang F",331,IF(Atletas!O424="Chen F",332,IF(Atletas!O424="Sun F",333,IF(Atletas!O424="Wu F",334,IF(Atletas!O424="Wu-Hao F",335,IF(Atletas!O424="Outro Taijiquan F",336,"")))))))))))))))))))))))))))))))))))))</f>
        <v/>
      </c>
      <c r="BW433" s="50" t="str">
        <f>IF(Atletas!P424="","",IF(Atletas!X424&lt;&gt;"",10000,0)+IF(Atletas!B424="Feminino",1000,IF(Atletas!B424="Masculino",2000,""))+IF(OR(Atletas!P424="Yang 26 A",Atletas!P424="Yang 40 A"),401,IF(OR(Atletas!P424="Chen 25 A",Atletas!P424="Chen 36 A",Atletas!P424="Chen 56 A"),402,IF(Atletas!P424="Sun 73 A",403,IF(Atletas!P424="Wu 45 A",404,IF(Atletas!P424="Wu-Hao 46 A",405,IF(OR(Atletas!P424="Taijiquan 16 A",Atletas!P424="Taijiquan 24 A",Atletas!P424="Taijiquan 32 A",Atletas!P424="Taijiquan 42 A"),406,IF(OR(Atletas!P424="Yang 26 B",Atletas!P424="Yang 40 B"),407,IF(OR(Atletas!P424="Chen 25 B",Atletas!P424="Chen 36 B",Atletas!P424="Chen 56 B"),408,IF(Atletas!P424="Sun 73 B",409,IF(Atletas!P424="Wu 45 B",410,IF(Atletas!P424="Wu-Hao 46 B",411,IF(OR(Atletas!P424="Taijiquan 16 B",Atletas!P424="Taijiquan 24 B",Atletas!P424="Taijiquan 32 B",Atletas!P424="Taijiquan 42 B"),412,IF(OR(Atletas!P424="Yang 26 C",Atletas!P424="Yang 40 C"),413,IF(OR(Atletas!P424="Chen 25 C",Atletas!P424="Chen 36 C",Atletas!P424="Chen 56 C"),414,IF(Atletas!P424="Sun 73 C",415,IF(Atletas!P424="Wu 45 C",416,IF(Atletas!P424="Wu-Hao 46 C",417,IF(OR(Atletas!P424="Taijiquan 16 C",Atletas!P424="Taijiquan 24 C",Atletas!P424="Taijiquan 32 C",Atletas!P424="Taijiquan 42 C"),418,0)))))))))))))))))))</f>
        <v/>
      </c>
      <c r="BX433" s="50" t="str">
        <f>IF(Atletas!P424="","",IF(Atletas!X424&lt;&gt;"",10000,0)+IF(Atletas!B424="Feminino",1000,IF(Atletas!B424="Masculino",2000,""))+IF(OR(Atletas!P424="Yang 26 D",Atletas!P424="Yang 40 D"),419,IF(OR(Atletas!P424="Chen 25 D",Atletas!P424="Chen 36 D",Atletas!P424="Chen 56 D"),420,IF(Atletas!P424="Sun 73 D",421,IF(Atletas!P424="Wu 45 D",422,IF(Atletas!P424="Wu-Hao 46 D",423,IF(OR(Atletas!P424="Taijiquan 16 D",Atletas!P424="Taijiquan 24 D",Atletas!P424="Taijiquan 32 D",Atletas!P424="Taijiquan 42 D"),424,IF(OR(Atletas!P424="Yang 26 E",Atletas!P424="Yang 40 E"),425,IF(OR(Atletas!P424="Chen 25 E",Atletas!P424="Chen 36 E",Atletas!P424="Chen 56 E"),426,IF(Atletas!P424="Sun 73 E",427,IF(Atletas!P424="Wu 45 E",428,IF(Atletas!P424="Wu-Hao 46 E",429,IF(OR(Atletas!P424="Taijiquan 16 E",Atletas!P424="Taijiquan 24 E",Atletas!P424="Taijiquan 32 E",Atletas!P424="Taijiquan 42 E"),430,IF(OR(Atletas!P424="Yang 26 F",Atletas!P424="Yang 40 F"),431,IF(OR(Atletas!P424="Chen 25 F",Atletas!P424="Chen 36 F",Atletas!P424="Chen 56 F"),432,IF(Atletas!P424="Sun 73 F",433,IF(Atletas!P424="Wu 45 F",434,IF(Atletas!P424="Wu-Hao 46 F",435,IF(OR(Atletas!P424="Taijiquan 16 F",Atletas!P424="Taijiquan 24 F",Atletas!P424="Taijiquan 32 F",Atletas!P424="Taijiquan 42 F"),436,0)))))))))))))))))))</f>
        <v/>
      </c>
      <c r="BY433" s="50" t="str">
        <f>IF(Atletas!Q424="","",IF(Atletas!X424&lt;&gt;"",10000,0)+IF(Atletas!B424="Feminino",1000,IF(Atletas!B424="Masculino",2000,""))+IF(Atletas!Q424="Xingyiquan A",501,IF(Atletas!Q424="Baguazhang A",502,IF(Atletas!Q424="Outro Estilo Interno A",503,IF(Atletas!Q424="Xingyiquan B",504,IF(Atletas!Q424="Baguazhang B",505,IF(Atletas!Q424="Outro Estilo Interno B",506,IF(Atletas!Q424="Xingyiquan C",507,IF(Atletas!Q424="Baguazhang C",508,IF(Atletas!Q424="Outro Estilo Interno C",509,IF(Atletas!Q424="Xingyiquan D",510,IF(Atletas!Q424="Baguazhang D",511,IF(Atletas!Q424="Outro Estilo Interno D",512,IF(Atletas!Q424="Xingyiquan E",513,IF(Atletas!Q424="Baguazhang E",514,IF(Atletas!Q424="Outro Estilo Interno E",515,IF(Atletas!Q424="Xingyiquan F",516,IF(Atletas!Q424="Baguazhang F",517,IF(Atletas!Q424="Outro Estilo Interno F",518, "")))))))))))))))))))</f>
        <v/>
      </c>
      <c r="BZ433" s="50" t="str">
        <f>IF(Atletas!R424="","",IF(Atletas!X424&lt;&gt;"",10000,0)+IF(Atletas!B424="Feminino",1000,IF(Atletas!B424="Masculino",2000,""))+IF(Atletas!R424="Dao A",601,IF(Atletas!R424="Jian A",602,IF(Atletas!R424="Bishou A",603,IF(Atletas!R424="Shanzi A",604,IF(Atletas!R424="Outra Arma Curta A",605,IF(Atletas!R424="Dao B",606,IF(Atletas!R424="Jian B",607,IF(Atletas!R424="Bishou B",608,IF(Atletas!R424="Shanzi B",609,IF(Atletas!R424="Outra Arma Curta B",610,IF(Atletas!R424="Dao C",611,IF(Atletas!R424="Jian C",612,IF(Atletas!R424="Bishou C",613,IF(Atletas!R424="Shanzi C",614,IF(Atletas!R424="Outra Arma Curta C",615,IF(Atletas!R424="Dao D",616,IF(Atletas!R424="Jian D",617,IF(Atletas!R424="Bishou D",618,IF(Atletas!R424="Shanzi D",619,IF(Atletas!R424="Outra Arma Curta D",620,IF(Atletas!R424="Dao E",621,IF(Atletas!R424="Jian E",622,IF(Atletas!R424="Bishou E",623,IF(Atletas!R424="Shanzi E",624,IF(Atletas!R424="Outra Arma Curta E",625,IF(Atletas!R424="Dao F",626,IF(Atletas!R424="Jian F",627,IF(Atletas!R424="Bishou F",628,IF(Atletas!R424="Shanzi F",629,IF(Atletas!R424="Outra Arma Curta F",630, "")))))))))))))))))))))))))))))))</f>
        <v/>
      </c>
      <c r="CA433" s="50" t="str">
        <f>IF(Atletas!S424="","",IF(Atletas!X424&lt;&gt;"",10000,0)+IF(Atletas!B424="Feminino",1000,IF(Atletas!B424="Masculino",2000,""))+IF(Atletas!S424="Gun A",701,IF(Atletas!S424="Qiang A",702,IF(Atletas!S424="Pudao / Guandao A",703,IF(Atletas!S424="Outra Arma Longa A",704,IF(Atletas!S424="Gun B",705,IF(Atletas!S424="Qiang B",706,IF(Atletas!S424="Pudao / Guandao B",707,IF(Atletas!S424="Outra Arma Longa B",708,IF(Atletas!S424="Gun C",709,IF(Atletas!S424="Qiang C",710,IF(Atletas!S424="Pudao / Guandao C",711,IF(Atletas!S424="Outra Arma Longa C",712,IF(Atletas!S424="Gun D",713,IF(Atletas!S424="Qiang D",714,IF(Atletas!S424="Pudao / Guandao D",715,IF(Atletas!S424="Outra Arma Longa D",716,IF(Atletas!S424="Gun E",717,IF(Atletas!S424="Qiang E",718,IF(Atletas!S424="Pudao / Guandao E",719,IF(Atletas!S424="Outra Arma Longa E",720,IF(Atletas!S424="Gun F",721,IF(Atletas!S424="Qiang F",722,IF(Atletas!S424="Pudao / Guandao F",723,IF(Atletas!S424="Outra Arma Longa F",724,"")))))))))))))))))))))))))</f>
        <v/>
      </c>
      <c r="CB433" s="50" t="str">
        <f>IF(Atletas!T424="","",IF(Atletas!X424&lt;&gt;"",10000,0)+IF(Atletas!B424="Feminino",1000,IF(Atletas!B424="Masculino",2000,""))+IF(Atletas!T424="Outra Arma Dupla A",801,IF(Atletas!T424="Arma Maleável A",802,IF(Atletas!T424="Outra Arma Dupla B",803,IF(Atletas!T424="Arma Maleável B",804,IF(Atletas!T424="Outra Arma Dupla C",805,IF(Atletas!T424="Arma Maleável C",806,IF(Atletas!T424="Outra Arma Dupla D",807,IF(Atletas!T424="Arma Maleável D",808,IF(Atletas!T424="Outra Arma Dupla E",809,IF(Atletas!T424="Arma Maleável E",810,IF(Atletas!T424="Outra Arma Dupla F",811,IF(Atletas!T424="Arma Maleável F",812,IF(Atletas!T424="Shuangdao A",813,IF(Atletas!T424="Shuangdao B",814,IF(Atletas!T424="Shuangdao C",815,IF(Atletas!T424="Shuangdao D",816,IF(Atletas!T424="Shuangdao E",817,IF(Atletas!T424="Shuangdao F",818,"")))))))))))))))))))</f>
        <v/>
      </c>
      <c r="CC433" s="50" t="str">
        <f>IF(Atletas!U424="","",IF(Atletas!X424&lt;&gt;"",10000,0)+IF(Atletas!B424="Feminino",1000,IF(Atletas!B424="Masculino",2000,""))+IF(OR(Atletas!U424="Taijijian Yang A",Atletas!U424="Taijijian Yang Standard A"),901,IF(OR(Atletas!U424="Taijijian Chen A", Atletas!U424="Taijijian Chen Standard A"),902,IF(Atletas!U424="Taijijian Sun A",903,IF(Atletas!U424="Taijijian Wu A",904,IF(Atletas!U424="Taijijian Wu-Hao A",905,IF(OR(Atletas!U424="Taijijian 32 A",Atletas!U424="Taijijian 42 A"),906,IF(OR(Atletas!U424="Taijijian Yang B",Atletas!U424="Taijijian Yang Standard B"),907,IF(OR(Atletas!U424="Taijijian Chen B", Atletas!U424="Taijijian Chen Standard B"),908,IF(Atletas!U424="Taijijian Sun B",909,IF(Atletas!U424="Taijijian Wu B",910,IF(Atletas!U424="Taijijian Wu-Hao B",911,IF(OR(Atletas!U424="Taijijian 32 B",Atletas!U424="Taijijian 42 B"),912,IF(OR(Atletas!U424="Taijijian Yang C",Atletas!U424="Taijijian Yang Standard C"),913,IF(OR(Atletas!U424="Taijijian Chen C", Atletas!U424="Taijijian Chen Standard C"),914,IF(Atletas!U424="Taijijian Sun C",915,IF(Atletas!U424="Taijijian Wu C",916,IF(Atletas!U424="Taijijian Wu-Hao C",917,IF(OR(Atletas!U424="Taijijian 32 C",Atletas!U424="Taijijian 42 C"),918,IF(OR(Atletas!U424="Taijijian Yang D",Atletas!U424="Taijijian Yang Standard D"),919,IF(OR(Atletas!U424="Taijijian Chen D", Atletas!U424="Taijijian Chen Standard D"),920,IF(Atletas!U424="Taijijian Sun D",921,IF(Atletas!U424="Taijijian Wu D",922,IF(Atletas!U424="Taijijian Wu-Hao D",923,IF(OR(Atletas!U424="Taijijian 32 D",Atletas!U424="Taijijian 42 D"),924,IF(OR(Atletas!U424="Taijijian Yang E",Atletas!U424="Taijijian Yang Standard E"),925,IF(OR(Atletas!U424="Taijijian Chen E", Atletas!U424="Taijijian Chen Standard E"),926,IF(Atletas!U424="Taijijian Sun E",927,IF(Atletas!U424="Taijijian Wu E",928,IF(Atletas!U424="Taijijian Wu-Hao E",929,IF(OR(Atletas!U424="Taijijian 32 E",Atletas!U424="Taijijian 42 E"),930,IF(OR(Atletas!U424="Taijijian Yang F",Atletas!U424="Taijijian Yang Standard F"),931,IF(OR(Atletas!U424="Taijijian Chen F", Atletas!U424="Taijijian Chen Standard F"),932,IF(Atletas!U424="Taijijian Sun F",933,IF(Atletas!U424="Taijijian Wu F",934,IF(Atletas!U424="Taijijian Wu-Hao F",935,IF(OR(Atletas!U424="Taijijian 32 F",Atletas!U424="Taijijian 42 F"),936,"")))))))))))))))))))))))))))))))))))))</f>
        <v/>
      </c>
      <c r="CD433" s="50" t="str">
        <f>IF(Atletas!V424="","",IF(Atletas!X424&lt;&gt;"",10000,0)+IF(Atletas!B424="Feminino",1000,IF(Atletas!B424="Masculino",2000,""))+IF(Atletas!V424="Taijidao A",937,IF(Atletas!V424="TaijiShanzi A",938,IF(Atletas!V424="Taijiqiang A",939,IF(Atletas!V424="Bagua de Arma A",940,IF(Atletas!V424="Xingyi de Arma A",941,IF(Atletas!V424="Taijidao B",942,IF(Atletas!V424="TaijiShanzi B",943,IF(Atletas!V424="Taijiqiang B",944,IF(Atletas!V424="Bagua de Arma B",945,IF(Atletas!V424="Xingyi de Arma B",946,IF(Atletas!V424="Taijidao C",947,IF(Atletas!V424="TaijiShanzi C",948,IF(Atletas!V424="Taijiqiang C",949,IF(Atletas!V424="Bagua de Arma C",950,IF(Atletas!V424="Xingyi de Arma C",951,IF(Atletas!V424="Taijidao D",952,IF(Atletas!V424="TaijiShanzi D",953,IF(Atletas!V424="Taijiqiang D",954,IF(Atletas!V424="Bagua de Arma D",955,IF(Atletas!V424="Xingyi de Arma D",956,IF(Atletas!V424="Taijidao E",957,IF(Atletas!V424="TaijiShanzi E",958,IF(Atletas!V424="Taijiqiang E",959,IF(Atletas!V424="Bagua de Arma E",960,IF(Atletas!V424="Xingyi de Arma E",961,IF(Atletas!V424="Taijidao F",962,IF(Atletas!V424="TaijiShanzi F",963,IF(Atletas!V424="Taijiqiang F",964,IF(Atletas!V424="Bagua de Arma F",965,IF(Atletas!V424="Xingyi de Arma F",966,"")))))))))))))))))))))))))))))))</f>
        <v/>
      </c>
      <c r="CM433" s="50" t="str">
        <f xml:space="preserve"> IF(Atletas!W424="","",IF(Atletas!W424="Duilian de Mãos BC - Equipe 1",1,IF(Atletas!W424="Duilian de Mãos BC - Equipe 2",2,IF(Atletas!W424="Duilian de Armas BC - Equipe 1",3,IF(Atletas!W424="Duilian de Armas BC - Equipe 2",4,IF(Atletas!W424="Duilian de Mãos DE - Equipe 1",5,IF(Atletas!W424="Duilian de Mãos DE - Equipe 2",6,IF(Atletas!W424="Duilian de Armas DE - Equipe 1",7,IF(Atletas!W424="Duilian de Armas DE - Equipe 2",8,IF(Atletas!W424="Duilian de Tuishou - Equipe 1",9,IF(Atletas!W424="Duilian de Tuishou - Equipe 2",10,IF(Atletas!W424="Grupo Externo ABC - Equipe 1",11,IF(Atletas!W424="Grupo Externo ABC - Equipe 2",12,IF(Atletas!W424="Grupo Interno ABC - Equipe 1",13,IF(Atletas!W424="Grupo Interno ABC - Equipe 2",14,IF(Atletas!W424="Grupo Externo DEF - Equipe 1",15,IF(Atletas!W424="Grupo Externo DEF - Equipe 2",16,IF(Atletas!W424="Grupo Interno DEF - Equipe 1",17,IF(Atletas!W424="Grupo Interno DEF - Equipe 2",18,"")))))))))))))))))))</f>
        <v/>
      </c>
    </row>
    <row r="434" spans="40:91">
      <c r="AN434" s="52" t="str">
        <f>IF(Atletas!D425="","",IF(Atletas!B425="Feminino",100,IF(Atletas!B425="Masculino",200,""))+(IF(Atletas!D425="Kids 30kg",1,IF(Atletas!D425="Kids 32kg",2, IF(Atletas!D425="Kids 34kg",3,IF(Atletas!D425="Kids 36kg",4,IF(Atletas!D425="Kids 39kg",5,IF(Atletas!D425="Kids 42kg",6,IF(Atletas!D425="Kids 45kg",7, IF(Atletas!D425="Infantil 39kg",8,IF(Atletas!D425="Infantil 42kg",9,IF(Atletas!D425="Infantil 45kg",10,IF(Atletas!D425="Infantil 48kg",11,IF(Atletas!D425="Infantil 52kg",12,IF(Atletas!D425="Infantil 56kg",13,IF(Atletas!D425="Infantil 60kg",14,IF(Atletas!D425="Juvenil 48kg",15,IF(Atletas!D425="Juvenil 52kg",16,IF(Atletas!D425="Juvenil 56kg",17,IF(Atletas!D425="Juvenil 60kg",18,IF(Atletas!D425="Juvenil 65kg",19,IF(Atletas!D425="Juvenil 70kg",20,IF(Atletas!D425="Juvenil 75kg",21,IF(Atletas!D425="Juvenil 80kg",22, IF(Atletas!D425="Juvenil 85kg",23,IF(Atletas!D425="Adulto 48kg",24,IF(Atletas!D425="Adulto 52kg",25,IF(Atletas!D425="Adulto 56kg",26,IF(Atletas!D425="Adulto 60kg",27,IF(Atletas!D425="Adulto 65kg",28,IF(Atletas!D425="Adulto 70kg",29,IF(Atletas!D425="Adulto 75kg",30,IF(Atletas!D425="Adulto 80kg",31,IF(Atletas!D425="Adulto 85kg",32,IF(Atletas!D425="Adulto 90kg",33,IF(Atletas!D425="Adulto 100kg",34, IF(Atletas!D425="Adulto +100kg",35,"")))))))))))))))))))))))))))))))))))))</f>
        <v/>
      </c>
      <c r="AS434" s="6" t="str">
        <f>IF(Atletas!E425="","",IF(Atletas!B425="Feminino",100,IF(Atletas!B425="Masculino",200,""))+(IF(Atletas!E425="Juvenil 44kg",1,IF(Atletas!E425="Juvenil 48kg",2,IF(Atletas!E425="Juvenil 52kg",3,IF(Atletas!E425="Juvenil 56kg",4,IF(Atletas!E425="Juvenil 60kg",5,IF(Atletas!E425="Juvenil 65kg",6,IF(Atletas!E425="Juvenil 70kg",7,IF(Atletas!E425="Juvenil 75kg",8,IF(Atletas!E425="Juvenil 82kg",9,IF(Atletas!E425="Juvenil 90kg",10,IF(Atletas!E425="Juvenil 100kg",11,IF(Atletas!E425="Adulto 48kg",12,IF(Atletas!E425="Adulto 52kg",13,IF(Atletas!E425="Adulto 56kg",14,IF(Atletas!E425="Adulto 60kg",15,IF(Atletas!E425="Adulto 65kg",16,IF(Atletas!E425="Adulto 70kg",17,IF(Atletas!E425="Adulto 75kg",18,IF(Atletas!E425="Adulto 82kg",19,IF(Atletas!E425="Adulto 90kg",20,IF(Atletas!E425="Adulto 100kg",21,IF(Atletas!E425="Adulto +100kg",22,""))))))))))))))))))))))))</f>
        <v/>
      </c>
      <c r="AX434" s="6" t="str">
        <f>IF(Atletas!F425="","",IF(Atletas!B425="Feminino",100,IF(Atletas!B425="Masculino",200,""))+(IF(Atletas!F425="Adulto 48kg",1,IF(Atletas!F425="Adulto 56kg",2,IF(Atletas!F425="Adulto 65kg",3,IF(Atletas!F425="Adulto 75kg",4,IF(Atletas!F425="Adulto +75kg",5,IF(Atletas!F425="Adulto 52kg",6,IF(Atletas!F425="Adulto 60kg",7,IF(Atletas!F425="Adulto 70kg",8,IF(Atletas!F425="Adulto 80kg",9,IF(Atletas!F425="Adulto 90kg",10,IF(Atletas!F425="Adulto +90kg",11,"")))))))))))))</f>
        <v/>
      </c>
      <c r="BC434" s="6" t="str">
        <f>IF(Atletas!G425="","",IF(Atletas!B425="Feminino",10,IF(Atletas!B425="Masculino",20,""))+(IF(Atletas!G425="Baduanjin A",1,IF(Atletas!G425="Baduanjin B",2))))</f>
        <v/>
      </c>
      <c r="BF434" s="52" t="str">
        <f>IF(Atletas!H425="","",IF(Atletas!B425="Feminino",100,IF(Atletas!B425="Masculino",200,""))+(IF(Atletas!H425="Changquan Mirim",1,IF(Atletas!H425="Nanquan Mirim",2,IF(Atletas!H425="Taijiquan Mirim",3,IF(Atletas!H425="Changquan Grupo C",4,IF(Atletas!H425="Nanquan Grupo C",5,IF(Atletas!H425="Taijiquan Grupo C",6,IF(Atletas!H425="Changquan Grupo B",7,IF(Atletas!H425="Nanquan Grupo B",8,IF(Atletas!H425="Taijiquan Grupo B",9,IF(Atletas!H425="Changquan Grupo A",10,IF(Atletas!H425="Nanquan Grupo A",11,IF(Atletas!H425="Taijiquan Grupo A",12,IF(Atletas!H425="Changquan Opcional",13,IF(Atletas!H425="Nanquan Opcional",14,IF(Atletas!H425="Taijiquan Opcional",15,IF(Atletas!H425="Changquan Adulto",16,IF(Atletas!H425="Nanquan Adulto",17,IF(Atletas!H425="Taijiquan Adulto",18,""))))))))))))))))))))</f>
        <v/>
      </c>
      <c r="BG434" s="52" t="str">
        <f>IF(Atletas!I425="","",IF(Atletas!B425="Feminino",100,IF(Atletas!B425="Masculino",200,""))+(IF(Atletas!I425="Daoshu Mirim",19,IF(Atletas!I425="Jianshu Mirim",20,IF(Atletas!I425="Nandao Mirim",21,IF(Atletas!I425="Taijijian Mirim",22,IF(Atletas!I425="Daoshu Grupo C",23,IF(Atletas!I425="Jianshu Grupo C",24,IF(Atletas!I425="Nandao Grupo C",25,IF(Atletas!I425="Taijijian Grupo C",26,IF(Atletas!I425="Daoshu Grupo B",27,IF(Atletas!I425="Jianshu Grupo B",28,IF(Atletas!I425="Nandao Grupo B",29,IF(Atletas!I425="Taijijian Grupo B",30,IF(Atletas!I425="Daoshu Grupo A",31,IF(Atletas!I425="Jianshu Grupo A",32,IF(Atletas!I425="Nandao Grupo A",33,IF(Atletas!I425="Taijijian Grupo A",34,IF(Atletas!I425="Daoshu Opcional",35,IF(Atletas!I425="Jianshu Opcional",36,IF(Atletas!I425="Nandao Opcional",37,IF(Atletas!I425="Taijijian Opcional",38,IF(Atletas!I425="Daoshu Adulto",39,IF(Atletas!I425="Jianshu Adulto",40,IF(Atletas!I425="Nandao Adulto",41,IF(Atletas!I425="Taijijian Adulto",42,""))))))))))))))))))))))))))</f>
        <v/>
      </c>
      <c r="BH434" s="52" t="str">
        <f>IF(Atletas!J425="","",IF(Atletas!B425="Feminino",100,IF(Atletas!B425="Masculino",200,""))+(IF(Atletas!J425="Gunshu Mirim",43,IF(Atletas!J425="Qiangshu Mirim",44,IF(Atletas!J425="Nangun Mirim",45,IF(Atletas!J425="Gunshu Grupo C",46,IF(Atletas!J425="Qiangshu Grupo C",47,IF(Atletas!J425="Nangun Grupo C",48,IF(Atletas!J425="Gunshu Grupo B",49,IF(Atletas!J425="Qiangshu Grupo B",50,IF(Atletas!J425="Nangun Grupo B",51,IF(Atletas!J425="Gunshu Grupo A",52,IF(Atletas!J425="Qiangshu Grupo A",53,IF(Atletas!J425="Nangun Grupo A",54,IF(Atletas!J425="Gunshu Opcional",55,IF(Atletas!J425="Qiangshu Opcional",56,IF(Atletas!J425="Nangun Opcional",57,IF(Atletas!J425="Gunshu Adulto",58,IF(Atletas!J425="Qiangshu Adulto",59,IF(Atletas!J425="Nangun Adulto",60,IF(Atletas!J425="Taijishan Grupo B",61,IF(Atletas!J425="Taijishan Grupo A",62,""))))))))))))))))))))))</f>
        <v/>
      </c>
      <c r="BM434" s="50" t="str">
        <f>IF(Atletas!K425="","",IF(Atletas!B425="Feminino",100,IF(Atletas!B425="Masculino",200,""))+(IF(Atletas!K425="Equipe 1 Grupo B",1,IF(Atletas!K425="Equipe 2 Grupo B",2,IF(Atletas!K425="Equipe 1 Grupo A",3,IF(Atletas!K425="Equipe 2 Grupo A",4,IF(Atletas!K425="Equipe 1 Adulto",5,IF(Atletas!K425="Equipe 2 Adulto",6,""))))))))</f>
        <v/>
      </c>
      <c r="BR434" s="50" t="str">
        <f>IF(Atletas!L425="","",IF(Atletas!X425&lt;&gt;"",10000,0)+(IF(Atletas!B425="Feminino",1000,IF(Atletas!B425="Masculino",2000,""))+IF(Atletas!L425="Choylayfut A",1,IF(Atletas!L425="Hunggar A",2,IF(Atletas!L425="Wuzuquan A",3,IF(Atletas!L425="Wingchun A",4,IF(Atletas!L425="Outra Mão de Sul A",5,IF(Atletas!L425="Choylayfut B",6,IF(Atletas!L425="Hunggar B",7,IF(Atletas!L425="Wuzuquan B",8,IF(Atletas!L425="Wingchun B",9,IF(Atletas!L425="Outra Mão de Sul B",10,IF(Atletas!L425="Choylayfut C",11,IF(Atletas!L425="Hunggar C",12,IF(Atletas!L425="Wuzuquan C",13,IF(Atletas!L425="Wingchun C",14,IF(Atletas!L425="Outra Mão de Sul C",15,IF(Atletas!L425="Choylayfut D",16,IF(Atletas!L425="Hunggar D",17,IF(Atletas!L425="Wuzuquan D",18,IF(Atletas!L425="Wingchun D",19,IF(Atletas!L425="Outra Mão de Sul D",20,IF(Atletas!L425="Choylayfut E",21,IF(Atletas!L425="Hunggar E",22,IF(Atletas!L425="Wuzuquan E",23,IF(Atletas!L425="Wingchun E",24,IF(Atletas!L425="Outra Mão de Sul E",25,IF(Atletas!L425="Choylayfut F",26,IF(Atletas!L425="Hunggar F",27,IF(Atletas!L425="Wuzuquan F",28,IF(Atletas!L425="Wingchun F",29,IF(Atletas!L425="Outra Mão de Sul F",30,IF(Atletas!L425="Dishuquan A",31,IF(Atletas!L425="Dishuquan B",32,IF(Atletas!L425="Dishuquan C",33,IF(Atletas!L425="Dishuquan D",34,IF(Atletas!L425="Dishuquan E",35,IF(Atletas!L425="Dishuquan F",36,""))))))))))))))))))))))))))))))))))))))</f>
        <v/>
      </c>
      <c r="BS434" s="50" t="str">
        <f>IF(Atletas!M425="","",IF(Atletas!X425&lt;&gt;"",10000,0)+(IF(Atletas!B425="Feminino",1000,IF(Atletas!B425="Masculino",2000,""))+(IF(Atletas!M425="Chaquan A",101,IF(Atletas!M425="Emeiquan A",102,IF(Atletas!M425="Fanziquan A",103,IF(Atletas!M425="Huaquan A",104,IF(Atletas!M425="Hongquan A",105,IF(Atletas!M425="Paoquan A",106,IF(Atletas!M425="Piguaquan A",107,IF(Atletas!M425="Shaolinquan A",108,IF(Atletas!M425="Tanglangquan A",109,IF(Atletas!M425="Yingzhaoquan A",110,IF(Atletas!M425="Tongbeiquan A",111,IF(Atletas!M425="Wudangquan A",112,IF(Atletas!M425="Outros Estilos A",113,IF(Atletas!M425="Chaquan B",114,IF(Atletas!M425="Emeiquan B",115,IF(Atletas!M425="Fanziquan B",116,IF(Atletas!M425="Huaquan B",117,IF(Atletas!M425="Hongquan B",118,IF(Atletas!M425="Paoquan B",119,IF(Atletas!M425="Piguaquan B",120,IF(Atletas!M425="Shaolinquan B",121,IF(Atletas!M425="Tanglangquan B",122,IF(Atletas!M425="Yingzhaoquan B",123,IF(Atletas!M425="Tongbeiquan B",124,IF(Atletas!M425="Wudangquan B",125,IF(Atletas!M425="Outros Estilos B",126,IF(Atletas!M425="Chaquan C",127,IF(Atletas!M425="Emeiquan C",128,IF(Atletas!M425="Fanziquan C",129,IF(Atletas!M425="Huaquan C",130,IF(Atletas!M425="Hongquan C",131,IF(Atletas!M425="Paoquan C",132,IF(Atletas!M425="Piguaquan C",133,IF(Atletas!M425="Shaolinquan C",134,IF(Atletas!M425="Tanglangquan C",135,IF(Atletas!M425="Yingzhaoquan C",136,IF(Atletas!M425="Tongbeiquan C",137,IF(Atletas!M425="Wudangquan C",138,IF(Atletas!M425="Outros Estilos C",139,0))))))))))))))))))))))))))))))))))))))))))</f>
        <v/>
      </c>
      <c r="BT434" s="50" t="str">
        <f>IF(Atletas!M425="","",IF(Atletas!X425&lt;&gt;"",10000,0)+(IF(Atletas!B425="Feminino",1000,IF(Atletas!B425="Masculino",2000,""))+(IF(Atletas!M425="Chaquan D",140,IF(Atletas!M425="Emeiquan D",141,IF(Atletas!M425="Fanziquan D",142,IF(Atletas!M425="Huaquan D",143,IF(Atletas!M425="Hongquan D",144,IF(Atletas!M425="Paoquan D",145,IF(Atletas!M425="Piguaquan D",146,IF(Atletas!M425="Shaolinquan D",147,IF(Atletas!M425="Tanglangquan D",148,IF(Atletas!M425="Yingzhaoquan D",149,IF(Atletas!M425="Tongbeiquan D",150,IF(Atletas!M425="Wudangquan D",151,IF(Atletas!M425="Outros Estilos D",152,IF(Atletas!M425="Chaquan E",153,IF(Atletas!M425="Emeiquan E",154,IF(Atletas!M425="Fanziquan E",155,IF(Atletas!M425="Huaquan E",156,IF(Atletas!M425="Hongquan E",157,IF(Atletas!M425="Paoquan E",158,IF(Atletas!M425="Piguaquan E",159,IF(Atletas!M425="Shaolinquan E",160,IF(Atletas!M425="Tanglangquan E",161,IF(Atletas!M425="Yingzhaoquan E",162,IF(Atletas!M425="Tongbeiquan E",163,IF(Atletas!M425="Wudangquan E",164,IF(Atletas!M425="Outros Estilos E",165,IF(Atletas!M425="Chaquan F",166,IF(Atletas!M425="Emeiquan F",167,IF(Atletas!M425="Fanziquan F",168,IF(Atletas!M425="Huaquan F",169,IF(Atletas!M425="Hongquan F",170,IF(Atletas!M425="Paoquan F",171,IF(Atletas!M425="Piguaquan F",172,IF(Atletas!M425="Shaolinquan F",173,IF(Atletas!M425="Tanglangquan F",174,IF(Atletas!M425="Yingzhaoquan F",175,IF(Atletas!M425="Tongbeiquan F",176,IF(Atletas!M425="Wudangquan F",177,IF(Atletas!M425="Outros Estilos F",178,0))))))))))))))))))))))))))))))))))))))))))</f>
        <v/>
      </c>
      <c r="BU434" s="50" t="str">
        <f>IF(Atletas!N425="","",IF(Atletas!X425&lt;&gt;"",10000,0)+(IF(Atletas!B425="Feminino",1000,IF(Atletas!B425="Masculino",2000,""))+(IF(Atletas!N425="Ditangquan A",201,IF(Atletas!N425="Houquan A",202,IF(Atletas!N425="Zuiquan A",203,IF(Atletas!N425="Ditangquan B",204,IF(Atletas!N425="Houquan B",205,IF(Atletas!N425="Zuiquan B",206,IF(Atletas!N425="Ditangquan C",207,IF(Atletas!N425="Houquan C",208,IF(Atletas!N425="Zuiquan C",209,IF(Atletas!N425="Ditangquan D",210,IF(Atletas!N425="Houquan D",211,IF(Atletas!N425="Zuiquan D",212,IF(Atletas!N425="Ditangquan E",213,IF(Atletas!N425="Houquan E",214,IF(Atletas!N425="Zuiquan E",215,IF(Atletas!N425="Ditangquan F",216,IF(Atletas!N425="Houquan F",217,IF(Atletas!N425="Zuiquan F",218,"")))))))))))))))))))))</f>
        <v/>
      </c>
      <c r="BV434" s="50" t="str">
        <f>IF(Atletas!O425="","",IF(Atletas!X425&lt;&gt;"",10000,0)+IF(Atletas!B425="Feminino",1000,IF(Atletas!B425="Masculino",2000,""))+IF(Atletas!O425="Yang A",301,IF(Atletas!O425="Chen A",302,IF(Atletas!O425="Sun A",303,IF(Atletas!O425="Wu A",304,IF(Atletas!O425="Wu-Hao A",305,IF(Atletas!O425="Outro Taijiquan A",306,IF(Atletas!O425="Yang B",307,IF(Atletas!O425="Chen B",308,IF(Atletas!O425="Sun B",309,IF(Atletas!O425="Wu B",310,IF(Atletas!O425="Wu-Hao B",311,IF(Atletas!O425="Outro Taijiquan B",312,IF(Atletas!O425="Yang C",313,IF(Atletas!O425="Chen C",314,IF(Atletas!O425="Sun C",315,IF(Atletas!O425="Wu C",316,IF(Atletas!O425="Wu-Hao C",317,IF(Atletas!O425="Outro Taijiquan C",318,IF(Atletas!O425="Yang D",319,IF(Atletas!O425="Chen D",320,IF(Atletas!O425="Sun D",321,IF(Atletas!O425="Wu D",322,IF(Atletas!O425="Wu-Hao D",323,IF(Atletas!O425="Outro Taijiquan D",324,IF(Atletas!O425="Yang E",325,IF(Atletas!O425="Chen E",326,IF(Atletas!O425="Sun E",327,IF(Atletas!O425="Wu E",328,IF(Atletas!O425="Wu-Hao E",329,IF(Atletas!O425="Outro Taijiquan E",330,IF(Atletas!O425="Yang F",331,IF(Atletas!O425="Chen F",332,IF(Atletas!O425="Sun F",333,IF(Atletas!O425="Wu F",334,IF(Atletas!O425="Wu-Hao F",335,IF(Atletas!O425="Outro Taijiquan F",336,"")))))))))))))))))))))))))))))))))))))</f>
        <v/>
      </c>
      <c r="BW434" s="50" t="str">
        <f>IF(Atletas!P425="","",IF(Atletas!X425&lt;&gt;"",10000,0)+IF(Atletas!B425="Feminino",1000,IF(Atletas!B425="Masculino",2000,""))+IF(OR(Atletas!P425="Yang 26 A",Atletas!P425="Yang 40 A"),401,IF(OR(Atletas!P425="Chen 25 A",Atletas!P425="Chen 36 A",Atletas!P425="Chen 56 A"),402,IF(Atletas!P425="Sun 73 A",403,IF(Atletas!P425="Wu 45 A",404,IF(Atletas!P425="Wu-Hao 46 A",405,IF(OR(Atletas!P425="Taijiquan 16 A",Atletas!P425="Taijiquan 24 A",Atletas!P425="Taijiquan 32 A",Atletas!P425="Taijiquan 42 A"),406,IF(OR(Atletas!P425="Yang 26 B",Atletas!P425="Yang 40 B"),407,IF(OR(Atletas!P425="Chen 25 B",Atletas!P425="Chen 36 B",Atletas!P425="Chen 56 B"),408,IF(Atletas!P425="Sun 73 B",409,IF(Atletas!P425="Wu 45 B",410,IF(Atletas!P425="Wu-Hao 46 B",411,IF(OR(Atletas!P425="Taijiquan 16 B",Atletas!P425="Taijiquan 24 B",Atletas!P425="Taijiquan 32 B",Atletas!P425="Taijiquan 42 B"),412,IF(OR(Atletas!P425="Yang 26 C",Atletas!P425="Yang 40 C"),413,IF(OR(Atletas!P425="Chen 25 C",Atletas!P425="Chen 36 C",Atletas!P425="Chen 56 C"),414,IF(Atletas!P425="Sun 73 C",415,IF(Atletas!P425="Wu 45 C",416,IF(Atletas!P425="Wu-Hao 46 C",417,IF(OR(Atletas!P425="Taijiquan 16 C",Atletas!P425="Taijiquan 24 C",Atletas!P425="Taijiquan 32 C",Atletas!P425="Taijiquan 42 C"),418,0)))))))))))))))))))</f>
        <v/>
      </c>
      <c r="BX434" s="50" t="str">
        <f>IF(Atletas!P425="","",IF(Atletas!X425&lt;&gt;"",10000,0)+IF(Atletas!B425="Feminino",1000,IF(Atletas!B425="Masculino",2000,""))+IF(OR(Atletas!P425="Yang 26 D",Atletas!P425="Yang 40 D"),419,IF(OR(Atletas!P425="Chen 25 D",Atletas!P425="Chen 36 D",Atletas!P425="Chen 56 D"),420,IF(Atletas!P425="Sun 73 D",421,IF(Atletas!P425="Wu 45 D",422,IF(Atletas!P425="Wu-Hao 46 D",423,IF(OR(Atletas!P425="Taijiquan 16 D",Atletas!P425="Taijiquan 24 D",Atletas!P425="Taijiquan 32 D",Atletas!P425="Taijiquan 42 D"),424,IF(OR(Atletas!P425="Yang 26 E",Atletas!P425="Yang 40 E"),425,IF(OR(Atletas!P425="Chen 25 E",Atletas!P425="Chen 36 E",Atletas!P425="Chen 56 E"),426,IF(Atletas!P425="Sun 73 E",427,IF(Atletas!P425="Wu 45 E",428,IF(Atletas!P425="Wu-Hao 46 E",429,IF(OR(Atletas!P425="Taijiquan 16 E",Atletas!P425="Taijiquan 24 E",Atletas!P425="Taijiquan 32 E",Atletas!P425="Taijiquan 42 E"),430,IF(OR(Atletas!P425="Yang 26 F",Atletas!P425="Yang 40 F"),431,IF(OR(Atletas!P425="Chen 25 F",Atletas!P425="Chen 36 F",Atletas!P425="Chen 56 F"),432,IF(Atletas!P425="Sun 73 F",433,IF(Atletas!P425="Wu 45 F",434,IF(Atletas!P425="Wu-Hao 46 F",435,IF(OR(Atletas!P425="Taijiquan 16 F",Atletas!P425="Taijiquan 24 F",Atletas!P425="Taijiquan 32 F",Atletas!P425="Taijiquan 42 F"),436,0)))))))))))))))))))</f>
        <v/>
      </c>
      <c r="BY434" s="50" t="str">
        <f>IF(Atletas!Q425="","",IF(Atletas!X425&lt;&gt;"",10000,0)+IF(Atletas!B425="Feminino",1000,IF(Atletas!B425="Masculino",2000,""))+IF(Atletas!Q425="Xingyiquan A",501,IF(Atletas!Q425="Baguazhang A",502,IF(Atletas!Q425="Outro Estilo Interno A",503,IF(Atletas!Q425="Xingyiquan B",504,IF(Atletas!Q425="Baguazhang B",505,IF(Atletas!Q425="Outro Estilo Interno B",506,IF(Atletas!Q425="Xingyiquan C",507,IF(Atletas!Q425="Baguazhang C",508,IF(Atletas!Q425="Outro Estilo Interno C",509,IF(Atletas!Q425="Xingyiquan D",510,IF(Atletas!Q425="Baguazhang D",511,IF(Atletas!Q425="Outro Estilo Interno D",512,IF(Atletas!Q425="Xingyiquan E",513,IF(Atletas!Q425="Baguazhang E",514,IF(Atletas!Q425="Outro Estilo Interno E",515,IF(Atletas!Q425="Xingyiquan F",516,IF(Atletas!Q425="Baguazhang F",517,IF(Atletas!Q425="Outro Estilo Interno F",518, "")))))))))))))))))))</f>
        <v/>
      </c>
      <c r="BZ434" s="50" t="str">
        <f>IF(Atletas!R425="","",IF(Atletas!X425&lt;&gt;"",10000,0)+IF(Atletas!B425="Feminino",1000,IF(Atletas!B425="Masculino",2000,""))+IF(Atletas!R425="Dao A",601,IF(Atletas!R425="Jian A",602,IF(Atletas!R425="Bishou A",603,IF(Atletas!R425="Shanzi A",604,IF(Atletas!R425="Outra Arma Curta A",605,IF(Atletas!R425="Dao B",606,IF(Atletas!R425="Jian B",607,IF(Atletas!R425="Bishou B",608,IF(Atletas!R425="Shanzi B",609,IF(Atletas!R425="Outra Arma Curta B",610,IF(Atletas!R425="Dao C",611,IF(Atletas!R425="Jian C",612,IF(Atletas!R425="Bishou C",613,IF(Atletas!R425="Shanzi C",614,IF(Atletas!R425="Outra Arma Curta C",615,IF(Atletas!R425="Dao D",616,IF(Atletas!R425="Jian D",617,IF(Atletas!R425="Bishou D",618,IF(Atletas!R425="Shanzi D",619,IF(Atletas!R425="Outra Arma Curta D",620,IF(Atletas!R425="Dao E",621,IF(Atletas!R425="Jian E",622,IF(Atletas!R425="Bishou E",623,IF(Atletas!R425="Shanzi E",624,IF(Atletas!R425="Outra Arma Curta E",625,IF(Atletas!R425="Dao F",626,IF(Atletas!R425="Jian F",627,IF(Atletas!R425="Bishou F",628,IF(Atletas!R425="Shanzi F",629,IF(Atletas!R425="Outra Arma Curta F",630, "")))))))))))))))))))))))))))))))</f>
        <v/>
      </c>
      <c r="CA434" s="50" t="str">
        <f>IF(Atletas!S425="","",IF(Atletas!X425&lt;&gt;"",10000,0)+IF(Atletas!B425="Feminino",1000,IF(Atletas!B425="Masculino",2000,""))+IF(Atletas!S425="Gun A",701,IF(Atletas!S425="Qiang A",702,IF(Atletas!S425="Pudao / Guandao A",703,IF(Atletas!S425="Outra Arma Longa A",704,IF(Atletas!S425="Gun B",705,IF(Atletas!S425="Qiang B",706,IF(Atletas!S425="Pudao / Guandao B",707,IF(Atletas!S425="Outra Arma Longa B",708,IF(Atletas!S425="Gun C",709,IF(Atletas!S425="Qiang C",710,IF(Atletas!S425="Pudao / Guandao C",711,IF(Atletas!S425="Outra Arma Longa C",712,IF(Atletas!S425="Gun D",713,IF(Atletas!S425="Qiang D",714,IF(Atletas!S425="Pudao / Guandao D",715,IF(Atletas!S425="Outra Arma Longa D",716,IF(Atletas!S425="Gun E",717,IF(Atletas!S425="Qiang E",718,IF(Atletas!S425="Pudao / Guandao E",719,IF(Atletas!S425="Outra Arma Longa E",720,IF(Atletas!S425="Gun F",721,IF(Atletas!S425="Qiang F",722,IF(Atletas!S425="Pudao / Guandao F",723,IF(Atletas!S425="Outra Arma Longa F",724,"")))))))))))))))))))))))))</f>
        <v/>
      </c>
      <c r="CB434" s="50" t="str">
        <f>IF(Atletas!T425="","",IF(Atletas!X425&lt;&gt;"",10000,0)+IF(Atletas!B425="Feminino",1000,IF(Atletas!B425="Masculino",2000,""))+IF(Atletas!T425="Outra Arma Dupla A",801,IF(Atletas!T425="Arma Maleável A",802,IF(Atletas!T425="Outra Arma Dupla B",803,IF(Atletas!T425="Arma Maleável B",804,IF(Atletas!T425="Outra Arma Dupla C",805,IF(Atletas!T425="Arma Maleável C",806,IF(Atletas!T425="Outra Arma Dupla D",807,IF(Atletas!T425="Arma Maleável D",808,IF(Atletas!T425="Outra Arma Dupla E",809,IF(Atletas!T425="Arma Maleável E",810,IF(Atletas!T425="Outra Arma Dupla F",811,IF(Atletas!T425="Arma Maleável F",812,IF(Atletas!T425="Shuangdao A",813,IF(Atletas!T425="Shuangdao B",814,IF(Atletas!T425="Shuangdao C",815,IF(Atletas!T425="Shuangdao D",816,IF(Atletas!T425="Shuangdao E",817,IF(Atletas!T425="Shuangdao F",818,"")))))))))))))))))))</f>
        <v/>
      </c>
      <c r="CC434" s="50" t="str">
        <f>IF(Atletas!U425="","",IF(Atletas!X425&lt;&gt;"",10000,0)+IF(Atletas!B425="Feminino",1000,IF(Atletas!B425="Masculino",2000,""))+IF(OR(Atletas!U425="Taijijian Yang A",Atletas!U425="Taijijian Yang Standard A"),901,IF(OR(Atletas!U425="Taijijian Chen A", Atletas!U425="Taijijian Chen Standard A"),902,IF(Atletas!U425="Taijijian Sun A",903,IF(Atletas!U425="Taijijian Wu A",904,IF(Atletas!U425="Taijijian Wu-Hao A",905,IF(OR(Atletas!U425="Taijijian 32 A",Atletas!U425="Taijijian 42 A"),906,IF(OR(Atletas!U425="Taijijian Yang B",Atletas!U425="Taijijian Yang Standard B"),907,IF(OR(Atletas!U425="Taijijian Chen B", Atletas!U425="Taijijian Chen Standard B"),908,IF(Atletas!U425="Taijijian Sun B",909,IF(Atletas!U425="Taijijian Wu B",910,IF(Atletas!U425="Taijijian Wu-Hao B",911,IF(OR(Atletas!U425="Taijijian 32 B",Atletas!U425="Taijijian 42 B"),912,IF(OR(Atletas!U425="Taijijian Yang C",Atletas!U425="Taijijian Yang Standard C"),913,IF(OR(Atletas!U425="Taijijian Chen C", Atletas!U425="Taijijian Chen Standard C"),914,IF(Atletas!U425="Taijijian Sun C",915,IF(Atletas!U425="Taijijian Wu C",916,IF(Atletas!U425="Taijijian Wu-Hao C",917,IF(OR(Atletas!U425="Taijijian 32 C",Atletas!U425="Taijijian 42 C"),918,IF(OR(Atletas!U425="Taijijian Yang D",Atletas!U425="Taijijian Yang Standard D"),919,IF(OR(Atletas!U425="Taijijian Chen D", Atletas!U425="Taijijian Chen Standard D"),920,IF(Atletas!U425="Taijijian Sun D",921,IF(Atletas!U425="Taijijian Wu D",922,IF(Atletas!U425="Taijijian Wu-Hao D",923,IF(OR(Atletas!U425="Taijijian 32 D",Atletas!U425="Taijijian 42 D"),924,IF(OR(Atletas!U425="Taijijian Yang E",Atletas!U425="Taijijian Yang Standard E"),925,IF(OR(Atletas!U425="Taijijian Chen E", Atletas!U425="Taijijian Chen Standard E"),926,IF(Atletas!U425="Taijijian Sun E",927,IF(Atletas!U425="Taijijian Wu E",928,IF(Atletas!U425="Taijijian Wu-Hao E",929,IF(OR(Atletas!U425="Taijijian 32 E",Atletas!U425="Taijijian 42 E"),930,IF(OR(Atletas!U425="Taijijian Yang F",Atletas!U425="Taijijian Yang Standard F"),931,IF(OR(Atletas!U425="Taijijian Chen F", Atletas!U425="Taijijian Chen Standard F"),932,IF(Atletas!U425="Taijijian Sun F",933,IF(Atletas!U425="Taijijian Wu F",934,IF(Atletas!U425="Taijijian Wu-Hao F",935,IF(OR(Atletas!U425="Taijijian 32 F",Atletas!U425="Taijijian 42 F"),936,"")))))))))))))))))))))))))))))))))))))</f>
        <v/>
      </c>
      <c r="CD434" s="50" t="str">
        <f>IF(Atletas!V425="","",IF(Atletas!X425&lt;&gt;"",10000,0)+IF(Atletas!B425="Feminino",1000,IF(Atletas!B425="Masculino",2000,""))+IF(Atletas!V425="Taijidao A",937,IF(Atletas!V425="TaijiShanzi A",938,IF(Atletas!V425="Taijiqiang A",939,IF(Atletas!V425="Bagua de Arma A",940,IF(Atletas!V425="Xingyi de Arma A",941,IF(Atletas!V425="Taijidao B",942,IF(Atletas!V425="TaijiShanzi B",943,IF(Atletas!V425="Taijiqiang B",944,IF(Atletas!V425="Bagua de Arma B",945,IF(Atletas!V425="Xingyi de Arma B",946,IF(Atletas!V425="Taijidao C",947,IF(Atletas!V425="TaijiShanzi C",948,IF(Atletas!V425="Taijiqiang C",949,IF(Atletas!V425="Bagua de Arma C",950,IF(Atletas!V425="Xingyi de Arma C",951,IF(Atletas!V425="Taijidao D",952,IF(Atletas!V425="TaijiShanzi D",953,IF(Atletas!V425="Taijiqiang D",954,IF(Atletas!V425="Bagua de Arma D",955,IF(Atletas!V425="Xingyi de Arma D",956,IF(Atletas!V425="Taijidao E",957,IF(Atletas!V425="TaijiShanzi E",958,IF(Atletas!V425="Taijiqiang E",959,IF(Atletas!V425="Bagua de Arma E",960,IF(Atletas!V425="Xingyi de Arma E",961,IF(Atletas!V425="Taijidao F",962,IF(Atletas!V425="TaijiShanzi F",963,IF(Atletas!V425="Taijiqiang F",964,IF(Atletas!V425="Bagua de Arma F",965,IF(Atletas!V425="Xingyi de Arma F",966,"")))))))))))))))))))))))))))))))</f>
        <v/>
      </c>
      <c r="CM434" s="50" t="str">
        <f xml:space="preserve"> IF(Atletas!W425="","",IF(Atletas!W425="Duilian de Mãos BC - Equipe 1",1,IF(Atletas!W425="Duilian de Mãos BC - Equipe 2",2,IF(Atletas!W425="Duilian de Armas BC - Equipe 1",3,IF(Atletas!W425="Duilian de Armas BC - Equipe 2",4,IF(Atletas!W425="Duilian de Mãos DE - Equipe 1",5,IF(Atletas!W425="Duilian de Mãos DE - Equipe 2",6,IF(Atletas!W425="Duilian de Armas DE - Equipe 1",7,IF(Atletas!W425="Duilian de Armas DE - Equipe 2",8,IF(Atletas!W425="Duilian de Tuishou - Equipe 1",9,IF(Atletas!W425="Duilian de Tuishou - Equipe 2",10,IF(Atletas!W425="Grupo Externo ABC - Equipe 1",11,IF(Atletas!W425="Grupo Externo ABC - Equipe 2",12,IF(Atletas!W425="Grupo Interno ABC - Equipe 1",13,IF(Atletas!W425="Grupo Interno ABC - Equipe 2",14,IF(Atletas!W425="Grupo Externo DEF - Equipe 1",15,IF(Atletas!W425="Grupo Externo DEF - Equipe 2",16,IF(Atletas!W425="Grupo Interno DEF - Equipe 1",17,IF(Atletas!W425="Grupo Interno DEF - Equipe 2",18,"")))))))))))))))))))</f>
        <v/>
      </c>
    </row>
    <row r="435" spans="40:91">
      <c r="AN435" s="52" t="str">
        <f>IF(Atletas!D426="","",IF(Atletas!B426="Feminino",100,IF(Atletas!B426="Masculino",200,""))+(IF(Atletas!D426="Kids 30kg",1,IF(Atletas!D426="Kids 32kg",2, IF(Atletas!D426="Kids 34kg",3,IF(Atletas!D426="Kids 36kg",4,IF(Atletas!D426="Kids 39kg",5,IF(Atletas!D426="Kids 42kg",6,IF(Atletas!D426="Kids 45kg",7, IF(Atletas!D426="Infantil 39kg",8,IF(Atletas!D426="Infantil 42kg",9,IF(Atletas!D426="Infantil 45kg",10,IF(Atletas!D426="Infantil 48kg",11,IF(Atletas!D426="Infantil 52kg",12,IF(Atletas!D426="Infantil 56kg",13,IF(Atletas!D426="Infantil 60kg",14,IF(Atletas!D426="Juvenil 48kg",15,IF(Atletas!D426="Juvenil 52kg",16,IF(Atletas!D426="Juvenil 56kg",17,IF(Atletas!D426="Juvenil 60kg",18,IF(Atletas!D426="Juvenil 65kg",19,IF(Atletas!D426="Juvenil 70kg",20,IF(Atletas!D426="Juvenil 75kg",21,IF(Atletas!D426="Juvenil 80kg",22, IF(Atletas!D426="Juvenil 85kg",23,IF(Atletas!D426="Adulto 48kg",24,IF(Atletas!D426="Adulto 52kg",25,IF(Atletas!D426="Adulto 56kg",26,IF(Atletas!D426="Adulto 60kg",27,IF(Atletas!D426="Adulto 65kg",28,IF(Atletas!D426="Adulto 70kg",29,IF(Atletas!D426="Adulto 75kg",30,IF(Atletas!D426="Adulto 80kg",31,IF(Atletas!D426="Adulto 85kg",32,IF(Atletas!D426="Adulto 90kg",33,IF(Atletas!D426="Adulto 100kg",34, IF(Atletas!D426="Adulto +100kg",35,"")))))))))))))))))))))))))))))))))))))</f>
        <v/>
      </c>
      <c r="AS435" s="6" t="str">
        <f>IF(Atletas!E426="","",IF(Atletas!B426="Feminino",100,IF(Atletas!B426="Masculino",200,""))+(IF(Atletas!E426="Juvenil 44kg",1,IF(Atletas!E426="Juvenil 48kg",2,IF(Atletas!E426="Juvenil 52kg",3,IF(Atletas!E426="Juvenil 56kg",4,IF(Atletas!E426="Juvenil 60kg",5,IF(Atletas!E426="Juvenil 65kg",6,IF(Atletas!E426="Juvenil 70kg",7,IF(Atletas!E426="Juvenil 75kg",8,IF(Atletas!E426="Juvenil 82kg",9,IF(Atletas!E426="Juvenil 90kg",10,IF(Atletas!E426="Juvenil 100kg",11,IF(Atletas!E426="Adulto 48kg",12,IF(Atletas!E426="Adulto 52kg",13,IF(Atletas!E426="Adulto 56kg",14,IF(Atletas!E426="Adulto 60kg",15,IF(Atletas!E426="Adulto 65kg",16,IF(Atletas!E426="Adulto 70kg",17,IF(Atletas!E426="Adulto 75kg",18,IF(Atletas!E426="Adulto 82kg",19,IF(Atletas!E426="Adulto 90kg",20,IF(Atletas!E426="Adulto 100kg",21,IF(Atletas!E426="Adulto +100kg",22,""))))))))))))))))))))))))</f>
        <v/>
      </c>
      <c r="AX435" s="6" t="str">
        <f>IF(Atletas!F426="","",IF(Atletas!B426="Feminino",100,IF(Atletas!B426="Masculino",200,""))+(IF(Atletas!F426="Adulto 48kg",1,IF(Atletas!F426="Adulto 56kg",2,IF(Atletas!F426="Adulto 65kg",3,IF(Atletas!F426="Adulto 75kg",4,IF(Atletas!F426="Adulto +75kg",5,IF(Atletas!F426="Adulto 52kg",6,IF(Atletas!F426="Adulto 60kg",7,IF(Atletas!F426="Adulto 70kg",8,IF(Atletas!F426="Adulto 80kg",9,IF(Atletas!F426="Adulto 90kg",10,IF(Atletas!F426="Adulto +90kg",11,"")))))))))))))</f>
        <v/>
      </c>
      <c r="BC435" s="6" t="str">
        <f>IF(Atletas!G426="","",IF(Atletas!B426="Feminino",10,IF(Atletas!B426="Masculino",20,""))+(IF(Atletas!G426="Baduanjin A",1,IF(Atletas!G426="Baduanjin B",2))))</f>
        <v/>
      </c>
      <c r="BF435" s="52" t="str">
        <f>IF(Atletas!H426="","",IF(Atletas!B426="Feminino",100,IF(Atletas!B426="Masculino",200,""))+(IF(Atletas!H426="Changquan Mirim",1,IF(Atletas!H426="Nanquan Mirim",2,IF(Atletas!H426="Taijiquan Mirim",3,IF(Atletas!H426="Changquan Grupo C",4,IF(Atletas!H426="Nanquan Grupo C",5,IF(Atletas!H426="Taijiquan Grupo C",6,IF(Atletas!H426="Changquan Grupo B",7,IF(Atletas!H426="Nanquan Grupo B",8,IF(Atletas!H426="Taijiquan Grupo B",9,IF(Atletas!H426="Changquan Grupo A",10,IF(Atletas!H426="Nanquan Grupo A",11,IF(Atletas!H426="Taijiquan Grupo A",12,IF(Atletas!H426="Changquan Opcional",13,IF(Atletas!H426="Nanquan Opcional",14,IF(Atletas!H426="Taijiquan Opcional",15,IF(Atletas!H426="Changquan Adulto",16,IF(Atletas!H426="Nanquan Adulto",17,IF(Atletas!H426="Taijiquan Adulto",18,""))))))))))))))))))))</f>
        <v/>
      </c>
      <c r="BG435" s="52" t="str">
        <f>IF(Atletas!I426="","",IF(Atletas!B426="Feminino",100,IF(Atletas!B426="Masculino",200,""))+(IF(Atletas!I426="Daoshu Mirim",19,IF(Atletas!I426="Jianshu Mirim",20,IF(Atletas!I426="Nandao Mirim",21,IF(Atletas!I426="Taijijian Mirim",22,IF(Atletas!I426="Daoshu Grupo C",23,IF(Atletas!I426="Jianshu Grupo C",24,IF(Atletas!I426="Nandao Grupo C",25,IF(Atletas!I426="Taijijian Grupo C",26,IF(Atletas!I426="Daoshu Grupo B",27,IF(Atletas!I426="Jianshu Grupo B",28,IF(Atletas!I426="Nandao Grupo B",29,IF(Atletas!I426="Taijijian Grupo B",30,IF(Atletas!I426="Daoshu Grupo A",31,IF(Atletas!I426="Jianshu Grupo A",32,IF(Atletas!I426="Nandao Grupo A",33,IF(Atletas!I426="Taijijian Grupo A",34,IF(Atletas!I426="Daoshu Opcional",35,IF(Atletas!I426="Jianshu Opcional",36,IF(Atletas!I426="Nandao Opcional",37,IF(Atletas!I426="Taijijian Opcional",38,IF(Atletas!I426="Daoshu Adulto",39,IF(Atletas!I426="Jianshu Adulto",40,IF(Atletas!I426="Nandao Adulto",41,IF(Atletas!I426="Taijijian Adulto",42,""))))))))))))))))))))))))))</f>
        <v/>
      </c>
      <c r="BH435" s="52" t="str">
        <f>IF(Atletas!J426="","",IF(Atletas!B426="Feminino",100,IF(Atletas!B426="Masculino",200,""))+(IF(Atletas!J426="Gunshu Mirim",43,IF(Atletas!J426="Qiangshu Mirim",44,IF(Atletas!J426="Nangun Mirim",45,IF(Atletas!J426="Gunshu Grupo C",46,IF(Atletas!J426="Qiangshu Grupo C",47,IF(Atletas!J426="Nangun Grupo C",48,IF(Atletas!J426="Gunshu Grupo B",49,IF(Atletas!J426="Qiangshu Grupo B",50,IF(Atletas!J426="Nangun Grupo B",51,IF(Atletas!J426="Gunshu Grupo A",52,IF(Atletas!J426="Qiangshu Grupo A",53,IF(Atletas!J426="Nangun Grupo A",54,IF(Atletas!J426="Gunshu Opcional",55,IF(Atletas!J426="Qiangshu Opcional",56,IF(Atletas!J426="Nangun Opcional",57,IF(Atletas!J426="Gunshu Adulto",58,IF(Atletas!J426="Qiangshu Adulto",59,IF(Atletas!J426="Nangun Adulto",60,IF(Atletas!J426="Taijishan Grupo B",61,IF(Atletas!J426="Taijishan Grupo A",62,""))))))))))))))))))))))</f>
        <v/>
      </c>
      <c r="BM435" s="50" t="str">
        <f>IF(Atletas!K426="","",IF(Atletas!B426="Feminino",100,IF(Atletas!B426="Masculino",200,""))+(IF(Atletas!K426="Equipe 1 Grupo B",1,IF(Atletas!K426="Equipe 2 Grupo B",2,IF(Atletas!K426="Equipe 1 Grupo A",3,IF(Atletas!K426="Equipe 2 Grupo A",4,IF(Atletas!K426="Equipe 1 Adulto",5,IF(Atletas!K426="Equipe 2 Adulto",6,""))))))))</f>
        <v/>
      </c>
      <c r="BR435" s="50" t="str">
        <f>IF(Atletas!L426="","",IF(Atletas!X426&lt;&gt;"",10000,0)+(IF(Atletas!B426="Feminino",1000,IF(Atletas!B426="Masculino",2000,""))+IF(Atletas!L426="Choylayfut A",1,IF(Atletas!L426="Hunggar A",2,IF(Atletas!L426="Wuzuquan A",3,IF(Atletas!L426="Wingchun A",4,IF(Atletas!L426="Outra Mão de Sul A",5,IF(Atletas!L426="Choylayfut B",6,IF(Atletas!L426="Hunggar B",7,IF(Atletas!L426="Wuzuquan B",8,IF(Atletas!L426="Wingchun B",9,IF(Atletas!L426="Outra Mão de Sul B",10,IF(Atletas!L426="Choylayfut C",11,IF(Atletas!L426="Hunggar C",12,IF(Atletas!L426="Wuzuquan C",13,IF(Atletas!L426="Wingchun C",14,IF(Atletas!L426="Outra Mão de Sul C",15,IF(Atletas!L426="Choylayfut D",16,IF(Atletas!L426="Hunggar D",17,IF(Atletas!L426="Wuzuquan D",18,IF(Atletas!L426="Wingchun D",19,IF(Atletas!L426="Outra Mão de Sul D",20,IF(Atletas!L426="Choylayfut E",21,IF(Atletas!L426="Hunggar E",22,IF(Atletas!L426="Wuzuquan E",23,IF(Atletas!L426="Wingchun E",24,IF(Atletas!L426="Outra Mão de Sul E",25,IF(Atletas!L426="Choylayfut F",26,IF(Atletas!L426="Hunggar F",27,IF(Atletas!L426="Wuzuquan F",28,IF(Atletas!L426="Wingchun F",29,IF(Atletas!L426="Outra Mão de Sul F",30,IF(Atletas!L426="Dishuquan A",31,IF(Atletas!L426="Dishuquan B",32,IF(Atletas!L426="Dishuquan C",33,IF(Atletas!L426="Dishuquan D",34,IF(Atletas!L426="Dishuquan E",35,IF(Atletas!L426="Dishuquan F",36,""))))))))))))))))))))))))))))))))))))))</f>
        <v/>
      </c>
      <c r="BS435" s="50" t="str">
        <f>IF(Atletas!M426="","",IF(Atletas!X426&lt;&gt;"",10000,0)+(IF(Atletas!B426="Feminino",1000,IF(Atletas!B426="Masculino",2000,""))+(IF(Atletas!M426="Chaquan A",101,IF(Atletas!M426="Emeiquan A",102,IF(Atletas!M426="Fanziquan A",103,IF(Atletas!M426="Huaquan A",104,IF(Atletas!M426="Hongquan A",105,IF(Atletas!M426="Paoquan A",106,IF(Atletas!M426="Piguaquan A",107,IF(Atletas!M426="Shaolinquan A",108,IF(Atletas!M426="Tanglangquan A",109,IF(Atletas!M426="Yingzhaoquan A",110,IF(Atletas!M426="Tongbeiquan A",111,IF(Atletas!M426="Wudangquan A",112,IF(Atletas!M426="Outros Estilos A",113,IF(Atletas!M426="Chaquan B",114,IF(Atletas!M426="Emeiquan B",115,IF(Atletas!M426="Fanziquan B",116,IF(Atletas!M426="Huaquan B",117,IF(Atletas!M426="Hongquan B",118,IF(Atletas!M426="Paoquan B",119,IF(Atletas!M426="Piguaquan B",120,IF(Atletas!M426="Shaolinquan B",121,IF(Atletas!M426="Tanglangquan B",122,IF(Atletas!M426="Yingzhaoquan B",123,IF(Atletas!M426="Tongbeiquan B",124,IF(Atletas!M426="Wudangquan B",125,IF(Atletas!M426="Outros Estilos B",126,IF(Atletas!M426="Chaquan C",127,IF(Atletas!M426="Emeiquan C",128,IF(Atletas!M426="Fanziquan C",129,IF(Atletas!M426="Huaquan C",130,IF(Atletas!M426="Hongquan C",131,IF(Atletas!M426="Paoquan C",132,IF(Atletas!M426="Piguaquan C",133,IF(Atletas!M426="Shaolinquan C",134,IF(Atletas!M426="Tanglangquan C",135,IF(Atletas!M426="Yingzhaoquan C",136,IF(Atletas!M426="Tongbeiquan C",137,IF(Atletas!M426="Wudangquan C",138,IF(Atletas!M426="Outros Estilos C",139,0))))))))))))))))))))))))))))))))))))))))))</f>
        <v/>
      </c>
      <c r="BT435" s="50" t="str">
        <f>IF(Atletas!M426="","",IF(Atletas!X426&lt;&gt;"",10000,0)+(IF(Atletas!B426="Feminino",1000,IF(Atletas!B426="Masculino",2000,""))+(IF(Atletas!M426="Chaquan D",140,IF(Atletas!M426="Emeiquan D",141,IF(Atletas!M426="Fanziquan D",142,IF(Atletas!M426="Huaquan D",143,IF(Atletas!M426="Hongquan D",144,IF(Atletas!M426="Paoquan D",145,IF(Atletas!M426="Piguaquan D",146,IF(Atletas!M426="Shaolinquan D",147,IF(Atletas!M426="Tanglangquan D",148,IF(Atletas!M426="Yingzhaoquan D",149,IF(Atletas!M426="Tongbeiquan D",150,IF(Atletas!M426="Wudangquan D",151,IF(Atletas!M426="Outros Estilos D",152,IF(Atletas!M426="Chaquan E",153,IF(Atletas!M426="Emeiquan E",154,IF(Atletas!M426="Fanziquan E",155,IF(Atletas!M426="Huaquan E",156,IF(Atletas!M426="Hongquan E",157,IF(Atletas!M426="Paoquan E",158,IF(Atletas!M426="Piguaquan E",159,IF(Atletas!M426="Shaolinquan E",160,IF(Atletas!M426="Tanglangquan E",161,IF(Atletas!M426="Yingzhaoquan E",162,IF(Atletas!M426="Tongbeiquan E",163,IF(Atletas!M426="Wudangquan E",164,IF(Atletas!M426="Outros Estilos E",165,IF(Atletas!M426="Chaquan F",166,IF(Atletas!M426="Emeiquan F",167,IF(Atletas!M426="Fanziquan F",168,IF(Atletas!M426="Huaquan F",169,IF(Atletas!M426="Hongquan F",170,IF(Atletas!M426="Paoquan F",171,IF(Atletas!M426="Piguaquan F",172,IF(Atletas!M426="Shaolinquan F",173,IF(Atletas!M426="Tanglangquan F",174,IF(Atletas!M426="Yingzhaoquan F",175,IF(Atletas!M426="Tongbeiquan F",176,IF(Atletas!M426="Wudangquan F",177,IF(Atletas!M426="Outros Estilos F",178,0))))))))))))))))))))))))))))))))))))))))))</f>
        <v/>
      </c>
      <c r="BU435" s="50" t="str">
        <f>IF(Atletas!N426="","",IF(Atletas!X426&lt;&gt;"",10000,0)+(IF(Atletas!B426="Feminino",1000,IF(Atletas!B426="Masculino",2000,""))+(IF(Atletas!N426="Ditangquan A",201,IF(Atletas!N426="Houquan A",202,IF(Atletas!N426="Zuiquan A",203,IF(Atletas!N426="Ditangquan B",204,IF(Atletas!N426="Houquan B",205,IF(Atletas!N426="Zuiquan B",206,IF(Atletas!N426="Ditangquan C",207,IF(Atletas!N426="Houquan C",208,IF(Atletas!N426="Zuiquan C",209,IF(Atletas!N426="Ditangquan D",210,IF(Atletas!N426="Houquan D",211,IF(Atletas!N426="Zuiquan D",212,IF(Atletas!N426="Ditangquan E",213,IF(Atletas!N426="Houquan E",214,IF(Atletas!N426="Zuiquan E",215,IF(Atletas!N426="Ditangquan F",216,IF(Atletas!N426="Houquan F",217,IF(Atletas!N426="Zuiquan F",218,"")))))))))))))))))))))</f>
        <v/>
      </c>
      <c r="BV435" s="50" t="str">
        <f>IF(Atletas!O426="","",IF(Atletas!X426&lt;&gt;"",10000,0)+IF(Atletas!B426="Feminino",1000,IF(Atletas!B426="Masculino",2000,""))+IF(Atletas!O426="Yang A",301,IF(Atletas!O426="Chen A",302,IF(Atletas!O426="Sun A",303,IF(Atletas!O426="Wu A",304,IF(Atletas!O426="Wu-Hao A",305,IF(Atletas!O426="Outro Taijiquan A",306,IF(Atletas!O426="Yang B",307,IF(Atletas!O426="Chen B",308,IF(Atletas!O426="Sun B",309,IF(Atletas!O426="Wu B",310,IF(Atletas!O426="Wu-Hao B",311,IF(Atletas!O426="Outro Taijiquan B",312,IF(Atletas!O426="Yang C",313,IF(Atletas!O426="Chen C",314,IF(Atletas!O426="Sun C",315,IF(Atletas!O426="Wu C",316,IF(Atletas!O426="Wu-Hao C",317,IF(Atletas!O426="Outro Taijiquan C",318,IF(Atletas!O426="Yang D",319,IF(Atletas!O426="Chen D",320,IF(Atletas!O426="Sun D",321,IF(Atletas!O426="Wu D",322,IF(Atletas!O426="Wu-Hao D",323,IF(Atletas!O426="Outro Taijiquan D",324,IF(Atletas!O426="Yang E",325,IF(Atletas!O426="Chen E",326,IF(Atletas!O426="Sun E",327,IF(Atletas!O426="Wu E",328,IF(Atletas!O426="Wu-Hao E",329,IF(Atletas!O426="Outro Taijiquan E",330,IF(Atletas!O426="Yang F",331,IF(Atletas!O426="Chen F",332,IF(Atletas!O426="Sun F",333,IF(Atletas!O426="Wu F",334,IF(Atletas!O426="Wu-Hao F",335,IF(Atletas!O426="Outro Taijiquan F",336,"")))))))))))))))))))))))))))))))))))))</f>
        <v/>
      </c>
      <c r="BW435" s="50" t="str">
        <f>IF(Atletas!P426="","",IF(Atletas!X426&lt;&gt;"",10000,0)+IF(Atletas!B426="Feminino",1000,IF(Atletas!B426="Masculino",2000,""))+IF(OR(Atletas!P426="Yang 26 A",Atletas!P426="Yang 40 A"),401,IF(OR(Atletas!P426="Chen 25 A",Atletas!P426="Chen 36 A",Atletas!P426="Chen 56 A"),402,IF(Atletas!P426="Sun 73 A",403,IF(Atletas!P426="Wu 45 A",404,IF(Atletas!P426="Wu-Hao 46 A",405,IF(OR(Atletas!P426="Taijiquan 16 A",Atletas!P426="Taijiquan 24 A",Atletas!P426="Taijiquan 32 A",Atletas!P426="Taijiquan 42 A"),406,IF(OR(Atletas!P426="Yang 26 B",Atletas!P426="Yang 40 B"),407,IF(OR(Atletas!P426="Chen 25 B",Atletas!P426="Chen 36 B",Atletas!P426="Chen 56 B"),408,IF(Atletas!P426="Sun 73 B",409,IF(Atletas!P426="Wu 45 B",410,IF(Atletas!P426="Wu-Hao 46 B",411,IF(OR(Atletas!P426="Taijiquan 16 B",Atletas!P426="Taijiquan 24 B",Atletas!P426="Taijiquan 32 B",Atletas!P426="Taijiquan 42 B"),412,IF(OR(Atletas!P426="Yang 26 C",Atletas!P426="Yang 40 C"),413,IF(OR(Atletas!P426="Chen 25 C",Atletas!P426="Chen 36 C",Atletas!P426="Chen 56 C"),414,IF(Atletas!P426="Sun 73 C",415,IF(Atletas!P426="Wu 45 C",416,IF(Atletas!P426="Wu-Hao 46 C",417,IF(OR(Atletas!P426="Taijiquan 16 C",Atletas!P426="Taijiquan 24 C",Atletas!P426="Taijiquan 32 C",Atletas!P426="Taijiquan 42 C"),418,0)))))))))))))))))))</f>
        <v/>
      </c>
      <c r="BX435" s="50" t="str">
        <f>IF(Atletas!P426="","",IF(Atletas!X426&lt;&gt;"",10000,0)+IF(Atletas!B426="Feminino",1000,IF(Atletas!B426="Masculino",2000,""))+IF(OR(Atletas!P426="Yang 26 D",Atletas!P426="Yang 40 D"),419,IF(OR(Atletas!P426="Chen 25 D",Atletas!P426="Chen 36 D",Atletas!P426="Chen 56 D"),420,IF(Atletas!P426="Sun 73 D",421,IF(Atletas!P426="Wu 45 D",422,IF(Atletas!P426="Wu-Hao 46 D",423,IF(OR(Atletas!P426="Taijiquan 16 D",Atletas!P426="Taijiquan 24 D",Atletas!P426="Taijiquan 32 D",Atletas!P426="Taijiquan 42 D"),424,IF(OR(Atletas!P426="Yang 26 E",Atletas!P426="Yang 40 E"),425,IF(OR(Atletas!P426="Chen 25 E",Atletas!P426="Chen 36 E",Atletas!P426="Chen 56 E"),426,IF(Atletas!P426="Sun 73 E",427,IF(Atletas!P426="Wu 45 E",428,IF(Atletas!P426="Wu-Hao 46 E",429,IF(OR(Atletas!P426="Taijiquan 16 E",Atletas!P426="Taijiquan 24 E",Atletas!P426="Taijiquan 32 E",Atletas!P426="Taijiquan 42 E"),430,IF(OR(Atletas!P426="Yang 26 F",Atletas!P426="Yang 40 F"),431,IF(OR(Atletas!P426="Chen 25 F",Atletas!P426="Chen 36 F",Atletas!P426="Chen 56 F"),432,IF(Atletas!P426="Sun 73 F",433,IF(Atletas!P426="Wu 45 F",434,IF(Atletas!P426="Wu-Hao 46 F",435,IF(OR(Atletas!P426="Taijiquan 16 F",Atletas!P426="Taijiquan 24 F",Atletas!P426="Taijiquan 32 F",Atletas!P426="Taijiquan 42 F"),436,0)))))))))))))))))))</f>
        <v/>
      </c>
      <c r="BY435" s="50" t="str">
        <f>IF(Atletas!Q426="","",IF(Atletas!X426&lt;&gt;"",10000,0)+IF(Atletas!B426="Feminino",1000,IF(Atletas!B426="Masculino",2000,""))+IF(Atletas!Q426="Xingyiquan A",501,IF(Atletas!Q426="Baguazhang A",502,IF(Atletas!Q426="Outro Estilo Interno A",503,IF(Atletas!Q426="Xingyiquan B",504,IF(Atletas!Q426="Baguazhang B",505,IF(Atletas!Q426="Outro Estilo Interno B",506,IF(Atletas!Q426="Xingyiquan C",507,IF(Atletas!Q426="Baguazhang C",508,IF(Atletas!Q426="Outro Estilo Interno C",509,IF(Atletas!Q426="Xingyiquan D",510,IF(Atletas!Q426="Baguazhang D",511,IF(Atletas!Q426="Outro Estilo Interno D",512,IF(Atletas!Q426="Xingyiquan E",513,IF(Atletas!Q426="Baguazhang E",514,IF(Atletas!Q426="Outro Estilo Interno E",515,IF(Atletas!Q426="Xingyiquan F",516,IF(Atletas!Q426="Baguazhang F",517,IF(Atletas!Q426="Outro Estilo Interno F",518, "")))))))))))))))))))</f>
        <v/>
      </c>
      <c r="BZ435" s="50" t="str">
        <f>IF(Atletas!R426="","",IF(Atletas!X426&lt;&gt;"",10000,0)+IF(Atletas!B426="Feminino",1000,IF(Atletas!B426="Masculino",2000,""))+IF(Atletas!R426="Dao A",601,IF(Atletas!R426="Jian A",602,IF(Atletas!R426="Bishou A",603,IF(Atletas!R426="Shanzi A",604,IF(Atletas!R426="Outra Arma Curta A",605,IF(Atletas!R426="Dao B",606,IF(Atletas!R426="Jian B",607,IF(Atletas!R426="Bishou B",608,IF(Atletas!R426="Shanzi B",609,IF(Atletas!R426="Outra Arma Curta B",610,IF(Atletas!R426="Dao C",611,IF(Atletas!R426="Jian C",612,IF(Atletas!R426="Bishou C",613,IF(Atletas!R426="Shanzi C",614,IF(Atletas!R426="Outra Arma Curta C",615,IF(Atletas!R426="Dao D",616,IF(Atletas!R426="Jian D",617,IF(Atletas!R426="Bishou D",618,IF(Atletas!R426="Shanzi D",619,IF(Atletas!R426="Outra Arma Curta D",620,IF(Atletas!R426="Dao E",621,IF(Atletas!R426="Jian E",622,IF(Atletas!R426="Bishou E",623,IF(Atletas!R426="Shanzi E",624,IF(Atletas!R426="Outra Arma Curta E",625,IF(Atletas!R426="Dao F",626,IF(Atletas!R426="Jian F",627,IF(Atletas!R426="Bishou F",628,IF(Atletas!R426="Shanzi F",629,IF(Atletas!R426="Outra Arma Curta F",630, "")))))))))))))))))))))))))))))))</f>
        <v/>
      </c>
      <c r="CA435" s="50" t="str">
        <f>IF(Atletas!S426="","",IF(Atletas!X426&lt;&gt;"",10000,0)+IF(Atletas!B426="Feminino",1000,IF(Atletas!B426="Masculino",2000,""))+IF(Atletas!S426="Gun A",701,IF(Atletas!S426="Qiang A",702,IF(Atletas!S426="Pudao / Guandao A",703,IF(Atletas!S426="Outra Arma Longa A",704,IF(Atletas!S426="Gun B",705,IF(Atletas!S426="Qiang B",706,IF(Atletas!S426="Pudao / Guandao B",707,IF(Atletas!S426="Outra Arma Longa B",708,IF(Atletas!S426="Gun C",709,IF(Atletas!S426="Qiang C",710,IF(Atletas!S426="Pudao / Guandao C",711,IF(Atletas!S426="Outra Arma Longa C",712,IF(Atletas!S426="Gun D",713,IF(Atletas!S426="Qiang D",714,IF(Atletas!S426="Pudao / Guandao D",715,IF(Atletas!S426="Outra Arma Longa D",716,IF(Atletas!S426="Gun E",717,IF(Atletas!S426="Qiang E",718,IF(Atletas!S426="Pudao / Guandao E",719,IF(Atletas!S426="Outra Arma Longa E",720,IF(Atletas!S426="Gun F",721,IF(Atletas!S426="Qiang F",722,IF(Atletas!S426="Pudao / Guandao F",723,IF(Atletas!S426="Outra Arma Longa F",724,"")))))))))))))))))))))))))</f>
        <v/>
      </c>
      <c r="CB435" s="50" t="str">
        <f>IF(Atletas!T426="","",IF(Atletas!X426&lt;&gt;"",10000,0)+IF(Atletas!B426="Feminino",1000,IF(Atletas!B426="Masculino",2000,""))+IF(Atletas!T426="Outra Arma Dupla A",801,IF(Atletas!T426="Arma Maleável A",802,IF(Atletas!T426="Outra Arma Dupla B",803,IF(Atletas!T426="Arma Maleável B",804,IF(Atletas!T426="Outra Arma Dupla C",805,IF(Atletas!T426="Arma Maleável C",806,IF(Atletas!T426="Outra Arma Dupla D",807,IF(Atletas!T426="Arma Maleável D",808,IF(Atletas!T426="Outra Arma Dupla E",809,IF(Atletas!T426="Arma Maleável E",810,IF(Atletas!T426="Outra Arma Dupla F",811,IF(Atletas!T426="Arma Maleável F",812,IF(Atletas!T426="Shuangdao A",813,IF(Atletas!T426="Shuangdao B",814,IF(Atletas!T426="Shuangdao C",815,IF(Atletas!T426="Shuangdao D",816,IF(Atletas!T426="Shuangdao E",817,IF(Atletas!T426="Shuangdao F",818,"")))))))))))))))))))</f>
        <v/>
      </c>
      <c r="CC435" s="50" t="str">
        <f>IF(Atletas!U426="","",IF(Atletas!X426&lt;&gt;"",10000,0)+IF(Atletas!B426="Feminino",1000,IF(Atletas!B426="Masculino",2000,""))+IF(OR(Atletas!U426="Taijijian Yang A",Atletas!U426="Taijijian Yang Standard A"),901,IF(OR(Atletas!U426="Taijijian Chen A", Atletas!U426="Taijijian Chen Standard A"),902,IF(Atletas!U426="Taijijian Sun A",903,IF(Atletas!U426="Taijijian Wu A",904,IF(Atletas!U426="Taijijian Wu-Hao A",905,IF(OR(Atletas!U426="Taijijian 32 A",Atletas!U426="Taijijian 42 A"),906,IF(OR(Atletas!U426="Taijijian Yang B",Atletas!U426="Taijijian Yang Standard B"),907,IF(OR(Atletas!U426="Taijijian Chen B", Atletas!U426="Taijijian Chen Standard B"),908,IF(Atletas!U426="Taijijian Sun B",909,IF(Atletas!U426="Taijijian Wu B",910,IF(Atletas!U426="Taijijian Wu-Hao B",911,IF(OR(Atletas!U426="Taijijian 32 B",Atletas!U426="Taijijian 42 B"),912,IF(OR(Atletas!U426="Taijijian Yang C",Atletas!U426="Taijijian Yang Standard C"),913,IF(OR(Atletas!U426="Taijijian Chen C", Atletas!U426="Taijijian Chen Standard C"),914,IF(Atletas!U426="Taijijian Sun C",915,IF(Atletas!U426="Taijijian Wu C",916,IF(Atletas!U426="Taijijian Wu-Hao C",917,IF(OR(Atletas!U426="Taijijian 32 C",Atletas!U426="Taijijian 42 C"),918,IF(OR(Atletas!U426="Taijijian Yang D",Atletas!U426="Taijijian Yang Standard D"),919,IF(OR(Atletas!U426="Taijijian Chen D", Atletas!U426="Taijijian Chen Standard D"),920,IF(Atletas!U426="Taijijian Sun D",921,IF(Atletas!U426="Taijijian Wu D",922,IF(Atletas!U426="Taijijian Wu-Hao D",923,IF(OR(Atletas!U426="Taijijian 32 D",Atletas!U426="Taijijian 42 D"),924,IF(OR(Atletas!U426="Taijijian Yang E",Atletas!U426="Taijijian Yang Standard E"),925,IF(OR(Atletas!U426="Taijijian Chen E", Atletas!U426="Taijijian Chen Standard E"),926,IF(Atletas!U426="Taijijian Sun E",927,IF(Atletas!U426="Taijijian Wu E",928,IF(Atletas!U426="Taijijian Wu-Hao E",929,IF(OR(Atletas!U426="Taijijian 32 E",Atletas!U426="Taijijian 42 E"),930,IF(OR(Atletas!U426="Taijijian Yang F",Atletas!U426="Taijijian Yang Standard F"),931,IF(OR(Atletas!U426="Taijijian Chen F", Atletas!U426="Taijijian Chen Standard F"),932,IF(Atletas!U426="Taijijian Sun F",933,IF(Atletas!U426="Taijijian Wu F",934,IF(Atletas!U426="Taijijian Wu-Hao F",935,IF(OR(Atletas!U426="Taijijian 32 F",Atletas!U426="Taijijian 42 F"),936,"")))))))))))))))))))))))))))))))))))))</f>
        <v/>
      </c>
      <c r="CD435" s="50" t="str">
        <f>IF(Atletas!V426="","",IF(Atletas!X426&lt;&gt;"",10000,0)+IF(Atletas!B426="Feminino",1000,IF(Atletas!B426="Masculino",2000,""))+IF(Atletas!V426="Taijidao A",937,IF(Atletas!V426="TaijiShanzi A",938,IF(Atletas!V426="Taijiqiang A",939,IF(Atletas!V426="Bagua de Arma A",940,IF(Atletas!V426="Xingyi de Arma A",941,IF(Atletas!V426="Taijidao B",942,IF(Atletas!V426="TaijiShanzi B",943,IF(Atletas!V426="Taijiqiang B",944,IF(Atletas!V426="Bagua de Arma B",945,IF(Atletas!V426="Xingyi de Arma B",946,IF(Atletas!V426="Taijidao C",947,IF(Atletas!V426="TaijiShanzi C",948,IF(Atletas!V426="Taijiqiang C",949,IF(Atletas!V426="Bagua de Arma C",950,IF(Atletas!V426="Xingyi de Arma C",951,IF(Atletas!V426="Taijidao D",952,IF(Atletas!V426="TaijiShanzi D",953,IF(Atletas!V426="Taijiqiang D",954,IF(Atletas!V426="Bagua de Arma D",955,IF(Atletas!V426="Xingyi de Arma D",956,IF(Atletas!V426="Taijidao E",957,IF(Atletas!V426="TaijiShanzi E",958,IF(Atletas!V426="Taijiqiang E",959,IF(Atletas!V426="Bagua de Arma E",960,IF(Atletas!V426="Xingyi de Arma E",961,IF(Atletas!V426="Taijidao F",962,IF(Atletas!V426="TaijiShanzi F",963,IF(Atletas!V426="Taijiqiang F",964,IF(Atletas!V426="Bagua de Arma F",965,IF(Atletas!V426="Xingyi de Arma F",966,"")))))))))))))))))))))))))))))))</f>
        <v/>
      </c>
      <c r="CM435" s="50" t="str">
        <f xml:space="preserve"> IF(Atletas!W426="","",IF(Atletas!W426="Duilian de Mãos BC - Equipe 1",1,IF(Atletas!W426="Duilian de Mãos BC - Equipe 2",2,IF(Atletas!W426="Duilian de Armas BC - Equipe 1",3,IF(Atletas!W426="Duilian de Armas BC - Equipe 2",4,IF(Atletas!W426="Duilian de Mãos DE - Equipe 1",5,IF(Atletas!W426="Duilian de Mãos DE - Equipe 2",6,IF(Atletas!W426="Duilian de Armas DE - Equipe 1",7,IF(Atletas!W426="Duilian de Armas DE - Equipe 2",8,IF(Atletas!W426="Duilian de Tuishou - Equipe 1",9,IF(Atletas!W426="Duilian de Tuishou - Equipe 2",10,IF(Atletas!W426="Grupo Externo ABC - Equipe 1",11,IF(Atletas!W426="Grupo Externo ABC - Equipe 2",12,IF(Atletas!W426="Grupo Interno ABC - Equipe 1",13,IF(Atletas!W426="Grupo Interno ABC - Equipe 2",14,IF(Atletas!W426="Grupo Externo DEF - Equipe 1",15,IF(Atletas!W426="Grupo Externo DEF - Equipe 2",16,IF(Atletas!W426="Grupo Interno DEF - Equipe 1",17,IF(Atletas!W426="Grupo Interno DEF - Equipe 2",18,"")))))))))))))))))))</f>
        <v/>
      </c>
    </row>
    <row r="436" spans="40:91">
      <c r="AN436" s="52" t="str">
        <f>IF(Atletas!D427="","",IF(Atletas!B427="Feminino",100,IF(Atletas!B427="Masculino",200,""))+(IF(Atletas!D427="Kids 30kg",1,IF(Atletas!D427="Kids 32kg",2, IF(Atletas!D427="Kids 34kg",3,IF(Atletas!D427="Kids 36kg",4,IF(Atletas!D427="Kids 39kg",5,IF(Atletas!D427="Kids 42kg",6,IF(Atletas!D427="Kids 45kg",7, IF(Atletas!D427="Infantil 39kg",8,IF(Atletas!D427="Infantil 42kg",9,IF(Atletas!D427="Infantil 45kg",10,IF(Atletas!D427="Infantil 48kg",11,IF(Atletas!D427="Infantil 52kg",12,IF(Atletas!D427="Infantil 56kg",13,IF(Atletas!D427="Infantil 60kg",14,IF(Atletas!D427="Juvenil 48kg",15,IF(Atletas!D427="Juvenil 52kg",16,IF(Atletas!D427="Juvenil 56kg",17,IF(Atletas!D427="Juvenil 60kg",18,IF(Atletas!D427="Juvenil 65kg",19,IF(Atletas!D427="Juvenil 70kg",20,IF(Atletas!D427="Juvenil 75kg",21,IF(Atletas!D427="Juvenil 80kg",22, IF(Atletas!D427="Juvenil 85kg",23,IF(Atletas!D427="Adulto 48kg",24,IF(Atletas!D427="Adulto 52kg",25,IF(Atletas!D427="Adulto 56kg",26,IF(Atletas!D427="Adulto 60kg",27,IF(Atletas!D427="Adulto 65kg",28,IF(Atletas!D427="Adulto 70kg",29,IF(Atletas!D427="Adulto 75kg",30,IF(Atletas!D427="Adulto 80kg",31,IF(Atletas!D427="Adulto 85kg",32,IF(Atletas!D427="Adulto 90kg",33,IF(Atletas!D427="Adulto 100kg",34, IF(Atletas!D427="Adulto +100kg",35,"")))))))))))))))))))))))))))))))))))))</f>
        <v/>
      </c>
      <c r="AS436" s="6" t="str">
        <f>IF(Atletas!E427="","",IF(Atletas!B427="Feminino",100,IF(Atletas!B427="Masculino",200,""))+(IF(Atletas!E427="Juvenil 44kg",1,IF(Atletas!E427="Juvenil 48kg",2,IF(Atletas!E427="Juvenil 52kg",3,IF(Atletas!E427="Juvenil 56kg",4,IF(Atletas!E427="Juvenil 60kg",5,IF(Atletas!E427="Juvenil 65kg",6,IF(Atletas!E427="Juvenil 70kg",7,IF(Atletas!E427="Juvenil 75kg",8,IF(Atletas!E427="Juvenil 82kg",9,IF(Atletas!E427="Juvenil 90kg",10,IF(Atletas!E427="Juvenil 100kg",11,IF(Atletas!E427="Adulto 48kg",12,IF(Atletas!E427="Adulto 52kg",13,IF(Atletas!E427="Adulto 56kg",14,IF(Atletas!E427="Adulto 60kg",15,IF(Atletas!E427="Adulto 65kg",16,IF(Atletas!E427="Adulto 70kg",17,IF(Atletas!E427="Adulto 75kg",18,IF(Atletas!E427="Adulto 82kg",19,IF(Atletas!E427="Adulto 90kg",20,IF(Atletas!E427="Adulto 100kg",21,IF(Atletas!E427="Adulto +100kg",22,""))))))))))))))))))))))))</f>
        <v/>
      </c>
      <c r="AX436" s="6" t="str">
        <f>IF(Atletas!F427="","",IF(Atletas!B427="Feminino",100,IF(Atletas!B427="Masculino",200,""))+(IF(Atletas!F427="Adulto 48kg",1,IF(Atletas!F427="Adulto 56kg",2,IF(Atletas!F427="Adulto 65kg",3,IF(Atletas!F427="Adulto 75kg",4,IF(Atletas!F427="Adulto +75kg",5,IF(Atletas!F427="Adulto 52kg",6,IF(Atletas!F427="Adulto 60kg",7,IF(Atletas!F427="Adulto 70kg",8,IF(Atletas!F427="Adulto 80kg",9,IF(Atletas!F427="Adulto 90kg",10,IF(Atletas!F427="Adulto +90kg",11,"")))))))))))))</f>
        <v/>
      </c>
      <c r="BC436" s="6" t="str">
        <f>IF(Atletas!G427="","",IF(Atletas!B427="Feminino",10,IF(Atletas!B427="Masculino",20,""))+(IF(Atletas!G427="Baduanjin A",1,IF(Atletas!G427="Baduanjin B",2))))</f>
        <v/>
      </c>
      <c r="BF436" s="52" t="str">
        <f>IF(Atletas!H427="","",IF(Atletas!B427="Feminino",100,IF(Atletas!B427="Masculino",200,""))+(IF(Atletas!H427="Changquan Mirim",1,IF(Atletas!H427="Nanquan Mirim",2,IF(Atletas!H427="Taijiquan Mirim",3,IF(Atletas!H427="Changquan Grupo C",4,IF(Atletas!H427="Nanquan Grupo C",5,IF(Atletas!H427="Taijiquan Grupo C",6,IF(Atletas!H427="Changquan Grupo B",7,IF(Atletas!H427="Nanquan Grupo B",8,IF(Atletas!H427="Taijiquan Grupo B",9,IF(Atletas!H427="Changquan Grupo A",10,IF(Atletas!H427="Nanquan Grupo A",11,IF(Atletas!H427="Taijiquan Grupo A",12,IF(Atletas!H427="Changquan Opcional",13,IF(Atletas!H427="Nanquan Opcional",14,IF(Atletas!H427="Taijiquan Opcional",15,IF(Atletas!H427="Changquan Adulto",16,IF(Atletas!H427="Nanquan Adulto",17,IF(Atletas!H427="Taijiquan Adulto",18,""))))))))))))))))))))</f>
        <v/>
      </c>
      <c r="BG436" s="52" t="str">
        <f>IF(Atletas!I427="","",IF(Atletas!B427="Feminino",100,IF(Atletas!B427="Masculino",200,""))+(IF(Atletas!I427="Daoshu Mirim",19,IF(Atletas!I427="Jianshu Mirim",20,IF(Atletas!I427="Nandao Mirim",21,IF(Atletas!I427="Taijijian Mirim",22,IF(Atletas!I427="Daoshu Grupo C",23,IF(Atletas!I427="Jianshu Grupo C",24,IF(Atletas!I427="Nandao Grupo C",25,IF(Atletas!I427="Taijijian Grupo C",26,IF(Atletas!I427="Daoshu Grupo B",27,IF(Atletas!I427="Jianshu Grupo B",28,IF(Atletas!I427="Nandao Grupo B",29,IF(Atletas!I427="Taijijian Grupo B",30,IF(Atletas!I427="Daoshu Grupo A",31,IF(Atletas!I427="Jianshu Grupo A",32,IF(Atletas!I427="Nandao Grupo A",33,IF(Atletas!I427="Taijijian Grupo A",34,IF(Atletas!I427="Daoshu Opcional",35,IF(Atletas!I427="Jianshu Opcional",36,IF(Atletas!I427="Nandao Opcional",37,IF(Atletas!I427="Taijijian Opcional",38,IF(Atletas!I427="Daoshu Adulto",39,IF(Atletas!I427="Jianshu Adulto",40,IF(Atletas!I427="Nandao Adulto",41,IF(Atletas!I427="Taijijian Adulto",42,""))))))))))))))))))))))))))</f>
        <v/>
      </c>
      <c r="BH436" s="52" t="str">
        <f>IF(Atletas!J427="","",IF(Atletas!B427="Feminino",100,IF(Atletas!B427="Masculino",200,""))+(IF(Atletas!J427="Gunshu Mirim",43,IF(Atletas!J427="Qiangshu Mirim",44,IF(Atletas!J427="Nangun Mirim",45,IF(Atletas!J427="Gunshu Grupo C",46,IF(Atletas!J427="Qiangshu Grupo C",47,IF(Atletas!J427="Nangun Grupo C",48,IF(Atletas!J427="Gunshu Grupo B",49,IF(Atletas!J427="Qiangshu Grupo B",50,IF(Atletas!J427="Nangun Grupo B",51,IF(Atletas!J427="Gunshu Grupo A",52,IF(Atletas!J427="Qiangshu Grupo A",53,IF(Atletas!J427="Nangun Grupo A",54,IF(Atletas!J427="Gunshu Opcional",55,IF(Atletas!J427="Qiangshu Opcional",56,IF(Atletas!J427="Nangun Opcional",57,IF(Atletas!J427="Gunshu Adulto",58,IF(Atletas!J427="Qiangshu Adulto",59,IF(Atletas!J427="Nangun Adulto",60,IF(Atletas!J427="Taijishan Grupo B",61,IF(Atletas!J427="Taijishan Grupo A",62,""))))))))))))))))))))))</f>
        <v/>
      </c>
      <c r="BM436" s="50" t="str">
        <f>IF(Atletas!K427="","",IF(Atletas!B427="Feminino",100,IF(Atletas!B427="Masculino",200,""))+(IF(Atletas!K427="Equipe 1 Grupo B",1,IF(Atletas!K427="Equipe 2 Grupo B",2,IF(Atletas!K427="Equipe 1 Grupo A",3,IF(Atletas!K427="Equipe 2 Grupo A",4,IF(Atletas!K427="Equipe 1 Adulto",5,IF(Atletas!K427="Equipe 2 Adulto",6,""))))))))</f>
        <v/>
      </c>
      <c r="BR436" s="50" t="str">
        <f>IF(Atletas!L427="","",IF(Atletas!X427&lt;&gt;"",10000,0)+(IF(Atletas!B427="Feminino",1000,IF(Atletas!B427="Masculino",2000,""))+IF(Atletas!L427="Choylayfut A",1,IF(Atletas!L427="Hunggar A",2,IF(Atletas!L427="Wuzuquan A",3,IF(Atletas!L427="Wingchun A",4,IF(Atletas!L427="Outra Mão de Sul A",5,IF(Atletas!L427="Choylayfut B",6,IF(Atletas!L427="Hunggar B",7,IF(Atletas!L427="Wuzuquan B",8,IF(Atletas!L427="Wingchun B",9,IF(Atletas!L427="Outra Mão de Sul B",10,IF(Atletas!L427="Choylayfut C",11,IF(Atletas!L427="Hunggar C",12,IF(Atletas!L427="Wuzuquan C",13,IF(Atletas!L427="Wingchun C",14,IF(Atletas!L427="Outra Mão de Sul C",15,IF(Atletas!L427="Choylayfut D",16,IF(Atletas!L427="Hunggar D",17,IF(Atletas!L427="Wuzuquan D",18,IF(Atletas!L427="Wingchun D",19,IF(Atletas!L427="Outra Mão de Sul D",20,IF(Atletas!L427="Choylayfut E",21,IF(Atletas!L427="Hunggar E",22,IF(Atletas!L427="Wuzuquan E",23,IF(Atletas!L427="Wingchun E",24,IF(Atletas!L427="Outra Mão de Sul E",25,IF(Atletas!L427="Choylayfut F",26,IF(Atletas!L427="Hunggar F",27,IF(Atletas!L427="Wuzuquan F",28,IF(Atletas!L427="Wingchun F",29,IF(Atletas!L427="Outra Mão de Sul F",30,IF(Atletas!L427="Dishuquan A",31,IF(Atletas!L427="Dishuquan B",32,IF(Atletas!L427="Dishuquan C",33,IF(Atletas!L427="Dishuquan D",34,IF(Atletas!L427="Dishuquan E",35,IF(Atletas!L427="Dishuquan F",36,""))))))))))))))))))))))))))))))))))))))</f>
        <v/>
      </c>
      <c r="BS436" s="50" t="str">
        <f>IF(Atletas!M427="","",IF(Atletas!X427&lt;&gt;"",10000,0)+(IF(Atletas!B427="Feminino",1000,IF(Atletas!B427="Masculino",2000,""))+(IF(Atletas!M427="Chaquan A",101,IF(Atletas!M427="Emeiquan A",102,IF(Atletas!M427="Fanziquan A",103,IF(Atletas!M427="Huaquan A",104,IF(Atletas!M427="Hongquan A",105,IF(Atletas!M427="Paoquan A",106,IF(Atletas!M427="Piguaquan A",107,IF(Atletas!M427="Shaolinquan A",108,IF(Atletas!M427="Tanglangquan A",109,IF(Atletas!M427="Yingzhaoquan A",110,IF(Atletas!M427="Tongbeiquan A",111,IF(Atletas!M427="Wudangquan A",112,IF(Atletas!M427="Outros Estilos A",113,IF(Atletas!M427="Chaquan B",114,IF(Atletas!M427="Emeiquan B",115,IF(Atletas!M427="Fanziquan B",116,IF(Atletas!M427="Huaquan B",117,IF(Atletas!M427="Hongquan B",118,IF(Atletas!M427="Paoquan B",119,IF(Atletas!M427="Piguaquan B",120,IF(Atletas!M427="Shaolinquan B",121,IF(Atletas!M427="Tanglangquan B",122,IF(Atletas!M427="Yingzhaoquan B",123,IF(Atletas!M427="Tongbeiquan B",124,IF(Atletas!M427="Wudangquan B",125,IF(Atletas!M427="Outros Estilos B",126,IF(Atletas!M427="Chaquan C",127,IF(Atletas!M427="Emeiquan C",128,IF(Atletas!M427="Fanziquan C",129,IF(Atletas!M427="Huaquan C",130,IF(Atletas!M427="Hongquan C",131,IF(Atletas!M427="Paoquan C",132,IF(Atletas!M427="Piguaquan C",133,IF(Atletas!M427="Shaolinquan C",134,IF(Atletas!M427="Tanglangquan C",135,IF(Atletas!M427="Yingzhaoquan C",136,IF(Atletas!M427="Tongbeiquan C",137,IF(Atletas!M427="Wudangquan C",138,IF(Atletas!M427="Outros Estilos C",139,0))))))))))))))))))))))))))))))))))))))))))</f>
        <v/>
      </c>
      <c r="BT436" s="50" t="str">
        <f>IF(Atletas!M427="","",IF(Atletas!X427&lt;&gt;"",10000,0)+(IF(Atletas!B427="Feminino",1000,IF(Atletas!B427="Masculino",2000,""))+(IF(Atletas!M427="Chaquan D",140,IF(Atletas!M427="Emeiquan D",141,IF(Atletas!M427="Fanziquan D",142,IF(Atletas!M427="Huaquan D",143,IF(Atletas!M427="Hongquan D",144,IF(Atletas!M427="Paoquan D",145,IF(Atletas!M427="Piguaquan D",146,IF(Atletas!M427="Shaolinquan D",147,IF(Atletas!M427="Tanglangquan D",148,IF(Atletas!M427="Yingzhaoquan D",149,IF(Atletas!M427="Tongbeiquan D",150,IF(Atletas!M427="Wudangquan D",151,IF(Atletas!M427="Outros Estilos D",152,IF(Atletas!M427="Chaquan E",153,IF(Atletas!M427="Emeiquan E",154,IF(Atletas!M427="Fanziquan E",155,IF(Atletas!M427="Huaquan E",156,IF(Atletas!M427="Hongquan E",157,IF(Atletas!M427="Paoquan E",158,IF(Atletas!M427="Piguaquan E",159,IF(Atletas!M427="Shaolinquan E",160,IF(Atletas!M427="Tanglangquan E",161,IF(Atletas!M427="Yingzhaoquan E",162,IF(Atletas!M427="Tongbeiquan E",163,IF(Atletas!M427="Wudangquan E",164,IF(Atletas!M427="Outros Estilos E",165,IF(Atletas!M427="Chaquan F",166,IF(Atletas!M427="Emeiquan F",167,IF(Atletas!M427="Fanziquan F",168,IF(Atletas!M427="Huaquan F",169,IF(Atletas!M427="Hongquan F",170,IF(Atletas!M427="Paoquan F",171,IF(Atletas!M427="Piguaquan F",172,IF(Atletas!M427="Shaolinquan F",173,IF(Atletas!M427="Tanglangquan F",174,IF(Atletas!M427="Yingzhaoquan F",175,IF(Atletas!M427="Tongbeiquan F",176,IF(Atletas!M427="Wudangquan F",177,IF(Atletas!M427="Outros Estilos F",178,0))))))))))))))))))))))))))))))))))))))))))</f>
        <v/>
      </c>
      <c r="BU436" s="50" t="str">
        <f>IF(Atletas!N427="","",IF(Atletas!X427&lt;&gt;"",10000,0)+(IF(Atletas!B427="Feminino",1000,IF(Atletas!B427="Masculino",2000,""))+(IF(Atletas!N427="Ditangquan A",201,IF(Atletas!N427="Houquan A",202,IF(Atletas!N427="Zuiquan A",203,IF(Atletas!N427="Ditangquan B",204,IF(Atletas!N427="Houquan B",205,IF(Atletas!N427="Zuiquan B",206,IF(Atletas!N427="Ditangquan C",207,IF(Atletas!N427="Houquan C",208,IF(Atletas!N427="Zuiquan C",209,IF(Atletas!N427="Ditangquan D",210,IF(Atletas!N427="Houquan D",211,IF(Atletas!N427="Zuiquan D",212,IF(Atletas!N427="Ditangquan E",213,IF(Atletas!N427="Houquan E",214,IF(Atletas!N427="Zuiquan E",215,IF(Atletas!N427="Ditangquan F",216,IF(Atletas!N427="Houquan F",217,IF(Atletas!N427="Zuiquan F",218,"")))))))))))))))))))))</f>
        <v/>
      </c>
      <c r="BV436" s="50" t="str">
        <f>IF(Atletas!O427="","",IF(Atletas!X427&lt;&gt;"",10000,0)+IF(Atletas!B427="Feminino",1000,IF(Atletas!B427="Masculino",2000,""))+IF(Atletas!O427="Yang A",301,IF(Atletas!O427="Chen A",302,IF(Atletas!O427="Sun A",303,IF(Atletas!O427="Wu A",304,IF(Atletas!O427="Wu-Hao A",305,IF(Atletas!O427="Outro Taijiquan A",306,IF(Atletas!O427="Yang B",307,IF(Atletas!O427="Chen B",308,IF(Atletas!O427="Sun B",309,IF(Atletas!O427="Wu B",310,IF(Atletas!O427="Wu-Hao B",311,IF(Atletas!O427="Outro Taijiquan B",312,IF(Atletas!O427="Yang C",313,IF(Atletas!O427="Chen C",314,IF(Atletas!O427="Sun C",315,IF(Atletas!O427="Wu C",316,IF(Atletas!O427="Wu-Hao C",317,IF(Atletas!O427="Outro Taijiquan C",318,IF(Atletas!O427="Yang D",319,IF(Atletas!O427="Chen D",320,IF(Atletas!O427="Sun D",321,IF(Atletas!O427="Wu D",322,IF(Atletas!O427="Wu-Hao D",323,IF(Atletas!O427="Outro Taijiquan D",324,IF(Atletas!O427="Yang E",325,IF(Atletas!O427="Chen E",326,IF(Atletas!O427="Sun E",327,IF(Atletas!O427="Wu E",328,IF(Atletas!O427="Wu-Hao E",329,IF(Atletas!O427="Outro Taijiquan E",330,IF(Atletas!O427="Yang F",331,IF(Atletas!O427="Chen F",332,IF(Atletas!O427="Sun F",333,IF(Atletas!O427="Wu F",334,IF(Atletas!O427="Wu-Hao F",335,IF(Atletas!O427="Outro Taijiquan F",336,"")))))))))))))))))))))))))))))))))))))</f>
        <v/>
      </c>
      <c r="BW436" s="50" t="str">
        <f>IF(Atletas!P427="","",IF(Atletas!X427&lt;&gt;"",10000,0)+IF(Atletas!B427="Feminino",1000,IF(Atletas!B427="Masculino",2000,""))+IF(OR(Atletas!P427="Yang 26 A",Atletas!P427="Yang 40 A"),401,IF(OR(Atletas!P427="Chen 25 A",Atletas!P427="Chen 36 A",Atletas!P427="Chen 56 A"),402,IF(Atletas!P427="Sun 73 A",403,IF(Atletas!P427="Wu 45 A",404,IF(Atletas!P427="Wu-Hao 46 A",405,IF(OR(Atletas!P427="Taijiquan 16 A",Atletas!P427="Taijiquan 24 A",Atletas!P427="Taijiquan 32 A",Atletas!P427="Taijiquan 42 A"),406,IF(OR(Atletas!P427="Yang 26 B",Atletas!P427="Yang 40 B"),407,IF(OR(Atletas!P427="Chen 25 B",Atletas!P427="Chen 36 B",Atletas!P427="Chen 56 B"),408,IF(Atletas!P427="Sun 73 B",409,IF(Atletas!P427="Wu 45 B",410,IF(Atletas!P427="Wu-Hao 46 B",411,IF(OR(Atletas!P427="Taijiquan 16 B",Atletas!P427="Taijiquan 24 B",Atletas!P427="Taijiquan 32 B",Atletas!P427="Taijiquan 42 B"),412,IF(OR(Atletas!P427="Yang 26 C",Atletas!P427="Yang 40 C"),413,IF(OR(Atletas!P427="Chen 25 C",Atletas!P427="Chen 36 C",Atletas!P427="Chen 56 C"),414,IF(Atletas!P427="Sun 73 C",415,IF(Atletas!P427="Wu 45 C",416,IF(Atletas!P427="Wu-Hao 46 C",417,IF(OR(Atletas!P427="Taijiquan 16 C",Atletas!P427="Taijiquan 24 C",Atletas!P427="Taijiquan 32 C",Atletas!P427="Taijiquan 42 C"),418,0)))))))))))))))))))</f>
        <v/>
      </c>
      <c r="BX436" s="50" t="str">
        <f>IF(Atletas!P427="","",IF(Atletas!X427&lt;&gt;"",10000,0)+IF(Atletas!B427="Feminino",1000,IF(Atletas!B427="Masculino",2000,""))+IF(OR(Atletas!P427="Yang 26 D",Atletas!P427="Yang 40 D"),419,IF(OR(Atletas!P427="Chen 25 D",Atletas!P427="Chen 36 D",Atletas!P427="Chen 56 D"),420,IF(Atletas!P427="Sun 73 D",421,IF(Atletas!P427="Wu 45 D",422,IF(Atletas!P427="Wu-Hao 46 D",423,IF(OR(Atletas!P427="Taijiquan 16 D",Atletas!P427="Taijiquan 24 D",Atletas!P427="Taijiquan 32 D",Atletas!P427="Taijiquan 42 D"),424,IF(OR(Atletas!P427="Yang 26 E",Atletas!P427="Yang 40 E"),425,IF(OR(Atletas!P427="Chen 25 E",Atletas!P427="Chen 36 E",Atletas!P427="Chen 56 E"),426,IF(Atletas!P427="Sun 73 E",427,IF(Atletas!P427="Wu 45 E",428,IF(Atletas!P427="Wu-Hao 46 E",429,IF(OR(Atletas!P427="Taijiquan 16 E",Atletas!P427="Taijiquan 24 E",Atletas!P427="Taijiquan 32 E",Atletas!P427="Taijiquan 42 E"),430,IF(OR(Atletas!P427="Yang 26 F",Atletas!P427="Yang 40 F"),431,IF(OR(Atletas!P427="Chen 25 F",Atletas!P427="Chen 36 F",Atletas!P427="Chen 56 F"),432,IF(Atletas!P427="Sun 73 F",433,IF(Atletas!P427="Wu 45 F",434,IF(Atletas!P427="Wu-Hao 46 F",435,IF(OR(Atletas!P427="Taijiquan 16 F",Atletas!P427="Taijiquan 24 F",Atletas!P427="Taijiquan 32 F",Atletas!P427="Taijiquan 42 F"),436,0)))))))))))))))))))</f>
        <v/>
      </c>
      <c r="BY436" s="50" t="str">
        <f>IF(Atletas!Q427="","",IF(Atletas!X427&lt;&gt;"",10000,0)+IF(Atletas!B427="Feminino",1000,IF(Atletas!B427="Masculino",2000,""))+IF(Atletas!Q427="Xingyiquan A",501,IF(Atletas!Q427="Baguazhang A",502,IF(Atletas!Q427="Outro Estilo Interno A",503,IF(Atletas!Q427="Xingyiquan B",504,IF(Atletas!Q427="Baguazhang B",505,IF(Atletas!Q427="Outro Estilo Interno B",506,IF(Atletas!Q427="Xingyiquan C",507,IF(Atletas!Q427="Baguazhang C",508,IF(Atletas!Q427="Outro Estilo Interno C",509,IF(Atletas!Q427="Xingyiquan D",510,IF(Atletas!Q427="Baguazhang D",511,IF(Atletas!Q427="Outro Estilo Interno D",512,IF(Atletas!Q427="Xingyiquan E",513,IF(Atletas!Q427="Baguazhang E",514,IF(Atletas!Q427="Outro Estilo Interno E",515,IF(Atletas!Q427="Xingyiquan F",516,IF(Atletas!Q427="Baguazhang F",517,IF(Atletas!Q427="Outro Estilo Interno F",518, "")))))))))))))))))))</f>
        <v/>
      </c>
      <c r="BZ436" s="50" t="str">
        <f>IF(Atletas!R427="","",IF(Atletas!X427&lt;&gt;"",10000,0)+IF(Atletas!B427="Feminino",1000,IF(Atletas!B427="Masculino",2000,""))+IF(Atletas!R427="Dao A",601,IF(Atletas!R427="Jian A",602,IF(Atletas!R427="Bishou A",603,IF(Atletas!R427="Shanzi A",604,IF(Atletas!R427="Outra Arma Curta A",605,IF(Atletas!R427="Dao B",606,IF(Atletas!R427="Jian B",607,IF(Atletas!R427="Bishou B",608,IF(Atletas!R427="Shanzi B",609,IF(Atletas!R427="Outra Arma Curta B",610,IF(Atletas!R427="Dao C",611,IF(Atletas!R427="Jian C",612,IF(Atletas!R427="Bishou C",613,IF(Atletas!R427="Shanzi C",614,IF(Atletas!R427="Outra Arma Curta C",615,IF(Atletas!R427="Dao D",616,IF(Atletas!R427="Jian D",617,IF(Atletas!R427="Bishou D",618,IF(Atletas!R427="Shanzi D",619,IF(Atletas!R427="Outra Arma Curta D",620,IF(Atletas!R427="Dao E",621,IF(Atletas!R427="Jian E",622,IF(Atletas!R427="Bishou E",623,IF(Atletas!R427="Shanzi E",624,IF(Atletas!R427="Outra Arma Curta E",625,IF(Atletas!R427="Dao F",626,IF(Atletas!R427="Jian F",627,IF(Atletas!R427="Bishou F",628,IF(Atletas!R427="Shanzi F",629,IF(Atletas!R427="Outra Arma Curta F",630, "")))))))))))))))))))))))))))))))</f>
        <v/>
      </c>
      <c r="CA436" s="50" t="str">
        <f>IF(Atletas!S427="","",IF(Atletas!X427&lt;&gt;"",10000,0)+IF(Atletas!B427="Feminino",1000,IF(Atletas!B427="Masculino",2000,""))+IF(Atletas!S427="Gun A",701,IF(Atletas!S427="Qiang A",702,IF(Atletas!S427="Pudao / Guandao A",703,IF(Atletas!S427="Outra Arma Longa A",704,IF(Atletas!S427="Gun B",705,IF(Atletas!S427="Qiang B",706,IF(Atletas!S427="Pudao / Guandao B",707,IF(Atletas!S427="Outra Arma Longa B",708,IF(Atletas!S427="Gun C",709,IF(Atletas!S427="Qiang C",710,IF(Atletas!S427="Pudao / Guandao C",711,IF(Atletas!S427="Outra Arma Longa C",712,IF(Atletas!S427="Gun D",713,IF(Atletas!S427="Qiang D",714,IF(Atletas!S427="Pudao / Guandao D",715,IF(Atletas!S427="Outra Arma Longa D",716,IF(Atletas!S427="Gun E",717,IF(Atletas!S427="Qiang E",718,IF(Atletas!S427="Pudao / Guandao E",719,IF(Atletas!S427="Outra Arma Longa E",720,IF(Atletas!S427="Gun F",721,IF(Atletas!S427="Qiang F",722,IF(Atletas!S427="Pudao / Guandao F",723,IF(Atletas!S427="Outra Arma Longa F",724,"")))))))))))))))))))))))))</f>
        <v/>
      </c>
      <c r="CB436" s="50" t="str">
        <f>IF(Atletas!T427="","",IF(Atletas!X427&lt;&gt;"",10000,0)+IF(Atletas!B427="Feminino",1000,IF(Atletas!B427="Masculino",2000,""))+IF(Atletas!T427="Outra Arma Dupla A",801,IF(Atletas!T427="Arma Maleável A",802,IF(Atletas!T427="Outra Arma Dupla B",803,IF(Atletas!T427="Arma Maleável B",804,IF(Atletas!T427="Outra Arma Dupla C",805,IF(Atletas!T427="Arma Maleável C",806,IF(Atletas!T427="Outra Arma Dupla D",807,IF(Atletas!T427="Arma Maleável D",808,IF(Atletas!T427="Outra Arma Dupla E",809,IF(Atletas!T427="Arma Maleável E",810,IF(Atletas!T427="Outra Arma Dupla F",811,IF(Atletas!T427="Arma Maleável F",812,IF(Atletas!T427="Shuangdao A",813,IF(Atletas!T427="Shuangdao B",814,IF(Atletas!T427="Shuangdao C",815,IF(Atletas!T427="Shuangdao D",816,IF(Atletas!T427="Shuangdao E",817,IF(Atletas!T427="Shuangdao F",818,"")))))))))))))))))))</f>
        <v/>
      </c>
      <c r="CC436" s="50" t="str">
        <f>IF(Atletas!U427="","",IF(Atletas!X427&lt;&gt;"",10000,0)+IF(Atletas!B427="Feminino",1000,IF(Atletas!B427="Masculino",2000,""))+IF(OR(Atletas!U427="Taijijian Yang A",Atletas!U427="Taijijian Yang Standard A"),901,IF(OR(Atletas!U427="Taijijian Chen A", Atletas!U427="Taijijian Chen Standard A"),902,IF(Atletas!U427="Taijijian Sun A",903,IF(Atletas!U427="Taijijian Wu A",904,IF(Atletas!U427="Taijijian Wu-Hao A",905,IF(OR(Atletas!U427="Taijijian 32 A",Atletas!U427="Taijijian 42 A"),906,IF(OR(Atletas!U427="Taijijian Yang B",Atletas!U427="Taijijian Yang Standard B"),907,IF(OR(Atletas!U427="Taijijian Chen B", Atletas!U427="Taijijian Chen Standard B"),908,IF(Atletas!U427="Taijijian Sun B",909,IF(Atletas!U427="Taijijian Wu B",910,IF(Atletas!U427="Taijijian Wu-Hao B",911,IF(OR(Atletas!U427="Taijijian 32 B",Atletas!U427="Taijijian 42 B"),912,IF(OR(Atletas!U427="Taijijian Yang C",Atletas!U427="Taijijian Yang Standard C"),913,IF(OR(Atletas!U427="Taijijian Chen C", Atletas!U427="Taijijian Chen Standard C"),914,IF(Atletas!U427="Taijijian Sun C",915,IF(Atletas!U427="Taijijian Wu C",916,IF(Atletas!U427="Taijijian Wu-Hao C",917,IF(OR(Atletas!U427="Taijijian 32 C",Atletas!U427="Taijijian 42 C"),918,IF(OR(Atletas!U427="Taijijian Yang D",Atletas!U427="Taijijian Yang Standard D"),919,IF(OR(Atletas!U427="Taijijian Chen D", Atletas!U427="Taijijian Chen Standard D"),920,IF(Atletas!U427="Taijijian Sun D",921,IF(Atletas!U427="Taijijian Wu D",922,IF(Atletas!U427="Taijijian Wu-Hao D",923,IF(OR(Atletas!U427="Taijijian 32 D",Atletas!U427="Taijijian 42 D"),924,IF(OR(Atletas!U427="Taijijian Yang E",Atletas!U427="Taijijian Yang Standard E"),925,IF(OR(Atletas!U427="Taijijian Chen E", Atletas!U427="Taijijian Chen Standard E"),926,IF(Atletas!U427="Taijijian Sun E",927,IF(Atletas!U427="Taijijian Wu E",928,IF(Atletas!U427="Taijijian Wu-Hao E",929,IF(OR(Atletas!U427="Taijijian 32 E",Atletas!U427="Taijijian 42 E"),930,IF(OR(Atletas!U427="Taijijian Yang F",Atletas!U427="Taijijian Yang Standard F"),931,IF(OR(Atletas!U427="Taijijian Chen F", Atletas!U427="Taijijian Chen Standard F"),932,IF(Atletas!U427="Taijijian Sun F",933,IF(Atletas!U427="Taijijian Wu F",934,IF(Atletas!U427="Taijijian Wu-Hao F",935,IF(OR(Atletas!U427="Taijijian 32 F",Atletas!U427="Taijijian 42 F"),936,"")))))))))))))))))))))))))))))))))))))</f>
        <v/>
      </c>
      <c r="CD436" s="50" t="str">
        <f>IF(Atletas!V427="","",IF(Atletas!X427&lt;&gt;"",10000,0)+IF(Atletas!B427="Feminino",1000,IF(Atletas!B427="Masculino",2000,""))+IF(Atletas!V427="Taijidao A",937,IF(Atletas!V427="TaijiShanzi A",938,IF(Atletas!V427="Taijiqiang A",939,IF(Atletas!V427="Bagua de Arma A",940,IF(Atletas!V427="Xingyi de Arma A",941,IF(Atletas!V427="Taijidao B",942,IF(Atletas!V427="TaijiShanzi B",943,IF(Atletas!V427="Taijiqiang B",944,IF(Atletas!V427="Bagua de Arma B",945,IF(Atletas!V427="Xingyi de Arma B",946,IF(Atletas!V427="Taijidao C",947,IF(Atletas!V427="TaijiShanzi C",948,IF(Atletas!V427="Taijiqiang C",949,IF(Atletas!V427="Bagua de Arma C",950,IF(Atletas!V427="Xingyi de Arma C",951,IF(Atletas!V427="Taijidao D",952,IF(Atletas!V427="TaijiShanzi D",953,IF(Atletas!V427="Taijiqiang D",954,IF(Atletas!V427="Bagua de Arma D",955,IF(Atletas!V427="Xingyi de Arma D",956,IF(Atletas!V427="Taijidao E",957,IF(Atletas!V427="TaijiShanzi E",958,IF(Atletas!V427="Taijiqiang E",959,IF(Atletas!V427="Bagua de Arma E",960,IF(Atletas!V427="Xingyi de Arma E",961,IF(Atletas!V427="Taijidao F",962,IF(Atletas!V427="TaijiShanzi F",963,IF(Atletas!V427="Taijiqiang F",964,IF(Atletas!V427="Bagua de Arma F",965,IF(Atletas!V427="Xingyi de Arma F",966,"")))))))))))))))))))))))))))))))</f>
        <v/>
      </c>
      <c r="CM436" s="50" t="str">
        <f xml:space="preserve"> IF(Atletas!W427="","",IF(Atletas!W427="Duilian de Mãos BC - Equipe 1",1,IF(Atletas!W427="Duilian de Mãos BC - Equipe 2",2,IF(Atletas!W427="Duilian de Armas BC - Equipe 1",3,IF(Atletas!W427="Duilian de Armas BC - Equipe 2",4,IF(Atletas!W427="Duilian de Mãos DE - Equipe 1",5,IF(Atletas!W427="Duilian de Mãos DE - Equipe 2",6,IF(Atletas!W427="Duilian de Armas DE - Equipe 1",7,IF(Atletas!W427="Duilian de Armas DE - Equipe 2",8,IF(Atletas!W427="Duilian de Tuishou - Equipe 1",9,IF(Atletas!W427="Duilian de Tuishou - Equipe 2",10,IF(Atletas!W427="Grupo Externo ABC - Equipe 1",11,IF(Atletas!W427="Grupo Externo ABC - Equipe 2",12,IF(Atletas!W427="Grupo Interno ABC - Equipe 1",13,IF(Atletas!W427="Grupo Interno ABC - Equipe 2",14,IF(Atletas!W427="Grupo Externo DEF - Equipe 1",15,IF(Atletas!W427="Grupo Externo DEF - Equipe 2",16,IF(Atletas!W427="Grupo Interno DEF - Equipe 1",17,IF(Atletas!W427="Grupo Interno DEF - Equipe 2",18,"")))))))))))))))))))</f>
        <v/>
      </c>
    </row>
    <row r="437" spans="40:91">
      <c r="AN437" s="52" t="str">
        <f>IF(Atletas!D428="","",IF(Atletas!B428="Feminino",100,IF(Atletas!B428="Masculino",200,""))+(IF(Atletas!D428="Kids 30kg",1,IF(Atletas!D428="Kids 32kg",2, IF(Atletas!D428="Kids 34kg",3,IF(Atletas!D428="Kids 36kg",4,IF(Atletas!D428="Kids 39kg",5,IF(Atletas!D428="Kids 42kg",6,IF(Atletas!D428="Kids 45kg",7, IF(Atletas!D428="Infantil 39kg",8,IF(Atletas!D428="Infantil 42kg",9,IF(Atletas!D428="Infantil 45kg",10,IF(Atletas!D428="Infantil 48kg",11,IF(Atletas!D428="Infantil 52kg",12,IF(Atletas!D428="Infantil 56kg",13,IF(Atletas!D428="Infantil 60kg",14,IF(Atletas!D428="Juvenil 48kg",15,IF(Atletas!D428="Juvenil 52kg",16,IF(Atletas!D428="Juvenil 56kg",17,IF(Atletas!D428="Juvenil 60kg",18,IF(Atletas!D428="Juvenil 65kg",19,IF(Atletas!D428="Juvenil 70kg",20,IF(Atletas!D428="Juvenil 75kg",21,IF(Atletas!D428="Juvenil 80kg",22, IF(Atletas!D428="Juvenil 85kg",23,IF(Atletas!D428="Adulto 48kg",24,IF(Atletas!D428="Adulto 52kg",25,IF(Atletas!D428="Adulto 56kg",26,IF(Atletas!D428="Adulto 60kg",27,IF(Atletas!D428="Adulto 65kg",28,IF(Atletas!D428="Adulto 70kg",29,IF(Atletas!D428="Adulto 75kg",30,IF(Atletas!D428="Adulto 80kg",31,IF(Atletas!D428="Adulto 85kg",32,IF(Atletas!D428="Adulto 90kg",33,IF(Atletas!D428="Adulto 100kg",34, IF(Atletas!D428="Adulto +100kg",35,"")))))))))))))))))))))))))))))))))))))</f>
        <v/>
      </c>
      <c r="AS437" s="6" t="str">
        <f>IF(Atletas!E428="","",IF(Atletas!B428="Feminino",100,IF(Atletas!B428="Masculino",200,""))+(IF(Atletas!E428="Juvenil 44kg",1,IF(Atletas!E428="Juvenil 48kg",2,IF(Atletas!E428="Juvenil 52kg",3,IF(Atletas!E428="Juvenil 56kg",4,IF(Atletas!E428="Juvenil 60kg",5,IF(Atletas!E428="Juvenil 65kg",6,IF(Atletas!E428="Juvenil 70kg",7,IF(Atletas!E428="Juvenil 75kg",8,IF(Atletas!E428="Juvenil 82kg",9,IF(Atletas!E428="Juvenil 90kg",10,IF(Atletas!E428="Juvenil 100kg",11,IF(Atletas!E428="Adulto 48kg",12,IF(Atletas!E428="Adulto 52kg",13,IF(Atletas!E428="Adulto 56kg",14,IF(Atletas!E428="Adulto 60kg",15,IF(Atletas!E428="Adulto 65kg",16,IF(Atletas!E428="Adulto 70kg",17,IF(Atletas!E428="Adulto 75kg",18,IF(Atletas!E428="Adulto 82kg",19,IF(Atletas!E428="Adulto 90kg",20,IF(Atletas!E428="Adulto 100kg",21,IF(Atletas!E428="Adulto +100kg",22,""))))))))))))))))))))))))</f>
        <v/>
      </c>
      <c r="AX437" s="6" t="str">
        <f>IF(Atletas!F428="","",IF(Atletas!B428="Feminino",100,IF(Atletas!B428="Masculino",200,""))+(IF(Atletas!F428="Adulto 48kg",1,IF(Atletas!F428="Adulto 56kg",2,IF(Atletas!F428="Adulto 65kg",3,IF(Atletas!F428="Adulto 75kg",4,IF(Atletas!F428="Adulto +75kg",5,IF(Atletas!F428="Adulto 52kg",6,IF(Atletas!F428="Adulto 60kg",7,IF(Atletas!F428="Adulto 70kg",8,IF(Atletas!F428="Adulto 80kg",9,IF(Atletas!F428="Adulto 90kg",10,IF(Atletas!F428="Adulto +90kg",11,"")))))))))))))</f>
        <v/>
      </c>
      <c r="BC437" s="6" t="str">
        <f>IF(Atletas!G428="","",IF(Atletas!B428="Feminino",10,IF(Atletas!B428="Masculino",20,""))+(IF(Atletas!G428="Baduanjin A",1,IF(Atletas!G428="Baduanjin B",2))))</f>
        <v/>
      </c>
      <c r="BF437" s="52" t="str">
        <f>IF(Atletas!H428="","",IF(Atletas!B428="Feminino",100,IF(Atletas!B428="Masculino",200,""))+(IF(Atletas!H428="Changquan Mirim",1,IF(Atletas!H428="Nanquan Mirim",2,IF(Atletas!H428="Taijiquan Mirim",3,IF(Atletas!H428="Changquan Grupo C",4,IF(Atletas!H428="Nanquan Grupo C",5,IF(Atletas!H428="Taijiquan Grupo C",6,IF(Atletas!H428="Changquan Grupo B",7,IF(Atletas!H428="Nanquan Grupo B",8,IF(Atletas!H428="Taijiquan Grupo B",9,IF(Atletas!H428="Changquan Grupo A",10,IF(Atletas!H428="Nanquan Grupo A",11,IF(Atletas!H428="Taijiquan Grupo A",12,IF(Atletas!H428="Changquan Opcional",13,IF(Atletas!H428="Nanquan Opcional",14,IF(Atletas!H428="Taijiquan Opcional",15,IF(Atletas!H428="Changquan Adulto",16,IF(Atletas!H428="Nanquan Adulto",17,IF(Atletas!H428="Taijiquan Adulto",18,""))))))))))))))))))))</f>
        <v/>
      </c>
      <c r="BG437" s="52" t="str">
        <f>IF(Atletas!I428="","",IF(Atletas!B428="Feminino",100,IF(Atletas!B428="Masculino",200,""))+(IF(Atletas!I428="Daoshu Mirim",19,IF(Atletas!I428="Jianshu Mirim",20,IF(Atletas!I428="Nandao Mirim",21,IF(Atletas!I428="Taijijian Mirim",22,IF(Atletas!I428="Daoshu Grupo C",23,IF(Atletas!I428="Jianshu Grupo C",24,IF(Atletas!I428="Nandao Grupo C",25,IF(Atletas!I428="Taijijian Grupo C",26,IF(Atletas!I428="Daoshu Grupo B",27,IF(Atletas!I428="Jianshu Grupo B",28,IF(Atletas!I428="Nandao Grupo B",29,IF(Atletas!I428="Taijijian Grupo B",30,IF(Atletas!I428="Daoshu Grupo A",31,IF(Atletas!I428="Jianshu Grupo A",32,IF(Atletas!I428="Nandao Grupo A",33,IF(Atletas!I428="Taijijian Grupo A",34,IF(Atletas!I428="Daoshu Opcional",35,IF(Atletas!I428="Jianshu Opcional",36,IF(Atletas!I428="Nandao Opcional",37,IF(Atletas!I428="Taijijian Opcional",38,IF(Atletas!I428="Daoshu Adulto",39,IF(Atletas!I428="Jianshu Adulto",40,IF(Atletas!I428="Nandao Adulto",41,IF(Atletas!I428="Taijijian Adulto",42,""))))))))))))))))))))))))))</f>
        <v/>
      </c>
      <c r="BH437" s="52" t="str">
        <f>IF(Atletas!J428="","",IF(Atletas!B428="Feminino",100,IF(Atletas!B428="Masculino",200,""))+(IF(Atletas!J428="Gunshu Mirim",43,IF(Atletas!J428="Qiangshu Mirim",44,IF(Atletas!J428="Nangun Mirim",45,IF(Atletas!J428="Gunshu Grupo C",46,IF(Atletas!J428="Qiangshu Grupo C",47,IF(Atletas!J428="Nangun Grupo C",48,IF(Atletas!J428="Gunshu Grupo B",49,IF(Atletas!J428="Qiangshu Grupo B",50,IF(Atletas!J428="Nangun Grupo B",51,IF(Atletas!J428="Gunshu Grupo A",52,IF(Atletas!J428="Qiangshu Grupo A",53,IF(Atletas!J428="Nangun Grupo A",54,IF(Atletas!J428="Gunshu Opcional",55,IF(Atletas!J428="Qiangshu Opcional",56,IF(Atletas!J428="Nangun Opcional",57,IF(Atletas!J428="Gunshu Adulto",58,IF(Atletas!J428="Qiangshu Adulto",59,IF(Atletas!J428="Nangun Adulto",60,IF(Atletas!J428="Taijishan Grupo B",61,IF(Atletas!J428="Taijishan Grupo A",62,""))))))))))))))))))))))</f>
        <v/>
      </c>
      <c r="BM437" s="50" t="str">
        <f>IF(Atletas!K428="","",IF(Atletas!B428="Feminino",100,IF(Atletas!B428="Masculino",200,""))+(IF(Atletas!K428="Equipe 1 Grupo B",1,IF(Atletas!K428="Equipe 2 Grupo B",2,IF(Atletas!K428="Equipe 1 Grupo A",3,IF(Atletas!K428="Equipe 2 Grupo A",4,IF(Atletas!K428="Equipe 1 Adulto",5,IF(Atletas!K428="Equipe 2 Adulto",6,""))))))))</f>
        <v/>
      </c>
      <c r="BR437" s="50" t="str">
        <f>IF(Atletas!L428="","",IF(Atletas!X428&lt;&gt;"",10000,0)+(IF(Atletas!B428="Feminino",1000,IF(Atletas!B428="Masculino",2000,""))+IF(Atletas!L428="Choylayfut A",1,IF(Atletas!L428="Hunggar A",2,IF(Atletas!L428="Wuzuquan A",3,IF(Atletas!L428="Wingchun A",4,IF(Atletas!L428="Outra Mão de Sul A",5,IF(Atletas!L428="Choylayfut B",6,IF(Atletas!L428="Hunggar B",7,IF(Atletas!L428="Wuzuquan B",8,IF(Atletas!L428="Wingchun B",9,IF(Atletas!L428="Outra Mão de Sul B",10,IF(Atletas!L428="Choylayfut C",11,IF(Atletas!L428="Hunggar C",12,IF(Atletas!L428="Wuzuquan C",13,IF(Atletas!L428="Wingchun C",14,IF(Atletas!L428="Outra Mão de Sul C",15,IF(Atletas!L428="Choylayfut D",16,IF(Atletas!L428="Hunggar D",17,IF(Atletas!L428="Wuzuquan D",18,IF(Atletas!L428="Wingchun D",19,IF(Atletas!L428="Outra Mão de Sul D",20,IF(Atletas!L428="Choylayfut E",21,IF(Atletas!L428="Hunggar E",22,IF(Atletas!L428="Wuzuquan E",23,IF(Atletas!L428="Wingchun E",24,IF(Atletas!L428="Outra Mão de Sul E",25,IF(Atletas!L428="Choylayfut F",26,IF(Atletas!L428="Hunggar F",27,IF(Atletas!L428="Wuzuquan F",28,IF(Atletas!L428="Wingchun F",29,IF(Atletas!L428="Outra Mão de Sul F",30,IF(Atletas!L428="Dishuquan A",31,IF(Atletas!L428="Dishuquan B",32,IF(Atletas!L428="Dishuquan C",33,IF(Atletas!L428="Dishuquan D",34,IF(Atletas!L428="Dishuquan E",35,IF(Atletas!L428="Dishuquan F",36,""))))))))))))))))))))))))))))))))))))))</f>
        <v/>
      </c>
      <c r="BS437" s="50" t="str">
        <f>IF(Atletas!M428="","",IF(Atletas!X428&lt;&gt;"",10000,0)+(IF(Atletas!B428="Feminino",1000,IF(Atletas!B428="Masculino",2000,""))+(IF(Atletas!M428="Chaquan A",101,IF(Atletas!M428="Emeiquan A",102,IF(Atletas!M428="Fanziquan A",103,IF(Atletas!M428="Huaquan A",104,IF(Atletas!M428="Hongquan A",105,IF(Atletas!M428="Paoquan A",106,IF(Atletas!M428="Piguaquan A",107,IF(Atletas!M428="Shaolinquan A",108,IF(Atletas!M428="Tanglangquan A",109,IF(Atletas!M428="Yingzhaoquan A",110,IF(Atletas!M428="Tongbeiquan A",111,IF(Atletas!M428="Wudangquan A",112,IF(Atletas!M428="Outros Estilos A",113,IF(Atletas!M428="Chaquan B",114,IF(Atletas!M428="Emeiquan B",115,IF(Atletas!M428="Fanziquan B",116,IF(Atletas!M428="Huaquan B",117,IF(Atletas!M428="Hongquan B",118,IF(Atletas!M428="Paoquan B",119,IF(Atletas!M428="Piguaquan B",120,IF(Atletas!M428="Shaolinquan B",121,IF(Atletas!M428="Tanglangquan B",122,IF(Atletas!M428="Yingzhaoquan B",123,IF(Atletas!M428="Tongbeiquan B",124,IF(Atletas!M428="Wudangquan B",125,IF(Atletas!M428="Outros Estilos B",126,IF(Atletas!M428="Chaquan C",127,IF(Atletas!M428="Emeiquan C",128,IF(Atletas!M428="Fanziquan C",129,IF(Atletas!M428="Huaquan C",130,IF(Atletas!M428="Hongquan C",131,IF(Atletas!M428="Paoquan C",132,IF(Atletas!M428="Piguaquan C",133,IF(Atletas!M428="Shaolinquan C",134,IF(Atletas!M428="Tanglangquan C",135,IF(Atletas!M428="Yingzhaoquan C",136,IF(Atletas!M428="Tongbeiquan C",137,IF(Atletas!M428="Wudangquan C",138,IF(Atletas!M428="Outros Estilos C",139,0))))))))))))))))))))))))))))))))))))))))))</f>
        <v/>
      </c>
      <c r="BT437" s="50" t="str">
        <f>IF(Atletas!M428="","",IF(Atletas!X428&lt;&gt;"",10000,0)+(IF(Atletas!B428="Feminino",1000,IF(Atletas!B428="Masculino",2000,""))+(IF(Atletas!M428="Chaquan D",140,IF(Atletas!M428="Emeiquan D",141,IF(Atletas!M428="Fanziquan D",142,IF(Atletas!M428="Huaquan D",143,IF(Atletas!M428="Hongquan D",144,IF(Atletas!M428="Paoquan D",145,IF(Atletas!M428="Piguaquan D",146,IF(Atletas!M428="Shaolinquan D",147,IF(Atletas!M428="Tanglangquan D",148,IF(Atletas!M428="Yingzhaoquan D",149,IF(Atletas!M428="Tongbeiquan D",150,IF(Atletas!M428="Wudangquan D",151,IF(Atletas!M428="Outros Estilos D",152,IF(Atletas!M428="Chaquan E",153,IF(Atletas!M428="Emeiquan E",154,IF(Atletas!M428="Fanziquan E",155,IF(Atletas!M428="Huaquan E",156,IF(Atletas!M428="Hongquan E",157,IF(Atletas!M428="Paoquan E",158,IF(Atletas!M428="Piguaquan E",159,IF(Atletas!M428="Shaolinquan E",160,IF(Atletas!M428="Tanglangquan E",161,IF(Atletas!M428="Yingzhaoquan E",162,IF(Atletas!M428="Tongbeiquan E",163,IF(Atletas!M428="Wudangquan E",164,IF(Atletas!M428="Outros Estilos E",165,IF(Atletas!M428="Chaquan F",166,IF(Atletas!M428="Emeiquan F",167,IF(Atletas!M428="Fanziquan F",168,IF(Atletas!M428="Huaquan F",169,IF(Atletas!M428="Hongquan F",170,IF(Atletas!M428="Paoquan F",171,IF(Atletas!M428="Piguaquan F",172,IF(Atletas!M428="Shaolinquan F",173,IF(Atletas!M428="Tanglangquan F",174,IF(Atletas!M428="Yingzhaoquan F",175,IF(Atletas!M428="Tongbeiquan F",176,IF(Atletas!M428="Wudangquan F",177,IF(Atletas!M428="Outros Estilos F",178,0))))))))))))))))))))))))))))))))))))))))))</f>
        <v/>
      </c>
      <c r="BU437" s="50" t="str">
        <f>IF(Atletas!N428="","",IF(Atletas!X428&lt;&gt;"",10000,0)+(IF(Atletas!B428="Feminino",1000,IF(Atletas!B428="Masculino",2000,""))+(IF(Atletas!N428="Ditangquan A",201,IF(Atletas!N428="Houquan A",202,IF(Atletas!N428="Zuiquan A",203,IF(Atletas!N428="Ditangquan B",204,IF(Atletas!N428="Houquan B",205,IF(Atletas!N428="Zuiquan B",206,IF(Atletas!N428="Ditangquan C",207,IF(Atletas!N428="Houquan C",208,IF(Atletas!N428="Zuiquan C",209,IF(Atletas!N428="Ditangquan D",210,IF(Atletas!N428="Houquan D",211,IF(Atletas!N428="Zuiquan D",212,IF(Atletas!N428="Ditangquan E",213,IF(Atletas!N428="Houquan E",214,IF(Atletas!N428="Zuiquan E",215,IF(Atletas!N428="Ditangquan F",216,IF(Atletas!N428="Houquan F",217,IF(Atletas!N428="Zuiquan F",218,"")))))))))))))))))))))</f>
        <v/>
      </c>
      <c r="BV437" s="50" t="str">
        <f>IF(Atletas!O428="","",IF(Atletas!X428&lt;&gt;"",10000,0)+IF(Atletas!B428="Feminino",1000,IF(Atletas!B428="Masculino",2000,""))+IF(Atletas!O428="Yang A",301,IF(Atletas!O428="Chen A",302,IF(Atletas!O428="Sun A",303,IF(Atletas!O428="Wu A",304,IF(Atletas!O428="Wu-Hao A",305,IF(Atletas!O428="Outro Taijiquan A",306,IF(Atletas!O428="Yang B",307,IF(Atletas!O428="Chen B",308,IF(Atletas!O428="Sun B",309,IF(Atletas!O428="Wu B",310,IF(Atletas!O428="Wu-Hao B",311,IF(Atletas!O428="Outro Taijiquan B",312,IF(Atletas!O428="Yang C",313,IF(Atletas!O428="Chen C",314,IF(Atletas!O428="Sun C",315,IF(Atletas!O428="Wu C",316,IF(Atletas!O428="Wu-Hao C",317,IF(Atletas!O428="Outro Taijiquan C",318,IF(Atletas!O428="Yang D",319,IF(Atletas!O428="Chen D",320,IF(Atletas!O428="Sun D",321,IF(Atletas!O428="Wu D",322,IF(Atletas!O428="Wu-Hao D",323,IF(Atletas!O428="Outro Taijiquan D",324,IF(Atletas!O428="Yang E",325,IF(Atletas!O428="Chen E",326,IF(Atletas!O428="Sun E",327,IF(Atletas!O428="Wu E",328,IF(Atletas!O428="Wu-Hao E",329,IF(Atletas!O428="Outro Taijiquan E",330,IF(Atletas!O428="Yang F",331,IF(Atletas!O428="Chen F",332,IF(Atletas!O428="Sun F",333,IF(Atletas!O428="Wu F",334,IF(Atletas!O428="Wu-Hao F",335,IF(Atletas!O428="Outro Taijiquan F",336,"")))))))))))))))))))))))))))))))))))))</f>
        <v/>
      </c>
      <c r="BW437" s="50" t="str">
        <f>IF(Atletas!P428="","",IF(Atletas!X428&lt;&gt;"",10000,0)+IF(Atletas!B428="Feminino",1000,IF(Atletas!B428="Masculino",2000,""))+IF(OR(Atletas!P428="Yang 26 A",Atletas!P428="Yang 40 A"),401,IF(OR(Atletas!P428="Chen 25 A",Atletas!P428="Chen 36 A",Atletas!P428="Chen 56 A"),402,IF(Atletas!P428="Sun 73 A",403,IF(Atletas!P428="Wu 45 A",404,IF(Atletas!P428="Wu-Hao 46 A",405,IF(OR(Atletas!P428="Taijiquan 16 A",Atletas!P428="Taijiquan 24 A",Atletas!P428="Taijiquan 32 A",Atletas!P428="Taijiquan 42 A"),406,IF(OR(Atletas!P428="Yang 26 B",Atletas!P428="Yang 40 B"),407,IF(OR(Atletas!P428="Chen 25 B",Atletas!P428="Chen 36 B",Atletas!P428="Chen 56 B"),408,IF(Atletas!P428="Sun 73 B",409,IF(Atletas!P428="Wu 45 B",410,IF(Atletas!P428="Wu-Hao 46 B",411,IF(OR(Atletas!P428="Taijiquan 16 B",Atletas!P428="Taijiquan 24 B",Atletas!P428="Taijiquan 32 B",Atletas!P428="Taijiquan 42 B"),412,IF(OR(Atletas!P428="Yang 26 C",Atletas!P428="Yang 40 C"),413,IF(OR(Atletas!P428="Chen 25 C",Atletas!P428="Chen 36 C",Atletas!P428="Chen 56 C"),414,IF(Atletas!P428="Sun 73 C",415,IF(Atletas!P428="Wu 45 C",416,IF(Atletas!P428="Wu-Hao 46 C",417,IF(OR(Atletas!P428="Taijiquan 16 C",Atletas!P428="Taijiquan 24 C",Atletas!P428="Taijiquan 32 C",Atletas!P428="Taijiquan 42 C"),418,0)))))))))))))))))))</f>
        <v/>
      </c>
      <c r="BX437" s="50" t="str">
        <f>IF(Atletas!P428="","",IF(Atletas!X428&lt;&gt;"",10000,0)+IF(Atletas!B428="Feminino",1000,IF(Atletas!B428="Masculino",2000,""))+IF(OR(Atletas!P428="Yang 26 D",Atletas!P428="Yang 40 D"),419,IF(OR(Atletas!P428="Chen 25 D",Atletas!P428="Chen 36 D",Atletas!P428="Chen 56 D"),420,IF(Atletas!P428="Sun 73 D",421,IF(Atletas!P428="Wu 45 D",422,IF(Atletas!P428="Wu-Hao 46 D",423,IF(OR(Atletas!P428="Taijiquan 16 D",Atletas!P428="Taijiquan 24 D",Atletas!P428="Taijiquan 32 D",Atletas!P428="Taijiquan 42 D"),424,IF(OR(Atletas!P428="Yang 26 E",Atletas!P428="Yang 40 E"),425,IF(OR(Atletas!P428="Chen 25 E",Atletas!P428="Chen 36 E",Atletas!P428="Chen 56 E"),426,IF(Atletas!P428="Sun 73 E",427,IF(Atletas!P428="Wu 45 E",428,IF(Atletas!P428="Wu-Hao 46 E",429,IF(OR(Atletas!P428="Taijiquan 16 E",Atletas!P428="Taijiquan 24 E",Atletas!P428="Taijiquan 32 E",Atletas!P428="Taijiquan 42 E"),430,IF(OR(Atletas!P428="Yang 26 F",Atletas!P428="Yang 40 F"),431,IF(OR(Atletas!P428="Chen 25 F",Atletas!P428="Chen 36 F",Atletas!P428="Chen 56 F"),432,IF(Atletas!P428="Sun 73 F",433,IF(Atletas!P428="Wu 45 F",434,IF(Atletas!P428="Wu-Hao 46 F",435,IF(OR(Atletas!P428="Taijiquan 16 F",Atletas!P428="Taijiquan 24 F",Atletas!P428="Taijiquan 32 F",Atletas!P428="Taijiquan 42 F"),436,0)))))))))))))))))))</f>
        <v/>
      </c>
      <c r="BY437" s="50" t="str">
        <f>IF(Atletas!Q428="","",IF(Atletas!X428&lt;&gt;"",10000,0)+IF(Atletas!B428="Feminino",1000,IF(Atletas!B428="Masculino",2000,""))+IF(Atletas!Q428="Xingyiquan A",501,IF(Atletas!Q428="Baguazhang A",502,IF(Atletas!Q428="Outro Estilo Interno A",503,IF(Atletas!Q428="Xingyiquan B",504,IF(Atletas!Q428="Baguazhang B",505,IF(Atletas!Q428="Outro Estilo Interno B",506,IF(Atletas!Q428="Xingyiquan C",507,IF(Atletas!Q428="Baguazhang C",508,IF(Atletas!Q428="Outro Estilo Interno C",509,IF(Atletas!Q428="Xingyiquan D",510,IF(Atletas!Q428="Baguazhang D",511,IF(Atletas!Q428="Outro Estilo Interno D",512,IF(Atletas!Q428="Xingyiquan E",513,IF(Atletas!Q428="Baguazhang E",514,IF(Atletas!Q428="Outro Estilo Interno E",515,IF(Atletas!Q428="Xingyiquan F",516,IF(Atletas!Q428="Baguazhang F",517,IF(Atletas!Q428="Outro Estilo Interno F",518, "")))))))))))))))))))</f>
        <v/>
      </c>
      <c r="BZ437" s="50" t="str">
        <f>IF(Atletas!R428="","",IF(Atletas!X428&lt;&gt;"",10000,0)+IF(Atletas!B428="Feminino",1000,IF(Atletas!B428="Masculino",2000,""))+IF(Atletas!R428="Dao A",601,IF(Atletas!R428="Jian A",602,IF(Atletas!R428="Bishou A",603,IF(Atletas!R428="Shanzi A",604,IF(Atletas!R428="Outra Arma Curta A",605,IF(Atletas!R428="Dao B",606,IF(Atletas!R428="Jian B",607,IF(Atletas!R428="Bishou B",608,IF(Atletas!R428="Shanzi B",609,IF(Atletas!R428="Outra Arma Curta B",610,IF(Atletas!R428="Dao C",611,IF(Atletas!R428="Jian C",612,IF(Atletas!R428="Bishou C",613,IF(Atletas!R428="Shanzi C",614,IF(Atletas!R428="Outra Arma Curta C",615,IF(Atletas!R428="Dao D",616,IF(Atletas!R428="Jian D",617,IF(Atletas!R428="Bishou D",618,IF(Atletas!R428="Shanzi D",619,IF(Atletas!R428="Outra Arma Curta D",620,IF(Atletas!R428="Dao E",621,IF(Atletas!R428="Jian E",622,IF(Atletas!R428="Bishou E",623,IF(Atletas!R428="Shanzi E",624,IF(Atletas!R428="Outra Arma Curta E",625,IF(Atletas!R428="Dao F",626,IF(Atletas!R428="Jian F",627,IF(Atletas!R428="Bishou F",628,IF(Atletas!R428="Shanzi F",629,IF(Atletas!R428="Outra Arma Curta F",630, "")))))))))))))))))))))))))))))))</f>
        <v/>
      </c>
      <c r="CA437" s="50" t="str">
        <f>IF(Atletas!S428="","",IF(Atletas!X428&lt;&gt;"",10000,0)+IF(Atletas!B428="Feminino",1000,IF(Atletas!B428="Masculino",2000,""))+IF(Atletas!S428="Gun A",701,IF(Atletas!S428="Qiang A",702,IF(Atletas!S428="Pudao / Guandao A",703,IF(Atletas!S428="Outra Arma Longa A",704,IF(Atletas!S428="Gun B",705,IF(Atletas!S428="Qiang B",706,IF(Atletas!S428="Pudao / Guandao B",707,IF(Atletas!S428="Outra Arma Longa B",708,IF(Atletas!S428="Gun C",709,IF(Atletas!S428="Qiang C",710,IF(Atletas!S428="Pudao / Guandao C",711,IF(Atletas!S428="Outra Arma Longa C",712,IF(Atletas!S428="Gun D",713,IF(Atletas!S428="Qiang D",714,IF(Atletas!S428="Pudao / Guandao D",715,IF(Atletas!S428="Outra Arma Longa D",716,IF(Atletas!S428="Gun E",717,IF(Atletas!S428="Qiang E",718,IF(Atletas!S428="Pudao / Guandao E",719,IF(Atletas!S428="Outra Arma Longa E",720,IF(Atletas!S428="Gun F",721,IF(Atletas!S428="Qiang F",722,IF(Atletas!S428="Pudao / Guandao F",723,IF(Atletas!S428="Outra Arma Longa F",724,"")))))))))))))))))))))))))</f>
        <v/>
      </c>
      <c r="CB437" s="50" t="str">
        <f>IF(Atletas!T428="","",IF(Atletas!X428&lt;&gt;"",10000,0)+IF(Atletas!B428="Feminino",1000,IF(Atletas!B428="Masculino",2000,""))+IF(Atletas!T428="Outra Arma Dupla A",801,IF(Atletas!T428="Arma Maleável A",802,IF(Atletas!T428="Outra Arma Dupla B",803,IF(Atletas!T428="Arma Maleável B",804,IF(Atletas!T428="Outra Arma Dupla C",805,IF(Atletas!T428="Arma Maleável C",806,IF(Atletas!T428="Outra Arma Dupla D",807,IF(Atletas!T428="Arma Maleável D",808,IF(Atletas!T428="Outra Arma Dupla E",809,IF(Atletas!T428="Arma Maleável E",810,IF(Atletas!T428="Outra Arma Dupla F",811,IF(Atletas!T428="Arma Maleável F",812,IF(Atletas!T428="Shuangdao A",813,IF(Atletas!T428="Shuangdao B",814,IF(Atletas!T428="Shuangdao C",815,IF(Atletas!T428="Shuangdao D",816,IF(Atletas!T428="Shuangdao E",817,IF(Atletas!T428="Shuangdao F",818,"")))))))))))))))))))</f>
        <v/>
      </c>
      <c r="CC437" s="50" t="str">
        <f>IF(Atletas!U428="","",IF(Atletas!X428&lt;&gt;"",10000,0)+IF(Atletas!B428="Feminino",1000,IF(Atletas!B428="Masculino",2000,""))+IF(OR(Atletas!U428="Taijijian Yang A",Atletas!U428="Taijijian Yang Standard A"),901,IF(OR(Atletas!U428="Taijijian Chen A", Atletas!U428="Taijijian Chen Standard A"),902,IF(Atletas!U428="Taijijian Sun A",903,IF(Atletas!U428="Taijijian Wu A",904,IF(Atletas!U428="Taijijian Wu-Hao A",905,IF(OR(Atletas!U428="Taijijian 32 A",Atletas!U428="Taijijian 42 A"),906,IF(OR(Atletas!U428="Taijijian Yang B",Atletas!U428="Taijijian Yang Standard B"),907,IF(OR(Atletas!U428="Taijijian Chen B", Atletas!U428="Taijijian Chen Standard B"),908,IF(Atletas!U428="Taijijian Sun B",909,IF(Atletas!U428="Taijijian Wu B",910,IF(Atletas!U428="Taijijian Wu-Hao B",911,IF(OR(Atletas!U428="Taijijian 32 B",Atletas!U428="Taijijian 42 B"),912,IF(OR(Atletas!U428="Taijijian Yang C",Atletas!U428="Taijijian Yang Standard C"),913,IF(OR(Atletas!U428="Taijijian Chen C", Atletas!U428="Taijijian Chen Standard C"),914,IF(Atletas!U428="Taijijian Sun C",915,IF(Atletas!U428="Taijijian Wu C",916,IF(Atletas!U428="Taijijian Wu-Hao C",917,IF(OR(Atletas!U428="Taijijian 32 C",Atletas!U428="Taijijian 42 C"),918,IF(OR(Atletas!U428="Taijijian Yang D",Atletas!U428="Taijijian Yang Standard D"),919,IF(OR(Atletas!U428="Taijijian Chen D", Atletas!U428="Taijijian Chen Standard D"),920,IF(Atletas!U428="Taijijian Sun D",921,IF(Atletas!U428="Taijijian Wu D",922,IF(Atletas!U428="Taijijian Wu-Hao D",923,IF(OR(Atletas!U428="Taijijian 32 D",Atletas!U428="Taijijian 42 D"),924,IF(OR(Atletas!U428="Taijijian Yang E",Atletas!U428="Taijijian Yang Standard E"),925,IF(OR(Atletas!U428="Taijijian Chen E", Atletas!U428="Taijijian Chen Standard E"),926,IF(Atletas!U428="Taijijian Sun E",927,IF(Atletas!U428="Taijijian Wu E",928,IF(Atletas!U428="Taijijian Wu-Hao E",929,IF(OR(Atletas!U428="Taijijian 32 E",Atletas!U428="Taijijian 42 E"),930,IF(OR(Atletas!U428="Taijijian Yang F",Atletas!U428="Taijijian Yang Standard F"),931,IF(OR(Atletas!U428="Taijijian Chen F", Atletas!U428="Taijijian Chen Standard F"),932,IF(Atletas!U428="Taijijian Sun F",933,IF(Atletas!U428="Taijijian Wu F",934,IF(Atletas!U428="Taijijian Wu-Hao F",935,IF(OR(Atletas!U428="Taijijian 32 F",Atletas!U428="Taijijian 42 F"),936,"")))))))))))))))))))))))))))))))))))))</f>
        <v/>
      </c>
      <c r="CD437" s="50" t="str">
        <f>IF(Atletas!V428="","",IF(Atletas!X428&lt;&gt;"",10000,0)+IF(Atletas!B428="Feminino",1000,IF(Atletas!B428="Masculino",2000,""))+IF(Atletas!V428="Taijidao A",937,IF(Atletas!V428="TaijiShanzi A",938,IF(Atletas!V428="Taijiqiang A",939,IF(Atletas!V428="Bagua de Arma A",940,IF(Atletas!V428="Xingyi de Arma A",941,IF(Atletas!V428="Taijidao B",942,IF(Atletas!V428="TaijiShanzi B",943,IF(Atletas!V428="Taijiqiang B",944,IF(Atletas!V428="Bagua de Arma B",945,IF(Atletas!V428="Xingyi de Arma B",946,IF(Atletas!V428="Taijidao C",947,IF(Atletas!V428="TaijiShanzi C",948,IF(Atletas!V428="Taijiqiang C",949,IF(Atletas!V428="Bagua de Arma C",950,IF(Atletas!V428="Xingyi de Arma C",951,IF(Atletas!V428="Taijidao D",952,IF(Atletas!V428="TaijiShanzi D",953,IF(Atletas!V428="Taijiqiang D",954,IF(Atletas!V428="Bagua de Arma D",955,IF(Atletas!V428="Xingyi de Arma D",956,IF(Atletas!V428="Taijidao E",957,IF(Atletas!V428="TaijiShanzi E",958,IF(Atletas!V428="Taijiqiang E",959,IF(Atletas!V428="Bagua de Arma E",960,IF(Atletas!V428="Xingyi de Arma E",961,IF(Atletas!V428="Taijidao F",962,IF(Atletas!V428="TaijiShanzi F",963,IF(Atletas!V428="Taijiqiang F",964,IF(Atletas!V428="Bagua de Arma F",965,IF(Atletas!V428="Xingyi de Arma F",966,"")))))))))))))))))))))))))))))))</f>
        <v/>
      </c>
      <c r="CM437" s="50" t="str">
        <f xml:space="preserve"> IF(Atletas!W428="","",IF(Atletas!W428="Duilian de Mãos BC - Equipe 1",1,IF(Atletas!W428="Duilian de Mãos BC - Equipe 2",2,IF(Atletas!W428="Duilian de Armas BC - Equipe 1",3,IF(Atletas!W428="Duilian de Armas BC - Equipe 2",4,IF(Atletas!W428="Duilian de Mãos DE - Equipe 1",5,IF(Atletas!W428="Duilian de Mãos DE - Equipe 2",6,IF(Atletas!W428="Duilian de Armas DE - Equipe 1",7,IF(Atletas!W428="Duilian de Armas DE - Equipe 2",8,IF(Atletas!W428="Duilian de Tuishou - Equipe 1",9,IF(Atletas!W428="Duilian de Tuishou - Equipe 2",10,IF(Atletas!W428="Grupo Externo ABC - Equipe 1",11,IF(Atletas!W428="Grupo Externo ABC - Equipe 2",12,IF(Atletas!W428="Grupo Interno ABC - Equipe 1",13,IF(Atletas!W428="Grupo Interno ABC - Equipe 2",14,IF(Atletas!W428="Grupo Externo DEF - Equipe 1",15,IF(Atletas!W428="Grupo Externo DEF - Equipe 2",16,IF(Atletas!W428="Grupo Interno DEF - Equipe 1",17,IF(Atletas!W428="Grupo Interno DEF - Equipe 2",18,"")))))))))))))))))))</f>
        <v/>
      </c>
    </row>
    <row r="438" spans="40:91">
      <c r="AN438" s="52" t="str">
        <f>IF(Atletas!D429="","",IF(Atletas!B429="Feminino",100,IF(Atletas!B429="Masculino",200,""))+(IF(Atletas!D429="Kids 30kg",1,IF(Atletas!D429="Kids 32kg",2, IF(Atletas!D429="Kids 34kg",3,IF(Atletas!D429="Kids 36kg",4,IF(Atletas!D429="Kids 39kg",5,IF(Atletas!D429="Kids 42kg",6,IF(Atletas!D429="Kids 45kg",7, IF(Atletas!D429="Infantil 39kg",8,IF(Atletas!D429="Infantil 42kg",9,IF(Atletas!D429="Infantil 45kg",10,IF(Atletas!D429="Infantil 48kg",11,IF(Atletas!D429="Infantil 52kg",12,IF(Atletas!D429="Infantil 56kg",13,IF(Atletas!D429="Infantil 60kg",14,IF(Atletas!D429="Juvenil 48kg",15,IF(Atletas!D429="Juvenil 52kg",16,IF(Atletas!D429="Juvenil 56kg",17,IF(Atletas!D429="Juvenil 60kg",18,IF(Atletas!D429="Juvenil 65kg",19,IF(Atletas!D429="Juvenil 70kg",20,IF(Atletas!D429="Juvenil 75kg",21,IF(Atletas!D429="Juvenil 80kg",22, IF(Atletas!D429="Juvenil 85kg",23,IF(Atletas!D429="Adulto 48kg",24,IF(Atletas!D429="Adulto 52kg",25,IF(Atletas!D429="Adulto 56kg",26,IF(Atletas!D429="Adulto 60kg",27,IF(Atletas!D429="Adulto 65kg",28,IF(Atletas!D429="Adulto 70kg",29,IF(Atletas!D429="Adulto 75kg",30,IF(Atletas!D429="Adulto 80kg",31,IF(Atletas!D429="Adulto 85kg",32,IF(Atletas!D429="Adulto 90kg",33,IF(Atletas!D429="Adulto 100kg",34, IF(Atletas!D429="Adulto +100kg",35,"")))))))))))))))))))))))))))))))))))))</f>
        <v/>
      </c>
      <c r="AS438" s="6" t="str">
        <f>IF(Atletas!E429="","",IF(Atletas!B429="Feminino",100,IF(Atletas!B429="Masculino",200,""))+(IF(Atletas!E429="Juvenil 44kg",1,IF(Atletas!E429="Juvenil 48kg",2,IF(Atletas!E429="Juvenil 52kg",3,IF(Atletas!E429="Juvenil 56kg",4,IF(Atletas!E429="Juvenil 60kg",5,IF(Atletas!E429="Juvenil 65kg",6,IF(Atletas!E429="Juvenil 70kg",7,IF(Atletas!E429="Juvenil 75kg",8,IF(Atletas!E429="Juvenil 82kg",9,IF(Atletas!E429="Juvenil 90kg",10,IF(Atletas!E429="Juvenil 100kg",11,IF(Atletas!E429="Adulto 48kg",12,IF(Atletas!E429="Adulto 52kg",13,IF(Atletas!E429="Adulto 56kg",14,IF(Atletas!E429="Adulto 60kg",15,IF(Atletas!E429="Adulto 65kg",16,IF(Atletas!E429="Adulto 70kg",17,IF(Atletas!E429="Adulto 75kg",18,IF(Atletas!E429="Adulto 82kg",19,IF(Atletas!E429="Adulto 90kg",20,IF(Atletas!E429="Adulto 100kg",21,IF(Atletas!E429="Adulto +100kg",22,""))))))))))))))))))))))))</f>
        <v/>
      </c>
      <c r="AX438" s="6" t="str">
        <f>IF(Atletas!F429="","",IF(Atletas!B429="Feminino",100,IF(Atletas!B429="Masculino",200,""))+(IF(Atletas!F429="Adulto 48kg",1,IF(Atletas!F429="Adulto 56kg",2,IF(Atletas!F429="Adulto 65kg",3,IF(Atletas!F429="Adulto 75kg",4,IF(Atletas!F429="Adulto +75kg",5,IF(Atletas!F429="Adulto 52kg",6,IF(Atletas!F429="Adulto 60kg",7,IF(Atletas!F429="Adulto 70kg",8,IF(Atletas!F429="Adulto 80kg",9,IF(Atletas!F429="Adulto 90kg",10,IF(Atletas!F429="Adulto +90kg",11,"")))))))))))))</f>
        <v/>
      </c>
      <c r="BC438" s="6" t="str">
        <f>IF(Atletas!G429="","",IF(Atletas!B429="Feminino",10,IF(Atletas!B429="Masculino",20,""))+(IF(Atletas!G429="Baduanjin A",1,IF(Atletas!G429="Baduanjin B",2))))</f>
        <v/>
      </c>
      <c r="BF438" s="52" t="str">
        <f>IF(Atletas!H429="","",IF(Atletas!B429="Feminino",100,IF(Atletas!B429="Masculino",200,""))+(IF(Atletas!H429="Changquan Mirim",1,IF(Atletas!H429="Nanquan Mirim",2,IF(Atletas!H429="Taijiquan Mirim",3,IF(Atletas!H429="Changquan Grupo C",4,IF(Atletas!H429="Nanquan Grupo C",5,IF(Atletas!H429="Taijiquan Grupo C",6,IF(Atletas!H429="Changquan Grupo B",7,IF(Atletas!H429="Nanquan Grupo B",8,IF(Atletas!H429="Taijiquan Grupo B",9,IF(Atletas!H429="Changquan Grupo A",10,IF(Atletas!H429="Nanquan Grupo A",11,IF(Atletas!H429="Taijiquan Grupo A",12,IF(Atletas!H429="Changquan Opcional",13,IF(Atletas!H429="Nanquan Opcional",14,IF(Atletas!H429="Taijiquan Opcional",15,IF(Atletas!H429="Changquan Adulto",16,IF(Atletas!H429="Nanquan Adulto",17,IF(Atletas!H429="Taijiquan Adulto",18,""))))))))))))))))))))</f>
        <v/>
      </c>
      <c r="BG438" s="52" t="str">
        <f>IF(Atletas!I429="","",IF(Atletas!B429="Feminino",100,IF(Atletas!B429="Masculino",200,""))+(IF(Atletas!I429="Daoshu Mirim",19,IF(Atletas!I429="Jianshu Mirim",20,IF(Atletas!I429="Nandao Mirim",21,IF(Atletas!I429="Taijijian Mirim",22,IF(Atletas!I429="Daoshu Grupo C",23,IF(Atletas!I429="Jianshu Grupo C",24,IF(Atletas!I429="Nandao Grupo C",25,IF(Atletas!I429="Taijijian Grupo C",26,IF(Atletas!I429="Daoshu Grupo B",27,IF(Atletas!I429="Jianshu Grupo B",28,IF(Atletas!I429="Nandao Grupo B",29,IF(Atletas!I429="Taijijian Grupo B",30,IF(Atletas!I429="Daoshu Grupo A",31,IF(Atletas!I429="Jianshu Grupo A",32,IF(Atletas!I429="Nandao Grupo A",33,IF(Atletas!I429="Taijijian Grupo A",34,IF(Atletas!I429="Daoshu Opcional",35,IF(Atletas!I429="Jianshu Opcional",36,IF(Atletas!I429="Nandao Opcional",37,IF(Atletas!I429="Taijijian Opcional",38,IF(Atletas!I429="Daoshu Adulto",39,IF(Atletas!I429="Jianshu Adulto",40,IF(Atletas!I429="Nandao Adulto",41,IF(Atletas!I429="Taijijian Adulto",42,""))))))))))))))))))))))))))</f>
        <v/>
      </c>
      <c r="BH438" s="52" t="str">
        <f>IF(Atletas!J429="","",IF(Atletas!B429="Feminino",100,IF(Atletas!B429="Masculino",200,""))+(IF(Atletas!J429="Gunshu Mirim",43,IF(Atletas!J429="Qiangshu Mirim",44,IF(Atletas!J429="Nangun Mirim",45,IF(Atletas!J429="Gunshu Grupo C",46,IF(Atletas!J429="Qiangshu Grupo C",47,IF(Atletas!J429="Nangun Grupo C",48,IF(Atletas!J429="Gunshu Grupo B",49,IF(Atletas!J429="Qiangshu Grupo B",50,IF(Atletas!J429="Nangun Grupo B",51,IF(Atletas!J429="Gunshu Grupo A",52,IF(Atletas!J429="Qiangshu Grupo A",53,IF(Atletas!J429="Nangun Grupo A",54,IF(Atletas!J429="Gunshu Opcional",55,IF(Atletas!J429="Qiangshu Opcional",56,IF(Atletas!J429="Nangun Opcional",57,IF(Atletas!J429="Gunshu Adulto",58,IF(Atletas!J429="Qiangshu Adulto",59,IF(Atletas!J429="Nangun Adulto",60,IF(Atletas!J429="Taijishan Grupo B",61,IF(Atletas!J429="Taijishan Grupo A",62,""))))))))))))))))))))))</f>
        <v/>
      </c>
      <c r="BM438" s="50" t="str">
        <f>IF(Atletas!K429="","",IF(Atletas!B429="Feminino",100,IF(Atletas!B429="Masculino",200,""))+(IF(Atletas!K429="Equipe 1 Grupo B",1,IF(Atletas!K429="Equipe 2 Grupo B",2,IF(Atletas!K429="Equipe 1 Grupo A",3,IF(Atletas!K429="Equipe 2 Grupo A",4,IF(Atletas!K429="Equipe 1 Adulto",5,IF(Atletas!K429="Equipe 2 Adulto",6,""))))))))</f>
        <v/>
      </c>
      <c r="BR438" s="50" t="str">
        <f>IF(Atletas!L429="","",IF(Atletas!X429&lt;&gt;"",10000,0)+(IF(Atletas!B429="Feminino",1000,IF(Atletas!B429="Masculino",2000,""))+IF(Atletas!L429="Choylayfut A",1,IF(Atletas!L429="Hunggar A",2,IF(Atletas!L429="Wuzuquan A",3,IF(Atletas!L429="Wingchun A",4,IF(Atletas!L429="Outra Mão de Sul A",5,IF(Atletas!L429="Choylayfut B",6,IF(Atletas!L429="Hunggar B",7,IF(Atletas!L429="Wuzuquan B",8,IF(Atletas!L429="Wingchun B",9,IF(Atletas!L429="Outra Mão de Sul B",10,IF(Atletas!L429="Choylayfut C",11,IF(Atletas!L429="Hunggar C",12,IF(Atletas!L429="Wuzuquan C",13,IF(Atletas!L429="Wingchun C",14,IF(Atletas!L429="Outra Mão de Sul C",15,IF(Atletas!L429="Choylayfut D",16,IF(Atletas!L429="Hunggar D",17,IF(Atletas!L429="Wuzuquan D",18,IF(Atletas!L429="Wingchun D",19,IF(Atletas!L429="Outra Mão de Sul D",20,IF(Atletas!L429="Choylayfut E",21,IF(Atletas!L429="Hunggar E",22,IF(Atletas!L429="Wuzuquan E",23,IF(Atletas!L429="Wingchun E",24,IF(Atletas!L429="Outra Mão de Sul E",25,IF(Atletas!L429="Choylayfut F",26,IF(Atletas!L429="Hunggar F",27,IF(Atletas!L429="Wuzuquan F",28,IF(Atletas!L429="Wingchun F",29,IF(Atletas!L429="Outra Mão de Sul F",30,IF(Atletas!L429="Dishuquan A",31,IF(Atletas!L429="Dishuquan B",32,IF(Atletas!L429="Dishuquan C",33,IF(Atletas!L429="Dishuquan D",34,IF(Atletas!L429="Dishuquan E",35,IF(Atletas!L429="Dishuquan F",36,""))))))))))))))))))))))))))))))))))))))</f>
        <v/>
      </c>
      <c r="BS438" s="50" t="str">
        <f>IF(Atletas!M429="","",IF(Atletas!X429&lt;&gt;"",10000,0)+(IF(Atletas!B429="Feminino",1000,IF(Atletas!B429="Masculino",2000,""))+(IF(Atletas!M429="Chaquan A",101,IF(Atletas!M429="Emeiquan A",102,IF(Atletas!M429="Fanziquan A",103,IF(Atletas!M429="Huaquan A",104,IF(Atletas!M429="Hongquan A",105,IF(Atletas!M429="Paoquan A",106,IF(Atletas!M429="Piguaquan A",107,IF(Atletas!M429="Shaolinquan A",108,IF(Atletas!M429="Tanglangquan A",109,IF(Atletas!M429="Yingzhaoquan A",110,IF(Atletas!M429="Tongbeiquan A",111,IF(Atletas!M429="Wudangquan A",112,IF(Atletas!M429="Outros Estilos A",113,IF(Atletas!M429="Chaquan B",114,IF(Atletas!M429="Emeiquan B",115,IF(Atletas!M429="Fanziquan B",116,IF(Atletas!M429="Huaquan B",117,IF(Atletas!M429="Hongquan B",118,IF(Atletas!M429="Paoquan B",119,IF(Atletas!M429="Piguaquan B",120,IF(Atletas!M429="Shaolinquan B",121,IF(Atletas!M429="Tanglangquan B",122,IF(Atletas!M429="Yingzhaoquan B",123,IF(Atletas!M429="Tongbeiquan B",124,IF(Atletas!M429="Wudangquan B",125,IF(Atletas!M429="Outros Estilos B",126,IF(Atletas!M429="Chaquan C",127,IF(Atletas!M429="Emeiquan C",128,IF(Atletas!M429="Fanziquan C",129,IF(Atletas!M429="Huaquan C",130,IF(Atletas!M429="Hongquan C",131,IF(Atletas!M429="Paoquan C",132,IF(Atletas!M429="Piguaquan C",133,IF(Atletas!M429="Shaolinquan C",134,IF(Atletas!M429="Tanglangquan C",135,IF(Atletas!M429="Yingzhaoquan C",136,IF(Atletas!M429="Tongbeiquan C",137,IF(Atletas!M429="Wudangquan C",138,IF(Atletas!M429="Outros Estilos C",139,0))))))))))))))))))))))))))))))))))))))))))</f>
        <v/>
      </c>
      <c r="BT438" s="50" t="str">
        <f>IF(Atletas!M429="","",IF(Atletas!X429&lt;&gt;"",10000,0)+(IF(Atletas!B429="Feminino",1000,IF(Atletas!B429="Masculino",2000,""))+(IF(Atletas!M429="Chaquan D",140,IF(Atletas!M429="Emeiquan D",141,IF(Atletas!M429="Fanziquan D",142,IF(Atletas!M429="Huaquan D",143,IF(Atletas!M429="Hongquan D",144,IF(Atletas!M429="Paoquan D",145,IF(Atletas!M429="Piguaquan D",146,IF(Atletas!M429="Shaolinquan D",147,IF(Atletas!M429="Tanglangquan D",148,IF(Atletas!M429="Yingzhaoquan D",149,IF(Atletas!M429="Tongbeiquan D",150,IF(Atletas!M429="Wudangquan D",151,IF(Atletas!M429="Outros Estilos D",152,IF(Atletas!M429="Chaquan E",153,IF(Atletas!M429="Emeiquan E",154,IF(Atletas!M429="Fanziquan E",155,IF(Atletas!M429="Huaquan E",156,IF(Atletas!M429="Hongquan E",157,IF(Atletas!M429="Paoquan E",158,IF(Atletas!M429="Piguaquan E",159,IF(Atletas!M429="Shaolinquan E",160,IF(Atletas!M429="Tanglangquan E",161,IF(Atletas!M429="Yingzhaoquan E",162,IF(Atletas!M429="Tongbeiquan E",163,IF(Atletas!M429="Wudangquan E",164,IF(Atletas!M429="Outros Estilos E",165,IF(Atletas!M429="Chaquan F",166,IF(Atletas!M429="Emeiquan F",167,IF(Atletas!M429="Fanziquan F",168,IF(Atletas!M429="Huaquan F",169,IF(Atletas!M429="Hongquan F",170,IF(Atletas!M429="Paoquan F",171,IF(Atletas!M429="Piguaquan F",172,IF(Atletas!M429="Shaolinquan F",173,IF(Atletas!M429="Tanglangquan F",174,IF(Atletas!M429="Yingzhaoquan F",175,IF(Atletas!M429="Tongbeiquan F",176,IF(Atletas!M429="Wudangquan F",177,IF(Atletas!M429="Outros Estilos F",178,0))))))))))))))))))))))))))))))))))))))))))</f>
        <v/>
      </c>
      <c r="BU438" s="50" t="str">
        <f>IF(Atletas!N429="","",IF(Atletas!X429&lt;&gt;"",10000,0)+(IF(Atletas!B429="Feminino",1000,IF(Atletas!B429="Masculino",2000,""))+(IF(Atletas!N429="Ditangquan A",201,IF(Atletas!N429="Houquan A",202,IF(Atletas!N429="Zuiquan A",203,IF(Atletas!N429="Ditangquan B",204,IF(Atletas!N429="Houquan B",205,IF(Atletas!N429="Zuiquan B",206,IF(Atletas!N429="Ditangquan C",207,IF(Atletas!N429="Houquan C",208,IF(Atletas!N429="Zuiquan C",209,IF(Atletas!N429="Ditangquan D",210,IF(Atletas!N429="Houquan D",211,IF(Atletas!N429="Zuiquan D",212,IF(Atletas!N429="Ditangquan E",213,IF(Atletas!N429="Houquan E",214,IF(Atletas!N429="Zuiquan E",215,IF(Atletas!N429="Ditangquan F",216,IF(Atletas!N429="Houquan F",217,IF(Atletas!N429="Zuiquan F",218,"")))))))))))))))))))))</f>
        <v/>
      </c>
      <c r="BV438" s="50" t="str">
        <f>IF(Atletas!O429="","",IF(Atletas!X429&lt;&gt;"",10000,0)+IF(Atletas!B429="Feminino",1000,IF(Atletas!B429="Masculino",2000,""))+IF(Atletas!O429="Yang A",301,IF(Atletas!O429="Chen A",302,IF(Atletas!O429="Sun A",303,IF(Atletas!O429="Wu A",304,IF(Atletas!O429="Wu-Hao A",305,IF(Atletas!O429="Outro Taijiquan A",306,IF(Atletas!O429="Yang B",307,IF(Atletas!O429="Chen B",308,IF(Atletas!O429="Sun B",309,IF(Atletas!O429="Wu B",310,IF(Atletas!O429="Wu-Hao B",311,IF(Atletas!O429="Outro Taijiquan B",312,IF(Atletas!O429="Yang C",313,IF(Atletas!O429="Chen C",314,IF(Atletas!O429="Sun C",315,IF(Atletas!O429="Wu C",316,IF(Atletas!O429="Wu-Hao C",317,IF(Atletas!O429="Outro Taijiquan C",318,IF(Atletas!O429="Yang D",319,IF(Atletas!O429="Chen D",320,IF(Atletas!O429="Sun D",321,IF(Atletas!O429="Wu D",322,IF(Atletas!O429="Wu-Hao D",323,IF(Atletas!O429="Outro Taijiquan D",324,IF(Atletas!O429="Yang E",325,IF(Atletas!O429="Chen E",326,IF(Atletas!O429="Sun E",327,IF(Atletas!O429="Wu E",328,IF(Atletas!O429="Wu-Hao E",329,IF(Atletas!O429="Outro Taijiquan E",330,IF(Atletas!O429="Yang F",331,IF(Atletas!O429="Chen F",332,IF(Atletas!O429="Sun F",333,IF(Atletas!O429="Wu F",334,IF(Atletas!O429="Wu-Hao F",335,IF(Atletas!O429="Outro Taijiquan F",336,"")))))))))))))))))))))))))))))))))))))</f>
        <v/>
      </c>
      <c r="BW438" s="50" t="str">
        <f>IF(Atletas!P429="","",IF(Atletas!X429&lt;&gt;"",10000,0)+IF(Atletas!B429="Feminino",1000,IF(Atletas!B429="Masculino",2000,""))+IF(OR(Atletas!P429="Yang 26 A",Atletas!P429="Yang 40 A"),401,IF(OR(Atletas!P429="Chen 25 A",Atletas!P429="Chen 36 A",Atletas!P429="Chen 56 A"),402,IF(Atletas!P429="Sun 73 A",403,IF(Atletas!P429="Wu 45 A",404,IF(Atletas!P429="Wu-Hao 46 A",405,IF(OR(Atletas!P429="Taijiquan 16 A",Atletas!P429="Taijiquan 24 A",Atletas!P429="Taijiquan 32 A",Atletas!P429="Taijiquan 42 A"),406,IF(OR(Atletas!P429="Yang 26 B",Atletas!P429="Yang 40 B"),407,IF(OR(Atletas!P429="Chen 25 B",Atletas!P429="Chen 36 B",Atletas!P429="Chen 56 B"),408,IF(Atletas!P429="Sun 73 B",409,IF(Atletas!P429="Wu 45 B",410,IF(Atletas!P429="Wu-Hao 46 B",411,IF(OR(Atletas!P429="Taijiquan 16 B",Atletas!P429="Taijiquan 24 B",Atletas!P429="Taijiquan 32 B",Atletas!P429="Taijiquan 42 B"),412,IF(OR(Atletas!P429="Yang 26 C",Atletas!P429="Yang 40 C"),413,IF(OR(Atletas!P429="Chen 25 C",Atletas!P429="Chen 36 C",Atletas!P429="Chen 56 C"),414,IF(Atletas!P429="Sun 73 C",415,IF(Atletas!P429="Wu 45 C",416,IF(Atletas!P429="Wu-Hao 46 C",417,IF(OR(Atletas!P429="Taijiquan 16 C",Atletas!P429="Taijiquan 24 C",Atletas!P429="Taijiquan 32 C",Atletas!P429="Taijiquan 42 C"),418,0)))))))))))))))))))</f>
        <v/>
      </c>
      <c r="BX438" s="50" t="str">
        <f>IF(Atletas!P429="","",IF(Atletas!X429&lt;&gt;"",10000,0)+IF(Atletas!B429="Feminino",1000,IF(Atletas!B429="Masculino",2000,""))+IF(OR(Atletas!P429="Yang 26 D",Atletas!P429="Yang 40 D"),419,IF(OR(Atletas!P429="Chen 25 D",Atletas!P429="Chen 36 D",Atletas!P429="Chen 56 D"),420,IF(Atletas!P429="Sun 73 D",421,IF(Atletas!P429="Wu 45 D",422,IF(Atletas!P429="Wu-Hao 46 D",423,IF(OR(Atletas!P429="Taijiquan 16 D",Atletas!P429="Taijiquan 24 D",Atletas!P429="Taijiquan 32 D",Atletas!P429="Taijiquan 42 D"),424,IF(OR(Atletas!P429="Yang 26 E",Atletas!P429="Yang 40 E"),425,IF(OR(Atletas!P429="Chen 25 E",Atletas!P429="Chen 36 E",Atletas!P429="Chen 56 E"),426,IF(Atletas!P429="Sun 73 E",427,IF(Atletas!P429="Wu 45 E",428,IF(Atletas!P429="Wu-Hao 46 E",429,IF(OR(Atletas!P429="Taijiquan 16 E",Atletas!P429="Taijiquan 24 E",Atletas!P429="Taijiquan 32 E",Atletas!P429="Taijiquan 42 E"),430,IF(OR(Atletas!P429="Yang 26 F",Atletas!P429="Yang 40 F"),431,IF(OR(Atletas!P429="Chen 25 F",Atletas!P429="Chen 36 F",Atletas!P429="Chen 56 F"),432,IF(Atletas!P429="Sun 73 F",433,IF(Atletas!P429="Wu 45 F",434,IF(Atletas!P429="Wu-Hao 46 F",435,IF(OR(Atletas!P429="Taijiquan 16 F",Atletas!P429="Taijiquan 24 F",Atletas!P429="Taijiquan 32 F",Atletas!P429="Taijiquan 42 F"),436,0)))))))))))))))))))</f>
        <v/>
      </c>
      <c r="BY438" s="50" t="str">
        <f>IF(Atletas!Q429="","",IF(Atletas!X429&lt;&gt;"",10000,0)+IF(Atletas!B429="Feminino",1000,IF(Atletas!B429="Masculino",2000,""))+IF(Atletas!Q429="Xingyiquan A",501,IF(Atletas!Q429="Baguazhang A",502,IF(Atletas!Q429="Outro Estilo Interno A",503,IF(Atletas!Q429="Xingyiquan B",504,IF(Atletas!Q429="Baguazhang B",505,IF(Atletas!Q429="Outro Estilo Interno B",506,IF(Atletas!Q429="Xingyiquan C",507,IF(Atletas!Q429="Baguazhang C",508,IF(Atletas!Q429="Outro Estilo Interno C",509,IF(Atletas!Q429="Xingyiquan D",510,IF(Atletas!Q429="Baguazhang D",511,IF(Atletas!Q429="Outro Estilo Interno D",512,IF(Atletas!Q429="Xingyiquan E",513,IF(Atletas!Q429="Baguazhang E",514,IF(Atletas!Q429="Outro Estilo Interno E",515,IF(Atletas!Q429="Xingyiquan F",516,IF(Atletas!Q429="Baguazhang F",517,IF(Atletas!Q429="Outro Estilo Interno F",518, "")))))))))))))))))))</f>
        <v/>
      </c>
      <c r="BZ438" s="50" t="str">
        <f>IF(Atletas!R429="","",IF(Atletas!X429&lt;&gt;"",10000,0)+IF(Atletas!B429="Feminino",1000,IF(Atletas!B429="Masculino",2000,""))+IF(Atletas!R429="Dao A",601,IF(Atletas!R429="Jian A",602,IF(Atletas!R429="Bishou A",603,IF(Atletas!R429="Shanzi A",604,IF(Atletas!R429="Outra Arma Curta A",605,IF(Atletas!R429="Dao B",606,IF(Atletas!R429="Jian B",607,IF(Atletas!R429="Bishou B",608,IF(Atletas!R429="Shanzi B",609,IF(Atletas!R429="Outra Arma Curta B",610,IF(Atletas!R429="Dao C",611,IF(Atletas!R429="Jian C",612,IF(Atletas!R429="Bishou C",613,IF(Atletas!R429="Shanzi C",614,IF(Atletas!R429="Outra Arma Curta C",615,IF(Atletas!R429="Dao D",616,IF(Atletas!R429="Jian D",617,IF(Atletas!R429="Bishou D",618,IF(Atletas!R429="Shanzi D",619,IF(Atletas!R429="Outra Arma Curta D",620,IF(Atletas!R429="Dao E",621,IF(Atletas!R429="Jian E",622,IF(Atletas!R429="Bishou E",623,IF(Atletas!R429="Shanzi E",624,IF(Atletas!R429="Outra Arma Curta E",625,IF(Atletas!R429="Dao F",626,IF(Atletas!R429="Jian F",627,IF(Atletas!R429="Bishou F",628,IF(Atletas!R429="Shanzi F",629,IF(Atletas!R429="Outra Arma Curta F",630, "")))))))))))))))))))))))))))))))</f>
        <v/>
      </c>
      <c r="CA438" s="50" t="str">
        <f>IF(Atletas!S429="","",IF(Atletas!X429&lt;&gt;"",10000,0)+IF(Atletas!B429="Feminino",1000,IF(Atletas!B429="Masculino",2000,""))+IF(Atletas!S429="Gun A",701,IF(Atletas!S429="Qiang A",702,IF(Atletas!S429="Pudao / Guandao A",703,IF(Atletas!S429="Outra Arma Longa A",704,IF(Atletas!S429="Gun B",705,IF(Atletas!S429="Qiang B",706,IF(Atletas!S429="Pudao / Guandao B",707,IF(Atletas!S429="Outra Arma Longa B",708,IF(Atletas!S429="Gun C",709,IF(Atletas!S429="Qiang C",710,IF(Atletas!S429="Pudao / Guandao C",711,IF(Atletas!S429="Outra Arma Longa C",712,IF(Atletas!S429="Gun D",713,IF(Atletas!S429="Qiang D",714,IF(Atletas!S429="Pudao / Guandao D",715,IF(Atletas!S429="Outra Arma Longa D",716,IF(Atletas!S429="Gun E",717,IF(Atletas!S429="Qiang E",718,IF(Atletas!S429="Pudao / Guandao E",719,IF(Atletas!S429="Outra Arma Longa E",720,IF(Atletas!S429="Gun F",721,IF(Atletas!S429="Qiang F",722,IF(Atletas!S429="Pudao / Guandao F",723,IF(Atletas!S429="Outra Arma Longa F",724,"")))))))))))))))))))))))))</f>
        <v/>
      </c>
      <c r="CB438" s="50" t="str">
        <f>IF(Atletas!T429="","",IF(Atletas!X429&lt;&gt;"",10000,0)+IF(Atletas!B429="Feminino",1000,IF(Atletas!B429="Masculino",2000,""))+IF(Atletas!T429="Outra Arma Dupla A",801,IF(Atletas!T429="Arma Maleável A",802,IF(Atletas!T429="Outra Arma Dupla B",803,IF(Atletas!T429="Arma Maleável B",804,IF(Atletas!T429="Outra Arma Dupla C",805,IF(Atletas!T429="Arma Maleável C",806,IF(Atletas!T429="Outra Arma Dupla D",807,IF(Atletas!T429="Arma Maleável D",808,IF(Atletas!T429="Outra Arma Dupla E",809,IF(Atletas!T429="Arma Maleável E",810,IF(Atletas!T429="Outra Arma Dupla F",811,IF(Atletas!T429="Arma Maleável F",812,IF(Atletas!T429="Shuangdao A",813,IF(Atletas!T429="Shuangdao B",814,IF(Atletas!T429="Shuangdao C",815,IF(Atletas!T429="Shuangdao D",816,IF(Atletas!T429="Shuangdao E",817,IF(Atletas!T429="Shuangdao F",818,"")))))))))))))))))))</f>
        <v/>
      </c>
      <c r="CC438" s="50" t="str">
        <f>IF(Atletas!U429="","",IF(Atletas!X429&lt;&gt;"",10000,0)+IF(Atletas!B429="Feminino",1000,IF(Atletas!B429="Masculino",2000,""))+IF(OR(Atletas!U429="Taijijian Yang A",Atletas!U429="Taijijian Yang Standard A"),901,IF(OR(Atletas!U429="Taijijian Chen A", Atletas!U429="Taijijian Chen Standard A"),902,IF(Atletas!U429="Taijijian Sun A",903,IF(Atletas!U429="Taijijian Wu A",904,IF(Atletas!U429="Taijijian Wu-Hao A",905,IF(OR(Atletas!U429="Taijijian 32 A",Atletas!U429="Taijijian 42 A"),906,IF(OR(Atletas!U429="Taijijian Yang B",Atletas!U429="Taijijian Yang Standard B"),907,IF(OR(Atletas!U429="Taijijian Chen B", Atletas!U429="Taijijian Chen Standard B"),908,IF(Atletas!U429="Taijijian Sun B",909,IF(Atletas!U429="Taijijian Wu B",910,IF(Atletas!U429="Taijijian Wu-Hao B",911,IF(OR(Atletas!U429="Taijijian 32 B",Atletas!U429="Taijijian 42 B"),912,IF(OR(Atletas!U429="Taijijian Yang C",Atletas!U429="Taijijian Yang Standard C"),913,IF(OR(Atletas!U429="Taijijian Chen C", Atletas!U429="Taijijian Chen Standard C"),914,IF(Atletas!U429="Taijijian Sun C",915,IF(Atletas!U429="Taijijian Wu C",916,IF(Atletas!U429="Taijijian Wu-Hao C",917,IF(OR(Atletas!U429="Taijijian 32 C",Atletas!U429="Taijijian 42 C"),918,IF(OR(Atletas!U429="Taijijian Yang D",Atletas!U429="Taijijian Yang Standard D"),919,IF(OR(Atletas!U429="Taijijian Chen D", Atletas!U429="Taijijian Chen Standard D"),920,IF(Atletas!U429="Taijijian Sun D",921,IF(Atletas!U429="Taijijian Wu D",922,IF(Atletas!U429="Taijijian Wu-Hao D",923,IF(OR(Atletas!U429="Taijijian 32 D",Atletas!U429="Taijijian 42 D"),924,IF(OR(Atletas!U429="Taijijian Yang E",Atletas!U429="Taijijian Yang Standard E"),925,IF(OR(Atletas!U429="Taijijian Chen E", Atletas!U429="Taijijian Chen Standard E"),926,IF(Atletas!U429="Taijijian Sun E",927,IF(Atletas!U429="Taijijian Wu E",928,IF(Atletas!U429="Taijijian Wu-Hao E",929,IF(OR(Atletas!U429="Taijijian 32 E",Atletas!U429="Taijijian 42 E"),930,IF(OR(Atletas!U429="Taijijian Yang F",Atletas!U429="Taijijian Yang Standard F"),931,IF(OR(Atletas!U429="Taijijian Chen F", Atletas!U429="Taijijian Chen Standard F"),932,IF(Atletas!U429="Taijijian Sun F",933,IF(Atletas!U429="Taijijian Wu F",934,IF(Atletas!U429="Taijijian Wu-Hao F",935,IF(OR(Atletas!U429="Taijijian 32 F",Atletas!U429="Taijijian 42 F"),936,"")))))))))))))))))))))))))))))))))))))</f>
        <v/>
      </c>
      <c r="CD438" s="50" t="str">
        <f>IF(Atletas!V429="","",IF(Atletas!X429&lt;&gt;"",10000,0)+IF(Atletas!B429="Feminino",1000,IF(Atletas!B429="Masculino",2000,""))+IF(Atletas!V429="Taijidao A",937,IF(Atletas!V429="TaijiShanzi A",938,IF(Atletas!V429="Taijiqiang A",939,IF(Atletas!V429="Bagua de Arma A",940,IF(Atletas!V429="Xingyi de Arma A",941,IF(Atletas!V429="Taijidao B",942,IF(Atletas!V429="TaijiShanzi B",943,IF(Atletas!V429="Taijiqiang B",944,IF(Atletas!V429="Bagua de Arma B",945,IF(Atletas!V429="Xingyi de Arma B",946,IF(Atletas!V429="Taijidao C",947,IF(Atletas!V429="TaijiShanzi C",948,IF(Atletas!V429="Taijiqiang C",949,IF(Atletas!V429="Bagua de Arma C",950,IF(Atletas!V429="Xingyi de Arma C",951,IF(Atletas!V429="Taijidao D",952,IF(Atletas!V429="TaijiShanzi D",953,IF(Atletas!V429="Taijiqiang D",954,IF(Atletas!V429="Bagua de Arma D",955,IF(Atletas!V429="Xingyi de Arma D",956,IF(Atletas!V429="Taijidao E",957,IF(Atletas!V429="TaijiShanzi E",958,IF(Atletas!V429="Taijiqiang E",959,IF(Atletas!V429="Bagua de Arma E",960,IF(Atletas!V429="Xingyi de Arma E",961,IF(Atletas!V429="Taijidao F",962,IF(Atletas!V429="TaijiShanzi F",963,IF(Atletas!V429="Taijiqiang F",964,IF(Atletas!V429="Bagua de Arma F",965,IF(Atletas!V429="Xingyi de Arma F",966,"")))))))))))))))))))))))))))))))</f>
        <v/>
      </c>
      <c r="CM438" s="50" t="str">
        <f xml:space="preserve"> IF(Atletas!W429="","",IF(Atletas!W429="Duilian de Mãos BC - Equipe 1",1,IF(Atletas!W429="Duilian de Mãos BC - Equipe 2",2,IF(Atletas!W429="Duilian de Armas BC - Equipe 1",3,IF(Atletas!W429="Duilian de Armas BC - Equipe 2",4,IF(Atletas!W429="Duilian de Mãos DE - Equipe 1",5,IF(Atletas!W429="Duilian de Mãos DE - Equipe 2",6,IF(Atletas!W429="Duilian de Armas DE - Equipe 1",7,IF(Atletas!W429="Duilian de Armas DE - Equipe 2",8,IF(Atletas!W429="Duilian de Tuishou - Equipe 1",9,IF(Atletas!W429="Duilian de Tuishou - Equipe 2",10,IF(Atletas!W429="Grupo Externo ABC - Equipe 1",11,IF(Atletas!W429="Grupo Externo ABC - Equipe 2",12,IF(Atletas!W429="Grupo Interno ABC - Equipe 1",13,IF(Atletas!W429="Grupo Interno ABC - Equipe 2",14,IF(Atletas!W429="Grupo Externo DEF - Equipe 1",15,IF(Atletas!W429="Grupo Externo DEF - Equipe 2",16,IF(Atletas!W429="Grupo Interno DEF - Equipe 1",17,IF(Atletas!W429="Grupo Interno DEF - Equipe 2",18,"")))))))))))))))))))</f>
        <v/>
      </c>
    </row>
    <row r="439" spans="40:91">
      <c r="AN439" s="52" t="str">
        <f>IF(Atletas!D430="","",IF(Atletas!B430="Feminino",100,IF(Atletas!B430="Masculino",200,""))+(IF(Atletas!D430="Kids 30kg",1,IF(Atletas!D430="Kids 32kg",2, IF(Atletas!D430="Kids 34kg",3,IF(Atletas!D430="Kids 36kg",4,IF(Atletas!D430="Kids 39kg",5,IF(Atletas!D430="Kids 42kg",6,IF(Atletas!D430="Kids 45kg",7, IF(Atletas!D430="Infantil 39kg",8,IF(Atletas!D430="Infantil 42kg",9,IF(Atletas!D430="Infantil 45kg",10,IF(Atletas!D430="Infantil 48kg",11,IF(Atletas!D430="Infantil 52kg",12,IF(Atletas!D430="Infantil 56kg",13,IF(Atletas!D430="Infantil 60kg",14,IF(Atletas!D430="Juvenil 48kg",15,IF(Atletas!D430="Juvenil 52kg",16,IF(Atletas!D430="Juvenil 56kg",17,IF(Atletas!D430="Juvenil 60kg",18,IF(Atletas!D430="Juvenil 65kg",19,IF(Atletas!D430="Juvenil 70kg",20,IF(Atletas!D430="Juvenil 75kg",21,IF(Atletas!D430="Juvenil 80kg",22, IF(Atletas!D430="Juvenil 85kg",23,IF(Atletas!D430="Adulto 48kg",24,IF(Atletas!D430="Adulto 52kg",25,IF(Atletas!D430="Adulto 56kg",26,IF(Atletas!D430="Adulto 60kg",27,IF(Atletas!D430="Adulto 65kg",28,IF(Atletas!D430="Adulto 70kg",29,IF(Atletas!D430="Adulto 75kg",30,IF(Atletas!D430="Adulto 80kg",31,IF(Atletas!D430="Adulto 85kg",32,IF(Atletas!D430="Adulto 90kg",33,IF(Atletas!D430="Adulto 100kg",34, IF(Atletas!D430="Adulto +100kg",35,"")))))))))))))))))))))))))))))))))))))</f>
        <v/>
      </c>
      <c r="AS439" s="6" t="str">
        <f>IF(Atletas!E430="","",IF(Atletas!B430="Feminino",100,IF(Atletas!B430="Masculino",200,""))+(IF(Atletas!E430="Juvenil 44kg",1,IF(Atletas!E430="Juvenil 48kg",2,IF(Atletas!E430="Juvenil 52kg",3,IF(Atletas!E430="Juvenil 56kg",4,IF(Atletas!E430="Juvenil 60kg",5,IF(Atletas!E430="Juvenil 65kg",6,IF(Atletas!E430="Juvenil 70kg",7,IF(Atletas!E430="Juvenil 75kg",8,IF(Atletas!E430="Juvenil 82kg",9,IF(Atletas!E430="Juvenil 90kg",10,IF(Atletas!E430="Juvenil 100kg",11,IF(Atletas!E430="Adulto 48kg",12,IF(Atletas!E430="Adulto 52kg",13,IF(Atletas!E430="Adulto 56kg",14,IF(Atletas!E430="Adulto 60kg",15,IF(Atletas!E430="Adulto 65kg",16,IF(Atletas!E430="Adulto 70kg",17,IF(Atletas!E430="Adulto 75kg",18,IF(Atletas!E430="Adulto 82kg",19,IF(Atletas!E430="Adulto 90kg",20,IF(Atletas!E430="Adulto 100kg",21,IF(Atletas!E430="Adulto +100kg",22,""))))))))))))))))))))))))</f>
        <v/>
      </c>
      <c r="AX439" s="6" t="str">
        <f>IF(Atletas!F430="","",IF(Atletas!B430="Feminino",100,IF(Atletas!B430="Masculino",200,""))+(IF(Atletas!F430="Adulto 48kg",1,IF(Atletas!F430="Adulto 56kg",2,IF(Atletas!F430="Adulto 65kg",3,IF(Atletas!F430="Adulto 75kg",4,IF(Atletas!F430="Adulto +75kg",5,IF(Atletas!F430="Adulto 52kg",6,IF(Atletas!F430="Adulto 60kg",7,IF(Atletas!F430="Adulto 70kg",8,IF(Atletas!F430="Adulto 80kg",9,IF(Atletas!F430="Adulto 90kg",10,IF(Atletas!F430="Adulto +90kg",11,"")))))))))))))</f>
        <v/>
      </c>
      <c r="BC439" s="6" t="str">
        <f>IF(Atletas!G430="","",IF(Atletas!B430="Feminino",10,IF(Atletas!B430="Masculino",20,""))+(IF(Atletas!G430="Baduanjin A",1,IF(Atletas!G430="Baduanjin B",2))))</f>
        <v/>
      </c>
      <c r="BF439" s="52" t="str">
        <f>IF(Atletas!H430="","",IF(Atletas!B430="Feminino",100,IF(Atletas!B430="Masculino",200,""))+(IF(Atletas!H430="Changquan Mirim",1,IF(Atletas!H430="Nanquan Mirim",2,IF(Atletas!H430="Taijiquan Mirim",3,IF(Atletas!H430="Changquan Grupo C",4,IF(Atletas!H430="Nanquan Grupo C",5,IF(Atletas!H430="Taijiquan Grupo C",6,IF(Atletas!H430="Changquan Grupo B",7,IF(Atletas!H430="Nanquan Grupo B",8,IF(Atletas!H430="Taijiquan Grupo B",9,IF(Atletas!H430="Changquan Grupo A",10,IF(Atletas!H430="Nanquan Grupo A",11,IF(Atletas!H430="Taijiquan Grupo A",12,IF(Atletas!H430="Changquan Opcional",13,IF(Atletas!H430="Nanquan Opcional",14,IF(Atletas!H430="Taijiquan Opcional",15,IF(Atletas!H430="Changquan Adulto",16,IF(Atletas!H430="Nanquan Adulto",17,IF(Atletas!H430="Taijiquan Adulto",18,""))))))))))))))))))))</f>
        <v/>
      </c>
      <c r="BG439" s="52" t="str">
        <f>IF(Atletas!I430="","",IF(Atletas!B430="Feminino",100,IF(Atletas!B430="Masculino",200,""))+(IF(Atletas!I430="Daoshu Mirim",19,IF(Atletas!I430="Jianshu Mirim",20,IF(Atletas!I430="Nandao Mirim",21,IF(Atletas!I430="Taijijian Mirim",22,IF(Atletas!I430="Daoshu Grupo C",23,IF(Atletas!I430="Jianshu Grupo C",24,IF(Atletas!I430="Nandao Grupo C",25,IF(Atletas!I430="Taijijian Grupo C",26,IF(Atletas!I430="Daoshu Grupo B",27,IF(Atletas!I430="Jianshu Grupo B",28,IF(Atletas!I430="Nandao Grupo B",29,IF(Atletas!I430="Taijijian Grupo B",30,IF(Atletas!I430="Daoshu Grupo A",31,IF(Atletas!I430="Jianshu Grupo A",32,IF(Atletas!I430="Nandao Grupo A",33,IF(Atletas!I430="Taijijian Grupo A",34,IF(Atletas!I430="Daoshu Opcional",35,IF(Atletas!I430="Jianshu Opcional",36,IF(Atletas!I430="Nandao Opcional",37,IF(Atletas!I430="Taijijian Opcional",38,IF(Atletas!I430="Daoshu Adulto",39,IF(Atletas!I430="Jianshu Adulto",40,IF(Atletas!I430="Nandao Adulto",41,IF(Atletas!I430="Taijijian Adulto",42,""))))))))))))))))))))))))))</f>
        <v/>
      </c>
      <c r="BH439" s="52" t="str">
        <f>IF(Atletas!J430="","",IF(Atletas!B430="Feminino",100,IF(Atletas!B430="Masculino",200,""))+(IF(Atletas!J430="Gunshu Mirim",43,IF(Atletas!J430="Qiangshu Mirim",44,IF(Atletas!J430="Nangun Mirim",45,IF(Atletas!J430="Gunshu Grupo C",46,IF(Atletas!J430="Qiangshu Grupo C",47,IF(Atletas!J430="Nangun Grupo C",48,IF(Atletas!J430="Gunshu Grupo B",49,IF(Atletas!J430="Qiangshu Grupo B",50,IF(Atletas!J430="Nangun Grupo B",51,IF(Atletas!J430="Gunshu Grupo A",52,IF(Atletas!J430="Qiangshu Grupo A",53,IF(Atletas!J430="Nangun Grupo A",54,IF(Atletas!J430="Gunshu Opcional",55,IF(Atletas!J430="Qiangshu Opcional",56,IF(Atletas!J430="Nangun Opcional",57,IF(Atletas!J430="Gunshu Adulto",58,IF(Atletas!J430="Qiangshu Adulto",59,IF(Atletas!J430="Nangun Adulto",60,IF(Atletas!J430="Taijishan Grupo B",61,IF(Atletas!J430="Taijishan Grupo A",62,""))))))))))))))))))))))</f>
        <v/>
      </c>
      <c r="BM439" s="50" t="str">
        <f>IF(Atletas!K430="","",IF(Atletas!B430="Feminino",100,IF(Atletas!B430="Masculino",200,""))+(IF(Atletas!K430="Equipe 1 Grupo B",1,IF(Atletas!K430="Equipe 2 Grupo B",2,IF(Atletas!K430="Equipe 1 Grupo A",3,IF(Atletas!K430="Equipe 2 Grupo A",4,IF(Atletas!K430="Equipe 1 Adulto",5,IF(Atletas!K430="Equipe 2 Adulto",6,""))))))))</f>
        <v/>
      </c>
      <c r="BR439" s="50" t="str">
        <f>IF(Atletas!L430="","",IF(Atletas!X430&lt;&gt;"",10000,0)+(IF(Atletas!B430="Feminino",1000,IF(Atletas!B430="Masculino",2000,""))+IF(Atletas!L430="Choylayfut A",1,IF(Atletas!L430="Hunggar A",2,IF(Atletas!L430="Wuzuquan A",3,IF(Atletas!L430="Wingchun A",4,IF(Atletas!L430="Outra Mão de Sul A",5,IF(Atletas!L430="Choylayfut B",6,IF(Atletas!L430="Hunggar B",7,IF(Atletas!L430="Wuzuquan B",8,IF(Atletas!L430="Wingchun B",9,IF(Atletas!L430="Outra Mão de Sul B",10,IF(Atletas!L430="Choylayfut C",11,IF(Atletas!L430="Hunggar C",12,IF(Atletas!L430="Wuzuquan C",13,IF(Atletas!L430="Wingchun C",14,IF(Atletas!L430="Outra Mão de Sul C",15,IF(Atletas!L430="Choylayfut D",16,IF(Atletas!L430="Hunggar D",17,IF(Atletas!L430="Wuzuquan D",18,IF(Atletas!L430="Wingchun D",19,IF(Atletas!L430="Outra Mão de Sul D",20,IF(Atletas!L430="Choylayfut E",21,IF(Atletas!L430="Hunggar E",22,IF(Atletas!L430="Wuzuquan E",23,IF(Atletas!L430="Wingchun E",24,IF(Atletas!L430="Outra Mão de Sul E",25,IF(Atletas!L430="Choylayfut F",26,IF(Atletas!L430="Hunggar F",27,IF(Atletas!L430="Wuzuquan F",28,IF(Atletas!L430="Wingchun F",29,IF(Atletas!L430="Outra Mão de Sul F",30,IF(Atletas!L430="Dishuquan A",31,IF(Atletas!L430="Dishuquan B",32,IF(Atletas!L430="Dishuquan C",33,IF(Atletas!L430="Dishuquan D",34,IF(Atletas!L430="Dishuquan E",35,IF(Atletas!L430="Dishuquan F",36,""))))))))))))))))))))))))))))))))))))))</f>
        <v/>
      </c>
      <c r="BS439" s="50" t="str">
        <f>IF(Atletas!M430="","",IF(Atletas!X430&lt;&gt;"",10000,0)+(IF(Atletas!B430="Feminino",1000,IF(Atletas!B430="Masculino",2000,""))+(IF(Atletas!M430="Chaquan A",101,IF(Atletas!M430="Emeiquan A",102,IF(Atletas!M430="Fanziquan A",103,IF(Atletas!M430="Huaquan A",104,IF(Atletas!M430="Hongquan A",105,IF(Atletas!M430="Paoquan A",106,IF(Atletas!M430="Piguaquan A",107,IF(Atletas!M430="Shaolinquan A",108,IF(Atletas!M430="Tanglangquan A",109,IF(Atletas!M430="Yingzhaoquan A",110,IF(Atletas!M430="Tongbeiquan A",111,IF(Atletas!M430="Wudangquan A",112,IF(Atletas!M430="Outros Estilos A",113,IF(Atletas!M430="Chaquan B",114,IF(Atletas!M430="Emeiquan B",115,IF(Atletas!M430="Fanziquan B",116,IF(Atletas!M430="Huaquan B",117,IF(Atletas!M430="Hongquan B",118,IF(Atletas!M430="Paoquan B",119,IF(Atletas!M430="Piguaquan B",120,IF(Atletas!M430="Shaolinquan B",121,IF(Atletas!M430="Tanglangquan B",122,IF(Atletas!M430="Yingzhaoquan B",123,IF(Atletas!M430="Tongbeiquan B",124,IF(Atletas!M430="Wudangquan B",125,IF(Atletas!M430="Outros Estilos B",126,IF(Atletas!M430="Chaquan C",127,IF(Atletas!M430="Emeiquan C",128,IF(Atletas!M430="Fanziquan C",129,IF(Atletas!M430="Huaquan C",130,IF(Atletas!M430="Hongquan C",131,IF(Atletas!M430="Paoquan C",132,IF(Atletas!M430="Piguaquan C",133,IF(Atletas!M430="Shaolinquan C",134,IF(Atletas!M430="Tanglangquan C",135,IF(Atletas!M430="Yingzhaoquan C",136,IF(Atletas!M430="Tongbeiquan C",137,IF(Atletas!M430="Wudangquan C",138,IF(Atletas!M430="Outros Estilos C",139,0))))))))))))))))))))))))))))))))))))))))))</f>
        <v/>
      </c>
      <c r="BT439" s="50" t="str">
        <f>IF(Atletas!M430="","",IF(Atletas!X430&lt;&gt;"",10000,0)+(IF(Atletas!B430="Feminino",1000,IF(Atletas!B430="Masculino",2000,""))+(IF(Atletas!M430="Chaquan D",140,IF(Atletas!M430="Emeiquan D",141,IF(Atletas!M430="Fanziquan D",142,IF(Atletas!M430="Huaquan D",143,IF(Atletas!M430="Hongquan D",144,IF(Atletas!M430="Paoquan D",145,IF(Atletas!M430="Piguaquan D",146,IF(Atletas!M430="Shaolinquan D",147,IF(Atletas!M430="Tanglangquan D",148,IF(Atletas!M430="Yingzhaoquan D",149,IF(Atletas!M430="Tongbeiquan D",150,IF(Atletas!M430="Wudangquan D",151,IF(Atletas!M430="Outros Estilos D",152,IF(Atletas!M430="Chaquan E",153,IF(Atletas!M430="Emeiquan E",154,IF(Atletas!M430="Fanziquan E",155,IF(Atletas!M430="Huaquan E",156,IF(Atletas!M430="Hongquan E",157,IF(Atletas!M430="Paoquan E",158,IF(Atletas!M430="Piguaquan E",159,IF(Atletas!M430="Shaolinquan E",160,IF(Atletas!M430="Tanglangquan E",161,IF(Atletas!M430="Yingzhaoquan E",162,IF(Atletas!M430="Tongbeiquan E",163,IF(Atletas!M430="Wudangquan E",164,IF(Atletas!M430="Outros Estilos E",165,IF(Atletas!M430="Chaquan F",166,IF(Atletas!M430="Emeiquan F",167,IF(Atletas!M430="Fanziquan F",168,IF(Atletas!M430="Huaquan F",169,IF(Atletas!M430="Hongquan F",170,IF(Atletas!M430="Paoquan F",171,IF(Atletas!M430="Piguaquan F",172,IF(Atletas!M430="Shaolinquan F",173,IF(Atletas!M430="Tanglangquan F",174,IF(Atletas!M430="Yingzhaoquan F",175,IF(Atletas!M430="Tongbeiquan F",176,IF(Atletas!M430="Wudangquan F",177,IF(Atletas!M430="Outros Estilos F",178,0))))))))))))))))))))))))))))))))))))))))))</f>
        <v/>
      </c>
      <c r="BU439" s="50" t="str">
        <f>IF(Atletas!N430="","",IF(Atletas!X430&lt;&gt;"",10000,0)+(IF(Atletas!B430="Feminino",1000,IF(Atletas!B430="Masculino",2000,""))+(IF(Atletas!N430="Ditangquan A",201,IF(Atletas!N430="Houquan A",202,IF(Atletas!N430="Zuiquan A",203,IF(Atletas!N430="Ditangquan B",204,IF(Atletas!N430="Houquan B",205,IF(Atletas!N430="Zuiquan B",206,IF(Atletas!N430="Ditangquan C",207,IF(Atletas!N430="Houquan C",208,IF(Atletas!N430="Zuiquan C",209,IF(Atletas!N430="Ditangquan D",210,IF(Atletas!N430="Houquan D",211,IF(Atletas!N430="Zuiquan D",212,IF(Atletas!N430="Ditangquan E",213,IF(Atletas!N430="Houquan E",214,IF(Atletas!N430="Zuiquan E",215,IF(Atletas!N430="Ditangquan F",216,IF(Atletas!N430="Houquan F",217,IF(Atletas!N430="Zuiquan F",218,"")))))))))))))))))))))</f>
        <v/>
      </c>
      <c r="BV439" s="50" t="str">
        <f>IF(Atletas!O430="","",IF(Atletas!X430&lt;&gt;"",10000,0)+IF(Atletas!B430="Feminino",1000,IF(Atletas!B430="Masculino",2000,""))+IF(Atletas!O430="Yang A",301,IF(Atletas!O430="Chen A",302,IF(Atletas!O430="Sun A",303,IF(Atletas!O430="Wu A",304,IF(Atletas!O430="Wu-Hao A",305,IF(Atletas!O430="Outro Taijiquan A",306,IF(Atletas!O430="Yang B",307,IF(Atletas!O430="Chen B",308,IF(Atletas!O430="Sun B",309,IF(Atletas!O430="Wu B",310,IF(Atletas!O430="Wu-Hao B",311,IF(Atletas!O430="Outro Taijiquan B",312,IF(Atletas!O430="Yang C",313,IF(Atletas!O430="Chen C",314,IF(Atletas!O430="Sun C",315,IF(Atletas!O430="Wu C",316,IF(Atletas!O430="Wu-Hao C",317,IF(Atletas!O430="Outro Taijiquan C",318,IF(Atletas!O430="Yang D",319,IF(Atletas!O430="Chen D",320,IF(Atletas!O430="Sun D",321,IF(Atletas!O430="Wu D",322,IF(Atletas!O430="Wu-Hao D",323,IF(Atletas!O430="Outro Taijiquan D",324,IF(Atletas!O430="Yang E",325,IF(Atletas!O430="Chen E",326,IF(Atletas!O430="Sun E",327,IF(Atletas!O430="Wu E",328,IF(Atletas!O430="Wu-Hao E",329,IF(Atletas!O430="Outro Taijiquan E",330,IF(Atletas!O430="Yang F",331,IF(Atletas!O430="Chen F",332,IF(Atletas!O430="Sun F",333,IF(Atletas!O430="Wu F",334,IF(Atletas!O430="Wu-Hao F",335,IF(Atletas!O430="Outro Taijiquan F",336,"")))))))))))))))))))))))))))))))))))))</f>
        <v/>
      </c>
      <c r="BW439" s="50" t="str">
        <f>IF(Atletas!P430="","",IF(Atletas!X430&lt;&gt;"",10000,0)+IF(Atletas!B430="Feminino",1000,IF(Atletas!B430="Masculino",2000,""))+IF(OR(Atletas!P430="Yang 26 A",Atletas!P430="Yang 40 A"),401,IF(OR(Atletas!P430="Chen 25 A",Atletas!P430="Chen 36 A",Atletas!P430="Chen 56 A"),402,IF(Atletas!P430="Sun 73 A",403,IF(Atletas!P430="Wu 45 A",404,IF(Atletas!P430="Wu-Hao 46 A",405,IF(OR(Atletas!P430="Taijiquan 16 A",Atletas!P430="Taijiquan 24 A",Atletas!P430="Taijiquan 32 A",Atletas!P430="Taijiquan 42 A"),406,IF(OR(Atletas!P430="Yang 26 B",Atletas!P430="Yang 40 B"),407,IF(OR(Atletas!P430="Chen 25 B",Atletas!P430="Chen 36 B",Atletas!P430="Chen 56 B"),408,IF(Atletas!P430="Sun 73 B",409,IF(Atletas!P430="Wu 45 B",410,IF(Atletas!P430="Wu-Hao 46 B",411,IF(OR(Atletas!P430="Taijiquan 16 B",Atletas!P430="Taijiquan 24 B",Atletas!P430="Taijiquan 32 B",Atletas!P430="Taijiquan 42 B"),412,IF(OR(Atletas!P430="Yang 26 C",Atletas!P430="Yang 40 C"),413,IF(OR(Atletas!P430="Chen 25 C",Atletas!P430="Chen 36 C",Atletas!P430="Chen 56 C"),414,IF(Atletas!P430="Sun 73 C",415,IF(Atletas!P430="Wu 45 C",416,IF(Atletas!P430="Wu-Hao 46 C",417,IF(OR(Atletas!P430="Taijiquan 16 C",Atletas!P430="Taijiquan 24 C",Atletas!P430="Taijiquan 32 C",Atletas!P430="Taijiquan 42 C"),418,0)))))))))))))))))))</f>
        <v/>
      </c>
      <c r="BX439" s="50" t="str">
        <f>IF(Atletas!P430="","",IF(Atletas!X430&lt;&gt;"",10000,0)+IF(Atletas!B430="Feminino",1000,IF(Atletas!B430="Masculino",2000,""))+IF(OR(Atletas!P430="Yang 26 D",Atletas!P430="Yang 40 D"),419,IF(OR(Atletas!P430="Chen 25 D",Atletas!P430="Chen 36 D",Atletas!P430="Chen 56 D"),420,IF(Atletas!P430="Sun 73 D",421,IF(Atletas!P430="Wu 45 D",422,IF(Atletas!P430="Wu-Hao 46 D",423,IF(OR(Atletas!P430="Taijiquan 16 D",Atletas!P430="Taijiquan 24 D",Atletas!P430="Taijiquan 32 D",Atletas!P430="Taijiquan 42 D"),424,IF(OR(Atletas!P430="Yang 26 E",Atletas!P430="Yang 40 E"),425,IF(OR(Atletas!P430="Chen 25 E",Atletas!P430="Chen 36 E",Atletas!P430="Chen 56 E"),426,IF(Atletas!P430="Sun 73 E",427,IF(Atletas!P430="Wu 45 E",428,IF(Atletas!P430="Wu-Hao 46 E",429,IF(OR(Atletas!P430="Taijiquan 16 E",Atletas!P430="Taijiquan 24 E",Atletas!P430="Taijiquan 32 E",Atletas!P430="Taijiquan 42 E"),430,IF(OR(Atletas!P430="Yang 26 F",Atletas!P430="Yang 40 F"),431,IF(OR(Atletas!P430="Chen 25 F",Atletas!P430="Chen 36 F",Atletas!P430="Chen 56 F"),432,IF(Atletas!P430="Sun 73 F",433,IF(Atletas!P430="Wu 45 F",434,IF(Atletas!P430="Wu-Hao 46 F",435,IF(OR(Atletas!P430="Taijiquan 16 F",Atletas!P430="Taijiquan 24 F",Atletas!P430="Taijiquan 32 F",Atletas!P430="Taijiquan 42 F"),436,0)))))))))))))))))))</f>
        <v/>
      </c>
      <c r="BY439" s="50" t="str">
        <f>IF(Atletas!Q430="","",IF(Atletas!X430&lt;&gt;"",10000,0)+IF(Atletas!B430="Feminino",1000,IF(Atletas!B430="Masculino",2000,""))+IF(Atletas!Q430="Xingyiquan A",501,IF(Atletas!Q430="Baguazhang A",502,IF(Atletas!Q430="Outro Estilo Interno A",503,IF(Atletas!Q430="Xingyiquan B",504,IF(Atletas!Q430="Baguazhang B",505,IF(Atletas!Q430="Outro Estilo Interno B",506,IF(Atletas!Q430="Xingyiquan C",507,IF(Atletas!Q430="Baguazhang C",508,IF(Atletas!Q430="Outro Estilo Interno C",509,IF(Atletas!Q430="Xingyiquan D",510,IF(Atletas!Q430="Baguazhang D",511,IF(Atletas!Q430="Outro Estilo Interno D",512,IF(Atletas!Q430="Xingyiquan E",513,IF(Atletas!Q430="Baguazhang E",514,IF(Atletas!Q430="Outro Estilo Interno E",515,IF(Atletas!Q430="Xingyiquan F",516,IF(Atletas!Q430="Baguazhang F",517,IF(Atletas!Q430="Outro Estilo Interno F",518, "")))))))))))))))))))</f>
        <v/>
      </c>
      <c r="BZ439" s="50" t="str">
        <f>IF(Atletas!R430="","",IF(Atletas!X430&lt;&gt;"",10000,0)+IF(Atletas!B430="Feminino",1000,IF(Atletas!B430="Masculino",2000,""))+IF(Atletas!R430="Dao A",601,IF(Atletas!R430="Jian A",602,IF(Atletas!R430="Bishou A",603,IF(Atletas!R430="Shanzi A",604,IF(Atletas!R430="Outra Arma Curta A",605,IF(Atletas!R430="Dao B",606,IF(Atletas!R430="Jian B",607,IF(Atletas!R430="Bishou B",608,IF(Atletas!R430="Shanzi B",609,IF(Atletas!R430="Outra Arma Curta B",610,IF(Atletas!R430="Dao C",611,IF(Atletas!R430="Jian C",612,IF(Atletas!R430="Bishou C",613,IF(Atletas!R430="Shanzi C",614,IF(Atletas!R430="Outra Arma Curta C",615,IF(Atletas!R430="Dao D",616,IF(Atletas!R430="Jian D",617,IF(Atletas!R430="Bishou D",618,IF(Atletas!R430="Shanzi D",619,IF(Atletas!R430="Outra Arma Curta D",620,IF(Atletas!R430="Dao E",621,IF(Atletas!R430="Jian E",622,IF(Atletas!R430="Bishou E",623,IF(Atletas!R430="Shanzi E",624,IF(Atletas!R430="Outra Arma Curta E",625,IF(Atletas!R430="Dao F",626,IF(Atletas!R430="Jian F",627,IF(Atletas!R430="Bishou F",628,IF(Atletas!R430="Shanzi F",629,IF(Atletas!R430="Outra Arma Curta F",630, "")))))))))))))))))))))))))))))))</f>
        <v/>
      </c>
      <c r="CA439" s="50" t="str">
        <f>IF(Atletas!S430="","",IF(Atletas!X430&lt;&gt;"",10000,0)+IF(Atletas!B430="Feminino",1000,IF(Atletas!B430="Masculino",2000,""))+IF(Atletas!S430="Gun A",701,IF(Atletas!S430="Qiang A",702,IF(Atletas!S430="Pudao / Guandao A",703,IF(Atletas!S430="Outra Arma Longa A",704,IF(Atletas!S430="Gun B",705,IF(Atletas!S430="Qiang B",706,IF(Atletas!S430="Pudao / Guandao B",707,IF(Atletas!S430="Outra Arma Longa B",708,IF(Atletas!S430="Gun C",709,IF(Atletas!S430="Qiang C",710,IF(Atletas!S430="Pudao / Guandao C",711,IF(Atletas!S430="Outra Arma Longa C",712,IF(Atletas!S430="Gun D",713,IF(Atletas!S430="Qiang D",714,IF(Atletas!S430="Pudao / Guandao D",715,IF(Atletas!S430="Outra Arma Longa D",716,IF(Atletas!S430="Gun E",717,IF(Atletas!S430="Qiang E",718,IF(Atletas!S430="Pudao / Guandao E",719,IF(Atletas!S430="Outra Arma Longa E",720,IF(Atletas!S430="Gun F",721,IF(Atletas!S430="Qiang F",722,IF(Atletas!S430="Pudao / Guandao F",723,IF(Atletas!S430="Outra Arma Longa F",724,"")))))))))))))))))))))))))</f>
        <v/>
      </c>
      <c r="CB439" s="50" t="str">
        <f>IF(Atletas!T430="","",IF(Atletas!X430&lt;&gt;"",10000,0)+IF(Atletas!B430="Feminino",1000,IF(Atletas!B430="Masculino",2000,""))+IF(Atletas!T430="Outra Arma Dupla A",801,IF(Atletas!T430="Arma Maleável A",802,IF(Atletas!T430="Outra Arma Dupla B",803,IF(Atletas!T430="Arma Maleável B",804,IF(Atletas!T430="Outra Arma Dupla C",805,IF(Atletas!T430="Arma Maleável C",806,IF(Atletas!T430="Outra Arma Dupla D",807,IF(Atletas!T430="Arma Maleável D",808,IF(Atletas!T430="Outra Arma Dupla E",809,IF(Atletas!T430="Arma Maleável E",810,IF(Atletas!T430="Outra Arma Dupla F",811,IF(Atletas!T430="Arma Maleável F",812,IF(Atletas!T430="Shuangdao A",813,IF(Atletas!T430="Shuangdao B",814,IF(Atletas!T430="Shuangdao C",815,IF(Atletas!T430="Shuangdao D",816,IF(Atletas!T430="Shuangdao E",817,IF(Atletas!T430="Shuangdao F",818,"")))))))))))))))))))</f>
        <v/>
      </c>
      <c r="CC439" s="50" t="str">
        <f>IF(Atletas!U430="","",IF(Atletas!X430&lt;&gt;"",10000,0)+IF(Atletas!B430="Feminino",1000,IF(Atletas!B430="Masculino",2000,""))+IF(OR(Atletas!U430="Taijijian Yang A",Atletas!U430="Taijijian Yang Standard A"),901,IF(OR(Atletas!U430="Taijijian Chen A", Atletas!U430="Taijijian Chen Standard A"),902,IF(Atletas!U430="Taijijian Sun A",903,IF(Atletas!U430="Taijijian Wu A",904,IF(Atletas!U430="Taijijian Wu-Hao A",905,IF(OR(Atletas!U430="Taijijian 32 A",Atletas!U430="Taijijian 42 A"),906,IF(OR(Atletas!U430="Taijijian Yang B",Atletas!U430="Taijijian Yang Standard B"),907,IF(OR(Atletas!U430="Taijijian Chen B", Atletas!U430="Taijijian Chen Standard B"),908,IF(Atletas!U430="Taijijian Sun B",909,IF(Atletas!U430="Taijijian Wu B",910,IF(Atletas!U430="Taijijian Wu-Hao B",911,IF(OR(Atletas!U430="Taijijian 32 B",Atletas!U430="Taijijian 42 B"),912,IF(OR(Atletas!U430="Taijijian Yang C",Atletas!U430="Taijijian Yang Standard C"),913,IF(OR(Atletas!U430="Taijijian Chen C", Atletas!U430="Taijijian Chen Standard C"),914,IF(Atletas!U430="Taijijian Sun C",915,IF(Atletas!U430="Taijijian Wu C",916,IF(Atletas!U430="Taijijian Wu-Hao C",917,IF(OR(Atletas!U430="Taijijian 32 C",Atletas!U430="Taijijian 42 C"),918,IF(OR(Atletas!U430="Taijijian Yang D",Atletas!U430="Taijijian Yang Standard D"),919,IF(OR(Atletas!U430="Taijijian Chen D", Atletas!U430="Taijijian Chen Standard D"),920,IF(Atletas!U430="Taijijian Sun D",921,IF(Atletas!U430="Taijijian Wu D",922,IF(Atletas!U430="Taijijian Wu-Hao D",923,IF(OR(Atletas!U430="Taijijian 32 D",Atletas!U430="Taijijian 42 D"),924,IF(OR(Atletas!U430="Taijijian Yang E",Atletas!U430="Taijijian Yang Standard E"),925,IF(OR(Atletas!U430="Taijijian Chen E", Atletas!U430="Taijijian Chen Standard E"),926,IF(Atletas!U430="Taijijian Sun E",927,IF(Atletas!U430="Taijijian Wu E",928,IF(Atletas!U430="Taijijian Wu-Hao E",929,IF(OR(Atletas!U430="Taijijian 32 E",Atletas!U430="Taijijian 42 E"),930,IF(OR(Atletas!U430="Taijijian Yang F",Atletas!U430="Taijijian Yang Standard F"),931,IF(OR(Atletas!U430="Taijijian Chen F", Atletas!U430="Taijijian Chen Standard F"),932,IF(Atletas!U430="Taijijian Sun F",933,IF(Atletas!U430="Taijijian Wu F",934,IF(Atletas!U430="Taijijian Wu-Hao F",935,IF(OR(Atletas!U430="Taijijian 32 F",Atletas!U430="Taijijian 42 F"),936,"")))))))))))))))))))))))))))))))))))))</f>
        <v/>
      </c>
      <c r="CD439" s="50" t="str">
        <f>IF(Atletas!V430="","",IF(Atletas!X430&lt;&gt;"",10000,0)+IF(Atletas!B430="Feminino",1000,IF(Atletas!B430="Masculino",2000,""))+IF(Atletas!V430="Taijidao A",937,IF(Atletas!V430="TaijiShanzi A",938,IF(Atletas!V430="Taijiqiang A",939,IF(Atletas!V430="Bagua de Arma A",940,IF(Atletas!V430="Xingyi de Arma A",941,IF(Atletas!V430="Taijidao B",942,IF(Atletas!V430="TaijiShanzi B",943,IF(Atletas!V430="Taijiqiang B",944,IF(Atletas!V430="Bagua de Arma B",945,IF(Atletas!V430="Xingyi de Arma B",946,IF(Atletas!V430="Taijidao C",947,IF(Atletas!V430="TaijiShanzi C",948,IF(Atletas!V430="Taijiqiang C",949,IF(Atletas!V430="Bagua de Arma C",950,IF(Atletas!V430="Xingyi de Arma C",951,IF(Atletas!V430="Taijidao D",952,IF(Atletas!V430="TaijiShanzi D",953,IF(Atletas!V430="Taijiqiang D",954,IF(Atletas!V430="Bagua de Arma D",955,IF(Atletas!V430="Xingyi de Arma D",956,IF(Atletas!V430="Taijidao E",957,IF(Atletas!V430="TaijiShanzi E",958,IF(Atletas!V430="Taijiqiang E",959,IF(Atletas!V430="Bagua de Arma E",960,IF(Atletas!V430="Xingyi de Arma E",961,IF(Atletas!V430="Taijidao F",962,IF(Atletas!V430="TaijiShanzi F",963,IF(Atletas!V430="Taijiqiang F",964,IF(Atletas!V430="Bagua de Arma F",965,IF(Atletas!V430="Xingyi de Arma F",966,"")))))))))))))))))))))))))))))))</f>
        <v/>
      </c>
      <c r="CM439" s="50" t="str">
        <f xml:space="preserve"> IF(Atletas!W430="","",IF(Atletas!W430="Duilian de Mãos BC - Equipe 1",1,IF(Atletas!W430="Duilian de Mãos BC - Equipe 2",2,IF(Atletas!W430="Duilian de Armas BC - Equipe 1",3,IF(Atletas!W430="Duilian de Armas BC - Equipe 2",4,IF(Atletas!W430="Duilian de Mãos DE - Equipe 1",5,IF(Atletas!W430="Duilian de Mãos DE - Equipe 2",6,IF(Atletas!W430="Duilian de Armas DE - Equipe 1",7,IF(Atletas!W430="Duilian de Armas DE - Equipe 2",8,IF(Atletas!W430="Duilian de Tuishou - Equipe 1",9,IF(Atletas!W430="Duilian de Tuishou - Equipe 2",10,IF(Atletas!W430="Grupo Externo ABC - Equipe 1",11,IF(Atletas!W430="Grupo Externo ABC - Equipe 2",12,IF(Atletas!W430="Grupo Interno ABC - Equipe 1",13,IF(Atletas!W430="Grupo Interno ABC - Equipe 2",14,IF(Atletas!W430="Grupo Externo DEF - Equipe 1",15,IF(Atletas!W430="Grupo Externo DEF - Equipe 2",16,IF(Atletas!W430="Grupo Interno DEF - Equipe 1",17,IF(Atletas!W430="Grupo Interno DEF - Equipe 2",18,"")))))))))))))))))))</f>
        <v/>
      </c>
    </row>
    <row r="440" spans="40:91">
      <c r="AN440" s="52" t="str">
        <f>IF(Atletas!D431="","",IF(Atletas!B431="Feminino",100,IF(Atletas!B431="Masculino",200,""))+(IF(Atletas!D431="Kids 30kg",1,IF(Atletas!D431="Kids 32kg",2, IF(Atletas!D431="Kids 34kg",3,IF(Atletas!D431="Kids 36kg",4,IF(Atletas!D431="Kids 39kg",5,IF(Atletas!D431="Kids 42kg",6,IF(Atletas!D431="Kids 45kg",7, IF(Atletas!D431="Infantil 39kg",8,IF(Atletas!D431="Infantil 42kg",9,IF(Atletas!D431="Infantil 45kg",10,IF(Atletas!D431="Infantil 48kg",11,IF(Atletas!D431="Infantil 52kg",12,IF(Atletas!D431="Infantil 56kg",13,IF(Atletas!D431="Infantil 60kg",14,IF(Atletas!D431="Juvenil 48kg",15,IF(Atletas!D431="Juvenil 52kg",16,IF(Atletas!D431="Juvenil 56kg",17,IF(Atletas!D431="Juvenil 60kg",18,IF(Atletas!D431="Juvenil 65kg",19,IF(Atletas!D431="Juvenil 70kg",20,IF(Atletas!D431="Juvenil 75kg",21,IF(Atletas!D431="Juvenil 80kg",22, IF(Atletas!D431="Juvenil 85kg",23,IF(Atletas!D431="Adulto 48kg",24,IF(Atletas!D431="Adulto 52kg",25,IF(Atletas!D431="Adulto 56kg",26,IF(Atletas!D431="Adulto 60kg",27,IF(Atletas!D431="Adulto 65kg",28,IF(Atletas!D431="Adulto 70kg",29,IF(Atletas!D431="Adulto 75kg",30,IF(Atletas!D431="Adulto 80kg",31,IF(Atletas!D431="Adulto 85kg",32,IF(Atletas!D431="Adulto 90kg",33,IF(Atletas!D431="Adulto 100kg",34, IF(Atletas!D431="Adulto +100kg",35,"")))))))))))))))))))))))))))))))))))))</f>
        <v/>
      </c>
      <c r="AS440" s="6" t="str">
        <f>IF(Atletas!E431="","",IF(Atletas!B431="Feminino",100,IF(Atletas!B431="Masculino",200,""))+(IF(Atletas!E431="Juvenil 44kg",1,IF(Atletas!E431="Juvenil 48kg",2,IF(Atletas!E431="Juvenil 52kg",3,IF(Atletas!E431="Juvenil 56kg",4,IF(Atletas!E431="Juvenil 60kg",5,IF(Atletas!E431="Juvenil 65kg",6,IF(Atletas!E431="Juvenil 70kg",7,IF(Atletas!E431="Juvenil 75kg",8,IF(Atletas!E431="Juvenil 82kg",9,IF(Atletas!E431="Juvenil 90kg",10,IF(Atletas!E431="Juvenil 100kg",11,IF(Atletas!E431="Adulto 48kg",12,IF(Atletas!E431="Adulto 52kg",13,IF(Atletas!E431="Adulto 56kg",14,IF(Atletas!E431="Adulto 60kg",15,IF(Atletas!E431="Adulto 65kg",16,IF(Atletas!E431="Adulto 70kg",17,IF(Atletas!E431="Adulto 75kg",18,IF(Atletas!E431="Adulto 82kg",19,IF(Atletas!E431="Adulto 90kg",20,IF(Atletas!E431="Adulto 100kg",21,IF(Atletas!E431="Adulto +100kg",22,""))))))))))))))))))))))))</f>
        <v/>
      </c>
      <c r="AX440" s="6" t="str">
        <f>IF(Atletas!F431="","",IF(Atletas!B431="Feminino",100,IF(Atletas!B431="Masculino",200,""))+(IF(Atletas!F431="Adulto 48kg",1,IF(Atletas!F431="Adulto 56kg",2,IF(Atletas!F431="Adulto 65kg",3,IF(Atletas!F431="Adulto 75kg",4,IF(Atletas!F431="Adulto +75kg",5,IF(Atletas!F431="Adulto 52kg",6,IF(Atletas!F431="Adulto 60kg",7,IF(Atletas!F431="Adulto 70kg",8,IF(Atletas!F431="Adulto 80kg",9,IF(Atletas!F431="Adulto 90kg",10,IF(Atletas!F431="Adulto +90kg",11,"")))))))))))))</f>
        <v/>
      </c>
      <c r="BC440" s="6" t="str">
        <f>IF(Atletas!G431="","",IF(Atletas!B431="Feminino",10,IF(Atletas!B431="Masculino",20,""))+(IF(Atletas!G431="Baduanjin A",1,IF(Atletas!G431="Baduanjin B",2))))</f>
        <v/>
      </c>
      <c r="BF440" s="52" t="str">
        <f>IF(Atletas!H431="","",IF(Atletas!B431="Feminino",100,IF(Atletas!B431="Masculino",200,""))+(IF(Atletas!H431="Changquan Mirim",1,IF(Atletas!H431="Nanquan Mirim",2,IF(Atletas!H431="Taijiquan Mirim",3,IF(Atletas!H431="Changquan Grupo C",4,IF(Atletas!H431="Nanquan Grupo C",5,IF(Atletas!H431="Taijiquan Grupo C",6,IF(Atletas!H431="Changquan Grupo B",7,IF(Atletas!H431="Nanquan Grupo B",8,IF(Atletas!H431="Taijiquan Grupo B",9,IF(Atletas!H431="Changquan Grupo A",10,IF(Atletas!H431="Nanquan Grupo A",11,IF(Atletas!H431="Taijiquan Grupo A",12,IF(Atletas!H431="Changquan Opcional",13,IF(Atletas!H431="Nanquan Opcional",14,IF(Atletas!H431="Taijiquan Opcional",15,IF(Atletas!H431="Changquan Adulto",16,IF(Atletas!H431="Nanquan Adulto",17,IF(Atletas!H431="Taijiquan Adulto",18,""))))))))))))))))))))</f>
        <v/>
      </c>
      <c r="BG440" s="52" t="str">
        <f>IF(Atletas!I431="","",IF(Atletas!B431="Feminino",100,IF(Atletas!B431="Masculino",200,""))+(IF(Atletas!I431="Daoshu Mirim",19,IF(Atletas!I431="Jianshu Mirim",20,IF(Atletas!I431="Nandao Mirim",21,IF(Atletas!I431="Taijijian Mirim",22,IF(Atletas!I431="Daoshu Grupo C",23,IF(Atletas!I431="Jianshu Grupo C",24,IF(Atletas!I431="Nandao Grupo C",25,IF(Atletas!I431="Taijijian Grupo C",26,IF(Atletas!I431="Daoshu Grupo B",27,IF(Atletas!I431="Jianshu Grupo B",28,IF(Atletas!I431="Nandao Grupo B",29,IF(Atletas!I431="Taijijian Grupo B",30,IF(Atletas!I431="Daoshu Grupo A",31,IF(Atletas!I431="Jianshu Grupo A",32,IF(Atletas!I431="Nandao Grupo A",33,IF(Atletas!I431="Taijijian Grupo A",34,IF(Atletas!I431="Daoshu Opcional",35,IF(Atletas!I431="Jianshu Opcional",36,IF(Atletas!I431="Nandao Opcional",37,IF(Atletas!I431="Taijijian Opcional",38,IF(Atletas!I431="Daoshu Adulto",39,IF(Atletas!I431="Jianshu Adulto",40,IF(Atletas!I431="Nandao Adulto",41,IF(Atletas!I431="Taijijian Adulto",42,""))))))))))))))))))))))))))</f>
        <v/>
      </c>
      <c r="BH440" s="52" t="str">
        <f>IF(Atletas!J431="","",IF(Atletas!B431="Feminino",100,IF(Atletas!B431="Masculino",200,""))+(IF(Atletas!J431="Gunshu Mirim",43,IF(Atletas!J431="Qiangshu Mirim",44,IF(Atletas!J431="Nangun Mirim",45,IF(Atletas!J431="Gunshu Grupo C",46,IF(Atletas!J431="Qiangshu Grupo C",47,IF(Atletas!J431="Nangun Grupo C",48,IF(Atletas!J431="Gunshu Grupo B",49,IF(Atletas!J431="Qiangshu Grupo B",50,IF(Atletas!J431="Nangun Grupo B",51,IF(Atletas!J431="Gunshu Grupo A",52,IF(Atletas!J431="Qiangshu Grupo A",53,IF(Atletas!J431="Nangun Grupo A",54,IF(Atletas!J431="Gunshu Opcional",55,IF(Atletas!J431="Qiangshu Opcional",56,IF(Atletas!J431="Nangun Opcional",57,IF(Atletas!J431="Gunshu Adulto",58,IF(Atletas!J431="Qiangshu Adulto",59,IF(Atletas!J431="Nangun Adulto",60,IF(Atletas!J431="Taijishan Grupo B",61,IF(Atletas!J431="Taijishan Grupo A",62,""))))))))))))))))))))))</f>
        <v/>
      </c>
      <c r="BM440" s="50" t="str">
        <f>IF(Atletas!K431="","",IF(Atletas!B431="Feminino",100,IF(Atletas!B431="Masculino",200,""))+(IF(Atletas!K431="Equipe 1 Grupo B",1,IF(Atletas!K431="Equipe 2 Grupo B",2,IF(Atletas!K431="Equipe 1 Grupo A",3,IF(Atletas!K431="Equipe 2 Grupo A",4,IF(Atletas!K431="Equipe 1 Adulto",5,IF(Atletas!K431="Equipe 2 Adulto",6,""))))))))</f>
        <v/>
      </c>
      <c r="BR440" s="50" t="str">
        <f>IF(Atletas!L431="","",IF(Atletas!X431&lt;&gt;"",10000,0)+(IF(Atletas!B431="Feminino",1000,IF(Atletas!B431="Masculino",2000,""))+IF(Atletas!L431="Choylayfut A",1,IF(Atletas!L431="Hunggar A",2,IF(Atletas!L431="Wuzuquan A",3,IF(Atletas!L431="Wingchun A",4,IF(Atletas!L431="Outra Mão de Sul A",5,IF(Atletas!L431="Choylayfut B",6,IF(Atletas!L431="Hunggar B",7,IF(Atletas!L431="Wuzuquan B",8,IF(Atletas!L431="Wingchun B",9,IF(Atletas!L431="Outra Mão de Sul B",10,IF(Atletas!L431="Choylayfut C",11,IF(Atletas!L431="Hunggar C",12,IF(Atletas!L431="Wuzuquan C",13,IF(Atletas!L431="Wingchun C",14,IF(Atletas!L431="Outra Mão de Sul C",15,IF(Atletas!L431="Choylayfut D",16,IF(Atletas!L431="Hunggar D",17,IF(Atletas!L431="Wuzuquan D",18,IF(Atletas!L431="Wingchun D",19,IF(Atletas!L431="Outra Mão de Sul D",20,IF(Atletas!L431="Choylayfut E",21,IF(Atletas!L431="Hunggar E",22,IF(Atletas!L431="Wuzuquan E",23,IF(Atletas!L431="Wingchun E",24,IF(Atletas!L431="Outra Mão de Sul E",25,IF(Atletas!L431="Choylayfut F",26,IF(Atletas!L431="Hunggar F",27,IF(Atletas!L431="Wuzuquan F",28,IF(Atletas!L431="Wingchun F",29,IF(Atletas!L431="Outra Mão de Sul F",30,IF(Atletas!L431="Dishuquan A",31,IF(Atletas!L431="Dishuquan B",32,IF(Atletas!L431="Dishuquan C",33,IF(Atletas!L431="Dishuquan D",34,IF(Atletas!L431="Dishuquan E",35,IF(Atletas!L431="Dishuquan F",36,""))))))))))))))))))))))))))))))))))))))</f>
        <v/>
      </c>
      <c r="BS440" s="50" t="str">
        <f>IF(Atletas!M431="","",IF(Atletas!X431&lt;&gt;"",10000,0)+(IF(Atletas!B431="Feminino",1000,IF(Atletas!B431="Masculino",2000,""))+(IF(Atletas!M431="Chaquan A",101,IF(Atletas!M431="Emeiquan A",102,IF(Atletas!M431="Fanziquan A",103,IF(Atletas!M431="Huaquan A",104,IF(Atletas!M431="Hongquan A",105,IF(Atletas!M431="Paoquan A",106,IF(Atletas!M431="Piguaquan A",107,IF(Atletas!M431="Shaolinquan A",108,IF(Atletas!M431="Tanglangquan A",109,IF(Atletas!M431="Yingzhaoquan A",110,IF(Atletas!M431="Tongbeiquan A",111,IF(Atletas!M431="Wudangquan A",112,IF(Atletas!M431="Outros Estilos A",113,IF(Atletas!M431="Chaquan B",114,IF(Atletas!M431="Emeiquan B",115,IF(Atletas!M431="Fanziquan B",116,IF(Atletas!M431="Huaquan B",117,IF(Atletas!M431="Hongquan B",118,IF(Atletas!M431="Paoquan B",119,IF(Atletas!M431="Piguaquan B",120,IF(Atletas!M431="Shaolinquan B",121,IF(Atletas!M431="Tanglangquan B",122,IF(Atletas!M431="Yingzhaoquan B",123,IF(Atletas!M431="Tongbeiquan B",124,IF(Atletas!M431="Wudangquan B",125,IF(Atletas!M431="Outros Estilos B",126,IF(Atletas!M431="Chaquan C",127,IF(Atletas!M431="Emeiquan C",128,IF(Atletas!M431="Fanziquan C",129,IF(Atletas!M431="Huaquan C",130,IF(Atletas!M431="Hongquan C",131,IF(Atletas!M431="Paoquan C",132,IF(Atletas!M431="Piguaquan C",133,IF(Atletas!M431="Shaolinquan C",134,IF(Atletas!M431="Tanglangquan C",135,IF(Atletas!M431="Yingzhaoquan C",136,IF(Atletas!M431="Tongbeiquan C",137,IF(Atletas!M431="Wudangquan C",138,IF(Atletas!M431="Outros Estilos C",139,0))))))))))))))))))))))))))))))))))))))))))</f>
        <v/>
      </c>
      <c r="BT440" s="50" t="str">
        <f>IF(Atletas!M431="","",IF(Atletas!X431&lt;&gt;"",10000,0)+(IF(Atletas!B431="Feminino",1000,IF(Atletas!B431="Masculino",2000,""))+(IF(Atletas!M431="Chaquan D",140,IF(Atletas!M431="Emeiquan D",141,IF(Atletas!M431="Fanziquan D",142,IF(Atletas!M431="Huaquan D",143,IF(Atletas!M431="Hongquan D",144,IF(Atletas!M431="Paoquan D",145,IF(Atletas!M431="Piguaquan D",146,IF(Atletas!M431="Shaolinquan D",147,IF(Atletas!M431="Tanglangquan D",148,IF(Atletas!M431="Yingzhaoquan D",149,IF(Atletas!M431="Tongbeiquan D",150,IF(Atletas!M431="Wudangquan D",151,IF(Atletas!M431="Outros Estilos D",152,IF(Atletas!M431="Chaquan E",153,IF(Atletas!M431="Emeiquan E",154,IF(Atletas!M431="Fanziquan E",155,IF(Atletas!M431="Huaquan E",156,IF(Atletas!M431="Hongquan E",157,IF(Atletas!M431="Paoquan E",158,IF(Atletas!M431="Piguaquan E",159,IF(Atletas!M431="Shaolinquan E",160,IF(Atletas!M431="Tanglangquan E",161,IF(Atletas!M431="Yingzhaoquan E",162,IF(Atletas!M431="Tongbeiquan E",163,IF(Atletas!M431="Wudangquan E",164,IF(Atletas!M431="Outros Estilos E",165,IF(Atletas!M431="Chaquan F",166,IF(Atletas!M431="Emeiquan F",167,IF(Atletas!M431="Fanziquan F",168,IF(Atletas!M431="Huaquan F",169,IF(Atletas!M431="Hongquan F",170,IF(Atletas!M431="Paoquan F",171,IF(Atletas!M431="Piguaquan F",172,IF(Atletas!M431="Shaolinquan F",173,IF(Atletas!M431="Tanglangquan F",174,IF(Atletas!M431="Yingzhaoquan F",175,IF(Atletas!M431="Tongbeiquan F",176,IF(Atletas!M431="Wudangquan F",177,IF(Atletas!M431="Outros Estilos F",178,0))))))))))))))))))))))))))))))))))))))))))</f>
        <v/>
      </c>
      <c r="BU440" s="50" t="str">
        <f>IF(Atletas!N431="","",IF(Atletas!X431&lt;&gt;"",10000,0)+(IF(Atletas!B431="Feminino",1000,IF(Atletas!B431="Masculino",2000,""))+(IF(Atletas!N431="Ditangquan A",201,IF(Atletas!N431="Houquan A",202,IF(Atletas!N431="Zuiquan A",203,IF(Atletas!N431="Ditangquan B",204,IF(Atletas!N431="Houquan B",205,IF(Atletas!N431="Zuiquan B",206,IF(Atletas!N431="Ditangquan C",207,IF(Atletas!N431="Houquan C",208,IF(Atletas!N431="Zuiquan C",209,IF(Atletas!N431="Ditangquan D",210,IF(Atletas!N431="Houquan D",211,IF(Atletas!N431="Zuiquan D",212,IF(Atletas!N431="Ditangquan E",213,IF(Atletas!N431="Houquan E",214,IF(Atletas!N431="Zuiquan E",215,IF(Atletas!N431="Ditangquan F",216,IF(Atletas!N431="Houquan F",217,IF(Atletas!N431="Zuiquan F",218,"")))))))))))))))))))))</f>
        <v/>
      </c>
      <c r="BV440" s="50" t="str">
        <f>IF(Atletas!O431="","",IF(Atletas!X431&lt;&gt;"",10000,0)+IF(Atletas!B431="Feminino",1000,IF(Atletas!B431="Masculino",2000,""))+IF(Atletas!O431="Yang A",301,IF(Atletas!O431="Chen A",302,IF(Atletas!O431="Sun A",303,IF(Atletas!O431="Wu A",304,IF(Atletas!O431="Wu-Hao A",305,IF(Atletas!O431="Outro Taijiquan A",306,IF(Atletas!O431="Yang B",307,IF(Atletas!O431="Chen B",308,IF(Atletas!O431="Sun B",309,IF(Atletas!O431="Wu B",310,IF(Atletas!O431="Wu-Hao B",311,IF(Atletas!O431="Outro Taijiquan B",312,IF(Atletas!O431="Yang C",313,IF(Atletas!O431="Chen C",314,IF(Atletas!O431="Sun C",315,IF(Atletas!O431="Wu C",316,IF(Atletas!O431="Wu-Hao C",317,IF(Atletas!O431="Outro Taijiquan C",318,IF(Atletas!O431="Yang D",319,IF(Atletas!O431="Chen D",320,IF(Atletas!O431="Sun D",321,IF(Atletas!O431="Wu D",322,IF(Atletas!O431="Wu-Hao D",323,IF(Atletas!O431="Outro Taijiquan D",324,IF(Atletas!O431="Yang E",325,IF(Atletas!O431="Chen E",326,IF(Atletas!O431="Sun E",327,IF(Atletas!O431="Wu E",328,IF(Atletas!O431="Wu-Hao E",329,IF(Atletas!O431="Outro Taijiquan E",330,IF(Atletas!O431="Yang F",331,IF(Atletas!O431="Chen F",332,IF(Atletas!O431="Sun F",333,IF(Atletas!O431="Wu F",334,IF(Atletas!O431="Wu-Hao F",335,IF(Atletas!O431="Outro Taijiquan F",336,"")))))))))))))))))))))))))))))))))))))</f>
        <v/>
      </c>
      <c r="BW440" s="50" t="str">
        <f>IF(Atletas!P431="","",IF(Atletas!X431&lt;&gt;"",10000,0)+IF(Atletas!B431="Feminino",1000,IF(Atletas!B431="Masculino",2000,""))+IF(OR(Atletas!P431="Yang 26 A",Atletas!P431="Yang 40 A"),401,IF(OR(Atletas!P431="Chen 25 A",Atletas!P431="Chen 36 A",Atletas!P431="Chen 56 A"),402,IF(Atletas!P431="Sun 73 A",403,IF(Atletas!P431="Wu 45 A",404,IF(Atletas!P431="Wu-Hao 46 A",405,IF(OR(Atletas!P431="Taijiquan 16 A",Atletas!P431="Taijiquan 24 A",Atletas!P431="Taijiquan 32 A",Atletas!P431="Taijiquan 42 A"),406,IF(OR(Atletas!P431="Yang 26 B",Atletas!P431="Yang 40 B"),407,IF(OR(Atletas!P431="Chen 25 B",Atletas!P431="Chen 36 B",Atletas!P431="Chen 56 B"),408,IF(Atletas!P431="Sun 73 B",409,IF(Atletas!P431="Wu 45 B",410,IF(Atletas!P431="Wu-Hao 46 B",411,IF(OR(Atletas!P431="Taijiquan 16 B",Atletas!P431="Taijiquan 24 B",Atletas!P431="Taijiquan 32 B",Atletas!P431="Taijiquan 42 B"),412,IF(OR(Atletas!P431="Yang 26 C",Atletas!P431="Yang 40 C"),413,IF(OR(Atletas!P431="Chen 25 C",Atletas!P431="Chen 36 C",Atletas!P431="Chen 56 C"),414,IF(Atletas!P431="Sun 73 C",415,IF(Atletas!P431="Wu 45 C",416,IF(Atletas!P431="Wu-Hao 46 C",417,IF(OR(Atletas!P431="Taijiquan 16 C",Atletas!P431="Taijiquan 24 C",Atletas!P431="Taijiquan 32 C",Atletas!P431="Taijiquan 42 C"),418,0)))))))))))))))))))</f>
        <v/>
      </c>
      <c r="BX440" s="50" t="str">
        <f>IF(Atletas!P431="","",IF(Atletas!X431&lt;&gt;"",10000,0)+IF(Atletas!B431="Feminino",1000,IF(Atletas!B431="Masculino",2000,""))+IF(OR(Atletas!P431="Yang 26 D",Atletas!P431="Yang 40 D"),419,IF(OR(Atletas!P431="Chen 25 D",Atletas!P431="Chen 36 D",Atletas!P431="Chen 56 D"),420,IF(Atletas!P431="Sun 73 D",421,IF(Atletas!P431="Wu 45 D",422,IF(Atletas!P431="Wu-Hao 46 D",423,IF(OR(Atletas!P431="Taijiquan 16 D",Atletas!P431="Taijiquan 24 D",Atletas!P431="Taijiquan 32 D",Atletas!P431="Taijiquan 42 D"),424,IF(OR(Atletas!P431="Yang 26 E",Atletas!P431="Yang 40 E"),425,IF(OR(Atletas!P431="Chen 25 E",Atletas!P431="Chen 36 E",Atletas!P431="Chen 56 E"),426,IF(Atletas!P431="Sun 73 E",427,IF(Atletas!P431="Wu 45 E",428,IF(Atletas!P431="Wu-Hao 46 E",429,IF(OR(Atletas!P431="Taijiquan 16 E",Atletas!P431="Taijiquan 24 E",Atletas!P431="Taijiquan 32 E",Atletas!P431="Taijiquan 42 E"),430,IF(OR(Atletas!P431="Yang 26 F",Atletas!P431="Yang 40 F"),431,IF(OR(Atletas!P431="Chen 25 F",Atletas!P431="Chen 36 F",Atletas!P431="Chen 56 F"),432,IF(Atletas!P431="Sun 73 F",433,IF(Atletas!P431="Wu 45 F",434,IF(Atletas!P431="Wu-Hao 46 F",435,IF(OR(Atletas!P431="Taijiquan 16 F",Atletas!P431="Taijiquan 24 F",Atletas!P431="Taijiquan 32 F",Atletas!P431="Taijiquan 42 F"),436,0)))))))))))))))))))</f>
        <v/>
      </c>
      <c r="BY440" s="50" t="str">
        <f>IF(Atletas!Q431="","",IF(Atletas!X431&lt;&gt;"",10000,0)+IF(Atletas!B431="Feminino",1000,IF(Atletas!B431="Masculino",2000,""))+IF(Atletas!Q431="Xingyiquan A",501,IF(Atletas!Q431="Baguazhang A",502,IF(Atletas!Q431="Outro Estilo Interno A",503,IF(Atletas!Q431="Xingyiquan B",504,IF(Atletas!Q431="Baguazhang B",505,IF(Atletas!Q431="Outro Estilo Interno B",506,IF(Atletas!Q431="Xingyiquan C",507,IF(Atletas!Q431="Baguazhang C",508,IF(Atletas!Q431="Outro Estilo Interno C",509,IF(Atletas!Q431="Xingyiquan D",510,IF(Atletas!Q431="Baguazhang D",511,IF(Atletas!Q431="Outro Estilo Interno D",512,IF(Atletas!Q431="Xingyiquan E",513,IF(Atletas!Q431="Baguazhang E",514,IF(Atletas!Q431="Outro Estilo Interno E",515,IF(Atletas!Q431="Xingyiquan F",516,IF(Atletas!Q431="Baguazhang F",517,IF(Atletas!Q431="Outro Estilo Interno F",518, "")))))))))))))))))))</f>
        <v/>
      </c>
      <c r="BZ440" s="50" t="str">
        <f>IF(Atletas!R431="","",IF(Atletas!X431&lt;&gt;"",10000,0)+IF(Atletas!B431="Feminino",1000,IF(Atletas!B431="Masculino",2000,""))+IF(Atletas!R431="Dao A",601,IF(Atletas!R431="Jian A",602,IF(Atletas!R431="Bishou A",603,IF(Atletas!R431="Shanzi A",604,IF(Atletas!R431="Outra Arma Curta A",605,IF(Atletas!R431="Dao B",606,IF(Atletas!R431="Jian B",607,IF(Atletas!R431="Bishou B",608,IF(Atletas!R431="Shanzi B",609,IF(Atletas!R431="Outra Arma Curta B",610,IF(Atletas!R431="Dao C",611,IF(Atletas!R431="Jian C",612,IF(Atletas!R431="Bishou C",613,IF(Atletas!R431="Shanzi C",614,IF(Atletas!R431="Outra Arma Curta C",615,IF(Atletas!R431="Dao D",616,IF(Atletas!R431="Jian D",617,IF(Atletas!R431="Bishou D",618,IF(Atletas!R431="Shanzi D",619,IF(Atletas!R431="Outra Arma Curta D",620,IF(Atletas!R431="Dao E",621,IF(Atletas!R431="Jian E",622,IF(Atletas!R431="Bishou E",623,IF(Atletas!R431="Shanzi E",624,IF(Atletas!R431="Outra Arma Curta E",625,IF(Atletas!R431="Dao F",626,IF(Atletas!R431="Jian F",627,IF(Atletas!R431="Bishou F",628,IF(Atletas!R431="Shanzi F",629,IF(Atletas!R431="Outra Arma Curta F",630, "")))))))))))))))))))))))))))))))</f>
        <v/>
      </c>
      <c r="CA440" s="50" t="str">
        <f>IF(Atletas!S431="","",IF(Atletas!X431&lt;&gt;"",10000,0)+IF(Atletas!B431="Feminino",1000,IF(Atletas!B431="Masculino",2000,""))+IF(Atletas!S431="Gun A",701,IF(Atletas!S431="Qiang A",702,IF(Atletas!S431="Pudao / Guandao A",703,IF(Atletas!S431="Outra Arma Longa A",704,IF(Atletas!S431="Gun B",705,IF(Atletas!S431="Qiang B",706,IF(Atletas!S431="Pudao / Guandao B",707,IF(Atletas!S431="Outra Arma Longa B",708,IF(Atletas!S431="Gun C",709,IF(Atletas!S431="Qiang C",710,IF(Atletas!S431="Pudao / Guandao C",711,IF(Atletas!S431="Outra Arma Longa C",712,IF(Atletas!S431="Gun D",713,IF(Atletas!S431="Qiang D",714,IF(Atletas!S431="Pudao / Guandao D",715,IF(Atletas!S431="Outra Arma Longa D",716,IF(Atletas!S431="Gun E",717,IF(Atletas!S431="Qiang E",718,IF(Atletas!S431="Pudao / Guandao E",719,IF(Atletas!S431="Outra Arma Longa E",720,IF(Atletas!S431="Gun F",721,IF(Atletas!S431="Qiang F",722,IF(Atletas!S431="Pudao / Guandao F",723,IF(Atletas!S431="Outra Arma Longa F",724,"")))))))))))))))))))))))))</f>
        <v/>
      </c>
      <c r="CB440" s="50" t="str">
        <f>IF(Atletas!T431="","",IF(Atletas!X431&lt;&gt;"",10000,0)+IF(Atletas!B431="Feminino",1000,IF(Atletas!B431="Masculino",2000,""))+IF(Atletas!T431="Outra Arma Dupla A",801,IF(Atletas!T431="Arma Maleável A",802,IF(Atletas!T431="Outra Arma Dupla B",803,IF(Atletas!T431="Arma Maleável B",804,IF(Atletas!T431="Outra Arma Dupla C",805,IF(Atletas!T431="Arma Maleável C",806,IF(Atletas!T431="Outra Arma Dupla D",807,IF(Atletas!T431="Arma Maleável D",808,IF(Atletas!T431="Outra Arma Dupla E",809,IF(Atletas!T431="Arma Maleável E",810,IF(Atletas!T431="Outra Arma Dupla F",811,IF(Atletas!T431="Arma Maleável F",812,IF(Atletas!T431="Shuangdao A",813,IF(Atletas!T431="Shuangdao B",814,IF(Atletas!T431="Shuangdao C",815,IF(Atletas!T431="Shuangdao D",816,IF(Atletas!T431="Shuangdao E",817,IF(Atletas!T431="Shuangdao F",818,"")))))))))))))))))))</f>
        <v/>
      </c>
      <c r="CC440" s="50" t="str">
        <f>IF(Atletas!U431="","",IF(Atletas!X431&lt;&gt;"",10000,0)+IF(Atletas!B431="Feminino",1000,IF(Atletas!B431="Masculino",2000,""))+IF(OR(Atletas!U431="Taijijian Yang A",Atletas!U431="Taijijian Yang Standard A"),901,IF(OR(Atletas!U431="Taijijian Chen A", Atletas!U431="Taijijian Chen Standard A"),902,IF(Atletas!U431="Taijijian Sun A",903,IF(Atletas!U431="Taijijian Wu A",904,IF(Atletas!U431="Taijijian Wu-Hao A",905,IF(OR(Atletas!U431="Taijijian 32 A",Atletas!U431="Taijijian 42 A"),906,IF(OR(Atletas!U431="Taijijian Yang B",Atletas!U431="Taijijian Yang Standard B"),907,IF(OR(Atletas!U431="Taijijian Chen B", Atletas!U431="Taijijian Chen Standard B"),908,IF(Atletas!U431="Taijijian Sun B",909,IF(Atletas!U431="Taijijian Wu B",910,IF(Atletas!U431="Taijijian Wu-Hao B",911,IF(OR(Atletas!U431="Taijijian 32 B",Atletas!U431="Taijijian 42 B"),912,IF(OR(Atletas!U431="Taijijian Yang C",Atletas!U431="Taijijian Yang Standard C"),913,IF(OR(Atletas!U431="Taijijian Chen C", Atletas!U431="Taijijian Chen Standard C"),914,IF(Atletas!U431="Taijijian Sun C",915,IF(Atletas!U431="Taijijian Wu C",916,IF(Atletas!U431="Taijijian Wu-Hao C",917,IF(OR(Atletas!U431="Taijijian 32 C",Atletas!U431="Taijijian 42 C"),918,IF(OR(Atletas!U431="Taijijian Yang D",Atletas!U431="Taijijian Yang Standard D"),919,IF(OR(Atletas!U431="Taijijian Chen D", Atletas!U431="Taijijian Chen Standard D"),920,IF(Atletas!U431="Taijijian Sun D",921,IF(Atletas!U431="Taijijian Wu D",922,IF(Atletas!U431="Taijijian Wu-Hao D",923,IF(OR(Atletas!U431="Taijijian 32 D",Atletas!U431="Taijijian 42 D"),924,IF(OR(Atletas!U431="Taijijian Yang E",Atletas!U431="Taijijian Yang Standard E"),925,IF(OR(Atletas!U431="Taijijian Chen E", Atletas!U431="Taijijian Chen Standard E"),926,IF(Atletas!U431="Taijijian Sun E",927,IF(Atletas!U431="Taijijian Wu E",928,IF(Atletas!U431="Taijijian Wu-Hao E",929,IF(OR(Atletas!U431="Taijijian 32 E",Atletas!U431="Taijijian 42 E"),930,IF(OR(Atletas!U431="Taijijian Yang F",Atletas!U431="Taijijian Yang Standard F"),931,IF(OR(Atletas!U431="Taijijian Chen F", Atletas!U431="Taijijian Chen Standard F"),932,IF(Atletas!U431="Taijijian Sun F",933,IF(Atletas!U431="Taijijian Wu F",934,IF(Atletas!U431="Taijijian Wu-Hao F",935,IF(OR(Atletas!U431="Taijijian 32 F",Atletas!U431="Taijijian 42 F"),936,"")))))))))))))))))))))))))))))))))))))</f>
        <v/>
      </c>
      <c r="CD440" s="50" t="str">
        <f>IF(Atletas!V431="","",IF(Atletas!X431&lt;&gt;"",10000,0)+IF(Atletas!B431="Feminino",1000,IF(Atletas!B431="Masculino",2000,""))+IF(Atletas!V431="Taijidao A",937,IF(Atletas!V431="TaijiShanzi A",938,IF(Atletas!V431="Taijiqiang A",939,IF(Atletas!V431="Bagua de Arma A",940,IF(Atletas!V431="Xingyi de Arma A",941,IF(Atletas!V431="Taijidao B",942,IF(Atletas!V431="TaijiShanzi B",943,IF(Atletas!V431="Taijiqiang B",944,IF(Atletas!V431="Bagua de Arma B",945,IF(Atletas!V431="Xingyi de Arma B",946,IF(Atletas!V431="Taijidao C",947,IF(Atletas!V431="TaijiShanzi C",948,IF(Atletas!V431="Taijiqiang C",949,IF(Atletas!V431="Bagua de Arma C",950,IF(Atletas!V431="Xingyi de Arma C",951,IF(Atletas!V431="Taijidao D",952,IF(Atletas!V431="TaijiShanzi D",953,IF(Atletas!V431="Taijiqiang D",954,IF(Atletas!V431="Bagua de Arma D",955,IF(Atletas!V431="Xingyi de Arma D",956,IF(Atletas!V431="Taijidao E",957,IF(Atletas!V431="TaijiShanzi E",958,IF(Atletas!V431="Taijiqiang E",959,IF(Atletas!V431="Bagua de Arma E",960,IF(Atletas!V431="Xingyi de Arma E",961,IF(Atletas!V431="Taijidao F",962,IF(Atletas!V431="TaijiShanzi F",963,IF(Atletas!V431="Taijiqiang F",964,IF(Atletas!V431="Bagua de Arma F",965,IF(Atletas!V431="Xingyi de Arma F",966,"")))))))))))))))))))))))))))))))</f>
        <v/>
      </c>
      <c r="CM440" s="50" t="str">
        <f xml:space="preserve"> IF(Atletas!W431="","",IF(Atletas!W431="Duilian de Mãos BC - Equipe 1",1,IF(Atletas!W431="Duilian de Mãos BC - Equipe 2",2,IF(Atletas!W431="Duilian de Armas BC - Equipe 1",3,IF(Atletas!W431="Duilian de Armas BC - Equipe 2",4,IF(Atletas!W431="Duilian de Mãos DE - Equipe 1",5,IF(Atletas!W431="Duilian de Mãos DE - Equipe 2",6,IF(Atletas!W431="Duilian de Armas DE - Equipe 1",7,IF(Atletas!W431="Duilian de Armas DE - Equipe 2",8,IF(Atletas!W431="Duilian de Tuishou - Equipe 1",9,IF(Atletas!W431="Duilian de Tuishou - Equipe 2",10,IF(Atletas!W431="Grupo Externo ABC - Equipe 1",11,IF(Atletas!W431="Grupo Externo ABC - Equipe 2",12,IF(Atletas!W431="Grupo Interno ABC - Equipe 1",13,IF(Atletas!W431="Grupo Interno ABC - Equipe 2",14,IF(Atletas!W431="Grupo Externo DEF - Equipe 1",15,IF(Atletas!W431="Grupo Externo DEF - Equipe 2",16,IF(Atletas!W431="Grupo Interno DEF - Equipe 1",17,IF(Atletas!W431="Grupo Interno DEF - Equipe 2",18,"")))))))))))))))))))</f>
        <v/>
      </c>
    </row>
    <row r="441" spans="40:91">
      <c r="AN441" s="52" t="str">
        <f>IF(Atletas!D432="","",IF(Atletas!B432="Feminino",100,IF(Atletas!B432="Masculino",200,""))+(IF(Atletas!D432="Kids 30kg",1,IF(Atletas!D432="Kids 32kg",2, IF(Atletas!D432="Kids 34kg",3,IF(Atletas!D432="Kids 36kg",4,IF(Atletas!D432="Kids 39kg",5,IF(Atletas!D432="Kids 42kg",6,IF(Atletas!D432="Kids 45kg",7, IF(Atletas!D432="Infantil 39kg",8,IF(Atletas!D432="Infantil 42kg",9,IF(Atletas!D432="Infantil 45kg",10,IF(Atletas!D432="Infantil 48kg",11,IF(Atletas!D432="Infantil 52kg",12,IF(Atletas!D432="Infantil 56kg",13,IF(Atletas!D432="Infantil 60kg",14,IF(Atletas!D432="Juvenil 48kg",15,IF(Atletas!D432="Juvenil 52kg",16,IF(Atletas!D432="Juvenil 56kg",17,IF(Atletas!D432="Juvenil 60kg",18,IF(Atletas!D432="Juvenil 65kg",19,IF(Atletas!D432="Juvenil 70kg",20,IF(Atletas!D432="Juvenil 75kg",21,IF(Atletas!D432="Juvenil 80kg",22, IF(Atletas!D432="Juvenil 85kg",23,IF(Atletas!D432="Adulto 48kg",24,IF(Atletas!D432="Adulto 52kg",25,IF(Atletas!D432="Adulto 56kg",26,IF(Atletas!D432="Adulto 60kg",27,IF(Atletas!D432="Adulto 65kg",28,IF(Atletas!D432="Adulto 70kg",29,IF(Atletas!D432="Adulto 75kg",30,IF(Atletas!D432="Adulto 80kg",31,IF(Atletas!D432="Adulto 85kg",32,IF(Atletas!D432="Adulto 90kg",33,IF(Atletas!D432="Adulto 100kg",34, IF(Atletas!D432="Adulto +100kg",35,"")))))))))))))))))))))))))))))))))))))</f>
        <v/>
      </c>
      <c r="AS441" s="6" t="str">
        <f>IF(Atletas!E432="","",IF(Atletas!B432="Feminino",100,IF(Atletas!B432="Masculino",200,""))+(IF(Atletas!E432="Juvenil 44kg",1,IF(Atletas!E432="Juvenil 48kg",2,IF(Atletas!E432="Juvenil 52kg",3,IF(Atletas!E432="Juvenil 56kg",4,IF(Atletas!E432="Juvenil 60kg",5,IF(Atletas!E432="Juvenil 65kg",6,IF(Atletas!E432="Juvenil 70kg",7,IF(Atletas!E432="Juvenil 75kg",8,IF(Atletas!E432="Juvenil 82kg",9,IF(Atletas!E432="Juvenil 90kg",10,IF(Atletas!E432="Juvenil 100kg",11,IF(Atletas!E432="Adulto 48kg",12,IF(Atletas!E432="Adulto 52kg",13,IF(Atletas!E432="Adulto 56kg",14,IF(Atletas!E432="Adulto 60kg",15,IF(Atletas!E432="Adulto 65kg",16,IF(Atletas!E432="Adulto 70kg",17,IF(Atletas!E432="Adulto 75kg",18,IF(Atletas!E432="Adulto 82kg",19,IF(Atletas!E432="Adulto 90kg",20,IF(Atletas!E432="Adulto 100kg",21,IF(Atletas!E432="Adulto +100kg",22,""))))))))))))))))))))))))</f>
        <v/>
      </c>
      <c r="AX441" s="6" t="str">
        <f>IF(Atletas!F432="","",IF(Atletas!B432="Feminino",100,IF(Atletas!B432="Masculino",200,""))+(IF(Atletas!F432="Adulto 48kg",1,IF(Atletas!F432="Adulto 56kg",2,IF(Atletas!F432="Adulto 65kg",3,IF(Atletas!F432="Adulto 75kg",4,IF(Atletas!F432="Adulto +75kg",5,IF(Atletas!F432="Adulto 52kg",6,IF(Atletas!F432="Adulto 60kg",7,IF(Atletas!F432="Adulto 70kg",8,IF(Atletas!F432="Adulto 80kg",9,IF(Atletas!F432="Adulto 90kg",10,IF(Atletas!F432="Adulto +90kg",11,"")))))))))))))</f>
        <v/>
      </c>
      <c r="BC441" s="6" t="str">
        <f>IF(Atletas!G432="","",IF(Atletas!B432="Feminino",10,IF(Atletas!B432="Masculino",20,""))+(IF(Atletas!G432="Baduanjin A",1,IF(Atletas!G432="Baduanjin B",2))))</f>
        <v/>
      </c>
      <c r="BF441" s="52" t="str">
        <f>IF(Atletas!H432="","",IF(Atletas!B432="Feminino",100,IF(Atletas!B432="Masculino",200,""))+(IF(Atletas!H432="Changquan Mirim",1,IF(Atletas!H432="Nanquan Mirim",2,IF(Atletas!H432="Taijiquan Mirim",3,IF(Atletas!H432="Changquan Grupo C",4,IF(Atletas!H432="Nanquan Grupo C",5,IF(Atletas!H432="Taijiquan Grupo C",6,IF(Atletas!H432="Changquan Grupo B",7,IF(Atletas!H432="Nanquan Grupo B",8,IF(Atletas!H432="Taijiquan Grupo B",9,IF(Atletas!H432="Changquan Grupo A",10,IF(Atletas!H432="Nanquan Grupo A",11,IF(Atletas!H432="Taijiquan Grupo A",12,IF(Atletas!H432="Changquan Opcional",13,IF(Atletas!H432="Nanquan Opcional",14,IF(Atletas!H432="Taijiquan Opcional",15,IF(Atletas!H432="Changquan Adulto",16,IF(Atletas!H432="Nanquan Adulto",17,IF(Atletas!H432="Taijiquan Adulto",18,""))))))))))))))))))))</f>
        <v/>
      </c>
      <c r="BG441" s="52" t="str">
        <f>IF(Atletas!I432="","",IF(Atletas!B432="Feminino",100,IF(Atletas!B432="Masculino",200,""))+(IF(Atletas!I432="Daoshu Mirim",19,IF(Atletas!I432="Jianshu Mirim",20,IF(Atletas!I432="Nandao Mirim",21,IF(Atletas!I432="Taijijian Mirim",22,IF(Atletas!I432="Daoshu Grupo C",23,IF(Atletas!I432="Jianshu Grupo C",24,IF(Atletas!I432="Nandao Grupo C",25,IF(Atletas!I432="Taijijian Grupo C",26,IF(Atletas!I432="Daoshu Grupo B",27,IF(Atletas!I432="Jianshu Grupo B",28,IF(Atletas!I432="Nandao Grupo B",29,IF(Atletas!I432="Taijijian Grupo B",30,IF(Atletas!I432="Daoshu Grupo A",31,IF(Atletas!I432="Jianshu Grupo A",32,IF(Atletas!I432="Nandao Grupo A",33,IF(Atletas!I432="Taijijian Grupo A",34,IF(Atletas!I432="Daoshu Opcional",35,IF(Atletas!I432="Jianshu Opcional",36,IF(Atletas!I432="Nandao Opcional",37,IF(Atletas!I432="Taijijian Opcional",38,IF(Atletas!I432="Daoshu Adulto",39,IF(Atletas!I432="Jianshu Adulto",40,IF(Atletas!I432="Nandao Adulto",41,IF(Atletas!I432="Taijijian Adulto",42,""))))))))))))))))))))))))))</f>
        <v/>
      </c>
      <c r="BH441" s="52" t="str">
        <f>IF(Atletas!J432="","",IF(Atletas!B432="Feminino",100,IF(Atletas!B432="Masculino",200,""))+(IF(Atletas!J432="Gunshu Mirim",43,IF(Atletas!J432="Qiangshu Mirim",44,IF(Atletas!J432="Nangun Mirim",45,IF(Atletas!J432="Gunshu Grupo C",46,IF(Atletas!J432="Qiangshu Grupo C",47,IF(Atletas!J432="Nangun Grupo C",48,IF(Atletas!J432="Gunshu Grupo B",49,IF(Atletas!J432="Qiangshu Grupo B",50,IF(Atletas!J432="Nangun Grupo B",51,IF(Atletas!J432="Gunshu Grupo A",52,IF(Atletas!J432="Qiangshu Grupo A",53,IF(Atletas!J432="Nangun Grupo A",54,IF(Atletas!J432="Gunshu Opcional",55,IF(Atletas!J432="Qiangshu Opcional",56,IF(Atletas!J432="Nangun Opcional",57,IF(Atletas!J432="Gunshu Adulto",58,IF(Atletas!J432="Qiangshu Adulto",59,IF(Atletas!J432="Nangun Adulto",60,IF(Atletas!J432="Taijishan Grupo B",61,IF(Atletas!J432="Taijishan Grupo A",62,""))))))))))))))))))))))</f>
        <v/>
      </c>
      <c r="BM441" s="50" t="str">
        <f>IF(Atletas!K432="","",IF(Atletas!B432="Feminino",100,IF(Atletas!B432="Masculino",200,""))+(IF(Atletas!K432="Equipe 1 Grupo B",1,IF(Atletas!K432="Equipe 2 Grupo B",2,IF(Atletas!K432="Equipe 1 Grupo A",3,IF(Atletas!K432="Equipe 2 Grupo A",4,IF(Atletas!K432="Equipe 1 Adulto",5,IF(Atletas!K432="Equipe 2 Adulto",6,""))))))))</f>
        <v/>
      </c>
      <c r="BR441" s="50" t="str">
        <f>IF(Atletas!L432="","",IF(Atletas!X432&lt;&gt;"",10000,0)+(IF(Atletas!B432="Feminino",1000,IF(Atletas!B432="Masculino",2000,""))+IF(Atletas!L432="Choylayfut A",1,IF(Atletas!L432="Hunggar A",2,IF(Atletas!L432="Wuzuquan A",3,IF(Atletas!L432="Wingchun A",4,IF(Atletas!L432="Outra Mão de Sul A",5,IF(Atletas!L432="Choylayfut B",6,IF(Atletas!L432="Hunggar B",7,IF(Atletas!L432="Wuzuquan B",8,IF(Atletas!L432="Wingchun B",9,IF(Atletas!L432="Outra Mão de Sul B",10,IF(Atletas!L432="Choylayfut C",11,IF(Atletas!L432="Hunggar C",12,IF(Atletas!L432="Wuzuquan C",13,IF(Atletas!L432="Wingchun C",14,IF(Atletas!L432="Outra Mão de Sul C",15,IF(Atletas!L432="Choylayfut D",16,IF(Atletas!L432="Hunggar D",17,IF(Atletas!L432="Wuzuquan D",18,IF(Atletas!L432="Wingchun D",19,IF(Atletas!L432="Outra Mão de Sul D",20,IF(Atletas!L432="Choylayfut E",21,IF(Atletas!L432="Hunggar E",22,IF(Atletas!L432="Wuzuquan E",23,IF(Atletas!L432="Wingchun E",24,IF(Atletas!L432="Outra Mão de Sul E",25,IF(Atletas!L432="Choylayfut F",26,IF(Atletas!L432="Hunggar F",27,IF(Atletas!L432="Wuzuquan F",28,IF(Atletas!L432="Wingchun F",29,IF(Atletas!L432="Outra Mão de Sul F",30,IF(Atletas!L432="Dishuquan A",31,IF(Atletas!L432="Dishuquan B",32,IF(Atletas!L432="Dishuquan C",33,IF(Atletas!L432="Dishuquan D",34,IF(Atletas!L432="Dishuquan E",35,IF(Atletas!L432="Dishuquan F",36,""))))))))))))))))))))))))))))))))))))))</f>
        <v/>
      </c>
      <c r="BS441" s="50" t="str">
        <f>IF(Atletas!M432="","",IF(Atletas!X432&lt;&gt;"",10000,0)+(IF(Atletas!B432="Feminino",1000,IF(Atletas!B432="Masculino",2000,""))+(IF(Atletas!M432="Chaquan A",101,IF(Atletas!M432="Emeiquan A",102,IF(Atletas!M432="Fanziquan A",103,IF(Atletas!M432="Huaquan A",104,IF(Atletas!M432="Hongquan A",105,IF(Atletas!M432="Paoquan A",106,IF(Atletas!M432="Piguaquan A",107,IF(Atletas!M432="Shaolinquan A",108,IF(Atletas!M432="Tanglangquan A",109,IF(Atletas!M432="Yingzhaoquan A",110,IF(Atletas!M432="Tongbeiquan A",111,IF(Atletas!M432="Wudangquan A",112,IF(Atletas!M432="Outros Estilos A",113,IF(Atletas!M432="Chaquan B",114,IF(Atletas!M432="Emeiquan B",115,IF(Atletas!M432="Fanziquan B",116,IF(Atletas!M432="Huaquan B",117,IF(Atletas!M432="Hongquan B",118,IF(Atletas!M432="Paoquan B",119,IF(Atletas!M432="Piguaquan B",120,IF(Atletas!M432="Shaolinquan B",121,IF(Atletas!M432="Tanglangquan B",122,IF(Atletas!M432="Yingzhaoquan B",123,IF(Atletas!M432="Tongbeiquan B",124,IF(Atletas!M432="Wudangquan B",125,IF(Atletas!M432="Outros Estilos B",126,IF(Atletas!M432="Chaquan C",127,IF(Atletas!M432="Emeiquan C",128,IF(Atletas!M432="Fanziquan C",129,IF(Atletas!M432="Huaquan C",130,IF(Atletas!M432="Hongquan C",131,IF(Atletas!M432="Paoquan C",132,IF(Atletas!M432="Piguaquan C",133,IF(Atletas!M432="Shaolinquan C",134,IF(Atletas!M432="Tanglangquan C",135,IF(Atletas!M432="Yingzhaoquan C",136,IF(Atletas!M432="Tongbeiquan C",137,IF(Atletas!M432="Wudangquan C",138,IF(Atletas!M432="Outros Estilos C",139,0))))))))))))))))))))))))))))))))))))))))))</f>
        <v/>
      </c>
      <c r="BT441" s="50" t="str">
        <f>IF(Atletas!M432="","",IF(Atletas!X432&lt;&gt;"",10000,0)+(IF(Atletas!B432="Feminino",1000,IF(Atletas!B432="Masculino",2000,""))+(IF(Atletas!M432="Chaquan D",140,IF(Atletas!M432="Emeiquan D",141,IF(Atletas!M432="Fanziquan D",142,IF(Atletas!M432="Huaquan D",143,IF(Atletas!M432="Hongquan D",144,IF(Atletas!M432="Paoquan D",145,IF(Atletas!M432="Piguaquan D",146,IF(Atletas!M432="Shaolinquan D",147,IF(Atletas!M432="Tanglangquan D",148,IF(Atletas!M432="Yingzhaoquan D",149,IF(Atletas!M432="Tongbeiquan D",150,IF(Atletas!M432="Wudangquan D",151,IF(Atletas!M432="Outros Estilos D",152,IF(Atletas!M432="Chaquan E",153,IF(Atletas!M432="Emeiquan E",154,IF(Atletas!M432="Fanziquan E",155,IF(Atletas!M432="Huaquan E",156,IF(Atletas!M432="Hongquan E",157,IF(Atletas!M432="Paoquan E",158,IF(Atletas!M432="Piguaquan E",159,IF(Atletas!M432="Shaolinquan E",160,IF(Atletas!M432="Tanglangquan E",161,IF(Atletas!M432="Yingzhaoquan E",162,IF(Atletas!M432="Tongbeiquan E",163,IF(Atletas!M432="Wudangquan E",164,IF(Atletas!M432="Outros Estilos E",165,IF(Atletas!M432="Chaquan F",166,IF(Atletas!M432="Emeiquan F",167,IF(Atletas!M432="Fanziquan F",168,IF(Atletas!M432="Huaquan F",169,IF(Atletas!M432="Hongquan F",170,IF(Atletas!M432="Paoquan F",171,IF(Atletas!M432="Piguaquan F",172,IF(Atletas!M432="Shaolinquan F",173,IF(Atletas!M432="Tanglangquan F",174,IF(Atletas!M432="Yingzhaoquan F",175,IF(Atletas!M432="Tongbeiquan F",176,IF(Atletas!M432="Wudangquan F",177,IF(Atletas!M432="Outros Estilos F",178,0))))))))))))))))))))))))))))))))))))))))))</f>
        <v/>
      </c>
      <c r="BU441" s="50" t="str">
        <f>IF(Atletas!N432="","",IF(Atletas!X432&lt;&gt;"",10000,0)+(IF(Atletas!B432="Feminino",1000,IF(Atletas!B432="Masculino",2000,""))+(IF(Atletas!N432="Ditangquan A",201,IF(Atletas!N432="Houquan A",202,IF(Atletas!N432="Zuiquan A",203,IF(Atletas!N432="Ditangquan B",204,IF(Atletas!N432="Houquan B",205,IF(Atletas!N432="Zuiquan B",206,IF(Atletas!N432="Ditangquan C",207,IF(Atletas!N432="Houquan C",208,IF(Atletas!N432="Zuiquan C",209,IF(Atletas!N432="Ditangquan D",210,IF(Atletas!N432="Houquan D",211,IF(Atletas!N432="Zuiquan D",212,IF(Atletas!N432="Ditangquan E",213,IF(Atletas!N432="Houquan E",214,IF(Atletas!N432="Zuiquan E",215,IF(Atletas!N432="Ditangquan F",216,IF(Atletas!N432="Houquan F",217,IF(Atletas!N432="Zuiquan F",218,"")))))))))))))))))))))</f>
        <v/>
      </c>
      <c r="BV441" s="50" t="str">
        <f>IF(Atletas!O432="","",IF(Atletas!X432&lt;&gt;"",10000,0)+IF(Atletas!B432="Feminino",1000,IF(Atletas!B432="Masculino",2000,""))+IF(Atletas!O432="Yang A",301,IF(Atletas!O432="Chen A",302,IF(Atletas!O432="Sun A",303,IF(Atletas!O432="Wu A",304,IF(Atletas!O432="Wu-Hao A",305,IF(Atletas!O432="Outro Taijiquan A",306,IF(Atletas!O432="Yang B",307,IF(Atletas!O432="Chen B",308,IF(Atletas!O432="Sun B",309,IF(Atletas!O432="Wu B",310,IF(Atletas!O432="Wu-Hao B",311,IF(Atletas!O432="Outro Taijiquan B",312,IF(Atletas!O432="Yang C",313,IF(Atletas!O432="Chen C",314,IF(Atletas!O432="Sun C",315,IF(Atletas!O432="Wu C",316,IF(Atletas!O432="Wu-Hao C",317,IF(Atletas!O432="Outro Taijiquan C",318,IF(Atletas!O432="Yang D",319,IF(Atletas!O432="Chen D",320,IF(Atletas!O432="Sun D",321,IF(Atletas!O432="Wu D",322,IF(Atletas!O432="Wu-Hao D",323,IF(Atletas!O432="Outro Taijiquan D",324,IF(Atletas!O432="Yang E",325,IF(Atletas!O432="Chen E",326,IF(Atletas!O432="Sun E",327,IF(Atletas!O432="Wu E",328,IF(Atletas!O432="Wu-Hao E",329,IF(Atletas!O432="Outro Taijiquan E",330,IF(Atletas!O432="Yang F",331,IF(Atletas!O432="Chen F",332,IF(Atletas!O432="Sun F",333,IF(Atletas!O432="Wu F",334,IF(Atletas!O432="Wu-Hao F",335,IF(Atletas!O432="Outro Taijiquan F",336,"")))))))))))))))))))))))))))))))))))))</f>
        <v/>
      </c>
      <c r="BW441" s="50" t="str">
        <f>IF(Atletas!P432="","",IF(Atletas!X432&lt;&gt;"",10000,0)+IF(Atletas!B432="Feminino",1000,IF(Atletas!B432="Masculino",2000,""))+IF(OR(Atletas!P432="Yang 26 A",Atletas!P432="Yang 40 A"),401,IF(OR(Atletas!P432="Chen 25 A",Atletas!P432="Chen 36 A",Atletas!P432="Chen 56 A"),402,IF(Atletas!P432="Sun 73 A",403,IF(Atletas!P432="Wu 45 A",404,IF(Atletas!P432="Wu-Hao 46 A",405,IF(OR(Atletas!P432="Taijiquan 16 A",Atletas!P432="Taijiquan 24 A",Atletas!P432="Taijiquan 32 A",Atletas!P432="Taijiquan 42 A"),406,IF(OR(Atletas!P432="Yang 26 B",Atletas!P432="Yang 40 B"),407,IF(OR(Atletas!P432="Chen 25 B",Atletas!P432="Chen 36 B",Atletas!P432="Chen 56 B"),408,IF(Atletas!P432="Sun 73 B",409,IF(Atletas!P432="Wu 45 B",410,IF(Atletas!P432="Wu-Hao 46 B",411,IF(OR(Atletas!P432="Taijiquan 16 B",Atletas!P432="Taijiquan 24 B",Atletas!P432="Taijiquan 32 B",Atletas!P432="Taijiquan 42 B"),412,IF(OR(Atletas!P432="Yang 26 C",Atletas!P432="Yang 40 C"),413,IF(OR(Atletas!P432="Chen 25 C",Atletas!P432="Chen 36 C",Atletas!P432="Chen 56 C"),414,IF(Atletas!P432="Sun 73 C",415,IF(Atletas!P432="Wu 45 C",416,IF(Atletas!P432="Wu-Hao 46 C",417,IF(OR(Atletas!P432="Taijiquan 16 C",Atletas!P432="Taijiquan 24 C",Atletas!P432="Taijiquan 32 C",Atletas!P432="Taijiquan 42 C"),418,0)))))))))))))))))))</f>
        <v/>
      </c>
      <c r="BX441" s="50" t="str">
        <f>IF(Atletas!P432="","",IF(Atletas!X432&lt;&gt;"",10000,0)+IF(Atletas!B432="Feminino",1000,IF(Atletas!B432="Masculino",2000,""))+IF(OR(Atletas!P432="Yang 26 D",Atletas!P432="Yang 40 D"),419,IF(OR(Atletas!P432="Chen 25 D",Atletas!P432="Chen 36 D",Atletas!P432="Chen 56 D"),420,IF(Atletas!P432="Sun 73 D",421,IF(Atletas!P432="Wu 45 D",422,IF(Atletas!P432="Wu-Hao 46 D",423,IF(OR(Atletas!P432="Taijiquan 16 D",Atletas!P432="Taijiquan 24 D",Atletas!P432="Taijiquan 32 D",Atletas!P432="Taijiquan 42 D"),424,IF(OR(Atletas!P432="Yang 26 E",Atletas!P432="Yang 40 E"),425,IF(OR(Atletas!P432="Chen 25 E",Atletas!P432="Chen 36 E",Atletas!P432="Chen 56 E"),426,IF(Atletas!P432="Sun 73 E",427,IF(Atletas!P432="Wu 45 E",428,IF(Atletas!P432="Wu-Hao 46 E",429,IF(OR(Atletas!P432="Taijiquan 16 E",Atletas!P432="Taijiquan 24 E",Atletas!P432="Taijiquan 32 E",Atletas!P432="Taijiquan 42 E"),430,IF(OR(Atletas!P432="Yang 26 F",Atletas!P432="Yang 40 F"),431,IF(OR(Atletas!P432="Chen 25 F",Atletas!P432="Chen 36 F",Atletas!P432="Chen 56 F"),432,IF(Atletas!P432="Sun 73 F",433,IF(Atletas!P432="Wu 45 F",434,IF(Atletas!P432="Wu-Hao 46 F",435,IF(OR(Atletas!P432="Taijiquan 16 F",Atletas!P432="Taijiquan 24 F",Atletas!P432="Taijiquan 32 F",Atletas!P432="Taijiquan 42 F"),436,0)))))))))))))))))))</f>
        <v/>
      </c>
      <c r="BY441" s="50" t="str">
        <f>IF(Atletas!Q432="","",IF(Atletas!X432&lt;&gt;"",10000,0)+IF(Atletas!B432="Feminino",1000,IF(Atletas!B432="Masculino",2000,""))+IF(Atletas!Q432="Xingyiquan A",501,IF(Atletas!Q432="Baguazhang A",502,IF(Atletas!Q432="Outro Estilo Interno A",503,IF(Atletas!Q432="Xingyiquan B",504,IF(Atletas!Q432="Baguazhang B",505,IF(Atletas!Q432="Outro Estilo Interno B",506,IF(Atletas!Q432="Xingyiquan C",507,IF(Atletas!Q432="Baguazhang C",508,IF(Atletas!Q432="Outro Estilo Interno C",509,IF(Atletas!Q432="Xingyiquan D",510,IF(Atletas!Q432="Baguazhang D",511,IF(Atletas!Q432="Outro Estilo Interno D",512,IF(Atletas!Q432="Xingyiquan E",513,IF(Atletas!Q432="Baguazhang E",514,IF(Atletas!Q432="Outro Estilo Interno E",515,IF(Atletas!Q432="Xingyiquan F",516,IF(Atletas!Q432="Baguazhang F",517,IF(Atletas!Q432="Outro Estilo Interno F",518, "")))))))))))))))))))</f>
        <v/>
      </c>
      <c r="BZ441" s="50" t="str">
        <f>IF(Atletas!R432="","",IF(Atletas!X432&lt;&gt;"",10000,0)+IF(Atletas!B432="Feminino",1000,IF(Atletas!B432="Masculino",2000,""))+IF(Atletas!R432="Dao A",601,IF(Atletas!R432="Jian A",602,IF(Atletas!R432="Bishou A",603,IF(Atletas!R432="Shanzi A",604,IF(Atletas!R432="Outra Arma Curta A",605,IF(Atletas!R432="Dao B",606,IF(Atletas!R432="Jian B",607,IF(Atletas!R432="Bishou B",608,IF(Atletas!R432="Shanzi B",609,IF(Atletas!R432="Outra Arma Curta B",610,IF(Atletas!R432="Dao C",611,IF(Atletas!R432="Jian C",612,IF(Atletas!R432="Bishou C",613,IF(Atletas!R432="Shanzi C",614,IF(Atletas!R432="Outra Arma Curta C",615,IF(Atletas!R432="Dao D",616,IF(Atletas!R432="Jian D",617,IF(Atletas!R432="Bishou D",618,IF(Atletas!R432="Shanzi D",619,IF(Atletas!R432="Outra Arma Curta D",620,IF(Atletas!R432="Dao E",621,IF(Atletas!R432="Jian E",622,IF(Atletas!R432="Bishou E",623,IF(Atletas!R432="Shanzi E",624,IF(Atletas!R432="Outra Arma Curta E",625,IF(Atletas!R432="Dao F",626,IF(Atletas!R432="Jian F",627,IF(Atletas!R432="Bishou F",628,IF(Atletas!R432="Shanzi F",629,IF(Atletas!R432="Outra Arma Curta F",630, "")))))))))))))))))))))))))))))))</f>
        <v/>
      </c>
      <c r="CA441" s="50" t="str">
        <f>IF(Atletas!S432="","",IF(Atletas!X432&lt;&gt;"",10000,0)+IF(Atletas!B432="Feminino",1000,IF(Atletas!B432="Masculino",2000,""))+IF(Atletas!S432="Gun A",701,IF(Atletas!S432="Qiang A",702,IF(Atletas!S432="Pudao / Guandao A",703,IF(Atletas!S432="Outra Arma Longa A",704,IF(Atletas!S432="Gun B",705,IF(Atletas!S432="Qiang B",706,IF(Atletas!S432="Pudao / Guandao B",707,IF(Atletas!S432="Outra Arma Longa B",708,IF(Atletas!S432="Gun C",709,IF(Atletas!S432="Qiang C",710,IF(Atletas!S432="Pudao / Guandao C",711,IF(Atletas!S432="Outra Arma Longa C",712,IF(Atletas!S432="Gun D",713,IF(Atletas!S432="Qiang D",714,IF(Atletas!S432="Pudao / Guandao D",715,IF(Atletas!S432="Outra Arma Longa D",716,IF(Atletas!S432="Gun E",717,IF(Atletas!S432="Qiang E",718,IF(Atletas!S432="Pudao / Guandao E",719,IF(Atletas!S432="Outra Arma Longa E",720,IF(Atletas!S432="Gun F",721,IF(Atletas!S432="Qiang F",722,IF(Atletas!S432="Pudao / Guandao F",723,IF(Atletas!S432="Outra Arma Longa F",724,"")))))))))))))))))))))))))</f>
        <v/>
      </c>
      <c r="CB441" s="50" t="str">
        <f>IF(Atletas!T432="","",IF(Atletas!X432&lt;&gt;"",10000,0)+IF(Atletas!B432="Feminino",1000,IF(Atletas!B432="Masculino",2000,""))+IF(Atletas!T432="Outra Arma Dupla A",801,IF(Atletas!T432="Arma Maleável A",802,IF(Atletas!T432="Outra Arma Dupla B",803,IF(Atletas!T432="Arma Maleável B",804,IF(Atletas!T432="Outra Arma Dupla C",805,IF(Atletas!T432="Arma Maleável C",806,IF(Atletas!T432="Outra Arma Dupla D",807,IF(Atletas!T432="Arma Maleável D",808,IF(Atletas!T432="Outra Arma Dupla E",809,IF(Atletas!T432="Arma Maleável E",810,IF(Atletas!T432="Outra Arma Dupla F",811,IF(Atletas!T432="Arma Maleável F",812,IF(Atletas!T432="Shuangdao A",813,IF(Atletas!T432="Shuangdao B",814,IF(Atletas!T432="Shuangdao C",815,IF(Atletas!T432="Shuangdao D",816,IF(Atletas!T432="Shuangdao E",817,IF(Atletas!T432="Shuangdao F",818,"")))))))))))))))))))</f>
        <v/>
      </c>
      <c r="CC441" s="50" t="str">
        <f>IF(Atletas!U432="","",IF(Atletas!X432&lt;&gt;"",10000,0)+IF(Atletas!B432="Feminino",1000,IF(Atletas!B432="Masculino",2000,""))+IF(OR(Atletas!U432="Taijijian Yang A",Atletas!U432="Taijijian Yang Standard A"),901,IF(OR(Atletas!U432="Taijijian Chen A", Atletas!U432="Taijijian Chen Standard A"),902,IF(Atletas!U432="Taijijian Sun A",903,IF(Atletas!U432="Taijijian Wu A",904,IF(Atletas!U432="Taijijian Wu-Hao A",905,IF(OR(Atletas!U432="Taijijian 32 A",Atletas!U432="Taijijian 42 A"),906,IF(OR(Atletas!U432="Taijijian Yang B",Atletas!U432="Taijijian Yang Standard B"),907,IF(OR(Atletas!U432="Taijijian Chen B", Atletas!U432="Taijijian Chen Standard B"),908,IF(Atletas!U432="Taijijian Sun B",909,IF(Atletas!U432="Taijijian Wu B",910,IF(Atletas!U432="Taijijian Wu-Hao B",911,IF(OR(Atletas!U432="Taijijian 32 B",Atletas!U432="Taijijian 42 B"),912,IF(OR(Atletas!U432="Taijijian Yang C",Atletas!U432="Taijijian Yang Standard C"),913,IF(OR(Atletas!U432="Taijijian Chen C", Atletas!U432="Taijijian Chen Standard C"),914,IF(Atletas!U432="Taijijian Sun C",915,IF(Atletas!U432="Taijijian Wu C",916,IF(Atletas!U432="Taijijian Wu-Hao C",917,IF(OR(Atletas!U432="Taijijian 32 C",Atletas!U432="Taijijian 42 C"),918,IF(OR(Atletas!U432="Taijijian Yang D",Atletas!U432="Taijijian Yang Standard D"),919,IF(OR(Atletas!U432="Taijijian Chen D", Atletas!U432="Taijijian Chen Standard D"),920,IF(Atletas!U432="Taijijian Sun D",921,IF(Atletas!U432="Taijijian Wu D",922,IF(Atletas!U432="Taijijian Wu-Hao D",923,IF(OR(Atletas!U432="Taijijian 32 D",Atletas!U432="Taijijian 42 D"),924,IF(OR(Atletas!U432="Taijijian Yang E",Atletas!U432="Taijijian Yang Standard E"),925,IF(OR(Atletas!U432="Taijijian Chen E", Atletas!U432="Taijijian Chen Standard E"),926,IF(Atletas!U432="Taijijian Sun E",927,IF(Atletas!U432="Taijijian Wu E",928,IF(Atletas!U432="Taijijian Wu-Hao E",929,IF(OR(Atletas!U432="Taijijian 32 E",Atletas!U432="Taijijian 42 E"),930,IF(OR(Atletas!U432="Taijijian Yang F",Atletas!U432="Taijijian Yang Standard F"),931,IF(OR(Atletas!U432="Taijijian Chen F", Atletas!U432="Taijijian Chen Standard F"),932,IF(Atletas!U432="Taijijian Sun F",933,IF(Atletas!U432="Taijijian Wu F",934,IF(Atletas!U432="Taijijian Wu-Hao F",935,IF(OR(Atletas!U432="Taijijian 32 F",Atletas!U432="Taijijian 42 F"),936,"")))))))))))))))))))))))))))))))))))))</f>
        <v/>
      </c>
      <c r="CD441" s="50" t="str">
        <f>IF(Atletas!V432="","",IF(Atletas!X432&lt;&gt;"",10000,0)+IF(Atletas!B432="Feminino",1000,IF(Atletas!B432="Masculino",2000,""))+IF(Atletas!V432="Taijidao A",937,IF(Atletas!V432="TaijiShanzi A",938,IF(Atletas!V432="Taijiqiang A",939,IF(Atletas!V432="Bagua de Arma A",940,IF(Atletas!V432="Xingyi de Arma A",941,IF(Atletas!V432="Taijidao B",942,IF(Atletas!V432="TaijiShanzi B",943,IF(Atletas!V432="Taijiqiang B",944,IF(Atletas!V432="Bagua de Arma B",945,IF(Atletas!V432="Xingyi de Arma B",946,IF(Atletas!V432="Taijidao C",947,IF(Atletas!V432="TaijiShanzi C",948,IF(Atletas!V432="Taijiqiang C",949,IF(Atletas!V432="Bagua de Arma C",950,IF(Atletas!V432="Xingyi de Arma C",951,IF(Atletas!V432="Taijidao D",952,IF(Atletas!V432="TaijiShanzi D",953,IF(Atletas!V432="Taijiqiang D",954,IF(Atletas!V432="Bagua de Arma D",955,IF(Atletas!V432="Xingyi de Arma D",956,IF(Atletas!V432="Taijidao E",957,IF(Atletas!V432="TaijiShanzi E",958,IF(Atletas!V432="Taijiqiang E",959,IF(Atletas!V432="Bagua de Arma E",960,IF(Atletas!V432="Xingyi de Arma E",961,IF(Atletas!V432="Taijidao F",962,IF(Atletas!V432="TaijiShanzi F",963,IF(Atletas!V432="Taijiqiang F",964,IF(Atletas!V432="Bagua de Arma F",965,IF(Atletas!V432="Xingyi de Arma F",966,"")))))))))))))))))))))))))))))))</f>
        <v/>
      </c>
      <c r="CM441" s="50" t="str">
        <f xml:space="preserve"> IF(Atletas!W432="","",IF(Atletas!W432="Duilian de Mãos BC - Equipe 1",1,IF(Atletas!W432="Duilian de Mãos BC - Equipe 2",2,IF(Atletas!W432="Duilian de Armas BC - Equipe 1",3,IF(Atletas!W432="Duilian de Armas BC - Equipe 2",4,IF(Atletas!W432="Duilian de Mãos DE - Equipe 1",5,IF(Atletas!W432="Duilian de Mãos DE - Equipe 2",6,IF(Atletas!W432="Duilian de Armas DE - Equipe 1",7,IF(Atletas!W432="Duilian de Armas DE - Equipe 2",8,IF(Atletas!W432="Duilian de Tuishou - Equipe 1",9,IF(Atletas!W432="Duilian de Tuishou - Equipe 2",10,IF(Atletas!W432="Grupo Externo ABC - Equipe 1",11,IF(Atletas!W432="Grupo Externo ABC - Equipe 2",12,IF(Atletas!W432="Grupo Interno ABC - Equipe 1",13,IF(Atletas!W432="Grupo Interno ABC - Equipe 2",14,IF(Atletas!W432="Grupo Externo DEF - Equipe 1",15,IF(Atletas!W432="Grupo Externo DEF - Equipe 2",16,IF(Atletas!W432="Grupo Interno DEF - Equipe 1",17,IF(Atletas!W432="Grupo Interno DEF - Equipe 2",18,"")))))))))))))))))))</f>
        <v/>
      </c>
    </row>
    <row r="442" spans="40:91">
      <c r="AN442" s="52" t="str">
        <f>IF(Atletas!D433="","",IF(Atletas!B433="Feminino",100,IF(Atletas!B433="Masculino",200,""))+(IF(Atletas!D433="Kids 30kg",1,IF(Atletas!D433="Kids 32kg",2, IF(Atletas!D433="Kids 34kg",3,IF(Atletas!D433="Kids 36kg",4,IF(Atletas!D433="Kids 39kg",5,IF(Atletas!D433="Kids 42kg",6,IF(Atletas!D433="Kids 45kg",7, IF(Atletas!D433="Infantil 39kg",8,IF(Atletas!D433="Infantil 42kg",9,IF(Atletas!D433="Infantil 45kg",10,IF(Atletas!D433="Infantil 48kg",11,IF(Atletas!D433="Infantil 52kg",12,IF(Atletas!D433="Infantil 56kg",13,IF(Atletas!D433="Infantil 60kg",14,IF(Atletas!D433="Juvenil 48kg",15,IF(Atletas!D433="Juvenil 52kg",16,IF(Atletas!D433="Juvenil 56kg",17,IF(Atletas!D433="Juvenil 60kg",18,IF(Atletas!D433="Juvenil 65kg",19,IF(Atletas!D433="Juvenil 70kg",20,IF(Atletas!D433="Juvenil 75kg",21,IF(Atletas!D433="Juvenil 80kg",22, IF(Atletas!D433="Juvenil 85kg",23,IF(Atletas!D433="Adulto 48kg",24,IF(Atletas!D433="Adulto 52kg",25,IF(Atletas!D433="Adulto 56kg",26,IF(Atletas!D433="Adulto 60kg",27,IF(Atletas!D433="Adulto 65kg",28,IF(Atletas!D433="Adulto 70kg",29,IF(Atletas!D433="Adulto 75kg",30,IF(Atletas!D433="Adulto 80kg",31,IF(Atletas!D433="Adulto 85kg",32,IF(Atletas!D433="Adulto 90kg",33,IF(Atletas!D433="Adulto 100kg",34, IF(Atletas!D433="Adulto +100kg",35,"")))))))))))))))))))))))))))))))))))))</f>
        <v/>
      </c>
      <c r="AS442" s="6" t="str">
        <f>IF(Atletas!E433="","",IF(Atletas!B433="Feminino",100,IF(Atletas!B433="Masculino",200,""))+(IF(Atletas!E433="Juvenil 44kg",1,IF(Atletas!E433="Juvenil 48kg",2,IF(Atletas!E433="Juvenil 52kg",3,IF(Atletas!E433="Juvenil 56kg",4,IF(Atletas!E433="Juvenil 60kg",5,IF(Atletas!E433="Juvenil 65kg",6,IF(Atletas!E433="Juvenil 70kg",7,IF(Atletas!E433="Juvenil 75kg",8,IF(Atletas!E433="Juvenil 82kg",9,IF(Atletas!E433="Juvenil 90kg",10,IF(Atletas!E433="Juvenil 100kg",11,IF(Atletas!E433="Adulto 48kg",12,IF(Atletas!E433="Adulto 52kg",13,IF(Atletas!E433="Adulto 56kg",14,IF(Atletas!E433="Adulto 60kg",15,IF(Atletas!E433="Adulto 65kg",16,IF(Atletas!E433="Adulto 70kg",17,IF(Atletas!E433="Adulto 75kg",18,IF(Atletas!E433="Adulto 82kg",19,IF(Atletas!E433="Adulto 90kg",20,IF(Atletas!E433="Adulto 100kg",21,IF(Atletas!E433="Adulto +100kg",22,""))))))))))))))))))))))))</f>
        <v/>
      </c>
      <c r="AX442" s="6" t="str">
        <f>IF(Atletas!F433="","",IF(Atletas!B433="Feminino",100,IF(Atletas!B433="Masculino",200,""))+(IF(Atletas!F433="Adulto 48kg",1,IF(Atletas!F433="Adulto 56kg",2,IF(Atletas!F433="Adulto 65kg",3,IF(Atletas!F433="Adulto 75kg",4,IF(Atletas!F433="Adulto +75kg",5,IF(Atletas!F433="Adulto 52kg",6,IF(Atletas!F433="Adulto 60kg",7,IF(Atletas!F433="Adulto 70kg",8,IF(Atletas!F433="Adulto 80kg",9,IF(Atletas!F433="Adulto 90kg",10,IF(Atletas!F433="Adulto +90kg",11,"")))))))))))))</f>
        <v/>
      </c>
      <c r="BC442" s="6" t="str">
        <f>IF(Atletas!G433="","",IF(Atletas!B433="Feminino",10,IF(Atletas!B433="Masculino",20,""))+(IF(Atletas!G433="Baduanjin A",1,IF(Atletas!G433="Baduanjin B",2))))</f>
        <v/>
      </c>
      <c r="BF442" s="52" t="str">
        <f>IF(Atletas!H433="","",IF(Atletas!B433="Feminino",100,IF(Atletas!B433="Masculino",200,""))+(IF(Atletas!H433="Changquan Mirim",1,IF(Atletas!H433="Nanquan Mirim",2,IF(Atletas!H433="Taijiquan Mirim",3,IF(Atletas!H433="Changquan Grupo C",4,IF(Atletas!H433="Nanquan Grupo C",5,IF(Atletas!H433="Taijiquan Grupo C",6,IF(Atletas!H433="Changquan Grupo B",7,IF(Atletas!H433="Nanquan Grupo B",8,IF(Atletas!H433="Taijiquan Grupo B",9,IF(Atletas!H433="Changquan Grupo A",10,IF(Atletas!H433="Nanquan Grupo A",11,IF(Atletas!H433="Taijiquan Grupo A",12,IF(Atletas!H433="Changquan Opcional",13,IF(Atletas!H433="Nanquan Opcional",14,IF(Atletas!H433="Taijiquan Opcional",15,IF(Atletas!H433="Changquan Adulto",16,IF(Atletas!H433="Nanquan Adulto",17,IF(Atletas!H433="Taijiquan Adulto",18,""))))))))))))))))))))</f>
        <v/>
      </c>
      <c r="BG442" s="52" t="str">
        <f>IF(Atletas!I433="","",IF(Atletas!B433="Feminino",100,IF(Atletas!B433="Masculino",200,""))+(IF(Atletas!I433="Daoshu Mirim",19,IF(Atletas!I433="Jianshu Mirim",20,IF(Atletas!I433="Nandao Mirim",21,IF(Atletas!I433="Taijijian Mirim",22,IF(Atletas!I433="Daoshu Grupo C",23,IF(Atletas!I433="Jianshu Grupo C",24,IF(Atletas!I433="Nandao Grupo C",25,IF(Atletas!I433="Taijijian Grupo C",26,IF(Atletas!I433="Daoshu Grupo B",27,IF(Atletas!I433="Jianshu Grupo B",28,IF(Atletas!I433="Nandao Grupo B",29,IF(Atletas!I433="Taijijian Grupo B",30,IF(Atletas!I433="Daoshu Grupo A",31,IF(Atletas!I433="Jianshu Grupo A",32,IF(Atletas!I433="Nandao Grupo A",33,IF(Atletas!I433="Taijijian Grupo A",34,IF(Atletas!I433="Daoshu Opcional",35,IF(Atletas!I433="Jianshu Opcional",36,IF(Atletas!I433="Nandao Opcional",37,IF(Atletas!I433="Taijijian Opcional",38,IF(Atletas!I433="Daoshu Adulto",39,IF(Atletas!I433="Jianshu Adulto",40,IF(Atletas!I433="Nandao Adulto",41,IF(Atletas!I433="Taijijian Adulto",42,""))))))))))))))))))))))))))</f>
        <v/>
      </c>
      <c r="BH442" s="52" t="str">
        <f>IF(Atletas!J433="","",IF(Atletas!B433="Feminino",100,IF(Atletas!B433="Masculino",200,""))+(IF(Atletas!J433="Gunshu Mirim",43,IF(Atletas!J433="Qiangshu Mirim",44,IF(Atletas!J433="Nangun Mirim",45,IF(Atletas!J433="Gunshu Grupo C",46,IF(Atletas!J433="Qiangshu Grupo C",47,IF(Atletas!J433="Nangun Grupo C",48,IF(Atletas!J433="Gunshu Grupo B",49,IF(Atletas!J433="Qiangshu Grupo B",50,IF(Atletas!J433="Nangun Grupo B",51,IF(Atletas!J433="Gunshu Grupo A",52,IF(Atletas!J433="Qiangshu Grupo A",53,IF(Atletas!J433="Nangun Grupo A",54,IF(Atletas!J433="Gunshu Opcional",55,IF(Atletas!J433="Qiangshu Opcional",56,IF(Atletas!J433="Nangun Opcional",57,IF(Atletas!J433="Gunshu Adulto",58,IF(Atletas!J433="Qiangshu Adulto",59,IF(Atletas!J433="Nangun Adulto",60,IF(Atletas!J433="Taijishan Grupo B",61,IF(Atletas!J433="Taijishan Grupo A",62,""))))))))))))))))))))))</f>
        <v/>
      </c>
      <c r="BM442" s="50" t="str">
        <f>IF(Atletas!K433="","",IF(Atletas!B433="Feminino",100,IF(Atletas!B433="Masculino",200,""))+(IF(Atletas!K433="Equipe 1 Grupo B",1,IF(Atletas!K433="Equipe 2 Grupo B",2,IF(Atletas!K433="Equipe 1 Grupo A",3,IF(Atletas!K433="Equipe 2 Grupo A",4,IF(Atletas!K433="Equipe 1 Adulto",5,IF(Atletas!K433="Equipe 2 Adulto",6,""))))))))</f>
        <v/>
      </c>
      <c r="BR442" s="50" t="str">
        <f>IF(Atletas!L433="","",IF(Atletas!X433&lt;&gt;"",10000,0)+(IF(Atletas!B433="Feminino",1000,IF(Atletas!B433="Masculino",2000,""))+IF(Atletas!L433="Choylayfut A",1,IF(Atletas!L433="Hunggar A",2,IF(Atletas!L433="Wuzuquan A",3,IF(Atletas!L433="Wingchun A",4,IF(Atletas!L433="Outra Mão de Sul A",5,IF(Atletas!L433="Choylayfut B",6,IF(Atletas!L433="Hunggar B",7,IF(Atletas!L433="Wuzuquan B",8,IF(Atletas!L433="Wingchun B",9,IF(Atletas!L433="Outra Mão de Sul B",10,IF(Atletas!L433="Choylayfut C",11,IF(Atletas!L433="Hunggar C",12,IF(Atletas!L433="Wuzuquan C",13,IF(Atletas!L433="Wingchun C",14,IF(Atletas!L433="Outra Mão de Sul C",15,IF(Atletas!L433="Choylayfut D",16,IF(Atletas!L433="Hunggar D",17,IF(Atletas!L433="Wuzuquan D",18,IF(Atletas!L433="Wingchun D",19,IF(Atletas!L433="Outra Mão de Sul D",20,IF(Atletas!L433="Choylayfut E",21,IF(Atletas!L433="Hunggar E",22,IF(Atletas!L433="Wuzuquan E",23,IF(Atletas!L433="Wingchun E",24,IF(Atletas!L433="Outra Mão de Sul E",25,IF(Atletas!L433="Choylayfut F",26,IF(Atletas!L433="Hunggar F",27,IF(Atletas!L433="Wuzuquan F",28,IF(Atletas!L433="Wingchun F",29,IF(Atletas!L433="Outra Mão de Sul F",30,IF(Atletas!L433="Dishuquan A",31,IF(Atletas!L433="Dishuquan B",32,IF(Atletas!L433="Dishuquan C",33,IF(Atletas!L433="Dishuquan D",34,IF(Atletas!L433="Dishuquan E",35,IF(Atletas!L433="Dishuquan F",36,""))))))))))))))))))))))))))))))))))))))</f>
        <v/>
      </c>
      <c r="BS442" s="50" t="str">
        <f>IF(Atletas!M433="","",IF(Atletas!X433&lt;&gt;"",10000,0)+(IF(Atletas!B433="Feminino",1000,IF(Atletas!B433="Masculino",2000,""))+(IF(Atletas!M433="Chaquan A",101,IF(Atletas!M433="Emeiquan A",102,IF(Atletas!M433="Fanziquan A",103,IF(Atletas!M433="Huaquan A",104,IF(Atletas!M433="Hongquan A",105,IF(Atletas!M433="Paoquan A",106,IF(Atletas!M433="Piguaquan A",107,IF(Atletas!M433="Shaolinquan A",108,IF(Atletas!M433="Tanglangquan A",109,IF(Atletas!M433="Yingzhaoquan A",110,IF(Atletas!M433="Tongbeiquan A",111,IF(Atletas!M433="Wudangquan A",112,IF(Atletas!M433="Outros Estilos A",113,IF(Atletas!M433="Chaquan B",114,IF(Atletas!M433="Emeiquan B",115,IF(Atletas!M433="Fanziquan B",116,IF(Atletas!M433="Huaquan B",117,IF(Atletas!M433="Hongquan B",118,IF(Atletas!M433="Paoquan B",119,IF(Atletas!M433="Piguaquan B",120,IF(Atletas!M433="Shaolinquan B",121,IF(Atletas!M433="Tanglangquan B",122,IF(Atletas!M433="Yingzhaoquan B",123,IF(Atletas!M433="Tongbeiquan B",124,IF(Atletas!M433="Wudangquan B",125,IF(Atletas!M433="Outros Estilos B",126,IF(Atletas!M433="Chaquan C",127,IF(Atletas!M433="Emeiquan C",128,IF(Atletas!M433="Fanziquan C",129,IF(Atletas!M433="Huaquan C",130,IF(Atletas!M433="Hongquan C",131,IF(Atletas!M433="Paoquan C",132,IF(Atletas!M433="Piguaquan C",133,IF(Atletas!M433="Shaolinquan C",134,IF(Atletas!M433="Tanglangquan C",135,IF(Atletas!M433="Yingzhaoquan C",136,IF(Atletas!M433="Tongbeiquan C",137,IF(Atletas!M433="Wudangquan C",138,IF(Atletas!M433="Outros Estilos C",139,0))))))))))))))))))))))))))))))))))))))))))</f>
        <v/>
      </c>
      <c r="BT442" s="50" t="str">
        <f>IF(Atletas!M433="","",IF(Atletas!X433&lt;&gt;"",10000,0)+(IF(Atletas!B433="Feminino",1000,IF(Atletas!B433="Masculino",2000,""))+(IF(Atletas!M433="Chaquan D",140,IF(Atletas!M433="Emeiquan D",141,IF(Atletas!M433="Fanziquan D",142,IF(Atletas!M433="Huaquan D",143,IF(Atletas!M433="Hongquan D",144,IF(Atletas!M433="Paoquan D",145,IF(Atletas!M433="Piguaquan D",146,IF(Atletas!M433="Shaolinquan D",147,IF(Atletas!M433="Tanglangquan D",148,IF(Atletas!M433="Yingzhaoquan D",149,IF(Atletas!M433="Tongbeiquan D",150,IF(Atletas!M433="Wudangquan D",151,IF(Atletas!M433="Outros Estilos D",152,IF(Atletas!M433="Chaquan E",153,IF(Atletas!M433="Emeiquan E",154,IF(Atletas!M433="Fanziquan E",155,IF(Atletas!M433="Huaquan E",156,IF(Atletas!M433="Hongquan E",157,IF(Atletas!M433="Paoquan E",158,IF(Atletas!M433="Piguaquan E",159,IF(Atletas!M433="Shaolinquan E",160,IF(Atletas!M433="Tanglangquan E",161,IF(Atletas!M433="Yingzhaoquan E",162,IF(Atletas!M433="Tongbeiquan E",163,IF(Atletas!M433="Wudangquan E",164,IF(Atletas!M433="Outros Estilos E",165,IF(Atletas!M433="Chaquan F",166,IF(Atletas!M433="Emeiquan F",167,IF(Atletas!M433="Fanziquan F",168,IF(Atletas!M433="Huaquan F",169,IF(Atletas!M433="Hongquan F",170,IF(Atletas!M433="Paoquan F",171,IF(Atletas!M433="Piguaquan F",172,IF(Atletas!M433="Shaolinquan F",173,IF(Atletas!M433="Tanglangquan F",174,IF(Atletas!M433="Yingzhaoquan F",175,IF(Atletas!M433="Tongbeiquan F",176,IF(Atletas!M433="Wudangquan F",177,IF(Atletas!M433="Outros Estilos F",178,0))))))))))))))))))))))))))))))))))))))))))</f>
        <v/>
      </c>
      <c r="BU442" s="50" t="str">
        <f>IF(Atletas!N433="","",IF(Atletas!X433&lt;&gt;"",10000,0)+(IF(Atletas!B433="Feminino",1000,IF(Atletas!B433="Masculino",2000,""))+(IF(Atletas!N433="Ditangquan A",201,IF(Atletas!N433="Houquan A",202,IF(Atletas!N433="Zuiquan A",203,IF(Atletas!N433="Ditangquan B",204,IF(Atletas!N433="Houquan B",205,IF(Atletas!N433="Zuiquan B",206,IF(Atletas!N433="Ditangquan C",207,IF(Atletas!N433="Houquan C",208,IF(Atletas!N433="Zuiquan C",209,IF(Atletas!N433="Ditangquan D",210,IF(Atletas!N433="Houquan D",211,IF(Atletas!N433="Zuiquan D",212,IF(Atletas!N433="Ditangquan E",213,IF(Atletas!N433="Houquan E",214,IF(Atletas!N433="Zuiquan E",215,IF(Atletas!N433="Ditangquan F",216,IF(Atletas!N433="Houquan F",217,IF(Atletas!N433="Zuiquan F",218,"")))))))))))))))))))))</f>
        <v/>
      </c>
      <c r="BV442" s="50" t="str">
        <f>IF(Atletas!O433="","",IF(Atletas!X433&lt;&gt;"",10000,0)+IF(Atletas!B433="Feminino",1000,IF(Atletas!B433="Masculino",2000,""))+IF(Atletas!O433="Yang A",301,IF(Atletas!O433="Chen A",302,IF(Atletas!O433="Sun A",303,IF(Atletas!O433="Wu A",304,IF(Atletas!O433="Wu-Hao A",305,IF(Atletas!O433="Outro Taijiquan A",306,IF(Atletas!O433="Yang B",307,IF(Atletas!O433="Chen B",308,IF(Atletas!O433="Sun B",309,IF(Atletas!O433="Wu B",310,IF(Atletas!O433="Wu-Hao B",311,IF(Atletas!O433="Outro Taijiquan B",312,IF(Atletas!O433="Yang C",313,IF(Atletas!O433="Chen C",314,IF(Atletas!O433="Sun C",315,IF(Atletas!O433="Wu C",316,IF(Atletas!O433="Wu-Hao C",317,IF(Atletas!O433="Outro Taijiquan C",318,IF(Atletas!O433="Yang D",319,IF(Atletas!O433="Chen D",320,IF(Atletas!O433="Sun D",321,IF(Atletas!O433="Wu D",322,IF(Atletas!O433="Wu-Hao D",323,IF(Atletas!O433="Outro Taijiquan D",324,IF(Atletas!O433="Yang E",325,IF(Atletas!O433="Chen E",326,IF(Atletas!O433="Sun E",327,IF(Atletas!O433="Wu E",328,IF(Atletas!O433="Wu-Hao E",329,IF(Atletas!O433="Outro Taijiquan E",330,IF(Atletas!O433="Yang F",331,IF(Atletas!O433="Chen F",332,IF(Atletas!O433="Sun F",333,IF(Atletas!O433="Wu F",334,IF(Atletas!O433="Wu-Hao F",335,IF(Atletas!O433="Outro Taijiquan F",336,"")))))))))))))))))))))))))))))))))))))</f>
        <v/>
      </c>
      <c r="BW442" s="50" t="str">
        <f>IF(Atletas!P433="","",IF(Atletas!X433&lt;&gt;"",10000,0)+IF(Atletas!B433="Feminino",1000,IF(Atletas!B433="Masculino",2000,""))+IF(OR(Atletas!P433="Yang 26 A",Atletas!P433="Yang 40 A"),401,IF(OR(Atletas!P433="Chen 25 A",Atletas!P433="Chen 36 A",Atletas!P433="Chen 56 A"),402,IF(Atletas!P433="Sun 73 A",403,IF(Atletas!P433="Wu 45 A",404,IF(Atletas!P433="Wu-Hao 46 A",405,IF(OR(Atletas!P433="Taijiquan 16 A",Atletas!P433="Taijiquan 24 A",Atletas!P433="Taijiquan 32 A",Atletas!P433="Taijiquan 42 A"),406,IF(OR(Atletas!P433="Yang 26 B",Atletas!P433="Yang 40 B"),407,IF(OR(Atletas!P433="Chen 25 B",Atletas!P433="Chen 36 B",Atletas!P433="Chen 56 B"),408,IF(Atletas!P433="Sun 73 B",409,IF(Atletas!P433="Wu 45 B",410,IF(Atletas!P433="Wu-Hao 46 B",411,IF(OR(Atletas!P433="Taijiquan 16 B",Atletas!P433="Taijiquan 24 B",Atletas!P433="Taijiquan 32 B",Atletas!P433="Taijiquan 42 B"),412,IF(OR(Atletas!P433="Yang 26 C",Atletas!P433="Yang 40 C"),413,IF(OR(Atletas!P433="Chen 25 C",Atletas!P433="Chen 36 C",Atletas!P433="Chen 56 C"),414,IF(Atletas!P433="Sun 73 C",415,IF(Atletas!P433="Wu 45 C",416,IF(Atletas!P433="Wu-Hao 46 C",417,IF(OR(Atletas!P433="Taijiquan 16 C",Atletas!P433="Taijiquan 24 C",Atletas!P433="Taijiquan 32 C",Atletas!P433="Taijiquan 42 C"),418,0)))))))))))))))))))</f>
        <v/>
      </c>
      <c r="BX442" s="50" t="str">
        <f>IF(Atletas!P433="","",IF(Atletas!X433&lt;&gt;"",10000,0)+IF(Atletas!B433="Feminino",1000,IF(Atletas!B433="Masculino",2000,""))+IF(OR(Atletas!P433="Yang 26 D",Atletas!P433="Yang 40 D"),419,IF(OR(Atletas!P433="Chen 25 D",Atletas!P433="Chen 36 D",Atletas!P433="Chen 56 D"),420,IF(Atletas!P433="Sun 73 D",421,IF(Atletas!P433="Wu 45 D",422,IF(Atletas!P433="Wu-Hao 46 D",423,IF(OR(Atletas!P433="Taijiquan 16 D",Atletas!P433="Taijiquan 24 D",Atletas!P433="Taijiquan 32 D",Atletas!P433="Taijiquan 42 D"),424,IF(OR(Atletas!P433="Yang 26 E",Atletas!P433="Yang 40 E"),425,IF(OR(Atletas!P433="Chen 25 E",Atletas!P433="Chen 36 E",Atletas!P433="Chen 56 E"),426,IF(Atletas!P433="Sun 73 E",427,IF(Atletas!P433="Wu 45 E",428,IF(Atletas!P433="Wu-Hao 46 E",429,IF(OR(Atletas!P433="Taijiquan 16 E",Atletas!P433="Taijiquan 24 E",Atletas!P433="Taijiquan 32 E",Atletas!P433="Taijiquan 42 E"),430,IF(OR(Atletas!P433="Yang 26 F",Atletas!P433="Yang 40 F"),431,IF(OR(Atletas!P433="Chen 25 F",Atletas!P433="Chen 36 F",Atletas!P433="Chen 56 F"),432,IF(Atletas!P433="Sun 73 F",433,IF(Atletas!P433="Wu 45 F",434,IF(Atletas!P433="Wu-Hao 46 F",435,IF(OR(Atletas!P433="Taijiquan 16 F",Atletas!P433="Taijiquan 24 F",Atletas!P433="Taijiquan 32 F",Atletas!P433="Taijiquan 42 F"),436,0)))))))))))))))))))</f>
        <v/>
      </c>
      <c r="BY442" s="50" t="str">
        <f>IF(Atletas!Q433="","",IF(Atletas!X433&lt;&gt;"",10000,0)+IF(Atletas!B433="Feminino",1000,IF(Atletas!B433="Masculino",2000,""))+IF(Atletas!Q433="Xingyiquan A",501,IF(Atletas!Q433="Baguazhang A",502,IF(Atletas!Q433="Outro Estilo Interno A",503,IF(Atletas!Q433="Xingyiquan B",504,IF(Atletas!Q433="Baguazhang B",505,IF(Atletas!Q433="Outro Estilo Interno B",506,IF(Atletas!Q433="Xingyiquan C",507,IF(Atletas!Q433="Baguazhang C",508,IF(Atletas!Q433="Outro Estilo Interno C",509,IF(Atletas!Q433="Xingyiquan D",510,IF(Atletas!Q433="Baguazhang D",511,IF(Atletas!Q433="Outro Estilo Interno D",512,IF(Atletas!Q433="Xingyiquan E",513,IF(Atletas!Q433="Baguazhang E",514,IF(Atletas!Q433="Outro Estilo Interno E",515,IF(Atletas!Q433="Xingyiquan F",516,IF(Atletas!Q433="Baguazhang F",517,IF(Atletas!Q433="Outro Estilo Interno F",518, "")))))))))))))))))))</f>
        <v/>
      </c>
      <c r="BZ442" s="50" t="str">
        <f>IF(Atletas!R433="","",IF(Atletas!X433&lt;&gt;"",10000,0)+IF(Atletas!B433="Feminino",1000,IF(Atletas!B433="Masculino",2000,""))+IF(Atletas!R433="Dao A",601,IF(Atletas!R433="Jian A",602,IF(Atletas!R433="Bishou A",603,IF(Atletas!R433="Shanzi A",604,IF(Atletas!R433="Outra Arma Curta A",605,IF(Atletas!R433="Dao B",606,IF(Atletas!R433="Jian B",607,IF(Atletas!R433="Bishou B",608,IF(Atletas!R433="Shanzi B",609,IF(Atletas!R433="Outra Arma Curta B",610,IF(Atletas!R433="Dao C",611,IF(Atletas!R433="Jian C",612,IF(Atletas!R433="Bishou C",613,IF(Atletas!R433="Shanzi C",614,IF(Atletas!R433="Outra Arma Curta C",615,IF(Atletas!R433="Dao D",616,IF(Atletas!R433="Jian D",617,IF(Atletas!R433="Bishou D",618,IF(Atletas!R433="Shanzi D",619,IF(Atletas!R433="Outra Arma Curta D",620,IF(Atletas!R433="Dao E",621,IF(Atletas!R433="Jian E",622,IF(Atletas!R433="Bishou E",623,IF(Atletas!R433="Shanzi E",624,IF(Atletas!R433="Outra Arma Curta E",625,IF(Atletas!R433="Dao F",626,IF(Atletas!R433="Jian F",627,IF(Atletas!R433="Bishou F",628,IF(Atletas!R433="Shanzi F",629,IF(Atletas!R433="Outra Arma Curta F",630, "")))))))))))))))))))))))))))))))</f>
        <v/>
      </c>
      <c r="CA442" s="50" t="str">
        <f>IF(Atletas!S433="","",IF(Atletas!X433&lt;&gt;"",10000,0)+IF(Atletas!B433="Feminino",1000,IF(Atletas!B433="Masculino",2000,""))+IF(Atletas!S433="Gun A",701,IF(Atletas!S433="Qiang A",702,IF(Atletas!S433="Pudao / Guandao A",703,IF(Atletas!S433="Outra Arma Longa A",704,IF(Atletas!S433="Gun B",705,IF(Atletas!S433="Qiang B",706,IF(Atletas!S433="Pudao / Guandao B",707,IF(Atletas!S433="Outra Arma Longa B",708,IF(Atletas!S433="Gun C",709,IF(Atletas!S433="Qiang C",710,IF(Atletas!S433="Pudao / Guandao C",711,IF(Atletas!S433="Outra Arma Longa C",712,IF(Atletas!S433="Gun D",713,IF(Atletas!S433="Qiang D",714,IF(Atletas!S433="Pudao / Guandao D",715,IF(Atletas!S433="Outra Arma Longa D",716,IF(Atletas!S433="Gun E",717,IF(Atletas!S433="Qiang E",718,IF(Atletas!S433="Pudao / Guandao E",719,IF(Atletas!S433="Outra Arma Longa E",720,IF(Atletas!S433="Gun F",721,IF(Atletas!S433="Qiang F",722,IF(Atletas!S433="Pudao / Guandao F",723,IF(Atletas!S433="Outra Arma Longa F",724,"")))))))))))))))))))))))))</f>
        <v/>
      </c>
      <c r="CB442" s="50" t="str">
        <f>IF(Atletas!T433="","",IF(Atletas!X433&lt;&gt;"",10000,0)+IF(Atletas!B433="Feminino",1000,IF(Atletas!B433="Masculino",2000,""))+IF(Atletas!T433="Outra Arma Dupla A",801,IF(Atletas!T433="Arma Maleável A",802,IF(Atletas!T433="Outra Arma Dupla B",803,IF(Atletas!T433="Arma Maleável B",804,IF(Atletas!T433="Outra Arma Dupla C",805,IF(Atletas!T433="Arma Maleável C",806,IF(Atletas!T433="Outra Arma Dupla D",807,IF(Atletas!T433="Arma Maleável D",808,IF(Atletas!T433="Outra Arma Dupla E",809,IF(Atletas!T433="Arma Maleável E",810,IF(Atletas!T433="Outra Arma Dupla F",811,IF(Atletas!T433="Arma Maleável F",812,IF(Atletas!T433="Shuangdao A",813,IF(Atletas!T433="Shuangdao B",814,IF(Atletas!T433="Shuangdao C",815,IF(Atletas!T433="Shuangdao D",816,IF(Atletas!T433="Shuangdao E",817,IF(Atletas!T433="Shuangdao F",818,"")))))))))))))))))))</f>
        <v/>
      </c>
      <c r="CC442" s="50" t="str">
        <f>IF(Atletas!U433="","",IF(Atletas!X433&lt;&gt;"",10000,0)+IF(Atletas!B433="Feminino",1000,IF(Atletas!B433="Masculino",2000,""))+IF(OR(Atletas!U433="Taijijian Yang A",Atletas!U433="Taijijian Yang Standard A"),901,IF(OR(Atletas!U433="Taijijian Chen A", Atletas!U433="Taijijian Chen Standard A"),902,IF(Atletas!U433="Taijijian Sun A",903,IF(Atletas!U433="Taijijian Wu A",904,IF(Atletas!U433="Taijijian Wu-Hao A",905,IF(OR(Atletas!U433="Taijijian 32 A",Atletas!U433="Taijijian 42 A"),906,IF(OR(Atletas!U433="Taijijian Yang B",Atletas!U433="Taijijian Yang Standard B"),907,IF(OR(Atletas!U433="Taijijian Chen B", Atletas!U433="Taijijian Chen Standard B"),908,IF(Atletas!U433="Taijijian Sun B",909,IF(Atletas!U433="Taijijian Wu B",910,IF(Atletas!U433="Taijijian Wu-Hao B",911,IF(OR(Atletas!U433="Taijijian 32 B",Atletas!U433="Taijijian 42 B"),912,IF(OR(Atletas!U433="Taijijian Yang C",Atletas!U433="Taijijian Yang Standard C"),913,IF(OR(Atletas!U433="Taijijian Chen C", Atletas!U433="Taijijian Chen Standard C"),914,IF(Atletas!U433="Taijijian Sun C",915,IF(Atletas!U433="Taijijian Wu C",916,IF(Atletas!U433="Taijijian Wu-Hao C",917,IF(OR(Atletas!U433="Taijijian 32 C",Atletas!U433="Taijijian 42 C"),918,IF(OR(Atletas!U433="Taijijian Yang D",Atletas!U433="Taijijian Yang Standard D"),919,IF(OR(Atletas!U433="Taijijian Chen D", Atletas!U433="Taijijian Chen Standard D"),920,IF(Atletas!U433="Taijijian Sun D",921,IF(Atletas!U433="Taijijian Wu D",922,IF(Atletas!U433="Taijijian Wu-Hao D",923,IF(OR(Atletas!U433="Taijijian 32 D",Atletas!U433="Taijijian 42 D"),924,IF(OR(Atletas!U433="Taijijian Yang E",Atletas!U433="Taijijian Yang Standard E"),925,IF(OR(Atletas!U433="Taijijian Chen E", Atletas!U433="Taijijian Chen Standard E"),926,IF(Atletas!U433="Taijijian Sun E",927,IF(Atletas!U433="Taijijian Wu E",928,IF(Atletas!U433="Taijijian Wu-Hao E",929,IF(OR(Atletas!U433="Taijijian 32 E",Atletas!U433="Taijijian 42 E"),930,IF(OR(Atletas!U433="Taijijian Yang F",Atletas!U433="Taijijian Yang Standard F"),931,IF(OR(Atletas!U433="Taijijian Chen F", Atletas!U433="Taijijian Chen Standard F"),932,IF(Atletas!U433="Taijijian Sun F",933,IF(Atletas!U433="Taijijian Wu F",934,IF(Atletas!U433="Taijijian Wu-Hao F",935,IF(OR(Atletas!U433="Taijijian 32 F",Atletas!U433="Taijijian 42 F"),936,"")))))))))))))))))))))))))))))))))))))</f>
        <v/>
      </c>
      <c r="CD442" s="50" t="str">
        <f>IF(Atletas!V433="","",IF(Atletas!X433&lt;&gt;"",10000,0)+IF(Atletas!B433="Feminino",1000,IF(Atletas!B433="Masculino",2000,""))+IF(Atletas!V433="Taijidao A",937,IF(Atletas!V433="TaijiShanzi A",938,IF(Atletas!V433="Taijiqiang A",939,IF(Atletas!V433="Bagua de Arma A",940,IF(Atletas!V433="Xingyi de Arma A",941,IF(Atletas!V433="Taijidao B",942,IF(Atletas!V433="TaijiShanzi B",943,IF(Atletas!V433="Taijiqiang B",944,IF(Atletas!V433="Bagua de Arma B",945,IF(Atletas!V433="Xingyi de Arma B",946,IF(Atletas!V433="Taijidao C",947,IF(Atletas!V433="TaijiShanzi C",948,IF(Atletas!V433="Taijiqiang C",949,IF(Atletas!V433="Bagua de Arma C",950,IF(Atletas!V433="Xingyi de Arma C",951,IF(Atletas!V433="Taijidao D",952,IF(Atletas!V433="TaijiShanzi D",953,IF(Atletas!V433="Taijiqiang D",954,IF(Atletas!V433="Bagua de Arma D",955,IF(Atletas!V433="Xingyi de Arma D",956,IF(Atletas!V433="Taijidao E",957,IF(Atletas!V433="TaijiShanzi E",958,IF(Atletas!V433="Taijiqiang E",959,IF(Atletas!V433="Bagua de Arma E",960,IF(Atletas!V433="Xingyi de Arma E",961,IF(Atletas!V433="Taijidao F",962,IF(Atletas!V433="TaijiShanzi F",963,IF(Atletas!V433="Taijiqiang F",964,IF(Atletas!V433="Bagua de Arma F",965,IF(Atletas!V433="Xingyi de Arma F",966,"")))))))))))))))))))))))))))))))</f>
        <v/>
      </c>
      <c r="CM442" s="50" t="str">
        <f xml:space="preserve"> IF(Atletas!W433="","",IF(Atletas!W433="Duilian de Mãos BC - Equipe 1",1,IF(Atletas!W433="Duilian de Mãos BC - Equipe 2",2,IF(Atletas!W433="Duilian de Armas BC - Equipe 1",3,IF(Atletas!W433="Duilian de Armas BC - Equipe 2",4,IF(Atletas!W433="Duilian de Mãos DE - Equipe 1",5,IF(Atletas!W433="Duilian de Mãos DE - Equipe 2",6,IF(Atletas!W433="Duilian de Armas DE - Equipe 1",7,IF(Atletas!W433="Duilian de Armas DE - Equipe 2",8,IF(Atletas!W433="Duilian de Tuishou - Equipe 1",9,IF(Atletas!W433="Duilian de Tuishou - Equipe 2",10,IF(Atletas!W433="Grupo Externo ABC - Equipe 1",11,IF(Atletas!W433="Grupo Externo ABC - Equipe 2",12,IF(Atletas!W433="Grupo Interno ABC - Equipe 1",13,IF(Atletas!W433="Grupo Interno ABC - Equipe 2",14,IF(Atletas!W433="Grupo Externo DEF - Equipe 1",15,IF(Atletas!W433="Grupo Externo DEF - Equipe 2",16,IF(Atletas!W433="Grupo Interno DEF - Equipe 1",17,IF(Atletas!W433="Grupo Interno DEF - Equipe 2",18,"")))))))))))))))))))</f>
        <v/>
      </c>
    </row>
    <row r="443" spans="40:91">
      <c r="AN443" s="52" t="str">
        <f>IF(Atletas!D434="","",IF(Atletas!B434="Feminino",100,IF(Atletas!B434="Masculino",200,""))+(IF(Atletas!D434="Kids 30kg",1,IF(Atletas!D434="Kids 32kg",2, IF(Atletas!D434="Kids 34kg",3,IF(Atletas!D434="Kids 36kg",4,IF(Atletas!D434="Kids 39kg",5,IF(Atletas!D434="Kids 42kg",6,IF(Atletas!D434="Kids 45kg",7, IF(Atletas!D434="Infantil 39kg",8,IF(Atletas!D434="Infantil 42kg",9,IF(Atletas!D434="Infantil 45kg",10,IF(Atletas!D434="Infantil 48kg",11,IF(Atletas!D434="Infantil 52kg",12,IF(Atletas!D434="Infantil 56kg",13,IF(Atletas!D434="Infantil 60kg",14,IF(Atletas!D434="Juvenil 48kg",15,IF(Atletas!D434="Juvenil 52kg",16,IF(Atletas!D434="Juvenil 56kg",17,IF(Atletas!D434="Juvenil 60kg",18,IF(Atletas!D434="Juvenil 65kg",19,IF(Atletas!D434="Juvenil 70kg",20,IF(Atletas!D434="Juvenil 75kg",21,IF(Atletas!D434="Juvenil 80kg",22, IF(Atletas!D434="Juvenil 85kg",23,IF(Atletas!D434="Adulto 48kg",24,IF(Atletas!D434="Adulto 52kg",25,IF(Atletas!D434="Adulto 56kg",26,IF(Atletas!D434="Adulto 60kg",27,IF(Atletas!D434="Adulto 65kg",28,IF(Atletas!D434="Adulto 70kg",29,IF(Atletas!D434="Adulto 75kg",30,IF(Atletas!D434="Adulto 80kg",31,IF(Atletas!D434="Adulto 85kg",32,IF(Atletas!D434="Adulto 90kg",33,IF(Atletas!D434="Adulto 100kg",34, IF(Atletas!D434="Adulto +100kg",35,"")))))))))))))))))))))))))))))))))))))</f>
        <v/>
      </c>
      <c r="AS443" s="6" t="str">
        <f>IF(Atletas!E434="","",IF(Atletas!B434="Feminino",100,IF(Atletas!B434="Masculino",200,""))+(IF(Atletas!E434="Juvenil 44kg",1,IF(Atletas!E434="Juvenil 48kg",2,IF(Atletas!E434="Juvenil 52kg",3,IF(Atletas!E434="Juvenil 56kg",4,IF(Atletas!E434="Juvenil 60kg",5,IF(Atletas!E434="Juvenil 65kg",6,IF(Atletas!E434="Juvenil 70kg",7,IF(Atletas!E434="Juvenil 75kg",8,IF(Atletas!E434="Juvenil 82kg",9,IF(Atletas!E434="Juvenil 90kg",10,IF(Atletas!E434="Juvenil 100kg",11,IF(Atletas!E434="Adulto 48kg",12,IF(Atletas!E434="Adulto 52kg",13,IF(Atletas!E434="Adulto 56kg",14,IF(Atletas!E434="Adulto 60kg",15,IF(Atletas!E434="Adulto 65kg",16,IF(Atletas!E434="Adulto 70kg",17,IF(Atletas!E434="Adulto 75kg",18,IF(Atletas!E434="Adulto 82kg",19,IF(Atletas!E434="Adulto 90kg",20,IF(Atletas!E434="Adulto 100kg",21,IF(Atletas!E434="Adulto +100kg",22,""))))))))))))))))))))))))</f>
        <v/>
      </c>
      <c r="AX443" s="6" t="str">
        <f>IF(Atletas!F434="","",IF(Atletas!B434="Feminino",100,IF(Atletas!B434="Masculino",200,""))+(IF(Atletas!F434="Adulto 48kg",1,IF(Atletas!F434="Adulto 56kg",2,IF(Atletas!F434="Adulto 65kg",3,IF(Atletas!F434="Adulto 75kg",4,IF(Atletas!F434="Adulto +75kg",5,IF(Atletas!F434="Adulto 52kg",6,IF(Atletas!F434="Adulto 60kg",7,IF(Atletas!F434="Adulto 70kg",8,IF(Atletas!F434="Adulto 80kg",9,IF(Atletas!F434="Adulto 90kg",10,IF(Atletas!F434="Adulto +90kg",11,"")))))))))))))</f>
        <v/>
      </c>
      <c r="BC443" s="6" t="str">
        <f>IF(Atletas!G434="","",IF(Atletas!B434="Feminino",10,IF(Atletas!B434="Masculino",20,""))+(IF(Atletas!G434="Baduanjin A",1,IF(Atletas!G434="Baduanjin B",2))))</f>
        <v/>
      </c>
      <c r="BF443" s="52" t="str">
        <f>IF(Atletas!H434="","",IF(Atletas!B434="Feminino",100,IF(Atletas!B434="Masculino",200,""))+(IF(Atletas!H434="Changquan Mirim",1,IF(Atletas!H434="Nanquan Mirim",2,IF(Atletas!H434="Taijiquan Mirim",3,IF(Atletas!H434="Changquan Grupo C",4,IF(Atletas!H434="Nanquan Grupo C",5,IF(Atletas!H434="Taijiquan Grupo C",6,IF(Atletas!H434="Changquan Grupo B",7,IF(Atletas!H434="Nanquan Grupo B",8,IF(Atletas!H434="Taijiquan Grupo B",9,IF(Atletas!H434="Changquan Grupo A",10,IF(Atletas!H434="Nanquan Grupo A",11,IF(Atletas!H434="Taijiquan Grupo A",12,IF(Atletas!H434="Changquan Opcional",13,IF(Atletas!H434="Nanquan Opcional",14,IF(Atletas!H434="Taijiquan Opcional",15,IF(Atletas!H434="Changquan Adulto",16,IF(Atletas!H434="Nanquan Adulto",17,IF(Atletas!H434="Taijiquan Adulto",18,""))))))))))))))))))))</f>
        <v/>
      </c>
      <c r="BG443" s="52" t="str">
        <f>IF(Atletas!I434="","",IF(Atletas!B434="Feminino",100,IF(Atletas!B434="Masculino",200,""))+(IF(Atletas!I434="Daoshu Mirim",19,IF(Atletas!I434="Jianshu Mirim",20,IF(Atletas!I434="Nandao Mirim",21,IF(Atletas!I434="Taijijian Mirim",22,IF(Atletas!I434="Daoshu Grupo C",23,IF(Atletas!I434="Jianshu Grupo C",24,IF(Atletas!I434="Nandao Grupo C",25,IF(Atletas!I434="Taijijian Grupo C",26,IF(Atletas!I434="Daoshu Grupo B",27,IF(Atletas!I434="Jianshu Grupo B",28,IF(Atletas!I434="Nandao Grupo B",29,IF(Atletas!I434="Taijijian Grupo B",30,IF(Atletas!I434="Daoshu Grupo A",31,IF(Atletas!I434="Jianshu Grupo A",32,IF(Atletas!I434="Nandao Grupo A",33,IF(Atletas!I434="Taijijian Grupo A",34,IF(Atletas!I434="Daoshu Opcional",35,IF(Atletas!I434="Jianshu Opcional",36,IF(Atletas!I434="Nandao Opcional",37,IF(Atletas!I434="Taijijian Opcional",38,IF(Atletas!I434="Daoshu Adulto",39,IF(Atletas!I434="Jianshu Adulto",40,IF(Atletas!I434="Nandao Adulto",41,IF(Atletas!I434="Taijijian Adulto",42,""))))))))))))))))))))))))))</f>
        <v/>
      </c>
      <c r="BH443" s="52" t="str">
        <f>IF(Atletas!J434="","",IF(Atletas!B434="Feminino",100,IF(Atletas!B434="Masculino",200,""))+(IF(Atletas!J434="Gunshu Mirim",43,IF(Atletas!J434="Qiangshu Mirim",44,IF(Atletas!J434="Nangun Mirim",45,IF(Atletas!J434="Gunshu Grupo C",46,IF(Atletas!J434="Qiangshu Grupo C",47,IF(Atletas!J434="Nangun Grupo C",48,IF(Atletas!J434="Gunshu Grupo B",49,IF(Atletas!J434="Qiangshu Grupo B",50,IF(Atletas!J434="Nangun Grupo B",51,IF(Atletas!J434="Gunshu Grupo A",52,IF(Atletas!J434="Qiangshu Grupo A",53,IF(Atletas!J434="Nangun Grupo A",54,IF(Atletas!J434="Gunshu Opcional",55,IF(Atletas!J434="Qiangshu Opcional",56,IF(Atletas!J434="Nangun Opcional",57,IF(Atletas!J434="Gunshu Adulto",58,IF(Atletas!J434="Qiangshu Adulto",59,IF(Atletas!J434="Nangun Adulto",60,IF(Atletas!J434="Taijishan Grupo B",61,IF(Atletas!J434="Taijishan Grupo A",62,""))))))))))))))))))))))</f>
        <v/>
      </c>
      <c r="BM443" s="50" t="str">
        <f>IF(Atletas!K434="","",IF(Atletas!B434="Feminino",100,IF(Atletas!B434="Masculino",200,""))+(IF(Atletas!K434="Equipe 1 Grupo B",1,IF(Atletas!K434="Equipe 2 Grupo B",2,IF(Atletas!K434="Equipe 1 Grupo A",3,IF(Atletas!K434="Equipe 2 Grupo A",4,IF(Atletas!K434="Equipe 1 Adulto",5,IF(Atletas!K434="Equipe 2 Adulto",6,""))))))))</f>
        <v/>
      </c>
      <c r="BR443" s="50" t="str">
        <f>IF(Atletas!L434="","",IF(Atletas!X434&lt;&gt;"",10000,0)+(IF(Atletas!B434="Feminino",1000,IF(Atletas!B434="Masculino",2000,""))+IF(Atletas!L434="Choylayfut A",1,IF(Atletas!L434="Hunggar A",2,IF(Atletas!L434="Wuzuquan A",3,IF(Atletas!L434="Wingchun A",4,IF(Atletas!L434="Outra Mão de Sul A",5,IF(Atletas!L434="Choylayfut B",6,IF(Atletas!L434="Hunggar B",7,IF(Atletas!L434="Wuzuquan B",8,IF(Atletas!L434="Wingchun B",9,IF(Atletas!L434="Outra Mão de Sul B",10,IF(Atletas!L434="Choylayfut C",11,IF(Atletas!L434="Hunggar C",12,IF(Atletas!L434="Wuzuquan C",13,IF(Atletas!L434="Wingchun C",14,IF(Atletas!L434="Outra Mão de Sul C",15,IF(Atletas!L434="Choylayfut D",16,IF(Atletas!L434="Hunggar D",17,IF(Atletas!L434="Wuzuquan D",18,IF(Atletas!L434="Wingchun D",19,IF(Atletas!L434="Outra Mão de Sul D",20,IF(Atletas!L434="Choylayfut E",21,IF(Atletas!L434="Hunggar E",22,IF(Atletas!L434="Wuzuquan E",23,IF(Atletas!L434="Wingchun E",24,IF(Atletas!L434="Outra Mão de Sul E",25,IF(Atletas!L434="Choylayfut F",26,IF(Atletas!L434="Hunggar F",27,IF(Atletas!L434="Wuzuquan F",28,IF(Atletas!L434="Wingchun F",29,IF(Atletas!L434="Outra Mão de Sul F",30,IF(Atletas!L434="Dishuquan A",31,IF(Atletas!L434="Dishuquan B",32,IF(Atletas!L434="Dishuquan C",33,IF(Atletas!L434="Dishuquan D",34,IF(Atletas!L434="Dishuquan E",35,IF(Atletas!L434="Dishuquan F",36,""))))))))))))))))))))))))))))))))))))))</f>
        <v/>
      </c>
      <c r="BS443" s="50" t="str">
        <f>IF(Atletas!M434="","",IF(Atletas!X434&lt;&gt;"",10000,0)+(IF(Atletas!B434="Feminino",1000,IF(Atletas!B434="Masculino",2000,""))+(IF(Atletas!M434="Chaquan A",101,IF(Atletas!M434="Emeiquan A",102,IF(Atletas!M434="Fanziquan A",103,IF(Atletas!M434="Huaquan A",104,IF(Atletas!M434="Hongquan A",105,IF(Atletas!M434="Paoquan A",106,IF(Atletas!M434="Piguaquan A",107,IF(Atletas!M434="Shaolinquan A",108,IF(Atletas!M434="Tanglangquan A",109,IF(Atletas!M434="Yingzhaoquan A",110,IF(Atletas!M434="Tongbeiquan A",111,IF(Atletas!M434="Wudangquan A",112,IF(Atletas!M434="Outros Estilos A",113,IF(Atletas!M434="Chaquan B",114,IF(Atletas!M434="Emeiquan B",115,IF(Atletas!M434="Fanziquan B",116,IF(Atletas!M434="Huaquan B",117,IF(Atletas!M434="Hongquan B",118,IF(Atletas!M434="Paoquan B",119,IF(Atletas!M434="Piguaquan B",120,IF(Atletas!M434="Shaolinquan B",121,IF(Atletas!M434="Tanglangquan B",122,IF(Atletas!M434="Yingzhaoquan B",123,IF(Atletas!M434="Tongbeiquan B",124,IF(Atletas!M434="Wudangquan B",125,IF(Atletas!M434="Outros Estilos B",126,IF(Atletas!M434="Chaquan C",127,IF(Atletas!M434="Emeiquan C",128,IF(Atletas!M434="Fanziquan C",129,IF(Atletas!M434="Huaquan C",130,IF(Atletas!M434="Hongquan C",131,IF(Atletas!M434="Paoquan C",132,IF(Atletas!M434="Piguaquan C",133,IF(Atletas!M434="Shaolinquan C",134,IF(Atletas!M434="Tanglangquan C",135,IF(Atletas!M434="Yingzhaoquan C",136,IF(Atletas!M434="Tongbeiquan C",137,IF(Atletas!M434="Wudangquan C",138,IF(Atletas!M434="Outros Estilos C",139,0))))))))))))))))))))))))))))))))))))))))))</f>
        <v/>
      </c>
      <c r="BT443" s="50" t="str">
        <f>IF(Atletas!M434="","",IF(Atletas!X434&lt;&gt;"",10000,0)+(IF(Atletas!B434="Feminino",1000,IF(Atletas!B434="Masculino",2000,""))+(IF(Atletas!M434="Chaquan D",140,IF(Atletas!M434="Emeiquan D",141,IF(Atletas!M434="Fanziquan D",142,IF(Atletas!M434="Huaquan D",143,IF(Atletas!M434="Hongquan D",144,IF(Atletas!M434="Paoquan D",145,IF(Atletas!M434="Piguaquan D",146,IF(Atletas!M434="Shaolinquan D",147,IF(Atletas!M434="Tanglangquan D",148,IF(Atletas!M434="Yingzhaoquan D",149,IF(Atletas!M434="Tongbeiquan D",150,IF(Atletas!M434="Wudangquan D",151,IF(Atletas!M434="Outros Estilos D",152,IF(Atletas!M434="Chaquan E",153,IF(Atletas!M434="Emeiquan E",154,IF(Atletas!M434="Fanziquan E",155,IF(Atletas!M434="Huaquan E",156,IF(Atletas!M434="Hongquan E",157,IF(Atletas!M434="Paoquan E",158,IF(Atletas!M434="Piguaquan E",159,IF(Atletas!M434="Shaolinquan E",160,IF(Atletas!M434="Tanglangquan E",161,IF(Atletas!M434="Yingzhaoquan E",162,IF(Atletas!M434="Tongbeiquan E",163,IF(Atletas!M434="Wudangquan E",164,IF(Atletas!M434="Outros Estilos E",165,IF(Atletas!M434="Chaquan F",166,IF(Atletas!M434="Emeiquan F",167,IF(Atletas!M434="Fanziquan F",168,IF(Atletas!M434="Huaquan F",169,IF(Atletas!M434="Hongquan F",170,IF(Atletas!M434="Paoquan F",171,IF(Atletas!M434="Piguaquan F",172,IF(Atletas!M434="Shaolinquan F",173,IF(Atletas!M434="Tanglangquan F",174,IF(Atletas!M434="Yingzhaoquan F",175,IF(Atletas!M434="Tongbeiquan F",176,IF(Atletas!M434="Wudangquan F",177,IF(Atletas!M434="Outros Estilos F",178,0))))))))))))))))))))))))))))))))))))))))))</f>
        <v/>
      </c>
      <c r="BU443" s="50" t="str">
        <f>IF(Atletas!N434="","",IF(Atletas!X434&lt;&gt;"",10000,0)+(IF(Atletas!B434="Feminino",1000,IF(Atletas!B434="Masculino",2000,""))+(IF(Atletas!N434="Ditangquan A",201,IF(Atletas!N434="Houquan A",202,IF(Atletas!N434="Zuiquan A",203,IF(Atletas!N434="Ditangquan B",204,IF(Atletas!N434="Houquan B",205,IF(Atletas!N434="Zuiquan B",206,IF(Atletas!N434="Ditangquan C",207,IF(Atletas!N434="Houquan C",208,IF(Atletas!N434="Zuiquan C",209,IF(Atletas!N434="Ditangquan D",210,IF(Atletas!N434="Houquan D",211,IF(Atletas!N434="Zuiquan D",212,IF(Atletas!N434="Ditangquan E",213,IF(Atletas!N434="Houquan E",214,IF(Atletas!N434="Zuiquan E",215,IF(Atletas!N434="Ditangquan F",216,IF(Atletas!N434="Houquan F",217,IF(Atletas!N434="Zuiquan F",218,"")))))))))))))))))))))</f>
        <v/>
      </c>
      <c r="BV443" s="50" t="str">
        <f>IF(Atletas!O434="","",IF(Atletas!X434&lt;&gt;"",10000,0)+IF(Atletas!B434="Feminino",1000,IF(Atletas!B434="Masculino",2000,""))+IF(Atletas!O434="Yang A",301,IF(Atletas!O434="Chen A",302,IF(Atletas!O434="Sun A",303,IF(Atletas!O434="Wu A",304,IF(Atletas!O434="Wu-Hao A",305,IF(Atletas!O434="Outro Taijiquan A",306,IF(Atletas!O434="Yang B",307,IF(Atletas!O434="Chen B",308,IF(Atletas!O434="Sun B",309,IF(Atletas!O434="Wu B",310,IF(Atletas!O434="Wu-Hao B",311,IF(Atletas!O434="Outro Taijiquan B",312,IF(Atletas!O434="Yang C",313,IF(Atletas!O434="Chen C",314,IF(Atletas!O434="Sun C",315,IF(Atletas!O434="Wu C",316,IF(Atletas!O434="Wu-Hao C",317,IF(Atletas!O434="Outro Taijiquan C",318,IF(Atletas!O434="Yang D",319,IF(Atletas!O434="Chen D",320,IF(Atletas!O434="Sun D",321,IF(Atletas!O434="Wu D",322,IF(Atletas!O434="Wu-Hao D",323,IF(Atletas!O434="Outro Taijiquan D",324,IF(Atletas!O434="Yang E",325,IF(Atletas!O434="Chen E",326,IF(Atletas!O434="Sun E",327,IF(Atletas!O434="Wu E",328,IF(Atletas!O434="Wu-Hao E",329,IF(Atletas!O434="Outro Taijiquan E",330,IF(Atletas!O434="Yang F",331,IF(Atletas!O434="Chen F",332,IF(Atletas!O434="Sun F",333,IF(Atletas!O434="Wu F",334,IF(Atletas!O434="Wu-Hao F",335,IF(Atletas!O434="Outro Taijiquan F",336,"")))))))))))))))))))))))))))))))))))))</f>
        <v/>
      </c>
      <c r="BW443" s="50" t="str">
        <f>IF(Atletas!P434="","",IF(Atletas!X434&lt;&gt;"",10000,0)+IF(Atletas!B434="Feminino",1000,IF(Atletas!B434="Masculino",2000,""))+IF(OR(Atletas!P434="Yang 26 A",Atletas!P434="Yang 40 A"),401,IF(OR(Atletas!P434="Chen 25 A",Atletas!P434="Chen 36 A",Atletas!P434="Chen 56 A"),402,IF(Atletas!P434="Sun 73 A",403,IF(Atletas!P434="Wu 45 A",404,IF(Atletas!P434="Wu-Hao 46 A",405,IF(OR(Atletas!P434="Taijiquan 16 A",Atletas!P434="Taijiquan 24 A",Atletas!P434="Taijiquan 32 A",Atletas!P434="Taijiquan 42 A"),406,IF(OR(Atletas!P434="Yang 26 B",Atletas!P434="Yang 40 B"),407,IF(OR(Atletas!P434="Chen 25 B",Atletas!P434="Chen 36 B",Atletas!P434="Chen 56 B"),408,IF(Atletas!P434="Sun 73 B",409,IF(Atletas!P434="Wu 45 B",410,IF(Atletas!P434="Wu-Hao 46 B",411,IF(OR(Atletas!P434="Taijiquan 16 B",Atletas!P434="Taijiquan 24 B",Atletas!P434="Taijiquan 32 B",Atletas!P434="Taijiquan 42 B"),412,IF(OR(Atletas!P434="Yang 26 C",Atletas!P434="Yang 40 C"),413,IF(OR(Atletas!P434="Chen 25 C",Atletas!P434="Chen 36 C",Atletas!P434="Chen 56 C"),414,IF(Atletas!P434="Sun 73 C",415,IF(Atletas!P434="Wu 45 C",416,IF(Atletas!P434="Wu-Hao 46 C",417,IF(OR(Atletas!P434="Taijiquan 16 C",Atletas!P434="Taijiquan 24 C",Atletas!P434="Taijiquan 32 C",Atletas!P434="Taijiquan 42 C"),418,0)))))))))))))))))))</f>
        <v/>
      </c>
      <c r="BX443" s="50" t="str">
        <f>IF(Atletas!P434="","",IF(Atletas!X434&lt;&gt;"",10000,0)+IF(Atletas!B434="Feminino",1000,IF(Atletas!B434="Masculino",2000,""))+IF(OR(Atletas!P434="Yang 26 D",Atletas!P434="Yang 40 D"),419,IF(OR(Atletas!P434="Chen 25 D",Atletas!P434="Chen 36 D",Atletas!P434="Chen 56 D"),420,IF(Atletas!P434="Sun 73 D",421,IF(Atletas!P434="Wu 45 D",422,IF(Atletas!P434="Wu-Hao 46 D",423,IF(OR(Atletas!P434="Taijiquan 16 D",Atletas!P434="Taijiquan 24 D",Atletas!P434="Taijiquan 32 D",Atletas!P434="Taijiquan 42 D"),424,IF(OR(Atletas!P434="Yang 26 E",Atletas!P434="Yang 40 E"),425,IF(OR(Atletas!P434="Chen 25 E",Atletas!P434="Chen 36 E",Atletas!P434="Chen 56 E"),426,IF(Atletas!P434="Sun 73 E",427,IF(Atletas!P434="Wu 45 E",428,IF(Atletas!P434="Wu-Hao 46 E",429,IF(OR(Atletas!P434="Taijiquan 16 E",Atletas!P434="Taijiquan 24 E",Atletas!P434="Taijiquan 32 E",Atletas!P434="Taijiquan 42 E"),430,IF(OR(Atletas!P434="Yang 26 F",Atletas!P434="Yang 40 F"),431,IF(OR(Atletas!P434="Chen 25 F",Atletas!P434="Chen 36 F",Atletas!P434="Chen 56 F"),432,IF(Atletas!P434="Sun 73 F",433,IF(Atletas!P434="Wu 45 F",434,IF(Atletas!P434="Wu-Hao 46 F",435,IF(OR(Atletas!P434="Taijiquan 16 F",Atletas!P434="Taijiquan 24 F",Atletas!P434="Taijiquan 32 F",Atletas!P434="Taijiquan 42 F"),436,0)))))))))))))))))))</f>
        <v/>
      </c>
      <c r="BY443" s="50" t="str">
        <f>IF(Atletas!Q434="","",IF(Atletas!X434&lt;&gt;"",10000,0)+IF(Atletas!B434="Feminino",1000,IF(Atletas!B434="Masculino",2000,""))+IF(Atletas!Q434="Xingyiquan A",501,IF(Atletas!Q434="Baguazhang A",502,IF(Atletas!Q434="Outro Estilo Interno A",503,IF(Atletas!Q434="Xingyiquan B",504,IF(Atletas!Q434="Baguazhang B",505,IF(Atletas!Q434="Outro Estilo Interno B",506,IF(Atletas!Q434="Xingyiquan C",507,IF(Atletas!Q434="Baguazhang C",508,IF(Atletas!Q434="Outro Estilo Interno C",509,IF(Atletas!Q434="Xingyiquan D",510,IF(Atletas!Q434="Baguazhang D",511,IF(Atletas!Q434="Outro Estilo Interno D",512,IF(Atletas!Q434="Xingyiquan E",513,IF(Atletas!Q434="Baguazhang E",514,IF(Atletas!Q434="Outro Estilo Interno E",515,IF(Atletas!Q434="Xingyiquan F",516,IF(Atletas!Q434="Baguazhang F",517,IF(Atletas!Q434="Outro Estilo Interno F",518, "")))))))))))))))))))</f>
        <v/>
      </c>
      <c r="BZ443" s="50" t="str">
        <f>IF(Atletas!R434="","",IF(Atletas!X434&lt;&gt;"",10000,0)+IF(Atletas!B434="Feminino",1000,IF(Atletas!B434="Masculino",2000,""))+IF(Atletas!R434="Dao A",601,IF(Atletas!R434="Jian A",602,IF(Atletas!R434="Bishou A",603,IF(Atletas!R434="Shanzi A",604,IF(Atletas!R434="Outra Arma Curta A",605,IF(Atletas!R434="Dao B",606,IF(Atletas!R434="Jian B",607,IF(Atletas!R434="Bishou B",608,IF(Atletas!R434="Shanzi B",609,IF(Atletas!R434="Outra Arma Curta B",610,IF(Atletas!R434="Dao C",611,IF(Atletas!R434="Jian C",612,IF(Atletas!R434="Bishou C",613,IF(Atletas!R434="Shanzi C",614,IF(Atletas!R434="Outra Arma Curta C",615,IF(Atletas!R434="Dao D",616,IF(Atletas!R434="Jian D",617,IF(Atletas!R434="Bishou D",618,IF(Atletas!R434="Shanzi D",619,IF(Atletas!R434="Outra Arma Curta D",620,IF(Atletas!R434="Dao E",621,IF(Atletas!R434="Jian E",622,IF(Atletas!R434="Bishou E",623,IF(Atletas!R434="Shanzi E",624,IF(Atletas!R434="Outra Arma Curta E",625,IF(Atletas!R434="Dao F",626,IF(Atletas!R434="Jian F",627,IF(Atletas!R434="Bishou F",628,IF(Atletas!R434="Shanzi F",629,IF(Atletas!R434="Outra Arma Curta F",630, "")))))))))))))))))))))))))))))))</f>
        <v/>
      </c>
      <c r="CA443" s="50" t="str">
        <f>IF(Atletas!S434="","",IF(Atletas!X434&lt;&gt;"",10000,0)+IF(Atletas!B434="Feminino",1000,IF(Atletas!B434="Masculino",2000,""))+IF(Atletas!S434="Gun A",701,IF(Atletas!S434="Qiang A",702,IF(Atletas!S434="Pudao / Guandao A",703,IF(Atletas!S434="Outra Arma Longa A",704,IF(Atletas!S434="Gun B",705,IF(Atletas!S434="Qiang B",706,IF(Atletas!S434="Pudao / Guandao B",707,IF(Atletas!S434="Outra Arma Longa B",708,IF(Atletas!S434="Gun C",709,IF(Atletas!S434="Qiang C",710,IF(Atletas!S434="Pudao / Guandao C",711,IF(Atletas!S434="Outra Arma Longa C",712,IF(Atletas!S434="Gun D",713,IF(Atletas!S434="Qiang D",714,IF(Atletas!S434="Pudao / Guandao D",715,IF(Atletas!S434="Outra Arma Longa D",716,IF(Atletas!S434="Gun E",717,IF(Atletas!S434="Qiang E",718,IF(Atletas!S434="Pudao / Guandao E",719,IF(Atletas!S434="Outra Arma Longa E",720,IF(Atletas!S434="Gun F",721,IF(Atletas!S434="Qiang F",722,IF(Atletas!S434="Pudao / Guandao F",723,IF(Atletas!S434="Outra Arma Longa F",724,"")))))))))))))))))))))))))</f>
        <v/>
      </c>
      <c r="CB443" s="50" t="str">
        <f>IF(Atletas!T434="","",IF(Atletas!X434&lt;&gt;"",10000,0)+IF(Atletas!B434="Feminino",1000,IF(Atletas!B434="Masculino",2000,""))+IF(Atletas!T434="Outra Arma Dupla A",801,IF(Atletas!T434="Arma Maleável A",802,IF(Atletas!T434="Outra Arma Dupla B",803,IF(Atletas!T434="Arma Maleável B",804,IF(Atletas!T434="Outra Arma Dupla C",805,IF(Atletas!T434="Arma Maleável C",806,IF(Atletas!T434="Outra Arma Dupla D",807,IF(Atletas!T434="Arma Maleável D",808,IF(Atletas!T434="Outra Arma Dupla E",809,IF(Atletas!T434="Arma Maleável E",810,IF(Atletas!T434="Outra Arma Dupla F",811,IF(Atletas!T434="Arma Maleável F",812,IF(Atletas!T434="Shuangdao A",813,IF(Atletas!T434="Shuangdao B",814,IF(Atletas!T434="Shuangdao C",815,IF(Atletas!T434="Shuangdao D",816,IF(Atletas!T434="Shuangdao E",817,IF(Atletas!T434="Shuangdao F",818,"")))))))))))))))))))</f>
        <v/>
      </c>
      <c r="CC443" s="50" t="str">
        <f>IF(Atletas!U434="","",IF(Atletas!X434&lt;&gt;"",10000,0)+IF(Atletas!B434="Feminino",1000,IF(Atletas!B434="Masculino",2000,""))+IF(OR(Atletas!U434="Taijijian Yang A",Atletas!U434="Taijijian Yang Standard A"),901,IF(OR(Atletas!U434="Taijijian Chen A", Atletas!U434="Taijijian Chen Standard A"),902,IF(Atletas!U434="Taijijian Sun A",903,IF(Atletas!U434="Taijijian Wu A",904,IF(Atletas!U434="Taijijian Wu-Hao A",905,IF(OR(Atletas!U434="Taijijian 32 A",Atletas!U434="Taijijian 42 A"),906,IF(OR(Atletas!U434="Taijijian Yang B",Atletas!U434="Taijijian Yang Standard B"),907,IF(OR(Atletas!U434="Taijijian Chen B", Atletas!U434="Taijijian Chen Standard B"),908,IF(Atletas!U434="Taijijian Sun B",909,IF(Atletas!U434="Taijijian Wu B",910,IF(Atletas!U434="Taijijian Wu-Hao B",911,IF(OR(Atletas!U434="Taijijian 32 B",Atletas!U434="Taijijian 42 B"),912,IF(OR(Atletas!U434="Taijijian Yang C",Atletas!U434="Taijijian Yang Standard C"),913,IF(OR(Atletas!U434="Taijijian Chen C", Atletas!U434="Taijijian Chen Standard C"),914,IF(Atletas!U434="Taijijian Sun C",915,IF(Atletas!U434="Taijijian Wu C",916,IF(Atletas!U434="Taijijian Wu-Hao C",917,IF(OR(Atletas!U434="Taijijian 32 C",Atletas!U434="Taijijian 42 C"),918,IF(OR(Atletas!U434="Taijijian Yang D",Atletas!U434="Taijijian Yang Standard D"),919,IF(OR(Atletas!U434="Taijijian Chen D", Atletas!U434="Taijijian Chen Standard D"),920,IF(Atletas!U434="Taijijian Sun D",921,IF(Atletas!U434="Taijijian Wu D",922,IF(Atletas!U434="Taijijian Wu-Hao D",923,IF(OR(Atletas!U434="Taijijian 32 D",Atletas!U434="Taijijian 42 D"),924,IF(OR(Atletas!U434="Taijijian Yang E",Atletas!U434="Taijijian Yang Standard E"),925,IF(OR(Atletas!U434="Taijijian Chen E", Atletas!U434="Taijijian Chen Standard E"),926,IF(Atletas!U434="Taijijian Sun E",927,IF(Atletas!U434="Taijijian Wu E",928,IF(Atletas!U434="Taijijian Wu-Hao E",929,IF(OR(Atletas!U434="Taijijian 32 E",Atletas!U434="Taijijian 42 E"),930,IF(OR(Atletas!U434="Taijijian Yang F",Atletas!U434="Taijijian Yang Standard F"),931,IF(OR(Atletas!U434="Taijijian Chen F", Atletas!U434="Taijijian Chen Standard F"),932,IF(Atletas!U434="Taijijian Sun F",933,IF(Atletas!U434="Taijijian Wu F",934,IF(Atletas!U434="Taijijian Wu-Hao F",935,IF(OR(Atletas!U434="Taijijian 32 F",Atletas!U434="Taijijian 42 F"),936,"")))))))))))))))))))))))))))))))))))))</f>
        <v/>
      </c>
      <c r="CD443" s="50" t="str">
        <f>IF(Atletas!V434="","",IF(Atletas!X434&lt;&gt;"",10000,0)+IF(Atletas!B434="Feminino",1000,IF(Atletas!B434="Masculino",2000,""))+IF(Atletas!V434="Taijidao A",937,IF(Atletas!V434="TaijiShanzi A",938,IF(Atletas!V434="Taijiqiang A",939,IF(Atletas!V434="Bagua de Arma A",940,IF(Atletas!V434="Xingyi de Arma A",941,IF(Atletas!V434="Taijidao B",942,IF(Atletas!V434="TaijiShanzi B",943,IF(Atletas!V434="Taijiqiang B",944,IF(Atletas!V434="Bagua de Arma B",945,IF(Atletas!V434="Xingyi de Arma B",946,IF(Atletas!V434="Taijidao C",947,IF(Atletas!V434="TaijiShanzi C",948,IF(Atletas!V434="Taijiqiang C",949,IF(Atletas!V434="Bagua de Arma C",950,IF(Atletas!V434="Xingyi de Arma C",951,IF(Atletas!V434="Taijidao D",952,IF(Atletas!V434="TaijiShanzi D",953,IF(Atletas!V434="Taijiqiang D",954,IF(Atletas!V434="Bagua de Arma D",955,IF(Atletas!V434="Xingyi de Arma D",956,IF(Atletas!V434="Taijidao E",957,IF(Atletas!V434="TaijiShanzi E",958,IF(Atletas!V434="Taijiqiang E",959,IF(Atletas!V434="Bagua de Arma E",960,IF(Atletas!V434="Xingyi de Arma E",961,IF(Atletas!V434="Taijidao F",962,IF(Atletas!V434="TaijiShanzi F",963,IF(Atletas!V434="Taijiqiang F",964,IF(Atletas!V434="Bagua de Arma F",965,IF(Atletas!V434="Xingyi de Arma F",966,"")))))))))))))))))))))))))))))))</f>
        <v/>
      </c>
      <c r="CM443" s="50" t="str">
        <f xml:space="preserve"> IF(Atletas!W434="","",IF(Atletas!W434="Duilian de Mãos BC - Equipe 1",1,IF(Atletas!W434="Duilian de Mãos BC - Equipe 2",2,IF(Atletas!W434="Duilian de Armas BC - Equipe 1",3,IF(Atletas!W434="Duilian de Armas BC - Equipe 2",4,IF(Atletas!W434="Duilian de Mãos DE - Equipe 1",5,IF(Atletas!W434="Duilian de Mãos DE - Equipe 2",6,IF(Atletas!W434="Duilian de Armas DE - Equipe 1",7,IF(Atletas!W434="Duilian de Armas DE - Equipe 2",8,IF(Atletas!W434="Duilian de Tuishou - Equipe 1",9,IF(Atletas!W434="Duilian de Tuishou - Equipe 2",10,IF(Atletas!W434="Grupo Externo ABC - Equipe 1",11,IF(Atletas!W434="Grupo Externo ABC - Equipe 2",12,IF(Atletas!W434="Grupo Interno ABC - Equipe 1",13,IF(Atletas!W434="Grupo Interno ABC - Equipe 2",14,IF(Atletas!W434="Grupo Externo DEF - Equipe 1",15,IF(Atletas!W434="Grupo Externo DEF - Equipe 2",16,IF(Atletas!W434="Grupo Interno DEF - Equipe 1",17,IF(Atletas!W434="Grupo Interno DEF - Equipe 2",18,"")))))))))))))))))))</f>
        <v/>
      </c>
    </row>
    <row r="444" spans="40:91">
      <c r="AN444" s="52" t="str">
        <f>IF(Atletas!D435="","",IF(Atletas!B435="Feminino",100,IF(Atletas!B435="Masculino",200,""))+(IF(Atletas!D435="Kids 30kg",1,IF(Atletas!D435="Kids 32kg",2, IF(Atletas!D435="Kids 34kg",3,IF(Atletas!D435="Kids 36kg",4,IF(Atletas!D435="Kids 39kg",5,IF(Atletas!D435="Kids 42kg",6,IF(Atletas!D435="Kids 45kg",7, IF(Atletas!D435="Infantil 39kg",8,IF(Atletas!D435="Infantil 42kg",9,IF(Atletas!D435="Infantil 45kg",10,IF(Atletas!D435="Infantil 48kg",11,IF(Atletas!D435="Infantil 52kg",12,IF(Atletas!D435="Infantil 56kg",13,IF(Atletas!D435="Infantil 60kg",14,IF(Atletas!D435="Juvenil 48kg",15,IF(Atletas!D435="Juvenil 52kg",16,IF(Atletas!D435="Juvenil 56kg",17,IF(Atletas!D435="Juvenil 60kg",18,IF(Atletas!D435="Juvenil 65kg",19,IF(Atletas!D435="Juvenil 70kg",20,IF(Atletas!D435="Juvenil 75kg",21,IF(Atletas!D435="Juvenil 80kg",22, IF(Atletas!D435="Juvenil 85kg",23,IF(Atletas!D435="Adulto 48kg",24,IF(Atletas!D435="Adulto 52kg",25,IF(Atletas!D435="Adulto 56kg",26,IF(Atletas!D435="Adulto 60kg",27,IF(Atletas!D435="Adulto 65kg",28,IF(Atletas!D435="Adulto 70kg",29,IF(Atletas!D435="Adulto 75kg",30,IF(Atletas!D435="Adulto 80kg",31,IF(Atletas!D435="Adulto 85kg",32,IF(Atletas!D435="Adulto 90kg",33,IF(Atletas!D435="Adulto 100kg",34, IF(Atletas!D435="Adulto +100kg",35,"")))))))))))))))))))))))))))))))))))))</f>
        <v/>
      </c>
      <c r="AS444" s="6" t="str">
        <f>IF(Atletas!E435="","",IF(Atletas!B435="Feminino",100,IF(Atletas!B435="Masculino",200,""))+(IF(Atletas!E435="Juvenil 44kg",1,IF(Atletas!E435="Juvenil 48kg",2,IF(Atletas!E435="Juvenil 52kg",3,IF(Atletas!E435="Juvenil 56kg",4,IF(Atletas!E435="Juvenil 60kg",5,IF(Atletas!E435="Juvenil 65kg",6,IF(Atletas!E435="Juvenil 70kg",7,IF(Atletas!E435="Juvenil 75kg",8,IF(Atletas!E435="Juvenil 82kg",9,IF(Atletas!E435="Juvenil 90kg",10,IF(Atletas!E435="Juvenil 100kg",11,IF(Atletas!E435="Adulto 48kg",12,IF(Atletas!E435="Adulto 52kg",13,IF(Atletas!E435="Adulto 56kg",14,IF(Atletas!E435="Adulto 60kg",15,IF(Atletas!E435="Adulto 65kg",16,IF(Atletas!E435="Adulto 70kg",17,IF(Atletas!E435="Adulto 75kg",18,IF(Atletas!E435="Adulto 82kg",19,IF(Atletas!E435="Adulto 90kg",20,IF(Atletas!E435="Adulto 100kg",21,IF(Atletas!E435="Adulto +100kg",22,""))))))))))))))))))))))))</f>
        <v/>
      </c>
      <c r="AX444" s="6" t="str">
        <f>IF(Atletas!F435="","",IF(Atletas!B435="Feminino",100,IF(Atletas!B435="Masculino",200,""))+(IF(Atletas!F435="Adulto 48kg",1,IF(Atletas!F435="Adulto 56kg",2,IF(Atletas!F435="Adulto 65kg",3,IF(Atletas!F435="Adulto 75kg",4,IF(Atletas!F435="Adulto +75kg",5,IF(Atletas!F435="Adulto 52kg",6,IF(Atletas!F435="Adulto 60kg",7,IF(Atletas!F435="Adulto 70kg",8,IF(Atletas!F435="Adulto 80kg",9,IF(Atletas!F435="Adulto 90kg",10,IF(Atletas!F435="Adulto +90kg",11,"")))))))))))))</f>
        <v/>
      </c>
      <c r="BC444" s="6" t="str">
        <f>IF(Atletas!G435="","",IF(Atletas!B435="Feminino",10,IF(Atletas!B435="Masculino",20,""))+(IF(Atletas!G435="Baduanjin A",1,IF(Atletas!G435="Baduanjin B",2))))</f>
        <v/>
      </c>
      <c r="BF444" s="52" t="str">
        <f>IF(Atletas!H435="","",IF(Atletas!B435="Feminino",100,IF(Atletas!B435="Masculino",200,""))+(IF(Atletas!H435="Changquan Mirim",1,IF(Atletas!H435="Nanquan Mirim",2,IF(Atletas!H435="Taijiquan Mirim",3,IF(Atletas!H435="Changquan Grupo C",4,IF(Atletas!H435="Nanquan Grupo C",5,IF(Atletas!H435="Taijiquan Grupo C",6,IF(Atletas!H435="Changquan Grupo B",7,IF(Atletas!H435="Nanquan Grupo B",8,IF(Atletas!H435="Taijiquan Grupo B",9,IF(Atletas!H435="Changquan Grupo A",10,IF(Atletas!H435="Nanquan Grupo A",11,IF(Atletas!H435="Taijiquan Grupo A",12,IF(Atletas!H435="Changquan Opcional",13,IF(Atletas!H435="Nanquan Opcional",14,IF(Atletas!H435="Taijiquan Opcional",15,IF(Atletas!H435="Changquan Adulto",16,IF(Atletas!H435="Nanquan Adulto",17,IF(Atletas!H435="Taijiquan Adulto",18,""))))))))))))))))))))</f>
        <v/>
      </c>
      <c r="BG444" s="52" t="str">
        <f>IF(Atletas!I435="","",IF(Atletas!B435="Feminino",100,IF(Atletas!B435="Masculino",200,""))+(IF(Atletas!I435="Daoshu Mirim",19,IF(Atletas!I435="Jianshu Mirim",20,IF(Atletas!I435="Nandao Mirim",21,IF(Atletas!I435="Taijijian Mirim",22,IF(Atletas!I435="Daoshu Grupo C",23,IF(Atletas!I435="Jianshu Grupo C",24,IF(Atletas!I435="Nandao Grupo C",25,IF(Atletas!I435="Taijijian Grupo C",26,IF(Atletas!I435="Daoshu Grupo B",27,IF(Atletas!I435="Jianshu Grupo B",28,IF(Atletas!I435="Nandao Grupo B",29,IF(Atletas!I435="Taijijian Grupo B",30,IF(Atletas!I435="Daoshu Grupo A",31,IF(Atletas!I435="Jianshu Grupo A",32,IF(Atletas!I435="Nandao Grupo A",33,IF(Atletas!I435="Taijijian Grupo A",34,IF(Atletas!I435="Daoshu Opcional",35,IF(Atletas!I435="Jianshu Opcional",36,IF(Atletas!I435="Nandao Opcional",37,IF(Atletas!I435="Taijijian Opcional",38,IF(Atletas!I435="Daoshu Adulto",39,IF(Atletas!I435="Jianshu Adulto",40,IF(Atletas!I435="Nandao Adulto",41,IF(Atletas!I435="Taijijian Adulto",42,""))))))))))))))))))))))))))</f>
        <v/>
      </c>
      <c r="BH444" s="52" t="str">
        <f>IF(Atletas!J435="","",IF(Atletas!B435="Feminino",100,IF(Atletas!B435="Masculino",200,""))+(IF(Atletas!J435="Gunshu Mirim",43,IF(Atletas!J435="Qiangshu Mirim",44,IF(Atletas!J435="Nangun Mirim",45,IF(Atletas!J435="Gunshu Grupo C",46,IF(Atletas!J435="Qiangshu Grupo C",47,IF(Atletas!J435="Nangun Grupo C",48,IF(Atletas!J435="Gunshu Grupo B",49,IF(Atletas!J435="Qiangshu Grupo B",50,IF(Atletas!J435="Nangun Grupo B",51,IF(Atletas!J435="Gunshu Grupo A",52,IF(Atletas!J435="Qiangshu Grupo A",53,IF(Atletas!J435="Nangun Grupo A",54,IF(Atletas!J435="Gunshu Opcional",55,IF(Atletas!J435="Qiangshu Opcional",56,IF(Atletas!J435="Nangun Opcional",57,IF(Atletas!J435="Gunshu Adulto",58,IF(Atletas!J435="Qiangshu Adulto",59,IF(Atletas!J435="Nangun Adulto",60,IF(Atletas!J435="Taijishan Grupo B",61,IF(Atletas!J435="Taijishan Grupo A",62,""))))))))))))))))))))))</f>
        <v/>
      </c>
      <c r="BM444" s="50" t="str">
        <f>IF(Atletas!K435="","",IF(Atletas!B435="Feminino",100,IF(Atletas!B435="Masculino",200,""))+(IF(Atletas!K435="Equipe 1 Grupo B",1,IF(Atletas!K435="Equipe 2 Grupo B",2,IF(Atletas!K435="Equipe 1 Grupo A",3,IF(Atletas!K435="Equipe 2 Grupo A",4,IF(Atletas!K435="Equipe 1 Adulto",5,IF(Atletas!K435="Equipe 2 Adulto",6,""))))))))</f>
        <v/>
      </c>
      <c r="BR444" s="50" t="str">
        <f>IF(Atletas!L435="","",IF(Atletas!X435&lt;&gt;"",10000,0)+(IF(Atletas!B435="Feminino",1000,IF(Atletas!B435="Masculino",2000,""))+IF(Atletas!L435="Choylayfut A",1,IF(Atletas!L435="Hunggar A",2,IF(Atletas!L435="Wuzuquan A",3,IF(Atletas!L435="Wingchun A",4,IF(Atletas!L435="Outra Mão de Sul A",5,IF(Atletas!L435="Choylayfut B",6,IF(Atletas!L435="Hunggar B",7,IF(Atletas!L435="Wuzuquan B",8,IF(Atletas!L435="Wingchun B",9,IF(Atletas!L435="Outra Mão de Sul B",10,IF(Atletas!L435="Choylayfut C",11,IF(Atletas!L435="Hunggar C",12,IF(Atletas!L435="Wuzuquan C",13,IF(Atletas!L435="Wingchun C",14,IF(Atletas!L435="Outra Mão de Sul C",15,IF(Atletas!L435="Choylayfut D",16,IF(Atletas!L435="Hunggar D",17,IF(Atletas!L435="Wuzuquan D",18,IF(Atletas!L435="Wingchun D",19,IF(Atletas!L435="Outra Mão de Sul D",20,IF(Atletas!L435="Choylayfut E",21,IF(Atletas!L435="Hunggar E",22,IF(Atletas!L435="Wuzuquan E",23,IF(Atletas!L435="Wingchun E",24,IF(Atletas!L435="Outra Mão de Sul E",25,IF(Atletas!L435="Choylayfut F",26,IF(Atletas!L435="Hunggar F",27,IF(Atletas!L435="Wuzuquan F",28,IF(Atletas!L435="Wingchun F",29,IF(Atletas!L435="Outra Mão de Sul F",30,IF(Atletas!L435="Dishuquan A",31,IF(Atletas!L435="Dishuquan B",32,IF(Atletas!L435="Dishuquan C",33,IF(Atletas!L435="Dishuquan D",34,IF(Atletas!L435="Dishuquan E",35,IF(Atletas!L435="Dishuquan F",36,""))))))))))))))))))))))))))))))))))))))</f>
        <v/>
      </c>
      <c r="BS444" s="50" t="str">
        <f>IF(Atletas!M435="","",IF(Atletas!X435&lt;&gt;"",10000,0)+(IF(Atletas!B435="Feminino",1000,IF(Atletas!B435="Masculino",2000,""))+(IF(Atletas!M435="Chaquan A",101,IF(Atletas!M435="Emeiquan A",102,IF(Atletas!M435="Fanziquan A",103,IF(Atletas!M435="Huaquan A",104,IF(Atletas!M435="Hongquan A",105,IF(Atletas!M435="Paoquan A",106,IF(Atletas!M435="Piguaquan A",107,IF(Atletas!M435="Shaolinquan A",108,IF(Atletas!M435="Tanglangquan A",109,IF(Atletas!M435="Yingzhaoquan A",110,IF(Atletas!M435="Tongbeiquan A",111,IF(Atletas!M435="Wudangquan A",112,IF(Atletas!M435="Outros Estilos A",113,IF(Atletas!M435="Chaquan B",114,IF(Atletas!M435="Emeiquan B",115,IF(Atletas!M435="Fanziquan B",116,IF(Atletas!M435="Huaquan B",117,IF(Atletas!M435="Hongquan B",118,IF(Atletas!M435="Paoquan B",119,IF(Atletas!M435="Piguaquan B",120,IF(Atletas!M435="Shaolinquan B",121,IF(Atletas!M435="Tanglangquan B",122,IF(Atletas!M435="Yingzhaoquan B",123,IF(Atletas!M435="Tongbeiquan B",124,IF(Atletas!M435="Wudangquan B",125,IF(Atletas!M435="Outros Estilos B",126,IF(Atletas!M435="Chaquan C",127,IF(Atletas!M435="Emeiquan C",128,IF(Atletas!M435="Fanziquan C",129,IF(Atletas!M435="Huaquan C",130,IF(Atletas!M435="Hongquan C",131,IF(Atletas!M435="Paoquan C",132,IF(Atletas!M435="Piguaquan C",133,IF(Atletas!M435="Shaolinquan C",134,IF(Atletas!M435="Tanglangquan C",135,IF(Atletas!M435="Yingzhaoquan C",136,IF(Atletas!M435="Tongbeiquan C",137,IF(Atletas!M435="Wudangquan C",138,IF(Atletas!M435="Outros Estilos C",139,0))))))))))))))))))))))))))))))))))))))))))</f>
        <v/>
      </c>
      <c r="BT444" s="50" t="str">
        <f>IF(Atletas!M435="","",IF(Atletas!X435&lt;&gt;"",10000,0)+(IF(Atletas!B435="Feminino",1000,IF(Atletas!B435="Masculino",2000,""))+(IF(Atletas!M435="Chaquan D",140,IF(Atletas!M435="Emeiquan D",141,IF(Atletas!M435="Fanziquan D",142,IF(Atletas!M435="Huaquan D",143,IF(Atletas!M435="Hongquan D",144,IF(Atletas!M435="Paoquan D",145,IF(Atletas!M435="Piguaquan D",146,IF(Atletas!M435="Shaolinquan D",147,IF(Atletas!M435="Tanglangquan D",148,IF(Atletas!M435="Yingzhaoquan D",149,IF(Atletas!M435="Tongbeiquan D",150,IF(Atletas!M435="Wudangquan D",151,IF(Atletas!M435="Outros Estilos D",152,IF(Atletas!M435="Chaquan E",153,IF(Atletas!M435="Emeiquan E",154,IF(Atletas!M435="Fanziquan E",155,IF(Atletas!M435="Huaquan E",156,IF(Atletas!M435="Hongquan E",157,IF(Atletas!M435="Paoquan E",158,IF(Atletas!M435="Piguaquan E",159,IF(Atletas!M435="Shaolinquan E",160,IF(Atletas!M435="Tanglangquan E",161,IF(Atletas!M435="Yingzhaoquan E",162,IF(Atletas!M435="Tongbeiquan E",163,IF(Atletas!M435="Wudangquan E",164,IF(Atletas!M435="Outros Estilos E",165,IF(Atletas!M435="Chaquan F",166,IF(Atletas!M435="Emeiquan F",167,IF(Atletas!M435="Fanziquan F",168,IF(Atletas!M435="Huaquan F",169,IF(Atletas!M435="Hongquan F",170,IF(Atletas!M435="Paoquan F",171,IF(Atletas!M435="Piguaquan F",172,IF(Atletas!M435="Shaolinquan F",173,IF(Atletas!M435="Tanglangquan F",174,IF(Atletas!M435="Yingzhaoquan F",175,IF(Atletas!M435="Tongbeiquan F",176,IF(Atletas!M435="Wudangquan F",177,IF(Atletas!M435="Outros Estilos F",178,0))))))))))))))))))))))))))))))))))))))))))</f>
        <v/>
      </c>
      <c r="BU444" s="50" t="str">
        <f>IF(Atletas!N435="","",IF(Atletas!X435&lt;&gt;"",10000,0)+(IF(Atletas!B435="Feminino",1000,IF(Atletas!B435="Masculino",2000,""))+(IF(Atletas!N435="Ditangquan A",201,IF(Atletas!N435="Houquan A",202,IF(Atletas!N435="Zuiquan A",203,IF(Atletas!N435="Ditangquan B",204,IF(Atletas!N435="Houquan B",205,IF(Atletas!N435="Zuiquan B",206,IF(Atletas!N435="Ditangquan C",207,IF(Atletas!N435="Houquan C",208,IF(Atletas!N435="Zuiquan C",209,IF(Atletas!N435="Ditangquan D",210,IF(Atletas!N435="Houquan D",211,IF(Atletas!N435="Zuiquan D",212,IF(Atletas!N435="Ditangquan E",213,IF(Atletas!N435="Houquan E",214,IF(Atletas!N435="Zuiquan E",215,IF(Atletas!N435="Ditangquan F",216,IF(Atletas!N435="Houquan F",217,IF(Atletas!N435="Zuiquan F",218,"")))))))))))))))))))))</f>
        <v/>
      </c>
      <c r="BV444" s="50" t="str">
        <f>IF(Atletas!O435="","",IF(Atletas!X435&lt;&gt;"",10000,0)+IF(Atletas!B435="Feminino",1000,IF(Atletas!B435="Masculino",2000,""))+IF(Atletas!O435="Yang A",301,IF(Atletas!O435="Chen A",302,IF(Atletas!O435="Sun A",303,IF(Atletas!O435="Wu A",304,IF(Atletas!O435="Wu-Hao A",305,IF(Atletas!O435="Outro Taijiquan A",306,IF(Atletas!O435="Yang B",307,IF(Atletas!O435="Chen B",308,IF(Atletas!O435="Sun B",309,IF(Atletas!O435="Wu B",310,IF(Atletas!O435="Wu-Hao B",311,IF(Atletas!O435="Outro Taijiquan B",312,IF(Atletas!O435="Yang C",313,IF(Atletas!O435="Chen C",314,IF(Atletas!O435="Sun C",315,IF(Atletas!O435="Wu C",316,IF(Atletas!O435="Wu-Hao C",317,IF(Atletas!O435="Outro Taijiquan C",318,IF(Atletas!O435="Yang D",319,IF(Atletas!O435="Chen D",320,IF(Atletas!O435="Sun D",321,IF(Atletas!O435="Wu D",322,IF(Atletas!O435="Wu-Hao D",323,IF(Atletas!O435="Outro Taijiquan D",324,IF(Atletas!O435="Yang E",325,IF(Atletas!O435="Chen E",326,IF(Atletas!O435="Sun E",327,IF(Atletas!O435="Wu E",328,IF(Atletas!O435="Wu-Hao E",329,IF(Atletas!O435="Outro Taijiquan E",330,IF(Atletas!O435="Yang F",331,IF(Atletas!O435="Chen F",332,IF(Atletas!O435="Sun F",333,IF(Atletas!O435="Wu F",334,IF(Atletas!O435="Wu-Hao F",335,IF(Atletas!O435="Outro Taijiquan F",336,"")))))))))))))))))))))))))))))))))))))</f>
        <v/>
      </c>
      <c r="BW444" s="50" t="str">
        <f>IF(Atletas!P435="","",IF(Atletas!X435&lt;&gt;"",10000,0)+IF(Atletas!B435="Feminino",1000,IF(Atletas!B435="Masculino",2000,""))+IF(OR(Atletas!P435="Yang 26 A",Atletas!P435="Yang 40 A"),401,IF(OR(Atletas!P435="Chen 25 A",Atletas!P435="Chen 36 A",Atletas!P435="Chen 56 A"),402,IF(Atletas!P435="Sun 73 A",403,IF(Atletas!P435="Wu 45 A",404,IF(Atletas!P435="Wu-Hao 46 A",405,IF(OR(Atletas!P435="Taijiquan 16 A",Atletas!P435="Taijiquan 24 A",Atletas!P435="Taijiquan 32 A",Atletas!P435="Taijiquan 42 A"),406,IF(OR(Atletas!P435="Yang 26 B",Atletas!P435="Yang 40 B"),407,IF(OR(Atletas!P435="Chen 25 B",Atletas!P435="Chen 36 B",Atletas!P435="Chen 56 B"),408,IF(Atletas!P435="Sun 73 B",409,IF(Atletas!P435="Wu 45 B",410,IF(Atletas!P435="Wu-Hao 46 B",411,IF(OR(Atletas!P435="Taijiquan 16 B",Atletas!P435="Taijiquan 24 B",Atletas!P435="Taijiquan 32 B",Atletas!P435="Taijiquan 42 B"),412,IF(OR(Atletas!P435="Yang 26 C",Atletas!P435="Yang 40 C"),413,IF(OR(Atletas!P435="Chen 25 C",Atletas!P435="Chen 36 C",Atletas!P435="Chen 56 C"),414,IF(Atletas!P435="Sun 73 C",415,IF(Atletas!P435="Wu 45 C",416,IF(Atletas!P435="Wu-Hao 46 C",417,IF(OR(Atletas!P435="Taijiquan 16 C",Atletas!P435="Taijiquan 24 C",Atletas!P435="Taijiquan 32 C",Atletas!P435="Taijiquan 42 C"),418,0)))))))))))))))))))</f>
        <v/>
      </c>
      <c r="BX444" s="50" t="str">
        <f>IF(Atletas!P435="","",IF(Atletas!X435&lt;&gt;"",10000,0)+IF(Atletas!B435="Feminino",1000,IF(Atletas!B435="Masculino",2000,""))+IF(OR(Atletas!P435="Yang 26 D",Atletas!P435="Yang 40 D"),419,IF(OR(Atletas!P435="Chen 25 D",Atletas!P435="Chen 36 D",Atletas!P435="Chen 56 D"),420,IF(Atletas!P435="Sun 73 D",421,IF(Atletas!P435="Wu 45 D",422,IF(Atletas!P435="Wu-Hao 46 D",423,IF(OR(Atletas!P435="Taijiquan 16 D",Atletas!P435="Taijiquan 24 D",Atletas!P435="Taijiquan 32 D",Atletas!P435="Taijiquan 42 D"),424,IF(OR(Atletas!P435="Yang 26 E",Atletas!P435="Yang 40 E"),425,IF(OR(Atletas!P435="Chen 25 E",Atletas!P435="Chen 36 E",Atletas!P435="Chen 56 E"),426,IF(Atletas!P435="Sun 73 E",427,IF(Atletas!P435="Wu 45 E",428,IF(Atletas!P435="Wu-Hao 46 E",429,IF(OR(Atletas!P435="Taijiquan 16 E",Atletas!P435="Taijiquan 24 E",Atletas!P435="Taijiquan 32 E",Atletas!P435="Taijiquan 42 E"),430,IF(OR(Atletas!P435="Yang 26 F",Atletas!P435="Yang 40 F"),431,IF(OR(Atletas!P435="Chen 25 F",Atletas!P435="Chen 36 F",Atletas!P435="Chen 56 F"),432,IF(Atletas!P435="Sun 73 F",433,IF(Atletas!P435="Wu 45 F",434,IF(Atletas!P435="Wu-Hao 46 F",435,IF(OR(Atletas!P435="Taijiquan 16 F",Atletas!P435="Taijiquan 24 F",Atletas!P435="Taijiquan 32 F",Atletas!P435="Taijiquan 42 F"),436,0)))))))))))))))))))</f>
        <v/>
      </c>
      <c r="BY444" s="50" t="str">
        <f>IF(Atletas!Q435="","",IF(Atletas!X435&lt;&gt;"",10000,0)+IF(Atletas!B435="Feminino",1000,IF(Atletas!B435="Masculino",2000,""))+IF(Atletas!Q435="Xingyiquan A",501,IF(Atletas!Q435="Baguazhang A",502,IF(Atletas!Q435="Outro Estilo Interno A",503,IF(Atletas!Q435="Xingyiquan B",504,IF(Atletas!Q435="Baguazhang B",505,IF(Atletas!Q435="Outro Estilo Interno B",506,IF(Atletas!Q435="Xingyiquan C",507,IF(Atletas!Q435="Baguazhang C",508,IF(Atletas!Q435="Outro Estilo Interno C",509,IF(Atletas!Q435="Xingyiquan D",510,IF(Atletas!Q435="Baguazhang D",511,IF(Atletas!Q435="Outro Estilo Interno D",512,IF(Atletas!Q435="Xingyiquan E",513,IF(Atletas!Q435="Baguazhang E",514,IF(Atletas!Q435="Outro Estilo Interno E",515,IF(Atletas!Q435="Xingyiquan F",516,IF(Atletas!Q435="Baguazhang F",517,IF(Atletas!Q435="Outro Estilo Interno F",518, "")))))))))))))))))))</f>
        <v/>
      </c>
      <c r="BZ444" s="50" t="str">
        <f>IF(Atletas!R435="","",IF(Atletas!X435&lt;&gt;"",10000,0)+IF(Atletas!B435="Feminino",1000,IF(Atletas!B435="Masculino",2000,""))+IF(Atletas!R435="Dao A",601,IF(Atletas!R435="Jian A",602,IF(Atletas!R435="Bishou A",603,IF(Atletas!R435="Shanzi A",604,IF(Atletas!R435="Outra Arma Curta A",605,IF(Atletas!R435="Dao B",606,IF(Atletas!R435="Jian B",607,IF(Atletas!R435="Bishou B",608,IF(Atletas!R435="Shanzi B",609,IF(Atletas!R435="Outra Arma Curta B",610,IF(Atletas!R435="Dao C",611,IF(Atletas!R435="Jian C",612,IF(Atletas!R435="Bishou C",613,IF(Atletas!R435="Shanzi C",614,IF(Atletas!R435="Outra Arma Curta C",615,IF(Atletas!R435="Dao D",616,IF(Atletas!R435="Jian D",617,IF(Atletas!R435="Bishou D",618,IF(Atletas!R435="Shanzi D",619,IF(Atletas!R435="Outra Arma Curta D",620,IF(Atletas!R435="Dao E",621,IF(Atletas!R435="Jian E",622,IF(Atletas!R435="Bishou E",623,IF(Atletas!R435="Shanzi E",624,IF(Atletas!R435="Outra Arma Curta E",625,IF(Atletas!R435="Dao F",626,IF(Atletas!R435="Jian F",627,IF(Atletas!R435="Bishou F",628,IF(Atletas!R435="Shanzi F",629,IF(Atletas!R435="Outra Arma Curta F",630, "")))))))))))))))))))))))))))))))</f>
        <v/>
      </c>
      <c r="CA444" s="50" t="str">
        <f>IF(Atletas!S435="","",IF(Atletas!X435&lt;&gt;"",10000,0)+IF(Atletas!B435="Feminino",1000,IF(Atletas!B435="Masculino",2000,""))+IF(Atletas!S435="Gun A",701,IF(Atletas!S435="Qiang A",702,IF(Atletas!S435="Pudao / Guandao A",703,IF(Atletas!S435="Outra Arma Longa A",704,IF(Atletas!S435="Gun B",705,IF(Atletas!S435="Qiang B",706,IF(Atletas!S435="Pudao / Guandao B",707,IF(Atletas!S435="Outra Arma Longa B",708,IF(Atletas!S435="Gun C",709,IF(Atletas!S435="Qiang C",710,IF(Atletas!S435="Pudao / Guandao C",711,IF(Atletas!S435="Outra Arma Longa C",712,IF(Atletas!S435="Gun D",713,IF(Atletas!S435="Qiang D",714,IF(Atletas!S435="Pudao / Guandao D",715,IF(Atletas!S435="Outra Arma Longa D",716,IF(Atletas!S435="Gun E",717,IF(Atletas!S435="Qiang E",718,IF(Atletas!S435="Pudao / Guandao E",719,IF(Atletas!S435="Outra Arma Longa E",720,IF(Atletas!S435="Gun F",721,IF(Atletas!S435="Qiang F",722,IF(Atletas!S435="Pudao / Guandao F",723,IF(Atletas!S435="Outra Arma Longa F",724,"")))))))))))))))))))))))))</f>
        <v/>
      </c>
      <c r="CB444" s="50" t="str">
        <f>IF(Atletas!T435="","",IF(Atletas!X435&lt;&gt;"",10000,0)+IF(Atletas!B435="Feminino",1000,IF(Atletas!B435="Masculino",2000,""))+IF(Atletas!T435="Outra Arma Dupla A",801,IF(Atletas!T435="Arma Maleável A",802,IF(Atletas!T435="Outra Arma Dupla B",803,IF(Atletas!T435="Arma Maleável B",804,IF(Atletas!T435="Outra Arma Dupla C",805,IF(Atletas!T435="Arma Maleável C",806,IF(Atletas!T435="Outra Arma Dupla D",807,IF(Atletas!T435="Arma Maleável D",808,IF(Atletas!T435="Outra Arma Dupla E",809,IF(Atletas!T435="Arma Maleável E",810,IF(Atletas!T435="Outra Arma Dupla F",811,IF(Atletas!T435="Arma Maleável F",812,IF(Atletas!T435="Shuangdao A",813,IF(Atletas!T435="Shuangdao B",814,IF(Atletas!T435="Shuangdao C",815,IF(Atletas!T435="Shuangdao D",816,IF(Atletas!T435="Shuangdao E",817,IF(Atletas!T435="Shuangdao F",818,"")))))))))))))))))))</f>
        <v/>
      </c>
      <c r="CC444" s="50" t="str">
        <f>IF(Atletas!U435="","",IF(Atletas!X435&lt;&gt;"",10000,0)+IF(Atletas!B435="Feminino",1000,IF(Atletas!B435="Masculino",2000,""))+IF(OR(Atletas!U435="Taijijian Yang A",Atletas!U435="Taijijian Yang Standard A"),901,IF(OR(Atletas!U435="Taijijian Chen A", Atletas!U435="Taijijian Chen Standard A"),902,IF(Atletas!U435="Taijijian Sun A",903,IF(Atletas!U435="Taijijian Wu A",904,IF(Atletas!U435="Taijijian Wu-Hao A",905,IF(OR(Atletas!U435="Taijijian 32 A",Atletas!U435="Taijijian 42 A"),906,IF(OR(Atletas!U435="Taijijian Yang B",Atletas!U435="Taijijian Yang Standard B"),907,IF(OR(Atletas!U435="Taijijian Chen B", Atletas!U435="Taijijian Chen Standard B"),908,IF(Atletas!U435="Taijijian Sun B",909,IF(Atletas!U435="Taijijian Wu B",910,IF(Atletas!U435="Taijijian Wu-Hao B",911,IF(OR(Atletas!U435="Taijijian 32 B",Atletas!U435="Taijijian 42 B"),912,IF(OR(Atletas!U435="Taijijian Yang C",Atletas!U435="Taijijian Yang Standard C"),913,IF(OR(Atletas!U435="Taijijian Chen C", Atletas!U435="Taijijian Chen Standard C"),914,IF(Atletas!U435="Taijijian Sun C",915,IF(Atletas!U435="Taijijian Wu C",916,IF(Atletas!U435="Taijijian Wu-Hao C",917,IF(OR(Atletas!U435="Taijijian 32 C",Atletas!U435="Taijijian 42 C"),918,IF(OR(Atletas!U435="Taijijian Yang D",Atletas!U435="Taijijian Yang Standard D"),919,IF(OR(Atletas!U435="Taijijian Chen D", Atletas!U435="Taijijian Chen Standard D"),920,IF(Atletas!U435="Taijijian Sun D",921,IF(Atletas!U435="Taijijian Wu D",922,IF(Atletas!U435="Taijijian Wu-Hao D",923,IF(OR(Atletas!U435="Taijijian 32 D",Atletas!U435="Taijijian 42 D"),924,IF(OR(Atletas!U435="Taijijian Yang E",Atletas!U435="Taijijian Yang Standard E"),925,IF(OR(Atletas!U435="Taijijian Chen E", Atletas!U435="Taijijian Chen Standard E"),926,IF(Atletas!U435="Taijijian Sun E",927,IF(Atletas!U435="Taijijian Wu E",928,IF(Atletas!U435="Taijijian Wu-Hao E",929,IF(OR(Atletas!U435="Taijijian 32 E",Atletas!U435="Taijijian 42 E"),930,IF(OR(Atletas!U435="Taijijian Yang F",Atletas!U435="Taijijian Yang Standard F"),931,IF(OR(Atletas!U435="Taijijian Chen F", Atletas!U435="Taijijian Chen Standard F"),932,IF(Atletas!U435="Taijijian Sun F",933,IF(Atletas!U435="Taijijian Wu F",934,IF(Atletas!U435="Taijijian Wu-Hao F",935,IF(OR(Atletas!U435="Taijijian 32 F",Atletas!U435="Taijijian 42 F"),936,"")))))))))))))))))))))))))))))))))))))</f>
        <v/>
      </c>
      <c r="CD444" s="50" t="str">
        <f>IF(Atletas!V435="","",IF(Atletas!X435&lt;&gt;"",10000,0)+IF(Atletas!B435="Feminino",1000,IF(Atletas!B435="Masculino",2000,""))+IF(Atletas!V435="Taijidao A",937,IF(Atletas!V435="TaijiShanzi A",938,IF(Atletas!V435="Taijiqiang A",939,IF(Atletas!V435="Bagua de Arma A",940,IF(Atletas!V435="Xingyi de Arma A",941,IF(Atletas!V435="Taijidao B",942,IF(Atletas!V435="TaijiShanzi B",943,IF(Atletas!V435="Taijiqiang B",944,IF(Atletas!V435="Bagua de Arma B",945,IF(Atletas!V435="Xingyi de Arma B",946,IF(Atletas!V435="Taijidao C",947,IF(Atletas!V435="TaijiShanzi C",948,IF(Atletas!V435="Taijiqiang C",949,IF(Atletas!V435="Bagua de Arma C",950,IF(Atletas!V435="Xingyi de Arma C",951,IF(Atletas!V435="Taijidao D",952,IF(Atletas!V435="TaijiShanzi D",953,IF(Atletas!V435="Taijiqiang D",954,IF(Atletas!V435="Bagua de Arma D",955,IF(Atletas!V435="Xingyi de Arma D",956,IF(Atletas!V435="Taijidao E",957,IF(Atletas!V435="TaijiShanzi E",958,IF(Atletas!V435="Taijiqiang E",959,IF(Atletas!V435="Bagua de Arma E",960,IF(Atletas!V435="Xingyi de Arma E",961,IF(Atletas!V435="Taijidao F",962,IF(Atletas!V435="TaijiShanzi F",963,IF(Atletas!V435="Taijiqiang F",964,IF(Atletas!V435="Bagua de Arma F",965,IF(Atletas!V435="Xingyi de Arma F",966,"")))))))))))))))))))))))))))))))</f>
        <v/>
      </c>
      <c r="CM444" s="50" t="str">
        <f xml:space="preserve"> IF(Atletas!W435="","",IF(Atletas!W435="Duilian de Mãos BC - Equipe 1",1,IF(Atletas!W435="Duilian de Mãos BC - Equipe 2",2,IF(Atletas!W435="Duilian de Armas BC - Equipe 1",3,IF(Atletas!W435="Duilian de Armas BC - Equipe 2",4,IF(Atletas!W435="Duilian de Mãos DE - Equipe 1",5,IF(Atletas!W435="Duilian de Mãos DE - Equipe 2",6,IF(Atletas!W435="Duilian de Armas DE - Equipe 1",7,IF(Atletas!W435="Duilian de Armas DE - Equipe 2",8,IF(Atletas!W435="Duilian de Tuishou - Equipe 1",9,IF(Atletas!W435="Duilian de Tuishou - Equipe 2",10,IF(Atletas!W435="Grupo Externo ABC - Equipe 1",11,IF(Atletas!W435="Grupo Externo ABC - Equipe 2",12,IF(Atletas!W435="Grupo Interno ABC - Equipe 1",13,IF(Atletas!W435="Grupo Interno ABC - Equipe 2",14,IF(Atletas!W435="Grupo Externo DEF - Equipe 1",15,IF(Atletas!W435="Grupo Externo DEF - Equipe 2",16,IF(Atletas!W435="Grupo Interno DEF - Equipe 1",17,IF(Atletas!W435="Grupo Interno DEF - Equipe 2",18,"")))))))))))))))))))</f>
        <v/>
      </c>
    </row>
    <row r="445" spans="40:91">
      <c r="AN445" s="52" t="str">
        <f>IF(Atletas!D436="","",IF(Atletas!B436="Feminino",100,IF(Atletas!B436="Masculino",200,""))+(IF(Atletas!D436="Kids 30kg",1,IF(Atletas!D436="Kids 32kg",2, IF(Atletas!D436="Kids 34kg",3,IF(Atletas!D436="Kids 36kg",4,IF(Atletas!D436="Kids 39kg",5,IF(Atletas!D436="Kids 42kg",6,IF(Atletas!D436="Kids 45kg",7, IF(Atletas!D436="Infantil 39kg",8,IF(Atletas!D436="Infantil 42kg",9,IF(Atletas!D436="Infantil 45kg",10,IF(Atletas!D436="Infantil 48kg",11,IF(Atletas!D436="Infantil 52kg",12,IF(Atletas!D436="Infantil 56kg",13,IF(Atletas!D436="Infantil 60kg",14,IF(Atletas!D436="Juvenil 48kg",15,IF(Atletas!D436="Juvenil 52kg",16,IF(Atletas!D436="Juvenil 56kg",17,IF(Atletas!D436="Juvenil 60kg",18,IF(Atletas!D436="Juvenil 65kg",19,IF(Atletas!D436="Juvenil 70kg",20,IF(Atletas!D436="Juvenil 75kg",21,IF(Atletas!D436="Juvenil 80kg",22, IF(Atletas!D436="Juvenil 85kg",23,IF(Atletas!D436="Adulto 48kg",24,IF(Atletas!D436="Adulto 52kg",25,IF(Atletas!D436="Adulto 56kg",26,IF(Atletas!D436="Adulto 60kg",27,IF(Atletas!D436="Adulto 65kg",28,IF(Atletas!D436="Adulto 70kg",29,IF(Atletas!D436="Adulto 75kg",30,IF(Atletas!D436="Adulto 80kg",31,IF(Atletas!D436="Adulto 85kg",32,IF(Atletas!D436="Adulto 90kg",33,IF(Atletas!D436="Adulto 100kg",34, IF(Atletas!D436="Adulto +100kg",35,"")))))))))))))))))))))))))))))))))))))</f>
        <v/>
      </c>
      <c r="AS445" s="6" t="str">
        <f>IF(Atletas!E436="","",IF(Atletas!B436="Feminino",100,IF(Atletas!B436="Masculino",200,""))+(IF(Atletas!E436="Juvenil 44kg",1,IF(Atletas!E436="Juvenil 48kg",2,IF(Atletas!E436="Juvenil 52kg",3,IF(Atletas!E436="Juvenil 56kg",4,IF(Atletas!E436="Juvenil 60kg",5,IF(Atletas!E436="Juvenil 65kg",6,IF(Atletas!E436="Juvenil 70kg",7,IF(Atletas!E436="Juvenil 75kg",8,IF(Atletas!E436="Juvenil 82kg",9,IF(Atletas!E436="Juvenil 90kg",10,IF(Atletas!E436="Juvenil 100kg",11,IF(Atletas!E436="Adulto 48kg",12,IF(Atletas!E436="Adulto 52kg",13,IF(Atletas!E436="Adulto 56kg",14,IF(Atletas!E436="Adulto 60kg",15,IF(Atletas!E436="Adulto 65kg",16,IF(Atletas!E436="Adulto 70kg",17,IF(Atletas!E436="Adulto 75kg",18,IF(Atletas!E436="Adulto 82kg",19,IF(Atletas!E436="Adulto 90kg",20,IF(Atletas!E436="Adulto 100kg",21,IF(Atletas!E436="Adulto +100kg",22,""))))))))))))))))))))))))</f>
        <v/>
      </c>
      <c r="AX445" s="6" t="str">
        <f>IF(Atletas!F436="","",IF(Atletas!B436="Feminino",100,IF(Atletas!B436="Masculino",200,""))+(IF(Atletas!F436="Adulto 48kg",1,IF(Atletas!F436="Adulto 56kg",2,IF(Atletas!F436="Adulto 65kg",3,IF(Atletas!F436="Adulto 75kg",4,IF(Atletas!F436="Adulto +75kg",5,IF(Atletas!F436="Adulto 52kg",6,IF(Atletas!F436="Adulto 60kg",7,IF(Atletas!F436="Adulto 70kg",8,IF(Atletas!F436="Adulto 80kg",9,IF(Atletas!F436="Adulto 90kg",10,IF(Atletas!F436="Adulto +90kg",11,"")))))))))))))</f>
        <v/>
      </c>
      <c r="BC445" s="6" t="str">
        <f>IF(Atletas!G436="","",IF(Atletas!B436="Feminino",10,IF(Atletas!B436="Masculino",20,""))+(IF(Atletas!G436="Baduanjin A",1,IF(Atletas!G436="Baduanjin B",2))))</f>
        <v/>
      </c>
      <c r="BF445" s="52" t="str">
        <f>IF(Atletas!H436="","",IF(Atletas!B436="Feminino",100,IF(Atletas!B436="Masculino",200,""))+(IF(Atletas!H436="Changquan Mirim",1,IF(Atletas!H436="Nanquan Mirim",2,IF(Atletas!H436="Taijiquan Mirim",3,IF(Atletas!H436="Changquan Grupo C",4,IF(Atletas!H436="Nanquan Grupo C",5,IF(Atletas!H436="Taijiquan Grupo C",6,IF(Atletas!H436="Changquan Grupo B",7,IF(Atletas!H436="Nanquan Grupo B",8,IF(Atletas!H436="Taijiquan Grupo B",9,IF(Atletas!H436="Changquan Grupo A",10,IF(Atletas!H436="Nanquan Grupo A",11,IF(Atletas!H436="Taijiquan Grupo A",12,IF(Atletas!H436="Changquan Opcional",13,IF(Atletas!H436="Nanquan Opcional",14,IF(Atletas!H436="Taijiquan Opcional",15,IF(Atletas!H436="Changquan Adulto",16,IF(Atletas!H436="Nanquan Adulto",17,IF(Atletas!H436="Taijiquan Adulto",18,""))))))))))))))))))))</f>
        <v/>
      </c>
      <c r="BG445" s="52" t="str">
        <f>IF(Atletas!I436="","",IF(Atletas!B436="Feminino",100,IF(Atletas!B436="Masculino",200,""))+(IF(Atletas!I436="Daoshu Mirim",19,IF(Atletas!I436="Jianshu Mirim",20,IF(Atletas!I436="Nandao Mirim",21,IF(Atletas!I436="Taijijian Mirim",22,IF(Atletas!I436="Daoshu Grupo C",23,IF(Atletas!I436="Jianshu Grupo C",24,IF(Atletas!I436="Nandao Grupo C",25,IF(Atletas!I436="Taijijian Grupo C",26,IF(Atletas!I436="Daoshu Grupo B",27,IF(Atletas!I436="Jianshu Grupo B",28,IF(Atletas!I436="Nandao Grupo B",29,IF(Atletas!I436="Taijijian Grupo B",30,IF(Atletas!I436="Daoshu Grupo A",31,IF(Atletas!I436="Jianshu Grupo A",32,IF(Atletas!I436="Nandao Grupo A",33,IF(Atletas!I436="Taijijian Grupo A",34,IF(Atletas!I436="Daoshu Opcional",35,IF(Atletas!I436="Jianshu Opcional",36,IF(Atletas!I436="Nandao Opcional",37,IF(Atletas!I436="Taijijian Opcional",38,IF(Atletas!I436="Daoshu Adulto",39,IF(Atletas!I436="Jianshu Adulto",40,IF(Atletas!I436="Nandao Adulto",41,IF(Atletas!I436="Taijijian Adulto",42,""))))))))))))))))))))))))))</f>
        <v/>
      </c>
      <c r="BH445" s="52" t="str">
        <f>IF(Atletas!J436="","",IF(Atletas!B436="Feminino",100,IF(Atletas!B436="Masculino",200,""))+(IF(Atletas!J436="Gunshu Mirim",43,IF(Atletas!J436="Qiangshu Mirim",44,IF(Atletas!J436="Nangun Mirim",45,IF(Atletas!J436="Gunshu Grupo C",46,IF(Atletas!J436="Qiangshu Grupo C",47,IF(Atletas!J436="Nangun Grupo C",48,IF(Atletas!J436="Gunshu Grupo B",49,IF(Atletas!J436="Qiangshu Grupo B",50,IF(Atletas!J436="Nangun Grupo B",51,IF(Atletas!J436="Gunshu Grupo A",52,IF(Atletas!J436="Qiangshu Grupo A",53,IF(Atletas!J436="Nangun Grupo A",54,IF(Atletas!J436="Gunshu Opcional",55,IF(Atletas!J436="Qiangshu Opcional",56,IF(Atletas!J436="Nangun Opcional",57,IF(Atletas!J436="Gunshu Adulto",58,IF(Atletas!J436="Qiangshu Adulto",59,IF(Atletas!J436="Nangun Adulto",60,IF(Atletas!J436="Taijishan Grupo B",61,IF(Atletas!J436="Taijishan Grupo A",62,""))))))))))))))))))))))</f>
        <v/>
      </c>
      <c r="BM445" s="50" t="str">
        <f>IF(Atletas!K436="","",IF(Atletas!B436="Feminino",100,IF(Atletas!B436="Masculino",200,""))+(IF(Atletas!K436="Equipe 1 Grupo B",1,IF(Atletas!K436="Equipe 2 Grupo B",2,IF(Atletas!K436="Equipe 1 Grupo A",3,IF(Atletas!K436="Equipe 2 Grupo A",4,IF(Atletas!K436="Equipe 1 Adulto",5,IF(Atletas!K436="Equipe 2 Adulto",6,""))))))))</f>
        <v/>
      </c>
      <c r="BR445" s="50" t="str">
        <f>IF(Atletas!L436="","",IF(Atletas!X436&lt;&gt;"",10000,0)+(IF(Atletas!B436="Feminino",1000,IF(Atletas!B436="Masculino",2000,""))+IF(Atletas!L436="Choylayfut A",1,IF(Atletas!L436="Hunggar A",2,IF(Atletas!L436="Wuzuquan A",3,IF(Atletas!L436="Wingchun A",4,IF(Atletas!L436="Outra Mão de Sul A",5,IF(Atletas!L436="Choylayfut B",6,IF(Atletas!L436="Hunggar B",7,IF(Atletas!L436="Wuzuquan B",8,IF(Atletas!L436="Wingchun B",9,IF(Atletas!L436="Outra Mão de Sul B",10,IF(Atletas!L436="Choylayfut C",11,IF(Atletas!L436="Hunggar C",12,IF(Atletas!L436="Wuzuquan C",13,IF(Atletas!L436="Wingchun C",14,IF(Atletas!L436="Outra Mão de Sul C",15,IF(Atletas!L436="Choylayfut D",16,IF(Atletas!L436="Hunggar D",17,IF(Atletas!L436="Wuzuquan D",18,IF(Atletas!L436="Wingchun D",19,IF(Atletas!L436="Outra Mão de Sul D",20,IF(Atletas!L436="Choylayfut E",21,IF(Atletas!L436="Hunggar E",22,IF(Atletas!L436="Wuzuquan E",23,IF(Atletas!L436="Wingchun E",24,IF(Atletas!L436="Outra Mão de Sul E",25,IF(Atletas!L436="Choylayfut F",26,IF(Atletas!L436="Hunggar F",27,IF(Atletas!L436="Wuzuquan F",28,IF(Atletas!L436="Wingchun F",29,IF(Atletas!L436="Outra Mão de Sul F",30,IF(Atletas!L436="Dishuquan A",31,IF(Atletas!L436="Dishuquan B",32,IF(Atletas!L436="Dishuquan C",33,IF(Atletas!L436="Dishuquan D",34,IF(Atletas!L436="Dishuquan E",35,IF(Atletas!L436="Dishuquan F",36,""))))))))))))))))))))))))))))))))))))))</f>
        <v/>
      </c>
      <c r="BS445" s="50" t="str">
        <f>IF(Atletas!M436="","",IF(Atletas!X436&lt;&gt;"",10000,0)+(IF(Atletas!B436="Feminino",1000,IF(Atletas!B436="Masculino",2000,""))+(IF(Atletas!M436="Chaquan A",101,IF(Atletas!M436="Emeiquan A",102,IF(Atletas!M436="Fanziquan A",103,IF(Atletas!M436="Huaquan A",104,IF(Atletas!M436="Hongquan A",105,IF(Atletas!M436="Paoquan A",106,IF(Atletas!M436="Piguaquan A",107,IF(Atletas!M436="Shaolinquan A",108,IF(Atletas!M436="Tanglangquan A",109,IF(Atletas!M436="Yingzhaoquan A",110,IF(Atletas!M436="Tongbeiquan A",111,IF(Atletas!M436="Wudangquan A",112,IF(Atletas!M436="Outros Estilos A",113,IF(Atletas!M436="Chaquan B",114,IF(Atletas!M436="Emeiquan B",115,IF(Atletas!M436="Fanziquan B",116,IF(Atletas!M436="Huaquan B",117,IF(Atletas!M436="Hongquan B",118,IF(Atletas!M436="Paoquan B",119,IF(Atletas!M436="Piguaquan B",120,IF(Atletas!M436="Shaolinquan B",121,IF(Atletas!M436="Tanglangquan B",122,IF(Atletas!M436="Yingzhaoquan B",123,IF(Atletas!M436="Tongbeiquan B",124,IF(Atletas!M436="Wudangquan B",125,IF(Atletas!M436="Outros Estilos B",126,IF(Atletas!M436="Chaquan C",127,IF(Atletas!M436="Emeiquan C",128,IF(Atletas!M436="Fanziquan C",129,IF(Atletas!M436="Huaquan C",130,IF(Atletas!M436="Hongquan C",131,IF(Atletas!M436="Paoquan C",132,IF(Atletas!M436="Piguaquan C",133,IF(Atletas!M436="Shaolinquan C",134,IF(Atletas!M436="Tanglangquan C",135,IF(Atletas!M436="Yingzhaoquan C",136,IF(Atletas!M436="Tongbeiquan C",137,IF(Atletas!M436="Wudangquan C",138,IF(Atletas!M436="Outros Estilos C",139,0))))))))))))))))))))))))))))))))))))))))))</f>
        <v/>
      </c>
      <c r="BT445" s="50" t="str">
        <f>IF(Atletas!M436="","",IF(Atletas!X436&lt;&gt;"",10000,0)+(IF(Atletas!B436="Feminino",1000,IF(Atletas!B436="Masculino",2000,""))+(IF(Atletas!M436="Chaquan D",140,IF(Atletas!M436="Emeiquan D",141,IF(Atletas!M436="Fanziquan D",142,IF(Atletas!M436="Huaquan D",143,IF(Atletas!M436="Hongquan D",144,IF(Atletas!M436="Paoquan D",145,IF(Atletas!M436="Piguaquan D",146,IF(Atletas!M436="Shaolinquan D",147,IF(Atletas!M436="Tanglangquan D",148,IF(Atletas!M436="Yingzhaoquan D",149,IF(Atletas!M436="Tongbeiquan D",150,IF(Atletas!M436="Wudangquan D",151,IF(Atletas!M436="Outros Estilos D",152,IF(Atletas!M436="Chaquan E",153,IF(Atletas!M436="Emeiquan E",154,IF(Atletas!M436="Fanziquan E",155,IF(Atletas!M436="Huaquan E",156,IF(Atletas!M436="Hongquan E",157,IF(Atletas!M436="Paoquan E",158,IF(Atletas!M436="Piguaquan E",159,IF(Atletas!M436="Shaolinquan E",160,IF(Atletas!M436="Tanglangquan E",161,IF(Atletas!M436="Yingzhaoquan E",162,IF(Atletas!M436="Tongbeiquan E",163,IF(Atletas!M436="Wudangquan E",164,IF(Atletas!M436="Outros Estilos E",165,IF(Atletas!M436="Chaquan F",166,IF(Atletas!M436="Emeiquan F",167,IF(Atletas!M436="Fanziquan F",168,IF(Atletas!M436="Huaquan F",169,IF(Atletas!M436="Hongquan F",170,IF(Atletas!M436="Paoquan F",171,IF(Atletas!M436="Piguaquan F",172,IF(Atletas!M436="Shaolinquan F",173,IF(Atletas!M436="Tanglangquan F",174,IF(Atletas!M436="Yingzhaoquan F",175,IF(Atletas!M436="Tongbeiquan F",176,IF(Atletas!M436="Wudangquan F",177,IF(Atletas!M436="Outros Estilos F",178,0))))))))))))))))))))))))))))))))))))))))))</f>
        <v/>
      </c>
      <c r="BU445" s="50" t="str">
        <f>IF(Atletas!N436="","",IF(Atletas!X436&lt;&gt;"",10000,0)+(IF(Atletas!B436="Feminino",1000,IF(Atletas!B436="Masculino",2000,""))+(IF(Atletas!N436="Ditangquan A",201,IF(Atletas!N436="Houquan A",202,IF(Atletas!N436="Zuiquan A",203,IF(Atletas!N436="Ditangquan B",204,IF(Atletas!N436="Houquan B",205,IF(Atletas!N436="Zuiquan B",206,IF(Atletas!N436="Ditangquan C",207,IF(Atletas!N436="Houquan C",208,IF(Atletas!N436="Zuiquan C",209,IF(Atletas!N436="Ditangquan D",210,IF(Atletas!N436="Houquan D",211,IF(Atletas!N436="Zuiquan D",212,IF(Atletas!N436="Ditangquan E",213,IF(Atletas!N436="Houquan E",214,IF(Atletas!N436="Zuiquan E",215,IF(Atletas!N436="Ditangquan F",216,IF(Atletas!N436="Houquan F",217,IF(Atletas!N436="Zuiquan F",218,"")))))))))))))))))))))</f>
        <v/>
      </c>
      <c r="BV445" s="50" t="str">
        <f>IF(Atletas!O436="","",IF(Atletas!X436&lt;&gt;"",10000,0)+IF(Atletas!B436="Feminino",1000,IF(Atletas!B436="Masculino",2000,""))+IF(Atletas!O436="Yang A",301,IF(Atletas!O436="Chen A",302,IF(Atletas!O436="Sun A",303,IF(Atletas!O436="Wu A",304,IF(Atletas!O436="Wu-Hao A",305,IF(Atletas!O436="Outro Taijiquan A",306,IF(Atletas!O436="Yang B",307,IF(Atletas!O436="Chen B",308,IF(Atletas!O436="Sun B",309,IF(Atletas!O436="Wu B",310,IF(Atletas!O436="Wu-Hao B",311,IF(Atletas!O436="Outro Taijiquan B",312,IF(Atletas!O436="Yang C",313,IF(Atletas!O436="Chen C",314,IF(Atletas!O436="Sun C",315,IF(Atletas!O436="Wu C",316,IF(Atletas!O436="Wu-Hao C",317,IF(Atletas!O436="Outro Taijiquan C",318,IF(Atletas!O436="Yang D",319,IF(Atletas!O436="Chen D",320,IF(Atletas!O436="Sun D",321,IF(Atletas!O436="Wu D",322,IF(Atletas!O436="Wu-Hao D",323,IF(Atletas!O436="Outro Taijiquan D",324,IF(Atletas!O436="Yang E",325,IF(Atletas!O436="Chen E",326,IF(Atletas!O436="Sun E",327,IF(Atletas!O436="Wu E",328,IF(Atletas!O436="Wu-Hao E",329,IF(Atletas!O436="Outro Taijiquan E",330,IF(Atletas!O436="Yang F",331,IF(Atletas!O436="Chen F",332,IF(Atletas!O436="Sun F",333,IF(Atletas!O436="Wu F",334,IF(Atletas!O436="Wu-Hao F",335,IF(Atletas!O436="Outro Taijiquan F",336,"")))))))))))))))))))))))))))))))))))))</f>
        <v/>
      </c>
      <c r="BW445" s="50" t="str">
        <f>IF(Atletas!P436="","",IF(Atletas!X436&lt;&gt;"",10000,0)+IF(Atletas!B436="Feminino",1000,IF(Atletas!B436="Masculino",2000,""))+IF(OR(Atletas!P436="Yang 26 A",Atletas!P436="Yang 40 A"),401,IF(OR(Atletas!P436="Chen 25 A",Atletas!P436="Chen 36 A",Atletas!P436="Chen 56 A"),402,IF(Atletas!P436="Sun 73 A",403,IF(Atletas!P436="Wu 45 A",404,IF(Atletas!P436="Wu-Hao 46 A",405,IF(OR(Atletas!P436="Taijiquan 16 A",Atletas!P436="Taijiquan 24 A",Atletas!P436="Taijiquan 32 A",Atletas!P436="Taijiquan 42 A"),406,IF(OR(Atletas!P436="Yang 26 B",Atletas!P436="Yang 40 B"),407,IF(OR(Atletas!P436="Chen 25 B",Atletas!P436="Chen 36 B",Atletas!P436="Chen 56 B"),408,IF(Atletas!P436="Sun 73 B",409,IF(Atletas!P436="Wu 45 B",410,IF(Atletas!P436="Wu-Hao 46 B",411,IF(OR(Atletas!P436="Taijiquan 16 B",Atletas!P436="Taijiquan 24 B",Atletas!P436="Taijiquan 32 B",Atletas!P436="Taijiquan 42 B"),412,IF(OR(Atletas!P436="Yang 26 C",Atletas!P436="Yang 40 C"),413,IF(OR(Atletas!P436="Chen 25 C",Atletas!P436="Chen 36 C",Atletas!P436="Chen 56 C"),414,IF(Atletas!P436="Sun 73 C",415,IF(Atletas!P436="Wu 45 C",416,IF(Atletas!P436="Wu-Hao 46 C",417,IF(OR(Atletas!P436="Taijiquan 16 C",Atletas!P436="Taijiquan 24 C",Atletas!P436="Taijiquan 32 C",Atletas!P436="Taijiquan 42 C"),418,0)))))))))))))))))))</f>
        <v/>
      </c>
      <c r="BX445" s="50" t="str">
        <f>IF(Atletas!P436="","",IF(Atletas!X436&lt;&gt;"",10000,0)+IF(Atletas!B436="Feminino",1000,IF(Atletas!B436="Masculino",2000,""))+IF(OR(Atletas!P436="Yang 26 D",Atletas!P436="Yang 40 D"),419,IF(OR(Atletas!P436="Chen 25 D",Atletas!P436="Chen 36 D",Atletas!P436="Chen 56 D"),420,IF(Atletas!P436="Sun 73 D",421,IF(Atletas!P436="Wu 45 D",422,IF(Atletas!P436="Wu-Hao 46 D",423,IF(OR(Atletas!P436="Taijiquan 16 D",Atletas!P436="Taijiquan 24 D",Atletas!P436="Taijiquan 32 D",Atletas!P436="Taijiquan 42 D"),424,IF(OR(Atletas!P436="Yang 26 E",Atletas!P436="Yang 40 E"),425,IF(OR(Atletas!P436="Chen 25 E",Atletas!P436="Chen 36 E",Atletas!P436="Chen 56 E"),426,IF(Atletas!P436="Sun 73 E",427,IF(Atletas!P436="Wu 45 E",428,IF(Atletas!P436="Wu-Hao 46 E",429,IF(OR(Atletas!P436="Taijiquan 16 E",Atletas!P436="Taijiquan 24 E",Atletas!P436="Taijiquan 32 E",Atletas!P436="Taijiquan 42 E"),430,IF(OR(Atletas!P436="Yang 26 F",Atletas!P436="Yang 40 F"),431,IF(OR(Atletas!P436="Chen 25 F",Atletas!P436="Chen 36 F",Atletas!P436="Chen 56 F"),432,IF(Atletas!P436="Sun 73 F",433,IF(Atletas!P436="Wu 45 F",434,IF(Atletas!P436="Wu-Hao 46 F",435,IF(OR(Atletas!P436="Taijiquan 16 F",Atletas!P436="Taijiquan 24 F",Atletas!P436="Taijiquan 32 F",Atletas!P436="Taijiquan 42 F"),436,0)))))))))))))))))))</f>
        <v/>
      </c>
      <c r="BY445" s="50" t="str">
        <f>IF(Atletas!Q436="","",IF(Atletas!X436&lt;&gt;"",10000,0)+IF(Atletas!B436="Feminino",1000,IF(Atletas!B436="Masculino",2000,""))+IF(Atletas!Q436="Xingyiquan A",501,IF(Atletas!Q436="Baguazhang A",502,IF(Atletas!Q436="Outro Estilo Interno A",503,IF(Atletas!Q436="Xingyiquan B",504,IF(Atletas!Q436="Baguazhang B",505,IF(Atletas!Q436="Outro Estilo Interno B",506,IF(Atletas!Q436="Xingyiquan C",507,IF(Atletas!Q436="Baguazhang C",508,IF(Atletas!Q436="Outro Estilo Interno C",509,IF(Atletas!Q436="Xingyiquan D",510,IF(Atletas!Q436="Baguazhang D",511,IF(Atletas!Q436="Outro Estilo Interno D",512,IF(Atletas!Q436="Xingyiquan E",513,IF(Atletas!Q436="Baguazhang E",514,IF(Atletas!Q436="Outro Estilo Interno E",515,IF(Atletas!Q436="Xingyiquan F",516,IF(Atletas!Q436="Baguazhang F",517,IF(Atletas!Q436="Outro Estilo Interno F",518, "")))))))))))))))))))</f>
        <v/>
      </c>
      <c r="BZ445" s="50" t="str">
        <f>IF(Atletas!R436="","",IF(Atletas!X436&lt;&gt;"",10000,0)+IF(Atletas!B436="Feminino",1000,IF(Atletas!B436="Masculino",2000,""))+IF(Atletas!R436="Dao A",601,IF(Atletas!R436="Jian A",602,IF(Atletas!R436="Bishou A",603,IF(Atletas!R436="Shanzi A",604,IF(Atletas!R436="Outra Arma Curta A",605,IF(Atletas!R436="Dao B",606,IF(Atletas!R436="Jian B",607,IF(Atletas!R436="Bishou B",608,IF(Atletas!R436="Shanzi B",609,IF(Atletas!R436="Outra Arma Curta B",610,IF(Atletas!R436="Dao C",611,IF(Atletas!R436="Jian C",612,IF(Atletas!R436="Bishou C",613,IF(Atletas!R436="Shanzi C",614,IF(Atletas!R436="Outra Arma Curta C",615,IF(Atletas!R436="Dao D",616,IF(Atletas!R436="Jian D",617,IF(Atletas!R436="Bishou D",618,IF(Atletas!R436="Shanzi D",619,IF(Atletas!R436="Outra Arma Curta D",620,IF(Atletas!R436="Dao E",621,IF(Atletas!R436="Jian E",622,IF(Atletas!R436="Bishou E",623,IF(Atletas!R436="Shanzi E",624,IF(Atletas!R436="Outra Arma Curta E",625,IF(Atletas!R436="Dao F",626,IF(Atletas!R436="Jian F",627,IF(Atletas!R436="Bishou F",628,IF(Atletas!R436="Shanzi F",629,IF(Atletas!R436="Outra Arma Curta F",630, "")))))))))))))))))))))))))))))))</f>
        <v/>
      </c>
      <c r="CA445" s="50" t="str">
        <f>IF(Atletas!S436="","",IF(Atletas!X436&lt;&gt;"",10000,0)+IF(Atletas!B436="Feminino",1000,IF(Atletas!B436="Masculino",2000,""))+IF(Atletas!S436="Gun A",701,IF(Atletas!S436="Qiang A",702,IF(Atletas!S436="Pudao / Guandao A",703,IF(Atletas!S436="Outra Arma Longa A",704,IF(Atletas!S436="Gun B",705,IF(Atletas!S436="Qiang B",706,IF(Atletas!S436="Pudao / Guandao B",707,IF(Atletas!S436="Outra Arma Longa B",708,IF(Atletas!S436="Gun C",709,IF(Atletas!S436="Qiang C",710,IF(Atletas!S436="Pudao / Guandao C",711,IF(Atletas!S436="Outra Arma Longa C",712,IF(Atletas!S436="Gun D",713,IF(Atletas!S436="Qiang D",714,IF(Atletas!S436="Pudao / Guandao D",715,IF(Atletas!S436="Outra Arma Longa D",716,IF(Atletas!S436="Gun E",717,IF(Atletas!S436="Qiang E",718,IF(Atletas!S436="Pudao / Guandao E",719,IF(Atletas!S436="Outra Arma Longa E",720,IF(Atletas!S436="Gun F",721,IF(Atletas!S436="Qiang F",722,IF(Atletas!S436="Pudao / Guandao F",723,IF(Atletas!S436="Outra Arma Longa F",724,"")))))))))))))))))))))))))</f>
        <v/>
      </c>
      <c r="CB445" s="50" t="str">
        <f>IF(Atletas!T436="","",IF(Atletas!X436&lt;&gt;"",10000,0)+IF(Atletas!B436="Feminino",1000,IF(Atletas!B436="Masculino",2000,""))+IF(Atletas!T436="Outra Arma Dupla A",801,IF(Atletas!T436="Arma Maleável A",802,IF(Atletas!T436="Outra Arma Dupla B",803,IF(Atletas!T436="Arma Maleável B",804,IF(Atletas!T436="Outra Arma Dupla C",805,IF(Atletas!T436="Arma Maleável C",806,IF(Atletas!T436="Outra Arma Dupla D",807,IF(Atletas!T436="Arma Maleável D",808,IF(Atletas!T436="Outra Arma Dupla E",809,IF(Atletas!T436="Arma Maleável E",810,IF(Atletas!T436="Outra Arma Dupla F",811,IF(Atletas!T436="Arma Maleável F",812,IF(Atletas!T436="Shuangdao A",813,IF(Atletas!T436="Shuangdao B",814,IF(Atletas!T436="Shuangdao C",815,IF(Atletas!T436="Shuangdao D",816,IF(Atletas!T436="Shuangdao E",817,IF(Atletas!T436="Shuangdao F",818,"")))))))))))))))))))</f>
        <v/>
      </c>
      <c r="CC445" s="50" t="str">
        <f>IF(Atletas!U436="","",IF(Atletas!X436&lt;&gt;"",10000,0)+IF(Atletas!B436="Feminino",1000,IF(Atletas!B436="Masculino",2000,""))+IF(OR(Atletas!U436="Taijijian Yang A",Atletas!U436="Taijijian Yang Standard A"),901,IF(OR(Atletas!U436="Taijijian Chen A", Atletas!U436="Taijijian Chen Standard A"),902,IF(Atletas!U436="Taijijian Sun A",903,IF(Atletas!U436="Taijijian Wu A",904,IF(Atletas!U436="Taijijian Wu-Hao A",905,IF(OR(Atletas!U436="Taijijian 32 A",Atletas!U436="Taijijian 42 A"),906,IF(OR(Atletas!U436="Taijijian Yang B",Atletas!U436="Taijijian Yang Standard B"),907,IF(OR(Atletas!U436="Taijijian Chen B", Atletas!U436="Taijijian Chen Standard B"),908,IF(Atletas!U436="Taijijian Sun B",909,IF(Atletas!U436="Taijijian Wu B",910,IF(Atletas!U436="Taijijian Wu-Hao B",911,IF(OR(Atletas!U436="Taijijian 32 B",Atletas!U436="Taijijian 42 B"),912,IF(OR(Atletas!U436="Taijijian Yang C",Atletas!U436="Taijijian Yang Standard C"),913,IF(OR(Atletas!U436="Taijijian Chen C", Atletas!U436="Taijijian Chen Standard C"),914,IF(Atletas!U436="Taijijian Sun C",915,IF(Atletas!U436="Taijijian Wu C",916,IF(Atletas!U436="Taijijian Wu-Hao C",917,IF(OR(Atletas!U436="Taijijian 32 C",Atletas!U436="Taijijian 42 C"),918,IF(OR(Atletas!U436="Taijijian Yang D",Atletas!U436="Taijijian Yang Standard D"),919,IF(OR(Atletas!U436="Taijijian Chen D", Atletas!U436="Taijijian Chen Standard D"),920,IF(Atletas!U436="Taijijian Sun D",921,IF(Atletas!U436="Taijijian Wu D",922,IF(Atletas!U436="Taijijian Wu-Hao D",923,IF(OR(Atletas!U436="Taijijian 32 D",Atletas!U436="Taijijian 42 D"),924,IF(OR(Atletas!U436="Taijijian Yang E",Atletas!U436="Taijijian Yang Standard E"),925,IF(OR(Atletas!U436="Taijijian Chen E", Atletas!U436="Taijijian Chen Standard E"),926,IF(Atletas!U436="Taijijian Sun E",927,IF(Atletas!U436="Taijijian Wu E",928,IF(Atletas!U436="Taijijian Wu-Hao E",929,IF(OR(Atletas!U436="Taijijian 32 E",Atletas!U436="Taijijian 42 E"),930,IF(OR(Atletas!U436="Taijijian Yang F",Atletas!U436="Taijijian Yang Standard F"),931,IF(OR(Atletas!U436="Taijijian Chen F", Atletas!U436="Taijijian Chen Standard F"),932,IF(Atletas!U436="Taijijian Sun F",933,IF(Atletas!U436="Taijijian Wu F",934,IF(Atletas!U436="Taijijian Wu-Hao F",935,IF(OR(Atletas!U436="Taijijian 32 F",Atletas!U436="Taijijian 42 F"),936,"")))))))))))))))))))))))))))))))))))))</f>
        <v/>
      </c>
      <c r="CD445" s="50" t="str">
        <f>IF(Atletas!V436="","",IF(Atletas!X436&lt;&gt;"",10000,0)+IF(Atletas!B436="Feminino",1000,IF(Atletas!B436="Masculino",2000,""))+IF(Atletas!V436="Taijidao A",937,IF(Atletas!V436="TaijiShanzi A",938,IF(Atletas!V436="Taijiqiang A",939,IF(Atletas!V436="Bagua de Arma A",940,IF(Atletas!V436="Xingyi de Arma A",941,IF(Atletas!V436="Taijidao B",942,IF(Atletas!V436="TaijiShanzi B",943,IF(Atletas!V436="Taijiqiang B",944,IF(Atletas!V436="Bagua de Arma B",945,IF(Atletas!V436="Xingyi de Arma B",946,IF(Atletas!V436="Taijidao C",947,IF(Atletas!V436="TaijiShanzi C",948,IF(Atletas!V436="Taijiqiang C",949,IF(Atletas!V436="Bagua de Arma C",950,IF(Atletas!V436="Xingyi de Arma C",951,IF(Atletas!V436="Taijidao D",952,IF(Atletas!V436="TaijiShanzi D",953,IF(Atletas!V436="Taijiqiang D",954,IF(Atletas!V436="Bagua de Arma D",955,IF(Atletas!V436="Xingyi de Arma D",956,IF(Atletas!V436="Taijidao E",957,IF(Atletas!V436="TaijiShanzi E",958,IF(Atletas!V436="Taijiqiang E",959,IF(Atletas!V436="Bagua de Arma E",960,IF(Atletas!V436="Xingyi de Arma E",961,IF(Atletas!V436="Taijidao F",962,IF(Atletas!V436="TaijiShanzi F",963,IF(Atletas!V436="Taijiqiang F",964,IF(Atletas!V436="Bagua de Arma F",965,IF(Atletas!V436="Xingyi de Arma F",966,"")))))))))))))))))))))))))))))))</f>
        <v/>
      </c>
      <c r="CM445" s="50" t="str">
        <f xml:space="preserve"> IF(Atletas!W436="","",IF(Atletas!W436="Duilian de Mãos BC - Equipe 1",1,IF(Atletas!W436="Duilian de Mãos BC - Equipe 2",2,IF(Atletas!W436="Duilian de Armas BC - Equipe 1",3,IF(Atletas!W436="Duilian de Armas BC - Equipe 2",4,IF(Atletas!W436="Duilian de Mãos DE - Equipe 1",5,IF(Atletas!W436="Duilian de Mãos DE - Equipe 2",6,IF(Atletas!W436="Duilian de Armas DE - Equipe 1",7,IF(Atletas!W436="Duilian de Armas DE - Equipe 2",8,IF(Atletas!W436="Duilian de Tuishou - Equipe 1",9,IF(Atletas!W436="Duilian de Tuishou - Equipe 2",10,IF(Atletas!W436="Grupo Externo ABC - Equipe 1",11,IF(Atletas!W436="Grupo Externo ABC - Equipe 2",12,IF(Atletas!W436="Grupo Interno ABC - Equipe 1",13,IF(Atletas!W436="Grupo Interno ABC - Equipe 2",14,IF(Atletas!W436="Grupo Externo DEF - Equipe 1",15,IF(Atletas!W436="Grupo Externo DEF - Equipe 2",16,IF(Atletas!W436="Grupo Interno DEF - Equipe 1",17,IF(Atletas!W436="Grupo Interno DEF - Equipe 2",18,"")))))))))))))))))))</f>
        <v/>
      </c>
    </row>
    <row r="446" spans="40:91">
      <c r="AN446" s="52" t="str">
        <f>IF(Atletas!D437="","",IF(Atletas!B437="Feminino",100,IF(Atletas!B437="Masculino",200,""))+(IF(Atletas!D437="Kids 30kg",1,IF(Atletas!D437="Kids 32kg",2, IF(Atletas!D437="Kids 34kg",3,IF(Atletas!D437="Kids 36kg",4,IF(Atletas!D437="Kids 39kg",5,IF(Atletas!D437="Kids 42kg",6,IF(Atletas!D437="Kids 45kg",7, IF(Atletas!D437="Infantil 39kg",8,IF(Atletas!D437="Infantil 42kg",9,IF(Atletas!D437="Infantil 45kg",10,IF(Atletas!D437="Infantil 48kg",11,IF(Atletas!D437="Infantil 52kg",12,IF(Atletas!D437="Infantil 56kg",13,IF(Atletas!D437="Infantil 60kg",14,IF(Atletas!D437="Juvenil 48kg",15,IF(Atletas!D437="Juvenil 52kg",16,IF(Atletas!D437="Juvenil 56kg",17,IF(Atletas!D437="Juvenil 60kg",18,IF(Atletas!D437="Juvenil 65kg",19,IF(Atletas!D437="Juvenil 70kg",20,IF(Atletas!D437="Juvenil 75kg",21,IF(Atletas!D437="Juvenil 80kg",22, IF(Atletas!D437="Juvenil 85kg",23,IF(Atletas!D437="Adulto 48kg",24,IF(Atletas!D437="Adulto 52kg",25,IF(Atletas!D437="Adulto 56kg",26,IF(Atletas!D437="Adulto 60kg",27,IF(Atletas!D437="Adulto 65kg",28,IF(Atletas!D437="Adulto 70kg",29,IF(Atletas!D437="Adulto 75kg",30,IF(Atletas!D437="Adulto 80kg",31,IF(Atletas!D437="Adulto 85kg",32,IF(Atletas!D437="Adulto 90kg",33,IF(Atletas!D437="Adulto 100kg",34, IF(Atletas!D437="Adulto +100kg",35,"")))))))))))))))))))))))))))))))))))))</f>
        <v/>
      </c>
      <c r="AS446" s="6" t="str">
        <f>IF(Atletas!E437="","",IF(Atletas!B437="Feminino",100,IF(Atletas!B437="Masculino",200,""))+(IF(Atletas!E437="Juvenil 44kg",1,IF(Atletas!E437="Juvenil 48kg",2,IF(Atletas!E437="Juvenil 52kg",3,IF(Atletas!E437="Juvenil 56kg",4,IF(Atletas!E437="Juvenil 60kg",5,IF(Atletas!E437="Juvenil 65kg",6,IF(Atletas!E437="Juvenil 70kg",7,IF(Atletas!E437="Juvenil 75kg",8,IF(Atletas!E437="Juvenil 82kg",9,IF(Atletas!E437="Juvenil 90kg",10,IF(Atletas!E437="Juvenil 100kg",11,IF(Atletas!E437="Adulto 48kg",12,IF(Atletas!E437="Adulto 52kg",13,IF(Atletas!E437="Adulto 56kg",14,IF(Atletas!E437="Adulto 60kg",15,IF(Atletas!E437="Adulto 65kg",16,IF(Atletas!E437="Adulto 70kg",17,IF(Atletas!E437="Adulto 75kg",18,IF(Atletas!E437="Adulto 82kg",19,IF(Atletas!E437="Adulto 90kg",20,IF(Atletas!E437="Adulto 100kg",21,IF(Atletas!E437="Adulto +100kg",22,""))))))))))))))))))))))))</f>
        <v/>
      </c>
      <c r="AX446" s="6" t="str">
        <f>IF(Atletas!F437="","",IF(Atletas!B437="Feminino",100,IF(Atletas!B437="Masculino",200,""))+(IF(Atletas!F437="Adulto 48kg",1,IF(Atletas!F437="Adulto 56kg",2,IF(Atletas!F437="Adulto 65kg",3,IF(Atletas!F437="Adulto 75kg",4,IF(Atletas!F437="Adulto +75kg",5,IF(Atletas!F437="Adulto 52kg",6,IF(Atletas!F437="Adulto 60kg",7,IF(Atletas!F437="Adulto 70kg",8,IF(Atletas!F437="Adulto 80kg",9,IF(Atletas!F437="Adulto 90kg",10,IF(Atletas!F437="Adulto +90kg",11,"")))))))))))))</f>
        <v/>
      </c>
      <c r="BC446" s="6" t="str">
        <f>IF(Atletas!G437="","",IF(Atletas!B437="Feminino",10,IF(Atletas!B437="Masculino",20,""))+(IF(Atletas!G437="Baduanjin A",1,IF(Atletas!G437="Baduanjin B",2))))</f>
        <v/>
      </c>
      <c r="BF446" s="52" t="str">
        <f>IF(Atletas!H437="","",IF(Atletas!B437="Feminino",100,IF(Atletas!B437="Masculino",200,""))+(IF(Atletas!H437="Changquan Mirim",1,IF(Atletas!H437="Nanquan Mirim",2,IF(Atletas!H437="Taijiquan Mirim",3,IF(Atletas!H437="Changquan Grupo C",4,IF(Atletas!H437="Nanquan Grupo C",5,IF(Atletas!H437="Taijiquan Grupo C",6,IF(Atletas!H437="Changquan Grupo B",7,IF(Atletas!H437="Nanquan Grupo B",8,IF(Atletas!H437="Taijiquan Grupo B",9,IF(Atletas!H437="Changquan Grupo A",10,IF(Atletas!H437="Nanquan Grupo A",11,IF(Atletas!H437="Taijiquan Grupo A",12,IF(Atletas!H437="Changquan Opcional",13,IF(Atletas!H437="Nanquan Opcional",14,IF(Atletas!H437="Taijiquan Opcional",15,IF(Atletas!H437="Changquan Adulto",16,IF(Atletas!H437="Nanquan Adulto",17,IF(Atletas!H437="Taijiquan Adulto",18,""))))))))))))))))))))</f>
        <v/>
      </c>
      <c r="BG446" s="52" t="str">
        <f>IF(Atletas!I437="","",IF(Atletas!B437="Feminino",100,IF(Atletas!B437="Masculino",200,""))+(IF(Atletas!I437="Daoshu Mirim",19,IF(Atletas!I437="Jianshu Mirim",20,IF(Atletas!I437="Nandao Mirim",21,IF(Atletas!I437="Taijijian Mirim",22,IF(Atletas!I437="Daoshu Grupo C",23,IF(Atletas!I437="Jianshu Grupo C",24,IF(Atletas!I437="Nandao Grupo C",25,IF(Atletas!I437="Taijijian Grupo C",26,IF(Atletas!I437="Daoshu Grupo B",27,IF(Atletas!I437="Jianshu Grupo B",28,IF(Atletas!I437="Nandao Grupo B",29,IF(Atletas!I437="Taijijian Grupo B",30,IF(Atletas!I437="Daoshu Grupo A",31,IF(Atletas!I437="Jianshu Grupo A",32,IF(Atletas!I437="Nandao Grupo A",33,IF(Atletas!I437="Taijijian Grupo A",34,IF(Atletas!I437="Daoshu Opcional",35,IF(Atletas!I437="Jianshu Opcional",36,IF(Atletas!I437="Nandao Opcional",37,IF(Atletas!I437="Taijijian Opcional",38,IF(Atletas!I437="Daoshu Adulto",39,IF(Atletas!I437="Jianshu Adulto",40,IF(Atletas!I437="Nandao Adulto",41,IF(Atletas!I437="Taijijian Adulto",42,""))))))))))))))))))))))))))</f>
        <v/>
      </c>
      <c r="BH446" s="52" t="str">
        <f>IF(Atletas!J437="","",IF(Atletas!B437="Feminino",100,IF(Atletas!B437="Masculino",200,""))+(IF(Atletas!J437="Gunshu Mirim",43,IF(Atletas!J437="Qiangshu Mirim",44,IF(Atletas!J437="Nangun Mirim",45,IF(Atletas!J437="Gunshu Grupo C",46,IF(Atletas!J437="Qiangshu Grupo C",47,IF(Atletas!J437="Nangun Grupo C",48,IF(Atletas!J437="Gunshu Grupo B",49,IF(Atletas!J437="Qiangshu Grupo B",50,IF(Atletas!J437="Nangun Grupo B",51,IF(Atletas!J437="Gunshu Grupo A",52,IF(Atletas!J437="Qiangshu Grupo A",53,IF(Atletas!J437="Nangun Grupo A",54,IF(Atletas!J437="Gunshu Opcional",55,IF(Atletas!J437="Qiangshu Opcional",56,IF(Atletas!J437="Nangun Opcional",57,IF(Atletas!J437="Gunshu Adulto",58,IF(Atletas!J437="Qiangshu Adulto",59,IF(Atletas!J437="Nangun Adulto",60,IF(Atletas!J437="Taijishan Grupo B",61,IF(Atletas!J437="Taijishan Grupo A",62,""))))))))))))))))))))))</f>
        <v/>
      </c>
      <c r="BM446" s="50" t="str">
        <f>IF(Atletas!K437="","",IF(Atletas!B437="Feminino",100,IF(Atletas!B437="Masculino",200,""))+(IF(Atletas!K437="Equipe 1 Grupo B",1,IF(Atletas!K437="Equipe 2 Grupo B",2,IF(Atletas!K437="Equipe 1 Grupo A",3,IF(Atletas!K437="Equipe 2 Grupo A",4,IF(Atletas!K437="Equipe 1 Adulto",5,IF(Atletas!K437="Equipe 2 Adulto",6,""))))))))</f>
        <v/>
      </c>
      <c r="BR446" s="50" t="str">
        <f>IF(Atletas!L437="","",IF(Atletas!X437&lt;&gt;"",10000,0)+(IF(Atletas!B437="Feminino",1000,IF(Atletas!B437="Masculino",2000,""))+IF(Atletas!L437="Choylayfut A",1,IF(Atletas!L437="Hunggar A",2,IF(Atletas!L437="Wuzuquan A",3,IF(Atletas!L437="Wingchun A",4,IF(Atletas!L437="Outra Mão de Sul A",5,IF(Atletas!L437="Choylayfut B",6,IF(Atletas!L437="Hunggar B",7,IF(Atletas!L437="Wuzuquan B",8,IF(Atletas!L437="Wingchun B",9,IF(Atletas!L437="Outra Mão de Sul B",10,IF(Atletas!L437="Choylayfut C",11,IF(Atletas!L437="Hunggar C",12,IF(Atletas!L437="Wuzuquan C",13,IF(Atletas!L437="Wingchun C",14,IF(Atletas!L437="Outra Mão de Sul C",15,IF(Atletas!L437="Choylayfut D",16,IF(Atletas!L437="Hunggar D",17,IF(Atletas!L437="Wuzuquan D",18,IF(Atletas!L437="Wingchun D",19,IF(Atletas!L437="Outra Mão de Sul D",20,IF(Atletas!L437="Choylayfut E",21,IF(Atletas!L437="Hunggar E",22,IF(Atletas!L437="Wuzuquan E",23,IF(Atletas!L437="Wingchun E",24,IF(Atletas!L437="Outra Mão de Sul E",25,IF(Atletas!L437="Choylayfut F",26,IF(Atletas!L437="Hunggar F",27,IF(Atletas!L437="Wuzuquan F",28,IF(Atletas!L437="Wingchun F",29,IF(Atletas!L437="Outra Mão de Sul F",30,IF(Atletas!L437="Dishuquan A",31,IF(Atletas!L437="Dishuquan B",32,IF(Atletas!L437="Dishuquan C",33,IF(Atletas!L437="Dishuquan D",34,IF(Atletas!L437="Dishuquan E",35,IF(Atletas!L437="Dishuquan F",36,""))))))))))))))))))))))))))))))))))))))</f>
        <v/>
      </c>
      <c r="BS446" s="50" t="str">
        <f>IF(Atletas!M437="","",IF(Atletas!X437&lt;&gt;"",10000,0)+(IF(Atletas!B437="Feminino",1000,IF(Atletas!B437="Masculino",2000,""))+(IF(Atletas!M437="Chaquan A",101,IF(Atletas!M437="Emeiquan A",102,IF(Atletas!M437="Fanziquan A",103,IF(Atletas!M437="Huaquan A",104,IF(Atletas!M437="Hongquan A",105,IF(Atletas!M437="Paoquan A",106,IF(Atletas!M437="Piguaquan A",107,IF(Atletas!M437="Shaolinquan A",108,IF(Atletas!M437="Tanglangquan A",109,IF(Atletas!M437="Yingzhaoquan A",110,IF(Atletas!M437="Tongbeiquan A",111,IF(Atletas!M437="Wudangquan A",112,IF(Atletas!M437="Outros Estilos A",113,IF(Atletas!M437="Chaquan B",114,IF(Atletas!M437="Emeiquan B",115,IF(Atletas!M437="Fanziquan B",116,IF(Atletas!M437="Huaquan B",117,IF(Atletas!M437="Hongquan B",118,IF(Atletas!M437="Paoquan B",119,IF(Atletas!M437="Piguaquan B",120,IF(Atletas!M437="Shaolinquan B",121,IF(Atletas!M437="Tanglangquan B",122,IF(Atletas!M437="Yingzhaoquan B",123,IF(Atletas!M437="Tongbeiquan B",124,IF(Atletas!M437="Wudangquan B",125,IF(Atletas!M437="Outros Estilos B",126,IF(Atletas!M437="Chaquan C",127,IF(Atletas!M437="Emeiquan C",128,IF(Atletas!M437="Fanziquan C",129,IF(Atletas!M437="Huaquan C",130,IF(Atletas!M437="Hongquan C",131,IF(Atletas!M437="Paoquan C",132,IF(Atletas!M437="Piguaquan C",133,IF(Atletas!M437="Shaolinquan C",134,IF(Atletas!M437="Tanglangquan C",135,IF(Atletas!M437="Yingzhaoquan C",136,IF(Atletas!M437="Tongbeiquan C",137,IF(Atletas!M437="Wudangquan C",138,IF(Atletas!M437="Outros Estilos C",139,0))))))))))))))))))))))))))))))))))))))))))</f>
        <v/>
      </c>
      <c r="BT446" s="50" t="str">
        <f>IF(Atletas!M437="","",IF(Atletas!X437&lt;&gt;"",10000,0)+(IF(Atletas!B437="Feminino",1000,IF(Atletas!B437="Masculino",2000,""))+(IF(Atletas!M437="Chaquan D",140,IF(Atletas!M437="Emeiquan D",141,IF(Atletas!M437="Fanziquan D",142,IF(Atletas!M437="Huaquan D",143,IF(Atletas!M437="Hongquan D",144,IF(Atletas!M437="Paoquan D",145,IF(Atletas!M437="Piguaquan D",146,IF(Atletas!M437="Shaolinquan D",147,IF(Atletas!M437="Tanglangquan D",148,IF(Atletas!M437="Yingzhaoquan D",149,IF(Atletas!M437="Tongbeiquan D",150,IF(Atletas!M437="Wudangquan D",151,IF(Atletas!M437="Outros Estilos D",152,IF(Atletas!M437="Chaquan E",153,IF(Atletas!M437="Emeiquan E",154,IF(Atletas!M437="Fanziquan E",155,IF(Atletas!M437="Huaquan E",156,IF(Atletas!M437="Hongquan E",157,IF(Atletas!M437="Paoquan E",158,IF(Atletas!M437="Piguaquan E",159,IF(Atletas!M437="Shaolinquan E",160,IF(Atletas!M437="Tanglangquan E",161,IF(Atletas!M437="Yingzhaoquan E",162,IF(Atletas!M437="Tongbeiquan E",163,IF(Atletas!M437="Wudangquan E",164,IF(Atletas!M437="Outros Estilos E",165,IF(Atletas!M437="Chaquan F",166,IF(Atletas!M437="Emeiquan F",167,IF(Atletas!M437="Fanziquan F",168,IF(Atletas!M437="Huaquan F",169,IF(Atletas!M437="Hongquan F",170,IF(Atletas!M437="Paoquan F",171,IF(Atletas!M437="Piguaquan F",172,IF(Atletas!M437="Shaolinquan F",173,IF(Atletas!M437="Tanglangquan F",174,IF(Atletas!M437="Yingzhaoquan F",175,IF(Atletas!M437="Tongbeiquan F",176,IF(Atletas!M437="Wudangquan F",177,IF(Atletas!M437="Outros Estilos F",178,0))))))))))))))))))))))))))))))))))))))))))</f>
        <v/>
      </c>
      <c r="BU446" s="50" t="str">
        <f>IF(Atletas!N437="","",IF(Atletas!X437&lt;&gt;"",10000,0)+(IF(Atletas!B437="Feminino",1000,IF(Atletas!B437="Masculino",2000,""))+(IF(Atletas!N437="Ditangquan A",201,IF(Atletas!N437="Houquan A",202,IF(Atletas!N437="Zuiquan A",203,IF(Atletas!N437="Ditangquan B",204,IF(Atletas!N437="Houquan B",205,IF(Atletas!N437="Zuiquan B",206,IF(Atletas!N437="Ditangquan C",207,IF(Atletas!N437="Houquan C",208,IF(Atletas!N437="Zuiquan C",209,IF(Atletas!N437="Ditangquan D",210,IF(Atletas!N437="Houquan D",211,IF(Atletas!N437="Zuiquan D",212,IF(Atletas!N437="Ditangquan E",213,IF(Atletas!N437="Houquan E",214,IF(Atletas!N437="Zuiquan E",215,IF(Atletas!N437="Ditangquan F",216,IF(Atletas!N437="Houquan F",217,IF(Atletas!N437="Zuiquan F",218,"")))))))))))))))))))))</f>
        <v/>
      </c>
      <c r="BV446" s="50" t="str">
        <f>IF(Atletas!O437="","",IF(Atletas!X437&lt;&gt;"",10000,0)+IF(Atletas!B437="Feminino",1000,IF(Atletas!B437="Masculino",2000,""))+IF(Atletas!O437="Yang A",301,IF(Atletas!O437="Chen A",302,IF(Atletas!O437="Sun A",303,IF(Atletas!O437="Wu A",304,IF(Atletas!O437="Wu-Hao A",305,IF(Atletas!O437="Outro Taijiquan A",306,IF(Atletas!O437="Yang B",307,IF(Atletas!O437="Chen B",308,IF(Atletas!O437="Sun B",309,IF(Atletas!O437="Wu B",310,IF(Atletas!O437="Wu-Hao B",311,IF(Atletas!O437="Outro Taijiquan B",312,IF(Atletas!O437="Yang C",313,IF(Atletas!O437="Chen C",314,IF(Atletas!O437="Sun C",315,IF(Atletas!O437="Wu C",316,IF(Atletas!O437="Wu-Hao C",317,IF(Atletas!O437="Outro Taijiquan C",318,IF(Atletas!O437="Yang D",319,IF(Atletas!O437="Chen D",320,IF(Atletas!O437="Sun D",321,IF(Atletas!O437="Wu D",322,IF(Atletas!O437="Wu-Hao D",323,IF(Atletas!O437="Outro Taijiquan D",324,IF(Atletas!O437="Yang E",325,IF(Atletas!O437="Chen E",326,IF(Atletas!O437="Sun E",327,IF(Atletas!O437="Wu E",328,IF(Atletas!O437="Wu-Hao E",329,IF(Atletas!O437="Outro Taijiquan E",330,IF(Atletas!O437="Yang F",331,IF(Atletas!O437="Chen F",332,IF(Atletas!O437="Sun F",333,IF(Atletas!O437="Wu F",334,IF(Atletas!O437="Wu-Hao F",335,IF(Atletas!O437="Outro Taijiquan F",336,"")))))))))))))))))))))))))))))))))))))</f>
        <v/>
      </c>
      <c r="BW446" s="50" t="str">
        <f>IF(Atletas!P437="","",IF(Atletas!X437&lt;&gt;"",10000,0)+IF(Atletas!B437="Feminino",1000,IF(Atletas!B437="Masculino",2000,""))+IF(OR(Atletas!P437="Yang 26 A",Atletas!P437="Yang 40 A"),401,IF(OR(Atletas!P437="Chen 25 A",Atletas!P437="Chen 36 A",Atletas!P437="Chen 56 A"),402,IF(Atletas!P437="Sun 73 A",403,IF(Atletas!P437="Wu 45 A",404,IF(Atletas!P437="Wu-Hao 46 A",405,IF(OR(Atletas!P437="Taijiquan 16 A",Atletas!P437="Taijiquan 24 A",Atletas!P437="Taijiquan 32 A",Atletas!P437="Taijiquan 42 A"),406,IF(OR(Atletas!P437="Yang 26 B",Atletas!P437="Yang 40 B"),407,IF(OR(Atletas!P437="Chen 25 B",Atletas!P437="Chen 36 B",Atletas!P437="Chen 56 B"),408,IF(Atletas!P437="Sun 73 B",409,IF(Atletas!P437="Wu 45 B",410,IF(Atletas!P437="Wu-Hao 46 B",411,IF(OR(Atletas!P437="Taijiquan 16 B",Atletas!P437="Taijiquan 24 B",Atletas!P437="Taijiquan 32 B",Atletas!P437="Taijiquan 42 B"),412,IF(OR(Atletas!P437="Yang 26 C",Atletas!P437="Yang 40 C"),413,IF(OR(Atletas!P437="Chen 25 C",Atletas!P437="Chen 36 C",Atletas!P437="Chen 56 C"),414,IF(Atletas!P437="Sun 73 C",415,IF(Atletas!P437="Wu 45 C",416,IF(Atletas!P437="Wu-Hao 46 C",417,IF(OR(Atletas!P437="Taijiquan 16 C",Atletas!P437="Taijiquan 24 C",Atletas!P437="Taijiquan 32 C",Atletas!P437="Taijiquan 42 C"),418,0)))))))))))))))))))</f>
        <v/>
      </c>
      <c r="BX446" s="50" t="str">
        <f>IF(Atletas!P437="","",IF(Atletas!X437&lt;&gt;"",10000,0)+IF(Atletas!B437="Feminino",1000,IF(Atletas!B437="Masculino",2000,""))+IF(OR(Atletas!P437="Yang 26 D",Atletas!P437="Yang 40 D"),419,IF(OR(Atletas!P437="Chen 25 D",Atletas!P437="Chen 36 D",Atletas!P437="Chen 56 D"),420,IF(Atletas!P437="Sun 73 D",421,IF(Atletas!P437="Wu 45 D",422,IF(Atletas!P437="Wu-Hao 46 D",423,IF(OR(Atletas!P437="Taijiquan 16 D",Atletas!P437="Taijiquan 24 D",Atletas!P437="Taijiquan 32 D",Atletas!P437="Taijiquan 42 D"),424,IF(OR(Atletas!P437="Yang 26 E",Atletas!P437="Yang 40 E"),425,IF(OR(Atletas!P437="Chen 25 E",Atletas!P437="Chen 36 E",Atletas!P437="Chen 56 E"),426,IF(Atletas!P437="Sun 73 E",427,IF(Atletas!P437="Wu 45 E",428,IF(Atletas!P437="Wu-Hao 46 E",429,IF(OR(Atletas!P437="Taijiquan 16 E",Atletas!P437="Taijiquan 24 E",Atletas!P437="Taijiquan 32 E",Atletas!P437="Taijiquan 42 E"),430,IF(OR(Atletas!P437="Yang 26 F",Atletas!P437="Yang 40 F"),431,IF(OR(Atletas!P437="Chen 25 F",Atletas!P437="Chen 36 F",Atletas!P437="Chen 56 F"),432,IF(Atletas!P437="Sun 73 F",433,IF(Atletas!P437="Wu 45 F",434,IF(Atletas!P437="Wu-Hao 46 F",435,IF(OR(Atletas!P437="Taijiquan 16 F",Atletas!P437="Taijiquan 24 F",Atletas!P437="Taijiquan 32 F",Atletas!P437="Taijiquan 42 F"),436,0)))))))))))))))))))</f>
        <v/>
      </c>
      <c r="BY446" s="50" t="str">
        <f>IF(Atletas!Q437="","",IF(Atletas!X437&lt;&gt;"",10000,0)+IF(Atletas!B437="Feminino",1000,IF(Atletas!B437="Masculino",2000,""))+IF(Atletas!Q437="Xingyiquan A",501,IF(Atletas!Q437="Baguazhang A",502,IF(Atletas!Q437="Outro Estilo Interno A",503,IF(Atletas!Q437="Xingyiquan B",504,IF(Atletas!Q437="Baguazhang B",505,IF(Atletas!Q437="Outro Estilo Interno B",506,IF(Atletas!Q437="Xingyiquan C",507,IF(Atletas!Q437="Baguazhang C",508,IF(Atletas!Q437="Outro Estilo Interno C",509,IF(Atletas!Q437="Xingyiquan D",510,IF(Atletas!Q437="Baguazhang D",511,IF(Atletas!Q437="Outro Estilo Interno D",512,IF(Atletas!Q437="Xingyiquan E",513,IF(Atletas!Q437="Baguazhang E",514,IF(Atletas!Q437="Outro Estilo Interno E",515,IF(Atletas!Q437="Xingyiquan F",516,IF(Atletas!Q437="Baguazhang F",517,IF(Atletas!Q437="Outro Estilo Interno F",518, "")))))))))))))))))))</f>
        <v/>
      </c>
      <c r="BZ446" s="50" t="str">
        <f>IF(Atletas!R437="","",IF(Atletas!X437&lt;&gt;"",10000,0)+IF(Atletas!B437="Feminino",1000,IF(Atletas!B437="Masculino",2000,""))+IF(Atletas!R437="Dao A",601,IF(Atletas!R437="Jian A",602,IF(Atletas!R437="Bishou A",603,IF(Atletas!R437="Shanzi A",604,IF(Atletas!R437="Outra Arma Curta A",605,IF(Atletas!R437="Dao B",606,IF(Atletas!R437="Jian B",607,IF(Atletas!R437="Bishou B",608,IF(Atletas!R437="Shanzi B",609,IF(Atletas!R437="Outra Arma Curta B",610,IF(Atletas!R437="Dao C",611,IF(Atletas!R437="Jian C",612,IF(Atletas!R437="Bishou C",613,IF(Atletas!R437="Shanzi C",614,IF(Atletas!R437="Outra Arma Curta C",615,IF(Atletas!R437="Dao D",616,IF(Atletas!R437="Jian D",617,IF(Atletas!R437="Bishou D",618,IF(Atletas!R437="Shanzi D",619,IF(Atletas!R437="Outra Arma Curta D",620,IF(Atletas!R437="Dao E",621,IF(Atletas!R437="Jian E",622,IF(Atletas!R437="Bishou E",623,IF(Atletas!R437="Shanzi E",624,IF(Atletas!R437="Outra Arma Curta E",625,IF(Atletas!R437="Dao F",626,IF(Atletas!R437="Jian F",627,IF(Atletas!R437="Bishou F",628,IF(Atletas!R437="Shanzi F",629,IF(Atletas!R437="Outra Arma Curta F",630, "")))))))))))))))))))))))))))))))</f>
        <v/>
      </c>
      <c r="CA446" s="50" t="str">
        <f>IF(Atletas!S437="","",IF(Atletas!X437&lt;&gt;"",10000,0)+IF(Atletas!B437="Feminino",1000,IF(Atletas!B437="Masculino",2000,""))+IF(Atletas!S437="Gun A",701,IF(Atletas!S437="Qiang A",702,IF(Atletas!S437="Pudao / Guandao A",703,IF(Atletas!S437="Outra Arma Longa A",704,IF(Atletas!S437="Gun B",705,IF(Atletas!S437="Qiang B",706,IF(Atletas!S437="Pudao / Guandao B",707,IF(Atletas!S437="Outra Arma Longa B",708,IF(Atletas!S437="Gun C",709,IF(Atletas!S437="Qiang C",710,IF(Atletas!S437="Pudao / Guandao C",711,IF(Atletas!S437="Outra Arma Longa C",712,IF(Atletas!S437="Gun D",713,IF(Atletas!S437="Qiang D",714,IF(Atletas!S437="Pudao / Guandao D",715,IF(Atletas!S437="Outra Arma Longa D",716,IF(Atletas!S437="Gun E",717,IF(Atletas!S437="Qiang E",718,IF(Atletas!S437="Pudao / Guandao E",719,IF(Atletas!S437="Outra Arma Longa E",720,IF(Atletas!S437="Gun F",721,IF(Atletas!S437="Qiang F",722,IF(Atletas!S437="Pudao / Guandao F",723,IF(Atletas!S437="Outra Arma Longa F",724,"")))))))))))))))))))))))))</f>
        <v/>
      </c>
      <c r="CB446" s="50" t="str">
        <f>IF(Atletas!T437="","",IF(Atletas!X437&lt;&gt;"",10000,0)+IF(Atletas!B437="Feminino",1000,IF(Atletas!B437="Masculino",2000,""))+IF(Atletas!T437="Outra Arma Dupla A",801,IF(Atletas!T437="Arma Maleável A",802,IF(Atletas!T437="Outra Arma Dupla B",803,IF(Atletas!T437="Arma Maleável B",804,IF(Atletas!T437="Outra Arma Dupla C",805,IF(Atletas!T437="Arma Maleável C",806,IF(Atletas!T437="Outra Arma Dupla D",807,IF(Atletas!T437="Arma Maleável D",808,IF(Atletas!T437="Outra Arma Dupla E",809,IF(Atletas!T437="Arma Maleável E",810,IF(Atletas!T437="Outra Arma Dupla F",811,IF(Atletas!T437="Arma Maleável F",812,IF(Atletas!T437="Shuangdao A",813,IF(Atletas!T437="Shuangdao B",814,IF(Atletas!T437="Shuangdao C",815,IF(Atletas!T437="Shuangdao D",816,IF(Atletas!T437="Shuangdao E",817,IF(Atletas!T437="Shuangdao F",818,"")))))))))))))))))))</f>
        <v/>
      </c>
      <c r="CC446" s="50" t="str">
        <f>IF(Atletas!U437="","",IF(Atletas!X437&lt;&gt;"",10000,0)+IF(Atletas!B437="Feminino",1000,IF(Atletas!B437="Masculino",2000,""))+IF(OR(Atletas!U437="Taijijian Yang A",Atletas!U437="Taijijian Yang Standard A"),901,IF(OR(Atletas!U437="Taijijian Chen A", Atletas!U437="Taijijian Chen Standard A"),902,IF(Atletas!U437="Taijijian Sun A",903,IF(Atletas!U437="Taijijian Wu A",904,IF(Atletas!U437="Taijijian Wu-Hao A",905,IF(OR(Atletas!U437="Taijijian 32 A",Atletas!U437="Taijijian 42 A"),906,IF(OR(Atletas!U437="Taijijian Yang B",Atletas!U437="Taijijian Yang Standard B"),907,IF(OR(Atletas!U437="Taijijian Chen B", Atletas!U437="Taijijian Chen Standard B"),908,IF(Atletas!U437="Taijijian Sun B",909,IF(Atletas!U437="Taijijian Wu B",910,IF(Atletas!U437="Taijijian Wu-Hao B",911,IF(OR(Atletas!U437="Taijijian 32 B",Atletas!U437="Taijijian 42 B"),912,IF(OR(Atletas!U437="Taijijian Yang C",Atletas!U437="Taijijian Yang Standard C"),913,IF(OR(Atletas!U437="Taijijian Chen C", Atletas!U437="Taijijian Chen Standard C"),914,IF(Atletas!U437="Taijijian Sun C",915,IF(Atletas!U437="Taijijian Wu C",916,IF(Atletas!U437="Taijijian Wu-Hao C",917,IF(OR(Atletas!U437="Taijijian 32 C",Atletas!U437="Taijijian 42 C"),918,IF(OR(Atletas!U437="Taijijian Yang D",Atletas!U437="Taijijian Yang Standard D"),919,IF(OR(Atletas!U437="Taijijian Chen D", Atletas!U437="Taijijian Chen Standard D"),920,IF(Atletas!U437="Taijijian Sun D",921,IF(Atletas!U437="Taijijian Wu D",922,IF(Atletas!U437="Taijijian Wu-Hao D",923,IF(OR(Atletas!U437="Taijijian 32 D",Atletas!U437="Taijijian 42 D"),924,IF(OR(Atletas!U437="Taijijian Yang E",Atletas!U437="Taijijian Yang Standard E"),925,IF(OR(Atletas!U437="Taijijian Chen E", Atletas!U437="Taijijian Chen Standard E"),926,IF(Atletas!U437="Taijijian Sun E",927,IF(Atletas!U437="Taijijian Wu E",928,IF(Atletas!U437="Taijijian Wu-Hao E",929,IF(OR(Atletas!U437="Taijijian 32 E",Atletas!U437="Taijijian 42 E"),930,IF(OR(Atletas!U437="Taijijian Yang F",Atletas!U437="Taijijian Yang Standard F"),931,IF(OR(Atletas!U437="Taijijian Chen F", Atletas!U437="Taijijian Chen Standard F"),932,IF(Atletas!U437="Taijijian Sun F",933,IF(Atletas!U437="Taijijian Wu F",934,IF(Atletas!U437="Taijijian Wu-Hao F",935,IF(OR(Atletas!U437="Taijijian 32 F",Atletas!U437="Taijijian 42 F"),936,"")))))))))))))))))))))))))))))))))))))</f>
        <v/>
      </c>
      <c r="CD446" s="50" t="str">
        <f>IF(Atletas!V437="","",IF(Atletas!X437&lt;&gt;"",10000,0)+IF(Atletas!B437="Feminino",1000,IF(Atletas!B437="Masculino",2000,""))+IF(Atletas!V437="Taijidao A",937,IF(Atletas!V437="TaijiShanzi A",938,IF(Atletas!V437="Taijiqiang A",939,IF(Atletas!V437="Bagua de Arma A",940,IF(Atletas!V437="Xingyi de Arma A",941,IF(Atletas!V437="Taijidao B",942,IF(Atletas!V437="TaijiShanzi B",943,IF(Atletas!V437="Taijiqiang B",944,IF(Atletas!V437="Bagua de Arma B",945,IF(Atletas!V437="Xingyi de Arma B",946,IF(Atletas!V437="Taijidao C",947,IF(Atletas!V437="TaijiShanzi C",948,IF(Atletas!V437="Taijiqiang C",949,IF(Atletas!V437="Bagua de Arma C",950,IF(Atletas!V437="Xingyi de Arma C",951,IF(Atletas!V437="Taijidao D",952,IF(Atletas!V437="TaijiShanzi D",953,IF(Atletas!V437="Taijiqiang D",954,IF(Atletas!V437="Bagua de Arma D",955,IF(Atletas!V437="Xingyi de Arma D",956,IF(Atletas!V437="Taijidao E",957,IF(Atletas!V437="TaijiShanzi E",958,IF(Atletas!V437="Taijiqiang E",959,IF(Atletas!V437="Bagua de Arma E",960,IF(Atletas!V437="Xingyi de Arma E",961,IF(Atletas!V437="Taijidao F",962,IF(Atletas!V437="TaijiShanzi F",963,IF(Atletas!V437="Taijiqiang F",964,IF(Atletas!V437="Bagua de Arma F",965,IF(Atletas!V437="Xingyi de Arma F",966,"")))))))))))))))))))))))))))))))</f>
        <v/>
      </c>
      <c r="CM446" s="50" t="str">
        <f xml:space="preserve"> IF(Atletas!W437="","",IF(Atletas!W437="Duilian de Mãos BC - Equipe 1",1,IF(Atletas!W437="Duilian de Mãos BC - Equipe 2",2,IF(Atletas!W437="Duilian de Armas BC - Equipe 1",3,IF(Atletas!W437="Duilian de Armas BC - Equipe 2",4,IF(Atletas!W437="Duilian de Mãos DE - Equipe 1",5,IF(Atletas!W437="Duilian de Mãos DE - Equipe 2",6,IF(Atletas!W437="Duilian de Armas DE - Equipe 1",7,IF(Atletas!W437="Duilian de Armas DE - Equipe 2",8,IF(Atletas!W437="Duilian de Tuishou - Equipe 1",9,IF(Atletas!W437="Duilian de Tuishou - Equipe 2",10,IF(Atletas!W437="Grupo Externo ABC - Equipe 1",11,IF(Atletas!W437="Grupo Externo ABC - Equipe 2",12,IF(Atletas!W437="Grupo Interno ABC - Equipe 1",13,IF(Atletas!W437="Grupo Interno ABC - Equipe 2",14,IF(Atletas!W437="Grupo Externo DEF - Equipe 1",15,IF(Atletas!W437="Grupo Externo DEF - Equipe 2",16,IF(Atletas!W437="Grupo Interno DEF - Equipe 1",17,IF(Atletas!W437="Grupo Interno DEF - Equipe 2",18,"")))))))))))))))))))</f>
        <v/>
      </c>
    </row>
    <row r="447" spans="40:91">
      <c r="AN447" s="52" t="str">
        <f>IF(Atletas!D438="","",IF(Atletas!B438="Feminino",100,IF(Atletas!B438="Masculino",200,""))+(IF(Atletas!D438="Kids 30kg",1,IF(Atletas!D438="Kids 32kg",2, IF(Atletas!D438="Kids 34kg",3,IF(Atletas!D438="Kids 36kg",4,IF(Atletas!D438="Kids 39kg",5,IF(Atletas!D438="Kids 42kg",6,IF(Atletas!D438="Kids 45kg",7, IF(Atletas!D438="Infantil 39kg",8,IF(Atletas!D438="Infantil 42kg",9,IF(Atletas!D438="Infantil 45kg",10,IF(Atletas!D438="Infantil 48kg",11,IF(Atletas!D438="Infantil 52kg",12,IF(Atletas!D438="Infantil 56kg",13,IF(Atletas!D438="Infantil 60kg",14,IF(Atletas!D438="Juvenil 48kg",15,IF(Atletas!D438="Juvenil 52kg",16,IF(Atletas!D438="Juvenil 56kg",17,IF(Atletas!D438="Juvenil 60kg",18,IF(Atletas!D438="Juvenil 65kg",19,IF(Atletas!D438="Juvenil 70kg",20,IF(Atletas!D438="Juvenil 75kg",21,IF(Atletas!D438="Juvenil 80kg",22, IF(Atletas!D438="Juvenil 85kg",23,IF(Atletas!D438="Adulto 48kg",24,IF(Atletas!D438="Adulto 52kg",25,IF(Atletas!D438="Adulto 56kg",26,IF(Atletas!D438="Adulto 60kg",27,IF(Atletas!D438="Adulto 65kg",28,IF(Atletas!D438="Adulto 70kg",29,IF(Atletas!D438="Adulto 75kg",30,IF(Atletas!D438="Adulto 80kg",31,IF(Atletas!D438="Adulto 85kg",32,IF(Atletas!D438="Adulto 90kg",33,IF(Atletas!D438="Adulto 100kg",34, IF(Atletas!D438="Adulto +100kg",35,"")))))))))))))))))))))))))))))))))))))</f>
        <v/>
      </c>
      <c r="AS447" s="6" t="str">
        <f>IF(Atletas!E438="","",IF(Atletas!B438="Feminino",100,IF(Atletas!B438="Masculino",200,""))+(IF(Atletas!E438="Juvenil 44kg",1,IF(Atletas!E438="Juvenil 48kg",2,IF(Atletas!E438="Juvenil 52kg",3,IF(Atletas!E438="Juvenil 56kg",4,IF(Atletas!E438="Juvenil 60kg",5,IF(Atletas!E438="Juvenil 65kg",6,IF(Atletas!E438="Juvenil 70kg",7,IF(Atletas!E438="Juvenil 75kg",8,IF(Atletas!E438="Juvenil 82kg",9,IF(Atletas!E438="Juvenil 90kg",10,IF(Atletas!E438="Juvenil 100kg",11,IF(Atletas!E438="Adulto 48kg",12,IF(Atletas!E438="Adulto 52kg",13,IF(Atletas!E438="Adulto 56kg",14,IF(Atletas!E438="Adulto 60kg",15,IF(Atletas!E438="Adulto 65kg",16,IF(Atletas!E438="Adulto 70kg",17,IF(Atletas!E438="Adulto 75kg",18,IF(Atletas!E438="Adulto 82kg",19,IF(Atletas!E438="Adulto 90kg",20,IF(Atletas!E438="Adulto 100kg",21,IF(Atletas!E438="Adulto +100kg",22,""))))))))))))))))))))))))</f>
        <v/>
      </c>
      <c r="AX447" s="6" t="str">
        <f>IF(Atletas!F438="","",IF(Atletas!B438="Feminino",100,IF(Atletas!B438="Masculino",200,""))+(IF(Atletas!F438="Adulto 48kg",1,IF(Atletas!F438="Adulto 56kg",2,IF(Atletas!F438="Adulto 65kg",3,IF(Atletas!F438="Adulto 75kg",4,IF(Atletas!F438="Adulto +75kg",5,IF(Atletas!F438="Adulto 52kg",6,IF(Atletas!F438="Adulto 60kg",7,IF(Atletas!F438="Adulto 70kg",8,IF(Atletas!F438="Adulto 80kg",9,IF(Atletas!F438="Adulto 90kg",10,IF(Atletas!F438="Adulto +90kg",11,"")))))))))))))</f>
        <v/>
      </c>
      <c r="BC447" s="6" t="str">
        <f>IF(Atletas!G438="","",IF(Atletas!B438="Feminino",10,IF(Atletas!B438="Masculino",20,""))+(IF(Atletas!G438="Baduanjin A",1,IF(Atletas!G438="Baduanjin B",2))))</f>
        <v/>
      </c>
      <c r="BF447" s="52" t="str">
        <f>IF(Atletas!H438="","",IF(Atletas!B438="Feminino",100,IF(Atletas!B438="Masculino",200,""))+(IF(Atletas!H438="Changquan Mirim",1,IF(Atletas!H438="Nanquan Mirim",2,IF(Atletas!H438="Taijiquan Mirim",3,IF(Atletas!H438="Changquan Grupo C",4,IF(Atletas!H438="Nanquan Grupo C",5,IF(Atletas!H438="Taijiquan Grupo C",6,IF(Atletas!H438="Changquan Grupo B",7,IF(Atletas!H438="Nanquan Grupo B",8,IF(Atletas!H438="Taijiquan Grupo B",9,IF(Atletas!H438="Changquan Grupo A",10,IF(Atletas!H438="Nanquan Grupo A",11,IF(Atletas!H438="Taijiquan Grupo A",12,IF(Atletas!H438="Changquan Opcional",13,IF(Atletas!H438="Nanquan Opcional",14,IF(Atletas!H438="Taijiquan Opcional",15,IF(Atletas!H438="Changquan Adulto",16,IF(Atletas!H438="Nanquan Adulto",17,IF(Atletas!H438="Taijiquan Adulto",18,""))))))))))))))))))))</f>
        <v/>
      </c>
      <c r="BG447" s="52" t="str">
        <f>IF(Atletas!I438="","",IF(Atletas!B438="Feminino",100,IF(Atletas!B438="Masculino",200,""))+(IF(Atletas!I438="Daoshu Mirim",19,IF(Atletas!I438="Jianshu Mirim",20,IF(Atletas!I438="Nandao Mirim",21,IF(Atletas!I438="Taijijian Mirim",22,IF(Atletas!I438="Daoshu Grupo C",23,IF(Atletas!I438="Jianshu Grupo C",24,IF(Atletas!I438="Nandao Grupo C",25,IF(Atletas!I438="Taijijian Grupo C",26,IF(Atletas!I438="Daoshu Grupo B",27,IF(Atletas!I438="Jianshu Grupo B",28,IF(Atletas!I438="Nandao Grupo B",29,IF(Atletas!I438="Taijijian Grupo B",30,IF(Atletas!I438="Daoshu Grupo A",31,IF(Atletas!I438="Jianshu Grupo A",32,IF(Atletas!I438="Nandao Grupo A",33,IF(Atletas!I438="Taijijian Grupo A",34,IF(Atletas!I438="Daoshu Opcional",35,IF(Atletas!I438="Jianshu Opcional",36,IF(Atletas!I438="Nandao Opcional",37,IF(Atletas!I438="Taijijian Opcional",38,IF(Atletas!I438="Daoshu Adulto",39,IF(Atletas!I438="Jianshu Adulto",40,IF(Atletas!I438="Nandao Adulto",41,IF(Atletas!I438="Taijijian Adulto",42,""))))))))))))))))))))))))))</f>
        <v/>
      </c>
      <c r="BH447" s="52" t="str">
        <f>IF(Atletas!J438="","",IF(Atletas!B438="Feminino",100,IF(Atletas!B438="Masculino",200,""))+(IF(Atletas!J438="Gunshu Mirim",43,IF(Atletas!J438="Qiangshu Mirim",44,IF(Atletas!J438="Nangun Mirim",45,IF(Atletas!J438="Gunshu Grupo C",46,IF(Atletas!J438="Qiangshu Grupo C",47,IF(Atletas!J438="Nangun Grupo C",48,IF(Atletas!J438="Gunshu Grupo B",49,IF(Atletas!J438="Qiangshu Grupo B",50,IF(Atletas!J438="Nangun Grupo B",51,IF(Atletas!J438="Gunshu Grupo A",52,IF(Atletas!J438="Qiangshu Grupo A",53,IF(Atletas!J438="Nangun Grupo A",54,IF(Atletas!J438="Gunshu Opcional",55,IF(Atletas!J438="Qiangshu Opcional",56,IF(Atletas!J438="Nangun Opcional",57,IF(Atletas!J438="Gunshu Adulto",58,IF(Atletas!J438="Qiangshu Adulto",59,IF(Atletas!J438="Nangun Adulto",60,IF(Atletas!J438="Taijishan Grupo B",61,IF(Atletas!J438="Taijishan Grupo A",62,""))))))))))))))))))))))</f>
        <v/>
      </c>
      <c r="BM447" s="50" t="str">
        <f>IF(Atletas!K438="","",IF(Atletas!B438="Feminino",100,IF(Atletas!B438="Masculino",200,""))+(IF(Atletas!K438="Equipe 1 Grupo B",1,IF(Atletas!K438="Equipe 2 Grupo B",2,IF(Atletas!K438="Equipe 1 Grupo A",3,IF(Atletas!K438="Equipe 2 Grupo A",4,IF(Atletas!K438="Equipe 1 Adulto",5,IF(Atletas!K438="Equipe 2 Adulto",6,""))))))))</f>
        <v/>
      </c>
      <c r="BR447" s="50" t="str">
        <f>IF(Atletas!L438="","",IF(Atletas!X438&lt;&gt;"",10000,0)+(IF(Atletas!B438="Feminino",1000,IF(Atletas!B438="Masculino",2000,""))+IF(Atletas!L438="Choylayfut A",1,IF(Atletas!L438="Hunggar A",2,IF(Atletas!L438="Wuzuquan A",3,IF(Atletas!L438="Wingchun A",4,IF(Atletas!L438="Outra Mão de Sul A",5,IF(Atletas!L438="Choylayfut B",6,IF(Atletas!L438="Hunggar B",7,IF(Atletas!L438="Wuzuquan B",8,IF(Atletas!L438="Wingchun B",9,IF(Atletas!L438="Outra Mão de Sul B",10,IF(Atletas!L438="Choylayfut C",11,IF(Atletas!L438="Hunggar C",12,IF(Atletas!L438="Wuzuquan C",13,IF(Atletas!L438="Wingchun C",14,IF(Atletas!L438="Outra Mão de Sul C",15,IF(Atletas!L438="Choylayfut D",16,IF(Atletas!L438="Hunggar D",17,IF(Atletas!L438="Wuzuquan D",18,IF(Atletas!L438="Wingchun D",19,IF(Atletas!L438="Outra Mão de Sul D",20,IF(Atletas!L438="Choylayfut E",21,IF(Atletas!L438="Hunggar E",22,IF(Atletas!L438="Wuzuquan E",23,IF(Atletas!L438="Wingchun E",24,IF(Atletas!L438="Outra Mão de Sul E",25,IF(Atletas!L438="Choylayfut F",26,IF(Atletas!L438="Hunggar F",27,IF(Atletas!L438="Wuzuquan F",28,IF(Atletas!L438="Wingchun F",29,IF(Atletas!L438="Outra Mão de Sul F",30,IF(Atletas!L438="Dishuquan A",31,IF(Atletas!L438="Dishuquan B",32,IF(Atletas!L438="Dishuquan C",33,IF(Atletas!L438="Dishuquan D",34,IF(Atletas!L438="Dishuquan E",35,IF(Atletas!L438="Dishuquan F",36,""))))))))))))))))))))))))))))))))))))))</f>
        <v/>
      </c>
      <c r="BS447" s="50" t="str">
        <f>IF(Atletas!M438="","",IF(Atletas!X438&lt;&gt;"",10000,0)+(IF(Atletas!B438="Feminino",1000,IF(Atletas!B438="Masculino",2000,""))+(IF(Atletas!M438="Chaquan A",101,IF(Atletas!M438="Emeiquan A",102,IF(Atletas!M438="Fanziquan A",103,IF(Atletas!M438="Huaquan A",104,IF(Atletas!M438="Hongquan A",105,IF(Atletas!M438="Paoquan A",106,IF(Atletas!M438="Piguaquan A",107,IF(Atletas!M438="Shaolinquan A",108,IF(Atletas!M438="Tanglangquan A",109,IF(Atletas!M438="Yingzhaoquan A",110,IF(Atletas!M438="Tongbeiquan A",111,IF(Atletas!M438="Wudangquan A",112,IF(Atletas!M438="Outros Estilos A",113,IF(Atletas!M438="Chaquan B",114,IF(Atletas!M438="Emeiquan B",115,IF(Atletas!M438="Fanziquan B",116,IF(Atletas!M438="Huaquan B",117,IF(Atletas!M438="Hongquan B",118,IF(Atletas!M438="Paoquan B",119,IF(Atletas!M438="Piguaquan B",120,IF(Atletas!M438="Shaolinquan B",121,IF(Atletas!M438="Tanglangquan B",122,IF(Atletas!M438="Yingzhaoquan B",123,IF(Atletas!M438="Tongbeiquan B",124,IF(Atletas!M438="Wudangquan B",125,IF(Atletas!M438="Outros Estilos B",126,IF(Atletas!M438="Chaquan C",127,IF(Atletas!M438="Emeiquan C",128,IF(Atletas!M438="Fanziquan C",129,IF(Atletas!M438="Huaquan C",130,IF(Atletas!M438="Hongquan C",131,IF(Atletas!M438="Paoquan C",132,IF(Atletas!M438="Piguaquan C",133,IF(Atletas!M438="Shaolinquan C",134,IF(Atletas!M438="Tanglangquan C",135,IF(Atletas!M438="Yingzhaoquan C",136,IF(Atletas!M438="Tongbeiquan C",137,IF(Atletas!M438="Wudangquan C",138,IF(Atletas!M438="Outros Estilos C",139,0))))))))))))))))))))))))))))))))))))))))))</f>
        <v/>
      </c>
      <c r="BT447" s="50" t="str">
        <f>IF(Atletas!M438="","",IF(Atletas!X438&lt;&gt;"",10000,0)+(IF(Atletas!B438="Feminino",1000,IF(Atletas!B438="Masculino",2000,""))+(IF(Atletas!M438="Chaquan D",140,IF(Atletas!M438="Emeiquan D",141,IF(Atletas!M438="Fanziquan D",142,IF(Atletas!M438="Huaquan D",143,IF(Atletas!M438="Hongquan D",144,IF(Atletas!M438="Paoquan D",145,IF(Atletas!M438="Piguaquan D",146,IF(Atletas!M438="Shaolinquan D",147,IF(Atletas!M438="Tanglangquan D",148,IF(Atletas!M438="Yingzhaoquan D",149,IF(Atletas!M438="Tongbeiquan D",150,IF(Atletas!M438="Wudangquan D",151,IF(Atletas!M438="Outros Estilos D",152,IF(Atletas!M438="Chaquan E",153,IF(Atletas!M438="Emeiquan E",154,IF(Atletas!M438="Fanziquan E",155,IF(Atletas!M438="Huaquan E",156,IF(Atletas!M438="Hongquan E",157,IF(Atletas!M438="Paoquan E",158,IF(Atletas!M438="Piguaquan E",159,IF(Atletas!M438="Shaolinquan E",160,IF(Atletas!M438="Tanglangquan E",161,IF(Atletas!M438="Yingzhaoquan E",162,IF(Atletas!M438="Tongbeiquan E",163,IF(Atletas!M438="Wudangquan E",164,IF(Atletas!M438="Outros Estilos E",165,IF(Atletas!M438="Chaquan F",166,IF(Atletas!M438="Emeiquan F",167,IF(Atletas!M438="Fanziquan F",168,IF(Atletas!M438="Huaquan F",169,IF(Atletas!M438="Hongquan F",170,IF(Atletas!M438="Paoquan F",171,IF(Atletas!M438="Piguaquan F",172,IF(Atletas!M438="Shaolinquan F",173,IF(Atletas!M438="Tanglangquan F",174,IF(Atletas!M438="Yingzhaoquan F",175,IF(Atletas!M438="Tongbeiquan F",176,IF(Atletas!M438="Wudangquan F",177,IF(Atletas!M438="Outros Estilos F",178,0))))))))))))))))))))))))))))))))))))))))))</f>
        <v/>
      </c>
      <c r="BU447" s="50" t="str">
        <f>IF(Atletas!N438="","",IF(Atletas!X438&lt;&gt;"",10000,0)+(IF(Atletas!B438="Feminino",1000,IF(Atletas!B438="Masculino",2000,""))+(IF(Atletas!N438="Ditangquan A",201,IF(Atletas!N438="Houquan A",202,IF(Atletas!N438="Zuiquan A",203,IF(Atletas!N438="Ditangquan B",204,IF(Atletas!N438="Houquan B",205,IF(Atletas!N438="Zuiquan B",206,IF(Atletas!N438="Ditangquan C",207,IF(Atletas!N438="Houquan C",208,IF(Atletas!N438="Zuiquan C",209,IF(Atletas!N438="Ditangquan D",210,IF(Atletas!N438="Houquan D",211,IF(Atletas!N438="Zuiquan D",212,IF(Atletas!N438="Ditangquan E",213,IF(Atletas!N438="Houquan E",214,IF(Atletas!N438="Zuiquan E",215,IF(Atletas!N438="Ditangquan F",216,IF(Atletas!N438="Houquan F",217,IF(Atletas!N438="Zuiquan F",218,"")))))))))))))))))))))</f>
        <v/>
      </c>
      <c r="BV447" s="50" t="str">
        <f>IF(Atletas!O438="","",IF(Atletas!X438&lt;&gt;"",10000,0)+IF(Atletas!B438="Feminino",1000,IF(Atletas!B438="Masculino",2000,""))+IF(Atletas!O438="Yang A",301,IF(Atletas!O438="Chen A",302,IF(Atletas!O438="Sun A",303,IF(Atletas!O438="Wu A",304,IF(Atletas!O438="Wu-Hao A",305,IF(Atletas!O438="Outro Taijiquan A",306,IF(Atletas!O438="Yang B",307,IF(Atletas!O438="Chen B",308,IF(Atletas!O438="Sun B",309,IF(Atletas!O438="Wu B",310,IF(Atletas!O438="Wu-Hao B",311,IF(Atletas!O438="Outro Taijiquan B",312,IF(Atletas!O438="Yang C",313,IF(Atletas!O438="Chen C",314,IF(Atletas!O438="Sun C",315,IF(Atletas!O438="Wu C",316,IF(Atletas!O438="Wu-Hao C",317,IF(Atletas!O438="Outro Taijiquan C",318,IF(Atletas!O438="Yang D",319,IF(Atletas!O438="Chen D",320,IF(Atletas!O438="Sun D",321,IF(Atletas!O438="Wu D",322,IF(Atletas!O438="Wu-Hao D",323,IF(Atletas!O438="Outro Taijiquan D",324,IF(Atletas!O438="Yang E",325,IF(Atletas!O438="Chen E",326,IF(Atletas!O438="Sun E",327,IF(Atletas!O438="Wu E",328,IF(Atletas!O438="Wu-Hao E",329,IF(Atletas!O438="Outro Taijiquan E",330,IF(Atletas!O438="Yang F",331,IF(Atletas!O438="Chen F",332,IF(Atletas!O438="Sun F",333,IF(Atletas!O438="Wu F",334,IF(Atletas!O438="Wu-Hao F",335,IF(Atletas!O438="Outro Taijiquan F",336,"")))))))))))))))))))))))))))))))))))))</f>
        <v/>
      </c>
      <c r="BW447" s="50" t="str">
        <f>IF(Atletas!P438="","",IF(Atletas!X438&lt;&gt;"",10000,0)+IF(Atletas!B438="Feminino",1000,IF(Atletas!B438="Masculino",2000,""))+IF(OR(Atletas!P438="Yang 26 A",Atletas!P438="Yang 40 A"),401,IF(OR(Atletas!P438="Chen 25 A",Atletas!P438="Chen 36 A",Atletas!P438="Chen 56 A"),402,IF(Atletas!P438="Sun 73 A",403,IF(Atletas!P438="Wu 45 A",404,IF(Atletas!P438="Wu-Hao 46 A",405,IF(OR(Atletas!P438="Taijiquan 16 A",Atletas!P438="Taijiquan 24 A",Atletas!P438="Taijiquan 32 A",Atletas!P438="Taijiquan 42 A"),406,IF(OR(Atletas!P438="Yang 26 B",Atletas!P438="Yang 40 B"),407,IF(OR(Atletas!P438="Chen 25 B",Atletas!P438="Chen 36 B",Atletas!P438="Chen 56 B"),408,IF(Atletas!P438="Sun 73 B",409,IF(Atletas!P438="Wu 45 B",410,IF(Atletas!P438="Wu-Hao 46 B",411,IF(OR(Atletas!P438="Taijiquan 16 B",Atletas!P438="Taijiquan 24 B",Atletas!P438="Taijiquan 32 B",Atletas!P438="Taijiquan 42 B"),412,IF(OR(Atletas!P438="Yang 26 C",Atletas!P438="Yang 40 C"),413,IF(OR(Atletas!P438="Chen 25 C",Atletas!P438="Chen 36 C",Atletas!P438="Chen 56 C"),414,IF(Atletas!P438="Sun 73 C",415,IF(Atletas!P438="Wu 45 C",416,IF(Atletas!P438="Wu-Hao 46 C",417,IF(OR(Atletas!P438="Taijiquan 16 C",Atletas!P438="Taijiquan 24 C",Atletas!P438="Taijiquan 32 C",Atletas!P438="Taijiquan 42 C"),418,0)))))))))))))))))))</f>
        <v/>
      </c>
      <c r="BX447" s="50" t="str">
        <f>IF(Atletas!P438="","",IF(Atletas!X438&lt;&gt;"",10000,0)+IF(Atletas!B438="Feminino",1000,IF(Atletas!B438="Masculino",2000,""))+IF(OR(Atletas!P438="Yang 26 D",Atletas!P438="Yang 40 D"),419,IF(OR(Atletas!P438="Chen 25 D",Atletas!P438="Chen 36 D",Atletas!P438="Chen 56 D"),420,IF(Atletas!P438="Sun 73 D",421,IF(Atletas!P438="Wu 45 D",422,IF(Atletas!P438="Wu-Hao 46 D",423,IF(OR(Atletas!P438="Taijiquan 16 D",Atletas!P438="Taijiquan 24 D",Atletas!P438="Taijiquan 32 D",Atletas!P438="Taijiquan 42 D"),424,IF(OR(Atletas!P438="Yang 26 E",Atletas!P438="Yang 40 E"),425,IF(OR(Atletas!P438="Chen 25 E",Atletas!P438="Chen 36 E",Atletas!P438="Chen 56 E"),426,IF(Atletas!P438="Sun 73 E",427,IF(Atletas!P438="Wu 45 E",428,IF(Atletas!P438="Wu-Hao 46 E",429,IF(OR(Atletas!P438="Taijiquan 16 E",Atletas!P438="Taijiquan 24 E",Atletas!P438="Taijiquan 32 E",Atletas!P438="Taijiquan 42 E"),430,IF(OR(Atletas!P438="Yang 26 F",Atletas!P438="Yang 40 F"),431,IF(OR(Atletas!P438="Chen 25 F",Atletas!P438="Chen 36 F",Atletas!P438="Chen 56 F"),432,IF(Atletas!P438="Sun 73 F",433,IF(Atletas!P438="Wu 45 F",434,IF(Atletas!P438="Wu-Hao 46 F",435,IF(OR(Atletas!P438="Taijiquan 16 F",Atletas!P438="Taijiquan 24 F",Atletas!P438="Taijiquan 32 F",Atletas!P438="Taijiquan 42 F"),436,0)))))))))))))))))))</f>
        <v/>
      </c>
      <c r="BY447" s="50" t="str">
        <f>IF(Atletas!Q438="","",IF(Atletas!X438&lt;&gt;"",10000,0)+IF(Atletas!B438="Feminino",1000,IF(Atletas!B438="Masculino",2000,""))+IF(Atletas!Q438="Xingyiquan A",501,IF(Atletas!Q438="Baguazhang A",502,IF(Atletas!Q438="Outro Estilo Interno A",503,IF(Atletas!Q438="Xingyiquan B",504,IF(Atletas!Q438="Baguazhang B",505,IF(Atletas!Q438="Outro Estilo Interno B",506,IF(Atletas!Q438="Xingyiquan C",507,IF(Atletas!Q438="Baguazhang C",508,IF(Atletas!Q438="Outro Estilo Interno C",509,IF(Atletas!Q438="Xingyiquan D",510,IF(Atletas!Q438="Baguazhang D",511,IF(Atletas!Q438="Outro Estilo Interno D",512,IF(Atletas!Q438="Xingyiquan E",513,IF(Atletas!Q438="Baguazhang E",514,IF(Atletas!Q438="Outro Estilo Interno E",515,IF(Atletas!Q438="Xingyiquan F",516,IF(Atletas!Q438="Baguazhang F",517,IF(Atletas!Q438="Outro Estilo Interno F",518, "")))))))))))))))))))</f>
        <v/>
      </c>
      <c r="BZ447" s="50" t="str">
        <f>IF(Atletas!R438="","",IF(Atletas!X438&lt;&gt;"",10000,0)+IF(Atletas!B438="Feminino",1000,IF(Atletas!B438="Masculino",2000,""))+IF(Atletas!R438="Dao A",601,IF(Atletas!R438="Jian A",602,IF(Atletas!R438="Bishou A",603,IF(Atletas!R438="Shanzi A",604,IF(Atletas!R438="Outra Arma Curta A",605,IF(Atletas!R438="Dao B",606,IF(Atletas!R438="Jian B",607,IF(Atletas!R438="Bishou B",608,IF(Atletas!R438="Shanzi B",609,IF(Atletas!R438="Outra Arma Curta B",610,IF(Atletas!R438="Dao C",611,IF(Atletas!R438="Jian C",612,IF(Atletas!R438="Bishou C",613,IF(Atletas!R438="Shanzi C",614,IF(Atletas!R438="Outra Arma Curta C",615,IF(Atletas!R438="Dao D",616,IF(Atletas!R438="Jian D",617,IF(Atletas!R438="Bishou D",618,IF(Atletas!R438="Shanzi D",619,IF(Atletas!R438="Outra Arma Curta D",620,IF(Atletas!R438="Dao E",621,IF(Atletas!R438="Jian E",622,IF(Atletas!R438="Bishou E",623,IF(Atletas!R438="Shanzi E",624,IF(Atletas!R438="Outra Arma Curta E",625,IF(Atletas!R438="Dao F",626,IF(Atletas!R438="Jian F",627,IF(Atletas!R438="Bishou F",628,IF(Atletas!R438="Shanzi F",629,IF(Atletas!R438="Outra Arma Curta F",630, "")))))))))))))))))))))))))))))))</f>
        <v/>
      </c>
      <c r="CA447" s="50" t="str">
        <f>IF(Atletas!S438="","",IF(Atletas!X438&lt;&gt;"",10000,0)+IF(Atletas!B438="Feminino",1000,IF(Atletas!B438="Masculino",2000,""))+IF(Atletas!S438="Gun A",701,IF(Atletas!S438="Qiang A",702,IF(Atletas!S438="Pudao / Guandao A",703,IF(Atletas!S438="Outra Arma Longa A",704,IF(Atletas!S438="Gun B",705,IF(Atletas!S438="Qiang B",706,IF(Atletas!S438="Pudao / Guandao B",707,IF(Atletas!S438="Outra Arma Longa B",708,IF(Atletas!S438="Gun C",709,IF(Atletas!S438="Qiang C",710,IF(Atletas!S438="Pudao / Guandao C",711,IF(Atletas!S438="Outra Arma Longa C",712,IF(Atletas!S438="Gun D",713,IF(Atletas!S438="Qiang D",714,IF(Atletas!S438="Pudao / Guandao D",715,IF(Atletas!S438="Outra Arma Longa D",716,IF(Atletas!S438="Gun E",717,IF(Atletas!S438="Qiang E",718,IF(Atletas!S438="Pudao / Guandao E",719,IF(Atletas!S438="Outra Arma Longa E",720,IF(Atletas!S438="Gun F",721,IF(Atletas!S438="Qiang F",722,IF(Atletas!S438="Pudao / Guandao F",723,IF(Atletas!S438="Outra Arma Longa F",724,"")))))))))))))))))))))))))</f>
        <v/>
      </c>
      <c r="CB447" s="50" t="str">
        <f>IF(Atletas!T438="","",IF(Atletas!X438&lt;&gt;"",10000,0)+IF(Atletas!B438="Feminino",1000,IF(Atletas!B438="Masculino",2000,""))+IF(Atletas!T438="Outra Arma Dupla A",801,IF(Atletas!T438="Arma Maleável A",802,IF(Atletas!T438="Outra Arma Dupla B",803,IF(Atletas!T438="Arma Maleável B",804,IF(Atletas!T438="Outra Arma Dupla C",805,IF(Atletas!T438="Arma Maleável C",806,IF(Atletas!T438="Outra Arma Dupla D",807,IF(Atletas!T438="Arma Maleável D",808,IF(Atletas!T438="Outra Arma Dupla E",809,IF(Atletas!T438="Arma Maleável E",810,IF(Atletas!T438="Outra Arma Dupla F",811,IF(Atletas!T438="Arma Maleável F",812,IF(Atletas!T438="Shuangdao A",813,IF(Atletas!T438="Shuangdao B",814,IF(Atletas!T438="Shuangdao C",815,IF(Atletas!T438="Shuangdao D",816,IF(Atletas!T438="Shuangdao E",817,IF(Atletas!T438="Shuangdao F",818,"")))))))))))))))))))</f>
        <v/>
      </c>
      <c r="CC447" s="50" t="str">
        <f>IF(Atletas!U438="","",IF(Atletas!X438&lt;&gt;"",10000,0)+IF(Atletas!B438="Feminino",1000,IF(Atletas!B438="Masculino",2000,""))+IF(OR(Atletas!U438="Taijijian Yang A",Atletas!U438="Taijijian Yang Standard A"),901,IF(OR(Atletas!U438="Taijijian Chen A", Atletas!U438="Taijijian Chen Standard A"),902,IF(Atletas!U438="Taijijian Sun A",903,IF(Atletas!U438="Taijijian Wu A",904,IF(Atletas!U438="Taijijian Wu-Hao A",905,IF(OR(Atletas!U438="Taijijian 32 A",Atletas!U438="Taijijian 42 A"),906,IF(OR(Atletas!U438="Taijijian Yang B",Atletas!U438="Taijijian Yang Standard B"),907,IF(OR(Atletas!U438="Taijijian Chen B", Atletas!U438="Taijijian Chen Standard B"),908,IF(Atletas!U438="Taijijian Sun B",909,IF(Atletas!U438="Taijijian Wu B",910,IF(Atletas!U438="Taijijian Wu-Hao B",911,IF(OR(Atletas!U438="Taijijian 32 B",Atletas!U438="Taijijian 42 B"),912,IF(OR(Atletas!U438="Taijijian Yang C",Atletas!U438="Taijijian Yang Standard C"),913,IF(OR(Atletas!U438="Taijijian Chen C", Atletas!U438="Taijijian Chen Standard C"),914,IF(Atletas!U438="Taijijian Sun C",915,IF(Atletas!U438="Taijijian Wu C",916,IF(Atletas!U438="Taijijian Wu-Hao C",917,IF(OR(Atletas!U438="Taijijian 32 C",Atletas!U438="Taijijian 42 C"),918,IF(OR(Atletas!U438="Taijijian Yang D",Atletas!U438="Taijijian Yang Standard D"),919,IF(OR(Atletas!U438="Taijijian Chen D", Atletas!U438="Taijijian Chen Standard D"),920,IF(Atletas!U438="Taijijian Sun D",921,IF(Atletas!U438="Taijijian Wu D",922,IF(Atletas!U438="Taijijian Wu-Hao D",923,IF(OR(Atletas!U438="Taijijian 32 D",Atletas!U438="Taijijian 42 D"),924,IF(OR(Atletas!U438="Taijijian Yang E",Atletas!U438="Taijijian Yang Standard E"),925,IF(OR(Atletas!U438="Taijijian Chen E", Atletas!U438="Taijijian Chen Standard E"),926,IF(Atletas!U438="Taijijian Sun E",927,IF(Atletas!U438="Taijijian Wu E",928,IF(Atletas!U438="Taijijian Wu-Hao E",929,IF(OR(Atletas!U438="Taijijian 32 E",Atletas!U438="Taijijian 42 E"),930,IF(OR(Atletas!U438="Taijijian Yang F",Atletas!U438="Taijijian Yang Standard F"),931,IF(OR(Atletas!U438="Taijijian Chen F", Atletas!U438="Taijijian Chen Standard F"),932,IF(Atletas!U438="Taijijian Sun F",933,IF(Atletas!U438="Taijijian Wu F",934,IF(Atletas!U438="Taijijian Wu-Hao F",935,IF(OR(Atletas!U438="Taijijian 32 F",Atletas!U438="Taijijian 42 F"),936,"")))))))))))))))))))))))))))))))))))))</f>
        <v/>
      </c>
      <c r="CD447" s="50" t="str">
        <f>IF(Atletas!V438="","",IF(Atletas!X438&lt;&gt;"",10000,0)+IF(Atletas!B438="Feminino",1000,IF(Atletas!B438="Masculino",2000,""))+IF(Atletas!V438="Taijidao A",937,IF(Atletas!V438="TaijiShanzi A",938,IF(Atletas!V438="Taijiqiang A",939,IF(Atletas!V438="Bagua de Arma A",940,IF(Atletas!V438="Xingyi de Arma A",941,IF(Atletas!V438="Taijidao B",942,IF(Atletas!V438="TaijiShanzi B",943,IF(Atletas!V438="Taijiqiang B",944,IF(Atletas!V438="Bagua de Arma B",945,IF(Atletas!V438="Xingyi de Arma B",946,IF(Atletas!V438="Taijidao C",947,IF(Atletas!V438="TaijiShanzi C",948,IF(Atletas!V438="Taijiqiang C",949,IF(Atletas!V438="Bagua de Arma C",950,IF(Atletas!V438="Xingyi de Arma C",951,IF(Atletas!V438="Taijidao D",952,IF(Atletas!V438="TaijiShanzi D",953,IF(Atletas!V438="Taijiqiang D",954,IF(Atletas!V438="Bagua de Arma D",955,IF(Atletas!V438="Xingyi de Arma D",956,IF(Atletas!V438="Taijidao E",957,IF(Atletas!V438="TaijiShanzi E",958,IF(Atletas!V438="Taijiqiang E",959,IF(Atletas!V438="Bagua de Arma E",960,IF(Atletas!V438="Xingyi de Arma E",961,IF(Atletas!V438="Taijidao F",962,IF(Atletas!V438="TaijiShanzi F",963,IF(Atletas!V438="Taijiqiang F",964,IF(Atletas!V438="Bagua de Arma F",965,IF(Atletas!V438="Xingyi de Arma F",966,"")))))))))))))))))))))))))))))))</f>
        <v/>
      </c>
      <c r="CM447" s="50" t="str">
        <f xml:space="preserve"> IF(Atletas!W438="","",IF(Atletas!W438="Duilian de Mãos BC - Equipe 1",1,IF(Atletas!W438="Duilian de Mãos BC - Equipe 2",2,IF(Atletas!W438="Duilian de Armas BC - Equipe 1",3,IF(Atletas!W438="Duilian de Armas BC - Equipe 2",4,IF(Atletas!W438="Duilian de Mãos DE - Equipe 1",5,IF(Atletas!W438="Duilian de Mãos DE - Equipe 2",6,IF(Atletas!W438="Duilian de Armas DE - Equipe 1",7,IF(Atletas!W438="Duilian de Armas DE - Equipe 2",8,IF(Atletas!W438="Duilian de Tuishou - Equipe 1",9,IF(Atletas!W438="Duilian de Tuishou - Equipe 2",10,IF(Atletas!W438="Grupo Externo ABC - Equipe 1",11,IF(Atletas!W438="Grupo Externo ABC - Equipe 2",12,IF(Atletas!W438="Grupo Interno ABC - Equipe 1",13,IF(Atletas!W438="Grupo Interno ABC - Equipe 2",14,IF(Atletas!W438="Grupo Externo DEF - Equipe 1",15,IF(Atletas!W438="Grupo Externo DEF - Equipe 2",16,IF(Atletas!W438="Grupo Interno DEF - Equipe 1",17,IF(Atletas!W438="Grupo Interno DEF - Equipe 2",18,"")))))))))))))))))))</f>
        <v/>
      </c>
    </row>
    <row r="448" spans="40:91">
      <c r="AN448" s="52" t="str">
        <f>IF(Atletas!D439="","",IF(Atletas!B439="Feminino",100,IF(Atletas!B439="Masculino",200,""))+(IF(Atletas!D439="Kids 30kg",1,IF(Atletas!D439="Kids 32kg",2, IF(Atletas!D439="Kids 34kg",3,IF(Atletas!D439="Kids 36kg",4,IF(Atletas!D439="Kids 39kg",5,IF(Atletas!D439="Kids 42kg",6,IF(Atletas!D439="Kids 45kg",7, IF(Atletas!D439="Infantil 39kg",8,IF(Atletas!D439="Infantil 42kg",9,IF(Atletas!D439="Infantil 45kg",10,IF(Atletas!D439="Infantil 48kg",11,IF(Atletas!D439="Infantil 52kg",12,IF(Atletas!D439="Infantil 56kg",13,IF(Atletas!D439="Infantil 60kg",14,IF(Atletas!D439="Juvenil 48kg",15,IF(Atletas!D439="Juvenil 52kg",16,IF(Atletas!D439="Juvenil 56kg",17,IF(Atletas!D439="Juvenil 60kg",18,IF(Atletas!D439="Juvenil 65kg",19,IF(Atletas!D439="Juvenil 70kg",20,IF(Atletas!D439="Juvenil 75kg",21,IF(Atletas!D439="Juvenil 80kg",22, IF(Atletas!D439="Juvenil 85kg",23,IF(Atletas!D439="Adulto 48kg",24,IF(Atletas!D439="Adulto 52kg",25,IF(Atletas!D439="Adulto 56kg",26,IF(Atletas!D439="Adulto 60kg",27,IF(Atletas!D439="Adulto 65kg",28,IF(Atletas!D439="Adulto 70kg",29,IF(Atletas!D439="Adulto 75kg",30,IF(Atletas!D439="Adulto 80kg",31,IF(Atletas!D439="Adulto 85kg",32,IF(Atletas!D439="Adulto 90kg",33,IF(Atletas!D439="Adulto 100kg",34, IF(Atletas!D439="Adulto +100kg",35,"")))))))))))))))))))))))))))))))))))))</f>
        <v/>
      </c>
      <c r="AS448" s="6" t="str">
        <f>IF(Atletas!E439="","",IF(Atletas!B439="Feminino",100,IF(Atletas!B439="Masculino",200,""))+(IF(Atletas!E439="Juvenil 44kg",1,IF(Atletas!E439="Juvenil 48kg",2,IF(Atletas!E439="Juvenil 52kg",3,IF(Atletas!E439="Juvenil 56kg",4,IF(Atletas!E439="Juvenil 60kg",5,IF(Atletas!E439="Juvenil 65kg",6,IF(Atletas!E439="Juvenil 70kg",7,IF(Atletas!E439="Juvenil 75kg",8,IF(Atletas!E439="Juvenil 82kg",9,IF(Atletas!E439="Juvenil 90kg",10,IF(Atletas!E439="Juvenil 100kg",11,IF(Atletas!E439="Adulto 48kg",12,IF(Atletas!E439="Adulto 52kg",13,IF(Atletas!E439="Adulto 56kg",14,IF(Atletas!E439="Adulto 60kg",15,IF(Atletas!E439="Adulto 65kg",16,IF(Atletas!E439="Adulto 70kg",17,IF(Atletas!E439="Adulto 75kg",18,IF(Atletas!E439="Adulto 82kg",19,IF(Atletas!E439="Adulto 90kg",20,IF(Atletas!E439="Adulto 100kg",21,IF(Atletas!E439="Adulto +100kg",22,""))))))))))))))))))))))))</f>
        <v/>
      </c>
      <c r="AX448" s="6" t="str">
        <f>IF(Atletas!F439="","",IF(Atletas!B439="Feminino",100,IF(Atletas!B439="Masculino",200,""))+(IF(Atletas!F439="Adulto 48kg",1,IF(Atletas!F439="Adulto 56kg",2,IF(Atletas!F439="Adulto 65kg",3,IF(Atletas!F439="Adulto 75kg",4,IF(Atletas!F439="Adulto +75kg",5,IF(Atletas!F439="Adulto 52kg",6,IF(Atletas!F439="Adulto 60kg",7,IF(Atletas!F439="Adulto 70kg",8,IF(Atletas!F439="Adulto 80kg",9,IF(Atletas!F439="Adulto 90kg",10,IF(Atletas!F439="Adulto +90kg",11,"")))))))))))))</f>
        <v/>
      </c>
      <c r="BC448" s="6" t="str">
        <f>IF(Atletas!G439="","",IF(Atletas!B439="Feminino",10,IF(Atletas!B439="Masculino",20,""))+(IF(Atletas!G439="Baduanjin A",1,IF(Atletas!G439="Baduanjin B",2))))</f>
        <v/>
      </c>
      <c r="BF448" s="52" t="str">
        <f>IF(Atletas!H439="","",IF(Atletas!B439="Feminino",100,IF(Atletas!B439="Masculino",200,""))+(IF(Atletas!H439="Changquan Mirim",1,IF(Atletas!H439="Nanquan Mirim",2,IF(Atletas!H439="Taijiquan Mirim",3,IF(Atletas!H439="Changquan Grupo C",4,IF(Atletas!H439="Nanquan Grupo C",5,IF(Atletas!H439="Taijiquan Grupo C",6,IF(Atletas!H439="Changquan Grupo B",7,IF(Atletas!H439="Nanquan Grupo B",8,IF(Atletas!H439="Taijiquan Grupo B",9,IF(Atletas!H439="Changquan Grupo A",10,IF(Atletas!H439="Nanquan Grupo A",11,IF(Atletas!H439="Taijiquan Grupo A",12,IF(Atletas!H439="Changquan Opcional",13,IF(Atletas!H439="Nanquan Opcional",14,IF(Atletas!H439="Taijiquan Opcional",15,IF(Atletas!H439="Changquan Adulto",16,IF(Atletas!H439="Nanquan Adulto",17,IF(Atletas!H439="Taijiquan Adulto",18,""))))))))))))))))))))</f>
        <v/>
      </c>
      <c r="BG448" s="52" t="str">
        <f>IF(Atletas!I439="","",IF(Atletas!B439="Feminino",100,IF(Atletas!B439="Masculino",200,""))+(IF(Atletas!I439="Daoshu Mirim",19,IF(Atletas!I439="Jianshu Mirim",20,IF(Atletas!I439="Nandao Mirim",21,IF(Atletas!I439="Taijijian Mirim",22,IF(Atletas!I439="Daoshu Grupo C",23,IF(Atletas!I439="Jianshu Grupo C",24,IF(Atletas!I439="Nandao Grupo C",25,IF(Atletas!I439="Taijijian Grupo C",26,IF(Atletas!I439="Daoshu Grupo B",27,IF(Atletas!I439="Jianshu Grupo B",28,IF(Atletas!I439="Nandao Grupo B",29,IF(Atletas!I439="Taijijian Grupo B",30,IF(Atletas!I439="Daoshu Grupo A",31,IF(Atletas!I439="Jianshu Grupo A",32,IF(Atletas!I439="Nandao Grupo A",33,IF(Atletas!I439="Taijijian Grupo A",34,IF(Atletas!I439="Daoshu Opcional",35,IF(Atletas!I439="Jianshu Opcional",36,IF(Atletas!I439="Nandao Opcional",37,IF(Atletas!I439="Taijijian Opcional",38,IF(Atletas!I439="Daoshu Adulto",39,IF(Atletas!I439="Jianshu Adulto",40,IF(Atletas!I439="Nandao Adulto",41,IF(Atletas!I439="Taijijian Adulto",42,""))))))))))))))))))))))))))</f>
        <v/>
      </c>
      <c r="BH448" s="52" t="str">
        <f>IF(Atletas!J439="","",IF(Atletas!B439="Feminino",100,IF(Atletas!B439="Masculino",200,""))+(IF(Atletas!J439="Gunshu Mirim",43,IF(Atletas!J439="Qiangshu Mirim",44,IF(Atletas!J439="Nangun Mirim",45,IF(Atletas!J439="Gunshu Grupo C",46,IF(Atletas!J439="Qiangshu Grupo C",47,IF(Atletas!J439="Nangun Grupo C",48,IF(Atletas!J439="Gunshu Grupo B",49,IF(Atletas!J439="Qiangshu Grupo B",50,IF(Atletas!J439="Nangun Grupo B",51,IF(Atletas!J439="Gunshu Grupo A",52,IF(Atletas!J439="Qiangshu Grupo A",53,IF(Atletas!J439="Nangun Grupo A",54,IF(Atletas!J439="Gunshu Opcional",55,IF(Atletas!J439="Qiangshu Opcional",56,IF(Atletas!J439="Nangun Opcional",57,IF(Atletas!J439="Gunshu Adulto",58,IF(Atletas!J439="Qiangshu Adulto",59,IF(Atletas!J439="Nangun Adulto",60,IF(Atletas!J439="Taijishan Grupo B",61,IF(Atletas!J439="Taijishan Grupo A",62,""))))))))))))))))))))))</f>
        <v/>
      </c>
      <c r="BM448" s="50" t="str">
        <f>IF(Atletas!K439="","",IF(Atletas!B439="Feminino",100,IF(Atletas!B439="Masculino",200,""))+(IF(Atletas!K439="Equipe 1 Grupo B",1,IF(Atletas!K439="Equipe 2 Grupo B",2,IF(Atletas!K439="Equipe 1 Grupo A",3,IF(Atletas!K439="Equipe 2 Grupo A",4,IF(Atletas!K439="Equipe 1 Adulto",5,IF(Atletas!K439="Equipe 2 Adulto",6,""))))))))</f>
        <v/>
      </c>
      <c r="BR448" s="50" t="str">
        <f>IF(Atletas!L439="","",IF(Atletas!X439&lt;&gt;"",10000,0)+(IF(Atletas!B439="Feminino",1000,IF(Atletas!B439="Masculino",2000,""))+IF(Atletas!L439="Choylayfut A",1,IF(Atletas!L439="Hunggar A",2,IF(Atletas!L439="Wuzuquan A",3,IF(Atletas!L439="Wingchun A",4,IF(Atletas!L439="Outra Mão de Sul A",5,IF(Atletas!L439="Choylayfut B",6,IF(Atletas!L439="Hunggar B",7,IF(Atletas!L439="Wuzuquan B",8,IF(Atletas!L439="Wingchun B",9,IF(Atletas!L439="Outra Mão de Sul B",10,IF(Atletas!L439="Choylayfut C",11,IF(Atletas!L439="Hunggar C",12,IF(Atletas!L439="Wuzuquan C",13,IF(Atletas!L439="Wingchun C",14,IF(Atletas!L439="Outra Mão de Sul C",15,IF(Atletas!L439="Choylayfut D",16,IF(Atletas!L439="Hunggar D",17,IF(Atletas!L439="Wuzuquan D",18,IF(Atletas!L439="Wingchun D",19,IF(Atletas!L439="Outra Mão de Sul D",20,IF(Atletas!L439="Choylayfut E",21,IF(Atletas!L439="Hunggar E",22,IF(Atletas!L439="Wuzuquan E",23,IF(Atletas!L439="Wingchun E",24,IF(Atletas!L439="Outra Mão de Sul E",25,IF(Atletas!L439="Choylayfut F",26,IF(Atletas!L439="Hunggar F",27,IF(Atletas!L439="Wuzuquan F",28,IF(Atletas!L439="Wingchun F",29,IF(Atletas!L439="Outra Mão de Sul F",30,IF(Atletas!L439="Dishuquan A",31,IF(Atletas!L439="Dishuquan B",32,IF(Atletas!L439="Dishuquan C",33,IF(Atletas!L439="Dishuquan D",34,IF(Atletas!L439="Dishuquan E",35,IF(Atletas!L439="Dishuquan F",36,""))))))))))))))))))))))))))))))))))))))</f>
        <v/>
      </c>
      <c r="BS448" s="50" t="str">
        <f>IF(Atletas!M439="","",IF(Atletas!X439&lt;&gt;"",10000,0)+(IF(Atletas!B439="Feminino",1000,IF(Atletas!B439="Masculino",2000,""))+(IF(Atletas!M439="Chaquan A",101,IF(Atletas!M439="Emeiquan A",102,IF(Atletas!M439="Fanziquan A",103,IF(Atletas!M439="Huaquan A",104,IF(Atletas!M439="Hongquan A",105,IF(Atletas!M439="Paoquan A",106,IF(Atletas!M439="Piguaquan A",107,IF(Atletas!M439="Shaolinquan A",108,IF(Atletas!M439="Tanglangquan A",109,IF(Atletas!M439="Yingzhaoquan A",110,IF(Atletas!M439="Tongbeiquan A",111,IF(Atletas!M439="Wudangquan A",112,IF(Atletas!M439="Outros Estilos A",113,IF(Atletas!M439="Chaquan B",114,IF(Atletas!M439="Emeiquan B",115,IF(Atletas!M439="Fanziquan B",116,IF(Atletas!M439="Huaquan B",117,IF(Atletas!M439="Hongquan B",118,IF(Atletas!M439="Paoquan B",119,IF(Atletas!M439="Piguaquan B",120,IF(Atletas!M439="Shaolinquan B",121,IF(Atletas!M439="Tanglangquan B",122,IF(Atletas!M439="Yingzhaoquan B",123,IF(Atletas!M439="Tongbeiquan B",124,IF(Atletas!M439="Wudangquan B",125,IF(Atletas!M439="Outros Estilos B",126,IF(Atletas!M439="Chaquan C",127,IF(Atletas!M439="Emeiquan C",128,IF(Atletas!M439="Fanziquan C",129,IF(Atletas!M439="Huaquan C",130,IF(Atletas!M439="Hongquan C",131,IF(Atletas!M439="Paoquan C",132,IF(Atletas!M439="Piguaquan C",133,IF(Atletas!M439="Shaolinquan C",134,IF(Atletas!M439="Tanglangquan C",135,IF(Atletas!M439="Yingzhaoquan C",136,IF(Atletas!M439="Tongbeiquan C",137,IF(Atletas!M439="Wudangquan C",138,IF(Atletas!M439="Outros Estilos C",139,0))))))))))))))))))))))))))))))))))))))))))</f>
        <v/>
      </c>
      <c r="BT448" s="50" t="str">
        <f>IF(Atletas!M439="","",IF(Atletas!X439&lt;&gt;"",10000,0)+(IF(Atletas!B439="Feminino",1000,IF(Atletas!B439="Masculino",2000,""))+(IF(Atletas!M439="Chaquan D",140,IF(Atletas!M439="Emeiquan D",141,IF(Atletas!M439="Fanziquan D",142,IF(Atletas!M439="Huaquan D",143,IF(Atletas!M439="Hongquan D",144,IF(Atletas!M439="Paoquan D",145,IF(Atletas!M439="Piguaquan D",146,IF(Atletas!M439="Shaolinquan D",147,IF(Atletas!M439="Tanglangquan D",148,IF(Atletas!M439="Yingzhaoquan D",149,IF(Atletas!M439="Tongbeiquan D",150,IF(Atletas!M439="Wudangquan D",151,IF(Atletas!M439="Outros Estilos D",152,IF(Atletas!M439="Chaquan E",153,IF(Atletas!M439="Emeiquan E",154,IF(Atletas!M439="Fanziquan E",155,IF(Atletas!M439="Huaquan E",156,IF(Atletas!M439="Hongquan E",157,IF(Atletas!M439="Paoquan E",158,IF(Atletas!M439="Piguaquan E",159,IF(Atletas!M439="Shaolinquan E",160,IF(Atletas!M439="Tanglangquan E",161,IF(Atletas!M439="Yingzhaoquan E",162,IF(Atletas!M439="Tongbeiquan E",163,IF(Atletas!M439="Wudangquan E",164,IF(Atletas!M439="Outros Estilos E",165,IF(Atletas!M439="Chaquan F",166,IF(Atletas!M439="Emeiquan F",167,IF(Atletas!M439="Fanziquan F",168,IF(Atletas!M439="Huaquan F",169,IF(Atletas!M439="Hongquan F",170,IF(Atletas!M439="Paoquan F",171,IF(Atletas!M439="Piguaquan F",172,IF(Atletas!M439="Shaolinquan F",173,IF(Atletas!M439="Tanglangquan F",174,IF(Atletas!M439="Yingzhaoquan F",175,IF(Atletas!M439="Tongbeiquan F",176,IF(Atletas!M439="Wudangquan F",177,IF(Atletas!M439="Outros Estilos F",178,0))))))))))))))))))))))))))))))))))))))))))</f>
        <v/>
      </c>
      <c r="BU448" s="50" t="str">
        <f>IF(Atletas!N439="","",IF(Atletas!X439&lt;&gt;"",10000,0)+(IF(Atletas!B439="Feminino",1000,IF(Atletas!B439="Masculino",2000,""))+(IF(Atletas!N439="Ditangquan A",201,IF(Atletas!N439="Houquan A",202,IF(Atletas!N439="Zuiquan A",203,IF(Atletas!N439="Ditangquan B",204,IF(Atletas!N439="Houquan B",205,IF(Atletas!N439="Zuiquan B",206,IF(Atletas!N439="Ditangquan C",207,IF(Atletas!N439="Houquan C",208,IF(Atletas!N439="Zuiquan C",209,IF(Atletas!N439="Ditangquan D",210,IF(Atletas!N439="Houquan D",211,IF(Atletas!N439="Zuiquan D",212,IF(Atletas!N439="Ditangquan E",213,IF(Atletas!N439="Houquan E",214,IF(Atletas!N439="Zuiquan E",215,IF(Atletas!N439="Ditangquan F",216,IF(Atletas!N439="Houquan F",217,IF(Atletas!N439="Zuiquan F",218,"")))))))))))))))))))))</f>
        <v/>
      </c>
      <c r="BV448" s="50" t="str">
        <f>IF(Atletas!O439="","",IF(Atletas!X439&lt;&gt;"",10000,0)+IF(Atletas!B439="Feminino",1000,IF(Atletas!B439="Masculino",2000,""))+IF(Atletas!O439="Yang A",301,IF(Atletas!O439="Chen A",302,IF(Atletas!O439="Sun A",303,IF(Atletas!O439="Wu A",304,IF(Atletas!O439="Wu-Hao A",305,IF(Atletas!O439="Outro Taijiquan A",306,IF(Atletas!O439="Yang B",307,IF(Atletas!O439="Chen B",308,IF(Atletas!O439="Sun B",309,IF(Atletas!O439="Wu B",310,IF(Atletas!O439="Wu-Hao B",311,IF(Atletas!O439="Outro Taijiquan B",312,IF(Atletas!O439="Yang C",313,IF(Atletas!O439="Chen C",314,IF(Atletas!O439="Sun C",315,IF(Atletas!O439="Wu C",316,IF(Atletas!O439="Wu-Hao C",317,IF(Atletas!O439="Outro Taijiquan C",318,IF(Atletas!O439="Yang D",319,IF(Atletas!O439="Chen D",320,IF(Atletas!O439="Sun D",321,IF(Atletas!O439="Wu D",322,IF(Atletas!O439="Wu-Hao D",323,IF(Atletas!O439="Outro Taijiquan D",324,IF(Atletas!O439="Yang E",325,IF(Atletas!O439="Chen E",326,IF(Atletas!O439="Sun E",327,IF(Atletas!O439="Wu E",328,IF(Atletas!O439="Wu-Hao E",329,IF(Atletas!O439="Outro Taijiquan E",330,IF(Atletas!O439="Yang F",331,IF(Atletas!O439="Chen F",332,IF(Atletas!O439="Sun F",333,IF(Atletas!O439="Wu F",334,IF(Atletas!O439="Wu-Hao F",335,IF(Atletas!O439="Outro Taijiquan F",336,"")))))))))))))))))))))))))))))))))))))</f>
        <v/>
      </c>
      <c r="BW448" s="50" t="str">
        <f>IF(Atletas!P439="","",IF(Atletas!X439&lt;&gt;"",10000,0)+IF(Atletas!B439="Feminino",1000,IF(Atletas!B439="Masculino",2000,""))+IF(OR(Atletas!P439="Yang 26 A",Atletas!P439="Yang 40 A"),401,IF(OR(Atletas!P439="Chen 25 A",Atletas!P439="Chen 36 A",Atletas!P439="Chen 56 A"),402,IF(Atletas!P439="Sun 73 A",403,IF(Atletas!P439="Wu 45 A",404,IF(Atletas!P439="Wu-Hao 46 A",405,IF(OR(Atletas!P439="Taijiquan 16 A",Atletas!P439="Taijiquan 24 A",Atletas!P439="Taijiquan 32 A",Atletas!P439="Taijiquan 42 A"),406,IF(OR(Atletas!P439="Yang 26 B",Atletas!P439="Yang 40 B"),407,IF(OR(Atletas!P439="Chen 25 B",Atletas!P439="Chen 36 B",Atletas!P439="Chen 56 B"),408,IF(Atletas!P439="Sun 73 B",409,IF(Atletas!P439="Wu 45 B",410,IF(Atletas!P439="Wu-Hao 46 B",411,IF(OR(Atletas!P439="Taijiquan 16 B",Atletas!P439="Taijiquan 24 B",Atletas!P439="Taijiquan 32 B",Atletas!P439="Taijiquan 42 B"),412,IF(OR(Atletas!P439="Yang 26 C",Atletas!P439="Yang 40 C"),413,IF(OR(Atletas!P439="Chen 25 C",Atletas!P439="Chen 36 C",Atletas!P439="Chen 56 C"),414,IF(Atletas!P439="Sun 73 C",415,IF(Atletas!P439="Wu 45 C",416,IF(Atletas!P439="Wu-Hao 46 C",417,IF(OR(Atletas!P439="Taijiquan 16 C",Atletas!P439="Taijiquan 24 C",Atletas!P439="Taijiquan 32 C",Atletas!P439="Taijiquan 42 C"),418,0)))))))))))))))))))</f>
        <v/>
      </c>
      <c r="BX448" s="50" t="str">
        <f>IF(Atletas!P439="","",IF(Atletas!X439&lt;&gt;"",10000,0)+IF(Atletas!B439="Feminino",1000,IF(Atletas!B439="Masculino",2000,""))+IF(OR(Atletas!P439="Yang 26 D",Atletas!P439="Yang 40 D"),419,IF(OR(Atletas!P439="Chen 25 D",Atletas!P439="Chen 36 D",Atletas!P439="Chen 56 D"),420,IF(Atletas!P439="Sun 73 D",421,IF(Atletas!P439="Wu 45 D",422,IF(Atletas!P439="Wu-Hao 46 D",423,IF(OR(Atletas!P439="Taijiquan 16 D",Atletas!P439="Taijiquan 24 D",Atletas!P439="Taijiquan 32 D",Atletas!P439="Taijiquan 42 D"),424,IF(OR(Atletas!P439="Yang 26 E",Atletas!P439="Yang 40 E"),425,IF(OR(Atletas!P439="Chen 25 E",Atletas!P439="Chen 36 E",Atletas!P439="Chen 56 E"),426,IF(Atletas!P439="Sun 73 E",427,IF(Atletas!P439="Wu 45 E",428,IF(Atletas!P439="Wu-Hao 46 E",429,IF(OR(Atletas!P439="Taijiquan 16 E",Atletas!P439="Taijiquan 24 E",Atletas!P439="Taijiquan 32 E",Atletas!P439="Taijiquan 42 E"),430,IF(OR(Atletas!P439="Yang 26 F",Atletas!P439="Yang 40 F"),431,IF(OR(Atletas!P439="Chen 25 F",Atletas!P439="Chen 36 F",Atletas!P439="Chen 56 F"),432,IF(Atletas!P439="Sun 73 F",433,IF(Atletas!P439="Wu 45 F",434,IF(Atletas!P439="Wu-Hao 46 F",435,IF(OR(Atletas!P439="Taijiquan 16 F",Atletas!P439="Taijiquan 24 F",Atletas!P439="Taijiquan 32 F",Atletas!P439="Taijiquan 42 F"),436,0)))))))))))))))))))</f>
        <v/>
      </c>
      <c r="BY448" s="50" t="str">
        <f>IF(Atletas!Q439="","",IF(Atletas!X439&lt;&gt;"",10000,0)+IF(Atletas!B439="Feminino",1000,IF(Atletas!B439="Masculino",2000,""))+IF(Atletas!Q439="Xingyiquan A",501,IF(Atletas!Q439="Baguazhang A",502,IF(Atletas!Q439="Outro Estilo Interno A",503,IF(Atletas!Q439="Xingyiquan B",504,IF(Atletas!Q439="Baguazhang B",505,IF(Atletas!Q439="Outro Estilo Interno B",506,IF(Atletas!Q439="Xingyiquan C",507,IF(Atletas!Q439="Baguazhang C",508,IF(Atletas!Q439="Outro Estilo Interno C",509,IF(Atletas!Q439="Xingyiquan D",510,IF(Atletas!Q439="Baguazhang D",511,IF(Atletas!Q439="Outro Estilo Interno D",512,IF(Atletas!Q439="Xingyiquan E",513,IF(Atletas!Q439="Baguazhang E",514,IF(Atletas!Q439="Outro Estilo Interno E",515,IF(Atletas!Q439="Xingyiquan F",516,IF(Atletas!Q439="Baguazhang F",517,IF(Atletas!Q439="Outro Estilo Interno F",518, "")))))))))))))))))))</f>
        <v/>
      </c>
      <c r="BZ448" s="50" t="str">
        <f>IF(Atletas!R439="","",IF(Atletas!X439&lt;&gt;"",10000,0)+IF(Atletas!B439="Feminino",1000,IF(Atletas!B439="Masculino",2000,""))+IF(Atletas!R439="Dao A",601,IF(Atletas!R439="Jian A",602,IF(Atletas!R439="Bishou A",603,IF(Atletas!R439="Shanzi A",604,IF(Atletas!R439="Outra Arma Curta A",605,IF(Atletas!R439="Dao B",606,IF(Atletas!R439="Jian B",607,IF(Atletas!R439="Bishou B",608,IF(Atletas!R439="Shanzi B",609,IF(Atletas!R439="Outra Arma Curta B",610,IF(Atletas!R439="Dao C",611,IF(Atletas!R439="Jian C",612,IF(Atletas!R439="Bishou C",613,IF(Atletas!R439="Shanzi C",614,IF(Atletas!R439="Outra Arma Curta C",615,IF(Atletas!R439="Dao D",616,IF(Atletas!R439="Jian D",617,IF(Atletas!R439="Bishou D",618,IF(Atletas!R439="Shanzi D",619,IF(Atletas!R439="Outra Arma Curta D",620,IF(Atletas!R439="Dao E",621,IF(Atletas!R439="Jian E",622,IF(Atletas!R439="Bishou E",623,IF(Atletas!R439="Shanzi E",624,IF(Atletas!R439="Outra Arma Curta E",625,IF(Atletas!R439="Dao F",626,IF(Atletas!R439="Jian F",627,IF(Atletas!R439="Bishou F",628,IF(Atletas!R439="Shanzi F",629,IF(Atletas!R439="Outra Arma Curta F",630, "")))))))))))))))))))))))))))))))</f>
        <v/>
      </c>
      <c r="CA448" s="50" t="str">
        <f>IF(Atletas!S439="","",IF(Atletas!X439&lt;&gt;"",10000,0)+IF(Atletas!B439="Feminino",1000,IF(Atletas!B439="Masculino",2000,""))+IF(Atletas!S439="Gun A",701,IF(Atletas!S439="Qiang A",702,IF(Atletas!S439="Pudao / Guandao A",703,IF(Atletas!S439="Outra Arma Longa A",704,IF(Atletas!S439="Gun B",705,IF(Atletas!S439="Qiang B",706,IF(Atletas!S439="Pudao / Guandao B",707,IF(Atletas!S439="Outra Arma Longa B",708,IF(Atletas!S439="Gun C",709,IF(Atletas!S439="Qiang C",710,IF(Atletas!S439="Pudao / Guandao C",711,IF(Atletas!S439="Outra Arma Longa C",712,IF(Atletas!S439="Gun D",713,IF(Atletas!S439="Qiang D",714,IF(Atletas!S439="Pudao / Guandao D",715,IF(Atletas!S439="Outra Arma Longa D",716,IF(Atletas!S439="Gun E",717,IF(Atletas!S439="Qiang E",718,IF(Atletas!S439="Pudao / Guandao E",719,IF(Atletas!S439="Outra Arma Longa E",720,IF(Atletas!S439="Gun F",721,IF(Atletas!S439="Qiang F",722,IF(Atletas!S439="Pudao / Guandao F",723,IF(Atletas!S439="Outra Arma Longa F",724,"")))))))))))))))))))))))))</f>
        <v/>
      </c>
      <c r="CB448" s="50" t="str">
        <f>IF(Atletas!T439="","",IF(Atletas!X439&lt;&gt;"",10000,0)+IF(Atletas!B439="Feminino",1000,IF(Atletas!B439="Masculino",2000,""))+IF(Atletas!T439="Outra Arma Dupla A",801,IF(Atletas!T439="Arma Maleável A",802,IF(Atletas!T439="Outra Arma Dupla B",803,IF(Atletas!T439="Arma Maleável B",804,IF(Atletas!T439="Outra Arma Dupla C",805,IF(Atletas!T439="Arma Maleável C",806,IF(Atletas!T439="Outra Arma Dupla D",807,IF(Atletas!T439="Arma Maleável D",808,IF(Atletas!T439="Outra Arma Dupla E",809,IF(Atletas!T439="Arma Maleável E",810,IF(Atletas!T439="Outra Arma Dupla F",811,IF(Atletas!T439="Arma Maleável F",812,IF(Atletas!T439="Shuangdao A",813,IF(Atletas!T439="Shuangdao B",814,IF(Atletas!T439="Shuangdao C",815,IF(Atletas!T439="Shuangdao D",816,IF(Atletas!T439="Shuangdao E",817,IF(Atletas!T439="Shuangdao F",818,"")))))))))))))))))))</f>
        <v/>
      </c>
      <c r="CC448" s="50" t="str">
        <f>IF(Atletas!U439="","",IF(Atletas!X439&lt;&gt;"",10000,0)+IF(Atletas!B439="Feminino",1000,IF(Atletas!B439="Masculino",2000,""))+IF(OR(Atletas!U439="Taijijian Yang A",Atletas!U439="Taijijian Yang Standard A"),901,IF(OR(Atletas!U439="Taijijian Chen A", Atletas!U439="Taijijian Chen Standard A"),902,IF(Atletas!U439="Taijijian Sun A",903,IF(Atletas!U439="Taijijian Wu A",904,IF(Atletas!U439="Taijijian Wu-Hao A",905,IF(OR(Atletas!U439="Taijijian 32 A",Atletas!U439="Taijijian 42 A"),906,IF(OR(Atletas!U439="Taijijian Yang B",Atletas!U439="Taijijian Yang Standard B"),907,IF(OR(Atletas!U439="Taijijian Chen B", Atletas!U439="Taijijian Chen Standard B"),908,IF(Atletas!U439="Taijijian Sun B",909,IF(Atletas!U439="Taijijian Wu B",910,IF(Atletas!U439="Taijijian Wu-Hao B",911,IF(OR(Atletas!U439="Taijijian 32 B",Atletas!U439="Taijijian 42 B"),912,IF(OR(Atletas!U439="Taijijian Yang C",Atletas!U439="Taijijian Yang Standard C"),913,IF(OR(Atletas!U439="Taijijian Chen C", Atletas!U439="Taijijian Chen Standard C"),914,IF(Atletas!U439="Taijijian Sun C",915,IF(Atletas!U439="Taijijian Wu C",916,IF(Atletas!U439="Taijijian Wu-Hao C",917,IF(OR(Atletas!U439="Taijijian 32 C",Atletas!U439="Taijijian 42 C"),918,IF(OR(Atletas!U439="Taijijian Yang D",Atletas!U439="Taijijian Yang Standard D"),919,IF(OR(Atletas!U439="Taijijian Chen D", Atletas!U439="Taijijian Chen Standard D"),920,IF(Atletas!U439="Taijijian Sun D",921,IF(Atletas!U439="Taijijian Wu D",922,IF(Atletas!U439="Taijijian Wu-Hao D",923,IF(OR(Atletas!U439="Taijijian 32 D",Atletas!U439="Taijijian 42 D"),924,IF(OR(Atletas!U439="Taijijian Yang E",Atletas!U439="Taijijian Yang Standard E"),925,IF(OR(Atletas!U439="Taijijian Chen E", Atletas!U439="Taijijian Chen Standard E"),926,IF(Atletas!U439="Taijijian Sun E",927,IF(Atletas!U439="Taijijian Wu E",928,IF(Atletas!U439="Taijijian Wu-Hao E",929,IF(OR(Atletas!U439="Taijijian 32 E",Atletas!U439="Taijijian 42 E"),930,IF(OR(Atletas!U439="Taijijian Yang F",Atletas!U439="Taijijian Yang Standard F"),931,IF(OR(Atletas!U439="Taijijian Chen F", Atletas!U439="Taijijian Chen Standard F"),932,IF(Atletas!U439="Taijijian Sun F",933,IF(Atletas!U439="Taijijian Wu F",934,IF(Atletas!U439="Taijijian Wu-Hao F",935,IF(OR(Atletas!U439="Taijijian 32 F",Atletas!U439="Taijijian 42 F"),936,"")))))))))))))))))))))))))))))))))))))</f>
        <v/>
      </c>
      <c r="CD448" s="50" t="str">
        <f>IF(Atletas!V439="","",IF(Atletas!X439&lt;&gt;"",10000,0)+IF(Atletas!B439="Feminino",1000,IF(Atletas!B439="Masculino",2000,""))+IF(Atletas!V439="Taijidao A",937,IF(Atletas!V439="TaijiShanzi A",938,IF(Atletas!V439="Taijiqiang A",939,IF(Atletas!V439="Bagua de Arma A",940,IF(Atletas!V439="Xingyi de Arma A",941,IF(Atletas!V439="Taijidao B",942,IF(Atletas!V439="TaijiShanzi B",943,IF(Atletas!V439="Taijiqiang B",944,IF(Atletas!V439="Bagua de Arma B",945,IF(Atletas!V439="Xingyi de Arma B",946,IF(Atletas!V439="Taijidao C",947,IF(Atletas!V439="TaijiShanzi C",948,IF(Atletas!V439="Taijiqiang C",949,IF(Atletas!V439="Bagua de Arma C",950,IF(Atletas!V439="Xingyi de Arma C",951,IF(Atletas!V439="Taijidao D",952,IF(Atletas!V439="TaijiShanzi D",953,IF(Atletas!V439="Taijiqiang D",954,IF(Atletas!V439="Bagua de Arma D",955,IF(Atletas!V439="Xingyi de Arma D",956,IF(Atletas!V439="Taijidao E",957,IF(Atletas!V439="TaijiShanzi E",958,IF(Atletas!V439="Taijiqiang E",959,IF(Atletas!V439="Bagua de Arma E",960,IF(Atletas!V439="Xingyi de Arma E",961,IF(Atletas!V439="Taijidao F",962,IF(Atletas!V439="TaijiShanzi F",963,IF(Atletas!V439="Taijiqiang F",964,IF(Atletas!V439="Bagua de Arma F",965,IF(Atletas!V439="Xingyi de Arma F",966,"")))))))))))))))))))))))))))))))</f>
        <v/>
      </c>
      <c r="CM448" s="50" t="str">
        <f xml:space="preserve"> IF(Atletas!W439="","",IF(Atletas!W439="Duilian de Mãos BC - Equipe 1",1,IF(Atletas!W439="Duilian de Mãos BC - Equipe 2",2,IF(Atletas!W439="Duilian de Armas BC - Equipe 1",3,IF(Atletas!W439="Duilian de Armas BC - Equipe 2",4,IF(Atletas!W439="Duilian de Mãos DE - Equipe 1",5,IF(Atletas!W439="Duilian de Mãos DE - Equipe 2",6,IF(Atletas!W439="Duilian de Armas DE - Equipe 1",7,IF(Atletas!W439="Duilian de Armas DE - Equipe 2",8,IF(Atletas!W439="Duilian de Tuishou - Equipe 1",9,IF(Atletas!W439="Duilian de Tuishou - Equipe 2",10,IF(Atletas!W439="Grupo Externo ABC - Equipe 1",11,IF(Atletas!W439="Grupo Externo ABC - Equipe 2",12,IF(Atletas!W439="Grupo Interno ABC - Equipe 1",13,IF(Atletas!W439="Grupo Interno ABC - Equipe 2",14,IF(Atletas!W439="Grupo Externo DEF - Equipe 1",15,IF(Atletas!W439="Grupo Externo DEF - Equipe 2",16,IF(Atletas!W439="Grupo Interno DEF - Equipe 1",17,IF(Atletas!W439="Grupo Interno DEF - Equipe 2",18,"")))))))))))))))))))</f>
        <v/>
      </c>
    </row>
    <row r="449" spans="40:91">
      <c r="AN449" s="52" t="str">
        <f>IF(Atletas!D440="","",IF(Atletas!B440="Feminino",100,IF(Atletas!B440="Masculino",200,""))+(IF(Atletas!D440="Kids 30kg",1,IF(Atletas!D440="Kids 32kg",2, IF(Atletas!D440="Kids 34kg",3,IF(Atletas!D440="Kids 36kg",4,IF(Atletas!D440="Kids 39kg",5,IF(Atletas!D440="Kids 42kg",6,IF(Atletas!D440="Kids 45kg",7, IF(Atletas!D440="Infantil 39kg",8,IF(Atletas!D440="Infantil 42kg",9,IF(Atletas!D440="Infantil 45kg",10,IF(Atletas!D440="Infantil 48kg",11,IF(Atletas!D440="Infantil 52kg",12,IF(Atletas!D440="Infantil 56kg",13,IF(Atletas!D440="Infantil 60kg",14,IF(Atletas!D440="Juvenil 48kg",15,IF(Atletas!D440="Juvenil 52kg",16,IF(Atletas!D440="Juvenil 56kg",17,IF(Atletas!D440="Juvenil 60kg",18,IF(Atletas!D440="Juvenil 65kg",19,IF(Atletas!D440="Juvenil 70kg",20,IF(Atletas!D440="Juvenil 75kg",21,IF(Atletas!D440="Juvenil 80kg",22, IF(Atletas!D440="Juvenil 85kg",23,IF(Atletas!D440="Adulto 48kg",24,IF(Atletas!D440="Adulto 52kg",25,IF(Atletas!D440="Adulto 56kg",26,IF(Atletas!D440="Adulto 60kg",27,IF(Atletas!D440="Adulto 65kg",28,IF(Atletas!D440="Adulto 70kg",29,IF(Atletas!D440="Adulto 75kg",30,IF(Atletas!D440="Adulto 80kg",31,IF(Atletas!D440="Adulto 85kg",32,IF(Atletas!D440="Adulto 90kg",33,IF(Atletas!D440="Adulto 100kg",34, IF(Atletas!D440="Adulto +100kg",35,"")))))))))))))))))))))))))))))))))))))</f>
        <v/>
      </c>
      <c r="AS449" s="6" t="str">
        <f>IF(Atletas!E440="","",IF(Atletas!B440="Feminino",100,IF(Atletas!B440="Masculino",200,""))+(IF(Atletas!E440="Juvenil 44kg",1,IF(Atletas!E440="Juvenil 48kg",2,IF(Atletas!E440="Juvenil 52kg",3,IF(Atletas!E440="Juvenil 56kg",4,IF(Atletas!E440="Juvenil 60kg",5,IF(Atletas!E440="Juvenil 65kg",6,IF(Atletas!E440="Juvenil 70kg",7,IF(Atletas!E440="Juvenil 75kg",8,IF(Atletas!E440="Juvenil 82kg",9,IF(Atletas!E440="Juvenil 90kg",10,IF(Atletas!E440="Juvenil 100kg",11,IF(Atletas!E440="Adulto 48kg",12,IF(Atletas!E440="Adulto 52kg",13,IF(Atletas!E440="Adulto 56kg",14,IF(Atletas!E440="Adulto 60kg",15,IF(Atletas!E440="Adulto 65kg",16,IF(Atletas!E440="Adulto 70kg",17,IF(Atletas!E440="Adulto 75kg",18,IF(Atletas!E440="Adulto 82kg",19,IF(Atletas!E440="Adulto 90kg",20,IF(Atletas!E440="Adulto 100kg",21,IF(Atletas!E440="Adulto +100kg",22,""))))))))))))))))))))))))</f>
        <v/>
      </c>
      <c r="AX449" s="6" t="str">
        <f>IF(Atletas!F440="","",IF(Atletas!B440="Feminino",100,IF(Atletas!B440="Masculino",200,""))+(IF(Atletas!F440="Adulto 48kg",1,IF(Atletas!F440="Adulto 56kg",2,IF(Atletas!F440="Adulto 65kg",3,IF(Atletas!F440="Adulto 75kg",4,IF(Atletas!F440="Adulto +75kg",5,IF(Atletas!F440="Adulto 52kg",6,IF(Atletas!F440="Adulto 60kg",7,IF(Atletas!F440="Adulto 70kg",8,IF(Atletas!F440="Adulto 80kg",9,IF(Atletas!F440="Adulto 90kg",10,IF(Atletas!F440="Adulto +90kg",11,"")))))))))))))</f>
        <v/>
      </c>
      <c r="BC449" s="6" t="str">
        <f>IF(Atletas!G440="","",IF(Atletas!B440="Feminino",10,IF(Atletas!B440="Masculino",20,""))+(IF(Atletas!G440="Baduanjin A",1,IF(Atletas!G440="Baduanjin B",2))))</f>
        <v/>
      </c>
      <c r="BF449" s="52" t="str">
        <f>IF(Atletas!H440="","",IF(Atletas!B440="Feminino",100,IF(Atletas!B440="Masculino",200,""))+(IF(Atletas!H440="Changquan Mirim",1,IF(Atletas!H440="Nanquan Mirim",2,IF(Atletas!H440="Taijiquan Mirim",3,IF(Atletas!H440="Changquan Grupo C",4,IF(Atletas!H440="Nanquan Grupo C",5,IF(Atletas!H440="Taijiquan Grupo C",6,IF(Atletas!H440="Changquan Grupo B",7,IF(Atletas!H440="Nanquan Grupo B",8,IF(Atletas!H440="Taijiquan Grupo B",9,IF(Atletas!H440="Changquan Grupo A",10,IF(Atletas!H440="Nanquan Grupo A",11,IF(Atletas!H440="Taijiquan Grupo A",12,IF(Atletas!H440="Changquan Opcional",13,IF(Atletas!H440="Nanquan Opcional",14,IF(Atletas!H440="Taijiquan Opcional",15,IF(Atletas!H440="Changquan Adulto",16,IF(Atletas!H440="Nanquan Adulto",17,IF(Atletas!H440="Taijiquan Adulto",18,""))))))))))))))))))))</f>
        <v/>
      </c>
      <c r="BG449" s="52" t="str">
        <f>IF(Atletas!I440="","",IF(Atletas!B440="Feminino",100,IF(Atletas!B440="Masculino",200,""))+(IF(Atletas!I440="Daoshu Mirim",19,IF(Atletas!I440="Jianshu Mirim",20,IF(Atletas!I440="Nandao Mirim",21,IF(Atletas!I440="Taijijian Mirim",22,IF(Atletas!I440="Daoshu Grupo C",23,IF(Atletas!I440="Jianshu Grupo C",24,IF(Atletas!I440="Nandao Grupo C",25,IF(Atletas!I440="Taijijian Grupo C",26,IF(Atletas!I440="Daoshu Grupo B",27,IF(Atletas!I440="Jianshu Grupo B",28,IF(Atletas!I440="Nandao Grupo B",29,IF(Atletas!I440="Taijijian Grupo B",30,IF(Atletas!I440="Daoshu Grupo A",31,IF(Atletas!I440="Jianshu Grupo A",32,IF(Atletas!I440="Nandao Grupo A",33,IF(Atletas!I440="Taijijian Grupo A",34,IF(Atletas!I440="Daoshu Opcional",35,IF(Atletas!I440="Jianshu Opcional",36,IF(Atletas!I440="Nandao Opcional",37,IF(Atletas!I440="Taijijian Opcional",38,IF(Atletas!I440="Daoshu Adulto",39,IF(Atletas!I440="Jianshu Adulto",40,IF(Atletas!I440="Nandao Adulto",41,IF(Atletas!I440="Taijijian Adulto",42,""))))))))))))))))))))))))))</f>
        <v/>
      </c>
      <c r="BH449" s="52" t="str">
        <f>IF(Atletas!J440="","",IF(Atletas!B440="Feminino",100,IF(Atletas!B440="Masculino",200,""))+(IF(Atletas!J440="Gunshu Mirim",43,IF(Atletas!J440="Qiangshu Mirim",44,IF(Atletas!J440="Nangun Mirim",45,IF(Atletas!J440="Gunshu Grupo C",46,IF(Atletas!J440="Qiangshu Grupo C",47,IF(Atletas!J440="Nangun Grupo C",48,IF(Atletas!J440="Gunshu Grupo B",49,IF(Atletas!J440="Qiangshu Grupo B",50,IF(Atletas!J440="Nangun Grupo B",51,IF(Atletas!J440="Gunshu Grupo A",52,IF(Atletas!J440="Qiangshu Grupo A",53,IF(Atletas!J440="Nangun Grupo A",54,IF(Atletas!J440="Gunshu Opcional",55,IF(Atletas!J440="Qiangshu Opcional",56,IF(Atletas!J440="Nangun Opcional",57,IF(Atletas!J440="Gunshu Adulto",58,IF(Atletas!J440="Qiangshu Adulto",59,IF(Atletas!J440="Nangun Adulto",60,IF(Atletas!J440="Taijishan Grupo B",61,IF(Atletas!J440="Taijishan Grupo A",62,""))))))))))))))))))))))</f>
        <v/>
      </c>
      <c r="BM449" s="50" t="str">
        <f>IF(Atletas!K440="","",IF(Atletas!B440="Feminino",100,IF(Atletas!B440="Masculino",200,""))+(IF(Atletas!K440="Equipe 1 Grupo B",1,IF(Atletas!K440="Equipe 2 Grupo B",2,IF(Atletas!K440="Equipe 1 Grupo A",3,IF(Atletas!K440="Equipe 2 Grupo A",4,IF(Atletas!K440="Equipe 1 Adulto",5,IF(Atletas!K440="Equipe 2 Adulto",6,""))))))))</f>
        <v/>
      </c>
      <c r="BR449" s="50" t="str">
        <f>IF(Atletas!L440="","",IF(Atletas!X440&lt;&gt;"",10000,0)+(IF(Atletas!B440="Feminino",1000,IF(Atletas!B440="Masculino",2000,""))+IF(Atletas!L440="Choylayfut A",1,IF(Atletas!L440="Hunggar A",2,IF(Atletas!L440="Wuzuquan A",3,IF(Atletas!L440="Wingchun A",4,IF(Atletas!L440="Outra Mão de Sul A",5,IF(Atletas!L440="Choylayfut B",6,IF(Atletas!L440="Hunggar B",7,IF(Atletas!L440="Wuzuquan B",8,IF(Atletas!L440="Wingchun B",9,IF(Atletas!L440="Outra Mão de Sul B",10,IF(Atletas!L440="Choylayfut C",11,IF(Atletas!L440="Hunggar C",12,IF(Atletas!L440="Wuzuquan C",13,IF(Atletas!L440="Wingchun C",14,IF(Atletas!L440="Outra Mão de Sul C",15,IF(Atletas!L440="Choylayfut D",16,IF(Atletas!L440="Hunggar D",17,IF(Atletas!L440="Wuzuquan D",18,IF(Atletas!L440="Wingchun D",19,IF(Atletas!L440="Outra Mão de Sul D",20,IF(Atletas!L440="Choylayfut E",21,IF(Atletas!L440="Hunggar E",22,IF(Atletas!L440="Wuzuquan E",23,IF(Atletas!L440="Wingchun E",24,IF(Atletas!L440="Outra Mão de Sul E",25,IF(Atletas!L440="Choylayfut F",26,IF(Atletas!L440="Hunggar F",27,IF(Atletas!L440="Wuzuquan F",28,IF(Atletas!L440="Wingchun F",29,IF(Atletas!L440="Outra Mão de Sul F",30,IF(Atletas!L440="Dishuquan A",31,IF(Atletas!L440="Dishuquan B",32,IF(Atletas!L440="Dishuquan C",33,IF(Atletas!L440="Dishuquan D",34,IF(Atletas!L440="Dishuquan E",35,IF(Atletas!L440="Dishuquan F",36,""))))))))))))))))))))))))))))))))))))))</f>
        <v/>
      </c>
      <c r="BS449" s="50" t="str">
        <f>IF(Atletas!M440="","",IF(Atletas!X440&lt;&gt;"",10000,0)+(IF(Atletas!B440="Feminino",1000,IF(Atletas!B440="Masculino",2000,""))+(IF(Atletas!M440="Chaquan A",101,IF(Atletas!M440="Emeiquan A",102,IF(Atletas!M440="Fanziquan A",103,IF(Atletas!M440="Huaquan A",104,IF(Atletas!M440="Hongquan A",105,IF(Atletas!M440="Paoquan A",106,IF(Atletas!M440="Piguaquan A",107,IF(Atletas!M440="Shaolinquan A",108,IF(Atletas!M440="Tanglangquan A",109,IF(Atletas!M440="Yingzhaoquan A",110,IF(Atletas!M440="Tongbeiquan A",111,IF(Atletas!M440="Wudangquan A",112,IF(Atletas!M440="Outros Estilos A",113,IF(Atletas!M440="Chaquan B",114,IF(Atletas!M440="Emeiquan B",115,IF(Atletas!M440="Fanziquan B",116,IF(Atletas!M440="Huaquan B",117,IF(Atletas!M440="Hongquan B",118,IF(Atletas!M440="Paoquan B",119,IF(Atletas!M440="Piguaquan B",120,IF(Atletas!M440="Shaolinquan B",121,IF(Atletas!M440="Tanglangquan B",122,IF(Atletas!M440="Yingzhaoquan B",123,IF(Atletas!M440="Tongbeiquan B",124,IF(Atletas!M440="Wudangquan B",125,IF(Atletas!M440="Outros Estilos B",126,IF(Atletas!M440="Chaquan C",127,IF(Atletas!M440="Emeiquan C",128,IF(Atletas!M440="Fanziquan C",129,IF(Atletas!M440="Huaquan C",130,IF(Atletas!M440="Hongquan C",131,IF(Atletas!M440="Paoquan C",132,IF(Atletas!M440="Piguaquan C",133,IF(Atletas!M440="Shaolinquan C",134,IF(Atletas!M440="Tanglangquan C",135,IF(Atletas!M440="Yingzhaoquan C",136,IF(Atletas!M440="Tongbeiquan C",137,IF(Atletas!M440="Wudangquan C",138,IF(Atletas!M440="Outros Estilos C",139,0))))))))))))))))))))))))))))))))))))))))))</f>
        <v/>
      </c>
      <c r="BT449" s="50" t="str">
        <f>IF(Atletas!M440="","",IF(Atletas!X440&lt;&gt;"",10000,0)+(IF(Atletas!B440="Feminino",1000,IF(Atletas!B440="Masculino",2000,""))+(IF(Atletas!M440="Chaquan D",140,IF(Atletas!M440="Emeiquan D",141,IF(Atletas!M440="Fanziquan D",142,IF(Atletas!M440="Huaquan D",143,IF(Atletas!M440="Hongquan D",144,IF(Atletas!M440="Paoquan D",145,IF(Atletas!M440="Piguaquan D",146,IF(Atletas!M440="Shaolinquan D",147,IF(Atletas!M440="Tanglangquan D",148,IF(Atletas!M440="Yingzhaoquan D",149,IF(Atletas!M440="Tongbeiquan D",150,IF(Atletas!M440="Wudangquan D",151,IF(Atletas!M440="Outros Estilos D",152,IF(Atletas!M440="Chaquan E",153,IF(Atletas!M440="Emeiquan E",154,IF(Atletas!M440="Fanziquan E",155,IF(Atletas!M440="Huaquan E",156,IF(Atletas!M440="Hongquan E",157,IF(Atletas!M440="Paoquan E",158,IF(Atletas!M440="Piguaquan E",159,IF(Atletas!M440="Shaolinquan E",160,IF(Atletas!M440="Tanglangquan E",161,IF(Atletas!M440="Yingzhaoquan E",162,IF(Atletas!M440="Tongbeiquan E",163,IF(Atletas!M440="Wudangquan E",164,IF(Atletas!M440="Outros Estilos E",165,IF(Atletas!M440="Chaquan F",166,IF(Atletas!M440="Emeiquan F",167,IF(Atletas!M440="Fanziquan F",168,IF(Atletas!M440="Huaquan F",169,IF(Atletas!M440="Hongquan F",170,IF(Atletas!M440="Paoquan F",171,IF(Atletas!M440="Piguaquan F",172,IF(Atletas!M440="Shaolinquan F",173,IF(Atletas!M440="Tanglangquan F",174,IF(Atletas!M440="Yingzhaoquan F",175,IF(Atletas!M440="Tongbeiquan F",176,IF(Atletas!M440="Wudangquan F",177,IF(Atletas!M440="Outros Estilos F",178,0))))))))))))))))))))))))))))))))))))))))))</f>
        <v/>
      </c>
      <c r="BU449" s="50" t="str">
        <f>IF(Atletas!N440="","",IF(Atletas!X440&lt;&gt;"",10000,0)+(IF(Atletas!B440="Feminino",1000,IF(Atletas!B440="Masculino",2000,""))+(IF(Atletas!N440="Ditangquan A",201,IF(Atletas!N440="Houquan A",202,IF(Atletas!N440="Zuiquan A",203,IF(Atletas!N440="Ditangquan B",204,IF(Atletas!N440="Houquan B",205,IF(Atletas!N440="Zuiquan B",206,IF(Atletas!N440="Ditangquan C",207,IF(Atletas!N440="Houquan C",208,IF(Atletas!N440="Zuiquan C",209,IF(Atletas!N440="Ditangquan D",210,IF(Atletas!N440="Houquan D",211,IF(Atletas!N440="Zuiquan D",212,IF(Atletas!N440="Ditangquan E",213,IF(Atletas!N440="Houquan E",214,IF(Atletas!N440="Zuiquan E",215,IF(Atletas!N440="Ditangquan F",216,IF(Atletas!N440="Houquan F",217,IF(Atletas!N440="Zuiquan F",218,"")))))))))))))))))))))</f>
        <v/>
      </c>
      <c r="BV449" s="50" t="str">
        <f>IF(Atletas!O440="","",IF(Atletas!X440&lt;&gt;"",10000,0)+IF(Atletas!B440="Feminino",1000,IF(Atletas!B440="Masculino",2000,""))+IF(Atletas!O440="Yang A",301,IF(Atletas!O440="Chen A",302,IF(Atletas!O440="Sun A",303,IF(Atletas!O440="Wu A",304,IF(Atletas!O440="Wu-Hao A",305,IF(Atletas!O440="Outro Taijiquan A",306,IF(Atletas!O440="Yang B",307,IF(Atletas!O440="Chen B",308,IF(Atletas!O440="Sun B",309,IF(Atletas!O440="Wu B",310,IF(Atletas!O440="Wu-Hao B",311,IF(Atletas!O440="Outro Taijiquan B",312,IF(Atletas!O440="Yang C",313,IF(Atletas!O440="Chen C",314,IF(Atletas!O440="Sun C",315,IF(Atletas!O440="Wu C",316,IF(Atletas!O440="Wu-Hao C",317,IF(Atletas!O440="Outro Taijiquan C",318,IF(Atletas!O440="Yang D",319,IF(Atletas!O440="Chen D",320,IF(Atletas!O440="Sun D",321,IF(Atletas!O440="Wu D",322,IF(Atletas!O440="Wu-Hao D",323,IF(Atletas!O440="Outro Taijiquan D",324,IF(Atletas!O440="Yang E",325,IF(Atletas!O440="Chen E",326,IF(Atletas!O440="Sun E",327,IF(Atletas!O440="Wu E",328,IF(Atletas!O440="Wu-Hao E",329,IF(Atletas!O440="Outro Taijiquan E",330,IF(Atletas!O440="Yang F",331,IF(Atletas!O440="Chen F",332,IF(Atletas!O440="Sun F",333,IF(Atletas!O440="Wu F",334,IF(Atletas!O440="Wu-Hao F",335,IF(Atletas!O440="Outro Taijiquan F",336,"")))))))))))))))))))))))))))))))))))))</f>
        <v/>
      </c>
      <c r="BW449" s="50" t="str">
        <f>IF(Atletas!P440="","",IF(Atletas!X440&lt;&gt;"",10000,0)+IF(Atletas!B440="Feminino",1000,IF(Atletas!B440="Masculino",2000,""))+IF(OR(Atletas!P440="Yang 26 A",Atletas!P440="Yang 40 A"),401,IF(OR(Atletas!P440="Chen 25 A",Atletas!P440="Chen 36 A",Atletas!P440="Chen 56 A"),402,IF(Atletas!P440="Sun 73 A",403,IF(Atletas!P440="Wu 45 A",404,IF(Atletas!P440="Wu-Hao 46 A",405,IF(OR(Atletas!P440="Taijiquan 16 A",Atletas!P440="Taijiquan 24 A",Atletas!P440="Taijiquan 32 A",Atletas!P440="Taijiquan 42 A"),406,IF(OR(Atletas!P440="Yang 26 B",Atletas!P440="Yang 40 B"),407,IF(OR(Atletas!P440="Chen 25 B",Atletas!P440="Chen 36 B",Atletas!P440="Chen 56 B"),408,IF(Atletas!P440="Sun 73 B",409,IF(Atletas!P440="Wu 45 B",410,IF(Atletas!P440="Wu-Hao 46 B",411,IF(OR(Atletas!P440="Taijiquan 16 B",Atletas!P440="Taijiquan 24 B",Atletas!P440="Taijiquan 32 B",Atletas!P440="Taijiquan 42 B"),412,IF(OR(Atletas!P440="Yang 26 C",Atletas!P440="Yang 40 C"),413,IF(OR(Atletas!P440="Chen 25 C",Atletas!P440="Chen 36 C",Atletas!P440="Chen 56 C"),414,IF(Atletas!P440="Sun 73 C",415,IF(Atletas!P440="Wu 45 C",416,IF(Atletas!P440="Wu-Hao 46 C",417,IF(OR(Atletas!P440="Taijiquan 16 C",Atletas!P440="Taijiquan 24 C",Atletas!P440="Taijiquan 32 C",Atletas!P440="Taijiquan 42 C"),418,0)))))))))))))))))))</f>
        <v/>
      </c>
      <c r="BX449" s="50" t="str">
        <f>IF(Atletas!P440="","",IF(Atletas!X440&lt;&gt;"",10000,0)+IF(Atletas!B440="Feminino",1000,IF(Atletas!B440="Masculino",2000,""))+IF(OR(Atletas!P440="Yang 26 D",Atletas!P440="Yang 40 D"),419,IF(OR(Atletas!P440="Chen 25 D",Atletas!P440="Chen 36 D",Atletas!P440="Chen 56 D"),420,IF(Atletas!P440="Sun 73 D",421,IF(Atletas!P440="Wu 45 D",422,IF(Atletas!P440="Wu-Hao 46 D",423,IF(OR(Atletas!P440="Taijiquan 16 D",Atletas!P440="Taijiquan 24 D",Atletas!P440="Taijiquan 32 D",Atletas!P440="Taijiquan 42 D"),424,IF(OR(Atletas!P440="Yang 26 E",Atletas!P440="Yang 40 E"),425,IF(OR(Atletas!P440="Chen 25 E",Atletas!P440="Chen 36 E",Atletas!P440="Chen 56 E"),426,IF(Atletas!P440="Sun 73 E",427,IF(Atletas!P440="Wu 45 E",428,IF(Atletas!P440="Wu-Hao 46 E",429,IF(OR(Atletas!P440="Taijiquan 16 E",Atletas!P440="Taijiquan 24 E",Atletas!P440="Taijiquan 32 E",Atletas!P440="Taijiquan 42 E"),430,IF(OR(Atletas!P440="Yang 26 F",Atletas!P440="Yang 40 F"),431,IF(OR(Atletas!P440="Chen 25 F",Atletas!P440="Chen 36 F",Atletas!P440="Chen 56 F"),432,IF(Atletas!P440="Sun 73 F",433,IF(Atletas!P440="Wu 45 F",434,IF(Atletas!P440="Wu-Hao 46 F",435,IF(OR(Atletas!P440="Taijiquan 16 F",Atletas!P440="Taijiquan 24 F",Atletas!P440="Taijiquan 32 F",Atletas!P440="Taijiquan 42 F"),436,0)))))))))))))))))))</f>
        <v/>
      </c>
      <c r="BY449" s="50" t="str">
        <f>IF(Atletas!Q440="","",IF(Atletas!X440&lt;&gt;"",10000,0)+IF(Atletas!B440="Feminino",1000,IF(Atletas!B440="Masculino",2000,""))+IF(Atletas!Q440="Xingyiquan A",501,IF(Atletas!Q440="Baguazhang A",502,IF(Atletas!Q440="Outro Estilo Interno A",503,IF(Atletas!Q440="Xingyiquan B",504,IF(Atletas!Q440="Baguazhang B",505,IF(Atletas!Q440="Outro Estilo Interno B",506,IF(Atletas!Q440="Xingyiquan C",507,IF(Atletas!Q440="Baguazhang C",508,IF(Atletas!Q440="Outro Estilo Interno C",509,IF(Atletas!Q440="Xingyiquan D",510,IF(Atletas!Q440="Baguazhang D",511,IF(Atletas!Q440="Outro Estilo Interno D",512,IF(Atletas!Q440="Xingyiquan E",513,IF(Atletas!Q440="Baguazhang E",514,IF(Atletas!Q440="Outro Estilo Interno E",515,IF(Atletas!Q440="Xingyiquan F",516,IF(Atletas!Q440="Baguazhang F",517,IF(Atletas!Q440="Outro Estilo Interno F",518, "")))))))))))))))))))</f>
        <v/>
      </c>
      <c r="BZ449" s="50" t="str">
        <f>IF(Atletas!R440="","",IF(Atletas!X440&lt;&gt;"",10000,0)+IF(Atletas!B440="Feminino",1000,IF(Atletas!B440="Masculino",2000,""))+IF(Atletas!R440="Dao A",601,IF(Atletas!R440="Jian A",602,IF(Atletas!R440="Bishou A",603,IF(Atletas!R440="Shanzi A",604,IF(Atletas!R440="Outra Arma Curta A",605,IF(Atletas!R440="Dao B",606,IF(Atletas!R440="Jian B",607,IF(Atletas!R440="Bishou B",608,IF(Atletas!R440="Shanzi B",609,IF(Atletas!R440="Outra Arma Curta B",610,IF(Atletas!R440="Dao C",611,IF(Atletas!R440="Jian C",612,IF(Atletas!R440="Bishou C",613,IF(Atletas!R440="Shanzi C",614,IF(Atletas!R440="Outra Arma Curta C",615,IF(Atletas!R440="Dao D",616,IF(Atletas!R440="Jian D",617,IF(Atletas!R440="Bishou D",618,IF(Atletas!R440="Shanzi D",619,IF(Atletas!R440="Outra Arma Curta D",620,IF(Atletas!R440="Dao E",621,IF(Atletas!R440="Jian E",622,IF(Atletas!R440="Bishou E",623,IF(Atletas!R440="Shanzi E",624,IF(Atletas!R440="Outra Arma Curta E",625,IF(Atletas!R440="Dao F",626,IF(Atletas!R440="Jian F",627,IF(Atletas!R440="Bishou F",628,IF(Atletas!R440="Shanzi F",629,IF(Atletas!R440="Outra Arma Curta F",630, "")))))))))))))))))))))))))))))))</f>
        <v/>
      </c>
      <c r="CA449" s="50" t="str">
        <f>IF(Atletas!S440="","",IF(Atletas!X440&lt;&gt;"",10000,0)+IF(Atletas!B440="Feminino",1000,IF(Atletas!B440="Masculino",2000,""))+IF(Atletas!S440="Gun A",701,IF(Atletas!S440="Qiang A",702,IF(Atletas!S440="Pudao / Guandao A",703,IF(Atletas!S440="Outra Arma Longa A",704,IF(Atletas!S440="Gun B",705,IF(Atletas!S440="Qiang B",706,IF(Atletas!S440="Pudao / Guandao B",707,IF(Atletas!S440="Outra Arma Longa B",708,IF(Atletas!S440="Gun C",709,IF(Atletas!S440="Qiang C",710,IF(Atletas!S440="Pudao / Guandao C",711,IF(Atletas!S440="Outra Arma Longa C",712,IF(Atletas!S440="Gun D",713,IF(Atletas!S440="Qiang D",714,IF(Atletas!S440="Pudao / Guandao D",715,IF(Atletas!S440="Outra Arma Longa D",716,IF(Atletas!S440="Gun E",717,IF(Atletas!S440="Qiang E",718,IF(Atletas!S440="Pudao / Guandao E",719,IF(Atletas!S440="Outra Arma Longa E",720,IF(Atletas!S440="Gun F",721,IF(Atletas!S440="Qiang F",722,IF(Atletas!S440="Pudao / Guandao F",723,IF(Atletas!S440="Outra Arma Longa F",724,"")))))))))))))))))))))))))</f>
        <v/>
      </c>
      <c r="CB449" s="50" t="str">
        <f>IF(Atletas!T440="","",IF(Atletas!X440&lt;&gt;"",10000,0)+IF(Atletas!B440="Feminino",1000,IF(Atletas!B440="Masculino",2000,""))+IF(Atletas!T440="Outra Arma Dupla A",801,IF(Atletas!T440="Arma Maleável A",802,IF(Atletas!T440="Outra Arma Dupla B",803,IF(Atletas!T440="Arma Maleável B",804,IF(Atletas!T440="Outra Arma Dupla C",805,IF(Atletas!T440="Arma Maleável C",806,IF(Atletas!T440="Outra Arma Dupla D",807,IF(Atletas!T440="Arma Maleável D",808,IF(Atletas!T440="Outra Arma Dupla E",809,IF(Atletas!T440="Arma Maleável E",810,IF(Atletas!T440="Outra Arma Dupla F",811,IF(Atletas!T440="Arma Maleável F",812,IF(Atletas!T440="Shuangdao A",813,IF(Atletas!T440="Shuangdao B",814,IF(Atletas!T440="Shuangdao C",815,IF(Atletas!T440="Shuangdao D",816,IF(Atletas!T440="Shuangdao E",817,IF(Atletas!T440="Shuangdao F",818,"")))))))))))))))))))</f>
        <v/>
      </c>
      <c r="CC449" s="50" t="str">
        <f>IF(Atletas!U440="","",IF(Atletas!X440&lt;&gt;"",10000,0)+IF(Atletas!B440="Feminino",1000,IF(Atletas!B440="Masculino",2000,""))+IF(OR(Atletas!U440="Taijijian Yang A",Atletas!U440="Taijijian Yang Standard A"),901,IF(OR(Atletas!U440="Taijijian Chen A", Atletas!U440="Taijijian Chen Standard A"),902,IF(Atletas!U440="Taijijian Sun A",903,IF(Atletas!U440="Taijijian Wu A",904,IF(Atletas!U440="Taijijian Wu-Hao A",905,IF(OR(Atletas!U440="Taijijian 32 A",Atletas!U440="Taijijian 42 A"),906,IF(OR(Atletas!U440="Taijijian Yang B",Atletas!U440="Taijijian Yang Standard B"),907,IF(OR(Atletas!U440="Taijijian Chen B", Atletas!U440="Taijijian Chen Standard B"),908,IF(Atletas!U440="Taijijian Sun B",909,IF(Atletas!U440="Taijijian Wu B",910,IF(Atletas!U440="Taijijian Wu-Hao B",911,IF(OR(Atletas!U440="Taijijian 32 B",Atletas!U440="Taijijian 42 B"),912,IF(OR(Atletas!U440="Taijijian Yang C",Atletas!U440="Taijijian Yang Standard C"),913,IF(OR(Atletas!U440="Taijijian Chen C", Atletas!U440="Taijijian Chen Standard C"),914,IF(Atletas!U440="Taijijian Sun C",915,IF(Atletas!U440="Taijijian Wu C",916,IF(Atletas!U440="Taijijian Wu-Hao C",917,IF(OR(Atletas!U440="Taijijian 32 C",Atletas!U440="Taijijian 42 C"),918,IF(OR(Atletas!U440="Taijijian Yang D",Atletas!U440="Taijijian Yang Standard D"),919,IF(OR(Atletas!U440="Taijijian Chen D", Atletas!U440="Taijijian Chen Standard D"),920,IF(Atletas!U440="Taijijian Sun D",921,IF(Atletas!U440="Taijijian Wu D",922,IF(Atletas!U440="Taijijian Wu-Hao D",923,IF(OR(Atletas!U440="Taijijian 32 D",Atletas!U440="Taijijian 42 D"),924,IF(OR(Atletas!U440="Taijijian Yang E",Atletas!U440="Taijijian Yang Standard E"),925,IF(OR(Atletas!U440="Taijijian Chen E", Atletas!U440="Taijijian Chen Standard E"),926,IF(Atletas!U440="Taijijian Sun E",927,IF(Atletas!U440="Taijijian Wu E",928,IF(Atletas!U440="Taijijian Wu-Hao E",929,IF(OR(Atletas!U440="Taijijian 32 E",Atletas!U440="Taijijian 42 E"),930,IF(OR(Atletas!U440="Taijijian Yang F",Atletas!U440="Taijijian Yang Standard F"),931,IF(OR(Atletas!U440="Taijijian Chen F", Atletas!U440="Taijijian Chen Standard F"),932,IF(Atletas!U440="Taijijian Sun F",933,IF(Atletas!U440="Taijijian Wu F",934,IF(Atletas!U440="Taijijian Wu-Hao F",935,IF(OR(Atletas!U440="Taijijian 32 F",Atletas!U440="Taijijian 42 F"),936,"")))))))))))))))))))))))))))))))))))))</f>
        <v/>
      </c>
      <c r="CD449" s="50" t="str">
        <f>IF(Atletas!V440="","",IF(Atletas!X440&lt;&gt;"",10000,0)+IF(Atletas!B440="Feminino",1000,IF(Atletas!B440="Masculino",2000,""))+IF(Atletas!V440="Taijidao A",937,IF(Atletas!V440="TaijiShanzi A",938,IF(Atletas!V440="Taijiqiang A",939,IF(Atletas!V440="Bagua de Arma A",940,IF(Atletas!V440="Xingyi de Arma A",941,IF(Atletas!V440="Taijidao B",942,IF(Atletas!V440="TaijiShanzi B",943,IF(Atletas!V440="Taijiqiang B",944,IF(Atletas!V440="Bagua de Arma B",945,IF(Atletas!V440="Xingyi de Arma B",946,IF(Atletas!V440="Taijidao C",947,IF(Atletas!V440="TaijiShanzi C",948,IF(Atletas!V440="Taijiqiang C",949,IF(Atletas!V440="Bagua de Arma C",950,IF(Atletas!V440="Xingyi de Arma C",951,IF(Atletas!V440="Taijidao D",952,IF(Atletas!V440="TaijiShanzi D",953,IF(Atletas!V440="Taijiqiang D",954,IF(Atletas!V440="Bagua de Arma D",955,IF(Atletas!V440="Xingyi de Arma D",956,IF(Atletas!V440="Taijidao E",957,IF(Atletas!V440="TaijiShanzi E",958,IF(Atletas!V440="Taijiqiang E",959,IF(Atletas!V440="Bagua de Arma E",960,IF(Atletas!V440="Xingyi de Arma E",961,IF(Atletas!V440="Taijidao F",962,IF(Atletas!V440="TaijiShanzi F",963,IF(Atletas!V440="Taijiqiang F",964,IF(Atletas!V440="Bagua de Arma F",965,IF(Atletas!V440="Xingyi de Arma F",966,"")))))))))))))))))))))))))))))))</f>
        <v/>
      </c>
      <c r="CM449" s="50" t="str">
        <f xml:space="preserve"> IF(Atletas!W440="","",IF(Atletas!W440="Duilian de Mãos BC - Equipe 1",1,IF(Atletas!W440="Duilian de Mãos BC - Equipe 2",2,IF(Atletas!W440="Duilian de Armas BC - Equipe 1",3,IF(Atletas!W440="Duilian de Armas BC - Equipe 2",4,IF(Atletas!W440="Duilian de Mãos DE - Equipe 1",5,IF(Atletas!W440="Duilian de Mãos DE - Equipe 2",6,IF(Atletas!W440="Duilian de Armas DE - Equipe 1",7,IF(Atletas!W440="Duilian de Armas DE - Equipe 2",8,IF(Atletas!W440="Duilian de Tuishou - Equipe 1",9,IF(Atletas!W440="Duilian de Tuishou - Equipe 2",10,IF(Atletas!W440="Grupo Externo ABC - Equipe 1",11,IF(Atletas!W440="Grupo Externo ABC - Equipe 2",12,IF(Atletas!W440="Grupo Interno ABC - Equipe 1",13,IF(Atletas!W440="Grupo Interno ABC - Equipe 2",14,IF(Atletas!W440="Grupo Externo DEF - Equipe 1",15,IF(Atletas!W440="Grupo Externo DEF - Equipe 2",16,IF(Atletas!W440="Grupo Interno DEF - Equipe 1",17,IF(Atletas!W440="Grupo Interno DEF - Equipe 2",18,"")))))))))))))))))))</f>
        <v/>
      </c>
    </row>
    <row r="450" spans="40:91">
      <c r="AN450" s="52" t="str">
        <f>IF(Atletas!D441="","",IF(Atletas!B441="Feminino",100,IF(Atletas!B441="Masculino",200,""))+(IF(Atletas!D441="Kids 30kg",1,IF(Atletas!D441="Kids 32kg",2, IF(Atletas!D441="Kids 34kg",3,IF(Atletas!D441="Kids 36kg",4,IF(Atletas!D441="Kids 39kg",5,IF(Atletas!D441="Kids 42kg",6,IF(Atletas!D441="Kids 45kg",7, IF(Atletas!D441="Infantil 39kg",8,IF(Atletas!D441="Infantil 42kg",9,IF(Atletas!D441="Infantil 45kg",10,IF(Atletas!D441="Infantil 48kg",11,IF(Atletas!D441="Infantil 52kg",12,IF(Atletas!D441="Infantil 56kg",13,IF(Atletas!D441="Infantil 60kg",14,IF(Atletas!D441="Juvenil 48kg",15,IF(Atletas!D441="Juvenil 52kg",16,IF(Atletas!D441="Juvenil 56kg",17,IF(Atletas!D441="Juvenil 60kg",18,IF(Atletas!D441="Juvenil 65kg",19,IF(Atletas!D441="Juvenil 70kg",20,IF(Atletas!D441="Juvenil 75kg",21,IF(Atletas!D441="Juvenil 80kg",22, IF(Atletas!D441="Juvenil 85kg",23,IF(Atletas!D441="Adulto 48kg",24,IF(Atletas!D441="Adulto 52kg",25,IF(Atletas!D441="Adulto 56kg",26,IF(Atletas!D441="Adulto 60kg",27,IF(Atletas!D441="Adulto 65kg",28,IF(Atletas!D441="Adulto 70kg",29,IF(Atletas!D441="Adulto 75kg",30,IF(Atletas!D441="Adulto 80kg",31,IF(Atletas!D441="Adulto 85kg",32,IF(Atletas!D441="Adulto 90kg",33,IF(Atletas!D441="Adulto 100kg",34, IF(Atletas!D441="Adulto +100kg",35,"")))))))))))))))))))))))))))))))))))))</f>
        <v/>
      </c>
      <c r="AS450" s="6" t="str">
        <f>IF(Atletas!E441="","",IF(Atletas!B441="Feminino",100,IF(Atletas!B441="Masculino",200,""))+(IF(Atletas!E441="Juvenil 44kg",1,IF(Atletas!E441="Juvenil 48kg",2,IF(Atletas!E441="Juvenil 52kg",3,IF(Atletas!E441="Juvenil 56kg",4,IF(Atletas!E441="Juvenil 60kg",5,IF(Atletas!E441="Juvenil 65kg",6,IF(Atletas!E441="Juvenil 70kg",7,IF(Atletas!E441="Juvenil 75kg",8,IF(Atletas!E441="Juvenil 82kg",9,IF(Atletas!E441="Juvenil 90kg",10,IF(Atletas!E441="Juvenil 100kg",11,IF(Atletas!E441="Adulto 48kg",12,IF(Atletas!E441="Adulto 52kg",13,IF(Atletas!E441="Adulto 56kg",14,IF(Atletas!E441="Adulto 60kg",15,IF(Atletas!E441="Adulto 65kg",16,IF(Atletas!E441="Adulto 70kg",17,IF(Atletas!E441="Adulto 75kg",18,IF(Atletas!E441="Adulto 82kg",19,IF(Atletas!E441="Adulto 90kg",20,IF(Atletas!E441="Adulto 100kg",21,IF(Atletas!E441="Adulto +100kg",22,""))))))))))))))))))))))))</f>
        <v/>
      </c>
      <c r="AX450" s="6" t="str">
        <f>IF(Atletas!F441="","",IF(Atletas!B441="Feminino",100,IF(Atletas!B441="Masculino",200,""))+(IF(Atletas!F441="Adulto 48kg",1,IF(Atletas!F441="Adulto 56kg",2,IF(Atletas!F441="Adulto 65kg",3,IF(Atletas!F441="Adulto 75kg",4,IF(Atletas!F441="Adulto +75kg",5,IF(Atletas!F441="Adulto 52kg",6,IF(Atletas!F441="Adulto 60kg",7,IF(Atletas!F441="Adulto 70kg",8,IF(Atletas!F441="Adulto 80kg",9,IF(Atletas!F441="Adulto 90kg",10,IF(Atletas!F441="Adulto +90kg",11,"")))))))))))))</f>
        <v/>
      </c>
      <c r="BC450" s="6" t="str">
        <f>IF(Atletas!G441="","",IF(Atletas!B441="Feminino",10,IF(Atletas!B441="Masculino",20,""))+(IF(Atletas!G441="Baduanjin A",1,IF(Atletas!G441="Baduanjin B",2))))</f>
        <v/>
      </c>
      <c r="BF450" s="52" t="str">
        <f>IF(Atletas!H441="","",IF(Atletas!B441="Feminino",100,IF(Atletas!B441="Masculino",200,""))+(IF(Atletas!H441="Changquan Mirim",1,IF(Atletas!H441="Nanquan Mirim",2,IF(Atletas!H441="Taijiquan Mirim",3,IF(Atletas!H441="Changquan Grupo C",4,IF(Atletas!H441="Nanquan Grupo C",5,IF(Atletas!H441="Taijiquan Grupo C",6,IF(Atletas!H441="Changquan Grupo B",7,IF(Atletas!H441="Nanquan Grupo B",8,IF(Atletas!H441="Taijiquan Grupo B",9,IF(Atletas!H441="Changquan Grupo A",10,IF(Atletas!H441="Nanquan Grupo A",11,IF(Atletas!H441="Taijiquan Grupo A",12,IF(Atletas!H441="Changquan Opcional",13,IF(Atletas!H441="Nanquan Opcional",14,IF(Atletas!H441="Taijiquan Opcional",15,IF(Atletas!H441="Changquan Adulto",16,IF(Atletas!H441="Nanquan Adulto",17,IF(Atletas!H441="Taijiquan Adulto",18,""))))))))))))))))))))</f>
        <v/>
      </c>
      <c r="BG450" s="52" t="str">
        <f>IF(Atletas!I441="","",IF(Atletas!B441="Feminino",100,IF(Atletas!B441="Masculino",200,""))+(IF(Atletas!I441="Daoshu Mirim",19,IF(Atletas!I441="Jianshu Mirim",20,IF(Atletas!I441="Nandao Mirim",21,IF(Atletas!I441="Taijijian Mirim",22,IF(Atletas!I441="Daoshu Grupo C",23,IF(Atletas!I441="Jianshu Grupo C",24,IF(Atletas!I441="Nandao Grupo C",25,IF(Atletas!I441="Taijijian Grupo C",26,IF(Atletas!I441="Daoshu Grupo B",27,IF(Atletas!I441="Jianshu Grupo B",28,IF(Atletas!I441="Nandao Grupo B",29,IF(Atletas!I441="Taijijian Grupo B",30,IF(Atletas!I441="Daoshu Grupo A",31,IF(Atletas!I441="Jianshu Grupo A",32,IF(Atletas!I441="Nandao Grupo A",33,IF(Atletas!I441="Taijijian Grupo A",34,IF(Atletas!I441="Daoshu Opcional",35,IF(Atletas!I441="Jianshu Opcional",36,IF(Atletas!I441="Nandao Opcional",37,IF(Atletas!I441="Taijijian Opcional",38,IF(Atletas!I441="Daoshu Adulto",39,IF(Atletas!I441="Jianshu Adulto",40,IF(Atletas!I441="Nandao Adulto",41,IF(Atletas!I441="Taijijian Adulto",42,""))))))))))))))))))))))))))</f>
        <v/>
      </c>
      <c r="BH450" s="52" t="str">
        <f>IF(Atletas!J441="","",IF(Atletas!B441="Feminino",100,IF(Atletas!B441="Masculino",200,""))+(IF(Atletas!J441="Gunshu Mirim",43,IF(Atletas!J441="Qiangshu Mirim",44,IF(Atletas!J441="Nangun Mirim",45,IF(Atletas!J441="Gunshu Grupo C",46,IF(Atletas!J441="Qiangshu Grupo C",47,IF(Atletas!J441="Nangun Grupo C",48,IF(Atletas!J441="Gunshu Grupo B",49,IF(Atletas!J441="Qiangshu Grupo B",50,IF(Atletas!J441="Nangun Grupo B",51,IF(Atletas!J441="Gunshu Grupo A",52,IF(Atletas!J441="Qiangshu Grupo A",53,IF(Atletas!J441="Nangun Grupo A",54,IF(Atletas!J441="Gunshu Opcional",55,IF(Atletas!J441="Qiangshu Opcional",56,IF(Atletas!J441="Nangun Opcional",57,IF(Atletas!J441="Gunshu Adulto",58,IF(Atletas!J441="Qiangshu Adulto",59,IF(Atletas!J441="Nangun Adulto",60,IF(Atletas!J441="Taijishan Grupo B",61,IF(Atletas!J441="Taijishan Grupo A",62,""))))))))))))))))))))))</f>
        <v/>
      </c>
      <c r="BM450" s="50" t="str">
        <f>IF(Atletas!K441="","",IF(Atletas!B441="Feminino",100,IF(Atletas!B441="Masculino",200,""))+(IF(Atletas!K441="Equipe 1 Grupo B",1,IF(Atletas!K441="Equipe 2 Grupo B",2,IF(Atletas!K441="Equipe 1 Grupo A",3,IF(Atletas!K441="Equipe 2 Grupo A",4,IF(Atletas!K441="Equipe 1 Adulto",5,IF(Atletas!K441="Equipe 2 Adulto",6,""))))))))</f>
        <v/>
      </c>
      <c r="BR450" s="50" t="str">
        <f>IF(Atletas!L441="","",IF(Atletas!X441&lt;&gt;"",10000,0)+(IF(Atletas!B441="Feminino",1000,IF(Atletas!B441="Masculino",2000,""))+IF(Atletas!L441="Choylayfut A",1,IF(Atletas!L441="Hunggar A",2,IF(Atletas!L441="Wuzuquan A",3,IF(Atletas!L441="Wingchun A",4,IF(Atletas!L441="Outra Mão de Sul A",5,IF(Atletas!L441="Choylayfut B",6,IF(Atletas!L441="Hunggar B",7,IF(Atletas!L441="Wuzuquan B",8,IF(Atletas!L441="Wingchun B",9,IF(Atletas!L441="Outra Mão de Sul B",10,IF(Atletas!L441="Choylayfut C",11,IF(Atletas!L441="Hunggar C",12,IF(Atletas!L441="Wuzuquan C",13,IF(Atletas!L441="Wingchun C",14,IF(Atletas!L441="Outra Mão de Sul C",15,IF(Atletas!L441="Choylayfut D",16,IF(Atletas!L441="Hunggar D",17,IF(Atletas!L441="Wuzuquan D",18,IF(Atletas!L441="Wingchun D",19,IF(Atletas!L441="Outra Mão de Sul D",20,IF(Atletas!L441="Choylayfut E",21,IF(Atletas!L441="Hunggar E",22,IF(Atletas!L441="Wuzuquan E",23,IF(Atletas!L441="Wingchun E",24,IF(Atletas!L441="Outra Mão de Sul E",25,IF(Atletas!L441="Choylayfut F",26,IF(Atletas!L441="Hunggar F",27,IF(Atletas!L441="Wuzuquan F",28,IF(Atletas!L441="Wingchun F",29,IF(Atletas!L441="Outra Mão de Sul F",30,IF(Atletas!L441="Dishuquan A",31,IF(Atletas!L441="Dishuquan B",32,IF(Atletas!L441="Dishuquan C",33,IF(Atletas!L441="Dishuquan D",34,IF(Atletas!L441="Dishuquan E",35,IF(Atletas!L441="Dishuquan F",36,""))))))))))))))))))))))))))))))))))))))</f>
        <v/>
      </c>
      <c r="BS450" s="50" t="str">
        <f>IF(Atletas!M441="","",IF(Atletas!X441&lt;&gt;"",10000,0)+(IF(Atletas!B441="Feminino",1000,IF(Atletas!B441="Masculino",2000,""))+(IF(Atletas!M441="Chaquan A",101,IF(Atletas!M441="Emeiquan A",102,IF(Atletas!M441="Fanziquan A",103,IF(Atletas!M441="Huaquan A",104,IF(Atletas!M441="Hongquan A",105,IF(Atletas!M441="Paoquan A",106,IF(Atletas!M441="Piguaquan A",107,IF(Atletas!M441="Shaolinquan A",108,IF(Atletas!M441="Tanglangquan A",109,IF(Atletas!M441="Yingzhaoquan A",110,IF(Atletas!M441="Tongbeiquan A",111,IF(Atletas!M441="Wudangquan A",112,IF(Atletas!M441="Outros Estilos A",113,IF(Atletas!M441="Chaquan B",114,IF(Atletas!M441="Emeiquan B",115,IF(Atletas!M441="Fanziquan B",116,IF(Atletas!M441="Huaquan B",117,IF(Atletas!M441="Hongquan B",118,IF(Atletas!M441="Paoquan B",119,IF(Atletas!M441="Piguaquan B",120,IF(Atletas!M441="Shaolinquan B",121,IF(Atletas!M441="Tanglangquan B",122,IF(Atletas!M441="Yingzhaoquan B",123,IF(Atletas!M441="Tongbeiquan B",124,IF(Atletas!M441="Wudangquan B",125,IF(Atletas!M441="Outros Estilos B",126,IF(Atletas!M441="Chaquan C",127,IF(Atletas!M441="Emeiquan C",128,IF(Atletas!M441="Fanziquan C",129,IF(Atletas!M441="Huaquan C",130,IF(Atletas!M441="Hongquan C",131,IF(Atletas!M441="Paoquan C",132,IF(Atletas!M441="Piguaquan C",133,IF(Atletas!M441="Shaolinquan C",134,IF(Atletas!M441="Tanglangquan C",135,IF(Atletas!M441="Yingzhaoquan C",136,IF(Atletas!M441="Tongbeiquan C",137,IF(Atletas!M441="Wudangquan C",138,IF(Atletas!M441="Outros Estilos C",139,0))))))))))))))))))))))))))))))))))))))))))</f>
        <v/>
      </c>
      <c r="BT450" s="50" t="str">
        <f>IF(Atletas!M441="","",IF(Atletas!X441&lt;&gt;"",10000,0)+(IF(Atletas!B441="Feminino",1000,IF(Atletas!B441="Masculino",2000,""))+(IF(Atletas!M441="Chaquan D",140,IF(Atletas!M441="Emeiquan D",141,IF(Atletas!M441="Fanziquan D",142,IF(Atletas!M441="Huaquan D",143,IF(Atletas!M441="Hongquan D",144,IF(Atletas!M441="Paoquan D",145,IF(Atletas!M441="Piguaquan D",146,IF(Atletas!M441="Shaolinquan D",147,IF(Atletas!M441="Tanglangquan D",148,IF(Atletas!M441="Yingzhaoquan D",149,IF(Atletas!M441="Tongbeiquan D",150,IF(Atletas!M441="Wudangquan D",151,IF(Atletas!M441="Outros Estilos D",152,IF(Atletas!M441="Chaquan E",153,IF(Atletas!M441="Emeiquan E",154,IF(Atletas!M441="Fanziquan E",155,IF(Atletas!M441="Huaquan E",156,IF(Atletas!M441="Hongquan E",157,IF(Atletas!M441="Paoquan E",158,IF(Atletas!M441="Piguaquan E",159,IF(Atletas!M441="Shaolinquan E",160,IF(Atletas!M441="Tanglangquan E",161,IF(Atletas!M441="Yingzhaoquan E",162,IF(Atletas!M441="Tongbeiquan E",163,IF(Atletas!M441="Wudangquan E",164,IF(Atletas!M441="Outros Estilos E",165,IF(Atletas!M441="Chaquan F",166,IF(Atletas!M441="Emeiquan F",167,IF(Atletas!M441="Fanziquan F",168,IF(Atletas!M441="Huaquan F",169,IF(Atletas!M441="Hongquan F",170,IF(Atletas!M441="Paoquan F",171,IF(Atletas!M441="Piguaquan F",172,IF(Atletas!M441="Shaolinquan F",173,IF(Atletas!M441="Tanglangquan F",174,IF(Atletas!M441="Yingzhaoquan F",175,IF(Atletas!M441="Tongbeiquan F",176,IF(Atletas!M441="Wudangquan F",177,IF(Atletas!M441="Outros Estilos F",178,0))))))))))))))))))))))))))))))))))))))))))</f>
        <v/>
      </c>
      <c r="BU450" s="50" t="str">
        <f>IF(Atletas!N441="","",IF(Atletas!X441&lt;&gt;"",10000,0)+(IF(Atletas!B441="Feminino",1000,IF(Atletas!B441="Masculino",2000,""))+(IF(Atletas!N441="Ditangquan A",201,IF(Atletas!N441="Houquan A",202,IF(Atletas!N441="Zuiquan A",203,IF(Atletas!N441="Ditangquan B",204,IF(Atletas!N441="Houquan B",205,IF(Atletas!N441="Zuiquan B",206,IF(Atletas!N441="Ditangquan C",207,IF(Atletas!N441="Houquan C",208,IF(Atletas!N441="Zuiquan C",209,IF(Atletas!N441="Ditangquan D",210,IF(Atletas!N441="Houquan D",211,IF(Atletas!N441="Zuiquan D",212,IF(Atletas!N441="Ditangquan E",213,IF(Atletas!N441="Houquan E",214,IF(Atletas!N441="Zuiquan E",215,IF(Atletas!N441="Ditangquan F",216,IF(Atletas!N441="Houquan F",217,IF(Atletas!N441="Zuiquan F",218,"")))))))))))))))))))))</f>
        <v/>
      </c>
      <c r="BV450" s="50" t="str">
        <f>IF(Atletas!O441="","",IF(Atletas!X441&lt;&gt;"",10000,0)+IF(Atletas!B441="Feminino",1000,IF(Atletas!B441="Masculino",2000,""))+IF(Atletas!O441="Yang A",301,IF(Atletas!O441="Chen A",302,IF(Atletas!O441="Sun A",303,IF(Atletas!O441="Wu A",304,IF(Atletas!O441="Wu-Hao A",305,IF(Atletas!O441="Outro Taijiquan A",306,IF(Atletas!O441="Yang B",307,IF(Atletas!O441="Chen B",308,IF(Atletas!O441="Sun B",309,IF(Atletas!O441="Wu B",310,IF(Atletas!O441="Wu-Hao B",311,IF(Atletas!O441="Outro Taijiquan B",312,IF(Atletas!O441="Yang C",313,IF(Atletas!O441="Chen C",314,IF(Atletas!O441="Sun C",315,IF(Atletas!O441="Wu C",316,IF(Atletas!O441="Wu-Hao C",317,IF(Atletas!O441="Outro Taijiquan C",318,IF(Atletas!O441="Yang D",319,IF(Atletas!O441="Chen D",320,IF(Atletas!O441="Sun D",321,IF(Atletas!O441="Wu D",322,IF(Atletas!O441="Wu-Hao D",323,IF(Atletas!O441="Outro Taijiquan D",324,IF(Atletas!O441="Yang E",325,IF(Atletas!O441="Chen E",326,IF(Atletas!O441="Sun E",327,IF(Atletas!O441="Wu E",328,IF(Atletas!O441="Wu-Hao E",329,IF(Atletas!O441="Outro Taijiquan E",330,IF(Atletas!O441="Yang F",331,IF(Atletas!O441="Chen F",332,IF(Atletas!O441="Sun F",333,IF(Atletas!O441="Wu F",334,IF(Atletas!O441="Wu-Hao F",335,IF(Atletas!O441="Outro Taijiquan F",336,"")))))))))))))))))))))))))))))))))))))</f>
        <v/>
      </c>
      <c r="BW450" s="50" t="str">
        <f>IF(Atletas!P441="","",IF(Atletas!X441&lt;&gt;"",10000,0)+IF(Atletas!B441="Feminino",1000,IF(Atletas!B441="Masculino",2000,""))+IF(OR(Atletas!P441="Yang 26 A",Atletas!P441="Yang 40 A"),401,IF(OR(Atletas!P441="Chen 25 A",Atletas!P441="Chen 36 A",Atletas!P441="Chen 56 A"),402,IF(Atletas!P441="Sun 73 A",403,IF(Atletas!P441="Wu 45 A",404,IF(Atletas!P441="Wu-Hao 46 A",405,IF(OR(Atletas!P441="Taijiquan 16 A",Atletas!P441="Taijiquan 24 A",Atletas!P441="Taijiquan 32 A",Atletas!P441="Taijiquan 42 A"),406,IF(OR(Atletas!P441="Yang 26 B",Atletas!P441="Yang 40 B"),407,IF(OR(Atletas!P441="Chen 25 B",Atletas!P441="Chen 36 B",Atletas!P441="Chen 56 B"),408,IF(Atletas!P441="Sun 73 B",409,IF(Atletas!P441="Wu 45 B",410,IF(Atletas!P441="Wu-Hao 46 B",411,IF(OR(Atletas!P441="Taijiquan 16 B",Atletas!P441="Taijiquan 24 B",Atletas!P441="Taijiquan 32 B",Atletas!P441="Taijiquan 42 B"),412,IF(OR(Atletas!P441="Yang 26 C",Atletas!P441="Yang 40 C"),413,IF(OR(Atletas!P441="Chen 25 C",Atletas!P441="Chen 36 C",Atletas!P441="Chen 56 C"),414,IF(Atletas!P441="Sun 73 C",415,IF(Atletas!P441="Wu 45 C",416,IF(Atletas!P441="Wu-Hao 46 C",417,IF(OR(Atletas!P441="Taijiquan 16 C",Atletas!P441="Taijiquan 24 C",Atletas!P441="Taijiquan 32 C",Atletas!P441="Taijiquan 42 C"),418,0)))))))))))))))))))</f>
        <v/>
      </c>
      <c r="BX450" s="50" t="str">
        <f>IF(Atletas!P441="","",IF(Atletas!X441&lt;&gt;"",10000,0)+IF(Atletas!B441="Feminino",1000,IF(Atletas!B441="Masculino",2000,""))+IF(OR(Atletas!P441="Yang 26 D",Atletas!P441="Yang 40 D"),419,IF(OR(Atletas!P441="Chen 25 D",Atletas!P441="Chen 36 D",Atletas!P441="Chen 56 D"),420,IF(Atletas!P441="Sun 73 D",421,IF(Atletas!P441="Wu 45 D",422,IF(Atletas!P441="Wu-Hao 46 D",423,IF(OR(Atletas!P441="Taijiquan 16 D",Atletas!P441="Taijiquan 24 D",Atletas!P441="Taijiquan 32 D",Atletas!P441="Taijiquan 42 D"),424,IF(OR(Atletas!P441="Yang 26 E",Atletas!P441="Yang 40 E"),425,IF(OR(Atletas!P441="Chen 25 E",Atletas!P441="Chen 36 E",Atletas!P441="Chen 56 E"),426,IF(Atletas!P441="Sun 73 E",427,IF(Atletas!P441="Wu 45 E",428,IF(Atletas!P441="Wu-Hao 46 E",429,IF(OR(Atletas!P441="Taijiquan 16 E",Atletas!P441="Taijiquan 24 E",Atletas!P441="Taijiquan 32 E",Atletas!P441="Taijiquan 42 E"),430,IF(OR(Atletas!P441="Yang 26 F",Atletas!P441="Yang 40 F"),431,IF(OR(Atletas!P441="Chen 25 F",Atletas!P441="Chen 36 F",Atletas!P441="Chen 56 F"),432,IF(Atletas!P441="Sun 73 F",433,IF(Atletas!P441="Wu 45 F",434,IF(Atletas!P441="Wu-Hao 46 F",435,IF(OR(Atletas!P441="Taijiquan 16 F",Atletas!P441="Taijiquan 24 F",Atletas!P441="Taijiquan 32 F",Atletas!P441="Taijiquan 42 F"),436,0)))))))))))))))))))</f>
        <v/>
      </c>
      <c r="BY450" s="50" t="str">
        <f>IF(Atletas!Q441="","",IF(Atletas!X441&lt;&gt;"",10000,0)+IF(Atletas!B441="Feminino",1000,IF(Atletas!B441="Masculino",2000,""))+IF(Atletas!Q441="Xingyiquan A",501,IF(Atletas!Q441="Baguazhang A",502,IF(Atletas!Q441="Outro Estilo Interno A",503,IF(Atletas!Q441="Xingyiquan B",504,IF(Atletas!Q441="Baguazhang B",505,IF(Atletas!Q441="Outro Estilo Interno B",506,IF(Atletas!Q441="Xingyiquan C",507,IF(Atletas!Q441="Baguazhang C",508,IF(Atletas!Q441="Outro Estilo Interno C",509,IF(Atletas!Q441="Xingyiquan D",510,IF(Atletas!Q441="Baguazhang D",511,IF(Atletas!Q441="Outro Estilo Interno D",512,IF(Atletas!Q441="Xingyiquan E",513,IF(Atletas!Q441="Baguazhang E",514,IF(Atletas!Q441="Outro Estilo Interno E",515,IF(Atletas!Q441="Xingyiquan F",516,IF(Atletas!Q441="Baguazhang F",517,IF(Atletas!Q441="Outro Estilo Interno F",518, "")))))))))))))))))))</f>
        <v/>
      </c>
      <c r="BZ450" s="50" t="str">
        <f>IF(Atletas!R441="","",IF(Atletas!X441&lt;&gt;"",10000,0)+IF(Atletas!B441="Feminino",1000,IF(Atletas!B441="Masculino",2000,""))+IF(Atletas!R441="Dao A",601,IF(Atletas!R441="Jian A",602,IF(Atletas!R441="Bishou A",603,IF(Atletas!R441="Shanzi A",604,IF(Atletas!R441="Outra Arma Curta A",605,IF(Atletas!R441="Dao B",606,IF(Atletas!R441="Jian B",607,IF(Atletas!R441="Bishou B",608,IF(Atletas!R441="Shanzi B",609,IF(Atletas!R441="Outra Arma Curta B",610,IF(Atletas!R441="Dao C",611,IF(Atletas!R441="Jian C",612,IF(Atletas!R441="Bishou C",613,IF(Atletas!R441="Shanzi C",614,IF(Atletas!R441="Outra Arma Curta C",615,IF(Atletas!R441="Dao D",616,IF(Atletas!R441="Jian D",617,IF(Atletas!R441="Bishou D",618,IF(Atletas!R441="Shanzi D",619,IF(Atletas!R441="Outra Arma Curta D",620,IF(Atletas!R441="Dao E",621,IF(Atletas!R441="Jian E",622,IF(Atletas!R441="Bishou E",623,IF(Atletas!R441="Shanzi E",624,IF(Atletas!R441="Outra Arma Curta E",625,IF(Atletas!R441="Dao F",626,IF(Atletas!R441="Jian F",627,IF(Atletas!R441="Bishou F",628,IF(Atletas!R441="Shanzi F",629,IF(Atletas!R441="Outra Arma Curta F",630, "")))))))))))))))))))))))))))))))</f>
        <v/>
      </c>
      <c r="CA450" s="50" t="str">
        <f>IF(Atletas!S441="","",IF(Atletas!X441&lt;&gt;"",10000,0)+IF(Atletas!B441="Feminino",1000,IF(Atletas!B441="Masculino",2000,""))+IF(Atletas!S441="Gun A",701,IF(Atletas!S441="Qiang A",702,IF(Atletas!S441="Pudao / Guandao A",703,IF(Atletas!S441="Outra Arma Longa A",704,IF(Atletas!S441="Gun B",705,IF(Atletas!S441="Qiang B",706,IF(Atletas!S441="Pudao / Guandao B",707,IF(Atletas!S441="Outra Arma Longa B",708,IF(Atletas!S441="Gun C",709,IF(Atletas!S441="Qiang C",710,IF(Atletas!S441="Pudao / Guandao C",711,IF(Atletas!S441="Outra Arma Longa C",712,IF(Atletas!S441="Gun D",713,IF(Atletas!S441="Qiang D",714,IF(Atletas!S441="Pudao / Guandao D",715,IF(Atletas!S441="Outra Arma Longa D",716,IF(Atletas!S441="Gun E",717,IF(Atletas!S441="Qiang E",718,IF(Atletas!S441="Pudao / Guandao E",719,IF(Atletas!S441="Outra Arma Longa E",720,IF(Atletas!S441="Gun F",721,IF(Atletas!S441="Qiang F",722,IF(Atletas!S441="Pudao / Guandao F",723,IF(Atletas!S441="Outra Arma Longa F",724,"")))))))))))))))))))))))))</f>
        <v/>
      </c>
      <c r="CB450" s="50" t="str">
        <f>IF(Atletas!T441="","",IF(Atletas!X441&lt;&gt;"",10000,0)+IF(Atletas!B441="Feminino",1000,IF(Atletas!B441="Masculino",2000,""))+IF(Atletas!T441="Outra Arma Dupla A",801,IF(Atletas!T441="Arma Maleável A",802,IF(Atletas!T441="Outra Arma Dupla B",803,IF(Atletas!T441="Arma Maleável B",804,IF(Atletas!T441="Outra Arma Dupla C",805,IF(Atletas!T441="Arma Maleável C",806,IF(Atletas!T441="Outra Arma Dupla D",807,IF(Atletas!T441="Arma Maleável D",808,IF(Atletas!T441="Outra Arma Dupla E",809,IF(Atletas!T441="Arma Maleável E",810,IF(Atletas!T441="Outra Arma Dupla F",811,IF(Atletas!T441="Arma Maleável F",812,IF(Atletas!T441="Shuangdao A",813,IF(Atletas!T441="Shuangdao B",814,IF(Atletas!T441="Shuangdao C",815,IF(Atletas!T441="Shuangdao D",816,IF(Atletas!T441="Shuangdao E",817,IF(Atletas!T441="Shuangdao F",818,"")))))))))))))))))))</f>
        <v/>
      </c>
      <c r="CC450" s="50" t="str">
        <f>IF(Atletas!U441="","",IF(Atletas!X441&lt;&gt;"",10000,0)+IF(Atletas!B441="Feminino",1000,IF(Atletas!B441="Masculino",2000,""))+IF(OR(Atletas!U441="Taijijian Yang A",Atletas!U441="Taijijian Yang Standard A"),901,IF(OR(Atletas!U441="Taijijian Chen A", Atletas!U441="Taijijian Chen Standard A"),902,IF(Atletas!U441="Taijijian Sun A",903,IF(Atletas!U441="Taijijian Wu A",904,IF(Atletas!U441="Taijijian Wu-Hao A",905,IF(OR(Atletas!U441="Taijijian 32 A",Atletas!U441="Taijijian 42 A"),906,IF(OR(Atletas!U441="Taijijian Yang B",Atletas!U441="Taijijian Yang Standard B"),907,IF(OR(Atletas!U441="Taijijian Chen B", Atletas!U441="Taijijian Chen Standard B"),908,IF(Atletas!U441="Taijijian Sun B",909,IF(Atletas!U441="Taijijian Wu B",910,IF(Atletas!U441="Taijijian Wu-Hao B",911,IF(OR(Atletas!U441="Taijijian 32 B",Atletas!U441="Taijijian 42 B"),912,IF(OR(Atletas!U441="Taijijian Yang C",Atletas!U441="Taijijian Yang Standard C"),913,IF(OR(Atletas!U441="Taijijian Chen C", Atletas!U441="Taijijian Chen Standard C"),914,IF(Atletas!U441="Taijijian Sun C",915,IF(Atletas!U441="Taijijian Wu C",916,IF(Atletas!U441="Taijijian Wu-Hao C",917,IF(OR(Atletas!U441="Taijijian 32 C",Atletas!U441="Taijijian 42 C"),918,IF(OR(Atletas!U441="Taijijian Yang D",Atletas!U441="Taijijian Yang Standard D"),919,IF(OR(Atletas!U441="Taijijian Chen D", Atletas!U441="Taijijian Chen Standard D"),920,IF(Atletas!U441="Taijijian Sun D",921,IF(Atletas!U441="Taijijian Wu D",922,IF(Atletas!U441="Taijijian Wu-Hao D",923,IF(OR(Atletas!U441="Taijijian 32 D",Atletas!U441="Taijijian 42 D"),924,IF(OR(Atletas!U441="Taijijian Yang E",Atletas!U441="Taijijian Yang Standard E"),925,IF(OR(Atletas!U441="Taijijian Chen E", Atletas!U441="Taijijian Chen Standard E"),926,IF(Atletas!U441="Taijijian Sun E",927,IF(Atletas!U441="Taijijian Wu E",928,IF(Atletas!U441="Taijijian Wu-Hao E",929,IF(OR(Atletas!U441="Taijijian 32 E",Atletas!U441="Taijijian 42 E"),930,IF(OR(Atletas!U441="Taijijian Yang F",Atletas!U441="Taijijian Yang Standard F"),931,IF(OR(Atletas!U441="Taijijian Chen F", Atletas!U441="Taijijian Chen Standard F"),932,IF(Atletas!U441="Taijijian Sun F",933,IF(Atletas!U441="Taijijian Wu F",934,IF(Atletas!U441="Taijijian Wu-Hao F",935,IF(OR(Atletas!U441="Taijijian 32 F",Atletas!U441="Taijijian 42 F"),936,"")))))))))))))))))))))))))))))))))))))</f>
        <v/>
      </c>
      <c r="CD450" s="50" t="str">
        <f>IF(Atletas!V441="","",IF(Atletas!X441&lt;&gt;"",10000,0)+IF(Atletas!B441="Feminino",1000,IF(Atletas!B441="Masculino",2000,""))+IF(Atletas!V441="Taijidao A",937,IF(Atletas!V441="TaijiShanzi A",938,IF(Atletas!V441="Taijiqiang A",939,IF(Atletas!V441="Bagua de Arma A",940,IF(Atletas!V441="Xingyi de Arma A",941,IF(Atletas!V441="Taijidao B",942,IF(Atletas!V441="TaijiShanzi B",943,IF(Atletas!V441="Taijiqiang B",944,IF(Atletas!V441="Bagua de Arma B",945,IF(Atletas!V441="Xingyi de Arma B",946,IF(Atletas!V441="Taijidao C",947,IF(Atletas!V441="TaijiShanzi C",948,IF(Atletas!V441="Taijiqiang C",949,IF(Atletas!V441="Bagua de Arma C",950,IF(Atletas!V441="Xingyi de Arma C",951,IF(Atletas!V441="Taijidao D",952,IF(Atletas!V441="TaijiShanzi D",953,IF(Atletas!V441="Taijiqiang D",954,IF(Atletas!V441="Bagua de Arma D",955,IF(Atletas!V441="Xingyi de Arma D",956,IF(Atletas!V441="Taijidao E",957,IF(Atletas!V441="TaijiShanzi E",958,IF(Atletas!V441="Taijiqiang E",959,IF(Atletas!V441="Bagua de Arma E",960,IF(Atletas!V441="Xingyi de Arma E",961,IF(Atletas!V441="Taijidao F",962,IF(Atletas!V441="TaijiShanzi F",963,IF(Atletas!V441="Taijiqiang F",964,IF(Atletas!V441="Bagua de Arma F",965,IF(Atletas!V441="Xingyi de Arma F",966,"")))))))))))))))))))))))))))))))</f>
        <v/>
      </c>
      <c r="CM450" s="50" t="str">
        <f xml:space="preserve"> IF(Atletas!W441="","",IF(Atletas!W441="Duilian de Mãos BC - Equipe 1",1,IF(Atletas!W441="Duilian de Mãos BC - Equipe 2",2,IF(Atletas!W441="Duilian de Armas BC - Equipe 1",3,IF(Atletas!W441="Duilian de Armas BC - Equipe 2",4,IF(Atletas!W441="Duilian de Mãos DE - Equipe 1",5,IF(Atletas!W441="Duilian de Mãos DE - Equipe 2",6,IF(Atletas!W441="Duilian de Armas DE - Equipe 1",7,IF(Atletas!W441="Duilian de Armas DE - Equipe 2",8,IF(Atletas!W441="Duilian de Tuishou - Equipe 1",9,IF(Atletas!W441="Duilian de Tuishou - Equipe 2",10,IF(Atletas!W441="Grupo Externo ABC - Equipe 1",11,IF(Atletas!W441="Grupo Externo ABC - Equipe 2",12,IF(Atletas!W441="Grupo Interno ABC - Equipe 1",13,IF(Atletas!W441="Grupo Interno ABC - Equipe 2",14,IF(Atletas!W441="Grupo Externo DEF - Equipe 1",15,IF(Atletas!W441="Grupo Externo DEF - Equipe 2",16,IF(Atletas!W441="Grupo Interno DEF - Equipe 1",17,IF(Atletas!W441="Grupo Interno DEF - Equipe 2",18,"")))))))))))))))))))</f>
        <v/>
      </c>
    </row>
    <row r="451" spans="40:91">
      <c r="AN451" s="52" t="str">
        <f>IF(Atletas!D442="","",IF(Atletas!B442="Feminino",100,IF(Atletas!B442="Masculino",200,""))+(IF(Atletas!D442="Kids 30kg",1,IF(Atletas!D442="Kids 32kg",2, IF(Atletas!D442="Kids 34kg",3,IF(Atletas!D442="Kids 36kg",4,IF(Atletas!D442="Kids 39kg",5,IF(Atletas!D442="Kids 42kg",6,IF(Atletas!D442="Kids 45kg",7, IF(Atletas!D442="Infantil 39kg",8,IF(Atletas!D442="Infantil 42kg",9,IF(Atletas!D442="Infantil 45kg",10,IF(Atletas!D442="Infantil 48kg",11,IF(Atletas!D442="Infantil 52kg",12,IF(Atletas!D442="Infantil 56kg",13,IF(Atletas!D442="Infantil 60kg",14,IF(Atletas!D442="Juvenil 48kg",15,IF(Atletas!D442="Juvenil 52kg",16,IF(Atletas!D442="Juvenil 56kg",17,IF(Atletas!D442="Juvenil 60kg",18,IF(Atletas!D442="Juvenil 65kg",19,IF(Atletas!D442="Juvenil 70kg",20,IF(Atletas!D442="Juvenil 75kg",21,IF(Atletas!D442="Juvenil 80kg",22, IF(Atletas!D442="Juvenil 85kg",23,IF(Atletas!D442="Adulto 48kg",24,IF(Atletas!D442="Adulto 52kg",25,IF(Atletas!D442="Adulto 56kg",26,IF(Atletas!D442="Adulto 60kg",27,IF(Atletas!D442="Adulto 65kg",28,IF(Atletas!D442="Adulto 70kg",29,IF(Atletas!D442="Adulto 75kg",30,IF(Atletas!D442="Adulto 80kg",31,IF(Atletas!D442="Adulto 85kg",32,IF(Atletas!D442="Adulto 90kg",33,IF(Atletas!D442="Adulto 100kg",34, IF(Atletas!D442="Adulto +100kg",35,"")))))))))))))))))))))))))))))))))))))</f>
        <v/>
      </c>
      <c r="AS451" s="6" t="str">
        <f>IF(Atletas!E442="","",IF(Atletas!B442="Feminino",100,IF(Atletas!B442="Masculino",200,""))+(IF(Atletas!E442="Juvenil 44kg",1,IF(Atletas!E442="Juvenil 48kg",2,IF(Atletas!E442="Juvenil 52kg",3,IF(Atletas!E442="Juvenil 56kg",4,IF(Atletas!E442="Juvenil 60kg",5,IF(Atletas!E442="Juvenil 65kg",6,IF(Atletas!E442="Juvenil 70kg",7,IF(Atletas!E442="Juvenil 75kg",8,IF(Atletas!E442="Juvenil 82kg",9,IF(Atletas!E442="Juvenil 90kg",10,IF(Atletas!E442="Juvenil 100kg",11,IF(Atletas!E442="Adulto 48kg",12,IF(Atletas!E442="Adulto 52kg",13,IF(Atletas!E442="Adulto 56kg",14,IF(Atletas!E442="Adulto 60kg",15,IF(Atletas!E442="Adulto 65kg",16,IF(Atletas!E442="Adulto 70kg",17,IF(Atletas!E442="Adulto 75kg",18,IF(Atletas!E442="Adulto 82kg",19,IF(Atletas!E442="Adulto 90kg",20,IF(Atletas!E442="Adulto 100kg",21,IF(Atletas!E442="Adulto +100kg",22,""))))))))))))))))))))))))</f>
        <v/>
      </c>
      <c r="AX451" s="6" t="str">
        <f>IF(Atletas!F442="","",IF(Atletas!B442="Feminino",100,IF(Atletas!B442="Masculino",200,""))+(IF(Atletas!F442="Adulto 48kg",1,IF(Atletas!F442="Adulto 56kg",2,IF(Atletas!F442="Adulto 65kg",3,IF(Atletas!F442="Adulto 75kg",4,IF(Atletas!F442="Adulto +75kg",5,IF(Atletas!F442="Adulto 52kg",6,IF(Atletas!F442="Adulto 60kg",7,IF(Atletas!F442="Adulto 70kg",8,IF(Atletas!F442="Adulto 80kg",9,IF(Atletas!F442="Adulto 90kg",10,IF(Atletas!F442="Adulto +90kg",11,"")))))))))))))</f>
        <v/>
      </c>
      <c r="BC451" s="6" t="str">
        <f>IF(Atletas!G442="","",IF(Atletas!B442="Feminino",10,IF(Atletas!B442="Masculino",20,""))+(IF(Atletas!G442="Baduanjin A",1,IF(Atletas!G442="Baduanjin B",2))))</f>
        <v/>
      </c>
      <c r="BF451" s="52" t="str">
        <f>IF(Atletas!H442="","",IF(Atletas!B442="Feminino",100,IF(Atletas!B442="Masculino",200,""))+(IF(Atletas!H442="Changquan Mirim",1,IF(Atletas!H442="Nanquan Mirim",2,IF(Atletas!H442="Taijiquan Mirim",3,IF(Atletas!H442="Changquan Grupo C",4,IF(Atletas!H442="Nanquan Grupo C",5,IF(Atletas!H442="Taijiquan Grupo C",6,IF(Atletas!H442="Changquan Grupo B",7,IF(Atletas!H442="Nanquan Grupo B",8,IF(Atletas!H442="Taijiquan Grupo B",9,IF(Atletas!H442="Changquan Grupo A",10,IF(Atletas!H442="Nanquan Grupo A",11,IF(Atletas!H442="Taijiquan Grupo A",12,IF(Atletas!H442="Changquan Opcional",13,IF(Atletas!H442="Nanquan Opcional",14,IF(Atletas!H442="Taijiquan Opcional",15,IF(Atletas!H442="Changquan Adulto",16,IF(Atletas!H442="Nanquan Adulto",17,IF(Atletas!H442="Taijiquan Adulto",18,""))))))))))))))))))))</f>
        <v/>
      </c>
      <c r="BG451" s="52" t="str">
        <f>IF(Atletas!I442="","",IF(Atletas!B442="Feminino",100,IF(Atletas!B442="Masculino",200,""))+(IF(Atletas!I442="Daoshu Mirim",19,IF(Atletas!I442="Jianshu Mirim",20,IF(Atletas!I442="Nandao Mirim",21,IF(Atletas!I442="Taijijian Mirim",22,IF(Atletas!I442="Daoshu Grupo C",23,IF(Atletas!I442="Jianshu Grupo C",24,IF(Atletas!I442="Nandao Grupo C",25,IF(Atletas!I442="Taijijian Grupo C",26,IF(Atletas!I442="Daoshu Grupo B",27,IF(Atletas!I442="Jianshu Grupo B",28,IF(Atletas!I442="Nandao Grupo B",29,IF(Atletas!I442="Taijijian Grupo B",30,IF(Atletas!I442="Daoshu Grupo A",31,IF(Atletas!I442="Jianshu Grupo A",32,IF(Atletas!I442="Nandao Grupo A",33,IF(Atletas!I442="Taijijian Grupo A",34,IF(Atletas!I442="Daoshu Opcional",35,IF(Atletas!I442="Jianshu Opcional",36,IF(Atletas!I442="Nandao Opcional",37,IF(Atletas!I442="Taijijian Opcional",38,IF(Atletas!I442="Daoshu Adulto",39,IF(Atletas!I442="Jianshu Adulto",40,IF(Atletas!I442="Nandao Adulto",41,IF(Atletas!I442="Taijijian Adulto",42,""))))))))))))))))))))))))))</f>
        <v/>
      </c>
      <c r="BH451" s="52" t="str">
        <f>IF(Atletas!J442="","",IF(Atletas!B442="Feminino",100,IF(Atletas!B442="Masculino",200,""))+(IF(Atletas!J442="Gunshu Mirim",43,IF(Atletas!J442="Qiangshu Mirim",44,IF(Atletas!J442="Nangun Mirim",45,IF(Atletas!J442="Gunshu Grupo C",46,IF(Atletas!J442="Qiangshu Grupo C",47,IF(Atletas!J442="Nangun Grupo C",48,IF(Atletas!J442="Gunshu Grupo B",49,IF(Atletas!J442="Qiangshu Grupo B",50,IF(Atletas!J442="Nangun Grupo B",51,IF(Atletas!J442="Gunshu Grupo A",52,IF(Atletas!J442="Qiangshu Grupo A",53,IF(Atletas!J442="Nangun Grupo A",54,IF(Atletas!J442="Gunshu Opcional",55,IF(Atletas!J442="Qiangshu Opcional",56,IF(Atletas!J442="Nangun Opcional",57,IF(Atletas!J442="Gunshu Adulto",58,IF(Atletas!J442="Qiangshu Adulto",59,IF(Atletas!J442="Nangun Adulto",60,IF(Atletas!J442="Taijishan Grupo B",61,IF(Atletas!J442="Taijishan Grupo A",62,""))))))))))))))))))))))</f>
        <v/>
      </c>
      <c r="BM451" s="50" t="str">
        <f>IF(Atletas!K442="","",IF(Atletas!B442="Feminino",100,IF(Atletas!B442="Masculino",200,""))+(IF(Atletas!K442="Equipe 1 Grupo B",1,IF(Atletas!K442="Equipe 2 Grupo B",2,IF(Atletas!K442="Equipe 1 Grupo A",3,IF(Atletas!K442="Equipe 2 Grupo A",4,IF(Atletas!K442="Equipe 1 Adulto",5,IF(Atletas!K442="Equipe 2 Adulto",6,""))))))))</f>
        <v/>
      </c>
      <c r="BR451" s="50" t="str">
        <f>IF(Atletas!L442="","",IF(Atletas!X442&lt;&gt;"",10000,0)+(IF(Atletas!B442="Feminino",1000,IF(Atletas!B442="Masculino",2000,""))+IF(Atletas!L442="Choylayfut A",1,IF(Atletas!L442="Hunggar A",2,IF(Atletas!L442="Wuzuquan A",3,IF(Atletas!L442="Wingchun A",4,IF(Atletas!L442="Outra Mão de Sul A",5,IF(Atletas!L442="Choylayfut B",6,IF(Atletas!L442="Hunggar B",7,IF(Atletas!L442="Wuzuquan B",8,IF(Atletas!L442="Wingchun B",9,IF(Atletas!L442="Outra Mão de Sul B",10,IF(Atletas!L442="Choylayfut C",11,IF(Atletas!L442="Hunggar C",12,IF(Atletas!L442="Wuzuquan C",13,IF(Atletas!L442="Wingchun C",14,IF(Atletas!L442="Outra Mão de Sul C",15,IF(Atletas!L442="Choylayfut D",16,IF(Atletas!L442="Hunggar D",17,IF(Atletas!L442="Wuzuquan D",18,IF(Atletas!L442="Wingchun D",19,IF(Atletas!L442="Outra Mão de Sul D",20,IF(Atletas!L442="Choylayfut E",21,IF(Atletas!L442="Hunggar E",22,IF(Atletas!L442="Wuzuquan E",23,IF(Atletas!L442="Wingchun E",24,IF(Atletas!L442="Outra Mão de Sul E",25,IF(Atletas!L442="Choylayfut F",26,IF(Atletas!L442="Hunggar F",27,IF(Atletas!L442="Wuzuquan F",28,IF(Atletas!L442="Wingchun F",29,IF(Atletas!L442="Outra Mão de Sul F",30,IF(Atletas!L442="Dishuquan A",31,IF(Atletas!L442="Dishuquan B",32,IF(Atletas!L442="Dishuquan C",33,IF(Atletas!L442="Dishuquan D",34,IF(Atletas!L442="Dishuquan E",35,IF(Atletas!L442="Dishuquan F",36,""))))))))))))))))))))))))))))))))))))))</f>
        <v/>
      </c>
      <c r="BS451" s="50" t="str">
        <f>IF(Atletas!M442="","",IF(Atletas!X442&lt;&gt;"",10000,0)+(IF(Atletas!B442="Feminino",1000,IF(Atletas!B442="Masculino",2000,""))+(IF(Atletas!M442="Chaquan A",101,IF(Atletas!M442="Emeiquan A",102,IF(Atletas!M442="Fanziquan A",103,IF(Atletas!M442="Huaquan A",104,IF(Atletas!M442="Hongquan A",105,IF(Atletas!M442="Paoquan A",106,IF(Atletas!M442="Piguaquan A",107,IF(Atletas!M442="Shaolinquan A",108,IF(Atletas!M442="Tanglangquan A",109,IF(Atletas!M442="Yingzhaoquan A",110,IF(Atletas!M442="Tongbeiquan A",111,IF(Atletas!M442="Wudangquan A",112,IF(Atletas!M442="Outros Estilos A",113,IF(Atletas!M442="Chaquan B",114,IF(Atletas!M442="Emeiquan B",115,IF(Atletas!M442="Fanziquan B",116,IF(Atletas!M442="Huaquan B",117,IF(Atletas!M442="Hongquan B",118,IF(Atletas!M442="Paoquan B",119,IF(Atletas!M442="Piguaquan B",120,IF(Atletas!M442="Shaolinquan B",121,IF(Atletas!M442="Tanglangquan B",122,IF(Atletas!M442="Yingzhaoquan B",123,IF(Atletas!M442="Tongbeiquan B",124,IF(Atletas!M442="Wudangquan B",125,IF(Atletas!M442="Outros Estilos B",126,IF(Atletas!M442="Chaquan C",127,IF(Atletas!M442="Emeiquan C",128,IF(Atletas!M442="Fanziquan C",129,IF(Atletas!M442="Huaquan C",130,IF(Atletas!M442="Hongquan C",131,IF(Atletas!M442="Paoquan C",132,IF(Atletas!M442="Piguaquan C",133,IF(Atletas!M442="Shaolinquan C",134,IF(Atletas!M442="Tanglangquan C",135,IF(Atletas!M442="Yingzhaoquan C",136,IF(Atletas!M442="Tongbeiquan C",137,IF(Atletas!M442="Wudangquan C",138,IF(Atletas!M442="Outros Estilos C",139,0))))))))))))))))))))))))))))))))))))))))))</f>
        <v/>
      </c>
      <c r="BT451" s="50" t="str">
        <f>IF(Atletas!M442="","",IF(Atletas!X442&lt;&gt;"",10000,0)+(IF(Atletas!B442="Feminino",1000,IF(Atletas!B442="Masculino",2000,""))+(IF(Atletas!M442="Chaquan D",140,IF(Atletas!M442="Emeiquan D",141,IF(Atletas!M442="Fanziquan D",142,IF(Atletas!M442="Huaquan D",143,IF(Atletas!M442="Hongquan D",144,IF(Atletas!M442="Paoquan D",145,IF(Atletas!M442="Piguaquan D",146,IF(Atletas!M442="Shaolinquan D",147,IF(Atletas!M442="Tanglangquan D",148,IF(Atletas!M442="Yingzhaoquan D",149,IF(Atletas!M442="Tongbeiquan D",150,IF(Atletas!M442="Wudangquan D",151,IF(Atletas!M442="Outros Estilos D",152,IF(Atletas!M442="Chaquan E",153,IF(Atletas!M442="Emeiquan E",154,IF(Atletas!M442="Fanziquan E",155,IF(Atletas!M442="Huaquan E",156,IF(Atletas!M442="Hongquan E",157,IF(Atletas!M442="Paoquan E",158,IF(Atletas!M442="Piguaquan E",159,IF(Atletas!M442="Shaolinquan E",160,IF(Atletas!M442="Tanglangquan E",161,IF(Atletas!M442="Yingzhaoquan E",162,IF(Atletas!M442="Tongbeiquan E",163,IF(Atletas!M442="Wudangquan E",164,IF(Atletas!M442="Outros Estilos E",165,IF(Atletas!M442="Chaquan F",166,IF(Atletas!M442="Emeiquan F",167,IF(Atletas!M442="Fanziquan F",168,IF(Atletas!M442="Huaquan F",169,IF(Atletas!M442="Hongquan F",170,IF(Atletas!M442="Paoquan F",171,IF(Atletas!M442="Piguaquan F",172,IF(Atletas!M442="Shaolinquan F",173,IF(Atletas!M442="Tanglangquan F",174,IF(Atletas!M442="Yingzhaoquan F",175,IF(Atletas!M442="Tongbeiquan F",176,IF(Atletas!M442="Wudangquan F",177,IF(Atletas!M442="Outros Estilos F",178,0))))))))))))))))))))))))))))))))))))))))))</f>
        <v/>
      </c>
      <c r="BU451" s="50" t="str">
        <f>IF(Atletas!N442="","",IF(Atletas!X442&lt;&gt;"",10000,0)+(IF(Atletas!B442="Feminino",1000,IF(Atletas!B442="Masculino",2000,""))+(IF(Atletas!N442="Ditangquan A",201,IF(Atletas!N442="Houquan A",202,IF(Atletas!N442="Zuiquan A",203,IF(Atletas!N442="Ditangquan B",204,IF(Atletas!N442="Houquan B",205,IF(Atletas!N442="Zuiquan B",206,IF(Atletas!N442="Ditangquan C",207,IF(Atletas!N442="Houquan C",208,IF(Atletas!N442="Zuiquan C",209,IF(Atletas!N442="Ditangquan D",210,IF(Atletas!N442="Houquan D",211,IF(Atletas!N442="Zuiquan D",212,IF(Atletas!N442="Ditangquan E",213,IF(Atletas!N442="Houquan E",214,IF(Atletas!N442="Zuiquan E",215,IF(Atletas!N442="Ditangquan F",216,IF(Atletas!N442="Houquan F",217,IF(Atletas!N442="Zuiquan F",218,"")))))))))))))))))))))</f>
        <v/>
      </c>
      <c r="BV451" s="50" t="str">
        <f>IF(Atletas!O442="","",IF(Atletas!X442&lt;&gt;"",10000,0)+IF(Atletas!B442="Feminino",1000,IF(Atletas!B442="Masculino",2000,""))+IF(Atletas!O442="Yang A",301,IF(Atletas!O442="Chen A",302,IF(Atletas!O442="Sun A",303,IF(Atletas!O442="Wu A",304,IF(Atletas!O442="Wu-Hao A",305,IF(Atletas!O442="Outro Taijiquan A",306,IF(Atletas!O442="Yang B",307,IF(Atletas!O442="Chen B",308,IF(Atletas!O442="Sun B",309,IF(Atletas!O442="Wu B",310,IF(Atletas!O442="Wu-Hao B",311,IF(Atletas!O442="Outro Taijiquan B",312,IF(Atletas!O442="Yang C",313,IF(Atletas!O442="Chen C",314,IF(Atletas!O442="Sun C",315,IF(Atletas!O442="Wu C",316,IF(Atletas!O442="Wu-Hao C",317,IF(Atletas!O442="Outro Taijiquan C",318,IF(Atletas!O442="Yang D",319,IF(Atletas!O442="Chen D",320,IF(Atletas!O442="Sun D",321,IF(Atletas!O442="Wu D",322,IF(Atletas!O442="Wu-Hao D",323,IF(Atletas!O442="Outro Taijiquan D",324,IF(Atletas!O442="Yang E",325,IF(Atletas!O442="Chen E",326,IF(Atletas!O442="Sun E",327,IF(Atletas!O442="Wu E",328,IF(Atletas!O442="Wu-Hao E",329,IF(Atletas!O442="Outro Taijiquan E",330,IF(Atletas!O442="Yang F",331,IF(Atletas!O442="Chen F",332,IF(Atletas!O442="Sun F",333,IF(Atletas!O442="Wu F",334,IF(Atletas!O442="Wu-Hao F",335,IF(Atletas!O442="Outro Taijiquan F",336,"")))))))))))))))))))))))))))))))))))))</f>
        <v/>
      </c>
      <c r="BW451" s="50" t="str">
        <f>IF(Atletas!P442="","",IF(Atletas!X442&lt;&gt;"",10000,0)+IF(Atletas!B442="Feminino",1000,IF(Atletas!B442="Masculino",2000,""))+IF(OR(Atletas!P442="Yang 26 A",Atletas!P442="Yang 40 A"),401,IF(OR(Atletas!P442="Chen 25 A",Atletas!P442="Chen 36 A",Atletas!P442="Chen 56 A"),402,IF(Atletas!P442="Sun 73 A",403,IF(Atletas!P442="Wu 45 A",404,IF(Atletas!P442="Wu-Hao 46 A",405,IF(OR(Atletas!P442="Taijiquan 16 A",Atletas!P442="Taijiquan 24 A",Atletas!P442="Taijiquan 32 A",Atletas!P442="Taijiquan 42 A"),406,IF(OR(Atletas!P442="Yang 26 B",Atletas!P442="Yang 40 B"),407,IF(OR(Atletas!P442="Chen 25 B",Atletas!P442="Chen 36 B",Atletas!P442="Chen 56 B"),408,IF(Atletas!P442="Sun 73 B",409,IF(Atletas!P442="Wu 45 B",410,IF(Atletas!P442="Wu-Hao 46 B",411,IF(OR(Atletas!P442="Taijiquan 16 B",Atletas!P442="Taijiquan 24 B",Atletas!P442="Taijiquan 32 B",Atletas!P442="Taijiquan 42 B"),412,IF(OR(Atletas!P442="Yang 26 C",Atletas!P442="Yang 40 C"),413,IF(OR(Atletas!P442="Chen 25 C",Atletas!P442="Chen 36 C",Atletas!P442="Chen 56 C"),414,IF(Atletas!P442="Sun 73 C",415,IF(Atletas!P442="Wu 45 C",416,IF(Atletas!P442="Wu-Hao 46 C",417,IF(OR(Atletas!P442="Taijiquan 16 C",Atletas!P442="Taijiquan 24 C",Atletas!P442="Taijiquan 32 C",Atletas!P442="Taijiquan 42 C"),418,0)))))))))))))))))))</f>
        <v/>
      </c>
      <c r="BX451" s="50" t="str">
        <f>IF(Atletas!P442="","",IF(Atletas!X442&lt;&gt;"",10000,0)+IF(Atletas!B442="Feminino",1000,IF(Atletas!B442="Masculino",2000,""))+IF(OR(Atletas!P442="Yang 26 D",Atletas!P442="Yang 40 D"),419,IF(OR(Atletas!P442="Chen 25 D",Atletas!P442="Chen 36 D",Atletas!P442="Chen 56 D"),420,IF(Atletas!P442="Sun 73 D",421,IF(Atletas!P442="Wu 45 D",422,IF(Atletas!P442="Wu-Hao 46 D",423,IF(OR(Atletas!P442="Taijiquan 16 D",Atletas!P442="Taijiquan 24 D",Atletas!P442="Taijiquan 32 D",Atletas!P442="Taijiquan 42 D"),424,IF(OR(Atletas!P442="Yang 26 E",Atletas!P442="Yang 40 E"),425,IF(OR(Atletas!P442="Chen 25 E",Atletas!P442="Chen 36 E",Atletas!P442="Chen 56 E"),426,IF(Atletas!P442="Sun 73 E",427,IF(Atletas!P442="Wu 45 E",428,IF(Atletas!P442="Wu-Hao 46 E",429,IF(OR(Atletas!P442="Taijiquan 16 E",Atletas!P442="Taijiquan 24 E",Atletas!P442="Taijiquan 32 E",Atletas!P442="Taijiquan 42 E"),430,IF(OR(Atletas!P442="Yang 26 F",Atletas!P442="Yang 40 F"),431,IF(OR(Atletas!P442="Chen 25 F",Atletas!P442="Chen 36 F",Atletas!P442="Chen 56 F"),432,IF(Atletas!P442="Sun 73 F",433,IF(Atletas!P442="Wu 45 F",434,IF(Atletas!P442="Wu-Hao 46 F",435,IF(OR(Atletas!P442="Taijiquan 16 F",Atletas!P442="Taijiquan 24 F",Atletas!P442="Taijiquan 32 F",Atletas!P442="Taijiquan 42 F"),436,0)))))))))))))))))))</f>
        <v/>
      </c>
      <c r="BY451" s="50" t="str">
        <f>IF(Atletas!Q442="","",IF(Atletas!X442&lt;&gt;"",10000,0)+IF(Atletas!B442="Feminino",1000,IF(Atletas!B442="Masculino",2000,""))+IF(Atletas!Q442="Xingyiquan A",501,IF(Atletas!Q442="Baguazhang A",502,IF(Atletas!Q442="Outro Estilo Interno A",503,IF(Atletas!Q442="Xingyiquan B",504,IF(Atletas!Q442="Baguazhang B",505,IF(Atletas!Q442="Outro Estilo Interno B",506,IF(Atletas!Q442="Xingyiquan C",507,IF(Atletas!Q442="Baguazhang C",508,IF(Atletas!Q442="Outro Estilo Interno C",509,IF(Atletas!Q442="Xingyiquan D",510,IF(Atletas!Q442="Baguazhang D",511,IF(Atletas!Q442="Outro Estilo Interno D",512,IF(Atletas!Q442="Xingyiquan E",513,IF(Atletas!Q442="Baguazhang E",514,IF(Atletas!Q442="Outro Estilo Interno E",515,IF(Atletas!Q442="Xingyiquan F",516,IF(Atletas!Q442="Baguazhang F",517,IF(Atletas!Q442="Outro Estilo Interno F",518, "")))))))))))))))))))</f>
        <v/>
      </c>
      <c r="BZ451" s="50" t="str">
        <f>IF(Atletas!R442="","",IF(Atletas!X442&lt;&gt;"",10000,0)+IF(Atletas!B442="Feminino",1000,IF(Atletas!B442="Masculino",2000,""))+IF(Atletas!R442="Dao A",601,IF(Atletas!R442="Jian A",602,IF(Atletas!R442="Bishou A",603,IF(Atletas!R442="Shanzi A",604,IF(Atletas!R442="Outra Arma Curta A",605,IF(Atletas!R442="Dao B",606,IF(Atletas!R442="Jian B",607,IF(Atletas!R442="Bishou B",608,IF(Atletas!R442="Shanzi B",609,IF(Atletas!R442="Outra Arma Curta B",610,IF(Atletas!R442="Dao C",611,IF(Atletas!R442="Jian C",612,IF(Atletas!R442="Bishou C",613,IF(Atletas!R442="Shanzi C",614,IF(Atletas!R442="Outra Arma Curta C",615,IF(Atletas!R442="Dao D",616,IF(Atletas!R442="Jian D",617,IF(Atletas!R442="Bishou D",618,IF(Atletas!R442="Shanzi D",619,IF(Atletas!R442="Outra Arma Curta D",620,IF(Atletas!R442="Dao E",621,IF(Atletas!R442="Jian E",622,IF(Atletas!R442="Bishou E",623,IF(Atletas!R442="Shanzi E",624,IF(Atletas!R442="Outra Arma Curta E",625,IF(Atletas!R442="Dao F",626,IF(Atletas!R442="Jian F",627,IF(Atletas!R442="Bishou F",628,IF(Atletas!R442="Shanzi F",629,IF(Atletas!R442="Outra Arma Curta F",630, "")))))))))))))))))))))))))))))))</f>
        <v/>
      </c>
      <c r="CA451" s="50" t="str">
        <f>IF(Atletas!S442="","",IF(Atletas!X442&lt;&gt;"",10000,0)+IF(Atletas!B442="Feminino",1000,IF(Atletas!B442="Masculino",2000,""))+IF(Atletas!S442="Gun A",701,IF(Atletas!S442="Qiang A",702,IF(Atletas!S442="Pudao / Guandao A",703,IF(Atletas!S442="Outra Arma Longa A",704,IF(Atletas!S442="Gun B",705,IF(Atletas!S442="Qiang B",706,IF(Atletas!S442="Pudao / Guandao B",707,IF(Atletas!S442="Outra Arma Longa B",708,IF(Atletas!S442="Gun C",709,IF(Atletas!S442="Qiang C",710,IF(Atletas!S442="Pudao / Guandao C",711,IF(Atletas!S442="Outra Arma Longa C",712,IF(Atletas!S442="Gun D",713,IF(Atletas!S442="Qiang D",714,IF(Atletas!S442="Pudao / Guandao D",715,IF(Atletas!S442="Outra Arma Longa D",716,IF(Atletas!S442="Gun E",717,IF(Atletas!S442="Qiang E",718,IF(Atletas!S442="Pudao / Guandao E",719,IF(Atletas!S442="Outra Arma Longa E",720,IF(Atletas!S442="Gun F",721,IF(Atletas!S442="Qiang F",722,IF(Atletas!S442="Pudao / Guandao F",723,IF(Atletas!S442="Outra Arma Longa F",724,"")))))))))))))))))))))))))</f>
        <v/>
      </c>
      <c r="CB451" s="50" t="str">
        <f>IF(Atletas!T442="","",IF(Atletas!X442&lt;&gt;"",10000,0)+IF(Atletas!B442="Feminino",1000,IF(Atletas!B442="Masculino",2000,""))+IF(Atletas!T442="Outra Arma Dupla A",801,IF(Atletas!T442="Arma Maleável A",802,IF(Atletas!T442="Outra Arma Dupla B",803,IF(Atletas!T442="Arma Maleável B",804,IF(Atletas!T442="Outra Arma Dupla C",805,IF(Atletas!T442="Arma Maleável C",806,IF(Atletas!T442="Outra Arma Dupla D",807,IF(Atletas!T442="Arma Maleável D",808,IF(Atletas!T442="Outra Arma Dupla E",809,IF(Atletas!T442="Arma Maleável E",810,IF(Atletas!T442="Outra Arma Dupla F",811,IF(Atletas!T442="Arma Maleável F",812,IF(Atletas!T442="Shuangdao A",813,IF(Atletas!T442="Shuangdao B",814,IF(Atletas!T442="Shuangdao C",815,IF(Atletas!T442="Shuangdao D",816,IF(Atletas!T442="Shuangdao E",817,IF(Atletas!T442="Shuangdao F",818,"")))))))))))))))))))</f>
        <v/>
      </c>
      <c r="CC451" s="50" t="str">
        <f>IF(Atletas!U442="","",IF(Atletas!X442&lt;&gt;"",10000,0)+IF(Atletas!B442="Feminino",1000,IF(Atletas!B442="Masculino",2000,""))+IF(OR(Atletas!U442="Taijijian Yang A",Atletas!U442="Taijijian Yang Standard A"),901,IF(OR(Atletas!U442="Taijijian Chen A", Atletas!U442="Taijijian Chen Standard A"),902,IF(Atletas!U442="Taijijian Sun A",903,IF(Atletas!U442="Taijijian Wu A",904,IF(Atletas!U442="Taijijian Wu-Hao A",905,IF(OR(Atletas!U442="Taijijian 32 A",Atletas!U442="Taijijian 42 A"),906,IF(OR(Atletas!U442="Taijijian Yang B",Atletas!U442="Taijijian Yang Standard B"),907,IF(OR(Atletas!U442="Taijijian Chen B", Atletas!U442="Taijijian Chen Standard B"),908,IF(Atletas!U442="Taijijian Sun B",909,IF(Atletas!U442="Taijijian Wu B",910,IF(Atletas!U442="Taijijian Wu-Hao B",911,IF(OR(Atletas!U442="Taijijian 32 B",Atletas!U442="Taijijian 42 B"),912,IF(OR(Atletas!U442="Taijijian Yang C",Atletas!U442="Taijijian Yang Standard C"),913,IF(OR(Atletas!U442="Taijijian Chen C", Atletas!U442="Taijijian Chen Standard C"),914,IF(Atletas!U442="Taijijian Sun C",915,IF(Atletas!U442="Taijijian Wu C",916,IF(Atletas!U442="Taijijian Wu-Hao C",917,IF(OR(Atletas!U442="Taijijian 32 C",Atletas!U442="Taijijian 42 C"),918,IF(OR(Atletas!U442="Taijijian Yang D",Atletas!U442="Taijijian Yang Standard D"),919,IF(OR(Atletas!U442="Taijijian Chen D", Atletas!U442="Taijijian Chen Standard D"),920,IF(Atletas!U442="Taijijian Sun D",921,IF(Atletas!U442="Taijijian Wu D",922,IF(Atletas!U442="Taijijian Wu-Hao D",923,IF(OR(Atletas!U442="Taijijian 32 D",Atletas!U442="Taijijian 42 D"),924,IF(OR(Atletas!U442="Taijijian Yang E",Atletas!U442="Taijijian Yang Standard E"),925,IF(OR(Atletas!U442="Taijijian Chen E", Atletas!U442="Taijijian Chen Standard E"),926,IF(Atletas!U442="Taijijian Sun E",927,IF(Atletas!U442="Taijijian Wu E",928,IF(Atletas!U442="Taijijian Wu-Hao E",929,IF(OR(Atletas!U442="Taijijian 32 E",Atletas!U442="Taijijian 42 E"),930,IF(OR(Atletas!U442="Taijijian Yang F",Atletas!U442="Taijijian Yang Standard F"),931,IF(OR(Atletas!U442="Taijijian Chen F", Atletas!U442="Taijijian Chen Standard F"),932,IF(Atletas!U442="Taijijian Sun F",933,IF(Atletas!U442="Taijijian Wu F",934,IF(Atletas!U442="Taijijian Wu-Hao F",935,IF(OR(Atletas!U442="Taijijian 32 F",Atletas!U442="Taijijian 42 F"),936,"")))))))))))))))))))))))))))))))))))))</f>
        <v/>
      </c>
      <c r="CD451" s="50" t="str">
        <f>IF(Atletas!V442="","",IF(Atletas!X442&lt;&gt;"",10000,0)+IF(Atletas!B442="Feminino",1000,IF(Atletas!B442="Masculino",2000,""))+IF(Atletas!V442="Taijidao A",937,IF(Atletas!V442="TaijiShanzi A",938,IF(Atletas!V442="Taijiqiang A",939,IF(Atletas!V442="Bagua de Arma A",940,IF(Atletas!V442="Xingyi de Arma A",941,IF(Atletas!V442="Taijidao B",942,IF(Atletas!V442="TaijiShanzi B",943,IF(Atletas!V442="Taijiqiang B",944,IF(Atletas!V442="Bagua de Arma B",945,IF(Atletas!V442="Xingyi de Arma B",946,IF(Atletas!V442="Taijidao C",947,IF(Atletas!V442="TaijiShanzi C",948,IF(Atletas!V442="Taijiqiang C",949,IF(Atletas!V442="Bagua de Arma C",950,IF(Atletas!V442="Xingyi de Arma C",951,IF(Atletas!V442="Taijidao D",952,IF(Atletas!V442="TaijiShanzi D",953,IF(Atletas!V442="Taijiqiang D",954,IF(Atletas!V442="Bagua de Arma D",955,IF(Atletas!V442="Xingyi de Arma D",956,IF(Atletas!V442="Taijidao E",957,IF(Atletas!V442="TaijiShanzi E",958,IF(Atletas!V442="Taijiqiang E",959,IF(Atletas!V442="Bagua de Arma E",960,IF(Atletas!V442="Xingyi de Arma E",961,IF(Atletas!V442="Taijidao F",962,IF(Atletas!V442="TaijiShanzi F",963,IF(Atletas!V442="Taijiqiang F",964,IF(Atletas!V442="Bagua de Arma F",965,IF(Atletas!V442="Xingyi de Arma F",966,"")))))))))))))))))))))))))))))))</f>
        <v/>
      </c>
      <c r="CM451" s="50" t="str">
        <f xml:space="preserve"> IF(Atletas!W442="","",IF(Atletas!W442="Duilian de Mãos BC - Equipe 1",1,IF(Atletas!W442="Duilian de Mãos BC - Equipe 2",2,IF(Atletas!W442="Duilian de Armas BC - Equipe 1",3,IF(Atletas!W442="Duilian de Armas BC - Equipe 2",4,IF(Atletas!W442="Duilian de Mãos DE - Equipe 1",5,IF(Atletas!W442="Duilian de Mãos DE - Equipe 2",6,IF(Atletas!W442="Duilian de Armas DE - Equipe 1",7,IF(Atletas!W442="Duilian de Armas DE - Equipe 2",8,IF(Atletas!W442="Duilian de Tuishou - Equipe 1",9,IF(Atletas!W442="Duilian de Tuishou - Equipe 2",10,IF(Atletas!W442="Grupo Externo ABC - Equipe 1",11,IF(Atletas!W442="Grupo Externo ABC - Equipe 2",12,IF(Atletas!W442="Grupo Interno ABC - Equipe 1",13,IF(Atletas!W442="Grupo Interno ABC - Equipe 2",14,IF(Atletas!W442="Grupo Externo DEF - Equipe 1",15,IF(Atletas!W442="Grupo Externo DEF - Equipe 2",16,IF(Atletas!W442="Grupo Interno DEF - Equipe 1",17,IF(Atletas!W442="Grupo Interno DEF - Equipe 2",18,"")))))))))))))))))))</f>
        <v/>
      </c>
    </row>
    <row r="452" spans="40:91">
      <c r="AN452" s="52" t="str">
        <f>IF(Atletas!D443="","",IF(Atletas!B443="Feminino",100,IF(Atletas!B443="Masculino",200,""))+(IF(Atletas!D443="Kids 30kg",1,IF(Atletas!D443="Kids 32kg",2, IF(Atletas!D443="Kids 34kg",3,IF(Atletas!D443="Kids 36kg",4,IF(Atletas!D443="Kids 39kg",5,IF(Atletas!D443="Kids 42kg",6,IF(Atletas!D443="Kids 45kg",7, IF(Atletas!D443="Infantil 39kg",8,IF(Atletas!D443="Infantil 42kg",9,IF(Atletas!D443="Infantil 45kg",10,IF(Atletas!D443="Infantil 48kg",11,IF(Atletas!D443="Infantil 52kg",12,IF(Atletas!D443="Infantil 56kg",13,IF(Atletas!D443="Infantil 60kg",14,IF(Atletas!D443="Juvenil 48kg",15,IF(Atletas!D443="Juvenil 52kg",16,IF(Atletas!D443="Juvenil 56kg",17,IF(Atletas!D443="Juvenil 60kg",18,IF(Atletas!D443="Juvenil 65kg",19,IF(Atletas!D443="Juvenil 70kg",20,IF(Atletas!D443="Juvenil 75kg",21,IF(Atletas!D443="Juvenil 80kg",22, IF(Atletas!D443="Juvenil 85kg",23,IF(Atletas!D443="Adulto 48kg",24,IF(Atletas!D443="Adulto 52kg",25,IF(Atletas!D443="Adulto 56kg",26,IF(Atletas!D443="Adulto 60kg",27,IF(Atletas!D443="Adulto 65kg",28,IF(Atletas!D443="Adulto 70kg",29,IF(Atletas!D443="Adulto 75kg",30,IF(Atletas!D443="Adulto 80kg",31,IF(Atletas!D443="Adulto 85kg",32,IF(Atletas!D443="Adulto 90kg",33,IF(Atletas!D443="Adulto 100kg",34, IF(Atletas!D443="Adulto +100kg",35,"")))))))))))))))))))))))))))))))))))))</f>
        <v/>
      </c>
      <c r="AS452" s="6" t="str">
        <f>IF(Atletas!E443="","",IF(Atletas!B443="Feminino",100,IF(Atletas!B443="Masculino",200,""))+(IF(Atletas!E443="Juvenil 44kg",1,IF(Atletas!E443="Juvenil 48kg",2,IF(Atletas!E443="Juvenil 52kg",3,IF(Atletas!E443="Juvenil 56kg",4,IF(Atletas!E443="Juvenil 60kg",5,IF(Atletas!E443="Juvenil 65kg",6,IF(Atletas!E443="Juvenil 70kg",7,IF(Atletas!E443="Juvenil 75kg",8,IF(Atletas!E443="Juvenil 82kg",9,IF(Atletas!E443="Juvenil 90kg",10,IF(Atletas!E443="Juvenil 100kg",11,IF(Atletas!E443="Adulto 48kg",12,IF(Atletas!E443="Adulto 52kg",13,IF(Atletas!E443="Adulto 56kg",14,IF(Atletas!E443="Adulto 60kg",15,IF(Atletas!E443="Adulto 65kg",16,IF(Atletas!E443="Adulto 70kg",17,IF(Atletas!E443="Adulto 75kg",18,IF(Atletas!E443="Adulto 82kg",19,IF(Atletas!E443="Adulto 90kg",20,IF(Atletas!E443="Adulto 100kg",21,IF(Atletas!E443="Adulto +100kg",22,""))))))))))))))))))))))))</f>
        <v/>
      </c>
      <c r="AX452" s="6" t="str">
        <f>IF(Atletas!F443="","",IF(Atletas!B443="Feminino",100,IF(Atletas!B443="Masculino",200,""))+(IF(Atletas!F443="Adulto 48kg",1,IF(Atletas!F443="Adulto 56kg",2,IF(Atletas!F443="Adulto 65kg",3,IF(Atletas!F443="Adulto 75kg",4,IF(Atletas!F443="Adulto +75kg",5,IF(Atletas!F443="Adulto 52kg",6,IF(Atletas!F443="Adulto 60kg",7,IF(Atletas!F443="Adulto 70kg",8,IF(Atletas!F443="Adulto 80kg",9,IF(Atletas!F443="Adulto 90kg",10,IF(Atletas!F443="Adulto +90kg",11,"")))))))))))))</f>
        <v/>
      </c>
      <c r="BC452" s="6" t="str">
        <f>IF(Atletas!G443="","",IF(Atletas!B443="Feminino",10,IF(Atletas!B443="Masculino",20,""))+(IF(Atletas!G443="Baduanjin A",1,IF(Atletas!G443="Baduanjin B",2))))</f>
        <v/>
      </c>
      <c r="BF452" s="52" t="str">
        <f>IF(Atletas!H443="","",IF(Atletas!B443="Feminino",100,IF(Atletas!B443="Masculino",200,""))+(IF(Atletas!H443="Changquan Mirim",1,IF(Atletas!H443="Nanquan Mirim",2,IF(Atletas!H443="Taijiquan Mirim",3,IF(Atletas!H443="Changquan Grupo C",4,IF(Atletas!H443="Nanquan Grupo C",5,IF(Atletas!H443="Taijiquan Grupo C",6,IF(Atletas!H443="Changquan Grupo B",7,IF(Atletas!H443="Nanquan Grupo B",8,IF(Atletas!H443="Taijiquan Grupo B",9,IF(Atletas!H443="Changquan Grupo A",10,IF(Atletas!H443="Nanquan Grupo A",11,IF(Atletas!H443="Taijiquan Grupo A",12,IF(Atletas!H443="Changquan Opcional",13,IF(Atletas!H443="Nanquan Opcional",14,IF(Atletas!H443="Taijiquan Opcional",15,IF(Atletas!H443="Changquan Adulto",16,IF(Atletas!H443="Nanquan Adulto",17,IF(Atletas!H443="Taijiquan Adulto",18,""))))))))))))))))))))</f>
        <v/>
      </c>
      <c r="BG452" s="52" t="str">
        <f>IF(Atletas!I443="","",IF(Atletas!B443="Feminino",100,IF(Atletas!B443="Masculino",200,""))+(IF(Atletas!I443="Daoshu Mirim",19,IF(Atletas!I443="Jianshu Mirim",20,IF(Atletas!I443="Nandao Mirim",21,IF(Atletas!I443="Taijijian Mirim",22,IF(Atletas!I443="Daoshu Grupo C",23,IF(Atletas!I443="Jianshu Grupo C",24,IF(Atletas!I443="Nandao Grupo C",25,IF(Atletas!I443="Taijijian Grupo C",26,IF(Atletas!I443="Daoshu Grupo B",27,IF(Atletas!I443="Jianshu Grupo B",28,IF(Atletas!I443="Nandao Grupo B",29,IF(Atletas!I443="Taijijian Grupo B",30,IF(Atletas!I443="Daoshu Grupo A",31,IF(Atletas!I443="Jianshu Grupo A",32,IF(Atletas!I443="Nandao Grupo A",33,IF(Atletas!I443="Taijijian Grupo A",34,IF(Atletas!I443="Daoshu Opcional",35,IF(Atletas!I443="Jianshu Opcional",36,IF(Atletas!I443="Nandao Opcional",37,IF(Atletas!I443="Taijijian Opcional",38,IF(Atletas!I443="Daoshu Adulto",39,IF(Atletas!I443="Jianshu Adulto",40,IF(Atletas!I443="Nandao Adulto",41,IF(Atletas!I443="Taijijian Adulto",42,""))))))))))))))))))))))))))</f>
        <v/>
      </c>
      <c r="BH452" s="52" t="str">
        <f>IF(Atletas!J443="","",IF(Atletas!B443="Feminino",100,IF(Atletas!B443="Masculino",200,""))+(IF(Atletas!J443="Gunshu Mirim",43,IF(Atletas!J443="Qiangshu Mirim",44,IF(Atletas!J443="Nangun Mirim",45,IF(Atletas!J443="Gunshu Grupo C",46,IF(Atletas!J443="Qiangshu Grupo C",47,IF(Atletas!J443="Nangun Grupo C",48,IF(Atletas!J443="Gunshu Grupo B",49,IF(Atletas!J443="Qiangshu Grupo B",50,IF(Atletas!J443="Nangun Grupo B",51,IF(Atletas!J443="Gunshu Grupo A",52,IF(Atletas!J443="Qiangshu Grupo A",53,IF(Atletas!J443="Nangun Grupo A",54,IF(Atletas!J443="Gunshu Opcional",55,IF(Atletas!J443="Qiangshu Opcional",56,IF(Atletas!J443="Nangun Opcional",57,IF(Atletas!J443="Gunshu Adulto",58,IF(Atletas!J443="Qiangshu Adulto",59,IF(Atletas!J443="Nangun Adulto",60,IF(Atletas!J443="Taijishan Grupo B",61,IF(Atletas!J443="Taijishan Grupo A",62,""))))))))))))))))))))))</f>
        <v/>
      </c>
      <c r="BM452" s="50" t="str">
        <f>IF(Atletas!K443="","",IF(Atletas!B443="Feminino",100,IF(Atletas!B443="Masculino",200,""))+(IF(Atletas!K443="Equipe 1 Grupo B",1,IF(Atletas!K443="Equipe 2 Grupo B",2,IF(Atletas!K443="Equipe 1 Grupo A",3,IF(Atletas!K443="Equipe 2 Grupo A",4,IF(Atletas!K443="Equipe 1 Adulto",5,IF(Atletas!K443="Equipe 2 Adulto",6,""))))))))</f>
        <v/>
      </c>
      <c r="BR452" s="50" t="str">
        <f>IF(Atletas!L443="","",IF(Atletas!X443&lt;&gt;"",10000,0)+(IF(Atletas!B443="Feminino",1000,IF(Atletas!B443="Masculino",2000,""))+IF(Atletas!L443="Choylayfut A",1,IF(Atletas!L443="Hunggar A",2,IF(Atletas!L443="Wuzuquan A",3,IF(Atletas!L443="Wingchun A",4,IF(Atletas!L443="Outra Mão de Sul A",5,IF(Atletas!L443="Choylayfut B",6,IF(Atletas!L443="Hunggar B",7,IF(Atletas!L443="Wuzuquan B",8,IF(Atletas!L443="Wingchun B",9,IF(Atletas!L443="Outra Mão de Sul B",10,IF(Atletas!L443="Choylayfut C",11,IF(Atletas!L443="Hunggar C",12,IF(Atletas!L443="Wuzuquan C",13,IF(Atletas!L443="Wingchun C",14,IF(Atletas!L443="Outra Mão de Sul C",15,IF(Atletas!L443="Choylayfut D",16,IF(Atletas!L443="Hunggar D",17,IF(Atletas!L443="Wuzuquan D",18,IF(Atletas!L443="Wingchun D",19,IF(Atletas!L443="Outra Mão de Sul D",20,IF(Atletas!L443="Choylayfut E",21,IF(Atletas!L443="Hunggar E",22,IF(Atletas!L443="Wuzuquan E",23,IF(Atletas!L443="Wingchun E",24,IF(Atletas!L443="Outra Mão de Sul E",25,IF(Atletas!L443="Choylayfut F",26,IF(Atletas!L443="Hunggar F",27,IF(Atletas!L443="Wuzuquan F",28,IF(Atletas!L443="Wingchun F",29,IF(Atletas!L443="Outra Mão de Sul F",30,IF(Atletas!L443="Dishuquan A",31,IF(Atletas!L443="Dishuquan B",32,IF(Atletas!L443="Dishuquan C",33,IF(Atletas!L443="Dishuquan D",34,IF(Atletas!L443="Dishuquan E",35,IF(Atletas!L443="Dishuquan F",36,""))))))))))))))))))))))))))))))))))))))</f>
        <v/>
      </c>
      <c r="BS452" s="50" t="str">
        <f>IF(Atletas!M443="","",IF(Atletas!X443&lt;&gt;"",10000,0)+(IF(Atletas!B443="Feminino",1000,IF(Atletas!B443="Masculino",2000,""))+(IF(Atletas!M443="Chaquan A",101,IF(Atletas!M443="Emeiquan A",102,IF(Atletas!M443="Fanziquan A",103,IF(Atletas!M443="Huaquan A",104,IF(Atletas!M443="Hongquan A",105,IF(Atletas!M443="Paoquan A",106,IF(Atletas!M443="Piguaquan A",107,IF(Atletas!M443="Shaolinquan A",108,IF(Atletas!M443="Tanglangquan A",109,IF(Atletas!M443="Yingzhaoquan A",110,IF(Atletas!M443="Tongbeiquan A",111,IF(Atletas!M443="Wudangquan A",112,IF(Atletas!M443="Outros Estilos A",113,IF(Atletas!M443="Chaquan B",114,IF(Atletas!M443="Emeiquan B",115,IF(Atletas!M443="Fanziquan B",116,IF(Atletas!M443="Huaquan B",117,IF(Atletas!M443="Hongquan B",118,IF(Atletas!M443="Paoquan B",119,IF(Atletas!M443="Piguaquan B",120,IF(Atletas!M443="Shaolinquan B",121,IF(Atletas!M443="Tanglangquan B",122,IF(Atletas!M443="Yingzhaoquan B",123,IF(Atletas!M443="Tongbeiquan B",124,IF(Atletas!M443="Wudangquan B",125,IF(Atletas!M443="Outros Estilos B",126,IF(Atletas!M443="Chaquan C",127,IF(Atletas!M443="Emeiquan C",128,IF(Atletas!M443="Fanziquan C",129,IF(Atletas!M443="Huaquan C",130,IF(Atletas!M443="Hongquan C",131,IF(Atletas!M443="Paoquan C",132,IF(Atletas!M443="Piguaquan C",133,IF(Atletas!M443="Shaolinquan C",134,IF(Atletas!M443="Tanglangquan C",135,IF(Atletas!M443="Yingzhaoquan C",136,IF(Atletas!M443="Tongbeiquan C",137,IF(Atletas!M443="Wudangquan C",138,IF(Atletas!M443="Outros Estilos C",139,0))))))))))))))))))))))))))))))))))))))))))</f>
        <v/>
      </c>
      <c r="BT452" s="50" t="str">
        <f>IF(Atletas!M443="","",IF(Atletas!X443&lt;&gt;"",10000,0)+(IF(Atletas!B443="Feminino",1000,IF(Atletas!B443="Masculino",2000,""))+(IF(Atletas!M443="Chaquan D",140,IF(Atletas!M443="Emeiquan D",141,IF(Atletas!M443="Fanziquan D",142,IF(Atletas!M443="Huaquan D",143,IF(Atletas!M443="Hongquan D",144,IF(Atletas!M443="Paoquan D",145,IF(Atletas!M443="Piguaquan D",146,IF(Atletas!M443="Shaolinquan D",147,IF(Atletas!M443="Tanglangquan D",148,IF(Atletas!M443="Yingzhaoquan D",149,IF(Atletas!M443="Tongbeiquan D",150,IF(Atletas!M443="Wudangquan D",151,IF(Atletas!M443="Outros Estilos D",152,IF(Atletas!M443="Chaquan E",153,IF(Atletas!M443="Emeiquan E",154,IF(Atletas!M443="Fanziquan E",155,IF(Atletas!M443="Huaquan E",156,IF(Atletas!M443="Hongquan E",157,IF(Atletas!M443="Paoquan E",158,IF(Atletas!M443="Piguaquan E",159,IF(Atletas!M443="Shaolinquan E",160,IF(Atletas!M443="Tanglangquan E",161,IF(Atletas!M443="Yingzhaoquan E",162,IF(Atletas!M443="Tongbeiquan E",163,IF(Atletas!M443="Wudangquan E",164,IF(Atletas!M443="Outros Estilos E",165,IF(Atletas!M443="Chaquan F",166,IF(Atletas!M443="Emeiquan F",167,IF(Atletas!M443="Fanziquan F",168,IF(Atletas!M443="Huaquan F",169,IF(Atletas!M443="Hongquan F",170,IF(Atletas!M443="Paoquan F",171,IF(Atletas!M443="Piguaquan F",172,IF(Atletas!M443="Shaolinquan F",173,IF(Atletas!M443="Tanglangquan F",174,IF(Atletas!M443="Yingzhaoquan F",175,IF(Atletas!M443="Tongbeiquan F",176,IF(Atletas!M443="Wudangquan F",177,IF(Atletas!M443="Outros Estilos F",178,0))))))))))))))))))))))))))))))))))))))))))</f>
        <v/>
      </c>
      <c r="BU452" s="50" t="str">
        <f>IF(Atletas!N443="","",IF(Atletas!X443&lt;&gt;"",10000,0)+(IF(Atletas!B443="Feminino",1000,IF(Atletas!B443="Masculino",2000,""))+(IF(Atletas!N443="Ditangquan A",201,IF(Atletas!N443="Houquan A",202,IF(Atletas!N443="Zuiquan A",203,IF(Atletas!N443="Ditangquan B",204,IF(Atletas!N443="Houquan B",205,IF(Atletas!N443="Zuiquan B",206,IF(Atletas!N443="Ditangquan C",207,IF(Atletas!N443="Houquan C",208,IF(Atletas!N443="Zuiquan C",209,IF(Atletas!N443="Ditangquan D",210,IF(Atletas!N443="Houquan D",211,IF(Atletas!N443="Zuiquan D",212,IF(Atletas!N443="Ditangquan E",213,IF(Atletas!N443="Houquan E",214,IF(Atletas!N443="Zuiquan E",215,IF(Atletas!N443="Ditangquan F",216,IF(Atletas!N443="Houquan F",217,IF(Atletas!N443="Zuiquan F",218,"")))))))))))))))))))))</f>
        <v/>
      </c>
      <c r="BV452" s="50" t="str">
        <f>IF(Atletas!O443="","",IF(Atletas!X443&lt;&gt;"",10000,0)+IF(Atletas!B443="Feminino",1000,IF(Atletas!B443="Masculino",2000,""))+IF(Atletas!O443="Yang A",301,IF(Atletas!O443="Chen A",302,IF(Atletas!O443="Sun A",303,IF(Atletas!O443="Wu A",304,IF(Atletas!O443="Wu-Hao A",305,IF(Atletas!O443="Outro Taijiquan A",306,IF(Atletas!O443="Yang B",307,IF(Atletas!O443="Chen B",308,IF(Atletas!O443="Sun B",309,IF(Atletas!O443="Wu B",310,IF(Atletas!O443="Wu-Hao B",311,IF(Atletas!O443="Outro Taijiquan B",312,IF(Atletas!O443="Yang C",313,IF(Atletas!O443="Chen C",314,IF(Atletas!O443="Sun C",315,IF(Atletas!O443="Wu C",316,IF(Atletas!O443="Wu-Hao C",317,IF(Atletas!O443="Outro Taijiquan C",318,IF(Atletas!O443="Yang D",319,IF(Atletas!O443="Chen D",320,IF(Atletas!O443="Sun D",321,IF(Atletas!O443="Wu D",322,IF(Atletas!O443="Wu-Hao D",323,IF(Atletas!O443="Outro Taijiquan D",324,IF(Atletas!O443="Yang E",325,IF(Atletas!O443="Chen E",326,IF(Atletas!O443="Sun E",327,IF(Atletas!O443="Wu E",328,IF(Atletas!O443="Wu-Hao E",329,IF(Atletas!O443="Outro Taijiquan E",330,IF(Atletas!O443="Yang F",331,IF(Atletas!O443="Chen F",332,IF(Atletas!O443="Sun F",333,IF(Atletas!O443="Wu F",334,IF(Atletas!O443="Wu-Hao F",335,IF(Atletas!O443="Outro Taijiquan F",336,"")))))))))))))))))))))))))))))))))))))</f>
        <v/>
      </c>
      <c r="BW452" s="50" t="str">
        <f>IF(Atletas!P443="","",IF(Atletas!X443&lt;&gt;"",10000,0)+IF(Atletas!B443="Feminino",1000,IF(Atletas!B443="Masculino",2000,""))+IF(OR(Atletas!P443="Yang 26 A",Atletas!P443="Yang 40 A"),401,IF(OR(Atletas!P443="Chen 25 A",Atletas!P443="Chen 36 A",Atletas!P443="Chen 56 A"),402,IF(Atletas!P443="Sun 73 A",403,IF(Atletas!P443="Wu 45 A",404,IF(Atletas!P443="Wu-Hao 46 A",405,IF(OR(Atletas!P443="Taijiquan 16 A",Atletas!P443="Taijiquan 24 A",Atletas!P443="Taijiquan 32 A",Atletas!P443="Taijiquan 42 A"),406,IF(OR(Atletas!P443="Yang 26 B",Atletas!P443="Yang 40 B"),407,IF(OR(Atletas!P443="Chen 25 B",Atletas!P443="Chen 36 B",Atletas!P443="Chen 56 B"),408,IF(Atletas!P443="Sun 73 B",409,IF(Atletas!P443="Wu 45 B",410,IF(Atletas!P443="Wu-Hao 46 B",411,IF(OR(Atletas!P443="Taijiquan 16 B",Atletas!P443="Taijiquan 24 B",Atletas!P443="Taijiquan 32 B",Atletas!P443="Taijiquan 42 B"),412,IF(OR(Atletas!P443="Yang 26 C",Atletas!P443="Yang 40 C"),413,IF(OR(Atletas!P443="Chen 25 C",Atletas!P443="Chen 36 C",Atletas!P443="Chen 56 C"),414,IF(Atletas!P443="Sun 73 C",415,IF(Atletas!P443="Wu 45 C",416,IF(Atletas!P443="Wu-Hao 46 C",417,IF(OR(Atletas!P443="Taijiquan 16 C",Atletas!P443="Taijiquan 24 C",Atletas!P443="Taijiquan 32 C",Atletas!P443="Taijiquan 42 C"),418,0)))))))))))))))))))</f>
        <v/>
      </c>
      <c r="BX452" s="50" t="str">
        <f>IF(Atletas!P443="","",IF(Atletas!X443&lt;&gt;"",10000,0)+IF(Atletas!B443="Feminino",1000,IF(Atletas!B443="Masculino",2000,""))+IF(OR(Atletas!P443="Yang 26 D",Atletas!P443="Yang 40 D"),419,IF(OR(Atletas!P443="Chen 25 D",Atletas!P443="Chen 36 D",Atletas!P443="Chen 56 D"),420,IF(Atletas!P443="Sun 73 D",421,IF(Atletas!P443="Wu 45 D",422,IF(Atletas!P443="Wu-Hao 46 D",423,IF(OR(Atletas!P443="Taijiquan 16 D",Atletas!P443="Taijiquan 24 D",Atletas!P443="Taijiquan 32 D",Atletas!P443="Taijiquan 42 D"),424,IF(OR(Atletas!P443="Yang 26 E",Atletas!P443="Yang 40 E"),425,IF(OR(Atletas!P443="Chen 25 E",Atletas!P443="Chen 36 E",Atletas!P443="Chen 56 E"),426,IF(Atletas!P443="Sun 73 E",427,IF(Atletas!P443="Wu 45 E",428,IF(Atletas!P443="Wu-Hao 46 E",429,IF(OR(Atletas!P443="Taijiquan 16 E",Atletas!P443="Taijiquan 24 E",Atletas!P443="Taijiquan 32 E",Atletas!P443="Taijiquan 42 E"),430,IF(OR(Atletas!P443="Yang 26 F",Atletas!P443="Yang 40 F"),431,IF(OR(Atletas!P443="Chen 25 F",Atletas!P443="Chen 36 F",Atletas!P443="Chen 56 F"),432,IF(Atletas!P443="Sun 73 F",433,IF(Atletas!P443="Wu 45 F",434,IF(Atletas!P443="Wu-Hao 46 F",435,IF(OR(Atletas!P443="Taijiquan 16 F",Atletas!P443="Taijiquan 24 F",Atletas!P443="Taijiquan 32 F",Atletas!P443="Taijiquan 42 F"),436,0)))))))))))))))))))</f>
        <v/>
      </c>
      <c r="BY452" s="50" t="str">
        <f>IF(Atletas!Q443="","",IF(Atletas!X443&lt;&gt;"",10000,0)+IF(Atletas!B443="Feminino",1000,IF(Atletas!B443="Masculino",2000,""))+IF(Atletas!Q443="Xingyiquan A",501,IF(Atletas!Q443="Baguazhang A",502,IF(Atletas!Q443="Outro Estilo Interno A",503,IF(Atletas!Q443="Xingyiquan B",504,IF(Atletas!Q443="Baguazhang B",505,IF(Atletas!Q443="Outro Estilo Interno B",506,IF(Atletas!Q443="Xingyiquan C",507,IF(Atletas!Q443="Baguazhang C",508,IF(Atletas!Q443="Outro Estilo Interno C",509,IF(Atletas!Q443="Xingyiquan D",510,IF(Atletas!Q443="Baguazhang D",511,IF(Atletas!Q443="Outro Estilo Interno D",512,IF(Atletas!Q443="Xingyiquan E",513,IF(Atletas!Q443="Baguazhang E",514,IF(Atletas!Q443="Outro Estilo Interno E",515,IF(Atletas!Q443="Xingyiquan F",516,IF(Atletas!Q443="Baguazhang F",517,IF(Atletas!Q443="Outro Estilo Interno F",518, "")))))))))))))))))))</f>
        <v/>
      </c>
      <c r="BZ452" s="50" t="str">
        <f>IF(Atletas!R443="","",IF(Atletas!X443&lt;&gt;"",10000,0)+IF(Atletas!B443="Feminino",1000,IF(Atletas!B443="Masculino",2000,""))+IF(Atletas!R443="Dao A",601,IF(Atletas!R443="Jian A",602,IF(Atletas!R443="Bishou A",603,IF(Atletas!R443="Shanzi A",604,IF(Atletas!R443="Outra Arma Curta A",605,IF(Atletas!R443="Dao B",606,IF(Atletas!R443="Jian B",607,IF(Atletas!R443="Bishou B",608,IF(Atletas!R443="Shanzi B",609,IF(Atletas!R443="Outra Arma Curta B",610,IF(Atletas!R443="Dao C",611,IF(Atletas!R443="Jian C",612,IF(Atletas!R443="Bishou C",613,IF(Atletas!R443="Shanzi C",614,IF(Atletas!R443="Outra Arma Curta C",615,IF(Atletas!R443="Dao D",616,IF(Atletas!R443="Jian D",617,IF(Atletas!R443="Bishou D",618,IF(Atletas!R443="Shanzi D",619,IF(Atletas!R443="Outra Arma Curta D",620,IF(Atletas!R443="Dao E",621,IF(Atletas!R443="Jian E",622,IF(Atletas!R443="Bishou E",623,IF(Atletas!R443="Shanzi E",624,IF(Atletas!R443="Outra Arma Curta E",625,IF(Atletas!R443="Dao F",626,IF(Atletas!R443="Jian F",627,IF(Atletas!R443="Bishou F",628,IF(Atletas!R443="Shanzi F",629,IF(Atletas!R443="Outra Arma Curta F",630, "")))))))))))))))))))))))))))))))</f>
        <v/>
      </c>
      <c r="CA452" s="50" t="str">
        <f>IF(Atletas!S443="","",IF(Atletas!X443&lt;&gt;"",10000,0)+IF(Atletas!B443="Feminino",1000,IF(Atletas!B443="Masculino",2000,""))+IF(Atletas!S443="Gun A",701,IF(Atletas!S443="Qiang A",702,IF(Atletas!S443="Pudao / Guandao A",703,IF(Atletas!S443="Outra Arma Longa A",704,IF(Atletas!S443="Gun B",705,IF(Atletas!S443="Qiang B",706,IF(Atletas!S443="Pudao / Guandao B",707,IF(Atletas!S443="Outra Arma Longa B",708,IF(Atletas!S443="Gun C",709,IF(Atletas!S443="Qiang C",710,IF(Atletas!S443="Pudao / Guandao C",711,IF(Atletas!S443="Outra Arma Longa C",712,IF(Atletas!S443="Gun D",713,IF(Atletas!S443="Qiang D",714,IF(Atletas!S443="Pudao / Guandao D",715,IF(Atletas!S443="Outra Arma Longa D",716,IF(Atletas!S443="Gun E",717,IF(Atletas!S443="Qiang E",718,IF(Atletas!S443="Pudao / Guandao E",719,IF(Atletas!S443="Outra Arma Longa E",720,IF(Atletas!S443="Gun F",721,IF(Atletas!S443="Qiang F",722,IF(Atletas!S443="Pudao / Guandao F",723,IF(Atletas!S443="Outra Arma Longa F",724,"")))))))))))))))))))))))))</f>
        <v/>
      </c>
      <c r="CB452" s="50" t="str">
        <f>IF(Atletas!T443="","",IF(Atletas!X443&lt;&gt;"",10000,0)+IF(Atletas!B443="Feminino",1000,IF(Atletas!B443="Masculino",2000,""))+IF(Atletas!T443="Outra Arma Dupla A",801,IF(Atletas!T443="Arma Maleável A",802,IF(Atletas!T443="Outra Arma Dupla B",803,IF(Atletas!T443="Arma Maleável B",804,IF(Atletas!T443="Outra Arma Dupla C",805,IF(Atletas!T443="Arma Maleável C",806,IF(Atletas!T443="Outra Arma Dupla D",807,IF(Atletas!T443="Arma Maleável D",808,IF(Atletas!T443="Outra Arma Dupla E",809,IF(Atletas!T443="Arma Maleável E",810,IF(Atletas!T443="Outra Arma Dupla F",811,IF(Atletas!T443="Arma Maleável F",812,IF(Atletas!T443="Shuangdao A",813,IF(Atletas!T443="Shuangdao B",814,IF(Atletas!T443="Shuangdao C",815,IF(Atletas!T443="Shuangdao D",816,IF(Atletas!T443="Shuangdao E",817,IF(Atletas!T443="Shuangdao F",818,"")))))))))))))))))))</f>
        <v/>
      </c>
      <c r="CC452" s="50" t="str">
        <f>IF(Atletas!U443="","",IF(Atletas!X443&lt;&gt;"",10000,0)+IF(Atletas!B443="Feminino",1000,IF(Atletas!B443="Masculino",2000,""))+IF(OR(Atletas!U443="Taijijian Yang A",Atletas!U443="Taijijian Yang Standard A"),901,IF(OR(Atletas!U443="Taijijian Chen A", Atletas!U443="Taijijian Chen Standard A"),902,IF(Atletas!U443="Taijijian Sun A",903,IF(Atletas!U443="Taijijian Wu A",904,IF(Atletas!U443="Taijijian Wu-Hao A",905,IF(OR(Atletas!U443="Taijijian 32 A",Atletas!U443="Taijijian 42 A"),906,IF(OR(Atletas!U443="Taijijian Yang B",Atletas!U443="Taijijian Yang Standard B"),907,IF(OR(Atletas!U443="Taijijian Chen B", Atletas!U443="Taijijian Chen Standard B"),908,IF(Atletas!U443="Taijijian Sun B",909,IF(Atletas!U443="Taijijian Wu B",910,IF(Atletas!U443="Taijijian Wu-Hao B",911,IF(OR(Atletas!U443="Taijijian 32 B",Atletas!U443="Taijijian 42 B"),912,IF(OR(Atletas!U443="Taijijian Yang C",Atletas!U443="Taijijian Yang Standard C"),913,IF(OR(Atletas!U443="Taijijian Chen C", Atletas!U443="Taijijian Chen Standard C"),914,IF(Atletas!U443="Taijijian Sun C",915,IF(Atletas!U443="Taijijian Wu C",916,IF(Atletas!U443="Taijijian Wu-Hao C",917,IF(OR(Atletas!U443="Taijijian 32 C",Atletas!U443="Taijijian 42 C"),918,IF(OR(Atletas!U443="Taijijian Yang D",Atletas!U443="Taijijian Yang Standard D"),919,IF(OR(Atletas!U443="Taijijian Chen D", Atletas!U443="Taijijian Chen Standard D"),920,IF(Atletas!U443="Taijijian Sun D",921,IF(Atletas!U443="Taijijian Wu D",922,IF(Atletas!U443="Taijijian Wu-Hao D",923,IF(OR(Atletas!U443="Taijijian 32 D",Atletas!U443="Taijijian 42 D"),924,IF(OR(Atletas!U443="Taijijian Yang E",Atletas!U443="Taijijian Yang Standard E"),925,IF(OR(Atletas!U443="Taijijian Chen E", Atletas!U443="Taijijian Chen Standard E"),926,IF(Atletas!U443="Taijijian Sun E",927,IF(Atletas!U443="Taijijian Wu E",928,IF(Atletas!U443="Taijijian Wu-Hao E",929,IF(OR(Atletas!U443="Taijijian 32 E",Atletas!U443="Taijijian 42 E"),930,IF(OR(Atletas!U443="Taijijian Yang F",Atletas!U443="Taijijian Yang Standard F"),931,IF(OR(Atletas!U443="Taijijian Chen F", Atletas!U443="Taijijian Chen Standard F"),932,IF(Atletas!U443="Taijijian Sun F",933,IF(Atletas!U443="Taijijian Wu F",934,IF(Atletas!U443="Taijijian Wu-Hao F",935,IF(OR(Atletas!U443="Taijijian 32 F",Atletas!U443="Taijijian 42 F"),936,"")))))))))))))))))))))))))))))))))))))</f>
        <v/>
      </c>
      <c r="CD452" s="50" t="str">
        <f>IF(Atletas!V443="","",IF(Atletas!X443&lt;&gt;"",10000,0)+IF(Atletas!B443="Feminino",1000,IF(Atletas!B443="Masculino",2000,""))+IF(Atletas!V443="Taijidao A",937,IF(Atletas!V443="TaijiShanzi A",938,IF(Atletas!V443="Taijiqiang A",939,IF(Atletas!V443="Bagua de Arma A",940,IF(Atletas!V443="Xingyi de Arma A",941,IF(Atletas!V443="Taijidao B",942,IF(Atletas!V443="TaijiShanzi B",943,IF(Atletas!V443="Taijiqiang B",944,IF(Atletas!V443="Bagua de Arma B",945,IF(Atletas!V443="Xingyi de Arma B",946,IF(Atletas!V443="Taijidao C",947,IF(Atletas!V443="TaijiShanzi C",948,IF(Atletas!V443="Taijiqiang C",949,IF(Atletas!V443="Bagua de Arma C",950,IF(Atletas!V443="Xingyi de Arma C",951,IF(Atletas!V443="Taijidao D",952,IF(Atletas!V443="TaijiShanzi D",953,IF(Atletas!V443="Taijiqiang D",954,IF(Atletas!V443="Bagua de Arma D",955,IF(Atletas!V443="Xingyi de Arma D",956,IF(Atletas!V443="Taijidao E",957,IF(Atletas!V443="TaijiShanzi E",958,IF(Atletas!V443="Taijiqiang E",959,IF(Atletas!V443="Bagua de Arma E",960,IF(Atletas!V443="Xingyi de Arma E",961,IF(Atletas!V443="Taijidao F",962,IF(Atletas!V443="TaijiShanzi F",963,IF(Atletas!V443="Taijiqiang F",964,IF(Atletas!V443="Bagua de Arma F",965,IF(Atletas!V443="Xingyi de Arma F",966,"")))))))))))))))))))))))))))))))</f>
        <v/>
      </c>
      <c r="CM452" s="50" t="str">
        <f xml:space="preserve"> IF(Atletas!W443="","",IF(Atletas!W443="Duilian de Mãos BC - Equipe 1",1,IF(Atletas!W443="Duilian de Mãos BC - Equipe 2",2,IF(Atletas!W443="Duilian de Armas BC - Equipe 1",3,IF(Atletas!W443="Duilian de Armas BC - Equipe 2",4,IF(Atletas!W443="Duilian de Mãos DE - Equipe 1",5,IF(Atletas!W443="Duilian de Mãos DE - Equipe 2",6,IF(Atletas!W443="Duilian de Armas DE - Equipe 1",7,IF(Atletas!W443="Duilian de Armas DE - Equipe 2",8,IF(Atletas!W443="Duilian de Tuishou - Equipe 1",9,IF(Atletas!W443="Duilian de Tuishou - Equipe 2",10,IF(Atletas!W443="Grupo Externo ABC - Equipe 1",11,IF(Atletas!W443="Grupo Externo ABC - Equipe 2",12,IF(Atletas!W443="Grupo Interno ABC - Equipe 1",13,IF(Atletas!W443="Grupo Interno ABC - Equipe 2",14,IF(Atletas!W443="Grupo Externo DEF - Equipe 1",15,IF(Atletas!W443="Grupo Externo DEF - Equipe 2",16,IF(Atletas!W443="Grupo Interno DEF - Equipe 1",17,IF(Atletas!W443="Grupo Interno DEF - Equipe 2",18,"")))))))))))))))))))</f>
        <v/>
      </c>
    </row>
    <row r="453" spans="40:91">
      <c r="AN453" s="52" t="str">
        <f>IF(Atletas!D444="","",IF(Atletas!B444="Feminino",100,IF(Atletas!B444="Masculino",200,""))+(IF(Atletas!D444="Kids 30kg",1,IF(Atletas!D444="Kids 32kg",2, IF(Atletas!D444="Kids 34kg",3,IF(Atletas!D444="Kids 36kg",4,IF(Atletas!D444="Kids 39kg",5,IF(Atletas!D444="Kids 42kg",6,IF(Atletas!D444="Kids 45kg",7, IF(Atletas!D444="Infantil 39kg",8,IF(Atletas!D444="Infantil 42kg",9,IF(Atletas!D444="Infantil 45kg",10,IF(Atletas!D444="Infantil 48kg",11,IF(Atletas!D444="Infantil 52kg",12,IF(Atletas!D444="Infantil 56kg",13,IF(Atletas!D444="Infantil 60kg",14,IF(Atletas!D444="Juvenil 48kg",15,IF(Atletas!D444="Juvenil 52kg",16,IF(Atletas!D444="Juvenil 56kg",17,IF(Atletas!D444="Juvenil 60kg",18,IF(Atletas!D444="Juvenil 65kg",19,IF(Atletas!D444="Juvenil 70kg",20,IF(Atletas!D444="Juvenil 75kg",21,IF(Atletas!D444="Juvenil 80kg",22, IF(Atletas!D444="Juvenil 85kg",23,IF(Atletas!D444="Adulto 48kg",24,IF(Atletas!D444="Adulto 52kg",25,IF(Atletas!D444="Adulto 56kg",26,IF(Atletas!D444="Adulto 60kg",27,IF(Atletas!D444="Adulto 65kg",28,IF(Atletas!D444="Adulto 70kg",29,IF(Atletas!D444="Adulto 75kg",30,IF(Atletas!D444="Adulto 80kg",31,IF(Atletas!D444="Adulto 85kg",32,IF(Atletas!D444="Adulto 90kg",33,IF(Atletas!D444="Adulto 100kg",34, IF(Atletas!D444="Adulto +100kg",35,"")))))))))))))))))))))))))))))))))))))</f>
        <v/>
      </c>
      <c r="AS453" s="6" t="str">
        <f>IF(Atletas!E444="","",IF(Atletas!B444="Feminino",100,IF(Atletas!B444="Masculino",200,""))+(IF(Atletas!E444="Juvenil 44kg",1,IF(Atletas!E444="Juvenil 48kg",2,IF(Atletas!E444="Juvenil 52kg",3,IF(Atletas!E444="Juvenil 56kg",4,IF(Atletas!E444="Juvenil 60kg",5,IF(Atletas!E444="Juvenil 65kg",6,IF(Atletas!E444="Juvenil 70kg",7,IF(Atletas!E444="Juvenil 75kg",8,IF(Atletas!E444="Juvenil 82kg",9,IF(Atletas!E444="Juvenil 90kg",10,IF(Atletas!E444="Juvenil 100kg",11,IF(Atletas!E444="Adulto 48kg",12,IF(Atletas!E444="Adulto 52kg",13,IF(Atletas!E444="Adulto 56kg",14,IF(Atletas!E444="Adulto 60kg",15,IF(Atletas!E444="Adulto 65kg",16,IF(Atletas!E444="Adulto 70kg",17,IF(Atletas!E444="Adulto 75kg",18,IF(Atletas!E444="Adulto 82kg",19,IF(Atletas!E444="Adulto 90kg",20,IF(Atletas!E444="Adulto 100kg",21,IF(Atletas!E444="Adulto +100kg",22,""))))))))))))))))))))))))</f>
        <v/>
      </c>
      <c r="AX453" s="6" t="str">
        <f>IF(Atletas!F444="","",IF(Atletas!B444="Feminino",100,IF(Atletas!B444="Masculino",200,""))+(IF(Atletas!F444="Adulto 48kg",1,IF(Atletas!F444="Adulto 56kg",2,IF(Atletas!F444="Adulto 65kg",3,IF(Atletas!F444="Adulto 75kg",4,IF(Atletas!F444="Adulto +75kg",5,IF(Atletas!F444="Adulto 52kg",6,IF(Atletas!F444="Adulto 60kg",7,IF(Atletas!F444="Adulto 70kg",8,IF(Atletas!F444="Adulto 80kg",9,IF(Atletas!F444="Adulto 90kg",10,IF(Atletas!F444="Adulto +90kg",11,"")))))))))))))</f>
        <v/>
      </c>
      <c r="BC453" s="6" t="str">
        <f>IF(Atletas!G444="","",IF(Atletas!B444="Feminino",10,IF(Atletas!B444="Masculino",20,""))+(IF(Atletas!G444="Baduanjin A",1,IF(Atletas!G444="Baduanjin B",2))))</f>
        <v/>
      </c>
      <c r="BF453" s="52" t="str">
        <f>IF(Atletas!H444="","",IF(Atletas!B444="Feminino",100,IF(Atletas!B444="Masculino",200,""))+(IF(Atletas!H444="Changquan Mirim",1,IF(Atletas!H444="Nanquan Mirim",2,IF(Atletas!H444="Taijiquan Mirim",3,IF(Atletas!H444="Changquan Grupo C",4,IF(Atletas!H444="Nanquan Grupo C",5,IF(Atletas!H444="Taijiquan Grupo C",6,IF(Atletas!H444="Changquan Grupo B",7,IF(Atletas!H444="Nanquan Grupo B",8,IF(Atletas!H444="Taijiquan Grupo B",9,IF(Atletas!H444="Changquan Grupo A",10,IF(Atletas!H444="Nanquan Grupo A",11,IF(Atletas!H444="Taijiquan Grupo A",12,IF(Atletas!H444="Changquan Opcional",13,IF(Atletas!H444="Nanquan Opcional",14,IF(Atletas!H444="Taijiquan Opcional",15,IF(Atletas!H444="Changquan Adulto",16,IF(Atletas!H444="Nanquan Adulto",17,IF(Atletas!H444="Taijiquan Adulto",18,""))))))))))))))))))))</f>
        <v/>
      </c>
      <c r="BG453" s="52" t="str">
        <f>IF(Atletas!I444="","",IF(Atletas!B444="Feminino",100,IF(Atletas!B444="Masculino",200,""))+(IF(Atletas!I444="Daoshu Mirim",19,IF(Atletas!I444="Jianshu Mirim",20,IF(Atletas!I444="Nandao Mirim",21,IF(Atletas!I444="Taijijian Mirim",22,IF(Atletas!I444="Daoshu Grupo C",23,IF(Atletas!I444="Jianshu Grupo C",24,IF(Atletas!I444="Nandao Grupo C",25,IF(Atletas!I444="Taijijian Grupo C",26,IF(Atletas!I444="Daoshu Grupo B",27,IF(Atletas!I444="Jianshu Grupo B",28,IF(Atletas!I444="Nandao Grupo B",29,IF(Atletas!I444="Taijijian Grupo B",30,IF(Atletas!I444="Daoshu Grupo A",31,IF(Atletas!I444="Jianshu Grupo A",32,IF(Atletas!I444="Nandao Grupo A",33,IF(Atletas!I444="Taijijian Grupo A",34,IF(Atletas!I444="Daoshu Opcional",35,IF(Atletas!I444="Jianshu Opcional",36,IF(Atletas!I444="Nandao Opcional",37,IF(Atletas!I444="Taijijian Opcional",38,IF(Atletas!I444="Daoshu Adulto",39,IF(Atletas!I444="Jianshu Adulto",40,IF(Atletas!I444="Nandao Adulto",41,IF(Atletas!I444="Taijijian Adulto",42,""))))))))))))))))))))))))))</f>
        <v/>
      </c>
      <c r="BH453" s="52" t="str">
        <f>IF(Atletas!J444="","",IF(Atletas!B444="Feminino",100,IF(Atletas!B444="Masculino",200,""))+(IF(Atletas!J444="Gunshu Mirim",43,IF(Atletas!J444="Qiangshu Mirim",44,IF(Atletas!J444="Nangun Mirim",45,IF(Atletas!J444="Gunshu Grupo C",46,IF(Atletas!J444="Qiangshu Grupo C",47,IF(Atletas!J444="Nangun Grupo C",48,IF(Atletas!J444="Gunshu Grupo B",49,IF(Atletas!J444="Qiangshu Grupo B",50,IF(Atletas!J444="Nangun Grupo B",51,IF(Atletas!J444="Gunshu Grupo A",52,IF(Atletas!J444="Qiangshu Grupo A",53,IF(Atletas!J444="Nangun Grupo A",54,IF(Atletas!J444="Gunshu Opcional",55,IF(Atletas!J444="Qiangshu Opcional",56,IF(Atletas!J444="Nangun Opcional",57,IF(Atletas!J444="Gunshu Adulto",58,IF(Atletas!J444="Qiangshu Adulto",59,IF(Atletas!J444="Nangun Adulto",60,IF(Atletas!J444="Taijishan Grupo B",61,IF(Atletas!J444="Taijishan Grupo A",62,""))))))))))))))))))))))</f>
        <v/>
      </c>
      <c r="BM453" s="50" t="str">
        <f>IF(Atletas!K444="","",IF(Atletas!B444="Feminino",100,IF(Atletas!B444="Masculino",200,""))+(IF(Atletas!K444="Equipe 1 Grupo B",1,IF(Atletas!K444="Equipe 2 Grupo B",2,IF(Atletas!K444="Equipe 1 Grupo A",3,IF(Atletas!K444="Equipe 2 Grupo A",4,IF(Atletas!K444="Equipe 1 Adulto",5,IF(Atletas!K444="Equipe 2 Adulto",6,""))))))))</f>
        <v/>
      </c>
      <c r="BR453" s="50" t="str">
        <f>IF(Atletas!L444="","",IF(Atletas!X444&lt;&gt;"",10000,0)+(IF(Atletas!B444="Feminino",1000,IF(Atletas!B444="Masculino",2000,""))+IF(Atletas!L444="Choylayfut A",1,IF(Atletas!L444="Hunggar A",2,IF(Atletas!L444="Wuzuquan A",3,IF(Atletas!L444="Wingchun A",4,IF(Atletas!L444="Outra Mão de Sul A",5,IF(Atletas!L444="Choylayfut B",6,IF(Atletas!L444="Hunggar B",7,IF(Atletas!L444="Wuzuquan B",8,IF(Atletas!L444="Wingchun B",9,IF(Atletas!L444="Outra Mão de Sul B",10,IF(Atletas!L444="Choylayfut C",11,IF(Atletas!L444="Hunggar C",12,IF(Atletas!L444="Wuzuquan C",13,IF(Atletas!L444="Wingchun C",14,IF(Atletas!L444="Outra Mão de Sul C",15,IF(Atletas!L444="Choylayfut D",16,IF(Atletas!L444="Hunggar D",17,IF(Atletas!L444="Wuzuquan D",18,IF(Atletas!L444="Wingchun D",19,IF(Atletas!L444="Outra Mão de Sul D",20,IF(Atletas!L444="Choylayfut E",21,IF(Atletas!L444="Hunggar E",22,IF(Atletas!L444="Wuzuquan E",23,IF(Atletas!L444="Wingchun E",24,IF(Atletas!L444="Outra Mão de Sul E",25,IF(Atletas!L444="Choylayfut F",26,IF(Atletas!L444="Hunggar F",27,IF(Atletas!L444="Wuzuquan F",28,IF(Atletas!L444="Wingchun F",29,IF(Atletas!L444="Outra Mão de Sul F",30,IF(Atletas!L444="Dishuquan A",31,IF(Atletas!L444="Dishuquan B",32,IF(Atletas!L444="Dishuquan C",33,IF(Atletas!L444="Dishuquan D",34,IF(Atletas!L444="Dishuquan E",35,IF(Atletas!L444="Dishuquan F",36,""))))))))))))))))))))))))))))))))))))))</f>
        <v/>
      </c>
      <c r="BS453" s="50" t="str">
        <f>IF(Atletas!M444="","",IF(Atletas!X444&lt;&gt;"",10000,0)+(IF(Atletas!B444="Feminino",1000,IF(Atletas!B444="Masculino",2000,""))+(IF(Atletas!M444="Chaquan A",101,IF(Atletas!M444="Emeiquan A",102,IF(Atletas!M444="Fanziquan A",103,IF(Atletas!M444="Huaquan A",104,IF(Atletas!M444="Hongquan A",105,IF(Atletas!M444="Paoquan A",106,IF(Atletas!M444="Piguaquan A",107,IF(Atletas!M444="Shaolinquan A",108,IF(Atletas!M444="Tanglangquan A",109,IF(Atletas!M444="Yingzhaoquan A",110,IF(Atletas!M444="Tongbeiquan A",111,IF(Atletas!M444="Wudangquan A",112,IF(Atletas!M444="Outros Estilos A",113,IF(Atletas!M444="Chaquan B",114,IF(Atletas!M444="Emeiquan B",115,IF(Atletas!M444="Fanziquan B",116,IF(Atletas!M444="Huaquan B",117,IF(Atletas!M444="Hongquan B",118,IF(Atletas!M444="Paoquan B",119,IF(Atletas!M444="Piguaquan B",120,IF(Atletas!M444="Shaolinquan B",121,IF(Atletas!M444="Tanglangquan B",122,IF(Atletas!M444="Yingzhaoquan B",123,IF(Atletas!M444="Tongbeiquan B",124,IF(Atletas!M444="Wudangquan B",125,IF(Atletas!M444="Outros Estilos B",126,IF(Atletas!M444="Chaquan C",127,IF(Atletas!M444="Emeiquan C",128,IF(Atletas!M444="Fanziquan C",129,IF(Atletas!M444="Huaquan C",130,IF(Atletas!M444="Hongquan C",131,IF(Atletas!M444="Paoquan C",132,IF(Atletas!M444="Piguaquan C",133,IF(Atletas!M444="Shaolinquan C",134,IF(Atletas!M444="Tanglangquan C",135,IF(Atletas!M444="Yingzhaoquan C",136,IF(Atletas!M444="Tongbeiquan C",137,IF(Atletas!M444="Wudangquan C",138,IF(Atletas!M444="Outros Estilos C",139,0))))))))))))))))))))))))))))))))))))))))))</f>
        <v/>
      </c>
      <c r="BT453" s="50" t="str">
        <f>IF(Atletas!M444="","",IF(Atletas!X444&lt;&gt;"",10000,0)+(IF(Atletas!B444="Feminino",1000,IF(Atletas!B444="Masculino",2000,""))+(IF(Atletas!M444="Chaquan D",140,IF(Atletas!M444="Emeiquan D",141,IF(Atletas!M444="Fanziquan D",142,IF(Atletas!M444="Huaquan D",143,IF(Atletas!M444="Hongquan D",144,IF(Atletas!M444="Paoquan D",145,IF(Atletas!M444="Piguaquan D",146,IF(Atletas!M444="Shaolinquan D",147,IF(Atletas!M444="Tanglangquan D",148,IF(Atletas!M444="Yingzhaoquan D",149,IF(Atletas!M444="Tongbeiquan D",150,IF(Atletas!M444="Wudangquan D",151,IF(Atletas!M444="Outros Estilos D",152,IF(Atletas!M444="Chaquan E",153,IF(Atletas!M444="Emeiquan E",154,IF(Atletas!M444="Fanziquan E",155,IF(Atletas!M444="Huaquan E",156,IF(Atletas!M444="Hongquan E",157,IF(Atletas!M444="Paoquan E",158,IF(Atletas!M444="Piguaquan E",159,IF(Atletas!M444="Shaolinquan E",160,IF(Atletas!M444="Tanglangquan E",161,IF(Atletas!M444="Yingzhaoquan E",162,IF(Atletas!M444="Tongbeiquan E",163,IF(Atletas!M444="Wudangquan E",164,IF(Atletas!M444="Outros Estilos E",165,IF(Atletas!M444="Chaquan F",166,IF(Atletas!M444="Emeiquan F",167,IF(Atletas!M444="Fanziquan F",168,IF(Atletas!M444="Huaquan F",169,IF(Atletas!M444="Hongquan F",170,IF(Atletas!M444="Paoquan F",171,IF(Atletas!M444="Piguaquan F",172,IF(Atletas!M444="Shaolinquan F",173,IF(Atletas!M444="Tanglangquan F",174,IF(Atletas!M444="Yingzhaoquan F",175,IF(Atletas!M444="Tongbeiquan F",176,IF(Atletas!M444="Wudangquan F",177,IF(Atletas!M444="Outros Estilos F",178,0))))))))))))))))))))))))))))))))))))))))))</f>
        <v/>
      </c>
      <c r="BU453" s="50" t="str">
        <f>IF(Atletas!N444="","",IF(Atletas!X444&lt;&gt;"",10000,0)+(IF(Atletas!B444="Feminino",1000,IF(Atletas!B444="Masculino",2000,""))+(IF(Atletas!N444="Ditangquan A",201,IF(Atletas!N444="Houquan A",202,IF(Atletas!N444="Zuiquan A",203,IF(Atletas!N444="Ditangquan B",204,IF(Atletas!N444="Houquan B",205,IF(Atletas!N444="Zuiquan B",206,IF(Atletas!N444="Ditangquan C",207,IF(Atletas!N444="Houquan C",208,IF(Atletas!N444="Zuiquan C",209,IF(Atletas!N444="Ditangquan D",210,IF(Atletas!N444="Houquan D",211,IF(Atletas!N444="Zuiquan D",212,IF(Atletas!N444="Ditangquan E",213,IF(Atletas!N444="Houquan E",214,IF(Atletas!N444="Zuiquan E",215,IF(Atletas!N444="Ditangquan F",216,IF(Atletas!N444="Houquan F",217,IF(Atletas!N444="Zuiquan F",218,"")))))))))))))))))))))</f>
        <v/>
      </c>
      <c r="BV453" s="50" t="str">
        <f>IF(Atletas!O444="","",IF(Atletas!X444&lt;&gt;"",10000,0)+IF(Atletas!B444="Feminino",1000,IF(Atletas!B444="Masculino",2000,""))+IF(Atletas!O444="Yang A",301,IF(Atletas!O444="Chen A",302,IF(Atletas!O444="Sun A",303,IF(Atletas!O444="Wu A",304,IF(Atletas!O444="Wu-Hao A",305,IF(Atletas!O444="Outro Taijiquan A",306,IF(Atletas!O444="Yang B",307,IF(Atletas!O444="Chen B",308,IF(Atletas!O444="Sun B",309,IF(Atletas!O444="Wu B",310,IF(Atletas!O444="Wu-Hao B",311,IF(Atletas!O444="Outro Taijiquan B",312,IF(Atletas!O444="Yang C",313,IF(Atletas!O444="Chen C",314,IF(Atletas!O444="Sun C",315,IF(Atletas!O444="Wu C",316,IF(Atletas!O444="Wu-Hao C",317,IF(Atletas!O444="Outro Taijiquan C",318,IF(Atletas!O444="Yang D",319,IF(Atletas!O444="Chen D",320,IF(Atletas!O444="Sun D",321,IF(Atletas!O444="Wu D",322,IF(Atletas!O444="Wu-Hao D",323,IF(Atletas!O444="Outro Taijiquan D",324,IF(Atletas!O444="Yang E",325,IF(Atletas!O444="Chen E",326,IF(Atletas!O444="Sun E",327,IF(Atletas!O444="Wu E",328,IF(Atletas!O444="Wu-Hao E",329,IF(Atletas!O444="Outro Taijiquan E",330,IF(Atletas!O444="Yang F",331,IF(Atletas!O444="Chen F",332,IF(Atletas!O444="Sun F",333,IF(Atletas!O444="Wu F",334,IF(Atletas!O444="Wu-Hao F",335,IF(Atletas!O444="Outro Taijiquan F",336,"")))))))))))))))))))))))))))))))))))))</f>
        <v/>
      </c>
      <c r="BW453" s="50" t="str">
        <f>IF(Atletas!P444="","",IF(Atletas!X444&lt;&gt;"",10000,0)+IF(Atletas!B444="Feminino",1000,IF(Atletas!B444="Masculino",2000,""))+IF(OR(Atletas!P444="Yang 26 A",Atletas!P444="Yang 40 A"),401,IF(OR(Atletas!P444="Chen 25 A",Atletas!P444="Chen 36 A",Atletas!P444="Chen 56 A"),402,IF(Atletas!P444="Sun 73 A",403,IF(Atletas!P444="Wu 45 A",404,IF(Atletas!P444="Wu-Hao 46 A",405,IF(OR(Atletas!P444="Taijiquan 16 A",Atletas!P444="Taijiquan 24 A",Atletas!P444="Taijiquan 32 A",Atletas!P444="Taijiquan 42 A"),406,IF(OR(Atletas!P444="Yang 26 B",Atletas!P444="Yang 40 B"),407,IF(OR(Atletas!P444="Chen 25 B",Atletas!P444="Chen 36 B",Atletas!P444="Chen 56 B"),408,IF(Atletas!P444="Sun 73 B",409,IF(Atletas!P444="Wu 45 B",410,IF(Atletas!P444="Wu-Hao 46 B",411,IF(OR(Atletas!P444="Taijiquan 16 B",Atletas!P444="Taijiquan 24 B",Atletas!P444="Taijiquan 32 B",Atletas!P444="Taijiquan 42 B"),412,IF(OR(Atletas!P444="Yang 26 C",Atletas!P444="Yang 40 C"),413,IF(OR(Atletas!P444="Chen 25 C",Atletas!P444="Chen 36 C",Atletas!P444="Chen 56 C"),414,IF(Atletas!P444="Sun 73 C",415,IF(Atletas!P444="Wu 45 C",416,IF(Atletas!P444="Wu-Hao 46 C",417,IF(OR(Atletas!P444="Taijiquan 16 C",Atletas!P444="Taijiquan 24 C",Atletas!P444="Taijiquan 32 C",Atletas!P444="Taijiquan 42 C"),418,0)))))))))))))))))))</f>
        <v/>
      </c>
      <c r="BX453" s="50" t="str">
        <f>IF(Atletas!P444="","",IF(Atletas!X444&lt;&gt;"",10000,0)+IF(Atletas!B444="Feminino",1000,IF(Atletas!B444="Masculino",2000,""))+IF(OR(Atletas!P444="Yang 26 D",Atletas!P444="Yang 40 D"),419,IF(OR(Atletas!P444="Chen 25 D",Atletas!P444="Chen 36 D",Atletas!P444="Chen 56 D"),420,IF(Atletas!P444="Sun 73 D",421,IF(Atletas!P444="Wu 45 D",422,IF(Atletas!P444="Wu-Hao 46 D",423,IF(OR(Atletas!P444="Taijiquan 16 D",Atletas!P444="Taijiquan 24 D",Atletas!P444="Taijiquan 32 D",Atletas!P444="Taijiquan 42 D"),424,IF(OR(Atletas!P444="Yang 26 E",Atletas!P444="Yang 40 E"),425,IF(OR(Atletas!P444="Chen 25 E",Atletas!P444="Chen 36 E",Atletas!P444="Chen 56 E"),426,IF(Atletas!P444="Sun 73 E",427,IF(Atletas!P444="Wu 45 E",428,IF(Atletas!P444="Wu-Hao 46 E",429,IF(OR(Atletas!P444="Taijiquan 16 E",Atletas!P444="Taijiquan 24 E",Atletas!P444="Taijiquan 32 E",Atletas!P444="Taijiquan 42 E"),430,IF(OR(Atletas!P444="Yang 26 F",Atletas!P444="Yang 40 F"),431,IF(OR(Atletas!P444="Chen 25 F",Atletas!P444="Chen 36 F",Atletas!P444="Chen 56 F"),432,IF(Atletas!P444="Sun 73 F",433,IF(Atletas!P444="Wu 45 F",434,IF(Atletas!P444="Wu-Hao 46 F",435,IF(OR(Atletas!P444="Taijiquan 16 F",Atletas!P444="Taijiquan 24 F",Atletas!P444="Taijiquan 32 F",Atletas!P444="Taijiquan 42 F"),436,0)))))))))))))))))))</f>
        <v/>
      </c>
      <c r="BY453" s="50" t="str">
        <f>IF(Atletas!Q444="","",IF(Atletas!X444&lt;&gt;"",10000,0)+IF(Atletas!B444="Feminino",1000,IF(Atletas!B444="Masculino",2000,""))+IF(Atletas!Q444="Xingyiquan A",501,IF(Atletas!Q444="Baguazhang A",502,IF(Atletas!Q444="Outro Estilo Interno A",503,IF(Atletas!Q444="Xingyiquan B",504,IF(Atletas!Q444="Baguazhang B",505,IF(Atletas!Q444="Outro Estilo Interno B",506,IF(Atletas!Q444="Xingyiquan C",507,IF(Atletas!Q444="Baguazhang C",508,IF(Atletas!Q444="Outro Estilo Interno C",509,IF(Atletas!Q444="Xingyiquan D",510,IF(Atletas!Q444="Baguazhang D",511,IF(Atletas!Q444="Outro Estilo Interno D",512,IF(Atletas!Q444="Xingyiquan E",513,IF(Atletas!Q444="Baguazhang E",514,IF(Atletas!Q444="Outro Estilo Interno E",515,IF(Atletas!Q444="Xingyiquan F",516,IF(Atletas!Q444="Baguazhang F",517,IF(Atletas!Q444="Outro Estilo Interno F",518, "")))))))))))))))))))</f>
        <v/>
      </c>
      <c r="BZ453" s="50" t="str">
        <f>IF(Atletas!R444="","",IF(Atletas!X444&lt;&gt;"",10000,0)+IF(Atletas!B444="Feminino",1000,IF(Atletas!B444="Masculino",2000,""))+IF(Atletas!R444="Dao A",601,IF(Atletas!R444="Jian A",602,IF(Atletas!R444="Bishou A",603,IF(Atletas!R444="Shanzi A",604,IF(Atletas!R444="Outra Arma Curta A",605,IF(Atletas!R444="Dao B",606,IF(Atletas!R444="Jian B",607,IF(Atletas!R444="Bishou B",608,IF(Atletas!R444="Shanzi B",609,IF(Atletas!R444="Outra Arma Curta B",610,IF(Atletas!R444="Dao C",611,IF(Atletas!R444="Jian C",612,IF(Atletas!R444="Bishou C",613,IF(Atletas!R444="Shanzi C",614,IF(Atletas!R444="Outra Arma Curta C",615,IF(Atletas!R444="Dao D",616,IF(Atletas!R444="Jian D",617,IF(Atletas!R444="Bishou D",618,IF(Atletas!R444="Shanzi D",619,IF(Atletas!R444="Outra Arma Curta D",620,IF(Atletas!R444="Dao E",621,IF(Atletas!R444="Jian E",622,IF(Atletas!R444="Bishou E",623,IF(Atletas!R444="Shanzi E",624,IF(Atletas!R444="Outra Arma Curta E",625,IF(Atletas!R444="Dao F",626,IF(Atletas!R444="Jian F",627,IF(Atletas!R444="Bishou F",628,IF(Atletas!R444="Shanzi F",629,IF(Atletas!R444="Outra Arma Curta F",630, "")))))))))))))))))))))))))))))))</f>
        <v/>
      </c>
      <c r="CA453" s="50" t="str">
        <f>IF(Atletas!S444="","",IF(Atletas!X444&lt;&gt;"",10000,0)+IF(Atletas!B444="Feminino",1000,IF(Atletas!B444="Masculino",2000,""))+IF(Atletas!S444="Gun A",701,IF(Atletas!S444="Qiang A",702,IF(Atletas!S444="Pudao / Guandao A",703,IF(Atletas!S444="Outra Arma Longa A",704,IF(Atletas!S444="Gun B",705,IF(Atletas!S444="Qiang B",706,IF(Atletas!S444="Pudao / Guandao B",707,IF(Atletas!S444="Outra Arma Longa B",708,IF(Atletas!S444="Gun C",709,IF(Atletas!S444="Qiang C",710,IF(Atletas!S444="Pudao / Guandao C",711,IF(Atletas!S444="Outra Arma Longa C",712,IF(Atletas!S444="Gun D",713,IF(Atletas!S444="Qiang D",714,IF(Atletas!S444="Pudao / Guandao D",715,IF(Atletas!S444="Outra Arma Longa D",716,IF(Atletas!S444="Gun E",717,IF(Atletas!S444="Qiang E",718,IF(Atletas!S444="Pudao / Guandao E",719,IF(Atletas!S444="Outra Arma Longa E",720,IF(Atletas!S444="Gun F",721,IF(Atletas!S444="Qiang F",722,IF(Atletas!S444="Pudao / Guandao F",723,IF(Atletas!S444="Outra Arma Longa F",724,"")))))))))))))))))))))))))</f>
        <v/>
      </c>
      <c r="CB453" s="50" t="str">
        <f>IF(Atletas!T444="","",IF(Atletas!X444&lt;&gt;"",10000,0)+IF(Atletas!B444="Feminino",1000,IF(Atletas!B444="Masculino",2000,""))+IF(Atletas!T444="Outra Arma Dupla A",801,IF(Atletas!T444="Arma Maleável A",802,IF(Atletas!T444="Outra Arma Dupla B",803,IF(Atletas!T444="Arma Maleável B",804,IF(Atletas!T444="Outra Arma Dupla C",805,IF(Atletas!T444="Arma Maleável C",806,IF(Atletas!T444="Outra Arma Dupla D",807,IF(Atletas!T444="Arma Maleável D",808,IF(Atletas!T444="Outra Arma Dupla E",809,IF(Atletas!T444="Arma Maleável E",810,IF(Atletas!T444="Outra Arma Dupla F",811,IF(Atletas!T444="Arma Maleável F",812,IF(Atletas!T444="Shuangdao A",813,IF(Atletas!T444="Shuangdao B",814,IF(Atletas!T444="Shuangdao C",815,IF(Atletas!T444="Shuangdao D",816,IF(Atletas!T444="Shuangdao E",817,IF(Atletas!T444="Shuangdao F",818,"")))))))))))))))))))</f>
        <v/>
      </c>
      <c r="CC453" s="50" t="str">
        <f>IF(Atletas!U444="","",IF(Atletas!X444&lt;&gt;"",10000,0)+IF(Atletas!B444="Feminino",1000,IF(Atletas!B444="Masculino",2000,""))+IF(OR(Atletas!U444="Taijijian Yang A",Atletas!U444="Taijijian Yang Standard A"),901,IF(OR(Atletas!U444="Taijijian Chen A", Atletas!U444="Taijijian Chen Standard A"),902,IF(Atletas!U444="Taijijian Sun A",903,IF(Atletas!U444="Taijijian Wu A",904,IF(Atletas!U444="Taijijian Wu-Hao A",905,IF(OR(Atletas!U444="Taijijian 32 A",Atletas!U444="Taijijian 42 A"),906,IF(OR(Atletas!U444="Taijijian Yang B",Atletas!U444="Taijijian Yang Standard B"),907,IF(OR(Atletas!U444="Taijijian Chen B", Atletas!U444="Taijijian Chen Standard B"),908,IF(Atletas!U444="Taijijian Sun B",909,IF(Atletas!U444="Taijijian Wu B",910,IF(Atletas!U444="Taijijian Wu-Hao B",911,IF(OR(Atletas!U444="Taijijian 32 B",Atletas!U444="Taijijian 42 B"),912,IF(OR(Atletas!U444="Taijijian Yang C",Atletas!U444="Taijijian Yang Standard C"),913,IF(OR(Atletas!U444="Taijijian Chen C", Atletas!U444="Taijijian Chen Standard C"),914,IF(Atletas!U444="Taijijian Sun C",915,IF(Atletas!U444="Taijijian Wu C",916,IF(Atletas!U444="Taijijian Wu-Hao C",917,IF(OR(Atletas!U444="Taijijian 32 C",Atletas!U444="Taijijian 42 C"),918,IF(OR(Atletas!U444="Taijijian Yang D",Atletas!U444="Taijijian Yang Standard D"),919,IF(OR(Atletas!U444="Taijijian Chen D", Atletas!U444="Taijijian Chen Standard D"),920,IF(Atletas!U444="Taijijian Sun D",921,IF(Atletas!U444="Taijijian Wu D",922,IF(Atletas!U444="Taijijian Wu-Hao D",923,IF(OR(Atletas!U444="Taijijian 32 D",Atletas!U444="Taijijian 42 D"),924,IF(OR(Atletas!U444="Taijijian Yang E",Atletas!U444="Taijijian Yang Standard E"),925,IF(OR(Atletas!U444="Taijijian Chen E", Atletas!U444="Taijijian Chen Standard E"),926,IF(Atletas!U444="Taijijian Sun E",927,IF(Atletas!U444="Taijijian Wu E",928,IF(Atletas!U444="Taijijian Wu-Hao E",929,IF(OR(Atletas!U444="Taijijian 32 E",Atletas!U444="Taijijian 42 E"),930,IF(OR(Atletas!U444="Taijijian Yang F",Atletas!U444="Taijijian Yang Standard F"),931,IF(OR(Atletas!U444="Taijijian Chen F", Atletas!U444="Taijijian Chen Standard F"),932,IF(Atletas!U444="Taijijian Sun F",933,IF(Atletas!U444="Taijijian Wu F",934,IF(Atletas!U444="Taijijian Wu-Hao F",935,IF(OR(Atletas!U444="Taijijian 32 F",Atletas!U444="Taijijian 42 F"),936,"")))))))))))))))))))))))))))))))))))))</f>
        <v/>
      </c>
      <c r="CD453" s="50" t="str">
        <f>IF(Atletas!V444="","",IF(Atletas!X444&lt;&gt;"",10000,0)+IF(Atletas!B444="Feminino",1000,IF(Atletas!B444="Masculino",2000,""))+IF(Atletas!V444="Taijidao A",937,IF(Atletas!V444="TaijiShanzi A",938,IF(Atletas!V444="Taijiqiang A",939,IF(Atletas!V444="Bagua de Arma A",940,IF(Atletas!V444="Xingyi de Arma A",941,IF(Atletas!V444="Taijidao B",942,IF(Atletas!V444="TaijiShanzi B",943,IF(Atletas!V444="Taijiqiang B",944,IF(Atletas!V444="Bagua de Arma B",945,IF(Atletas!V444="Xingyi de Arma B",946,IF(Atletas!V444="Taijidao C",947,IF(Atletas!V444="TaijiShanzi C",948,IF(Atletas!V444="Taijiqiang C",949,IF(Atletas!V444="Bagua de Arma C",950,IF(Atletas!V444="Xingyi de Arma C",951,IF(Atletas!V444="Taijidao D",952,IF(Atletas!V444="TaijiShanzi D",953,IF(Atletas!V444="Taijiqiang D",954,IF(Atletas!V444="Bagua de Arma D",955,IF(Atletas!V444="Xingyi de Arma D",956,IF(Atletas!V444="Taijidao E",957,IF(Atletas!V444="TaijiShanzi E",958,IF(Atletas!V444="Taijiqiang E",959,IF(Atletas!V444="Bagua de Arma E",960,IF(Atletas!V444="Xingyi de Arma E",961,IF(Atletas!V444="Taijidao F",962,IF(Atletas!V444="TaijiShanzi F",963,IF(Atletas!V444="Taijiqiang F",964,IF(Atletas!V444="Bagua de Arma F",965,IF(Atletas!V444="Xingyi de Arma F",966,"")))))))))))))))))))))))))))))))</f>
        <v/>
      </c>
      <c r="CM453" s="50" t="str">
        <f xml:space="preserve"> IF(Atletas!W444="","",IF(Atletas!W444="Duilian de Mãos BC - Equipe 1",1,IF(Atletas!W444="Duilian de Mãos BC - Equipe 2",2,IF(Atletas!W444="Duilian de Armas BC - Equipe 1",3,IF(Atletas!W444="Duilian de Armas BC - Equipe 2",4,IF(Atletas!W444="Duilian de Mãos DE - Equipe 1",5,IF(Atletas!W444="Duilian de Mãos DE - Equipe 2",6,IF(Atletas!W444="Duilian de Armas DE - Equipe 1",7,IF(Atletas!W444="Duilian de Armas DE - Equipe 2",8,IF(Atletas!W444="Duilian de Tuishou - Equipe 1",9,IF(Atletas!W444="Duilian de Tuishou - Equipe 2",10,IF(Atletas!W444="Grupo Externo ABC - Equipe 1",11,IF(Atletas!W444="Grupo Externo ABC - Equipe 2",12,IF(Atletas!W444="Grupo Interno ABC - Equipe 1",13,IF(Atletas!W444="Grupo Interno ABC - Equipe 2",14,IF(Atletas!W444="Grupo Externo DEF - Equipe 1",15,IF(Atletas!W444="Grupo Externo DEF - Equipe 2",16,IF(Atletas!W444="Grupo Interno DEF - Equipe 1",17,IF(Atletas!W444="Grupo Interno DEF - Equipe 2",18,"")))))))))))))))))))</f>
        <v/>
      </c>
    </row>
    <row r="454" spans="40:91">
      <c r="AN454" s="52" t="str">
        <f>IF(Atletas!D445="","",IF(Atletas!B445="Feminino",100,IF(Atletas!B445="Masculino",200,""))+(IF(Atletas!D445="Kids 30kg",1,IF(Atletas!D445="Kids 32kg",2, IF(Atletas!D445="Kids 34kg",3,IF(Atletas!D445="Kids 36kg",4,IF(Atletas!D445="Kids 39kg",5,IF(Atletas!D445="Kids 42kg",6,IF(Atletas!D445="Kids 45kg",7, IF(Atletas!D445="Infantil 39kg",8,IF(Atletas!D445="Infantil 42kg",9,IF(Atletas!D445="Infantil 45kg",10,IF(Atletas!D445="Infantil 48kg",11,IF(Atletas!D445="Infantil 52kg",12,IF(Atletas!D445="Infantil 56kg",13,IF(Atletas!D445="Infantil 60kg",14,IF(Atletas!D445="Juvenil 48kg",15,IF(Atletas!D445="Juvenil 52kg",16,IF(Atletas!D445="Juvenil 56kg",17,IF(Atletas!D445="Juvenil 60kg",18,IF(Atletas!D445="Juvenil 65kg",19,IF(Atletas!D445="Juvenil 70kg",20,IF(Atletas!D445="Juvenil 75kg",21,IF(Atletas!D445="Juvenil 80kg",22, IF(Atletas!D445="Juvenil 85kg",23,IF(Atletas!D445="Adulto 48kg",24,IF(Atletas!D445="Adulto 52kg",25,IF(Atletas!D445="Adulto 56kg",26,IF(Atletas!D445="Adulto 60kg",27,IF(Atletas!D445="Adulto 65kg",28,IF(Atletas!D445="Adulto 70kg",29,IF(Atletas!D445="Adulto 75kg",30,IF(Atletas!D445="Adulto 80kg",31,IF(Atletas!D445="Adulto 85kg",32,IF(Atletas!D445="Adulto 90kg",33,IF(Atletas!D445="Adulto 100kg",34, IF(Atletas!D445="Adulto +100kg",35,"")))))))))))))))))))))))))))))))))))))</f>
        <v/>
      </c>
      <c r="AS454" s="6" t="str">
        <f>IF(Atletas!E445="","",IF(Atletas!B445="Feminino",100,IF(Atletas!B445="Masculino",200,""))+(IF(Atletas!E445="Juvenil 44kg",1,IF(Atletas!E445="Juvenil 48kg",2,IF(Atletas!E445="Juvenil 52kg",3,IF(Atletas!E445="Juvenil 56kg",4,IF(Atletas!E445="Juvenil 60kg",5,IF(Atletas!E445="Juvenil 65kg",6,IF(Atletas!E445="Juvenil 70kg",7,IF(Atletas!E445="Juvenil 75kg",8,IF(Atletas!E445="Juvenil 82kg",9,IF(Atletas!E445="Juvenil 90kg",10,IF(Atletas!E445="Juvenil 100kg",11,IF(Atletas!E445="Adulto 48kg",12,IF(Atletas!E445="Adulto 52kg",13,IF(Atletas!E445="Adulto 56kg",14,IF(Atletas!E445="Adulto 60kg",15,IF(Atletas!E445="Adulto 65kg",16,IF(Atletas!E445="Adulto 70kg",17,IF(Atletas!E445="Adulto 75kg",18,IF(Atletas!E445="Adulto 82kg",19,IF(Atletas!E445="Adulto 90kg",20,IF(Atletas!E445="Adulto 100kg",21,IF(Atletas!E445="Adulto +100kg",22,""))))))))))))))))))))))))</f>
        <v/>
      </c>
      <c r="AX454" s="6" t="str">
        <f>IF(Atletas!F445="","",IF(Atletas!B445="Feminino",100,IF(Atletas!B445="Masculino",200,""))+(IF(Atletas!F445="Adulto 48kg",1,IF(Atletas!F445="Adulto 56kg",2,IF(Atletas!F445="Adulto 65kg",3,IF(Atletas!F445="Adulto 75kg",4,IF(Atletas!F445="Adulto +75kg",5,IF(Atletas!F445="Adulto 52kg",6,IF(Atletas!F445="Adulto 60kg",7,IF(Atletas!F445="Adulto 70kg",8,IF(Atletas!F445="Adulto 80kg",9,IF(Atletas!F445="Adulto 90kg",10,IF(Atletas!F445="Adulto +90kg",11,"")))))))))))))</f>
        <v/>
      </c>
      <c r="BC454" s="6" t="str">
        <f>IF(Atletas!G445="","",IF(Atletas!B445="Feminino",10,IF(Atletas!B445="Masculino",20,""))+(IF(Atletas!G445="Baduanjin A",1,IF(Atletas!G445="Baduanjin B",2))))</f>
        <v/>
      </c>
      <c r="BF454" s="52" t="str">
        <f>IF(Atletas!H445="","",IF(Atletas!B445="Feminino",100,IF(Atletas!B445="Masculino",200,""))+(IF(Atletas!H445="Changquan Mirim",1,IF(Atletas!H445="Nanquan Mirim",2,IF(Atletas!H445="Taijiquan Mirim",3,IF(Atletas!H445="Changquan Grupo C",4,IF(Atletas!H445="Nanquan Grupo C",5,IF(Atletas!H445="Taijiquan Grupo C",6,IF(Atletas!H445="Changquan Grupo B",7,IF(Atletas!H445="Nanquan Grupo B",8,IF(Atletas!H445="Taijiquan Grupo B",9,IF(Atletas!H445="Changquan Grupo A",10,IF(Atletas!H445="Nanquan Grupo A",11,IF(Atletas!H445="Taijiquan Grupo A",12,IF(Atletas!H445="Changquan Opcional",13,IF(Atletas!H445="Nanquan Opcional",14,IF(Atletas!H445="Taijiquan Opcional",15,IF(Atletas!H445="Changquan Adulto",16,IF(Atletas!H445="Nanquan Adulto",17,IF(Atletas!H445="Taijiquan Adulto",18,""))))))))))))))))))))</f>
        <v/>
      </c>
      <c r="BG454" s="52" t="str">
        <f>IF(Atletas!I445="","",IF(Atletas!B445="Feminino",100,IF(Atletas!B445="Masculino",200,""))+(IF(Atletas!I445="Daoshu Mirim",19,IF(Atletas!I445="Jianshu Mirim",20,IF(Atletas!I445="Nandao Mirim",21,IF(Atletas!I445="Taijijian Mirim",22,IF(Atletas!I445="Daoshu Grupo C",23,IF(Atletas!I445="Jianshu Grupo C",24,IF(Atletas!I445="Nandao Grupo C",25,IF(Atletas!I445="Taijijian Grupo C",26,IF(Atletas!I445="Daoshu Grupo B",27,IF(Atletas!I445="Jianshu Grupo B",28,IF(Atletas!I445="Nandao Grupo B",29,IF(Atletas!I445="Taijijian Grupo B",30,IF(Atletas!I445="Daoshu Grupo A",31,IF(Atletas!I445="Jianshu Grupo A",32,IF(Atletas!I445="Nandao Grupo A",33,IF(Atletas!I445="Taijijian Grupo A",34,IF(Atletas!I445="Daoshu Opcional",35,IF(Atletas!I445="Jianshu Opcional",36,IF(Atletas!I445="Nandao Opcional",37,IF(Atletas!I445="Taijijian Opcional",38,IF(Atletas!I445="Daoshu Adulto",39,IF(Atletas!I445="Jianshu Adulto",40,IF(Atletas!I445="Nandao Adulto",41,IF(Atletas!I445="Taijijian Adulto",42,""))))))))))))))))))))))))))</f>
        <v/>
      </c>
      <c r="BH454" s="52" t="str">
        <f>IF(Atletas!J445="","",IF(Atletas!B445="Feminino",100,IF(Atletas!B445="Masculino",200,""))+(IF(Atletas!J445="Gunshu Mirim",43,IF(Atletas!J445="Qiangshu Mirim",44,IF(Atletas!J445="Nangun Mirim",45,IF(Atletas!J445="Gunshu Grupo C",46,IF(Atletas!J445="Qiangshu Grupo C",47,IF(Atletas!J445="Nangun Grupo C",48,IF(Atletas!J445="Gunshu Grupo B",49,IF(Atletas!J445="Qiangshu Grupo B",50,IF(Atletas!J445="Nangun Grupo B",51,IF(Atletas!J445="Gunshu Grupo A",52,IF(Atletas!J445="Qiangshu Grupo A",53,IF(Atletas!J445="Nangun Grupo A",54,IF(Atletas!J445="Gunshu Opcional",55,IF(Atletas!J445="Qiangshu Opcional",56,IF(Atletas!J445="Nangun Opcional",57,IF(Atletas!J445="Gunshu Adulto",58,IF(Atletas!J445="Qiangshu Adulto",59,IF(Atletas!J445="Nangun Adulto",60,IF(Atletas!J445="Taijishan Grupo B",61,IF(Atletas!J445="Taijishan Grupo A",62,""))))))))))))))))))))))</f>
        <v/>
      </c>
      <c r="BM454" s="50" t="str">
        <f>IF(Atletas!K445="","",IF(Atletas!B445="Feminino",100,IF(Atletas!B445="Masculino",200,""))+(IF(Atletas!K445="Equipe 1 Grupo B",1,IF(Atletas!K445="Equipe 2 Grupo B",2,IF(Atletas!K445="Equipe 1 Grupo A",3,IF(Atletas!K445="Equipe 2 Grupo A",4,IF(Atletas!K445="Equipe 1 Adulto",5,IF(Atletas!K445="Equipe 2 Adulto",6,""))))))))</f>
        <v/>
      </c>
      <c r="BR454" s="50" t="str">
        <f>IF(Atletas!L445="","",IF(Atletas!X445&lt;&gt;"",10000,0)+(IF(Atletas!B445="Feminino",1000,IF(Atletas!B445="Masculino",2000,""))+IF(Atletas!L445="Choylayfut A",1,IF(Atletas!L445="Hunggar A",2,IF(Atletas!L445="Wuzuquan A",3,IF(Atletas!L445="Wingchun A",4,IF(Atletas!L445="Outra Mão de Sul A",5,IF(Atletas!L445="Choylayfut B",6,IF(Atletas!L445="Hunggar B",7,IF(Atletas!L445="Wuzuquan B",8,IF(Atletas!L445="Wingchun B",9,IF(Atletas!L445="Outra Mão de Sul B",10,IF(Atletas!L445="Choylayfut C",11,IF(Atletas!L445="Hunggar C",12,IF(Atletas!L445="Wuzuquan C",13,IF(Atletas!L445="Wingchun C",14,IF(Atletas!L445="Outra Mão de Sul C",15,IF(Atletas!L445="Choylayfut D",16,IF(Atletas!L445="Hunggar D",17,IF(Atletas!L445="Wuzuquan D",18,IF(Atletas!L445="Wingchun D",19,IF(Atletas!L445="Outra Mão de Sul D",20,IF(Atletas!L445="Choylayfut E",21,IF(Atletas!L445="Hunggar E",22,IF(Atletas!L445="Wuzuquan E",23,IF(Atletas!L445="Wingchun E",24,IF(Atletas!L445="Outra Mão de Sul E",25,IF(Atletas!L445="Choylayfut F",26,IF(Atletas!L445="Hunggar F",27,IF(Atletas!L445="Wuzuquan F",28,IF(Atletas!L445="Wingchun F",29,IF(Atletas!L445="Outra Mão de Sul F",30,IF(Atletas!L445="Dishuquan A",31,IF(Atletas!L445="Dishuquan B",32,IF(Atletas!L445="Dishuquan C",33,IF(Atletas!L445="Dishuquan D",34,IF(Atletas!L445="Dishuquan E",35,IF(Atletas!L445="Dishuquan F",36,""))))))))))))))))))))))))))))))))))))))</f>
        <v/>
      </c>
      <c r="BS454" s="50" t="str">
        <f>IF(Atletas!M445="","",IF(Atletas!X445&lt;&gt;"",10000,0)+(IF(Atletas!B445="Feminino",1000,IF(Atletas!B445="Masculino",2000,""))+(IF(Atletas!M445="Chaquan A",101,IF(Atletas!M445="Emeiquan A",102,IF(Atletas!M445="Fanziquan A",103,IF(Atletas!M445="Huaquan A",104,IF(Atletas!M445="Hongquan A",105,IF(Atletas!M445="Paoquan A",106,IF(Atletas!M445="Piguaquan A",107,IF(Atletas!M445="Shaolinquan A",108,IF(Atletas!M445="Tanglangquan A",109,IF(Atletas!M445="Yingzhaoquan A",110,IF(Atletas!M445="Tongbeiquan A",111,IF(Atletas!M445="Wudangquan A",112,IF(Atletas!M445="Outros Estilos A",113,IF(Atletas!M445="Chaquan B",114,IF(Atletas!M445="Emeiquan B",115,IF(Atletas!M445="Fanziquan B",116,IF(Atletas!M445="Huaquan B",117,IF(Atletas!M445="Hongquan B",118,IF(Atletas!M445="Paoquan B",119,IF(Atletas!M445="Piguaquan B",120,IF(Atletas!M445="Shaolinquan B",121,IF(Atletas!M445="Tanglangquan B",122,IF(Atletas!M445="Yingzhaoquan B",123,IF(Atletas!M445="Tongbeiquan B",124,IF(Atletas!M445="Wudangquan B",125,IF(Atletas!M445="Outros Estilos B",126,IF(Atletas!M445="Chaquan C",127,IF(Atletas!M445="Emeiquan C",128,IF(Atletas!M445="Fanziquan C",129,IF(Atletas!M445="Huaquan C",130,IF(Atletas!M445="Hongquan C",131,IF(Atletas!M445="Paoquan C",132,IF(Atletas!M445="Piguaquan C",133,IF(Atletas!M445="Shaolinquan C",134,IF(Atletas!M445="Tanglangquan C",135,IF(Atletas!M445="Yingzhaoquan C",136,IF(Atletas!M445="Tongbeiquan C",137,IF(Atletas!M445="Wudangquan C",138,IF(Atletas!M445="Outros Estilos C",139,0))))))))))))))))))))))))))))))))))))))))))</f>
        <v/>
      </c>
      <c r="BT454" s="50" t="str">
        <f>IF(Atletas!M445="","",IF(Atletas!X445&lt;&gt;"",10000,0)+(IF(Atletas!B445="Feminino",1000,IF(Atletas!B445="Masculino",2000,""))+(IF(Atletas!M445="Chaquan D",140,IF(Atletas!M445="Emeiquan D",141,IF(Atletas!M445="Fanziquan D",142,IF(Atletas!M445="Huaquan D",143,IF(Atletas!M445="Hongquan D",144,IF(Atletas!M445="Paoquan D",145,IF(Atletas!M445="Piguaquan D",146,IF(Atletas!M445="Shaolinquan D",147,IF(Atletas!M445="Tanglangquan D",148,IF(Atletas!M445="Yingzhaoquan D",149,IF(Atletas!M445="Tongbeiquan D",150,IF(Atletas!M445="Wudangquan D",151,IF(Atletas!M445="Outros Estilos D",152,IF(Atletas!M445="Chaquan E",153,IF(Atletas!M445="Emeiquan E",154,IF(Atletas!M445="Fanziquan E",155,IF(Atletas!M445="Huaquan E",156,IF(Atletas!M445="Hongquan E",157,IF(Atletas!M445="Paoquan E",158,IF(Atletas!M445="Piguaquan E",159,IF(Atletas!M445="Shaolinquan E",160,IF(Atletas!M445="Tanglangquan E",161,IF(Atletas!M445="Yingzhaoquan E",162,IF(Atletas!M445="Tongbeiquan E",163,IF(Atletas!M445="Wudangquan E",164,IF(Atletas!M445="Outros Estilos E",165,IF(Atletas!M445="Chaquan F",166,IF(Atletas!M445="Emeiquan F",167,IF(Atletas!M445="Fanziquan F",168,IF(Atletas!M445="Huaquan F",169,IF(Atletas!M445="Hongquan F",170,IF(Atletas!M445="Paoquan F",171,IF(Atletas!M445="Piguaquan F",172,IF(Atletas!M445="Shaolinquan F",173,IF(Atletas!M445="Tanglangquan F",174,IF(Atletas!M445="Yingzhaoquan F",175,IF(Atletas!M445="Tongbeiquan F",176,IF(Atletas!M445="Wudangquan F",177,IF(Atletas!M445="Outros Estilos F",178,0))))))))))))))))))))))))))))))))))))))))))</f>
        <v/>
      </c>
      <c r="BU454" s="50" t="str">
        <f>IF(Atletas!N445="","",IF(Atletas!X445&lt;&gt;"",10000,0)+(IF(Atletas!B445="Feminino",1000,IF(Atletas!B445="Masculino",2000,""))+(IF(Atletas!N445="Ditangquan A",201,IF(Atletas!N445="Houquan A",202,IF(Atletas!N445="Zuiquan A",203,IF(Atletas!N445="Ditangquan B",204,IF(Atletas!N445="Houquan B",205,IF(Atletas!N445="Zuiquan B",206,IF(Atletas!N445="Ditangquan C",207,IF(Atletas!N445="Houquan C",208,IF(Atletas!N445="Zuiquan C",209,IF(Atletas!N445="Ditangquan D",210,IF(Atletas!N445="Houquan D",211,IF(Atletas!N445="Zuiquan D",212,IF(Atletas!N445="Ditangquan E",213,IF(Atletas!N445="Houquan E",214,IF(Atletas!N445="Zuiquan E",215,IF(Atletas!N445="Ditangquan F",216,IF(Atletas!N445="Houquan F",217,IF(Atletas!N445="Zuiquan F",218,"")))))))))))))))))))))</f>
        <v/>
      </c>
      <c r="BV454" s="50" t="str">
        <f>IF(Atletas!O445="","",IF(Atletas!X445&lt;&gt;"",10000,0)+IF(Atletas!B445="Feminino",1000,IF(Atletas!B445="Masculino",2000,""))+IF(Atletas!O445="Yang A",301,IF(Atletas!O445="Chen A",302,IF(Atletas!O445="Sun A",303,IF(Atletas!O445="Wu A",304,IF(Atletas!O445="Wu-Hao A",305,IF(Atletas!O445="Outro Taijiquan A",306,IF(Atletas!O445="Yang B",307,IF(Atletas!O445="Chen B",308,IF(Atletas!O445="Sun B",309,IF(Atletas!O445="Wu B",310,IF(Atletas!O445="Wu-Hao B",311,IF(Atletas!O445="Outro Taijiquan B",312,IF(Atletas!O445="Yang C",313,IF(Atletas!O445="Chen C",314,IF(Atletas!O445="Sun C",315,IF(Atletas!O445="Wu C",316,IF(Atletas!O445="Wu-Hao C",317,IF(Atletas!O445="Outro Taijiquan C",318,IF(Atletas!O445="Yang D",319,IF(Atletas!O445="Chen D",320,IF(Atletas!O445="Sun D",321,IF(Atletas!O445="Wu D",322,IF(Atletas!O445="Wu-Hao D",323,IF(Atletas!O445="Outro Taijiquan D",324,IF(Atletas!O445="Yang E",325,IF(Atletas!O445="Chen E",326,IF(Atletas!O445="Sun E",327,IF(Atletas!O445="Wu E",328,IF(Atletas!O445="Wu-Hao E",329,IF(Atletas!O445="Outro Taijiquan E",330,IF(Atletas!O445="Yang F",331,IF(Atletas!O445="Chen F",332,IF(Atletas!O445="Sun F",333,IF(Atletas!O445="Wu F",334,IF(Atletas!O445="Wu-Hao F",335,IF(Atletas!O445="Outro Taijiquan F",336,"")))))))))))))))))))))))))))))))))))))</f>
        <v/>
      </c>
      <c r="BW454" s="50" t="str">
        <f>IF(Atletas!P445="","",IF(Atletas!X445&lt;&gt;"",10000,0)+IF(Atletas!B445="Feminino",1000,IF(Atletas!B445="Masculino",2000,""))+IF(OR(Atletas!P445="Yang 26 A",Atletas!P445="Yang 40 A"),401,IF(OR(Atletas!P445="Chen 25 A",Atletas!P445="Chen 36 A",Atletas!P445="Chen 56 A"),402,IF(Atletas!P445="Sun 73 A",403,IF(Atletas!P445="Wu 45 A",404,IF(Atletas!P445="Wu-Hao 46 A",405,IF(OR(Atletas!P445="Taijiquan 16 A",Atletas!P445="Taijiquan 24 A",Atletas!P445="Taijiquan 32 A",Atletas!P445="Taijiquan 42 A"),406,IF(OR(Atletas!P445="Yang 26 B",Atletas!P445="Yang 40 B"),407,IF(OR(Atletas!P445="Chen 25 B",Atletas!P445="Chen 36 B",Atletas!P445="Chen 56 B"),408,IF(Atletas!P445="Sun 73 B",409,IF(Atletas!P445="Wu 45 B",410,IF(Atletas!P445="Wu-Hao 46 B",411,IF(OR(Atletas!P445="Taijiquan 16 B",Atletas!P445="Taijiquan 24 B",Atletas!P445="Taijiquan 32 B",Atletas!P445="Taijiquan 42 B"),412,IF(OR(Atletas!P445="Yang 26 C",Atletas!P445="Yang 40 C"),413,IF(OR(Atletas!P445="Chen 25 C",Atletas!P445="Chen 36 C",Atletas!P445="Chen 56 C"),414,IF(Atletas!P445="Sun 73 C",415,IF(Atletas!P445="Wu 45 C",416,IF(Atletas!P445="Wu-Hao 46 C",417,IF(OR(Atletas!P445="Taijiquan 16 C",Atletas!P445="Taijiquan 24 C",Atletas!P445="Taijiquan 32 C",Atletas!P445="Taijiquan 42 C"),418,0)))))))))))))))))))</f>
        <v/>
      </c>
      <c r="BX454" s="50" t="str">
        <f>IF(Atletas!P445="","",IF(Atletas!X445&lt;&gt;"",10000,0)+IF(Atletas!B445="Feminino",1000,IF(Atletas!B445="Masculino",2000,""))+IF(OR(Atletas!P445="Yang 26 D",Atletas!P445="Yang 40 D"),419,IF(OR(Atletas!P445="Chen 25 D",Atletas!P445="Chen 36 D",Atletas!P445="Chen 56 D"),420,IF(Atletas!P445="Sun 73 D",421,IF(Atletas!P445="Wu 45 D",422,IF(Atletas!P445="Wu-Hao 46 D",423,IF(OR(Atletas!P445="Taijiquan 16 D",Atletas!P445="Taijiquan 24 D",Atletas!P445="Taijiquan 32 D",Atletas!P445="Taijiquan 42 D"),424,IF(OR(Atletas!P445="Yang 26 E",Atletas!P445="Yang 40 E"),425,IF(OR(Atletas!P445="Chen 25 E",Atletas!P445="Chen 36 E",Atletas!P445="Chen 56 E"),426,IF(Atletas!P445="Sun 73 E",427,IF(Atletas!P445="Wu 45 E",428,IF(Atletas!P445="Wu-Hao 46 E",429,IF(OR(Atletas!P445="Taijiquan 16 E",Atletas!P445="Taijiquan 24 E",Atletas!P445="Taijiquan 32 E",Atletas!P445="Taijiquan 42 E"),430,IF(OR(Atletas!P445="Yang 26 F",Atletas!P445="Yang 40 F"),431,IF(OR(Atletas!P445="Chen 25 F",Atletas!P445="Chen 36 F",Atletas!P445="Chen 56 F"),432,IF(Atletas!P445="Sun 73 F",433,IF(Atletas!P445="Wu 45 F",434,IF(Atletas!P445="Wu-Hao 46 F",435,IF(OR(Atletas!P445="Taijiquan 16 F",Atletas!P445="Taijiquan 24 F",Atletas!P445="Taijiquan 32 F",Atletas!P445="Taijiquan 42 F"),436,0)))))))))))))))))))</f>
        <v/>
      </c>
      <c r="BY454" s="50" t="str">
        <f>IF(Atletas!Q445="","",IF(Atletas!X445&lt;&gt;"",10000,0)+IF(Atletas!B445="Feminino",1000,IF(Atletas!B445="Masculino",2000,""))+IF(Atletas!Q445="Xingyiquan A",501,IF(Atletas!Q445="Baguazhang A",502,IF(Atletas!Q445="Outro Estilo Interno A",503,IF(Atletas!Q445="Xingyiquan B",504,IF(Atletas!Q445="Baguazhang B",505,IF(Atletas!Q445="Outro Estilo Interno B",506,IF(Atletas!Q445="Xingyiquan C",507,IF(Atletas!Q445="Baguazhang C",508,IF(Atletas!Q445="Outro Estilo Interno C",509,IF(Atletas!Q445="Xingyiquan D",510,IF(Atletas!Q445="Baguazhang D",511,IF(Atletas!Q445="Outro Estilo Interno D",512,IF(Atletas!Q445="Xingyiquan E",513,IF(Atletas!Q445="Baguazhang E",514,IF(Atletas!Q445="Outro Estilo Interno E",515,IF(Atletas!Q445="Xingyiquan F",516,IF(Atletas!Q445="Baguazhang F",517,IF(Atletas!Q445="Outro Estilo Interno F",518, "")))))))))))))))))))</f>
        <v/>
      </c>
      <c r="BZ454" s="50" t="str">
        <f>IF(Atletas!R445="","",IF(Atletas!X445&lt;&gt;"",10000,0)+IF(Atletas!B445="Feminino",1000,IF(Atletas!B445="Masculino",2000,""))+IF(Atletas!R445="Dao A",601,IF(Atletas!R445="Jian A",602,IF(Atletas!R445="Bishou A",603,IF(Atletas!R445="Shanzi A",604,IF(Atletas!R445="Outra Arma Curta A",605,IF(Atletas!R445="Dao B",606,IF(Atletas!R445="Jian B",607,IF(Atletas!R445="Bishou B",608,IF(Atletas!R445="Shanzi B",609,IF(Atletas!R445="Outra Arma Curta B",610,IF(Atletas!R445="Dao C",611,IF(Atletas!R445="Jian C",612,IF(Atletas!R445="Bishou C",613,IF(Atletas!R445="Shanzi C",614,IF(Atletas!R445="Outra Arma Curta C",615,IF(Atletas!R445="Dao D",616,IF(Atletas!R445="Jian D",617,IF(Atletas!R445="Bishou D",618,IF(Atletas!R445="Shanzi D",619,IF(Atletas!R445="Outra Arma Curta D",620,IF(Atletas!R445="Dao E",621,IF(Atletas!R445="Jian E",622,IF(Atletas!R445="Bishou E",623,IF(Atletas!R445="Shanzi E",624,IF(Atletas!R445="Outra Arma Curta E",625,IF(Atletas!R445="Dao F",626,IF(Atletas!R445="Jian F",627,IF(Atletas!R445="Bishou F",628,IF(Atletas!R445="Shanzi F",629,IF(Atletas!R445="Outra Arma Curta F",630, "")))))))))))))))))))))))))))))))</f>
        <v/>
      </c>
      <c r="CA454" s="50" t="str">
        <f>IF(Atletas!S445="","",IF(Atletas!X445&lt;&gt;"",10000,0)+IF(Atletas!B445="Feminino",1000,IF(Atletas!B445="Masculino",2000,""))+IF(Atletas!S445="Gun A",701,IF(Atletas!S445="Qiang A",702,IF(Atletas!S445="Pudao / Guandao A",703,IF(Atletas!S445="Outra Arma Longa A",704,IF(Atletas!S445="Gun B",705,IF(Atletas!S445="Qiang B",706,IF(Atletas!S445="Pudao / Guandao B",707,IF(Atletas!S445="Outra Arma Longa B",708,IF(Atletas!S445="Gun C",709,IF(Atletas!S445="Qiang C",710,IF(Atletas!S445="Pudao / Guandao C",711,IF(Atletas!S445="Outra Arma Longa C",712,IF(Atletas!S445="Gun D",713,IF(Atletas!S445="Qiang D",714,IF(Atletas!S445="Pudao / Guandao D",715,IF(Atletas!S445="Outra Arma Longa D",716,IF(Atletas!S445="Gun E",717,IF(Atletas!S445="Qiang E",718,IF(Atletas!S445="Pudao / Guandao E",719,IF(Atletas!S445="Outra Arma Longa E",720,IF(Atletas!S445="Gun F",721,IF(Atletas!S445="Qiang F",722,IF(Atletas!S445="Pudao / Guandao F",723,IF(Atletas!S445="Outra Arma Longa F",724,"")))))))))))))))))))))))))</f>
        <v/>
      </c>
      <c r="CB454" s="50" t="str">
        <f>IF(Atletas!T445="","",IF(Atletas!X445&lt;&gt;"",10000,0)+IF(Atletas!B445="Feminino",1000,IF(Atletas!B445="Masculino",2000,""))+IF(Atletas!T445="Outra Arma Dupla A",801,IF(Atletas!T445="Arma Maleável A",802,IF(Atletas!T445="Outra Arma Dupla B",803,IF(Atletas!T445="Arma Maleável B",804,IF(Atletas!T445="Outra Arma Dupla C",805,IF(Atletas!T445="Arma Maleável C",806,IF(Atletas!T445="Outra Arma Dupla D",807,IF(Atletas!T445="Arma Maleável D",808,IF(Atletas!T445="Outra Arma Dupla E",809,IF(Atletas!T445="Arma Maleável E",810,IF(Atletas!T445="Outra Arma Dupla F",811,IF(Atletas!T445="Arma Maleável F",812,IF(Atletas!T445="Shuangdao A",813,IF(Atletas!T445="Shuangdao B",814,IF(Atletas!T445="Shuangdao C",815,IF(Atletas!T445="Shuangdao D",816,IF(Atletas!T445="Shuangdao E",817,IF(Atletas!T445="Shuangdao F",818,"")))))))))))))))))))</f>
        <v/>
      </c>
      <c r="CC454" s="50" t="str">
        <f>IF(Atletas!U445="","",IF(Atletas!X445&lt;&gt;"",10000,0)+IF(Atletas!B445="Feminino",1000,IF(Atletas!B445="Masculino",2000,""))+IF(OR(Atletas!U445="Taijijian Yang A",Atletas!U445="Taijijian Yang Standard A"),901,IF(OR(Atletas!U445="Taijijian Chen A", Atletas!U445="Taijijian Chen Standard A"),902,IF(Atletas!U445="Taijijian Sun A",903,IF(Atletas!U445="Taijijian Wu A",904,IF(Atletas!U445="Taijijian Wu-Hao A",905,IF(OR(Atletas!U445="Taijijian 32 A",Atletas!U445="Taijijian 42 A"),906,IF(OR(Atletas!U445="Taijijian Yang B",Atletas!U445="Taijijian Yang Standard B"),907,IF(OR(Atletas!U445="Taijijian Chen B", Atletas!U445="Taijijian Chen Standard B"),908,IF(Atletas!U445="Taijijian Sun B",909,IF(Atletas!U445="Taijijian Wu B",910,IF(Atletas!U445="Taijijian Wu-Hao B",911,IF(OR(Atletas!U445="Taijijian 32 B",Atletas!U445="Taijijian 42 B"),912,IF(OR(Atletas!U445="Taijijian Yang C",Atletas!U445="Taijijian Yang Standard C"),913,IF(OR(Atletas!U445="Taijijian Chen C", Atletas!U445="Taijijian Chen Standard C"),914,IF(Atletas!U445="Taijijian Sun C",915,IF(Atletas!U445="Taijijian Wu C",916,IF(Atletas!U445="Taijijian Wu-Hao C",917,IF(OR(Atletas!U445="Taijijian 32 C",Atletas!U445="Taijijian 42 C"),918,IF(OR(Atletas!U445="Taijijian Yang D",Atletas!U445="Taijijian Yang Standard D"),919,IF(OR(Atletas!U445="Taijijian Chen D", Atletas!U445="Taijijian Chen Standard D"),920,IF(Atletas!U445="Taijijian Sun D",921,IF(Atletas!U445="Taijijian Wu D",922,IF(Atletas!U445="Taijijian Wu-Hao D",923,IF(OR(Atletas!U445="Taijijian 32 D",Atletas!U445="Taijijian 42 D"),924,IF(OR(Atletas!U445="Taijijian Yang E",Atletas!U445="Taijijian Yang Standard E"),925,IF(OR(Atletas!U445="Taijijian Chen E", Atletas!U445="Taijijian Chen Standard E"),926,IF(Atletas!U445="Taijijian Sun E",927,IF(Atletas!U445="Taijijian Wu E",928,IF(Atletas!U445="Taijijian Wu-Hao E",929,IF(OR(Atletas!U445="Taijijian 32 E",Atletas!U445="Taijijian 42 E"),930,IF(OR(Atletas!U445="Taijijian Yang F",Atletas!U445="Taijijian Yang Standard F"),931,IF(OR(Atletas!U445="Taijijian Chen F", Atletas!U445="Taijijian Chen Standard F"),932,IF(Atletas!U445="Taijijian Sun F",933,IF(Atletas!U445="Taijijian Wu F",934,IF(Atletas!U445="Taijijian Wu-Hao F",935,IF(OR(Atletas!U445="Taijijian 32 F",Atletas!U445="Taijijian 42 F"),936,"")))))))))))))))))))))))))))))))))))))</f>
        <v/>
      </c>
      <c r="CD454" s="50" t="str">
        <f>IF(Atletas!V445="","",IF(Atletas!X445&lt;&gt;"",10000,0)+IF(Atletas!B445="Feminino",1000,IF(Atletas!B445="Masculino",2000,""))+IF(Atletas!V445="Taijidao A",937,IF(Atletas!V445="TaijiShanzi A",938,IF(Atletas!V445="Taijiqiang A",939,IF(Atletas!V445="Bagua de Arma A",940,IF(Atletas!V445="Xingyi de Arma A",941,IF(Atletas!V445="Taijidao B",942,IF(Atletas!V445="TaijiShanzi B",943,IF(Atletas!V445="Taijiqiang B",944,IF(Atletas!V445="Bagua de Arma B",945,IF(Atletas!V445="Xingyi de Arma B",946,IF(Atletas!V445="Taijidao C",947,IF(Atletas!V445="TaijiShanzi C",948,IF(Atletas!V445="Taijiqiang C",949,IF(Atletas!V445="Bagua de Arma C",950,IF(Atletas!V445="Xingyi de Arma C",951,IF(Atletas!V445="Taijidao D",952,IF(Atletas!V445="TaijiShanzi D",953,IF(Atletas!V445="Taijiqiang D",954,IF(Atletas!V445="Bagua de Arma D",955,IF(Atletas!V445="Xingyi de Arma D",956,IF(Atletas!V445="Taijidao E",957,IF(Atletas!V445="TaijiShanzi E",958,IF(Atletas!V445="Taijiqiang E",959,IF(Atletas!V445="Bagua de Arma E",960,IF(Atletas!V445="Xingyi de Arma E",961,IF(Atletas!V445="Taijidao F",962,IF(Atletas!V445="TaijiShanzi F",963,IF(Atletas!V445="Taijiqiang F",964,IF(Atletas!V445="Bagua de Arma F",965,IF(Atletas!V445="Xingyi de Arma F",966,"")))))))))))))))))))))))))))))))</f>
        <v/>
      </c>
      <c r="CM454" s="50" t="str">
        <f xml:space="preserve"> IF(Atletas!W445="","",IF(Atletas!W445="Duilian de Mãos BC - Equipe 1",1,IF(Atletas!W445="Duilian de Mãos BC - Equipe 2",2,IF(Atletas!W445="Duilian de Armas BC - Equipe 1",3,IF(Atletas!W445="Duilian de Armas BC - Equipe 2",4,IF(Atletas!W445="Duilian de Mãos DE - Equipe 1",5,IF(Atletas!W445="Duilian de Mãos DE - Equipe 2",6,IF(Atletas!W445="Duilian de Armas DE - Equipe 1",7,IF(Atletas!W445="Duilian de Armas DE - Equipe 2",8,IF(Atletas!W445="Duilian de Tuishou - Equipe 1",9,IF(Atletas!W445="Duilian de Tuishou - Equipe 2",10,IF(Atletas!W445="Grupo Externo ABC - Equipe 1",11,IF(Atletas!W445="Grupo Externo ABC - Equipe 2",12,IF(Atletas!W445="Grupo Interno ABC - Equipe 1",13,IF(Atletas!W445="Grupo Interno ABC - Equipe 2",14,IF(Atletas!W445="Grupo Externo DEF - Equipe 1",15,IF(Atletas!W445="Grupo Externo DEF - Equipe 2",16,IF(Atletas!W445="Grupo Interno DEF - Equipe 1",17,IF(Atletas!W445="Grupo Interno DEF - Equipe 2",18,"")))))))))))))))))))</f>
        <v/>
      </c>
    </row>
    <row r="455" spans="40:91">
      <c r="AN455" s="52" t="str">
        <f>IF(Atletas!D446="","",IF(Atletas!B446="Feminino",100,IF(Atletas!B446="Masculino",200,""))+(IF(Atletas!D446="Kids 30kg",1,IF(Atletas!D446="Kids 32kg",2, IF(Atletas!D446="Kids 34kg",3,IF(Atletas!D446="Kids 36kg",4,IF(Atletas!D446="Kids 39kg",5,IF(Atletas!D446="Kids 42kg",6,IF(Atletas!D446="Kids 45kg",7, IF(Atletas!D446="Infantil 39kg",8,IF(Atletas!D446="Infantil 42kg",9,IF(Atletas!D446="Infantil 45kg",10,IF(Atletas!D446="Infantil 48kg",11,IF(Atletas!D446="Infantil 52kg",12,IF(Atletas!D446="Infantil 56kg",13,IF(Atletas!D446="Infantil 60kg",14,IF(Atletas!D446="Juvenil 48kg",15,IF(Atletas!D446="Juvenil 52kg",16,IF(Atletas!D446="Juvenil 56kg",17,IF(Atletas!D446="Juvenil 60kg",18,IF(Atletas!D446="Juvenil 65kg",19,IF(Atletas!D446="Juvenil 70kg",20,IF(Atletas!D446="Juvenil 75kg",21,IF(Atletas!D446="Juvenil 80kg",22, IF(Atletas!D446="Juvenil 85kg",23,IF(Atletas!D446="Adulto 48kg",24,IF(Atletas!D446="Adulto 52kg",25,IF(Atletas!D446="Adulto 56kg",26,IF(Atletas!D446="Adulto 60kg",27,IF(Atletas!D446="Adulto 65kg",28,IF(Atletas!D446="Adulto 70kg",29,IF(Atletas!D446="Adulto 75kg",30,IF(Atletas!D446="Adulto 80kg",31,IF(Atletas!D446="Adulto 85kg",32,IF(Atletas!D446="Adulto 90kg",33,IF(Atletas!D446="Adulto 100kg",34, IF(Atletas!D446="Adulto +100kg",35,"")))))))))))))))))))))))))))))))))))))</f>
        <v/>
      </c>
      <c r="AS455" s="6" t="str">
        <f>IF(Atletas!E446="","",IF(Atletas!B446="Feminino",100,IF(Atletas!B446="Masculino",200,""))+(IF(Atletas!E446="Juvenil 44kg",1,IF(Atletas!E446="Juvenil 48kg",2,IF(Atletas!E446="Juvenil 52kg",3,IF(Atletas!E446="Juvenil 56kg",4,IF(Atletas!E446="Juvenil 60kg",5,IF(Atletas!E446="Juvenil 65kg",6,IF(Atletas!E446="Juvenil 70kg",7,IF(Atletas!E446="Juvenil 75kg",8,IF(Atletas!E446="Juvenil 82kg",9,IF(Atletas!E446="Juvenil 90kg",10,IF(Atletas!E446="Juvenil 100kg",11,IF(Atletas!E446="Adulto 48kg",12,IF(Atletas!E446="Adulto 52kg",13,IF(Atletas!E446="Adulto 56kg",14,IF(Atletas!E446="Adulto 60kg",15,IF(Atletas!E446="Adulto 65kg",16,IF(Atletas!E446="Adulto 70kg",17,IF(Atletas!E446="Adulto 75kg",18,IF(Atletas!E446="Adulto 82kg",19,IF(Atletas!E446="Adulto 90kg",20,IF(Atletas!E446="Adulto 100kg",21,IF(Atletas!E446="Adulto +100kg",22,""))))))))))))))))))))))))</f>
        <v/>
      </c>
      <c r="AX455" s="6" t="str">
        <f>IF(Atletas!F446="","",IF(Atletas!B446="Feminino",100,IF(Atletas!B446="Masculino",200,""))+(IF(Atletas!F446="Adulto 48kg",1,IF(Atletas!F446="Adulto 56kg",2,IF(Atletas!F446="Adulto 65kg",3,IF(Atletas!F446="Adulto 75kg",4,IF(Atletas!F446="Adulto +75kg",5,IF(Atletas!F446="Adulto 52kg",6,IF(Atletas!F446="Adulto 60kg",7,IF(Atletas!F446="Adulto 70kg",8,IF(Atletas!F446="Adulto 80kg",9,IF(Atletas!F446="Adulto 90kg",10,IF(Atletas!F446="Adulto +90kg",11,"")))))))))))))</f>
        <v/>
      </c>
      <c r="BC455" s="6" t="str">
        <f>IF(Atletas!G446="","",IF(Atletas!B446="Feminino",10,IF(Atletas!B446="Masculino",20,""))+(IF(Atletas!G446="Baduanjin A",1,IF(Atletas!G446="Baduanjin B",2))))</f>
        <v/>
      </c>
      <c r="BF455" s="52" t="str">
        <f>IF(Atletas!H446="","",IF(Atletas!B446="Feminino",100,IF(Atletas!B446="Masculino",200,""))+(IF(Atletas!H446="Changquan Mirim",1,IF(Atletas!H446="Nanquan Mirim",2,IF(Atletas!H446="Taijiquan Mirim",3,IF(Atletas!H446="Changquan Grupo C",4,IF(Atletas!H446="Nanquan Grupo C",5,IF(Atletas!H446="Taijiquan Grupo C",6,IF(Atletas!H446="Changquan Grupo B",7,IF(Atletas!H446="Nanquan Grupo B",8,IF(Atletas!H446="Taijiquan Grupo B",9,IF(Atletas!H446="Changquan Grupo A",10,IF(Atletas!H446="Nanquan Grupo A",11,IF(Atletas!H446="Taijiquan Grupo A",12,IF(Atletas!H446="Changquan Opcional",13,IF(Atletas!H446="Nanquan Opcional",14,IF(Atletas!H446="Taijiquan Opcional",15,IF(Atletas!H446="Changquan Adulto",16,IF(Atletas!H446="Nanquan Adulto",17,IF(Atletas!H446="Taijiquan Adulto",18,""))))))))))))))))))))</f>
        <v/>
      </c>
      <c r="BG455" s="52" t="str">
        <f>IF(Atletas!I446="","",IF(Atletas!B446="Feminino",100,IF(Atletas!B446="Masculino",200,""))+(IF(Atletas!I446="Daoshu Mirim",19,IF(Atletas!I446="Jianshu Mirim",20,IF(Atletas!I446="Nandao Mirim",21,IF(Atletas!I446="Taijijian Mirim",22,IF(Atletas!I446="Daoshu Grupo C",23,IF(Atletas!I446="Jianshu Grupo C",24,IF(Atletas!I446="Nandao Grupo C",25,IF(Atletas!I446="Taijijian Grupo C",26,IF(Atletas!I446="Daoshu Grupo B",27,IF(Atletas!I446="Jianshu Grupo B",28,IF(Atletas!I446="Nandao Grupo B",29,IF(Atletas!I446="Taijijian Grupo B",30,IF(Atletas!I446="Daoshu Grupo A",31,IF(Atletas!I446="Jianshu Grupo A",32,IF(Atletas!I446="Nandao Grupo A",33,IF(Atletas!I446="Taijijian Grupo A",34,IF(Atletas!I446="Daoshu Opcional",35,IF(Atletas!I446="Jianshu Opcional",36,IF(Atletas!I446="Nandao Opcional",37,IF(Atletas!I446="Taijijian Opcional",38,IF(Atletas!I446="Daoshu Adulto",39,IF(Atletas!I446="Jianshu Adulto",40,IF(Atletas!I446="Nandao Adulto",41,IF(Atletas!I446="Taijijian Adulto",42,""))))))))))))))))))))))))))</f>
        <v/>
      </c>
      <c r="BH455" s="52" t="str">
        <f>IF(Atletas!J446="","",IF(Atletas!B446="Feminino",100,IF(Atletas!B446="Masculino",200,""))+(IF(Atletas!J446="Gunshu Mirim",43,IF(Atletas!J446="Qiangshu Mirim",44,IF(Atletas!J446="Nangun Mirim",45,IF(Atletas!J446="Gunshu Grupo C",46,IF(Atletas!J446="Qiangshu Grupo C",47,IF(Atletas!J446="Nangun Grupo C",48,IF(Atletas!J446="Gunshu Grupo B",49,IF(Atletas!J446="Qiangshu Grupo B",50,IF(Atletas!J446="Nangun Grupo B",51,IF(Atletas!J446="Gunshu Grupo A",52,IF(Atletas!J446="Qiangshu Grupo A",53,IF(Atletas!J446="Nangun Grupo A",54,IF(Atletas!J446="Gunshu Opcional",55,IF(Atletas!J446="Qiangshu Opcional",56,IF(Atletas!J446="Nangun Opcional",57,IF(Atletas!J446="Gunshu Adulto",58,IF(Atletas!J446="Qiangshu Adulto",59,IF(Atletas!J446="Nangun Adulto",60,IF(Atletas!J446="Taijishan Grupo B",61,IF(Atletas!J446="Taijishan Grupo A",62,""))))))))))))))))))))))</f>
        <v/>
      </c>
      <c r="BM455" s="50" t="str">
        <f>IF(Atletas!K446="","",IF(Atletas!B446="Feminino",100,IF(Atletas!B446="Masculino",200,""))+(IF(Atletas!K446="Equipe 1 Grupo B",1,IF(Atletas!K446="Equipe 2 Grupo B",2,IF(Atletas!K446="Equipe 1 Grupo A",3,IF(Atletas!K446="Equipe 2 Grupo A",4,IF(Atletas!K446="Equipe 1 Adulto",5,IF(Atletas!K446="Equipe 2 Adulto",6,""))))))))</f>
        <v/>
      </c>
      <c r="BR455" s="50" t="str">
        <f>IF(Atletas!L446="","",IF(Atletas!X446&lt;&gt;"",10000,0)+(IF(Atletas!B446="Feminino",1000,IF(Atletas!B446="Masculino",2000,""))+IF(Atletas!L446="Choylayfut A",1,IF(Atletas!L446="Hunggar A",2,IF(Atletas!L446="Wuzuquan A",3,IF(Atletas!L446="Wingchun A",4,IF(Atletas!L446="Outra Mão de Sul A",5,IF(Atletas!L446="Choylayfut B",6,IF(Atletas!L446="Hunggar B",7,IF(Atletas!L446="Wuzuquan B",8,IF(Atletas!L446="Wingchun B",9,IF(Atletas!L446="Outra Mão de Sul B",10,IF(Atletas!L446="Choylayfut C",11,IF(Atletas!L446="Hunggar C",12,IF(Atletas!L446="Wuzuquan C",13,IF(Atletas!L446="Wingchun C",14,IF(Atletas!L446="Outra Mão de Sul C",15,IF(Atletas!L446="Choylayfut D",16,IF(Atletas!L446="Hunggar D",17,IF(Atletas!L446="Wuzuquan D",18,IF(Atletas!L446="Wingchun D",19,IF(Atletas!L446="Outra Mão de Sul D",20,IF(Atletas!L446="Choylayfut E",21,IF(Atletas!L446="Hunggar E",22,IF(Atletas!L446="Wuzuquan E",23,IF(Atletas!L446="Wingchun E",24,IF(Atletas!L446="Outra Mão de Sul E",25,IF(Atletas!L446="Choylayfut F",26,IF(Atletas!L446="Hunggar F",27,IF(Atletas!L446="Wuzuquan F",28,IF(Atletas!L446="Wingchun F",29,IF(Atletas!L446="Outra Mão de Sul F",30,IF(Atletas!L446="Dishuquan A",31,IF(Atletas!L446="Dishuquan B",32,IF(Atletas!L446="Dishuquan C",33,IF(Atletas!L446="Dishuquan D",34,IF(Atletas!L446="Dishuquan E",35,IF(Atletas!L446="Dishuquan F",36,""))))))))))))))))))))))))))))))))))))))</f>
        <v/>
      </c>
      <c r="BS455" s="50" t="str">
        <f>IF(Atletas!M446="","",IF(Atletas!X446&lt;&gt;"",10000,0)+(IF(Atletas!B446="Feminino",1000,IF(Atletas!B446="Masculino",2000,""))+(IF(Atletas!M446="Chaquan A",101,IF(Atletas!M446="Emeiquan A",102,IF(Atletas!M446="Fanziquan A",103,IF(Atletas!M446="Huaquan A",104,IF(Atletas!M446="Hongquan A",105,IF(Atletas!M446="Paoquan A",106,IF(Atletas!M446="Piguaquan A",107,IF(Atletas!M446="Shaolinquan A",108,IF(Atletas!M446="Tanglangquan A",109,IF(Atletas!M446="Yingzhaoquan A",110,IF(Atletas!M446="Tongbeiquan A",111,IF(Atletas!M446="Wudangquan A",112,IF(Atletas!M446="Outros Estilos A",113,IF(Atletas!M446="Chaquan B",114,IF(Atletas!M446="Emeiquan B",115,IF(Atletas!M446="Fanziquan B",116,IF(Atletas!M446="Huaquan B",117,IF(Atletas!M446="Hongquan B",118,IF(Atletas!M446="Paoquan B",119,IF(Atletas!M446="Piguaquan B",120,IF(Atletas!M446="Shaolinquan B",121,IF(Atletas!M446="Tanglangquan B",122,IF(Atletas!M446="Yingzhaoquan B",123,IF(Atletas!M446="Tongbeiquan B",124,IF(Atletas!M446="Wudangquan B",125,IF(Atletas!M446="Outros Estilos B",126,IF(Atletas!M446="Chaquan C",127,IF(Atletas!M446="Emeiquan C",128,IF(Atletas!M446="Fanziquan C",129,IF(Atletas!M446="Huaquan C",130,IF(Atletas!M446="Hongquan C",131,IF(Atletas!M446="Paoquan C",132,IF(Atletas!M446="Piguaquan C",133,IF(Atletas!M446="Shaolinquan C",134,IF(Atletas!M446="Tanglangquan C",135,IF(Atletas!M446="Yingzhaoquan C",136,IF(Atletas!M446="Tongbeiquan C",137,IF(Atletas!M446="Wudangquan C",138,IF(Atletas!M446="Outros Estilos C",139,0))))))))))))))))))))))))))))))))))))))))))</f>
        <v/>
      </c>
      <c r="BT455" s="50" t="str">
        <f>IF(Atletas!M446="","",IF(Atletas!X446&lt;&gt;"",10000,0)+(IF(Atletas!B446="Feminino",1000,IF(Atletas!B446="Masculino",2000,""))+(IF(Atletas!M446="Chaquan D",140,IF(Atletas!M446="Emeiquan D",141,IF(Atletas!M446="Fanziquan D",142,IF(Atletas!M446="Huaquan D",143,IF(Atletas!M446="Hongquan D",144,IF(Atletas!M446="Paoquan D",145,IF(Atletas!M446="Piguaquan D",146,IF(Atletas!M446="Shaolinquan D",147,IF(Atletas!M446="Tanglangquan D",148,IF(Atletas!M446="Yingzhaoquan D",149,IF(Atletas!M446="Tongbeiquan D",150,IF(Atletas!M446="Wudangquan D",151,IF(Atletas!M446="Outros Estilos D",152,IF(Atletas!M446="Chaquan E",153,IF(Atletas!M446="Emeiquan E",154,IF(Atletas!M446="Fanziquan E",155,IF(Atletas!M446="Huaquan E",156,IF(Atletas!M446="Hongquan E",157,IF(Atletas!M446="Paoquan E",158,IF(Atletas!M446="Piguaquan E",159,IF(Atletas!M446="Shaolinquan E",160,IF(Atletas!M446="Tanglangquan E",161,IF(Atletas!M446="Yingzhaoquan E",162,IF(Atletas!M446="Tongbeiquan E",163,IF(Atletas!M446="Wudangquan E",164,IF(Atletas!M446="Outros Estilos E",165,IF(Atletas!M446="Chaquan F",166,IF(Atletas!M446="Emeiquan F",167,IF(Atletas!M446="Fanziquan F",168,IF(Atletas!M446="Huaquan F",169,IF(Atletas!M446="Hongquan F",170,IF(Atletas!M446="Paoquan F",171,IF(Atletas!M446="Piguaquan F",172,IF(Atletas!M446="Shaolinquan F",173,IF(Atletas!M446="Tanglangquan F",174,IF(Atletas!M446="Yingzhaoquan F",175,IF(Atletas!M446="Tongbeiquan F",176,IF(Atletas!M446="Wudangquan F",177,IF(Atletas!M446="Outros Estilos F",178,0))))))))))))))))))))))))))))))))))))))))))</f>
        <v/>
      </c>
      <c r="BU455" s="50" t="str">
        <f>IF(Atletas!N446="","",IF(Atletas!X446&lt;&gt;"",10000,0)+(IF(Atletas!B446="Feminino",1000,IF(Atletas!B446="Masculino",2000,""))+(IF(Atletas!N446="Ditangquan A",201,IF(Atletas!N446="Houquan A",202,IF(Atletas!N446="Zuiquan A",203,IF(Atletas!N446="Ditangquan B",204,IF(Atletas!N446="Houquan B",205,IF(Atletas!N446="Zuiquan B",206,IF(Atletas!N446="Ditangquan C",207,IF(Atletas!N446="Houquan C",208,IF(Atletas!N446="Zuiquan C",209,IF(Atletas!N446="Ditangquan D",210,IF(Atletas!N446="Houquan D",211,IF(Atletas!N446="Zuiquan D",212,IF(Atletas!N446="Ditangquan E",213,IF(Atletas!N446="Houquan E",214,IF(Atletas!N446="Zuiquan E",215,IF(Atletas!N446="Ditangquan F",216,IF(Atletas!N446="Houquan F",217,IF(Atletas!N446="Zuiquan F",218,"")))))))))))))))))))))</f>
        <v/>
      </c>
      <c r="BV455" s="50" t="str">
        <f>IF(Atletas!O446="","",IF(Atletas!X446&lt;&gt;"",10000,0)+IF(Atletas!B446="Feminino",1000,IF(Atletas!B446="Masculino",2000,""))+IF(Atletas!O446="Yang A",301,IF(Atletas!O446="Chen A",302,IF(Atletas!O446="Sun A",303,IF(Atletas!O446="Wu A",304,IF(Atletas!O446="Wu-Hao A",305,IF(Atletas!O446="Outro Taijiquan A",306,IF(Atletas!O446="Yang B",307,IF(Atletas!O446="Chen B",308,IF(Atletas!O446="Sun B",309,IF(Atletas!O446="Wu B",310,IF(Atletas!O446="Wu-Hao B",311,IF(Atletas!O446="Outro Taijiquan B",312,IF(Atletas!O446="Yang C",313,IF(Atletas!O446="Chen C",314,IF(Atletas!O446="Sun C",315,IF(Atletas!O446="Wu C",316,IF(Atletas!O446="Wu-Hao C",317,IF(Atletas!O446="Outro Taijiquan C",318,IF(Atletas!O446="Yang D",319,IF(Atletas!O446="Chen D",320,IF(Atletas!O446="Sun D",321,IF(Atletas!O446="Wu D",322,IF(Atletas!O446="Wu-Hao D",323,IF(Atletas!O446="Outro Taijiquan D",324,IF(Atletas!O446="Yang E",325,IF(Atletas!O446="Chen E",326,IF(Atletas!O446="Sun E",327,IF(Atletas!O446="Wu E",328,IF(Atletas!O446="Wu-Hao E",329,IF(Atletas!O446="Outro Taijiquan E",330,IF(Atletas!O446="Yang F",331,IF(Atletas!O446="Chen F",332,IF(Atletas!O446="Sun F",333,IF(Atletas!O446="Wu F",334,IF(Atletas!O446="Wu-Hao F",335,IF(Atletas!O446="Outro Taijiquan F",336,"")))))))))))))))))))))))))))))))))))))</f>
        <v/>
      </c>
      <c r="BW455" s="50" t="str">
        <f>IF(Atletas!P446="","",IF(Atletas!X446&lt;&gt;"",10000,0)+IF(Atletas!B446="Feminino",1000,IF(Atletas!B446="Masculino",2000,""))+IF(OR(Atletas!P446="Yang 26 A",Atletas!P446="Yang 40 A"),401,IF(OR(Atletas!P446="Chen 25 A",Atletas!P446="Chen 36 A",Atletas!P446="Chen 56 A"),402,IF(Atletas!P446="Sun 73 A",403,IF(Atletas!P446="Wu 45 A",404,IF(Atletas!P446="Wu-Hao 46 A",405,IF(OR(Atletas!P446="Taijiquan 16 A",Atletas!P446="Taijiquan 24 A",Atletas!P446="Taijiquan 32 A",Atletas!P446="Taijiquan 42 A"),406,IF(OR(Atletas!P446="Yang 26 B",Atletas!P446="Yang 40 B"),407,IF(OR(Atletas!P446="Chen 25 B",Atletas!P446="Chen 36 B",Atletas!P446="Chen 56 B"),408,IF(Atletas!P446="Sun 73 B",409,IF(Atletas!P446="Wu 45 B",410,IF(Atletas!P446="Wu-Hao 46 B",411,IF(OR(Atletas!P446="Taijiquan 16 B",Atletas!P446="Taijiquan 24 B",Atletas!P446="Taijiquan 32 B",Atletas!P446="Taijiquan 42 B"),412,IF(OR(Atletas!P446="Yang 26 C",Atletas!P446="Yang 40 C"),413,IF(OR(Atletas!P446="Chen 25 C",Atletas!P446="Chen 36 C",Atletas!P446="Chen 56 C"),414,IF(Atletas!P446="Sun 73 C",415,IF(Atletas!P446="Wu 45 C",416,IF(Atletas!P446="Wu-Hao 46 C",417,IF(OR(Atletas!P446="Taijiquan 16 C",Atletas!P446="Taijiquan 24 C",Atletas!P446="Taijiquan 32 C",Atletas!P446="Taijiquan 42 C"),418,0)))))))))))))))))))</f>
        <v/>
      </c>
      <c r="BX455" s="50" t="str">
        <f>IF(Atletas!P446="","",IF(Atletas!X446&lt;&gt;"",10000,0)+IF(Atletas!B446="Feminino",1000,IF(Atletas!B446="Masculino",2000,""))+IF(OR(Atletas!P446="Yang 26 D",Atletas!P446="Yang 40 D"),419,IF(OR(Atletas!P446="Chen 25 D",Atletas!P446="Chen 36 D",Atletas!P446="Chen 56 D"),420,IF(Atletas!P446="Sun 73 D",421,IF(Atletas!P446="Wu 45 D",422,IF(Atletas!P446="Wu-Hao 46 D",423,IF(OR(Atletas!P446="Taijiquan 16 D",Atletas!P446="Taijiquan 24 D",Atletas!P446="Taijiquan 32 D",Atletas!P446="Taijiquan 42 D"),424,IF(OR(Atletas!P446="Yang 26 E",Atletas!P446="Yang 40 E"),425,IF(OR(Atletas!P446="Chen 25 E",Atletas!P446="Chen 36 E",Atletas!P446="Chen 56 E"),426,IF(Atletas!P446="Sun 73 E",427,IF(Atletas!P446="Wu 45 E",428,IF(Atletas!P446="Wu-Hao 46 E",429,IF(OR(Atletas!P446="Taijiquan 16 E",Atletas!P446="Taijiquan 24 E",Atletas!P446="Taijiquan 32 E",Atletas!P446="Taijiquan 42 E"),430,IF(OR(Atletas!P446="Yang 26 F",Atletas!P446="Yang 40 F"),431,IF(OR(Atletas!P446="Chen 25 F",Atletas!P446="Chen 36 F",Atletas!P446="Chen 56 F"),432,IF(Atletas!P446="Sun 73 F",433,IF(Atletas!P446="Wu 45 F",434,IF(Atletas!P446="Wu-Hao 46 F",435,IF(OR(Atletas!P446="Taijiquan 16 F",Atletas!P446="Taijiquan 24 F",Atletas!P446="Taijiquan 32 F",Atletas!P446="Taijiquan 42 F"),436,0)))))))))))))))))))</f>
        <v/>
      </c>
      <c r="BY455" s="50" t="str">
        <f>IF(Atletas!Q446="","",IF(Atletas!X446&lt;&gt;"",10000,0)+IF(Atletas!B446="Feminino",1000,IF(Atletas!B446="Masculino",2000,""))+IF(Atletas!Q446="Xingyiquan A",501,IF(Atletas!Q446="Baguazhang A",502,IF(Atletas!Q446="Outro Estilo Interno A",503,IF(Atletas!Q446="Xingyiquan B",504,IF(Atletas!Q446="Baguazhang B",505,IF(Atletas!Q446="Outro Estilo Interno B",506,IF(Atletas!Q446="Xingyiquan C",507,IF(Atletas!Q446="Baguazhang C",508,IF(Atletas!Q446="Outro Estilo Interno C",509,IF(Atletas!Q446="Xingyiquan D",510,IF(Atletas!Q446="Baguazhang D",511,IF(Atletas!Q446="Outro Estilo Interno D",512,IF(Atletas!Q446="Xingyiquan E",513,IF(Atletas!Q446="Baguazhang E",514,IF(Atletas!Q446="Outro Estilo Interno E",515,IF(Atletas!Q446="Xingyiquan F",516,IF(Atletas!Q446="Baguazhang F",517,IF(Atletas!Q446="Outro Estilo Interno F",518, "")))))))))))))))))))</f>
        <v/>
      </c>
      <c r="BZ455" s="50" t="str">
        <f>IF(Atletas!R446="","",IF(Atletas!X446&lt;&gt;"",10000,0)+IF(Atletas!B446="Feminino",1000,IF(Atletas!B446="Masculino",2000,""))+IF(Atletas!R446="Dao A",601,IF(Atletas!R446="Jian A",602,IF(Atletas!R446="Bishou A",603,IF(Atletas!R446="Shanzi A",604,IF(Atletas!R446="Outra Arma Curta A",605,IF(Atletas!R446="Dao B",606,IF(Atletas!R446="Jian B",607,IF(Atletas!R446="Bishou B",608,IF(Atletas!R446="Shanzi B",609,IF(Atletas!R446="Outra Arma Curta B",610,IF(Atletas!R446="Dao C",611,IF(Atletas!R446="Jian C",612,IF(Atletas!R446="Bishou C",613,IF(Atletas!R446="Shanzi C",614,IF(Atletas!R446="Outra Arma Curta C",615,IF(Atletas!R446="Dao D",616,IF(Atletas!R446="Jian D",617,IF(Atletas!R446="Bishou D",618,IF(Atletas!R446="Shanzi D",619,IF(Atletas!R446="Outra Arma Curta D",620,IF(Atletas!R446="Dao E",621,IF(Atletas!R446="Jian E",622,IF(Atletas!R446="Bishou E",623,IF(Atletas!R446="Shanzi E",624,IF(Atletas!R446="Outra Arma Curta E",625,IF(Atletas!R446="Dao F",626,IF(Atletas!R446="Jian F",627,IF(Atletas!R446="Bishou F",628,IF(Atletas!R446="Shanzi F",629,IF(Atletas!R446="Outra Arma Curta F",630, "")))))))))))))))))))))))))))))))</f>
        <v/>
      </c>
      <c r="CA455" s="50" t="str">
        <f>IF(Atletas!S446="","",IF(Atletas!X446&lt;&gt;"",10000,0)+IF(Atletas!B446="Feminino",1000,IF(Atletas!B446="Masculino",2000,""))+IF(Atletas!S446="Gun A",701,IF(Atletas!S446="Qiang A",702,IF(Atletas!S446="Pudao / Guandao A",703,IF(Atletas!S446="Outra Arma Longa A",704,IF(Atletas!S446="Gun B",705,IF(Atletas!S446="Qiang B",706,IF(Atletas!S446="Pudao / Guandao B",707,IF(Atletas!S446="Outra Arma Longa B",708,IF(Atletas!S446="Gun C",709,IF(Atletas!S446="Qiang C",710,IF(Atletas!S446="Pudao / Guandao C",711,IF(Atletas!S446="Outra Arma Longa C",712,IF(Atletas!S446="Gun D",713,IF(Atletas!S446="Qiang D",714,IF(Atletas!S446="Pudao / Guandao D",715,IF(Atletas!S446="Outra Arma Longa D",716,IF(Atletas!S446="Gun E",717,IF(Atletas!S446="Qiang E",718,IF(Atletas!S446="Pudao / Guandao E",719,IF(Atletas!S446="Outra Arma Longa E",720,IF(Atletas!S446="Gun F",721,IF(Atletas!S446="Qiang F",722,IF(Atletas!S446="Pudao / Guandao F",723,IF(Atletas!S446="Outra Arma Longa F",724,"")))))))))))))))))))))))))</f>
        <v/>
      </c>
      <c r="CB455" s="50" t="str">
        <f>IF(Atletas!T446="","",IF(Atletas!X446&lt;&gt;"",10000,0)+IF(Atletas!B446="Feminino",1000,IF(Atletas!B446="Masculino",2000,""))+IF(Atletas!T446="Outra Arma Dupla A",801,IF(Atletas!T446="Arma Maleável A",802,IF(Atletas!T446="Outra Arma Dupla B",803,IF(Atletas!T446="Arma Maleável B",804,IF(Atletas!T446="Outra Arma Dupla C",805,IF(Atletas!T446="Arma Maleável C",806,IF(Atletas!T446="Outra Arma Dupla D",807,IF(Atletas!T446="Arma Maleável D",808,IF(Atletas!T446="Outra Arma Dupla E",809,IF(Atletas!T446="Arma Maleável E",810,IF(Atletas!T446="Outra Arma Dupla F",811,IF(Atletas!T446="Arma Maleável F",812,IF(Atletas!T446="Shuangdao A",813,IF(Atletas!T446="Shuangdao B",814,IF(Atletas!T446="Shuangdao C",815,IF(Atletas!T446="Shuangdao D",816,IF(Atletas!T446="Shuangdao E",817,IF(Atletas!T446="Shuangdao F",818,"")))))))))))))))))))</f>
        <v/>
      </c>
      <c r="CC455" s="50" t="str">
        <f>IF(Atletas!U446="","",IF(Atletas!X446&lt;&gt;"",10000,0)+IF(Atletas!B446="Feminino",1000,IF(Atletas!B446="Masculino",2000,""))+IF(OR(Atletas!U446="Taijijian Yang A",Atletas!U446="Taijijian Yang Standard A"),901,IF(OR(Atletas!U446="Taijijian Chen A", Atletas!U446="Taijijian Chen Standard A"),902,IF(Atletas!U446="Taijijian Sun A",903,IF(Atletas!U446="Taijijian Wu A",904,IF(Atletas!U446="Taijijian Wu-Hao A",905,IF(OR(Atletas!U446="Taijijian 32 A",Atletas!U446="Taijijian 42 A"),906,IF(OR(Atletas!U446="Taijijian Yang B",Atletas!U446="Taijijian Yang Standard B"),907,IF(OR(Atletas!U446="Taijijian Chen B", Atletas!U446="Taijijian Chen Standard B"),908,IF(Atletas!U446="Taijijian Sun B",909,IF(Atletas!U446="Taijijian Wu B",910,IF(Atletas!U446="Taijijian Wu-Hao B",911,IF(OR(Atletas!U446="Taijijian 32 B",Atletas!U446="Taijijian 42 B"),912,IF(OR(Atletas!U446="Taijijian Yang C",Atletas!U446="Taijijian Yang Standard C"),913,IF(OR(Atletas!U446="Taijijian Chen C", Atletas!U446="Taijijian Chen Standard C"),914,IF(Atletas!U446="Taijijian Sun C",915,IF(Atletas!U446="Taijijian Wu C",916,IF(Atletas!U446="Taijijian Wu-Hao C",917,IF(OR(Atletas!U446="Taijijian 32 C",Atletas!U446="Taijijian 42 C"),918,IF(OR(Atletas!U446="Taijijian Yang D",Atletas!U446="Taijijian Yang Standard D"),919,IF(OR(Atletas!U446="Taijijian Chen D", Atletas!U446="Taijijian Chen Standard D"),920,IF(Atletas!U446="Taijijian Sun D",921,IF(Atletas!U446="Taijijian Wu D",922,IF(Atletas!U446="Taijijian Wu-Hao D",923,IF(OR(Atletas!U446="Taijijian 32 D",Atletas!U446="Taijijian 42 D"),924,IF(OR(Atletas!U446="Taijijian Yang E",Atletas!U446="Taijijian Yang Standard E"),925,IF(OR(Atletas!U446="Taijijian Chen E", Atletas!U446="Taijijian Chen Standard E"),926,IF(Atletas!U446="Taijijian Sun E",927,IF(Atletas!U446="Taijijian Wu E",928,IF(Atletas!U446="Taijijian Wu-Hao E",929,IF(OR(Atletas!U446="Taijijian 32 E",Atletas!U446="Taijijian 42 E"),930,IF(OR(Atletas!U446="Taijijian Yang F",Atletas!U446="Taijijian Yang Standard F"),931,IF(OR(Atletas!U446="Taijijian Chen F", Atletas!U446="Taijijian Chen Standard F"),932,IF(Atletas!U446="Taijijian Sun F",933,IF(Atletas!U446="Taijijian Wu F",934,IF(Atletas!U446="Taijijian Wu-Hao F",935,IF(OR(Atletas!U446="Taijijian 32 F",Atletas!U446="Taijijian 42 F"),936,"")))))))))))))))))))))))))))))))))))))</f>
        <v/>
      </c>
      <c r="CD455" s="50" t="str">
        <f>IF(Atletas!V446="","",IF(Atletas!X446&lt;&gt;"",10000,0)+IF(Atletas!B446="Feminino",1000,IF(Atletas!B446="Masculino",2000,""))+IF(Atletas!V446="Taijidao A",937,IF(Atletas!V446="TaijiShanzi A",938,IF(Atletas!V446="Taijiqiang A",939,IF(Atletas!V446="Bagua de Arma A",940,IF(Atletas!V446="Xingyi de Arma A",941,IF(Atletas!V446="Taijidao B",942,IF(Atletas!V446="TaijiShanzi B",943,IF(Atletas!V446="Taijiqiang B",944,IF(Atletas!V446="Bagua de Arma B",945,IF(Atletas!V446="Xingyi de Arma B",946,IF(Atletas!V446="Taijidao C",947,IF(Atletas!V446="TaijiShanzi C",948,IF(Atletas!V446="Taijiqiang C",949,IF(Atletas!V446="Bagua de Arma C",950,IF(Atletas!V446="Xingyi de Arma C",951,IF(Atletas!V446="Taijidao D",952,IF(Atletas!V446="TaijiShanzi D",953,IF(Atletas!V446="Taijiqiang D",954,IF(Atletas!V446="Bagua de Arma D",955,IF(Atletas!V446="Xingyi de Arma D",956,IF(Atletas!V446="Taijidao E",957,IF(Atletas!V446="TaijiShanzi E",958,IF(Atletas!V446="Taijiqiang E",959,IF(Atletas!V446="Bagua de Arma E",960,IF(Atletas!V446="Xingyi de Arma E",961,IF(Atletas!V446="Taijidao F",962,IF(Atletas!V446="TaijiShanzi F",963,IF(Atletas!V446="Taijiqiang F",964,IF(Atletas!V446="Bagua de Arma F",965,IF(Atletas!V446="Xingyi de Arma F",966,"")))))))))))))))))))))))))))))))</f>
        <v/>
      </c>
      <c r="CM455" s="50" t="str">
        <f xml:space="preserve"> IF(Atletas!W446="","",IF(Atletas!W446="Duilian de Mãos BC - Equipe 1",1,IF(Atletas!W446="Duilian de Mãos BC - Equipe 2",2,IF(Atletas!W446="Duilian de Armas BC - Equipe 1",3,IF(Atletas!W446="Duilian de Armas BC - Equipe 2",4,IF(Atletas!W446="Duilian de Mãos DE - Equipe 1",5,IF(Atletas!W446="Duilian de Mãos DE - Equipe 2",6,IF(Atletas!W446="Duilian de Armas DE - Equipe 1",7,IF(Atletas!W446="Duilian de Armas DE - Equipe 2",8,IF(Atletas!W446="Duilian de Tuishou - Equipe 1",9,IF(Atletas!W446="Duilian de Tuishou - Equipe 2",10,IF(Atletas!W446="Grupo Externo ABC - Equipe 1",11,IF(Atletas!W446="Grupo Externo ABC - Equipe 2",12,IF(Atletas!W446="Grupo Interno ABC - Equipe 1",13,IF(Atletas!W446="Grupo Interno ABC - Equipe 2",14,IF(Atletas!W446="Grupo Externo DEF - Equipe 1",15,IF(Atletas!W446="Grupo Externo DEF - Equipe 2",16,IF(Atletas!W446="Grupo Interno DEF - Equipe 1",17,IF(Atletas!W446="Grupo Interno DEF - Equipe 2",18,"")))))))))))))))))))</f>
        <v/>
      </c>
    </row>
    <row r="456" spans="40:91">
      <c r="AN456" s="52" t="str">
        <f>IF(Atletas!D447="","",IF(Atletas!B447="Feminino",100,IF(Atletas!B447="Masculino",200,""))+(IF(Atletas!D447="Kids 30kg",1,IF(Atletas!D447="Kids 32kg",2, IF(Atletas!D447="Kids 34kg",3,IF(Atletas!D447="Kids 36kg",4,IF(Atletas!D447="Kids 39kg",5,IF(Atletas!D447="Kids 42kg",6,IF(Atletas!D447="Kids 45kg",7, IF(Atletas!D447="Infantil 39kg",8,IF(Atletas!D447="Infantil 42kg",9,IF(Atletas!D447="Infantil 45kg",10,IF(Atletas!D447="Infantil 48kg",11,IF(Atletas!D447="Infantil 52kg",12,IF(Atletas!D447="Infantil 56kg",13,IF(Atletas!D447="Infantil 60kg",14,IF(Atletas!D447="Juvenil 48kg",15,IF(Atletas!D447="Juvenil 52kg",16,IF(Atletas!D447="Juvenil 56kg",17,IF(Atletas!D447="Juvenil 60kg",18,IF(Atletas!D447="Juvenil 65kg",19,IF(Atletas!D447="Juvenil 70kg",20,IF(Atletas!D447="Juvenil 75kg",21,IF(Atletas!D447="Juvenil 80kg",22, IF(Atletas!D447="Juvenil 85kg",23,IF(Atletas!D447="Adulto 48kg",24,IF(Atletas!D447="Adulto 52kg",25,IF(Atletas!D447="Adulto 56kg",26,IF(Atletas!D447="Adulto 60kg",27,IF(Atletas!D447="Adulto 65kg",28,IF(Atletas!D447="Adulto 70kg",29,IF(Atletas!D447="Adulto 75kg",30,IF(Atletas!D447="Adulto 80kg",31,IF(Atletas!D447="Adulto 85kg",32,IF(Atletas!D447="Adulto 90kg",33,IF(Atletas!D447="Adulto 100kg",34, IF(Atletas!D447="Adulto +100kg",35,"")))))))))))))))))))))))))))))))))))))</f>
        <v/>
      </c>
      <c r="AS456" s="6" t="str">
        <f>IF(Atletas!E447="","",IF(Atletas!B447="Feminino",100,IF(Atletas!B447="Masculino",200,""))+(IF(Atletas!E447="Juvenil 44kg",1,IF(Atletas!E447="Juvenil 48kg",2,IF(Atletas!E447="Juvenil 52kg",3,IF(Atletas!E447="Juvenil 56kg",4,IF(Atletas!E447="Juvenil 60kg",5,IF(Atletas!E447="Juvenil 65kg",6,IF(Atletas!E447="Juvenil 70kg",7,IF(Atletas!E447="Juvenil 75kg",8,IF(Atletas!E447="Juvenil 82kg",9,IF(Atletas!E447="Juvenil 90kg",10,IF(Atletas!E447="Juvenil 100kg",11,IF(Atletas!E447="Adulto 48kg",12,IF(Atletas!E447="Adulto 52kg",13,IF(Atletas!E447="Adulto 56kg",14,IF(Atletas!E447="Adulto 60kg",15,IF(Atletas!E447="Adulto 65kg",16,IF(Atletas!E447="Adulto 70kg",17,IF(Atletas!E447="Adulto 75kg",18,IF(Atletas!E447="Adulto 82kg",19,IF(Atletas!E447="Adulto 90kg",20,IF(Atletas!E447="Adulto 100kg",21,IF(Atletas!E447="Adulto +100kg",22,""))))))))))))))))))))))))</f>
        <v/>
      </c>
      <c r="AX456" s="6" t="str">
        <f>IF(Atletas!F447="","",IF(Atletas!B447="Feminino",100,IF(Atletas!B447="Masculino",200,""))+(IF(Atletas!F447="Adulto 48kg",1,IF(Atletas!F447="Adulto 56kg",2,IF(Atletas!F447="Adulto 65kg",3,IF(Atletas!F447="Adulto 75kg",4,IF(Atletas!F447="Adulto +75kg",5,IF(Atletas!F447="Adulto 52kg",6,IF(Atletas!F447="Adulto 60kg",7,IF(Atletas!F447="Adulto 70kg",8,IF(Atletas!F447="Adulto 80kg",9,IF(Atletas!F447="Adulto 90kg",10,IF(Atletas!F447="Adulto +90kg",11,"")))))))))))))</f>
        <v/>
      </c>
      <c r="BC456" s="6" t="str">
        <f>IF(Atletas!G447="","",IF(Atletas!B447="Feminino",10,IF(Atletas!B447="Masculino",20,""))+(IF(Atletas!G447="Baduanjin A",1,IF(Atletas!G447="Baduanjin B",2))))</f>
        <v/>
      </c>
      <c r="BF456" s="52" t="str">
        <f>IF(Atletas!H447="","",IF(Atletas!B447="Feminino",100,IF(Atletas!B447="Masculino",200,""))+(IF(Atletas!H447="Changquan Mirim",1,IF(Atletas!H447="Nanquan Mirim",2,IF(Atletas!H447="Taijiquan Mirim",3,IF(Atletas!H447="Changquan Grupo C",4,IF(Atletas!H447="Nanquan Grupo C",5,IF(Atletas!H447="Taijiquan Grupo C",6,IF(Atletas!H447="Changquan Grupo B",7,IF(Atletas!H447="Nanquan Grupo B",8,IF(Atletas!H447="Taijiquan Grupo B",9,IF(Atletas!H447="Changquan Grupo A",10,IF(Atletas!H447="Nanquan Grupo A",11,IF(Atletas!H447="Taijiquan Grupo A",12,IF(Atletas!H447="Changquan Opcional",13,IF(Atletas!H447="Nanquan Opcional",14,IF(Atletas!H447="Taijiquan Opcional",15,IF(Atletas!H447="Changquan Adulto",16,IF(Atletas!H447="Nanquan Adulto",17,IF(Atletas!H447="Taijiquan Adulto",18,""))))))))))))))))))))</f>
        <v/>
      </c>
      <c r="BG456" s="52" t="str">
        <f>IF(Atletas!I447="","",IF(Atletas!B447="Feminino",100,IF(Atletas!B447="Masculino",200,""))+(IF(Atletas!I447="Daoshu Mirim",19,IF(Atletas!I447="Jianshu Mirim",20,IF(Atletas!I447="Nandao Mirim",21,IF(Atletas!I447="Taijijian Mirim",22,IF(Atletas!I447="Daoshu Grupo C",23,IF(Atletas!I447="Jianshu Grupo C",24,IF(Atletas!I447="Nandao Grupo C",25,IF(Atletas!I447="Taijijian Grupo C",26,IF(Atletas!I447="Daoshu Grupo B",27,IF(Atletas!I447="Jianshu Grupo B",28,IF(Atletas!I447="Nandao Grupo B",29,IF(Atletas!I447="Taijijian Grupo B",30,IF(Atletas!I447="Daoshu Grupo A",31,IF(Atletas!I447="Jianshu Grupo A",32,IF(Atletas!I447="Nandao Grupo A",33,IF(Atletas!I447="Taijijian Grupo A",34,IF(Atletas!I447="Daoshu Opcional",35,IF(Atletas!I447="Jianshu Opcional",36,IF(Atletas!I447="Nandao Opcional",37,IF(Atletas!I447="Taijijian Opcional",38,IF(Atletas!I447="Daoshu Adulto",39,IF(Atletas!I447="Jianshu Adulto",40,IF(Atletas!I447="Nandao Adulto",41,IF(Atletas!I447="Taijijian Adulto",42,""))))))))))))))))))))))))))</f>
        <v/>
      </c>
      <c r="BH456" s="52" t="str">
        <f>IF(Atletas!J447="","",IF(Atletas!B447="Feminino",100,IF(Atletas!B447="Masculino",200,""))+(IF(Atletas!J447="Gunshu Mirim",43,IF(Atletas!J447="Qiangshu Mirim",44,IF(Atletas!J447="Nangun Mirim",45,IF(Atletas!J447="Gunshu Grupo C",46,IF(Atletas!J447="Qiangshu Grupo C",47,IF(Atletas!J447="Nangun Grupo C",48,IF(Atletas!J447="Gunshu Grupo B",49,IF(Atletas!J447="Qiangshu Grupo B",50,IF(Atletas!J447="Nangun Grupo B",51,IF(Atletas!J447="Gunshu Grupo A",52,IF(Atletas!J447="Qiangshu Grupo A",53,IF(Atletas!J447="Nangun Grupo A",54,IF(Atletas!J447="Gunshu Opcional",55,IF(Atletas!J447="Qiangshu Opcional",56,IF(Atletas!J447="Nangun Opcional",57,IF(Atletas!J447="Gunshu Adulto",58,IF(Atletas!J447="Qiangshu Adulto",59,IF(Atletas!J447="Nangun Adulto",60,IF(Atletas!J447="Taijishan Grupo B",61,IF(Atletas!J447="Taijishan Grupo A",62,""))))))))))))))))))))))</f>
        <v/>
      </c>
      <c r="BM456" s="50" t="str">
        <f>IF(Atletas!K447="","",IF(Atletas!B447="Feminino",100,IF(Atletas!B447="Masculino",200,""))+(IF(Atletas!K447="Equipe 1 Grupo B",1,IF(Atletas!K447="Equipe 2 Grupo B",2,IF(Atletas!K447="Equipe 1 Grupo A",3,IF(Atletas!K447="Equipe 2 Grupo A",4,IF(Atletas!K447="Equipe 1 Adulto",5,IF(Atletas!K447="Equipe 2 Adulto",6,""))))))))</f>
        <v/>
      </c>
      <c r="BR456" s="50" t="str">
        <f>IF(Atletas!L447="","",IF(Atletas!X447&lt;&gt;"",10000,0)+(IF(Atletas!B447="Feminino",1000,IF(Atletas!B447="Masculino",2000,""))+IF(Atletas!L447="Choylayfut A",1,IF(Atletas!L447="Hunggar A",2,IF(Atletas!L447="Wuzuquan A",3,IF(Atletas!L447="Wingchun A",4,IF(Atletas!L447="Outra Mão de Sul A",5,IF(Atletas!L447="Choylayfut B",6,IF(Atletas!L447="Hunggar B",7,IF(Atletas!L447="Wuzuquan B",8,IF(Atletas!L447="Wingchun B",9,IF(Atletas!L447="Outra Mão de Sul B",10,IF(Atletas!L447="Choylayfut C",11,IF(Atletas!L447="Hunggar C",12,IF(Atletas!L447="Wuzuquan C",13,IF(Atletas!L447="Wingchun C",14,IF(Atletas!L447="Outra Mão de Sul C",15,IF(Atletas!L447="Choylayfut D",16,IF(Atletas!L447="Hunggar D",17,IF(Atletas!L447="Wuzuquan D",18,IF(Atletas!L447="Wingchun D",19,IF(Atletas!L447="Outra Mão de Sul D",20,IF(Atletas!L447="Choylayfut E",21,IF(Atletas!L447="Hunggar E",22,IF(Atletas!L447="Wuzuquan E",23,IF(Atletas!L447="Wingchun E",24,IF(Atletas!L447="Outra Mão de Sul E",25,IF(Atletas!L447="Choylayfut F",26,IF(Atletas!L447="Hunggar F",27,IF(Atletas!L447="Wuzuquan F",28,IF(Atletas!L447="Wingchun F",29,IF(Atletas!L447="Outra Mão de Sul F",30,IF(Atletas!L447="Dishuquan A",31,IF(Atletas!L447="Dishuquan B",32,IF(Atletas!L447="Dishuquan C",33,IF(Atletas!L447="Dishuquan D",34,IF(Atletas!L447="Dishuquan E",35,IF(Atletas!L447="Dishuquan F",36,""))))))))))))))))))))))))))))))))))))))</f>
        <v/>
      </c>
      <c r="BS456" s="50" t="str">
        <f>IF(Atletas!M447="","",IF(Atletas!X447&lt;&gt;"",10000,0)+(IF(Atletas!B447="Feminino",1000,IF(Atletas!B447="Masculino",2000,""))+(IF(Atletas!M447="Chaquan A",101,IF(Atletas!M447="Emeiquan A",102,IF(Atletas!M447="Fanziquan A",103,IF(Atletas!M447="Huaquan A",104,IF(Atletas!M447="Hongquan A",105,IF(Atletas!M447="Paoquan A",106,IF(Atletas!M447="Piguaquan A",107,IF(Atletas!M447="Shaolinquan A",108,IF(Atletas!M447="Tanglangquan A",109,IF(Atletas!M447="Yingzhaoquan A",110,IF(Atletas!M447="Tongbeiquan A",111,IF(Atletas!M447="Wudangquan A",112,IF(Atletas!M447="Outros Estilos A",113,IF(Atletas!M447="Chaquan B",114,IF(Atletas!M447="Emeiquan B",115,IF(Atletas!M447="Fanziquan B",116,IF(Atletas!M447="Huaquan B",117,IF(Atletas!M447="Hongquan B",118,IF(Atletas!M447="Paoquan B",119,IF(Atletas!M447="Piguaquan B",120,IF(Atletas!M447="Shaolinquan B",121,IF(Atletas!M447="Tanglangquan B",122,IF(Atletas!M447="Yingzhaoquan B",123,IF(Atletas!M447="Tongbeiquan B",124,IF(Atletas!M447="Wudangquan B",125,IF(Atletas!M447="Outros Estilos B",126,IF(Atletas!M447="Chaquan C",127,IF(Atletas!M447="Emeiquan C",128,IF(Atletas!M447="Fanziquan C",129,IF(Atletas!M447="Huaquan C",130,IF(Atletas!M447="Hongquan C",131,IF(Atletas!M447="Paoquan C",132,IF(Atletas!M447="Piguaquan C",133,IF(Atletas!M447="Shaolinquan C",134,IF(Atletas!M447="Tanglangquan C",135,IF(Atletas!M447="Yingzhaoquan C",136,IF(Atletas!M447="Tongbeiquan C",137,IF(Atletas!M447="Wudangquan C",138,IF(Atletas!M447="Outros Estilos C",139,0))))))))))))))))))))))))))))))))))))))))))</f>
        <v/>
      </c>
      <c r="BT456" s="50" t="str">
        <f>IF(Atletas!M447="","",IF(Atletas!X447&lt;&gt;"",10000,0)+(IF(Atletas!B447="Feminino",1000,IF(Atletas!B447="Masculino",2000,""))+(IF(Atletas!M447="Chaquan D",140,IF(Atletas!M447="Emeiquan D",141,IF(Atletas!M447="Fanziquan D",142,IF(Atletas!M447="Huaquan D",143,IF(Atletas!M447="Hongquan D",144,IF(Atletas!M447="Paoquan D",145,IF(Atletas!M447="Piguaquan D",146,IF(Atletas!M447="Shaolinquan D",147,IF(Atletas!M447="Tanglangquan D",148,IF(Atletas!M447="Yingzhaoquan D",149,IF(Atletas!M447="Tongbeiquan D",150,IF(Atletas!M447="Wudangquan D",151,IF(Atletas!M447="Outros Estilos D",152,IF(Atletas!M447="Chaquan E",153,IF(Atletas!M447="Emeiquan E",154,IF(Atletas!M447="Fanziquan E",155,IF(Atletas!M447="Huaquan E",156,IF(Atletas!M447="Hongquan E",157,IF(Atletas!M447="Paoquan E",158,IF(Atletas!M447="Piguaquan E",159,IF(Atletas!M447="Shaolinquan E",160,IF(Atletas!M447="Tanglangquan E",161,IF(Atletas!M447="Yingzhaoquan E",162,IF(Atletas!M447="Tongbeiquan E",163,IF(Atletas!M447="Wudangquan E",164,IF(Atletas!M447="Outros Estilos E",165,IF(Atletas!M447="Chaquan F",166,IF(Atletas!M447="Emeiquan F",167,IF(Atletas!M447="Fanziquan F",168,IF(Atletas!M447="Huaquan F",169,IF(Atletas!M447="Hongquan F",170,IF(Atletas!M447="Paoquan F",171,IF(Atletas!M447="Piguaquan F",172,IF(Atletas!M447="Shaolinquan F",173,IF(Atletas!M447="Tanglangquan F",174,IF(Atletas!M447="Yingzhaoquan F",175,IF(Atletas!M447="Tongbeiquan F",176,IF(Atletas!M447="Wudangquan F",177,IF(Atletas!M447="Outros Estilos F",178,0))))))))))))))))))))))))))))))))))))))))))</f>
        <v/>
      </c>
      <c r="BU456" s="50" t="str">
        <f>IF(Atletas!N447="","",IF(Atletas!X447&lt;&gt;"",10000,0)+(IF(Atletas!B447="Feminino",1000,IF(Atletas!B447="Masculino",2000,""))+(IF(Atletas!N447="Ditangquan A",201,IF(Atletas!N447="Houquan A",202,IF(Atletas!N447="Zuiquan A",203,IF(Atletas!N447="Ditangquan B",204,IF(Atletas!N447="Houquan B",205,IF(Atletas!N447="Zuiquan B",206,IF(Atletas!N447="Ditangquan C",207,IF(Atletas!N447="Houquan C",208,IF(Atletas!N447="Zuiquan C",209,IF(Atletas!N447="Ditangquan D",210,IF(Atletas!N447="Houquan D",211,IF(Atletas!N447="Zuiquan D",212,IF(Atletas!N447="Ditangquan E",213,IF(Atletas!N447="Houquan E",214,IF(Atletas!N447="Zuiquan E",215,IF(Atletas!N447="Ditangquan F",216,IF(Atletas!N447="Houquan F",217,IF(Atletas!N447="Zuiquan F",218,"")))))))))))))))))))))</f>
        <v/>
      </c>
      <c r="BV456" s="50" t="str">
        <f>IF(Atletas!O447="","",IF(Atletas!X447&lt;&gt;"",10000,0)+IF(Atletas!B447="Feminino",1000,IF(Atletas!B447="Masculino",2000,""))+IF(Atletas!O447="Yang A",301,IF(Atletas!O447="Chen A",302,IF(Atletas!O447="Sun A",303,IF(Atletas!O447="Wu A",304,IF(Atletas!O447="Wu-Hao A",305,IF(Atletas!O447="Outro Taijiquan A",306,IF(Atletas!O447="Yang B",307,IF(Atletas!O447="Chen B",308,IF(Atletas!O447="Sun B",309,IF(Atletas!O447="Wu B",310,IF(Atletas!O447="Wu-Hao B",311,IF(Atletas!O447="Outro Taijiquan B",312,IF(Atletas!O447="Yang C",313,IF(Atletas!O447="Chen C",314,IF(Atletas!O447="Sun C",315,IF(Atletas!O447="Wu C",316,IF(Atletas!O447="Wu-Hao C",317,IF(Atletas!O447="Outro Taijiquan C",318,IF(Atletas!O447="Yang D",319,IF(Atletas!O447="Chen D",320,IF(Atletas!O447="Sun D",321,IF(Atletas!O447="Wu D",322,IF(Atletas!O447="Wu-Hao D",323,IF(Atletas!O447="Outro Taijiquan D",324,IF(Atletas!O447="Yang E",325,IF(Atletas!O447="Chen E",326,IF(Atletas!O447="Sun E",327,IF(Atletas!O447="Wu E",328,IF(Atletas!O447="Wu-Hao E",329,IF(Atletas!O447="Outro Taijiquan E",330,IF(Atletas!O447="Yang F",331,IF(Atletas!O447="Chen F",332,IF(Atletas!O447="Sun F",333,IF(Atletas!O447="Wu F",334,IF(Atletas!O447="Wu-Hao F",335,IF(Atletas!O447="Outro Taijiquan F",336,"")))))))))))))))))))))))))))))))))))))</f>
        <v/>
      </c>
      <c r="BW456" s="50" t="str">
        <f>IF(Atletas!P447="","",IF(Atletas!X447&lt;&gt;"",10000,0)+IF(Atletas!B447="Feminino",1000,IF(Atletas!B447="Masculino",2000,""))+IF(OR(Atletas!P447="Yang 26 A",Atletas!P447="Yang 40 A"),401,IF(OR(Atletas!P447="Chen 25 A",Atletas!P447="Chen 36 A",Atletas!P447="Chen 56 A"),402,IF(Atletas!P447="Sun 73 A",403,IF(Atletas!P447="Wu 45 A",404,IF(Atletas!P447="Wu-Hao 46 A",405,IF(OR(Atletas!P447="Taijiquan 16 A",Atletas!P447="Taijiquan 24 A",Atletas!P447="Taijiquan 32 A",Atletas!P447="Taijiquan 42 A"),406,IF(OR(Atletas!P447="Yang 26 B",Atletas!P447="Yang 40 B"),407,IF(OR(Atletas!P447="Chen 25 B",Atletas!P447="Chen 36 B",Atletas!P447="Chen 56 B"),408,IF(Atletas!P447="Sun 73 B",409,IF(Atletas!P447="Wu 45 B",410,IF(Atletas!P447="Wu-Hao 46 B",411,IF(OR(Atletas!P447="Taijiquan 16 B",Atletas!P447="Taijiquan 24 B",Atletas!P447="Taijiquan 32 B",Atletas!P447="Taijiquan 42 B"),412,IF(OR(Atletas!P447="Yang 26 C",Atletas!P447="Yang 40 C"),413,IF(OR(Atletas!P447="Chen 25 C",Atletas!P447="Chen 36 C",Atletas!P447="Chen 56 C"),414,IF(Atletas!P447="Sun 73 C",415,IF(Atletas!P447="Wu 45 C",416,IF(Atletas!P447="Wu-Hao 46 C",417,IF(OR(Atletas!P447="Taijiquan 16 C",Atletas!P447="Taijiquan 24 C",Atletas!P447="Taijiquan 32 C",Atletas!P447="Taijiquan 42 C"),418,0)))))))))))))))))))</f>
        <v/>
      </c>
      <c r="BX456" s="50" t="str">
        <f>IF(Atletas!P447="","",IF(Atletas!X447&lt;&gt;"",10000,0)+IF(Atletas!B447="Feminino",1000,IF(Atletas!B447="Masculino",2000,""))+IF(OR(Atletas!P447="Yang 26 D",Atletas!P447="Yang 40 D"),419,IF(OR(Atletas!P447="Chen 25 D",Atletas!P447="Chen 36 D",Atletas!P447="Chen 56 D"),420,IF(Atletas!P447="Sun 73 D",421,IF(Atletas!P447="Wu 45 D",422,IF(Atletas!P447="Wu-Hao 46 D",423,IF(OR(Atletas!P447="Taijiquan 16 D",Atletas!P447="Taijiquan 24 D",Atletas!P447="Taijiquan 32 D",Atletas!P447="Taijiquan 42 D"),424,IF(OR(Atletas!P447="Yang 26 E",Atletas!P447="Yang 40 E"),425,IF(OR(Atletas!P447="Chen 25 E",Atletas!P447="Chen 36 E",Atletas!P447="Chen 56 E"),426,IF(Atletas!P447="Sun 73 E",427,IF(Atletas!P447="Wu 45 E",428,IF(Atletas!P447="Wu-Hao 46 E",429,IF(OR(Atletas!P447="Taijiquan 16 E",Atletas!P447="Taijiquan 24 E",Atletas!P447="Taijiquan 32 E",Atletas!P447="Taijiquan 42 E"),430,IF(OR(Atletas!P447="Yang 26 F",Atletas!P447="Yang 40 F"),431,IF(OR(Atletas!P447="Chen 25 F",Atletas!P447="Chen 36 F",Atletas!P447="Chen 56 F"),432,IF(Atletas!P447="Sun 73 F",433,IF(Atletas!P447="Wu 45 F",434,IF(Atletas!P447="Wu-Hao 46 F",435,IF(OR(Atletas!P447="Taijiquan 16 F",Atletas!P447="Taijiquan 24 F",Atletas!P447="Taijiquan 32 F",Atletas!P447="Taijiquan 42 F"),436,0)))))))))))))))))))</f>
        <v/>
      </c>
      <c r="BY456" s="50" t="str">
        <f>IF(Atletas!Q447="","",IF(Atletas!X447&lt;&gt;"",10000,0)+IF(Atletas!B447="Feminino",1000,IF(Atletas!B447="Masculino",2000,""))+IF(Atletas!Q447="Xingyiquan A",501,IF(Atletas!Q447="Baguazhang A",502,IF(Atletas!Q447="Outro Estilo Interno A",503,IF(Atletas!Q447="Xingyiquan B",504,IF(Atletas!Q447="Baguazhang B",505,IF(Atletas!Q447="Outro Estilo Interno B",506,IF(Atletas!Q447="Xingyiquan C",507,IF(Atletas!Q447="Baguazhang C",508,IF(Atletas!Q447="Outro Estilo Interno C",509,IF(Atletas!Q447="Xingyiquan D",510,IF(Atletas!Q447="Baguazhang D",511,IF(Atletas!Q447="Outro Estilo Interno D",512,IF(Atletas!Q447="Xingyiquan E",513,IF(Atletas!Q447="Baguazhang E",514,IF(Atletas!Q447="Outro Estilo Interno E",515,IF(Atletas!Q447="Xingyiquan F",516,IF(Atletas!Q447="Baguazhang F",517,IF(Atletas!Q447="Outro Estilo Interno F",518, "")))))))))))))))))))</f>
        <v/>
      </c>
      <c r="BZ456" s="50" t="str">
        <f>IF(Atletas!R447="","",IF(Atletas!X447&lt;&gt;"",10000,0)+IF(Atletas!B447="Feminino",1000,IF(Atletas!B447="Masculino",2000,""))+IF(Atletas!R447="Dao A",601,IF(Atletas!R447="Jian A",602,IF(Atletas!R447="Bishou A",603,IF(Atletas!R447="Shanzi A",604,IF(Atletas!R447="Outra Arma Curta A",605,IF(Atletas!R447="Dao B",606,IF(Atletas!R447="Jian B",607,IF(Atletas!R447="Bishou B",608,IF(Atletas!R447="Shanzi B",609,IF(Atletas!R447="Outra Arma Curta B",610,IF(Atletas!R447="Dao C",611,IF(Atletas!R447="Jian C",612,IF(Atletas!R447="Bishou C",613,IF(Atletas!R447="Shanzi C",614,IF(Atletas!R447="Outra Arma Curta C",615,IF(Atletas!R447="Dao D",616,IF(Atletas!R447="Jian D",617,IF(Atletas!R447="Bishou D",618,IF(Atletas!R447="Shanzi D",619,IF(Atletas!R447="Outra Arma Curta D",620,IF(Atletas!R447="Dao E",621,IF(Atletas!R447="Jian E",622,IF(Atletas!R447="Bishou E",623,IF(Atletas!R447="Shanzi E",624,IF(Atletas!R447="Outra Arma Curta E",625,IF(Atletas!R447="Dao F",626,IF(Atletas!R447="Jian F",627,IF(Atletas!R447="Bishou F",628,IF(Atletas!R447="Shanzi F",629,IF(Atletas!R447="Outra Arma Curta F",630, "")))))))))))))))))))))))))))))))</f>
        <v/>
      </c>
      <c r="CA456" s="50" t="str">
        <f>IF(Atletas!S447="","",IF(Atletas!X447&lt;&gt;"",10000,0)+IF(Atletas!B447="Feminino",1000,IF(Atletas!B447="Masculino",2000,""))+IF(Atletas!S447="Gun A",701,IF(Atletas!S447="Qiang A",702,IF(Atletas!S447="Pudao / Guandao A",703,IF(Atletas!S447="Outra Arma Longa A",704,IF(Atletas!S447="Gun B",705,IF(Atletas!S447="Qiang B",706,IF(Atletas!S447="Pudao / Guandao B",707,IF(Atletas!S447="Outra Arma Longa B",708,IF(Atletas!S447="Gun C",709,IF(Atletas!S447="Qiang C",710,IF(Atletas!S447="Pudao / Guandao C",711,IF(Atletas!S447="Outra Arma Longa C",712,IF(Atletas!S447="Gun D",713,IF(Atletas!S447="Qiang D",714,IF(Atletas!S447="Pudao / Guandao D",715,IF(Atletas!S447="Outra Arma Longa D",716,IF(Atletas!S447="Gun E",717,IF(Atletas!S447="Qiang E",718,IF(Atletas!S447="Pudao / Guandao E",719,IF(Atletas!S447="Outra Arma Longa E",720,IF(Atletas!S447="Gun F",721,IF(Atletas!S447="Qiang F",722,IF(Atletas!S447="Pudao / Guandao F",723,IF(Atletas!S447="Outra Arma Longa F",724,"")))))))))))))))))))))))))</f>
        <v/>
      </c>
      <c r="CB456" s="50" t="str">
        <f>IF(Atletas!T447="","",IF(Atletas!X447&lt;&gt;"",10000,0)+IF(Atletas!B447="Feminino",1000,IF(Atletas!B447="Masculino",2000,""))+IF(Atletas!T447="Outra Arma Dupla A",801,IF(Atletas!T447="Arma Maleável A",802,IF(Atletas!T447="Outra Arma Dupla B",803,IF(Atletas!T447="Arma Maleável B",804,IF(Atletas!T447="Outra Arma Dupla C",805,IF(Atletas!T447="Arma Maleável C",806,IF(Atletas!T447="Outra Arma Dupla D",807,IF(Atletas!T447="Arma Maleável D",808,IF(Atletas!T447="Outra Arma Dupla E",809,IF(Atletas!T447="Arma Maleável E",810,IF(Atletas!T447="Outra Arma Dupla F",811,IF(Atletas!T447="Arma Maleável F",812,IF(Atletas!T447="Shuangdao A",813,IF(Atletas!T447="Shuangdao B",814,IF(Atletas!T447="Shuangdao C",815,IF(Atletas!T447="Shuangdao D",816,IF(Atletas!T447="Shuangdao E",817,IF(Atletas!T447="Shuangdao F",818,"")))))))))))))))))))</f>
        <v/>
      </c>
      <c r="CC456" s="50" t="str">
        <f>IF(Atletas!U447="","",IF(Atletas!X447&lt;&gt;"",10000,0)+IF(Atletas!B447="Feminino",1000,IF(Atletas!B447="Masculino",2000,""))+IF(OR(Atletas!U447="Taijijian Yang A",Atletas!U447="Taijijian Yang Standard A"),901,IF(OR(Atletas!U447="Taijijian Chen A", Atletas!U447="Taijijian Chen Standard A"),902,IF(Atletas!U447="Taijijian Sun A",903,IF(Atletas!U447="Taijijian Wu A",904,IF(Atletas!U447="Taijijian Wu-Hao A",905,IF(OR(Atletas!U447="Taijijian 32 A",Atletas!U447="Taijijian 42 A"),906,IF(OR(Atletas!U447="Taijijian Yang B",Atletas!U447="Taijijian Yang Standard B"),907,IF(OR(Atletas!U447="Taijijian Chen B", Atletas!U447="Taijijian Chen Standard B"),908,IF(Atletas!U447="Taijijian Sun B",909,IF(Atletas!U447="Taijijian Wu B",910,IF(Atletas!U447="Taijijian Wu-Hao B",911,IF(OR(Atletas!U447="Taijijian 32 B",Atletas!U447="Taijijian 42 B"),912,IF(OR(Atletas!U447="Taijijian Yang C",Atletas!U447="Taijijian Yang Standard C"),913,IF(OR(Atletas!U447="Taijijian Chen C", Atletas!U447="Taijijian Chen Standard C"),914,IF(Atletas!U447="Taijijian Sun C",915,IF(Atletas!U447="Taijijian Wu C",916,IF(Atletas!U447="Taijijian Wu-Hao C",917,IF(OR(Atletas!U447="Taijijian 32 C",Atletas!U447="Taijijian 42 C"),918,IF(OR(Atletas!U447="Taijijian Yang D",Atletas!U447="Taijijian Yang Standard D"),919,IF(OR(Atletas!U447="Taijijian Chen D", Atletas!U447="Taijijian Chen Standard D"),920,IF(Atletas!U447="Taijijian Sun D",921,IF(Atletas!U447="Taijijian Wu D",922,IF(Atletas!U447="Taijijian Wu-Hao D",923,IF(OR(Atletas!U447="Taijijian 32 D",Atletas!U447="Taijijian 42 D"),924,IF(OR(Atletas!U447="Taijijian Yang E",Atletas!U447="Taijijian Yang Standard E"),925,IF(OR(Atletas!U447="Taijijian Chen E", Atletas!U447="Taijijian Chen Standard E"),926,IF(Atletas!U447="Taijijian Sun E",927,IF(Atletas!U447="Taijijian Wu E",928,IF(Atletas!U447="Taijijian Wu-Hao E",929,IF(OR(Atletas!U447="Taijijian 32 E",Atletas!U447="Taijijian 42 E"),930,IF(OR(Atletas!U447="Taijijian Yang F",Atletas!U447="Taijijian Yang Standard F"),931,IF(OR(Atletas!U447="Taijijian Chen F", Atletas!U447="Taijijian Chen Standard F"),932,IF(Atletas!U447="Taijijian Sun F",933,IF(Atletas!U447="Taijijian Wu F",934,IF(Atletas!U447="Taijijian Wu-Hao F",935,IF(OR(Atletas!U447="Taijijian 32 F",Atletas!U447="Taijijian 42 F"),936,"")))))))))))))))))))))))))))))))))))))</f>
        <v/>
      </c>
      <c r="CD456" s="50" t="str">
        <f>IF(Atletas!V447="","",IF(Atletas!X447&lt;&gt;"",10000,0)+IF(Atletas!B447="Feminino",1000,IF(Atletas!B447="Masculino",2000,""))+IF(Atletas!V447="Taijidao A",937,IF(Atletas!V447="TaijiShanzi A",938,IF(Atletas!V447="Taijiqiang A",939,IF(Atletas!V447="Bagua de Arma A",940,IF(Atletas!V447="Xingyi de Arma A",941,IF(Atletas!V447="Taijidao B",942,IF(Atletas!V447="TaijiShanzi B",943,IF(Atletas!V447="Taijiqiang B",944,IF(Atletas!V447="Bagua de Arma B",945,IF(Atletas!V447="Xingyi de Arma B",946,IF(Atletas!V447="Taijidao C",947,IF(Atletas!V447="TaijiShanzi C",948,IF(Atletas!V447="Taijiqiang C",949,IF(Atletas!V447="Bagua de Arma C",950,IF(Atletas!V447="Xingyi de Arma C",951,IF(Atletas!V447="Taijidao D",952,IF(Atletas!V447="TaijiShanzi D",953,IF(Atletas!V447="Taijiqiang D",954,IF(Atletas!V447="Bagua de Arma D",955,IF(Atletas!V447="Xingyi de Arma D",956,IF(Atletas!V447="Taijidao E",957,IF(Atletas!V447="TaijiShanzi E",958,IF(Atletas!V447="Taijiqiang E",959,IF(Atletas!V447="Bagua de Arma E",960,IF(Atletas!V447="Xingyi de Arma E",961,IF(Atletas!V447="Taijidao F",962,IF(Atletas!V447="TaijiShanzi F",963,IF(Atletas!V447="Taijiqiang F",964,IF(Atletas!V447="Bagua de Arma F",965,IF(Atletas!V447="Xingyi de Arma F",966,"")))))))))))))))))))))))))))))))</f>
        <v/>
      </c>
      <c r="CM456" s="50" t="str">
        <f xml:space="preserve"> IF(Atletas!W447="","",IF(Atletas!W447="Duilian de Mãos BC - Equipe 1",1,IF(Atletas!W447="Duilian de Mãos BC - Equipe 2",2,IF(Atletas!W447="Duilian de Armas BC - Equipe 1",3,IF(Atletas!W447="Duilian de Armas BC - Equipe 2",4,IF(Atletas!W447="Duilian de Mãos DE - Equipe 1",5,IF(Atletas!W447="Duilian de Mãos DE - Equipe 2",6,IF(Atletas!W447="Duilian de Armas DE - Equipe 1",7,IF(Atletas!W447="Duilian de Armas DE - Equipe 2",8,IF(Atletas!W447="Duilian de Tuishou - Equipe 1",9,IF(Atletas!W447="Duilian de Tuishou - Equipe 2",10,IF(Atletas!W447="Grupo Externo ABC - Equipe 1",11,IF(Atletas!W447="Grupo Externo ABC - Equipe 2",12,IF(Atletas!W447="Grupo Interno ABC - Equipe 1",13,IF(Atletas!W447="Grupo Interno ABC - Equipe 2",14,IF(Atletas!W447="Grupo Externo DEF - Equipe 1",15,IF(Atletas!W447="Grupo Externo DEF - Equipe 2",16,IF(Atletas!W447="Grupo Interno DEF - Equipe 1",17,IF(Atletas!W447="Grupo Interno DEF - Equipe 2",18,"")))))))))))))))))))</f>
        <v/>
      </c>
    </row>
    <row r="457" spans="40:91">
      <c r="AN457" s="52" t="str">
        <f>IF(Atletas!D448="","",IF(Atletas!B448="Feminino",100,IF(Atletas!B448="Masculino",200,""))+(IF(Atletas!D448="Kids 30kg",1,IF(Atletas!D448="Kids 32kg",2, IF(Atletas!D448="Kids 34kg",3,IF(Atletas!D448="Kids 36kg",4,IF(Atletas!D448="Kids 39kg",5,IF(Atletas!D448="Kids 42kg",6,IF(Atletas!D448="Kids 45kg",7, IF(Atletas!D448="Infantil 39kg",8,IF(Atletas!D448="Infantil 42kg",9,IF(Atletas!D448="Infantil 45kg",10,IF(Atletas!D448="Infantil 48kg",11,IF(Atletas!D448="Infantil 52kg",12,IF(Atletas!D448="Infantil 56kg",13,IF(Atletas!D448="Infantil 60kg",14,IF(Atletas!D448="Juvenil 48kg",15,IF(Atletas!D448="Juvenil 52kg",16,IF(Atletas!D448="Juvenil 56kg",17,IF(Atletas!D448="Juvenil 60kg",18,IF(Atletas!D448="Juvenil 65kg",19,IF(Atletas!D448="Juvenil 70kg",20,IF(Atletas!D448="Juvenil 75kg",21,IF(Atletas!D448="Juvenil 80kg",22, IF(Atletas!D448="Juvenil 85kg",23,IF(Atletas!D448="Adulto 48kg",24,IF(Atletas!D448="Adulto 52kg",25,IF(Atletas!D448="Adulto 56kg",26,IF(Atletas!D448="Adulto 60kg",27,IF(Atletas!D448="Adulto 65kg",28,IF(Atletas!D448="Adulto 70kg",29,IF(Atletas!D448="Adulto 75kg",30,IF(Atletas!D448="Adulto 80kg",31,IF(Atletas!D448="Adulto 85kg",32,IF(Atletas!D448="Adulto 90kg",33,IF(Atletas!D448="Adulto 100kg",34, IF(Atletas!D448="Adulto +100kg",35,"")))))))))))))))))))))))))))))))))))))</f>
        <v/>
      </c>
      <c r="AS457" s="6" t="str">
        <f>IF(Atletas!E448="","",IF(Atletas!B448="Feminino",100,IF(Atletas!B448="Masculino",200,""))+(IF(Atletas!E448="Juvenil 44kg",1,IF(Atletas!E448="Juvenil 48kg",2,IF(Atletas!E448="Juvenil 52kg",3,IF(Atletas!E448="Juvenil 56kg",4,IF(Atletas!E448="Juvenil 60kg",5,IF(Atletas!E448="Juvenil 65kg",6,IF(Atletas!E448="Juvenil 70kg",7,IF(Atletas!E448="Juvenil 75kg",8,IF(Atletas!E448="Juvenil 82kg",9,IF(Atletas!E448="Juvenil 90kg",10,IF(Atletas!E448="Juvenil 100kg",11,IF(Atletas!E448="Adulto 48kg",12,IF(Atletas!E448="Adulto 52kg",13,IF(Atletas!E448="Adulto 56kg",14,IF(Atletas!E448="Adulto 60kg",15,IF(Atletas!E448="Adulto 65kg",16,IF(Atletas!E448="Adulto 70kg",17,IF(Atletas!E448="Adulto 75kg",18,IF(Atletas!E448="Adulto 82kg",19,IF(Atletas!E448="Adulto 90kg",20,IF(Atletas!E448="Adulto 100kg",21,IF(Atletas!E448="Adulto +100kg",22,""))))))))))))))))))))))))</f>
        <v/>
      </c>
      <c r="AX457" s="6" t="str">
        <f>IF(Atletas!F448="","",IF(Atletas!B448="Feminino",100,IF(Atletas!B448="Masculino",200,""))+(IF(Atletas!F448="Adulto 48kg",1,IF(Atletas!F448="Adulto 56kg",2,IF(Atletas!F448="Adulto 65kg",3,IF(Atletas!F448="Adulto 75kg",4,IF(Atletas!F448="Adulto +75kg",5,IF(Atletas!F448="Adulto 52kg",6,IF(Atletas!F448="Adulto 60kg",7,IF(Atletas!F448="Adulto 70kg",8,IF(Atletas!F448="Adulto 80kg",9,IF(Atletas!F448="Adulto 90kg",10,IF(Atletas!F448="Adulto +90kg",11,"")))))))))))))</f>
        <v/>
      </c>
      <c r="BC457" s="6" t="str">
        <f>IF(Atletas!G448="","",IF(Atletas!B448="Feminino",10,IF(Atletas!B448="Masculino",20,""))+(IF(Atletas!G448="Baduanjin A",1,IF(Atletas!G448="Baduanjin B",2))))</f>
        <v/>
      </c>
      <c r="BF457" s="52" t="str">
        <f>IF(Atletas!H448="","",IF(Atletas!B448="Feminino",100,IF(Atletas!B448="Masculino",200,""))+(IF(Atletas!H448="Changquan Mirim",1,IF(Atletas!H448="Nanquan Mirim",2,IF(Atletas!H448="Taijiquan Mirim",3,IF(Atletas!H448="Changquan Grupo C",4,IF(Atletas!H448="Nanquan Grupo C",5,IF(Atletas!H448="Taijiquan Grupo C",6,IF(Atletas!H448="Changquan Grupo B",7,IF(Atletas!H448="Nanquan Grupo B",8,IF(Atletas!H448="Taijiquan Grupo B",9,IF(Atletas!H448="Changquan Grupo A",10,IF(Atletas!H448="Nanquan Grupo A",11,IF(Atletas!H448="Taijiquan Grupo A",12,IF(Atletas!H448="Changquan Opcional",13,IF(Atletas!H448="Nanquan Opcional",14,IF(Atletas!H448="Taijiquan Opcional",15,IF(Atletas!H448="Changquan Adulto",16,IF(Atletas!H448="Nanquan Adulto",17,IF(Atletas!H448="Taijiquan Adulto",18,""))))))))))))))))))))</f>
        <v/>
      </c>
      <c r="BG457" s="52" t="str">
        <f>IF(Atletas!I448="","",IF(Atletas!B448="Feminino",100,IF(Atletas!B448="Masculino",200,""))+(IF(Atletas!I448="Daoshu Mirim",19,IF(Atletas!I448="Jianshu Mirim",20,IF(Atletas!I448="Nandao Mirim",21,IF(Atletas!I448="Taijijian Mirim",22,IF(Atletas!I448="Daoshu Grupo C",23,IF(Atletas!I448="Jianshu Grupo C",24,IF(Atletas!I448="Nandao Grupo C",25,IF(Atletas!I448="Taijijian Grupo C",26,IF(Atletas!I448="Daoshu Grupo B",27,IF(Atletas!I448="Jianshu Grupo B",28,IF(Atletas!I448="Nandao Grupo B",29,IF(Atletas!I448="Taijijian Grupo B",30,IF(Atletas!I448="Daoshu Grupo A",31,IF(Atletas!I448="Jianshu Grupo A",32,IF(Atletas!I448="Nandao Grupo A",33,IF(Atletas!I448="Taijijian Grupo A",34,IF(Atletas!I448="Daoshu Opcional",35,IF(Atletas!I448="Jianshu Opcional",36,IF(Atletas!I448="Nandao Opcional",37,IF(Atletas!I448="Taijijian Opcional",38,IF(Atletas!I448="Daoshu Adulto",39,IF(Atletas!I448="Jianshu Adulto",40,IF(Atletas!I448="Nandao Adulto",41,IF(Atletas!I448="Taijijian Adulto",42,""))))))))))))))))))))))))))</f>
        <v/>
      </c>
      <c r="BH457" s="52" t="str">
        <f>IF(Atletas!J448="","",IF(Atletas!B448="Feminino",100,IF(Atletas!B448="Masculino",200,""))+(IF(Atletas!J448="Gunshu Mirim",43,IF(Atletas!J448="Qiangshu Mirim",44,IF(Atletas!J448="Nangun Mirim",45,IF(Atletas!J448="Gunshu Grupo C",46,IF(Atletas!J448="Qiangshu Grupo C",47,IF(Atletas!J448="Nangun Grupo C",48,IF(Atletas!J448="Gunshu Grupo B",49,IF(Atletas!J448="Qiangshu Grupo B",50,IF(Atletas!J448="Nangun Grupo B",51,IF(Atletas!J448="Gunshu Grupo A",52,IF(Atletas!J448="Qiangshu Grupo A",53,IF(Atletas!J448="Nangun Grupo A",54,IF(Atletas!J448="Gunshu Opcional",55,IF(Atletas!J448="Qiangshu Opcional",56,IF(Atletas!J448="Nangun Opcional",57,IF(Atletas!J448="Gunshu Adulto",58,IF(Atletas!J448="Qiangshu Adulto",59,IF(Atletas!J448="Nangun Adulto",60,IF(Atletas!J448="Taijishan Grupo B",61,IF(Atletas!J448="Taijishan Grupo A",62,""))))))))))))))))))))))</f>
        <v/>
      </c>
      <c r="BM457" s="50" t="str">
        <f>IF(Atletas!K448="","",IF(Atletas!B448="Feminino",100,IF(Atletas!B448="Masculino",200,""))+(IF(Atletas!K448="Equipe 1 Grupo B",1,IF(Atletas!K448="Equipe 2 Grupo B",2,IF(Atletas!K448="Equipe 1 Grupo A",3,IF(Atletas!K448="Equipe 2 Grupo A",4,IF(Atletas!K448="Equipe 1 Adulto",5,IF(Atletas!K448="Equipe 2 Adulto",6,""))))))))</f>
        <v/>
      </c>
      <c r="BR457" s="50" t="str">
        <f>IF(Atletas!L448="","",IF(Atletas!X448&lt;&gt;"",10000,0)+(IF(Atletas!B448="Feminino",1000,IF(Atletas!B448="Masculino",2000,""))+IF(Atletas!L448="Choylayfut A",1,IF(Atletas!L448="Hunggar A",2,IF(Atletas!L448="Wuzuquan A",3,IF(Atletas!L448="Wingchun A",4,IF(Atletas!L448="Outra Mão de Sul A",5,IF(Atletas!L448="Choylayfut B",6,IF(Atletas!L448="Hunggar B",7,IF(Atletas!L448="Wuzuquan B",8,IF(Atletas!L448="Wingchun B",9,IF(Atletas!L448="Outra Mão de Sul B",10,IF(Atletas!L448="Choylayfut C",11,IF(Atletas!L448="Hunggar C",12,IF(Atletas!L448="Wuzuquan C",13,IF(Atletas!L448="Wingchun C",14,IF(Atletas!L448="Outra Mão de Sul C",15,IF(Atletas!L448="Choylayfut D",16,IF(Atletas!L448="Hunggar D",17,IF(Atletas!L448="Wuzuquan D",18,IF(Atletas!L448="Wingchun D",19,IF(Atletas!L448="Outra Mão de Sul D",20,IF(Atletas!L448="Choylayfut E",21,IF(Atletas!L448="Hunggar E",22,IF(Atletas!L448="Wuzuquan E",23,IF(Atletas!L448="Wingchun E",24,IF(Atletas!L448="Outra Mão de Sul E",25,IF(Atletas!L448="Choylayfut F",26,IF(Atletas!L448="Hunggar F",27,IF(Atletas!L448="Wuzuquan F",28,IF(Atletas!L448="Wingchun F",29,IF(Atletas!L448="Outra Mão de Sul F",30,IF(Atletas!L448="Dishuquan A",31,IF(Atletas!L448="Dishuquan B",32,IF(Atletas!L448="Dishuquan C",33,IF(Atletas!L448="Dishuquan D",34,IF(Atletas!L448="Dishuquan E",35,IF(Atletas!L448="Dishuquan F",36,""))))))))))))))))))))))))))))))))))))))</f>
        <v/>
      </c>
      <c r="BS457" s="50" t="str">
        <f>IF(Atletas!M448="","",IF(Atletas!X448&lt;&gt;"",10000,0)+(IF(Atletas!B448="Feminino",1000,IF(Atletas!B448="Masculino",2000,""))+(IF(Atletas!M448="Chaquan A",101,IF(Atletas!M448="Emeiquan A",102,IF(Atletas!M448="Fanziquan A",103,IF(Atletas!M448="Huaquan A",104,IF(Atletas!M448="Hongquan A",105,IF(Atletas!M448="Paoquan A",106,IF(Atletas!M448="Piguaquan A",107,IF(Atletas!M448="Shaolinquan A",108,IF(Atletas!M448="Tanglangquan A",109,IF(Atletas!M448="Yingzhaoquan A",110,IF(Atletas!M448="Tongbeiquan A",111,IF(Atletas!M448="Wudangquan A",112,IF(Atletas!M448="Outros Estilos A",113,IF(Atletas!M448="Chaquan B",114,IF(Atletas!M448="Emeiquan B",115,IF(Atletas!M448="Fanziquan B",116,IF(Atletas!M448="Huaquan B",117,IF(Atletas!M448="Hongquan B",118,IF(Atletas!M448="Paoquan B",119,IF(Atletas!M448="Piguaquan B",120,IF(Atletas!M448="Shaolinquan B",121,IF(Atletas!M448="Tanglangquan B",122,IF(Atletas!M448="Yingzhaoquan B",123,IF(Atletas!M448="Tongbeiquan B",124,IF(Atletas!M448="Wudangquan B",125,IF(Atletas!M448="Outros Estilos B",126,IF(Atletas!M448="Chaquan C",127,IF(Atletas!M448="Emeiquan C",128,IF(Atletas!M448="Fanziquan C",129,IF(Atletas!M448="Huaquan C",130,IF(Atletas!M448="Hongquan C",131,IF(Atletas!M448="Paoquan C",132,IF(Atletas!M448="Piguaquan C",133,IF(Atletas!M448="Shaolinquan C",134,IF(Atletas!M448="Tanglangquan C",135,IF(Atletas!M448="Yingzhaoquan C",136,IF(Atletas!M448="Tongbeiquan C",137,IF(Atletas!M448="Wudangquan C",138,IF(Atletas!M448="Outros Estilos C",139,0))))))))))))))))))))))))))))))))))))))))))</f>
        <v/>
      </c>
      <c r="BT457" s="50" t="str">
        <f>IF(Atletas!M448="","",IF(Atletas!X448&lt;&gt;"",10000,0)+(IF(Atletas!B448="Feminino",1000,IF(Atletas!B448="Masculino",2000,""))+(IF(Atletas!M448="Chaquan D",140,IF(Atletas!M448="Emeiquan D",141,IF(Atletas!M448="Fanziquan D",142,IF(Atletas!M448="Huaquan D",143,IF(Atletas!M448="Hongquan D",144,IF(Atletas!M448="Paoquan D",145,IF(Atletas!M448="Piguaquan D",146,IF(Atletas!M448="Shaolinquan D",147,IF(Atletas!M448="Tanglangquan D",148,IF(Atletas!M448="Yingzhaoquan D",149,IF(Atletas!M448="Tongbeiquan D",150,IF(Atletas!M448="Wudangquan D",151,IF(Atletas!M448="Outros Estilos D",152,IF(Atletas!M448="Chaquan E",153,IF(Atletas!M448="Emeiquan E",154,IF(Atletas!M448="Fanziquan E",155,IF(Atletas!M448="Huaquan E",156,IF(Atletas!M448="Hongquan E",157,IF(Atletas!M448="Paoquan E",158,IF(Atletas!M448="Piguaquan E",159,IF(Atletas!M448="Shaolinquan E",160,IF(Atletas!M448="Tanglangquan E",161,IF(Atletas!M448="Yingzhaoquan E",162,IF(Atletas!M448="Tongbeiquan E",163,IF(Atletas!M448="Wudangquan E",164,IF(Atletas!M448="Outros Estilos E",165,IF(Atletas!M448="Chaquan F",166,IF(Atletas!M448="Emeiquan F",167,IF(Atletas!M448="Fanziquan F",168,IF(Atletas!M448="Huaquan F",169,IF(Atletas!M448="Hongquan F",170,IF(Atletas!M448="Paoquan F",171,IF(Atletas!M448="Piguaquan F",172,IF(Atletas!M448="Shaolinquan F",173,IF(Atletas!M448="Tanglangquan F",174,IF(Atletas!M448="Yingzhaoquan F",175,IF(Atletas!M448="Tongbeiquan F",176,IF(Atletas!M448="Wudangquan F",177,IF(Atletas!M448="Outros Estilos F",178,0))))))))))))))))))))))))))))))))))))))))))</f>
        <v/>
      </c>
      <c r="BU457" s="50" t="str">
        <f>IF(Atletas!N448="","",IF(Atletas!X448&lt;&gt;"",10000,0)+(IF(Atletas!B448="Feminino",1000,IF(Atletas!B448="Masculino",2000,""))+(IF(Atletas!N448="Ditangquan A",201,IF(Atletas!N448="Houquan A",202,IF(Atletas!N448="Zuiquan A",203,IF(Atletas!N448="Ditangquan B",204,IF(Atletas!N448="Houquan B",205,IF(Atletas!N448="Zuiquan B",206,IF(Atletas!N448="Ditangquan C",207,IF(Atletas!N448="Houquan C",208,IF(Atletas!N448="Zuiquan C",209,IF(Atletas!N448="Ditangquan D",210,IF(Atletas!N448="Houquan D",211,IF(Atletas!N448="Zuiquan D",212,IF(Atletas!N448="Ditangquan E",213,IF(Atletas!N448="Houquan E",214,IF(Atletas!N448="Zuiquan E",215,IF(Atletas!N448="Ditangquan F",216,IF(Atletas!N448="Houquan F",217,IF(Atletas!N448="Zuiquan F",218,"")))))))))))))))))))))</f>
        <v/>
      </c>
      <c r="BV457" s="50" t="str">
        <f>IF(Atletas!O448="","",IF(Atletas!X448&lt;&gt;"",10000,0)+IF(Atletas!B448="Feminino",1000,IF(Atletas!B448="Masculino",2000,""))+IF(Atletas!O448="Yang A",301,IF(Atletas!O448="Chen A",302,IF(Atletas!O448="Sun A",303,IF(Atletas!O448="Wu A",304,IF(Atletas!O448="Wu-Hao A",305,IF(Atletas!O448="Outro Taijiquan A",306,IF(Atletas!O448="Yang B",307,IF(Atletas!O448="Chen B",308,IF(Atletas!O448="Sun B",309,IF(Atletas!O448="Wu B",310,IF(Atletas!O448="Wu-Hao B",311,IF(Atletas!O448="Outro Taijiquan B",312,IF(Atletas!O448="Yang C",313,IF(Atletas!O448="Chen C",314,IF(Atletas!O448="Sun C",315,IF(Atletas!O448="Wu C",316,IF(Atletas!O448="Wu-Hao C",317,IF(Atletas!O448="Outro Taijiquan C",318,IF(Atletas!O448="Yang D",319,IF(Atletas!O448="Chen D",320,IF(Atletas!O448="Sun D",321,IF(Atletas!O448="Wu D",322,IF(Atletas!O448="Wu-Hao D",323,IF(Atletas!O448="Outro Taijiquan D",324,IF(Atletas!O448="Yang E",325,IF(Atletas!O448="Chen E",326,IF(Atletas!O448="Sun E",327,IF(Atletas!O448="Wu E",328,IF(Atletas!O448="Wu-Hao E",329,IF(Atletas!O448="Outro Taijiquan E",330,IF(Atletas!O448="Yang F",331,IF(Atletas!O448="Chen F",332,IF(Atletas!O448="Sun F",333,IF(Atletas!O448="Wu F",334,IF(Atletas!O448="Wu-Hao F",335,IF(Atletas!O448="Outro Taijiquan F",336,"")))))))))))))))))))))))))))))))))))))</f>
        <v/>
      </c>
      <c r="BW457" s="50" t="str">
        <f>IF(Atletas!P448="","",IF(Atletas!X448&lt;&gt;"",10000,0)+IF(Atletas!B448="Feminino",1000,IF(Atletas!B448="Masculino",2000,""))+IF(OR(Atletas!P448="Yang 26 A",Atletas!P448="Yang 40 A"),401,IF(OR(Atletas!P448="Chen 25 A",Atletas!P448="Chen 36 A",Atletas!P448="Chen 56 A"),402,IF(Atletas!P448="Sun 73 A",403,IF(Atletas!P448="Wu 45 A",404,IF(Atletas!P448="Wu-Hao 46 A",405,IF(OR(Atletas!P448="Taijiquan 16 A",Atletas!P448="Taijiquan 24 A",Atletas!P448="Taijiquan 32 A",Atletas!P448="Taijiquan 42 A"),406,IF(OR(Atletas!P448="Yang 26 B",Atletas!P448="Yang 40 B"),407,IF(OR(Atletas!P448="Chen 25 B",Atletas!P448="Chen 36 B",Atletas!P448="Chen 56 B"),408,IF(Atletas!P448="Sun 73 B",409,IF(Atletas!P448="Wu 45 B",410,IF(Atletas!P448="Wu-Hao 46 B",411,IF(OR(Atletas!P448="Taijiquan 16 B",Atletas!P448="Taijiquan 24 B",Atletas!P448="Taijiquan 32 B",Atletas!P448="Taijiquan 42 B"),412,IF(OR(Atletas!P448="Yang 26 C",Atletas!P448="Yang 40 C"),413,IF(OR(Atletas!P448="Chen 25 C",Atletas!P448="Chen 36 C",Atletas!P448="Chen 56 C"),414,IF(Atletas!P448="Sun 73 C",415,IF(Atletas!P448="Wu 45 C",416,IF(Atletas!P448="Wu-Hao 46 C",417,IF(OR(Atletas!P448="Taijiquan 16 C",Atletas!P448="Taijiquan 24 C",Atletas!P448="Taijiquan 32 C",Atletas!P448="Taijiquan 42 C"),418,0)))))))))))))))))))</f>
        <v/>
      </c>
      <c r="BX457" s="50" t="str">
        <f>IF(Atletas!P448="","",IF(Atletas!X448&lt;&gt;"",10000,0)+IF(Atletas!B448="Feminino",1000,IF(Atletas!B448="Masculino",2000,""))+IF(OR(Atletas!P448="Yang 26 D",Atletas!P448="Yang 40 D"),419,IF(OR(Atletas!P448="Chen 25 D",Atletas!P448="Chen 36 D",Atletas!P448="Chen 56 D"),420,IF(Atletas!P448="Sun 73 D",421,IF(Atletas!P448="Wu 45 D",422,IF(Atletas!P448="Wu-Hao 46 D",423,IF(OR(Atletas!P448="Taijiquan 16 D",Atletas!P448="Taijiquan 24 D",Atletas!P448="Taijiquan 32 D",Atletas!P448="Taijiquan 42 D"),424,IF(OR(Atletas!P448="Yang 26 E",Atletas!P448="Yang 40 E"),425,IF(OR(Atletas!P448="Chen 25 E",Atletas!P448="Chen 36 E",Atletas!P448="Chen 56 E"),426,IF(Atletas!P448="Sun 73 E",427,IF(Atletas!P448="Wu 45 E",428,IF(Atletas!P448="Wu-Hao 46 E",429,IF(OR(Atletas!P448="Taijiquan 16 E",Atletas!P448="Taijiquan 24 E",Atletas!P448="Taijiquan 32 E",Atletas!P448="Taijiquan 42 E"),430,IF(OR(Atletas!P448="Yang 26 F",Atletas!P448="Yang 40 F"),431,IF(OR(Atletas!P448="Chen 25 F",Atletas!P448="Chen 36 F",Atletas!P448="Chen 56 F"),432,IF(Atletas!P448="Sun 73 F",433,IF(Atletas!P448="Wu 45 F",434,IF(Atletas!P448="Wu-Hao 46 F",435,IF(OR(Atletas!P448="Taijiquan 16 F",Atletas!P448="Taijiquan 24 F",Atletas!P448="Taijiquan 32 F",Atletas!P448="Taijiquan 42 F"),436,0)))))))))))))))))))</f>
        <v/>
      </c>
      <c r="BY457" s="50" t="str">
        <f>IF(Atletas!Q448="","",IF(Atletas!X448&lt;&gt;"",10000,0)+IF(Atletas!B448="Feminino",1000,IF(Atletas!B448="Masculino",2000,""))+IF(Atletas!Q448="Xingyiquan A",501,IF(Atletas!Q448="Baguazhang A",502,IF(Atletas!Q448="Outro Estilo Interno A",503,IF(Atletas!Q448="Xingyiquan B",504,IF(Atletas!Q448="Baguazhang B",505,IF(Atletas!Q448="Outro Estilo Interno B",506,IF(Atletas!Q448="Xingyiquan C",507,IF(Atletas!Q448="Baguazhang C",508,IF(Atletas!Q448="Outro Estilo Interno C",509,IF(Atletas!Q448="Xingyiquan D",510,IF(Atletas!Q448="Baguazhang D",511,IF(Atletas!Q448="Outro Estilo Interno D",512,IF(Atletas!Q448="Xingyiquan E",513,IF(Atletas!Q448="Baguazhang E",514,IF(Atletas!Q448="Outro Estilo Interno E",515,IF(Atletas!Q448="Xingyiquan F",516,IF(Atletas!Q448="Baguazhang F",517,IF(Atletas!Q448="Outro Estilo Interno F",518, "")))))))))))))))))))</f>
        <v/>
      </c>
      <c r="BZ457" s="50" t="str">
        <f>IF(Atletas!R448="","",IF(Atletas!X448&lt;&gt;"",10000,0)+IF(Atletas!B448="Feminino",1000,IF(Atletas!B448="Masculino",2000,""))+IF(Atletas!R448="Dao A",601,IF(Atletas!R448="Jian A",602,IF(Atletas!R448="Bishou A",603,IF(Atletas!R448="Shanzi A",604,IF(Atletas!R448="Outra Arma Curta A",605,IF(Atletas!R448="Dao B",606,IF(Atletas!R448="Jian B",607,IF(Atletas!R448="Bishou B",608,IF(Atletas!R448="Shanzi B",609,IF(Atletas!R448="Outra Arma Curta B",610,IF(Atletas!R448="Dao C",611,IF(Atletas!R448="Jian C",612,IF(Atletas!R448="Bishou C",613,IF(Atletas!R448="Shanzi C",614,IF(Atletas!R448="Outra Arma Curta C",615,IF(Atletas!R448="Dao D",616,IF(Atletas!R448="Jian D",617,IF(Atletas!R448="Bishou D",618,IF(Atletas!R448="Shanzi D",619,IF(Atletas!R448="Outra Arma Curta D",620,IF(Atletas!R448="Dao E",621,IF(Atletas!R448="Jian E",622,IF(Atletas!R448="Bishou E",623,IF(Atletas!R448="Shanzi E",624,IF(Atletas!R448="Outra Arma Curta E",625,IF(Atletas!R448="Dao F",626,IF(Atletas!R448="Jian F",627,IF(Atletas!R448="Bishou F",628,IF(Atletas!R448="Shanzi F",629,IF(Atletas!R448="Outra Arma Curta F",630, "")))))))))))))))))))))))))))))))</f>
        <v/>
      </c>
      <c r="CA457" s="50" t="str">
        <f>IF(Atletas!S448="","",IF(Atletas!X448&lt;&gt;"",10000,0)+IF(Atletas!B448="Feminino",1000,IF(Atletas!B448="Masculino",2000,""))+IF(Atletas!S448="Gun A",701,IF(Atletas!S448="Qiang A",702,IF(Atletas!S448="Pudao / Guandao A",703,IF(Atletas!S448="Outra Arma Longa A",704,IF(Atletas!S448="Gun B",705,IF(Atletas!S448="Qiang B",706,IF(Atletas!S448="Pudao / Guandao B",707,IF(Atletas!S448="Outra Arma Longa B",708,IF(Atletas!S448="Gun C",709,IF(Atletas!S448="Qiang C",710,IF(Atletas!S448="Pudao / Guandao C",711,IF(Atletas!S448="Outra Arma Longa C",712,IF(Atletas!S448="Gun D",713,IF(Atletas!S448="Qiang D",714,IF(Atletas!S448="Pudao / Guandao D",715,IF(Atletas!S448="Outra Arma Longa D",716,IF(Atletas!S448="Gun E",717,IF(Atletas!S448="Qiang E",718,IF(Atletas!S448="Pudao / Guandao E",719,IF(Atletas!S448="Outra Arma Longa E",720,IF(Atletas!S448="Gun F",721,IF(Atletas!S448="Qiang F",722,IF(Atletas!S448="Pudao / Guandao F",723,IF(Atletas!S448="Outra Arma Longa F",724,"")))))))))))))))))))))))))</f>
        <v/>
      </c>
      <c r="CB457" s="50" t="str">
        <f>IF(Atletas!T448="","",IF(Atletas!X448&lt;&gt;"",10000,0)+IF(Atletas!B448="Feminino",1000,IF(Atletas!B448="Masculino",2000,""))+IF(Atletas!T448="Outra Arma Dupla A",801,IF(Atletas!T448="Arma Maleável A",802,IF(Atletas!T448="Outra Arma Dupla B",803,IF(Atletas!T448="Arma Maleável B",804,IF(Atletas!T448="Outra Arma Dupla C",805,IF(Atletas!T448="Arma Maleável C",806,IF(Atletas!T448="Outra Arma Dupla D",807,IF(Atletas!T448="Arma Maleável D",808,IF(Atletas!T448="Outra Arma Dupla E",809,IF(Atletas!T448="Arma Maleável E",810,IF(Atletas!T448="Outra Arma Dupla F",811,IF(Atletas!T448="Arma Maleável F",812,IF(Atletas!T448="Shuangdao A",813,IF(Atletas!T448="Shuangdao B",814,IF(Atletas!T448="Shuangdao C",815,IF(Atletas!T448="Shuangdao D",816,IF(Atletas!T448="Shuangdao E",817,IF(Atletas!T448="Shuangdao F",818,"")))))))))))))))))))</f>
        <v/>
      </c>
      <c r="CC457" s="50" t="str">
        <f>IF(Atletas!U448="","",IF(Atletas!X448&lt;&gt;"",10000,0)+IF(Atletas!B448="Feminino",1000,IF(Atletas!B448="Masculino",2000,""))+IF(OR(Atletas!U448="Taijijian Yang A",Atletas!U448="Taijijian Yang Standard A"),901,IF(OR(Atletas!U448="Taijijian Chen A", Atletas!U448="Taijijian Chen Standard A"),902,IF(Atletas!U448="Taijijian Sun A",903,IF(Atletas!U448="Taijijian Wu A",904,IF(Atletas!U448="Taijijian Wu-Hao A",905,IF(OR(Atletas!U448="Taijijian 32 A",Atletas!U448="Taijijian 42 A"),906,IF(OR(Atletas!U448="Taijijian Yang B",Atletas!U448="Taijijian Yang Standard B"),907,IF(OR(Atletas!U448="Taijijian Chen B", Atletas!U448="Taijijian Chen Standard B"),908,IF(Atletas!U448="Taijijian Sun B",909,IF(Atletas!U448="Taijijian Wu B",910,IF(Atletas!U448="Taijijian Wu-Hao B",911,IF(OR(Atletas!U448="Taijijian 32 B",Atletas!U448="Taijijian 42 B"),912,IF(OR(Atletas!U448="Taijijian Yang C",Atletas!U448="Taijijian Yang Standard C"),913,IF(OR(Atletas!U448="Taijijian Chen C", Atletas!U448="Taijijian Chen Standard C"),914,IF(Atletas!U448="Taijijian Sun C",915,IF(Atletas!U448="Taijijian Wu C",916,IF(Atletas!U448="Taijijian Wu-Hao C",917,IF(OR(Atletas!U448="Taijijian 32 C",Atletas!U448="Taijijian 42 C"),918,IF(OR(Atletas!U448="Taijijian Yang D",Atletas!U448="Taijijian Yang Standard D"),919,IF(OR(Atletas!U448="Taijijian Chen D", Atletas!U448="Taijijian Chen Standard D"),920,IF(Atletas!U448="Taijijian Sun D",921,IF(Atletas!U448="Taijijian Wu D",922,IF(Atletas!U448="Taijijian Wu-Hao D",923,IF(OR(Atletas!U448="Taijijian 32 D",Atletas!U448="Taijijian 42 D"),924,IF(OR(Atletas!U448="Taijijian Yang E",Atletas!U448="Taijijian Yang Standard E"),925,IF(OR(Atletas!U448="Taijijian Chen E", Atletas!U448="Taijijian Chen Standard E"),926,IF(Atletas!U448="Taijijian Sun E",927,IF(Atletas!U448="Taijijian Wu E",928,IF(Atletas!U448="Taijijian Wu-Hao E",929,IF(OR(Atletas!U448="Taijijian 32 E",Atletas!U448="Taijijian 42 E"),930,IF(OR(Atletas!U448="Taijijian Yang F",Atletas!U448="Taijijian Yang Standard F"),931,IF(OR(Atletas!U448="Taijijian Chen F", Atletas!U448="Taijijian Chen Standard F"),932,IF(Atletas!U448="Taijijian Sun F",933,IF(Atletas!U448="Taijijian Wu F",934,IF(Atletas!U448="Taijijian Wu-Hao F",935,IF(OR(Atletas!U448="Taijijian 32 F",Atletas!U448="Taijijian 42 F"),936,"")))))))))))))))))))))))))))))))))))))</f>
        <v/>
      </c>
      <c r="CD457" s="50" t="str">
        <f>IF(Atletas!V448="","",IF(Atletas!X448&lt;&gt;"",10000,0)+IF(Atletas!B448="Feminino",1000,IF(Atletas!B448="Masculino",2000,""))+IF(Atletas!V448="Taijidao A",937,IF(Atletas!V448="TaijiShanzi A",938,IF(Atletas!V448="Taijiqiang A",939,IF(Atletas!V448="Bagua de Arma A",940,IF(Atletas!V448="Xingyi de Arma A",941,IF(Atletas!V448="Taijidao B",942,IF(Atletas!V448="TaijiShanzi B",943,IF(Atletas!V448="Taijiqiang B",944,IF(Atletas!V448="Bagua de Arma B",945,IF(Atletas!V448="Xingyi de Arma B",946,IF(Atletas!V448="Taijidao C",947,IF(Atletas!V448="TaijiShanzi C",948,IF(Atletas!V448="Taijiqiang C",949,IF(Atletas!V448="Bagua de Arma C",950,IF(Atletas!V448="Xingyi de Arma C",951,IF(Atletas!V448="Taijidao D",952,IF(Atletas!V448="TaijiShanzi D",953,IF(Atletas!V448="Taijiqiang D",954,IF(Atletas!V448="Bagua de Arma D",955,IF(Atletas!V448="Xingyi de Arma D",956,IF(Atletas!V448="Taijidao E",957,IF(Atletas!V448="TaijiShanzi E",958,IF(Atletas!V448="Taijiqiang E",959,IF(Atletas!V448="Bagua de Arma E",960,IF(Atletas!V448="Xingyi de Arma E",961,IF(Atletas!V448="Taijidao F",962,IF(Atletas!V448="TaijiShanzi F",963,IF(Atletas!V448="Taijiqiang F",964,IF(Atletas!V448="Bagua de Arma F",965,IF(Atletas!V448="Xingyi de Arma F",966,"")))))))))))))))))))))))))))))))</f>
        <v/>
      </c>
      <c r="CM457" s="50" t="str">
        <f xml:space="preserve"> IF(Atletas!W448="","",IF(Atletas!W448="Duilian de Mãos BC - Equipe 1",1,IF(Atletas!W448="Duilian de Mãos BC - Equipe 2",2,IF(Atletas!W448="Duilian de Armas BC - Equipe 1",3,IF(Atletas!W448="Duilian de Armas BC - Equipe 2",4,IF(Atletas!W448="Duilian de Mãos DE - Equipe 1",5,IF(Atletas!W448="Duilian de Mãos DE - Equipe 2",6,IF(Atletas!W448="Duilian de Armas DE - Equipe 1",7,IF(Atletas!W448="Duilian de Armas DE - Equipe 2",8,IF(Atletas!W448="Duilian de Tuishou - Equipe 1",9,IF(Atletas!W448="Duilian de Tuishou - Equipe 2",10,IF(Atletas!W448="Grupo Externo ABC - Equipe 1",11,IF(Atletas!W448="Grupo Externo ABC - Equipe 2",12,IF(Atletas!W448="Grupo Interno ABC - Equipe 1",13,IF(Atletas!W448="Grupo Interno ABC - Equipe 2",14,IF(Atletas!W448="Grupo Externo DEF - Equipe 1",15,IF(Atletas!W448="Grupo Externo DEF - Equipe 2",16,IF(Atletas!W448="Grupo Interno DEF - Equipe 1",17,IF(Atletas!W448="Grupo Interno DEF - Equipe 2",18,"")))))))))))))))))))</f>
        <v/>
      </c>
    </row>
    <row r="458" spans="40:91">
      <c r="AN458" s="52" t="str">
        <f>IF(Atletas!D449="","",IF(Atletas!B449="Feminino",100,IF(Atletas!B449="Masculino",200,""))+(IF(Atletas!D449="Kids 30kg",1,IF(Atletas!D449="Kids 32kg",2, IF(Atletas!D449="Kids 34kg",3,IF(Atletas!D449="Kids 36kg",4,IF(Atletas!D449="Kids 39kg",5,IF(Atletas!D449="Kids 42kg",6,IF(Atletas!D449="Kids 45kg",7, IF(Atletas!D449="Infantil 39kg",8,IF(Atletas!D449="Infantil 42kg",9,IF(Atletas!D449="Infantil 45kg",10,IF(Atletas!D449="Infantil 48kg",11,IF(Atletas!D449="Infantil 52kg",12,IF(Atletas!D449="Infantil 56kg",13,IF(Atletas!D449="Infantil 60kg",14,IF(Atletas!D449="Juvenil 48kg",15,IF(Atletas!D449="Juvenil 52kg",16,IF(Atletas!D449="Juvenil 56kg",17,IF(Atletas!D449="Juvenil 60kg",18,IF(Atletas!D449="Juvenil 65kg",19,IF(Atletas!D449="Juvenil 70kg",20,IF(Atletas!D449="Juvenil 75kg",21,IF(Atletas!D449="Juvenil 80kg",22, IF(Atletas!D449="Juvenil 85kg",23,IF(Atletas!D449="Adulto 48kg",24,IF(Atletas!D449="Adulto 52kg",25,IF(Atletas!D449="Adulto 56kg",26,IF(Atletas!D449="Adulto 60kg",27,IF(Atletas!D449="Adulto 65kg",28,IF(Atletas!D449="Adulto 70kg",29,IF(Atletas!D449="Adulto 75kg",30,IF(Atletas!D449="Adulto 80kg",31,IF(Atletas!D449="Adulto 85kg",32,IF(Atletas!D449="Adulto 90kg",33,IF(Atletas!D449="Adulto 100kg",34, IF(Atletas!D449="Adulto +100kg",35,"")))))))))))))))))))))))))))))))))))))</f>
        <v/>
      </c>
      <c r="AS458" s="6" t="str">
        <f>IF(Atletas!E449="","",IF(Atletas!B449="Feminino",100,IF(Atletas!B449="Masculino",200,""))+(IF(Atletas!E449="Juvenil 44kg",1,IF(Atletas!E449="Juvenil 48kg",2,IF(Atletas!E449="Juvenil 52kg",3,IF(Atletas!E449="Juvenil 56kg",4,IF(Atletas!E449="Juvenil 60kg",5,IF(Atletas!E449="Juvenil 65kg",6,IF(Atletas!E449="Juvenil 70kg",7,IF(Atletas!E449="Juvenil 75kg",8,IF(Atletas!E449="Juvenil 82kg",9,IF(Atletas!E449="Juvenil 90kg",10,IF(Atletas!E449="Juvenil 100kg",11,IF(Atletas!E449="Adulto 48kg",12,IF(Atletas!E449="Adulto 52kg",13,IF(Atletas!E449="Adulto 56kg",14,IF(Atletas!E449="Adulto 60kg",15,IF(Atletas!E449="Adulto 65kg",16,IF(Atletas!E449="Adulto 70kg",17,IF(Atletas!E449="Adulto 75kg",18,IF(Atletas!E449="Adulto 82kg",19,IF(Atletas!E449="Adulto 90kg",20,IF(Atletas!E449="Adulto 100kg",21,IF(Atletas!E449="Adulto +100kg",22,""))))))))))))))))))))))))</f>
        <v/>
      </c>
      <c r="AX458" s="6" t="str">
        <f>IF(Atletas!F449="","",IF(Atletas!B449="Feminino",100,IF(Atletas!B449="Masculino",200,""))+(IF(Atletas!F449="Adulto 48kg",1,IF(Atletas!F449="Adulto 56kg",2,IF(Atletas!F449="Adulto 65kg",3,IF(Atletas!F449="Adulto 75kg",4,IF(Atletas!F449="Adulto +75kg",5,IF(Atletas!F449="Adulto 52kg",6,IF(Atletas!F449="Adulto 60kg",7,IF(Atletas!F449="Adulto 70kg",8,IF(Atletas!F449="Adulto 80kg",9,IF(Atletas!F449="Adulto 90kg",10,IF(Atletas!F449="Adulto +90kg",11,"")))))))))))))</f>
        <v/>
      </c>
      <c r="BC458" s="6" t="str">
        <f>IF(Atletas!G449="","",IF(Atletas!B449="Feminino",10,IF(Atletas!B449="Masculino",20,""))+(IF(Atletas!G449="Baduanjin A",1,IF(Atletas!G449="Baduanjin B",2))))</f>
        <v/>
      </c>
      <c r="BF458" s="52" t="str">
        <f>IF(Atletas!H449="","",IF(Atletas!B449="Feminino",100,IF(Atletas!B449="Masculino",200,""))+(IF(Atletas!H449="Changquan Mirim",1,IF(Atletas!H449="Nanquan Mirim",2,IF(Atletas!H449="Taijiquan Mirim",3,IF(Atletas!H449="Changquan Grupo C",4,IF(Atletas!H449="Nanquan Grupo C",5,IF(Atletas!H449="Taijiquan Grupo C",6,IF(Atletas!H449="Changquan Grupo B",7,IF(Atletas!H449="Nanquan Grupo B",8,IF(Atletas!H449="Taijiquan Grupo B",9,IF(Atletas!H449="Changquan Grupo A",10,IF(Atletas!H449="Nanquan Grupo A",11,IF(Atletas!H449="Taijiquan Grupo A",12,IF(Atletas!H449="Changquan Opcional",13,IF(Atletas!H449="Nanquan Opcional",14,IF(Atletas!H449="Taijiquan Opcional",15,IF(Atletas!H449="Changquan Adulto",16,IF(Atletas!H449="Nanquan Adulto",17,IF(Atletas!H449="Taijiquan Adulto",18,""))))))))))))))))))))</f>
        <v/>
      </c>
      <c r="BG458" s="52" t="str">
        <f>IF(Atletas!I449="","",IF(Atletas!B449="Feminino",100,IF(Atletas!B449="Masculino",200,""))+(IF(Atletas!I449="Daoshu Mirim",19,IF(Atletas!I449="Jianshu Mirim",20,IF(Atletas!I449="Nandao Mirim",21,IF(Atletas!I449="Taijijian Mirim",22,IF(Atletas!I449="Daoshu Grupo C",23,IF(Atletas!I449="Jianshu Grupo C",24,IF(Atletas!I449="Nandao Grupo C",25,IF(Atletas!I449="Taijijian Grupo C",26,IF(Atletas!I449="Daoshu Grupo B",27,IF(Atletas!I449="Jianshu Grupo B",28,IF(Atletas!I449="Nandao Grupo B",29,IF(Atletas!I449="Taijijian Grupo B",30,IF(Atletas!I449="Daoshu Grupo A",31,IF(Atletas!I449="Jianshu Grupo A",32,IF(Atletas!I449="Nandao Grupo A",33,IF(Atletas!I449="Taijijian Grupo A",34,IF(Atletas!I449="Daoshu Opcional",35,IF(Atletas!I449="Jianshu Opcional",36,IF(Atletas!I449="Nandao Opcional",37,IF(Atletas!I449="Taijijian Opcional",38,IF(Atletas!I449="Daoshu Adulto",39,IF(Atletas!I449="Jianshu Adulto",40,IF(Atletas!I449="Nandao Adulto",41,IF(Atletas!I449="Taijijian Adulto",42,""))))))))))))))))))))))))))</f>
        <v/>
      </c>
      <c r="BH458" s="52" t="str">
        <f>IF(Atletas!J449="","",IF(Atletas!B449="Feminino",100,IF(Atletas!B449="Masculino",200,""))+(IF(Atletas!J449="Gunshu Mirim",43,IF(Atletas!J449="Qiangshu Mirim",44,IF(Atletas!J449="Nangun Mirim",45,IF(Atletas!J449="Gunshu Grupo C",46,IF(Atletas!J449="Qiangshu Grupo C",47,IF(Atletas!J449="Nangun Grupo C",48,IF(Atletas!J449="Gunshu Grupo B",49,IF(Atletas!J449="Qiangshu Grupo B",50,IF(Atletas!J449="Nangun Grupo B",51,IF(Atletas!J449="Gunshu Grupo A",52,IF(Atletas!J449="Qiangshu Grupo A",53,IF(Atletas!J449="Nangun Grupo A",54,IF(Atletas!J449="Gunshu Opcional",55,IF(Atletas!J449="Qiangshu Opcional",56,IF(Atletas!J449="Nangun Opcional",57,IF(Atletas!J449="Gunshu Adulto",58,IF(Atletas!J449="Qiangshu Adulto",59,IF(Atletas!J449="Nangun Adulto",60,IF(Atletas!J449="Taijishan Grupo B",61,IF(Atletas!J449="Taijishan Grupo A",62,""))))))))))))))))))))))</f>
        <v/>
      </c>
      <c r="BM458" s="50" t="str">
        <f>IF(Atletas!K449="","",IF(Atletas!B449="Feminino",100,IF(Atletas!B449="Masculino",200,""))+(IF(Atletas!K449="Equipe 1 Grupo B",1,IF(Atletas!K449="Equipe 2 Grupo B",2,IF(Atletas!K449="Equipe 1 Grupo A",3,IF(Atletas!K449="Equipe 2 Grupo A",4,IF(Atletas!K449="Equipe 1 Adulto",5,IF(Atletas!K449="Equipe 2 Adulto",6,""))))))))</f>
        <v/>
      </c>
      <c r="BR458" s="50" t="str">
        <f>IF(Atletas!L449="","",IF(Atletas!X449&lt;&gt;"",10000,0)+(IF(Atletas!B449="Feminino",1000,IF(Atletas!B449="Masculino",2000,""))+IF(Atletas!L449="Choylayfut A",1,IF(Atletas!L449="Hunggar A",2,IF(Atletas!L449="Wuzuquan A",3,IF(Atletas!L449="Wingchun A",4,IF(Atletas!L449="Outra Mão de Sul A",5,IF(Atletas!L449="Choylayfut B",6,IF(Atletas!L449="Hunggar B",7,IF(Atletas!L449="Wuzuquan B",8,IF(Atletas!L449="Wingchun B",9,IF(Atletas!L449="Outra Mão de Sul B",10,IF(Atletas!L449="Choylayfut C",11,IF(Atletas!L449="Hunggar C",12,IF(Atletas!L449="Wuzuquan C",13,IF(Atletas!L449="Wingchun C",14,IF(Atletas!L449="Outra Mão de Sul C",15,IF(Atletas!L449="Choylayfut D",16,IF(Atletas!L449="Hunggar D",17,IF(Atletas!L449="Wuzuquan D",18,IF(Atletas!L449="Wingchun D",19,IF(Atletas!L449="Outra Mão de Sul D",20,IF(Atletas!L449="Choylayfut E",21,IF(Atletas!L449="Hunggar E",22,IF(Atletas!L449="Wuzuquan E",23,IF(Atletas!L449="Wingchun E",24,IF(Atletas!L449="Outra Mão de Sul E",25,IF(Atletas!L449="Choylayfut F",26,IF(Atletas!L449="Hunggar F",27,IF(Atletas!L449="Wuzuquan F",28,IF(Atletas!L449="Wingchun F",29,IF(Atletas!L449="Outra Mão de Sul F",30,IF(Atletas!L449="Dishuquan A",31,IF(Atletas!L449="Dishuquan B",32,IF(Atletas!L449="Dishuquan C",33,IF(Atletas!L449="Dishuquan D",34,IF(Atletas!L449="Dishuquan E",35,IF(Atletas!L449="Dishuquan F",36,""))))))))))))))))))))))))))))))))))))))</f>
        <v/>
      </c>
      <c r="BS458" s="50" t="str">
        <f>IF(Atletas!M449="","",IF(Atletas!X449&lt;&gt;"",10000,0)+(IF(Atletas!B449="Feminino",1000,IF(Atletas!B449="Masculino",2000,""))+(IF(Atletas!M449="Chaquan A",101,IF(Atletas!M449="Emeiquan A",102,IF(Atletas!M449="Fanziquan A",103,IF(Atletas!M449="Huaquan A",104,IF(Atletas!M449="Hongquan A",105,IF(Atletas!M449="Paoquan A",106,IF(Atletas!M449="Piguaquan A",107,IF(Atletas!M449="Shaolinquan A",108,IF(Atletas!M449="Tanglangquan A",109,IF(Atletas!M449="Yingzhaoquan A",110,IF(Atletas!M449="Tongbeiquan A",111,IF(Atletas!M449="Wudangquan A",112,IF(Atletas!M449="Outros Estilos A",113,IF(Atletas!M449="Chaquan B",114,IF(Atletas!M449="Emeiquan B",115,IF(Atletas!M449="Fanziquan B",116,IF(Atletas!M449="Huaquan B",117,IF(Atletas!M449="Hongquan B",118,IF(Atletas!M449="Paoquan B",119,IF(Atletas!M449="Piguaquan B",120,IF(Atletas!M449="Shaolinquan B",121,IF(Atletas!M449="Tanglangquan B",122,IF(Atletas!M449="Yingzhaoquan B",123,IF(Atletas!M449="Tongbeiquan B",124,IF(Atletas!M449="Wudangquan B",125,IF(Atletas!M449="Outros Estilos B",126,IF(Atletas!M449="Chaquan C",127,IF(Atletas!M449="Emeiquan C",128,IF(Atletas!M449="Fanziquan C",129,IF(Atletas!M449="Huaquan C",130,IF(Atletas!M449="Hongquan C",131,IF(Atletas!M449="Paoquan C",132,IF(Atletas!M449="Piguaquan C",133,IF(Atletas!M449="Shaolinquan C",134,IF(Atletas!M449="Tanglangquan C",135,IF(Atletas!M449="Yingzhaoquan C",136,IF(Atletas!M449="Tongbeiquan C",137,IF(Atletas!M449="Wudangquan C",138,IF(Atletas!M449="Outros Estilos C",139,0))))))))))))))))))))))))))))))))))))))))))</f>
        <v/>
      </c>
      <c r="BT458" s="50" t="str">
        <f>IF(Atletas!M449="","",IF(Atletas!X449&lt;&gt;"",10000,0)+(IF(Atletas!B449="Feminino",1000,IF(Atletas!B449="Masculino",2000,""))+(IF(Atletas!M449="Chaquan D",140,IF(Atletas!M449="Emeiquan D",141,IF(Atletas!M449="Fanziquan D",142,IF(Atletas!M449="Huaquan D",143,IF(Atletas!M449="Hongquan D",144,IF(Atletas!M449="Paoquan D",145,IF(Atletas!M449="Piguaquan D",146,IF(Atletas!M449="Shaolinquan D",147,IF(Atletas!M449="Tanglangquan D",148,IF(Atletas!M449="Yingzhaoquan D",149,IF(Atletas!M449="Tongbeiquan D",150,IF(Atletas!M449="Wudangquan D",151,IF(Atletas!M449="Outros Estilos D",152,IF(Atletas!M449="Chaquan E",153,IF(Atletas!M449="Emeiquan E",154,IF(Atletas!M449="Fanziquan E",155,IF(Atletas!M449="Huaquan E",156,IF(Atletas!M449="Hongquan E",157,IF(Atletas!M449="Paoquan E",158,IF(Atletas!M449="Piguaquan E",159,IF(Atletas!M449="Shaolinquan E",160,IF(Atletas!M449="Tanglangquan E",161,IF(Atletas!M449="Yingzhaoquan E",162,IF(Atletas!M449="Tongbeiquan E",163,IF(Atletas!M449="Wudangquan E",164,IF(Atletas!M449="Outros Estilos E",165,IF(Atletas!M449="Chaquan F",166,IF(Atletas!M449="Emeiquan F",167,IF(Atletas!M449="Fanziquan F",168,IF(Atletas!M449="Huaquan F",169,IF(Atletas!M449="Hongquan F",170,IF(Atletas!M449="Paoquan F",171,IF(Atletas!M449="Piguaquan F",172,IF(Atletas!M449="Shaolinquan F",173,IF(Atletas!M449="Tanglangquan F",174,IF(Atletas!M449="Yingzhaoquan F",175,IF(Atletas!M449="Tongbeiquan F",176,IF(Atletas!M449="Wudangquan F",177,IF(Atletas!M449="Outros Estilos F",178,0))))))))))))))))))))))))))))))))))))))))))</f>
        <v/>
      </c>
      <c r="BU458" s="50" t="str">
        <f>IF(Atletas!N449="","",IF(Atletas!X449&lt;&gt;"",10000,0)+(IF(Atletas!B449="Feminino",1000,IF(Atletas!B449="Masculino",2000,""))+(IF(Atletas!N449="Ditangquan A",201,IF(Atletas!N449="Houquan A",202,IF(Atletas!N449="Zuiquan A",203,IF(Atletas!N449="Ditangquan B",204,IF(Atletas!N449="Houquan B",205,IF(Atletas!N449="Zuiquan B",206,IF(Atletas!N449="Ditangquan C",207,IF(Atletas!N449="Houquan C",208,IF(Atletas!N449="Zuiquan C",209,IF(Atletas!N449="Ditangquan D",210,IF(Atletas!N449="Houquan D",211,IF(Atletas!N449="Zuiquan D",212,IF(Atletas!N449="Ditangquan E",213,IF(Atletas!N449="Houquan E",214,IF(Atletas!N449="Zuiquan E",215,IF(Atletas!N449="Ditangquan F",216,IF(Atletas!N449="Houquan F",217,IF(Atletas!N449="Zuiquan F",218,"")))))))))))))))))))))</f>
        <v/>
      </c>
      <c r="BV458" s="50" t="str">
        <f>IF(Atletas!O449="","",IF(Atletas!X449&lt;&gt;"",10000,0)+IF(Atletas!B449="Feminino",1000,IF(Atletas!B449="Masculino",2000,""))+IF(Atletas!O449="Yang A",301,IF(Atletas!O449="Chen A",302,IF(Atletas!O449="Sun A",303,IF(Atletas!O449="Wu A",304,IF(Atletas!O449="Wu-Hao A",305,IF(Atletas!O449="Outro Taijiquan A",306,IF(Atletas!O449="Yang B",307,IF(Atletas!O449="Chen B",308,IF(Atletas!O449="Sun B",309,IF(Atletas!O449="Wu B",310,IF(Atletas!O449="Wu-Hao B",311,IF(Atletas!O449="Outro Taijiquan B",312,IF(Atletas!O449="Yang C",313,IF(Atletas!O449="Chen C",314,IF(Atletas!O449="Sun C",315,IF(Atletas!O449="Wu C",316,IF(Atletas!O449="Wu-Hao C",317,IF(Atletas!O449="Outro Taijiquan C",318,IF(Atletas!O449="Yang D",319,IF(Atletas!O449="Chen D",320,IF(Atletas!O449="Sun D",321,IF(Atletas!O449="Wu D",322,IF(Atletas!O449="Wu-Hao D",323,IF(Atletas!O449="Outro Taijiquan D",324,IF(Atletas!O449="Yang E",325,IF(Atletas!O449="Chen E",326,IF(Atletas!O449="Sun E",327,IF(Atletas!O449="Wu E",328,IF(Atletas!O449="Wu-Hao E",329,IF(Atletas!O449="Outro Taijiquan E",330,IF(Atletas!O449="Yang F",331,IF(Atletas!O449="Chen F",332,IF(Atletas!O449="Sun F",333,IF(Atletas!O449="Wu F",334,IF(Atletas!O449="Wu-Hao F",335,IF(Atletas!O449="Outro Taijiquan F",336,"")))))))))))))))))))))))))))))))))))))</f>
        <v/>
      </c>
      <c r="BW458" s="50" t="str">
        <f>IF(Atletas!P449="","",IF(Atletas!X449&lt;&gt;"",10000,0)+IF(Atletas!B449="Feminino",1000,IF(Atletas!B449="Masculino",2000,""))+IF(OR(Atletas!P449="Yang 26 A",Atletas!P449="Yang 40 A"),401,IF(OR(Atletas!P449="Chen 25 A",Atletas!P449="Chen 36 A",Atletas!P449="Chen 56 A"),402,IF(Atletas!P449="Sun 73 A",403,IF(Atletas!P449="Wu 45 A",404,IF(Atletas!P449="Wu-Hao 46 A",405,IF(OR(Atletas!P449="Taijiquan 16 A",Atletas!P449="Taijiquan 24 A",Atletas!P449="Taijiquan 32 A",Atletas!P449="Taijiquan 42 A"),406,IF(OR(Atletas!P449="Yang 26 B",Atletas!P449="Yang 40 B"),407,IF(OR(Atletas!P449="Chen 25 B",Atletas!P449="Chen 36 B",Atletas!P449="Chen 56 B"),408,IF(Atletas!P449="Sun 73 B",409,IF(Atletas!P449="Wu 45 B",410,IF(Atletas!P449="Wu-Hao 46 B",411,IF(OR(Atletas!P449="Taijiquan 16 B",Atletas!P449="Taijiquan 24 B",Atletas!P449="Taijiquan 32 B",Atletas!P449="Taijiquan 42 B"),412,IF(OR(Atletas!P449="Yang 26 C",Atletas!P449="Yang 40 C"),413,IF(OR(Atletas!P449="Chen 25 C",Atletas!P449="Chen 36 C",Atletas!P449="Chen 56 C"),414,IF(Atletas!P449="Sun 73 C",415,IF(Atletas!P449="Wu 45 C",416,IF(Atletas!P449="Wu-Hao 46 C",417,IF(OR(Atletas!P449="Taijiquan 16 C",Atletas!P449="Taijiquan 24 C",Atletas!P449="Taijiquan 32 C",Atletas!P449="Taijiquan 42 C"),418,0)))))))))))))))))))</f>
        <v/>
      </c>
      <c r="BX458" s="50" t="str">
        <f>IF(Atletas!P449="","",IF(Atletas!X449&lt;&gt;"",10000,0)+IF(Atletas!B449="Feminino",1000,IF(Atletas!B449="Masculino",2000,""))+IF(OR(Atletas!P449="Yang 26 D",Atletas!P449="Yang 40 D"),419,IF(OR(Atletas!P449="Chen 25 D",Atletas!P449="Chen 36 D",Atletas!P449="Chen 56 D"),420,IF(Atletas!P449="Sun 73 D",421,IF(Atletas!P449="Wu 45 D",422,IF(Atletas!P449="Wu-Hao 46 D",423,IF(OR(Atletas!P449="Taijiquan 16 D",Atletas!P449="Taijiquan 24 D",Atletas!P449="Taijiquan 32 D",Atletas!P449="Taijiquan 42 D"),424,IF(OR(Atletas!P449="Yang 26 E",Atletas!P449="Yang 40 E"),425,IF(OR(Atletas!P449="Chen 25 E",Atletas!P449="Chen 36 E",Atletas!P449="Chen 56 E"),426,IF(Atletas!P449="Sun 73 E",427,IF(Atletas!P449="Wu 45 E",428,IF(Atletas!P449="Wu-Hao 46 E",429,IF(OR(Atletas!P449="Taijiquan 16 E",Atletas!P449="Taijiquan 24 E",Atletas!P449="Taijiquan 32 E",Atletas!P449="Taijiquan 42 E"),430,IF(OR(Atletas!P449="Yang 26 F",Atletas!P449="Yang 40 F"),431,IF(OR(Atletas!P449="Chen 25 F",Atletas!P449="Chen 36 F",Atletas!P449="Chen 56 F"),432,IF(Atletas!P449="Sun 73 F",433,IF(Atletas!P449="Wu 45 F",434,IF(Atletas!P449="Wu-Hao 46 F",435,IF(OR(Atletas!P449="Taijiquan 16 F",Atletas!P449="Taijiquan 24 F",Atletas!P449="Taijiquan 32 F",Atletas!P449="Taijiquan 42 F"),436,0)))))))))))))))))))</f>
        <v/>
      </c>
      <c r="BY458" s="50" t="str">
        <f>IF(Atletas!Q449="","",IF(Atletas!X449&lt;&gt;"",10000,0)+IF(Atletas!B449="Feminino",1000,IF(Atletas!B449="Masculino",2000,""))+IF(Atletas!Q449="Xingyiquan A",501,IF(Atletas!Q449="Baguazhang A",502,IF(Atletas!Q449="Outro Estilo Interno A",503,IF(Atletas!Q449="Xingyiquan B",504,IF(Atletas!Q449="Baguazhang B",505,IF(Atletas!Q449="Outro Estilo Interno B",506,IF(Atletas!Q449="Xingyiquan C",507,IF(Atletas!Q449="Baguazhang C",508,IF(Atletas!Q449="Outro Estilo Interno C",509,IF(Atletas!Q449="Xingyiquan D",510,IF(Atletas!Q449="Baguazhang D",511,IF(Atletas!Q449="Outro Estilo Interno D",512,IF(Atletas!Q449="Xingyiquan E",513,IF(Atletas!Q449="Baguazhang E",514,IF(Atletas!Q449="Outro Estilo Interno E",515,IF(Atletas!Q449="Xingyiquan F",516,IF(Atletas!Q449="Baguazhang F",517,IF(Atletas!Q449="Outro Estilo Interno F",518, "")))))))))))))))))))</f>
        <v/>
      </c>
      <c r="BZ458" s="50" t="str">
        <f>IF(Atletas!R449="","",IF(Atletas!X449&lt;&gt;"",10000,0)+IF(Atletas!B449="Feminino",1000,IF(Atletas!B449="Masculino",2000,""))+IF(Atletas!R449="Dao A",601,IF(Atletas!R449="Jian A",602,IF(Atletas!R449="Bishou A",603,IF(Atletas!R449="Shanzi A",604,IF(Atletas!R449="Outra Arma Curta A",605,IF(Atletas!R449="Dao B",606,IF(Atletas!R449="Jian B",607,IF(Atletas!R449="Bishou B",608,IF(Atletas!R449="Shanzi B",609,IF(Atletas!R449="Outra Arma Curta B",610,IF(Atletas!R449="Dao C",611,IF(Atletas!R449="Jian C",612,IF(Atletas!R449="Bishou C",613,IF(Atletas!R449="Shanzi C",614,IF(Atletas!R449="Outra Arma Curta C",615,IF(Atletas!R449="Dao D",616,IF(Atletas!R449="Jian D",617,IF(Atletas!R449="Bishou D",618,IF(Atletas!R449="Shanzi D",619,IF(Atletas!R449="Outra Arma Curta D",620,IF(Atletas!R449="Dao E",621,IF(Atletas!R449="Jian E",622,IF(Atletas!R449="Bishou E",623,IF(Atletas!R449="Shanzi E",624,IF(Atletas!R449="Outra Arma Curta E",625,IF(Atletas!R449="Dao F",626,IF(Atletas!R449="Jian F",627,IF(Atletas!R449="Bishou F",628,IF(Atletas!R449="Shanzi F",629,IF(Atletas!R449="Outra Arma Curta F",630, "")))))))))))))))))))))))))))))))</f>
        <v/>
      </c>
      <c r="CA458" s="50" t="str">
        <f>IF(Atletas!S449="","",IF(Atletas!X449&lt;&gt;"",10000,0)+IF(Atletas!B449="Feminino",1000,IF(Atletas!B449="Masculino",2000,""))+IF(Atletas!S449="Gun A",701,IF(Atletas!S449="Qiang A",702,IF(Atletas!S449="Pudao / Guandao A",703,IF(Atletas!S449="Outra Arma Longa A",704,IF(Atletas!S449="Gun B",705,IF(Atletas!S449="Qiang B",706,IF(Atletas!S449="Pudao / Guandao B",707,IF(Atletas!S449="Outra Arma Longa B",708,IF(Atletas!S449="Gun C",709,IF(Atletas!S449="Qiang C",710,IF(Atletas!S449="Pudao / Guandao C",711,IF(Atletas!S449="Outra Arma Longa C",712,IF(Atletas!S449="Gun D",713,IF(Atletas!S449="Qiang D",714,IF(Atletas!S449="Pudao / Guandao D",715,IF(Atletas!S449="Outra Arma Longa D",716,IF(Atletas!S449="Gun E",717,IF(Atletas!S449="Qiang E",718,IF(Atletas!S449="Pudao / Guandao E",719,IF(Atletas!S449="Outra Arma Longa E",720,IF(Atletas!S449="Gun F",721,IF(Atletas!S449="Qiang F",722,IF(Atletas!S449="Pudao / Guandao F",723,IF(Atletas!S449="Outra Arma Longa F",724,"")))))))))))))))))))))))))</f>
        <v/>
      </c>
      <c r="CB458" s="50" t="str">
        <f>IF(Atletas!T449="","",IF(Atletas!X449&lt;&gt;"",10000,0)+IF(Atletas!B449="Feminino",1000,IF(Atletas!B449="Masculino",2000,""))+IF(Atletas!T449="Outra Arma Dupla A",801,IF(Atletas!T449="Arma Maleável A",802,IF(Atletas!T449="Outra Arma Dupla B",803,IF(Atletas!T449="Arma Maleável B",804,IF(Atletas!T449="Outra Arma Dupla C",805,IF(Atletas!T449="Arma Maleável C",806,IF(Atletas!T449="Outra Arma Dupla D",807,IF(Atletas!T449="Arma Maleável D",808,IF(Atletas!T449="Outra Arma Dupla E",809,IF(Atletas!T449="Arma Maleável E",810,IF(Atletas!T449="Outra Arma Dupla F",811,IF(Atletas!T449="Arma Maleável F",812,IF(Atletas!T449="Shuangdao A",813,IF(Atletas!T449="Shuangdao B",814,IF(Atletas!T449="Shuangdao C",815,IF(Atletas!T449="Shuangdao D",816,IF(Atletas!T449="Shuangdao E",817,IF(Atletas!T449="Shuangdao F",818,"")))))))))))))))))))</f>
        <v/>
      </c>
      <c r="CC458" s="50" t="str">
        <f>IF(Atletas!U449="","",IF(Atletas!X449&lt;&gt;"",10000,0)+IF(Atletas!B449="Feminino",1000,IF(Atletas!B449="Masculino",2000,""))+IF(OR(Atletas!U449="Taijijian Yang A",Atletas!U449="Taijijian Yang Standard A"),901,IF(OR(Atletas!U449="Taijijian Chen A", Atletas!U449="Taijijian Chen Standard A"),902,IF(Atletas!U449="Taijijian Sun A",903,IF(Atletas!U449="Taijijian Wu A",904,IF(Atletas!U449="Taijijian Wu-Hao A",905,IF(OR(Atletas!U449="Taijijian 32 A",Atletas!U449="Taijijian 42 A"),906,IF(OR(Atletas!U449="Taijijian Yang B",Atletas!U449="Taijijian Yang Standard B"),907,IF(OR(Atletas!U449="Taijijian Chen B", Atletas!U449="Taijijian Chen Standard B"),908,IF(Atletas!U449="Taijijian Sun B",909,IF(Atletas!U449="Taijijian Wu B",910,IF(Atletas!U449="Taijijian Wu-Hao B",911,IF(OR(Atletas!U449="Taijijian 32 B",Atletas!U449="Taijijian 42 B"),912,IF(OR(Atletas!U449="Taijijian Yang C",Atletas!U449="Taijijian Yang Standard C"),913,IF(OR(Atletas!U449="Taijijian Chen C", Atletas!U449="Taijijian Chen Standard C"),914,IF(Atletas!U449="Taijijian Sun C",915,IF(Atletas!U449="Taijijian Wu C",916,IF(Atletas!U449="Taijijian Wu-Hao C",917,IF(OR(Atletas!U449="Taijijian 32 C",Atletas!U449="Taijijian 42 C"),918,IF(OR(Atletas!U449="Taijijian Yang D",Atletas!U449="Taijijian Yang Standard D"),919,IF(OR(Atletas!U449="Taijijian Chen D", Atletas!U449="Taijijian Chen Standard D"),920,IF(Atletas!U449="Taijijian Sun D",921,IF(Atletas!U449="Taijijian Wu D",922,IF(Atletas!U449="Taijijian Wu-Hao D",923,IF(OR(Atletas!U449="Taijijian 32 D",Atletas!U449="Taijijian 42 D"),924,IF(OR(Atletas!U449="Taijijian Yang E",Atletas!U449="Taijijian Yang Standard E"),925,IF(OR(Atletas!U449="Taijijian Chen E", Atletas!U449="Taijijian Chen Standard E"),926,IF(Atletas!U449="Taijijian Sun E",927,IF(Atletas!U449="Taijijian Wu E",928,IF(Atletas!U449="Taijijian Wu-Hao E",929,IF(OR(Atletas!U449="Taijijian 32 E",Atletas!U449="Taijijian 42 E"),930,IF(OR(Atletas!U449="Taijijian Yang F",Atletas!U449="Taijijian Yang Standard F"),931,IF(OR(Atletas!U449="Taijijian Chen F", Atletas!U449="Taijijian Chen Standard F"),932,IF(Atletas!U449="Taijijian Sun F",933,IF(Atletas!U449="Taijijian Wu F",934,IF(Atletas!U449="Taijijian Wu-Hao F",935,IF(OR(Atletas!U449="Taijijian 32 F",Atletas!U449="Taijijian 42 F"),936,"")))))))))))))))))))))))))))))))))))))</f>
        <v/>
      </c>
      <c r="CD458" s="50" t="str">
        <f>IF(Atletas!V449="","",IF(Atletas!X449&lt;&gt;"",10000,0)+IF(Atletas!B449="Feminino",1000,IF(Atletas!B449="Masculino",2000,""))+IF(Atletas!V449="Taijidao A",937,IF(Atletas!V449="TaijiShanzi A",938,IF(Atletas!V449="Taijiqiang A",939,IF(Atletas!V449="Bagua de Arma A",940,IF(Atletas!V449="Xingyi de Arma A",941,IF(Atletas!V449="Taijidao B",942,IF(Atletas!V449="TaijiShanzi B",943,IF(Atletas!V449="Taijiqiang B",944,IF(Atletas!V449="Bagua de Arma B",945,IF(Atletas!V449="Xingyi de Arma B",946,IF(Atletas!V449="Taijidao C",947,IF(Atletas!V449="TaijiShanzi C",948,IF(Atletas!V449="Taijiqiang C",949,IF(Atletas!V449="Bagua de Arma C",950,IF(Atletas!V449="Xingyi de Arma C",951,IF(Atletas!V449="Taijidao D",952,IF(Atletas!V449="TaijiShanzi D",953,IF(Atletas!V449="Taijiqiang D",954,IF(Atletas!V449="Bagua de Arma D",955,IF(Atletas!V449="Xingyi de Arma D",956,IF(Atletas!V449="Taijidao E",957,IF(Atletas!V449="TaijiShanzi E",958,IF(Atletas!V449="Taijiqiang E",959,IF(Atletas!V449="Bagua de Arma E",960,IF(Atletas!V449="Xingyi de Arma E",961,IF(Atletas!V449="Taijidao F",962,IF(Atletas!V449="TaijiShanzi F",963,IF(Atletas!V449="Taijiqiang F",964,IF(Atletas!V449="Bagua de Arma F",965,IF(Atletas!V449="Xingyi de Arma F",966,"")))))))))))))))))))))))))))))))</f>
        <v/>
      </c>
      <c r="CM458" s="50" t="str">
        <f xml:space="preserve"> IF(Atletas!W449="","",IF(Atletas!W449="Duilian de Mãos BC - Equipe 1",1,IF(Atletas!W449="Duilian de Mãos BC - Equipe 2",2,IF(Atletas!W449="Duilian de Armas BC - Equipe 1",3,IF(Atletas!W449="Duilian de Armas BC - Equipe 2",4,IF(Atletas!W449="Duilian de Mãos DE - Equipe 1",5,IF(Atletas!W449="Duilian de Mãos DE - Equipe 2",6,IF(Atletas!W449="Duilian de Armas DE - Equipe 1",7,IF(Atletas!W449="Duilian de Armas DE - Equipe 2",8,IF(Atletas!W449="Duilian de Tuishou - Equipe 1",9,IF(Atletas!W449="Duilian de Tuishou - Equipe 2",10,IF(Atletas!W449="Grupo Externo ABC - Equipe 1",11,IF(Atletas!W449="Grupo Externo ABC - Equipe 2",12,IF(Atletas!W449="Grupo Interno ABC - Equipe 1",13,IF(Atletas!W449="Grupo Interno ABC - Equipe 2",14,IF(Atletas!W449="Grupo Externo DEF - Equipe 1",15,IF(Atletas!W449="Grupo Externo DEF - Equipe 2",16,IF(Atletas!W449="Grupo Interno DEF - Equipe 1",17,IF(Atletas!W449="Grupo Interno DEF - Equipe 2",18,"")))))))))))))))))))</f>
        <v/>
      </c>
    </row>
    <row r="459" spans="40:91">
      <c r="AN459" s="52" t="str">
        <f>IF(Atletas!D450="","",IF(Atletas!B450="Feminino",100,IF(Atletas!B450="Masculino",200,""))+(IF(Atletas!D450="Kids 30kg",1,IF(Atletas!D450="Kids 32kg",2, IF(Atletas!D450="Kids 34kg",3,IF(Atletas!D450="Kids 36kg",4,IF(Atletas!D450="Kids 39kg",5,IF(Atletas!D450="Kids 42kg",6,IF(Atletas!D450="Kids 45kg",7, IF(Atletas!D450="Infantil 39kg",8,IF(Atletas!D450="Infantil 42kg",9,IF(Atletas!D450="Infantil 45kg",10,IF(Atletas!D450="Infantil 48kg",11,IF(Atletas!D450="Infantil 52kg",12,IF(Atletas!D450="Infantil 56kg",13,IF(Atletas!D450="Infantil 60kg",14,IF(Atletas!D450="Juvenil 48kg",15,IF(Atletas!D450="Juvenil 52kg",16,IF(Atletas!D450="Juvenil 56kg",17,IF(Atletas!D450="Juvenil 60kg",18,IF(Atletas!D450="Juvenil 65kg",19,IF(Atletas!D450="Juvenil 70kg",20,IF(Atletas!D450="Juvenil 75kg",21,IF(Atletas!D450="Juvenil 80kg",22, IF(Atletas!D450="Juvenil 85kg",23,IF(Atletas!D450="Adulto 48kg",24,IF(Atletas!D450="Adulto 52kg",25,IF(Atletas!D450="Adulto 56kg",26,IF(Atletas!D450="Adulto 60kg",27,IF(Atletas!D450="Adulto 65kg",28,IF(Atletas!D450="Adulto 70kg",29,IF(Atletas!D450="Adulto 75kg",30,IF(Atletas!D450="Adulto 80kg",31,IF(Atletas!D450="Adulto 85kg",32,IF(Atletas!D450="Adulto 90kg",33,IF(Atletas!D450="Adulto 100kg",34, IF(Atletas!D450="Adulto +100kg",35,"")))))))))))))))))))))))))))))))))))))</f>
        <v/>
      </c>
      <c r="AS459" s="6" t="str">
        <f>IF(Atletas!E450="","",IF(Atletas!B450="Feminino",100,IF(Atletas!B450="Masculino",200,""))+(IF(Atletas!E450="Juvenil 44kg",1,IF(Atletas!E450="Juvenil 48kg",2,IF(Atletas!E450="Juvenil 52kg",3,IF(Atletas!E450="Juvenil 56kg",4,IF(Atletas!E450="Juvenil 60kg",5,IF(Atletas!E450="Juvenil 65kg",6,IF(Atletas!E450="Juvenil 70kg",7,IF(Atletas!E450="Juvenil 75kg",8,IF(Atletas!E450="Juvenil 82kg",9,IF(Atletas!E450="Juvenil 90kg",10,IF(Atletas!E450="Juvenil 100kg",11,IF(Atletas!E450="Adulto 48kg",12,IF(Atletas!E450="Adulto 52kg",13,IF(Atletas!E450="Adulto 56kg",14,IF(Atletas!E450="Adulto 60kg",15,IF(Atletas!E450="Adulto 65kg",16,IF(Atletas!E450="Adulto 70kg",17,IF(Atletas!E450="Adulto 75kg",18,IF(Atletas!E450="Adulto 82kg",19,IF(Atletas!E450="Adulto 90kg",20,IF(Atletas!E450="Adulto 100kg",21,IF(Atletas!E450="Adulto +100kg",22,""))))))))))))))))))))))))</f>
        <v/>
      </c>
      <c r="AX459" s="6" t="str">
        <f>IF(Atletas!F450="","",IF(Atletas!B450="Feminino",100,IF(Atletas!B450="Masculino",200,""))+(IF(Atletas!F450="Adulto 48kg",1,IF(Atletas!F450="Adulto 56kg",2,IF(Atletas!F450="Adulto 65kg",3,IF(Atletas!F450="Adulto 75kg",4,IF(Atletas!F450="Adulto +75kg",5,IF(Atletas!F450="Adulto 52kg",6,IF(Atletas!F450="Adulto 60kg",7,IF(Atletas!F450="Adulto 70kg",8,IF(Atletas!F450="Adulto 80kg",9,IF(Atletas!F450="Adulto 90kg",10,IF(Atletas!F450="Adulto +90kg",11,"")))))))))))))</f>
        <v/>
      </c>
      <c r="BC459" s="6" t="str">
        <f>IF(Atletas!G450="","",IF(Atletas!B450="Feminino",10,IF(Atletas!B450="Masculino",20,""))+(IF(Atletas!G450="Baduanjin A",1,IF(Atletas!G450="Baduanjin B",2))))</f>
        <v/>
      </c>
      <c r="BF459" s="52" t="str">
        <f>IF(Atletas!H450="","",IF(Atletas!B450="Feminino",100,IF(Atletas!B450="Masculino",200,""))+(IF(Atletas!H450="Changquan Mirim",1,IF(Atletas!H450="Nanquan Mirim",2,IF(Atletas!H450="Taijiquan Mirim",3,IF(Atletas!H450="Changquan Grupo C",4,IF(Atletas!H450="Nanquan Grupo C",5,IF(Atletas!H450="Taijiquan Grupo C",6,IF(Atletas!H450="Changquan Grupo B",7,IF(Atletas!H450="Nanquan Grupo B",8,IF(Atletas!H450="Taijiquan Grupo B",9,IF(Atletas!H450="Changquan Grupo A",10,IF(Atletas!H450="Nanquan Grupo A",11,IF(Atletas!H450="Taijiquan Grupo A",12,IF(Atletas!H450="Changquan Opcional",13,IF(Atletas!H450="Nanquan Opcional",14,IF(Atletas!H450="Taijiquan Opcional",15,IF(Atletas!H450="Changquan Adulto",16,IF(Atletas!H450="Nanquan Adulto",17,IF(Atletas!H450="Taijiquan Adulto",18,""))))))))))))))))))))</f>
        <v/>
      </c>
      <c r="BG459" s="52" t="str">
        <f>IF(Atletas!I450="","",IF(Atletas!B450="Feminino",100,IF(Atletas!B450="Masculino",200,""))+(IF(Atletas!I450="Daoshu Mirim",19,IF(Atletas!I450="Jianshu Mirim",20,IF(Atletas!I450="Nandao Mirim",21,IF(Atletas!I450="Taijijian Mirim",22,IF(Atletas!I450="Daoshu Grupo C",23,IF(Atletas!I450="Jianshu Grupo C",24,IF(Atletas!I450="Nandao Grupo C",25,IF(Atletas!I450="Taijijian Grupo C",26,IF(Atletas!I450="Daoshu Grupo B",27,IF(Atletas!I450="Jianshu Grupo B",28,IF(Atletas!I450="Nandao Grupo B",29,IF(Atletas!I450="Taijijian Grupo B",30,IF(Atletas!I450="Daoshu Grupo A",31,IF(Atletas!I450="Jianshu Grupo A",32,IF(Atletas!I450="Nandao Grupo A",33,IF(Atletas!I450="Taijijian Grupo A",34,IF(Atletas!I450="Daoshu Opcional",35,IF(Atletas!I450="Jianshu Opcional",36,IF(Atletas!I450="Nandao Opcional",37,IF(Atletas!I450="Taijijian Opcional",38,IF(Atletas!I450="Daoshu Adulto",39,IF(Atletas!I450="Jianshu Adulto",40,IF(Atletas!I450="Nandao Adulto",41,IF(Atletas!I450="Taijijian Adulto",42,""))))))))))))))))))))))))))</f>
        <v/>
      </c>
      <c r="BH459" s="52" t="str">
        <f>IF(Atletas!J450="","",IF(Atletas!B450="Feminino",100,IF(Atletas!B450="Masculino",200,""))+(IF(Atletas!J450="Gunshu Mirim",43,IF(Atletas!J450="Qiangshu Mirim",44,IF(Atletas!J450="Nangun Mirim",45,IF(Atletas!J450="Gunshu Grupo C",46,IF(Atletas!J450="Qiangshu Grupo C",47,IF(Atletas!J450="Nangun Grupo C",48,IF(Atletas!J450="Gunshu Grupo B",49,IF(Atletas!J450="Qiangshu Grupo B",50,IF(Atletas!J450="Nangun Grupo B",51,IF(Atletas!J450="Gunshu Grupo A",52,IF(Atletas!J450="Qiangshu Grupo A",53,IF(Atletas!J450="Nangun Grupo A",54,IF(Atletas!J450="Gunshu Opcional",55,IF(Atletas!J450="Qiangshu Opcional",56,IF(Atletas!J450="Nangun Opcional",57,IF(Atletas!J450="Gunshu Adulto",58,IF(Atletas!J450="Qiangshu Adulto",59,IF(Atletas!J450="Nangun Adulto",60,IF(Atletas!J450="Taijishan Grupo B",61,IF(Atletas!J450="Taijishan Grupo A",62,""))))))))))))))))))))))</f>
        <v/>
      </c>
      <c r="BM459" s="50" t="str">
        <f>IF(Atletas!K450="","",IF(Atletas!B450="Feminino",100,IF(Atletas!B450="Masculino",200,""))+(IF(Atletas!K450="Equipe 1 Grupo B",1,IF(Atletas!K450="Equipe 2 Grupo B",2,IF(Atletas!K450="Equipe 1 Grupo A",3,IF(Atletas!K450="Equipe 2 Grupo A",4,IF(Atletas!K450="Equipe 1 Adulto",5,IF(Atletas!K450="Equipe 2 Adulto",6,""))))))))</f>
        <v/>
      </c>
      <c r="BR459" s="50" t="str">
        <f>IF(Atletas!L450="","",IF(Atletas!X450&lt;&gt;"",10000,0)+(IF(Atletas!B450="Feminino",1000,IF(Atletas!B450="Masculino",2000,""))+IF(Atletas!L450="Choylayfut A",1,IF(Atletas!L450="Hunggar A",2,IF(Atletas!L450="Wuzuquan A",3,IF(Atletas!L450="Wingchun A",4,IF(Atletas!L450="Outra Mão de Sul A",5,IF(Atletas!L450="Choylayfut B",6,IF(Atletas!L450="Hunggar B",7,IF(Atletas!L450="Wuzuquan B",8,IF(Atletas!L450="Wingchun B",9,IF(Atletas!L450="Outra Mão de Sul B",10,IF(Atletas!L450="Choylayfut C",11,IF(Atletas!L450="Hunggar C",12,IF(Atletas!L450="Wuzuquan C",13,IF(Atletas!L450="Wingchun C",14,IF(Atletas!L450="Outra Mão de Sul C",15,IF(Atletas!L450="Choylayfut D",16,IF(Atletas!L450="Hunggar D",17,IF(Atletas!L450="Wuzuquan D",18,IF(Atletas!L450="Wingchun D",19,IF(Atletas!L450="Outra Mão de Sul D",20,IF(Atletas!L450="Choylayfut E",21,IF(Atletas!L450="Hunggar E",22,IF(Atletas!L450="Wuzuquan E",23,IF(Atletas!L450="Wingchun E",24,IF(Atletas!L450="Outra Mão de Sul E",25,IF(Atletas!L450="Choylayfut F",26,IF(Atletas!L450="Hunggar F",27,IF(Atletas!L450="Wuzuquan F",28,IF(Atletas!L450="Wingchun F",29,IF(Atletas!L450="Outra Mão de Sul F",30,IF(Atletas!L450="Dishuquan A",31,IF(Atletas!L450="Dishuquan B",32,IF(Atletas!L450="Dishuquan C",33,IF(Atletas!L450="Dishuquan D",34,IF(Atletas!L450="Dishuquan E",35,IF(Atletas!L450="Dishuquan F",36,""))))))))))))))))))))))))))))))))))))))</f>
        <v/>
      </c>
      <c r="BS459" s="50" t="str">
        <f>IF(Atletas!M450="","",IF(Atletas!X450&lt;&gt;"",10000,0)+(IF(Atletas!B450="Feminino",1000,IF(Atletas!B450="Masculino",2000,""))+(IF(Atletas!M450="Chaquan A",101,IF(Atletas!M450="Emeiquan A",102,IF(Atletas!M450="Fanziquan A",103,IF(Atletas!M450="Huaquan A",104,IF(Atletas!M450="Hongquan A",105,IF(Atletas!M450="Paoquan A",106,IF(Atletas!M450="Piguaquan A",107,IF(Atletas!M450="Shaolinquan A",108,IF(Atletas!M450="Tanglangquan A",109,IF(Atletas!M450="Yingzhaoquan A",110,IF(Atletas!M450="Tongbeiquan A",111,IF(Atletas!M450="Wudangquan A",112,IF(Atletas!M450="Outros Estilos A",113,IF(Atletas!M450="Chaquan B",114,IF(Atletas!M450="Emeiquan B",115,IF(Atletas!M450="Fanziquan B",116,IF(Atletas!M450="Huaquan B",117,IF(Atletas!M450="Hongquan B",118,IF(Atletas!M450="Paoquan B",119,IF(Atletas!M450="Piguaquan B",120,IF(Atletas!M450="Shaolinquan B",121,IF(Atletas!M450="Tanglangquan B",122,IF(Atletas!M450="Yingzhaoquan B",123,IF(Atletas!M450="Tongbeiquan B",124,IF(Atletas!M450="Wudangquan B",125,IF(Atletas!M450="Outros Estilos B",126,IF(Atletas!M450="Chaquan C",127,IF(Atletas!M450="Emeiquan C",128,IF(Atletas!M450="Fanziquan C",129,IF(Atletas!M450="Huaquan C",130,IF(Atletas!M450="Hongquan C",131,IF(Atletas!M450="Paoquan C",132,IF(Atletas!M450="Piguaquan C",133,IF(Atletas!M450="Shaolinquan C",134,IF(Atletas!M450="Tanglangquan C",135,IF(Atletas!M450="Yingzhaoquan C",136,IF(Atletas!M450="Tongbeiquan C",137,IF(Atletas!M450="Wudangquan C",138,IF(Atletas!M450="Outros Estilos C",139,0))))))))))))))))))))))))))))))))))))))))))</f>
        <v/>
      </c>
      <c r="BT459" s="50" t="str">
        <f>IF(Atletas!M450="","",IF(Atletas!X450&lt;&gt;"",10000,0)+(IF(Atletas!B450="Feminino",1000,IF(Atletas!B450="Masculino",2000,""))+(IF(Atletas!M450="Chaquan D",140,IF(Atletas!M450="Emeiquan D",141,IF(Atletas!M450="Fanziquan D",142,IF(Atletas!M450="Huaquan D",143,IF(Atletas!M450="Hongquan D",144,IF(Atletas!M450="Paoquan D",145,IF(Atletas!M450="Piguaquan D",146,IF(Atletas!M450="Shaolinquan D",147,IF(Atletas!M450="Tanglangquan D",148,IF(Atletas!M450="Yingzhaoquan D",149,IF(Atletas!M450="Tongbeiquan D",150,IF(Atletas!M450="Wudangquan D",151,IF(Atletas!M450="Outros Estilos D",152,IF(Atletas!M450="Chaquan E",153,IF(Atletas!M450="Emeiquan E",154,IF(Atletas!M450="Fanziquan E",155,IF(Atletas!M450="Huaquan E",156,IF(Atletas!M450="Hongquan E",157,IF(Atletas!M450="Paoquan E",158,IF(Atletas!M450="Piguaquan E",159,IF(Atletas!M450="Shaolinquan E",160,IF(Atletas!M450="Tanglangquan E",161,IF(Atletas!M450="Yingzhaoquan E",162,IF(Atletas!M450="Tongbeiquan E",163,IF(Atletas!M450="Wudangquan E",164,IF(Atletas!M450="Outros Estilos E",165,IF(Atletas!M450="Chaquan F",166,IF(Atletas!M450="Emeiquan F",167,IF(Atletas!M450="Fanziquan F",168,IF(Atletas!M450="Huaquan F",169,IF(Atletas!M450="Hongquan F",170,IF(Atletas!M450="Paoquan F",171,IF(Atletas!M450="Piguaquan F",172,IF(Atletas!M450="Shaolinquan F",173,IF(Atletas!M450="Tanglangquan F",174,IF(Atletas!M450="Yingzhaoquan F",175,IF(Atletas!M450="Tongbeiquan F",176,IF(Atletas!M450="Wudangquan F",177,IF(Atletas!M450="Outros Estilos F",178,0))))))))))))))))))))))))))))))))))))))))))</f>
        <v/>
      </c>
      <c r="BU459" s="50" t="str">
        <f>IF(Atletas!N450="","",IF(Atletas!X450&lt;&gt;"",10000,0)+(IF(Atletas!B450="Feminino",1000,IF(Atletas!B450="Masculino",2000,""))+(IF(Atletas!N450="Ditangquan A",201,IF(Atletas!N450="Houquan A",202,IF(Atletas!N450="Zuiquan A",203,IF(Atletas!N450="Ditangquan B",204,IF(Atletas!N450="Houquan B",205,IF(Atletas!N450="Zuiquan B",206,IF(Atletas!N450="Ditangquan C",207,IF(Atletas!N450="Houquan C",208,IF(Atletas!N450="Zuiquan C",209,IF(Atletas!N450="Ditangquan D",210,IF(Atletas!N450="Houquan D",211,IF(Atletas!N450="Zuiquan D",212,IF(Atletas!N450="Ditangquan E",213,IF(Atletas!N450="Houquan E",214,IF(Atletas!N450="Zuiquan E",215,IF(Atletas!N450="Ditangquan F",216,IF(Atletas!N450="Houquan F",217,IF(Atletas!N450="Zuiquan F",218,"")))))))))))))))))))))</f>
        <v/>
      </c>
      <c r="BV459" s="50" t="str">
        <f>IF(Atletas!O450="","",IF(Atletas!X450&lt;&gt;"",10000,0)+IF(Atletas!B450="Feminino",1000,IF(Atletas!B450="Masculino",2000,""))+IF(Atletas!O450="Yang A",301,IF(Atletas!O450="Chen A",302,IF(Atletas!O450="Sun A",303,IF(Atletas!O450="Wu A",304,IF(Atletas!O450="Wu-Hao A",305,IF(Atletas!O450="Outro Taijiquan A",306,IF(Atletas!O450="Yang B",307,IF(Atletas!O450="Chen B",308,IF(Atletas!O450="Sun B",309,IF(Atletas!O450="Wu B",310,IF(Atletas!O450="Wu-Hao B",311,IF(Atletas!O450="Outro Taijiquan B",312,IF(Atletas!O450="Yang C",313,IF(Atletas!O450="Chen C",314,IF(Atletas!O450="Sun C",315,IF(Atletas!O450="Wu C",316,IF(Atletas!O450="Wu-Hao C",317,IF(Atletas!O450="Outro Taijiquan C",318,IF(Atletas!O450="Yang D",319,IF(Atletas!O450="Chen D",320,IF(Atletas!O450="Sun D",321,IF(Atletas!O450="Wu D",322,IF(Atletas!O450="Wu-Hao D",323,IF(Atletas!O450="Outro Taijiquan D",324,IF(Atletas!O450="Yang E",325,IF(Atletas!O450="Chen E",326,IF(Atletas!O450="Sun E",327,IF(Atletas!O450="Wu E",328,IF(Atletas!O450="Wu-Hao E",329,IF(Atletas!O450="Outro Taijiquan E",330,IF(Atletas!O450="Yang F",331,IF(Atletas!O450="Chen F",332,IF(Atletas!O450="Sun F",333,IF(Atletas!O450="Wu F",334,IF(Atletas!O450="Wu-Hao F",335,IF(Atletas!O450="Outro Taijiquan F",336,"")))))))))))))))))))))))))))))))))))))</f>
        <v/>
      </c>
      <c r="BW459" s="50" t="str">
        <f>IF(Atletas!P450="","",IF(Atletas!X450&lt;&gt;"",10000,0)+IF(Atletas!B450="Feminino",1000,IF(Atletas!B450="Masculino",2000,""))+IF(OR(Atletas!P450="Yang 26 A",Atletas!P450="Yang 40 A"),401,IF(OR(Atletas!P450="Chen 25 A",Atletas!P450="Chen 36 A",Atletas!P450="Chen 56 A"),402,IF(Atletas!P450="Sun 73 A",403,IF(Atletas!P450="Wu 45 A",404,IF(Atletas!P450="Wu-Hao 46 A",405,IF(OR(Atletas!P450="Taijiquan 16 A",Atletas!P450="Taijiquan 24 A",Atletas!P450="Taijiquan 32 A",Atletas!P450="Taijiquan 42 A"),406,IF(OR(Atletas!P450="Yang 26 B",Atletas!P450="Yang 40 B"),407,IF(OR(Atletas!P450="Chen 25 B",Atletas!P450="Chen 36 B",Atletas!P450="Chen 56 B"),408,IF(Atletas!P450="Sun 73 B",409,IF(Atletas!P450="Wu 45 B",410,IF(Atletas!P450="Wu-Hao 46 B",411,IF(OR(Atletas!P450="Taijiquan 16 B",Atletas!P450="Taijiquan 24 B",Atletas!P450="Taijiquan 32 B",Atletas!P450="Taijiquan 42 B"),412,IF(OR(Atletas!P450="Yang 26 C",Atletas!P450="Yang 40 C"),413,IF(OR(Atletas!P450="Chen 25 C",Atletas!P450="Chen 36 C",Atletas!P450="Chen 56 C"),414,IF(Atletas!P450="Sun 73 C",415,IF(Atletas!P450="Wu 45 C",416,IF(Atletas!P450="Wu-Hao 46 C",417,IF(OR(Atletas!P450="Taijiquan 16 C",Atletas!P450="Taijiquan 24 C",Atletas!P450="Taijiquan 32 C",Atletas!P450="Taijiquan 42 C"),418,0)))))))))))))))))))</f>
        <v/>
      </c>
      <c r="BX459" s="50" t="str">
        <f>IF(Atletas!P450="","",IF(Atletas!X450&lt;&gt;"",10000,0)+IF(Atletas!B450="Feminino",1000,IF(Atletas!B450="Masculino",2000,""))+IF(OR(Atletas!P450="Yang 26 D",Atletas!P450="Yang 40 D"),419,IF(OR(Atletas!P450="Chen 25 D",Atletas!P450="Chen 36 D",Atletas!P450="Chen 56 D"),420,IF(Atletas!P450="Sun 73 D",421,IF(Atletas!P450="Wu 45 D",422,IF(Atletas!P450="Wu-Hao 46 D",423,IF(OR(Atletas!P450="Taijiquan 16 D",Atletas!P450="Taijiquan 24 D",Atletas!P450="Taijiquan 32 D",Atletas!P450="Taijiquan 42 D"),424,IF(OR(Atletas!P450="Yang 26 E",Atletas!P450="Yang 40 E"),425,IF(OR(Atletas!P450="Chen 25 E",Atletas!P450="Chen 36 E",Atletas!P450="Chen 56 E"),426,IF(Atletas!P450="Sun 73 E",427,IF(Atletas!P450="Wu 45 E",428,IF(Atletas!P450="Wu-Hao 46 E",429,IF(OR(Atletas!P450="Taijiquan 16 E",Atletas!P450="Taijiquan 24 E",Atletas!P450="Taijiquan 32 E",Atletas!P450="Taijiquan 42 E"),430,IF(OR(Atletas!P450="Yang 26 F",Atletas!P450="Yang 40 F"),431,IF(OR(Atletas!P450="Chen 25 F",Atletas!P450="Chen 36 F",Atletas!P450="Chen 56 F"),432,IF(Atletas!P450="Sun 73 F",433,IF(Atletas!P450="Wu 45 F",434,IF(Atletas!P450="Wu-Hao 46 F",435,IF(OR(Atletas!P450="Taijiquan 16 F",Atletas!P450="Taijiquan 24 F",Atletas!P450="Taijiquan 32 F",Atletas!P450="Taijiquan 42 F"),436,0)))))))))))))))))))</f>
        <v/>
      </c>
      <c r="BY459" s="50" t="str">
        <f>IF(Atletas!Q450="","",IF(Atletas!X450&lt;&gt;"",10000,0)+IF(Atletas!B450="Feminino",1000,IF(Atletas!B450="Masculino",2000,""))+IF(Atletas!Q450="Xingyiquan A",501,IF(Atletas!Q450="Baguazhang A",502,IF(Atletas!Q450="Outro Estilo Interno A",503,IF(Atletas!Q450="Xingyiquan B",504,IF(Atletas!Q450="Baguazhang B",505,IF(Atletas!Q450="Outro Estilo Interno B",506,IF(Atletas!Q450="Xingyiquan C",507,IF(Atletas!Q450="Baguazhang C",508,IF(Atletas!Q450="Outro Estilo Interno C",509,IF(Atletas!Q450="Xingyiquan D",510,IF(Atletas!Q450="Baguazhang D",511,IF(Atletas!Q450="Outro Estilo Interno D",512,IF(Atletas!Q450="Xingyiquan E",513,IF(Atletas!Q450="Baguazhang E",514,IF(Atletas!Q450="Outro Estilo Interno E",515,IF(Atletas!Q450="Xingyiquan F",516,IF(Atletas!Q450="Baguazhang F",517,IF(Atletas!Q450="Outro Estilo Interno F",518, "")))))))))))))))))))</f>
        <v/>
      </c>
      <c r="BZ459" s="50" t="str">
        <f>IF(Atletas!R450="","",IF(Atletas!X450&lt;&gt;"",10000,0)+IF(Atletas!B450="Feminino",1000,IF(Atletas!B450="Masculino",2000,""))+IF(Atletas!R450="Dao A",601,IF(Atletas!R450="Jian A",602,IF(Atletas!R450="Bishou A",603,IF(Atletas!R450="Shanzi A",604,IF(Atletas!R450="Outra Arma Curta A",605,IF(Atletas!R450="Dao B",606,IF(Atletas!R450="Jian B",607,IF(Atletas!R450="Bishou B",608,IF(Atletas!R450="Shanzi B",609,IF(Atletas!R450="Outra Arma Curta B",610,IF(Atletas!R450="Dao C",611,IF(Atletas!R450="Jian C",612,IF(Atletas!R450="Bishou C",613,IF(Atletas!R450="Shanzi C",614,IF(Atletas!R450="Outra Arma Curta C",615,IF(Atletas!R450="Dao D",616,IF(Atletas!R450="Jian D",617,IF(Atletas!R450="Bishou D",618,IF(Atletas!R450="Shanzi D",619,IF(Atletas!R450="Outra Arma Curta D",620,IF(Atletas!R450="Dao E",621,IF(Atletas!R450="Jian E",622,IF(Atletas!R450="Bishou E",623,IF(Atletas!R450="Shanzi E",624,IF(Atletas!R450="Outra Arma Curta E",625,IF(Atletas!R450="Dao F",626,IF(Atletas!R450="Jian F",627,IF(Atletas!R450="Bishou F",628,IF(Atletas!R450="Shanzi F",629,IF(Atletas!R450="Outra Arma Curta F",630, "")))))))))))))))))))))))))))))))</f>
        <v/>
      </c>
      <c r="CA459" s="50" t="str">
        <f>IF(Atletas!S450="","",IF(Atletas!X450&lt;&gt;"",10000,0)+IF(Atletas!B450="Feminino",1000,IF(Atletas!B450="Masculino",2000,""))+IF(Atletas!S450="Gun A",701,IF(Atletas!S450="Qiang A",702,IF(Atletas!S450="Pudao / Guandao A",703,IF(Atletas!S450="Outra Arma Longa A",704,IF(Atletas!S450="Gun B",705,IF(Atletas!S450="Qiang B",706,IF(Atletas!S450="Pudao / Guandao B",707,IF(Atletas!S450="Outra Arma Longa B",708,IF(Atletas!S450="Gun C",709,IF(Atletas!S450="Qiang C",710,IF(Atletas!S450="Pudao / Guandao C",711,IF(Atletas!S450="Outra Arma Longa C",712,IF(Atletas!S450="Gun D",713,IF(Atletas!S450="Qiang D",714,IF(Atletas!S450="Pudao / Guandao D",715,IF(Atletas!S450="Outra Arma Longa D",716,IF(Atletas!S450="Gun E",717,IF(Atletas!S450="Qiang E",718,IF(Atletas!S450="Pudao / Guandao E",719,IF(Atletas!S450="Outra Arma Longa E",720,IF(Atletas!S450="Gun F",721,IF(Atletas!S450="Qiang F",722,IF(Atletas!S450="Pudao / Guandao F",723,IF(Atletas!S450="Outra Arma Longa F",724,"")))))))))))))))))))))))))</f>
        <v/>
      </c>
      <c r="CB459" s="50" t="str">
        <f>IF(Atletas!T450="","",IF(Atletas!X450&lt;&gt;"",10000,0)+IF(Atletas!B450="Feminino",1000,IF(Atletas!B450="Masculino",2000,""))+IF(Atletas!T450="Outra Arma Dupla A",801,IF(Atletas!T450="Arma Maleável A",802,IF(Atletas!T450="Outra Arma Dupla B",803,IF(Atletas!T450="Arma Maleável B",804,IF(Atletas!T450="Outra Arma Dupla C",805,IF(Atletas!T450="Arma Maleável C",806,IF(Atletas!T450="Outra Arma Dupla D",807,IF(Atletas!T450="Arma Maleável D",808,IF(Atletas!T450="Outra Arma Dupla E",809,IF(Atletas!T450="Arma Maleável E",810,IF(Atletas!T450="Outra Arma Dupla F",811,IF(Atletas!T450="Arma Maleável F",812,IF(Atletas!T450="Shuangdao A",813,IF(Atletas!T450="Shuangdao B",814,IF(Atletas!T450="Shuangdao C",815,IF(Atletas!T450="Shuangdao D",816,IF(Atletas!T450="Shuangdao E",817,IF(Atletas!T450="Shuangdao F",818,"")))))))))))))))))))</f>
        <v/>
      </c>
      <c r="CC459" s="50" t="str">
        <f>IF(Atletas!U450="","",IF(Atletas!X450&lt;&gt;"",10000,0)+IF(Atletas!B450="Feminino",1000,IF(Atletas!B450="Masculino",2000,""))+IF(OR(Atletas!U450="Taijijian Yang A",Atletas!U450="Taijijian Yang Standard A"),901,IF(OR(Atletas!U450="Taijijian Chen A", Atletas!U450="Taijijian Chen Standard A"),902,IF(Atletas!U450="Taijijian Sun A",903,IF(Atletas!U450="Taijijian Wu A",904,IF(Atletas!U450="Taijijian Wu-Hao A",905,IF(OR(Atletas!U450="Taijijian 32 A",Atletas!U450="Taijijian 42 A"),906,IF(OR(Atletas!U450="Taijijian Yang B",Atletas!U450="Taijijian Yang Standard B"),907,IF(OR(Atletas!U450="Taijijian Chen B", Atletas!U450="Taijijian Chen Standard B"),908,IF(Atletas!U450="Taijijian Sun B",909,IF(Atletas!U450="Taijijian Wu B",910,IF(Atletas!U450="Taijijian Wu-Hao B",911,IF(OR(Atletas!U450="Taijijian 32 B",Atletas!U450="Taijijian 42 B"),912,IF(OR(Atletas!U450="Taijijian Yang C",Atletas!U450="Taijijian Yang Standard C"),913,IF(OR(Atletas!U450="Taijijian Chen C", Atletas!U450="Taijijian Chen Standard C"),914,IF(Atletas!U450="Taijijian Sun C",915,IF(Atletas!U450="Taijijian Wu C",916,IF(Atletas!U450="Taijijian Wu-Hao C",917,IF(OR(Atletas!U450="Taijijian 32 C",Atletas!U450="Taijijian 42 C"),918,IF(OR(Atletas!U450="Taijijian Yang D",Atletas!U450="Taijijian Yang Standard D"),919,IF(OR(Atletas!U450="Taijijian Chen D", Atletas!U450="Taijijian Chen Standard D"),920,IF(Atletas!U450="Taijijian Sun D",921,IF(Atletas!U450="Taijijian Wu D",922,IF(Atletas!U450="Taijijian Wu-Hao D",923,IF(OR(Atletas!U450="Taijijian 32 D",Atletas!U450="Taijijian 42 D"),924,IF(OR(Atletas!U450="Taijijian Yang E",Atletas!U450="Taijijian Yang Standard E"),925,IF(OR(Atletas!U450="Taijijian Chen E", Atletas!U450="Taijijian Chen Standard E"),926,IF(Atletas!U450="Taijijian Sun E",927,IF(Atletas!U450="Taijijian Wu E",928,IF(Atletas!U450="Taijijian Wu-Hao E",929,IF(OR(Atletas!U450="Taijijian 32 E",Atletas!U450="Taijijian 42 E"),930,IF(OR(Atletas!U450="Taijijian Yang F",Atletas!U450="Taijijian Yang Standard F"),931,IF(OR(Atletas!U450="Taijijian Chen F", Atletas!U450="Taijijian Chen Standard F"),932,IF(Atletas!U450="Taijijian Sun F",933,IF(Atletas!U450="Taijijian Wu F",934,IF(Atletas!U450="Taijijian Wu-Hao F",935,IF(OR(Atletas!U450="Taijijian 32 F",Atletas!U450="Taijijian 42 F"),936,"")))))))))))))))))))))))))))))))))))))</f>
        <v/>
      </c>
      <c r="CD459" s="50" t="str">
        <f>IF(Atletas!V450="","",IF(Atletas!X450&lt;&gt;"",10000,0)+IF(Atletas!B450="Feminino",1000,IF(Atletas!B450="Masculino",2000,""))+IF(Atletas!V450="Taijidao A",937,IF(Atletas!V450="TaijiShanzi A",938,IF(Atletas!V450="Taijiqiang A",939,IF(Atletas!V450="Bagua de Arma A",940,IF(Atletas!V450="Xingyi de Arma A",941,IF(Atletas!V450="Taijidao B",942,IF(Atletas!V450="TaijiShanzi B",943,IF(Atletas!V450="Taijiqiang B",944,IF(Atletas!V450="Bagua de Arma B",945,IF(Atletas!V450="Xingyi de Arma B",946,IF(Atletas!V450="Taijidao C",947,IF(Atletas!V450="TaijiShanzi C",948,IF(Atletas!V450="Taijiqiang C",949,IF(Atletas!V450="Bagua de Arma C",950,IF(Atletas!V450="Xingyi de Arma C",951,IF(Atletas!V450="Taijidao D",952,IF(Atletas!V450="TaijiShanzi D",953,IF(Atletas!V450="Taijiqiang D",954,IF(Atletas!V450="Bagua de Arma D",955,IF(Atletas!V450="Xingyi de Arma D",956,IF(Atletas!V450="Taijidao E",957,IF(Atletas!V450="TaijiShanzi E",958,IF(Atletas!V450="Taijiqiang E",959,IF(Atletas!V450="Bagua de Arma E",960,IF(Atletas!V450="Xingyi de Arma E",961,IF(Atletas!V450="Taijidao F",962,IF(Atletas!V450="TaijiShanzi F",963,IF(Atletas!V450="Taijiqiang F",964,IF(Atletas!V450="Bagua de Arma F",965,IF(Atletas!V450="Xingyi de Arma F",966,"")))))))))))))))))))))))))))))))</f>
        <v/>
      </c>
      <c r="CM459" s="50" t="str">
        <f xml:space="preserve"> IF(Atletas!W450="","",IF(Atletas!W450="Duilian de Mãos BC - Equipe 1",1,IF(Atletas!W450="Duilian de Mãos BC - Equipe 2",2,IF(Atletas!W450="Duilian de Armas BC - Equipe 1",3,IF(Atletas!W450="Duilian de Armas BC - Equipe 2",4,IF(Atletas!W450="Duilian de Mãos DE - Equipe 1",5,IF(Atletas!W450="Duilian de Mãos DE - Equipe 2",6,IF(Atletas!W450="Duilian de Armas DE - Equipe 1",7,IF(Atletas!W450="Duilian de Armas DE - Equipe 2",8,IF(Atletas!W450="Duilian de Tuishou - Equipe 1",9,IF(Atletas!W450="Duilian de Tuishou - Equipe 2",10,IF(Atletas!W450="Grupo Externo ABC - Equipe 1",11,IF(Atletas!W450="Grupo Externo ABC - Equipe 2",12,IF(Atletas!W450="Grupo Interno ABC - Equipe 1",13,IF(Atletas!W450="Grupo Interno ABC - Equipe 2",14,IF(Atletas!W450="Grupo Externo DEF - Equipe 1",15,IF(Atletas!W450="Grupo Externo DEF - Equipe 2",16,IF(Atletas!W450="Grupo Interno DEF - Equipe 1",17,IF(Atletas!W450="Grupo Interno DEF - Equipe 2",18,"")))))))))))))))))))</f>
        <v/>
      </c>
    </row>
    <row r="460" spans="40:91">
      <c r="AN460" s="52" t="str">
        <f>IF(Atletas!D451="","",IF(Atletas!B451="Feminino",100,IF(Atletas!B451="Masculino",200,""))+(IF(Atletas!D451="Kids 30kg",1,IF(Atletas!D451="Kids 32kg",2, IF(Atletas!D451="Kids 34kg",3,IF(Atletas!D451="Kids 36kg",4,IF(Atletas!D451="Kids 39kg",5,IF(Atletas!D451="Kids 42kg",6,IF(Atletas!D451="Kids 45kg",7, IF(Atletas!D451="Infantil 39kg",8,IF(Atletas!D451="Infantil 42kg",9,IF(Atletas!D451="Infantil 45kg",10,IF(Atletas!D451="Infantil 48kg",11,IF(Atletas!D451="Infantil 52kg",12,IF(Atletas!D451="Infantil 56kg",13,IF(Atletas!D451="Infantil 60kg",14,IF(Atletas!D451="Juvenil 48kg",15,IF(Atletas!D451="Juvenil 52kg",16,IF(Atletas!D451="Juvenil 56kg",17,IF(Atletas!D451="Juvenil 60kg",18,IF(Atletas!D451="Juvenil 65kg",19,IF(Atletas!D451="Juvenil 70kg",20,IF(Atletas!D451="Juvenil 75kg",21,IF(Atletas!D451="Juvenil 80kg",22, IF(Atletas!D451="Juvenil 85kg",23,IF(Atletas!D451="Adulto 48kg",24,IF(Atletas!D451="Adulto 52kg",25,IF(Atletas!D451="Adulto 56kg",26,IF(Atletas!D451="Adulto 60kg",27,IF(Atletas!D451="Adulto 65kg",28,IF(Atletas!D451="Adulto 70kg",29,IF(Atletas!D451="Adulto 75kg",30,IF(Atletas!D451="Adulto 80kg",31,IF(Atletas!D451="Adulto 85kg",32,IF(Atletas!D451="Adulto 90kg",33,IF(Atletas!D451="Adulto 100kg",34, IF(Atletas!D451="Adulto +100kg",35,"")))))))))))))))))))))))))))))))))))))</f>
        <v/>
      </c>
      <c r="AS460" s="6" t="str">
        <f>IF(Atletas!E451="","",IF(Atletas!B451="Feminino",100,IF(Atletas!B451="Masculino",200,""))+(IF(Atletas!E451="Juvenil 44kg",1,IF(Atletas!E451="Juvenil 48kg",2,IF(Atletas!E451="Juvenil 52kg",3,IF(Atletas!E451="Juvenil 56kg",4,IF(Atletas!E451="Juvenil 60kg",5,IF(Atletas!E451="Juvenil 65kg",6,IF(Atletas!E451="Juvenil 70kg",7,IF(Atletas!E451="Juvenil 75kg",8,IF(Atletas!E451="Juvenil 82kg",9,IF(Atletas!E451="Juvenil 90kg",10,IF(Atletas!E451="Juvenil 100kg",11,IF(Atletas!E451="Adulto 48kg",12,IF(Atletas!E451="Adulto 52kg",13,IF(Atletas!E451="Adulto 56kg",14,IF(Atletas!E451="Adulto 60kg",15,IF(Atletas!E451="Adulto 65kg",16,IF(Atletas!E451="Adulto 70kg",17,IF(Atletas!E451="Adulto 75kg",18,IF(Atletas!E451="Adulto 82kg",19,IF(Atletas!E451="Adulto 90kg",20,IF(Atletas!E451="Adulto 100kg",21,IF(Atletas!E451="Adulto +100kg",22,""))))))))))))))))))))))))</f>
        <v/>
      </c>
      <c r="AX460" s="6" t="str">
        <f>IF(Atletas!F451="","",IF(Atletas!B451="Feminino",100,IF(Atletas!B451="Masculino",200,""))+(IF(Atletas!F451="Adulto 48kg",1,IF(Atletas!F451="Adulto 56kg",2,IF(Atletas!F451="Adulto 65kg",3,IF(Atletas!F451="Adulto 75kg",4,IF(Atletas!F451="Adulto +75kg",5,IF(Atletas!F451="Adulto 52kg",6,IF(Atletas!F451="Adulto 60kg",7,IF(Atletas!F451="Adulto 70kg",8,IF(Atletas!F451="Adulto 80kg",9,IF(Atletas!F451="Adulto 90kg",10,IF(Atletas!F451="Adulto +90kg",11,"")))))))))))))</f>
        <v/>
      </c>
      <c r="BC460" s="6" t="str">
        <f>IF(Atletas!G451="","",IF(Atletas!B451="Feminino",10,IF(Atletas!B451="Masculino",20,""))+(IF(Atletas!G451="Baduanjin A",1,IF(Atletas!G451="Baduanjin B",2))))</f>
        <v/>
      </c>
      <c r="BF460" s="52" t="str">
        <f>IF(Atletas!H451="","",IF(Atletas!B451="Feminino",100,IF(Atletas!B451="Masculino",200,""))+(IF(Atletas!H451="Changquan Mirim",1,IF(Atletas!H451="Nanquan Mirim",2,IF(Atletas!H451="Taijiquan Mirim",3,IF(Atletas!H451="Changquan Grupo C",4,IF(Atletas!H451="Nanquan Grupo C",5,IF(Atletas!H451="Taijiquan Grupo C",6,IF(Atletas!H451="Changquan Grupo B",7,IF(Atletas!H451="Nanquan Grupo B",8,IF(Atletas!H451="Taijiquan Grupo B",9,IF(Atletas!H451="Changquan Grupo A",10,IF(Atletas!H451="Nanquan Grupo A",11,IF(Atletas!H451="Taijiquan Grupo A",12,IF(Atletas!H451="Changquan Opcional",13,IF(Atletas!H451="Nanquan Opcional",14,IF(Atletas!H451="Taijiquan Opcional",15,IF(Atletas!H451="Changquan Adulto",16,IF(Atletas!H451="Nanquan Adulto",17,IF(Atletas!H451="Taijiquan Adulto",18,""))))))))))))))))))))</f>
        <v/>
      </c>
      <c r="BG460" s="52" t="str">
        <f>IF(Atletas!I451="","",IF(Atletas!B451="Feminino",100,IF(Atletas!B451="Masculino",200,""))+(IF(Atletas!I451="Daoshu Mirim",19,IF(Atletas!I451="Jianshu Mirim",20,IF(Atletas!I451="Nandao Mirim",21,IF(Atletas!I451="Taijijian Mirim",22,IF(Atletas!I451="Daoshu Grupo C",23,IF(Atletas!I451="Jianshu Grupo C",24,IF(Atletas!I451="Nandao Grupo C",25,IF(Atletas!I451="Taijijian Grupo C",26,IF(Atletas!I451="Daoshu Grupo B",27,IF(Atletas!I451="Jianshu Grupo B",28,IF(Atletas!I451="Nandao Grupo B",29,IF(Atletas!I451="Taijijian Grupo B",30,IF(Atletas!I451="Daoshu Grupo A",31,IF(Atletas!I451="Jianshu Grupo A",32,IF(Atletas!I451="Nandao Grupo A",33,IF(Atletas!I451="Taijijian Grupo A",34,IF(Atletas!I451="Daoshu Opcional",35,IF(Atletas!I451="Jianshu Opcional",36,IF(Atletas!I451="Nandao Opcional",37,IF(Atletas!I451="Taijijian Opcional",38,IF(Atletas!I451="Daoshu Adulto",39,IF(Atletas!I451="Jianshu Adulto",40,IF(Atletas!I451="Nandao Adulto",41,IF(Atletas!I451="Taijijian Adulto",42,""))))))))))))))))))))))))))</f>
        <v/>
      </c>
      <c r="BH460" s="52" t="str">
        <f>IF(Atletas!J451="","",IF(Atletas!B451="Feminino",100,IF(Atletas!B451="Masculino",200,""))+(IF(Atletas!J451="Gunshu Mirim",43,IF(Atletas!J451="Qiangshu Mirim",44,IF(Atletas!J451="Nangun Mirim",45,IF(Atletas!J451="Gunshu Grupo C",46,IF(Atletas!J451="Qiangshu Grupo C",47,IF(Atletas!J451="Nangun Grupo C",48,IF(Atletas!J451="Gunshu Grupo B",49,IF(Atletas!J451="Qiangshu Grupo B",50,IF(Atletas!J451="Nangun Grupo B",51,IF(Atletas!J451="Gunshu Grupo A",52,IF(Atletas!J451="Qiangshu Grupo A",53,IF(Atletas!J451="Nangun Grupo A",54,IF(Atletas!J451="Gunshu Opcional",55,IF(Atletas!J451="Qiangshu Opcional",56,IF(Atletas!J451="Nangun Opcional",57,IF(Atletas!J451="Gunshu Adulto",58,IF(Atletas!J451="Qiangshu Adulto",59,IF(Atletas!J451="Nangun Adulto",60,IF(Atletas!J451="Taijishan Grupo B",61,IF(Atletas!J451="Taijishan Grupo A",62,""))))))))))))))))))))))</f>
        <v/>
      </c>
      <c r="BM460" s="50" t="str">
        <f>IF(Atletas!K451="","",IF(Atletas!B451="Feminino",100,IF(Atletas!B451="Masculino",200,""))+(IF(Atletas!K451="Equipe 1 Grupo B",1,IF(Atletas!K451="Equipe 2 Grupo B",2,IF(Atletas!K451="Equipe 1 Grupo A",3,IF(Atletas!K451="Equipe 2 Grupo A",4,IF(Atletas!K451="Equipe 1 Adulto",5,IF(Atletas!K451="Equipe 2 Adulto",6,""))))))))</f>
        <v/>
      </c>
      <c r="BR460" s="50" t="str">
        <f>IF(Atletas!L451="","",IF(Atletas!X451&lt;&gt;"",10000,0)+(IF(Atletas!B451="Feminino",1000,IF(Atletas!B451="Masculino",2000,""))+IF(Atletas!L451="Choylayfut A",1,IF(Atletas!L451="Hunggar A",2,IF(Atletas!L451="Wuzuquan A",3,IF(Atletas!L451="Wingchun A",4,IF(Atletas!L451="Outra Mão de Sul A",5,IF(Atletas!L451="Choylayfut B",6,IF(Atletas!L451="Hunggar B",7,IF(Atletas!L451="Wuzuquan B",8,IF(Atletas!L451="Wingchun B",9,IF(Atletas!L451="Outra Mão de Sul B",10,IF(Atletas!L451="Choylayfut C",11,IF(Atletas!L451="Hunggar C",12,IF(Atletas!L451="Wuzuquan C",13,IF(Atletas!L451="Wingchun C",14,IF(Atletas!L451="Outra Mão de Sul C",15,IF(Atletas!L451="Choylayfut D",16,IF(Atletas!L451="Hunggar D",17,IF(Atletas!L451="Wuzuquan D",18,IF(Atletas!L451="Wingchun D",19,IF(Atletas!L451="Outra Mão de Sul D",20,IF(Atletas!L451="Choylayfut E",21,IF(Atletas!L451="Hunggar E",22,IF(Atletas!L451="Wuzuquan E",23,IF(Atletas!L451="Wingchun E",24,IF(Atletas!L451="Outra Mão de Sul E",25,IF(Atletas!L451="Choylayfut F",26,IF(Atletas!L451="Hunggar F",27,IF(Atletas!L451="Wuzuquan F",28,IF(Atletas!L451="Wingchun F",29,IF(Atletas!L451="Outra Mão de Sul F",30,IF(Atletas!L451="Dishuquan A",31,IF(Atletas!L451="Dishuquan B",32,IF(Atletas!L451="Dishuquan C",33,IF(Atletas!L451="Dishuquan D",34,IF(Atletas!L451="Dishuquan E",35,IF(Atletas!L451="Dishuquan F",36,""))))))))))))))))))))))))))))))))))))))</f>
        <v/>
      </c>
      <c r="BS460" s="50" t="str">
        <f>IF(Atletas!M451="","",IF(Atletas!X451&lt;&gt;"",10000,0)+(IF(Atletas!B451="Feminino",1000,IF(Atletas!B451="Masculino",2000,""))+(IF(Atletas!M451="Chaquan A",101,IF(Atletas!M451="Emeiquan A",102,IF(Atletas!M451="Fanziquan A",103,IF(Atletas!M451="Huaquan A",104,IF(Atletas!M451="Hongquan A",105,IF(Atletas!M451="Paoquan A",106,IF(Atletas!M451="Piguaquan A",107,IF(Atletas!M451="Shaolinquan A",108,IF(Atletas!M451="Tanglangquan A",109,IF(Atletas!M451="Yingzhaoquan A",110,IF(Atletas!M451="Tongbeiquan A",111,IF(Atletas!M451="Wudangquan A",112,IF(Atletas!M451="Outros Estilos A",113,IF(Atletas!M451="Chaquan B",114,IF(Atletas!M451="Emeiquan B",115,IF(Atletas!M451="Fanziquan B",116,IF(Atletas!M451="Huaquan B",117,IF(Atletas!M451="Hongquan B",118,IF(Atletas!M451="Paoquan B",119,IF(Atletas!M451="Piguaquan B",120,IF(Atletas!M451="Shaolinquan B",121,IF(Atletas!M451="Tanglangquan B",122,IF(Atletas!M451="Yingzhaoquan B",123,IF(Atletas!M451="Tongbeiquan B",124,IF(Atletas!M451="Wudangquan B",125,IF(Atletas!M451="Outros Estilos B",126,IF(Atletas!M451="Chaquan C",127,IF(Atletas!M451="Emeiquan C",128,IF(Atletas!M451="Fanziquan C",129,IF(Atletas!M451="Huaquan C",130,IF(Atletas!M451="Hongquan C",131,IF(Atletas!M451="Paoquan C",132,IF(Atletas!M451="Piguaquan C",133,IF(Atletas!M451="Shaolinquan C",134,IF(Atletas!M451="Tanglangquan C",135,IF(Atletas!M451="Yingzhaoquan C",136,IF(Atletas!M451="Tongbeiquan C",137,IF(Atletas!M451="Wudangquan C",138,IF(Atletas!M451="Outros Estilos C",139,0))))))))))))))))))))))))))))))))))))))))))</f>
        <v/>
      </c>
      <c r="BT460" s="50" t="str">
        <f>IF(Atletas!M451="","",IF(Atletas!X451&lt;&gt;"",10000,0)+(IF(Atletas!B451="Feminino",1000,IF(Atletas!B451="Masculino",2000,""))+(IF(Atletas!M451="Chaquan D",140,IF(Atletas!M451="Emeiquan D",141,IF(Atletas!M451="Fanziquan D",142,IF(Atletas!M451="Huaquan D",143,IF(Atletas!M451="Hongquan D",144,IF(Atletas!M451="Paoquan D",145,IF(Atletas!M451="Piguaquan D",146,IF(Atletas!M451="Shaolinquan D",147,IF(Atletas!M451="Tanglangquan D",148,IF(Atletas!M451="Yingzhaoquan D",149,IF(Atletas!M451="Tongbeiquan D",150,IF(Atletas!M451="Wudangquan D",151,IF(Atletas!M451="Outros Estilos D",152,IF(Atletas!M451="Chaquan E",153,IF(Atletas!M451="Emeiquan E",154,IF(Atletas!M451="Fanziquan E",155,IF(Atletas!M451="Huaquan E",156,IF(Atletas!M451="Hongquan E",157,IF(Atletas!M451="Paoquan E",158,IF(Atletas!M451="Piguaquan E",159,IF(Atletas!M451="Shaolinquan E",160,IF(Atletas!M451="Tanglangquan E",161,IF(Atletas!M451="Yingzhaoquan E",162,IF(Atletas!M451="Tongbeiquan E",163,IF(Atletas!M451="Wudangquan E",164,IF(Atletas!M451="Outros Estilos E",165,IF(Atletas!M451="Chaquan F",166,IF(Atletas!M451="Emeiquan F",167,IF(Atletas!M451="Fanziquan F",168,IF(Atletas!M451="Huaquan F",169,IF(Atletas!M451="Hongquan F",170,IF(Atletas!M451="Paoquan F",171,IF(Atletas!M451="Piguaquan F",172,IF(Atletas!M451="Shaolinquan F",173,IF(Atletas!M451="Tanglangquan F",174,IF(Atletas!M451="Yingzhaoquan F",175,IF(Atletas!M451="Tongbeiquan F",176,IF(Atletas!M451="Wudangquan F",177,IF(Atletas!M451="Outros Estilos F",178,0))))))))))))))))))))))))))))))))))))))))))</f>
        <v/>
      </c>
      <c r="BU460" s="50" t="str">
        <f>IF(Atletas!N451="","",IF(Atletas!X451&lt;&gt;"",10000,0)+(IF(Atletas!B451="Feminino",1000,IF(Atletas!B451="Masculino",2000,""))+(IF(Atletas!N451="Ditangquan A",201,IF(Atletas!N451="Houquan A",202,IF(Atletas!N451="Zuiquan A",203,IF(Atletas!N451="Ditangquan B",204,IF(Atletas!N451="Houquan B",205,IF(Atletas!N451="Zuiquan B",206,IF(Atletas!N451="Ditangquan C",207,IF(Atletas!N451="Houquan C",208,IF(Atletas!N451="Zuiquan C",209,IF(Atletas!N451="Ditangquan D",210,IF(Atletas!N451="Houquan D",211,IF(Atletas!N451="Zuiquan D",212,IF(Atletas!N451="Ditangquan E",213,IF(Atletas!N451="Houquan E",214,IF(Atletas!N451="Zuiquan E",215,IF(Atletas!N451="Ditangquan F",216,IF(Atletas!N451="Houquan F",217,IF(Atletas!N451="Zuiquan F",218,"")))))))))))))))))))))</f>
        <v/>
      </c>
      <c r="BV460" s="50" t="str">
        <f>IF(Atletas!O451="","",IF(Atletas!X451&lt;&gt;"",10000,0)+IF(Atletas!B451="Feminino",1000,IF(Atletas!B451="Masculino",2000,""))+IF(Atletas!O451="Yang A",301,IF(Atletas!O451="Chen A",302,IF(Atletas!O451="Sun A",303,IF(Atletas!O451="Wu A",304,IF(Atletas!O451="Wu-Hao A",305,IF(Atletas!O451="Outro Taijiquan A",306,IF(Atletas!O451="Yang B",307,IF(Atletas!O451="Chen B",308,IF(Atletas!O451="Sun B",309,IF(Atletas!O451="Wu B",310,IF(Atletas!O451="Wu-Hao B",311,IF(Atletas!O451="Outro Taijiquan B",312,IF(Atletas!O451="Yang C",313,IF(Atletas!O451="Chen C",314,IF(Atletas!O451="Sun C",315,IF(Atletas!O451="Wu C",316,IF(Atletas!O451="Wu-Hao C",317,IF(Atletas!O451="Outro Taijiquan C",318,IF(Atletas!O451="Yang D",319,IF(Atletas!O451="Chen D",320,IF(Atletas!O451="Sun D",321,IF(Atletas!O451="Wu D",322,IF(Atletas!O451="Wu-Hao D",323,IF(Atletas!O451="Outro Taijiquan D",324,IF(Atletas!O451="Yang E",325,IF(Atletas!O451="Chen E",326,IF(Atletas!O451="Sun E",327,IF(Atletas!O451="Wu E",328,IF(Atletas!O451="Wu-Hao E",329,IF(Atletas!O451="Outro Taijiquan E",330,IF(Atletas!O451="Yang F",331,IF(Atletas!O451="Chen F",332,IF(Atletas!O451="Sun F",333,IF(Atletas!O451="Wu F",334,IF(Atletas!O451="Wu-Hao F",335,IF(Atletas!O451="Outro Taijiquan F",336,"")))))))))))))))))))))))))))))))))))))</f>
        <v/>
      </c>
      <c r="BW460" s="50" t="str">
        <f>IF(Atletas!P451="","",IF(Atletas!X451&lt;&gt;"",10000,0)+IF(Atletas!B451="Feminino",1000,IF(Atletas!B451="Masculino",2000,""))+IF(OR(Atletas!P451="Yang 26 A",Atletas!P451="Yang 40 A"),401,IF(OR(Atletas!P451="Chen 25 A",Atletas!P451="Chen 36 A",Atletas!P451="Chen 56 A"),402,IF(Atletas!P451="Sun 73 A",403,IF(Atletas!P451="Wu 45 A",404,IF(Atletas!P451="Wu-Hao 46 A",405,IF(OR(Atletas!P451="Taijiquan 16 A",Atletas!P451="Taijiquan 24 A",Atletas!P451="Taijiquan 32 A",Atletas!P451="Taijiquan 42 A"),406,IF(OR(Atletas!P451="Yang 26 B",Atletas!P451="Yang 40 B"),407,IF(OR(Atletas!P451="Chen 25 B",Atletas!P451="Chen 36 B",Atletas!P451="Chen 56 B"),408,IF(Atletas!P451="Sun 73 B",409,IF(Atletas!P451="Wu 45 B",410,IF(Atletas!P451="Wu-Hao 46 B",411,IF(OR(Atletas!P451="Taijiquan 16 B",Atletas!P451="Taijiquan 24 B",Atletas!P451="Taijiquan 32 B",Atletas!P451="Taijiquan 42 B"),412,IF(OR(Atletas!P451="Yang 26 C",Atletas!P451="Yang 40 C"),413,IF(OR(Atletas!P451="Chen 25 C",Atletas!P451="Chen 36 C",Atletas!P451="Chen 56 C"),414,IF(Atletas!P451="Sun 73 C",415,IF(Atletas!P451="Wu 45 C",416,IF(Atletas!P451="Wu-Hao 46 C",417,IF(OR(Atletas!P451="Taijiquan 16 C",Atletas!P451="Taijiquan 24 C",Atletas!P451="Taijiquan 32 C",Atletas!P451="Taijiquan 42 C"),418,0)))))))))))))))))))</f>
        <v/>
      </c>
      <c r="BX460" s="50" t="str">
        <f>IF(Atletas!P451="","",IF(Atletas!X451&lt;&gt;"",10000,0)+IF(Atletas!B451="Feminino",1000,IF(Atletas!B451="Masculino",2000,""))+IF(OR(Atletas!P451="Yang 26 D",Atletas!P451="Yang 40 D"),419,IF(OR(Atletas!P451="Chen 25 D",Atletas!P451="Chen 36 D",Atletas!P451="Chen 56 D"),420,IF(Atletas!P451="Sun 73 D",421,IF(Atletas!P451="Wu 45 D",422,IF(Atletas!P451="Wu-Hao 46 D",423,IF(OR(Atletas!P451="Taijiquan 16 D",Atletas!P451="Taijiquan 24 D",Atletas!P451="Taijiquan 32 D",Atletas!P451="Taijiquan 42 D"),424,IF(OR(Atletas!P451="Yang 26 E",Atletas!P451="Yang 40 E"),425,IF(OR(Atletas!P451="Chen 25 E",Atletas!P451="Chen 36 E",Atletas!P451="Chen 56 E"),426,IF(Atletas!P451="Sun 73 E",427,IF(Atletas!P451="Wu 45 E",428,IF(Atletas!P451="Wu-Hao 46 E",429,IF(OR(Atletas!P451="Taijiquan 16 E",Atletas!P451="Taijiquan 24 E",Atletas!P451="Taijiquan 32 E",Atletas!P451="Taijiquan 42 E"),430,IF(OR(Atletas!P451="Yang 26 F",Atletas!P451="Yang 40 F"),431,IF(OR(Atletas!P451="Chen 25 F",Atletas!P451="Chen 36 F",Atletas!P451="Chen 56 F"),432,IF(Atletas!P451="Sun 73 F",433,IF(Atletas!P451="Wu 45 F",434,IF(Atletas!P451="Wu-Hao 46 F",435,IF(OR(Atletas!P451="Taijiquan 16 F",Atletas!P451="Taijiquan 24 F",Atletas!P451="Taijiquan 32 F",Atletas!P451="Taijiquan 42 F"),436,0)))))))))))))))))))</f>
        <v/>
      </c>
      <c r="BY460" s="50" t="str">
        <f>IF(Atletas!Q451="","",IF(Atletas!X451&lt;&gt;"",10000,0)+IF(Atletas!B451="Feminino",1000,IF(Atletas!B451="Masculino",2000,""))+IF(Atletas!Q451="Xingyiquan A",501,IF(Atletas!Q451="Baguazhang A",502,IF(Atletas!Q451="Outro Estilo Interno A",503,IF(Atletas!Q451="Xingyiquan B",504,IF(Atletas!Q451="Baguazhang B",505,IF(Atletas!Q451="Outro Estilo Interno B",506,IF(Atletas!Q451="Xingyiquan C",507,IF(Atletas!Q451="Baguazhang C",508,IF(Atletas!Q451="Outro Estilo Interno C",509,IF(Atletas!Q451="Xingyiquan D",510,IF(Atletas!Q451="Baguazhang D",511,IF(Atletas!Q451="Outro Estilo Interno D",512,IF(Atletas!Q451="Xingyiquan E",513,IF(Atletas!Q451="Baguazhang E",514,IF(Atletas!Q451="Outro Estilo Interno E",515,IF(Atletas!Q451="Xingyiquan F",516,IF(Atletas!Q451="Baguazhang F",517,IF(Atletas!Q451="Outro Estilo Interno F",518, "")))))))))))))))))))</f>
        <v/>
      </c>
      <c r="BZ460" s="50" t="str">
        <f>IF(Atletas!R451="","",IF(Atletas!X451&lt;&gt;"",10000,0)+IF(Atletas!B451="Feminino",1000,IF(Atletas!B451="Masculino",2000,""))+IF(Atletas!R451="Dao A",601,IF(Atletas!R451="Jian A",602,IF(Atletas!R451="Bishou A",603,IF(Atletas!R451="Shanzi A",604,IF(Atletas!R451="Outra Arma Curta A",605,IF(Atletas!R451="Dao B",606,IF(Atletas!R451="Jian B",607,IF(Atletas!R451="Bishou B",608,IF(Atletas!R451="Shanzi B",609,IF(Atletas!R451="Outra Arma Curta B",610,IF(Atletas!R451="Dao C",611,IF(Atletas!R451="Jian C",612,IF(Atletas!R451="Bishou C",613,IF(Atletas!R451="Shanzi C",614,IF(Atletas!R451="Outra Arma Curta C",615,IF(Atletas!R451="Dao D",616,IF(Atletas!R451="Jian D",617,IF(Atletas!R451="Bishou D",618,IF(Atletas!R451="Shanzi D",619,IF(Atletas!R451="Outra Arma Curta D",620,IF(Atletas!R451="Dao E",621,IF(Atletas!R451="Jian E",622,IF(Atletas!R451="Bishou E",623,IF(Atletas!R451="Shanzi E",624,IF(Atletas!R451="Outra Arma Curta E",625,IF(Atletas!R451="Dao F",626,IF(Atletas!R451="Jian F",627,IF(Atletas!R451="Bishou F",628,IF(Atletas!R451="Shanzi F",629,IF(Atletas!R451="Outra Arma Curta F",630, "")))))))))))))))))))))))))))))))</f>
        <v/>
      </c>
      <c r="CA460" s="50" t="str">
        <f>IF(Atletas!S451="","",IF(Atletas!X451&lt;&gt;"",10000,0)+IF(Atletas!B451="Feminino",1000,IF(Atletas!B451="Masculino",2000,""))+IF(Atletas!S451="Gun A",701,IF(Atletas!S451="Qiang A",702,IF(Atletas!S451="Pudao / Guandao A",703,IF(Atletas!S451="Outra Arma Longa A",704,IF(Atletas!S451="Gun B",705,IF(Atletas!S451="Qiang B",706,IF(Atletas!S451="Pudao / Guandao B",707,IF(Atletas!S451="Outra Arma Longa B",708,IF(Atletas!S451="Gun C",709,IF(Atletas!S451="Qiang C",710,IF(Atletas!S451="Pudao / Guandao C",711,IF(Atletas!S451="Outra Arma Longa C",712,IF(Atletas!S451="Gun D",713,IF(Atletas!S451="Qiang D",714,IF(Atletas!S451="Pudao / Guandao D",715,IF(Atletas!S451="Outra Arma Longa D",716,IF(Atletas!S451="Gun E",717,IF(Atletas!S451="Qiang E",718,IF(Atletas!S451="Pudao / Guandao E",719,IF(Atletas!S451="Outra Arma Longa E",720,IF(Atletas!S451="Gun F",721,IF(Atletas!S451="Qiang F",722,IF(Atletas!S451="Pudao / Guandao F",723,IF(Atletas!S451="Outra Arma Longa F",724,"")))))))))))))))))))))))))</f>
        <v/>
      </c>
      <c r="CB460" s="50" t="str">
        <f>IF(Atletas!T451="","",IF(Atletas!X451&lt;&gt;"",10000,0)+IF(Atletas!B451="Feminino",1000,IF(Atletas!B451="Masculino",2000,""))+IF(Atletas!T451="Outra Arma Dupla A",801,IF(Atletas!T451="Arma Maleável A",802,IF(Atletas!T451="Outra Arma Dupla B",803,IF(Atletas!T451="Arma Maleável B",804,IF(Atletas!T451="Outra Arma Dupla C",805,IF(Atletas!T451="Arma Maleável C",806,IF(Atletas!T451="Outra Arma Dupla D",807,IF(Atletas!T451="Arma Maleável D",808,IF(Atletas!T451="Outra Arma Dupla E",809,IF(Atletas!T451="Arma Maleável E",810,IF(Atletas!T451="Outra Arma Dupla F",811,IF(Atletas!T451="Arma Maleável F",812,IF(Atletas!T451="Shuangdao A",813,IF(Atletas!T451="Shuangdao B",814,IF(Atletas!T451="Shuangdao C",815,IF(Atletas!T451="Shuangdao D",816,IF(Atletas!T451="Shuangdao E",817,IF(Atletas!T451="Shuangdao F",818,"")))))))))))))))))))</f>
        <v/>
      </c>
      <c r="CC460" s="50" t="str">
        <f>IF(Atletas!U451="","",IF(Atletas!X451&lt;&gt;"",10000,0)+IF(Atletas!B451="Feminino",1000,IF(Atletas!B451="Masculino",2000,""))+IF(OR(Atletas!U451="Taijijian Yang A",Atletas!U451="Taijijian Yang Standard A"),901,IF(OR(Atletas!U451="Taijijian Chen A", Atletas!U451="Taijijian Chen Standard A"),902,IF(Atletas!U451="Taijijian Sun A",903,IF(Atletas!U451="Taijijian Wu A",904,IF(Atletas!U451="Taijijian Wu-Hao A",905,IF(OR(Atletas!U451="Taijijian 32 A",Atletas!U451="Taijijian 42 A"),906,IF(OR(Atletas!U451="Taijijian Yang B",Atletas!U451="Taijijian Yang Standard B"),907,IF(OR(Atletas!U451="Taijijian Chen B", Atletas!U451="Taijijian Chen Standard B"),908,IF(Atletas!U451="Taijijian Sun B",909,IF(Atletas!U451="Taijijian Wu B",910,IF(Atletas!U451="Taijijian Wu-Hao B",911,IF(OR(Atletas!U451="Taijijian 32 B",Atletas!U451="Taijijian 42 B"),912,IF(OR(Atletas!U451="Taijijian Yang C",Atletas!U451="Taijijian Yang Standard C"),913,IF(OR(Atletas!U451="Taijijian Chen C", Atletas!U451="Taijijian Chen Standard C"),914,IF(Atletas!U451="Taijijian Sun C",915,IF(Atletas!U451="Taijijian Wu C",916,IF(Atletas!U451="Taijijian Wu-Hao C",917,IF(OR(Atletas!U451="Taijijian 32 C",Atletas!U451="Taijijian 42 C"),918,IF(OR(Atletas!U451="Taijijian Yang D",Atletas!U451="Taijijian Yang Standard D"),919,IF(OR(Atletas!U451="Taijijian Chen D", Atletas!U451="Taijijian Chen Standard D"),920,IF(Atletas!U451="Taijijian Sun D",921,IF(Atletas!U451="Taijijian Wu D",922,IF(Atletas!U451="Taijijian Wu-Hao D",923,IF(OR(Atletas!U451="Taijijian 32 D",Atletas!U451="Taijijian 42 D"),924,IF(OR(Atletas!U451="Taijijian Yang E",Atletas!U451="Taijijian Yang Standard E"),925,IF(OR(Atletas!U451="Taijijian Chen E", Atletas!U451="Taijijian Chen Standard E"),926,IF(Atletas!U451="Taijijian Sun E",927,IF(Atletas!U451="Taijijian Wu E",928,IF(Atletas!U451="Taijijian Wu-Hao E",929,IF(OR(Atletas!U451="Taijijian 32 E",Atletas!U451="Taijijian 42 E"),930,IF(OR(Atletas!U451="Taijijian Yang F",Atletas!U451="Taijijian Yang Standard F"),931,IF(OR(Atletas!U451="Taijijian Chen F", Atletas!U451="Taijijian Chen Standard F"),932,IF(Atletas!U451="Taijijian Sun F",933,IF(Atletas!U451="Taijijian Wu F",934,IF(Atletas!U451="Taijijian Wu-Hao F",935,IF(OR(Atletas!U451="Taijijian 32 F",Atletas!U451="Taijijian 42 F"),936,"")))))))))))))))))))))))))))))))))))))</f>
        <v/>
      </c>
      <c r="CD460" s="50" t="str">
        <f>IF(Atletas!V451="","",IF(Atletas!X451&lt;&gt;"",10000,0)+IF(Atletas!B451="Feminino",1000,IF(Atletas!B451="Masculino",2000,""))+IF(Atletas!V451="Taijidao A",937,IF(Atletas!V451="TaijiShanzi A",938,IF(Atletas!V451="Taijiqiang A",939,IF(Atletas!V451="Bagua de Arma A",940,IF(Atletas!V451="Xingyi de Arma A",941,IF(Atletas!V451="Taijidao B",942,IF(Atletas!V451="TaijiShanzi B",943,IF(Atletas!V451="Taijiqiang B",944,IF(Atletas!V451="Bagua de Arma B",945,IF(Atletas!V451="Xingyi de Arma B",946,IF(Atletas!V451="Taijidao C",947,IF(Atletas!V451="TaijiShanzi C",948,IF(Atletas!V451="Taijiqiang C",949,IF(Atletas!V451="Bagua de Arma C",950,IF(Atletas!V451="Xingyi de Arma C",951,IF(Atletas!V451="Taijidao D",952,IF(Atletas!V451="TaijiShanzi D",953,IF(Atletas!V451="Taijiqiang D",954,IF(Atletas!V451="Bagua de Arma D",955,IF(Atletas!V451="Xingyi de Arma D",956,IF(Atletas!V451="Taijidao E",957,IF(Atletas!V451="TaijiShanzi E",958,IF(Atletas!V451="Taijiqiang E",959,IF(Atletas!V451="Bagua de Arma E",960,IF(Atletas!V451="Xingyi de Arma E",961,IF(Atletas!V451="Taijidao F",962,IF(Atletas!V451="TaijiShanzi F",963,IF(Atletas!V451="Taijiqiang F",964,IF(Atletas!V451="Bagua de Arma F",965,IF(Atletas!V451="Xingyi de Arma F",966,"")))))))))))))))))))))))))))))))</f>
        <v/>
      </c>
      <c r="CM460" s="50" t="str">
        <f xml:space="preserve"> IF(Atletas!W451="","",IF(Atletas!W451="Duilian de Mãos BC - Equipe 1",1,IF(Atletas!W451="Duilian de Mãos BC - Equipe 2",2,IF(Atletas!W451="Duilian de Armas BC - Equipe 1",3,IF(Atletas!W451="Duilian de Armas BC - Equipe 2",4,IF(Atletas!W451="Duilian de Mãos DE - Equipe 1",5,IF(Atletas!W451="Duilian de Mãos DE - Equipe 2",6,IF(Atletas!W451="Duilian de Armas DE - Equipe 1",7,IF(Atletas!W451="Duilian de Armas DE - Equipe 2",8,IF(Atletas!W451="Duilian de Tuishou - Equipe 1",9,IF(Atletas!W451="Duilian de Tuishou - Equipe 2",10,IF(Atletas!W451="Grupo Externo ABC - Equipe 1",11,IF(Atletas!W451="Grupo Externo ABC - Equipe 2",12,IF(Atletas!W451="Grupo Interno ABC - Equipe 1",13,IF(Atletas!W451="Grupo Interno ABC - Equipe 2",14,IF(Atletas!W451="Grupo Externo DEF - Equipe 1",15,IF(Atletas!W451="Grupo Externo DEF - Equipe 2",16,IF(Atletas!W451="Grupo Interno DEF - Equipe 1",17,IF(Atletas!W451="Grupo Interno DEF - Equipe 2",18,"")))))))))))))))))))</f>
        <v/>
      </c>
    </row>
    <row r="461" spans="40:91">
      <c r="AN461" s="52" t="str">
        <f>IF(Atletas!D452="","",IF(Atletas!B452="Feminino",100,IF(Atletas!B452="Masculino",200,""))+(IF(Atletas!D452="Kids 30kg",1,IF(Atletas!D452="Kids 32kg",2, IF(Atletas!D452="Kids 34kg",3,IF(Atletas!D452="Kids 36kg",4,IF(Atletas!D452="Kids 39kg",5,IF(Atletas!D452="Kids 42kg",6,IF(Atletas!D452="Kids 45kg",7, IF(Atletas!D452="Infantil 39kg",8,IF(Atletas!D452="Infantil 42kg",9,IF(Atletas!D452="Infantil 45kg",10,IF(Atletas!D452="Infantil 48kg",11,IF(Atletas!D452="Infantil 52kg",12,IF(Atletas!D452="Infantil 56kg",13,IF(Atletas!D452="Infantil 60kg",14,IF(Atletas!D452="Juvenil 48kg",15,IF(Atletas!D452="Juvenil 52kg",16,IF(Atletas!D452="Juvenil 56kg",17,IF(Atletas!D452="Juvenil 60kg",18,IF(Atletas!D452="Juvenil 65kg",19,IF(Atletas!D452="Juvenil 70kg",20,IF(Atletas!D452="Juvenil 75kg",21,IF(Atletas!D452="Juvenil 80kg",22, IF(Atletas!D452="Juvenil 85kg",23,IF(Atletas!D452="Adulto 48kg",24,IF(Atletas!D452="Adulto 52kg",25,IF(Atletas!D452="Adulto 56kg",26,IF(Atletas!D452="Adulto 60kg",27,IF(Atletas!D452="Adulto 65kg",28,IF(Atletas!D452="Adulto 70kg",29,IF(Atletas!D452="Adulto 75kg",30,IF(Atletas!D452="Adulto 80kg",31,IF(Atletas!D452="Adulto 85kg",32,IF(Atletas!D452="Adulto 90kg",33,IF(Atletas!D452="Adulto 100kg",34, IF(Atletas!D452="Adulto +100kg",35,"")))))))))))))))))))))))))))))))))))))</f>
        <v/>
      </c>
      <c r="AS461" s="6" t="str">
        <f>IF(Atletas!E452="","",IF(Atletas!B452="Feminino",100,IF(Atletas!B452="Masculino",200,""))+(IF(Atletas!E452="Juvenil 44kg",1,IF(Atletas!E452="Juvenil 48kg",2,IF(Atletas!E452="Juvenil 52kg",3,IF(Atletas!E452="Juvenil 56kg",4,IF(Atletas!E452="Juvenil 60kg",5,IF(Atletas!E452="Juvenil 65kg",6,IF(Atletas!E452="Juvenil 70kg",7,IF(Atletas!E452="Juvenil 75kg",8,IF(Atletas!E452="Juvenil 82kg",9,IF(Atletas!E452="Juvenil 90kg",10,IF(Atletas!E452="Juvenil 100kg",11,IF(Atletas!E452="Adulto 48kg",12,IF(Atletas!E452="Adulto 52kg",13,IF(Atletas!E452="Adulto 56kg",14,IF(Atletas!E452="Adulto 60kg",15,IF(Atletas!E452="Adulto 65kg",16,IF(Atletas!E452="Adulto 70kg",17,IF(Atletas!E452="Adulto 75kg",18,IF(Atletas!E452="Adulto 82kg",19,IF(Atletas!E452="Adulto 90kg",20,IF(Atletas!E452="Adulto 100kg",21,IF(Atletas!E452="Adulto +100kg",22,""))))))))))))))))))))))))</f>
        <v/>
      </c>
      <c r="AX461" s="6" t="str">
        <f>IF(Atletas!F452="","",IF(Atletas!B452="Feminino",100,IF(Atletas!B452="Masculino",200,""))+(IF(Atletas!F452="Adulto 48kg",1,IF(Atletas!F452="Adulto 56kg",2,IF(Atletas!F452="Adulto 65kg",3,IF(Atletas!F452="Adulto 75kg",4,IF(Atletas!F452="Adulto +75kg",5,IF(Atletas!F452="Adulto 52kg",6,IF(Atletas!F452="Adulto 60kg",7,IF(Atletas!F452="Adulto 70kg",8,IF(Atletas!F452="Adulto 80kg",9,IF(Atletas!F452="Adulto 90kg",10,IF(Atletas!F452="Adulto +90kg",11,"")))))))))))))</f>
        <v/>
      </c>
      <c r="BC461" s="6" t="str">
        <f>IF(Atletas!G452="","",IF(Atletas!B452="Feminino",10,IF(Atletas!B452="Masculino",20,""))+(IF(Atletas!G452="Baduanjin A",1,IF(Atletas!G452="Baduanjin B",2))))</f>
        <v/>
      </c>
      <c r="BF461" s="52" t="str">
        <f>IF(Atletas!H452="","",IF(Atletas!B452="Feminino",100,IF(Atletas!B452="Masculino",200,""))+(IF(Atletas!H452="Changquan Mirim",1,IF(Atletas!H452="Nanquan Mirim",2,IF(Atletas!H452="Taijiquan Mirim",3,IF(Atletas!H452="Changquan Grupo C",4,IF(Atletas!H452="Nanquan Grupo C",5,IF(Atletas!H452="Taijiquan Grupo C",6,IF(Atletas!H452="Changquan Grupo B",7,IF(Atletas!H452="Nanquan Grupo B",8,IF(Atletas!H452="Taijiquan Grupo B",9,IF(Atletas!H452="Changquan Grupo A",10,IF(Atletas!H452="Nanquan Grupo A",11,IF(Atletas!H452="Taijiquan Grupo A",12,IF(Atletas!H452="Changquan Opcional",13,IF(Atletas!H452="Nanquan Opcional",14,IF(Atletas!H452="Taijiquan Opcional",15,IF(Atletas!H452="Changquan Adulto",16,IF(Atletas!H452="Nanquan Adulto",17,IF(Atletas!H452="Taijiquan Adulto",18,""))))))))))))))))))))</f>
        <v/>
      </c>
      <c r="BG461" s="52" t="str">
        <f>IF(Atletas!I452="","",IF(Atletas!B452="Feminino",100,IF(Atletas!B452="Masculino",200,""))+(IF(Atletas!I452="Daoshu Mirim",19,IF(Atletas!I452="Jianshu Mirim",20,IF(Atletas!I452="Nandao Mirim",21,IF(Atletas!I452="Taijijian Mirim",22,IF(Atletas!I452="Daoshu Grupo C",23,IF(Atletas!I452="Jianshu Grupo C",24,IF(Atletas!I452="Nandao Grupo C",25,IF(Atletas!I452="Taijijian Grupo C",26,IF(Atletas!I452="Daoshu Grupo B",27,IF(Atletas!I452="Jianshu Grupo B",28,IF(Atletas!I452="Nandao Grupo B",29,IF(Atletas!I452="Taijijian Grupo B",30,IF(Atletas!I452="Daoshu Grupo A",31,IF(Atletas!I452="Jianshu Grupo A",32,IF(Atletas!I452="Nandao Grupo A",33,IF(Atletas!I452="Taijijian Grupo A",34,IF(Atletas!I452="Daoshu Opcional",35,IF(Atletas!I452="Jianshu Opcional",36,IF(Atletas!I452="Nandao Opcional",37,IF(Atletas!I452="Taijijian Opcional",38,IF(Atletas!I452="Daoshu Adulto",39,IF(Atletas!I452="Jianshu Adulto",40,IF(Atletas!I452="Nandao Adulto",41,IF(Atletas!I452="Taijijian Adulto",42,""))))))))))))))))))))))))))</f>
        <v/>
      </c>
      <c r="BH461" s="52" t="str">
        <f>IF(Atletas!J452="","",IF(Atletas!B452="Feminino",100,IF(Atletas!B452="Masculino",200,""))+(IF(Atletas!J452="Gunshu Mirim",43,IF(Atletas!J452="Qiangshu Mirim",44,IF(Atletas!J452="Nangun Mirim",45,IF(Atletas!J452="Gunshu Grupo C",46,IF(Atletas!J452="Qiangshu Grupo C",47,IF(Atletas!J452="Nangun Grupo C",48,IF(Atletas!J452="Gunshu Grupo B",49,IF(Atletas!J452="Qiangshu Grupo B",50,IF(Atletas!J452="Nangun Grupo B",51,IF(Atletas!J452="Gunshu Grupo A",52,IF(Atletas!J452="Qiangshu Grupo A",53,IF(Atletas!J452="Nangun Grupo A",54,IF(Atletas!J452="Gunshu Opcional",55,IF(Atletas!J452="Qiangshu Opcional",56,IF(Atletas!J452="Nangun Opcional",57,IF(Atletas!J452="Gunshu Adulto",58,IF(Atletas!J452="Qiangshu Adulto",59,IF(Atletas!J452="Nangun Adulto",60,IF(Atletas!J452="Taijishan Grupo B",61,IF(Atletas!J452="Taijishan Grupo A",62,""))))))))))))))))))))))</f>
        <v/>
      </c>
      <c r="BM461" s="50" t="str">
        <f>IF(Atletas!K452="","",IF(Atletas!B452="Feminino",100,IF(Atletas!B452="Masculino",200,""))+(IF(Atletas!K452="Equipe 1 Grupo B",1,IF(Atletas!K452="Equipe 2 Grupo B",2,IF(Atletas!K452="Equipe 1 Grupo A",3,IF(Atletas!K452="Equipe 2 Grupo A",4,IF(Atletas!K452="Equipe 1 Adulto",5,IF(Atletas!K452="Equipe 2 Adulto",6,""))))))))</f>
        <v/>
      </c>
      <c r="BR461" s="50" t="str">
        <f>IF(Atletas!L452="","",IF(Atletas!X452&lt;&gt;"",10000,0)+(IF(Atletas!B452="Feminino",1000,IF(Atletas!B452="Masculino",2000,""))+IF(Atletas!L452="Choylayfut A",1,IF(Atletas!L452="Hunggar A",2,IF(Atletas!L452="Wuzuquan A",3,IF(Atletas!L452="Wingchun A",4,IF(Atletas!L452="Outra Mão de Sul A",5,IF(Atletas!L452="Choylayfut B",6,IF(Atletas!L452="Hunggar B",7,IF(Atletas!L452="Wuzuquan B",8,IF(Atletas!L452="Wingchun B",9,IF(Atletas!L452="Outra Mão de Sul B",10,IF(Atletas!L452="Choylayfut C",11,IF(Atletas!L452="Hunggar C",12,IF(Atletas!L452="Wuzuquan C",13,IF(Atletas!L452="Wingchun C",14,IF(Atletas!L452="Outra Mão de Sul C",15,IF(Atletas!L452="Choylayfut D",16,IF(Atletas!L452="Hunggar D",17,IF(Atletas!L452="Wuzuquan D",18,IF(Atletas!L452="Wingchun D",19,IF(Atletas!L452="Outra Mão de Sul D",20,IF(Atletas!L452="Choylayfut E",21,IF(Atletas!L452="Hunggar E",22,IF(Atletas!L452="Wuzuquan E",23,IF(Atletas!L452="Wingchun E",24,IF(Atletas!L452="Outra Mão de Sul E",25,IF(Atletas!L452="Choylayfut F",26,IF(Atletas!L452="Hunggar F",27,IF(Atletas!L452="Wuzuquan F",28,IF(Atletas!L452="Wingchun F",29,IF(Atletas!L452="Outra Mão de Sul F",30,IF(Atletas!L452="Dishuquan A",31,IF(Atletas!L452="Dishuquan B",32,IF(Atletas!L452="Dishuquan C",33,IF(Atletas!L452="Dishuquan D",34,IF(Atletas!L452="Dishuquan E",35,IF(Atletas!L452="Dishuquan F",36,""))))))))))))))))))))))))))))))))))))))</f>
        <v/>
      </c>
      <c r="BS461" s="50" t="str">
        <f>IF(Atletas!M452="","",IF(Atletas!X452&lt;&gt;"",10000,0)+(IF(Atletas!B452="Feminino",1000,IF(Atletas!B452="Masculino",2000,""))+(IF(Atletas!M452="Chaquan A",101,IF(Atletas!M452="Emeiquan A",102,IF(Atletas!M452="Fanziquan A",103,IF(Atletas!M452="Huaquan A",104,IF(Atletas!M452="Hongquan A",105,IF(Atletas!M452="Paoquan A",106,IF(Atletas!M452="Piguaquan A",107,IF(Atletas!M452="Shaolinquan A",108,IF(Atletas!M452="Tanglangquan A",109,IF(Atletas!M452="Yingzhaoquan A",110,IF(Atletas!M452="Tongbeiquan A",111,IF(Atletas!M452="Wudangquan A",112,IF(Atletas!M452="Outros Estilos A",113,IF(Atletas!M452="Chaquan B",114,IF(Atletas!M452="Emeiquan B",115,IF(Atletas!M452="Fanziquan B",116,IF(Atletas!M452="Huaquan B",117,IF(Atletas!M452="Hongquan B",118,IF(Atletas!M452="Paoquan B",119,IF(Atletas!M452="Piguaquan B",120,IF(Atletas!M452="Shaolinquan B",121,IF(Atletas!M452="Tanglangquan B",122,IF(Atletas!M452="Yingzhaoquan B",123,IF(Atletas!M452="Tongbeiquan B",124,IF(Atletas!M452="Wudangquan B",125,IF(Atletas!M452="Outros Estilos B",126,IF(Atletas!M452="Chaquan C",127,IF(Atletas!M452="Emeiquan C",128,IF(Atletas!M452="Fanziquan C",129,IF(Atletas!M452="Huaquan C",130,IF(Atletas!M452="Hongquan C",131,IF(Atletas!M452="Paoquan C",132,IF(Atletas!M452="Piguaquan C",133,IF(Atletas!M452="Shaolinquan C",134,IF(Atletas!M452="Tanglangquan C",135,IF(Atletas!M452="Yingzhaoquan C",136,IF(Atletas!M452="Tongbeiquan C",137,IF(Atletas!M452="Wudangquan C",138,IF(Atletas!M452="Outros Estilos C",139,0))))))))))))))))))))))))))))))))))))))))))</f>
        <v/>
      </c>
      <c r="BT461" s="50" t="str">
        <f>IF(Atletas!M452="","",IF(Atletas!X452&lt;&gt;"",10000,0)+(IF(Atletas!B452="Feminino",1000,IF(Atletas!B452="Masculino",2000,""))+(IF(Atletas!M452="Chaquan D",140,IF(Atletas!M452="Emeiquan D",141,IF(Atletas!M452="Fanziquan D",142,IF(Atletas!M452="Huaquan D",143,IF(Atletas!M452="Hongquan D",144,IF(Atletas!M452="Paoquan D",145,IF(Atletas!M452="Piguaquan D",146,IF(Atletas!M452="Shaolinquan D",147,IF(Atletas!M452="Tanglangquan D",148,IF(Atletas!M452="Yingzhaoquan D",149,IF(Atletas!M452="Tongbeiquan D",150,IF(Atletas!M452="Wudangquan D",151,IF(Atletas!M452="Outros Estilos D",152,IF(Atletas!M452="Chaquan E",153,IF(Atletas!M452="Emeiquan E",154,IF(Atletas!M452="Fanziquan E",155,IF(Atletas!M452="Huaquan E",156,IF(Atletas!M452="Hongquan E",157,IF(Atletas!M452="Paoquan E",158,IF(Atletas!M452="Piguaquan E",159,IF(Atletas!M452="Shaolinquan E",160,IF(Atletas!M452="Tanglangquan E",161,IF(Atletas!M452="Yingzhaoquan E",162,IF(Atletas!M452="Tongbeiquan E",163,IF(Atletas!M452="Wudangquan E",164,IF(Atletas!M452="Outros Estilos E",165,IF(Atletas!M452="Chaquan F",166,IF(Atletas!M452="Emeiquan F",167,IF(Atletas!M452="Fanziquan F",168,IF(Atletas!M452="Huaquan F",169,IF(Atletas!M452="Hongquan F",170,IF(Atletas!M452="Paoquan F",171,IF(Atletas!M452="Piguaquan F",172,IF(Atletas!M452="Shaolinquan F",173,IF(Atletas!M452="Tanglangquan F",174,IF(Atletas!M452="Yingzhaoquan F",175,IF(Atletas!M452="Tongbeiquan F",176,IF(Atletas!M452="Wudangquan F",177,IF(Atletas!M452="Outros Estilos F",178,0))))))))))))))))))))))))))))))))))))))))))</f>
        <v/>
      </c>
      <c r="BU461" s="50" t="str">
        <f>IF(Atletas!N452="","",IF(Atletas!X452&lt;&gt;"",10000,0)+(IF(Atletas!B452="Feminino",1000,IF(Atletas!B452="Masculino",2000,""))+(IF(Atletas!N452="Ditangquan A",201,IF(Atletas!N452="Houquan A",202,IF(Atletas!N452="Zuiquan A",203,IF(Atletas!N452="Ditangquan B",204,IF(Atletas!N452="Houquan B",205,IF(Atletas!N452="Zuiquan B",206,IF(Atletas!N452="Ditangquan C",207,IF(Atletas!N452="Houquan C",208,IF(Atletas!N452="Zuiquan C",209,IF(Atletas!N452="Ditangquan D",210,IF(Atletas!N452="Houquan D",211,IF(Atletas!N452="Zuiquan D",212,IF(Atletas!N452="Ditangquan E",213,IF(Atletas!N452="Houquan E",214,IF(Atletas!N452="Zuiquan E",215,IF(Atletas!N452="Ditangquan F",216,IF(Atletas!N452="Houquan F",217,IF(Atletas!N452="Zuiquan F",218,"")))))))))))))))))))))</f>
        <v/>
      </c>
      <c r="BV461" s="50" t="str">
        <f>IF(Atletas!O452="","",IF(Atletas!X452&lt;&gt;"",10000,0)+IF(Atletas!B452="Feminino",1000,IF(Atletas!B452="Masculino",2000,""))+IF(Atletas!O452="Yang A",301,IF(Atletas!O452="Chen A",302,IF(Atletas!O452="Sun A",303,IF(Atletas!O452="Wu A",304,IF(Atletas!O452="Wu-Hao A",305,IF(Atletas!O452="Outro Taijiquan A",306,IF(Atletas!O452="Yang B",307,IF(Atletas!O452="Chen B",308,IF(Atletas!O452="Sun B",309,IF(Atletas!O452="Wu B",310,IF(Atletas!O452="Wu-Hao B",311,IF(Atletas!O452="Outro Taijiquan B",312,IF(Atletas!O452="Yang C",313,IF(Atletas!O452="Chen C",314,IF(Atletas!O452="Sun C",315,IF(Atletas!O452="Wu C",316,IF(Atletas!O452="Wu-Hao C",317,IF(Atletas!O452="Outro Taijiquan C",318,IF(Atletas!O452="Yang D",319,IF(Atletas!O452="Chen D",320,IF(Atletas!O452="Sun D",321,IF(Atletas!O452="Wu D",322,IF(Atletas!O452="Wu-Hao D",323,IF(Atletas!O452="Outro Taijiquan D",324,IF(Atletas!O452="Yang E",325,IF(Atletas!O452="Chen E",326,IF(Atletas!O452="Sun E",327,IF(Atletas!O452="Wu E",328,IF(Atletas!O452="Wu-Hao E",329,IF(Atletas!O452="Outro Taijiquan E",330,IF(Atletas!O452="Yang F",331,IF(Atletas!O452="Chen F",332,IF(Atletas!O452="Sun F",333,IF(Atletas!O452="Wu F",334,IF(Atletas!O452="Wu-Hao F",335,IF(Atletas!O452="Outro Taijiquan F",336,"")))))))))))))))))))))))))))))))))))))</f>
        <v/>
      </c>
      <c r="BW461" s="50" t="str">
        <f>IF(Atletas!P452="","",IF(Atletas!X452&lt;&gt;"",10000,0)+IF(Atletas!B452="Feminino",1000,IF(Atletas!B452="Masculino",2000,""))+IF(OR(Atletas!P452="Yang 26 A",Atletas!P452="Yang 40 A"),401,IF(OR(Atletas!P452="Chen 25 A",Atletas!P452="Chen 36 A",Atletas!P452="Chen 56 A"),402,IF(Atletas!P452="Sun 73 A",403,IF(Atletas!P452="Wu 45 A",404,IF(Atletas!P452="Wu-Hao 46 A",405,IF(OR(Atletas!P452="Taijiquan 16 A",Atletas!P452="Taijiquan 24 A",Atletas!P452="Taijiquan 32 A",Atletas!P452="Taijiquan 42 A"),406,IF(OR(Atletas!P452="Yang 26 B",Atletas!P452="Yang 40 B"),407,IF(OR(Atletas!P452="Chen 25 B",Atletas!P452="Chen 36 B",Atletas!P452="Chen 56 B"),408,IF(Atletas!P452="Sun 73 B",409,IF(Atletas!P452="Wu 45 B",410,IF(Atletas!P452="Wu-Hao 46 B",411,IF(OR(Atletas!P452="Taijiquan 16 B",Atletas!P452="Taijiquan 24 B",Atletas!P452="Taijiquan 32 B",Atletas!P452="Taijiquan 42 B"),412,IF(OR(Atletas!P452="Yang 26 C",Atletas!P452="Yang 40 C"),413,IF(OR(Atletas!P452="Chen 25 C",Atletas!P452="Chen 36 C",Atletas!P452="Chen 56 C"),414,IF(Atletas!P452="Sun 73 C",415,IF(Atletas!P452="Wu 45 C",416,IF(Atletas!P452="Wu-Hao 46 C",417,IF(OR(Atletas!P452="Taijiquan 16 C",Atletas!P452="Taijiquan 24 C",Atletas!P452="Taijiquan 32 C",Atletas!P452="Taijiquan 42 C"),418,0)))))))))))))))))))</f>
        <v/>
      </c>
      <c r="BX461" s="50" t="str">
        <f>IF(Atletas!P452="","",IF(Atletas!X452&lt;&gt;"",10000,0)+IF(Atletas!B452="Feminino",1000,IF(Atletas!B452="Masculino",2000,""))+IF(OR(Atletas!P452="Yang 26 D",Atletas!P452="Yang 40 D"),419,IF(OR(Atletas!P452="Chen 25 D",Atletas!P452="Chen 36 D",Atletas!P452="Chen 56 D"),420,IF(Atletas!P452="Sun 73 D",421,IF(Atletas!P452="Wu 45 D",422,IF(Atletas!P452="Wu-Hao 46 D",423,IF(OR(Atletas!P452="Taijiquan 16 D",Atletas!P452="Taijiquan 24 D",Atletas!P452="Taijiquan 32 D",Atletas!P452="Taijiquan 42 D"),424,IF(OR(Atletas!P452="Yang 26 E",Atletas!P452="Yang 40 E"),425,IF(OR(Atletas!P452="Chen 25 E",Atletas!P452="Chen 36 E",Atletas!P452="Chen 56 E"),426,IF(Atletas!P452="Sun 73 E",427,IF(Atletas!P452="Wu 45 E",428,IF(Atletas!P452="Wu-Hao 46 E",429,IF(OR(Atletas!P452="Taijiquan 16 E",Atletas!P452="Taijiquan 24 E",Atletas!P452="Taijiquan 32 E",Atletas!P452="Taijiquan 42 E"),430,IF(OR(Atletas!P452="Yang 26 F",Atletas!P452="Yang 40 F"),431,IF(OR(Atletas!P452="Chen 25 F",Atletas!P452="Chen 36 F",Atletas!P452="Chen 56 F"),432,IF(Atletas!P452="Sun 73 F",433,IF(Atletas!P452="Wu 45 F",434,IF(Atletas!P452="Wu-Hao 46 F",435,IF(OR(Atletas!P452="Taijiquan 16 F",Atletas!P452="Taijiquan 24 F",Atletas!P452="Taijiquan 32 F",Atletas!P452="Taijiquan 42 F"),436,0)))))))))))))))))))</f>
        <v/>
      </c>
      <c r="BY461" s="50" t="str">
        <f>IF(Atletas!Q452="","",IF(Atletas!X452&lt;&gt;"",10000,0)+IF(Atletas!B452="Feminino",1000,IF(Atletas!B452="Masculino",2000,""))+IF(Atletas!Q452="Xingyiquan A",501,IF(Atletas!Q452="Baguazhang A",502,IF(Atletas!Q452="Outro Estilo Interno A",503,IF(Atletas!Q452="Xingyiquan B",504,IF(Atletas!Q452="Baguazhang B",505,IF(Atletas!Q452="Outro Estilo Interno B",506,IF(Atletas!Q452="Xingyiquan C",507,IF(Atletas!Q452="Baguazhang C",508,IF(Atletas!Q452="Outro Estilo Interno C",509,IF(Atletas!Q452="Xingyiquan D",510,IF(Atletas!Q452="Baguazhang D",511,IF(Atletas!Q452="Outro Estilo Interno D",512,IF(Atletas!Q452="Xingyiquan E",513,IF(Atletas!Q452="Baguazhang E",514,IF(Atletas!Q452="Outro Estilo Interno E",515,IF(Atletas!Q452="Xingyiquan F",516,IF(Atletas!Q452="Baguazhang F",517,IF(Atletas!Q452="Outro Estilo Interno F",518, "")))))))))))))))))))</f>
        <v/>
      </c>
      <c r="BZ461" s="50" t="str">
        <f>IF(Atletas!R452="","",IF(Atletas!X452&lt;&gt;"",10000,0)+IF(Atletas!B452="Feminino",1000,IF(Atletas!B452="Masculino",2000,""))+IF(Atletas!R452="Dao A",601,IF(Atletas!R452="Jian A",602,IF(Atletas!R452="Bishou A",603,IF(Atletas!R452="Shanzi A",604,IF(Atletas!R452="Outra Arma Curta A",605,IF(Atletas!R452="Dao B",606,IF(Atletas!R452="Jian B",607,IF(Atletas!R452="Bishou B",608,IF(Atletas!R452="Shanzi B",609,IF(Atletas!R452="Outra Arma Curta B",610,IF(Atletas!R452="Dao C",611,IF(Atletas!R452="Jian C",612,IF(Atletas!R452="Bishou C",613,IF(Atletas!R452="Shanzi C",614,IF(Atletas!R452="Outra Arma Curta C",615,IF(Atletas!R452="Dao D",616,IF(Atletas!R452="Jian D",617,IF(Atletas!R452="Bishou D",618,IF(Atletas!R452="Shanzi D",619,IF(Atletas!R452="Outra Arma Curta D",620,IF(Atletas!R452="Dao E",621,IF(Atletas!R452="Jian E",622,IF(Atletas!R452="Bishou E",623,IF(Atletas!R452="Shanzi E",624,IF(Atletas!R452="Outra Arma Curta E",625,IF(Atletas!R452="Dao F",626,IF(Atletas!R452="Jian F",627,IF(Atletas!R452="Bishou F",628,IF(Atletas!R452="Shanzi F",629,IF(Atletas!R452="Outra Arma Curta F",630, "")))))))))))))))))))))))))))))))</f>
        <v/>
      </c>
      <c r="CA461" s="50" t="str">
        <f>IF(Atletas!S452="","",IF(Atletas!X452&lt;&gt;"",10000,0)+IF(Atletas!B452="Feminino",1000,IF(Atletas!B452="Masculino",2000,""))+IF(Atletas!S452="Gun A",701,IF(Atletas!S452="Qiang A",702,IF(Atletas!S452="Pudao / Guandao A",703,IF(Atletas!S452="Outra Arma Longa A",704,IF(Atletas!S452="Gun B",705,IF(Atletas!S452="Qiang B",706,IF(Atletas!S452="Pudao / Guandao B",707,IF(Atletas!S452="Outra Arma Longa B",708,IF(Atletas!S452="Gun C",709,IF(Atletas!S452="Qiang C",710,IF(Atletas!S452="Pudao / Guandao C",711,IF(Atletas!S452="Outra Arma Longa C",712,IF(Atletas!S452="Gun D",713,IF(Atletas!S452="Qiang D",714,IF(Atletas!S452="Pudao / Guandao D",715,IF(Atletas!S452="Outra Arma Longa D",716,IF(Atletas!S452="Gun E",717,IF(Atletas!S452="Qiang E",718,IF(Atletas!S452="Pudao / Guandao E",719,IF(Atletas!S452="Outra Arma Longa E",720,IF(Atletas!S452="Gun F",721,IF(Atletas!S452="Qiang F",722,IF(Atletas!S452="Pudao / Guandao F",723,IF(Atletas!S452="Outra Arma Longa F",724,"")))))))))))))))))))))))))</f>
        <v/>
      </c>
      <c r="CB461" s="50" t="str">
        <f>IF(Atletas!T452="","",IF(Atletas!X452&lt;&gt;"",10000,0)+IF(Atletas!B452="Feminino",1000,IF(Atletas!B452="Masculino",2000,""))+IF(Atletas!T452="Outra Arma Dupla A",801,IF(Atletas!T452="Arma Maleável A",802,IF(Atletas!T452="Outra Arma Dupla B",803,IF(Atletas!T452="Arma Maleável B",804,IF(Atletas!T452="Outra Arma Dupla C",805,IF(Atletas!T452="Arma Maleável C",806,IF(Atletas!T452="Outra Arma Dupla D",807,IF(Atletas!T452="Arma Maleável D",808,IF(Atletas!T452="Outra Arma Dupla E",809,IF(Atletas!T452="Arma Maleável E",810,IF(Atletas!T452="Outra Arma Dupla F",811,IF(Atletas!T452="Arma Maleável F",812,IF(Atletas!T452="Shuangdao A",813,IF(Atletas!T452="Shuangdao B",814,IF(Atletas!T452="Shuangdao C",815,IF(Atletas!T452="Shuangdao D",816,IF(Atletas!T452="Shuangdao E",817,IF(Atletas!T452="Shuangdao F",818,"")))))))))))))))))))</f>
        <v/>
      </c>
      <c r="CC461" s="50" t="str">
        <f>IF(Atletas!U452="","",IF(Atletas!X452&lt;&gt;"",10000,0)+IF(Atletas!B452="Feminino",1000,IF(Atletas!B452="Masculino",2000,""))+IF(OR(Atletas!U452="Taijijian Yang A",Atletas!U452="Taijijian Yang Standard A"),901,IF(OR(Atletas!U452="Taijijian Chen A", Atletas!U452="Taijijian Chen Standard A"),902,IF(Atletas!U452="Taijijian Sun A",903,IF(Atletas!U452="Taijijian Wu A",904,IF(Atletas!U452="Taijijian Wu-Hao A",905,IF(OR(Atletas!U452="Taijijian 32 A",Atletas!U452="Taijijian 42 A"),906,IF(OR(Atletas!U452="Taijijian Yang B",Atletas!U452="Taijijian Yang Standard B"),907,IF(OR(Atletas!U452="Taijijian Chen B", Atletas!U452="Taijijian Chen Standard B"),908,IF(Atletas!U452="Taijijian Sun B",909,IF(Atletas!U452="Taijijian Wu B",910,IF(Atletas!U452="Taijijian Wu-Hao B",911,IF(OR(Atletas!U452="Taijijian 32 B",Atletas!U452="Taijijian 42 B"),912,IF(OR(Atletas!U452="Taijijian Yang C",Atletas!U452="Taijijian Yang Standard C"),913,IF(OR(Atletas!U452="Taijijian Chen C", Atletas!U452="Taijijian Chen Standard C"),914,IF(Atletas!U452="Taijijian Sun C",915,IF(Atletas!U452="Taijijian Wu C",916,IF(Atletas!U452="Taijijian Wu-Hao C",917,IF(OR(Atletas!U452="Taijijian 32 C",Atletas!U452="Taijijian 42 C"),918,IF(OR(Atletas!U452="Taijijian Yang D",Atletas!U452="Taijijian Yang Standard D"),919,IF(OR(Atletas!U452="Taijijian Chen D", Atletas!U452="Taijijian Chen Standard D"),920,IF(Atletas!U452="Taijijian Sun D",921,IF(Atletas!U452="Taijijian Wu D",922,IF(Atletas!U452="Taijijian Wu-Hao D",923,IF(OR(Atletas!U452="Taijijian 32 D",Atletas!U452="Taijijian 42 D"),924,IF(OR(Atletas!U452="Taijijian Yang E",Atletas!U452="Taijijian Yang Standard E"),925,IF(OR(Atletas!U452="Taijijian Chen E", Atletas!U452="Taijijian Chen Standard E"),926,IF(Atletas!U452="Taijijian Sun E",927,IF(Atletas!U452="Taijijian Wu E",928,IF(Atletas!U452="Taijijian Wu-Hao E",929,IF(OR(Atletas!U452="Taijijian 32 E",Atletas!U452="Taijijian 42 E"),930,IF(OR(Atletas!U452="Taijijian Yang F",Atletas!U452="Taijijian Yang Standard F"),931,IF(OR(Atletas!U452="Taijijian Chen F", Atletas!U452="Taijijian Chen Standard F"),932,IF(Atletas!U452="Taijijian Sun F",933,IF(Atletas!U452="Taijijian Wu F",934,IF(Atletas!U452="Taijijian Wu-Hao F",935,IF(OR(Atletas!U452="Taijijian 32 F",Atletas!U452="Taijijian 42 F"),936,"")))))))))))))))))))))))))))))))))))))</f>
        <v/>
      </c>
      <c r="CD461" s="50" t="str">
        <f>IF(Atletas!V452="","",IF(Atletas!X452&lt;&gt;"",10000,0)+IF(Atletas!B452="Feminino",1000,IF(Atletas!B452="Masculino",2000,""))+IF(Atletas!V452="Taijidao A",937,IF(Atletas!V452="TaijiShanzi A",938,IF(Atletas!V452="Taijiqiang A",939,IF(Atletas!V452="Bagua de Arma A",940,IF(Atletas!V452="Xingyi de Arma A",941,IF(Atletas!V452="Taijidao B",942,IF(Atletas!V452="TaijiShanzi B",943,IF(Atletas!V452="Taijiqiang B",944,IF(Atletas!V452="Bagua de Arma B",945,IF(Atletas!V452="Xingyi de Arma B",946,IF(Atletas!V452="Taijidao C",947,IF(Atletas!V452="TaijiShanzi C",948,IF(Atletas!V452="Taijiqiang C",949,IF(Atletas!V452="Bagua de Arma C",950,IF(Atletas!V452="Xingyi de Arma C",951,IF(Atletas!V452="Taijidao D",952,IF(Atletas!V452="TaijiShanzi D",953,IF(Atletas!V452="Taijiqiang D",954,IF(Atletas!V452="Bagua de Arma D",955,IF(Atletas!V452="Xingyi de Arma D",956,IF(Atletas!V452="Taijidao E",957,IF(Atletas!V452="TaijiShanzi E",958,IF(Atletas!V452="Taijiqiang E",959,IF(Atletas!V452="Bagua de Arma E",960,IF(Atletas!V452="Xingyi de Arma E",961,IF(Atletas!V452="Taijidao F",962,IF(Atletas!V452="TaijiShanzi F",963,IF(Atletas!V452="Taijiqiang F",964,IF(Atletas!V452="Bagua de Arma F",965,IF(Atletas!V452="Xingyi de Arma F",966,"")))))))))))))))))))))))))))))))</f>
        <v/>
      </c>
      <c r="CM461" s="50" t="str">
        <f xml:space="preserve"> IF(Atletas!W452="","",IF(Atletas!W452="Duilian de Mãos BC - Equipe 1",1,IF(Atletas!W452="Duilian de Mãos BC - Equipe 2",2,IF(Atletas!W452="Duilian de Armas BC - Equipe 1",3,IF(Atletas!W452="Duilian de Armas BC - Equipe 2",4,IF(Atletas!W452="Duilian de Mãos DE - Equipe 1",5,IF(Atletas!W452="Duilian de Mãos DE - Equipe 2",6,IF(Atletas!W452="Duilian de Armas DE - Equipe 1",7,IF(Atletas!W452="Duilian de Armas DE - Equipe 2",8,IF(Atletas!W452="Duilian de Tuishou - Equipe 1",9,IF(Atletas!W452="Duilian de Tuishou - Equipe 2",10,IF(Atletas!W452="Grupo Externo ABC - Equipe 1",11,IF(Atletas!W452="Grupo Externo ABC - Equipe 2",12,IF(Atletas!W452="Grupo Interno ABC - Equipe 1",13,IF(Atletas!W452="Grupo Interno ABC - Equipe 2",14,IF(Atletas!W452="Grupo Externo DEF - Equipe 1",15,IF(Atletas!W452="Grupo Externo DEF - Equipe 2",16,IF(Atletas!W452="Grupo Interno DEF - Equipe 1",17,IF(Atletas!W452="Grupo Interno DEF - Equipe 2",18,"")))))))))))))))))))</f>
        <v/>
      </c>
    </row>
    <row r="462" spans="40:91">
      <c r="AN462" s="52" t="str">
        <f>IF(Atletas!D453="","",IF(Atletas!B453="Feminino",100,IF(Atletas!B453="Masculino",200,""))+(IF(Atletas!D453="Kids 30kg",1,IF(Atletas!D453="Kids 32kg",2, IF(Atletas!D453="Kids 34kg",3,IF(Atletas!D453="Kids 36kg",4,IF(Atletas!D453="Kids 39kg",5,IF(Atletas!D453="Kids 42kg",6,IF(Atletas!D453="Kids 45kg",7, IF(Atletas!D453="Infantil 39kg",8,IF(Atletas!D453="Infantil 42kg",9,IF(Atletas!D453="Infantil 45kg",10,IF(Atletas!D453="Infantil 48kg",11,IF(Atletas!D453="Infantil 52kg",12,IF(Atletas!D453="Infantil 56kg",13,IF(Atletas!D453="Infantil 60kg",14,IF(Atletas!D453="Juvenil 48kg",15,IF(Atletas!D453="Juvenil 52kg",16,IF(Atletas!D453="Juvenil 56kg",17,IF(Atletas!D453="Juvenil 60kg",18,IF(Atletas!D453="Juvenil 65kg",19,IF(Atletas!D453="Juvenil 70kg",20,IF(Atletas!D453="Juvenil 75kg",21,IF(Atletas!D453="Juvenil 80kg",22, IF(Atletas!D453="Juvenil 85kg",23,IF(Atletas!D453="Adulto 48kg",24,IF(Atletas!D453="Adulto 52kg",25,IF(Atletas!D453="Adulto 56kg",26,IF(Atletas!D453="Adulto 60kg",27,IF(Atletas!D453="Adulto 65kg",28,IF(Atletas!D453="Adulto 70kg",29,IF(Atletas!D453="Adulto 75kg",30,IF(Atletas!D453="Adulto 80kg",31,IF(Atletas!D453="Adulto 85kg",32,IF(Atletas!D453="Adulto 90kg",33,IF(Atletas!D453="Adulto 100kg",34, IF(Atletas!D453="Adulto +100kg",35,"")))))))))))))))))))))))))))))))))))))</f>
        <v/>
      </c>
      <c r="AS462" s="6" t="str">
        <f>IF(Atletas!E453="","",IF(Atletas!B453="Feminino",100,IF(Atletas!B453="Masculino",200,""))+(IF(Atletas!E453="Juvenil 44kg",1,IF(Atletas!E453="Juvenil 48kg",2,IF(Atletas!E453="Juvenil 52kg",3,IF(Atletas!E453="Juvenil 56kg",4,IF(Atletas!E453="Juvenil 60kg",5,IF(Atletas!E453="Juvenil 65kg",6,IF(Atletas!E453="Juvenil 70kg",7,IF(Atletas!E453="Juvenil 75kg",8,IF(Atletas!E453="Juvenil 82kg",9,IF(Atletas!E453="Juvenil 90kg",10,IF(Atletas!E453="Juvenil 100kg",11,IF(Atletas!E453="Adulto 48kg",12,IF(Atletas!E453="Adulto 52kg",13,IF(Atletas!E453="Adulto 56kg",14,IF(Atletas!E453="Adulto 60kg",15,IF(Atletas!E453="Adulto 65kg",16,IF(Atletas!E453="Adulto 70kg",17,IF(Atletas!E453="Adulto 75kg",18,IF(Atletas!E453="Adulto 82kg",19,IF(Atletas!E453="Adulto 90kg",20,IF(Atletas!E453="Adulto 100kg",21,IF(Atletas!E453="Adulto +100kg",22,""))))))))))))))))))))))))</f>
        <v/>
      </c>
      <c r="AX462" s="6" t="str">
        <f>IF(Atletas!F453="","",IF(Atletas!B453="Feminino",100,IF(Atletas!B453="Masculino",200,""))+(IF(Atletas!F453="Adulto 48kg",1,IF(Atletas!F453="Adulto 56kg",2,IF(Atletas!F453="Adulto 65kg",3,IF(Atletas!F453="Adulto 75kg",4,IF(Atletas!F453="Adulto +75kg",5,IF(Atletas!F453="Adulto 52kg",6,IF(Atletas!F453="Adulto 60kg",7,IF(Atletas!F453="Adulto 70kg",8,IF(Atletas!F453="Adulto 80kg",9,IF(Atletas!F453="Adulto 90kg",10,IF(Atletas!F453="Adulto +90kg",11,"")))))))))))))</f>
        <v/>
      </c>
      <c r="BC462" s="6" t="str">
        <f>IF(Atletas!G453="","",IF(Atletas!B453="Feminino",10,IF(Atletas!B453="Masculino",20,""))+(IF(Atletas!G453="Baduanjin A",1,IF(Atletas!G453="Baduanjin B",2))))</f>
        <v/>
      </c>
      <c r="BF462" s="52" t="str">
        <f>IF(Atletas!H453="","",IF(Atletas!B453="Feminino",100,IF(Atletas!B453="Masculino",200,""))+(IF(Atletas!H453="Changquan Mirim",1,IF(Atletas!H453="Nanquan Mirim",2,IF(Atletas!H453="Taijiquan Mirim",3,IF(Atletas!H453="Changquan Grupo C",4,IF(Atletas!H453="Nanquan Grupo C",5,IF(Atletas!H453="Taijiquan Grupo C",6,IF(Atletas!H453="Changquan Grupo B",7,IF(Atletas!H453="Nanquan Grupo B",8,IF(Atletas!H453="Taijiquan Grupo B",9,IF(Atletas!H453="Changquan Grupo A",10,IF(Atletas!H453="Nanquan Grupo A",11,IF(Atletas!H453="Taijiquan Grupo A",12,IF(Atletas!H453="Changquan Opcional",13,IF(Atletas!H453="Nanquan Opcional",14,IF(Atletas!H453="Taijiquan Opcional",15,IF(Atletas!H453="Changquan Adulto",16,IF(Atletas!H453="Nanquan Adulto",17,IF(Atletas!H453="Taijiquan Adulto",18,""))))))))))))))))))))</f>
        <v/>
      </c>
      <c r="BG462" s="52" t="str">
        <f>IF(Atletas!I453="","",IF(Atletas!B453="Feminino",100,IF(Atletas!B453="Masculino",200,""))+(IF(Atletas!I453="Daoshu Mirim",19,IF(Atletas!I453="Jianshu Mirim",20,IF(Atletas!I453="Nandao Mirim",21,IF(Atletas!I453="Taijijian Mirim",22,IF(Atletas!I453="Daoshu Grupo C",23,IF(Atletas!I453="Jianshu Grupo C",24,IF(Atletas!I453="Nandao Grupo C",25,IF(Atletas!I453="Taijijian Grupo C",26,IF(Atletas!I453="Daoshu Grupo B",27,IF(Atletas!I453="Jianshu Grupo B",28,IF(Atletas!I453="Nandao Grupo B",29,IF(Atletas!I453="Taijijian Grupo B",30,IF(Atletas!I453="Daoshu Grupo A",31,IF(Atletas!I453="Jianshu Grupo A",32,IF(Atletas!I453="Nandao Grupo A",33,IF(Atletas!I453="Taijijian Grupo A",34,IF(Atletas!I453="Daoshu Opcional",35,IF(Atletas!I453="Jianshu Opcional",36,IF(Atletas!I453="Nandao Opcional",37,IF(Atletas!I453="Taijijian Opcional",38,IF(Atletas!I453="Daoshu Adulto",39,IF(Atletas!I453="Jianshu Adulto",40,IF(Atletas!I453="Nandao Adulto",41,IF(Atletas!I453="Taijijian Adulto",42,""))))))))))))))))))))))))))</f>
        <v/>
      </c>
      <c r="BH462" s="52" t="str">
        <f>IF(Atletas!J453="","",IF(Atletas!B453="Feminino",100,IF(Atletas!B453="Masculino",200,""))+(IF(Atletas!J453="Gunshu Mirim",43,IF(Atletas!J453="Qiangshu Mirim",44,IF(Atletas!J453="Nangun Mirim",45,IF(Atletas!J453="Gunshu Grupo C",46,IF(Atletas!J453="Qiangshu Grupo C",47,IF(Atletas!J453="Nangun Grupo C",48,IF(Atletas!J453="Gunshu Grupo B",49,IF(Atletas!J453="Qiangshu Grupo B",50,IF(Atletas!J453="Nangun Grupo B",51,IF(Atletas!J453="Gunshu Grupo A",52,IF(Atletas!J453="Qiangshu Grupo A",53,IF(Atletas!J453="Nangun Grupo A",54,IF(Atletas!J453="Gunshu Opcional",55,IF(Atletas!J453="Qiangshu Opcional",56,IF(Atletas!J453="Nangun Opcional",57,IF(Atletas!J453="Gunshu Adulto",58,IF(Atletas!J453="Qiangshu Adulto",59,IF(Atletas!J453="Nangun Adulto",60,IF(Atletas!J453="Taijishan Grupo B",61,IF(Atletas!J453="Taijishan Grupo A",62,""))))))))))))))))))))))</f>
        <v/>
      </c>
      <c r="BM462" s="50" t="str">
        <f>IF(Atletas!K453="","",IF(Atletas!B453="Feminino",100,IF(Atletas!B453="Masculino",200,""))+(IF(Atletas!K453="Equipe 1 Grupo B",1,IF(Atletas!K453="Equipe 2 Grupo B",2,IF(Atletas!K453="Equipe 1 Grupo A",3,IF(Atletas!K453="Equipe 2 Grupo A",4,IF(Atletas!K453="Equipe 1 Adulto",5,IF(Atletas!K453="Equipe 2 Adulto",6,""))))))))</f>
        <v/>
      </c>
      <c r="BR462" s="50" t="str">
        <f>IF(Atletas!L453="","",IF(Atletas!X453&lt;&gt;"",10000,0)+(IF(Atletas!B453="Feminino",1000,IF(Atletas!B453="Masculino",2000,""))+IF(Atletas!L453="Choylayfut A",1,IF(Atletas!L453="Hunggar A",2,IF(Atletas!L453="Wuzuquan A",3,IF(Atletas!L453="Wingchun A",4,IF(Atletas!L453="Outra Mão de Sul A",5,IF(Atletas!L453="Choylayfut B",6,IF(Atletas!L453="Hunggar B",7,IF(Atletas!L453="Wuzuquan B",8,IF(Atletas!L453="Wingchun B",9,IF(Atletas!L453="Outra Mão de Sul B",10,IF(Atletas!L453="Choylayfut C",11,IF(Atletas!L453="Hunggar C",12,IF(Atletas!L453="Wuzuquan C",13,IF(Atletas!L453="Wingchun C",14,IF(Atletas!L453="Outra Mão de Sul C",15,IF(Atletas!L453="Choylayfut D",16,IF(Atletas!L453="Hunggar D",17,IF(Atletas!L453="Wuzuquan D",18,IF(Atletas!L453="Wingchun D",19,IF(Atletas!L453="Outra Mão de Sul D",20,IF(Atletas!L453="Choylayfut E",21,IF(Atletas!L453="Hunggar E",22,IF(Atletas!L453="Wuzuquan E",23,IF(Atletas!L453="Wingchun E",24,IF(Atletas!L453="Outra Mão de Sul E",25,IF(Atletas!L453="Choylayfut F",26,IF(Atletas!L453="Hunggar F",27,IF(Atletas!L453="Wuzuquan F",28,IF(Atletas!L453="Wingchun F",29,IF(Atletas!L453="Outra Mão de Sul F",30,IF(Atletas!L453="Dishuquan A",31,IF(Atletas!L453="Dishuquan B",32,IF(Atletas!L453="Dishuquan C",33,IF(Atletas!L453="Dishuquan D",34,IF(Atletas!L453="Dishuquan E",35,IF(Atletas!L453="Dishuquan F",36,""))))))))))))))))))))))))))))))))))))))</f>
        <v/>
      </c>
      <c r="BS462" s="50" t="str">
        <f>IF(Atletas!M453="","",IF(Atletas!X453&lt;&gt;"",10000,0)+(IF(Atletas!B453="Feminino",1000,IF(Atletas!B453="Masculino",2000,""))+(IF(Atletas!M453="Chaquan A",101,IF(Atletas!M453="Emeiquan A",102,IF(Atletas!M453="Fanziquan A",103,IF(Atletas!M453="Huaquan A",104,IF(Atletas!M453="Hongquan A",105,IF(Atletas!M453="Paoquan A",106,IF(Atletas!M453="Piguaquan A",107,IF(Atletas!M453="Shaolinquan A",108,IF(Atletas!M453="Tanglangquan A",109,IF(Atletas!M453="Yingzhaoquan A",110,IF(Atletas!M453="Tongbeiquan A",111,IF(Atletas!M453="Wudangquan A",112,IF(Atletas!M453="Outros Estilos A",113,IF(Atletas!M453="Chaquan B",114,IF(Atletas!M453="Emeiquan B",115,IF(Atletas!M453="Fanziquan B",116,IF(Atletas!M453="Huaquan B",117,IF(Atletas!M453="Hongquan B",118,IF(Atletas!M453="Paoquan B",119,IF(Atletas!M453="Piguaquan B",120,IF(Atletas!M453="Shaolinquan B",121,IF(Atletas!M453="Tanglangquan B",122,IF(Atletas!M453="Yingzhaoquan B",123,IF(Atletas!M453="Tongbeiquan B",124,IF(Atletas!M453="Wudangquan B",125,IF(Atletas!M453="Outros Estilos B",126,IF(Atletas!M453="Chaquan C",127,IF(Atletas!M453="Emeiquan C",128,IF(Atletas!M453="Fanziquan C",129,IF(Atletas!M453="Huaquan C",130,IF(Atletas!M453="Hongquan C",131,IF(Atletas!M453="Paoquan C",132,IF(Atletas!M453="Piguaquan C",133,IF(Atletas!M453="Shaolinquan C",134,IF(Atletas!M453="Tanglangquan C",135,IF(Atletas!M453="Yingzhaoquan C",136,IF(Atletas!M453="Tongbeiquan C",137,IF(Atletas!M453="Wudangquan C",138,IF(Atletas!M453="Outros Estilos C",139,0))))))))))))))))))))))))))))))))))))))))))</f>
        <v/>
      </c>
      <c r="BT462" s="50" t="str">
        <f>IF(Atletas!M453="","",IF(Atletas!X453&lt;&gt;"",10000,0)+(IF(Atletas!B453="Feminino",1000,IF(Atletas!B453="Masculino",2000,""))+(IF(Atletas!M453="Chaquan D",140,IF(Atletas!M453="Emeiquan D",141,IF(Atletas!M453="Fanziquan D",142,IF(Atletas!M453="Huaquan D",143,IF(Atletas!M453="Hongquan D",144,IF(Atletas!M453="Paoquan D",145,IF(Atletas!M453="Piguaquan D",146,IF(Atletas!M453="Shaolinquan D",147,IF(Atletas!M453="Tanglangquan D",148,IF(Atletas!M453="Yingzhaoquan D",149,IF(Atletas!M453="Tongbeiquan D",150,IF(Atletas!M453="Wudangquan D",151,IF(Atletas!M453="Outros Estilos D",152,IF(Atletas!M453="Chaquan E",153,IF(Atletas!M453="Emeiquan E",154,IF(Atletas!M453="Fanziquan E",155,IF(Atletas!M453="Huaquan E",156,IF(Atletas!M453="Hongquan E",157,IF(Atletas!M453="Paoquan E",158,IF(Atletas!M453="Piguaquan E",159,IF(Atletas!M453="Shaolinquan E",160,IF(Atletas!M453="Tanglangquan E",161,IF(Atletas!M453="Yingzhaoquan E",162,IF(Atletas!M453="Tongbeiquan E",163,IF(Atletas!M453="Wudangquan E",164,IF(Atletas!M453="Outros Estilos E",165,IF(Atletas!M453="Chaquan F",166,IF(Atletas!M453="Emeiquan F",167,IF(Atletas!M453="Fanziquan F",168,IF(Atletas!M453="Huaquan F",169,IF(Atletas!M453="Hongquan F",170,IF(Atletas!M453="Paoquan F",171,IF(Atletas!M453="Piguaquan F",172,IF(Atletas!M453="Shaolinquan F",173,IF(Atletas!M453="Tanglangquan F",174,IF(Atletas!M453="Yingzhaoquan F",175,IF(Atletas!M453="Tongbeiquan F",176,IF(Atletas!M453="Wudangquan F",177,IF(Atletas!M453="Outros Estilos F",178,0))))))))))))))))))))))))))))))))))))))))))</f>
        <v/>
      </c>
      <c r="BU462" s="50" t="str">
        <f>IF(Atletas!N453="","",IF(Atletas!X453&lt;&gt;"",10000,0)+(IF(Atletas!B453="Feminino",1000,IF(Atletas!B453="Masculino",2000,""))+(IF(Atletas!N453="Ditangquan A",201,IF(Atletas!N453="Houquan A",202,IF(Atletas!N453="Zuiquan A",203,IF(Atletas!N453="Ditangquan B",204,IF(Atletas!N453="Houquan B",205,IF(Atletas!N453="Zuiquan B",206,IF(Atletas!N453="Ditangquan C",207,IF(Atletas!N453="Houquan C",208,IF(Atletas!N453="Zuiquan C",209,IF(Atletas!N453="Ditangquan D",210,IF(Atletas!N453="Houquan D",211,IF(Atletas!N453="Zuiquan D",212,IF(Atletas!N453="Ditangquan E",213,IF(Atletas!N453="Houquan E",214,IF(Atletas!N453="Zuiquan E",215,IF(Atletas!N453="Ditangquan F",216,IF(Atletas!N453="Houquan F",217,IF(Atletas!N453="Zuiquan F",218,"")))))))))))))))))))))</f>
        <v/>
      </c>
      <c r="BV462" s="50" t="str">
        <f>IF(Atletas!O453="","",IF(Atletas!X453&lt;&gt;"",10000,0)+IF(Atletas!B453="Feminino",1000,IF(Atletas!B453="Masculino",2000,""))+IF(Atletas!O453="Yang A",301,IF(Atletas!O453="Chen A",302,IF(Atletas!O453="Sun A",303,IF(Atletas!O453="Wu A",304,IF(Atletas!O453="Wu-Hao A",305,IF(Atletas!O453="Outro Taijiquan A",306,IF(Atletas!O453="Yang B",307,IF(Atletas!O453="Chen B",308,IF(Atletas!O453="Sun B",309,IF(Atletas!O453="Wu B",310,IF(Atletas!O453="Wu-Hao B",311,IF(Atletas!O453="Outro Taijiquan B",312,IF(Atletas!O453="Yang C",313,IF(Atletas!O453="Chen C",314,IF(Atletas!O453="Sun C",315,IF(Atletas!O453="Wu C",316,IF(Atletas!O453="Wu-Hao C",317,IF(Atletas!O453="Outro Taijiquan C",318,IF(Atletas!O453="Yang D",319,IF(Atletas!O453="Chen D",320,IF(Atletas!O453="Sun D",321,IF(Atletas!O453="Wu D",322,IF(Atletas!O453="Wu-Hao D",323,IF(Atletas!O453="Outro Taijiquan D",324,IF(Atletas!O453="Yang E",325,IF(Atletas!O453="Chen E",326,IF(Atletas!O453="Sun E",327,IF(Atletas!O453="Wu E",328,IF(Atletas!O453="Wu-Hao E",329,IF(Atletas!O453="Outro Taijiquan E",330,IF(Atletas!O453="Yang F",331,IF(Atletas!O453="Chen F",332,IF(Atletas!O453="Sun F",333,IF(Atletas!O453="Wu F",334,IF(Atletas!O453="Wu-Hao F",335,IF(Atletas!O453="Outro Taijiquan F",336,"")))))))))))))))))))))))))))))))))))))</f>
        <v/>
      </c>
      <c r="BW462" s="50" t="str">
        <f>IF(Atletas!P453="","",IF(Atletas!X453&lt;&gt;"",10000,0)+IF(Atletas!B453="Feminino",1000,IF(Atletas!B453="Masculino",2000,""))+IF(OR(Atletas!P453="Yang 26 A",Atletas!P453="Yang 40 A"),401,IF(OR(Atletas!P453="Chen 25 A",Atletas!P453="Chen 36 A",Atletas!P453="Chen 56 A"),402,IF(Atletas!P453="Sun 73 A",403,IF(Atletas!P453="Wu 45 A",404,IF(Atletas!P453="Wu-Hao 46 A",405,IF(OR(Atletas!P453="Taijiquan 16 A",Atletas!P453="Taijiquan 24 A",Atletas!P453="Taijiquan 32 A",Atletas!P453="Taijiquan 42 A"),406,IF(OR(Atletas!P453="Yang 26 B",Atletas!P453="Yang 40 B"),407,IF(OR(Atletas!P453="Chen 25 B",Atletas!P453="Chen 36 B",Atletas!P453="Chen 56 B"),408,IF(Atletas!P453="Sun 73 B",409,IF(Atletas!P453="Wu 45 B",410,IF(Atletas!P453="Wu-Hao 46 B",411,IF(OR(Atletas!P453="Taijiquan 16 B",Atletas!P453="Taijiquan 24 B",Atletas!P453="Taijiquan 32 B",Atletas!P453="Taijiquan 42 B"),412,IF(OR(Atletas!P453="Yang 26 C",Atletas!P453="Yang 40 C"),413,IF(OR(Atletas!P453="Chen 25 C",Atletas!P453="Chen 36 C",Atletas!P453="Chen 56 C"),414,IF(Atletas!P453="Sun 73 C",415,IF(Atletas!P453="Wu 45 C",416,IF(Atletas!P453="Wu-Hao 46 C",417,IF(OR(Atletas!P453="Taijiquan 16 C",Atletas!P453="Taijiquan 24 C",Atletas!P453="Taijiquan 32 C",Atletas!P453="Taijiquan 42 C"),418,0)))))))))))))))))))</f>
        <v/>
      </c>
      <c r="BX462" s="50" t="str">
        <f>IF(Atletas!P453="","",IF(Atletas!X453&lt;&gt;"",10000,0)+IF(Atletas!B453="Feminino",1000,IF(Atletas!B453="Masculino",2000,""))+IF(OR(Atletas!P453="Yang 26 D",Atletas!P453="Yang 40 D"),419,IF(OR(Atletas!P453="Chen 25 D",Atletas!P453="Chen 36 D",Atletas!P453="Chen 56 D"),420,IF(Atletas!P453="Sun 73 D",421,IF(Atletas!P453="Wu 45 D",422,IF(Atletas!P453="Wu-Hao 46 D",423,IF(OR(Atletas!P453="Taijiquan 16 D",Atletas!P453="Taijiquan 24 D",Atletas!P453="Taijiquan 32 D",Atletas!P453="Taijiquan 42 D"),424,IF(OR(Atletas!P453="Yang 26 E",Atletas!P453="Yang 40 E"),425,IF(OR(Atletas!P453="Chen 25 E",Atletas!P453="Chen 36 E",Atletas!P453="Chen 56 E"),426,IF(Atletas!P453="Sun 73 E",427,IF(Atletas!P453="Wu 45 E",428,IF(Atletas!P453="Wu-Hao 46 E",429,IF(OR(Atletas!P453="Taijiquan 16 E",Atletas!P453="Taijiquan 24 E",Atletas!P453="Taijiquan 32 E",Atletas!P453="Taijiquan 42 E"),430,IF(OR(Atletas!P453="Yang 26 F",Atletas!P453="Yang 40 F"),431,IF(OR(Atletas!P453="Chen 25 F",Atletas!P453="Chen 36 F",Atletas!P453="Chen 56 F"),432,IF(Atletas!P453="Sun 73 F",433,IF(Atletas!P453="Wu 45 F",434,IF(Atletas!P453="Wu-Hao 46 F",435,IF(OR(Atletas!P453="Taijiquan 16 F",Atletas!P453="Taijiquan 24 F",Atletas!P453="Taijiquan 32 F",Atletas!P453="Taijiquan 42 F"),436,0)))))))))))))))))))</f>
        <v/>
      </c>
      <c r="BY462" s="50" t="str">
        <f>IF(Atletas!Q453="","",IF(Atletas!X453&lt;&gt;"",10000,0)+IF(Atletas!B453="Feminino",1000,IF(Atletas!B453="Masculino",2000,""))+IF(Atletas!Q453="Xingyiquan A",501,IF(Atletas!Q453="Baguazhang A",502,IF(Atletas!Q453="Outro Estilo Interno A",503,IF(Atletas!Q453="Xingyiquan B",504,IF(Atletas!Q453="Baguazhang B",505,IF(Atletas!Q453="Outro Estilo Interno B",506,IF(Atletas!Q453="Xingyiquan C",507,IF(Atletas!Q453="Baguazhang C",508,IF(Atletas!Q453="Outro Estilo Interno C",509,IF(Atletas!Q453="Xingyiquan D",510,IF(Atletas!Q453="Baguazhang D",511,IF(Atletas!Q453="Outro Estilo Interno D",512,IF(Atletas!Q453="Xingyiquan E",513,IF(Atletas!Q453="Baguazhang E",514,IF(Atletas!Q453="Outro Estilo Interno E",515,IF(Atletas!Q453="Xingyiquan F",516,IF(Atletas!Q453="Baguazhang F",517,IF(Atletas!Q453="Outro Estilo Interno F",518, "")))))))))))))))))))</f>
        <v/>
      </c>
      <c r="BZ462" s="50" t="str">
        <f>IF(Atletas!R453="","",IF(Atletas!X453&lt;&gt;"",10000,0)+IF(Atletas!B453="Feminino",1000,IF(Atletas!B453="Masculino",2000,""))+IF(Atletas!R453="Dao A",601,IF(Atletas!R453="Jian A",602,IF(Atletas!R453="Bishou A",603,IF(Atletas!R453="Shanzi A",604,IF(Atletas!R453="Outra Arma Curta A",605,IF(Atletas!R453="Dao B",606,IF(Atletas!R453="Jian B",607,IF(Atletas!R453="Bishou B",608,IF(Atletas!R453="Shanzi B",609,IF(Atletas!R453="Outra Arma Curta B",610,IF(Atletas!R453="Dao C",611,IF(Atletas!R453="Jian C",612,IF(Atletas!R453="Bishou C",613,IF(Atletas!R453="Shanzi C",614,IF(Atletas!R453="Outra Arma Curta C",615,IF(Atletas!R453="Dao D",616,IF(Atletas!R453="Jian D",617,IF(Atletas!R453="Bishou D",618,IF(Atletas!R453="Shanzi D",619,IF(Atletas!R453="Outra Arma Curta D",620,IF(Atletas!R453="Dao E",621,IF(Atletas!R453="Jian E",622,IF(Atletas!R453="Bishou E",623,IF(Atletas!R453="Shanzi E",624,IF(Atletas!R453="Outra Arma Curta E",625,IF(Atletas!R453="Dao F",626,IF(Atletas!R453="Jian F",627,IF(Atletas!R453="Bishou F",628,IF(Atletas!R453="Shanzi F",629,IF(Atletas!R453="Outra Arma Curta F",630, "")))))))))))))))))))))))))))))))</f>
        <v/>
      </c>
      <c r="CA462" s="50" t="str">
        <f>IF(Atletas!S453="","",IF(Atletas!X453&lt;&gt;"",10000,0)+IF(Atletas!B453="Feminino",1000,IF(Atletas!B453="Masculino",2000,""))+IF(Atletas!S453="Gun A",701,IF(Atletas!S453="Qiang A",702,IF(Atletas!S453="Pudao / Guandao A",703,IF(Atletas!S453="Outra Arma Longa A",704,IF(Atletas!S453="Gun B",705,IF(Atletas!S453="Qiang B",706,IF(Atletas!S453="Pudao / Guandao B",707,IF(Atletas!S453="Outra Arma Longa B",708,IF(Atletas!S453="Gun C",709,IF(Atletas!S453="Qiang C",710,IF(Atletas!S453="Pudao / Guandao C",711,IF(Atletas!S453="Outra Arma Longa C",712,IF(Atletas!S453="Gun D",713,IF(Atletas!S453="Qiang D",714,IF(Atletas!S453="Pudao / Guandao D",715,IF(Atletas!S453="Outra Arma Longa D",716,IF(Atletas!S453="Gun E",717,IF(Atletas!S453="Qiang E",718,IF(Atletas!S453="Pudao / Guandao E",719,IF(Atletas!S453="Outra Arma Longa E",720,IF(Atletas!S453="Gun F",721,IF(Atletas!S453="Qiang F",722,IF(Atletas!S453="Pudao / Guandao F",723,IF(Atletas!S453="Outra Arma Longa F",724,"")))))))))))))))))))))))))</f>
        <v/>
      </c>
      <c r="CB462" s="50" t="str">
        <f>IF(Atletas!T453="","",IF(Atletas!X453&lt;&gt;"",10000,0)+IF(Atletas!B453="Feminino",1000,IF(Atletas!B453="Masculino",2000,""))+IF(Atletas!T453="Outra Arma Dupla A",801,IF(Atletas!T453="Arma Maleável A",802,IF(Atletas!T453="Outra Arma Dupla B",803,IF(Atletas!T453="Arma Maleável B",804,IF(Atletas!T453="Outra Arma Dupla C",805,IF(Atletas!T453="Arma Maleável C",806,IF(Atletas!T453="Outra Arma Dupla D",807,IF(Atletas!T453="Arma Maleável D",808,IF(Atletas!T453="Outra Arma Dupla E",809,IF(Atletas!T453="Arma Maleável E",810,IF(Atletas!T453="Outra Arma Dupla F",811,IF(Atletas!T453="Arma Maleável F",812,IF(Atletas!T453="Shuangdao A",813,IF(Atletas!T453="Shuangdao B",814,IF(Atletas!T453="Shuangdao C",815,IF(Atletas!T453="Shuangdao D",816,IF(Atletas!T453="Shuangdao E",817,IF(Atletas!T453="Shuangdao F",818,"")))))))))))))))))))</f>
        <v/>
      </c>
      <c r="CC462" s="50" t="str">
        <f>IF(Atletas!U453="","",IF(Atletas!X453&lt;&gt;"",10000,0)+IF(Atletas!B453="Feminino",1000,IF(Atletas!B453="Masculino",2000,""))+IF(OR(Atletas!U453="Taijijian Yang A",Atletas!U453="Taijijian Yang Standard A"),901,IF(OR(Atletas!U453="Taijijian Chen A", Atletas!U453="Taijijian Chen Standard A"),902,IF(Atletas!U453="Taijijian Sun A",903,IF(Atletas!U453="Taijijian Wu A",904,IF(Atletas!U453="Taijijian Wu-Hao A",905,IF(OR(Atletas!U453="Taijijian 32 A",Atletas!U453="Taijijian 42 A"),906,IF(OR(Atletas!U453="Taijijian Yang B",Atletas!U453="Taijijian Yang Standard B"),907,IF(OR(Atletas!U453="Taijijian Chen B", Atletas!U453="Taijijian Chen Standard B"),908,IF(Atletas!U453="Taijijian Sun B",909,IF(Atletas!U453="Taijijian Wu B",910,IF(Atletas!U453="Taijijian Wu-Hao B",911,IF(OR(Atletas!U453="Taijijian 32 B",Atletas!U453="Taijijian 42 B"),912,IF(OR(Atletas!U453="Taijijian Yang C",Atletas!U453="Taijijian Yang Standard C"),913,IF(OR(Atletas!U453="Taijijian Chen C", Atletas!U453="Taijijian Chen Standard C"),914,IF(Atletas!U453="Taijijian Sun C",915,IF(Atletas!U453="Taijijian Wu C",916,IF(Atletas!U453="Taijijian Wu-Hao C",917,IF(OR(Atletas!U453="Taijijian 32 C",Atletas!U453="Taijijian 42 C"),918,IF(OR(Atletas!U453="Taijijian Yang D",Atletas!U453="Taijijian Yang Standard D"),919,IF(OR(Atletas!U453="Taijijian Chen D", Atletas!U453="Taijijian Chen Standard D"),920,IF(Atletas!U453="Taijijian Sun D",921,IF(Atletas!U453="Taijijian Wu D",922,IF(Atletas!U453="Taijijian Wu-Hao D",923,IF(OR(Atletas!U453="Taijijian 32 D",Atletas!U453="Taijijian 42 D"),924,IF(OR(Atletas!U453="Taijijian Yang E",Atletas!U453="Taijijian Yang Standard E"),925,IF(OR(Atletas!U453="Taijijian Chen E", Atletas!U453="Taijijian Chen Standard E"),926,IF(Atletas!U453="Taijijian Sun E",927,IF(Atletas!U453="Taijijian Wu E",928,IF(Atletas!U453="Taijijian Wu-Hao E",929,IF(OR(Atletas!U453="Taijijian 32 E",Atletas!U453="Taijijian 42 E"),930,IF(OR(Atletas!U453="Taijijian Yang F",Atletas!U453="Taijijian Yang Standard F"),931,IF(OR(Atletas!U453="Taijijian Chen F", Atletas!U453="Taijijian Chen Standard F"),932,IF(Atletas!U453="Taijijian Sun F",933,IF(Atletas!U453="Taijijian Wu F",934,IF(Atletas!U453="Taijijian Wu-Hao F",935,IF(OR(Atletas!U453="Taijijian 32 F",Atletas!U453="Taijijian 42 F"),936,"")))))))))))))))))))))))))))))))))))))</f>
        <v/>
      </c>
      <c r="CD462" s="50" t="str">
        <f>IF(Atletas!V453="","",IF(Atletas!X453&lt;&gt;"",10000,0)+IF(Atletas!B453="Feminino",1000,IF(Atletas!B453="Masculino",2000,""))+IF(Atletas!V453="Taijidao A",937,IF(Atletas!V453="TaijiShanzi A",938,IF(Atletas!V453="Taijiqiang A",939,IF(Atletas!V453="Bagua de Arma A",940,IF(Atletas!V453="Xingyi de Arma A",941,IF(Atletas!V453="Taijidao B",942,IF(Atletas!V453="TaijiShanzi B",943,IF(Atletas!V453="Taijiqiang B",944,IF(Atletas!V453="Bagua de Arma B",945,IF(Atletas!V453="Xingyi de Arma B",946,IF(Atletas!V453="Taijidao C",947,IF(Atletas!V453="TaijiShanzi C",948,IF(Atletas!V453="Taijiqiang C",949,IF(Atletas!V453="Bagua de Arma C",950,IF(Atletas!V453="Xingyi de Arma C",951,IF(Atletas!V453="Taijidao D",952,IF(Atletas!V453="TaijiShanzi D",953,IF(Atletas!V453="Taijiqiang D",954,IF(Atletas!V453="Bagua de Arma D",955,IF(Atletas!V453="Xingyi de Arma D",956,IF(Atletas!V453="Taijidao E",957,IF(Atletas!V453="TaijiShanzi E",958,IF(Atletas!V453="Taijiqiang E",959,IF(Atletas!V453="Bagua de Arma E",960,IF(Atletas!V453="Xingyi de Arma E",961,IF(Atletas!V453="Taijidao F",962,IF(Atletas!V453="TaijiShanzi F",963,IF(Atletas!V453="Taijiqiang F",964,IF(Atletas!V453="Bagua de Arma F",965,IF(Atletas!V453="Xingyi de Arma F",966,"")))))))))))))))))))))))))))))))</f>
        <v/>
      </c>
      <c r="CM462" s="50" t="str">
        <f xml:space="preserve"> IF(Atletas!W453="","",IF(Atletas!W453="Duilian de Mãos BC - Equipe 1",1,IF(Atletas!W453="Duilian de Mãos BC - Equipe 2",2,IF(Atletas!W453="Duilian de Armas BC - Equipe 1",3,IF(Atletas!W453="Duilian de Armas BC - Equipe 2",4,IF(Atletas!W453="Duilian de Mãos DE - Equipe 1",5,IF(Atletas!W453="Duilian de Mãos DE - Equipe 2",6,IF(Atletas!W453="Duilian de Armas DE - Equipe 1",7,IF(Atletas!W453="Duilian de Armas DE - Equipe 2",8,IF(Atletas!W453="Duilian de Tuishou - Equipe 1",9,IF(Atletas!W453="Duilian de Tuishou - Equipe 2",10,IF(Atletas!W453="Grupo Externo ABC - Equipe 1",11,IF(Atletas!W453="Grupo Externo ABC - Equipe 2",12,IF(Atletas!W453="Grupo Interno ABC - Equipe 1",13,IF(Atletas!W453="Grupo Interno ABC - Equipe 2",14,IF(Atletas!W453="Grupo Externo DEF - Equipe 1",15,IF(Atletas!W453="Grupo Externo DEF - Equipe 2",16,IF(Atletas!W453="Grupo Interno DEF - Equipe 1",17,IF(Atletas!W453="Grupo Interno DEF - Equipe 2",18,"")))))))))))))))))))</f>
        <v/>
      </c>
    </row>
    <row r="463" spans="40:91">
      <c r="AN463" s="52" t="str">
        <f>IF(Atletas!D454="","",IF(Atletas!B454="Feminino",100,IF(Atletas!B454="Masculino",200,""))+(IF(Atletas!D454="Kids 30kg",1,IF(Atletas!D454="Kids 32kg",2, IF(Atletas!D454="Kids 34kg",3,IF(Atletas!D454="Kids 36kg",4,IF(Atletas!D454="Kids 39kg",5,IF(Atletas!D454="Kids 42kg",6,IF(Atletas!D454="Kids 45kg",7, IF(Atletas!D454="Infantil 39kg",8,IF(Atletas!D454="Infantil 42kg",9,IF(Atletas!D454="Infantil 45kg",10,IF(Atletas!D454="Infantil 48kg",11,IF(Atletas!D454="Infantil 52kg",12,IF(Atletas!D454="Infantil 56kg",13,IF(Atletas!D454="Infantil 60kg",14,IF(Atletas!D454="Juvenil 48kg",15,IF(Atletas!D454="Juvenil 52kg",16,IF(Atletas!D454="Juvenil 56kg",17,IF(Atletas!D454="Juvenil 60kg",18,IF(Atletas!D454="Juvenil 65kg",19,IF(Atletas!D454="Juvenil 70kg",20,IF(Atletas!D454="Juvenil 75kg",21,IF(Atletas!D454="Juvenil 80kg",22, IF(Atletas!D454="Juvenil 85kg",23,IF(Atletas!D454="Adulto 48kg",24,IF(Atletas!D454="Adulto 52kg",25,IF(Atletas!D454="Adulto 56kg",26,IF(Atletas!D454="Adulto 60kg",27,IF(Atletas!D454="Adulto 65kg",28,IF(Atletas!D454="Adulto 70kg",29,IF(Atletas!D454="Adulto 75kg",30,IF(Atletas!D454="Adulto 80kg",31,IF(Atletas!D454="Adulto 85kg",32,IF(Atletas!D454="Adulto 90kg",33,IF(Atletas!D454="Adulto 100kg",34, IF(Atletas!D454="Adulto +100kg",35,"")))))))))))))))))))))))))))))))))))))</f>
        <v/>
      </c>
      <c r="AS463" s="6" t="str">
        <f>IF(Atletas!E454="","",IF(Atletas!B454="Feminino",100,IF(Atletas!B454="Masculino",200,""))+(IF(Atletas!E454="Juvenil 44kg",1,IF(Atletas!E454="Juvenil 48kg",2,IF(Atletas!E454="Juvenil 52kg",3,IF(Atletas!E454="Juvenil 56kg",4,IF(Atletas!E454="Juvenil 60kg",5,IF(Atletas!E454="Juvenil 65kg",6,IF(Atletas!E454="Juvenil 70kg",7,IF(Atletas!E454="Juvenil 75kg",8,IF(Atletas!E454="Juvenil 82kg",9,IF(Atletas!E454="Juvenil 90kg",10,IF(Atletas!E454="Juvenil 100kg",11,IF(Atletas!E454="Adulto 48kg",12,IF(Atletas!E454="Adulto 52kg",13,IF(Atletas!E454="Adulto 56kg",14,IF(Atletas!E454="Adulto 60kg",15,IF(Atletas!E454="Adulto 65kg",16,IF(Atletas!E454="Adulto 70kg",17,IF(Atletas!E454="Adulto 75kg",18,IF(Atletas!E454="Adulto 82kg",19,IF(Atletas!E454="Adulto 90kg",20,IF(Atletas!E454="Adulto 100kg",21,IF(Atletas!E454="Adulto +100kg",22,""))))))))))))))))))))))))</f>
        <v/>
      </c>
      <c r="AX463" s="6" t="str">
        <f>IF(Atletas!F454="","",IF(Atletas!B454="Feminino",100,IF(Atletas!B454="Masculino",200,""))+(IF(Atletas!F454="Adulto 48kg",1,IF(Atletas!F454="Adulto 56kg",2,IF(Atletas!F454="Adulto 65kg",3,IF(Atletas!F454="Adulto 75kg",4,IF(Atletas!F454="Adulto +75kg",5,IF(Atletas!F454="Adulto 52kg",6,IF(Atletas!F454="Adulto 60kg",7,IF(Atletas!F454="Adulto 70kg",8,IF(Atletas!F454="Adulto 80kg",9,IF(Atletas!F454="Adulto 90kg",10,IF(Atletas!F454="Adulto +90kg",11,"")))))))))))))</f>
        <v/>
      </c>
      <c r="BC463" s="6" t="str">
        <f>IF(Atletas!G454="","",IF(Atletas!B454="Feminino",10,IF(Atletas!B454="Masculino",20,""))+(IF(Atletas!G454="Baduanjin A",1,IF(Atletas!G454="Baduanjin B",2))))</f>
        <v/>
      </c>
      <c r="BF463" s="52" t="str">
        <f>IF(Atletas!H454="","",IF(Atletas!B454="Feminino",100,IF(Atletas!B454="Masculino",200,""))+(IF(Atletas!H454="Changquan Mirim",1,IF(Atletas!H454="Nanquan Mirim",2,IF(Atletas!H454="Taijiquan Mirim",3,IF(Atletas!H454="Changquan Grupo C",4,IF(Atletas!H454="Nanquan Grupo C",5,IF(Atletas!H454="Taijiquan Grupo C",6,IF(Atletas!H454="Changquan Grupo B",7,IF(Atletas!H454="Nanquan Grupo B",8,IF(Atletas!H454="Taijiquan Grupo B",9,IF(Atletas!H454="Changquan Grupo A",10,IF(Atletas!H454="Nanquan Grupo A",11,IF(Atletas!H454="Taijiquan Grupo A",12,IF(Atletas!H454="Changquan Opcional",13,IF(Atletas!H454="Nanquan Opcional",14,IF(Atletas!H454="Taijiquan Opcional",15,IF(Atletas!H454="Changquan Adulto",16,IF(Atletas!H454="Nanquan Adulto",17,IF(Atletas!H454="Taijiquan Adulto",18,""))))))))))))))))))))</f>
        <v/>
      </c>
      <c r="BG463" s="52" t="str">
        <f>IF(Atletas!I454="","",IF(Atletas!B454="Feminino",100,IF(Atletas!B454="Masculino",200,""))+(IF(Atletas!I454="Daoshu Mirim",19,IF(Atletas!I454="Jianshu Mirim",20,IF(Atletas!I454="Nandao Mirim",21,IF(Atletas!I454="Taijijian Mirim",22,IF(Atletas!I454="Daoshu Grupo C",23,IF(Atletas!I454="Jianshu Grupo C",24,IF(Atletas!I454="Nandao Grupo C",25,IF(Atletas!I454="Taijijian Grupo C",26,IF(Atletas!I454="Daoshu Grupo B",27,IF(Atletas!I454="Jianshu Grupo B",28,IF(Atletas!I454="Nandao Grupo B",29,IF(Atletas!I454="Taijijian Grupo B",30,IF(Atletas!I454="Daoshu Grupo A",31,IF(Atletas!I454="Jianshu Grupo A",32,IF(Atletas!I454="Nandao Grupo A",33,IF(Atletas!I454="Taijijian Grupo A",34,IF(Atletas!I454="Daoshu Opcional",35,IF(Atletas!I454="Jianshu Opcional",36,IF(Atletas!I454="Nandao Opcional",37,IF(Atletas!I454="Taijijian Opcional",38,IF(Atletas!I454="Daoshu Adulto",39,IF(Atletas!I454="Jianshu Adulto",40,IF(Atletas!I454="Nandao Adulto",41,IF(Atletas!I454="Taijijian Adulto",42,""))))))))))))))))))))))))))</f>
        <v/>
      </c>
      <c r="BH463" s="52" t="str">
        <f>IF(Atletas!J454="","",IF(Atletas!B454="Feminino",100,IF(Atletas!B454="Masculino",200,""))+(IF(Atletas!J454="Gunshu Mirim",43,IF(Atletas!J454="Qiangshu Mirim",44,IF(Atletas!J454="Nangun Mirim",45,IF(Atletas!J454="Gunshu Grupo C",46,IF(Atletas!J454="Qiangshu Grupo C",47,IF(Atletas!J454="Nangun Grupo C",48,IF(Atletas!J454="Gunshu Grupo B",49,IF(Atletas!J454="Qiangshu Grupo B",50,IF(Atletas!J454="Nangun Grupo B",51,IF(Atletas!J454="Gunshu Grupo A",52,IF(Atletas!J454="Qiangshu Grupo A",53,IF(Atletas!J454="Nangun Grupo A",54,IF(Atletas!J454="Gunshu Opcional",55,IF(Atletas!J454="Qiangshu Opcional",56,IF(Atletas!J454="Nangun Opcional",57,IF(Atletas!J454="Gunshu Adulto",58,IF(Atletas!J454="Qiangshu Adulto",59,IF(Atletas!J454="Nangun Adulto",60,IF(Atletas!J454="Taijishan Grupo B",61,IF(Atletas!J454="Taijishan Grupo A",62,""))))))))))))))))))))))</f>
        <v/>
      </c>
      <c r="BM463" s="50" t="str">
        <f>IF(Atletas!K454="","",IF(Atletas!B454="Feminino",100,IF(Atletas!B454="Masculino",200,""))+(IF(Atletas!K454="Equipe 1 Grupo B",1,IF(Atletas!K454="Equipe 2 Grupo B",2,IF(Atletas!K454="Equipe 1 Grupo A",3,IF(Atletas!K454="Equipe 2 Grupo A",4,IF(Atletas!K454="Equipe 1 Adulto",5,IF(Atletas!K454="Equipe 2 Adulto",6,""))))))))</f>
        <v/>
      </c>
      <c r="BR463" s="50" t="str">
        <f>IF(Atletas!L454="","",IF(Atletas!X454&lt;&gt;"",10000,0)+(IF(Atletas!B454="Feminino",1000,IF(Atletas!B454="Masculino",2000,""))+IF(Atletas!L454="Choylayfut A",1,IF(Atletas!L454="Hunggar A",2,IF(Atletas!L454="Wuzuquan A",3,IF(Atletas!L454="Wingchun A",4,IF(Atletas!L454="Outra Mão de Sul A",5,IF(Atletas!L454="Choylayfut B",6,IF(Atletas!L454="Hunggar B",7,IF(Atletas!L454="Wuzuquan B",8,IF(Atletas!L454="Wingchun B",9,IF(Atletas!L454="Outra Mão de Sul B",10,IF(Atletas!L454="Choylayfut C",11,IF(Atletas!L454="Hunggar C",12,IF(Atletas!L454="Wuzuquan C",13,IF(Atletas!L454="Wingchun C",14,IF(Atletas!L454="Outra Mão de Sul C",15,IF(Atletas!L454="Choylayfut D",16,IF(Atletas!L454="Hunggar D",17,IF(Atletas!L454="Wuzuquan D",18,IF(Atletas!L454="Wingchun D",19,IF(Atletas!L454="Outra Mão de Sul D",20,IF(Atletas!L454="Choylayfut E",21,IF(Atletas!L454="Hunggar E",22,IF(Atletas!L454="Wuzuquan E",23,IF(Atletas!L454="Wingchun E",24,IF(Atletas!L454="Outra Mão de Sul E",25,IF(Atletas!L454="Choylayfut F",26,IF(Atletas!L454="Hunggar F",27,IF(Atletas!L454="Wuzuquan F",28,IF(Atletas!L454="Wingchun F",29,IF(Atletas!L454="Outra Mão de Sul F",30,IF(Atletas!L454="Dishuquan A",31,IF(Atletas!L454="Dishuquan B",32,IF(Atletas!L454="Dishuquan C",33,IF(Atletas!L454="Dishuquan D",34,IF(Atletas!L454="Dishuquan E",35,IF(Atletas!L454="Dishuquan F",36,""))))))))))))))))))))))))))))))))))))))</f>
        <v/>
      </c>
      <c r="BS463" s="50" t="str">
        <f>IF(Atletas!M454="","",IF(Atletas!X454&lt;&gt;"",10000,0)+(IF(Atletas!B454="Feminino",1000,IF(Atletas!B454="Masculino",2000,""))+(IF(Atletas!M454="Chaquan A",101,IF(Atletas!M454="Emeiquan A",102,IF(Atletas!M454="Fanziquan A",103,IF(Atletas!M454="Huaquan A",104,IF(Atletas!M454="Hongquan A",105,IF(Atletas!M454="Paoquan A",106,IF(Atletas!M454="Piguaquan A",107,IF(Atletas!M454="Shaolinquan A",108,IF(Atletas!M454="Tanglangquan A",109,IF(Atletas!M454="Yingzhaoquan A",110,IF(Atletas!M454="Tongbeiquan A",111,IF(Atletas!M454="Wudangquan A",112,IF(Atletas!M454="Outros Estilos A",113,IF(Atletas!M454="Chaquan B",114,IF(Atletas!M454="Emeiquan B",115,IF(Atletas!M454="Fanziquan B",116,IF(Atletas!M454="Huaquan B",117,IF(Atletas!M454="Hongquan B",118,IF(Atletas!M454="Paoquan B",119,IF(Atletas!M454="Piguaquan B",120,IF(Atletas!M454="Shaolinquan B",121,IF(Atletas!M454="Tanglangquan B",122,IF(Atletas!M454="Yingzhaoquan B",123,IF(Atletas!M454="Tongbeiquan B",124,IF(Atletas!M454="Wudangquan B",125,IF(Atletas!M454="Outros Estilos B",126,IF(Atletas!M454="Chaquan C",127,IF(Atletas!M454="Emeiquan C",128,IF(Atletas!M454="Fanziquan C",129,IF(Atletas!M454="Huaquan C",130,IF(Atletas!M454="Hongquan C",131,IF(Atletas!M454="Paoquan C",132,IF(Atletas!M454="Piguaquan C",133,IF(Atletas!M454="Shaolinquan C",134,IF(Atletas!M454="Tanglangquan C",135,IF(Atletas!M454="Yingzhaoquan C",136,IF(Atletas!M454="Tongbeiquan C",137,IF(Atletas!M454="Wudangquan C",138,IF(Atletas!M454="Outros Estilos C",139,0))))))))))))))))))))))))))))))))))))))))))</f>
        <v/>
      </c>
      <c r="BT463" s="50" t="str">
        <f>IF(Atletas!M454="","",IF(Atletas!X454&lt;&gt;"",10000,0)+(IF(Atletas!B454="Feminino",1000,IF(Atletas!B454="Masculino",2000,""))+(IF(Atletas!M454="Chaquan D",140,IF(Atletas!M454="Emeiquan D",141,IF(Atletas!M454="Fanziquan D",142,IF(Atletas!M454="Huaquan D",143,IF(Atletas!M454="Hongquan D",144,IF(Atletas!M454="Paoquan D",145,IF(Atletas!M454="Piguaquan D",146,IF(Atletas!M454="Shaolinquan D",147,IF(Atletas!M454="Tanglangquan D",148,IF(Atletas!M454="Yingzhaoquan D",149,IF(Atletas!M454="Tongbeiquan D",150,IF(Atletas!M454="Wudangquan D",151,IF(Atletas!M454="Outros Estilos D",152,IF(Atletas!M454="Chaquan E",153,IF(Atletas!M454="Emeiquan E",154,IF(Atletas!M454="Fanziquan E",155,IF(Atletas!M454="Huaquan E",156,IF(Atletas!M454="Hongquan E",157,IF(Atletas!M454="Paoquan E",158,IF(Atletas!M454="Piguaquan E",159,IF(Atletas!M454="Shaolinquan E",160,IF(Atletas!M454="Tanglangquan E",161,IF(Atletas!M454="Yingzhaoquan E",162,IF(Atletas!M454="Tongbeiquan E",163,IF(Atletas!M454="Wudangquan E",164,IF(Atletas!M454="Outros Estilos E",165,IF(Atletas!M454="Chaquan F",166,IF(Atletas!M454="Emeiquan F",167,IF(Atletas!M454="Fanziquan F",168,IF(Atletas!M454="Huaquan F",169,IF(Atletas!M454="Hongquan F",170,IF(Atletas!M454="Paoquan F",171,IF(Atletas!M454="Piguaquan F",172,IF(Atletas!M454="Shaolinquan F",173,IF(Atletas!M454="Tanglangquan F",174,IF(Atletas!M454="Yingzhaoquan F",175,IF(Atletas!M454="Tongbeiquan F",176,IF(Atletas!M454="Wudangquan F",177,IF(Atletas!M454="Outros Estilos F",178,0))))))))))))))))))))))))))))))))))))))))))</f>
        <v/>
      </c>
      <c r="BU463" s="50" t="str">
        <f>IF(Atletas!N454="","",IF(Atletas!X454&lt;&gt;"",10000,0)+(IF(Atletas!B454="Feminino",1000,IF(Atletas!B454="Masculino",2000,""))+(IF(Atletas!N454="Ditangquan A",201,IF(Atletas!N454="Houquan A",202,IF(Atletas!N454="Zuiquan A",203,IF(Atletas!N454="Ditangquan B",204,IF(Atletas!N454="Houquan B",205,IF(Atletas!N454="Zuiquan B",206,IF(Atletas!N454="Ditangquan C",207,IF(Atletas!N454="Houquan C",208,IF(Atletas!N454="Zuiquan C",209,IF(Atletas!N454="Ditangquan D",210,IF(Atletas!N454="Houquan D",211,IF(Atletas!N454="Zuiquan D",212,IF(Atletas!N454="Ditangquan E",213,IF(Atletas!N454="Houquan E",214,IF(Atletas!N454="Zuiquan E",215,IF(Atletas!N454="Ditangquan F",216,IF(Atletas!N454="Houquan F",217,IF(Atletas!N454="Zuiquan F",218,"")))))))))))))))))))))</f>
        <v/>
      </c>
      <c r="BV463" s="50" t="str">
        <f>IF(Atletas!O454="","",IF(Atletas!X454&lt;&gt;"",10000,0)+IF(Atletas!B454="Feminino",1000,IF(Atletas!B454="Masculino",2000,""))+IF(Atletas!O454="Yang A",301,IF(Atletas!O454="Chen A",302,IF(Atletas!O454="Sun A",303,IF(Atletas!O454="Wu A",304,IF(Atletas!O454="Wu-Hao A",305,IF(Atletas!O454="Outro Taijiquan A",306,IF(Atletas!O454="Yang B",307,IF(Atletas!O454="Chen B",308,IF(Atletas!O454="Sun B",309,IF(Atletas!O454="Wu B",310,IF(Atletas!O454="Wu-Hao B",311,IF(Atletas!O454="Outro Taijiquan B",312,IF(Atletas!O454="Yang C",313,IF(Atletas!O454="Chen C",314,IF(Atletas!O454="Sun C",315,IF(Atletas!O454="Wu C",316,IF(Atletas!O454="Wu-Hao C",317,IF(Atletas!O454="Outro Taijiquan C",318,IF(Atletas!O454="Yang D",319,IF(Atletas!O454="Chen D",320,IF(Atletas!O454="Sun D",321,IF(Atletas!O454="Wu D",322,IF(Atletas!O454="Wu-Hao D",323,IF(Atletas!O454="Outro Taijiquan D",324,IF(Atletas!O454="Yang E",325,IF(Atletas!O454="Chen E",326,IF(Atletas!O454="Sun E",327,IF(Atletas!O454="Wu E",328,IF(Atletas!O454="Wu-Hao E",329,IF(Atletas!O454="Outro Taijiquan E",330,IF(Atletas!O454="Yang F",331,IF(Atletas!O454="Chen F",332,IF(Atletas!O454="Sun F",333,IF(Atletas!O454="Wu F",334,IF(Atletas!O454="Wu-Hao F",335,IF(Atletas!O454="Outro Taijiquan F",336,"")))))))))))))))))))))))))))))))))))))</f>
        <v/>
      </c>
      <c r="BW463" s="50" t="str">
        <f>IF(Atletas!P454="","",IF(Atletas!X454&lt;&gt;"",10000,0)+IF(Atletas!B454="Feminino",1000,IF(Atletas!B454="Masculino",2000,""))+IF(OR(Atletas!P454="Yang 26 A",Atletas!P454="Yang 40 A"),401,IF(OR(Atletas!P454="Chen 25 A",Atletas!P454="Chen 36 A",Atletas!P454="Chen 56 A"),402,IF(Atletas!P454="Sun 73 A",403,IF(Atletas!P454="Wu 45 A",404,IF(Atletas!P454="Wu-Hao 46 A",405,IF(OR(Atletas!P454="Taijiquan 16 A",Atletas!P454="Taijiquan 24 A",Atletas!P454="Taijiquan 32 A",Atletas!P454="Taijiquan 42 A"),406,IF(OR(Atletas!P454="Yang 26 B",Atletas!P454="Yang 40 B"),407,IF(OR(Atletas!P454="Chen 25 B",Atletas!P454="Chen 36 B",Atletas!P454="Chen 56 B"),408,IF(Atletas!P454="Sun 73 B",409,IF(Atletas!P454="Wu 45 B",410,IF(Atletas!P454="Wu-Hao 46 B",411,IF(OR(Atletas!P454="Taijiquan 16 B",Atletas!P454="Taijiquan 24 B",Atletas!P454="Taijiquan 32 B",Atletas!P454="Taijiquan 42 B"),412,IF(OR(Atletas!P454="Yang 26 C",Atletas!P454="Yang 40 C"),413,IF(OR(Atletas!P454="Chen 25 C",Atletas!P454="Chen 36 C",Atletas!P454="Chen 56 C"),414,IF(Atletas!P454="Sun 73 C",415,IF(Atletas!P454="Wu 45 C",416,IF(Atletas!P454="Wu-Hao 46 C",417,IF(OR(Atletas!P454="Taijiquan 16 C",Atletas!P454="Taijiquan 24 C",Atletas!P454="Taijiquan 32 C",Atletas!P454="Taijiquan 42 C"),418,0)))))))))))))))))))</f>
        <v/>
      </c>
      <c r="BX463" s="50" t="str">
        <f>IF(Atletas!P454="","",IF(Atletas!X454&lt;&gt;"",10000,0)+IF(Atletas!B454="Feminino",1000,IF(Atletas!B454="Masculino",2000,""))+IF(OR(Atletas!P454="Yang 26 D",Atletas!P454="Yang 40 D"),419,IF(OR(Atletas!P454="Chen 25 D",Atletas!P454="Chen 36 D",Atletas!P454="Chen 56 D"),420,IF(Atletas!P454="Sun 73 D",421,IF(Atletas!P454="Wu 45 D",422,IF(Atletas!P454="Wu-Hao 46 D",423,IF(OR(Atletas!P454="Taijiquan 16 D",Atletas!P454="Taijiquan 24 D",Atletas!P454="Taijiquan 32 D",Atletas!P454="Taijiquan 42 D"),424,IF(OR(Atletas!P454="Yang 26 E",Atletas!P454="Yang 40 E"),425,IF(OR(Atletas!P454="Chen 25 E",Atletas!P454="Chen 36 E",Atletas!P454="Chen 56 E"),426,IF(Atletas!P454="Sun 73 E",427,IF(Atletas!P454="Wu 45 E",428,IF(Atletas!P454="Wu-Hao 46 E",429,IF(OR(Atletas!P454="Taijiquan 16 E",Atletas!P454="Taijiquan 24 E",Atletas!P454="Taijiquan 32 E",Atletas!P454="Taijiquan 42 E"),430,IF(OR(Atletas!P454="Yang 26 F",Atletas!P454="Yang 40 F"),431,IF(OR(Atletas!P454="Chen 25 F",Atletas!P454="Chen 36 F",Atletas!P454="Chen 56 F"),432,IF(Atletas!P454="Sun 73 F",433,IF(Atletas!P454="Wu 45 F",434,IF(Atletas!P454="Wu-Hao 46 F",435,IF(OR(Atletas!P454="Taijiquan 16 F",Atletas!P454="Taijiquan 24 F",Atletas!P454="Taijiquan 32 F",Atletas!P454="Taijiquan 42 F"),436,0)))))))))))))))))))</f>
        <v/>
      </c>
      <c r="BY463" s="50" t="str">
        <f>IF(Atletas!Q454="","",IF(Atletas!X454&lt;&gt;"",10000,0)+IF(Atletas!B454="Feminino",1000,IF(Atletas!B454="Masculino",2000,""))+IF(Atletas!Q454="Xingyiquan A",501,IF(Atletas!Q454="Baguazhang A",502,IF(Atletas!Q454="Outro Estilo Interno A",503,IF(Atletas!Q454="Xingyiquan B",504,IF(Atletas!Q454="Baguazhang B",505,IF(Atletas!Q454="Outro Estilo Interno B",506,IF(Atletas!Q454="Xingyiquan C",507,IF(Atletas!Q454="Baguazhang C",508,IF(Atletas!Q454="Outro Estilo Interno C",509,IF(Atletas!Q454="Xingyiquan D",510,IF(Atletas!Q454="Baguazhang D",511,IF(Atletas!Q454="Outro Estilo Interno D",512,IF(Atletas!Q454="Xingyiquan E",513,IF(Atletas!Q454="Baguazhang E",514,IF(Atletas!Q454="Outro Estilo Interno E",515,IF(Atletas!Q454="Xingyiquan F",516,IF(Atletas!Q454="Baguazhang F",517,IF(Atletas!Q454="Outro Estilo Interno F",518, "")))))))))))))))))))</f>
        <v/>
      </c>
      <c r="BZ463" s="50" t="str">
        <f>IF(Atletas!R454="","",IF(Atletas!X454&lt;&gt;"",10000,0)+IF(Atletas!B454="Feminino",1000,IF(Atletas!B454="Masculino",2000,""))+IF(Atletas!R454="Dao A",601,IF(Atletas!R454="Jian A",602,IF(Atletas!R454="Bishou A",603,IF(Atletas!R454="Shanzi A",604,IF(Atletas!R454="Outra Arma Curta A",605,IF(Atletas!R454="Dao B",606,IF(Atletas!R454="Jian B",607,IF(Atletas!R454="Bishou B",608,IF(Atletas!R454="Shanzi B",609,IF(Atletas!R454="Outra Arma Curta B",610,IF(Atletas!R454="Dao C",611,IF(Atletas!R454="Jian C",612,IF(Atletas!R454="Bishou C",613,IF(Atletas!R454="Shanzi C",614,IF(Atletas!R454="Outra Arma Curta C",615,IF(Atletas!R454="Dao D",616,IF(Atletas!R454="Jian D",617,IF(Atletas!R454="Bishou D",618,IF(Atletas!R454="Shanzi D",619,IF(Atletas!R454="Outra Arma Curta D",620,IF(Atletas!R454="Dao E",621,IF(Atletas!R454="Jian E",622,IF(Atletas!R454="Bishou E",623,IF(Atletas!R454="Shanzi E",624,IF(Atletas!R454="Outra Arma Curta E",625,IF(Atletas!R454="Dao F",626,IF(Atletas!R454="Jian F",627,IF(Atletas!R454="Bishou F",628,IF(Atletas!R454="Shanzi F",629,IF(Atletas!R454="Outra Arma Curta F",630, "")))))))))))))))))))))))))))))))</f>
        <v/>
      </c>
      <c r="CA463" s="50" t="str">
        <f>IF(Atletas!S454="","",IF(Atletas!X454&lt;&gt;"",10000,0)+IF(Atletas!B454="Feminino",1000,IF(Atletas!B454="Masculino",2000,""))+IF(Atletas!S454="Gun A",701,IF(Atletas!S454="Qiang A",702,IF(Atletas!S454="Pudao / Guandao A",703,IF(Atletas!S454="Outra Arma Longa A",704,IF(Atletas!S454="Gun B",705,IF(Atletas!S454="Qiang B",706,IF(Atletas!S454="Pudao / Guandao B",707,IF(Atletas!S454="Outra Arma Longa B",708,IF(Atletas!S454="Gun C",709,IF(Atletas!S454="Qiang C",710,IF(Atletas!S454="Pudao / Guandao C",711,IF(Atletas!S454="Outra Arma Longa C",712,IF(Atletas!S454="Gun D",713,IF(Atletas!S454="Qiang D",714,IF(Atletas!S454="Pudao / Guandao D",715,IF(Atletas!S454="Outra Arma Longa D",716,IF(Atletas!S454="Gun E",717,IF(Atletas!S454="Qiang E",718,IF(Atletas!S454="Pudao / Guandao E",719,IF(Atletas!S454="Outra Arma Longa E",720,IF(Atletas!S454="Gun F",721,IF(Atletas!S454="Qiang F",722,IF(Atletas!S454="Pudao / Guandao F",723,IF(Atletas!S454="Outra Arma Longa F",724,"")))))))))))))))))))))))))</f>
        <v/>
      </c>
      <c r="CB463" s="50" t="str">
        <f>IF(Atletas!T454="","",IF(Atletas!X454&lt;&gt;"",10000,0)+IF(Atletas!B454="Feminino",1000,IF(Atletas!B454="Masculino",2000,""))+IF(Atletas!T454="Outra Arma Dupla A",801,IF(Atletas!T454="Arma Maleável A",802,IF(Atletas!T454="Outra Arma Dupla B",803,IF(Atletas!T454="Arma Maleável B",804,IF(Atletas!T454="Outra Arma Dupla C",805,IF(Atletas!T454="Arma Maleável C",806,IF(Atletas!T454="Outra Arma Dupla D",807,IF(Atletas!T454="Arma Maleável D",808,IF(Atletas!T454="Outra Arma Dupla E",809,IF(Atletas!T454="Arma Maleável E",810,IF(Atletas!T454="Outra Arma Dupla F",811,IF(Atletas!T454="Arma Maleável F",812,IF(Atletas!T454="Shuangdao A",813,IF(Atletas!T454="Shuangdao B",814,IF(Atletas!T454="Shuangdao C",815,IF(Atletas!T454="Shuangdao D",816,IF(Atletas!T454="Shuangdao E",817,IF(Atletas!T454="Shuangdao F",818,"")))))))))))))))))))</f>
        <v/>
      </c>
      <c r="CC463" s="50" t="str">
        <f>IF(Atletas!U454="","",IF(Atletas!X454&lt;&gt;"",10000,0)+IF(Atletas!B454="Feminino",1000,IF(Atletas!B454="Masculino",2000,""))+IF(OR(Atletas!U454="Taijijian Yang A",Atletas!U454="Taijijian Yang Standard A"),901,IF(OR(Atletas!U454="Taijijian Chen A", Atletas!U454="Taijijian Chen Standard A"),902,IF(Atletas!U454="Taijijian Sun A",903,IF(Atletas!U454="Taijijian Wu A",904,IF(Atletas!U454="Taijijian Wu-Hao A",905,IF(OR(Atletas!U454="Taijijian 32 A",Atletas!U454="Taijijian 42 A"),906,IF(OR(Atletas!U454="Taijijian Yang B",Atletas!U454="Taijijian Yang Standard B"),907,IF(OR(Atletas!U454="Taijijian Chen B", Atletas!U454="Taijijian Chen Standard B"),908,IF(Atletas!U454="Taijijian Sun B",909,IF(Atletas!U454="Taijijian Wu B",910,IF(Atletas!U454="Taijijian Wu-Hao B",911,IF(OR(Atletas!U454="Taijijian 32 B",Atletas!U454="Taijijian 42 B"),912,IF(OR(Atletas!U454="Taijijian Yang C",Atletas!U454="Taijijian Yang Standard C"),913,IF(OR(Atletas!U454="Taijijian Chen C", Atletas!U454="Taijijian Chen Standard C"),914,IF(Atletas!U454="Taijijian Sun C",915,IF(Atletas!U454="Taijijian Wu C",916,IF(Atletas!U454="Taijijian Wu-Hao C",917,IF(OR(Atletas!U454="Taijijian 32 C",Atletas!U454="Taijijian 42 C"),918,IF(OR(Atletas!U454="Taijijian Yang D",Atletas!U454="Taijijian Yang Standard D"),919,IF(OR(Atletas!U454="Taijijian Chen D", Atletas!U454="Taijijian Chen Standard D"),920,IF(Atletas!U454="Taijijian Sun D",921,IF(Atletas!U454="Taijijian Wu D",922,IF(Atletas!U454="Taijijian Wu-Hao D",923,IF(OR(Atletas!U454="Taijijian 32 D",Atletas!U454="Taijijian 42 D"),924,IF(OR(Atletas!U454="Taijijian Yang E",Atletas!U454="Taijijian Yang Standard E"),925,IF(OR(Atletas!U454="Taijijian Chen E", Atletas!U454="Taijijian Chen Standard E"),926,IF(Atletas!U454="Taijijian Sun E",927,IF(Atletas!U454="Taijijian Wu E",928,IF(Atletas!U454="Taijijian Wu-Hao E",929,IF(OR(Atletas!U454="Taijijian 32 E",Atletas!U454="Taijijian 42 E"),930,IF(OR(Atletas!U454="Taijijian Yang F",Atletas!U454="Taijijian Yang Standard F"),931,IF(OR(Atletas!U454="Taijijian Chen F", Atletas!U454="Taijijian Chen Standard F"),932,IF(Atletas!U454="Taijijian Sun F",933,IF(Atletas!U454="Taijijian Wu F",934,IF(Atletas!U454="Taijijian Wu-Hao F",935,IF(OR(Atletas!U454="Taijijian 32 F",Atletas!U454="Taijijian 42 F"),936,"")))))))))))))))))))))))))))))))))))))</f>
        <v/>
      </c>
      <c r="CD463" s="50" t="str">
        <f>IF(Atletas!V454="","",IF(Atletas!X454&lt;&gt;"",10000,0)+IF(Atletas!B454="Feminino",1000,IF(Atletas!B454="Masculino",2000,""))+IF(Atletas!V454="Taijidao A",937,IF(Atletas!V454="TaijiShanzi A",938,IF(Atletas!V454="Taijiqiang A",939,IF(Atletas!V454="Bagua de Arma A",940,IF(Atletas!V454="Xingyi de Arma A",941,IF(Atletas!V454="Taijidao B",942,IF(Atletas!V454="TaijiShanzi B",943,IF(Atletas!V454="Taijiqiang B",944,IF(Atletas!V454="Bagua de Arma B",945,IF(Atletas!V454="Xingyi de Arma B",946,IF(Atletas!V454="Taijidao C",947,IF(Atletas!V454="TaijiShanzi C",948,IF(Atletas!V454="Taijiqiang C",949,IF(Atletas!V454="Bagua de Arma C",950,IF(Atletas!V454="Xingyi de Arma C",951,IF(Atletas!V454="Taijidao D",952,IF(Atletas!V454="TaijiShanzi D",953,IF(Atletas!V454="Taijiqiang D",954,IF(Atletas!V454="Bagua de Arma D",955,IF(Atletas!V454="Xingyi de Arma D",956,IF(Atletas!V454="Taijidao E",957,IF(Atletas!V454="TaijiShanzi E",958,IF(Atletas!V454="Taijiqiang E",959,IF(Atletas!V454="Bagua de Arma E",960,IF(Atletas!V454="Xingyi de Arma E",961,IF(Atletas!V454="Taijidao F",962,IF(Atletas!V454="TaijiShanzi F",963,IF(Atletas!V454="Taijiqiang F",964,IF(Atletas!V454="Bagua de Arma F",965,IF(Atletas!V454="Xingyi de Arma F",966,"")))))))))))))))))))))))))))))))</f>
        <v/>
      </c>
      <c r="CM463" s="50" t="str">
        <f xml:space="preserve"> IF(Atletas!W454="","",IF(Atletas!W454="Duilian de Mãos BC - Equipe 1",1,IF(Atletas!W454="Duilian de Mãos BC - Equipe 2",2,IF(Atletas!W454="Duilian de Armas BC - Equipe 1",3,IF(Atletas!W454="Duilian de Armas BC - Equipe 2",4,IF(Atletas!W454="Duilian de Mãos DE - Equipe 1",5,IF(Atletas!W454="Duilian de Mãos DE - Equipe 2",6,IF(Atletas!W454="Duilian de Armas DE - Equipe 1",7,IF(Atletas!W454="Duilian de Armas DE - Equipe 2",8,IF(Atletas!W454="Duilian de Tuishou - Equipe 1",9,IF(Atletas!W454="Duilian de Tuishou - Equipe 2",10,IF(Atletas!W454="Grupo Externo ABC - Equipe 1",11,IF(Atletas!W454="Grupo Externo ABC - Equipe 2",12,IF(Atletas!W454="Grupo Interno ABC - Equipe 1",13,IF(Atletas!W454="Grupo Interno ABC - Equipe 2",14,IF(Atletas!W454="Grupo Externo DEF - Equipe 1",15,IF(Atletas!W454="Grupo Externo DEF - Equipe 2",16,IF(Atletas!W454="Grupo Interno DEF - Equipe 1",17,IF(Atletas!W454="Grupo Interno DEF - Equipe 2",18,"")))))))))))))))))))</f>
        <v/>
      </c>
    </row>
    <row r="464" spans="40:91">
      <c r="AN464" s="52" t="str">
        <f>IF(Atletas!D455="","",IF(Atletas!B455="Feminino",100,IF(Atletas!B455="Masculino",200,""))+(IF(Atletas!D455="Kids 30kg",1,IF(Atletas!D455="Kids 32kg",2, IF(Atletas!D455="Kids 34kg",3,IF(Atletas!D455="Kids 36kg",4,IF(Atletas!D455="Kids 39kg",5,IF(Atletas!D455="Kids 42kg",6,IF(Atletas!D455="Kids 45kg",7, IF(Atletas!D455="Infantil 39kg",8,IF(Atletas!D455="Infantil 42kg",9,IF(Atletas!D455="Infantil 45kg",10,IF(Atletas!D455="Infantil 48kg",11,IF(Atletas!D455="Infantil 52kg",12,IF(Atletas!D455="Infantil 56kg",13,IF(Atletas!D455="Infantil 60kg",14,IF(Atletas!D455="Juvenil 48kg",15,IF(Atletas!D455="Juvenil 52kg",16,IF(Atletas!D455="Juvenil 56kg",17,IF(Atletas!D455="Juvenil 60kg",18,IF(Atletas!D455="Juvenil 65kg",19,IF(Atletas!D455="Juvenil 70kg",20,IF(Atletas!D455="Juvenil 75kg",21,IF(Atletas!D455="Juvenil 80kg",22, IF(Atletas!D455="Juvenil 85kg",23,IF(Atletas!D455="Adulto 48kg",24,IF(Atletas!D455="Adulto 52kg",25,IF(Atletas!D455="Adulto 56kg",26,IF(Atletas!D455="Adulto 60kg",27,IF(Atletas!D455="Adulto 65kg",28,IF(Atletas!D455="Adulto 70kg",29,IF(Atletas!D455="Adulto 75kg",30,IF(Atletas!D455="Adulto 80kg",31,IF(Atletas!D455="Adulto 85kg",32,IF(Atletas!D455="Adulto 90kg",33,IF(Atletas!D455="Adulto 100kg",34, IF(Atletas!D455="Adulto +100kg",35,"")))))))))))))))))))))))))))))))))))))</f>
        <v/>
      </c>
      <c r="AS464" s="6" t="str">
        <f>IF(Atletas!E455="","",IF(Atletas!B455="Feminino",100,IF(Atletas!B455="Masculino",200,""))+(IF(Atletas!E455="Juvenil 44kg",1,IF(Atletas!E455="Juvenil 48kg",2,IF(Atletas!E455="Juvenil 52kg",3,IF(Atletas!E455="Juvenil 56kg",4,IF(Atletas!E455="Juvenil 60kg",5,IF(Atletas!E455="Juvenil 65kg",6,IF(Atletas!E455="Juvenil 70kg",7,IF(Atletas!E455="Juvenil 75kg",8,IF(Atletas!E455="Juvenil 82kg",9,IF(Atletas!E455="Juvenil 90kg",10,IF(Atletas!E455="Juvenil 100kg",11,IF(Atletas!E455="Adulto 48kg",12,IF(Atletas!E455="Adulto 52kg",13,IF(Atletas!E455="Adulto 56kg",14,IF(Atletas!E455="Adulto 60kg",15,IF(Atletas!E455="Adulto 65kg",16,IF(Atletas!E455="Adulto 70kg",17,IF(Atletas!E455="Adulto 75kg",18,IF(Atletas!E455="Adulto 82kg",19,IF(Atletas!E455="Adulto 90kg",20,IF(Atletas!E455="Adulto 100kg",21,IF(Atletas!E455="Adulto +100kg",22,""))))))))))))))))))))))))</f>
        <v/>
      </c>
      <c r="AX464" s="6" t="str">
        <f>IF(Atletas!F455="","",IF(Atletas!B455="Feminino",100,IF(Atletas!B455="Masculino",200,""))+(IF(Atletas!F455="Adulto 48kg",1,IF(Atletas!F455="Adulto 56kg",2,IF(Atletas!F455="Adulto 65kg",3,IF(Atletas!F455="Adulto 75kg",4,IF(Atletas!F455="Adulto +75kg",5,IF(Atletas!F455="Adulto 52kg",6,IF(Atletas!F455="Adulto 60kg",7,IF(Atletas!F455="Adulto 70kg",8,IF(Atletas!F455="Adulto 80kg",9,IF(Atletas!F455="Adulto 90kg",10,IF(Atletas!F455="Adulto +90kg",11,"")))))))))))))</f>
        <v/>
      </c>
      <c r="BC464" s="6" t="str">
        <f>IF(Atletas!G455="","",IF(Atletas!B455="Feminino",10,IF(Atletas!B455="Masculino",20,""))+(IF(Atletas!G455="Baduanjin A",1,IF(Atletas!G455="Baduanjin B",2))))</f>
        <v/>
      </c>
      <c r="BF464" s="52" t="str">
        <f>IF(Atletas!H455="","",IF(Atletas!B455="Feminino",100,IF(Atletas!B455="Masculino",200,""))+(IF(Atletas!H455="Changquan Mirim",1,IF(Atletas!H455="Nanquan Mirim",2,IF(Atletas!H455="Taijiquan Mirim",3,IF(Atletas!H455="Changquan Grupo C",4,IF(Atletas!H455="Nanquan Grupo C",5,IF(Atletas!H455="Taijiquan Grupo C",6,IF(Atletas!H455="Changquan Grupo B",7,IF(Atletas!H455="Nanquan Grupo B",8,IF(Atletas!H455="Taijiquan Grupo B",9,IF(Atletas!H455="Changquan Grupo A",10,IF(Atletas!H455="Nanquan Grupo A",11,IF(Atletas!H455="Taijiquan Grupo A",12,IF(Atletas!H455="Changquan Opcional",13,IF(Atletas!H455="Nanquan Opcional",14,IF(Atletas!H455="Taijiquan Opcional",15,IF(Atletas!H455="Changquan Adulto",16,IF(Atletas!H455="Nanquan Adulto",17,IF(Atletas!H455="Taijiquan Adulto",18,""))))))))))))))))))))</f>
        <v/>
      </c>
      <c r="BG464" s="52" t="str">
        <f>IF(Atletas!I455="","",IF(Atletas!B455="Feminino",100,IF(Atletas!B455="Masculino",200,""))+(IF(Atletas!I455="Daoshu Mirim",19,IF(Atletas!I455="Jianshu Mirim",20,IF(Atletas!I455="Nandao Mirim",21,IF(Atletas!I455="Taijijian Mirim",22,IF(Atletas!I455="Daoshu Grupo C",23,IF(Atletas!I455="Jianshu Grupo C",24,IF(Atletas!I455="Nandao Grupo C",25,IF(Atletas!I455="Taijijian Grupo C",26,IF(Atletas!I455="Daoshu Grupo B",27,IF(Atletas!I455="Jianshu Grupo B",28,IF(Atletas!I455="Nandao Grupo B",29,IF(Atletas!I455="Taijijian Grupo B",30,IF(Atletas!I455="Daoshu Grupo A",31,IF(Atletas!I455="Jianshu Grupo A",32,IF(Atletas!I455="Nandao Grupo A",33,IF(Atletas!I455="Taijijian Grupo A",34,IF(Atletas!I455="Daoshu Opcional",35,IF(Atletas!I455="Jianshu Opcional",36,IF(Atletas!I455="Nandao Opcional",37,IF(Atletas!I455="Taijijian Opcional",38,IF(Atletas!I455="Daoshu Adulto",39,IF(Atletas!I455="Jianshu Adulto",40,IF(Atletas!I455="Nandao Adulto",41,IF(Atletas!I455="Taijijian Adulto",42,""))))))))))))))))))))))))))</f>
        <v/>
      </c>
      <c r="BH464" s="52" t="str">
        <f>IF(Atletas!J455="","",IF(Atletas!B455="Feminino",100,IF(Atletas!B455="Masculino",200,""))+(IF(Atletas!J455="Gunshu Mirim",43,IF(Atletas!J455="Qiangshu Mirim",44,IF(Atletas!J455="Nangun Mirim",45,IF(Atletas!J455="Gunshu Grupo C",46,IF(Atletas!J455="Qiangshu Grupo C",47,IF(Atletas!J455="Nangun Grupo C",48,IF(Atletas!J455="Gunshu Grupo B",49,IF(Atletas!J455="Qiangshu Grupo B",50,IF(Atletas!J455="Nangun Grupo B",51,IF(Atletas!J455="Gunshu Grupo A",52,IF(Atletas!J455="Qiangshu Grupo A",53,IF(Atletas!J455="Nangun Grupo A",54,IF(Atletas!J455="Gunshu Opcional",55,IF(Atletas!J455="Qiangshu Opcional",56,IF(Atletas!J455="Nangun Opcional",57,IF(Atletas!J455="Gunshu Adulto",58,IF(Atletas!J455="Qiangshu Adulto",59,IF(Atletas!J455="Nangun Adulto",60,IF(Atletas!J455="Taijishan Grupo B",61,IF(Atletas!J455="Taijishan Grupo A",62,""))))))))))))))))))))))</f>
        <v/>
      </c>
      <c r="BM464" s="50" t="str">
        <f>IF(Atletas!K455="","",IF(Atletas!B455="Feminino",100,IF(Atletas!B455="Masculino",200,""))+(IF(Atletas!K455="Equipe 1 Grupo B",1,IF(Atletas!K455="Equipe 2 Grupo B",2,IF(Atletas!K455="Equipe 1 Grupo A",3,IF(Atletas!K455="Equipe 2 Grupo A",4,IF(Atletas!K455="Equipe 1 Adulto",5,IF(Atletas!K455="Equipe 2 Adulto",6,""))))))))</f>
        <v/>
      </c>
      <c r="BR464" s="50" t="str">
        <f>IF(Atletas!L455="","",IF(Atletas!X455&lt;&gt;"",10000,0)+(IF(Atletas!B455="Feminino",1000,IF(Atletas!B455="Masculino",2000,""))+IF(Atletas!L455="Choylayfut A",1,IF(Atletas!L455="Hunggar A",2,IF(Atletas!L455="Wuzuquan A",3,IF(Atletas!L455="Wingchun A",4,IF(Atletas!L455="Outra Mão de Sul A",5,IF(Atletas!L455="Choylayfut B",6,IF(Atletas!L455="Hunggar B",7,IF(Atletas!L455="Wuzuquan B",8,IF(Atletas!L455="Wingchun B",9,IF(Atletas!L455="Outra Mão de Sul B",10,IF(Atletas!L455="Choylayfut C",11,IF(Atletas!L455="Hunggar C",12,IF(Atletas!L455="Wuzuquan C",13,IF(Atletas!L455="Wingchun C",14,IF(Atletas!L455="Outra Mão de Sul C",15,IF(Atletas!L455="Choylayfut D",16,IF(Atletas!L455="Hunggar D",17,IF(Atletas!L455="Wuzuquan D",18,IF(Atletas!L455="Wingchun D",19,IF(Atletas!L455="Outra Mão de Sul D",20,IF(Atletas!L455="Choylayfut E",21,IF(Atletas!L455="Hunggar E",22,IF(Atletas!L455="Wuzuquan E",23,IF(Atletas!L455="Wingchun E",24,IF(Atletas!L455="Outra Mão de Sul E",25,IF(Atletas!L455="Choylayfut F",26,IF(Atletas!L455="Hunggar F",27,IF(Atletas!L455="Wuzuquan F",28,IF(Atletas!L455="Wingchun F",29,IF(Atletas!L455="Outra Mão de Sul F",30,IF(Atletas!L455="Dishuquan A",31,IF(Atletas!L455="Dishuquan B",32,IF(Atletas!L455="Dishuquan C",33,IF(Atletas!L455="Dishuquan D",34,IF(Atletas!L455="Dishuquan E",35,IF(Atletas!L455="Dishuquan F",36,""))))))))))))))))))))))))))))))))))))))</f>
        <v/>
      </c>
      <c r="BS464" s="50" t="str">
        <f>IF(Atletas!M455="","",IF(Atletas!X455&lt;&gt;"",10000,0)+(IF(Atletas!B455="Feminino",1000,IF(Atletas!B455="Masculino",2000,""))+(IF(Atletas!M455="Chaquan A",101,IF(Atletas!M455="Emeiquan A",102,IF(Atletas!M455="Fanziquan A",103,IF(Atletas!M455="Huaquan A",104,IF(Atletas!M455="Hongquan A",105,IF(Atletas!M455="Paoquan A",106,IF(Atletas!M455="Piguaquan A",107,IF(Atletas!M455="Shaolinquan A",108,IF(Atletas!M455="Tanglangquan A",109,IF(Atletas!M455="Yingzhaoquan A",110,IF(Atletas!M455="Tongbeiquan A",111,IF(Atletas!M455="Wudangquan A",112,IF(Atletas!M455="Outros Estilos A",113,IF(Atletas!M455="Chaquan B",114,IF(Atletas!M455="Emeiquan B",115,IF(Atletas!M455="Fanziquan B",116,IF(Atletas!M455="Huaquan B",117,IF(Atletas!M455="Hongquan B",118,IF(Atletas!M455="Paoquan B",119,IF(Atletas!M455="Piguaquan B",120,IF(Atletas!M455="Shaolinquan B",121,IF(Atletas!M455="Tanglangquan B",122,IF(Atletas!M455="Yingzhaoquan B",123,IF(Atletas!M455="Tongbeiquan B",124,IF(Atletas!M455="Wudangquan B",125,IF(Atletas!M455="Outros Estilos B",126,IF(Atletas!M455="Chaquan C",127,IF(Atletas!M455="Emeiquan C",128,IF(Atletas!M455="Fanziquan C",129,IF(Atletas!M455="Huaquan C",130,IF(Atletas!M455="Hongquan C",131,IF(Atletas!M455="Paoquan C",132,IF(Atletas!M455="Piguaquan C",133,IF(Atletas!M455="Shaolinquan C",134,IF(Atletas!M455="Tanglangquan C",135,IF(Atletas!M455="Yingzhaoquan C",136,IF(Atletas!M455="Tongbeiquan C",137,IF(Atletas!M455="Wudangquan C",138,IF(Atletas!M455="Outros Estilos C",139,0))))))))))))))))))))))))))))))))))))))))))</f>
        <v/>
      </c>
      <c r="BT464" s="50" t="str">
        <f>IF(Atletas!M455="","",IF(Atletas!X455&lt;&gt;"",10000,0)+(IF(Atletas!B455="Feminino",1000,IF(Atletas!B455="Masculino",2000,""))+(IF(Atletas!M455="Chaquan D",140,IF(Atletas!M455="Emeiquan D",141,IF(Atletas!M455="Fanziquan D",142,IF(Atletas!M455="Huaquan D",143,IF(Atletas!M455="Hongquan D",144,IF(Atletas!M455="Paoquan D",145,IF(Atletas!M455="Piguaquan D",146,IF(Atletas!M455="Shaolinquan D",147,IF(Atletas!M455="Tanglangquan D",148,IF(Atletas!M455="Yingzhaoquan D",149,IF(Atletas!M455="Tongbeiquan D",150,IF(Atletas!M455="Wudangquan D",151,IF(Atletas!M455="Outros Estilos D",152,IF(Atletas!M455="Chaquan E",153,IF(Atletas!M455="Emeiquan E",154,IF(Atletas!M455="Fanziquan E",155,IF(Atletas!M455="Huaquan E",156,IF(Atletas!M455="Hongquan E",157,IF(Atletas!M455="Paoquan E",158,IF(Atletas!M455="Piguaquan E",159,IF(Atletas!M455="Shaolinquan E",160,IF(Atletas!M455="Tanglangquan E",161,IF(Atletas!M455="Yingzhaoquan E",162,IF(Atletas!M455="Tongbeiquan E",163,IF(Atletas!M455="Wudangquan E",164,IF(Atletas!M455="Outros Estilos E",165,IF(Atletas!M455="Chaquan F",166,IF(Atletas!M455="Emeiquan F",167,IF(Atletas!M455="Fanziquan F",168,IF(Atletas!M455="Huaquan F",169,IF(Atletas!M455="Hongquan F",170,IF(Atletas!M455="Paoquan F",171,IF(Atletas!M455="Piguaquan F",172,IF(Atletas!M455="Shaolinquan F",173,IF(Atletas!M455="Tanglangquan F",174,IF(Atletas!M455="Yingzhaoquan F",175,IF(Atletas!M455="Tongbeiquan F",176,IF(Atletas!M455="Wudangquan F",177,IF(Atletas!M455="Outros Estilos F",178,0))))))))))))))))))))))))))))))))))))))))))</f>
        <v/>
      </c>
      <c r="BU464" s="50" t="str">
        <f>IF(Atletas!N455="","",IF(Atletas!X455&lt;&gt;"",10000,0)+(IF(Atletas!B455="Feminino",1000,IF(Atletas!B455="Masculino",2000,""))+(IF(Atletas!N455="Ditangquan A",201,IF(Atletas!N455="Houquan A",202,IF(Atletas!N455="Zuiquan A",203,IF(Atletas!N455="Ditangquan B",204,IF(Atletas!N455="Houquan B",205,IF(Atletas!N455="Zuiquan B",206,IF(Atletas!N455="Ditangquan C",207,IF(Atletas!N455="Houquan C",208,IF(Atletas!N455="Zuiquan C",209,IF(Atletas!N455="Ditangquan D",210,IF(Atletas!N455="Houquan D",211,IF(Atletas!N455="Zuiquan D",212,IF(Atletas!N455="Ditangquan E",213,IF(Atletas!N455="Houquan E",214,IF(Atletas!N455="Zuiquan E",215,IF(Atletas!N455="Ditangquan F",216,IF(Atletas!N455="Houquan F",217,IF(Atletas!N455="Zuiquan F",218,"")))))))))))))))))))))</f>
        <v/>
      </c>
      <c r="BV464" s="50" t="str">
        <f>IF(Atletas!O455="","",IF(Atletas!X455&lt;&gt;"",10000,0)+IF(Atletas!B455="Feminino",1000,IF(Atletas!B455="Masculino",2000,""))+IF(Atletas!O455="Yang A",301,IF(Atletas!O455="Chen A",302,IF(Atletas!O455="Sun A",303,IF(Atletas!O455="Wu A",304,IF(Atletas!O455="Wu-Hao A",305,IF(Atletas!O455="Outro Taijiquan A",306,IF(Atletas!O455="Yang B",307,IF(Atletas!O455="Chen B",308,IF(Atletas!O455="Sun B",309,IF(Atletas!O455="Wu B",310,IF(Atletas!O455="Wu-Hao B",311,IF(Atletas!O455="Outro Taijiquan B",312,IF(Atletas!O455="Yang C",313,IF(Atletas!O455="Chen C",314,IF(Atletas!O455="Sun C",315,IF(Atletas!O455="Wu C",316,IF(Atletas!O455="Wu-Hao C",317,IF(Atletas!O455="Outro Taijiquan C",318,IF(Atletas!O455="Yang D",319,IF(Atletas!O455="Chen D",320,IF(Atletas!O455="Sun D",321,IF(Atletas!O455="Wu D",322,IF(Atletas!O455="Wu-Hao D",323,IF(Atletas!O455="Outro Taijiquan D",324,IF(Atletas!O455="Yang E",325,IF(Atletas!O455="Chen E",326,IF(Atletas!O455="Sun E",327,IF(Atletas!O455="Wu E",328,IF(Atletas!O455="Wu-Hao E",329,IF(Atletas!O455="Outro Taijiquan E",330,IF(Atletas!O455="Yang F",331,IF(Atletas!O455="Chen F",332,IF(Atletas!O455="Sun F",333,IF(Atletas!O455="Wu F",334,IF(Atletas!O455="Wu-Hao F",335,IF(Atletas!O455="Outro Taijiquan F",336,"")))))))))))))))))))))))))))))))))))))</f>
        <v/>
      </c>
      <c r="BW464" s="50" t="str">
        <f>IF(Atletas!P455="","",IF(Atletas!X455&lt;&gt;"",10000,0)+IF(Atletas!B455="Feminino",1000,IF(Atletas!B455="Masculino",2000,""))+IF(OR(Atletas!P455="Yang 26 A",Atletas!P455="Yang 40 A"),401,IF(OR(Atletas!P455="Chen 25 A",Atletas!P455="Chen 36 A",Atletas!P455="Chen 56 A"),402,IF(Atletas!P455="Sun 73 A",403,IF(Atletas!P455="Wu 45 A",404,IF(Atletas!P455="Wu-Hao 46 A",405,IF(OR(Atletas!P455="Taijiquan 16 A",Atletas!P455="Taijiquan 24 A",Atletas!P455="Taijiquan 32 A",Atletas!P455="Taijiquan 42 A"),406,IF(OR(Atletas!P455="Yang 26 B",Atletas!P455="Yang 40 B"),407,IF(OR(Atletas!P455="Chen 25 B",Atletas!P455="Chen 36 B",Atletas!P455="Chen 56 B"),408,IF(Atletas!P455="Sun 73 B",409,IF(Atletas!P455="Wu 45 B",410,IF(Atletas!P455="Wu-Hao 46 B",411,IF(OR(Atletas!P455="Taijiquan 16 B",Atletas!P455="Taijiquan 24 B",Atletas!P455="Taijiquan 32 B",Atletas!P455="Taijiquan 42 B"),412,IF(OR(Atletas!P455="Yang 26 C",Atletas!P455="Yang 40 C"),413,IF(OR(Atletas!P455="Chen 25 C",Atletas!P455="Chen 36 C",Atletas!P455="Chen 56 C"),414,IF(Atletas!P455="Sun 73 C",415,IF(Atletas!P455="Wu 45 C",416,IF(Atletas!P455="Wu-Hao 46 C",417,IF(OR(Atletas!P455="Taijiquan 16 C",Atletas!P455="Taijiquan 24 C",Atletas!P455="Taijiquan 32 C",Atletas!P455="Taijiquan 42 C"),418,0)))))))))))))))))))</f>
        <v/>
      </c>
      <c r="BX464" s="50" t="str">
        <f>IF(Atletas!P455="","",IF(Atletas!X455&lt;&gt;"",10000,0)+IF(Atletas!B455="Feminino",1000,IF(Atletas!B455="Masculino",2000,""))+IF(OR(Atletas!P455="Yang 26 D",Atletas!P455="Yang 40 D"),419,IF(OR(Atletas!P455="Chen 25 D",Atletas!P455="Chen 36 D",Atletas!P455="Chen 56 D"),420,IF(Atletas!P455="Sun 73 D",421,IF(Atletas!P455="Wu 45 D",422,IF(Atletas!P455="Wu-Hao 46 D",423,IF(OR(Atletas!P455="Taijiquan 16 D",Atletas!P455="Taijiquan 24 D",Atletas!P455="Taijiquan 32 D",Atletas!P455="Taijiquan 42 D"),424,IF(OR(Atletas!P455="Yang 26 E",Atletas!P455="Yang 40 E"),425,IF(OR(Atletas!P455="Chen 25 E",Atletas!P455="Chen 36 E",Atletas!P455="Chen 56 E"),426,IF(Atletas!P455="Sun 73 E",427,IF(Atletas!P455="Wu 45 E",428,IF(Atletas!P455="Wu-Hao 46 E",429,IF(OR(Atletas!P455="Taijiquan 16 E",Atletas!P455="Taijiquan 24 E",Atletas!P455="Taijiquan 32 E",Atletas!P455="Taijiquan 42 E"),430,IF(OR(Atletas!P455="Yang 26 F",Atletas!P455="Yang 40 F"),431,IF(OR(Atletas!P455="Chen 25 F",Atletas!P455="Chen 36 F",Atletas!P455="Chen 56 F"),432,IF(Atletas!P455="Sun 73 F",433,IF(Atletas!P455="Wu 45 F",434,IF(Atletas!P455="Wu-Hao 46 F",435,IF(OR(Atletas!P455="Taijiquan 16 F",Atletas!P455="Taijiquan 24 F",Atletas!P455="Taijiquan 32 F",Atletas!P455="Taijiquan 42 F"),436,0)))))))))))))))))))</f>
        <v/>
      </c>
      <c r="BY464" s="50" t="str">
        <f>IF(Atletas!Q455="","",IF(Atletas!X455&lt;&gt;"",10000,0)+IF(Atletas!B455="Feminino",1000,IF(Atletas!B455="Masculino",2000,""))+IF(Atletas!Q455="Xingyiquan A",501,IF(Atletas!Q455="Baguazhang A",502,IF(Atletas!Q455="Outro Estilo Interno A",503,IF(Atletas!Q455="Xingyiquan B",504,IF(Atletas!Q455="Baguazhang B",505,IF(Atletas!Q455="Outro Estilo Interno B",506,IF(Atletas!Q455="Xingyiquan C",507,IF(Atletas!Q455="Baguazhang C",508,IF(Atletas!Q455="Outro Estilo Interno C",509,IF(Atletas!Q455="Xingyiquan D",510,IF(Atletas!Q455="Baguazhang D",511,IF(Atletas!Q455="Outro Estilo Interno D",512,IF(Atletas!Q455="Xingyiquan E",513,IF(Atletas!Q455="Baguazhang E",514,IF(Atletas!Q455="Outro Estilo Interno E",515,IF(Atletas!Q455="Xingyiquan F",516,IF(Atletas!Q455="Baguazhang F",517,IF(Atletas!Q455="Outro Estilo Interno F",518, "")))))))))))))))))))</f>
        <v/>
      </c>
      <c r="BZ464" s="50" t="str">
        <f>IF(Atletas!R455="","",IF(Atletas!X455&lt;&gt;"",10000,0)+IF(Atletas!B455="Feminino",1000,IF(Atletas!B455="Masculino",2000,""))+IF(Atletas!R455="Dao A",601,IF(Atletas!R455="Jian A",602,IF(Atletas!R455="Bishou A",603,IF(Atletas!R455="Shanzi A",604,IF(Atletas!R455="Outra Arma Curta A",605,IF(Atletas!R455="Dao B",606,IF(Atletas!R455="Jian B",607,IF(Atletas!R455="Bishou B",608,IF(Atletas!R455="Shanzi B",609,IF(Atletas!R455="Outra Arma Curta B",610,IF(Atletas!R455="Dao C",611,IF(Atletas!R455="Jian C",612,IF(Atletas!R455="Bishou C",613,IF(Atletas!R455="Shanzi C",614,IF(Atletas!R455="Outra Arma Curta C",615,IF(Atletas!R455="Dao D",616,IF(Atletas!R455="Jian D",617,IF(Atletas!R455="Bishou D",618,IF(Atletas!R455="Shanzi D",619,IF(Atletas!R455="Outra Arma Curta D",620,IF(Atletas!R455="Dao E",621,IF(Atletas!R455="Jian E",622,IF(Atletas!R455="Bishou E",623,IF(Atletas!R455="Shanzi E",624,IF(Atletas!R455="Outra Arma Curta E",625,IF(Atletas!R455="Dao F",626,IF(Atletas!R455="Jian F",627,IF(Atletas!R455="Bishou F",628,IF(Atletas!R455="Shanzi F",629,IF(Atletas!R455="Outra Arma Curta F",630, "")))))))))))))))))))))))))))))))</f>
        <v/>
      </c>
      <c r="CA464" s="50" t="str">
        <f>IF(Atletas!S455="","",IF(Atletas!X455&lt;&gt;"",10000,0)+IF(Atletas!B455="Feminino",1000,IF(Atletas!B455="Masculino",2000,""))+IF(Atletas!S455="Gun A",701,IF(Atletas!S455="Qiang A",702,IF(Atletas!S455="Pudao / Guandao A",703,IF(Atletas!S455="Outra Arma Longa A",704,IF(Atletas!S455="Gun B",705,IF(Atletas!S455="Qiang B",706,IF(Atletas!S455="Pudao / Guandao B",707,IF(Atletas!S455="Outra Arma Longa B",708,IF(Atletas!S455="Gun C",709,IF(Atletas!S455="Qiang C",710,IF(Atletas!S455="Pudao / Guandao C",711,IF(Atletas!S455="Outra Arma Longa C",712,IF(Atletas!S455="Gun D",713,IF(Atletas!S455="Qiang D",714,IF(Atletas!S455="Pudao / Guandao D",715,IF(Atletas!S455="Outra Arma Longa D",716,IF(Atletas!S455="Gun E",717,IF(Atletas!S455="Qiang E",718,IF(Atletas!S455="Pudao / Guandao E",719,IF(Atletas!S455="Outra Arma Longa E",720,IF(Atletas!S455="Gun F",721,IF(Atletas!S455="Qiang F",722,IF(Atletas!S455="Pudao / Guandao F",723,IF(Atletas!S455="Outra Arma Longa F",724,"")))))))))))))))))))))))))</f>
        <v/>
      </c>
      <c r="CB464" s="50" t="str">
        <f>IF(Atletas!T455="","",IF(Atletas!X455&lt;&gt;"",10000,0)+IF(Atletas!B455="Feminino",1000,IF(Atletas!B455="Masculino",2000,""))+IF(Atletas!T455="Outra Arma Dupla A",801,IF(Atletas!T455="Arma Maleável A",802,IF(Atletas!T455="Outra Arma Dupla B",803,IF(Atletas!T455="Arma Maleável B",804,IF(Atletas!T455="Outra Arma Dupla C",805,IF(Atletas!T455="Arma Maleável C",806,IF(Atletas!T455="Outra Arma Dupla D",807,IF(Atletas!T455="Arma Maleável D",808,IF(Atletas!T455="Outra Arma Dupla E",809,IF(Atletas!T455="Arma Maleável E",810,IF(Atletas!T455="Outra Arma Dupla F",811,IF(Atletas!T455="Arma Maleável F",812,IF(Atletas!T455="Shuangdao A",813,IF(Atletas!T455="Shuangdao B",814,IF(Atletas!T455="Shuangdao C",815,IF(Atletas!T455="Shuangdao D",816,IF(Atletas!T455="Shuangdao E",817,IF(Atletas!T455="Shuangdao F",818,"")))))))))))))))))))</f>
        <v/>
      </c>
      <c r="CC464" s="50" t="str">
        <f>IF(Atletas!U455="","",IF(Atletas!X455&lt;&gt;"",10000,0)+IF(Atletas!B455="Feminino",1000,IF(Atletas!B455="Masculino",2000,""))+IF(OR(Atletas!U455="Taijijian Yang A",Atletas!U455="Taijijian Yang Standard A"),901,IF(OR(Atletas!U455="Taijijian Chen A", Atletas!U455="Taijijian Chen Standard A"),902,IF(Atletas!U455="Taijijian Sun A",903,IF(Atletas!U455="Taijijian Wu A",904,IF(Atletas!U455="Taijijian Wu-Hao A",905,IF(OR(Atletas!U455="Taijijian 32 A",Atletas!U455="Taijijian 42 A"),906,IF(OR(Atletas!U455="Taijijian Yang B",Atletas!U455="Taijijian Yang Standard B"),907,IF(OR(Atletas!U455="Taijijian Chen B", Atletas!U455="Taijijian Chen Standard B"),908,IF(Atletas!U455="Taijijian Sun B",909,IF(Atletas!U455="Taijijian Wu B",910,IF(Atletas!U455="Taijijian Wu-Hao B",911,IF(OR(Atletas!U455="Taijijian 32 B",Atletas!U455="Taijijian 42 B"),912,IF(OR(Atletas!U455="Taijijian Yang C",Atletas!U455="Taijijian Yang Standard C"),913,IF(OR(Atletas!U455="Taijijian Chen C", Atletas!U455="Taijijian Chen Standard C"),914,IF(Atletas!U455="Taijijian Sun C",915,IF(Atletas!U455="Taijijian Wu C",916,IF(Atletas!U455="Taijijian Wu-Hao C",917,IF(OR(Atletas!U455="Taijijian 32 C",Atletas!U455="Taijijian 42 C"),918,IF(OR(Atletas!U455="Taijijian Yang D",Atletas!U455="Taijijian Yang Standard D"),919,IF(OR(Atletas!U455="Taijijian Chen D", Atletas!U455="Taijijian Chen Standard D"),920,IF(Atletas!U455="Taijijian Sun D",921,IF(Atletas!U455="Taijijian Wu D",922,IF(Atletas!U455="Taijijian Wu-Hao D",923,IF(OR(Atletas!U455="Taijijian 32 D",Atletas!U455="Taijijian 42 D"),924,IF(OR(Atletas!U455="Taijijian Yang E",Atletas!U455="Taijijian Yang Standard E"),925,IF(OR(Atletas!U455="Taijijian Chen E", Atletas!U455="Taijijian Chen Standard E"),926,IF(Atletas!U455="Taijijian Sun E",927,IF(Atletas!U455="Taijijian Wu E",928,IF(Atletas!U455="Taijijian Wu-Hao E",929,IF(OR(Atletas!U455="Taijijian 32 E",Atletas!U455="Taijijian 42 E"),930,IF(OR(Atletas!U455="Taijijian Yang F",Atletas!U455="Taijijian Yang Standard F"),931,IF(OR(Atletas!U455="Taijijian Chen F", Atletas!U455="Taijijian Chen Standard F"),932,IF(Atletas!U455="Taijijian Sun F",933,IF(Atletas!U455="Taijijian Wu F",934,IF(Atletas!U455="Taijijian Wu-Hao F",935,IF(OR(Atletas!U455="Taijijian 32 F",Atletas!U455="Taijijian 42 F"),936,"")))))))))))))))))))))))))))))))))))))</f>
        <v/>
      </c>
      <c r="CD464" s="50" t="str">
        <f>IF(Atletas!V455="","",IF(Atletas!X455&lt;&gt;"",10000,0)+IF(Atletas!B455="Feminino",1000,IF(Atletas!B455="Masculino",2000,""))+IF(Atletas!V455="Taijidao A",937,IF(Atletas!V455="TaijiShanzi A",938,IF(Atletas!V455="Taijiqiang A",939,IF(Atletas!V455="Bagua de Arma A",940,IF(Atletas!V455="Xingyi de Arma A",941,IF(Atletas!V455="Taijidao B",942,IF(Atletas!V455="TaijiShanzi B",943,IF(Atletas!V455="Taijiqiang B",944,IF(Atletas!V455="Bagua de Arma B",945,IF(Atletas!V455="Xingyi de Arma B",946,IF(Atletas!V455="Taijidao C",947,IF(Atletas!V455="TaijiShanzi C",948,IF(Atletas!V455="Taijiqiang C",949,IF(Atletas!V455="Bagua de Arma C",950,IF(Atletas!V455="Xingyi de Arma C",951,IF(Atletas!V455="Taijidao D",952,IF(Atletas!V455="TaijiShanzi D",953,IF(Atletas!V455="Taijiqiang D",954,IF(Atletas!V455="Bagua de Arma D",955,IF(Atletas!V455="Xingyi de Arma D",956,IF(Atletas!V455="Taijidao E",957,IF(Atletas!V455="TaijiShanzi E",958,IF(Atletas!V455="Taijiqiang E",959,IF(Atletas!V455="Bagua de Arma E",960,IF(Atletas!V455="Xingyi de Arma E",961,IF(Atletas!V455="Taijidao F",962,IF(Atletas!V455="TaijiShanzi F",963,IF(Atletas!V455="Taijiqiang F",964,IF(Atletas!V455="Bagua de Arma F",965,IF(Atletas!V455="Xingyi de Arma F",966,"")))))))))))))))))))))))))))))))</f>
        <v/>
      </c>
      <c r="CM464" s="50" t="str">
        <f xml:space="preserve"> IF(Atletas!W455="","",IF(Atletas!W455="Duilian de Mãos BC - Equipe 1",1,IF(Atletas!W455="Duilian de Mãos BC - Equipe 2",2,IF(Atletas!W455="Duilian de Armas BC - Equipe 1",3,IF(Atletas!W455="Duilian de Armas BC - Equipe 2",4,IF(Atletas!W455="Duilian de Mãos DE - Equipe 1",5,IF(Atletas!W455="Duilian de Mãos DE - Equipe 2",6,IF(Atletas!W455="Duilian de Armas DE - Equipe 1",7,IF(Atletas!W455="Duilian de Armas DE - Equipe 2",8,IF(Atletas!W455="Duilian de Tuishou - Equipe 1",9,IF(Atletas!W455="Duilian de Tuishou - Equipe 2",10,IF(Atletas!W455="Grupo Externo ABC - Equipe 1",11,IF(Atletas!W455="Grupo Externo ABC - Equipe 2",12,IF(Atletas!W455="Grupo Interno ABC - Equipe 1",13,IF(Atletas!W455="Grupo Interno ABC - Equipe 2",14,IF(Atletas!W455="Grupo Externo DEF - Equipe 1",15,IF(Atletas!W455="Grupo Externo DEF - Equipe 2",16,IF(Atletas!W455="Grupo Interno DEF - Equipe 1",17,IF(Atletas!W455="Grupo Interno DEF - Equipe 2",18,"")))))))))))))))))))</f>
        <v/>
      </c>
    </row>
    <row r="465" spans="40:91">
      <c r="AN465" s="52" t="str">
        <f>IF(Atletas!D456="","",IF(Atletas!B456="Feminino",100,IF(Atletas!B456="Masculino",200,""))+(IF(Atletas!D456="Kids 30kg",1,IF(Atletas!D456="Kids 32kg",2, IF(Atletas!D456="Kids 34kg",3,IF(Atletas!D456="Kids 36kg",4,IF(Atletas!D456="Kids 39kg",5,IF(Atletas!D456="Kids 42kg",6,IF(Atletas!D456="Kids 45kg",7, IF(Atletas!D456="Infantil 39kg",8,IF(Atletas!D456="Infantil 42kg",9,IF(Atletas!D456="Infantil 45kg",10,IF(Atletas!D456="Infantil 48kg",11,IF(Atletas!D456="Infantil 52kg",12,IF(Atletas!D456="Infantil 56kg",13,IF(Atletas!D456="Infantil 60kg",14,IF(Atletas!D456="Juvenil 48kg",15,IF(Atletas!D456="Juvenil 52kg",16,IF(Atletas!D456="Juvenil 56kg",17,IF(Atletas!D456="Juvenil 60kg",18,IF(Atletas!D456="Juvenil 65kg",19,IF(Atletas!D456="Juvenil 70kg",20,IF(Atletas!D456="Juvenil 75kg",21,IF(Atletas!D456="Juvenil 80kg",22, IF(Atletas!D456="Juvenil 85kg",23,IF(Atletas!D456="Adulto 48kg",24,IF(Atletas!D456="Adulto 52kg",25,IF(Atletas!D456="Adulto 56kg",26,IF(Atletas!D456="Adulto 60kg",27,IF(Atletas!D456="Adulto 65kg",28,IF(Atletas!D456="Adulto 70kg",29,IF(Atletas!D456="Adulto 75kg",30,IF(Atletas!D456="Adulto 80kg",31,IF(Atletas!D456="Adulto 85kg",32,IF(Atletas!D456="Adulto 90kg",33,IF(Atletas!D456="Adulto 100kg",34, IF(Atletas!D456="Adulto +100kg",35,"")))))))))))))))))))))))))))))))))))))</f>
        <v/>
      </c>
      <c r="AS465" s="6" t="str">
        <f>IF(Atletas!E456="","",IF(Atletas!B456="Feminino",100,IF(Atletas!B456="Masculino",200,""))+(IF(Atletas!E456="Juvenil 44kg",1,IF(Atletas!E456="Juvenil 48kg",2,IF(Atletas!E456="Juvenil 52kg",3,IF(Atletas!E456="Juvenil 56kg",4,IF(Atletas!E456="Juvenil 60kg",5,IF(Atletas!E456="Juvenil 65kg",6,IF(Atletas!E456="Juvenil 70kg",7,IF(Atletas!E456="Juvenil 75kg",8,IF(Atletas!E456="Juvenil 82kg",9,IF(Atletas!E456="Juvenil 90kg",10,IF(Atletas!E456="Juvenil 100kg",11,IF(Atletas!E456="Adulto 48kg",12,IF(Atletas!E456="Adulto 52kg",13,IF(Atletas!E456="Adulto 56kg",14,IF(Atletas!E456="Adulto 60kg",15,IF(Atletas!E456="Adulto 65kg",16,IF(Atletas!E456="Adulto 70kg",17,IF(Atletas!E456="Adulto 75kg",18,IF(Atletas!E456="Adulto 82kg",19,IF(Atletas!E456="Adulto 90kg",20,IF(Atletas!E456="Adulto 100kg",21,IF(Atletas!E456="Adulto +100kg",22,""))))))))))))))))))))))))</f>
        <v/>
      </c>
      <c r="AX465" s="6" t="str">
        <f>IF(Atletas!F456="","",IF(Atletas!B456="Feminino",100,IF(Atletas!B456="Masculino",200,""))+(IF(Atletas!F456="Adulto 48kg",1,IF(Atletas!F456="Adulto 56kg",2,IF(Atletas!F456="Adulto 65kg",3,IF(Atletas!F456="Adulto 75kg",4,IF(Atletas!F456="Adulto +75kg",5,IF(Atletas!F456="Adulto 52kg",6,IF(Atletas!F456="Adulto 60kg",7,IF(Atletas!F456="Adulto 70kg",8,IF(Atletas!F456="Adulto 80kg",9,IF(Atletas!F456="Adulto 90kg",10,IF(Atletas!F456="Adulto +90kg",11,"")))))))))))))</f>
        <v/>
      </c>
      <c r="BC465" s="6" t="str">
        <f>IF(Atletas!G456="","",IF(Atletas!B456="Feminino",10,IF(Atletas!B456="Masculino",20,""))+(IF(Atletas!G456="Baduanjin A",1,IF(Atletas!G456="Baduanjin B",2))))</f>
        <v/>
      </c>
      <c r="BF465" s="52" t="str">
        <f>IF(Atletas!H456="","",IF(Atletas!B456="Feminino",100,IF(Atletas!B456="Masculino",200,""))+(IF(Atletas!H456="Changquan Mirim",1,IF(Atletas!H456="Nanquan Mirim",2,IF(Atletas!H456="Taijiquan Mirim",3,IF(Atletas!H456="Changquan Grupo C",4,IF(Atletas!H456="Nanquan Grupo C",5,IF(Atletas!H456="Taijiquan Grupo C",6,IF(Atletas!H456="Changquan Grupo B",7,IF(Atletas!H456="Nanquan Grupo B",8,IF(Atletas!H456="Taijiquan Grupo B",9,IF(Atletas!H456="Changquan Grupo A",10,IF(Atletas!H456="Nanquan Grupo A",11,IF(Atletas!H456="Taijiquan Grupo A",12,IF(Atletas!H456="Changquan Opcional",13,IF(Atletas!H456="Nanquan Opcional",14,IF(Atletas!H456="Taijiquan Opcional",15,IF(Atletas!H456="Changquan Adulto",16,IF(Atletas!H456="Nanquan Adulto",17,IF(Atletas!H456="Taijiquan Adulto",18,""))))))))))))))))))))</f>
        <v/>
      </c>
      <c r="BG465" s="52" t="str">
        <f>IF(Atletas!I456="","",IF(Atletas!B456="Feminino",100,IF(Atletas!B456="Masculino",200,""))+(IF(Atletas!I456="Daoshu Mirim",19,IF(Atletas!I456="Jianshu Mirim",20,IF(Atletas!I456="Nandao Mirim",21,IF(Atletas!I456="Taijijian Mirim",22,IF(Atletas!I456="Daoshu Grupo C",23,IF(Atletas!I456="Jianshu Grupo C",24,IF(Atletas!I456="Nandao Grupo C",25,IF(Atletas!I456="Taijijian Grupo C",26,IF(Atletas!I456="Daoshu Grupo B",27,IF(Atletas!I456="Jianshu Grupo B",28,IF(Atletas!I456="Nandao Grupo B",29,IF(Atletas!I456="Taijijian Grupo B",30,IF(Atletas!I456="Daoshu Grupo A",31,IF(Atletas!I456="Jianshu Grupo A",32,IF(Atletas!I456="Nandao Grupo A",33,IF(Atletas!I456="Taijijian Grupo A",34,IF(Atletas!I456="Daoshu Opcional",35,IF(Atletas!I456="Jianshu Opcional",36,IF(Atletas!I456="Nandao Opcional",37,IF(Atletas!I456="Taijijian Opcional",38,IF(Atletas!I456="Daoshu Adulto",39,IF(Atletas!I456="Jianshu Adulto",40,IF(Atletas!I456="Nandao Adulto",41,IF(Atletas!I456="Taijijian Adulto",42,""))))))))))))))))))))))))))</f>
        <v/>
      </c>
      <c r="BH465" s="52" t="str">
        <f>IF(Atletas!J456="","",IF(Atletas!B456="Feminino",100,IF(Atletas!B456="Masculino",200,""))+(IF(Atletas!J456="Gunshu Mirim",43,IF(Atletas!J456="Qiangshu Mirim",44,IF(Atletas!J456="Nangun Mirim",45,IF(Atletas!J456="Gunshu Grupo C",46,IF(Atletas!J456="Qiangshu Grupo C",47,IF(Atletas!J456="Nangun Grupo C",48,IF(Atletas!J456="Gunshu Grupo B",49,IF(Atletas!J456="Qiangshu Grupo B",50,IF(Atletas!J456="Nangun Grupo B",51,IF(Atletas!J456="Gunshu Grupo A",52,IF(Atletas!J456="Qiangshu Grupo A",53,IF(Atletas!J456="Nangun Grupo A",54,IF(Atletas!J456="Gunshu Opcional",55,IF(Atletas!J456="Qiangshu Opcional",56,IF(Atletas!J456="Nangun Opcional",57,IF(Atletas!J456="Gunshu Adulto",58,IF(Atletas!J456="Qiangshu Adulto",59,IF(Atletas!J456="Nangun Adulto",60,IF(Atletas!J456="Taijishan Grupo B",61,IF(Atletas!J456="Taijishan Grupo A",62,""))))))))))))))))))))))</f>
        <v/>
      </c>
      <c r="BM465" s="50" t="str">
        <f>IF(Atletas!K456="","",IF(Atletas!B456="Feminino",100,IF(Atletas!B456="Masculino",200,""))+(IF(Atletas!K456="Equipe 1 Grupo B",1,IF(Atletas!K456="Equipe 2 Grupo B",2,IF(Atletas!K456="Equipe 1 Grupo A",3,IF(Atletas!K456="Equipe 2 Grupo A",4,IF(Atletas!K456="Equipe 1 Adulto",5,IF(Atletas!K456="Equipe 2 Adulto",6,""))))))))</f>
        <v/>
      </c>
      <c r="BR465" s="50" t="str">
        <f>IF(Atletas!L456="","",IF(Atletas!X456&lt;&gt;"",10000,0)+(IF(Atletas!B456="Feminino",1000,IF(Atletas!B456="Masculino",2000,""))+IF(Atletas!L456="Choylayfut A",1,IF(Atletas!L456="Hunggar A",2,IF(Atletas!L456="Wuzuquan A",3,IF(Atletas!L456="Wingchun A",4,IF(Atletas!L456="Outra Mão de Sul A",5,IF(Atletas!L456="Choylayfut B",6,IF(Atletas!L456="Hunggar B",7,IF(Atletas!L456="Wuzuquan B",8,IF(Atletas!L456="Wingchun B",9,IF(Atletas!L456="Outra Mão de Sul B",10,IF(Atletas!L456="Choylayfut C",11,IF(Atletas!L456="Hunggar C",12,IF(Atletas!L456="Wuzuquan C",13,IF(Atletas!L456="Wingchun C",14,IF(Atletas!L456="Outra Mão de Sul C",15,IF(Atletas!L456="Choylayfut D",16,IF(Atletas!L456="Hunggar D",17,IF(Atletas!L456="Wuzuquan D",18,IF(Atletas!L456="Wingchun D",19,IF(Atletas!L456="Outra Mão de Sul D",20,IF(Atletas!L456="Choylayfut E",21,IF(Atletas!L456="Hunggar E",22,IF(Atletas!L456="Wuzuquan E",23,IF(Atletas!L456="Wingchun E",24,IF(Atletas!L456="Outra Mão de Sul E",25,IF(Atletas!L456="Choylayfut F",26,IF(Atletas!L456="Hunggar F",27,IF(Atletas!L456="Wuzuquan F",28,IF(Atletas!L456="Wingchun F",29,IF(Atletas!L456="Outra Mão de Sul F",30,IF(Atletas!L456="Dishuquan A",31,IF(Atletas!L456="Dishuquan B",32,IF(Atletas!L456="Dishuquan C",33,IF(Atletas!L456="Dishuquan D",34,IF(Atletas!L456="Dishuquan E",35,IF(Atletas!L456="Dishuquan F",36,""))))))))))))))))))))))))))))))))))))))</f>
        <v/>
      </c>
      <c r="BS465" s="50" t="str">
        <f>IF(Atletas!M456="","",IF(Atletas!X456&lt;&gt;"",10000,0)+(IF(Atletas!B456="Feminino",1000,IF(Atletas!B456="Masculino",2000,""))+(IF(Atletas!M456="Chaquan A",101,IF(Atletas!M456="Emeiquan A",102,IF(Atletas!M456="Fanziquan A",103,IF(Atletas!M456="Huaquan A",104,IF(Atletas!M456="Hongquan A",105,IF(Atletas!M456="Paoquan A",106,IF(Atletas!M456="Piguaquan A",107,IF(Atletas!M456="Shaolinquan A",108,IF(Atletas!M456="Tanglangquan A",109,IF(Atletas!M456="Yingzhaoquan A",110,IF(Atletas!M456="Tongbeiquan A",111,IF(Atletas!M456="Wudangquan A",112,IF(Atletas!M456="Outros Estilos A",113,IF(Atletas!M456="Chaquan B",114,IF(Atletas!M456="Emeiquan B",115,IF(Atletas!M456="Fanziquan B",116,IF(Atletas!M456="Huaquan B",117,IF(Atletas!M456="Hongquan B",118,IF(Atletas!M456="Paoquan B",119,IF(Atletas!M456="Piguaquan B",120,IF(Atletas!M456="Shaolinquan B",121,IF(Atletas!M456="Tanglangquan B",122,IF(Atletas!M456="Yingzhaoquan B",123,IF(Atletas!M456="Tongbeiquan B",124,IF(Atletas!M456="Wudangquan B",125,IF(Atletas!M456="Outros Estilos B",126,IF(Atletas!M456="Chaquan C",127,IF(Atletas!M456="Emeiquan C",128,IF(Atletas!M456="Fanziquan C",129,IF(Atletas!M456="Huaquan C",130,IF(Atletas!M456="Hongquan C",131,IF(Atletas!M456="Paoquan C",132,IF(Atletas!M456="Piguaquan C",133,IF(Atletas!M456="Shaolinquan C",134,IF(Atletas!M456="Tanglangquan C",135,IF(Atletas!M456="Yingzhaoquan C",136,IF(Atletas!M456="Tongbeiquan C",137,IF(Atletas!M456="Wudangquan C",138,IF(Atletas!M456="Outros Estilos C",139,0))))))))))))))))))))))))))))))))))))))))))</f>
        <v/>
      </c>
      <c r="BT465" s="50" t="str">
        <f>IF(Atletas!M456="","",IF(Atletas!X456&lt;&gt;"",10000,0)+(IF(Atletas!B456="Feminino",1000,IF(Atletas!B456="Masculino",2000,""))+(IF(Atletas!M456="Chaquan D",140,IF(Atletas!M456="Emeiquan D",141,IF(Atletas!M456="Fanziquan D",142,IF(Atletas!M456="Huaquan D",143,IF(Atletas!M456="Hongquan D",144,IF(Atletas!M456="Paoquan D",145,IF(Atletas!M456="Piguaquan D",146,IF(Atletas!M456="Shaolinquan D",147,IF(Atletas!M456="Tanglangquan D",148,IF(Atletas!M456="Yingzhaoquan D",149,IF(Atletas!M456="Tongbeiquan D",150,IF(Atletas!M456="Wudangquan D",151,IF(Atletas!M456="Outros Estilos D",152,IF(Atletas!M456="Chaquan E",153,IF(Atletas!M456="Emeiquan E",154,IF(Atletas!M456="Fanziquan E",155,IF(Atletas!M456="Huaquan E",156,IF(Atletas!M456="Hongquan E",157,IF(Atletas!M456="Paoquan E",158,IF(Atletas!M456="Piguaquan E",159,IF(Atletas!M456="Shaolinquan E",160,IF(Atletas!M456="Tanglangquan E",161,IF(Atletas!M456="Yingzhaoquan E",162,IF(Atletas!M456="Tongbeiquan E",163,IF(Atletas!M456="Wudangquan E",164,IF(Atletas!M456="Outros Estilos E",165,IF(Atletas!M456="Chaquan F",166,IF(Atletas!M456="Emeiquan F",167,IF(Atletas!M456="Fanziquan F",168,IF(Atletas!M456="Huaquan F",169,IF(Atletas!M456="Hongquan F",170,IF(Atletas!M456="Paoquan F",171,IF(Atletas!M456="Piguaquan F",172,IF(Atletas!M456="Shaolinquan F",173,IF(Atletas!M456="Tanglangquan F",174,IF(Atletas!M456="Yingzhaoquan F",175,IF(Atletas!M456="Tongbeiquan F",176,IF(Atletas!M456="Wudangquan F",177,IF(Atletas!M456="Outros Estilos F",178,0))))))))))))))))))))))))))))))))))))))))))</f>
        <v/>
      </c>
      <c r="BU465" s="50" t="str">
        <f>IF(Atletas!N456="","",IF(Atletas!X456&lt;&gt;"",10000,0)+(IF(Atletas!B456="Feminino",1000,IF(Atletas!B456="Masculino",2000,""))+(IF(Atletas!N456="Ditangquan A",201,IF(Atletas!N456="Houquan A",202,IF(Atletas!N456="Zuiquan A",203,IF(Atletas!N456="Ditangquan B",204,IF(Atletas!N456="Houquan B",205,IF(Atletas!N456="Zuiquan B",206,IF(Atletas!N456="Ditangquan C",207,IF(Atletas!N456="Houquan C",208,IF(Atletas!N456="Zuiquan C",209,IF(Atletas!N456="Ditangquan D",210,IF(Atletas!N456="Houquan D",211,IF(Atletas!N456="Zuiquan D",212,IF(Atletas!N456="Ditangquan E",213,IF(Atletas!N456="Houquan E",214,IF(Atletas!N456="Zuiquan E",215,IF(Atletas!N456="Ditangquan F",216,IF(Atletas!N456="Houquan F",217,IF(Atletas!N456="Zuiquan F",218,"")))))))))))))))))))))</f>
        <v/>
      </c>
      <c r="BV465" s="50" t="str">
        <f>IF(Atletas!O456="","",IF(Atletas!X456&lt;&gt;"",10000,0)+IF(Atletas!B456="Feminino",1000,IF(Atletas!B456="Masculino",2000,""))+IF(Atletas!O456="Yang A",301,IF(Atletas!O456="Chen A",302,IF(Atletas!O456="Sun A",303,IF(Atletas!O456="Wu A",304,IF(Atletas!O456="Wu-Hao A",305,IF(Atletas!O456="Outro Taijiquan A",306,IF(Atletas!O456="Yang B",307,IF(Atletas!O456="Chen B",308,IF(Atletas!O456="Sun B",309,IF(Atletas!O456="Wu B",310,IF(Atletas!O456="Wu-Hao B",311,IF(Atletas!O456="Outro Taijiquan B",312,IF(Atletas!O456="Yang C",313,IF(Atletas!O456="Chen C",314,IF(Atletas!O456="Sun C",315,IF(Atletas!O456="Wu C",316,IF(Atletas!O456="Wu-Hao C",317,IF(Atletas!O456="Outro Taijiquan C",318,IF(Atletas!O456="Yang D",319,IF(Atletas!O456="Chen D",320,IF(Atletas!O456="Sun D",321,IF(Atletas!O456="Wu D",322,IF(Atletas!O456="Wu-Hao D",323,IF(Atletas!O456="Outro Taijiquan D",324,IF(Atletas!O456="Yang E",325,IF(Atletas!O456="Chen E",326,IF(Atletas!O456="Sun E",327,IF(Atletas!O456="Wu E",328,IF(Atletas!O456="Wu-Hao E",329,IF(Atletas!O456="Outro Taijiquan E",330,IF(Atletas!O456="Yang F",331,IF(Atletas!O456="Chen F",332,IF(Atletas!O456="Sun F",333,IF(Atletas!O456="Wu F",334,IF(Atletas!O456="Wu-Hao F",335,IF(Atletas!O456="Outro Taijiquan F",336,"")))))))))))))))))))))))))))))))))))))</f>
        <v/>
      </c>
      <c r="BW465" s="50" t="str">
        <f>IF(Atletas!P456="","",IF(Atletas!X456&lt;&gt;"",10000,0)+IF(Atletas!B456="Feminino",1000,IF(Atletas!B456="Masculino",2000,""))+IF(OR(Atletas!P456="Yang 26 A",Atletas!P456="Yang 40 A"),401,IF(OR(Atletas!P456="Chen 25 A",Atletas!P456="Chen 36 A",Atletas!P456="Chen 56 A"),402,IF(Atletas!P456="Sun 73 A",403,IF(Atletas!P456="Wu 45 A",404,IF(Atletas!P456="Wu-Hao 46 A",405,IF(OR(Atletas!P456="Taijiquan 16 A",Atletas!P456="Taijiquan 24 A",Atletas!P456="Taijiquan 32 A",Atletas!P456="Taijiquan 42 A"),406,IF(OR(Atletas!P456="Yang 26 B",Atletas!P456="Yang 40 B"),407,IF(OR(Atletas!P456="Chen 25 B",Atletas!P456="Chen 36 B",Atletas!P456="Chen 56 B"),408,IF(Atletas!P456="Sun 73 B",409,IF(Atletas!P456="Wu 45 B",410,IF(Atletas!P456="Wu-Hao 46 B",411,IF(OR(Atletas!P456="Taijiquan 16 B",Atletas!P456="Taijiquan 24 B",Atletas!P456="Taijiquan 32 B",Atletas!P456="Taijiquan 42 B"),412,IF(OR(Atletas!P456="Yang 26 C",Atletas!P456="Yang 40 C"),413,IF(OR(Atletas!P456="Chen 25 C",Atletas!P456="Chen 36 C",Atletas!P456="Chen 56 C"),414,IF(Atletas!P456="Sun 73 C",415,IF(Atletas!P456="Wu 45 C",416,IF(Atletas!P456="Wu-Hao 46 C",417,IF(OR(Atletas!P456="Taijiquan 16 C",Atletas!P456="Taijiquan 24 C",Atletas!P456="Taijiquan 32 C",Atletas!P456="Taijiquan 42 C"),418,0)))))))))))))))))))</f>
        <v/>
      </c>
      <c r="BX465" s="50" t="str">
        <f>IF(Atletas!P456="","",IF(Atletas!X456&lt;&gt;"",10000,0)+IF(Atletas!B456="Feminino",1000,IF(Atletas!B456="Masculino",2000,""))+IF(OR(Atletas!P456="Yang 26 D",Atletas!P456="Yang 40 D"),419,IF(OR(Atletas!P456="Chen 25 D",Atletas!P456="Chen 36 D",Atletas!P456="Chen 56 D"),420,IF(Atletas!P456="Sun 73 D",421,IF(Atletas!P456="Wu 45 D",422,IF(Atletas!P456="Wu-Hao 46 D",423,IF(OR(Atletas!P456="Taijiquan 16 D",Atletas!P456="Taijiquan 24 D",Atletas!P456="Taijiquan 32 D",Atletas!P456="Taijiquan 42 D"),424,IF(OR(Atletas!P456="Yang 26 E",Atletas!P456="Yang 40 E"),425,IF(OR(Atletas!P456="Chen 25 E",Atletas!P456="Chen 36 E",Atletas!P456="Chen 56 E"),426,IF(Atletas!P456="Sun 73 E",427,IF(Atletas!P456="Wu 45 E",428,IF(Atletas!P456="Wu-Hao 46 E",429,IF(OR(Atletas!P456="Taijiquan 16 E",Atletas!P456="Taijiquan 24 E",Atletas!P456="Taijiquan 32 E",Atletas!P456="Taijiquan 42 E"),430,IF(OR(Atletas!P456="Yang 26 F",Atletas!P456="Yang 40 F"),431,IF(OR(Atletas!P456="Chen 25 F",Atletas!P456="Chen 36 F",Atletas!P456="Chen 56 F"),432,IF(Atletas!P456="Sun 73 F",433,IF(Atletas!P456="Wu 45 F",434,IF(Atletas!P456="Wu-Hao 46 F",435,IF(OR(Atletas!P456="Taijiquan 16 F",Atletas!P456="Taijiquan 24 F",Atletas!P456="Taijiquan 32 F",Atletas!P456="Taijiquan 42 F"),436,0)))))))))))))))))))</f>
        <v/>
      </c>
      <c r="BY465" s="50" t="str">
        <f>IF(Atletas!Q456="","",IF(Atletas!X456&lt;&gt;"",10000,0)+IF(Atletas!B456="Feminino",1000,IF(Atletas!B456="Masculino",2000,""))+IF(Atletas!Q456="Xingyiquan A",501,IF(Atletas!Q456="Baguazhang A",502,IF(Atletas!Q456="Outro Estilo Interno A",503,IF(Atletas!Q456="Xingyiquan B",504,IF(Atletas!Q456="Baguazhang B",505,IF(Atletas!Q456="Outro Estilo Interno B",506,IF(Atletas!Q456="Xingyiquan C",507,IF(Atletas!Q456="Baguazhang C",508,IF(Atletas!Q456="Outro Estilo Interno C",509,IF(Atletas!Q456="Xingyiquan D",510,IF(Atletas!Q456="Baguazhang D",511,IF(Atletas!Q456="Outro Estilo Interno D",512,IF(Atletas!Q456="Xingyiquan E",513,IF(Atletas!Q456="Baguazhang E",514,IF(Atletas!Q456="Outro Estilo Interno E",515,IF(Atletas!Q456="Xingyiquan F",516,IF(Atletas!Q456="Baguazhang F",517,IF(Atletas!Q456="Outro Estilo Interno F",518, "")))))))))))))))))))</f>
        <v/>
      </c>
      <c r="BZ465" s="50" t="str">
        <f>IF(Atletas!R456="","",IF(Atletas!X456&lt;&gt;"",10000,0)+IF(Atletas!B456="Feminino",1000,IF(Atletas!B456="Masculino",2000,""))+IF(Atletas!R456="Dao A",601,IF(Atletas!R456="Jian A",602,IF(Atletas!R456="Bishou A",603,IF(Atletas!R456="Shanzi A",604,IF(Atletas!R456="Outra Arma Curta A",605,IF(Atletas!R456="Dao B",606,IF(Atletas!R456="Jian B",607,IF(Atletas!R456="Bishou B",608,IF(Atletas!R456="Shanzi B",609,IF(Atletas!R456="Outra Arma Curta B",610,IF(Atletas!R456="Dao C",611,IF(Atletas!R456="Jian C",612,IF(Atletas!R456="Bishou C",613,IF(Atletas!R456="Shanzi C",614,IF(Atletas!R456="Outra Arma Curta C",615,IF(Atletas!R456="Dao D",616,IF(Atletas!R456="Jian D",617,IF(Atletas!R456="Bishou D",618,IF(Atletas!R456="Shanzi D",619,IF(Atletas!R456="Outra Arma Curta D",620,IF(Atletas!R456="Dao E",621,IF(Atletas!R456="Jian E",622,IF(Atletas!R456="Bishou E",623,IF(Atletas!R456="Shanzi E",624,IF(Atletas!R456="Outra Arma Curta E",625,IF(Atletas!R456="Dao F",626,IF(Atletas!R456="Jian F",627,IF(Atletas!R456="Bishou F",628,IF(Atletas!R456="Shanzi F",629,IF(Atletas!R456="Outra Arma Curta F",630, "")))))))))))))))))))))))))))))))</f>
        <v/>
      </c>
      <c r="CA465" s="50" t="str">
        <f>IF(Atletas!S456="","",IF(Atletas!X456&lt;&gt;"",10000,0)+IF(Atletas!B456="Feminino",1000,IF(Atletas!B456="Masculino",2000,""))+IF(Atletas!S456="Gun A",701,IF(Atletas!S456="Qiang A",702,IF(Atletas!S456="Pudao / Guandao A",703,IF(Atletas!S456="Outra Arma Longa A",704,IF(Atletas!S456="Gun B",705,IF(Atletas!S456="Qiang B",706,IF(Atletas!S456="Pudao / Guandao B",707,IF(Atletas!S456="Outra Arma Longa B",708,IF(Atletas!S456="Gun C",709,IF(Atletas!S456="Qiang C",710,IF(Atletas!S456="Pudao / Guandao C",711,IF(Atletas!S456="Outra Arma Longa C",712,IF(Atletas!S456="Gun D",713,IF(Atletas!S456="Qiang D",714,IF(Atletas!S456="Pudao / Guandao D",715,IF(Atletas!S456="Outra Arma Longa D",716,IF(Atletas!S456="Gun E",717,IF(Atletas!S456="Qiang E",718,IF(Atletas!S456="Pudao / Guandao E",719,IF(Atletas!S456="Outra Arma Longa E",720,IF(Atletas!S456="Gun F",721,IF(Atletas!S456="Qiang F",722,IF(Atletas!S456="Pudao / Guandao F",723,IF(Atletas!S456="Outra Arma Longa F",724,"")))))))))))))))))))))))))</f>
        <v/>
      </c>
      <c r="CB465" s="50" t="str">
        <f>IF(Atletas!T456="","",IF(Atletas!X456&lt;&gt;"",10000,0)+IF(Atletas!B456="Feminino",1000,IF(Atletas!B456="Masculino",2000,""))+IF(Atletas!T456="Outra Arma Dupla A",801,IF(Atletas!T456="Arma Maleável A",802,IF(Atletas!T456="Outra Arma Dupla B",803,IF(Atletas!T456="Arma Maleável B",804,IF(Atletas!T456="Outra Arma Dupla C",805,IF(Atletas!T456="Arma Maleável C",806,IF(Atletas!T456="Outra Arma Dupla D",807,IF(Atletas!T456="Arma Maleável D",808,IF(Atletas!T456="Outra Arma Dupla E",809,IF(Atletas!T456="Arma Maleável E",810,IF(Atletas!T456="Outra Arma Dupla F",811,IF(Atletas!T456="Arma Maleável F",812,IF(Atletas!T456="Shuangdao A",813,IF(Atletas!T456="Shuangdao B",814,IF(Atletas!T456="Shuangdao C",815,IF(Atletas!T456="Shuangdao D",816,IF(Atletas!T456="Shuangdao E",817,IF(Atletas!T456="Shuangdao F",818,"")))))))))))))))))))</f>
        <v/>
      </c>
      <c r="CC465" s="50" t="str">
        <f>IF(Atletas!U456="","",IF(Atletas!X456&lt;&gt;"",10000,0)+IF(Atletas!B456="Feminino",1000,IF(Atletas!B456="Masculino",2000,""))+IF(OR(Atletas!U456="Taijijian Yang A",Atletas!U456="Taijijian Yang Standard A"),901,IF(OR(Atletas!U456="Taijijian Chen A", Atletas!U456="Taijijian Chen Standard A"),902,IF(Atletas!U456="Taijijian Sun A",903,IF(Atletas!U456="Taijijian Wu A",904,IF(Atletas!U456="Taijijian Wu-Hao A",905,IF(OR(Atletas!U456="Taijijian 32 A",Atletas!U456="Taijijian 42 A"),906,IF(OR(Atletas!U456="Taijijian Yang B",Atletas!U456="Taijijian Yang Standard B"),907,IF(OR(Atletas!U456="Taijijian Chen B", Atletas!U456="Taijijian Chen Standard B"),908,IF(Atletas!U456="Taijijian Sun B",909,IF(Atletas!U456="Taijijian Wu B",910,IF(Atletas!U456="Taijijian Wu-Hao B",911,IF(OR(Atletas!U456="Taijijian 32 B",Atletas!U456="Taijijian 42 B"),912,IF(OR(Atletas!U456="Taijijian Yang C",Atletas!U456="Taijijian Yang Standard C"),913,IF(OR(Atletas!U456="Taijijian Chen C", Atletas!U456="Taijijian Chen Standard C"),914,IF(Atletas!U456="Taijijian Sun C",915,IF(Atletas!U456="Taijijian Wu C",916,IF(Atletas!U456="Taijijian Wu-Hao C",917,IF(OR(Atletas!U456="Taijijian 32 C",Atletas!U456="Taijijian 42 C"),918,IF(OR(Atletas!U456="Taijijian Yang D",Atletas!U456="Taijijian Yang Standard D"),919,IF(OR(Atletas!U456="Taijijian Chen D", Atletas!U456="Taijijian Chen Standard D"),920,IF(Atletas!U456="Taijijian Sun D",921,IF(Atletas!U456="Taijijian Wu D",922,IF(Atletas!U456="Taijijian Wu-Hao D",923,IF(OR(Atletas!U456="Taijijian 32 D",Atletas!U456="Taijijian 42 D"),924,IF(OR(Atletas!U456="Taijijian Yang E",Atletas!U456="Taijijian Yang Standard E"),925,IF(OR(Atletas!U456="Taijijian Chen E", Atletas!U456="Taijijian Chen Standard E"),926,IF(Atletas!U456="Taijijian Sun E",927,IF(Atletas!U456="Taijijian Wu E",928,IF(Atletas!U456="Taijijian Wu-Hao E",929,IF(OR(Atletas!U456="Taijijian 32 E",Atletas!U456="Taijijian 42 E"),930,IF(OR(Atletas!U456="Taijijian Yang F",Atletas!U456="Taijijian Yang Standard F"),931,IF(OR(Atletas!U456="Taijijian Chen F", Atletas!U456="Taijijian Chen Standard F"),932,IF(Atletas!U456="Taijijian Sun F",933,IF(Atletas!U456="Taijijian Wu F",934,IF(Atletas!U456="Taijijian Wu-Hao F",935,IF(OR(Atletas!U456="Taijijian 32 F",Atletas!U456="Taijijian 42 F"),936,"")))))))))))))))))))))))))))))))))))))</f>
        <v/>
      </c>
      <c r="CD465" s="50" t="str">
        <f>IF(Atletas!V456="","",IF(Atletas!X456&lt;&gt;"",10000,0)+IF(Atletas!B456="Feminino",1000,IF(Atletas!B456="Masculino",2000,""))+IF(Atletas!V456="Taijidao A",937,IF(Atletas!V456="TaijiShanzi A",938,IF(Atletas!V456="Taijiqiang A",939,IF(Atletas!V456="Bagua de Arma A",940,IF(Atletas!V456="Xingyi de Arma A",941,IF(Atletas!V456="Taijidao B",942,IF(Atletas!V456="TaijiShanzi B",943,IF(Atletas!V456="Taijiqiang B",944,IF(Atletas!V456="Bagua de Arma B",945,IF(Atletas!V456="Xingyi de Arma B",946,IF(Atletas!V456="Taijidao C",947,IF(Atletas!V456="TaijiShanzi C",948,IF(Atletas!V456="Taijiqiang C",949,IF(Atletas!V456="Bagua de Arma C",950,IF(Atletas!V456="Xingyi de Arma C",951,IF(Atletas!V456="Taijidao D",952,IF(Atletas!V456="TaijiShanzi D",953,IF(Atletas!V456="Taijiqiang D",954,IF(Atletas!V456="Bagua de Arma D",955,IF(Atletas!V456="Xingyi de Arma D",956,IF(Atletas!V456="Taijidao E",957,IF(Atletas!V456="TaijiShanzi E",958,IF(Atletas!V456="Taijiqiang E",959,IF(Atletas!V456="Bagua de Arma E",960,IF(Atletas!V456="Xingyi de Arma E",961,IF(Atletas!V456="Taijidao F",962,IF(Atletas!V456="TaijiShanzi F",963,IF(Atletas!V456="Taijiqiang F",964,IF(Atletas!V456="Bagua de Arma F",965,IF(Atletas!V456="Xingyi de Arma F",966,"")))))))))))))))))))))))))))))))</f>
        <v/>
      </c>
      <c r="CM465" s="50" t="str">
        <f xml:space="preserve"> IF(Atletas!W456="","",IF(Atletas!W456="Duilian de Mãos BC - Equipe 1",1,IF(Atletas!W456="Duilian de Mãos BC - Equipe 2",2,IF(Atletas!W456="Duilian de Armas BC - Equipe 1",3,IF(Atletas!W456="Duilian de Armas BC - Equipe 2",4,IF(Atletas!W456="Duilian de Mãos DE - Equipe 1",5,IF(Atletas!W456="Duilian de Mãos DE - Equipe 2",6,IF(Atletas!W456="Duilian de Armas DE - Equipe 1",7,IF(Atletas!W456="Duilian de Armas DE - Equipe 2",8,IF(Atletas!W456="Duilian de Tuishou - Equipe 1",9,IF(Atletas!W456="Duilian de Tuishou - Equipe 2",10,IF(Atletas!W456="Grupo Externo ABC - Equipe 1",11,IF(Atletas!W456="Grupo Externo ABC - Equipe 2",12,IF(Atletas!W456="Grupo Interno ABC - Equipe 1",13,IF(Atletas!W456="Grupo Interno ABC - Equipe 2",14,IF(Atletas!W456="Grupo Externo DEF - Equipe 1",15,IF(Atletas!W456="Grupo Externo DEF - Equipe 2",16,IF(Atletas!W456="Grupo Interno DEF - Equipe 1",17,IF(Atletas!W456="Grupo Interno DEF - Equipe 2",18,"")))))))))))))))))))</f>
        <v/>
      </c>
    </row>
    <row r="466" spans="40:91">
      <c r="AN466" s="52" t="str">
        <f>IF(Atletas!D457="","",IF(Atletas!B457="Feminino",100,IF(Atletas!B457="Masculino",200,""))+(IF(Atletas!D457="Kids 30kg",1,IF(Atletas!D457="Kids 32kg",2, IF(Atletas!D457="Kids 34kg",3,IF(Atletas!D457="Kids 36kg",4,IF(Atletas!D457="Kids 39kg",5,IF(Atletas!D457="Kids 42kg",6,IF(Atletas!D457="Kids 45kg",7, IF(Atletas!D457="Infantil 39kg",8,IF(Atletas!D457="Infantil 42kg",9,IF(Atletas!D457="Infantil 45kg",10,IF(Atletas!D457="Infantil 48kg",11,IF(Atletas!D457="Infantil 52kg",12,IF(Atletas!D457="Infantil 56kg",13,IF(Atletas!D457="Infantil 60kg",14,IF(Atletas!D457="Juvenil 48kg",15,IF(Atletas!D457="Juvenil 52kg",16,IF(Atletas!D457="Juvenil 56kg",17,IF(Atletas!D457="Juvenil 60kg",18,IF(Atletas!D457="Juvenil 65kg",19,IF(Atletas!D457="Juvenil 70kg",20,IF(Atletas!D457="Juvenil 75kg",21,IF(Atletas!D457="Juvenil 80kg",22, IF(Atletas!D457="Juvenil 85kg",23,IF(Atletas!D457="Adulto 48kg",24,IF(Atletas!D457="Adulto 52kg",25,IF(Atletas!D457="Adulto 56kg",26,IF(Atletas!D457="Adulto 60kg",27,IF(Atletas!D457="Adulto 65kg",28,IF(Atletas!D457="Adulto 70kg",29,IF(Atletas!D457="Adulto 75kg",30,IF(Atletas!D457="Adulto 80kg",31,IF(Atletas!D457="Adulto 85kg",32,IF(Atletas!D457="Adulto 90kg",33,IF(Atletas!D457="Adulto 100kg",34, IF(Atletas!D457="Adulto +100kg",35,"")))))))))))))))))))))))))))))))))))))</f>
        <v/>
      </c>
      <c r="AS466" s="6" t="str">
        <f>IF(Atletas!E457="","",IF(Atletas!B457="Feminino",100,IF(Atletas!B457="Masculino",200,""))+(IF(Atletas!E457="Juvenil 44kg",1,IF(Atletas!E457="Juvenil 48kg",2,IF(Atletas!E457="Juvenil 52kg",3,IF(Atletas!E457="Juvenil 56kg",4,IF(Atletas!E457="Juvenil 60kg",5,IF(Atletas!E457="Juvenil 65kg",6,IF(Atletas!E457="Juvenil 70kg",7,IF(Atletas!E457="Juvenil 75kg",8,IF(Atletas!E457="Juvenil 82kg",9,IF(Atletas!E457="Juvenil 90kg",10,IF(Atletas!E457="Juvenil 100kg",11,IF(Atletas!E457="Adulto 48kg",12,IF(Atletas!E457="Adulto 52kg",13,IF(Atletas!E457="Adulto 56kg",14,IF(Atletas!E457="Adulto 60kg",15,IF(Atletas!E457="Adulto 65kg",16,IF(Atletas!E457="Adulto 70kg",17,IF(Atletas!E457="Adulto 75kg",18,IF(Atletas!E457="Adulto 82kg",19,IF(Atletas!E457="Adulto 90kg",20,IF(Atletas!E457="Adulto 100kg",21,IF(Atletas!E457="Adulto +100kg",22,""))))))))))))))))))))))))</f>
        <v/>
      </c>
      <c r="AX466" s="6" t="str">
        <f>IF(Atletas!F457="","",IF(Atletas!B457="Feminino",100,IF(Atletas!B457="Masculino",200,""))+(IF(Atletas!F457="Adulto 48kg",1,IF(Atletas!F457="Adulto 56kg",2,IF(Atletas!F457="Adulto 65kg",3,IF(Atletas!F457="Adulto 75kg",4,IF(Atletas!F457="Adulto +75kg",5,IF(Atletas!F457="Adulto 52kg",6,IF(Atletas!F457="Adulto 60kg",7,IF(Atletas!F457="Adulto 70kg",8,IF(Atletas!F457="Adulto 80kg",9,IF(Atletas!F457="Adulto 90kg",10,IF(Atletas!F457="Adulto +90kg",11,"")))))))))))))</f>
        <v/>
      </c>
      <c r="BC466" s="6" t="str">
        <f>IF(Atletas!G457="","",IF(Atletas!B457="Feminino",10,IF(Atletas!B457="Masculino",20,""))+(IF(Atletas!G457="Baduanjin A",1,IF(Atletas!G457="Baduanjin B",2))))</f>
        <v/>
      </c>
      <c r="BF466" s="52" t="str">
        <f>IF(Atletas!H457="","",IF(Atletas!B457="Feminino",100,IF(Atletas!B457="Masculino",200,""))+(IF(Atletas!H457="Changquan Mirim",1,IF(Atletas!H457="Nanquan Mirim",2,IF(Atletas!H457="Taijiquan Mirim",3,IF(Atletas!H457="Changquan Grupo C",4,IF(Atletas!H457="Nanquan Grupo C",5,IF(Atletas!H457="Taijiquan Grupo C",6,IF(Atletas!H457="Changquan Grupo B",7,IF(Atletas!H457="Nanquan Grupo B",8,IF(Atletas!H457="Taijiquan Grupo B",9,IF(Atletas!H457="Changquan Grupo A",10,IF(Atletas!H457="Nanquan Grupo A",11,IF(Atletas!H457="Taijiquan Grupo A",12,IF(Atletas!H457="Changquan Opcional",13,IF(Atletas!H457="Nanquan Opcional",14,IF(Atletas!H457="Taijiquan Opcional",15,IF(Atletas!H457="Changquan Adulto",16,IF(Atletas!H457="Nanquan Adulto",17,IF(Atletas!H457="Taijiquan Adulto",18,""))))))))))))))))))))</f>
        <v/>
      </c>
      <c r="BG466" s="52" t="str">
        <f>IF(Atletas!I457="","",IF(Atletas!B457="Feminino",100,IF(Atletas!B457="Masculino",200,""))+(IF(Atletas!I457="Daoshu Mirim",19,IF(Atletas!I457="Jianshu Mirim",20,IF(Atletas!I457="Nandao Mirim",21,IF(Atletas!I457="Taijijian Mirim",22,IF(Atletas!I457="Daoshu Grupo C",23,IF(Atletas!I457="Jianshu Grupo C",24,IF(Atletas!I457="Nandao Grupo C",25,IF(Atletas!I457="Taijijian Grupo C",26,IF(Atletas!I457="Daoshu Grupo B",27,IF(Atletas!I457="Jianshu Grupo B",28,IF(Atletas!I457="Nandao Grupo B",29,IF(Atletas!I457="Taijijian Grupo B",30,IF(Atletas!I457="Daoshu Grupo A",31,IF(Atletas!I457="Jianshu Grupo A",32,IF(Atletas!I457="Nandao Grupo A",33,IF(Atletas!I457="Taijijian Grupo A",34,IF(Atletas!I457="Daoshu Opcional",35,IF(Atletas!I457="Jianshu Opcional",36,IF(Atletas!I457="Nandao Opcional",37,IF(Atletas!I457="Taijijian Opcional",38,IF(Atletas!I457="Daoshu Adulto",39,IF(Atletas!I457="Jianshu Adulto",40,IF(Atletas!I457="Nandao Adulto",41,IF(Atletas!I457="Taijijian Adulto",42,""))))))))))))))))))))))))))</f>
        <v/>
      </c>
      <c r="BH466" s="52" t="str">
        <f>IF(Atletas!J457="","",IF(Atletas!B457="Feminino",100,IF(Atletas!B457="Masculino",200,""))+(IF(Atletas!J457="Gunshu Mirim",43,IF(Atletas!J457="Qiangshu Mirim",44,IF(Atletas!J457="Nangun Mirim",45,IF(Atletas!J457="Gunshu Grupo C",46,IF(Atletas!J457="Qiangshu Grupo C",47,IF(Atletas!J457="Nangun Grupo C",48,IF(Atletas!J457="Gunshu Grupo B",49,IF(Atletas!J457="Qiangshu Grupo B",50,IF(Atletas!J457="Nangun Grupo B",51,IF(Atletas!J457="Gunshu Grupo A",52,IF(Atletas!J457="Qiangshu Grupo A",53,IF(Atletas!J457="Nangun Grupo A",54,IF(Atletas!J457="Gunshu Opcional",55,IF(Atletas!J457="Qiangshu Opcional",56,IF(Atletas!J457="Nangun Opcional",57,IF(Atletas!J457="Gunshu Adulto",58,IF(Atletas!J457="Qiangshu Adulto",59,IF(Atletas!J457="Nangun Adulto",60,IF(Atletas!J457="Taijishan Grupo B",61,IF(Atletas!J457="Taijishan Grupo A",62,""))))))))))))))))))))))</f>
        <v/>
      </c>
      <c r="BM466" s="50" t="str">
        <f>IF(Atletas!K457="","",IF(Atletas!B457="Feminino",100,IF(Atletas!B457="Masculino",200,""))+(IF(Atletas!K457="Equipe 1 Grupo B",1,IF(Atletas!K457="Equipe 2 Grupo B",2,IF(Atletas!K457="Equipe 1 Grupo A",3,IF(Atletas!K457="Equipe 2 Grupo A",4,IF(Atletas!K457="Equipe 1 Adulto",5,IF(Atletas!K457="Equipe 2 Adulto",6,""))))))))</f>
        <v/>
      </c>
      <c r="BR466" s="50" t="str">
        <f>IF(Atletas!L457="","",IF(Atletas!X457&lt;&gt;"",10000,0)+(IF(Atletas!B457="Feminino",1000,IF(Atletas!B457="Masculino",2000,""))+IF(Atletas!L457="Choylayfut A",1,IF(Atletas!L457="Hunggar A",2,IF(Atletas!L457="Wuzuquan A",3,IF(Atletas!L457="Wingchun A",4,IF(Atletas!L457="Outra Mão de Sul A",5,IF(Atletas!L457="Choylayfut B",6,IF(Atletas!L457="Hunggar B",7,IF(Atletas!L457="Wuzuquan B",8,IF(Atletas!L457="Wingchun B",9,IF(Atletas!L457="Outra Mão de Sul B",10,IF(Atletas!L457="Choylayfut C",11,IF(Atletas!L457="Hunggar C",12,IF(Atletas!L457="Wuzuquan C",13,IF(Atletas!L457="Wingchun C",14,IF(Atletas!L457="Outra Mão de Sul C",15,IF(Atletas!L457="Choylayfut D",16,IF(Atletas!L457="Hunggar D",17,IF(Atletas!L457="Wuzuquan D",18,IF(Atletas!L457="Wingchun D",19,IF(Atletas!L457="Outra Mão de Sul D",20,IF(Atletas!L457="Choylayfut E",21,IF(Atletas!L457="Hunggar E",22,IF(Atletas!L457="Wuzuquan E",23,IF(Atletas!L457="Wingchun E",24,IF(Atletas!L457="Outra Mão de Sul E",25,IF(Atletas!L457="Choylayfut F",26,IF(Atletas!L457="Hunggar F",27,IF(Atletas!L457="Wuzuquan F",28,IF(Atletas!L457="Wingchun F",29,IF(Atletas!L457="Outra Mão de Sul F",30,IF(Atletas!L457="Dishuquan A",31,IF(Atletas!L457="Dishuquan B",32,IF(Atletas!L457="Dishuquan C",33,IF(Atletas!L457="Dishuquan D",34,IF(Atletas!L457="Dishuquan E",35,IF(Atletas!L457="Dishuquan F",36,""))))))))))))))))))))))))))))))))))))))</f>
        <v/>
      </c>
      <c r="BS466" s="50" t="str">
        <f>IF(Atletas!M457="","",IF(Atletas!X457&lt;&gt;"",10000,0)+(IF(Atletas!B457="Feminino",1000,IF(Atletas!B457="Masculino",2000,""))+(IF(Atletas!M457="Chaquan A",101,IF(Atletas!M457="Emeiquan A",102,IF(Atletas!M457="Fanziquan A",103,IF(Atletas!M457="Huaquan A",104,IF(Atletas!M457="Hongquan A",105,IF(Atletas!M457="Paoquan A",106,IF(Atletas!M457="Piguaquan A",107,IF(Atletas!M457="Shaolinquan A",108,IF(Atletas!M457="Tanglangquan A",109,IF(Atletas!M457="Yingzhaoquan A",110,IF(Atletas!M457="Tongbeiquan A",111,IF(Atletas!M457="Wudangquan A",112,IF(Atletas!M457="Outros Estilos A",113,IF(Atletas!M457="Chaquan B",114,IF(Atletas!M457="Emeiquan B",115,IF(Atletas!M457="Fanziquan B",116,IF(Atletas!M457="Huaquan B",117,IF(Atletas!M457="Hongquan B",118,IF(Atletas!M457="Paoquan B",119,IF(Atletas!M457="Piguaquan B",120,IF(Atletas!M457="Shaolinquan B",121,IF(Atletas!M457="Tanglangquan B",122,IF(Atletas!M457="Yingzhaoquan B",123,IF(Atletas!M457="Tongbeiquan B",124,IF(Atletas!M457="Wudangquan B",125,IF(Atletas!M457="Outros Estilos B",126,IF(Atletas!M457="Chaquan C",127,IF(Atletas!M457="Emeiquan C",128,IF(Atletas!M457="Fanziquan C",129,IF(Atletas!M457="Huaquan C",130,IF(Atletas!M457="Hongquan C",131,IF(Atletas!M457="Paoquan C",132,IF(Atletas!M457="Piguaquan C",133,IF(Atletas!M457="Shaolinquan C",134,IF(Atletas!M457="Tanglangquan C",135,IF(Atletas!M457="Yingzhaoquan C",136,IF(Atletas!M457="Tongbeiquan C",137,IF(Atletas!M457="Wudangquan C",138,IF(Atletas!M457="Outros Estilos C",139,0))))))))))))))))))))))))))))))))))))))))))</f>
        <v/>
      </c>
      <c r="BT466" s="50" t="str">
        <f>IF(Atletas!M457="","",IF(Atletas!X457&lt;&gt;"",10000,0)+(IF(Atletas!B457="Feminino",1000,IF(Atletas!B457="Masculino",2000,""))+(IF(Atletas!M457="Chaquan D",140,IF(Atletas!M457="Emeiquan D",141,IF(Atletas!M457="Fanziquan D",142,IF(Atletas!M457="Huaquan D",143,IF(Atletas!M457="Hongquan D",144,IF(Atletas!M457="Paoquan D",145,IF(Atletas!M457="Piguaquan D",146,IF(Atletas!M457="Shaolinquan D",147,IF(Atletas!M457="Tanglangquan D",148,IF(Atletas!M457="Yingzhaoquan D",149,IF(Atletas!M457="Tongbeiquan D",150,IF(Atletas!M457="Wudangquan D",151,IF(Atletas!M457="Outros Estilos D",152,IF(Atletas!M457="Chaquan E",153,IF(Atletas!M457="Emeiquan E",154,IF(Atletas!M457="Fanziquan E",155,IF(Atletas!M457="Huaquan E",156,IF(Atletas!M457="Hongquan E",157,IF(Atletas!M457="Paoquan E",158,IF(Atletas!M457="Piguaquan E",159,IF(Atletas!M457="Shaolinquan E",160,IF(Atletas!M457="Tanglangquan E",161,IF(Atletas!M457="Yingzhaoquan E",162,IF(Atletas!M457="Tongbeiquan E",163,IF(Atletas!M457="Wudangquan E",164,IF(Atletas!M457="Outros Estilos E",165,IF(Atletas!M457="Chaquan F",166,IF(Atletas!M457="Emeiquan F",167,IF(Atletas!M457="Fanziquan F",168,IF(Atletas!M457="Huaquan F",169,IF(Atletas!M457="Hongquan F",170,IF(Atletas!M457="Paoquan F",171,IF(Atletas!M457="Piguaquan F",172,IF(Atletas!M457="Shaolinquan F",173,IF(Atletas!M457="Tanglangquan F",174,IF(Atletas!M457="Yingzhaoquan F",175,IF(Atletas!M457="Tongbeiquan F",176,IF(Atletas!M457="Wudangquan F",177,IF(Atletas!M457="Outros Estilos F",178,0))))))))))))))))))))))))))))))))))))))))))</f>
        <v/>
      </c>
      <c r="BU466" s="50" t="str">
        <f>IF(Atletas!N457="","",IF(Atletas!X457&lt;&gt;"",10000,0)+(IF(Atletas!B457="Feminino",1000,IF(Atletas!B457="Masculino",2000,""))+(IF(Atletas!N457="Ditangquan A",201,IF(Atletas!N457="Houquan A",202,IF(Atletas!N457="Zuiquan A",203,IF(Atletas!N457="Ditangquan B",204,IF(Atletas!N457="Houquan B",205,IF(Atletas!N457="Zuiquan B",206,IF(Atletas!N457="Ditangquan C",207,IF(Atletas!N457="Houquan C",208,IF(Atletas!N457="Zuiquan C",209,IF(Atletas!N457="Ditangquan D",210,IF(Atletas!N457="Houquan D",211,IF(Atletas!N457="Zuiquan D",212,IF(Atletas!N457="Ditangquan E",213,IF(Atletas!N457="Houquan E",214,IF(Atletas!N457="Zuiquan E",215,IF(Atletas!N457="Ditangquan F",216,IF(Atletas!N457="Houquan F",217,IF(Atletas!N457="Zuiquan F",218,"")))))))))))))))))))))</f>
        <v/>
      </c>
      <c r="BV466" s="50" t="str">
        <f>IF(Atletas!O457="","",IF(Atletas!X457&lt;&gt;"",10000,0)+IF(Atletas!B457="Feminino",1000,IF(Atletas!B457="Masculino",2000,""))+IF(Atletas!O457="Yang A",301,IF(Atletas!O457="Chen A",302,IF(Atletas!O457="Sun A",303,IF(Atletas!O457="Wu A",304,IF(Atletas!O457="Wu-Hao A",305,IF(Atletas!O457="Outro Taijiquan A",306,IF(Atletas!O457="Yang B",307,IF(Atletas!O457="Chen B",308,IF(Atletas!O457="Sun B",309,IF(Atletas!O457="Wu B",310,IF(Atletas!O457="Wu-Hao B",311,IF(Atletas!O457="Outro Taijiquan B",312,IF(Atletas!O457="Yang C",313,IF(Atletas!O457="Chen C",314,IF(Atletas!O457="Sun C",315,IF(Atletas!O457="Wu C",316,IF(Atletas!O457="Wu-Hao C",317,IF(Atletas!O457="Outro Taijiquan C",318,IF(Atletas!O457="Yang D",319,IF(Atletas!O457="Chen D",320,IF(Atletas!O457="Sun D",321,IF(Atletas!O457="Wu D",322,IF(Atletas!O457="Wu-Hao D",323,IF(Atletas!O457="Outro Taijiquan D",324,IF(Atletas!O457="Yang E",325,IF(Atletas!O457="Chen E",326,IF(Atletas!O457="Sun E",327,IF(Atletas!O457="Wu E",328,IF(Atletas!O457="Wu-Hao E",329,IF(Atletas!O457="Outro Taijiquan E",330,IF(Atletas!O457="Yang F",331,IF(Atletas!O457="Chen F",332,IF(Atletas!O457="Sun F",333,IF(Atletas!O457="Wu F",334,IF(Atletas!O457="Wu-Hao F",335,IF(Atletas!O457="Outro Taijiquan F",336,"")))))))))))))))))))))))))))))))))))))</f>
        <v/>
      </c>
      <c r="BW466" s="50" t="str">
        <f>IF(Atletas!P457="","",IF(Atletas!X457&lt;&gt;"",10000,0)+IF(Atletas!B457="Feminino",1000,IF(Atletas!B457="Masculino",2000,""))+IF(OR(Atletas!P457="Yang 26 A",Atletas!P457="Yang 40 A"),401,IF(OR(Atletas!P457="Chen 25 A",Atletas!P457="Chen 36 A",Atletas!P457="Chen 56 A"),402,IF(Atletas!P457="Sun 73 A",403,IF(Atletas!P457="Wu 45 A",404,IF(Atletas!P457="Wu-Hao 46 A",405,IF(OR(Atletas!P457="Taijiquan 16 A",Atletas!P457="Taijiquan 24 A",Atletas!P457="Taijiquan 32 A",Atletas!P457="Taijiquan 42 A"),406,IF(OR(Atletas!P457="Yang 26 B",Atletas!P457="Yang 40 B"),407,IF(OR(Atletas!P457="Chen 25 B",Atletas!P457="Chen 36 B",Atletas!P457="Chen 56 B"),408,IF(Atletas!P457="Sun 73 B",409,IF(Atletas!P457="Wu 45 B",410,IF(Atletas!P457="Wu-Hao 46 B",411,IF(OR(Atletas!P457="Taijiquan 16 B",Atletas!P457="Taijiquan 24 B",Atletas!P457="Taijiquan 32 B",Atletas!P457="Taijiquan 42 B"),412,IF(OR(Atletas!P457="Yang 26 C",Atletas!P457="Yang 40 C"),413,IF(OR(Atletas!P457="Chen 25 C",Atletas!P457="Chen 36 C",Atletas!P457="Chen 56 C"),414,IF(Atletas!P457="Sun 73 C",415,IF(Atletas!P457="Wu 45 C",416,IF(Atletas!P457="Wu-Hao 46 C",417,IF(OR(Atletas!P457="Taijiquan 16 C",Atletas!P457="Taijiquan 24 C",Atletas!P457="Taijiquan 32 C",Atletas!P457="Taijiquan 42 C"),418,0)))))))))))))))))))</f>
        <v/>
      </c>
      <c r="BX466" s="50" t="str">
        <f>IF(Atletas!P457="","",IF(Atletas!X457&lt;&gt;"",10000,0)+IF(Atletas!B457="Feminino",1000,IF(Atletas!B457="Masculino",2000,""))+IF(OR(Atletas!P457="Yang 26 D",Atletas!P457="Yang 40 D"),419,IF(OR(Atletas!P457="Chen 25 D",Atletas!P457="Chen 36 D",Atletas!P457="Chen 56 D"),420,IF(Atletas!P457="Sun 73 D",421,IF(Atletas!P457="Wu 45 D",422,IF(Atletas!P457="Wu-Hao 46 D",423,IF(OR(Atletas!P457="Taijiquan 16 D",Atletas!P457="Taijiquan 24 D",Atletas!P457="Taijiquan 32 D",Atletas!P457="Taijiquan 42 D"),424,IF(OR(Atletas!P457="Yang 26 E",Atletas!P457="Yang 40 E"),425,IF(OR(Atletas!P457="Chen 25 E",Atletas!P457="Chen 36 E",Atletas!P457="Chen 56 E"),426,IF(Atletas!P457="Sun 73 E",427,IF(Atletas!P457="Wu 45 E",428,IF(Atletas!P457="Wu-Hao 46 E",429,IF(OR(Atletas!P457="Taijiquan 16 E",Atletas!P457="Taijiquan 24 E",Atletas!P457="Taijiquan 32 E",Atletas!P457="Taijiquan 42 E"),430,IF(OR(Atletas!P457="Yang 26 F",Atletas!P457="Yang 40 F"),431,IF(OR(Atletas!P457="Chen 25 F",Atletas!P457="Chen 36 F",Atletas!P457="Chen 56 F"),432,IF(Atletas!P457="Sun 73 F",433,IF(Atletas!P457="Wu 45 F",434,IF(Atletas!P457="Wu-Hao 46 F",435,IF(OR(Atletas!P457="Taijiquan 16 F",Atletas!P457="Taijiquan 24 F",Atletas!P457="Taijiquan 32 F",Atletas!P457="Taijiquan 42 F"),436,0)))))))))))))))))))</f>
        <v/>
      </c>
      <c r="BY466" s="50" t="str">
        <f>IF(Atletas!Q457="","",IF(Atletas!X457&lt;&gt;"",10000,0)+IF(Atletas!B457="Feminino",1000,IF(Atletas!B457="Masculino",2000,""))+IF(Atletas!Q457="Xingyiquan A",501,IF(Atletas!Q457="Baguazhang A",502,IF(Atletas!Q457="Outro Estilo Interno A",503,IF(Atletas!Q457="Xingyiquan B",504,IF(Atletas!Q457="Baguazhang B",505,IF(Atletas!Q457="Outro Estilo Interno B",506,IF(Atletas!Q457="Xingyiquan C",507,IF(Atletas!Q457="Baguazhang C",508,IF(Atletas!Q457="Outro Estilo Interno C",509,IF(Atletas!Q457="Xingyiquan D",510,IF(Atletas!Q457="Baguazhang D",511,IF(Atletas!Q457="Outro Estilo Interno D",512,IF(Atletas!Q457="Xingyiquan E",513,IF(Atletas!Q457="Baguazhang E",514,IF(Atletas!Q457="Outro Estilo Interno E",515,IF(Atletas!Q457="Xingyiquan F",516,IF(Atletas!Q457="Baguazhang F",517,IF(Atletas!Q457="Outro Estilo Interno F",518, "")))))))))))))))))))</f>
        <v/>
      </c>
      <c r="BZ466" s="50" t="str">
        <f>IF(Atletas!R457="","",IF(Atletas!X457&lt;&gt;"",10000,0)+IF(Atletas!B457="Feminino",1000,IF(Atletas!B457="Masculino",2000,""))+IF(Atletas!R457="Dao A",601,IF(Atletas!R457="Jian A",602,IF(Atletas!R457="Bishou A",603,IF(Atletas!R457="Shanzi A",604,IF(Atletas!R457="Outra Arma Curta A",605,IF(Atletas!R457="Dao B",606,IF(Atletas!R457="Jian B",607,IF(Atletas!R457="Bishou B",608,IF(Atletas!R457="Shanzi B",609,IF(Atletas!R457="Outra Arma Curta B",610,IF(Atletas!R457="Dao C",611,IF(Atletas!R457="Jian C",612,IF(Atletas!R457="Bishou C",613,IF(Atletas!R457="Shanzi C",614,IF(Atletas!R457="Outra Arma Curta C",615,IF(Atletas!R457="Dao D",616,IF(Atletas!R457="Jian D",617,IF(Atletas!R457="Bishou D",618,IF(Atletas!R457="Shanzi D",619,IF(Atletas!R457="Outra Arma Curta D",620,IF(Atletas!R457="Dao E",621,IF(Atletas!R457="Jian E",622,IF(Atletas!R457="Bishou E",623,IF(Atletas!R457="Shanzi E",624,IF(Atletas!R457="Outra Arma Curta E",625,IF(Atletas!R457="Dao F",626,IF(Atletas!R457="Jian F",627,IF(Atletas!R457="Bishou F",628,IF(Atletas!R457="Shanzi F",629,IF(Atletas!R457="Outra Arma Curta F",630, "")))))))))))))))))))))))))))))))</f>
        <v/>
      </c>
      <c r="CA466" s="50" t="str">
        <f>IF(Atletas!S457="","",IF(Atletas!X457&lt;&gt;"",10000,0)+IF(Atletas!B457="Feminino",1000,IF(Atletas!B457="Masculino",2000,""))+IF(Atletas!S457="Gun A",701,IF(Atletas!S457="Qiang A",702,IF(Atletas!S457="Pudao / Guandao A",703,IF(Atletas!S457="Outra Arma Longa A",704,IF(Atletas!S457="Gun B",705,IF(Atletas!S457="Qiang B",706,IF(Atletas!S457="Pudao / Guandao B",707,IF(Atletas!S457="Outra Arma Longa B",708,IF(Atletas!S457="Gun C",709,IF(Atletas!S457="Qiang C",710,IF(Atletas!S457="Pudao / Guandao C",711,IF(Atletas!S457="Outra Arma Longa C",712,IF(Atletas!S457="Gun D",713,IF(Atletas!S457="Qiang D",714,IF(Atletas!S457="Pudao / Guandao D",715,IF(Atletas!S457="Outra Arma Longa D",716,IF(Atletas!S457="Gun E",717,IF(Atletas!S457="Qiang E",718,IF(Atletas!S457="Pudao / Guandao E",719,IF(Atletas!S457="Outra Arma Longa E",720,IF(Atletas!S457="Gun F",721,IF(Atletas!S457="Qiang F",722,IF(Atletas!S457="Pudao / Guandao F",723,IF(Atletas!S457="Outra Arma Longa F",724,"")))))))))))))))))))))))))</f>
        <v/>
      </c>
      <c r="CB466" s="50" t="str">
        <f>IF(Atletas!T457="","",IF(Atletas!X457&lt;&gt;"",10000,0)+IF(Atletas!B457="Feminino",1000,IF(Atletas!B457="Masculino",2000,""))+IF(Atletas!T457="Outra Arma Dupla A",801,IF(Atletas!T457="Arma Maleável A",802,IF(Atletas!T457="Outra Arma Dupla B",803,IF(Atletas!T457="Arma Maleável B",804,IF(Atletas!T457="Outra Arma Dupla C",805,IF(Atletas!T457="Arma Maleável C",806,IF(Atletas!T457="Outra Arma Dupla D",807,IF(Atletas!T457="Arma Maleável D",808,IF(Atletas!T457="Outra Arma Dupla E",809,IF(Atletas!T457="Arma Maleável E",810,IF(Atletas!T457="Outra Arma Dupla F",811,IF(Atletas!T457="Arma Maleável F",812,IF(Atletas!T457="Shuangdao A",813,IF(Atletas!T457="Shuangdao B",814,IF(Atletas!T457="Shuangdao C",815,IF(Atletas!T457="Shuangdao D",816,IF(Atletas!T457="Shuangdao E",817,IF(Atletas!T457="Shuangdao F",818,"")))))))))))))))))))</f>
        <v/>
      </c>
      <c r="CC466" s="50" t="str">
        <f>IF(Atletas!U457="","",IF(Atletas!X457&lt;&gt;"",10000,0)+IF(Atletas!B457="Feminino",1000,IF(Atletas!B457="Masculino",2000,""))+IF(OR(Atletas!U457="Taijijian Yang A",Atletas!U457="Taijijian Yang Standard A"),901,IF(OR(Atletas!U457="Taijijian Chen A", Atletas!U457="Taijijian Chen Standard A"),902,IF(Atletas!U457="Taijijian Sun A",903,IF(Atletas!U457="Taijijian Wu A",904,IF(Atletas!U457="Taijijian Wu-Hao A",905,IF(OR(Atletas!U457="Taijijian 32 A",Atletas!U457="Taijijian 42 A"),906,IF(OR(Atletas!U457="Taijijian Yang B",Atletas!U457="Taijijian Yang Standard B"),907,IF(OR(Atletas!U457="Taijijian Chen B", Atletas!U457="Taijijian Chen Standard B"),908,IF(Atletas!U457="Taijijian Sun B",909,IF(Atletas!U457="Taijijian Wu B",910,IF(Atletas!U457="Taijijian Wu-Hao B",911,IF(OR(Atletas!U457="Taijijian 32 B",Atletas!U457="Taijijian 42 B"),912,IF(OR(Atletas!U457="Taijijian Yang C",Atletas!U457="Taijijian Yang Standard C"),913,IF(OR(Atletas!U457="Taijijian Chen C", Atletas!U457="Taijijian Chen Standard C"),914,IF(Atletas!U457="Taijijian Sun C",915,IF(Atletas!U457="Taijijian Wu C",916,IF(Atletas!U457="Taijijian Wu-Hao C",917,IF(OR(Atletas!U457="Taijijian 32 C",Atletas!U457="Taijijian 42 C"),918,IF(OR(Atletas!U457="Taijijian Yang D",Atletas!U457="Taijijian Yang Standard D"),919,IF(OR(Atletas!U457="Taijijian Chen D", Atletas!U457="Taijijian Chen Standard D"),920,IF(Atletas!U457="Taijijian Sun D",921,IF(Atletas!U457="Taijijian Wu D",922,IF(Atletas!U457="Taijijian Wu-Hao D",923,IF(OR(Atletas!U457="Taijijian 32 D",Atletas!U457="Taijijian 42 D"),924,IF(OR(Atletas!U457="Taijijian Yang E",Atletas!U457="Taijijian Yang Standard E"),925,IF(OR(Atletas!U457="Taijijian Chen E", Atletas!U457="Taijijian Chen Standard E"),926,IF(Atletas!U457="Taijijian Sun E",927,IF(Atletas!U457="Taijijian Wu E",928,IF(Atletas!U457="Taijijian Wu-Hao E",929,IF(OR(Atletas!U457="Taijijian 32 E",Atletas!U457="Taijijian 42 E"),930,IF(OR(Atletas!U457="Taijijian Yang F",Atletas!U457="Taijijian Yang Standard F"),931,IF(OR(Atletas!U457="Taijijian Chen F", Atletas!U457="Taijijian Chen Standard F"),932,IF(Atletas!U457="Taijijian Sun F",933,IF(Atletas!U457="Taijijian Wu F",934,IF(Atletas!U457="Taijijian Wu-Hao F",935,IF(OR(Atletas!U457="Taijijian 32 F",Atletas!U457="Taijijian 42 F"),936,"")))))))))))))))))))))))))))))))))))))</f>
        <v/>
      </c>
      <c r="CD466" s="50" t="str">
        <f>IF(Atletas!V457="","",IF(Atletas!X457&lt;&gt;"",10000,0)+IF(Atletas!B457="Feminino",1000,IF(Atletas!B457="Masculino",2000,""))+IF(Atletas!V457="Taijidao A",937,IF(Atletas!V457="TaijiShanzi A",938,IF(Atletas!V457="Taijiqiang A",939,IF(Atletas!V457="Bagua de Arma A",940,IF(Atletas!V457="Xingyi de Arma A",941,IF(Atletas!V457="Taijidao B",942,IF(Atletas!V457="TaijiShanzi B",943,IF(Atletas!V457="Taijiqiang B",944,IF(Atletas!V457="Bagua de Arma B",945,IF(Atletas!V457="Xingyi de Arma B",946,IF(Atletas!V457="Taijidao C",947,IF(Atletas!V457="TaijiShanzi C",948,IF(Atletas!V457="Taijiqiang C",949,IF(Atletas!V457="Bagua de Arma C",950,IF(Atletas!V457="Xingyi de Arma C",951,IF(Atletas!V457="Taijidao D",952,IF(Atletas!V457="TaijiShanzi D",953,IF(Atletas!V457="Taijiqiang D",954,IF(Atletas!V457="Bagua de Arma D",955,IF(Atletas!V457="Xingyi de Arma D",956,IF(Atletas!V457="Taijidao E",957,IF(Atletas!V457="TaijiShanzi E",958,IF(Atletas!V457="Taijiqiang E",959,IF(Atletas!V457="Bagua de Arma E",960,IF(Atletas!V457="Xingyi de Arma E",961,IF(Atletas!V457="Taijidao F",962,IF(Atletas!V457="TaijiShanzi F",963,IF(Atletas!V457="Taijiqiang F",964,IF(Atletas!V457="Bagua de Arma F",965,IF(Atletas!V457="Xingyi de Arma F",966,"")))))))))))))))))))))))))))))))</f>
        <v/>
      </c>
      <c r="CM466" s="50" t="str">
        <f xml:space="preserve"> IF(Atletas!W457="","",IF(Atletas!W457="Duilian de Mãos BC - Equipe 1",1,IF(Atletas!W457="Duilian de Mãos BC - Equipe 2",2,IF(Atletas!W457="Duilian de Armas BC - Equipe 1",3,IF(Atletas!W457="Duilian de Armas BC - Equipe 2",4,IF(Atletas!W457="Duilian de Mãos DE - Equipe 1",5,IF(Atletas!W457="Duilian de Mãos DE - Equipe 2",6,IF(Atletas!W457="Duilian de Armas DE - Equipe 1",7,IF(Atletas!W457="Duilian de Armas DE - Equipe 2",8,IF(Atletas!W457="Duilian de Tuishou - Equipe 1",9,IF(Atletas!W457="Duilian de Tuishou - Equipe 2",10,IF(Atletas!W457="Grupo Externo ABC - Equipe 1",11,IF(Atletas!W457="Grupo Externo ABC - Equipe 2",12,IF(Atletas!W457="Grupo Interno ABC - Equipe 1",13,IF(Atletas!W457="Grupo Interno ABC - Equipe 2",14,IF(Atletas!W457="Grupo Externo DEF - Equipe 1",15,IF(Atletas!W457="Grupo Externo DEF - Equipe 2",16,IF(Atletas!W457="Grupo Interno DEF - Equipe 1",17,IF(Atletas!W457="Grupo Interno DEF - Equipe 2",18,"")))))))))))))))))))</f>
        <v/>
      </c>
    </row>
    <row r="467" spans="40:91">
      <c r="AN467" s="52" t="str">
        <f>IF(Atletas!D458="","",IF(Atletas!B458="Feminino",100,IF(Atletas!B458="Masculino",200,""))+(IF(Atletas!D458="Kids 30kg",1,IF(Atletas!D458="Kids 32kg",2, IF(Atletas!D458="Kids 34kg",3,IF(Atletas!D458="Kids 36kg",4,IF(Atletas!D458="Kids 39kg",5,IF(Atletas!D458="Kids 42kg",6,IF(Atletas!D458="Kids 45kg",7, IF(Atletas!D458="Infantil 39kg",8,IF(Atletas!D458="Infantil 42kg",9,IF(Atletas!D458="Infantil 45kg",10,IF(Atletas!D458="Infantil 48kg",11,IF(Atletas!D458="Infantil 52kg",12,IF(Atletas!D458="Infantil 56kg",13,IF(Atletas!D458="Infantil 60kg",14,IF(Atletas!D458="Juvenil 48kg",15,IF(Atletas!D458="Juvenil 52kg",16,IF(Atletas!D458="Juvenil 56kg",17,IF(Atletas!D458="Juvenil 60kg",18,IF(Atletas!D458="Juvenil 65kg",19,IF(Atletas!D458="Juvenil 70kg",20,IF(Atletas!D458="Juvenil 75kg",21,IF(Atletas!D458="Juvenil 80kg",22, IF(Atletas!D458="Juvenil 85kg",23,IF(Atletas!D458="Adulto 48kg",24,IF(Atletas!D458="Adulto 52kg",25,IF(Atletas!D458="Adulto 56kg",26,IF(Atletas!D458="Adulto 60kg",27,IF(Atletas!D458="Adulto 65kg",28,IF(Atletas!D458="Adulto 70kg",29,IF(Atletas!D458="Adulto 75kg",30,IF(Atletas!D458="Adulto 80kg",31,IF(Atletas!D458="Adulto 85kg",32,IF(Atletas!D458="Adulto 90kg",33,IF(Atletas!D458="Adulto 100kg",34, IF(Atletas!D458="Adulto +100kg",35,"")))))))))))))))))))))))))))))))))))))</f>
        <v/>
      </c>
      <c r="AS467" s="6" t="str">
        <f>IF(Atletas!E458="","",IF(Atletas!B458="Feminino",100,IF(Atletas!B458="Masculino",200,""))+(IF(Atletas!E458="Juvenil 44kg",1,IF(Atletas!E458="Juvenil 48kg",2,IF(Atletas!E458="Juvenil 52kg",3,IF(Atletas!E458="Juvenil 56kg",4,IF(Atletas!E458="Juvenil 60kg",5,IF(Atletas!E458="Juvenil 65kg",6,IF(Atletas!E458="Juvenil 70kg",7,IF(Atletas!E458="Juvenil 75kg",8,IF(Atletas!E458="Juvenil 82kg",9,IF(Atletas!E458="Juvenil 90kg",10,IF(Atletas!E458="Juvenil 100kg",11,IF(Atletas!E458="Adulto 48kg",12,IF(Atletas!E458="Adulto 52kg",13,IF(Atletas!E458="Adulto 56kg",14,IF(Atletas!E458="Adulto 60kg",15,IF(Atletas!E458="Adulto 65kg",16,IF(Atletas!E458="Adulto 70kg",17,IF(Atletas!E458="Adulto 75kg",18,IF(Atletas!E458="Adulto 82kg",19,IF(Atletas!E458="Adulto 90kg",20,IF(Atletas!E458="Adulto 100kg",21,IF(Atletas!E458="Adulto +100kg",22,""))))))))))))))))))))))))</f>
        <v/>
      </c>
      <c r="AX467" s="6" t="str">
        <f>IF(Atletas!F458="","",IF(Atletas!B458="Feminino",100,IF(Atletas!B458="Masculino",200,""))+(IF(Atletas!F458="Adulto 48kg",1,IF(Atletas!F458="Adulto 56kg",2,IF(Atletas!F458="Adulto 65kg",3,IF(Atletas!F458="Adulto 75kg",4,IF(Atletas!F458="Adulto +75kg",5,IF(Atletas!F458="Adulto 52kg",6,IF(Atletas!F458="Adulto 60kg",7,IF(Atletas!F458="Adulto 70kg",8,IF(Atletas!F458="Adulto 80kg",9,IF(Atletas!F458="Adulto 90kg",10,IF(Atletas!F458="Adulto +90kg",11,"")))))))))))))</f>
        <v/>
      </c>
      <c r="BC467" s="6" t="str">
        <f>IF(Atletas!G458="","",IF(Atletas!B458="Feminino",10,IF(Atletas!B458="Masculino",20,""))+(IF(Atletas!G458="Baduanjin A",1,IF(Atletas!G458="Baduanjin B",2))))</f>
        <v/>
      </c>
      <c r="BF467" s="52" t="str">
        <f>IF(Atletas!H458="","",IF(Atletas!B458="Feminino",100,IF(Atletas!B458="Masculino",200,""))+(IF(Atletas!H458="Changquan Mirim",1,IF(Atletas!H458="Nanquan Mirim",2,IF(Atletas!H458="Taijiquan Mirim",3,IF(Atletas!H458="Changquan Grupo C",4,IF(Atletas!H458="Nanquan Grupo C",5,IF(Atletas!H458="Taijiquan Grupo C",6,IF(Atletas!H458="Changquan Grupo B",7,IF(Atletas!H458="Nanquan Grupo B",8,IF(Atletas!H458="Taijiquan Grupo B",9,IF(Atletas!H458="Changquan Grupo A",10,IF(Atletas!H458="Nanquan Grupo A",11,IF(Atletas!H458="Taijiquan Grupo A",12,IF(Atletas!H458="Changquan Opcional",13,IF(Atletas!H458="Nanquan Opcional",14,IF(Atletas!H458="Taijiquan Opcional",15,IF(Atletas!H458="Changquan Adulto",16,IF(Atletas!H458="Nanquan Adulto",17,IF(Atletas!H458="Taijiquan Adulto",18,""))))))))))))))))))))</f>
        <v/>
      </c>
      <c r="BG467" s="52" t="str">
        <f>IF(Atletas!I458="","",IF(Atletas!B458="Feminino",100,IF(Atletas!B458="Masculino",200,""))+(IF(Atletas!I458="Daoshu Mirim",19,IF(Atletas!I458="Jianshu Mirim",20,IF(Atletas!I458="Nandao Mirim",21,IF(Atletas!I458="Taijijian Mirim",22,IF(Atletas!I458="Daoshu Grupo C",23,IF(Atletas!I458="Jianshu Grupo C",24,IF(Atletas!I458="Nandao Grupo C",25,IF(Atletas!I458="Taijijian Grupo C",26,IF(Atletas!I458="Daoshu Grupo B",27,IF(Atletas!I458="Jianshu Grupo B",28,IF(Atletas!I458="Nandao Grupo B",29,IF(Atletas!I458="Taijijian Grupo B",30,IF(Atletas!I458="Daoshu Grupo A",31,IF(Atletas!I458="Jianshu Grupo A",32,IF(Atletas!I458="Nandao Grupo A",33,IF(Atletas!I458="Taijijian Grupo A",34,IF(Atletas!I458="Daoshu Opcional",35,IF(Atletas!I458="Jianshu Opcional",36,IF(Atletas!I458="Nandao Opcional",37,IF(Atletas!I458="Taijijian Opcional",38,IF(Atletas!I458="Daoshu Adulto",39,IF(Atletas!I458="Jianshu Adulto",40,IF(Atletas!I458="Nandao Adulto",41,IF(Atletas!I458="Taijijian Adulto",42,""))))))))))))))))))))))))))</f>
        <v/>
      </c>
      <c r="BH467" s="52" t="str">
        <f>IF(Atletas!J458="","",IF(Atletas!B458="Feminino",100,IF(Atletas!B458="Masculino",200,""))+(IF(Atletas!J458="Gunshu Mirim",43,IF(Atletas!J458="Qiangshu Mirim",44,IF(Atletas!J458="Nangun Mirim",45,IF(Atletas!J458="Gunshu Grupo C",46,IF(Atletas!J458="Qiangshu Grupo C",47,IF(Atletas!J458="Nangun Grupo C",48,IF(Atletas!J458="Gunshu Grupo B",49,IF(Atletas!J458="Qiangshu Grupo B",50,IF(Atletas!J458="Nangun Grupo B",51,IF(Atletas!J458="Gunshu Grupo A",52,IF(Atletas!J458="Qiangshu Grupo A",53,IF(Atletas!J458="Nangun Grupo A",54,IF(Atletas!J458="Gunshu Opcional",55,IF(Atletas!J458="Qiangshu Opcional",56,IF(Atletas!J458="Nangun Opcional",57,IF(Atletas!J458="Gunshu Adulto",58,IF(Atletas!J458="Qiangshu Adulto",59,IF(Atletas!J458="Nangun Adulto",60,IF(Atletas!J458="Taijishan Grupo B",61,IF(Atletas!J458="Taijishan Grupo A",62,""))))))))))))))))))))))</f>
        <v/>
      </c>
      <c r="BM467" s="50" t="str">
        <f>IF(Atletas!K458="","",IF(Atletas!B458="Feminino",100,IF(Atletas!B458="Masculino",200,""))+(IF(Atletas!K458="Equipe 1 Grupo B",1,IF(Atletas!K458="Equipe 2 Grupo B",2,IF(Atletas!K458="Equipe 1 Grupo A",3,IF(Atletas!K458="Equipe 2 Grupo A",4,IF(Atletas!K458="Equipe 1 Adulto",5,IF(Atletas!K458="Equipe 2 Adulto",6,""))))))))</f>
        <v/>
      </c>
      <c r="BR467" s="50" t="str">
        <f>IF(Atletas!L458="","",IF(Atletas!X458&lt;&gt;"",10000,0)+(IF(Atletas!B458="Feminino",1000,IF(Atletas!B458="Masculino",2000,""))+IF(Atletas!L458="Choylayfut A",1,IF(Atletas!L458="Hunggar A",2,IF(Atletas!L458="Wuzuquan A",3,IF(Atletas!L458="Wingchun A",4,IF(Atletas!L458="Outra Mão de Sul A",5,IF(Atletas!L458="Choylayfut B",6,IF(Atletas!L458="Hunggar B",7,IF(Atletas!L458="Wuzuquan B",8,IF(Atletas!L458="Wingchun B",9,IF(Atletas!L458="Outra Mão de Sul B",10,IF(Atletas!L458="Choylayfut C",11,IF(Atletas!L458="Hunggar C",12,IF(Atletas!L458="Wuzuquan C",13,IF(Atletas!L458="Wingchun C",14,IF(Atletas!L458="Outra Mão de Sul C",15,IF(Atletas!L458="Choylayfut D",16,IF(Atletas!L458="Hunggar D",17,IF(Atletas!L458="Wuzuquan D",18,IF(Atletas!L458="Wingchun D",19,IF(Atletas!L458="Outra Mão de Sul D",20,IF(Atletas!L458="Choylayfut E",21,IF(Atletas!L458="Hunggar E",22,IF(Atletas!L458="Wuzuquan E",23,IF(Atletas!L458="Wingchun E",24,IF(Atletas!L458="Outra Mão de Sul E",25,IF(Atletas!L458="Choylayfut F",26,IF(Atletas!L458="Hunggar F",27,IF(Atletas!L458="Wuzuquan F",28,IF(Atletas!L458="Wingchun F",29,IF(Atletas!L458="Outra Mão de Sul F",30,IF(Atletas!L458="Dishuquan A",31,IF(Atletas!L458="Dishuquan B",32,IF(Atletas!L458="Dishuquan C",33,IF(Atletas!L458="Dishuquan D",34,IF(Atletas!L458="Dishuquan E",35,IF(Atletas!L458="Dishuquan F",36,""))))))))))))))))))))))))))))))))))))))</f>
        <v/>
      </c>
      <c r="BS467" s="50" t="str">
        <f>IF(Atletas!M458="","",IF(Atletas!X458&lt;&gt;"",10000,0)+(IF(Atletas!B458="Feminino",1000,IF(Atletas!B458="Masculino",2000,""))+(IF(Atletas!M458="Chaquan A",101,IF(Atletas!M458="Emeiquan A",102,IF(Atletas!M458="Fanziquan A",103,IF(Atletas!M458="Huaquan A",104,IF(Atletas!M458="Hongquan A",105,IF(Atletas!M458="Paoquan A",106,IF(Atletas!M458="Piguaquan A",107,IF(Atletas!M458="Shaolinquan A",108,IF(Atletas!M458="Tanglangquan A",109,IF(Atletas!M458="Yingzhaoquan A",110,IF(Atletas!M458="Tongbeiquan A",111,IF(Atletas!M458="Wudangquan A",112,IF(Atletas!M458="Outros Estilos A",113,IF(Atletas!M458="Chaquan B",114,IF(Atletas!M458="Emeiquan B",115,IF(Atletas!M458="Fanziquan B",116,IF(Atletas!M458="Huaquan B",117,IF(Atletas!M458="Hongquan B",118,IF(Atletas!M458="Paoquan B",119,IF(Atletas!M458="Piguaquan B",120,IF(Atletas!M458="Shaolinquan B",121,IF(Atletas!M458="Tanglangquan B",122,IF(Atletas!M458="Yingzhaoquan B",123,IF(Atletas!M458="Tongbeiquan B",124,IF(Atletas!M458="Wudangquan B",125,IF(Atletas!M458="Outros Estilos B",126,IF(Atletas!M458="Chaquan C",127,IF(Atletas!M458="Emeiquan C",128,IF(Atletas!M458="Fanziquan C",129,IF(Atletas!M458="Huaquan C",130,IF(Atletas!M458="Hongquan C",131,IF(Atletas!M458="Paoquan C",132,IF(Atletas!M458="Piguaquan C",133,IF(Atletas!M458="Shaolinquan C",134,IF(Atletas!M458="Tanglangquan C",135,IF(Atletas!M458="Yingzhaoquan C",136,IF(Atletas!M458="Tongbeiquan C",137,IF(Atletas!M458="Wudangquan C",138,IF(Atletas!M458="Outros Estilos C",139,0))))))))))))))))))))))))))))))))))))))))))</f>
        <v/>
      </c>
      <c r="BT467" s="50" t="str">
        <f>IF(Atletas!M458="","",IF(Atletas!X458&lt;&gt;"",10000,0)+(IF(Atletas!B458="Feminino",1000,IF(Atletas!B458="Masculino",2000,""))+(IF(Atletas!M458="Chaquan D",140,IF(Atletas!M458="Emeiquan D",141,IF(Atletas!M458="Fanziquan D",142,IF(Atletas!M458="Huaquan D",143,IF(Atletas!M458="Hongquan D",144,IF(Atletas!M458="Paoquan D",145,IF(Atletas!M458="Piguaquan D",146,IF(Atletas!M458="Shaolinquan D",147,IF(Atletas!M458="Tanglangquan D",148,IF(Atletas!M458="Yingzhaoquan D",149,IF(Atletas!M458="Tongbeiquan D",150,IF(Atletas!M458="Wudangquan D",151,IF(Atletas!M458="Outros Estilos D",152,IF(Atletas!M458="Chaquan E",153,IF(Atletas!M458="Emeiquan E",154,IF(Atletas!M458="Fanziquan E",155,IF(Atletas!M458="Huaquan E",156,IF(Atletas!M458="Hongquan E",157,IF(Atletas!M458="Paoquan E",158,IF(Atletas!M458="Piguaquan E",159,IF(Atletas!M458="Shaolinquan E",160,IF(Atletas!M458="Tanglangquan E",161,IF(Atletas!M458="Yingzhaoquan E",162,IF(Atletas!M458="Tongbeiquan E",163,IF(Atletas!M458="Wudangquan E",164,IF(Atletas!M458="Outros Estilos E",165,IF(Atletas!M458="Chaquan F",166,IF(Atletas!M458="Emeiquan F",167,IF(Atletas!M458="Fanziquan F",168,IF(Atletas!M458="Huaquan F",169,IF(Atletas!M458="Hongquan F",170,IF(Atletas!M458="Paoquan F",171,IF(Atletas!M458="Piguaquan F",172,IF(Atletas!M458="Shaolinquan F",173,IF(Atletas!M458="Tanglangquan F",174,IF(Atletas!M458="Yingzhaoquan F",175,IF(Atletas!M458="Tongbeiquan F",176,IF(Atletas!M458="Wudangquan F",177,IF(Atletas!M458="Outros Estilos F",178,0))))))))))))))))))))))))))))))))))))))))))</f>
        <v/>
      </c>
      <c r="BU467" s="50" t="str">
        <f>IF(Atletas!N458="","",IF(Atletas!X458&lt;&gt;"",10000,0)+(IF(Atletas!B458="Feminino",1000,IF(Atletas!B458="Masculino",2000,""))+(IF(Atletas!N458="Ditangquan A",201,IF(Atletas!N458="Houquan A",202,IF(Atletas!N458="Zuiquan A",203,IF(Atletas!N458="Ditangquan B",204,IF(Atletas!N458="Houquan B",205,IF(Atletas!N458="Zuiquan B",206,IF(Atletas!N458="Ditangquan C",207,IF(Atletas!N458="Houquan C",208,IF(Atletas!N458="Zuiquan C",209,IF(Atletas!N458="Ditangquan D",210,IF(Atletas!N458="Houquan D",211,IF(Atletas!N458="Zuiquan D",212,IF(Atletas!N458="Ditangquan E",213,IF(Atletas!N458="Houquan E",214,IF(Atletas!N458="Zuiquan E",215,IF(Atletas!N458="Ditangquan F",216,IF(Atletas!N458="Houquan F",217,IF(Atletas!N458="Zuiquan F",218,"")))))))))))))))))))))</f>
        <v/>
      </c>
      <c r="BV467" s="50" t="str">
        <f>IF(Atletas!O458="","",IF(Atletas!X458&lt;&gt;"",10000,0)+IF(Atletas!B458="Feminino",1000,IF(Atletas!B458="Masculino",2000,""))+IF(Atletas!O458="Yang A",301,IF(Atletas!O458="Chen A",302,IF(Atletas!O458="Sun A",303,IF(Atletas!O458="Wu A",304,IF(Atletas!O458="Wu-Hao A",305,IF(Atletas!O458="Outro Taijiquan A",306,IF(Atletas!O458="Yang B",307,IF(Atletas!O458="Chen B",308,IF(Atletas!O458="Sun B",309,IF(Atletas!O458="Wu B",310,IF(Atletas!O458="Wu-Hao B",311,IF(Atletas!O458="Outro Taijiquan B",312,IF(Atletas!O458="Yang C",313,IF(Atletas!O458="Chen C",314,IF(Atletas!O458="Sun C",315,IF(Atletas!O458="Wu C",316,IF(Atletas!O458="Wu-Hao C",317,IF(Atletas!O458="Outro Taijiquan C",318,IF(Atletas!O458="Yang D",319,IF(Atletas!O458="Chen D",320,IF(Atletas!O458="Sun D",321,IF(Atletas!O458="Wu D",322,IF(Atletas!O458="Wu-Hao D",323,IF(Atletas!O458="Outro Taijiquan D",324,IF(Atletas!O458="Yang E",325,IF(Atletas!O458="Chen E",326,IF(Atletas!O458="Sun E",327,IF(Atletas!O458="Wu E",328,IF(Atletas!O458="Wu-Hao E",329,IF(Atletas!O458="Outro Taijiquan E",330,IF(Atletas!O458="Yang F",331,IF(Atletas!O458="Chen F",332,IF(Atletas!O458="Sun F",333,IF(Atletas!O458="Wu F",334,IF(Atletas!O458="Wu-Hao F",335,IF(Atletas!O458="Outro Taijiquan F",336,"")))))))))))))))))))))))))))))))))))))</f>
        <v/>
      </c>
      <c r="BW467" s="50" t="str">
        <f>IF(Atletas!P458="","",IF(Atletas!X458&lt;&gt;"",10000,0)+IF(Atletas!B458="Feminino",1000,IF(Atletas!B458="Masculino",2000,""))+IF(OR(Atletas!P458="Yang 26 A",Atletas!P458="Yang 40 A"),401,IF(OR(Atletas!P458="Chen 25 A",Atletas!P458="Chen 36 A",Atletas!P458="Chen 56 A"),402,IF(Atletas!P458="Sun 73 A",403,IF(Atletas!P458="Wu 45 A",404,IF(Atletas!P458="Wu-Hao 46 A",405,IF(OR(Atletas!P458="Taijiquan 16 A",Atletas!P458="Taijiquan 24 A",Atletas!P458="Taijiquan 32 A",Atletas!P458="Taijiquan 42 A"),406,IF(OR(Atletas!P458="Yang 26 B",Atletas!P458="Yang 40 B"),407,IF(OR(Atletas!P458="Chen 25 B",Atletas!P458="Chen 36 B",Atletas!P458="Chen 56 B"),408,IF(Atletas!P458="Sun 73 B",409,IF(Atletas!P458="Wu 45 B",410,IF(Atletas!P458="Wu-Hao 46 B",411,IF(OR(Atletas!P458="Taijiquan 16 B",Atletas!P458="Taijiquan 24 B",Atletas!P458="Taijiquan 32 B",Atletas!P458="Taijiquan 42 B"),412,IF(OR(Atletas!P458="Yang 26 C",Atletas!P458="Yang 40 C"),413,IF(OR(Atletas!P458="Chen 25 C",Atletas!P458="Chen 36 C",Atletas!P458="Chen 56 C"),414,IF(Atletas!P458="Sun 73 C",415,IF(Atletas!P458="Wu 45 C",416,IF(Atletas!P458="Wu-Hao 46 C",417,IF(OR(Atletas!P458="Taijiquan 16 C",Atletas!P458="Taijiquan 24 C",Atletas!P458="Taijiquan 32 C",Atletas!P458="Taijiquan 42 C"),418,0)))))))))))))))))))</f>
        <v/>
      </c>
      <c r="BX467" s="50" t="str">
        <f>IF(Atletas!P458="","",IF(Atletas!X458&lt;&gt;"",10000,0)+IF(Atletas!B458="Feminino",1000,IF(Atletas!B458="Masculino",2000,""))+IF(OR(Atletas!P458="Yang 26 D",Atletas!P458="Yang 40 D"),419,IF(OR(Atletas!P458="Chen 25 D",Atletas!P458="Chen 36 D",Atletas!P458="Chen 56 D"),420,IF(Atletas!P458="Sun 73 D",421,IF(Atletas!P458="Wu 45 D",422,IF(Atletas!P458="Wu-Hao 46 D",423,IF(OR(Atletas!P458="Taijiquan 16 D",Atletas!P458="Taijiquan 24 D",Atletas!P458="Taijiquan 32 D",Atletas!P458="Taijiquan 42 D"),424,IF(OR(Atletas!P458="Yang 26 E",Atletas!P458="Yang 40 E"),425,IF(OR(Atletas!P458="Chen 25 E",Atletas!P458="Chen 36 E",Atletas!P458="Chen 56 E"),426,IF(Atletas!P458="Sun 73 E",427,IF(Atletas!P458="Wu 45 E",428,IF(Atletas!P458="Wu-Hao 46 E",429,IF(OR(Atletas!P458="Taijiquan 16 E",Atletas!P458="Taijiquan 24 E",Atletas!P458="Taijiquan 32 E",Atletas!P458="Taijiquan 42 E"),430,IF(OR(Atletas!P458="Yang 26 F",Atletas!P458="Yang 40 F"),431,IF(OR(Atletas!P458="Chen 25 F",Atletas!P458="Chen 36 F",Atletas!P458="Chen 56 F"),432,IF(Atletas!P458="Sun 73 F",433,IF(Atletas!P458="Wu 45 F",434,IF(Atletas!P458="Wu-Hao 46 F",435,IF(OR(Atletas!P458="Taijiquan 16 F",Atletas!P458="Taijiquan 24 F",Atletas!P458="Taijiquan 32 F",Atletas!P458="Taijiquan 42 F"),436,0)))))))))))))))))))</f>
        <v/>
      </c>
      <c r="BY467" s="50" t="str">
        <f>IF(Atletas!Q458="","",IF(Atletas!X458&lt;&gt;"",10000,0)+IF(Atletas!B458="Feminino",1000,IF(Atletas!B458="Masculino",2000,""))+IF(Atletas!Q458="Xingyiquan A",501,IF(Atletas!Q458="Baguazhang A",502,IF(Atletas!Q458="Outro Estilo Interno A",503,IF(Atletas!Q458="Xingyiquan B",504,IF(Atletas!Q458="Baguazhang B",505,IF(Atletas!Q458="Outro Estilo Interno B",506,IF(Atletas!Q458="Xingyiquan C",507,IF(Atletas!Q458="Baguazhang C",508,IF(Atletas!Q458="Outro Estilo Interno C",509,IF(Atletas!Q458="Xingyiquan D",510,IF(Atletas!Q458="Baguazhang D",511,IF(Atletas!Q458="Outro Estilo Interno D",512,IF(Atletas!Q458="Xingyiquan E",513,IF(Atletas!Q458="Baguazhang E",514,IF(Atletas!Q458="Outro Estilo Interno E",515,IF(Atletas!Q458="Xingyiquan F",516,IF(Atletas!Q458="Baguazhang F",517,IF(Atletas!Q458="Outro Estilo Interno F",518, "")))))))))))))))))))</f>
        <v/>
      </c>
      <c r="BZ467" s="50" t="str">
        <f>IF(Atletas!R458="","",IF(Atletas!X458&lt;&gt;"",10000,0)+IF(Atletas!B458="Feminino",1000,IF(Atletas!B458="Masculino",2000,""))+IF(Atletas!R458="Dao A",601,IF(Atletas!R458="Jian A",602,IF(Atletas!R458="Bishou A",603,IF(Atletas!R458="Shanzi A",604,IF(Atletas!R458="Outra Arma Curta A",605,IF(Atletas!R458="Dao B",606,IF(Atletas!R458="Jian B",607,IF(Atletas!R458="Bishou B",608,IF(Atletas!R458="Shanzi B",609,IF(Atletas!R458="Outra Arma Curta B",610,IF(Atletas!R458="Dao C",611,IF(Atletas!R458="Jian C",612,IF(Atletas!R458="Bishou C",613,IF(Atletas!R458="Shanzi C",614,IF(Atletas!R458="Outra Arma Curta C",615,IF(Atletas!R458="Dao D",616,IF(Atletas!R458="Jian D",617,IF(Atletas!R458="Bishou D",618,IF(Atletas!R458="Shanzi D",619,IF(Atletas!R458="Outra Arma Curta D",620,IF(Atletas!R458="Dao E",621,IF(Atletas!R458="Jian E",622,IF(Atletas!R458="Bishou E",623,IF(Atletas!R458="Shanzi E",624,IF(Atletas!R458="Outra Arma Curta E",625,IF(Atletas!R458="Dao F",626,IF(Atletas!R458="Jian F",627,IF(Atletas!R458="Bishou F",628,IF(Atletas!R458="Shanzi F",629,IF(Atletas!R458="Outra Arma Curta F",630, "")))))))))))))))))))))))))))))))</f>
        <v/>
      </c>
      <c r="CA467" s="50" t="str">
        <f>IF(Atletas!S458="","",IF(Atletas!X458&lt;&gt;"",10000,0)+IF(Atletas!B458="Feminino",1000,IF(Atletas!B458="Masculino",2000,""))+IF(Atletas!S458="Gun A",701,IF(Atletas!S458="Qiang A",702,IF(Atletas!S458="Pudao / Guandao A",703,IF(Atletas!S458="Outra Arma Longa A",704,IF(Atletas!S458="Gun B",705,IF(Atletas!S458="Qiang B",706,IF(Atletas!S458="Pudao / Guandao B",707,IF(Atletas!S458="Outra Arma Longa B",708,IF(Atletas!S458="Gun C",709,IF(Atletas!S458="Qiang C",710,IF(Atletas!S458="Pudao / Guandao C",711,IF(Atletas!S458="Outra Arma Longa C",712,IF(Atletas!S458="Gun D",713,IF(Atletas!S458="Qiang D",714,IF(Atletas!S458="Pudao / Guandao D",715,IF(Atletas!S458="Outra Arma Longa D",716,IF(Atletas!S458="Gun E",717,IF(Atletas!S458="Qiang E",718,IF(Atletas!S458="Pudao / Guandao E",719,IF(Atletas!S458="Outra Arma Longa E",720,IF(Atletas!S458="Gun F",721,IF(Atletas!S458="Qiang F",722,IF(Atletas!S458="Pudao / Guandao F",723,IF(Atletas!S458="Outra Arma Longa F",724,"")))))))))))))))))))))))))</f>
        <v/>
      </c>
      <c r="CB467" s="50" t="str">
        <f>IF(Atletas!T458="","",IF(Atletas!X458&lt;&gt;"",10000,0)+IF(Atletas!B458="Feminino",1000,IF(Atletas!B458="Masculino",2000,""))+IF(Atletas!T458="Outra Arma Dupla A",801,IF(Atletas!T458="Arma Maleável A",802,IF(Atletas!T458="Outra Arma Dupla B",803,IF(Atletas!T458="Arma Maleável B",804,IF(Atletas!T458="Outra Arma Dupla C",805,IF(Atletas!T458="Arma Maleável C",806,IF(Atletas!T458="Outra Arma Dupla D",807,IF(Atletas!T458="Arma Maleável D",808,IF(Atletas!T458="Outra Arma Dupla E",809,IF(Atletas!T458="Arma Maleável E",810,IF(Atletas!T458="Outra Arma Dupla F",811,IF(Atletas!T458="Arma Maleável F",812,IF(Atletas!T458="Shuangdao A",813,IF(Atletas!T458="Shuangdao B",814,IF(Atletas!T458="Shuangdao C",815,IF(Atletas!T458="Shuangdao D",816,IF(Atletas!T458="Shuangdao E",817,IF(Atletas!T458="Shuangdao F",818,"")))))))))))))))))))</f>
        <v/>
      </c>
      <c r="CC467" s="50" t="str">
        <f>IF(Atletas!U458="","",IF(Atletas!X458&lt;&gt;"",10000,0)+IF(Atletas!B458="Feminino",1000,IF(Atletas!B458="Masculino",2000,""))+IF(OR(Atletas!U458="Taijijian Yang A",Atletas!U458="Taijijian Yang Standard A"),901,IF(OR(Atletas!U458="Taijijian Chen A", Atletas!U458="Taijijian Chen Standard A"),902,IF(Atletas!U458="Taijijian Sun A",903,IF(Atletas!U458="Taijijian Wu A",904,IF(Atletas!U458="Taijijian Wu-Hao A",905,IF(OR(Atletas!U458="Taijijian 32 A",Atletas!U458="Taijijian 42 A"),906,IF(OR(Atletas!U458="Taijijian Yang B",Atletas!U458="Taijijian Yang Standard B"),907,IF(OR(Atletas!U458="Taijijian Chen B", Atletas!U458="Taijijian Chen Standard B"),908,IF(Atletas!U458="Taijijian Sun B",909,IF(Atletas!U458="Taijijian Wu B",910,IF(Atletas!U458="Taijijian Wu-Hao B",911,IF(OR(Atletas!U458="Taijijian 32 B",Atletas!U458="Taijijian 42 B"),912,IF(OR(Atletas!U458="Taijijian Yang C",Atletas!U458="Taijijian Yang Standard C"),913,IF(OR(Atletas!U458="Taijijian Chen C", Atletas!U458="Taijijian Chen Standard C"),914,IF(Atletas!U458="Taijijian Sun C",915,IF(Atletas!U458="Taijijian Wu C",916,IF(Atletas!U458="Taijijian Wu-Hao C",917,IF(OR(Atletas!U458="Taijijian 32 C",Atletas!U458="Taijijian 42 C"),918,IF(OR(Atletas!U458="Taijijian Yang D",Atletas!U458="Taijijian Yang Standard D"),919,IF(OR(Atletas!U458="Taijijian Chen D", Atletas!U458="Taijijian Chen Standard D"),920,IF(Atletas!U458="Taijijian Sun D",921,IF(Atletas!U458="Taijijian Wu D",922,IF(Atletas!U458="Taijijian Wu-Hao D",923,IF(OR(Atletas!U458="Taijijian 32 D",Atletas!U458="Taijijian 42 D"),924,IF(OR(Atletas!U458="Taijijian Yang E",Atletas!U458="Taijijian Yang Standard E"),925,IF(OR(Atletas!U458="Taijijian Chen E", Atletas!U458="Taijijian Chen Standard E"),926,IF(Atletas!U458="Taijijian Sun E",927,IF(Atletas!U458="Taijijian Wu E",928,IF(Atletas!U458="Taijijian Wu-Hao E",929,IF(OR(Atletas!U458="Taijijian 32 E",Atletas!U458="Taijijian 42 E"),930,IF(OR(Atletas!U458="Taijijian Yang F",Atletas!U458="Taijijian Yang Standard F"),931,IF(OR(Atletas!U458="Taijijian Chen F", Atletas!U458="Taijijian Chen Standard F"),932,IF(Atletas!U458="Taijijian Sun F",933,IF(Atletas!U458="Taijijian Wu F",934,IF(Atletas!U458="Taijijian Wu-Hao F",935,IF(OR(Atletas!U458="Taijijian 32 F",Atletas!U458="Taijijian 42 F"),936,"")))))))))))))))))))))))))))))))))))))</f>
        <v/>
      </c>
      <c r="CD467" s="50" t="str">
        <f>IF(Atletas!V458="","",IF(Atletas!X458&lt;&gt;"",10000,0)+IF(Atletas!B458="Feminino",1000,IF(Atletas!B458="Masculino",2000,""))+IF(Atletas!V458="Taijidao A",937,IF(Atletas!V458="TaijiShanzi A",938,IF(Atletas!V458="Taijiqiang A",939,IF(Atletas!V458="Bagua de Arma A",940,IF(Atletas!V458="Xingyi de Arma A",941,IF(Atletas!V458="Taijidao B",942,IF(Atletas!V458="TaijiShanzi B",943,IF(Atletas!V458="Taijiqiang B",944,IF(Atletas!V458="Bagua de Arma B",945,IF(Atletas!V458="Xingyi de Arma B",946,IF(Atletas!V458="Taijidao C",947,IF(Atletas!V458="TaijiShanzi C",948,IF(Atletas!V458="Taijiqiang C",949,IF(Atletas!V458="Bagua de Arma C",950,IF(Atletas!V458="Xingyi de Arma C",951,IF(Atletas!V458="Taijidao D",952,IF(Atletas!V458="TaijiShanzi D",953,IF(Atletas!V458="Taijiqiang D",954,IF(Atletas!V458="Bagua de Arma D",955,IF(Atletas!V458="Xingyi de Arma D",956,IF(Atletas!V458="Taijidao E",957,IF(Atletas!V458="TaijiShanzi E",958,IF(Atletas!V458="Taijiqiang E",959,IF(Atletas!V458="Bagua de Arma E",960,IF(Atletas!V458="Xingyi de Arma E",961,IF(Atletas!V458="Taijidao F",962,IF(Atletas!V458="TaijiShanzi F",963,IF(Atletas!V458="Taijiqiang F",964,IF(Atletas!V458="Bagua de Arma F",965,IF(Atletas!V458="Xingyi de Arma F",966,"")))))))))))))))))))))))))))))))</f>
        <v/>
      </c>
      <c r="CM467" s="50" t="str">
        <f xml:space="preserve"> IF(Atletas!W458="","",IF(Atletas!W458="Duilian de Mãos BC - Equipe 1",1,IF(Atletas!W458="Duilian de Mãos BC - Equipe 2",2,IF(Atletas!W458="Duilian de Armas BC - Equipe 1",3,IF(Atletas!W458="Duilian de Armas BC - Equipe 2",4,IF(Atletas!W458="Duilian de Mãos DE - Equipe 1",5,IF(Atletas!W458="Duilian de Mãos DE - Equipe 2",6,IF(Atletas!W458="Duilian de Armas DE - Equipe 1",7,IF(Atletas!W458="Duilian de Armas DE - Equipe 2",8,IF(Atletas!W458="Duilian de Tuishou - Equipe 1",9,IF(Atletas!W458="Duilian de Tuishou - Equipe 2",10,IF(Atletas!W458="Grupo Externo ABC - Equipe 1",11,IF(Atletas!W458="Grupo Externo ABC - Equipe 2",12,IF(Atletas!W458="Grupo Interno ABC - Equipe 1",13,IF(Atletas!W458="Grupo Interno ABC - Equipe 2",14,IF(Atletas!W458="Grupo Externo DEF - Equipe 1",15,IF(Atletas!W458="Grupo Externo DEF - Equipe 2",16,IF(Atletas!W458="Grupo Interno DEF - Equipe 1",17,IF(Atletas!W458="Grupo Interno DEF - Equipe 2",18,"")))))))))))))))))))</f>
        <v/>
      </c>
    </row>
    <row r="468" spans="40:91">
      <c r="AN468" s="52" t="str">
        <f>IF(Atletas!D459="","",IF(Atletas!B459="Feminino",100,IF(Atletas!B459="Masculino",200,""))+(IF(Atletas!D459="Kids 30kg",1,IF(Atletas!D459="Kids 32kg",2, IF(Atletas!D459="Kids 34kg",3,IF(Atletas!D459="Kids 36kg",4,IF(Atletas!D459="Kids 39kg",5,IF(Atletas!D459="Kids 42kg",6,IF(Atletas!D459="Kids 45kg",7, IF(Atletas!D459="Infantil 39kg",8,IF(Atletas!D459="Infantil 42kg",9,IF(Atletas!D459="Infantil 45kg",10,IF(Atletas!D459="Infantil 48kg",11,IF(Atletas!D459="Infantil 52kg",12,IF(Atletas!D459="Infantil 56kg",13,IF(Atletas!D459="Infantil 60kg",14,IF(Atletas!D459="Juvenil 48kg",15,IF(Atletas!D459="Juvenil 52kg",16,IF(Atletas!D459="Juvenil 56kg",17,IF(Atletas!D459="Juvenil 60kg",18,IF(Atletas!D459="Juvenil 65kg",19,IF(Atletas!D459="Juvenil 70kg",20,IF(Atletas!D459="Juvenil 75kg",21,IF(Atletas!D459="Juvenil 80kg",22, IF(Atletas!D459="Juvenil 85kg",23,IF(Atletas!D459="Adulto 48kg",24,IF(Atletas!D459="Adulto 52kg",25,IF(Atletas!D459="Adulto 56kg",26,IF(Atletas!D459="Adulto 60kg",27,IF(Atletas!D459="Adulto 65kg",28,IF(Atletas!D459="Adulto 70kg",29,IF(Atletas!D459="Adulto 75kg",30,IF(Atletas!D459="Adulto 80kg",31,IF(Atletas!D459="Adulto 85kg",32,IF(Atletas!D459="Adulto 90kg",33,IF(Atletas!D459="Adulto 100kg",34, IF(Atletas!D459="Adulto +100kg",35,"")))))))))))))))))))))))))))))))))))))</f>
        <v/>
      </c>
      <c r="AS468" s="6" t="str">
        <f>IF(Atletas!E459="","",IF(Atletas!B459="Feminino",100,IF(Atletas!B459="Masculino",200,""))+(IF(Atletas!E459="Juvenil 44kg",1,IF(Atletas!E459="Juvenil 48kg",2,IF(Atletas!E459="Juvenil 52kg",3,IF(Atletas!E459="Juvenil 56kg",4,IF(Atletas!E459="Juvenil 60kg",5,IF(Atletas!E459="Juvenil 65kg",6,IF(Atletas!E459="Juvenil 70kg",7,IF(Atletas!E459="Juvenil 75kg",8,IF(Atletas!E459="Juvenil 82kg",9,IF(Atletas!E459="Juvenil 90kg",10,IF(Atletas!E459="Juvenil 100kg",11,IF(Atletas!E459="Adulto 48kg",12,IF(Atletas!E459="Adulto 52kg",13,IF(Atletas!E459="Adulto 56kg",14,IF(Atletas!E459="Adulto 60kg",15,IF(Atletas!E459="Adulto 65kg",16,IF(Atletas!E459="Adulto 70kg",17,IF(Atletas!E459="Adulto 75kg",18,IF(Atletas!E459="Adulto 82kg",19,IF(Atletas!E459="Adulto 90kg",20,IF(Atletas!E459="Adulto 100kg",21,IF(Atletas!E459="Adulto +100kg",22,""))))))))))))))))))))))))</f>
        <v/>
      </c>
      <c r="AX468" s="6" t="str">
        <f>IF(Atletas!F459="","",IF(Atletas!B459="Feminino",100,IF(Atletas!B459="Masculino",200,""))+(IF(Atletas!F459="Adulto 48kg",1,IF(Atletas!F459="Adulto 56kg",2,IF(Atletas!F459="Adulto 65kg",3,IF(Atletas!F459="Adulto 75kg",4,IF(Atletas!F459="Adulto +75kg",5,IF(Atletas!F459="Adulto 52kg",6,IF(Atletas!F459="Adulto 60kg",7,IF(Atletas!F459="Adulto 70kg",8,IF(Atletas!F459="Adulto 80kg",9,IF(Atletas!F459="Adulto 90kg",10,IF(Atletas!F459="Adulto +90kg",11,"")))))))))))))</f>
        <v/>
      </c>
      <c r="BC468" s="6" t="str">
        <f>IF(Atletas!G459="","",IF(Atletas!B459="Feminino",10,IF(Atletas!B459="Masculino",20,""))+(IF(Atletas!G459="Baduanjin A",1,IF(Atletas!G459="Baduanjin B",2))))</f>
        <v/>
      </c>
      <c r="BF468" s="52" t="str">
        <f>IF(Atletas!H459="","",IF(Atletas!B459="Feminino",100,IF(Atletas!B459="Masculino",200,""))+(IF(Atletas!H459="Changquan Mirim",1,IF(Atletas!H459="Nanquan Mirim",2,IF(Atletas!H459="Taijiquan Mirim",3,IF(Atletas!H459="Changquan Grupo C",4,IF(Atletas!H459="Nanquan Grupo C",5,IF(Atletas!H459="Taijiquan Grupo C",6,IF(Atletas!H459="Changquan Grupo B",7,IF(Atletas!H459="Nanquan Grupo B",8,IF(Atletas!H459="Taijiquan Grupo B",9,IF(Atletas!H459="Changquan Grupo A",10,IF(Atletas!H459="Nanquan Grupo A",11,IF(Atletas!H459="Taijiquan Grupo A",12,IF(Atletas!H459="Changquan Opcional",13,IF(Atletas!H459="Nanquan Opcional",14,IF(Atletas!H459="Taijiquan Opcional",15,IF(Atletas!H459="Changquan Adulto",16,IF(Atletas!H459="Nanquan Adulto",17,IF(Atletas!H459="Taijiquan Adulto",18,""))))))))))))))))))))</f>
        <v/>
      </c>
      <c r="BG468" s="52" t="str">
        <f>IF(Atletas!I459="","",IF(Atletas!B459="Feminino",100,IF(Atletas!B459="Masculino",200,""))+(IF(Atletas!I459="Daoshu Mirim",19,IF(Atletas!I459="Jianshu Mirim",20,IF(Atletas!I459="Nandao Mirim",21,IF(Atletas!I459="Taijijian Mirim",22,IF(Atletas!I459="Daoshu Grupo C",23,IF(Atletas!I459="Jianshu Grupo C",24,IF(Atletas!I459="Nandao Grupo C",25,IF(Atletas!I459="Taijijian Grupo C",26,IF(Atletas!I459="Daoshu Grupo B",27,IF(Atletas!I459="Jianshu Grupo B",28,IF(Atletas!I459="Nandao Grupo B",29,IF(Atletas!I459="Taijijian Grupo B",30,IF(Atletas!I459="Daoshu Grupo A",31,IF(Atletas!I459="Jianshu Grupo A",32,IF(Atletas!I459="Nandao Grupo A",33,IF(Atletas!I459="Taijijian Grupo A",34,IF(Atletas!I459="Daoshu Opcional",35,IF(Atletas!I459="Jianshu Opcional",36,IF(Atletas!I459="Nandao Opcional",37,IF(Atletas!I459="Taijijian Opcional",38,IF(Atletas!I459="Daoshu Adulto",39,IF(Atletas!I459="Jianshu Adulto",40,IF(Atletas!I459="Nandao Adulto",41,IF(Atletas!I459="Taijijian Adulto",42,""))))))))))))))))))))))))))</f>
        <v/>
      </c>
      <c r="BH468" s="52" t="str">
        <f>IF(Atletas!J459="","",IF(Atletas!B459="Feminino",100,IF(Atletas!B459="Masculino",200,""))+(IF(Atletas!J459="Gunshu Mirim",43,IF(Atletas!J459="Qiangshu Mirim",44,IF(Atletas!J459="Nangun Mirim",45,IF(Atletas!J459="Gunshu Grupo C",46,IF(Atletas!J459="Qiangshu Grupo C",47,IF(Atletas!J459="Nangun Grupo C",48,IF(Atletas!J459="Gunshu Grupo B",49,IF(Atletas!J459="Qiangshu Grupo B",50,IF(Atletas!J459="Nangun Grupo B",51,IF(Atletas!J459="Gunshu Grupo A",52,IF(Atletas!J459="Qiangshu Grupo A",53,IF(Atletas!J459="Nangun Grupo A",54,IF(Atletas!J459="Gunshu Opcional",55,IF(Atletas!J459="Qiangshu Opcional",56,IF(Atletas!J459="Nangun Opcional",57,IF(Atletas!J459="Gunshu Adulto",58,IF(Atletas!J459="Qiangshu Adulto",59,IF(Atletas!J459="Nangun Adulto",60,IF(Atletas!J459="Taijishan Grupo B",61,IF(Atletas!J459="Taijishan Grupo A",62,""))))))))))))))))))))))</f>
        <v/>
      </c>
      <c r="BM468" s="50" t="str">
        <f>IF(Atletas!K459="","",IF(Atletas!B459="Feminino",100,IF(Atletas!B459="Masculino",200,""))+(IF(Atletas!K459="Equipe 1 Grupo B",1,IF(Atletas!K459="Equipe 2 Grupo B",2,IF(Atletas!K459="Equipe 1 Grupo A",3,IF(Atletas!K459="Equipe 2 Grupo A",4,IF(Atletas!K459="Equipe 1 Adulto",5,IF(Atletas!K459="Equipe 2 Adulto",6,""))))))))</f>
        <v/>
      </c>
      <c r="BR468" s="50" t="str">
        <f>IF(Atletas!L459="","",IF(Atletas!X459&lt;&gt;"",10000,0)+(IF(Atletas!B459="Feminino",1000,IF(Atletas!B459="Masculino",2000,""))+IF(Atletas!L459="Choylayfut A",1,IF(Atletas!L459="Hunggar A",2,IF(Atletas!L459="Wuzuquan A",3,IF(Atletas!L459="Wingchun A",4,IF(Atletas!L459="Outra Mão de Sul A",5,IF(Atletas!L459="Choylayfut B",6,IF(Atletas!L459="Hunggar B",7,IF(Atletas!L459="Wuzuquan B",8,IF(Atletas!L459="Wingchun B",9,IF(Atletas!L459="Outra Mão de Sul B",10,IF(Atletas!L459="Choylayfut C",11,IF(Atletas!L459="Hunggar C",12,IF(Atletas!L459="Wuzuquan C",13,IF(Atletas!L459="Wingchun C",14,IF(Atletas!L459="Outra Mão de Sul C",15,IF(Atletas!L459="Choylayfut D",16,IF(Atletas!L459="Hunggar D",17,IF(Atletas!L459="Wuzuquan D",18,IF(Atletas!L459="Wingchun D",19,IF(Atletas!L459="Outra Mão de Sul D",20,IF(Atletas!L459="Choylayfut E",21,IF(Atletas!L459="Hunggar E",22,IF(Atletas!L459="Wuzuquan E",23,IF(Atletas!L459="Wingchun E",24,IF(Atletas!L459="Outra Mão de Sul E",25,IF(Atletas!L459="Choylayfut F",26,IF(Atletas!L459="Hunggar F",27,IF(Atletas!L459="Wuzuquan F",28,IF(Atletas!L459="Wingchun F",29,IF(Atletas!L459="Outra Mão de Sul F",30,IF(Atletas!L459="Dishuquan A",31,IF(Atletas!L459="Dishuquan B",32,IF(Atletas!L459="Dishuquan C",33,IF(Atletas!L459="Dishuquan D",34,IF(Atletas!L459="Dishuquan E",35,IF(Atletas!L459="Dishuquan F",36,""))))))))))))))))))))))))))))))))))))))</f>
        <v/>
      </c>
      <c r="BS468" s="50" t="str">
        <f>IF(Atletas!M459="","",IF(Atletas!X459&lt;&gt;"",10000,0)+(IF(Atletas!B459="Feminino",1000,IF(Atletas!B459="Masculino",2000,""))+(IF(Atletas!M459="Chaquan A",101,IF(Atletas!M459="Emeiquan A",102,IF(Atletas!M459="Fanziquan A",103,IF(Atletas!M459="Huaquan A",104,IF(Atletas!M459="Hongquan A",105,IF(Atletas!M459="Paoquan A",106,IF(Atletas!M459="Piguaquan A",107,IF(Atletas!M459="Shaolinquan A",108,IF(Atletas!M459="Tanglangquan A",109,IF(Atletas!M459="Yingzhaoquan A",110,IF(Atletas!M459="Tongbeiquan A",111,IF(Atletas!M459="Wudangquan A",112,IF(Atletas!M459="Outros Estilos A",113,IF(Atletas!M459="Chaquan B",114,IF(Atletas!M459="Emeiquan B",115,IF(Atletas!M459="Fanziquan B",116,IF(Atletas!M459="Huaquan B",117,IF(Atletas!M459="Hongquan B",118,IF(Atletas!M459="Paoquan B",119,IF(Atletas!M459="Piguaquan B",120,IF(Atletas!M459="Shaolinquan B",121,IF(Atletas!M459="Tanglangquan B",122,IF(Atletas!M459="Yingzhaoquan B",123,IF(Atletas!M459="Tongbeiquan B",124,IF(Atletas!M459="Wudangquan B",125,IF(Atletas!M459="Outros Estilos B",126,IF(Atletas!M459="Chaquan C",127,IF(Atletas!M459="Emeiquan C",128,IF(Atletas!M459="Fanziquan C",129,IF(Atletas!M459="Huaquan C",130,IF(Atletas!M459="Hongquan C",131,IF(Atletas!M459="Paoquan C",132,IF(Atletas!M459="Piguaquan C",133,IF(Atletas!M459="Shaolinquan C",134,IF(Atletas!M459="Tanglangquan C",135,IF(Atletas!M459="Yingzhaoquan C",136,IF(Atletas!M459="Tongbeiquan C",137,IF(Atletas!M459="Wudangquan C",138,IF(Atletas!M459="Outros Estilos C",139,0))))))))))))))))))))))))))))))))))))))))))</f>
        <v/>
      </c>
      <c r="BT468" s="50" t="str">
        <f>IF(Atletas!M459="","",IF(Atletas!X459&lt;&gt;"",10000,0)+(IF(Atletas!B459="Feminino",1000,IF(Atletas!B459="Masculino",2000,""))+(IF(Atletas!M459="Chaquan D",140,IF(Atletas!M459="Emeiquan D",141,IF(Atletas!M459="Fanziquan D",142,IF(Atletas!M459="Huaquan D",143,IF(Atletas!M459="Hongquan D",144,IF(Atletas!M459="Paoquan D",145,IF(Atletas!M459="Piguaquan D",146,IF(Atletas!M459="Shaolinquan D",147,IF(Atletas!M459="Tanglangquan D",148,IF(Atletas!M459="Yingzhaoquan D",149,IF(Atletas!M459="Tongbeiquan D",150,IF(Atletas!M459="Wudangquan D",151,IF(Atletas!M459="Outros Estilos D",152,IF(Atletas!M459="Chaquan E",153,IF(Atletas!M459="Emeiquan E",154,IF(Atletas!M459="Fanziquan E",155,IF(Atletas!M459="Huaquan E",156,IF(Atletas!M459="Hongquan E",157,IF(Atletas!M459="Paoquan E",158,IF(Atletas!M459="Piguaquan E",159,IF(Atletas!M459="Shaolinquan E",160,IF(Atletas!M459="Tanglangquan E",161,IF(Atletas!M459="Yingzhaoquan E",162,IF(Atletas!M459="Tongbeiquan E",163,IF(Atletas!M459="Wudangquan E",164,IF(Atletas!M459="Outros Estilos E",165,IF(Atletas!M459="Chaquan F",166,IF(Atletas!M459="Emeiquan F",167,IF(Atletas!M459="Fanziquan F",168,IF(Atletas!M459="Huaquan F",169,IF(Atletas!M459="Hongquan F",170,IF(Atletas!M459="Paoquan F",171,IF(Atletas!M459="Piguaquan F",172,IF(Atletas!M459="Shaolinquan F",173,IF(Atletas!M459="Tanglangquan F",174,IF(Atletas!M459="Yingzhaoquan F",175,IF(Atletas!M459="Tongbeiquan F",176,IF(Atletas!M459="Wudangquan F",177,IF(Atletas!M459="Outros Estilos F",178,0))))))))))))))))))))))))))))))))))))))))))</f>
        <v/>
      </c>
      <c r="BU468" s="50" t="str">
        <f>IF(Atletas!N459="","",IF(Atletas!X459&lt;&gt;"",10000,0)+(IF(Atletas!B459="Feminino",1000,IF(Atletas!B459="Masculino",2000,""))+(IF(Atletas!N459="Ditangquan A",201,IF(Atletas!N459="Houquan A",202,IF(Atletas!N459="Zuiquan A",203,IF(Atletas!N459="Ditangquan B",204,IF(Atletas!N459="Houquan B",205,IF(Atletas!N459="Zuiquan B",206,IF(Atletas!N459="Ditangquan C",207,IF(Atletas!N459="Houquan C",208,IF(Atletas!N459="Zuiquan C",209,IF(Atletas!N459="Ditangquan D",210,IF(Atletas!N459="Houquan D",211,IF(Atletas!N459="Zuiquan D",212,IF(Atletas!N459="Ditangquan E",213,IF(Atletas!N459="Houquan E",214,IF(Atletas!N459="Zuiquan E",215,IF(Atletas!N459="Ditangquan F",216,IF(Atletas!N459="Houquan F",217,IF(Atletas!N459="Zuiquan F",218,"")))))))))))))))))))))</f>
        <v/>
      </c>
      <c r="BV468" s="50" t="str">
        <f>IF(Atletas!O459="","",IF(Atletas!X459&lt;&gt;"",10000,0)+IF(Atletas!B459="Feminino",1000,IF(Atletas!B459="Masculino",2000,""))+IF(Atletas!O459="Yang A",301,IF(Atletas!O459="Chen A",302,IF(Atletas!O459="Sun A",303,IF(Atletas!O459="Wu A",304,IF(Atletas!O459="Wu-Hao A",305,IF(Atletas!O459="Outro Taijiquan A",306,IF(Atletas!O459="Yang B",307,IF(Atletas!O459="Chen B",308,IF(Atletas!O459="Sun B",309,IF(Atletas!O459="Wu B",310,IF(Atletas!O459="Wu-Hao B",311,IF(Atletas!O459="Outro Taijiquan B",312,IF(Atletas!O459="Yang C",313,IF(Atletas!O459="Chen C",314,IF(Atletas!O459="Sun C",315,IF(Atletas!O459="Wu C",316,IF(Atletas!O459="Wu-Hao C",317,IF(Atletas!O459="Outro Taijiquan C",318,IF(Atletas!O459="Yang D",319,IF(Atletas!O459="Chen D",320,IF(Atletas!O459="Sun D",321,IF(Atletas!O459="Wu D",322,IF(Atletas!O459="Wu-Hao D",323,IF(Atletas!O459="Outro Taijiquan D",324,IF(Atletas!O459="Yang E",325,IF(Atletas!O459="Chen E",326,IF(Atletas!O459="Sun E",327,IF(Atletas!O459="Wu E",328,IF(Atletas!O459="Wu-Hao E",329,IF(Atletas!O459="Outro Taijiquan E",330,IF(Atletas!O459="Yang F",331,IF(Atletas!O459="Chen F",332,IF(Atletas!O459="Sun F",333,IF(Atletas!O459="Wu F",334,IF(Atletas!O459="Wu-Hao F",335,IF(Atletas!O459="Outro Taijiquan F",336,"")))))))))))))))))))))))))))))))))))))</f>
        <v/>
      </c>
      <c r="BW468" s="50" t="str">
        <f>IF(Atletas!P459="","",IF(Atletas!X459&lt;&gt;"",10000,0)+IF(Atletas!B459="Feminino",1000,IF(Atletas!B459="Masculino",2000,""))+IF(OR(Atletas!P459="Yang 26 A",Atletas!P459="Yang 40 A"),401,IF(OR(Atletas!P459="Chen 25 A",Atletas!P459="Chen 36 A",Atletas!P459="Chen 56 A"),402,IF(Atletas!P459="Sun 73 A",403,IF(Atletas!P459="Wu 45 A",404,IF(Atletas!P459="Wu-Hao 46 A",405,IF(OR(Atletas!P459="Taijiquan 16 A",Atletas!P459="Taijiquan 24 A",Atletas!P459="Taijiquan 32 A",Atletas!P459="Taijiquan 42 A"),406,IF(OR(Atletas!P459="Yang 26 B",Atletas!P459="Yang 40 B"),407,IF(OR(Atletas!P459="Chen 25 B",Atletas!P459="Chen 36 B",Atletas!P459="Chen 56 B"),408,IF(Atletas!P459="Sun 73 B",409,IF(Atletas!P459="Wu 45 B",410,IF(Atletas!P459="Wu-Hao 46 B",411,IF(OR(Atletas!P459="Taijiquan 16 B",Atletas!P459="Taijiquan 24 B",Atletas!P459="Taijiquan 32 B",Atletas!P459="Taijiquan 42 B"),412,IF(OR(Atletas!P459="Yang 26 C",Atletas!P459="Yang 40 C"),413,IF(OR(Atletas!P459="Chen 25 C",Atletas!P459="Chen 36 C",Atletas!P459="Chen 56 C"),414,IF(Atletas!P459="Sun 73 C",415,IF(Atletas!P459="Wu 45 C",416,IF(Atletas!P459="Wu-Hao 46 C",417,IF(OR(Atletas!P459="Taijiquan 16 C",Atletas!P459="Taijiquan 24 C",Atletas!P459="Taijiquan 32 C",Atletas!P459="Taijiquan 42 C"),418,0)))))))))))))))))))</f>
        <v/>
      </c>
      <c r="BX468" s="50" t="str">
        <f>IF(Atletas!P459="","",IF(Atletas!X459&lt;&gt;"",10000,0)+IF(Atletas!B459="Feminino",1000,IF(Atletas!B459="Masculino",2000,""))+IF(OR(Atletas!P459="Yang 26 D",Atletas!P459="Yang 40 D"),419,IF(OR(Atletas!P459="Chen 25 D",Atletas!P459="Chen 36 D",Atletas!P459="Chen 56 D"),420,IF(Atletas!P459="Sun 73 D",421,IF(Atletas!P459="Wu 45 D",422,IF(Atletas!P459="Wu-Hao 46 D",423,IF(OR(Atletas!P459="Taijiquan 16 D",Atletas!P459="Taijiquan 24 D",Atletas!P459="Taijiquan 32 D",Atletas!P459="Taijiquan 42 D"),424,IF(OR(Atletas!P459="Yang 26 E",Atletas!P459="Yang 40 E"),425,IF(OR(Atletas!P459="Chen 25 E",Atletas!P459="Chen 36 E",Atletas!P459="Chen 56 E"),426,IF(Atletas!P459="Sun 73 E",427,IF(Atletas!P459="Wu 45 E",428,IF(Atletas!P459="Wu-Hao 46 E",429,IF(OR(Atletas!P459="Taijiquan 16 E",Atletas!P459="Taijiquan 24 E",Atletas!P459="Taijiquan 32 E",Atletas!P459="Taijiquan 42 E"),430,IF(OR(Atletas!P459="Yang 26 F",Atletas!P459="Yang 40 F"),431,IF(OR(Atletas!P459="Chen 25 F",Atletas!P459="Chen 36 F",Atletas!P459="Chen 56 F"),432,IF(Atletas!P459="Sun 73 F",433,IF(Atletas!P459="Wu 45 F",434,IF(Atletas!P459="Wu-Hao 46 F",435,IF(OR(Atletas!P459="Taijiquan 16 F",Atletas!P459="Taijiquan 24 F",Atletas!P459="Taijiquan 32 F",Atletas!P459="Taijiquan 42 F"),436,0)))))))))))))))))))</f>
        <v/>
      </c>
      <c r="BY468" s="50" t="str">
        <f>IF(Atletas!Q459="","",IF(Atletas!X459&lt;&gt;"",10000,0)+IF(Atletas!B459="Feminino",1000,IF(Atletas!B459="Masculino",2000,""))+IF(Atletas!Q459="Xingyiquan A",501,IF(Atletas!Q459="Baguazhang A",502,IF(Atletas!Q459="Outro Estilo Interno A",503,IF(Atletas!Q459="Xingyiquan B",504,IF(Atletas!Q459="Baguazhang B",505,IF(Atletas!Q459="Outro Estilo Interno B",506,IF(Atletas!Q459="Xingyiquan C",507,IF(Atletas!Q459="Baguazhang C",508,IF(Atletas!Q459="Outro Estilo Interno C",509,IF(Atletas!Q459="Xingyiquan D",510,IF(Atletas!Q459="Baguazhang D",511,IF(Atletas!Q459="Outro Estilo Interno D",512,IF(Atletas!Q459="Xingyiquan E",513,IF(Atletas!Q459="Baguazhang E",514,IF(Atletas!Q459="Outro Estilo Interno E",515,IF(Atletas!Q459="Xingyiquan F",516,IF(Atletas!Q459="Baguazhang F",517,IF(Atletas!Q459="Outro Estilo Interno F",518, "")))))))))))))))))))</f>
        <v/>
      </c>
      <c r="BZ468" s="50" t="str">
        <f>IF(Atletas!R459="","",IF(Atletas!X459&lt;&gt;"",10000,0)+IF(Atletas!B459="Feminino",1000,IF(Atletas!B459="Masculino",2000,""))+IF(Atletas!R459="Dao A",601,IF(Atletas!R459="Jian A",602,IF(Atletas!R459="Bishou A",603,IF(Atletas!R459="Shanzi A",604,IF(Atletas!R459="Outra Arma Curta A",605,IF(Atletas!R459="Dao B",606,IF(Atletas!R459="Jian B",607,IF(Atletas!R459="Bishou B",608,IF(Atletas!R459="Shanzi B",609,IF(Atletas!R459="Outra Arma Curta B",610,IF(Atletas!R459="Dao C",611,IF(Atletas!R459="Jian C",612,IF(Atletas!R459="Bishou C",613,IF(Atletas!R459="Shanzi C",614,IF(Atletas!R459="Outra Arma Curta C",615,IF(Atletas!R459="Dao D",616,IF(Atletas!R459="Jian D",617,IF(Atletas!R459="Bishou D",618,IF(Atletas!R459="Shanzi D",619,IF(Atletas!R459="Outra Arma Curta D",620,IF(Atletas!R459="Dao E",621,IF(Atletas!R459="Jian E",622,IF(Atletas!R459="Bishou E",623,IF(Atletas!R459="Shanzi E",624,IF(Atletas!R459="Outra Arma Curta E",625,IF(Atletas!R459="Dao F",626,IF(Atletas!R459="Jian F",627,IF(Atletas!R459="Bishou F",628,IF(Atletas!R459="Shanzi F",629,IF(Atletas!R459="Outra Arma Curta F",630, "")))))))))))))))))))))))))))))))</f>
        <v/>
      </c>
      <c r="CA468" s="50" t="str">
        <f>IF(Atletas!S459="","",IF(Atletas!X459&lt;&gt;"",10000,0)+IF(Atletas!B459="Feminino",1000,IF(Atletas!B459="Masculino",2000,""))+IF(Atletas!S459="Gun A",701,IF(Atletas!S459="Qiang A",702,IF(Atletas!S459="Pudao / Guandao A",703,IF(Atletas!S459="Outra Arma Longa A",704,IF(Atletas!S459="Gun B",705,IF(Atletas!S459="Qiang B",706,IF(Atletas!S459="Pudao / Guandao B",707,IF(Atletas!S459="Outra Arma Longa B",708,IF(Atletas!S459="Gun C",709,IF(Atletas!S459="Qiang C",710,IF(Atletas!S459="Pudao / Guandao C",711,IF(Atletas!S459="Outra Arma Longa C",712,IF(Atletas!S459="Gun D",713,IF(Atletas!S459="Qiang D",714,IF(Atletas!S459="Pudao / Guandao D",715,IF(Atletas!S459="Outra Arma Longa D",716,IF(Atletas!S459="Gun E",717,IF(Atletas!S459="Qiang E",718,IF(Atletas!S459="Pudao / Guandao E",719,IF(Atletas!S459="Outra Arma Longa E",720,IF(Atletas!S459="Gun F",721,IF(Atletas!S459="Qiang F",722,IF(Atletas!S459="Pudao / Guandao F",723,IF(Atletas!S459="Outra Arma Longa F",724,"")))))))))))))))))))))))))</f>
        <v/>
      </c>
      <c r="CB468" s="50" t="str">
        <f>IF(Atletas!T459="","",IF(Atletas!X459&lt;&gt;"",10000,0)+IF(Atletas!B459="Feminino",1000,IF(Atletas!B459="Masculino",2000,""))+IF(Atletas!T459="Outra Arma Dupla A",801,IF(Atletas!T459="Arma Maleável A",802,IF(Atletas!T459="Outra Arma Dupla B",803,IF(Atletas!T459="Arma Maleável B",804,IF(Atletas!T459="Outra Arma Dupla C",805,IF(Atletas!T459="Arma Maleável C",806,IF(Atletas!T459="Outra Arma Dupla D",807,IF(Atletas!T459="Arma Maleável D",808,IF(Atletas!T459="Outra Arma Dupla E",809,IF(Atletas!T459="Arma Maleável E",810,IF(Atletas!T459="Outra Arma Dupla F",811,IF(Atletas!T459="Arma Maleável F",812,IF(Atletas!T459="Shuangdao A",813,IF(Atletas!T459="Shuangdao B",814,IF(Atletas!T459="Shuangdao C",815,IF(Atletas!T459="Shuangdao D",816,IF(Atletas!T459="Shuangdao E",817,IF(Atletas!T459="Shuangdao F",818,"")))))))))))))))))))</f>
        <v/>
      </c>
      <c r="CC468" s="50" t="str">
        <f>IF(Atletas!U459="","",IF(Atletas!X459&lt;&gt;"",10000,0)+IF(Atletas!B459="Feminino",1000,IF(Atletas!B459="Masculino",2000,""))+IF(OR(Atletas!U459="Taijijian Yang A",Atletas!U459="Taijijian Yang Standard A"),901,IF(OR(Atletas!U459="Taijijian Chen A", Atletas!U459="Taijijian Chen Standard A"),902,IF(Atletas!U459="Taijijian Sun A",903,IF(Atletas!U459="Taijijian Wu A",904,IF(Atletas!U459="Taijijian Wu-Hao A",905,IF(OR(Atletas!U459="Taijijian 32 A",Atletas!U459="Taijijian 42 A"),906,IF(OR(Atletas!U459="Taijijian Yang B",Atletas!U459="Taijijian Yang Standard B"),907,IF(OR(Atletas!U459="Taijijian Chen B", Atletas!U459="Taijijian Chen Standard B"),908,IF(Atletas!U459="Taijijian Sun B",909,IF(Atletas!U459="Taijijian Wu B",910,IF(Atletas!U459="Taijijian Wu-Hao B",911,IF(OR(Atletas!U459="Taijijian 32 B",Atletas!U459="Taijijian 42 B"),912,IF(OR(Atletas!U459="Taijijian Yang C",Atletas!U459="Taijijian Yang Standard C"),913,IF(OR(Atletas!U459="Taijijian Chen C", Atletas!U459="Taijijian Chen Standard C"),914,IF(Atletas!U459="Taijijian Sun C",915,IF(Atletas!U459="Taijijian Wu C",916,IF(Atletas!U459="Taijijian Wu-Hao C",917,IF(OR(Atletas!U459="Taijijian 32 C",Atletas!U459="Taijijian 42 C"),918,IF(OR(Atletas!U459="Taijijian Yang D",Atletas!U459="Taijijian Yang Standard D"),919,IF(OR(Atletas!U459="Taijijian Chen D", Atletas!U459="Taijijian Chen Standard D"),920,IF(Atletas!U459="Taijijian Sun D",921,IF(Atletas!U459="Taijijian Wu D",922,IF(Atletas!U459="Taijijian Wu-Hao D",923,IF(OR(Atletas!U459="Taijijian 32 D",Atletas!U459="Taijijian 42 D"),924,IF(OR(Atletas!U459="Taijijian Yang E",Atletas!U459="Taijijian Yang Standard E"),925,IF(OR(Atletas!U459="Taijijian Chen E", Atletas!U459="Taijijian Chen Standard E"),926,IF(Atletas!U459="Taijijian Sun E",927,IF(Atletas!U459="Taijijian Wu E",928,IF(Atletas!U459="Taijijian Wu-Hao E",929,IF(OR(Atletas!U459="Taijijian 32 E",Atletas!U459="Taijijian 42 E"),930,IF(OR(Atletas!U459="Taijijian Yang F",Atletas!U459="Taijijian Yang Standard F"),931,IF(OR(Atletas!U459="Taijijian Chen F", Atletas!U459="Taijijian Chen Standard F"),932,IF(Atletas!U459="Taijijian Sun F",933,IF(Atletas!U459="Taijijian Wu F",934,IF(Atletas!U459="Taijijian Wu-Hao F",935,IF(OR(Atletas!U459="Taijijian 32 F",Atletas!U459="Taijijian 42 F"),936,"")))))))))))))))))))))))))))))))))))))</f>
        <v/>
      </c>
      <c r="CD468" s="50" t="str">
        <f>IF(Atletas!V459="","",IF(Atletas!X459&lt;&gt;"",10000,0)+IF(Atletas!B459="Feminino",1000,IF(Atletas!B459="Masculino",2000,""))+IF(Atletas!V459="Taijidao A",937,IF(Atletas!V459="TaijiShanzi A",938,IF(Atletas!V459="Taijiqiang A",939,IF(Atletas!V459="Bagua de Arma A",940,IF(Atletas!V459="Xingyi de Arma A",941,IF(Atletas!V459="Taijidao B",942,IF(Atletas!V459="TaijiShanzi B",943,IF(Atletas!V459="Taijiqiang B",944,IF(Atletas!V459="Bagua de Arma B",945,IF(Atletas!V459="Xingyi de Arma B",946,IF(Atletas!V459="Taijidao C",947,IF(Atletas!V459="TaijiShanzi C",948,IF(Atletas!V459="Taijiqiang C",949,IF(Atletas!V459="Bagua de Arma C",950,IF(Atletas!V459="Xingyi de Arma C",951,IF(Atletas!V459="Taijidao D",952,IF(Atletas!V459="TaijiShanzi D",953,IF(Atletas!V459="Taijiqiang D",954,IF(Atletas!V459="Bagua de Arma D",955,IF(Atletas!V459="Xingyi de Arma D",956,IF(Atletas!V459="Taijidao E",957,IF(Atletas!V459="TaijiShanzi E",958,IF(Atletas!V459="Taijiqiang E",959,IF(Atletas!V459="Bagua de Arma E",960,IF(Atletas!V459="Xingyi de Arma E",961,IF(Atletas!V459="Taijidao F",962,IF(Atletas!V459="TaijiShanzi F",963,IF(Atletas!V459="Taijiqiang F",964,IF(Atletas!V459="Bagua de Arma F",965,IF(Atletas!V459="Xingyi de Arma F",966,"")))))))))))))))))))))))))))))))</f>
        <v/>
      </c>
      <c r="CM468" s="50" t="str">
        <f xml:space="preserve"> IF(Atletas!W459="","",IF(Atletas!W459="Duilian de Mãos BC - Equipe 1",1,IF(Atletas!W459="Duilian de Mãos BC - Equipe 2",2,IF(Atletas!W459="Duilian de Armas BC - Equipe 1",3,IF(Atletas!W459="Duilian de Armas BC - Equipe 2",4,IF(Atletas!W459="Duilian de Mãos DE - Equipe 1",5,IF(Atletas!W459="Duilian de Mãos DE - Equipe 2",6,IF(Atletas!W459="Duilian de Armas DE - Equipe 1",7,IF(Atletas!W459="Duilian de Armas DE - Equipe 2",8,IF(Atletas!W459="Duilian de Tuishou - Equipe 1",9,IF(Atletas!W459="Duilian de Tuishou - Equipe 2",10,IF(Atletas!W459="Grupo Externo ABC - Equipe 1",11,IF(Atletas!W459="Grupo Externo ABC - Equipe 2",12,IF(Atletas!W459="Grupo Interno ABC - Equipe 1",13,IF(Atletas!W459="Grupo Interno ABC - Equipe 2",14,IF(Atletas!W459="Grupo Externo DEF - Equipe 1",15,IF(Atletas!W459="Grupo Externo DEF - Equipe 2",16,IF(Atletas!W459="Grupo Interno DEF - Equipe 1",17,IF(Atletas!W459="Grupo Interno DEF - Equipe 2",18,"")))))))))))))))))))</f>
        <v/>
      </c>
    </row>
    <row r="469" spans="40:91">
      <c r="AN469" s="52" t="str">
        <f>IF(Atletas!D460="","",IF(Atletas!B460="Feminino",100,IF(Atletas!B460="Masculino",200,""))+(IF(Atletas!D460="Kids 30kg",1,IF(Atletas!D460="Kids 32kg",2, IF(Atletas!D460="Kids 34kg",3,IF(Atletas!D460="Kids 36kg",4,IF(Atletas!D460="Kids 39kg",5,IF(Atletas!D460="Kids 42kg",6,IF(Atletas!D460="Kids 45kg",7, IF(Atletas!D460="Infantil 39kg",8,IF(Atletas!D460="Infantil 42kg",9,IF(Atletas!D460="Infantil 45kg",10,IF(Atletas!D460="Infantil 48kg",11,IF(Atletas!D460="Infantil 52kg",12,IF(Atletas!D460="Infantil 56kg",13,IF(Atletas!D460="Infantil 60kg",14,IF(Atletas!D460="Juvenil 48kg",15,IF(Atletas!D460="Juvenil 52kg",16,IF(Atletas!D460="Juvenil 56kg",17,IF(Atletas!D460="Juvenil 60kg",18,IF(Atletas!D460="Juvenil 65kg",19,IF(Atletas!D460="Juvenil 70kg",20,IF(Atletas!D460="Juvenil 75kg",21,IF(Atletas!D460="Juvenil 80kg",22, IF(Atletas!D460="Juvenil 85kg",23,IF(Atletas!D460="Adulto 48kg",24,IF(Atletas!D460="Adulto 52kg",25,IF(Atletas!D460="Adulto 56kg",26,IF(Atletas!D460="Adulto 60kg",27,IF(Atletas!D460="Adulto 65kg",28,IF(Atletas!D460="Adulto 70kg",29,IF(Atletas!D460="Adulto 75kg",30,IF(Atletas!D460="Adulto 80kg",31,IF(Atletas!D460="Adulto 85kg",32,IF(Atletas!D460="Adulto 90kg",33,IF(Atletas!D460="Adulto 100kg",34, IF(Atletas!D460="Adulto +100kg",35,"")))))))))))))))))))))))))))))))))))))</f>
        <v/>
      </c>
      <c r="AS469" s="6" t="str">
        <f>IF(Atletas!E460="","",IF(Atletas!B460="Feminino",100,IF(Atletas!B460="Masculino",200,""))+(IF(Atletas!E460="Juvenil 44kg",1,IF(Atletas!E460="Juvenil 48kg",2,IF(Atletas!E460="Juvenil 52kg",3,IF(Atletas!E460="Juvenil 56kg",4,IF(Atletas!E460="Juvenil 60kg",5,IF(Atletas!E460="Juvenil 65kg",6,IF(Atletas!E460="Juvenil 70kg",7,IF(Atletas!E460="Juvenil 75kg",8,IF(Atletas!E460="Juvenil 82kg",9,IF(Atletas!E460="Juvenil 90kg",10,IF(Atletas!E460="Juvenil 100kg",11,IF(Atletas!E460="Adulto 48kg",12,IF(Atletas!E460="Adulto 52kg",13,IF(Atletas!E460="Adulto 56kg",14,IF(Atletas!E460="Adulto 60kg",15,IF(Atletas!E460="Adulto 65kg",16,IF(Atletas!E460="Adulto 70kg",17,IF(Atletas!E460="Adulto 75kg",18,IF(Atletas!E460="Adulto 82kg",19,IF(Atletas!E460="Adulto 90kg",20,IF(Atletas!E460="Adulto 100kg",21,IF(Atletas!E460="Adulto +100kg",22,""))))))))))))))))))))))))</f>
        <v/>
      </c>
      <c r="AX469" s="6" t="str">
        <f>IF(Atletas!F460="","",IF(Atletas!B460="Feminino",100,IF(Atletas!B460="Masculino",200,""))+(IF(Atletas!F460="Adulto 48kg",1,IF(Atletas!F460="Adulto 56kg",2,IF(Atletas!F460="Adulto 65kg",3,IF(Atletas!F460="Adulto 75kg",4,IF(Atletas!F460="Adulto +75kg",5,IF(Atletas!F460="Adulto 52kg",6,IF(Atletas!F460="Adulto 60kg",7,IF(Atletas!F460="Adulto 70kg",8,IF(Atletas!F460="Adulto 80kg",9,IF(Atletas!F460="Adulto 90kg",10,IF(Atletas!F460="Adulto +90kg",11,"")))))))))))))</f>
        <v/>
      </c>
      <c r="BC469" s="6" t="str">
        <f>IF(Atletas!G460="","",IF(Atletas!B460="Feminino",10,IF(Atletas!B460="Masculino",20,""))+(IF(Atletas!G460="Baduanjin A",1,IF(Atletas!G460="Baduanjin B",2))))</f>
        <v/>
      </c>
      <c r="BF469" s="52" t="str">
        <f>IF(Atletas!H460="","",IF(Atletas!B460="Feminino",100,IF(Atletas!B460="Masculino",200,""))+(IF(Atletas!H460="Changquan Mirim",1,IF(Atletas!H460="Nanquan Mirim",2,IF(Atletas!H460="Taijiquan Mirim",3,IF(Atletas!H460="Changquan Grupo C",4,IF(Atletas!H460="Nanquan Grupo C",5,IF(Atletas!H460="Taijiquan Grupo C",6,IF(Atletas!H460="Changquan Grupo B",7,IF(Atletas!H460="Nanquan Grupo B",8,IF(Atletas!H460="Taijiquan Grupo B",9,IF(Atletas!H460="Changquan Grupo A",10,IF(Atletas!H460="Nanquan Grupo A",11,IF(Atletas!H460="Taijiquan Grupo A",12,IF(Atletas!H460="Changquan Opcional",13,IF(Atletas!H460="Nanquan Opcional",14,IF(Atletas!H460="Taijiquan Opcional",15,IF(Atletas!H460="Changquan Adulto",16,IF(Atletas!H460="Nanquan Adulto",17,IF(Atletas!H460="Taijiquan Adulto",18,""))))))))))))))))))))</f>
        <v/>
      </c>
      <c r="BG469" s="52" t="str">
        <f>IF(Atletas!I460="","",IF(Atletas!B460="Feminino",100,IF(Atletas!B460="Masculino",200,""))+(IF(Atletas!I460="Daoshu Mirim",19,IF(Atletas!I460="Jianshu Mirim",20,IF(Atletas!I460="Nandao Mirim",21,IF(Atletas!I460="Taijijian Mirim",22,IF(Atletas!I460="Daoshu Grupo C",23,IF(Atletas!I460="Jianshu Grupo C",24,IF(Atletas!I460="Nandao Grupo C",25,IF(Atletas!I460="Taijijian Grupo C",26,IF(Atletas!I460="Daoshu Grupo B",27,IF(Atletas!I460="Jianshu Grupo B",28,IF(Atletas!I460="Nandao Grupo B",29,IF(Atletas!I460="Taijijian Grupo B",30,IF(Atletas!I460="Daoshu Grupo A",31,IF(Atletas!I460="Jianshu Grupo A",32,IF(Atletas!I460="Nandao Grupo A",33,IF(Atletas!I460="Taijijian Grupo A",34,IF(Atletas!I460="Daoshu Opcional",35,IF(Atletas!I460="Jianshu Opcional",36,IF(Atletas!I460="Nandao Opcional",37,IF(Atletas!I460="Taijijian Opcional",38,IF(Atletas!I460="Daoshu Adulto",39,IF(Atletas!I460="Jianshu Adulto",40,IF(Atletas!I460="Nandao Adulto",41,IF(Atletas!I460="Taijijian Adulto",42,""))))))))))))))))))))))))))</f>
        <v/>
      </c>
      <c r="BH469" s="52" t="str">
        <f>IF(Atletas!J460="","",IF(Atletas!B460="Feminino",100,IF(Atletas!B460="Masculino",200,""))+(IF(Atletas!J460="Gunshu Mirim",43,IF(Atletas!J460="Qiangshu Mirim",44,IF(Atletas!J460="Nangun Mirim",45,IF(Atletas!J460="Gunshu Grupo C",46,IF(Atletas!J460="Qiangshu Grupo C",47,IF(Atletas!J460="Nangun Grupo C",48,IF(Atletas!J460="Gunshu Grupo B",49,IF(Atletas!J460="Qiangshu Grupo B",50,IF(Atletas!J460="Nangun Grupo B",51,IF(Atletas!J460="Gunshu Grupo A",52,IF(Atletas!J460="Qiangshu Grupo A",53,IF(Atletas!J460="Nangun Grupo A",54,IF(Atletas!J460="Gunshu Opcional",55,IF(Atletas!J460="Qiangshu Opcional",56,IF(Atletas!J460="Nangun Opcional",57,IF(Atletas!J460="Gunshu Adulto",58,IF(Atletas!J460="Qiangshu Adulto",59,IF(Atletas!J460="Nangun Adulto",60,IF(Atletas!J460="Taijishan Grupo B",61,IF(Atletas!J460="Taijishan Grupo A",62,""))))))))))))))))))))))</f>
        <v/>
      </c>
      <c r="BM469" s="50" t="str">
        <f>IF(Atletas!K460="","",IF(Atletas!B460="Feminino",100,IF(Atletas!B460="Masculino",200,""))+(IF(Atletas!K460="Equipe 1 Grupo B",1,IF(Atletas!K460="Equipe 2 Grupo B",2,IF(Atletas!K460="Equipe 1 Grupo A",3,IF(Atletas!K460="Equipe 2 Grupo A",4,IF(Atletas!K460="Equipe 1 Adulto",5,IF(Atletas!K460="Equipe 2 Adulto",6,""))))))))</f>
        <v/>
      </c>
      <c r="BR469" s="50" t="str">
        <f>IF(Atletas!L460="","",IF(Atletas!X460&lt;&gt;"",10000,0)+(IF(Atletas!B460="Feminino",1000,IF(Atletas!B460="Masculino",2000,""))+IF(Atletas!L460="Choylayfut A",1,IF(Atletas!L460="Hunggar A",2,IF(Atletas!L460="Wuzuquan A",3,IF(Atletas!L460="Wingchun A",4,IF(Atletas!L460="Outra Mão de Sul A",5,IF(Atletas!L460="Choylayfut B",6,IF(Atletas!L460="Hunggar B",7,IF(Atletas!L460="Wuzuquan B",8,IF(Atletas!L460="Wingchun B",9,IF(Atletas!L460="Outra Mão de Sul B",10,IF(Atletas!L460="Choylayfut C",11,IF(Atletas!L460="Hunggar C",12,IF(Atletas!L460="Wuzuquan C",13,IF(Atletas!L460="Wingchun C",14,IF(Atletas!L460="Outra Mão de Sul C",15,IF(Atletas!L460="Choylayfut D",16,IF(Atletas!L460="Hunggar D",17,IF(Atletas!L460="Wuzuquan D",18,IF(Atletas!L460="Wingchun D",19,IF(Atletas!L460="Outra Mão de Sul D",20,IF(Atletas!L460="Choylayfut E",21,IF(Atletas!L460="Hunggar E",22,IF(Atletas!L460="Wuzuquan E",23,IF(Atletas!L460="Wingchun E",24,IF(Atletas!L460="Outra Mão de Sul E",25,IF(Atletas!L460="Choylayfut F",26,IF(Atletas!L460="Hunggar F",27,IF(Atletas!L460="Wuzuquan F",28,IF(Atletas!L460="Wingchun F",29,IF(Atletas!L460="Outra Mão de Sul F",30,IF(Atletas!L460="Dishuquan A",31,IF(Atletas!L460="Dishuquan B",32,IF(Atletas!L460="Dishuquan C",33,IF(Atletas!L460="Dishuquan D",34,IF(Atletas!L460="Dishuquan E",35,IF(Atletas!L460="Dishuquan F",36,""))))))))))))))))))))))))))))))))))))))</f>
        <v/>
      </c>
      <c r="BS469" s="50" t="str">
        <f>IF(Atletas!M460="","",IF(Atletas!X460&lt;&gt;"",10000,0)+(IF(Atletas!B460="Feminino",1000,IF(Atletas!B460="Masculino",2000,""))+(IF(Atletas!M460="Chaquan A",101,IF(Atletas!M460="Emeiquan A",102,IF(Atletas!M460="Fanziquan A",103,IF(Atletas!M460="Huaquan A",104,IF(Atletas!M460="Hongquan A",105,IF(Atletas!M460="Paoquan A",106,IF(Atletas!M460="Piguaquan A",107,IF(Atletas!M460="Shaolinquan A",108,IF(Atletas!M460="Tanglangquan A",109,IF(Atletas!M460="Yingzhaoquan A",110,IF(Atletas!M460="Tongbeiquan A",111,IF(Atletas!M460="Wudangquan A",112,IF(Atletas!M460="Outros Estilos A",113,IF(Atletas!M460="Chaquan B",114,IF(Atletas!M460="Emeiquan B",115,IF(Atletas!M460="Fanziquan B",116,IF(Atletas!M460="Huaquan B",117,IF(Atletas!M460="Hongquan B",118,IF(Atletas!M460="Paoquan B",119,IF(Atletas!M460="Piguaquan B",120,IF(Atletas!M460="Shaolinquan B",121,IF(Atletas!M460="Tanglangquan B",122,IF(Atletas!M460="Yingzhaoquan B",123,IF(Atletas!M460="Tongbeiquan B",124,IF(Atletas!M460="Wudangquan B",125,IF(Atletas!M460="Outros Estilos B",126,IF(Atletas!M460="Chaquan C",127,IF(Atletas!M460="Emeiquan C",128,IF(Atletas!M460="Fanziquan C",129,IF(Atletas!M460="Huaquan C",130,IF(Atletas!M460="Hongquan C",131,IF(Atletas!M460="Paoquan C",132,IF(Atletas!M460="Piguaquan C",133,IF(Atletas!M460="Shaolinquan C",134,IF(Atletas!M460="Tanglangquan C",135,IF(Atletas!M460="Yingzhaoquan C",136,IF(Atletas!M460="Tongbeiquan C",137,IF(Atletas!M460="Wudangquan C",138,IF(Atletas!M460="Outros Estilos C",139,0))))))))))))))))))))))))))))))))))))))))))</f>
        <v/>
      </c>
      <c r="BT469" s="50" t="str">
        <f>IF(Atletas!M460="","",IF(Atletas!X460&lt;&gt;"",10000,0)+(IF(Atletas!B460="Feminino",1000,IF(Atletas!B460="Masculino",2000,""))+(IF(Atletas!M460="Chaquan D",140,IF(Atletas!M460="Emeiquan D",141,IF(Atletas!M460="Fanziquan D",142,IF(Atletas!M460="Huaquan D",143,IF(Atletas!M460="Hongquan D",144,IF(Atletas!M460="Paoquan D",145,IF(Atletas!M460="Piguaquan D",146,IF(Atletas!M460="Shaolinquan D",147,IF(Atletas!M460="Tanglangquan D",148,IF(Atletas!M460="Yingzhaoquan D",149,IF(Atletas!M460="Tongbeiquan D",150,IF(Atletas!M460="Wudangquan D",151,IF(Atletas!M460="Outros Estilos D",152,IF(Atletas!M460="Chaquan E",153,IF(Atletas!M460="Emeiquan E",154,IF(Atletas!M460="Fanziquan E",155,IF(Atletas!M460="Huaquan E",156,IF(Atletas!M460="Hongquan E",157,IF(Atletas!M460="Paoquan E",158,IF(Atletas!M460="Piguaquan E",159,IF(Atletas!M460="Shaolinquan E",160,IF(Atletas!M460="Tanglangquan E",161,IF(Atletas!M460="Yingzhaoquan E",162,IF(Atletas!M460="Tongbeiquan E",163,IF(Atletas!M460="Wudangquan E",164,IF(Atletas!M460="Outros Estilos E",165,IF(Atletas!M460="Chaquan F",166,IF(Atletas!M460="Emeiquan F",167,IF(Atletas!M460="Fanziquan F",168,IF(Atletas!M460="Huaquan F",169,IF(Atletas!M460="Hongquan F",170,IF(Atletas!M460="Paoquan F",171,IF(Atletas!M460="Piguaquan F",172,IF(Atletas!M460="Shaolinquan F",173,IF(Atletas!M460="Tanglangquan F",174,IF(Atletas!M460="Yingzhaoquan F",175,IF(Atletas!M460="Tongbeiquan F",176,IF(Atletas!M460="Wudangquan F",177,IF(Atletas!M460="Outros Estilos F",178,0))))))))))))))))))))))))))))))))))))))))))</f>
        <v/>
      </c>
      <c r="BU469" s="50" t="str">
        <f>IF(Atletas!N460="","",IF(Atletas!X460&lt;&gt;"",10000,0)+(IF(Atletas!B460="Feminino",1000,IF(Atletas!B460="Masculino",2000,""))+(IF(Atletas!N460="Ditangquan A",201,IF(Atletas!N460="Houquan A",202,IF(Atletas!N460="Zuiquan A",203,IF(Atletas!N460="Ditangquan B",204,IF(Atletas!N460="Houquan B",205,IF(Atletas!N460="Zuiquan B",206,IF(Atletas!N460="Ditangquan C",207,IF(Atletas!N460="Houquan C",208,IF(Atletas!N460="Zuiquan C",209,IF(Atletas!N460="Ditangquan D",210,IF(Atletas!N460="Houquan D",211,IF(Atletas!N460="Zuiquan D",212,IF(Atletas!N460="Ditangquan E",213,IF(Atletas!N460="Houquan E",214,IF(Atletas!N460="Zuiquan E",215,IF(Atletas!N460="Ditangquan F",216,IF(Atletas!N460="Houquan F",217,IF(Atletas!N460="Zuiquan F",218,"")))))))))))))))))))))</f>
        <v/>
      </c>
      <c r="BV469" s="50" t="str">
        <f>IF(Atletas!O460="","",IF(Atletas!X460&lt;&gt;"",10000,0)+IF(Atletas!B460="Feminino",1000,IF(Atletas!B460="Masculino",2000,""))+IF(Atletas!O460="Yang A",301,IF(Atletas!O460="Chen A",302,IF(Atletas!O460="Sun A",303,IF(Atletas!O460="Wu A",304,IF(Atletas!O460="Wu-Hao A",305,IF(Atletas!O460="Outro Taijiquan A",306,IF(Atletas!O460="Yang B",307,IF(Atletas!O460="Chen B",308,IF(Atletas!O460="Sun B",309,IF(Atletas!O460="Wu B",310,IF(Atletas!O460="Wu-Hao B",311,IF(Atletas!O460="Outro Taijiquan B",312,IF(Atletas!O460="Yang C",313,IF(Atletas!O460="Chen C",314,IF(Atletas!O460="Sun C",315,IF(Atletas!O460="Wu C",316,IF(Atletas!O460="Wu-Hao C",317,IF(Atletas!O460="Outro Taijiquan C",318,IF(Atletas!O460="Yang D",319,IF(Atletas!O460="Chen D",320,IF(Atletas!O460="Sun D",321,IF(Atletas!O460="Wu D",322,IF(Atletas!O460="Wu-Hao D",323,IF(Atletas!O460="Outro Taijiquan D",324,IF(Atletas!O460="Yang E",325,IF(Atletas!O460="Chen E",326,IF(Atletas!O460="Sun E",327,IF(Atletas!O460="Wu E",328,IF(Atletas!O460="Wu-Hao E",329,IF(Atletas!O460="Outro Taijiquan E",330,IF(Atletas!O460="Yang F",331,IF(Atletas!O460="Chen F",332,IF(Atletas!O460="Sun F",333,IF(Atletas!O460="Wu F",334,IF(Atletas!O460="Wu-Hao F",335,IF(Atletas!O460="Outro Taijiquan F",336,"")))))))))))))))))))))))))))))))))))))</f>
        <v/>
      </c>
      <c r="BW469" s="50" t="str">
        <f>IF(Atletas!P460="","",IF(Atletas!X460&lt;&gt;"",10000,0)+IF(Atletas!B460="Feminino",1000,IF(Atletas!B460="Masculino",2000,""))+IF(OR(Atletas!P460="Yang 26 A",Atletas!P460="Yang 40 A"),401,IF(OR(Atletas!P460="Chen 25 A",Atletas!P460="Chen 36 A",Atletas!P460="Chen 56 A"),402,IF(Atletas!P460="Sun 73 A",403,IF(Atletas!P460="Wu 45 A",404,IF(Atletas!P460="Wu-Hao 46 A",405,IF(OR(Atletas!P460="Taijiquan 16 A",Atletas!P460="Taijiquan 24 A",Atletas!P460="Taijiquan 32 A",Atletas!P460="Taijiquan 42 A"),406,IF(OR(Atletas!P460="Yang 26 B",Atletas!P460="Yang 40 B"),407,IF(OR(Atletas!P460="Chen 25 B",Atletas!P460="Chen 36 B",Atletas!P460="Chen 56 B"),408,IF(Atletas!P460="Sun 73 B",409,IF(Atletas!P460="Wu 45 B",410,IF(Atletas!P460="Wu-Hao 46 B",411,IF(OR(Atletas!P460="Taijiquan 16 B",Atletas!P460="Taijiquan 24 B",Atletas!P460="Taijiquan 32 B",Atletas!P460="Taijiquan 42 B"),412,IF(OR(Atletas!P460="Yang 26 C",Atletas!P460="Yang 40 C"),413,IF(OR(Atletas!P460="Chen 25 C",Atletas!P460="Chen 36 C",Atletas!P460="Chen 56 C"),414,IF(Atletas!P460="Sun 73 C",415,IF(Atletas!P460="Wu 45 C",416,IF(Atletas!P460="Wu-Hao 46 C",417,IF(OR(Atletas!P460="Taijiquan 16 C",Atletas!P460="Taijiquan 24 C",Atletas!P460="Taijiquan 32 C",Atletas!P460="Taijiquan 42 C"),418,0)))))))))))))))))))</f>
        <v/>
      </c>
      <c r="BX469" s="50" t="str">
        <f>IF(Atletas!P460="","",IF(Atletas!X460&lt;&gt;"",10000,0)+IF(Atletas!B460="Feminino",1000,IF(Atletas!B460="Masculino",2000,""))+IF(OR(Atletas!P460="Yang 26 D",Atletas!P460="Yang 40 D"),419,IF(OR(Atletas!P460="Chen 25 D",Atletas!P460="Chen 36 D",Atletas!P460="Chen 56 D"),420,IF(Atletas!P460="Sun 73 D",421,IF(Atletas!P460="Wu 45 D",422,IF(Atletas!P460="Wu-Hao 46 D",423,IF(OR(Atletas!P460="Taijiquan 16 D",Atletas!P460="Taijiquan 24 D",Atletas!P460="Taijiquan 32 D",Atletas!P460="Taijiquan 42 D"),424,IF(OR(Atletas!P460="Yang 26 E",Atletas!P460="Yang 40 E"),425,IF(OR(Atletas!P460="Chen 25 E",Atletas!P460="Chen 36 E",Atletas!P460="Chen 56 E"),426,IF(Atletas!P460="Sun 73 E",427,IF(Atletas!P460="Wu 45 E",428,IF(Atletas!P460="Wu-Hao 46 E",429,IF(OR(Atletas!P460="Taijiquan 16 E",Atletas!P460="Taijiquan 24 E",Atletas!P460="Taijiquan 32 E",Atletas!P460="Taijiquan 42 E"),430,IF(OR(Atletas!P460="Yang 26 F",Atletas!P460="Yang 40 F"),431,IF(OR(Atletas!P460="Chen 25 F",Atletas!P460="Chen 36 F",Atletas!P460="Chen 56 F"),432,IF(Atletas!P460="Sun 73 F",433,IF(Atletas!P460="Wu 45 F",434,IF(Atletas!P460="Wu-Hao 46 F",435,IF(OR(Atletas!P460="Taijiquan 16 F",Atletas!P460="Taijiquan 24 F",Atletas!P460="Taijiquan 32 F",Atletas!P460="Taijiquan 42 F"),436,0)))))))))))))))))))</f>
        <v/>
      </c>
      <c r="BY469" s="50" t="str">
        <f>IF(Atletas!Q460="","",IF(Atletas!X460&lt;&gt;"",10000,0)+IF(Atletas!B460="Feminino",1000,IF(Atletas!B460="Masculino",2000,""))+IF(Atletas!Q460="Xingyiquan A",501,IF(Atletas!Q460="Baguazhang A",502,IF(Atletas!Q460="Outro Estilo Interno A",503,IF(Atletas!Q460="Xingyiquan B",504,IF(Atletas!Q460="Baguazhang B",505,IF(Atletas!Q460="Outro Estilo Interno B",506,IF(Atletas!Q460="Xingyiquan C",507,IF(Atletas!Q460="Baguazhang C",508,IF(Atletas!Q460="Outro Estilo Interno C",509,IF(Atletas!Q460="Xingyiquan D",510,IF(Atletas!Q460="Baguazhang D",511,IF(Atletas!Q460="Outro Estilo Interno D",512,IF(Atletas!Q460="Xingyiquan E",513,IF(Atletas!Q460="Baguazhang E",514,IF(Atletas!Q460="Outro Estilo Interno E",515,IF(Atletas!Q460="Xingyiquan F",516,IF(Atletas!Q460="Baguazhang F",517,IF(Atletas!Q460="Outro Estilo Interno F",518, "")))))))))))))))))))</f>
        <v/>
      </c>
      <c r="BZ469" s="50" t="str">
        <f>IF(Atletas!R460="","",IF(Atletas!X460&lt;&gt;"",10000,0)+IF(Atletas!B460="Feminino",1000,IF(Atletas!B460="Masculino",2000,""))+IF(Atletas!R460="Dao A",601,IF(Atletas!R460="Jian A",602,IF(Atletas!R460="Bishou A",603,IF(Atletas!R460="Shanzi A",604,IF(Atletas!R460="Outra Arma Curta A",605,IF(Atletas!R460="Dao B",606,IF(Atletas!R460="Jian B",607,IF(Atletas!R460="Bishou B",608,IF(Atletas!R460="Shanzi B",609,IF(Atletas!R460="Outra Arma Curta B",610,IF(Atletas!R460="Dao C",611,IF(Atletas!R460="Jian C",612,IF(Atletas!R460="Bishou C",613,IF(Atletas!R460="Shanzi C",614,IF(Atletas!R460="Outra Arma Curta C",615,IF(Atletas!R460="Dao D",616,IF(Atletas!R460="Jian D",617,IF(Atletas!R460="Bishou D",618,IF(Atletas!R460="Shanzi D",619,IF(Atletas!R460="Outra Arma Curta D",620,IF(Atletas!R460="Dao E",621,IF(Atletas!R460="Jian E",622,IF(Atletas!R460="Bishou E",623,IF(Atletas!R460="Shanzi E",624,IF(Atletas!R460="Outra Arma Curta E",625,IF(Atletas!R460="Dao F",626,IF(Atletas!R460="Jian F",627,IF(Atletas!R460="Bishou F",628,IF(Atletas!R460="Shanzi F",629,IF(Atletas!R460="Outra Arma Curta F",630, "")))))))))))))))))))))))))))))))</f>
        <v/>
      </c>
      <c r="CA469" s="50" t="str">
        <f>IF(Atletas!S460="","",IF(Atletas!X460&lt;&gt;"",10000,0)+IF(Atletas!B460="Feminino",1000,IF(Atletas!B460="Masculino",2000,""))+IF(Atletas!S460="Gun A",701,IF(Atletas!S460="Qiang A",702,IF(Atletas!S460="Pudao / Guandao A",703,IF(Atletas!S460="Outra Arma Longa A",704,IF(Atletas!S460="Gun B",705,IF(Atletas!S460="Qiang B",706,IF(Atletas!S460="Pudao / Guandao B",707,IF(Atletas!S460="Outra Arma Longa B",708,IF(Atletas!S460="Gun C",709,IF(Atletas!S460="Qiang C",710,IF(Atletas!S460="Pudao / Guandao C",711,IF(Atletas!S460="Outra Arma Longa C",712,IF(Atletas!S460="Gun D",713,IF(Atletas!S460="Qiang D",714,IF(Atletas!S460="Pudao / Guandao D",715,IF(Atletas!S460="Outra Arma Longa D",716,IF(Atletas!S460="Gun E",717,IF(Atletas!S460="Qiang E",718,IF(Atletas!S460="Pudao / Guandao E",719,IF(Atletas!S460="Outra Arma Longa E",720,IF(Atletas!S460="Gun F",721,IF(Atletas!S460="Qiang F",722,IF(Atletas!S460="Pudao / Guandao F",723,IF(Atletas!S460="Outra Arma Longa F",724,"")))))))))))))))))))))))))</f>
        <v/>
      </c>
      <c r="CB469" s="50" t="str">
        <f>IF(Atletas!T460="","",IF(Atletas!X460&lt;&gt;"",10000,0)+IF(Atletas!B460="Feminino",1000,IF(Atletas!B460="Masculino",2000,""))+IF(Atletas!T460="Outra Arma Dupla A",801,IF(Atletas!T460="Arma Maleável A",802,IF(Atletas!T460="Outra Arma Dupla B",803,IF(Atletas!T460="Arma Maleável B",804,IF(Atletas!T460="Outra Arma Dupla C",805,IF(Atletas!T460="Arma Maleável C",806,IF(Atletas!T460="Outra Arma Dupla D",807,IF(Atletas!T460="Arma Maleável D",808,IF(Atletas!T460="Outra Arma Dupla E",809,IF(Atletas!T460="Arma Maleável E",810,IF(Atletas!T460="Outra Arma Dupla F",811,IF(Atletas!T460="Arma Maleável F",812,IF(Atletas!T460="Shuangdao A",813,IF(Atletas!T460="Shuangdao B",814,IF(Atletas!T460="Shuangdao C",815,IF(Atletas!T460="Shuangdao D",816,IF(Atletas!T460="Shuangdao E",817,IF(Atletas!T460="Shuangdao F",818,"")))))))))))))))))))</f>
        <v/>
      </c>
      <c r="CC469" s="50" t="str">
        <f>IF(Atletas!U460="","",IF(Atletas!X460&lt;&gt;"",10000,0)+IF(Atletas!B460="Feminino",1000,IF(Atletas!B460="Masculino",2000,""))+IF(OR(Atletas!U460="Taijijian Yang A",Atletas!U460="Taijijian Yang Standard A"),901,IF(OR(Atletas!U460="Taijijian Chen A", Atletas!U460="Taijijian Chen Standard A"),902,IF(Atletas!U460="Taijijian Sun A",903,IF(Atletas!U460="Taijijian Wu A",904,IF(Atletas!U460="Taijijian Wu-Hao A",905,IF(OR(Atletas!U460="Taijijian 32 A",Atletas!U460="Taijijian 42 A"),906,IF(OR(Atletas!U460="Taijijian Yang B",Atletas!U460="Taijijian Yang Standard B"),907,IF(OR(Atletas!U460="Taijijian Chen B", Atletas!U460="Taijijian Chen Standard B"),908,IF(Atletas!U460="Taijijian Sun B",909,IF(Atletas!U460="Taijijian Wu B",910,IF(Atletas!U460="Taijijian Wu-Hao B",911,IF(OR(Atletas!U460="Taijijian 32 B",Atletas!U460="Taijijian 42 B"),912,IF(OR(Atletas!U460="Taijijian Yang C",Atletas!U460="Taijijian Yang Standard C"),913,IF(OR(Atletas!U460="Taijijian Chen C", Atletas!U460="Taijijian Chen Standard C"),914,IF(Atletas!U460="Taijijian Sun C",915,IF(Atletas!U460="Taijijian Wu C",916,IF(Atletas!U460="Taijijian Wu-Hao C",917,IF(OR(Atletas!U460="Taijijian 32 C",Atletas!U460="Taijijian 42 C"),918,IF(OR(Atletas!U460="Taijijian Yang D",Atletas!U460="Taijijian Yang Standard D"),919,IF(OR(Atletas!U460="Taijijian Chen D", Atletas!U460="Taijijian Chen Standard D"),920,IF(Atletas!U460="Taijijian Sun D",921,IF(Atletas!U460="Taijijian Wu D",922,IF(Atletas!U460="Taijijian Wu-Hao D",923,IF(OR(Atletas!U460="Taijijian 32 D",Atletas!U460="Taijijian 42 D"),924,IF(OR(Atletas!U460="Taijijian Yang E",Atletas!U460="Taijijian Yang Standard E"),925,IF(OR(Atletas!U460="Taijijian Chen E", Atletas!U460="Taijijian Chen Standard E"),926,IF(Atletas!U460="Taijijian Sun E",927,IF(Atletas!U460="Taijijian Wu E",928,IF(Atletas!U460="Taijijian Wu-Hao E",929,IF(OR(Atletas!U460="Taijijian 32 E",Atletas!U460="Taijijian 42 E"),930,IF(OR(Atletas!U460="Taijijian Yang F",Atletas!U460="Taijijian Yang Standard F"),931,IF(OR(Atletas!U460="Taijijian Chen F", Atletas!U460="Taijijian Chen Standard F"),932,IF(Atletas!U460="Taijijian Sun F",933,IF(Atletas!U460="Taijijian Wu F",934,IF(Atletas!U460="Taijijian Wu-Hao F",935,IF(OR(Atletas!U460="Taijijian 32 F",Atletas!U460="Taijijian 42 F"),936,"")))))))))))))))))))))))))))))))))))))</f>
        <v/>
      </c>
      <c r="CD469" s="50" t="str">
        <f>IF(Atletas!V460="","",IF(Atletas!X460&lt;&gt;"",10000,0)+IF(Atletas!B460="Feminino",1000,IF(Atletas!B460="Masculino",2000,""))+IF(Atletas!V460="Taijidao A",937,IF(Atletas!V460="TaijiShanzi A",938,IF(Atletas!V460="Taijiqiang A",939,IF(Atletas!V460="Bagua de Arma A",940,IF(Atletas!V460="Xingyi de Arma A",941,IF(Atletas!V460="Taijidao B",942,IF(Atletas!V460="TaijiShanzi B",943,IF(Atletas!V460="Taijiqiang B",944,IF(Atletas!V460="Bagua de Arma B",945,IF(Atletas!V460="Xingyi de Arma B",946,IF(Atletas!V460="Taijidao C",947,IF(Atletas!V460="TaijiShanzi C",948,IF(Atletas!V460="Taijiqiang C",949,IF(Atletas!V460="Bagua de Arma C",950,IF(Atletas!V460="Xingyi de Arma C",951,IF(Atletas!V460="Taijidao D",952,IF(Atletas!V460="TaijiShanzi D",953,IF(Atletas!V460="Taijiqiang D",954,IF(Atletas!V460="Bagua de Arma D",955,IF(Atletas!V460="Xingyi de Arma D",956,IF(Atletas!V460="Taijidao E",957,IF(Atletas!V460="TaijiShanzi E",958,IF(Atletas!V460="Taijiqiang E",959,IF(Atletas!V460="Bagua de Arma E",960,IF(Atletas!V460="Xingyi de Arma E",961,IF(Atletas!V460="Taijidao F",962,IF(Atletas!V460="TaijiShanzi F",963,IF(Atletas!V460="Taijiqiang F",964,IF(Atletas!V460="Bagua de Arma F",965,IF(Atletas!V460="Xingyi de Arma F",966,"")))))))))))))))))))))))))))))))</f>
        <v/>
      </c>
      <c r="CM469" s="50" t="str">
        <f xml:space="preserve"> IF(Atletas!W460="","",IF(Atletas!W460="Duilian de Mãos BC - Equipe 1",1,IF(Atletas!W460="Duilian de Mãos BC - Equipe 2",2,IF(Atletas!W460="Duilian de Armas BC - Equipe 1",3,IF(Atletas!W460="Duilian de Armas BC - Equipe 2",4,IF(Atletas!W460="Duilian de Mãos DE - Equipe 1",5,IF(Atletas!W460="Duilian de Mãos DE - Equipe 2",6,IF(Atletas!W460="Duilian de Armas DE - Equipe 1",7,IF(Atletas!W460="Duilian de Armas DE - Equipe 2",8,IF(Atletas!W460="Duilian de Tuishou - Equipe 1",9,IF(Atletas!W460="Duilian de Tuishou - Equipe 2",10,IF(Atletas!W460="Grupo Externo ABC - Equipe 1",11,IF(Atletas!W460="Grupo Externo ABC - Equipe 2",12,IF(Atletas!W460="Grupo Interno ABC - Equipe 1",13,IF(Atletas!W460="Grupo Interno ABC - Equipe 2",14,IF(Atletas!W460="Grupo Externo DEF - Equipe 1",15,IF(Atletas!W460="Grupo Externo DEF - Equipe 2",16,IF(Atletas!W460="Grupo Interno DEF - Equipe 1",17,IF(Atletas!W460="Grupo Interno DEF - Equipe 2",18,"")))))))))))))))))))</f>
        <v/>
      </c>
    </row>
    <row r="470" spans="40:91">
      <c r="AN470" s="52" t="str">
        <f>IF(Atletas!D461="","",IF(Atletas!B461="Feminino",100,IF(Atletas!B461="Masculino",200,""))+(IF(Atletas!D461="Kids 30kg",1,IF(Atletas!D461="Kids 32kg",2, IF(Atletas!D461="Kids 34kg",3,IF(Atletas!D461="Kids 36kg",4,IF(Atletas!D461="Kids 39kg",5,IF(Atletas!D461="Kids 42kg",6,IF(Atletas!D461="Kids 45kg",7, IF(Atletas!D461="Infantil 39kg",8,IF(Atletas!D461="Infantil 42kg",9,IF(Atletas!D461="Infantil 45kg",10,IF(Atletas!D461="Infantil 48kg",11,IF(Atletas!D461="Infantil 52kg",12,IF(Atletas!D461="Infantil 56kg",13,IF(Atletas!D461="Infantil 60kg",14,IF(Atletas!D461="Juvenil 48kg",15,IF(Atletas!D461="Juvenil 52kg",16,IF(Atletas!D461="Juvenil 56kg",17,IF(Atletas!D461="Juvenil 60kg",18,IF(Atletas!D461="Juvenil 65kg",19,IF(Atletas!D461="Juvenil 70kg",20,IF(Atletas!D461="Juvenil 75kg",21,IF(Atletas!D461="Juvenil 80kg",22, IF(Atletas!D461="Juvenil 85kg",23,IF(Atletas!D461="Adulto 48kg",24,IF(Atletas!D461="Adulto 52kg",25,IF(Atletas!D461="Adulto 56kg",26,IF(Atletas!D461="Adulto 60kg",27,IF(Atletas!D461="Adulto 65kg",28,IF(Atletas!D461="Adulto 70kg",29,IF(Atletas!D461="Adulto 75kg",30,IF(Atletas!D461="Adulto 80kg",31,IF(Atletas!D461="Adulto 85kg",32,IF(Atletas!D461="Adulto 90kg",33,IF(Atletas!D461="Adulto 100kg",34, IF(Atletas!D461="Adulto +100kg",35,"")))))))))))))))))))))))))))))))))))))</f>
        <v/>
      </c>
      <c r="AS470" s="6" t="str">
        <f>IF(Atletas!E461="","",IF(Atletas!B461="Feminino",100,IF(Atletas!B461="Masculino",200,""))+(IF(Atletas!E461="Juvenil 44kg",1,IF(Atletas!E461="Juvenil 48kg",2,IF(Atletas!E461="Juvenil 52kg",3,IF(Atletas!E461="Juvenil 56kg",4,IF(Atletas!E461="Juvenil 60kg",5,IF(Atletas!E461="Juvenil 65kg",6,IF(Atletas!E461="Juvenil 70kg",7,IF(Atletas!E461="Juvenil 75kg",8,IF(Atletas!E461="Juvenil 82kg",9,IF(Atletas!E461="Juvenil 90kg",10,IF(Atletas!E461="Juvenil 100kg",11,IF(Atletas!E461="Adulto 48kg",12,IF(Atletas!E461="Adulto 52kg",13,IF(Atletas!E461="Adulto 56kg",14,IF(Atletas!E461="Adulto 60kg",15,IF(Atletas!E461="Adulto 65kg",16,IF(Atletas!E461="Adulto 70kg",17,IF(Atletas!E461="Adulto 75kg",18,IF(Atletas!E461="Adulto 82kg",19,IF(Atletas!E461="Adulto 90kg",20,IF(Atletas!E461="Adulto 100kg",21,IF(Atletas!E461="Adulto +100kg",22,""))))))))))))))))))))))))</f>
        <v/>
      </c>
      <c r="AX470" s="6" t="str">
        <f>IF(Atletas!F461="","",IF(Atletas!B461="Feminino",100,IF(Atletas!B461="Masculino",200,""))+(IF(Atletas!F461="Adulto 48kg",1,IF(Atletas!F461="Adulto 56kg",2,IF(Atletas!F461="Adulto 65kg",3,IF(Atletas!F461="Adulto 75kg",4,IF(Atletas!F461="Adulto +75kg",5,IF(Atletas!F461="Adulto 52kg",6,IF(Atletas!F461="Adulto 60kg",7,IF(Atletas!F461="Adulto 70kg",8,IF(Atletas!F461="Adulto 80kg",9,IF(Atletas!F461="Adulto 90kg",10,IF(Atletas!F461="Adulto +90kg",11,"")))))))))))))</f>
        <v/>
      </c>
      <c r="BC470" s="6" t="str">
        <f>IF(Atletas!G461="","",IF(Atletas!B461="Feminino",10,IF(Atletas!B461="Masculino",20,""))+(IF(Atletas!G461="Baduanjin A",1,IF(Atletas!G461="Baduanjin B",2))))</f>
        <v/>
      </c>
      <c r="BF470" s="52" t="str">
        <f>IF(Atletas!H461="","",IF(Atletas!B461="Feminino",100,IF(Atletas!B461="Masculino",200,""))+(IF(Atletas!H461="Changquan Mirim",1,IF(Atletas!H461="Nanquan Mirim",2,IF(Atletas!H461="Taijiquan Mirim",3,IF(Atletas!H461="Changquan Grupo C",4,IF(Atletas!H461="Nanquan Grupo C",5,IF(Atletas!H461="Taijiquan Grupo C",6,IF(Atletas!H461="Changquan Grupo B",7,IF(Atletas!H461="Nanquan Grupo B",8,IF(Atletas!H461="Taijiquan Grupo B",9,IF(Atletas!H461="Changquan Grupo A",10,IF(Atletas!H461="Nanquan Grupo A",11,IF(Atletas!H461="Taijiquan Grupo A",12,IF(Atletas!H461="Changquan Opcional",13,IF(Atletas!H461="Nanquan Opcional",14,IF(Atletas!H461="Taijiquan Opcional",15,IF(Atletas!H461="Changquan Adulto",16,IF(Atletas!H461="Nanquan Adulto",17,IF(Atletas!H461="Taijiquan Adulto",18,""))))))))))))))))))))</f>
        <v/>
      </c>
      <c r="BG470" s="52" t="str">
        <f>IF(Atletas!I461="","",IF(Atletas!B461="Feminino",100,IF(Atletas!B461="Masculino",200,""))+(IF(Atletas!I461="Daoshu Mirim",19,IF(Atletas!I461="Jianshu Mirim",20,IF(Atletas!I461="Nandao Mirim",21,IF(Atletas!I461="Taijijian Mirim",22,IF(Atletas!I461="Daoshu Grupo C",23,IF(Atletas!I461="Jianshu Grupo C",24,IF(Atletas!I461="Nandao Grupo C",25,IF(Atletas!I461="Taijijian Grupo C",26,IF(Atletas!I461="Daoshu Grupo B",27,IF(Atletas!I461="Jianshu Grupo B",28,IF(Atletas!I461="Nandao Grupo B",29,IF(Atletas!I461="Taijijian Grupo B",30,IF(Atletas!I461="Daoshu Grupo A",31,IF(Atletas!I461="Jianshu Grupo A",32,IF(Atletas!I461="Nandao Grupo A",33,IF(Atletas!I461="Taijijian Grupo A",34,IF(Atletas!I461="Daoshu Opcional",35,IF(Atletas!I461="Jianshu Opcional",36,IF(Atletas!I461="Nandao Opcional",37,IF(Atletas!I461="Taijijian Opcional",38,IF(Atletas!I461="Daoshu Adulto",39,IF(Atletas!I461="Jianshu Adulto",40,IF(Atletas!I461="Nandao Adulto",41,IF(Atletas!I461="Taijijian Adulto",42,""))))))))))))))))))))))))))</f>
        <v/>
      </c>
      <c r="BH470" s="52" t="str">
        <f>IF(Atletas!J461="","",IF(Atletas!B461="Feminino",100,IF(Atletas!B461="Masculino",200,""))+(IF(Atletas!J461="Gunshu Mirim",43,IF(Atletas!J461="Qiangshu Mirim",44,IF(Atletas!J461="Nangun Mirim",45,IF(Atletas!J461="Gunshu Grupo C",46,IF(Atletas!J461="Qiangshu Grupo C",47,IF(Atletas!J461="Nangun Grupo C",48,IF(Atletas!J461="Gunshu Grupo B",49,IF(Atletas!J461="Qiangshu Grupo B",50,IF(Atletas!J461="Nangun Grupo B",51,IF(Atletas!J461="Gunshu Grupo A",52,IF(Atletas!J461="Qiangshu Grupo A",53,IF(Atletas!J461="Nangun Grupo A",54,IF(Atletas!J461="Gunshu Opcional",55,IF(Atletas!J461="Qiangshu Opcional",56,IF(Atletas!J461="Nangun Opcional",57,IF(Atletas!J461="Gunshu Adulto",58,IF(Atletas!J461="Qiangshu Adulto",59,IF(Atletas!J461="Nangun Adulto",60,IF(Atletas!J461="Taijishan Grupo B",61,IF(Atletas!J461="Taijishan Grupo A",62,""))))))))))))))))))))))</f>
        <v/>
      </c>
      <c r="BM470" s="50" t="str">
        <f>IF(Atletas!K461="","",IF(Atletas!B461="Feminino",100,IF(Atletas!B461="Masculino",200,""))+(IF(Atletas!K461="Equipe 1 Grupo B",1,IF(Atletas!K461="Equipe 2 Grupo B",2,IF(Atletas!K461="Equipe 1 Grupo A",3,IF(Atletas!K461="Equipe 2 Grupo A",4,IF(Atletas!K461="Equipe 1 Adulto",5,IF(Atletas!K461="Equipe 2 Adulto",6,""))))))))</f>
        <v/>
      </c>
      <c r="BR470" s="50" t="str">
        <f>IF(Atletas!L461="","",IF(Atletas!X461&lt;&gt;"",10000,0)+(IF(Atletas!B461="Feminino",1000,IF(Atletas!B461="Masculino",2000,""))+IF(Atletas!L461="Choylayfut A",1,IF(Atletas!L461="Hunggar A",2,IF(Atletas!L461="Wuzuquan A",3,IF(Atletas!L461="Wingchun A",4,IF(Atletas!L461="Outra Mão de Sul A",5,IF(Atletas!L461="Choylayfut B",6,IF(Atletas!L461="Hunggar B",7,IF(Atletas!L461="Wuzuquan B",8,IF(Atletas!L461="Wingchun B",9,IF(Atletas!L461="Outra Mão de Sul B",10,IF(Atletas!L461="Choylayfut C",11,IF(Atletas!L461="Hunggar C",12,IF(Atletas!L461="Wuzuquan C",13,IF(Atletas!L461="Wingchun C",14,IF(Atletas!L461="Outra Mão de Sul C",15,IF(Atletas!L461="Choylayfut D",16,IF(Atletas!L461="Hunggar D",17,IF(Atletas!L461="Wuzuquan D",18,IF(Atletas!L461="Wingchun D",19,IF(Atletas!L461="Outra Mão de Sul D",20,IF(Atletas!L461="Choylayfut E",21,IF(Atletas!L461="Hunggar E",22,IF(Atletas!L461="Wuzuquan E",23,IF(Atletas!L461="Wingchun E",24,IF(Atletas!L461="Outra Mão de Sul E",25,IF(Atletas!L461="Choylayfut F",26,IF(Atletas!L461="Hunggar F",27,IF(Atletas!L461="Wuzuquan F",28,IF(Atletas!L461="Wingchun F",29,IF(Atletas!L461="Outra Mão de Sul F",30,IF(Atletas!L461="Dishuquan A",31,IF(Atletas!L461="Dishuquan B",32,IF(Atletas!L461="Dishuquan C",33,IF(Atletas!L461="Dishuquan D",34,IF(Atletas!L461="Dishuquan E",35,IF(Atletas!L461="Dishuquan F",36,""))))))))))))))))))))))))))))))))))))))</f>
        <v/>
      </c>
      <c r="BS470" s="50" t="str">
        <f>IF(Atletas!M461="","",IF(Atletas!X461&lt;&gt;"",10000,0)+(IF(Atletas!B461="Feminino",1000,IF(Atletas!B461="Masculino",2000,""))+(IF(Atletas!M461="Chaquan A",101,IF(Atletas!M461="Emeiquan A",102,IF(Atletas!M461="Fanziquan A",103,IF(Atletas!M461="Huaquan A",104,IF(Atletas!M461="Hongquan A",105,IF(Atletas!M461="Paoquan A",106,IF(Atletas!M461="Piguaquan A",107,IF(Atletas!M461="Shaolinquan A",108,IF(Atletas!M461="Tanglangquan A",109,IF(Atletas!M461="Yingzhaoquan A",110,IF(Atletas!M461="Tongbeiquan A",111,IF(Atletas!M461="Wudangquan A",112,IF(Atletas!M461="Outros Estilos A",113,IF(Atletas!M461="Chaquan B",114,IF(Atletas!M461="Emeiquan B",115,IF(Atletas!M461="Fanziquan B",116,IF(Atletas!M461="Huaquan B",117,IF(Atletas!M461="Hongquan B",118,IF(Atletas!M461="Paoquan B",119,IF(Atletas!M461="Piguaquan B",120,IF(Atletas!M461="Shaolinquan B",121,IF(Atletas!M461="Tanglangquan B",122,IF(Atletas!M461="Yingzhaoquan B",123,IF(Atletas!M461="Tongbeiquan B",124,IF(Atletas!M461="Wudangquan B",125,IF(Atletas!M461="Outros Estilos B",126,IF(Atletas!M461="Chaquan C",127,IF(Atletas!M461="Emeiquan C",128,IF(Atletas!M461="Fanziquan C",129,IF(Atletas!M461="Huaquan C",130,IF(Atletas!M461="Hongquan C",131,IF(Atletas!M461="Paoquan C",132,IF(Atletas!M461="Piguaquan C",133,IF(Atletas!M461="Shaolinquan C",134,IF(Atletas!M461="Tanglangquan C",135,IF(Atletas!M461="Yingzhaoquan C",136,IF(Atletas!M461="Tongbeiquan C",137,IF(Atletas!M461="Wudangquan C",138,IF(Atletas!M461="Outros Estilos C",139,0))))))))))))))))))))))))))))))))))))))))))</f>
        <v/>
      </c>
      <c r="BT470" s="50" t="str">
        <f>IF(Atletas!M461="","",IF(Atletas!X461&lt;&gt;"",10000,0)+(IF(Atletas!B461="Feminino",1000,IF(Atletas!B461="Masculino",2000,""))+(IF(Atletas!M461="Chaquan D",140,IF(Atletas!M461="Emeiquan D",141,IF(Atletas!M461="Fanziquan D",142,IF(Atletas!M461="Huaquan D",143,IF(Atletas!M461="Hongquan D",144,IF(Atletas!M461="Paoquan D",145,IF(Atletas!M461="Piguaquan D",146,IF(Atletas!M461="Shaolinquan D",147,IF(Atletas!M461="Tanglangquan D",148,IF(Atletas!M461="Yingzhaoquan D",149,IF(Atletas!M461="Tongbeiquan D",150,IF(Atletas!M461="Wudangquan D",151,IF(Atletas!M461="Outros Estilos D",152,IF(Atletas!M461="Chaquan E",153,IF(Atletas!M461="Emeiquan E",154,IF(Atletas!M461="Fanziquan E",155,IF(Atletas!M461="Huaquan E",156,IF(Atletas!M461="Hongquan E",157,IF(Atletas!M461="Paoquan E",158,IF(Atletas!M461="Piguaquan E",159,IF(Atletas!M461="Shaolinquan E",160,IF(Atletas!M461="Tanglangquan E",161,IF(Atletas!M461="Yingzhaoquan E",162,IF(Atletas!M461="Tongbeiquan E",163,IF(Atletas!M461="Wudangquan E",164,IF(Atletas!M461="Outros Estilos E",165,IF(Atletas!M461="Chaquan F",166,IF(Atletas!M461="Emeiquan F",167,IF(Atletas!M461="Fanziquan F",168,IF(Atletas!M461="Huaquan F",169,IF(Atletas!M461="Hongquan F",170,IF(Atletas!M461="Paoquan F",171,IF(Atletas!M461="Piguaquan F",172,IF(Atletas!M461="Shaolinquan F",173,IF(Atletas!M461="Tanglangquan F",174,IF(Atletas!M461="Yingzhaoquan F",175,IF(Atletas!M461="Tongbeiquan F",176,IF(Atletas!M461="Wudangquan F",177,IF(Atletas!M461="Outros Estilos F",178,0))))))))))))))))))))))))))))))))))))))))))</f>
        <v/>
      </c>
      <c r="BU470" s="50" t="str">
        <f>IF(Atletas!N461="","",IF(Atletas!X461&lt;&gt;"",10000,0)+(IF(Atletas!B461="Feminino",1000,IF(Atletas!B461="Masculino",2000,""))+(IF(Atletas!N461="Ditangquan A",201,IF(Atletas!N461="Houquan A",202,IF(Atletas!N461="Zuiquan A",203,IF(Atletas!N461="Ditangquan B",204,IF(Atletas!N461="Houquan B",205,IF(Atletas!N461="Zuiquan B",206,IF(Atletas!N461="Ditangquan C",207,IF(Atletas!N461="Houquan C",208,IF(Atletas!N461="Zuiquan C",209,IF(Atletas!N461="Ditangquan D",210,IF(Atletas!N461="Houquan D",211,IF(Atletas!N461="Zuiquan D",212,IF(Atletas!N461="Ditangquan E",213,IF(Atletas!N461="Houquan E",214,IF(Atletas!N461="Zuiquan E",215,IF(Atletas!N461="Ditangquan F",216,IF(Atletas!N461="Houquan F",217,IF(Atletas!N461="Zuiquan F",218,"")))))))))))))))))))))</f>
        <v/>
      </c>
      <c r="BV470" s="50" t="str">
        <f>IF(Atletas!O461="","",IF(Atletas!X461&lt;&gt;"",10000,0)+IF(Atletas!B461="Feminino",1000,IF(Atletas!B461="Masculino",2000,""))+IF(Atletas!O461="Yang A",301,IF(Atletas!O461="Chen A",302,IF(Atletas!O461="Sun A",303,IF(Atletas!O461="Wu A",304,IF(Atletas!O461="Wu-Hao A",305,IF(Atletas!O461="Outro Taijiquan A",306,IF(Atletas!O461="Yang B",307,IF(Atletas!O461="Chen B",308,IF(Atletas!O461="Sun B",309,IF(Atletas!O461="Wu B",310,IF(Atletas!O461="Wu-Hao B",311,IF(Atletas!O461="Outro Taijiquan B",312,IF(Atletas!O461="Yang C",313,IF(Atletas!O461="Chen C",314,IF(Atletas!O461="Sun C",315,IF(Atletas!O461="Wu C",316,IF(Atletas!O461="Wu-Hao C",317,IF(Atletas!O461="Outro Taijiquan C",318,IF(Atletas!O461="Yang D",319,IF(Atletas!O461="Chen D",320,IF(Atletas!O461="Sun D",321,IF(Atletas!O461="Wu D",322,IF(Atletas!O461="Wu-Hao D",323,IF(Atletas!O461="Outro Taijiquan D",324,IF(Atletas!O461="Yang E",325,IF(Atletas!O461="Chen E",326,IF(Atletas!O461="Sun E",327,IF(Atletas!O461="Wu E",328,IF(Atletas!O461="Wu-Hao E",329,IF(Atletas!O461="Outro Taijiquan E",330,IF(Atletas!O461="Yang F",331,IF(Atletas!O461="Chen F",332,IF(Atletas!O461="Sun F",333,IF(Atletas!O461="Wu F",334,IF(Atletas!O461="Wu-Hao F",335,IF(Atletas!O461="Outro Taijiquan F",336,"")))))))))))))))))))))))))))))))))))))</f>
        <v/>
      </c>
      <c r="BW470" s="50" t="str">
        <f>IF(Atletas!P461="","",IF(Atletas!X461&lt;&gt;"",10000,0)+IF(Atletas!B461="Feminino",1000,IF(Atletas!B461="Masculino",2000,""))+IF(OR(Atletas!P461="Yang 26 A",Atletas!P461="Yang 40 A"),401,IF(OR(Atletas!P461="Chen 25 A",Atletas!P461="Chen 36 A",Atletas!P461="Chen 56 A"),402,IF(Atletas!P461="Sun 73 A",403,IF(Atletas!P461="Wu 45 A",404,IF(Atletas!P461="Wu-Hao 46 A",405,IF(OR(Atletas!P461="Taijiquan 16 A",Atletas!P461="Taijiquan 24 A",Atletas!P461="Taijiquan 32 A",Atletas!P461="Taijiquan 42 A"),406,IF(OR(Atletas!P461="Yang 26 B",Atletas!P461="Yang 40 B"),407,IF(OR(Atletas!P461="Chen 25 B",Atletas!P461="Chen 36 B",Atletas!P461="Chen 56 B"),408,IF(Atletas!P461="Sun 73 B",409,IF(Atletas!P461="Wu 45 B",410,IF(Atletas!P461="Wu-Hao 46 B",411,IF(OR(Atletas!P461="Taijiquan 16 B",Atletas!P461="Taijiquan 24 B",Atletas!P461="Taijiquan 32 B",Atletas!P461="Taijiquan 42 B"),412,IF(OR(Atletas!P461="Yang 26 C",Atletas!P461="Yang 40 C"),413,IF(OR(Atletas!P461="Chen 25 C",Atletas!P461="Chen 36 C",Atletas!P461="Chen 56 C"),414,IF(Atletas!P461="Sun 73 C",415,IF(Atletas!P461="Wu 45 C",416,IF(Atletas!P461="Wu-Hao 46 C",417,IF(OR(Atletas!P461="Taijiquan 16 C",Atletas!P461="Taijiquan 24 C",Atletas!P461="Taijiquan 32 C",Atletas!P461="Taijiquan 42 C"),418,0)))))))))))))))))))</f>
        <v/>
      </c>
      <c r="BX470" s="50" t="str">
        <f>IF(Atletas!P461="","",IF(Atletas!X461&lt;&gt;"",10000,0)+IF(Atletas!B461="Feminino",1000,IF(Atletas!B461="Masculino",2000,""))+IF(OR(Atletas!P461="Yang 26 D",Atletas!P461="Yang 40 D"),419,IF(OR(Atletas!P461="Chen 25 D",Atletas!P461="Chen 36 D",Atletas!P461="Chen 56 D"),420,IF(Atletas!P461="Sun 73 D",421,IF(Atletas!P461="Wu 45 D",422,IF(Atletas!P461="Wu-Hao 46 D",423,IF(OR(Atletas!P461="Taijiquan 16 D",Atletas!P461="Taijiquan 24 D",Atletas!P461="Taijiquan 32 D",Atletas!P461="Taijiquan 42 D"),424,IF(OR(Atletas!P461="Yang 26 E",Atletas!P461="Yang 40 E"),425,IF(OR(Atletas!P461="Chen 25 E",Atletas!P461="Chen 36 E",Atletas!P461="Chen 56 E"),426,IF(Atletas!P461="Sun 73 E",427,IF(Atletas!P461="Wu 45 E",428,IF(Atletas!P461="Wu-Hao 46 E",429,IF(OR(Atletas!P461="Taijiquan 16 E",Atletas!P461="Taijiquan 24 E",Atletas!P461="Taijiquan 32 E",Atletas!P461="Taijiquan 42 E"),430,IF(OR(Atletas!P461="Yang 26 F",Atletas!P461="Yang 40 F"),431,IF(OR(Atletas!P461="Chen 25 F",Atletas!P461="Chen 36 F",Atletas!P461="Chen 56 F"),432,IF(Atletas!P461="Sun 73 F",433,IF(Atletas!P461="Wu 45 F",434,IF(Atletas!P461="Wu-Hao 46 F",435,IF(OR(Atletas!P461="Taijiquan 16 F",Atletas!P461="Taijiquan 24 F",Atletas!P461="Taijiquan 32 F",Atletas!P461="Taijiquan 42 F"),436,0)))))))))))))))))))</f>
        <v/>
      </c>
      <c r="BY470" s="50" t="str">
        <f>IF(Atletas!Q461="","",IF(Atletas!X461&lt;&gt;"",10000,0)+IF(Atletas!B461="Feminino",1000,IF(Atletas!B461="Masculino",2000,""))+IF(Atletas!Q461="Xingyiquan A",501,IF(Atletas!Q461="Baguazhang A",502,IF(Atletas!Q461="Outro Estilo Interno A",503,IF(Atletas!Q461="Xingyiquan B",504,IF(Atletas!Q461="Baguazhang B",505,IF(Atletas!Q461="Outro Estilo Interno B",506,IF(Atletas!Q461="Xingyiquan C",507,IF(Atletas!Q461="Baguazhang C",508,IF(Atletas!Q461="Outro Estilo Interno C",509,IF(Atletas!Q461="Xingyiquan D",510,IF(Atletas!Q461="Baguazhang D",511,IF(Atletas!Q461="Outro Estilo Interno D",512,IF(Atletas!Q461="Xingyiquan E",513,IF(Atletas!Q461="Baguazhang E",514,IF(Atletas!Q461="Outro Estilo Interno E",515,IF(Atletas!Q461="Xingyiquan F",516,IF(Atletas!Q461="Baguazhang F",517,IF(Atletas!Q461="Outro Estilo Interno F",518, "")))))))))))))))))))</f>
        <v/>
      </c>
      <c r="BZ470" s="50" t="str">
        <f>IF(Atletas!R461="","",IF(Atletas!X461&lt;&gt;"",10000,0)+IF(Atletas!B461="Feminino",1000,IF(Atletas!B461="Masculino",2000,""))+IF(Atletas!R461="Dao A",601,IF(Atletas!R461="Jian A",602,IF(Atletas!R461="Bishou A",603,IF(Atletas!R461="Shanzi A",604,IF(Atletas!R461="Outra Arma Curta A",605,IF(Atletas!R461="Dao B",606,IF(Atletas!R461="Jian B",607,IF(Atletas!R461="Bishou B",608,IF(Atletas!R461="Shanzi B",609,IF(Atletas!R461="Outra Arma Curta B",610,IF(Atletas!R461="Dao C",611,IF(Atletas!R461="Jian C",612,IF(Atletas!R461="Bishou C",613,IF(Atletas!R461="Shanzi C",614,IF(Atletas!R461="Outra Arma Curta C",615,IF(Atletas!R461="Dao D",616,IF(Atletas!R461="Jian D",617,IF(Atletas!R461="Bishou D",618,IF(Atletas!R461="Shanzi D",619,IF(Atletas!R461="Outra Arma Curta D",620,IF(Atletas!R461="Dao E",621,IF(Atletas!R461="Jian E",622,IF(Atletas!R461="Bishou E",623,IF(Atletas!R461="Shanzi E",624,IF(Atletas!R461="Outra Arma Curta E",625,IF(Atletas!R461="Dao F",626,IF(Atletas!R461="Jian F",627,IF(Atletas!R461="Bishou F",628,IF(Atletas!R461="Shanzi F",629,IF(Atletas!R461="Outra Arma Curta F",630, "")))))))))))))))))))))))))))))))</f>
        <v/>
      </c>
      <c r="CA470" s="50" t="str">
        <f>IF(Atletas!S461="","",IF(Atletas!X461&lt;&gt;"",10000,0)+IF(Atletas!B461="Feminino",1000,IF(Atletas!B461="Masculino",2000,""))+IF(Atletas!S461="Gun A",701,IF(Atletas!S461="Qiang A",702,IF(Atletas!S461="Pudao / Guandao A",703,IF(Atletas!S461="Outra Arma Longa A",704,IF(Atletas!S461="Gun B",705,IF(Atletas!S461="Qiang B",706,IF(Atletas!S461="Pudao / Guandao B",707,IF(Atletas!S461="Outra Arma Longa B",708,IF(Atletas!S461="Gun C",709,IF(Atletas!S461="Qiang C",710,IF(Atletas!S461="Pudao / Guandao C",711,IF(Atletas!S461="Outra Arma Longa C",712,IF(Atletas!S461="Gun D",713,IF(Atletas!S461="Qiang D",714,IF(Atletas!S461="Pudao / Guandao D",715,IF(Atletas!S461="Outra Arma Longa D",716,IF(Atletas!S461="Gun E",717,IF(Atletas!S461="Qiang E",718,IF(Atletas!S461="Pudao / Guandao E",719,IF(Atletas!S461="Outra Arma Longa E",720,IF(Atletas!S461="Gun F",721,IF(Atletas!S461="Qiang F",722,IF(Atletas!S461="Pudao / Guandao F",723,IF(Atletas!S461="Outra Arma Longa F",724,"")))))))))))))))))))))))))</f>
        <v/>
      </c>
      <c r="CB470" s="50" t="str">
        <f>IF(Atletas!T461="","",IF(Atletas!X461&lt;&gt;"",10000,0)+IF(Atletas!B461="Feminino",1000,IF(Atletas!B461="Masculino",2000,""))+IF(Atletas!T461="Outra Arma Dupla A",801,IF(Atletas!T461="Arma Maleável A",802,IF(Atletas!T461="Outra Arma Dupla B",803,IF(Atletas!T461="Arma Maleável B",804,IF(Atletas!T461="Outra Arma Dupla C",805,IF(Atletas!T461="Arma Maleável C",806,IF(Atletas!T461="Outra Arma Dupla D",807,IF(Atletas!T461="Arma Maleável D",808,IF(Atletas!T461="Outra Arma Dupla E",809,IF(Atletas!T461="Arma Maleável E",810,IF(Atletas!T461="Outra Arma Dupla F",811,IF(Atletas!T461="Arma Maleável F",812,IF(Atletas!T461="Shuangdao A",813,IF(Atletas!T461="Shuangdao B",814,IF(Atletas!T461="Shuangdao C",815,IF(Atletas!T461="Shuangdao D",816,IF(Atletas!T461="Shuangdao E",817,IF(Atletas!T461="Shuangdao F",818,"")))))))))))))))))))</f>
        <v/>
      </c>
      <c r="CC470" s="50" t="str">
        <f>IF(Atletas!U461="","",IF(Atletas!X461&lt;&gt;"",10000,0)+IF(Atletas!B461="Feminino",1000,IF(Atletas!B461="Masculino",2000,""))+IF(OR(Atletas!U461="Taijijian Yang A",Atletas!U461="Taijijian Yang Standard A"),901,IF(OR(Atletas!U461="Taijijian Chen A", Atletas!U461="Taijijian Chen Standard A"),902,IF(Atletas!U461="Taijijian Sun A",903,IF(Atletas!U461="Taijijian Wu A",904,IF(Atletas!U461="Taijijian Wu-Hao A",905,IF(OR(Atletas!U461="Taijijian 32 A",Atletas!U461="Taijijian 42 A"),906,IF(OR(Atletas!U461="Taijijian Yang B",Atletas!U461="Taijijian Yang Standard B"),907,IF(OR(Atletas!U461="Taijijian Chen B", Atletas!U461="Taijijian Chen Standard B"),908,IF(Atletas!U461="Taijijian Sun B",909,IF(Atletas!U461="Taijijian Wu B",910,IF(Atletas!U461="Taijijian Wu-Hao B",911,IF(OR(Atletas!U461="Taijijian 32 B",Atletas!U461="Taijijian 42 B"),912,IF(OR(Atletas!U461="Taijijian Yang C",Atletas!U461="Taijijian Yang Standard C"),913,IF(OR(Atletas!U461="Taijijian Chen C", Atletas!U461="Taijijian Chen Standard C"),914,IF(Atletas!U461="Taijijian Sun C",915,IF(Atletas!U461="Taijijian Wu C",916,IF(Atletas!U461="Taijijian Wu-Hao C",917,IF(OR(Atletas!U461="Taijijian 32 C",Atletas!U461="Taijijian 42 C"),918,IF(OR(Atletas!U461="Taijijian Yang D",Atletas!U461="Taijijian Yang Standard D"),919,IF(OR(Atletas!U461="Taijijian Chen D", Atletas!U461="Taijijian Chen Standard D"),920,IF(Atletas!U461="Taijijian Sun D",921,IF(Atletas!U461="Taijijian Wu D",922,IF(Atletas!U461="Taijijian Wu-Hao D",923,IF(OR(Atletas!U461="Taijijian 32 D",Atletas!U461="Taijijian 42 D"),924,IF(OR(Atletas!U461="Taijijian Yang E",Atletas!U461="Taijijian Yang Standard E"),925,IF(OR(Atletas!U461="Taijijian Chen E", Atletas!U461="Taijijian Chen Standard E"),926,IF(Atletas!U461="Taijijian Sun E",927,IF(Atletas!U461="Taijijian Wu E",928,IF(Atletas!U461="Taijijian Wu-Hao E",929,IF(OR(Atletas!U461="Taijijian 32 E",Atletas!U461="Taijijian 42 E"),930,IF(OR(Atletas!U461="Taijijian Yang F",Atletas!U461="Taijijian Yang Standard F"),931,IF(OR(Atletas!U461="Taijijian Chen F", Atletas!U461="Taijijian Chen Standard F"),932,IF(Atletas!U461="Taijijian Sun F",933,IF(Atletas!U461="Taijijian Wu F",934,IF(Atletas!U461="Taijijian Wu-Hao F",935,IF(OR(Atletas!U461="Taijijian 32 F",Atletas!U461="Taijijian 42 F"),936,"")))))))))))))))))))))))))))))))))))))</f>
        <v/>
      </c>
      <c r="CD470" s="50" t="str">
        <f>IF(Atletas!V461="","",IF(Atletas!X461&lt;&gt;"",10000,0)+IF(Atletas!B461="Feminino",1000,IF(Atletas!B461="Masculino",2000,""))+IF(Atletas!V461="Taijidao A",937,IF(Atletas!V461="TaijiShanzi A",938,IF(Atletas!V461="Taijiqiang A",939,IF(Atletas!V461="Bagua de Arma A",940,IF(Atletas!V461="Xingyi de Arma A",941,IF(Atletas!V461="Taijidao B",942,IF(Atletas!V461="TaijiShanzi B",943,IF(Atletas!V461="Taijiqiang B",944,IF(Atletas!V461="Bagua de Arma B",945,IF(Atletas!V461="Xingyi de Arma B",946,IF(Atletas!V461="Taijidao C",947,IF(Atletas!V461="TaijiShanzi C",948,IF(Atletas!V461="Taijiqiang C",949,IF(Atletas!V461="Bagua de Arma C",950,IF(Atletas!V461="Xingyi de Arma C",951,IF(Atletas!V461="Taijidao D",952,IF(Atletas!V461="TaijiShanzi D",953,IF(Atletas!V461="Taijiqiang D",954,IF(Atletas!V461="Bagua de Arma D",955,IF(Atletas!V461="Xingyi de Arma D",956,IF(Atletas!V461="Taijidao E",957,IF(Atletas!V461="TaijiShanzi E",958,IF(Atletas!V461="Taijiqiang E",959,IF(Atletas!V461="Bagua de Arma E",960,IF(Atletas!V461="Xingyi de Arma E",961,IF(Atletas!V461="Taijidao F",962,IF(Atletas!V461="TaijiShanzi F",963,IF(Atletas!V461="Taijiqiang F",964,IF(Atletas!V461="Bagua de Arma F",965,IF(Atletas!V461="Xingyi de Arma F",966,"")))))))))))))))))))))))))))))))</f>
        <v/>
      </c>
      <c r="CM470" s="50" t="str">
        <f xml:space="preserve"> IF(Atletas!W461="","",IF(Atletas!W461="Duilian de Mãos BC - Equipe 1",1,IF(Atletas!W461="Duilian de Mãos BC - Equipe 2",2,IF(Atletas!W461="Duilian de Armas BC - Equipe 1",3,IF(Atletas!W461="Duilian de Armas BC - Equipe 2",4,IF(Atletas!W461="Duilian de Mãos DE - Equipe 1",5,IF(Atletas!W461="Duilian de Mãos DE - Equipe 2",6,IF(Atletas!W461="Duilian de Armas DE - Equipe 1",7,IF(Atletas!W461="Duilian de Armas DE - Equipe 2",8,IF(Atletas!W461="Duilian de Tuishou - Equipe 1",9,IF(Atletas!W461="Duilian de Tuishou - Equipe 2",10,IF(Atletas!W461="Grupo Externo ABC - Equipe 1",11,IF(Atletas!W461="Grupo Externo ABC - Equipe 2",12,IF(Atletas!W461="Grupo Interno ABC - Equipe 1",13,IF(Atletas!W461="Grupo Interno ABC - Equipe 2",14,IF(Atletas!W461="Grupo Externo DEF - Equipe 1",15,IF(Atletas!W461="Grupo Externo DEF - Equipe 2",16,IF(Atletas!W461="Grupo Interno DEF - Equipe 1",17,IF(Atletas!W461="Grupo Interno DEF - Equipe 2",18,"")))))))))))))))))))</f>
        <v/>
      </c>
    </row>
    <row r="471" spans="40:91">
      <c r="AN471" s="52" t="str">
        <f>IF(Atletas!D462="","",IF(Atletas!B462="Feminino",100,IF(Atletas!B462="Masculino",200,""))+(IF(Atletas!D462="Kids 30kg",1,IF(Atletas!D462="Kids 32kg",2, IF(Atletas!D462="Kids 34kg",3,IF(Atletas!D462="Kids 36kg",4,IF(Atletas!D462="Kids 39kg",5,IF(Atletas!D462="Kids 42kg",6,IF(Atletas!D462="Kids 45kg",7, IF(Atletas!D462="Infantil 39kg",8,IF(Atletas!D462="Infantil 42kg",9,IF(Atletas!D462="Infantil 45kg",10,IF(Atletas!D462="Infantil 48kg",11,IF(Atletas!D462="Infantil 52kg",12,IF(Atletas!D462="Infantil 56kg",13,IF(Atletas!D462="Infantil 60kg",14,IF(Atletas!D462="Juvenil 48kg",15,IF(Atletas!D462="Juvenil 52kg",16,IF(Atletas!D462="Juvenil 56kg",17,IF(Atletas!D462="Juvenil 60kg",18,IF(Atletas!D462="Juvenil 65kg",19,IF(Atletas!D462="Juvenil 70kg",20,IF(Atletas!D462="Juvenil 75kg",21,IF(Atletas!D462="Juvenil 80kg",22, IF(Atletas!D462="Juvenil 85kg",23,IF(Atletas!D462="Adulto 48kg",24,IF(Atletas!D462="Adulto 52kg",25,IF(Atletas!D462="Adulto 56kg",26,IF(Atletas!D462="Adulto 60kg",27,IF(Atletas!D462="Adulto 65kg",28,IF(Atletas!D462="Adulto 70kg",29,IF(Atletas!D462="Adulto 75kg",30,IF(Atletas!D462="Adulto 80kg",31,IF(Atletas!D462="Adulto 85kg",32,IF(Atletas!D462="Adulto 90kg",33,IF(Atletas!D462="Adulto 100kg",34, IF(Atletas!D462="Adulto +100kg",35,"")))))))))))))))))))))))))))))))))))))</f>
        <v/>
      </c>
      <c r="AS471" s="6" t="str">
        <f>IF(Atletas!E462="","",IF(Atletas!B462="Feminino",100,IF(Atletas!B462="Masculino",200,""))+(IF(Atletas!E462="Juvenil 44kg",1,IF(Atletas!E462="Juvenil 48kg",2,IF(Atletas!E462="Juvenil 52kg",3,IF(Atletas!E462="Juvenil 56kg",4,IF(Atletas!E462="Juvenil 60kg",5,IF(Atletas!E462="Juvenil 65kg",6,IF(Atletas!E462="Juvenil 70kg",7,IF(Atletas!E462="Juvenil 75kg",8,IF(Atletas!E462="Juvenil 82kg",9,IF(Atletas!E462="Juvenil 90kg",10,IF(Atletas!E462="Juvenil 100kg",11,IF(Atletas!E462="Adulto 48kg",12,IF(Atletas!E462="Adulto 52kg",13,IF(Atletas!E462="Adulto 56kg",14,IF(Atletas!E462="Adulto 60kg",15,IF(Atletas!E462="Adulto 65kg",16,IF(Atletas!E462="Adulto 70kg",17,IF(Atletas!E462="Adulto 75kg",18,IF(Atletas!E462="Adulto 82kg",19,IF(Atletas!E462="Adulto 90kg",20,IF(Atletas!E462="Adulto 100kg",21,IF(Atletas!E462="Adulto +100kg",22,""))))))))))))))))))))))))</f>
        <v/>
      </c>
      <c r="AX471" s="6" t="str">
        <f>IF(Atletas!F462="","",IF(Atletas!B462="Feminino",100,IF(Atletas!B462="Masculino",200,""))+(IF(Atletas!F462="Adulto 48kg",1,IF(Atletas!F462="Adulto 56kg",2,IF(Atletas!F462="Adulto 65kg",3,IF(Atletas!F462="Adulto 75kg",4,IF(Atletas!F462="Adulto +75kg",5,IF(Atletas!F462="Adulto 52kg",6,IF(Atletas!F462="Adulto 60kg",7,IF(Atletas!F462="Adulto 70kg",8,IF(Atletas!F462="Adulto 80kg",9,IF(Atletas!F462="Adulto 90kg",10,IF(Atletas!F462="Adulto +90kg",11,"")))))))))))))</f>
        <v/>
      </c>
      <c r="BC471" s="6" t="str">
        <f>IF(Atletas!G462="","",IF(Atletas!B462="Feminino",10,IF(Atletas!B462="Masculino",20,""))+(IF(Atletas!G462="Baduanjin A",1,IF(Atletas!G462="Baduanjin B",2))))</f>
        <v/>
      </c>
      <c r="BF471" s="52" t="str">
        <f>IF(Atletas!H462="","",IF(Atletas!B462="Feminino",100,IF(Atletas!B462="Masculino",200,""))+(IF(Atletas!H462="Changquan Mirim",1,IF(Atletas!H462="Nanquan Mirim",2,IF(Atletas!H462="Taijiquan Mirim",3,IF(Atletas!H462="Changquan Grupo C",4,IF(Atletas!H462="Nanquan Grupo C",5,IF(Atletas!H462="Taijiquan Grupo C",6,IF(Atletas!H462="Changquan Grupo B",7,IF(Atletas!H462="Nanquan Grupo B",8,IF(Atletas!H462="Taijiquan Grupo B",9,IF(Atletas!H462="Changquan Grupo A",10,IF(Atletas!H462="Nanquan Grupo A",11,IF(Atletas!H462="Taijiquan Grupo A",12,IF(Atletas!H462="Changquan Opcional",13,IF(Atletas!H462="Nanquan Opcional",14,IF(Atletas!H462="Taijiquan Opcional",15,IF(Atletas!H462="Changquan Adulto",16,IF(Atletas!H462="Nanquan Adulto",17,IF(Atletas!H462="Taijiquan Adulto",18,""))))))))))))))))))))</f>
        <v/>
      </c>
      <c r="BG471" s="52" t="str">
        <f>IF(Atletas!I462="","",IF(Atletas!B462="Feminino",100,IF(Atletas!B462="Masculino",200,""))+(IF(Atletas!I462="Daoshu Mirim",19,IF(Atletas!I462="Jianshu Mirim",20,IF(Atletas!I462="Nandao Mirim",21,IF(Atletas!I462="Taijijian Mirim",22,IF(Atletas!I462="Daoshu Grupo C",23,IF(Atletas!I462="Jianshu Grupo C",24,IF(Atletas!I462="Nandao Grupo C",25,IF(Atletas!I462="Taijijian Grupo C",26,IF(Atletas!I462="Daoshu Grupo B",27,IF(Atletas!I462="Jianshu Grupo B",28,IF(Atletas!I462="Nandao Grupo B",29,IF(Atletas!I462="Taijijian Grupo B",30,IF(Atletas!I462="Daoshu Grupo A",31,IF(Atletas!I462="Jianshu Grupo A",32,IF(Atletas!I462="Nandao Grupo A",33,IF(Atletas!I462="Taijijian Grupo A",34,IF(Atletas!I462="Daoshu Opcional",35,IF(Atletas!I462="Jianshu Opcional",36,IF(Atletas!I462="Nandao Opcional",37,IF(Atletas!I462="Taijijian Opcional",38,IF(Atletas!I462="Daoshu Adulto",39,IF(Atletas!I462="Jianshu Adulto",40,IF(Atletas!I462="Nandao Adulto",41,IF(Atletas!I462="Taijijian Adulto",42,""))))))))))))))))))))))))))</f>
        <v/>
      </c>
      <c r="BH471" s="52" t="str">
        <f>IF(Atletas!J462="","",IF(Atletas!B462="Feminino",100,IF(Atletas!B462="Masculino",200,""))+(IF(Atletas!J462="Gunshu Mirim",43,IF(Atletas!J462="Qiangshu Mirim",44,IF(Atletas!J462="Nangun Mirim",45,IF(Atletas!J462="Gunshu Grupo C",46,IF(Atletas!J462="Qiangshu Grupo C",47,IF(Atletas!J462="Nangun Grupo C",48,IF(Atletas!J462="Gunshu Grupo B",49,IF(Atletas!J462="Qiangshu Grupo B",50,IF(Atletas!J462="Nangun Grupo B",51,IF(Atletas!J462="Gunshu Grupo A",52,IF(Atletas!J462="Qiangshu Grupo A",53,IF(Atletas!J462="Nangun Grupo A",54,IF(Atletas!J462="Gunshu Opcional",55,IF(Atletas!J462="Qiangshu Opcional",56,IF(Atletas!J462="Nangun Opcional",57,IF(Atletas!J462="Gunshu Adulto",58,IF(Atletas!J462="Qiangshu Adulto",59,IF(Atletas!J462="Nangun Adulto",60,IF(Atletas!J462="Taijishan Grupo B",61,IF(Atletas!J462="Taijishan Grupo A",62,""))))))))))))))))))))))</f>
        <v/>
      </c>
      <c r="BM471" s="50" t="str">
        <f>IF(Atletas!K462="","",IF(Atletas!B462="Feminino",100,IF(Atletas!B462="Masculino",200,""))+(IF(Atletas!K462="Equipe 1 Grupo B",1,IF(Atletas!K462="Equipe 2 Grupo B",2,IF(Atletas!K462="Equipe 1 Grupo A",3,IF(Atletas!K462="Equipe 2 Grupo A",4,IF(Atletas!K462="Equipe 1 Adulto",5,IF(Atletas!K462="Equipe 2 Adulto",6,""))))))))</f>
        <v/>
      </c>
      <c r="BR471" s="50" t="str">
        <f>IF(Atletas!L462="","",IF(Atletas!X462&lt;&gt;"",10000,0)+(IF(Atletas!B462="Feminino",1000,IF(Atletas!B462="Masculino",2000,""))+IF(Atletas!L462="Choylayfut A",1,IF(Atletas!L462="Hunggar A",2,IF(Atletas!L462="Wuzuquan A",3,IF(Atletas!L462="Wingchun A",4,IF(Atletas!L462="Outra Mão de Sul A",5,IF(Atletas!L462="Choylayfut B",6,IF(Atletas!L462="Hunggar B",7,IF(Atletas!L462="Wuzuquan B",8,IF(Atletas!L462="Wingchun B",9,IF(Atletas!L462="Outra Mão de Sul B",10,IF(Atletas!L462="Choylayfut C",11,IF(Atletas!L462="Hunggar C",12,IF(Atletas!L462="Wuzuquan C",13,IF(Atletas!L462="Wingchun C",14,IF(Atletas!L462="Outra Mão de Sul C",15,IF(Atletas!L462="Choylayfut D",16,IF(Atletas!L462="Hunggar D",17,IF(Atletas!L462="Wuzuquan D",18,IF(Atletas!L462="Wingchun D",19,IF(Atletas!L462="Outra Mão de Sul D",20,IF(Atletas!L462="Choylayfut E",21,IF(Atletas!L462="Hunggar E",22,IF(Atletas!L462="Wuzuquan E",23,IF(Atletas!L462="Wingchun E",24,IF(Atletas!L462="Outra Mão de Sul E",25,IF(Atletas!L462="Choylayfut F",26,IF(Atletas!L462="Hunggar F",27,IF(Atletas!L462="Wuzuquan F",28,IF(Atletas!L462="Wingchun F",29,IF(Atletas!L462="Outra Mão de Sul F",30,IF(Atletas!L462="Dishuquan A",31,IF(Atletas!L462="Dishuquan B",32,IF(Atletas!L462="Dishuquan C",33,IF(Atletas!L462="Dishuquan D",34,IF(Atletas!L462="Dishuquan E",35,IF(Atletas!L462="Dishuquan F",36,""))))))))))))))))))))))))))))))))))))))</f>
        <v/>
      </c>
      <c r="BS471" s="50" t="str">
        <f>IF(Atletas!M462="","",IF(Atletas!X462&lt;&gt;"",10000,0)+(IF(Atletas!B462="Feminino",1000,IF(Atletas!B462="Masculino",2000,""))+(IF(Atletas!M462="Chaquan A",101,IF(Atletas!M462="Emeiquan A",102,IF(Atletas!M462="Fanziquan A",103,IF(Atletas!M462="Huaquan A",104,IF(Atletas!M462="Hongquan A",105,IF(Atletas!M462="Paoquan A",106,IF(Atletas!M462="Piguaquan A",107,IF(Atletas!M462="Shaolinquan A",108,IF(Atletas!M462="Tanglangquan A",109,IF(Atletas!M462="Yingzhaoquan A",110,IF(Atletas!M462="Tongbeiquan A",111,IF(Atletas!M462="Wudangquan A",112,IF(Atletas!M462="Outros Estilos A",113,IF(Atletas!M462="Chaquan B",114,IF(Atletas!M462="Emeiquan B",115,IF(Atletas!M462="Fanziquan B",116,IF(Atletas!M462="Huaquan B",117,IF(Atletas!M462="Hongquan B",118,IF(Atletas!M462="Paoquan B",119,IF(Atletas!M462="Piguaquan B",120,IF(Atletas!M462="Shaolinquan B",121,IF(Atletas!M462="Tanglangquan B",122,IF(Atletas!M462="Yingzhaoquan B",123,IF(Atletas!M462="Tongbeiquan B",124,IF(Atletas!M462="Wudangquan B",125,IF(Atletas!M462="Outros Estilos B",126,IF(Atletas!M462="Chaquan C",127,IF(Atletas!M462="Emeiquan C",128,IF(Atletas!M462="Fanziquan C",129,IF(Atletas!M462="Huaquan C",130,IF(Atletas!M462="Hongquan C",131,IF(Atletas!M462="Paoquan C",132,IF(Atletas!M462="Piguaquan C",133,IF(Atletas!M462="Shaolinquan C",134,IF(Atletas!M462="Tanglangquan C",135,IF(Atletas!M462="Yingzhaoquan C",136,IF(Atletas!M462="Tongbeiquan C",137,IF(Atletas!M462="Wudangquan C",138,IF(Atletas!M462="Outros Estilos C",139,0))))))))))))))))))))))))))))))))))))))))))</f>
        <v/>
      </c>
      <c r="BT471" s="50" t="str">
        <f>IF(Atletas!M462="","",IF(Atletas!X462&lt;&gt;"",10000,0)+(IF(Atletas!B462="Feminino",1000,IF(Atletas!B462="Masculino",2000,""))+(IF(Atletas!M462="Chaquan D",140,IF(Atletas!M462="Emeiquan D",141,IF(Atletas!M462="Fanziquan D",142,IF(Atletas!M462="Huaquan D",143,IF(Atletas!M462="Hongquan D",144,IF(Atletas!M462="Paoquan D",145,IF(Atletas!M462="Piguaquan D",146,IF(Atletas!M462="Shaolinquan D",147,IF(Atletas!M462="Tanglangquan D",148,IF(Atletas!M462="Yingzhaoquan D",149,IF(Atletas!M462="Tongbeiquan D",150,IF(Atletas!M462="Wudangquan D",151,IF(Atletas!M462="Outros Estilos D",152,IF(Atletas!M462="Chaquan E",153,IF(Atletas!M462="Emeiquan E",154,IF(Atletas!M462="Fanziquan E",155,IF(Atletas!M462="Huaquan E",156,IF(Atletas!M462="Hongquan E",157,IF(Atletas!M462="Paoquan E",158,IF(Atletas!M462="Piguaquan E",159,IF(Atletas!M462="Shaolinquan E",160,IF(Atletas!M462="Tanglangquan E",161,IF(Atletas!M462="Yingzhaoquan E",162,IF(Atletas!M462="Tongbeiquan E",163,IF(Atletas!M462="Wudangquan E",164,IF(Atletas!M462="Outros Estilos E",165,IF(Atletas!M462="Chaquan F",166,IF(Atletas!M462="Emeiquan F",167,IF(Atletas!M462="Fanziquan F",168,IF(Atletas!M462="Huaquan F",169,IF(Atletas!M462="Hongquan F",170,IF(Atletas!M462="Paoquan F",171,IF(Atletas!M462="Piguaquan F",172,IF(Atletas!M462="Shaolinquan F",173,IF(Atletas!M462="Tanglangquan F",174,IF(Atletas!M462="Yingzhaoquan F",175,IF(Atletas!M462="Tongbeiquan F",176,IF(Atletas!M462="Wudangquan F",177,IF(Atletas!M462="Outros Estilos F",178,0))))))))))))))))))))))))))))))))))))))))))</f>
        <v/>
      </c>
      <c r="BU471" s="50" t="str">
        <f>IF(Atletas!N462="","",IF(Atletas!X462&lt;&gt;"",10000,0)+(IF(Atletas!B462="Feminino",1000,IF(Atletas!B462="Masculino",2000,""))+(IF(Atletas!N462="Ditangquan A",201,IF(Atletas!N462="Houquan A",202,IF(Atletas!N462="Zuiquan A",203,IF(Atletas!N462="Ditangquan B",204,IF(Atletas!N462="Houquan B",205,IF(Atletas!N462="Zuiquan B",206,IF(Atletas!N462="Ditangquan C",207,IF(Atletas!N462="Houquan C",208,IF(Atletas!N462="Zuiquan C",209,IF(Atletas!N462="Ditangquan D",210,IF(Atletas!N462="Houquan D",211,IF(Atletas!N462="Zuiquan D",212,IF(Atletas!N462="Ditangquan E",213,IF(Atletas!N462="Houquan E",214,IF(Atletas!N462="Zuiquan E",215,IF(Atletas!N462="Ditangquan F",216,IF(Atletas!N462="Houquan F",217,IF(Atletas!N462="Zuiquan F",218,"")))))))))))))))))))))</f>
        <v/>
      </c>
      <c r="BV471" s="50" t="str">
        <f>IF(Atletas!O462="","",IF(Atletas!X462&lt;&gt;"",10000,0)+IF(Atletas!B462="Feminino",1000,IF(Atletas!B462="Masculino",2000,""))+IF(Atletas!O462="Yang A",301,IF(Atletas!O462="Chen A",302,IF(Atletas!O462="Sun A",303,IF(Atletas!O462="Wu A",304,IF(Atletas!O462="Wu-Hao A",305,IF(Atletas!O462="Outro Taijiquan A",306,IF(Atletas!O462="Yang B",307,IF(Atletas!O462="Chen B",308,IF(Atletas!O462="Sun B",309,IF(Atletas!O462="Wu B",310,IF(Atletas!O462="Wu-Hao B",311,IF(Atletas!O462="Outro Taijiquan B",312,IF(Atletas!O462="Yang C",313,IF(Atletas!O462="Chen C",314,IF(Atletas!O462="Sun C",315,IF(Atletas!O462="Wu C",316,IF(Atletas!O462="Wu-Hao C",317,IF(Atletas!O462="Outro Taijiquan C",318,IF(Atletas!O462="Yang D",319,IF(Atletas!O462="Chen D",320,IF(Atletas!O462="Sun D",321,IF(Atletas!O462="Wu D",322,IF(Atletas!O462="Wu-Hao D",323,IF(Atletas!O462="Outro Taijiquan D",324,IF(Atletas!O462="Yang E",325,IF(Atletas!O462="Chen E",326,IF(Atletas!O462="Sun E",327,IF(Atletas!O462="Wu E",328,IF(Atletas!O462="Wu-Hao E",329,IF(Atletas!O462="Outro Taijiquan E",330,IF(Atletas!O462="Yang F",331,IF(Atletas!O462="Chen F",332,IF(Atletas!O462="Sun F",333,IF(Atletas!O462="Wu F",334,IF(Atletas!O462="Wu-Hao F",335,IF(Atletas!O462="Outro Taijiquan F",336,"")))))))))))))))))))))))))))))))))))))</f>
        <v/>
      </c>
      <c r="BW471" s="50" t="str">
        <f>IF(Atletas!P462="","",IF(Atletas!X462&lt;&gt;"",10000,0)+IF(Atletas!B462="Feminino",1000,IF(Atletas!B462="Masculino",2000,""))+IF(OR(Atletas!P462="Yang 26 A",Atletas!P462="Yang 40 A"),401,IF(OR(Atletas!P462="Chen 25 A",Atletas!P462="Chen 36 A",Atletas!P462="Chen 56 A"),402,IF(Atletas!P462="Sun 73 A",403,IF(Atletas!P462="Wu 45 A",404,IF(Atletas!P462="Wu-Hao 46 A",405,IF(OR(Atletas!P462="Taijiquan 16 A",Atletas!P462="Taijiquan 24 A",Atletas!P462="Taijiquan 32 A",Atletas!P462="Taijiquan 42 A"),406,IF(OR(Atletas!P462="Yang 26 B",Atletas!P462="Yang 40 B"),407,IF(OR(Atletas!P462="Chen 25 B",Atletas!P462="Chen 36 B",Atletas!P462="Chen 56 B"),408,IF(Atletas!P462="Sun 73 B",409,IF(Atletas!P462="Wu 45 B",410,IF(Atletas!P462="Wu-Hao 46 B",411,IF(OR(Atletas!P462="Taijiquan 16 B",Atletas!P462="Taijiquan 24 B",Atletas!P462="Taijiquan 32 B",Atletas!P462="Taijiquan 42 B"),412,IF(OR(Atletas!P462="Yang 26 C",Atletas!P462="Yang 40 C"),413,IF(OR(Atletas!P462="Chen 25 C",Atletas!P462="Chen 36 C",Atletas!P462="Chen 56 C"),414,IF(Atletas!P462="Sun 73 C",415,IF(Atletas!P462="Wu 45 C",416,IF(Atletas!P462="Wu-Hao 46 C",417,IF(OR(Atletas!P462="Taijiquan 16 C",Atletas!P462="Taijiquan 24 C",Atletas!P462="Taijiquan 32 C",Atletas!P462="Taijiquan 42 C"),418,0)))))))))))))))))))</f>
        <v/>
      </c>
      <c r="BX471" s="50" t="str">
        <f>IF(Atletas!P462="","",IF(Atletas!X462&lt;&gt;"",10000,0)+IF(Atletas!B462="Feminino",1000,IF(Atletas!B462="Masculino",2000,""))+IF(OR(Atletas!P462="Yang 26 D",Atletas!P462="Yang 40 D"),419,IF(OR(Atletas!P462="Chen 25 D",Atletas!P462="Chen 36 D",Atletas!P462="Chen 56 D"),420,IF(Atletas!P462="Sun 73 D",421,IF(Atletas!P462="Wu 45 D",422,IF(Atletas!P462="Wu-Hao 46 D",423,IF(OR(Atletas!P462="Taijiquan 16 D",Atletas!P462="Taijiquan 24 D",Atletas!P462="Taijiquan 32 D",Atletas!P462="Taijiquan 42 D"),424,IF(OR(Atletas!P462="Yang 26 E",Atletas!P462="Yang 40 E"),425,IF(OR(Atletas!P462="Chen 25 E",Atletas!P462="Chen 36 E",Atletas!P462="Chen 56 E"),426,IF(Atletas!P462="Sun 73 E",427,IF(Atletas!P462="Wu 45 E",428,IF(Atletas!P462="Wu-Hao 46 E",429,IF(OR(Atletas!P462="Taijiquan 16 E",Atletas!P462="Taijiquan 24 E",Atletas!P462="Taijiquan 32 E",Atletas!P462="Taijiquan 42 E"),430,IF(OR(Atletas!P462="Yang 26 F",Atletas!P462="Yang 40 F"),431,IF(OR(Atletas!P462="Chen 25 F",Atletas!P462="Chen 36 F",Atletas!P462="Chen 56 F"),432,IF(Atletas!P462="Sun 73 F",433,IF(Atletas!P462="Wu 45 F",434,IF(Atletas!P462="Wu-Hao 46 F",435,IF(OR(Atletas!P462="Taijiquan 16 F",Atletas!P462="Taijiquan 24 F",Atletas!P462="Taijiquan 32 F",Atletas!P462="Taijiquan 42 F"),436,0)))))))))))))))))))</f>
        <v/>
      </c>
      <c r="BY471" s="50" t="str">
        <f>IF(Atletas!Q462="","",IF(Atletas!X462&lt;&gt;"",10000,0)+IF(Atletas!B462="Feminino",1000,IF(Atletas!B462="Masculino",2000,""))+IF(Atletas!Q462="Xingyiquan A",501,IF(Atletas!Q462="Baguazhang A",502,IF(Atletas!Q462="Outro Estilo Interno A",503,IF(Atletas!Q462="Xingyiquan B",504,IF(Atletas!Q462="Baguazhang B",505,IF(Atletas!Q462="Outro Estilo Interno B",506,IF(Atletas!Q462="Xingyiquan C",507,IF(Atletas!Q462="Baguazhang C",508,IF(Atletas!Q462="Outro Estilo Interno C",509,IF(Atletas!Q462="Xingyiquan D",510,IF(Atletas!Q462="Baguazhang D",511,IF(Atletas!Q462="Outro Estilo Interno D",512,IF(Atletas!Q462="Xingyiquan E",513,IF(Atletas!Q462="Baguazhang E",514,IF(Atletas!Q462="Outro Estilo Interno E",515,IF(Atletas!Q462="Xingyiquan F",516,IF(Atletas!Q462="Baguazhang F",517,IF(Atletas!Q462="Outro Estilo Interno F",518, "")))))))))))))))))))</f>
        <v/>
      </c>
      <c r="BZ471" s="50" t="str">
        <f>IF(Atletas!R462="","",IF(Atletas!X462&lt;&gt;"",10000,0)+IF(Atletas!B462="Feminino",1000,IF(Atletas!B462="Masculino",2000,""))+IF(Atletas!R462="Dao A",601,IF(Atletas!R462="Jian A",602,IF(Atletas!R462="Bishou A",603,IF(Atletas!R462="Shanzi A",604,IF(Atletas!R462="Outra Arma Curta A",605,IF(Atletas!R462="Dao B",606,IF(Atletas!R462="Jian B",607,IF(Atletas!R462="Bishou B",608,IF(Atletas!R462="Shanzi B",609,IF(Atletas!R462="Outra Arma Curta B",610,IF(Atletas!R462="Dao C",611,IF(Atletas!R462="Jian C",612,IF(Atletas!R462="Bishou C",613,IF(Atletas!R462="Shanzi C",614,IF(Atletas!R462="Outra Arma Curta C",615,IF(Atletas!R462="Dao D",616,IF(Atletas!R462="Jian D",617,IF(Atletas!R462="Bishou D",618,IF(Atletas!R462="Shanzi D",619,IF(Atletas!R462="Outra Arma Curta D",620,IF(Atletas!R462="Dao E",621,IF(Atletas!R462="Jian E",622,IF(Atletas!R462="Bishou E",623,IF(Atletas!R462="Shanzi E",624,IF(Atletas!R462="Outra Arma Curta E",625,IF(Atletas!R462="Dao F",626,IF(Atletas!R462="Jian F",627,IF(Atletas!R462="Bishou F",628,IF(Atletas!R462="Shanzi F",629,IF(Atletas!R462="Outra Arma Curta F",630, "")))))))))))))))))))))))))))))))</f>
        <v/>
      </c>
      <c r="CA471" s="50" t="str">
        <f>IF(Atletas!S462="","",IF(Atletas!X462&lt;&gt;"",10000,0)+IF(Atletas!B462="Feminino",1000,IF(Atletas!B462="Masculino",2000,""))+IF(Atletas!S462="Gun A",701,IF(Atletas!S462="Qiang A",702,IF(Atletas!S462="Pudao / Guandao A",703,IF(Atletas!S462="Outra Arma Longa A",704,IF(Atletas!S462="Gun B",705,IF(Atletas!S462="Qiang B",706,IF(Atletas!S462="Pudao / Guandao B",707,IF(Atletas!S462="Outra Arma Longa B",708,IF(Atletas!S462="Gun C",709,IF(Atletas!S462="Qiang C",710,IF(Atletas!S462="Pudao / Guandao C",711,IF(Atletas!S462="Outra Arma Longa C",712,IF(Atletas!S462="Gun D",713,IF(Atletas!S462="Qiang D",714,IF(Atletas!S462="Pudao / Guandao D",715,IF(Atletas!S462="Outra Arma Longa D",716,IF(Atletas!S462="Gun E",717,IF(Atletas!S462="Qiang E",718,IF(Atletas!S462="Pudao / Guandao E",719,IF(Atletas!S462="Outra Arma Longa E",720,IF(Atletas!S462="Gun F",721,IF(Atletas!S462="Qiang F",722,IF(Atletas!S462="Pudao / Guandao F",723,IF(Atletas!S462="Outra Arma Longa F",724,"")))))))))))))))))))))))))</f>
        <v/>
      </c>
      <c r="CB471" s="50" t="str">
        <f>IF(Atletas!T462="","",IF(Atletas!X462&lt;&gt;"",10000,0)+IF(Atletas!B462="Feminino",1000,IF(Atletas!B462="Masculino",2000,""))+IF(Atletas!T462="Outra Arma Dupla A",801,IF(Atletas!T462="Arma Maleável A",802,IF(Atletas!T462="Outra Arma Dupla B",803,IF(Atletas!T462="Arma Maleável B",804,IF(Atletas!T462="Outra Arma Dupla C",805,IF(Atletas!T462="Arma Maleável C",806,IF(Atletas!T462="Outra Arma Dupla D",807,IF(Atletas!T462="Arma Maleável D",808,IF(Atletas!T462="Outra Arma Dupla E",809,IF(Atletas!T462="Arma Maleável E",810,IF(Atletas!T462="Outra Arma Dupla F",811,IF(Atletas!T462="Arma Maleável F",812,IF(Atletas!T462="Shuangdao A",813,IF(Atletas!T462="Shuangdao B",814,IF(Atletas!T462="Shuangdao C",815,IF(Atletas!T462="Shuangdao D",816,IF(Atletas!T462="Shuangdao E",817,IF(Atletas!T462="Shuangdao F",818,"")))))))))))))))))))</f>
        <v/>
      </c>
      <c r="CC471" s="50" t="str">
        <f>IF(Atletas!U462="","",IF(Atletas!X462&lt;&gt;"",10000,0)+IF(Atletas!B462="Feminino",1000,IF(Atletas!B462="Masculino",2000,""))+IF(OR(Atletas!U462="Taijijian Yang A",Atletas!U462="Taijijian Yang Standard A"),901,IF(OR(Atletas!U462="Taijijian Chen A", Atletas!U462="Taijijian Chen Standard A"),902,IF(Atletas!U462="Taijijian Sun A",903,IF(Atletas!U462="Taijijian Wu A",904,IF(Atletas!U462="Taijijian Wu-Hao A",905,IF(OR(Atletas!U462="Taijijian 32 A",Atletas!U462="Taijijian 42 A"),906,IF(OR(Atletas!U462="Taijijian Yang B",Atletas!U462="Taijijian Yang Standard B"),907,IF(OR(Atletas!U462="Taijijian Chen B", Atletas!U462="Taijijian Chen Standard B"),908,IF(Atletas!U462="Taijijian Sun B",909,IF(Atletas!U462="Taijijian Wu B",910,IF(Atletas!U462="Taijijian Wu-Hao B",911,IF(OR(Atletas!U462="Taijijian 32 B",Atletas!U462="Taijijian 42 B"),912,IF(OR(Atletas!U462="Taijijian Yang C",Atletas!U462="Taijijian Yang Standard C"),913,IF(OR(Atletas!U462="Taijijian Chen C", Atletas!U462="Taijijian Chen Standard C"),914,IF(Atletas!U462="Taijijian Sun C",915,IF(Atletas!U462="Taijijian Wu C",916,IF(Atletas!U462="Taijijian Wu-Hao C",917,IF(OR(Atletas!U462="Taijijian 32 C",Atletas!U462="Taijijian 42 C"),918,IF(OR(Atletas!U462="Taijijian Yang D",Atletas!U462="Taijijian Yang Standard D"),919,IF(OR(Atletas!U462="Taijijian Chen D", Atletas!U462="Taijijian Chen Standard D"),920,IF(Atletas!U462="Taijijian Sun D",921,IF(Atletas!U462="Taijijian Wu D",922,IF(Atletas!U462="Taijijian Wu-Hao D",923,IF(OR(Atletas!U462="Taijijian 32 D",Atletas!U462="Taijijian 42 D"),924,IF(OR(Atletas!U462="Taijijian Yang E",Atletas!U462="Taijijian Yang Standard E"),925,IF(OR(Atletas!U462="Taijijian Chen E", Atletas!U462="Taijijian Chen Standard E"),926,IF(Atletas!U462="Taijijian Sun E",927,IF(Atletas!U462="Taijijian Wu E",928,IF(Atletas!U462="Taijijian Wu-Hao E",929,IF(OR(Atletas!U462="Taijijian 32 E",Atletas!U462="Taijijian 42 E"),930,IF(OR(Atletas!U462="Taijijian Yang F",Atletas!U462="Taijijian Yang Standard F"),931,IF(OR(Atletas!U462="Taijijian Chen F", Atletas!U462="Taijijian Chen Standard F"),932,IF(Atletas!U462="Taijijian Sun F",933,IF(Atletas!U462="Taijijian Wu F",934,IF(Atletas!U462="Taijijian Wu-Hao F",935,IF(OR(Atletas!U462="Taijijian 32 F",Atletas!U462="Taijijian 42 F"),936,"")))))))))))))))))))))))))))))))))))))</f>
        <v/>
      </c>
      <c r="CD471" s="50" t="str">
        <f>IF(Atletas!V462="","",IF(Atletas!X462&lt;&gt;"",10000,0)+IF(Atletas!B462="Feminino",1000,IF(Atletas!B462="Masculino",2000,""))+IF(Atletas!V462="Taijidao A",937,IF(Atletas!V462="TaijiShanzi A",938,IF(Atletas!V462="Taijiqiang A",939,IF(Atletas!V462="Bagua de Arma A",940,IF(Atletas!V462="Xingyi de Arma A",941,IF(Atletas!V462="Taijidao B",942,IF(Atletas!V462="TaijiShanzi B",943,IF(Atletas!V462="Taijiqiang B",944,IF(Atletas!V462="Bagua de Arma B",945,IF(Atletas!V462="Xingyi de Arma B",946,IF(Atletas!V462="Taijidao C",947,IF(Atletas!V462="TaijiShanzi C",948,IF(Atletas!V462="Taijiqiang C",949,IF(Atletas!V462="Bagua de Arma C",950,IF(Atletas!V462="Xingyi de Arma C",951,IF(Atletas!V462="Taijidao D",952,IF(Atletas!V462="TaijiShanzi D",953,IF(Atletas!V462="Taijiqiang D",954,IF(Atletas!V462="Bagua de Arma D",955,IF(Atletas!V462="Xingyi de Arma D",956,IF(Atletas!V462="Taijidao E",957,IF(Atletas!V462="TaijiShanzi E",958,IF(Atletas!V462="Taijiqiang E",959,IF(Atletas!V462="Bagua de Arma E",960,IF(Atletas!V462="Xingyi de Arma E",961,IF(Atletas!V462="Taijidao F",962,IF(Atletas!V462="TaijiShanzi F",963,IF(Atletas!V462="Taijiqiang F",964,IF(Atletas!V462="Bagua de Arma F",965,IF(Atletas!V462="Xingyi de Arma F",966,"")))))))))))))))))))))))))))))))</f>
        <v/>
      </c>
      <c r="CM471" s="50" t="str">
        <f xml:space="preserve"> IF(Atletas!W462="","",IF(Atletas!W462="Duilian de Mãos BC - Equipe 1",1,IF(Atletas!W462="Duilian de Mãos BC - Equipe 2",2,IF(Atletas!W462="Duilian de Armas BC - Equipe 1",3,IF(Atletas!W462="Duilian de Armas BC - Equipe 2",4,IF(Atletas!W462="Duilian de Mãos DE - Equipe 1",5,IF(Atletas!W462="Duilian de Mãos DE - Equipe 2",6,IF(Atletas!W462="Duilian de Armas DE - Equipe 1",7,IF(Atletas!W462="Duilian de Armas DE - Equipe 2",8,IF(Atletas!W462="Duilian de Tuishou - Equipe 1",9,IF(Atletas!W462="Duilian de Tuishou - Equipe 2",10,IF(Atletas!W462="Grupo Externo ABC - Equipe 1",11,IF(Atletas!W462="Grupo Externo ABC - Equipe 2",12,IF(Atletas!W462="Grupo Interno ABC - Equipe 1",13,IF(Atletas!W462="Grupo Interno ABC - Equipe 2",14,IF(Atletas!W462="Grupo Externo DEF - Equipe 1",15,IF(Atletas!W462="Grupo Externo DEF - Equipe 2",16,IF(Atletas!W462="Grupo Interno DEF - Equipe 1",17,IF(Atletas!W462="Grupo Interno DEF - Equipe 2",18,"")))))))))))))))))))</f>
        <v/>
      </c>
    </row>
    <row r="472" spans="40:91">
      <c r="AN472" s="52" t="str">
        <f>IF(Atletas!D463="","",IF(Atletas!B463="Feminino",100,IF(Atletas!B463="Masculino",200,""))+(IF(Atletas!D463="Kids 30kg",1,IF(Atletas!D463="Kids 32kg",2, IF(Atletas!D463="Kids 34kg",3,IF(Atletas!D463="Kids 36kg",4,IF(Atletas!D463="Kids 39kg",5,IF(Atletas!D463="Kids 42kg",6,IF(Atletas!D463="Kids 45kg",7, IF(Atletas!D463="Infantil 39kg",8,IF(Atletas!D463="Infantil 42kg",9,IF(Atletas!D463="Infantil 45kg",10,IF(Atletas!D463="Infantil 48kg",11,IF(Atletas!D463="Infantil 52kg",12,IF(Atletas!D463="Infantil 56kg",13,IF(Atletas!D463="Infantil 60kg",14,IF(Atletas!D463="Juvenil 48kg",15,IF(Atletas!D463="Juvenil 52kg",16,IF(Atletas!D463="Juvenil 56kg",17,IF(Atletas!D463="Juvenil 60kg",18,IF(Atletas!D463="Juvenil 65kg",19,IF(Atletas!D463="Juvenil 70kg",20,IF(Atletas!D463="Juvenil 75kg",21,IF(Atletas!D463="Juvenil 80kg",22, IF(Atletas!D463="Juvenil 85kg",23,IF(Atletas!D463="Adulto 48kg",24,IF(Atletas!D463="Adulto 52kg",25,IF(Atletas!D463="Adulto 56kg",26,IF(Atletas!D463="Adulto 60kg",27,IF(Atletas!D463="Adulto 65kg",28,IF(Atletas!D463="Adulto 70kg",29,IF(Atletas!D463="Adulto 75kg",30,IF(Atletas!D463="Adulto 80kg",31,IF(Atletas!D463="Adulto 85kg",32,IF(Atletas!D463="Adulto 90kg",33,IF(Atletas!D463="Adulto 100kg",34, IF(Atletas!D463="Adulto +100kg",35,"")))))))))))))))))))))))))))))))))))))</f>
        <v/>
      </c>
      <c r="AS472" s="6" t="str">
        <f>IF(Atletas!E463="","",IF(Atletas!B463="Feminino",100,IF(Atletas!B463="Masculino",200,""))+(IF(Atletas!E463="Juvenil 44kg",1,IF(Atletas!E463="Juvenil 48kg",2,IF(Atletas!E463="Juvenil 52kg",3,IF(Atletas!E463="Juvenil 56kg",4,IF(Atletas!E463="Juvenil 60kg",5,IF(Atletas!E463="Juvenil 65kg",6,IF(Atletas!E463="Juvenil 70kg",7,IF(Atletas!E463="Juvenil 75kg",8,IF(Atletas!E463="Juvenil 82kg",9,IF(Atletas!E463="Juvenil 90kg",10,IF(Atletas!E463="Juvenil 100kg",11,IF(Atletas!E463="Adulto 48kg",12,IF(Atletas!E463="Adulto 52kg",13,IF(Atletas!E463="Adulto 56kg",14,IF(Atletas!E463="Adulto 60kg",15,IF(Atletas!E463="Adulto 65kg",16,IF(Atletas!E463="Adulto 70kg",17,IF(Atletas!E463="Adulto 75kg",18,IF(Atletas!E463="Adulto 82kg",19,IF(Atletas!E463="Adulto 90kg",20,IF(Atletas!E463="Adulto 100kg",21,IF(Atletas!E463="Adulto +100kg",22,""))))))))))))))))))))))))</f>
        <v/>
      </c>
      <c r="AX472" s="6" t="str">
        <f>IF(Atletas!F463="","",IF(Atletas!B463="Feminino",100,IF(Atletas!B463="Masculino",200,""))+(IF(Atletas!F463="Adulto 48kg",1,IF(Atletas!F463="Adulto 56kg",2,IF(Atletas!F463="Adulto 65kg",3,IF(Atletas!F463="Adulto 75kg",4,IF(Atletas!F463="Adulto +75kg",5,IF(Atletas!F463="Adulto 52kg",6,IF(Atletas!F463="Adulto 60kg",7,IF(Atletas!F463="Adulto 70kg",8,IF(Atletas!F463="Adulto 80kg",9,IF(Atletas!F463="Adulto 90kg",10,IF(Atletas!F463="Adulto +90kg",11,"")))))))))))))</f>
        <v/>
      </c>
      <c r="BC472" s="6" t="str">
        <f>IF(Atletas!G463="","",IF(Atletas!B463="Feminino",10,IF(Atletas!B463="Masculino",20,""))+(IF(Atletas!G463="Baduanjin A",1,IF(Atletas!G463="Baduanjin B",2))))</f>
        <v/>
      </c>
      <c r="BF472" s="52" t="str">
        <f>IF(Atletas!H463="","",IF(Atletas!B463="Feminino",100,IF(Atletas!B463="Masculino",200,""))+(IF(Atletas!H463="Changquan Mirim",1,IF(Atletas!H463="Nanquan Mirim",2,IF(Atletas!H463="Taijiquan Mirim",3,IF(Atletas!H463="Changquan Grupo C",4,IF(Atletas!H463="Nanquan Grupo C",5,IF(Atletas!H463="Taijiquan Grupo C",6,IF(Atletas!H463="Changquan Grupo B",7,IF(Atletas!H463="Nanquan Grupo B",8,IF(Atletas!H463="Taijiquan Grupo B",9,IF(Atletas!H463="Changquan Grupo A",10,IF(Atletas!H463="Nanquan Grupo A",11,IF(Atletas!H463="Taijiquan Grupo A",12,IF(Atletas!H463="Changquan Opcional",13,IF(Atletas!H463="Nanquan Opcional",14,IF(Atletas!H463="Taijiquan Opcional",15,IF(Atletas!H463="Changquan Adulto",16,IF(Atletas!H463="Nanquan Adulto",17,IF(Atletas!H463="Taijiquan Adulto",18,""))))))))))))))))))))</f>
        <v/>
      </c>
      <c r="BG472" s="52" t="str">
        <f>IF(Atletas!I463="","",IF(Atletas!B463="Feminino",100,IF(Atletas!B463="Masculino",200,""))+(IF(Atletas!I463="Daoshu Mirim",19,IF(Atletas!I463="Jianshu Mirim",20,IF(Atletas!I463="Nandao Mirim",21,IF(Atletas!I463="Taijijian Mirim",22,IF(Atletas!I463="Daoshu Grupo C",23,IF(Atletas!I463="Jianshu Grupo C",24,IF(Atletas!I463="Nandao Grupo C",25,IF(Atletas!I463="Taijijian Grupo C",26,IF(Atletas!I463="Daoshu Grupo B",27,IF(Atletas!I463="Jianshu Grupo B",28,IF(Atletas!I463="Nandao Grupo B",29,IF(Atletas!I463="Taijijian Grupo B",30,IF(Atletas!I463="Daoshu Grupo A",31,IF(Atletas!I463="Jianshu Grupo A",32,IF(Atletas!I463="Nandao Grupo A",33,IF(Atletas!I463="Taijijian Grupo A",34,IF(Atletas!I463="Daoshu Opcional",35,IF(Atletas!I463="Jianshu Opcional",36,IF(Atletas!I463="Nandao Opcional",37,IF(Atletas!I463="Taijijian Opcional",38,IF(Atletas!I463="Daoshu Adulto",39,IF(Atletas!I463="Jianshu Adulto",40,IF(Atletas!I463="Nandao Adulto",41,IF(Atletas!I463="Taijijian Adulto",42,""))))))))))))))))))))))))))</f>
        <v/>
      </c>
      <c r="BH472" s="52" t="str">
        <f>IF(Atletas!J463="","",IF(Atletas!B463="Feminino",100,IF(Atletas!B463="Masculino",200,""))+(IF(Atletas!J463="Gunshu Mirim",43,IF(Atletas!J463="Qiangshu Mirim",44,IF(Atletas!J463="Nangun Mirim",45,IF(Atletas!J463="Gunshu Grupo C",46,IF(Atletas!J463="Qiangshu Grupo C",47,IF(Atletas!J463="Nangun Grupo C",48,IF(Atletas!J463="Gunshu Grupo B",49,IF(Atletas!J463="Qiangshu Grupo B",50,IF(Atletas!J463="Nangun Grupo B",51,IF(Atletas!J463="Gunshu Grupo A",52,IF(Atletas!J463="Qiangshu Grupo A",53,IF(Atletas!J463="Nangun Grupo A",54,IF(Atletas!J463="Gunshu Opcional",55,IF(Atletas!J463="Qiangshu Opcional",56,IF(Atletas!J463="Nangun Opcional",57,IF(Atletas!J463="Gunshu Adulto",58,IF(Atletas!J463="Qiangshu Adulto",59,IF(Atletas!J463="Nangun Adulto",60,IF(Atletas!J463="Taijishan Grupo B",61,IF(Atletas!J463="Taijishan Grupo A",62,""))))))))))))))))))))))</f>
        <v/>
      </c>
      <c r="BM472" s="50" t="str">
        <f>IF(Atletas!K463="","",IF(Atletas!B463="Feminino",100,IF(Atletas!B463="Masculino",200,""))+(IF(Atletas!K463="Equipe 1 Grupo B",1,IF(Atletas!K463="Equipe 2 Grupo B",2,IF(Atletas!K463="Equipe 1 Grupo A",3,IF(Atletas!K463="Equipe 2 Grupo A",4,IF(Atletas!K463="Equipe 1 Adulto",5,IF(Atletas!K463="Equipe 2 Adulto",6,""))))))))</f>
        <v/>
      </c>
      <c r="BR472" s="50" t="str">
        <f>IF(Atletas!L463="","",IF(Atletas!X463&lt;&gt;"",10000,0)+(IF(Atletas!B463="Feminino",1000,IF(Atletas!B463="Masculino",2000,""))+IF(Atletas!L463="Choylayfut A",1,IF(Atletas!L463="Hunggar A",2,IF(Atletas!L463="Wuzuquan A",3,IF(Atletas!L463="Wingchun A",4,IF(Atletas!L463="Outra Mão de Sul A",5,IF(Atletas!L463="Choylayfut B",6,IF(Atletas!L463="Hunggar B",7,IF(Atletas!L463="Wuzuquan B",8,IF(Atletas!L463="Wingchun B",9,IF(Atletas!L463="Outra Mão de Sul B",10,IF(Atletas!L463="Choylayfut C",11,IF(Atletas!L463="Hunggar C",12,IF(Atletas!L463="Wuzuquan C",13,IF(Atletas!L463="Wingchun C",14,IF(Atletas!L463="Outra Mão de Sul C",15,IF(Atletas!L463="Choylayfut D",16,IF(Atletas!L463="Hunggar D",17,IF(Atletas!L463="Wuzuquan D",18,IF(Atletas!L463="Wingchun D",19,IF(Atletas!L463="Outra Mão de Sul D",20,IF(Atletas!L463="Choylayfut E",21,IF(Atletas!L463="Hunggar E",22,IF(Atletas!L463="Wuzuquan E",23,IF(Atletas!L463="Wingchun E",24,IF(Atletas!L463="Outra Mão de Sul E",25,IF(Atletas!L463="Choylayfut F",26,IF(Atletas!L463="Hunggar F",27,IF(Atletas!L463="Wuzuquan F",28,IF(Atletas!L463="Wingchun F",29,IF(Atletas!L463="Outra Mão de Sul F",30,IF(Atletas!L463="Dishuquan A",31,IF(Atletas!L463="Dishuquan B",32,IF(Atletas!L463="Dishuquan C",33,IF(Atletas!L463="Dishuquan D",34,IF(Atletas!L463="Dishuquan E",35,IF(Atletas!L463="Dishuquan F",36,""))))))))))))))))))))))))))))))))))))))</f>
        <v/>
      </c>
      <c r="BS472" s="50" t="str">
        <f>IF(Atletas!M463="","",IF(Atletas!X463&lt;&gt;"",10000,0)+(IF(Atletas!B463="Feminino",1000,IF(Atletas!B463="Masculino",2000,""))+(IF(Atletas!M463="Chaquan A",101,IF(Atletas!M463="Emeiquan A",102,IF(Atletas!M463="Fanziquan A",103,IF(Atletas!M463="Huaquan A",104,IF(Atletas!M463="Hongquan A",105,IF(Atletas!M463="Paoquan A",106,IF(Atletas!M463="Piguaquan A",107,IF(Atletas!M463="Shaolinquan A",108,IF(Atletas!M463="Tanglangquan A",109,IF(Atletas!M463="Yingzhaoquan A",110,IF(Atletas!M463="Tongbeiquan A",111,IF(Atletas!M463="Wudangquan A",112,IF(Atletas!M463="Outros Estilos A",113,IF(Atletas!M463="Chaquan B",114,IF(Atletas!M463="Emeiquan B",115,IF(Atletas!M463="Fanziquan B",116,IF(Atletas!M463="Huaquan B",117,IF(Atletas!M463="Hongquan B",118,IF(Atletas!M463="Paoquan B",119,IF(Atletas!M463="Piguaquan B",120,IF(Atletas!M463="Shaolinquan B",121,IF(Atletas!M463="Tanglangquan B",122,IF(Atletas!M463="Yingzhaoquan B",123,IF(Atletas!M463="Tongbeiquan B",124,IF(Atletas!M463="Wudangquan B",125,IF(Atletas!M463="Outros Estilos B",126,IF(Atletas!M463="Chaquan C",127,IF(Atletas!M463="Emeiquan C",128,IF(Atletas!M463="Fanziquan C",129,IF(Atletas!M463="Huaquan C",130,IF(Atletas!M463="Hongquan C",131,IF(Atletas!M463="Paoquan C",132,IF(Atletas!M463="Piguaquan C",133,IF(Atletas!M463="Shaolinquan C",134,IF(Atletas!M463="Tanglangquan C",135,IF(Atletas!M463="Yingzhaoquan C",136,IF(Atletas!M463="Tongbeiquan C",137,IF(Atletas!M463="Wudangquan C",138,IF(Atletas!M463="Outros Estilos C",139,0))))))))))))))))))))))))))))))))))))))))))</f>
        <v/>
      </c>
      <c r="BT472" s="50" t="str">
        <f>IF(Atletas!M463="","",IF(Atletas!X463&lt;&gt;"",10000,0)+(IF(Atletas!B463="Feminino",1000,IF(Atletas!B463="Masculino",2000,""))+(IF(Atletas!M463="Chaquan D",140,IF(Atletas!M463="Emeiquan D",141,IF(Atletas!M463="Fanziquan D",142,IF(Atletas!M463="Huaquan D",143,IF(Atletas!M463="Hongquan D",144,IF(Atletas!M463="Paoquan D",145,IF(Atletas!M463="Piguaquan D",146,IF(Atletas!M463="Shaolinquan D",147,IF(Atletas!M463="Tanglangquan D",148,IF(Atletas!M463="Yingzhaoquan D",149,IF(Atletas!M463="Tongbeiquan D",150,IF(Atletas!M463="Wudangquan D",151,IF(Atletas!M463="Outros Estilos D",152,IF(Atletas!M463="Chaquan E",153,IF(Atletas!M463="Emeiquan E",154,IF(Atletas!M463="Fanziquan E",155,IF(Atletas!M463="Huaquan E",156,IF(Atletas!M463="Hongquan E",157,IF(Atletas!M463="Paoquan E",158,IF(Atletas!M463="Piguaquan E",159,IF(Atletas!M463="Shaolinquan E",160,IF(Atletas!M463="Tanglangquan E",161,IF(Atletas!M463="Yingzhaoquan E",162,IF(Atletas!M463="Tongbeiquan E",163,IF(Atletas!M463="Wudangquan E",164,IF(Atletas!M463="Outros Estilos E",165,IF(Atletas!M463="Chaquan F",166,IF(Atletas!M463="Emeiquan F",167,IF(Atletas!M463="Fanziquan F",168,IF(Atletas!M463="Huaquan F",169,IF(Atletas!M463="Hongquan F",170,IF(Atletas!M463="Paoquan F",171,IF(Atletas!M463="Piguaquan F",172,IF(Atletas!M463="Shaolinquan F",173,IF(Atletas!M463="Tanglangquan F",174,IF(Atletas!M463="Yingzhaoquan F",175,IF(Atletas!M463="Tongbeiquan F",176,IF(Atletas!M463="Wudangquan F",177,IF(Atletas!M463="Outros Estilos F",178,0))))))))))))))))))))))))))))))))))))))))))</f>
        <v/>
      </c>
      <c r="BU472" s="50" t="str">
        <f>IF(Atletas!N463="","",IF(Atletas!X463&lt;&gt;"",10000,0)+(IF(Atletas!B463="Feminino",1000,IF(Atletas!B463="Masculino",2000,""))+(IF(Atletas!N463="Ditangquan A",201,IF(Atletas!N463="Houquan A",202,IF(Atletas!N463="Zuiquan A",203,IF(Atletas!N463="Ditangquan B",204,IF(Atletas!N463="Houquan B",205,IF(Atletas!N463="Zuiquan B",206,IF(Atletas!N463="Ditangquan C",207,IF(Atletas!N463="Houquan C",208,IF(Atletas!N463="Zuiquan C",209,IF(Atletas!N463="Ditangquan D",210,IF(Atletas!N463="Houquan D",211,IF(Atletas!N463="Zuiquan D",212,IF(Atletas!N463="Ditangquan E",213,IF(Atletas!N463="Houquan E",214,IF(Atletas!N463="Zuiquan E",215,IF(Atletas!N463="Ditangquan F",216,IF(Atletas!N463="Houquan F",217,IF(Atletas!N463="Zuiquan F",218,"")))))))))))))))))))))</f>
        <v/>
      </c>
      <c r="BV472" s="50" t="str">
        <f>IF(Atletas!O463="","",IF(Atletas!X463&lt;&gt;"",10000,0)+IF(Atletas!B463="Feminino",1000,IF(Atletas!B463="Masculino",2000,""))+IF(Atletas!O463="Yang A",301,IF(Atletas!O463="Chen A",302,IF(Atletas!O463="Sun A",303,IF(Atletas!O463="Wu A",304,IF(Atletas!O463="Wu-Hao A",305,IF(Atletas!O463="Outro Taijiquan A",306,IF(Atletas!O463="Yang B",307,IF(Atletas!O463="Chen B",308,IF(Atletas!O463="Sun B",309,IF(Atletas!O463="Wu B",310,IF(Atletas!O463="Wu-Hao B",311,IF(Atletas!O463="Outro Taijiquan B",312,IF(Atletas!O463="Yang C",313,IF(Atletas!O463="Chen C",314,IF(Atletas!O463="Sun C",315,IF(Atletas!O463="Wu C",316,IF(Atletas!O463="Wu-Hao C",317,IF(Atletas!O463="Outro Taijiquan C",318,IF(Atletas!O463="Yang D",319,IF(Atletas!O463="Chen D",320,IF(Atletas!O463="Sun D",321,IF(Atletas!O463="Wu D",322,IF(Atletas!O463="Wu-Hao D",323,IF(Atletas!O463="Outro Taijiquan D",324,IF(Atletas!O463="Yang E",325,IF(Atletas!O463="Chen E",326,IF(Atletas!O463="Sun E",327,IF(Atletas!O463="Wu E",328,IF(Atletas!O463="Wu-Hao E",329,IF(Atletas!O463="Outro Taijiquan E",330,IF(Atletas!O463="Yang F",331,IF(Atletas!O463="Chen F",332,IF(Atletas!O463="Sun F",333,IF(Atletas!O463="Wu F",334,IF(Atletas!O463="Wu-Hao F",335,IF(Atletas!O463="Outro Taijiquan F",336,"")))))))))))))))))))))))))))))))))))))</f>
        <v/>
      </c>
      <c r="BW472" s="50" t="str">
        <f>IF(Atletas!P463="","",IF(Atletas!X463&lt;&gt;"",10000,0)+IF(Atletas!B463="Feminino",1000,IF(Atletas!B463="Masculino",2000,""))+IF(OR(Atletas!P463="Yang 26 A",Atletas!P463="Yang 40 A"),401,IF(OR(Atletas!P463="Chen 25 A",Atletas!P463="Chen 36 A",Atletas!P463="Chen 56 A"),402,IF(Atletas!P463="Sun 73 A",403,IF(Atletas!P463="Wu 45 A",404,IF(Atletas!P463="Wu-Hao 46 A",405,IF(OR(Atletas!P463="Taijiquan 16 A",Atletas!P463="Taijiquan 24 A",Atletas!P463="Taijiquan 32 A",Atletas!P463="Taijiquan 42 A"),406,IF(OR(Atletas!P463="Yang 26 B",Atletas!P463="Yang 40 B"),407,IF(OR(Atletas!P463="Chen 25 B",Atletas!P463="Chen 36 B",Atletas!P463="Chen 56 B"),408,IF(Atletas!P463="Sun 73 B",409,IF(Atletas!P463="Wu 45 B",410,IF(Atletas!P463="Wu-Hao 46 B",411,IF(OR(Atletas!P463="Taijiquan 16 B",Atletas!P463="Taijiquan 24 B",Atletas!P463="Taijiquan 32 B",Atletas!P463="Taijiquan 42 B"),412,IF(OR(Atletas!P463="Yang 26 C",Atletas!P463="Yang 40 C"),413,IF(OR(Atletas!P463="Chen 25 C",Atletas!P463="Chen 36 C",Atletas!P463="Chen 56 C"),414,IF(Atletas!P463="Sun 73 C",415,IF(Atletas!P463="Wu 45 C",416,IF(Atletas!P463="Wu-Hao 46 C",417,IF(OR(Atletas!P463="Taijiquan 16 C",Atletas!P463="Taijiquan 24 C",Atletas!P463="Taijiquan 32 C",Atletas!P463="Taijiquan 42 C"),418,0)))))))))))))))))))</f>
        <v/>
      </c>
      <c r="BX472" s="50" t="str">
        <f>IF(Atletas!P463="","",IF(Atletas!X463&lt;&gt;"",10000,0)+IF(Atletas!B463="Feminino",1000,IF(Atletas!B463="Masculino",2000,""))+IF(OR(Atletas!P463="Yang 26 D",Atletas!P463="Yang 40 D"),419,IF(OR(Atletas!P463="Chen 25 D",Atletas!P463="Chen 36 D",Atletas!P463="Chen 56 D"),420,IF(Atletas!P463="Sun 73 D",421,IF(Atletas!P463="Wu 45 D",422,IF(Atletas!P463="Wu-Hao 46 D",423,IF(OR(Atletas!P463="Taijiquan 16 D",Atletas!P463="Taijiquan 24 D",Atletas!P463="Taijiquan 32 D",Atletas!P463="Taijiquan 42 D"),424,IF(OR(Atletas!P463="Yang 26 E",Atletas!P463="Yang 40 E"),425,IF(OR(Atletas!P463="Chen 25 E",Atletas!P463="Chen 36 E",Atletas!P463="Chen 56 E"),426,IF(Atletas!P463="Sun 73 E",427,IF(Atletas!P463="Wu 45 E",428,IF(Atletas!P463="Wu-Hao 46 E",429,IF(OR(Atletas!P463="Taijiquan 16 E",Atletas!P463="Taijiquan 24 E",Atletas!P463="Taijiquan 32 E",Atletas!P463="Taijiquan 42 E"),430,IF(OR(Atletas!P463="Yang 26 F",Atletas!P463="Yang 40 F"),431,IF(OR(Atletas!P463="Chen 25 F",Atletas!P463="Chen 36 F",Atletas!P463="Chen 56 F"),432,IF(Atletas!P463="Sun 73 F",433,IF(Atletas!P463="Wu 45 F",434,IF(Atletas!P463="Wu-Hao 46 F",435,IF(OR(Atletas!P463="Taijiquan 16 F",Atletas!P463="Taijiquan 24 F",Atletas!P463="Taijiquan 32 F",Atletas!P463="Taijiquan 42 F"),436,0)))))))))))))))))))</f>
        <v/>
      </c>
      <c r="BY472" s="50" t="str">
        <f>IF(Atletas!Q463="","",IF(Atletas!X463&lt;&gt;"",10000,0)+IF(Atletas!B463="Feminino",1000,IF(Atletas!B463="Masculino",2000,""))+IF(Atletas!Q463="Xingyiquan A",501,IF(Atletas!Q463="Baguazhang A",502,IF(Atletas!Q463="Outro Estilo Interno A",503,IF(Atletas!Q463="Xingyiquan B",504,IF(Atletas!Q463="Baguazhang B",505,IF(Atletas!Q463="Outro Estilo Interno B",506,IF(Atletas!Q463="Xingyiquan C",507,IF(Atletas!Q463="Baguazhang C",508,IF(Atletas!Q463="Outro Estilo Interno C",509,IF(Atletas!Q463="Xingyiquan D",510,IF(Atletas!Q463="Baguazhang D",511,IF(Atletas!Q463="Outro Estilo Interno D",512,IF(Atletas!Q463="Xingyiquan E",513,IF(Atletas!Q463="Baguazhang E",514,IF(Atletas!Q463="Outro Estilo Interno E",515,IF(Atletas!Q463="Xingyiquan F",516,IF(Atletas!Q463="Baguazhang F",517,IF(Atletas!Q463="Outro Estilo Interno F",518, "")))))))))))))))))))</f>
        <v/>
      </c>
      <c r="BZ472" s="50" t="str">
        <f>IF(Atletas!R463="","",IF(Atletas!X463&lt;&gt;"",10000,0)+IF(Atletas!B463="Feminino",1000,IF(Atletas!B463="Masculino",2000,""))+IF(Atletas!R463="Dao A",601,IF(Atletas!R463="Jian A",602,IF(Atletas!R463="Bishou A",603,IF(Atletas!R463="Shanzi A",604,IF(Atletas!R463="Outra Arma Curta A",605,IF(Atletas!R463="Dao B",606,IF(Atletas!R463="Jian B",607,IF(Atletas!R463="Bishou B",608,IF(Atletas!R463="Shanzi B",609,IF(Atletas!R463="Outra Arma Curta B",610,IF(Atletas!R463="Dao C",611,IF(Atletas!R463="Jian C",612,IF(Atletas!R463="Bishou C",613,IF(Atletas!R463="Shanzi C",614,IF(Atletas!R463="Outra Arma Curta C",615,IF(Atletas!R463="Dao D",616,IF(Atletas!R463="Jian D",617,IF(Atletas!R463="Bishou D",618,IF(Atletas!R463="Shanzi D",619,IF(Atletas!R463="Outra Arma Curta D",620,IF(Atletas!R463="Dao E",621,IF(Atletas!R463="Jian E",622,IF(Atletas!R463="Bishou E",623,IF(Atletas!R463="Shanzi E",624,IF(Atletas!R463="Outra Arma Curta E",625,IF(Atletas!R463="Dao F",626,IF(Atletas!R463="Jian F",627,IF(Atletas!R463="Bishou F",628,IF(Atletas!R463="Shanzi F",629,IF(Atletas!R463="Outra Arma Curta F",630, "")))))))))))))))))))))))))))))))</f>
        <v/>
      </c>
      <c r="CA472" s="50" t="str">
        <f>IF(Atletas!S463="","",IF(Atletas!X463&lt;&gt;"",10000,0)+IF(Atletas!B463="Feminino",1000,IF(Atletas!B463="Masculino",2000,""))+IF(Atletas!S463="Gun A",701,IF(Atletas!S463="Qiang A",702,IF(Atletas!S463="Pudao / Guandao A",703,IF(Atletas!S463="Outra Arma Longa A",704,IF(Atletas!S463="Gun B",705,IF(Atletas!S463="Qiang B",706,IF(Atletas!S463="Pudao / Guandao B",707,IF(Atletas!S463="Outra Arma Longa B",708,IF(Atletas!S463="Gun C",709,IF(Atletas!S463="Qiang C",710,IF(Atletas!S463="Pudao / Guandao C",711,IF(Atletas!S463="Outra Arma Longa C",712,IF(Atletas!S463="Gun D",713,IF(Atletas!S463="Qiang D",714,IF(Atletas!S463="Pudao / Guandao D",715,IF(Atletas!S463="Outra Arma Longa D",716,IF(Atletas!S463="Gun E",717,IF(Atletas!S463="Qiang E",718,IF(Atletas!S463="Pudao / Guandao E",719,IF(Atletas!S463="Outra Arma Longa E",720,IF(Atletas!S463="Gun F",721,IF(Atletas!S463="Qiang F",722,IF(Atletas!S463="Pudao / Guandao F",723,IF(Atletas!S463="Outra Arma Longa F",724,"")))))))))))))))))))))))))</f>
        <v/>
      </c>
      <c r="CB472" s="50" t="str">
        <f>IF(Atletas!T463="","",IF(Atletas!X463&lt;&gt;"",10000,0)+IF(Atletas!B463="Feminino",1000,IF(Atletas!B463="Masculino",2000,""))+IF(Atletas!T463="Outra Arma Dupla A",801,IF(Atletas!T463="Arma Maleável A",802,IF(Atletas!T463="Outra Arma Dupla B",803,IF(Atletas!T463="Arma Maleável B",804,IF(Atletas!T463="Outra Arma Dupla C",805,IF(Atletas!T463="Arma Maleável C",806,IF(Atletas!T463="Outra Arma Dupla D",807,IF(Atletas!T463="Arma Maleável D",808,IF(Atletas!T463="Outra Arma Dupla E",809,IF(Atletas!T463="Arma Maleável E",810,IF(Atletas!T463="Outra Arma Dupla F",811,IF(Atletas!T463="Arma Maleável F",812,IF(Atletas!T463="Shuangdao A",813,IF(Atletas!T463="Shuangdao B",814,IF(Atletas!T463="Shuangdao C",815,IF(Atletas!T463="Shuangdao D",816,IF(Atletas!T463="Shuangdao E",817,IF(Atletas!T463="Shuangdao F",818,"")))))))))))))))))))</f>
        <v/>
      </c>
      <c r="CC472" s="50" t="str">
        <f>IF(Atletas!U463="","",IF(Atletas!X463&lt;&gt;"",10000,0)+IF(Atletas!B463="Feminino",1000,IF(Atletas!B463="Masculino",2000,""))+IF(OR(Atletas!U463="Taijijian Yang A",Atletas!U463="Taijijian Yang Standard A"),901,IF(OR(Atletas!U463="Taijijian Chen A", Atletas!U463="Taijijian Chen Standard A"),902,IF(Atletas!U463="Taijijian Sun A",903,IF(Atletas!U463="Taijijian Wu A",904,IF(Atletas!U463="Taijijian Wu-Hao A",905,IF(OR(Atletas!U463="Taijijian 32 A",Atletas!U463="Taijijian 42 A"),906,IF(OR(Atletas!U463="Taijijian Yang B",Atletas!U463="Taijijian Yang Standard B"),907,IF(OR(Atletas!U463="Taijijian Chen B", Atletas!U463="Taijijian Chen Standard B"),908,IF(Atletas!U463="Taijijian Sun B",909,IF(Atletas!U463="Taijijian Wu B",910,IF(Atletas!U463="Taijijian Wu-Hao B",911,IF(OR(Atletas!U463="Taijijian 32 B",Atletas!U463="Taijijian 42 B"),912,IF(OR(Atletas!U463="Taijijian Yang C",Atletas!U463="Taijijian Yang Standard C"),913,IF(OR(Atletas!U463="Taijijian Chen C", Atletas!U463="Taijijian Chen Standard C"),914,IF(Atletas!U463="Taijijian Sun C",915,IF(Atletas!U463="Taijijian Wu C",916,IF(Atletas!U463="Taijijian Wu-Hao C",917,IF(OR(Atletas!U463="Taijijian 32 C",Atletas!U463="Taijijian 42 C"),918,IF(OR(Atletas!U463="Taijijian Yang D",Atletas!U463="Taijijian Yang Standard D"),919,IF(OR(Atletas!U463="Taijijian Chen D", Atletas!U463="Taijijian Chen Standard D"),920,IF(Atletas!U463="Taijijian Sun D",921,IF(Atletas!U463="Taijijian Wu D",922,IF(Atletas!U463="Taijijian Wu-Hao D",923,IF(OR(Atletas!U463="Taijijian 32 D",Atletas!U463="Taijijian 42 D"),924,IF(OR(Atletas!U463="Taijijian Yang E",Atletas!U463="Taijijian Yang Standard E"),925,IF(OR(Atletas!U463="Taijijian Chen E", Atletas!U463="Taijijian Chen Standard E"),926,IF(Atletas!U463="Taijijian Sun E",927,IF(Atletas!U463="Taijijian Wu E",928,IF(Atletas!U463="Taijijian Wu-Hao E",929,IF(OR(Atletas!U463="Taijijian 32 E",Atletas!U463="Taijijian 42 E"),930,IF(OR(Atletas!U463="Taijijian Yang F",Atletas!U463="Taijijian Yang Standard F"),931,IF(OR(Atletas!U463="Taijijian Chen F", Atletas!U463="Taijijian Chen Standard F"),932,IF(Atletas!U463="Taijijian Sun F",933,IF(Atletas!U463="Taijijian Wu F",934,IF(Atletas!U463="Taijijian Wu-Hao F",935,IF(OR(Atletas!U463="Taijijian 32 F",Atletas!U463="Taijijian 42 F"),936,"")))))))))))))))))))))))))))))))))))))</f>
        <v/>
      </c>
      <c r="CD472" s="50" t="str">
        <f>IF(Atletas!V463="","",IF(Atletas!X463&lt;&gt;"",10000,0)+IF(Atletas!B463="Feminino",1000,IF(Atletas!B463="Masculino",2000,""))+IF(Atletas!V463="Taijidao A",937,IF(Atletas!V463="TaijiShanzi A",938,IF(Atletas!V463="Taijiqiang A",939,IF(Atletas!V463="Bagua de Arma A",940,IF(Atletas!V463="Xingyi de Arma A",941,IF(Atletas!V463="Taijidao B",942,IF(Atletas!V463="TaijiShanzi B",943,IF(Atletas!V463="Taijiqiang B",944,IF(Atletas!V463="Bagua de Arma B",945,IF(Atletas!V463="Xingyi de Arma B",946,IF(Atletas!V463="Taijidao C",947,IF(Atletas!V463="TaijiShanzi C",948,IF(Atletas!V463="Taijiqiang C",949,IF(Atletas!V463="Bagua de Arma C",950,IF(Atletas!V463="Xingyi de Arma C",951,IF(Atletas!V463="Taijidao D",952,IF(Atletas!V463="TaijiShanzi D",953,IF(Atletas!V463="Taijiqiang D",954,IF(Atletas!V463="Bagua de Arma D",955,IF(Atletas!V463="Xingyi de Arma D",956,IF(Atletas!V463="Taijidao E",957,IF(Atletas!V463="TaijiShanzi E",958,IF(Atletas!V463="Taijiqiang E",959,IF(Atletas!V463="Bagua de Arma E",960,IF(Atletas!V463="Xingyi de Arma E",961,IF(Atletas!V463="Taijidao F",962,IF(Atletas!V463="TaijiShanzi F",963,IF(Atletas!V463="Taijiqiang F",964,IF(Atletas!V463="Bagua de Arma F",965,IF(Atletas!V463="Xingyi de Arma F",966,"")))))))))))))))))))))))))))))))</f>
        <v/>
      </c>
      <c r="CM472" s="50" t="str">
        <f xml:space="preserve"> IF(Atletas!W463="","",IF(Atletas!W463="Duilian de Mãos BC - Equipe 1",1,IF(Atletas!W463="Duilian de Mãos BC - Equipe 2",2,IF(Atletas!W463="Duilian de Armas BC - Equipe 1",3,IF(Atletas!W463="Duilian de Armas BC - Equipe 2",4,IF(Atletas!W463="Duilian de Mãos DE - Equipe 1",5,IF(Atletas!W463="Duilian de Mãos DE - Equipe 2",6,IF(Atletas!W463="Duilian de Armas DE - Equipe 1",7,IF(Atletas!W463="Duilian de Armas DE - Equipe 2",8,IF(Atletas!W463="Duilian de Tuishou - Equipe 1",9,IF(Atletas!W463="Duilian de Tuishou - Equipe 2",10,IF(Atletas!W463="Grupo Externo ABC - Equipe 1",11,IF(Atletas!W463="Grupo Externo ABC - Equipe 2",12,IF(Atletas!W463="Grupo Interno ABC - Equipe 1",13,IF(Atletas!W463="Grupo Interno ABC - Equipe 2",14,IF(Atletas!W463="Grupo Externo DEF - Equipe 1",15,IF(Atletas!W463="Grupo Externo DEF - Equipe 2",16,IF(Atletas!W463="Grupo Interno DEF - Equipe 1",17,IF(Atletas!W463="Grupo Interno DEF - Equipe 2",18,"")))))))))))))))))))</f>
        <v/>
      </c>
    </row>
    <row r="473" spans="40:91">
      <c r="AN473" s="52" t="str">
        <f>IF(Atletas!D464="","",IF(Atletas!B464="Feminino",100,IF(Atletas!B464="Masculino",200,""))+(IF(Atletas!D464="Kids 30kg",1,IF(Atletas!D464="Kids 32kg",2, IF(Atletas!D464="Kids 34kg",3,IF(Atletas!D464="Kids 36kg",4,IF(Atletas!D464="Kids 39kg",5,IF(Atletas!D464="Kids 42kg",6,IF(Atletas!D464="Kids 45kg",7, IF(Atletas!D464="Infantil 39kg",8,IF(Atletas!D464="Infantil 42kg",9,IF(Atletas!D464="Infantil 45kg",10,IF(Atletas!D464="Infantil 48kg",11,IF(Atletas!D464="Infantil 52kg",12,IF(Atletas!D464="Infantil 56kg",13,IF(Atletas!D464="Infantil 60kg",14,IF(Atletas!D464="Juvenil 48kg",15,IF(Atletas!D464="Juvenil 52kg",16,IF(Atletas!D464="Juvenil 56kg",17,IF(Atletas!D464="Juvenil 60kg",18,IF(Atletas!D464="Juvenil 65kg",19,IF(Atletas!D464="Juvenil 70kg",20,IF(Atletas!D464="Juvenil 75kg",21,IF(Atletas!D464="Juvenil 80kg",22, IF(Atletas!D464="Juvenil 85kg",23,IF(Atletas!D464="Adulto 48kg",24,IF(Atletas!D464="Adulto 52kg",25,IF(Atletas!D464="Adulto 56kg",26,IF(Atletas!D464="Adulto 60kg",27,IF(Atletas!D464="Adulto 65kg",28,IF(Atletas!D464="Adulto 70kg",29,IF(Atletas!D464="Adulto 75kg",30,IF(Atletas!D464="Adulto 80kg",31,IF(Atletas!D464="Adulto 85kg",32,IF(Atletas!D464="Adulto 90kg",33,IF(Atletas!D464="Adulto 100kg",34, IF(Atletas!D464="Adulto +100kg",35,"")))))))))))))))))))))))))))))))))))))</f>
        <v/>
      </c>
      <c r="AS473" s="6" t="str">
        <f>IF(Atletas!E464="","",IF(Atletas!B464="Feminino",100,IF(Atletas!B464="Masculino",200,""))+(IF(Atletas!E464="Juvenil 44kg",1,IF(Atletas!E464="Juvenil 48kg",2,IF(Atletas!E464="Juvenil 52kg",3,IF(Atletas!E464="Juvenil 56kg",4,IF(Atletas!E464="Juvenil 60kg",5,IF(Atletas!E464="Juvenil 65kg",6,IF(Atletas!E464="Juvenil 70kg",7,IF(Atletas!E464="Juvenil 75kg",8,IF(Atletas!E464="Juvenil 82kg",9,IF(Atletas!E464="Juvenil 90kg",10,IF(Atletas!E464="Juvenil 100kg",11,IF(Atletas!E464="Adulto 48kg",12,IF(Atletas!E464="Adulto 52kg",13,IF(Atletas!E464="Adulto 56kg",14,IF(Atletas!E464="Adulto 60kg",15,IF(Atletas!E464="Adulto 65kg",16,IF(Atletas!E464="Adulto 70kg",17,IF(Atletas!E464="Adulto 75kg",18,IF(Atletas!E464="Adulto 82kg",19,IF(Atletas!E464="Adulto 90kg",20,IF(Atletas!E464="Adulto 100kg",21,IF(Atletas!E464="Adulto +100kg",22,""))))))))))))))))))))))))</f>
        <v/>
      </c>
      <c r="AX473" s="6" t="str">
        <f>IF(Atletas!F464="","",IF(Atletas!B464="Feminino",100,IF(Atletas!B464="Masculino",200,""))+(IF(Atletas!F464="Adulto 48kg",1,IF(Atletas!F464="Adulto 56kg",2,IF(Atletas!F464="Adulto 65kg",3,IF(Atletas!F464="Adulto 75kg",4,IF(Atletas!F464="Adulto +75kg",5,IF(Atletas!F464="Adulto 52kg",6,IF(Atletas!F464="Adulto 60kg",7,IF(Atletas!F464="Adulto 70kg",8,IF(Atletas!F464="Adulto 80kg",9,IF(Atletas!F464="Adulto 90kg",10,IF(Atletas!F464="Adulto +90kg",11,"")))))))))))))</f>
        <v/>
      </c>
      <c r="BC473" s="6" t="str">
        <f>IF(Atletas!G464="","",IF(Atletas!B464="Feminino",10,IF(Atletas!B464="Masculino",20,""))+(IF(Atletas!G464="Baduanjin A",1,IF(Atletas!G464="Baduanjin B",2))))</f>
        <v/>
      </c>
      <c r="BF473" s="52" t="str">
        <f>IF(Atletas!H464="","",IF(Atletas!B464="Feminino",100,IF(Atletas!B464="Masculino",200,""))+(IF(Atletas!H464="Changquan Mirim",1,IF(Atletas!H464="Nanquan Mirim",2,IF(Atletas!H464="Taijiquan Mirim",3,IF(Atletas!H464="Changquan Grupo C",4,IF(Atletas!H464="Nanquan Grupo C",5,IF(Atletas!H464="Taijiquan Grupo C",6,IF(Atletas!H464="Changquan Grupo B",7,IF(Atletas!H464="Nanquan Grupo B",8,IF(Atletas!H464="Taijiquan Grupo B",9,IF(Atletas!H464="Changquan Grupo A",10,IF(Atletas!H464="Nanquan Grupo A",11,IF(Atletas!H464="Taijiquan Grupo A",12,IF(Atletas!H464="Changquan Opcional",13,IF(Atletas!H464="Nanquan Opcional",14,IF(Atletas!H464="Taijiquan Opcional",15,IF(Atletas!H464="Changquan Adulto",16,IF(Atletas!H464="Nanquan Adulto",17,IF(Atletas!H464="Taijiquan Adulto",18,""))))))))))))))))))))</f>
        <v/>
      </c>
      <c r="BG473" s="52" t="str">
        <f>IF(Atletas!I464="","",IF(Atletas!B464="Feminino",100,IF(Atletas!B464="Masculino",200,""))+(IF(Atletas!I464="Daoshu Mirim",19,IF(Atletas!I464="Jianshu Mirim",20,IF(Atletas!I464="Nandao Mirim",21,IF(Atletas!I464="Taijijian Mirim",22,IF(Atletas!I464="Daoshu Grupo C",23,IF(Atletas!I464="Jianshu Grupo C",24,IF(Atletas!I464="Nandao Grupo C",25,IF(Atletas!I464="Taijijian Grupo C",26,IF(Atletas!I464="Daoshu Grupo B",27,IF(Atletas!I464="Jianshu Grupo B",28,IF(Atletas!I464="Nandao Grupo B",29,IF(Atletas!I464="Taijijian Grupo B",30,IF(Atletas!I464="Daoshu Grupo A",31,IF(Atletas!I464="Jianshu Grupo A",32,IF(Atletas!I464="Nandao Grupo A",33,IF(Atletas!I464="Taijijian Grupo A",34,IF(Atletas!I464="Daoshu Opcional",35,IF(Atletas!I464="Jianshu Opcional",36,IF(Atletas!I464="Nandao Opcional",37,IF(Atletas!I464="Taijijian Opcional",38,IF(Atletas!I464="Daoshu Adulto",39,IF(Atletas!I464="Jianshu Adulto",40,IF(Atletas!I464="Nandao Adulto",41,IF(Atletas!I464="Taijijian Adulto",42,""))))))))))))))))))))))))))</f>
        <v/>
      </c>
      <c r="BH473" s="52" t="str">
        <f>IF(Atletas!J464="","",IF(Atletas!B464="Feminino",100,IF(Atletas!B464="Masculino",200,""))+(IF(Atletas!J464="Gunshu Mirim",43,IF(Atletas!J464="Qiangshu Mirim",44,IF(Atletas!J464="Nangun Mirim",45,IF(Atletas!J464="Gunshu Grupo C",46,IF(Atletas!J464="Qiangshu Grupo C",47,IF(Atletas!J464="Nangun Grupo C",48,IF(Atletas!J464="Gunshu Grupo B",49,IF(Atletas!J464="Qiangshu Grupo B",50,IF(Atletas!J464="Nangun Grupo B",51,IF(Atletas!J464="Gunshu Grupo A",52,IF(Atletas!J464="Qiangshu Grupo A",53,IF(Atletas!J464="Nangun Grupo A",54,IF(Atletas!J464="Gunshu Opcional",55,IF(Atletas!J464="Qiangshu Opcional",56,IF(Atletas!J464="Nangun Opcional",57,IF(Atletas!J464="Gunshu Adulto",58,IF(Atletas!J464="Qiangshu Adulto",59,IF(Atletas!J464="Nangun Adulto",60,IF(Atletas!J464="Taijishan Grupo B",61,IF(Atletas!J464="Taijishan Grupo A",62,""))))))))))))))))))))))</f>
        <v/>
      </c>
      <c r="BM473" s="50" t="str">
        <f>IF(Atletas!K464="","",IF(Atletas!B464="Feminino",100,IF(Atletas!B464="Masculino",200,""))+(IF(Atletas!K464="Equipe 1 Grupo B",1,IF(Atletas!K464="Equipe 2 Grupo B",2,IF(Atletas!K464="Equipe 1 Grupo A",3,IF(Atletas!K464="Equipe 2 Grupo A",4,IF(Atletas!K464="Equipe 1 Adulto",5,IF(Atletas!K464="Equipe 2 Adulto",6,""))))))))</f>
        <v/>
      </c>
      <c r="BR473" s="50" t="str">
        <f>IF(Atletas!L464="","",IF(Atletas!X464&lt;&gt;"",10000,0)+(IF(Atletas!B464="Feminino",1000,IF(Atletas!B464="Masculino",2000,""))+IF(Atletas!L464="Choylayfut A",1,IF(Atletas!L464="Hunggar A",2,IF(Atletas!L464="Wuzuquan A",3,IF(Atletas!L464="Wingchun A",4,IF(Atletas!L464="Outra Mão de Sul A",5,IF(Atletas!L464="Choylayfut B",6,IF(Atletas!L464="Hunggar B",7,IF(Atletas!L464="Wuzuquan B",8,IF(Atletas!L464="Wingchun B",9,IF(Atletas!L464="Outra Mão de Sul B",10,IF(Atletas!L464="Choylayfut C",11,IF(Atletas!L464="Hunggar C",12,IF(Atletas!L464="Wuzuquan C",13,IF(Atletas!L464="Wingchun C",14,IF(Atletas!L464="Outra Mão de Sul C",15,IF(Atletas!L464="Choylayfut D",16,IF(Atletas!L464="Hunggar D",17,IF(Atletas!L464="Wuzuquan D",18,IF(Atletas!L464="Wingchun D",19,IF(Atletas!L464="Outra Mão de Sul D",20,IF(Atletas!L464="Choylayfut E",21,IF(Atletas!L464="Hunggar E",22,IF(Atletas!L464="Wuzuquan E",23,IF(Atletas!L464="Wingchun E",24,IF(Atletas!L464="Outra Mão de Sul E",25,IF(Atletas!L464="Choylayfut F",26,IF(Atletas!L464="Hunggar F",27,IF(Atletas!L464="Wuzuquan F",28,IF(Atletas!L464="Wingchun F",29,IF(Atletas!L464="Outra Mão de Sul F",30,IF(Atletas!L464="Dishuquan A",31,IF(Atletas!L464="Dishuquan B",32,IF(Atletas!L464="Dishuquan C",33,IF(Atletas!L464="Dishuquan D",34,IF(Atletas!L464="Dishuquan E",35,IF(Atletas!L464="Dishuquan F",36,""))))))))))))))))))))))))))))))))))))))</f>
        <v/>
      </c>
      <c r="BS473" s="50" t="str">
        <f>IF(Atletas!M464="","",IF(Atletas!X464&lt;&gt;"",10000,0)+(IF(Atletas!B464="Feminino",1000,IF(Atletas!B464="Masculino",2000,""))+(IF(Atletas!M464="Chaquan A",101,IF(Atletas!M464="Emeiquan A",102,IF(Atletas!M464="Fanziquan A",103,IF(Atletas!M464="Huaquan A",104,IF(Atletas!M464="Hongquan A",105,IF(Atletas!M464="Paoquan A",106,IF(Atletas!M464="Piguaquan A",107,IF(Atletas!M464="Shaolinquan A",108,IF(Atletas!M464="Tanglangquan A",109,IF(Atletas!M464="Yingzhaoquan A",110,IF(Atletas!M464="Tongbeiquan A",111,IF(Atletas!M464="Wudangquan A",112,IF(Atletas!M464="Outros Estilos A",113,IF(Atletas!M464="Chaquan B",114,IF(Atletas!M464="Emeiquan B",115,IF(Atletas!M464="Fanziquan B",116,IF(Atletas!M464="Huaquan B",117,IF(Atletas!M464="Hongquan B",118,IF(Atletas!M464="Paoquan B",119,IF(Atletas!M464="Piguaquan B",120,IF(Atletas!M464="Shaolinquan B",121,IF(Atletas!M464="Tanglangquan B",122,IF(Atletas!M464="Yingzhaoquan B",123,IF(Atletas!M464="Tongbeiquan B",124,IF(Atletas!M464="Wudangquan B",125,IF(Atletas!M464="Outros Estilos B",126,IF(Atletas!M464="Chaquan C",127,IF(Atletas!M464="Emeiquan C",128,IF(Atletas!M464="Fanziquan C",129,IF(Atletas!M464="Huaquan C",130,IF(Atletas!M464="Hongquan C",131,IF(Atletas!M464="Paoquan C",132,IF(Atletas!M464="Piguaquan C",133,IF(Atletas!M464="Shaolinquan C",134,IF(Atletas!M464="Tanglangquan C",135,IF(Atletas!M464="Yingzhaoquan C",136,IF(Atletas!M464="Tongbeiquan C",137,IF(Atletas!M464="Wudangquan C",138,IF(Atletas!M464="Outros Estilos C",139,0))))))))))))))))))))))))))))))))))))))))))</f>
        <v/>
      </c>
      <c r="BT473" s="50" t="str">
        <f>IF(Atletas!M464="","",IF(Atletas!X464&lt;&gt;"",10000,0)+(IF(Atletas!B464="Feminino",1000,IF(Atletas!B464="Masculino",2000,""))+(IF(Atletas!M464="Chaquan D",140,IF(Atletas!M464="Emeiquan D",141,IF(Atletas!M464="Fanziquan D",142,IF(Atletas!M464="Huaquan D",143,IF(Atletas!M464="Hongquan D",144,IF(Atletas!M464="Paoquan D",145,IF(Atletas!M464="Piguaquan D",146,IF(Atletas!M464="Shaolinquan D",147,IF(Atletas!M464="Tanglangquan D",148,IF(Atletas!M464="Yingzhaoquan D",149,IF(Atletas!M464="Tongbeiquan D",150,IF(Atletas!M464="Wudangquan D",151,IF(Atletas!M464="Outros Estilos D",152,IF(Atletas!M464="Chaquan E",153,IF(Atletas!M464="Emeiquan E",154,IF(Atletas!M464="Fanziquan E",155,IF(Atletas!M464="Huaquan E",156,IF(Atletas!M464="Hongquan E",157,IF(Atletas!M464="Paoquan E",158,IF(Atletas!M464="Piguaquan E",159,IF(Atletas!M464="Shaolinquan E",160,IF(Atletas!M464="Tanglangquan E",161,IF(Atletas!M464="Yingzhaoquan E",162,IF(Atletas!M464="Tongbeiquan E",163,IF(Atletas!M464="Wudangquan E",164,IF(Atletas!M464="Outros Estilos E",165,IF(Atletas!M464="Chaquan F",166,IF(Atletas!M464="Emeiquan F",167,IF(Atletas!M464="Fanziquan F",168,IF(Atletas!M464="Huaquan F",169,IF(Atletas!M464="Hongquan F",170,IF(Atletas!M464="Paoquan F",171,IF(Atletas!M464="Piguaquan F",172,IF(Atletas!M464="Shaolinquan F",173,IF(Atletas!M464="Tanglangquan F",174,IF(Atletas!M464="Yingzhaoquan F",175,IF(Atletas!M464="Tongbeiquan F",176,IF(Atletas!M464="Wudangquan F",177,IF(Atletas!M464="Outros Estilos F",178,0))))))))))))))))))))))))))))))))))))))))))</f>
        <v/>
      </c>
      <c r="BU473" s="50" t="str">
        <f>IF(Atletas!N464="","",IF(Atletas!X464&lt;&gt;"",10000,0)+(IF(Atletas!B464="Feminino",1000,IF(Atletas!B464="Masculino",2000,""))+(IF(Atletas!N464="Ditangquan A",201,IF(Atletas!N464="Houquan A",202,IF(Atletas!N464="Zuiquan A",203,IF(Atletas!N464="Ditangquan B",204,IF(Atletas!N464="Houquan B",205,IF(Atletas!N464="Zuiquan B",206,IF(Atletas!N464="Ditangquan C",207,IF(Atletas!N464="Houquan C",208,IF(Atletas!N464="Zuiquan C",209,IF(Atletas!N464="Ditangquan D",210,IF(Atletas!N464="Houquan D",211,IF(Atletas!N464="Zuiquan D",212,IF(Atletas!N464="Ditangquan E",213,IF(Atletas!N464="Houquan E",214,IF(Atletas!N464="Zuiquan E",215,IF(Atletas!N464="Ditangquan F",216,IF(Atletas!N464="Houquan F",217,IF(Atletas!N464="Zuiquan F",218,"")))))))))))))))))))))</f>
        <v/>
      </c>
      <c r="BV473" s="50" t="str">
        <f>IF(Atletas!O464="","",IF(Atletas!X464&lt;&gt;"",10000,0)+IF(Atletas!B464="Feminino",1000,IF(Atletas!B464="Masculino",2000,""))+IF(Atletas!O464="Yang A",301,IF(Atletas!O464="Chen A",302,IF(Atletas!O464="Sun A",303,IF(Atletas!O464="Wu A",304,IF(Atletas!O464="Wu-Hao A",305,IF(Atletas!O464="Outro Taijiquan A",306,IF(Atletas!O464="Yang B",307,IF(Atletas!O464="Chen B",308,IF(Atletas!O464="Sun B",309,IF(Atletas!O464="Wu B",310,IF(Atletas!O464="Wu-Hao B",311,IF(Atletas!O464="Outro Taijiquan B",312,IF(Atletas!O464="Yang C",313,IF(Atletas!O464="Chen C",314,IF(Atletas!O464="Sun C",315,IF(Atletas!O464="Wu C",316,IF(Atletas!O464="Wu-Hao C",317,IF(Atletas!O464="Outro Taijiquan C",318,IF(Atletas!O464="Yang D",319,IF(Atletas!O464="Chen D",320,IF(Atletas!O464="Sun D",321,IF(Atletas!O464="Wu D",322,IF(Atletas!O464="Wu-Hao D",323,IF(Atletas!O464="Outro Taijiquan D",324,IF(Atletas!O464="Yang E",325,IF(Atletas!O464="Chen E",326,IF(Atletas!O464="Sun E",327,IF(Atletas!O464="Wu E",328,IF(Atletas!O464="Wu-Hao E",329,IF(Atletas!O464="Outro Taijiquan E",330,IF(Atletas!O464="Yang F",331,IF(Atletas!O464="Chen F",332,IF(Atletas!O464="Sun F",333,IF(Atletas!O464="Wu F",334,IF(Atletas!O464="Wu-Hao F",335,IF(Atletas!O464="Outro Taijiquan F",336,"")))))))))))))))))))))))))))))))))))))</f>
        <v/>
      </c>
      <c r="BW473" s="50" t="str">
        <f>IF(Atletas!P464="","",IF(Atletas!X464&lt;&gt;"",10000,0)+IF(Atletas!B464="Feminino",1000,IF(Atletas!B464="Masculino",2000,""))+IF(OR(Atletas!P464="Yang 26 A",Atletas!P464="Yang 40 A"),401,IF(OR(Atletas!P464="Chen 25 A",Atletas!P464="Chen 36 A",Atletas!P464="Chen 56 A"),402,IF(Atletas!P464="Sun 73 A",403,IF(Atletas!P464="Wu 45 A",404,IF(Atletas!P464="Wu-Hao 46 A",405,IF(OR(Atletas!P464="Taijiquan 16 A",Atletas!P464="Taijiquan 24 A",Atletas!P464="Taijiquan 32 A",Atletas!P464="Taijiquan 42 A"),406,IF(OR(Atletas!P464="Yang 26 B",Atletas!P464="Yang 40 B"),407,IF(OR(Atletas!P464="Chen 25 B",Atletas!P464="Chen 36 B",Atletas!P464="Chen 56 B"),408,IF(Atletas!P464="Sun 73 B",409,IF(Atletas!P464="Wu 45 B",410,IF(Atletas!P464="Wu-Hao 46 B",411,IF(OR(Atletas!P464="Taijiquan 16 B",Atletas!P464="Taijiquan 24 B",Atletas!P464="Taijiquan 32 B",Atletas!P464="Taijiquan 42 B"),412,IF(OR(Atletas!P464="Yang 26 C",Atletas!P464="Yang 40 C"),413,IF(OR(Atletas!P464="Chen 25 C",Atletas!P464="Chen 36 C",Atletas!P464="Chen 56 C"),414,IF(Atletas!P464="Sun 73 C",415,IF(Atletas!P464="Wu 45 C",416,IF(Atletas!P464="Wu-Hao 46 C",417,IF(OR(Atletas!P464="Taijiquan 16 C",Atletas!P464="Taijiquan 24 C",Atletas!P464="Taijiquan 32 C",Atletas!P464="Taijiquan 42 C"),418,0)))))))))))))))))))</f>
        <v/>
      </c>
      <c r="BX473" s="50" t="str">
        <f>IF(Atletas!P464="","",IF(Atletas!X464&lt;&gt;"",10000,0)+IF(Atletas!B464="Feminino",1000,IF(Atletas!B464="Masculino",2000,""))+IF(OR(Atletas!P464="Yang 26 D",Atletas!P464="Yang 40 D"),419,IF(OR(Atletas!P464="Chen 25 D",Atletas!P464="Chen 36 D",Atletas!P464="Chen 56 D"),420,IF(Atletas!P464="Sun 73 D",421,IF(Atletas!P464="Wu 45 D",422,IF(Atletas!P464="Wu-Hao 46 D",423,IF(OR(Atletas!P464="Taijiquan 16 D",Atletas!P464="Taijiquan 24 D",Atletas!P464="Taijiquan 32 D",Atletas!P464="Taijiquan 42 D"),424,IF(OR(Atletas!P464="Yang 26 E",Atletas!P464="Yang 40 E"),425,IF(OR(Atletas!P464="Chen 25 E",Atletas!P464="Chen 36 E",Atletas!P464="Chen 56 E"),426,IF(Atletas!P464="Sun 73 E",427,IF(Atletas!P464="Wu 45 E",428,IF(Atletas!P464="Wu-Hao 46 E",429,IF(OR(Atletas!P464="Taijiquan 16 E",Atletas!P464="Taijiquan 24 E",Atletas!P464="Taijiquan 32 E",Atletas!P464="Taijiquan 42 E"),430,IF(OR(Atletas!P464="Yang 26 F",Atletas!P464="Yang 40 F"),431,IF(OR(Atletas!P464="Chen 25 F",Atletas!P464="Chen 36 F",Atletas!P464="Chen 56 F"),432,IF(Atletas!P464="Sun 73 F",433,IF(Atletas!P464="Wu 45 F",434,IF(Atletas!P464="Wu-Hao 46 F",435,IF(OR(Atletas!P464="Taijiquan 16 F",Atletas!P464="Taijiquan 24 F",Atletas!P464="Taijiquan 32 F",Atletas!P464="Taijiquan 42 F"),436,0)))))))))))))))))))</f>
        <v/>
      </c>
      <c r="BY473" s="50" t="str">
        <f>IF(Atletas!Q464="","",IF(Atletas!X464&lt;&gt;"",10000,0)+IF(Atletas!B464="Feminino",1000,IF(Atletas!B464="Masculino",2000,""))+IF(Atletas!Q464="Xingyiquan A",501,IF(Atletas!Q464="Baguazhang A",502,IF(Atletas!Q464="Outro Estilo Interno A",503,IF(Atletas!Q464="Xingyiquan B",504,IF(Atletas!Q464="Baguazhang B",505,IF(Atletas!Q464="Outro Estilo Interno B",506,IF(Atletas!Q464="Xingyiquan C",507,IF(Atletas!Q464="Baguazhang C",508,IF(Atletas!Q464="Outro Estilo Interno C",509,IF(Atletas!Q464="Xingyiquan D",510,IF(Atletas!Q464="Baguazhang D",511,IF(Atletas!Q464="Outro Estilo Interno D",512,IF(Atletas!Q464="Xingyiquan E",513,IF(Atletas!Q464="Baguazhang E",514,IF(Atletas!Q464="Outro Estilo Interno E",515,IF(Atletas!Q464="Xingyiquan F",516,IF(Atletas!Q464="Baguazhang F",517,IF(Atletas!Q464="Outro Estilo Interno F",518, "")))))))))))))))))))</f>
        <v/>
      </c>
      <c r="BZ473" s="50" t="str">
        <f>IF(Atletas!R464="","",IF(Atletas!X464&lt;&gt;"",10000,0)+IF(Atletas!B464="Feminino",1000,IF(Atletas!B464="Masculino",2000,""))+IF(Atletas!R464="Dao A",601,IF(Atletas!R464="Jian A",602,IF(Atletas!R464="Bishou A",603,IF(Atletas!R464="Shanzi A",604,IF(Atletas!R464="Outra Arma Curta A",605,IF(Atletas!R464="Dao B",606,IF(Atletas!R464="Jian B",607,IF(Atletas!R464="Bishou B",608,IF(Atletas!R464="Shanzi B",609,IF(Atletas!R464="Outra Arma Curta B",610,IF(Atletas!R464="Dao C",611,IF(Atletas!R464="Jian C",612,IF(Atletas!R464="Bishou C",613,IF(Atletas!R464="Shanzi C",614,IF(Atletas!R464="Outra Arma Curta C",615,IF(Atletas!R464="Dao D",616,IF(Atletas!R464="Jian D",617,IF(Atletas!R464="Bishou D",618,IF(Atletas!R464="Shanzi D",619,IF(Atletas!R464="Outra Arma Curta D",620,IF(Atletas!R464="Dao E",621,IF(Atletas!R464="Jian E",622,IF(Atletas!R464="Bishou E",623,IF(Atletas!R464="Shanzi E",624,IF(Atletas!R464="Outra Arma Curta E",625,IF(Atletas!R464="Dao F",626,IF(Atletas!R464="Jian F",627,IF(Atletas!R464="Bishou F",628,IF(Atletas!R464="Shanzi F",629,IF(Atletas!R464="Outra Arma Curta F",630, "")))))))))))))))))))))))))))))))</f>
        <v/>
      </c>
      <c r="CA473" s="50" t="str">
        <f>IF(Atletas!S464="","",IF(Atletas!X464&lt;&gt;"",10000,0)+IF(Atletas!B464="Feminino",1000,IF(Atletas!B464="Masculino",2000,""))+IF(Atletas!S464="Gun A",701,IF(Atletas!S464="Qiang A",702,IF(Atletas!S464="Pudao / Guandao A",703,IF(Atletas!S464="Outra Arma Longa A",704,IF(Atletas!S464="Gun B",705,IF(Atletas!S464="Qiang B",706,IF(Atletas!S464="Pudao / Guandao B",707,IF(Atletas!S464="Outra Arma Longa B",708,IF(Atletas!S464="Gun C",709,IF(Atletas!S464="Qiang C",710,IF(Atletas!S464="Pudao / Guandao C",711,IF(Atletas!S464="Outra Arma Longa C",712,IF(Atletas!S464="Gun D",713,IF(Atletas!S464="Qiang D",714,IF(Atletas!S464="Pudao / Guandao D",715,IF(Atletas!S464="Outra Arma Longa D",716,IF(Atletas!S464="Gun E",717,IF(Atletas!S464="Qiang E",718,IF(Atletas!S464="Pudao / Guandao E",719,IF(Atletas!S464="Outra Arma Longa E",720,IF(Atletas!S464="Gun F",721,IF(Atletas!S464="Qiang F",722,IF(Atletas!S464="Pudao / Guandao F",723,IF(Atletas!S464="Outra Arma Longa F",724,"")))))))))))))))))))))))))</f>
        <v/>
      </c>
      <c r="CB473" s="50" t="str">
        <f>IF(Atletas!T464="","",IF(Atletas!X464&lt;&gt;"",10000,0)+IF(Atletas!B464="Feminino",1000,IF(Atletas!B464="Masculino",2000,""))+IF(Atletas!T464="Outra Arma Dupla A",801,IF(Atletas!T464="Arma Maleável A",802,IF(Atletas!T464="Outra Arma Dupla B",803,IF(Atletas!T464="Arma Maleável B",804,IF(Atletas!T464="Outra Arma Dupla C",805,IF(Atletas!T464="Arma Maleável C",806,IF(Atletas!T464="Outra Arma Dupla D",807,IF(Atletas!T464="Arma Maleável D",808,IF(Atletas!T464="Outra Arma Dupla E",809,IF(Atletas!T464="Arma Maleável E",810,IF(Atletas!T464="Outra Arma Dupla F",811,IF(Atletas!T464="Arma Maleável F",812,IF(Atletas!T464="Shuangdao A",813,IF(Atletas!T464="Shuangdao B",814,IF(Atletas!T464="Shuangdao C",815,IF(Atletas!T464="Shuangdao D",816,IF(Atletas!T464="Shuangdao E",817,IF(Atletas!T464="Shuangdao F",818,"")))))))))))))))))))</f>
        <v/>
      </c>
      <c r="CC473" s="50" t="str">
        <f>IF(Atletas!U464="","",IF(Atletas!X464&lt;&gt;"",10000,0)+IF(Atletas!B464="Feminino",1000,IF(Atletas!B464="Masculino",2000,""))+IF(OR(Atletas!U464="Taijijian Yang A",Atletas!U464="Taijijian Yang Standard A"),901,IF(OR(Atletas!U464="Taijijian Chen A", Atletas!U464="Taijijian Chen Standard A"),902,IF(Atletas!U464="Taijijian Sun A",903,IF(Atletas!U464="Taijijian Wu A",904,IF(Atletas!U464="Taijijian Wu-Hao A",905,IF(OR(Atletas!U464="Taijijian 32 A",Atletas!U464="Taijijian 42 A"),906,IF(OR(Atletas!U464="Taijijian Yang B",Atletas!U464="Taijijian Yang Standard B"),907,IF(OR(Atletas!U464="Taijijian Chen B", Atletas!U464="Taijijian Chen Standard B"),908,IF(Atletas!U464="Taijijian Sun B",909,IF(Atletas!U464="Taijijian Wu B",910,IF(Atletas!U464="Taijijian Wu-Hao B",911,IF(OR(Atletas!U464="Taijijian 32 B",Atletas!U464="Taijijian 42 B"),912,IF(OR(Atletas!U464="Taijijian Yang C",Atletas!U464="Taijijian Yang Standard C"),913,IF(OR(Atletas!U464="Taijijian Chen C", Atletas!U464="Taijijian Chen Standard C"),914,IF(Atletas!U464="Taijijian Sun C",915,IF(Atletas!U464="Taijijian Wu C",916,IF(Atletas!U464="Taijijian Wu-Hao C",917,IF(OR(Atletas!U464="Taijijian 32 C",Atletas!U464="Taijijian 42 C"),918,IF(OR(Atletas!U464="Taijijian Yang D",Atletas!U464="Taijijian Yang Standard D"),919,IF(OR(Atletas!U464="Taijijian Chen D", Atletas!U464="Taijijian Chen Standard D"),920,IF(Atletas!U464="Taijijian Sun D",921,IF(Atletas!U464="Taijijian Wu D",922,IF(Atletas!U464="Taijijian Wu-Hao D",923,IF(OR(Atletas!U464="Taijijian 32 D",Atletas!U464="Taijijian 42 D"),924,IF(OR(Atletas!U464="Taijijian Yang E",Atletas!U464="Taijijian Yang Standard E"),925,IF(OR(Atletas!U464="Taijijian Chen E", Atletas!U464="Taijijian Chen Standard E"),926,IF(Atletas!U464="Taijijian Sun E",927,IF(Atletas!U464="Taijijian Wu E",928,IF(Atletas!U464="Taijijian Wu-Hao E",929,IF(OR(Atletas!U464="Taijijian 32 E",Atletas!U464="Taijijian 42 E"),930,IF(OR(Atletas!U464="Taijijian Yang F",Atletas!U464="Taijijian Yang Standard F"),931,IF(OR(Atletas!U464="Taijijian Chen F", Atletas!U464="Taijijian Chen Standard F"),932,IF(Atletas!U464="Taijijian Sun F",933,IF(Atletas!U464="Taijijian Wu F",934,IF(Atletas!U464="Taijijian Wu-Hao F",935,IF(OR(Atletas!U464="Taijijian 32 F",Atletas!U464="Taijijian 42 F"),936,"")))))))))))))))))))))))))))))))))))))</f>
        <v/>
      </c>
      <c r="CD473" s="50" t="str">
        <f>IF(Atletas!V464="","",IF(Atletas!X464&lt;&gt;"",10000,0)+IF(Atletas!B464="Feminino",1000,IF(Atletas!B464="Masculino",2000,""))+IF(Atletas!V464="Taijidao A",937,IF(Atletas!V464="TaijiShanzi A",938,IF(Atletas!V464="Taijiqiang A",939,IF(Atletas!V464="Bagua de Arma A",940,IF(Atletas!V464="Xingyi de Arma A",941,IF(Atletas!V464="Taijidao B",942,IF(Atletas!V464="TaijiShanzi B",943,IF(Atletas!V464="Taijiqiang B",944,IF(Atletas!V464="Bagua de Arma B",945,IF(Atletas!V464="Xingyi de Arma B",946,IF(Atletas!V464="Taijidao C",947,IF(Atletas!V464="TaijiShanzi C",948,IF(Atletas!V464="Taijiqiang C",949,IF(Atletas!V464="Bagua de Arma C",950,IF(Atletas!V464="Xingyi de Arma C",951,IF(Atletas!V464="Taijidao D",952,IF(Atletas!V464="TaijiShanzi D",953,IF(Atletas!V464="Taijiqiang D",954,IF(Atletas!V464="Bagua de Arma D",955,IF(Atletas!V464="Xingyi de Arma D",956,IF(Atletas!V464="Taijidao E",957,IF(Atletas!V464="TaijiShanzi E",958,IF(Atletas!V464="Taijiqiang E",959,IF(Atletas!V464="Bagua de Arma E",960,IF(Atletas!V464="Xingyi de Arma E",961,IF(Atletas!V464="Taijidao F",962,IF(Atletas!V464="TaijiShanzi F",963,IF(Atletas!V464="Taijiqiang F",964,IF(Atletas!V464="Bagua de Arma F",965,IF(Atletas!V464="Xingyi de Arma F",966,"")))))))))))))))))))))))))))))))</f>
        <v/>
      </c>
      <c r="CM473" s="50" t="str">
        <f xml:space="preserve"> IF(Atletas!W464="","",IF(Atletas!W464="Duilian de Mãos BC - Equipe 1",1,IF(Atletas!W464="Duilian de Mãos BC - Equipe 2",2,IF(Atletas!W464="Duilian de Armas BC - Equipe 1",3,IF(Atletas!W464="Duilian de Armas BC - Equipe 2",4,IF(Atletas!W464="Duilian de Mãos DE - Equipe 1",5,IF(Atletas!W464="Duilian de Mãos DE - Equipe 2",6,IF(Atletas!W464="Duilian de Armas DE - Equipe 1",7,IF(Atletas!W464="Duilian de Armas DE - Equipe 2",8,IF(Atletas!W464="Duilian de Tuishou - Equipe 1",9,IF(Atletas!W464="Duilian de Tuishou - Equipe 2",10,IF(Atletas!W464="Grupo Externo ABC - Equipe 1",11,IF(Atletas!W464="Grupo Externo ABC - Equipe 2",12,IF(Atletas!W464="Grupo Interno ABC - Equipe 1",13,IF(Atletas!W464="Grupo Interno ABC - Equipe 2",14,IF(Atletas!W464="Grupo Externo DEF - Equipe 1",15,IF(Atletas!W464="Grupo Externo DEF - Equipe 2",16,IF(Atletas!W464="Grupo Interno DEF - Equipe 1",17,IF(Atletas!W464="Grupo Interno DEF - Equipe 2",18,"")))))))))))))))))))</f>
        <v/>
      </c>
    </row>
    <row r="474" spans="40:91">
      <c r="AN474" s="52" t="str">
        <f>IF(Atletas!D465="","",IF(Atletas!B465="Feminino",100,IF(Atletas!B465="Masculino",200,""))+(IF(Atletas!D465="Kids 30kg",1,IF(Atletas!D465="Kids 32kg",2, IF(Atletas!D465="Kids 34kg",3,IF(Atletas!D465="Kids 36kg",4,IF(Atletas!D465="Kids 39kg",5,IF(Atletas!D465="Kids 42kg",6,IF(Atletas!D465="Kids 45kg",7, IF(Atletas!D465="Infantil 39kg",8,IF(Atletas!D465="Infantil 42kg",9,IF(Atletas!D465="Infantil 45kg",10,IF(Atletas!D465="Infantil 48kg",11,IF(Atletas!D465="Infantil 52kg",12,IF(Atletas!D465="Infantil 56kg",13,IF(Atletas!D465="Infantil 60kg",14,IF(Atletas!D465="Juvenil 48kg",15,IF(Atletas!D465="Juvenil 52kg",16,IF(Atletas!D465="Juvenil 56kg",17,IF(Atletas!D465="Juvenil 60kg",18,IF(Atletas!D465="Juvenil 65kg",19,IF(Atletas!D465="Juvenil 70kg",20,IF(Atletas!D465="Juvenil 75kg",21,IF(Atletas!D465="Juvenil 80kg",22, IF(Atletas!D465="Juvenil 85kg",23,IF(Atletas!D465="Adulto 48kg",24,IF(Atletas!D465="Adulto 52kg",25,IF(Atletas!D465="Adulto 56kg",26,IF(Atletas!D465="Adulto 60kg",27,IF(Atletas!D465="Adulto 65kg",28,IF(Atletas!D465="Adulto 70kg",29,IF(Atletas!D465="Adulto 75kg",30,IF(Atletas!D465="Adulto 80kg",31,IF(Atletas!D465="Adulto 85kg",32,IF(Atletas!D465="Adulto 90kg",33,IF(Atletas!D465="Adulto 100kg",34, IF(Atletas!D465="Adulto +100kg",35,"")))))))))))))))))))))))))))))))))))))</f>
        <v/>
      </c>
      <c r="AS474" s="6" t="str">
        <f>IF(Atletas!E465="","",IF(Atletas!B465="Feminino",100,IF(Atletas!B465="Masculino",200,""))+(IF(Atletas!E465="Juvenil 44kg",1,IF(Atletas!E465="Juvenil 48kg",2,IF(Atletas!E465="Juvenil 52kg",3,IF(Atletas!E465="Juvenil 56kg",4,IF(Atletas!E465="Juvenil 60kg",5,IF(Atletas!E465="Juvenil 65kg",6,IF(Atletas!E465="Juvenil 70kg",7,IF(Atletas!E465="Juvenil 75kg",8,IF(Atletas!E465="Juvenil 82kg",9,IF(Atletas!E465="Juvenil 90kg",10,IF(Atletas!E465="Juvenil 100kg",11,IF(Atletas!E465="Adulto 48kg",12,IF(Atletas!E465="Adulto 52kg",13,IF(Atletas!E465="Adulto 56kg",14,IF(Atletas!E465="Adulto 60kg",15,IF(Atletas!E465="Adulto 65kg",16,IF(Atletas!E465="Adulto 70kg",17,IF(Atletas!E465="Adulto 75kg",18,IF(Atletas!E465="Adulto 82kg",19,IF(Atletas!E465="Adulto 90kg",20,IF(Atletas!E465="Adulto 100kg",21,IF(Atletas!E465="Adulto +100kg",22,""))))))))))))))))))))))))</f>
        <v/>
      </c>
      <c r="AX474" s="6" t="str">
        <f>IF(Atletas!F465="","",IF(Atletas!B465="Feminino",100,IF(Atletas!B465="Masculino",200,""))+(IF(Atletas!F465="Adulto 48kg",1,IF(Atletas!F465="Adulto 56kg",2,IF(Atletas!F465="Adulto 65kg",3,IF(Atletas!F465="Adulto 75kg",4,IF(Atletas!F465="Adulto +75kg",5,IF(Atletas!F465="Adulto 52kg",6,IF(Atletas!F465="Adulto 60kg",7,IF(Atletas!F465="Adulto 70kg",8,IF(Atletas!F465="Adulto 80kg",9,IF(Atletas!F465="Adulto 90kg",10,IF(Atletas!F465="Adulto +90kg",11,"")))))))))))))</f>
        <v/>
      </c>
      <c r="BC474" s="6" t="str">
        <f>IF(Atletas!G465="","",IF(Atletas!B465="Feminino",10,IF(Atletas!B465="Masculino",20,""))+(IF(Atletas!G465="Baduanjin A",1,IF(Atletas!G465="Baduanjin B",2))))</f>
        <v/>
      </c>
      <c r="BF474" s="52" t="str">
        <f>IF(Atletas!H465="","",IF(Atletas!B465="Feminino",100,IF(Atletas!B465="Masculino",200,""))+(IF(Atletas!H465="Changquan Mirim",1,IF(Atletas!H465="Nanquan Mirim",2,IF(Atletas!H465="Taijiquan Mirim",3,IF(Atletas!H465="Changquan Grupo C",4,IF(Atletas!H465="Nanquan Grupo C",5,IF(Atletas!H465="Taijiquan Grupo C",6,IF(Atletas!H465="Changquan Grupo B",7,IF(Atletas!H465="Nanquan Grupo B",8,IF(Atletas!H465="Taijiquan Grupo B",9,IF(Atletas!H465="Changquan Grupo A",10,IF(Atletas!H465="Nanquan Grupo A",11,IF(Atletas!H465="Taijiquan Grupo A",12,IF(Atletas!H465="Changquan Opcional",13,IF(Atletas!H465="Nanquan Opcional",14,IF(Atletas!H465="Taijiquan Opcional",15,IF(Atletas!H465="Changquan Adulto",16,IF(Atletas!H465="Nanquan Adulto",17,IF(Atletas!H465="Taijiquan Adulto",18,""))))))))))))))))))))</f>
        <v/>
      </c>
      <c r="BG474" s="52" t="str">
        <f>IF(Atletas!I465="","",IF(Atletas!B465="Feminino",100,IF(Atletas!B465="Masculino",200,""))+(IF(Atletas!I465="Daoshu Mirim",19,IF(Atletas!I465="Jianshu Mirim",20,IF(Atletas!I465="Nandao Mirim",21,IF(Atletas!I465="Taijijian Mirim",22,IF(Atletas!I465="Daoshu Grupo C",23,IF(Atletas!I465="Jianshu Grupo C",24,IF(Atletas!I465="Nandao Grupo C",25,IF(Atletas!I465="Taijijian Grupo C",26,IF(Atletas!I465="Daoshu Grupo B",27,IF(Atletas!I465="Jianshu Grupo B",28,IF(Atletas!I465="Nandao Grupo B",29,IF(Atletas!I465="Taijijian Grupo B",30,IF(Atletas!I465="Daoshu Grupo A",31,IF(Atletas!I465="Jianshu Grupo A",32,IF(Atletas!I465="Nandao Grupo A",33,IF(Atletas!I465="Taijijian Grupo A",34,IF(Atletas!I465="Daoshu Opcional",35,IF(Atletas!I465="Jianshu Opcional",36,IF(Atletas!I465="Nandao Opcional",37,IF(Atletas!I465="Taijijian Opcional",38,IF(Atletas!I465="Daoshu Adulto",39,IF(Atletas!I465="Jianshu Adulto",40,IF(Atletas!I465="Nandao Adulto",41,IF(Atletas!I465="Taijijian Adulto",42,""))))))))))))))))))))))))))</f>
        <v/>
      </c>
      <c r="BH474" s="52" t="str">
        <f>IF(Atletas!J465="","",IF(Atletas!B465="Feminino",100,IF(Atletas!B465="Masculino",200,""))+(IF(Atletas!J465="Gunshu Mirim",43,IF(Atletas!J465="Qiangshu Mirim",44,IF(Atletas!J465="Nangun Mirim",45,IF(Atletas!J465="Gunshu Grupo C",46,IF(Atletas!J465="Qiangshu Grupo C",47,IF(Atletas!J465="Nangun Grupo C",48,IF(Atletas!J465="Gunshu Grupo B",49,IF(Atletas!J465="Qiangshu Grupo B",50,IF(Atletas!J465="Nangun Grupo B",51,IF(Atletas!J465="Gunshu Grupo A",52,IF(Atletas!J465="Qiangshu Grupo A",53,IF(Atletas!J465="Nangun Grupo A",54,IF(Atletas!J465="Gunshu Opcional",55,IF(Atletas!J465="Qiangshu Opcional",56,IF(Atletas!J465="Nangun Opcional",57,IF(Atletas!J465="Gunshu Adulto",58,IF(Atletas!J465="Qiangshu Adulto",59,IF(Atletas!J465="Nangun Adulto",60,IF(Atletas!J465="Taijishan Grupo B",61,IF(Atletas!J465="Taijishan Grupo A",62,""))))))))))))))))))))))</f>
        <v/>
      </c>
      <c r="BM474" s="50" t="str">
        <f>IF(Atletas!K465="","",IF(Atletas!B465="Feminino",100,IF(Atletas!B465="Masculino",200,""))+(IF(Atletas!K465="Equipe 1 Grupo B",1,IF(Atletas!K465="Equipe 2 Grupo B",2,IF(Atletas!K465="Equipe 1 Grupo A",3,IF(Atletas!K465="Equipe 2 Grupo A",4,IF(Atletas!K465="Equipe 1 Adulto",5,IF(Atletas!K465="Equipe 2 Adulto",6,""))))))))</f>
        <v/>
      </c>
      <c r="BR474" s="50" t="str">
        <f>IF(Atletas!L465="","",IF(Atletas!X465&lt;&gt;"",10000,0)+(IF(Atletas!B465="Feminino",1000,IF(Atletas!B465="Masculino",2000,""))+IF(Atletas!L465="Choylayfut A",1,IF(Atletas!L465="Hunggar A",2,IF(Atletas!L465="Wuzuquan A",3,IF(Atletas!L465="Wingchun A",4,IF(Atletas!L465="Outra Mão de Sul A",5,IF(Atletas!L465="Choylayfut B",6,IF(Atletas!L465="Hunggar B",7,IF(Atletas!L465="Wuzuquan B",8,IF(Atletas!L465="Wingchun B",9,IF(Atletas!L465="Outra Mão de Sul B",10,IF(Atletas!L465="Choylayfut C",11,IF(Atletas!L465="Hunggar C",12,IF(Atletas!L465="Wuzuquan C",13,IF(Atletas!L465="Wingchun C",14,IF(Atletas!L465="Outra Mão de Sul C",15,IF(Atletas!L465="Choylayfut D",16,IF(Atletas!L465="Hunggar D",17,IF(Atletas!L465="Wuzuquan D",18,IF(Atletas!L465="Wingchun D",19,IF(Atletas!L465="Outra Mão de Sul D",20,IF(Atletas!L465="Choylayfut E",21,IF(Atletas!L465="Hunggar E",22,IF(Atletas!L465="Wuzuquan E",23,IF(Atletas!L465="Wingchun E",24,IF(Atletas!L465="Outra Mão de Sul E",25,IF(Atletas!L465="Choylayfut F",26,IF(Atletas!L465="Hunggar F",27,IF(Atletas!L465="Wuzuquan F",28,IF(Atletas!L465="Wingchun F",29,IF(Atletas!L465="Outra Mão de Sul F",30,IF(Atletas!L465="Dishuquan A",31,IF(Atletas!L465="Dishuquan B",32,IF(Atletas!L465="Dishuquan C",33,IF(Atletas!L465="Dishuquan D",34,IF(Atletas!L465="Dishuquan E",35,IF(Atletas!L465="Dishuquan F",36,""))))))))))))))))))))))))))))))))))))))</f>
        <v/>
      </c>
      <c r="BS474" s="50" t="str">
        <f>IF(Atletas!M465="","",IF(Atletas!X465&lt;&gt;"",10000,0)+(IF(Atletas!B465="Feminino",1000,IF(Atletas!B465="Masculino",2000,""))+(IF(Atletas!M465="Chaquan A",101,IF(Atletas!M465="Emeiquan A",102,IF(Atletas!M465="Fanziquan A",103,IF(Atletas!M465="Huaquan A",104,IF(Atletas!M465="Hongquan A",105,IF(Atletas!M465="Paoquan A",106,IF(Atletas!M465="Piguaquan A",107,IF(Atletas!M465="Shaolinquan A",108,IF(Atletas!M465="Tanglangquan A",109,IF(Atletas!M465="Yingzhaoquan A",110,IF(Atletas!M465="Tongbeiquan A",111,IF(Atletas!M465="Wudangquan A",112,IF(Atletas!M465="Outros Estilos A",113,IF(Atletas!M465="Chaquan B",114,IF(Atletas!M465="Emeiquan B",115,IF(Atletas!M465="Fanziquan B",116,IF(Atletas!M465="Huaquan B",117,IF(Atletas!M465="Hongquan B",118,IF(Atletas!M465="Paoquan B",119,IF(Atletas!M465="Piguaquan B",120,IF(Atletas!M465="Shaolinquan B",121,IF(Atletas!M465="Tanglangquan B",122,IF(Atletas!M465="Yingzhaoquan B",123,IF(Atletas!M465="Tongbeiquan B",124,IF(Atletas!M465="Wudangquan B",125,IF(Atletas!M465="Outros Estilos B",126,IF(Atletas!M465="Chaquan C",127,IF(Atletas!M465="Emeiquan C",128,IF(Atletas!M465="Fanziquan C",129,IF(Atletas!M465="Huaquan C",130,IF(Atletas!M465="Hongquan C",131,IF(Atletas!M465="Paoquan C",132,IF(Atletas!M465="Piguaquan C",133,IF(Atletas!M465="Shaolinquan C",134,IF(Atletas!M465="Tanglangquan C",135,IF(Atletas!M465="Yingzhaoquan C",136,IF(Atletas!M465="Tongbeiquan C",137,IF(Atletas!M465="Wudangquan C",138,IF(Atletas!M465="Outros Estilos C",139,0))))))))))))))))))))))))))))))))))))))))))</f>
        <v/>
      </c>
      <c r="BT474" s="50" t="str">
        <f>IF(Atletas!M465="","",IF(Atletas!X465&lt;&gt;"",10000,0)+(IF(Atletas!B465="Feminino",1000,IF(Atletas!B465="Masculino",2000,""))+(IF(Atletas!M465="Chaquan D",140,IF(Atletas!M465="Emeiquan D",141,IF(Atletas!M465="Fanziquan D",142,IF(Atletas!M465="Huaquan D",143,IF(Atletas!M465="Hongquan D",144,IF(Atletas!M465="Paoquan D",145,IF(Atletas!M465="Piguaquan D",146,IF(Atletas!M465="Shaolinquan D",147,IF(Atletas!M465="Tanglangquan D",148,IF(Atletas!M465="Yingzhaoquan D",149,IF(Atletas!M465="Tongbeiquan D",150,IF(Atletas!M465="Wudangquan D",151,IF(Atletas!M465="Outros Estilos D",152,IF(Atletas!M465="Chaquan E",153,IF(Atletas!M465="Emeiquan E",154,IF(Atletas!M465="Fanziquan E",155,IF(Atletas!M465="Huaquan E",156,IF(Atletas!M465="Hongquan E",157,IF(Atletas!M465="Paoquan E",158,IF(Atletas!M465="Piguaquan E",159,IF(Atletas!M465="Shaolinquan E",160,IF(Atletas!M465="Tanglangquan E",161,IF(Atletas!M465="Yingzhaoquan E",162,IF(Atletas!M465="Tongbeiquan E",163,IF(Atletas!M465="Wudangquan E",164,IF(Atletas!M465="Outros Estilos E",165,IF(Atletas!M465="Chaquan F",166,IF(Atletas!M465="Emeiquan F",167,IF(Atletas!M465="Fanziquan F",168,IF(Atletas!M465="Huaquan F",169,IF(Atletas!M465="Hongquan F",170,IF(Atletas!M465="Paoquan F",171,IF(Atletas!M465="Piguaquan F",172,IF(Atletas!M465="Shaolinquan F",173,IF(Atletas!M465="Tanglangquan F",174,IF(Atletas!M465="Yingzhaoquan F",175,IF(Atletas!M465="Tongbeiquan F",176,IF(Atletas!M465="Wudangquan F",177,IF(Atletas!M465="Outros Estilos F",178,0))))))))))))))))))))))))))))))))))))))))))</f>
        <v/>
      </c>
      <c r="BU474" s="50" t="str">
        <f>IF(Atletas!N465="","",IF(Atletas!X465&lt;&gt;"",10000,0)+(IF(Atletas!B465="Feminino",1000,IF(Atletas!B465="Masculino",2000,""))+(IF(Atletas!N465="Ditangquan A",201,IF(Atletas!N465="Houquan A",202,IF(Atletas!N465="Zuiquan A",203,IF(Atletas!N465="Ditangquan B",204,IF(Atletas!N465="Houquan B",205,IF(Atletas!N465="Zuiquan B",206,IF(Atletas!N465="Ditangquan C",207,IF(Atletas!N465="Houquan C",208,IF(Atletas!N465="Zuiquan C",209,IF(Atletas!N465="Ditangquan D",210,IF(Atletas!N465="Houquan D",211,IF(Atletas!N465="Zuiquan D",212,IF(Atletas!N465="Ditangquan E",213,IF(Atletas!N465="Houquan E",214,IF(Atletas!N465="Zuiquan E",215,IF(Atletas!N465="Ditangquan F",216,IF(Atletas!N465="Houquan F",217,IF(Atletas!N465="Zuiquan F",218,"")))))))))))))))))))))</f>
        <v/>
      </c>
      <c r="BV474" s="50" t="str">
        <f>IF(Atletas!O465="","",IF(Atletas!X465&lt;&gt;"",10000,0)+IF(Atletas!B465="Feminino",1000,IF(Atletas!B465="Masculino",2000,""))+IF(Atletas!O465="Yang A",301,IF(Atletas!O465="Chen A",302,IF(Atletas!O465="Sun A",303,IF(Atletas!O465="Wu A",304,IF(Atletas!O465="Wu-Hao A",305,IF(Atletas!O465="Outro Taijiquan A",306,IF(Atletas!O465="Yang B",307,IF(Atletas!O465="Chen B",308,IF(Atletas!O465="Sun B",309,IF(Atletas!O465="Wu B",310,IF(Atletas!O465="Wu-Hao B",311,IF(Atletas!O465="Outro Taijiquan B",312,IF(Atletas!O465="Yang C",313,IF(Atletas!O465="Chen C",314,IF(Atletas!O465="Sun C",315,IF(Atletas!O465="Wu C",316,IF(Atletas!O465="Wu-Hao C",317,IF(Atletas!O465="Outro Taijiquan C",318,IF(Atletas!O465="Yang D",319,IF(Atletas!O465="Chen D",320,IF(Atletas!O465="Sun D",321,IF(Atletas!O465="Wu D",322,IF(Atletas!O465="Wu-Hao D",323,IF(Atletas!O465="Outro Taijiquan D",324,IF(Atletas!O465="Yang E",325,IF(Atletas!O465="Chen E",326,IF(Atletas!O465="Sun E",327,IF(Atletas!O465="Wu E",328,IF(Atletas!O465="Wu-Hao E",329,IF(Atletas!O465="Outro Taijiquan E",330,IF(Atletas!O465="Yang F",331,IF(Atletas!O465="Chen F",332,IF(Atletas!O465="Sun F",333,IF(Atletas!O465="Wu F",334,IF(Atletas!O465="Wu-Hao F",335,IF(Atletas!O465="Outro Taijiquan F",336,"")))))))))))))))))))))))))))))))))))))</f>
        <v/>
      </c>
      <c r="BW474" s="50" t="str">
        <f>IF(Atletas!P465="","",IF(Atletas!X465&lt;&gt;"",10000,0)+IF(Atletas!B465="Feminino",1000,IF(Atletas!B465="Masculino",2000,""))+IF(OR(Atletas!P465="Yang 26 A",Atletas!P465="Yang 40 A"),401,IF(OR(Atletas!P465="Chen 25 A",Atletas!P465="Chen 36 A",Atletas!P465="Chen 56 A"),402,IF(Atletas!P465="Sun 73 A",403,IF(Atletas!P465="Wu 45 A",404,IF(Atletas!P465="Wu-Hao 46 A",405,IF(OR(Atletas!P465="Taijiquan 16 A",Atletas!P465="Taijiquan 24 A",Atletas!P465="Taijiquan 32 A",Atletas!P465="Taijiquan 42 A"),406,IF(OR(Atletas!P465="Yang 26 B",Atletas!P465="Yang 40 B"),407,IF(OR(Atletas!P465="Chen 25 B",Atletas!P465="Chen 36 B",Atletas!P465="Chen 56 B"),408,IF(Atletas!P465="Sun 73 B",409,IF(Atletas!P465="Wu 45 B",410,IF(Atletas!P465="Wu-Hao 46 B",411,IF(OR(Atletas!P465="Taijiquan 16 B",Atletas!P465="Taijiquan 24 B",Atletas!P465="Taijiquan 32 B",Atletas!P465="Taijiquan 42 B"),412,IF(OR(Atletas!P465="Yang 26 C",Atletas!P465="Yang 40 C"),413,IF(OR(Atletas!P465="Chen 25 C",Atletas!P465="Chen 36 C",Atletas!P465="Chen 56 C"),414,IF(Atletas!P465="Sun 73 C",415,IF(Atletas!P465="Wu 45 C",416,IF(Atletas!P465="Wu-Hao 46 C",417,IF(OR(Atletas!P465="Taijiquan 16 C",Atletas!P465="Taijiquan 24 C",Atletas!P465="Taijiquan 32 C",Atletas!P465="Taijiquan 42 C"),418,0)))))))))))))))))))</f>
        <v/>
      </c>
      <c r="BX474" s="50" t="str">
        <f>IF(Atletas!P465="","",IF(Atletas!X465&lt;&gt;"",10000,0)+IF(Atletas!B465="Feminino",1000,IF(Atletas!B465="Masculino",2000,""))+IF(OR(Atletas!P465="Yang 26 D",Atletas!P465="Yang 40 D"),419,IF(OR(Atletas!P465="Chen 25 D",Atletas!P465="Chen 36 D",Atletas!P465="Chen 56 D"),420,IF(Atletas!P465="Sun 73 D",421,IF(Atletas!P465="Wu 45 D",422,IF(Atletas!P465="Wu-Hao 46 D",423,IF(OR(Atletas!P465="Taijiquan 16 D",Atletas!P465="Taijiquan 24 D",Atletas!P465="Taijiquan 32 D",Atletas!P465="Taijiquan 42 D"),424,IF(OR(Atletas!P465="Yang 26 E",Atletas!P465="Yang 40 E"),425,IF(OR(Atletas!P465="Chen 25 E",Atletas!P465="Chen 36 E",Atletas!P465="Chen 56 E"),426,IF(Atletas!P465="Sun 73 E",427,IF(Atletas!P465="Wu 45 E",428,IF(Atletas!P465="Wu-Hao 46 E",429,IF(OR(Atletas!P465="Taijiquan 16 E",Atletas!P465="Taijiquan 24 E",Atletas!P465="Taijiquan 32 E",Atletas!P465="Taijiquan 42 E"),430,IF(OR(Atletas!P465="Yang 26 F",Atletas!P465="Yang 40 F"),431,IF(OR(Atletas!P465="Chen 25 F",Atletas!P465="Chen 36 F",Atletas!P465="Chen 56 F"),432,IF(Atletas!P465="Sun 73 F",433,IF(Atletas!P465="Wu 45 F",434,IF(Atletas!P465="Wu-Hao 46 F",435,IF(OR(Atletas!P465="Taijiquan 16 F",Atletas!P465="Taijiquan 24 F",Atletas!P465="Taijiquan 32 F",Atletas!P465="Taijiquan 42 F"),436,0)))))))))))))))))))</f>
        <v/>
      </c>
      <c r="BY474" s="50" t="str">
        <f>IF(Atletas!Q465="","",IF(Atletas!X465&lt;&gt;"",10000,0)+IF(Atletas!B465="Feminino",1000,IF(Atletas!B465="Masculino",2000,""))+IF(Atletas!Q465="Xingyiquan A",501,IF(Atletas!Q465="Baguazhang A",502,IF(Atletas!Q465="Outro Estilo Interno A",503,IF(Atletas!Q465="Xingyiquan B",504,IF(Atletas!Q465="Baguazhang B",505,IF(Atletas!Q465="Outro Estilo Interno B",506,IF(Atletas!Q465="Xingyiquan C",507,IF(Atletas!Q465="Baguazhang C",508,IF(Atletas!Q465="Outro Estilo Interno C",509,IF(Atletas!Q465="Xingyiquan D",510,IF(Atletas!Q465="Baguazhang D",511,IF(Atletas!Q465="Outro Estilo Interno D",512,IF(Atletas!Q465="Xingyiquan E",513,IF(Atletas!Q465="Baguazhang E",514,IF(Atletas!Q465="Outro Estilo Interno E",515,IF(Atletas!Q465="Xingyiquan F",516,IF(Atletas!Q465="Baguazhang F",517,IF(Atletas!Q465="Outro Estilo Interno F",518, "")))))))))))))))))))</f>
        <v/>
      </c>
      <c r="BZ474" s="50" t="str">
        <f>IF(Atletas!R465="","",IF(Atletas!X465&lt;&gt;"",10000,0)+IF(Atletas!B465="Feminino",1000,IF(Atletas!B465="Masculino",2000,""))+IF(Atletas!R465="Dao A",601,IF(Atletas!R465="Jian A",602,IF(Atletas!R465="Bishou A",603,IF(Atletas!R465="Shanzi A",604,IF(Atletas!R465="Outra Arma Curta A",605,IF(Atletas!R465="Dao B",606,IF(Atletas!R465="Jian B",607,IF(Atletas!R465="Bishou B",608,IF(Atletas!R465="Shanzi B",609,IF(Atletas!R465="Outra Arma Curta B",610,IF(Atletas!R465="Dao C",611,IF(Atletas!R465="Jian C",612,IF(Atletas!R465="Bishou C",613,IF(Atletas!R465="Shanzi C",614,IF(Atletas!R465="Outra Arma Curta C",615,IF(Atletas!R465="Dao D",616,IF(Atletas!R465="Jian D",617,IF(Atletas!R465="Bishou D",618,IF(Atletas!R465="Shanzi D",619,IF(Atletas!R465="Outra Arma Curta D",620,IF(Atletas!R465="Dao E",621,IF(Atletas!R465="Jian E",622,IF(Atletas!R465="Bishou E",623,IF(Atletas!R465="Shanzi E",624,IF(Atletas!R465="Outra Arma Curta E",625,IF(Atletas!R465="Dao F",626,IF(Atletas!R465="Jian F",627,IF(Atletas!R465="Bishou F",628,IF(Atletas!R465="Shanzi F",629,IF(Atletas!R465="Outra Arma Curta F",630, "")))))))))))))))))))))))))))))))</f>
        <v/>
      </c>
      <c r="CA474" s="50" t="str">
        <f>IF(Atletas!S465="","",IF(Atletas!X465&lt;&gt;"",10000,0)+IF(Atletas!B465="Feminino",1000,IF(Atletas!B465="Masculino",2000,""))+IF(Atletas!S465="Gun A",701,IF(Atletas!S465="Qiang A",702,IF(Atletas!S465="Pudao / Guandao A",703,IF(Atletas!S465="Outra Arma Longa A",704,IF(Atletas!S465="Gun B",705,IF(Atletas!S465="Qiang B",706,IF(Atletas!S465="Pudao / Guandao B",707,IF(Atletas!S465="Outra Arma Longa B",708,IF(Atletas!S465="Gun C",709,IF(Atletas!S465="Qiang C",710,IF(Atletas!S465="Pudao / Guandao C",711,IF(Atletas!S465="Outra Arma Longa C",712,IF(Atletas!S465="Gun D",713,IF(Atletas!S465="Qiang D",714,IF(Atletas!S465="Pudao / Guandao D",715,IF(Atletas!S465="Outra Arma Longa D",716,IF(Atletas!S465="Gun E",717,IF(Atletas!S465="Qiang E",718,IF(Atletas!S465="Pudao / Guandao E",719,IF(Atletas!S465="Outra Arma Longa E",720,IF(Atletas!S465="Gun F",721,IF(Atletas!S465="Qiang F",722,IF(Atletas!S465="Pudao / Guandao F",723,IF(Atletas!S465="Outra Arma Longa F",724,"")))))))))))))))))))))))))</f>
        <v/>
      </c>
      <c r="CB474" s="50" t="str">
        <f>IF(Atletas!T465="","",IF(Atletas!X465&lt;&gt;"",10000,0)+IF(Atletas!B465="Feminino",1000,IF(Atletas!B465="Masculino",2000,""))+IF(Atletas!T465="Outra Arma Dupla A",801,IF(Atletas!T465="Arma Maleável A",802,IF(Atletas!T465="Outra Arma Dupla B",803,IF(Atletas!T465="Arma Maleável B",804,IF(Atletas!T465="Outra Arma Dupla C",805,IF(Atletas!T465="Arma Maleável C",806,IF(Atletas!T465="Outra Arma Dupla D",807,IF(Atletas!T465="Arma Maleável D",808,IF(Atletas!T465="Outra Arma Dupla E",809,IF(Atletas!T465="Arma Maleável E",810,IF(Atletas!T465="Outra Arma Dupla F",811,IF(Atletas!T465="Arma Maleável F",812,IF(Atletas!T465="Shuangdao A",813,IF(Atletas!T465="Shuangdao B",814,IF(Atletas!T465="Shuangdao C",815,IF(Atletas!T465="Shuangdao D",816,IF(Atletas!T465="Shuangdao E",817,IF(Atletas!T465="Shuangdao F",818,"")))))))))))))))))))</f>
        <v/>
      </c>
      <c r="CC474" s="50" t="str">
        <f>IF(Atletas!U465="","",IF(Atletas!X465&lt;&gt;"",10000,0)+IF(Atletas!B465="Feminino",1000,IF(Atletas!B465="Masculino",2000,""))+IF(OR(Atletas!U465="Taijijian Yang A",Atletas!U465="Taijijian Yang Standard A"),901,IF(OR(Atletas!U465="Taijijian Chen A", Atletas!U465="Taijijian Chen Standard A"),902,IF(Atletas!U465="Taijijian Sun A",903,IF(Atletas!U465="Taijijian Wu A",904,IF(Atletas!U465="Taijijian Wu-Hao A",905,IF(OR(Atletas!U465="Taijijian 32 A",Atletas!U465="Taijijian 42 A"),906,IF(OR(Atletas!U465="Taijijian Yang B",Atletas!U465="Taijijian Yang Standard B"),907,IF(OR(Atletas!U465="Taijijian Chen B", Atletas!U465="Taijijian Chen Standard B"),908,IF(Atletas!U465="Taijijian Sun B",909,IF(Atletas!U465="Taijijian Wu B",910,IF(Atletas!U465="Taijijian Wu-Hao B",911,IF(OR(Atletas!U465="Taijijian 32 B",Atletas!U465="Taijijian 42 B"),912,IF(OR(Atletas!U465="Taijijian Yang C",Atletas!U465="Taijijian Yang Standard C"),913,IF(OR(Atletas!U465="Taijijian Chen C", Atletas!U465="Taijijian Chen Standard C"),914,IF(Atletas!U465="Taijijian Sun C",915,IF(Atletas!U465="Taijijian Wu C",916,IF(Atletas!U465="Taijijian Wu-Hao C",917,IF(OR(Atletas!U465="Taijijian 32 C",Atletas!U465="Taijijian 42 C"),918,IF(OR(Atletas!U465="Taijijian Yang D",Atletas!U465="Taijijian Yang Standard D"),919,IF(OR(Atletas!U465="Taijijian Chen D", Atletas!U465="Taijijian Chen Standard D"),920,IF(Atletas!U465="Taijijian Sun D",921,IF(Atletas!U465="Taijijian Wu D",922,IF(Atletas!U465="Taijijian Wu-Hao D",923,IF(OR(Atletas!U465="Taijijian 32 D",Atletas!U465="Taijijian 42 D"),924,IF(OR(Atletas!U465="Taijijian Yang E",Atletas!U465="Taijijian Yang Standard E"),925,IF(OR(Atletas!U465="Taijijian Chen E", Atletas!U465="Taijijian Chen Standard E"),926,IF(Atletas!U465="Taijijian Sun E",927,IF(Atletas!U465="Taijijian Wu E",928,IF(Atletas!U465="Taijijian Wu-Hao E",929,IF(OR(Atletas!U465="Taijijian 32 E",Atletas!U465="Taijijian 42 E"),930,IF(OR(Atletas!U465="Taijijian Yang F",Atletas!U465="Taijijian Yang Standard F"),931,IF(OR(Atletas!U465="Taijijian Chen F", Atletas!U465="Taijijian Chen Standard F"),932,IF(Atletas!U465="Taijijian Sun F",933,IF(Atletas!U465="Taijijian Wu F",934,IF(Atletas!U465="Taijijian Wu-Hao F",935,IF(OR(Atletas!U465="Taijijian 32 F",Atletas!U465="Taijijian 42 F"),936,"")))))))))))))))))))))))))))))))))))))</f>
        <v/>
      </c>
      <c r="CD474" s="50" t="str">
        <f>IF(Atletas!V465="","",IF(Atletas!X465&lt;&gt;"",10000,0)+IF(Atletas!B465="Feminino",1000,IF(Atletas!B465="Masculino",2000,""))+IF(Atletas!V465="Taijidao A",937,IF(Atletas!V465="TaijiShanzi A",938,IF(Atletas!V465="Taijiqiang A",939,IF(Atletas!V465="Bagua de Arma A",940,IF(Atletas!V465="Xingyi de Arma A",941,IF(Atletas!V465="Taijidao B",942,IF(Atletas!V465="TaijiShanzi B",943,IF(Atletas!V465="Taijiqiang B",944,IF(Atletas!V465="Bagua de Arma B",945,IF(Atletas!V465="Xingyi de Arma B",946,IF(Atletas!V465="Taijidao C",947,IF(Atletas!V465="TaijiShanzi C",948,IF(Atletas!V465="Taijiqiang C",949,IF(Atletas!V465="Bagua de Arma C",950,IF(Atletas!V465="Xingyi de Arma C",951,IF(Atletas!V465="Taijidao D",952,IF(Atletas!V465="TaijiShanzi D",953,IF(Atletas!V465="Taijiqiang D",954,IF(Atletas!V465="Bagua de Arma D",955,IF(Atletas!V465="Xingyi de Arma D",956,IF(Atletas!V465="Taijidao E",957,IF(Atletas!V465="TaijiShanzi E",958,IF(Atletas!V465="Taijiqiang E",959,IF(Atletas!V465="Bagua de Arma E",960,IF(Atletas!V465="Xingyi de Arma E",961,IF(Atletas!V465="Taijidao F",962,IF(Atletas!V465="TaijiShanzi F",963,IF(Atletas!V465="Taijiqiang F",964,IF(Atletas!V465="Bagua de Arma F",965,IF(Atletas!V465="Xingyi de Arma F",966,"")))))))))))))))))))))))))))))))</f>
        <v/>
      </c>
      <c r="CM474" s="50" t="str">
        <f xml:space="preserve"> IF(Atletas!W465="","",IF(Atletas!W465="Duilian de Mãos BC - Equipe 1",1,IF(Atletas!W465="Duilian de Mãos BC - Equipe 2",2,IF(Atletas!W465="Duilian de Armas BC - Equipe 1",3,IF(Atletas!W465="Duilian de Armas BC - Equipe 2",4,IF(Atletas!W465="Duilian de Mãos DE - Equipe 1",5,IF(Atletas!W465="Duilian de Mãos DE - Equipe 2",6,IF(Atletas!W465="Duilian de Armas DE - Equipe 1",7,IF(Atletas!W465="Duilian de Armas DE - Equipe 2",8,IF(Atletas!W465="Duilian de Tuishou - Equipe 1",9,IF(Atletas!W465="Duilian de Tuishou - Equipe 2",10,IF(Atletas!W465="Grupo Externo ABC - Equipe 1",11,IF(Atletas!W465="Grupo Externo ABC - Equipe 2",12,IF(Atletas!W465="Grupo Interno ABC - Equipe 1",13,IF(Atletas!W465="Grupo Interno ABC - Equipe 2",14,IF(Atletas!W465="Grupo Externo DEF - Equipe 1",15,IF(Atletas!W465="Grupo Externo DEF - Equipe 2",16,IF(Atletas!W465="Grupo Interno DEF - Equipe 1",17,IF(Atletas!W465="Grupo Interno DEF - Equipe 2",18,"")))))))))))))))))))</f>
        <v/>
      </c>
    </row>
    <row r="475" spans="40:91">
      <c r="AN475" s="52" t="str">
        <f>IF(Atletas!D466="","",IF(Atletas!B466="Feminino",100,IF(Atletas!B466="Masculino",200,""))+(IF(Atletas!D466="Kids 30kg",1,IF(Atletas!D466="Kids 32kg",2, IF(Atletas!D466="Kids 34kg",3,IF(Atletas!D466="Kids 36kg",4,IF(Atletas!D466="Kids 39kg",5,IF(Atletas!D466="Kids 42kg",6,IF(Atletas!D466="Kids 45kg",7, IF(Atletas!D466="Infantil 39kg",8,IF(Atletas!D466="Infantil 42kg",9,IF(Atletas!D466="Infantil 45kg",10,IF(Atletas!D466="Infantil 48kg",11,IF(Atletas!D466="Infantil 52kg",12,IF(Atletas!D466="Infantil 56kg",13,IF(Atletas!D466="Infantil 60kg",14,IF(Atletas!D466="Juvenil 48kg",15,IF(Atletas!D466="Juvenil 52kg",16,IF(Atletas!D466="Juvenil 56kg",17,IF(Atletas!D466="Juvenil 60kg",18,IF(Atletas!D466="Juvenil 65kg",19,IF(Atletas!D466="Juvenil 70kg",20,IF(Atletas!D466="Juvenil 75kg",21,IF(Atletas!D466="Juvenil 80kg",22, IF(Atletas!D466="Juvenil 85kg",23,IF(Atletas!D466="Adulto 48kg",24,IF(Atletas!D466="Adulto 52kg",25,IF(Atletas!D466="Adulto 56kg",26,IF(Atletas!D466="Adulto 60kg",27,IF(Atletas!D466="Adulto 65kg",28,IF(Atletas!D466="Adulto 70kg",29,IF(Atletas!D466="Adulto 75kg",30,IF(Atletas!D466="Adulto 80kg",31,IF(Atletas!D466="Adulto 85kg",32,IF(Atletas!D466="Adulto 90kg",33,IF(Atletas!D466="Adulto 100kg",34, IF(Atletas!D466="Adulto +100kg",35,"")))))))))))))))))))))))))))))))))))))</f>
        <v/>
      </c>
      <c r="AS475" s="6" t="str">
        <f>IF(Atletas!E466="","",IF(Atletas!B466="Feminino",100,IF(Atletas!B466="Masculino",200,""))+(IF(Atletas!E466="Juvenil 44kg",1,IF(Atletas!E466="Juvenil 48kg",2,IF(Atletas!E466="Juvenil 52kg",3,IF(Atletas!E466="Juvenil 56kg",4,IF(Atletas!E466="Juvenil 60kg",5,IF(Atletas!E466="Juvenil 65kg",6,IF(Atletas!E466="Juvenil 70kg",7,IF(Atletas!E466="Juvenil 75kg",8,IF(Atletas!E466="Juvenil 82kg",9,IF(Atletas!E466="Juvenil 90kg",10,IF(Atletas!E466="Juvenil 100kg",11,IF(Atletas!E466="Adulto 48kg",12,IF(Atletas!E466="Adulto 52kg",13,IF(Atletas!E466="Adulto 56kg",14,IF(Atletas!E466="Adulto 60kg",15,IF(Atletas!E466="Adulto 65kg",16,IF(Atletas!E466="Adulto 70kg",17,IF(Atletas!E466="Adulto 75kg",18,IF(Atletas!E466="Adulto 82kg",19,IF(Atletas!E466="Adulto 90kg",20,IF(Atletas!E466="Adulto 100kg",21,IF(Atletas!E466="Adulto +100kg",22,""))))))))))))))))))))))))</f>
        <v/>
      </c>
      <c r="AX475" s="6" t="str">
        <f>IF(Atletas!F466="","",IF(Atletas!B466="Feminino",100,IF(Atletas!B466="Masculino",200,""))+(IF(Atletas!F466="Adulto 48kg",1,IF(Atletas!F466="Adulto 56kg",2,IF(Atletas!F466="Adulto 65kg",3,IF(Atletas!F466="Adulto 75kg",4,IF(Atletas!F466="Adulto +75kg",5,IF(Atletas!F466="Adulto 52kg",6,IF(Atletas!F466="Adulto 60kg",7,IF(Atletas!F466="Adulto 70kg",8,IF(Atletas!F466="Adulto 80kg",9,IF(Atletas!F466="Adulto 90kg",10,IF(Atletas!F466="Adulto +90kg",11,"")))))))))))))</f>
        <v/>
      </c>
      <c r="BC475" s="6" t="str">
        <f>IF(Atletas!G466="","",IF(Atletas!B466="Feminino",10,IF(Atletas!B466="Masculino",20,""))+(IF(Atletas!G466="Baduanjin A",1,IF(Atletas!G466="Baduanjin B",2))))</f>
        <v/>
      </c>
      <c r="BF475" s="52" t="str">
        <f>IF(Atletas!H466="","",IF(Atletas!B466="Feminino",100,IF(Atletas!B466="Masculino",200,""))+(IF(Atletas!H466="Changquan Mirim",1,IF(Atletas!H466="Nanquan Mirim",2,IF(Atletas!H466="Taijiquan Mirim",3,IF(Atletas!H466="Changquan Grupo C",4,IF(Atletas!H466="Nanquan Grupo C",5,IF(Atletas!H466="Taijiquan Grupo C",6,IF(Atletas!H466="Changquan Grupo B",7,IF(Atletas!H466="Nanquan Grupo B",8,IF(Atletas!H466="Taijiquan Grupo B",9,IF(Atletas!H466="Changquan Grupo A",10,IF(Atletas!H466="Nanquan Grupo A",11,IF(Atletas!H466="Taijiquan Grupo A",12,IF(Atletas!H466="Changquan Opcional",13,IF(Atletas!H466="Nanquan Opcional",14,IF(Atletas!H466="Taijiquan Opcional",15,IF(Atletas!H466="Changquan Adulto",16,IF(Atletas!H466="Nanquan Adulto",17,IF(Atletas!H466="Taijiquan Adulto",18,""))))))))))))))))))))</f>
        <v/>
      </c>
      <c r="BG475" s="52" t="str">
        <f>IF(Atletas!I466="","",IF(Atletas!B466="Feminino",100,IF(Atletas!B466="Masculino",200,""))+(IF(Atletas!I466="Daoshu Mirim",19,IF(Atletas!I466="Jianshu Mirim",20,IF(Atletas!I466="Nandao Mirim",21,IF(Atletas!I466="Taijijian Mirim",22,IF(Atletas!I466="Daoshu Grupo C",23,IF(Atletas!I466="Jianshu Grupo C",24,IF(Atletas!I466="Nandao Grupo C",25,IF(Atletas!I466="Taijijian Grupo C",26,IF(Atletas!I466="Daoshu Grupo B",27,IF(Atletas!I466="Jianshu Grupo B",28,IF(Atletas!I466="Nandao Grupo B",29,IF(Atletas!I466="Taijijian Grupo B",30,IF(Atletas!I466="Daoshu Grupo A",31,IF(Atletas!I466="Jianshu Grupo A",32,IF(Atletas!I466="Nandao Grupo A",33,IF(Atletas!I466="Taijijian Grupo A",34,IF(Atletas!I466="Daoshu Opcional",35,IF(Atletas!I466="Jianshu Opcional",36,IF(Atletas!I466="Nandao Opcional",37,IF(Atletas!I466="Taijijian Opcional",38,IF(Atletas!I466="Daoshu Adulto",39,IF(Atletas!I466="Jianshu Adulto",40,IF(Atletas!I466="Nandao Adulto",41,IF(Atletas!I466="Taijijian Adulto",42,""))))))))))))))))))))))))))</f>
        <v/>
      </c>
      <c r="BH475" s="52" t="str">
        <f>IF(Atletas!J466="","",IF(Atletas!B466="Feminino",100,IF(Atletas!B466="Masculino",200,""))+(IF(Atletas!J466="Gunshu Mirim",43,IF(Atletas!J466="Qiangshu Mirim",44,IF(Atletas!J466="Nangun Mirim",45,IF(Atletas!J466="Gunshu Grupo C",46,IF(Atletas!J466="Qiangshu Grupo C",47,IF(Atletas!J466="Nangun Grupo C",48,IF(Atletas!J466="Gunshu Grupo B",49,IF(Atletas!J466="Qiangshu Grupo B",50,IF(Atletas!J466="Nangun Grupo B",51,IF(Atletas!J466="Gunshu Grupo A",52,IF(Atletas!J466="Qiangshu Grupo A",53,IF(Atletas!J466="Nangun Grupo A",54,IF(Atletas!J466="Gunshu Opcional",55,IF(Atletas!J466="Qiangshu Opcional",56,IF(Atletas!J466="Nangun Opcional",57,IF(Atletas!J466="Gunshu Adulto",58,IF(Atletas!J466="Qiangshu Adulto",59,IF(Atletas!J466="Nangun Adulto",60,IF(Atletas!J466="Taijishan Grupo B",61,IF(Atletas!J466="Taijishan Grupo A",62,""))))))))))))))))))))))</f>
        <v/>
      </c>
      <c r="BM475" s="50" t="str">
        <f>IF(Atletas!K466="","",IF(Atletas!B466="Feminino",100,IF(Atletas!B466="Masculino",200,""))+(IF(Atletas!K466="Equipe 1 Grupo B",1,IF(Atletas!K466="Equipe 2 Grupo B",2,IF(Atletas!K466="Equipe 1 Grupo A",3,IF(Atletas!K466="Equipe 2 Grupo A",4,IF(Atletas!K466="Equipe 1 Adulto",5,IF(Atletas!K466="Equipe 2 Adulto",6,""))))))))</f>
        <v/>
      </c>
      <c r="BR475" s="50" t="str">
        <f>IF(Atletas!L466="","",IF(Atletas!X466&lt;&gt;"",10000,0)+(IF(Atletas!B466="Feminino",1000,IF(Atletas!B466="Masculino",2000,""))+IF(Atletas!L466="Choylayfut A",1,IF(Atletas!L466="Hunggar A",2,IF(Atletas!L466="Wuzuquan A",3,IF(Atletas!L466="Wingchun A",4,IF(Atletas!L466="Outra Mão de Sul A",5,IF(Atletas!L466="Choylayfut B",6,IF(Atletas!L466="Hunggar B",7,IF(Atletas!L466="Wuzuquan B",8,IF(Atletas!L466="Wingchun B",9,IF(Atletas!L466="Outra Mão de Sul B",10,IF(Atletas!L466="Choylayfut C",11,IF(Atletas!L466="Hunggar C",12,IF(Atletas!L466="Wuzuquan C",13,IF(Atletas!L466="Wingchun C",14,IF(Atletas!L466="Outra Mão de Sul C",15,IF(Atletas!L466="Choylayfut D",16,IF(Atletas!L466="Hunggar D",17,IF(Atletas!L466="Wuzuquan D",18,IF(Atletas!L466="Wingchun D",19,IF(Atletas!L466="Outra Mão de Sul D",20,IF(Atletas!L466="Choylayfut E",21,IF(Atletas!L466="Hunggar E",22,IF(Atletas!L466="Wuzuquan E",23,IF(Atletas!L466="Wingchun E",24,IF(Atletas!L466="Outra Mão de Sul E",25,IF(Atletas!L466="Choylayfut F",26,IF(Atletas!L466="Hunggar F",27,IF(Atletas!L466="Wuzuquan F",28,IF(Atletas!L466="Wingchun F",29,IF(Atletas!L466="Outra Mão de Sul F",30,IF(Atletas!L466="Dishuquan A",31,IF(Atletas!L466="Dishuquan B",32,IF(Atletas!L466="Dishuquan C",33,IF(Atletas!L466="Dishuquan D",34,IF(Atletas!L466="Dishuquan E",35,IF(Atletas!L466="Dishuquan F",36,""))))))))))))))))))))))))))))))))))))))</f>
        <v/>
      </c>
      <c r="BS475" s="50" t="str">
        <f>IF(Atletas!M466="","",IF(Atletas!X466&lt;&gt;"",10000,0)+(IF(Atletas!B466="Feminino",1000,IF(Atletas!B466="Masculino",2000,""))+(IF(Atletas!M466="Chaquan A",101,IF(Atletas!M466="Emeiquan A",102,IF(Atletas!M466="Fanziquan A",103,IF(Atletas!M466="Huaquan A",104,IF(Atletas!M466="Hongquan A",105,IF(Atletas!M466="Paoquan A",106,IF(Atletas!M466="Piguaquan A",107,IF(Atletas!M466="Shaolinquan A",108,IF(Atletas!M466="Tanglangquan A",109,IF(Atletas!M466="Yingzhaoquan A",110,IF(Atletas!M466="Tongbeiquan A",111,IF(Atletas!M466="Wudangquan A",112,IF(Atletas!M466="Outros Estilos A",113,IF(Atletas!M466="Chaquan B",114,IF(Atletas!M466="Emeiquan B",115,IF(Atletas!M466="Fanziquan B",116,IF(Atletas!M466="Huaquan B",117,IF(Atletas!M466="Hongquan B",118,IF(Atletas!M466="Paoquan B",119,IF(Atletas!M466="Piguaquan B",120,IF(Atletas!M466="Shaolinquan B",121,IF(Atletas!M466="Tanglangquan B",122,IF(Atletas!M466="Yingzhaoquan B",123,IF(Atletas!M466="Tongbeiquan B",124,IF(Atletas!M466="Wudangquan B",125,IF(Atletas!M466="Outros Estilos B",126,IF(Atletas!M466="Chaquan C",127,IF(Atletas!M466="Emeiquan C",128,IF(Atletas!M466="Fanziquan C",129,IF(Atletas!M466="Huaquan C",130,IF(Atletas!M466="Hongquan C",131,IF(Atletas!M466="Paoquan C",132,IF(Atletas!M466="Piguaquan C",133,IF(Atletas!M466="Shaolinquan C",134,IF(Atletas!M466="Tanglangquan C",135,IF(Atletas!M466="Yingzhaoquan C",136,IF(Atletas!M466="Tongbeiquan C",137,IF(Atletas!M466="Wudangquan C",138,IF(Atletas!M466="Outros Estilos C",139,0))))))))))))))))))))))))))))))))))))))))))</f>
        <v/>
      </c>
      <c r="BT475" s="50" t="str">
        <f>IF(Atletas!M466="","",IF(Atletas!X466&lt;&gt;"",10000,0)+(IF(Atletas!B466="Feminino",1000,IF(Atletas!B466="Masculino",2000,""))+(IF(Atletas!M466="Chaquan D",140,IF(Atletas!M466="Emeiquan D",141,IF(Atletas!M466="Fanziquan D",142,IF(Atletas!M466="Huaquan D",143,IF(Atletas!M466="Hongquan D",144,IF(Atletas!M466="Paoquan D",145,IF(Atletas!M466="Piguaquan D",146,IF(Atletas!M466="Shaolinquan D",147,IF(Atletas!M466="Tanglangquan D",148,IF(Atletas!M466="Yingzhaoquan D",149,IF(Atletas!M466="Tongbeiquan D",150,IF(Atletas!M466="Wudangquan D",151,IF(Atletas!M466="Outros Estilos D",152,IF(Atletas!M466="Chaquan E",153,IF(Atletas!M466="Emeiquan E",154,IF(Atletas!M466="Fanziquan E",155,IF(Atletas!M466="Huaquan E",156,IF(Atletas!M466="Hongquan E",157,IF(Atletas!M466="Paoquan E",158,IF(Atletas!M466="Piguaquan E",159,IF(Atletas!M466="Shaolinquan E",160,IF(Atletas!M466="Tanglangquan E",161,IF(Atletas!M466="Yingzhaoquan E",162,IF(Atletas!M466="Tongbeiquan E",163,IF(Atletas!M466="Wudangquan E",164,IF(Atletas!M466="Outros Estilos E",165,IF(Atletas!M466="Chaquan F",166,IF(Atletas!M466="Emeiquan F",167,IF(Atletas!M466="Fanziquan F",168,IF(Atletas!M466="Huaquan F",169,IF(Atletas!M466="Hongquan F",170,IF(Atletas!M466="Paoquan F",171,IF(Atletas!M466="Piguaquan F",172,IF(Atletas!M466="Shaolinquan F",173,IF(Atletas!M466="Tanglangquan F",174,IF(Atletas!M466="Yingzhaoquan F",175,IF(Atletas!M466="Tongbeiquan F",176,IF(Atletas!M466="Wudangquan F",177,IF(Atletas!M466="Outros Estilos F",178,0))))))))))))))))))))))))))))))))))))))))))</f>
        <v/>
      </c>
      <c r="BU475" s="50" t="str">
        <f>IF(Atletas!N466="","",IF(Atletas!X466&lt;&gt;"",10000,0)+(IF(Atletas!B466="Feminino",1000,IF(Atletas!B466="Masculino",2000,""))+(IF(Atletas!N466="Ditangquan A",201,IF(Atletas!N466="Houquan A",202,IF(Atletas!N466="Zuiquan A",203,IF(Atletas!N466="Ditangquan B",204,IF(Atletas!N466="Houquan B",205,IF(Atletas!N466="Zuiquan B",206,IF(Atletas!N466="Ditangquan C",207,IF(Atletas!N466="Houquan C",208,IF(Atletas!N466="Zuiquan C",209,IF(Atletas!N466="Ditangquan D",210,IF(Atletas!N466="Houquan D",211,IF(Atletas!N466="Zuiquan D",212,IF(Atletas!N466="Ditangquan E",213,IF(Atletas!N466="Houquan E",214,IF(Atletas!N466="Zuiquan E",215,IF(Atletas!N466="Ditangquan F",216,IF(Atletas!N466="Houquan F",217,IF(Atletas!N466="Zuiquan F",218,"")))))))))))))))))))))</f>
        <v/>
      </c>
      <c r="BV475" s="50" t="str">
        <f>IF(Atletas!O466="","",IF(Atletas!X466&lt;&gt;"",10000,0)+IF(Atletas!B466="Feminino",1000,IF(Atletas!B466="Masculino",2000,""))+IF(Atletas!O466="Yang A",301,IF(Atletas!O466="Chen A",302,IF(Atletas!O466="Sun A",303,IF(Atletas!O466="Wu A",304,IF(Atletas!O466="Wu-Hao A",305,IF(Atletas!O466="Outro Taijiquan A",306,IF(Atletas!O466="Yang B",307,IF(Atletas!O466="Chen B",308,IF(Atletas!O466="Sun B",309,IF(Atletas!O466="Wu B",310,IF(Atletas!O466="Wu-Hao B",311,IF(Atletas!O466="Outro Taijiquan B",312,IF(Atletas!O466="Yang C",313,IF(Atletas!O466="Chen C",314,IF(Atletas!O466="Sun C",315,IF(Atletas!O466="Wu C",316,IF(Atletas!O466="Wu-Hao C",317,IF(Atletas!O466="Outro Taijiquan C",318,IF(Atletas!O466="Yang D",319,IF(Atletas!O466="Chen D",320,IF(Atletas!O466="Sun D",321,IF(Atletas!O466="Wu D",322,IF(Atletas!O466="Wu-Hao D",323,IF(Atletas!O466="Outro Taijiquan D",324,IF(Atletas!O466="Yang E",325,IF(Atletas!O466="Chen E",326,IF(Atletas!O466="Sun E",327,IF(Atletas!O466="Wu E",328,IF(Atletas!O466="Wu-Hao E",329,IF(Atletas!O466="Outro Taijiquan E",330,IF(Atletas!O466="Yang F",331,IF(Atletas!O466="Chen F",332,IF(Atletas!O466="Sun F",333,IF(Atletas!O466="Wu F",334,IF(Atletas!O466="Wu-Hao F",335,IF(Atletas!O466="Outro Taijiquan F",336,"")))))))))))))))))))))))))))))))))))))</f>
        <v/>
      </c>
      <c r="BW475" s="50" t="str">
        <f>IF(Atletas!P466="","",IF(Atletas!X466&lt;&gt;"",10000,0)+IF(Atletas!B466="Feminino",1000,IF(Atletas!B466="Masculino",2000,""))+IF(OR(Atletas!P466="Yang 26 A",Atletas!P466="Yang 40 A"),401,IF(OR(Atletas!P466="Chen 25 A",Atletas!P466="Chen 36 A",Atletas!P466="Chen 56 A"),402,IF(Atletas!P466="Sun 73 A",403,IF(Atletas!P466="Wu 45 A",404,IF(Atletas!P466="Wu-Hao 46 A",405,IF(OR(Atletas!P466="Taijiquan 16 A",Atletas!P466="Taijiquan 24 A",Atletas!P466="Taijiquan 32 A",Atletas!P466="Taijiquan 42 A"),406,IF(OR(Atletas!P466="Yang 26 B",Atletas!P466="Yang 40 B"),407,IF(OR(Atletas!P466="Chen 25 B",Atletas!P466="Chen 36 B",Atletas!P466="Chen 56 B"),408,IF(Atletas!P466="Sun 73 B",409,IF(Atletas!P466="Wu 45 B",410,IF(Atletas!P466="Wu-Hao 46 B",411,IF(OR(Atletas!P466="Taijiquan 16 B",Atletas!P466="Taijiquan 24 B",Atletas!P466="Taijiquan 32 B",Atletas!P466="Taijiquan 42 B"),412,IF(OR(Atletas!P466="Yang 26 C",Atletas!P466="Yang 40 C"),413,IF(OR(Atletas!P466="Chen 25 C",Atletas!P466="Chen 36 C",Atletas!P466="Chen 56 C"),414,IF(Atletas!P466="Sun 73 C",415,IF(Atletas!P466="Wu 45 C",416,IF(Atletas!P466="Wu-Hao 46 C",417,IF(OR(Atletas!P466="Taijiquan 16 C",Atletas!P466="Taijiquan 24 C",Atletas!P466="Taijiquan 32 C",Atletas!P466="Taijiquan 42 C"),418,0)))))))))))))))))))</f>
        <v/>
      </c>
      <c r="BX475" s="50" t="str">
        <f>IF(Atletas!P466="","",IF(Atletas!X466&lt;&gt;"",10000,0)+IF(Atletas!B466="Feminino",1000,IF(Atletas!B466="Masculino",2000,""))+IF(OR(Atletas!P466="Yang 26 D",Atletas!P466="Yang 40 D"),419,IF(OR(Atletas!P466="Chen 25 D",Atletas!P466="Chen 36 D",Atletas!P466="Chen 56 D"),420,IF(Atletas!P466="Sun 73 D",421,IF(Atletas!P466="Wu 45 D",422,IF(Atletas!P466="Wu-Hao 46 D",423,IF(OR(Atletas!P466="Taijiquan 16 D",Atletas!P466="Taijiquan 24 D",Atletas!P466="Taijiquan 32 D",Atletas!P466="Taijiquan 42 D"),424,IF(OR(Atletas!P466="Yang 26 E",Atletas!P466="Yang 40 E"),425,IF(OR(Atletas!P466="Chen 25 E",Atletas!P466="Chen 36 E",Atletas!P466="Chen 56 E"),426,IF(Atletas!P466="Sun 73 E",427,IF(Atletas!P466="Wu 45 E",428,IF(Atletas!P466="Wu-Hao 46 E",429,IF(OR(Atletas!P466="Taijiquan 16 E",Atletas!P466="Taijiquan 24 E",Atletas!P466="Taijiquan 32 E",Atletas!P466="Taijiquan 42 E"),430,IF(OR(Atletas!P466="Yang 26 F",Atletas!P466="Yang 40 F"),431,IF(OR(Atletas!P466="Chen 25 F",Atletas!P466="Chen 36 F",Atletas!P466="Chen 56 F"),432,IF(Atletas!P466="Sun 73 F",433,IF(Atletas!P466="Wu 45 F",434,IF(Atletas!P466="Wu-Hao 46 F",435,IF(OR(Atletas!P466="Taijiquan 16 F",Atletas!P466="Taijiquan 24 F",Atletas!P466="Taijiquan 32 F",Atletas!P466="Taijiquan 42 F"),436,0)))))))))))))))))))</f>
        <v/>
      </c>
      <c r="BY475" s="50" t="str">
        <f>IF(Atletas!Q466="","",IF(Atletas!X466&lt;&gt;"",10000,0)+IF(Atletas!B466="Feminino",1000,IF(Atletas!B466="Masculino",2000,""))+IF(Atletas!Q466="Xingyiquan A",501,IF(Atletas!Q466="Baguazhang A",502,IF(Atletas!Q466="Outro Estilo Interno A",503,IF(Atletas!Q466="Xingyiquan B",504,IF(Atletas!Q466="Baguazhang B",505,IF(Atletas!Q466="Outro Estilo Interno B",506,IF(Atletas!Q466="Xingyiquan C",507,IF(Atletas!Q466="Baguazhang C",508,IF(Atletas!Q466="Outro Estilo Interno C",509,IF(Atletas!Q466="Xingyiquan D",510,IF(Atletas!Q466="Baguazhang D",511,IF(Atletas!Q466="Outro Estilo Interno D",512,IF(Atletas!Q466="Xingyiquan E",513,IF(Atletas!Q466="Baguazhang E",514,IF(Atletas!Q466="Outro Estilo Interno E",515,IF(Atletas!Q466="Xingyiquan F",516,IF(Atletas!Q466="Baguazhang F",517,IF(Atletas!Q466="Outro Estilo Interno F",518, "")))))))))))))))))))</f>
        <v/>
      </c>
      <c r="BZ475" s="50" t="str">
        <f>IF(Atletas!R466="","",IF(Atletas!X466&lt;&gt;"",10000,0)+IF(Atletas!B466="Feminino",1000,IF(Atletas!B466="Masculino",2000,""))+IF(Atletas!R466="Dao A",601,IF(Atletas!R466="Jian A",602,IF(Atletas!R466="Bishou A",603,IF(Atletas!R466="Shanzi A",604,IF(Atletas!R466="Outra Arma Curta A",605,IF(Atletas!R466="Dao B",606,IF(Atletas!R466="Jian B",607,IF(Atletas!R466="Bishou B",608,IF(Atletas!R466="Shanzi B",609,IF(Atletas!R466="Outra Arma Curta B",610,IF(Atletas!R466="Dao C",611,IF(Atletas!R466="Jian C",612,IF(Atletas!R466="Bishou C",613,IF(Atletas!R466="Shanzi C",614,IF(Atletas!R466="Outra Arma Curta C",615,IF(Atletas!R466="Dao D",616,IF(Atletas!R466="Jian D",617,IF(Atletas!R466="Bishou D",618,IF(Atletas!R466="Shanzi D",619,IF(Atletas!R466="Outra Arma Curta D",620,IF(Atletas!R466="Dao E",621,IF(Atletas!R466="Jian E",622,IF(Atletas!R466="Bishou E",623,IF(Atletas!R466="Shanzi E",624,IF(Atletas!R466="Outra Arma Curta E",625,IF(Atletas!R466="Dao F",626,IF(Atletas!R466="Jian F",627,IF(Atletas!R466="Bishou F",628,IF(Atletas!R466="Shanzi F",629,IF(Atletas!R466="Outra Arma Curta F",630, "")))))))))))))))))))))))))))))))</f>
        <v/>
      </c>
      <c r="CA475" s="50" t="str">
        <f>IF(Atletas!S466="","",IF(Atletas!X466&lt;&gt;"",10000,0)+IF(Atletas!B466="Feminino",1000,IF(Atletas!B466="Masculino",2000,""))+IF(Atletas!S466="Gun A",701,IF(Atletas!S466="Qiang A",702,IF(Atletas!S466="Pudao / Guandao A",703,IF(Atletas!S466="Outra Arma Longa A",704,IF(Atletas!S466="Gun B",705,IF(Atletas!S466="Qiang B",706,IF(Atletas!S466="Pudao / Guandao B",707,IF(Atletas!S466="Outra Arma Longa B",708,IF(Atletas!S466="Gun C",709,IF(Atletas!S466="Qiang C",710,IF(Atletas!S466="Pudao / Guandao C",711,IF(Atletas!S466="Outra Arma Longa C",712,IF(Atletas!S466="Gun D",713,IF(Atletas!S466="Qiang D",714,IF(Atletas!S466="Pudao / Guandao D",715,IF(Atletas!S466="Outra Arma Longa D",716,IF(Atletas!S466="Gun E",717,IF(Atletas!S466="Qiang E",718,IF(Atletas!S466="Pudao / Guandao E",719,IF(Atletas!S466="Outra Arma Longa E",720,IF(Atletas!S466="Gun F",721,IF(Atletas!S466="Qiang F",722,IF(Atletas!S466="Pudao / Guandao F",723,IF(Atletas!S466="Outra Arma Longa F",724,"")))))))))))))))))))))))))</f>
        <v/>
      </c>
      <c r="CB475" s="50" t="str">
        <f>IF(Atletas!T466="","",IF(Atletas!X466&lt;&gt;"",10000,0)+IF(Atletas!B466="Feminino",1000,IF(Atletas!B466="Masculino",2000,""))+IF(Atletas!T466="Outra Arma Dupla A",801,IF(Atletas!T466="Arma Maleável A",802,IF(Atletas!T466="Outra Arma Dupla B",803,IF(Atletas!T466="Arma Maleável B",804,IF(Atletas!T466="Outra Arma Dupla C",805,IF(Atletas!T466="Arma Maleável C",806,IF(Atletas!T466="Outra Arma Dupla D",807,IF(Atletas!T466="Arma Maleável D",808,IF(Atletas!T466="Outra Arma Dupla E",809,IF(Atletas!T466="Arma Maleável E",810,IF(Atletas!T466="Outra Arma Dupla F",811,IF(Atletas!T466="Arma Maleável F",812,IF(Atletas!T466="Shuangdao A",813,IF(Atletas!T466="Shuangdao B",814,IF(Atletas!T466="Shuangdao C",815,IF(Atletas!T466="Shuangdao D",816,IF(Atletas!T466="Shuangdao E",817,IF(Atletas!T466="Shuangdao F",818,"")))))))))))))))))))</f>
        <v/>
      </c>
      <c r="CC475" s="50" t="str">
        <f>IF(Atletas!U466="","",IF(Atletas!X466&lt;&gt;"",10000,0)+IF(Atletas!B466="Feminino",1000,IF(Atletas!B466="Masculino",2000,""))+IF(OR(Atletas!U466="Taijijian Yang A",Atletas!U466="Taijijian Yang Standard A"),901,IF(OR(Atletas!U466="Taijijian Chen A", Atletas!U466="Taijijian Chen Standard A"),902,IF(Atletas!U466="Taijijian Sun A",903,IF(Atletas!U466="Taijijian Wu A",904,IF(Atletas!U466="Taijijian Wu-Hao A",905,IF(OR(Atletas!U466="Taijijian 32 A",Atletas!U466="Taijijian 42 A"),906,IF(OR(Atletas!U466="Taijijian Yang B",Atletas!U466="Taijijian Yang Standard B"),907,IF(OR(Atletas!U466="Taijijian Chen B", Atletas!U466="Taijijian Chen Standard B"),908,IF(Atletas!U466="Taijijian Sun B",909,IF(Atletas!U466="Taijijian Wu B",910,IF(Atletas!U466="Taijijian Wu-Hao B",911,IF(OR(Atletas!U466="Taijijian 32 B",Atletas!U466="Taijijian 42 B"),912,IF(OR(Atletas!U466="Taijijian Yang C",Atletas!U466="Taijijian Yang Standard C"),913,IF(OR(Atletas!U466="Taijijian Chen C", Atletas!U466="Taijijian Chen Standard C"),914,IF(Atletas!U466="Taijijian Sun C",915,IF(Atletas!U466="Taijijian Wu C",916,IF(Atletas!U466="Taijijian Wu-Hao C",917,IF(OR(Atletas!U466="Taijijian 32 C",Atletas!U466="Taijijian 42 C"),918,IF(OR(Atletas!U466="Taijijian Yang D",Atletas!U466="Taijijian Yang Standard D"),919,IF(OR(Atletas!U466="Taijijian Chen D", Atletas!U466="Taijijian Chen Standard D"),920,IF(Atletas!U466="Taijijian Sun D",921,IF(Atletas!U466="Taijijian Wu D",922,IF(Atletas!U466="Taijijian Wu-Hao D",923,IF(OR(Atletas!U466="Taijijian 32 D",Atletas!U466="Taijijian 42 D"),924,IF(OR(Atletas!U466="Taijijian Yang E",Atletas!U466="Taijijian Yang Standard E"),925,IF(OR(Atletas!U466="Taijijian Chen E", Atletas!U466="Taijijian Chen Standard E"),926,IF(Atletas!U466="Taijijian Sun E",927,IF(Atletas!U466="Taijijian Wu E",928,IF(Atletas!U466="Taijijian Wu-Hao E",929,IF(OR(Atletas!U466="Taijijian 32 E",Atletas!U466="Taijijian 42 E"),930,IF(OR(Atletas!U466="Taijijian Yang F",Atletas!U466="Taijijian Yang Standard F"),931,IF(OR(Atletas!U466="Taijijian Chen F", Atletas!U466="Taijijian Chen Standard F"),932,IF(Atletas!U466="Taijijian Sun F",933,IF(Atletas!U466="Taijijian Wu F",934,IF(Atletas!U466="Taijijian Wu-Hao F",935,IF(OR(Atletas!U466="Taijijian 32 F",Atletas!U466="Taijijian 42 F"),936,"")))))))))))))))))))))))))))))))))))))</f>
        <v/>
      </c>
      <c r="CD475" s="50" t="str">
        <f>IF(Atletas!V466="","",IF(Atletas!X466&lt;&gt;"",10000,0)+IF(Atletas!B466="Feminino",1000,IF(Atletas!B466="Masculino",2000,""))+IF(Atletas!V466="Taijidao A",937,IF(Atletas!V466="TaijiShanzi A",938,IF(Atletas!V466="Taijiqiang A",939,IF(Atletas!V466="Bagua de Arma A",940,IF(Atletas!V466="Xingyi de Arma A",941,IF(Atletas!V466="Taijidao B",942,IF(Atletas!V466="TaijiShanzi B",943,IF(Atletas!V466="Taijiqiang B",944,IF(Atletas!V466="Bagua de Arma B",945,IF(Atletas!V466="Xingyi de Arma B",946,IF(Atletas!V466="Taijidao C",947,IF(Atletas!V466="TaijiShanzi C",948,IF(Atletas!V466="Taijiqiang C",949,IF(Atletas!V466="Bagua de Arma C",950,IF(Atletas!V466="Xingyi de Arma C",951,IF(Atletas!V466="Taijidao D",952,IF(Atletas!V466="TaijiShanzi D",953,IF(Atletas!V466="Taijiqiang D",954,IF(Atletas!V466="Bagua de Arma D",955,IF(Atletas!V466="Xingyi de Arma D",956,IF(Atletas!V466="Taijidao E",957,IF(Atletas!V466="TaijiShanzi E",958,IF(Atletas!V466="Taijiqiang E",959,IF(Atletas!V466="Bagua de Arma E",960,IF(Atletas!V466="Xingyi de Arma E",961,IF(Atletas!V466="Taijidao F",962,IF(Atletas!V466="TaijiShanzi F",963,IF(Atletas!V466="Taijiqiang F",964,IF(Atletas!V466="Bagua de Arma F",965,IF(Atletas!V466="Xingyi de Arma F",966,"")))))))))))))))))))))))))))))))</f>
        <v/>
      </c>
      <c r="CM475" s="50" t="str">
        <f xml:space="preserve"> IF(Atletas!W466="","",IF(Atletas!W466="Duilian de Mãos BC - Equipe 1",1,IF(Atletas!W466="Duilian de Mãos BC - Equipe 2",2,IF(Atletas!W466="Duilian de Armas BC - Equipe 1",3,IF(Atletas!W466="Duilian de Armas BC - Equipe 2",4,IF(Atletas!W466="Duilian de Mãos DE - Equipe 1",5,IF(Atletas!W466="Duilian de Mãos DE - Equipe 2",6,IF(Atletas!W466="Duilian de Armas DE - Equipe 1",7,IF(Atletas!W466="Duilian de Armas DE - Equipe 2",8,IF(Atletas!W466="Duilian de Tuishou - Equipe 1",9,IF(Atletas!W466="Duilian de Tuishou - Equipe 2",10,IF(Atletas!W466="Grupo Externo ABC - Equipe 1",11,IF(Atletas!W466="Grupo Externo ABC - Equipe 2",12,IF(Atletas!W466="Grupo Interno ABC - Equipe 1",13,IF(Atletas!W466="Grupo Interno ABC - Equipe 2",14,IF(Atletas!W466="Grupo Externo DEF - Equipe 1",15,IF(Atletas!W466="Grupo Externo DEF - Equipe 2",16,IF(Atletas!W466="Grupo Interno DEF - Equipe 1",17,IF(Atletas!W466="Grupo Interno DEF - Equipe 2",18,"")))))))))))))))))))</f>
        <v/>
      </c>
    </row>
    <row r="476" spans="40:91">
      <c r="AN476" s="52" t="str">
        <f>IF(Atletas!D467="","",IF(Atletas!B467="Feminino",100,IF(Atletas!B467="Masculino",200,""))+(IF(Atletas!D467="Kids 30kg",1,IF(Atletas!D467="Kids 32kg",2, IF(Atletas!D467="Kids 34kg",3,IF(Atletas!D467="Kids 36kg",4,IF(Atletas!D467="Kids 39kg",5,IF(Atletas!D467="Kids 42kg",6,IF(Atletas!D467="Kids 45kg",7, IF(Atletas!D467="Infantil 39kg",8,IF(Atletas!D467="Infantil 42kg",9,IF(Atletas!D467="Infantil 45kg",10,IF(Atletas!D467="Infantil 48kg",11,IF(Atletas!D467="Infantil 52kg",12,IF(Atletas!D467="Infantil 56kg",13,IF(Atletas!D467="Infantil 60kg",14,IF(Atletas!D467="Juvenil 48kg",15,IF(Atletas!D467="Juvenil 52kg",16,IF(Atletas!D467="Juvenil 56kg",17,IF(Atletas!D467="Juvenil 60kg",18,IF(Atletas!D467="Juvenil 65kg",19,IF(Atletas!D467="Juvenil 70kg",20,IF(Atletas!D467="Juvenil 75kg",21,IF(Atletas!D467="Juvenil 80kg",22, IF(Atletas!D467="Juvenil 85kg",23,IF(Atletas!D467="Adulto 48kg",24,IF(Atletas!D467="Adulto 52kg",25,IF(Atletas!D467="Adulto 56kg",26,IF(Atletas!D467="Adulto 60kg",27,IF(Atletas!D467="Adulto 65kg",28,IF(Atletas!D467="Adulto 70kg",29,IF(Atletas!D467="Adulto 75kg",30,IF(Atletas!D467="Adulto 80kg",31,IF(Atletas!D467="Adulto 85kg",32,IF(Atletas!D467="Adulto 90kg",33,IF(Atletas!D467="Adulto 100kg",34, IF(Atletas!D467="Adulto +100kg",35,"")))))))))))))))))))))))))))))))))))))</f>
        <v/>
      </c>
      <c r="AS476" s="6" t="str">
        <f>IF(Atletas!E467="","",IF(Atletas!B467="Feminino",100,IF(Atletas!B467="Masculino",200,""))+(IF(Atletas!E467="Juvenil 44kg",1,IF(Atletas!E467="Juvenil 48kg",2,IF(Atletas!E467="Juvenil 52kg",3,IF(Atletas!E467="Juvenil 56kg",4,IF(Atletas!E467="Juvenil 60kg",5,IF(Atletas!E467="Juvenil 65kg",6,IF(Atletas!E467="Juvenil 70kg",7,IF(Atletas!E467="Juvenil 75kg",8,IF(Atletas!E467="Juvenil 82kg",9,IF(Atletas!E467="Juvenil 90kg",10,IF(Atletas!E467="Juvenil 100kg",11,IF(Atletas!E467="Adulto 48kg",12,IF(Atletas!E467="Adulto 52kg",13,IF(Atletas!E467="Adulto 56kg",14,IF(Atletas!E467="Adulto 60kg",15,IF(Atletas!E467="Adulto 65kg",16,IF(Atletas!E467="Adulto 70kg",17,IF(Atletas!E467="Adulto 75kg",18,IF(Atletas!E467="Adulto 82kg",19,IF(Atletas!E467="Adulto 90kg",20,IF(Atletas!E467="Adulto 100kg",21,IF(Atletas!E467="Adulto +100kg",22,""))))))))))))))))))))))))</f>
        <v/>
      </c>
      <c r="AX476" s="6" t="str">
        <f>IF(Atletas!F467="","",IF(Atletas!B467="Feminino",100,IF(Atletas!B467="Masculino",200,""))+(IF(Atletas!F467="Adulto 48kg",1,IF(Atletas!F467="Adulto 56kg",2,IF(Atletas!F467="Adulto 65kg",3,IF(Atletas!F467="Adulto 75kg",4,IF(Atletas!F467="Adulto +75kg",5,IF(Atletas!F467="Adulto 52kg",6,IF(Atletas!F467="Adulto 60kg",7,IF(Atletas!F467="Adulto 70kg",8,IF(Atletas!F467="Adulto 80kg",9,IF(Atletas!F467="Adulto 90kg",10,IF(Atletas!F467="Adulto +90kg",11,"")))))))))))))</f>
        <v/>
      </c>
      <c r="BC476" s="6" t="str">
        <f>IF(Atletas!G467="","",IF(Atletas!B467="Feminino",10,IF(Atletas!B467="Masculino",20,""))+(IF(Atletas!G467="Baduanjin A",1,IF(Atletas!G467="Baduanjin B",2))))</f>
        <v/>
      </c>
      <c r="BF476" s="52" t="str">
        <f>IF(Atletas!H467="","",IF(Atletas!B467="Feminino",100,IF(Atletas!B467="Masculino",200,""))+(IF(Atletas!H467="Changquan Mirim",1,IF(Atletas!H467="Nanquan Mirim",2,IF(Atletas!H467="Taijiquan Mirim",3,IF(Atletas!H467="Changquan Grupo C",4,IF(Atletas!H467="Nanquan Grupo C",5,IF(Atletas!H467="Taijiquan Grupo C",6,IF(Atletas!H467="Changquan Grupo B",7,IF(Atletas!H467="Nanquan Grupo B",8,IF(Atletas!H467="Taijiquan Grupo B",9,IF(Atletas!H467="Changquan Grupo A",10,IF(Atletas!H467="Nanquan Grupo A",11,IF(Atletas!H467="Taijiquan Grupo A",12,IF(Atletas!H467="Changquan Opcional",13,IF(Atletas!H467="Nanquan Opcional",14,IF(Atletas!H467="Taijiquan Opcional",15,IF(Atletas!H467="Changquan Adulto",16,IF(Atletas!H467="Nanquan Adulto",17,IF(Atletas!H467="Taijiquan Adulto",18,""))))))))))))))))))))</f>
        <v/>
      </c>
      <c r="BG476" s="52" t="str">
        <f>IF(Atletas!I467="","",IF(Atletas!B467="Feminino",100,IF(Atletas!B467="Masculino",200,""))+(IF(Atletas!I467="Daoshu Mirim",19,IF(Atletas!I467="Jianshu Mirim",20,IF(Atletas!I467="Nandao Mirim",21,IF(Atletas!I467="Taijijian Mirim",22,IF(Atletas!I467="Daoshu Grupo C",23,IF(Atletas!I467="Jianshu Grupo C",24,IF(Atletas!I467="Nandao Grupo C",25,IF(Atletas!I467="Taijijian Grupo C",26,IF(Atletas!I467="Daoshu Grupo B",27,IF(Atletas!I467="Jianshu Grupo B",28,IF(Atletas!I467="Nandao Grupo B",29,IF(Atletas!I467="Taijijian Grupo B",30,IF(Atletas!I467="Daoshu Grupo A",31,IF(Atletas!I467="Jianshu Grupo A",32,IF(Atletas!I467="Nandao Grupo A",33,IF(Atletas!I467="Taijijian Grupo A",34,IF(Atletas!I467="Daoshu Opcional",35,IF(Atletas!I467="Jianshu Opcional",36,IF(Atletas!I467="Nandao Opcional",37,IF(Atletas!I467="Taijijian Opcional",38,IF(Atletas!I467="Daoshu Adulto",39,IF(Atletas!I467="Jianshu Adulto",40,IF(Atletas!I467="Nandao Adulto",41,IF(Atletas!I467="Taijijian Adulto",42,""))))))))))))))))))))))))))</f>
        <v/>
      </c>
      <c r="BH476" s="52" t="str">
        <f>IF(Atletas!J467="","",IF(Atletas!B467="Feminino",100,IF(Atletas!B467="Masculino",200,""))+(IF(Atletas!J467="Gunshu Mirim",43,IF(Atletas!J467="Qiangshu Mirim",44,IF(Atletas!J467="Nangun Mirim",45,IF(Atletas!J467="Gunshu Grupo C",46,IF(Atletas!J467="Qiangshu Grupo C",47,IF(Atletas!J467="Nangun Grupo C",48,IF(Atletas!J467="Gunshu Grupo B",49,IF(Atletas!J467="Qiangshu Grupo B",50,IF(Atletas!J467="Nangun Grupo B",51,IF(Atletas!J467="Gunshu Grupo A",52,IF(Atletas!J467="Qiangshu Grupo A",53,IF(Atletas!J467="Nangun Grupo A",54,IF(Atletas!J467="Gunshu Opcional",55,IF(Atletas!J467="Qiangshu Opcional",56,IF(Atletas!J467="Nangun Opcional",57,IF(Atletas!J467="Gunshu Adulto",58,IF(Atletas!J467="Qiangshu Adulto",59,IF(Atletas!J467="Nangun Adulto",60,IF(Atletas!J467="Taijishan Grupo B",61,IF(Atletas!J467="Taijishan Grupo A",62,""))))))))))))))))))))))</f>
        <v/>
      </c>
      <c r="BM476" s="50" t="str">
        <f>IF(Atletas!K467="","",IF(Atletas!B467="Feminino",100,IF(Atletas!B467="Masculino",200,""))+(IF(Atletas!K467="Equipe 1 Grupo B",1,IF(Atletas!K467="Equipe 2 Grupo B",2,IF(Atletas!K467="Equipe 1 Grupo A",3,IF(Atletas!K467="Equipe 2 Grupo A",4,IF(Atletas!K467="Equipe 1 Adulto",5,IF(Atletas!K467="Equipe 2 Adulto",6,""))))))))</f>
        <v/>
      </c>
      <c r="BR476" s="50" t="str">
        <f>IF(Atletas!L467="","",IF(Atletas!X467&lt;&gt;"",10000,0)+(IF(Atletas!B467="Feminino",1000,IF(Atletas!B467="Masculino",2000,""))+IF(Atletas!L467="Choylayfut A",1,IF(Atletas!L467="Hunggar A",2,IF(Atletas!L467="Wuzuquan A",3,IF(Atletas!L467="Wingchun A",4,IF(Atletas!L467="Outra Mão de Sul A",5,IF(Atletas!L467="Choylayfut B",6,IF(Atletas!L467="Hunggar B",7,IF(Atletas!L467="Wuzuquan B",8,IF(Atletas!L467="Wingchun B",9,IF(Atletas!L467="Outra Mão de Sul B",10,IF(Atletas!L467="Choylayfut C",11,IF(Atletas!L467="Hunggar C",12,IF(Atletas!L467="Wuzuquan C",13,IF(Atletas!L467="Wingchun C",14,IF(Atletas!L467="Outra Mão de Sul C",15,IF(Atletas!L467="Choylayfut D",16,IF(Atletas!L467="Hunggar D",17,IF(Atletas!L467="Wuzuquan D",18,IF(Atletas!L467="Wingchun D",19,IF(Atletas!L467="Outra Mão de Sul D",20,IF(Atletas!L467="Choylayfut E",21,IF(Atletas!L467="Hunggar E",22,IF(Atletas!L467="Wuzuquan E",23,IF(Atletas!L467="Wingchun E",24,IF(Atletas!L467="Outra Mão de Sul E",25,IF(Atletas!L467="Choylayfut F",26,IF(Atletas!L467="Hunggar F",27,IF(Atletas!L467="Wuzuquan F",28,IF(Atletas!L467="Wingchun F",29,IF(Atletas!L467="Outra Mão de Sul F",30,IF(Atletas!L467="Dishuquan A",31,IF(Atletas!L467="Dishuquan B",32,IF(Atletas!L467="Dishuquan C",33,IF(Atletas!L467="Dishuquan D",34,IF(Atletas!L467="Dishuquan E",35,IF(Atletas!L467="Dishuquan F",36,""))))))))))))))))))))))))))))))))))))))</f>
        <v/>
      </c>
      <c r="BS476" s="50" t="str">
        <f>IF(Atletas!M467="","",IF(Atletas!X467&lt;&gt;"",10000,0)+(IF(Atletas!B467="Feminino",1000,IF(Atletas!B467="Masculino",2000,""))+(IF(Atletas!M467="Chaquan A",101,IF(Atletas!M467="Emeiquan A",102,IF(Atletas!M467="Fanziquan A",103,IF(Atletas!M467="Huaquan A",104,IF(Atletas!M467="Hongquan A",105,IF(Atletas!M467="Paoquan A",106,IF(Atletas!M467="Piguaquan A",107,IF(Atletas!M467="Shaolinquan A",108,IF(Atletas!M467="Tanglangquan A",109,IF(Atletas!M467="Yingzhaoquan A",110,IF(Atletas!M467="Tongbeiquan A",111,IF(Atletas!M467="Wudangquan A",112,IF(Atletas!M467="Outros Estilos A",113,IF(Atletas!M467="Chaquan B",114,IF(Atletas!M467="Emeiquan B",115,IF(Atletas!M467="Fanziquan B",116,IF(Atletas!M467="Huaquan B",117,IF(Atletas!M467="Hongquan B",118,IF(Atletas!M467="Paoquan B",119,IF(Atletas!M467="Piguaquan B",120,IF(Atletas!M467="Shaolinquan B",121,IF(Atletas!M467="Tanglangquan B",122,IF(Atletas!M467="Yingzhaoquan B",123,IF(Atletas!M467="Tongbeiquan B",124,IF(Atletas!M467="Wudangquan B",125,IF(Atletas!M467="Outros Estilos B",126,IF(Atletas!M467="Chaquan C",127,IF(Atletas!M467="Emeiquan C",128,IF(Atletas!M467="Fanziquan C",129,IF(Atletas!M467="Huaquan C",130,IF(Atletas!M467="Hongquan C",131,IF(Atletas!M467="Paoquan C",132,IF(Atletas!M467="Piguaquan C",133,IF(Atletas!M467="Shaolinquan C",134,IF(Atletas!M467="Tanglangquan C",135,IF(Atletas!M467="Yingzhaoquan C",136,IF(Atletas!M467="Tongbeiquan C",137,IF(Atletas!M467="Wudangquan C",138,IF(Atletas!M467="Outros Estilos C",139,0))))))))))))))))))))))))))))))))))))))))))</f>
        <v/>
      </c>
      <c r="BT476" s="50" t="str">
        <f>IF(Atletas!M467="","",IF(Atletas!X467&lt;&gt;"",10000,0)+(IF(Atletas!B467="Feminino",1000,IF(Atletas!B467="Masculino",2000,""))+(IF(Atletas!M467="Chaquan D",140,IF(Atletas!M467="Emeiquan D",141,IF(Atletas!M467="Fanziquan D",142,IF(Atletas!M467="Huaquan D",143,IF(Atletas!M467="Hongquan D",144,IF(Atletas!M467="Paoquan D",145,IF(Atletas!M467="Piguaquan D",146,IF(Atletas!M467="Shaolinquan D",147,IF(Atletas!M467="Tanglangquan D",148,IF(Atletas!M467="Yingzhaoquan D",149,IF(Atletas!M467="Tongbeiquan D",150,IF(Atletas!M467="Wudangquan D",151,IF(Atletas!M467="Outros Estilos D",152,IF(Atletas!M467="Chaquan E",153,IF(Atletas!M467="Emeiquan E",154,IF(Atletas!M467="Fanziquan E",155,IF(Atletas!M467="Huaquan E",156,IF(Atletas!M467="Hongquan E",157,IF(Atletas!M467="Paoquan E",158,IF(Atletas!M467="Piguaquan E",159,IF(Atletas!M467="Shaolinquan E",160,IF(Atletas!M467="Tanglangquan E",161,IF(Atletas!M467="Yingzhaoquan E",162,IF(Atletas!M467="Tongbeiquan E",163,IF(Atletas!M467="Wudangquan E",164,IF(Atletas!M467="Outros Estilos E",165,IF(Atletas!M467="Chaquan F",166,IF(Atletas!M467="Emeiquan F",167,IF(Atletas!M467="Fanziquan F",168,IF(Atletas!M467="Huaquan F",169,IF(Atletas!M467="Hongquan F",170,IF(Atletas!M467="Paoquan F",171,IF(Atletas!M467="Piguaquan F",172,IF(Atletas!M467="Shaolinquan F",173,IF(Atletas!M467="Tanglangquan F",174,IF(Atletas!M467="Yingzhaoquan F",175,IF(Atletas!M467="Tongbeiquan F",176,IF(Atletas!M467="Wudangquan F",177,IF(Atletas!M467="Outros Estilos F",178,0))))))))))))))))))))))))))))))))))))))))))</f>
        <v/>
      </c>
      <c r="BU476" s="50" t="str">
        <f>IF(Atletas!N467="","",IF(Atletas!X467&lt;&gt;"",10000,0)+(IF(Atletas!B467="Feminino",1000,IF(Atletas!B467="Masculino",2000,""))+(IF(Atletas!N467="Ditangquan A",201,IF(Atletas!N467="Houquan A",202,IF(Atletas!N467="Zuiquan A",203,IF(Atletas!N467="Ditangquan B",204,IF(Atletas!N467="Houquan B",205,IF(Atletas!N467="Zuiquan B",206,IF(Atletas!N467="Ditangquan C",207,IF(Atletas!N467="Houquan C",208,IF(Atletas!N467="Zuiquan C",209,IF(Atletas!N467="Ditangquan D",210,IF(Atletas!N467="Houquan D",211,IF(Atletas!N467="Zuiquan D",212,IF(Atletas!N467="Ditangquan E",213,IF(Atletas!N467="Houquan E",214,IF(Atletas!N467="Zuiquan E",215,IF(Atletas!N467="Ditangquan F",216,IF(Atletas!N467="Houquan F",217,IF(Atletas!N467="Zuiquan F",218,"")))))))))))))))))))))</f>
        <v/>
      </c>
      <c r="BV476" s="50" t="str">
        <f>IF(Atletas!O467="","",IF(Atletas!X467&lt;&gt;"",10000,0)+IF(Atletas!B467="Feminino",1000,IF(Atletas!B467="Masculino",2000,""))+IF(Atletas!O467="Yang A",301,IF(Atletas!O467="Chen A",302,IF(Atletas!O467="Sun A",303,IF(Atletas!O467="Wu A",304,IF(Atletas!O467="Wu-Hao A",305,IF(Atletas!O467="Outro Taijiquan A",306,IF(Atletas!O467="Yang B",307,IF(Atletas!O467="Chen B",308,IF(Atletas!O467="Sun B",309,IF(Atletas!O467="Wu B",310,IF(Atletas!O467="Wu-Hao B",311,IF(Atletas!O467="Outro Taijiquan B",312,IF(Atletas!O467="Yang C",313,IF(Atletas!O467="Chen C",314,IF(Atletas!O467="Sun C",315,IF(Atletas!O467="Wu C",316,IF(Atletas!O467="Wu-Hao C",317,IF(Atletas!O467="Outro Taijiquan C",318,IF(Atletas!O467="Yang D",319,IF(Atletas!O467="Chen D",320,IF(Atletas!O467="Sun D",321,IF(Atletas!O467="Wu D",322,IF(Atletas!O467="Wu-Hao D",323,IF(Atletas!O467="Outro Taijiquan D",324,IF(Atletas!O467="Yang E",325,IF(Atletas!O467="Chen E",326,IF(Atletas!O467="Sun E",327,IF(Atletas!O467="Wu E",328,IF(Atletas!O467="Wu-Hao E",329,IF(Atletas!O467="Outro Taijiquan E",330,IF(Atletas!O467="Yang F",331,IF(Atletas!O467="Chen F",332,IF(Atletas!O467="Sun F",333,IF(Atletas!O467="Wu F",334,IF(Atletas!O467="Wu-Hao F",335,IF(Atletas!O467="Outro Taijiquan F",336,"")))))))))))))))))))))))))))))))))))))</f>
        <v/>
      </c>
      <c r="BW476" s="50" t="str">
        <f>IF(Atletas!P467="","",IF(Atletas!X467&lt;&gt;"",10000,0)+IF(Atletas!B467="Feminino",1000,IF(Atletas!B467="Masculino",2000,""))+IF(OR(Atletas!P467="Yang 26 A",Atletas!P467="Yang 40 A"),401,IF(OR(Atletas!P467="Chen 25 A",Atletas!P467="Chen 36 A",Atletas!P467="Chen 56 A"),402,IF(Atletas!P467="Sun 73 A",403,IF(Atletas!P467="Wu 45 A",404,IF(Atletas!P467="Wu-Hao 46 A",405,IF(OR(Atletas!P467="Taijiquan 16 A",Atletas!P467="Taijiquan 24 A",Atletas!P467="Taijiquan 32 A",Atletas!P467="Taijiquan 42 A"),406,IF(OR(Atletas!P467="Yang 26 B",Atletas!P467="Yang 40 B"),407,IF(OR(Atletas!P467="Chen 25 B",Atletas!P467="Chen 36 B",Atletas!P467="Chen 56 B"),408,IF(Atletas!P467="Sun 73 B",409,IF(Atletas!P467="Wu 45 B",410,IF(Atletas!P467="Wu-Hao 46 B",411,IF(OR(Atletas!P467="Taijiquan 16 B",Atletas!P467="Taijiquan 24 B",Atletas!P467="Taijiquan 32 B",Atletas!P467="Taijiquan 42 B"),412,IF(OR(Atletas!P467="Yang 26 C",Atletas!P467="Yang 40 C"),413,IF(OR(Atletas!P467="Chen 25 C",Atletas!P467="Chen 36 C",Atletas!P467="Chen 56 C"),414,IF(Atletas!P467="Sun 73 C",415,IF(Atletas!P467="Wu 45 C",416,IF(Atletas!P467="Wu-Hao 46 C",417,IF(OR(Atletas!P467="Taijiquan 16 C",Atletas!P467="Taijiquan 24 C",Atletas!P467="Taijiquan 32 C",Atletas!P467="Taijiquan 42 C"),418,0)))))))))))))))))))</f>
        <v/>
      </c>
      <c r="BX476" s="50" t="str">
        <f>IF(Atletas!P467="","",IF(Atletas!X467&lt;&gt;"",10000,0)+IF(Atletas!B467="Feminino",1000,IF(Atletas!B467="Masculino",2000,""))+IF(OR(Atletas!P467="Yang 26 D",Atletas!P467="Yang 40 D"),419,IF(OR(Atletas!P467="Chen 25 D",Atletas!P467="Chen 36 D",Atletas!P467="Chen 56 D"),420,IF(Atletas!P467="Sun 73 D",421,IF(Atletas!P467="Wu 45 D",422,IF(Atletas!P467="Wu-Hao 46 D",423,IF(OR(Atletas!P467="Taijiquan 16 D",Atletas!P467="Taijiquan 24 D",Atletas!P467="Taijiquan 32 D",Atletas!P467="Taijiquan 42 D"),424,IF(OR(Atletas!P467="Yang 26 E",Atletas!P467="Yang 40 E"),425,IF(OR(Atletas!P467="Chen 25 E",Atletas!P467="Chen 36 E",Atletas!P467="Chen 56 E"),426,IF(Atletas!P467="Sun 73 E",427,IF(Atletas!P467="Wu 45 E",428,IF(Atletas!P467="Wu-Hao 46 E",429,IF(OR(Atletas!P467="Taijiquan 16 E",Atletas!P467="Taijiquan 24 E",Atletas!P467="Taijiquan 32 E",Atletas!P467="Taijiquan 42 E"),430,IF(OR(Atletas!P467="Yang 26 F",Atletas!P467="Yang 40 F"),431,IF(OR(Atletas!P467="Chen 25 F",Atletas!P467="Chen 36 F",Atletas!P467="Chen 56 F"),432,IF(Atletas!P467="Sun 73 F",433,IF(Atletas!P467="Wu 45 F",434,IF(Atletas!P467="Wu-Hao 46 F",435,IF(OR(Atletas!P467="Taijiquan 16 F",Atletas!P467="Taijiquan 24 F",Atletas!P467="Taijiquan 32 F",Atletas!P467="Taijiquan 42 F"),436,0)))))))))))))))))))</f>
        <v/>
      </c>
      <c r="BY476" s="50" t="str">
        <f>IF(Atletas!Q467="","",IF(Atletas!X467&lt;&gt;"",10000,0)+IF(Atletas!B467="Feminino",1000,IF(Atletas!B467="Masculino",2000,""))+IF(Atletas!Q467="Xingyiquan A",501,IF(Atletas!Q467="Baguazhang A",502,IF(Atletas!Q467="Outro Estilo Interno A",503,IF(Atletas!Q467="Xingyiquan B",504,IF(Atletas!Q467="Baguazhang B",505,IF(Atletas!Q467="Outro Estilo Interno B",506,IF(Atletas!Q467="Xingyiquan C",507,IF(Atletas!Q467="Baguazhang C",508,IF(Atletas!Q467="Outro Estilo Interno C",509,IF(Atletas!Q467="Xingyiquan D",510,IF(Atletas!Q467="Baguazhang D",511,IF(Atletas!Q467="Outro Estilo Interno D",512,IF(Atletas!Q467="Xingyiquan E",513,IF(Atletas!Q467="Baguazhang E",514,IF(Atletas!Q467="Outro Estilo Interno E",515,IF(Atletas!Q467="Xingyiquan F",516,IF(Atletas!Q467="Baguazhang F",517,IF(Atletas!Q467="Outro Estilo Interno F",518, "")))))))))))))))))))</f>
        <v/>
      </c>
      <c r="BZ476" s="50" t="str">
        <f>IF(Atletas!R467="","",IF(Atletas!X467&lt;&gt;"",10000,0)+IF(Atletas!B467="Feminino",1000,IF(Atletas!B467="Masculino",2000,""))+IF(Atletas!R467="Dao A",601,IF(Atletas!R467="Jian A",602,IF(Atletas!R467="Bishou A",603,IF(Atletas!R467="Shanzi A",604,IF(Atletas!R467="Outra Arma Curta A",605,IF(Atletas!R467="Dao B",606,IF(Atletas!R467="Jian B",607,IF(Atletas!R467="Bishou B",608,IF(Atletas!R467="Shanzi B",609,IF(Atletas!R467="Outra Arma Curta B",610,IF(Atletas!R467="Dao C",611,IF(Atletas!R467="Jian C",612,IF(Atletas!R467="Bishou C",613,IF(Atletas!R467="Shanzi C",614,IF(Atletas!R467="Outra Arma Curta C",615,IF(Atletas!R467="Dao D",616,IF(Atletas!R467="Jian D",617,IF(Atletas!R467="Bishou D",618,IF(Atletas!R467="Shanzi D",619,IF(Atletas!R467="Outra Arma Curta D",620,IF(Atletas!R467="Dao E",621,IF(Atletas!R467="Jian E",622,IF(Atletas!R467="Bishou E",623,IF(Atletas!R467="Shanzi E",624,IF(Atletas!R467="Outra Arma Curta E",625,IF(Atletas!R467="Dao F",626,IF(Atletas!R467="Jian F",627,IF(Atletas!R467="Bishou F",628,IF(Atletas!R467="Shanzi F",629,IF(Atletas!R467="Outra Arma Curta F",630, "")))))))))))))))))))))))))))))))</f>
        <v/>
      </c>
      <c r="CA476" s="50" t="str">
        <f>IF(Atletas!S467="","",IF(Atletas!X467&lt;&gt;"",10000,0)+IF(Atletas!B467="Feminino",1000,IF(Atletas!B467="Masculino",2000,""))+IF(Atletas!S467="Gun A",701,IF(Atletas!S467="Qiang A",702,IF(Atletas!S467="Pudao / Guandao A",703,IF(Atletas!S467="Outra Arma Longa A",704,IF(Atletas!S467="Gun B",705,IF(Atletas!S467="Qiang B",706,IF(Atletas!S467="Pudao / Guandao B",707,IF(Atletas!S467="Outra Arma Longa B",708,IF(Atletas!S467="Gun C",709,IF(Atletas!S467="Qiang C",710,IF(Atletas!S467="Pudao / Guandao C",711,IF(Atletas!S467="Outra Arma Longa C",712,IF(Atletas!S467="Gun D",713,IF(Atletas!S467="Qiang D",714,IF(Atletas!S467="Pudao / Guandao D",715,IF(Atletas!S467="Outra Arma Longa D",716,IF(Atletas!S467="Gun E",717,IF(Atletas!S467="Qiang E",718,IF(Atletas!S467="Pudao / Guandao E",719,IF(Atletas!S467="Outra Arma Longa E",720,IF(Atletas!S467="Gun F",721,IF(Atletas!S467="Qiang F",722,IF(Atletas!S467="Pudao / Guandao F",723,IF(Atletas!S467="Outra Arma Longa F",724,"")))))))))))))))))))))))))</f>
        <v/>
      </c>
      <c r="CB476" s="50" t="str">
        <f>IF(Atletas!T467="","",IF(Atletas!X467&lt;&gt;"",10000,0)+IF(Atletas!B467="Feminino",1000,IF(Atletas!B467="Masculino",2000,""))+IF(Atletas!T467="Outra Arma Dupla A",801,IF(Atletas!T467="Arma Maleável A",802,IF(Atletas!T467="Outra Arma Dupla B",803,IF(Atletas!T467="Arma Maleável B",804,IF(Atletas!T467="Outra Arma Dupla C",805,IF(Atletas!T467="Arma Maleável C",806,IF(Atletas!T467="Outra Arma Dupla D",807,IF(Atletas!T467="Arma Maleável D",808,IF(Atletas!T467="Outra Arma Dupla E",809,IF(Atletas!T467="Arma Maleável E",810,IF(Atletas!T467="Outra Arma Dupla F",811,IF(Atletas!T467="Arma Maleável F",812,IF(Atletas!T467="Shuangdao A",813,IF(Atletas!T467="Shuangdao B",814,IF(Atletas!T467="Shuangdao C",815,IF(Atletas!T467="Shuangdao D",816,IF(Atletas!T467="Shuangdao E",817,IF(Atletas!T467="Shuangdao F",818,"")))))))))))))))))))</f>
        <v/>
      </c>
      <c r="CC476" s="50" t="str">
        <f>IF(Atletas!U467="","",IF(Atletas!X467&lt;&gt;"",10000,0)+IF(Atletas!B467="Feminino",1000,IF(Atletas!B467="Masculino",2000,""))+IF(OR(Atletas!U467="Taijijian Yang A",Atletas!U467="Taijijian Yang Standard A"),901,IF(OR(Atletas!U467="Taijijian Chen A", Atletas!U467="Taijijian Chen Standard A"),902,IF(Atletas!U467="Taijijian Sun A",903,IF(Atletas!U467="Taijijian Wu A",904,IF(Atletas!U467="Taijijian Wu-Hao A",905,IF(OR(Atletas!U467="Taijijian 32 A",Atletas!U467="Taijijian 42 A"),906,IF(OR(Atletas!U467="Taijijian Yang B",Atletas!U467="Taijijian Yang Standard B"),907,IF(OR(Atletas!U467="Taijijian Chen B", Atletas!U467="Taijijian Chen Standard B"),908,IF(Atletas!U467="Taijijian Sun B",909,IF(Atletas!U467="Taijijian Wu B",910,IF(Atletas!U467="Taijijian Wu-Hao B",911,IF(OR(Atletas!U467="Taijijian 32 B",Atletas!U467="Taijijian 42 B"),912,IF(OR(Atletas!U467="Taijijian Yang C",Atletas!U467="Taijijian Yang Standard C"),913,IF(OR(Atletas!U467="Taijijian Chen C", Atletas!U467="Taijijian Chen Standard C"),914,IF(Atletas!U467="Taijijian Sun C",915,IF(Atletas!U467="Taijijian Wu C",916,IF(Atletas!U467="Taijijian Wu-Hao C",917,IF(OR(Atletas!U467="Taijijian 32 C",Atletas!U467="Taijijian 42 C"),918,IF(OR(Atletas!U467="Taijijian Yang D",Atletas!U467="Taijijian Yang Standard D"),919,IF(OR(Atletas!U467="Taijijian Chen D", Atletas!U467="Taijijian Chen Standard D"),920,IF(Atletas!U467="Taijijian Sun D",921,IF(Atletas!U467="Taijijian Wu D",922,IF(Atletas!U467="Taijijian Wu-Hao D",923,IF(OR(Atletas!U467="Taijijian 32 D",Atletas!U467="Taijijian 42 D"),924,IF(OR(Atletas!U467="Taijijian Yang E",Atletas!U467="Taijijian Yang Standard E"),925,IF(OR(Atletas!U467="Taijijian Chen E", Atletas!U467="Taijijian Chen Standard E"),926,IF(Atletas!U467="Taijijian Sun E",927,IF(Atletas!U467="Taijijian Wu E",928,IF(Atletas!U467="Taijijian Wu-Hao E",929,IF(OR(Atletas!U467="Taijijian 32 E",Atletas!U467="Taijijian 42 E"),930,IF(OR(Atletas!U467="Taijijian Yang F",Atletas!U467="Taijijian Yang Standard F"),931,IF(OR(Atletas!U467="Taijijian Chen F", Atletas!U467="Taijijian Chen Standard F"),932,IF(Atletas!U467="Taijijian Sun F",933,IF(Atletas!U467="Taijijian Wu F",934,IF(Atletas!U467="Taijijian Wu-Hao F",935,IF(OR(Atletas!U467="Taijijian 32 F",Atletas!U467="Taijijian 42 F"),936,"")))))))))))))))))))))))))))))))))))))</f>
        <v/>
      </c>
      <c r="CD476" s="50" t="str">
        <f>IF(Atletas!V467="","",IF(Atletas!X467&lt;&gt;"",10000,0)+IF(Atletas!B467="Feminino",1000,IF(Atletas!B467="Masculino",2000,""))+IF(Atletas!V467="Taijidao A",937,IF(Atletas!V467="TaijiShanzi A",938,IF(Atletas!V467="Taijiqiang A",939,IF(Atletas!V467="Bagua de Arma A",940,IF(Atletas!V467="Xingyi de Arma A",941,IF(Atletas!V467="Taijidao B",942,IF(Atletas!V467="TaijiShanzi B",943,IF(Atletas!V467="Taijiqiang B",944,IF(Atletas!V467="Bagua de Arma B",945,IF(Atletas!V467="Xingyi de Arma B",946,IF(Atletas!V467="Taijidao C",947,IF(Atletas!V467="TaijiShanzi C",948,IF(Atletas!V467="Taijiqiang C",949,IF(Atletas!V467="Bagua de Arma C",950,IF(Atletas!V467="Xingyi de Arma C",951,IF(Atletas!V467="Taijidao D",952,IF(Atletas!V467="TaijiShanzi D",953,IF(Atletas!V467="Taijiqiang D",954,IF(Atletas!V467="Bagua de Arma D",955,IF(Atletas!V467="Xingyi de Arma D",956,IF(Atletas!V467="Taijidao E",957,IF(Atletas!V467="TaijiShanzi E",958,IF(Atletas!V467="Taijiqiang E",959,IF(Atletas!V467="Bagua de Arma E",960,IF(Atletas!V467="Xingyi de Arma E",961,IF(Atletas!V467="Taijidao F",962,IF(Atletas!V467="TaijiShanzi F",963,IF(Atletas!V467="Taijiqiang F",964,IF(Atletas!V467="Bagua de Arma F",965,IF(Atletas!V467="Xingyi de Arma F",966,"")))))))))))))))))))))))))))))))</f>
        <v/>
      </c>
      <c r="CM476" s="50" t="str">
        <f xml:space="preserve"> IF(Atletas!W467="","",IF(Atletas!W467="Duilian de Mãos BC - Equipe 1",1,IF(Atletas!W467="Duilian de Mãos BC - Equipe 2",2,IF(Atletas!W467="Duilian de Armas BC - Equipe 1",3,IF(Atletas!W467="Duilian de Armas BC - Equipe 2",4,IF(Atletas!W467="Duilian de Mãos DE - Equipe 1",5,IF(Atletas!W467="Duilian de Mãos DE - Equipe 2",6,IF(Atletas!W467="Duilian de Armas DE - Equipe 1",7,IF(Atletas!W467="Duilian de Armas DE - Equipe 2",8,IF(Atletas!W467="Duilian de Tuishou - Equipe 1",9,IF(Atletas!W467="Duilian de Tuishou - Equipe 2",10,IF(Atletas!W467="Grupo Externo ABC - Equipe 1",11,IF(Atletas!W467="Grupo Externo ABC - Equipe 2",12,IF(Atletas!W467="Grupo Interno ABC - Equipe 1",13,IF(Atletas!W467="Grupo Interno ABC - Equipe 2",14,IF(Atletas!W467="Grupo Externo DEF - Equipe 1",15,IF(Atletas!W467="Grupo Externo DEF - Equipe 2",16,IF(Atletas!W467="Grupo Interno DEF - Equipe 1",17,IF(Atletas!W467="Grupo Interno DEF - Equipe 2",18,"")))))))))))))))))))</f>
        <v/>
      </c>
    </row>
    <row r="477" spans="40:91">
      <c r="AN477" s="52" t="str">
        <f>IF(Atletas!D468="","",IF(Atletas!B468="Feminino",100,IF(Atletas!B468="Masculino",200,""))+(IF(Atletas!D468="Kids 30kg",1,IF(Atletas!D468="Kids 32kg",2, IF(Atletas!D468="Kids 34kg",3,IF(Atletas!D468="Kids 36kg",4,IF(Atletas!D468="Kids 39kg",5,IF(Atletas!D468="Kids 42kg",6,IF(Atletas!D468="Kids 45kg",7, IF(Atletas!D468="Infantil 39kg",8,IF(Atletas!D468="Infantil 42kg",9,IF(Atletas!D468="Infantil 45kg",10,IF(Atletas!D468="Infantil 48kg",11,IF(Atletas!D468="Infantil 52kg",12,IF(Atletas!D468="Infantil 56kg",13,IF(Atletas!D468="Infantil 60kg",14,IF(Atletas!D468="Juvenil 48kg",15,IF(Atletas!D468="Juvenil 52kg",16,IF(Atletas!D468="Juvenil 56kg",17,IF(Atletas!D468="Juvenil 60kg",18,IF(Atletas!D468="Juvenil 65kg",19,IF(Atletas!D468="Juvenil 70kg",20,IF(Atletas!D468="Juvenil 75kg",21,IF(Atletas!D468="Juvenil 80kg",22, IF(Atletas!D468="Juvenil 85kg",23,IF(Atletas!D468="Adulto 48kg",24,IF(Atletas!D468="Adulto 52kg",25,IF(Atletas!D468="Adulto 56kg",26,IF(Atletas!D468="Adulto 60kg",27,IF(Atletas!D468="Adulto 65kg",28,IF(Atletas!D468="Adulto 70kg",29,IF(Atletas!D468="Adulto 75kg",30,IF(Atletas!D468="Adulto 80kg",31,IF(Atletas!D468="Adulto 85kg",32,IF(Atletas!D468="Adulto 90kg",33,IF(Atletas!D468="Adulto 100kg",34, IF(Atletas!D468="Adulto +100kg",35,"")))))))))))))))))))))))))))))))))))))</f>
        <v/>
      </c>
      <c r="AS477" s="6" t="str">
        <f>IF(Atletas!E468="","",IF(Atletas!B468="Feminino",100,IF(Atletas!B468="Masculino",200,""))+(IF(Atletas!E468="Juvenil 44kg",1,IF(Atletas!E468="Juvenil 48kg",2,IF(Atletas!E468="Juvenil 52kg",3,IF(Atletas!E468="Juvenil 56kg",4,IF(Atletas!E468="Juvenil 60kg",5,IF(Atletas!E468="Juvenil 65kg",6,IF(Atletas!E468="Juvenil 70kg",7,IF(Atletas!E468="Juvenil 75kg",8,IF(Atletas!E468="Juvenil 82kg",9,IF(Atletas!E468="Juvenil 90kg",10,IF(Atletas!E468="Juvenil 100kg",11,IF(Atletas!E468="Adulto 48kg",12,IF(Atletas!E468="Adulto 52kg",13,IF(Atletas!E468="Adulto 56kg",14,IF(Atletas!E468="Adulto 60kg",15,IF(Atletas!E468="Adulto 65kg",16,IF(Atletas!E468="Adulto 70kg",17,IF(Atletas!E468="Adulto 75kg",18,IF(Atletas!E468="Adulto 82kg",19,IF(Atletas!E468="Adulto 90kg",20,IF(Atletas!E468="Adulto 100kg",21,IF(Atletas!E468="Adulto +100kg",22,""))))))))))))))))))))))))</f>
        <v/>
      </c>
      <c r="AX477" s="6" t="str">
        <f>IF(Atletas!F468="","",IF(Atletas!B468="Feminino",100,IF(Atletas!B468="Masculino",200,""))+(IF(Atletas!F468="Adulto 48kg",1,IF(Atletas!F468="Adulto 56kg",2,IF(Atletas!F468="Adulto 65kg",3,IF(Atletas!F468="Adulto 75kg",4,IF(Atletas!F468="Adulto +75kg",5,IF(Atletas!F468="Adulto 52kg",6,IF(Atletas!F468="Adulto 60kg",7,IF(Atletas!F468="Adulto 70kg",8,IF(Atletas!F468="Adulto 80kg",9,IF(Atletas!F468="Adulto 90kg",10,IF(Atletas!F468="Adulto +90kg",11,"")))))))))))))</f>
        <v/>
      </c>
      <c r="BC477" s="6" t="str">
        <f>IF(Atletas!G468="","",IF(Atletas!B468="Feminino",10,IF(Atletas!B468="Masculino",20,""))+(IF(Atletas!G468="Baduanjin A",1,IF(Atletas!G468="Baduanjin B",2))))</f>
        <v/>
      </c>
      <c r="BF477" s="52" t="str">
        <f>IF(Atletas!H468="","",IF(Atletas!B468="Feminino",100,IF(Atletas!B468="Masculino",200,""))+(IF(Atletas!H468="Changquan Mirim",1,IF(Atletas!H468="Nanquan Mirim",2,IF(Atletas!H468="Taijiquan Mirim",3,IF(Atletas!H468="Changquan Grupo C",4,IF(Atletas!H468="Nanquan Grupo C",5,IF(Atletas!H468="Taijiquan Grupo C",6,IF(Atletas!H468="Changquan Grupo B",7,IF(Atletas!H468="Nanquan Grupo B",8,IF(Atletas!H468="Taijiquan Grupo B",9,IF(Atletas!H468="Changquan Grupo A",10,IF(Atletas!H468="Nanquan Grupo A",11,IF(Atletas!H468="Taijiquan Grupo A",12,IF(Atletas!H468="Changquan Opcional",13,IF(Atletas!H468="Nanquan Opcional",14,IF(Atletas!H468="Taijiquan Opcional",15,IF(Atletas!H468="Changquan Adulto",16,IF(Atletas!H468="Nanquan Adulto",17,IF(Atletas!H468="Taijiquan Adulto",18,""))))))))))))))))))))</f>
        <v/>
      </c>
      <c r="BG477" s="52" t="str">
        <f>IF(Atletas!I468="","",IF(Atletas!B468="Feminino",100,IF(Atletas!B468="Masculino",200,""))+(IF(Atletas!I468="Daoshu Mirim",19,IF(Atletas!I468="Jianshu Mirim",20,IF(Atletas!I468="Nandao Mirim",21,IF(Atletas!I468="Taijijian Mirim",22,IF(Atletas!I468="Daoshu Grupo C",23,IF(Atletas!I468="Jianshu Grupo C",24,IF(Atletas!I468="Nandao Grupo C",25,IF(Atletas!I468="Taijijian Grupo C",26,IF(Atletas!I468="Daoshu Grupo B",27,IF(Atletas!I468="Jianshu Grupo B",28,IF(Atletas!I468="Nandao Grupo B",29,IF(Atletas!I468="Taijijian Grupo B",30,IF(Atletas!I468="Daoshu Grupo A",31,IF(Atletas!I468="Jianshu Grupo A",32,IF(Atletas!I468="Nandao Grupo A",33,IF(Atletas!I468="Taijijian Grupo A",34,IF(Atletas!I468="Daoshu Opcional",35,IF(Atletas!I468="Jianshu Opcional",36,IF(Atletas!I468="Nandao Opcional",37,IF(Atletas!I468="Taijijian Opcional",38,IF(Atletas!I468="Daoshu Adulto",39,IF(Atletas!I468="Jianshu Adulto",40,IF(Atletas!I468="Nandao Adulto",41,IF(Atletas!I468="Taijijian Adulto",42,""))))))))))))))))))))))))))</f>
        <v/>
      </c>
      <c r="BH477" s="52" t="str">
        <f>IF(Atletas!J468="","",IF(Atletas!B468="Feminino",100,IF(Atletas!B468="Masculino",200,""))+(IF(Atletas!J468="Gunshu Mirim",43,IF(Atletas!J468="Qiangshu Mirim",44,IF(Atletas!J468="Nangun Mirim",45,IF(Atletas!J468="Gunshu Grupo C",46,IF(Atletas!J468="Qiangshu Grupo C",47,IF(Atletas!J468="Nangun Grupo C",48,IF(Atletas!J468="Gunshu Grupo B",49,IF(Atletas!J468="Qiangshu Grupo B",50,IF(Atletas!J468="Nangun Grupo B",51,IF(Atletas!J468="Gunshu Grupo A",52,IF(Atletas!J468="Qiangshu Grupo A",53,IF(Atletas!J468="Nangun Grupo A",54,IF(Atletas!J468="Gunshu Opcional",55,IF(Atletas!J468="Qiangshu Opcional",56,IF(Atletas!J468="Nangun Opcional",57,IF(Atletas!J468="Gunshu Adulto",58,IF(Atletas!J468="Qiangshu Adulto",59,IF(Atletas!J468="Nangun Adulto",60,IF(Atletas!J468="Taijishan Grupo B",61,IF(Atletas!J468="Taijishan Grupo A",62,""))))))))))))))))))))))</f>
        <v/>
      </c>
      <c r="BM477" s="50" t="str">
        <f>IF(Atletas!K468="","",IF(Atletas!B468="Feminino",100,IF(Atletas!B468="Masculino",200,""))+(IF(Atletas!K468="Equipe 1 Grupo B",1,IF(Atletas!K468="Equipe 2 Grupo B",2,IF(Atletas!K468="Equipe 1 Grupo A",3,IF(Atletas!K468="Equipe 2 Grupo A",4,IF(Atletas!K468="Equipe 1 Adulto",5,IF(Atletas!K468="Equipe 2 Adulto",6,""))))))))</f>
        <v/>
      </c>
      <c r="BR477" s="50" t="str">
        <f>IF(Atletas!L468="","",IF(Atletas!X468&lt;&gt;"",10000,0)+(IF(Atletas!B468="Feminino",1000,IF(Atletas!B468="Masculino",2000,""))+IF(Atletas!L468="Choylayfut A",1,IF(Atletas!L468="Hunggar A",2,IF(Atletas!L468="Wuzuquan A",3,IF(Atletas!L468="Wingchun A",4,IF(Atletas!L468="Outra Mão de Sul A",5,IF(Atletas!L468="Choylayfut B",6,IF(Atletas!L468="Hunggar B",7,IF(Atletas!L468="Wuzuquan B",8,IF(Atletas!L468="Wingchun B",9,IF(Atletas!L468="Outra Mão de Sul B",10,IF(Atletas!L468="Choylayfut C",11,IF(Atletas!L468="Hunggar C",12,IF(Atletas!L468="Wuzuquan C",13,IF(Atletas!L468="Wingchun C",14,IF(Atletas!L468="Outra Mão de Sul C",15,IF(Atletas!L468="Choylayfut D",16,IF(Atletas!L468="Hunggar D",17,IF(Atletas!L468="Wuzuquan D",18,IF(Atletas!L468="Wingchun D",19,IF(Atletas!L468="Outra Mão de Sul D",20,IF(Atletas!L468="Choylayfut E",21,IF(Atletas!L468="Hunggar E",22,IF(Atletas!L468="Wuzuquan E",23,IF(Atletas!L468="Wingchun E",24,IF(Atletas!L468="Outra Mão de Sul E",25,IF(Atletas!L468="Choylayfut F",26,IF(Atletas!L468="Hunggar F",27,IF(Atletas!L468="Wuzuquan F",28,IF(Atletas!L468="Wingchun F",29,IF(Atletas!L468="Outra Mão de Sul F",30,IF(Atletas!L468="Dishuquan A",31,IF(Atletas!L468="Dishuquan B",32,IF(Atletas!L468="Dishuquan C",33,IF(Atletas!L468="Dishuquan D",34,IF(Atletas!L468="Dishuquan E",35,IF(Atletas!L468="Dishuquan F",36,""))))))))))))))))))))))))))))))))))))))</f>
        <v/>
      </c>
      <c r="BS477" s="50" t="str">
        <f>IF(Atletas!M468="","",IF(Atletas!X468&lt;&gt;"",10000,0)+(IF(Atletas!B468="Feminino",1000,IF(Atletas!B468="Masculino",2000,""))+(IF(Atletas!M468="Chaquan A",101,IF(Atletas!M468="Emeiquan A",102,IF(Atletas!M468="Fanziquan A",103,IF(Atletas!M468="Huaquan A",104,IF(Atletas!M468="Hongquan A",105,IF(Atletas!M468="Paoquan A",106,IF(Atletas!M468="Piguaquan A",107,IF(Atletas!M468="Shaolinquan A",108,IF(Atletas!M468="Tanglangquan A",109,IF(Atletas!M468="Yingzhaoquan A",110,IF(Atletas!M468="Tongbeiquan A",111,IF(Atletas!M468="Wudangquan A",112,IF(Atletas!M468="Outros Estilos A",113,IF(Atletas!M468="Chaquan B",114,IF(Atletas!M468="Emeiquan B",115,IF(Atletas!M468="Fanziquan B",116,IF(Atletas!M468="Huaquan B",117,IF(Atletas!M468="Hongquan B",118,IF(Atletas!M468="Paoquan B",119,IF(Atletas!M468="Piguaquan B",120,IF(Atletas!M468="Shaolinquan B",121,IF(Atletas!M468="Tanglangquan B",122,IF(Atletas!M468="Yingzhaoquan B",123,IF(Atletas!M468="Tongbeiquan B",124,IF(Atletas!M468="Wudangquan B",125,IF(Atletas!M468="Outros Estilos B",126,IF(Atletas!M468="Chaquan C",127,IF(Atletas!M468="Emeiquan C",128,IF(Atletas!M468="Fanziquan C",129,IF(Atletas!M468="Huaquan C",130,IF(Atletas!M468="Hongquan C",131,IF(Atletas!M468="Paoquan C",132,IF(Atletas!M468="Piguaquan C",133,IF(Atletas!M468="Shaolinquan C",134,IF(Atletas!M468="Tanglangquan C",135,IF(Atletas!M468="Yingzhaoquan C",136,IF(Atletas!M468="Tongbeiquan C",137,IF(Atletas!M468="Wudangquan C",138,IF(Atletas!M468="Outros Estilos C",139,0))))))))))))))))))))))))))))))))))))))))))</f>
        <v/>
      </c>
      <c r="BT477" s="50" t="str">
        <f>IF(Atletas!M468="","",IF(Atletas!X468&lt;&gt;"",10000,0)+(IF(Atletas!B468="Feminino",1000,IF(Atletas!B468="Masculino",2000,""))+(IF(Atletas!M468="Chaquan D",140,IF(Atletas!M468="Emeiquan D",141,IF(Atletas!M468="Fanziquan D",142,IF(Atletas!M468="Huaquan D",143,IF(Atletas!M468="Hongquan D",144,IF(Atletas!M468="Paoquan D",145,IF(Atletas!M468="Piguaquan D",146,IF(Atletas!M468="Shaolinquan D",147,IF(Atletas!M468="Tanglangquan D",148,IF(Atletas!M468="Yingzhaoquan D",149,IF(Atletas!M468="Tongbeiquan D",150,IF(Atletas!M468="Wudangquan D",151,IF(Atletas!M468="Outros Estilos D",152,IF(Atletas!M468="Chaquan E",153,IF(Atletas!M468="Emeiquan E",154,IF(Atletas!M468="Fanziquan E",155,IF(Atletas!M468="Huaquan E",156,IF(Atletas!M468="Hongquan E",157,IF(Atletas!M468="Paoquan E",158,IF(Atletas!M468="Piguaquan E",159,IF(Atletas!M468="Shaolinquan E",160,IF(Atletas!M468="Tanglangquan E",161,IF(Atletas!M468="Yingzhaoquan E",162,IF(Atletas!M468="Tongbeiquan E",163,IF(Atletas!M468="Wudangquan E",164,IF(Atletas!M468="Outros Estilos E",165,IF(Atletas!M468="Chaquan F",166,IF(Atletas!M468="Emeiquan F",167,IF(Atletas!M468="Fanziquan F",168,IF(Atletas!M468="Huaquan F",169,IF(Atletas!M468="Hongquan F",170,IF(Atletas!M468="Paoquan F",171,IF(Atletas!M468="Piguaquan F",172,IF(Atletas!M468="Shaolinquan F",173,IF(Atletas!M468="Tanglangquan F",174,IF(Atletas!M468="Yingzhaoquan F",175,IF(Atletas!M468="Tongbeiquan F",176,IF(Atletas!M468="Wudangquan F",177,IF(Atletas!M468="Outros Estilos F",178,0))))))))))))))))))))))))))))))))))))))))))</f>
        <v/>
      </c>
      <c r="BU477" s="50" t="str">
        <f>IF(Atletas!N468="","",IF(Atletas!X468&lt;&gt;"",10000,0)+(IF(Atletas!B468="Feminino",1000,IF(Atletas!B468="Masculino",2000,""))+(IF(Atletas!N468="Ditangquan A",201,IF(Atletas!N468="Houquan A",202,IF(Atletas!N468="Zuiquan A",203,IF(Atletas!N468="Ditangquan B",204,IF(Atletas!N468="Houquan B",205,IF(Atletas!N468="Zuiquan B",206,IF(Atletas!N468="Ditangquan C",207,IF(Atletas!N468="Houquan C",208,IF(Atletas!N468="Zuiquan C",209,IF(Atletas!N468="Ditangquan D",210,IF(Atletas!N468="Houquan D",211,IF(Atletas!N468="Zuiquan D",212,IF(Atletas!N468="Ditangquan E",213,IF(Atletas!N468="Houquan E",214,IF(Atletas!N468="Zuiquan E",215,IF(Atletas!N468="Ditangquan F",216,IF(Atletas!N468="Houquan F",217,IF(Atletas!N468="Zuiquan F",218,"")))))))))))))))))))))</f>
        <v/>
      </c>
      <c r="BV477" s="50" t="str">
        <f>IF(Atletas!O468="","",IF(Atletas!X468&lt;&gt;"",10000,0)+IF(Atletas!B468="Feminino",1000,IF(Atletas!B468="Masculino",2000,""))+IF(Atletas!O468="Yang A",301,IF(Atletas!O468="Chen A",302,IF(Atletas!O468="Sun A",303,IF(Atletas!O468="Wu A",304,IF(Atletas!O468="Wu-Hao A",305,IF(Atletas!O468="Outro Taijiquan A",306,IF(Atletas!O468="Yang B",307,IF(Atletas!O468="Chen B",308,IF(Atletas!O468="Sun B",309,IF(Atletas!O468="Wu B",310,IF(Atletas!O468="Wu-Hao B",311,IF(Atletas!O468="Outro Taijiquan B",312,IF(Atletas!O468="Yang C",313,IF(Atletas!O468="Chen C",314,IF(Atletas!O468="Sun C",315,IF(Atletas!O468="Wu C",316,IF(Atletas!O468="Wu-Hao C",317,IF(Atletas!O468="Outro Taijiquan C",318,IF(Atletas!O468="Yang D",319,IF(Atletas!O468="Chen D",320,IF(Atletas!O468="Sun D",321,IF(Atletas!O468="Wu D",322,IF(Atletas!O468="Wu-Hao D",323,IF(Atletas!O468="Outro Taijiquan D",324,IF(Atletas!O468="Yang E",325,IF(Atletas!O468="Chen E",326,IF(Atletas!O468="Sun E",327,IF(Atletas!O468="Wu E",328,IF(Atletas!O468="Wu-Hao E",329,IF(Atletas!O468="Outro Taijiquan E",330,IF(Atletas!O468="Yang F",331,IF(Atletas!O468="Chen F",332,IF(Atletas!O468="Sun F",333,IF(Atletas!O468="Wu F",334,IF(Atletas!O468="Wu-Hao F",335,IF(Atletas!O468="Outro Taijiquan F",336,"")))))))))))))))))))))))))))))))))))))</f>
        <v/>
      </c>
      <c r="BW477" s="50" t="str">
        <f>IF(Atletas!P468="","",IF(Atletas!X468&lt;&gt;"",10000,0)+IF(Atletas!B468="Feminino",1000,IF(Atletas!B468="Masculino",2000,""))+IF(OR(Atletas!P468="Yang 26 A",Atletas!P468="Yang 40 A"),401,IF(OR(Atletas!P468="Chen 25 A",Atletas!P468="Chen 36 A",Atletas!P468="Chen 56 A"),402,IF(Atletas!P468="Sun 73 A",403,IF(Atletas!P468="Wu 45 A",404,IF(Atletas!P468="Wu-Hao 46 A",405,IF(OR(Atletas!P468="Taijiquan 16 A",Atletas!P468="Taijiquan 24 A",Atletas!P468="Taijiquan 32 A",Atletas!P468="Taijiquan 42 A"),406,IF(OR(Atletas!P468="Yang 26 B",Atletas!P468="Yang 40 B"),407,IF(OR(Atletas!P468="Chen 25 B",Atletas!P468="Chen 36 B",Atletas!P468="Chen 56 B"),408,IF(Atletas!P468="Sun 73 B",409,IF(Atletas!P468="Wu 45 B",410,IF(Atletas!P468="Wu-Hao 46 B",411,IF(OR(Atletas!P468="Taijiquan 16 B",Atletas!P468="Taijiquan 24 B",Atletas!P468="Taijiquan 32 B",Atletas!P468="Taijiquan 42 B"),412,IF(OR(Atletas!P468="Yang 26 C",Atletas!P468="Yang 40 C"),413,IF(OR(Atletas!P468="Chen 25 C",Atletas!P468="Chen 36 C",Atletas!P468="Chen 56 C"),414,IF(Atletas!P468="Sun 73 C",415,IF(Atletas!P468="Wu 45 C",416,IF(Atletas!P468="Wu-Hao 46 C",417,IF(OR(Atletas!P468="Taijiquan 16 C",Atletas!P468="Taijiquan 24 C",Atletas!P468="Taijiquan 32 C",Atletas!P468="Taijiquan 42 C"),418,0)))))))))))))))))))</f>
        <v/>
      </c>
      <c r="BX477" s="50" t="str">
        <f>IF(Atletas!P468="","",IF(Atletas!X468&lt;&gt;"",10000,0)+IF(Atletas!B468="Feminino",1000,IF(Atletas!B468="Masculino",2000,""))+IF(OR(Atletas!P468="Yang 26 D",Atletas!P468="Yang 40 D"),419,IF(OR(Atletas!P468="Chen 25 D",Atletas!P468="Chen 36 D",Atletas!P468="Chen 56 D"),420,IF(Atletas!P468="Sun 73 D",421,IF(Atletas!P468="Wu 45 D",422,IF(Atletas!P468="Wu-Hao 46 D",423,IF(OR(Atletas!P468="Taijiquan 16 D",Atletas!P468="Taijiquan 24 D",Atletas!P468="Taijiquan 32 D",Atletas!P468="Taijiquan 42 D"),424,IF(OR(Atletas!P468="Yang 26 E",Atletas!P468="Yang 40 E"),425,IF(OR(Atletas!P468="Chen 25 E",Atletas!P468="Chen 36 E",Atletas!P468="Chen 56 E"),426,IF(Atletas!P468="Sun 73 E",427,IF(Atletas!P468="Wu 45 E",428,IF(Atletas!P468="Wu-Hao 46 E",429,IF(OR(Atletas!P468="Taijiquan 16 E",Atletas!P468="Taijiquan 24 E",Atletas!P468="Taijiquan 32 E",Atletas!P468="Taijiquan 42 E"),430,IF(OR(Atletas!P468="Yang 26 F",Atletas!P468="Yang 40 F"),431,IF(OR(Atletas!P468="Chen 25 F",Atletas!P468="Chen 36 F",Atletas!P468="Chen 56 F"),432,IF(Atletas!P468="Sun 73 F",433,IF(Atletas!P468="Wu 45 F",434,IF(Atletas!P468="Wu-Hao 46 F",435,IF(OR(Atletas!P468="Taijiquan 16 F",Atletas!P468="Taijiquan 24 F",Atletas!P468="Taijiquan 32 F",Atletas!P468="Taijiquan 42 F"),436,0)))))))))))))))))))</f>
        <v/>
      </c>
      <c r="BY477" s="50" t="str">
        <f>IF(Atletas!Q468="","",IF(Atletas!X468&lt;&gt;"",10000,0)+IF(Atletas!B468="Feminino",1000,IF(Atletas!B468="Masculino",2000,""))+IF(Atletas!Q468="Xingyiquan A",501,IF(Atletas!Q468="Baguazhang A",502,IF(Atletas!Q468="Outro Estilo Interno A",503,IF(Atletas!Q468="Xingyiquan B",504,IF(Atletas!Q468="Baguazhang B",505,IF(Atletas!Q468="Outro Estilo Interno B",506,IF(Atletas!Q468="Xingyiquan C",507,IF(Atletas!Q468="Baguazhang C",508,IF(Atletas!Q468="Outro Estilo Interno C",509,IF(Atletas!Q468="Xingyiquan D",510,IF(Atletas!Q468="Baguazhang D",511,IF(Atletas!Q468="Outro Estilo Interno D",512,IF(Atletas!Q468="Xingyiquan E",513,IF(Atletas!Q468="Baguazhang E",514,IF(Atletas!Q468="Outro Estilo Interno E",515,IF(Atletas!Q468="Xingyiquan F",516,IF(Atletas!Q468="Baguazhang F",517,IF(Atletas!Q468="Outro Estilo Interno F",518, "")))))))))))))))))))</f>
        <v/>
      </c>
      <c r="BZ477" s="50" t="str">
        <f>IF(Atletas!R468="","",IF(Atletas!X468&lt;&gt;"",10000,0)+IF(Atletas!B468="Feminino",1000,IF(Atletas!B468="Masculino",2000,""))+IF(Atletas!R468="Dao A",601,IF(Atletas!R468="Jian A",602,IF(Atletas!R468="Bishou A",603,IF(Atletas!R468="Shanzi A",604,IF(Atletas!R468="Outra Arma Curta A",605,IF(Atletas!R468="Dao B",606,IF(Atletas!R468="Jian B",607,IF(Atletas!R468="Bishou B",608,IF(Atletas!R468="Shanzi B",609,IF(Atletas!R468="Outra Arma Curta B",610,IF(Atletas!R468="Dao C",611,IF(Atletas!R468="Jian C",612,IF(Atletas!R468="Bishou C",613,IF(Atletas!R468="Shanzi C",614,IF(Atletas!R468="Outra Arma Curta C",615,IF(Atletas!R468="Dao D",616,IF(Atletas!R468="Jian D",617,IF(Atletas!R468="Bishou D",618,IF(Atletas!R468="Shanzi D",619,IF(Atletas!R468="Outra Arma Curta D",620,IF(Atletas!R468="Dao E",621,IF(Atletas!R468="Jian E",622,IF(Atletas!R468="Bishou E",623,IF(Atletas!R468="Shanzi E",624,IF(Atletas!R468="Outra Arma Curta E",625,IF(Atletas!R468="Dao F",626,IF(Atletas!R468="Jian F",627,IF(Atletas!R468="Bishou F",628,IF(Atletas!R468="Shanzi F",629,IF(Atletas!R468="Outra Arma Curta F",630, "")))))))))))))))))))))))))))))))</f>
        <v/>
      </c>
      <c r="CA477" s="50" t="str">
        <f>IF(Atletas!S468="","",IF(Atletas!X468&lt;&gt;"",10000,0)+IF(Atletas!B468="Feminino",1000,IF(Atletas!B468="Masculino",2000,""))+IF(Atletas!S468="Gun A",701,IF(Atletas!S468="Qiang A",702,IF(Atletas!S468="Pudao / Guandao A",703,IF(Atletas!S468="Outra Arma Longa A",704,IF(Atletas!S468="Gun B",705,IF(Atletas!S468="Qiang B",706,IF(Atletas!S468="Pudao / Guandao B",707,IF(Atletas!S468="Outra Arma Longa B",708,IF(Atletas!S468="Gun C",709,IF(Atletas!S468="Qiang C",710,IF(Atletas!S468="Pudao / Guandao C",711,IF(Atletas!S468="Outra Arma Longa C",712,IF(Atletas!S468="Gun D",713,IF(Atletas!S468="Qiang D",714,IF(Atletas!S468="Pudao / Guandao D",715,IF(Atletas!S468="Outra Arma Longa D",716,IF(Atletas!S468="Gun E",717,IF(Atletas!S468="Qiang E",718,IF(Atletas!S468="Pudao / Guandao E",719,IF(Atletas!S468="Outra Arma Longa E",720,IF(Atletas!S468="Gun F",721,IF(Atletas!S468="Qiang F",722,IF(Atletas!S468="Pudao / Guandao F",723,IF(Atletas!S468="Outra Arma Longa F",724,"")))))))))))))))))))))))))</f>
        <v/>
      </c>
      <c r="CB477" s="50" t="str">
        <f>IF(Atletas!T468="","",IF(Atletas!X468&lt;&gt;"",10000,0)+IF(Atletas!B468="Feminino",1000,IF(Atletas!B468="Masculino",2000,""))+IF(Atletas!T468="Outra Arma Dupla A",801,IF(Atletas!T468="Arma Maleável A",802,IF(Atletas!T468="Outra Arma Dupla B",803,IF(Atletas!T468="Arma Maleável B",804,IF(Atletas!T468="Outra Arma Dupla C",805,IF(Atletas!T468="Arma Maleável C",806,IF(Atletas!T468="Outra Arma Dupla D",807,IF(Atletas!T468="Arma Maleável D",808,IF(Atletas!T468="Outra Arma Dupla E",809,IF(Atletas!T468="Arma Maleável E",810,IF(Atletas!T468="Outra Arma Dupla F",811,IF(Atletas!T468="Arma Maleável F",812,IF(Atletas!T468="Shuangdao A",813,IF(Atletas!T468="Shuangdao B",814,IF(Atletas!T468="Shuangdao C",815,IF(Atletas!T468="Shuangdao D",816,IF(Atletas!T468="Shuangdao E",817,IF(Atletas!T468="Shuangdao F",818,"")))))))))))))))))))</f>
        <v/>
      </c>
      <c r="CC477" s="50" t="str">
        <f>IF(Atletas!U468="","",IF(Atletas!X468&lt;&gt;"",10000,0)+IF(Atletas!B468="Feminino",1000,IF(Atletas!B468="Masculino",2000,""))+IF(OR(Atletas!U468="Taijijian Yang A",Atletas!U468="Taijijian Yang Standard A"),901,IF(OR(Atletas!U468="Taijijian Chen A", Atletas!U468="Taijijian Chen Standard A"),902,IF(Atletas!U468="Taijijian Sun A",903,IF(Atletas!U468="Taijijian Wu A",904,IF(Atletas!U468="Taijijian Wu-Hao A",905,IF(OR(Atletas!U468="Taijijian 32 A",Atletas!U468="Taijijian 42 A"),906,IF(OR(Atletas!U468="Taijijian Yang B",Atletas!U468="Taijijian Yang Standard B"),907,IF(OR(Atletas!U468="Taijijian Chen B", Atletas!U468="Taijijian Chen Standard B"),908,IF(Atletas!U468="Taijijian Sun B",909,IF(Atletas!U468="Taijijian Wu B",910,IF(Atletas!U468="Taijijian Wu-Hao B",911,IF(OR(Atletas!U468="Taijijian 32 B",Atletas!U468="Taijijian 42 B"),912,IF(OR(Atletas!U468="Taijijian Yang C",Atletas!U468="Taijijian Yang Standard C"),913,IF(OR(Atletas!U468="Taijijian Chen C", Atletas!U468="Taijijian Chen Standard C"),914,IF(Atletas!U468="Taijijian Sun C",915,IF(Atletas!U468="Taijijian Wu C",916,IF(Atletas!U468="Taijijian Wu-Hao C",917,IF(OR(Atletas!U468="Taijijian 32 C",Atletas!U468="Taijijian 42 C"),918,IF(OR(Atletas!U468="Taijijian Yang D",Atletas!U468="Taijijian Yang Standard D"),919,IF(OR(Atletas!U468="Taijijian Chen D", Atletas!U468="Taijijian Chen Standard D"),920,IF(Atletas!U468="Taijijian Sun D",921,IF(Atletas!U468="Taijijian Wu D",922,IF(Atletas!U468="Taijijian Wu-Hao D",923,IF(OR(Atletas!U468="Taijijian 32 D",Atletas!U468="Taijijian 42 D"),924,IF(OR(Atletas!U468="Taijijian Yang E",Atletas!U468="Taijijian Yang Standard E"),925,IF(OR(Atletas!U468="Taijijian Chen E", Atletas!U468="Taijijian Chen Standard E"),926,IF(Atletas!U468="Taijijian Sun E",927,IF(Atletas!U468="Taijijian Wu E",928,IF(Atletas!U468="Taijijian Wu-Hao E",929,IF(OR(Atletas!U468="Taijijian 32 E",Atletas!U468="Taijijian 42 E"),930,IF(OR(Atletas!U468="Taijijian Yang F",Atletas!U468="Taijijian Yang Standard F"),931,IF(OR(Atletas!U468="Taijijian Chen F", Atletas!U468="Taijijian Chen Standard F"),932,IF(Atletas!U468="Taijijian Sun F",933,IF(Atletas!U468="Taijijian Wu F",934,IF(Atletas!U468="Taijijian Wu-Hao F",935,IF(OR(Atletas!U468="Taijijian 32 F",Atletas!U468="Taijijian 42 F"),936,"")))))))))))))))))))))))))))))))))))))</f>
        <v/>
      </c>
      <c r="CD477" s="50" t="str">
        <f>IF(Atletas!V468="","",IF(Atletas!X468&lt;&gt;"",10000,0)+IF(Atletas!B468="Feminino",1000,IF(Atletas!B468="Masculino",2000,""))+IF(Atletas!V468="Taijidao A",937,IF(Atletas!V468="TaijiShanzi A",938,IF(Atletas!V468="Taijiqiang A",939,IF(Atletas!V468="Bagua de Arma A",940,IF(Atletas!V468="Xingyi de Arma A",941,IF(Atletas!V468="Taijidao B",942,IF(Atletas!V468="TaijiShanzi B",943,IF(Atletas!V468="Taijiqiang B",944,IF(Atletas!V468="Bagua de Arma B",945,IF(Atletas!V468="Xingyi de Arma B",946,IF(Atletas!V468="Taijidao C",947,IF(Atletas!V468="TaijiShanzi C",948,IF(Atletas!V468="Taijiqiang C",949,IF(Atletas!V468="Bagua de Arma C",950,IF(Atletas!V468="Xingyi de Arma C",951,IF(Atletas!V468="Taijidao D",952,IF(Atletas!V468="TaijiShanzi D",953,IF(Atletas!V468="Taijiqiang D",954,IF(Atletas!V468="Bagua de Arma D",955,IF(Atletas!V468="Xingyi de Arma D",956,IF(Atletas!V468="Taijidao E",957,IF(Atletas!V468="TaijiShanzi E",958,IF(Atletas!V468="Taijiqiang E",959,IF(Atletas!V468="Bagua de Arma E",960,IF(Atletas!V468="Xingyi de Arma E",961,IF(Atletas!V468="Taijidao F",962,IF(Atletas!V468="TaijiShanzi F",963,IF(Atletas!V468="Taijiqiang F",964,IF(Atletas!V468="Bagua de Arma F",965,IF(Atletas!V468="Xingyi de Arma F",966,"")))))))))))))))))))))))))))))))</f>
        <v/>
      </c>
      <c r="CM477" s="50" t="str">
        <f xml:space="preserve"> IF(Atletas!W468="","",IF(Atletas!W468="Duilian de Mãos BC - Equipe 1",1,IF(Atletas!W468="Duilian de Mãos BC - Equipe 2",2,IF(Atletas!W468="Duilian de Armas BC - Equipe 1",3,IF(Atletas!W468="Duilian de Armas BC - Equipe 2",4,IF(Atletas!W468="Duilian de Mãos DE - Equipe 1",5,IF(Atletas!W468="Duilian de Mãos DE - Equipe 2",6,IF(Atletas!W468="Duilian de Armas DE - Equipe 1",7,IF(Atletas!W468="Duilian de Armas DE - Equipe 2",8,IF(Atletas!W468="Duilian de Tuishou - Equipe 1",9,IF(Atletas!W468="Duilian de Tuishou - Equipe 2",10,IF(Atletas!W468="Grupo Externo ABC - Equipe 1",11,IF(Atletas!W468="Grupo Externo ABC - Equipe 2",12,IF(Atletas!W468="Grupo Interno ABC - Equipe 1",13,IF(Atletas!W468="Grupo Interno ABC - Equipe 2",14,IF(Atletas!W468="Grupo Externo DEF - Equipe 1",15,IF(Atletas!W468="Grupo Externo DEF - Equipe 2",16,IF(Atletas!W468="Grupo Interno DEF - Equipe 1",17,IF(Atletas!W468="Grupo Interno DEF - Equipe 2",18,"")))))))))))))))))))</f>
        <v/>
      </c>
    </row>
    <row r="478" spans="40:91">
      <c r="AN478" s="52" t="str">
        <f>IF(Atletas!D469="","",IF(Atletas!B469="Feminino",100,IF(Atletas!B469="Masculino",200,""))+(IF(Atletas!D469="Kids 30kg",1,IF(Atletas!D469="Kids 32kg",2, IF(Atletas!D469="Kids 34kg",3,IF(Atletas!D469="Kids 36kg",4,IF(Atletas!D469="Kids 39kg",5,IF(Atletas!D469="Kids 42kg",6,IF(Atletas!D469="Kids 45kg",7, IF(Atletas!D469="Infantil 39kg",8,IF(Atletas!D469="Infantil 42kg",9,IF(Atletas!D469="Infantil 45kg",10,IF(Atletas!D469="Infantil 48kg",11,IF(Atletas!D469="Infantil 52kg",12,IF(Atletas!D469="Infantil 56kg",13,IF(Atletas!D469="Infantil 60kg",14,IF(Atletas!D469="Juvenil 48kg",15,IF(Atletas!D469="Juvenil 52kg",16,IF(Atletas!D469="Juvenil 56kg",17,IF(Atletas!D469="Juvenil 60kg",18,IF(Atletas!D469="Juvenil 65kg",19,IF(Atletas!D469="Juvenil 70kg",20,IF(Atletas!D469="Juvenil 75kg",21,IF(Atletas!D469="Juvenil 80kg",22, IF(Atletas!D469="Juvenil 85kg",23,IF(Atletas!D469="Adulto 48kg",24,IF(Atletas!D469="Adulto 52kg",25,IF(Atletas!D469="Adulto 56kg",26,IF(Atletas!D469="Adulto 60kg",27,IF(Atletas!D469="Adulto 65kg",28,IF(Atletas!D469="Adulto 70kg",29,IF(Atletas!D469="Adulto 75kg",30,IF(Atletas!D469="Adulto 80kg",31,IF(Atletas!D469="Adulto 85kg",32,IF(Atletas!D469="Adulto 90kg",33,IF(Atletas!D469="Adulto 100kg",34, IF(Atletas!D469="Adulto +100kg",35,"")))))))))))))))))))))))))))))))))))))</f>
        <v/>
      </c>
      <c r="AS478" s="6" t="str">
        <f>IF(Atletas!E469="","",IF(Atletas!B469="Feminino",100,IF(Atletas!B469="Masculino",200,""))+(IF(Atletas!E469="Juvenil 44kg",1,IF(Atletas!E469="Juvenil 48kg",2,IF(Atletas!E469="Juvenil 52kg",3,IF(Atletas!E469="Juvenil 56kg",4,IF(Atletas!E469="Juvenil 60kg",5,IF(Atletas!E469="Juvenil 65kg",6,IF(Atletas!E469="Juvenil 70kg",7,IF(Atletas!E469="Juvenil 75kg",8,IF(Atletas!E469="Juvenil 82kg",9,IF(Atletas!E469="Juvenil 90kg",10,IF(Atletas!E469="Juvenil 100kg",11,IF(Atletas!E469="Adulto 48kg",12,IF(Atletas!E469="Adulto 52kg",13,IF(Atletas!E469="Adulto 56kg",14,IF(Atletas!E469="Adulto 60kg",15,IF(Atletas!E469="Adulto 65kg",16,IF(Atletas!E469="Adulto 70kg",17,IF(Atletas!E469="Adulto 75kg",18,IF(Atletas!E469="Adulto 82kg",19,IF(Atletas!E469="Adulto 90kg",20,IF(Atletas!E469="Adulto 100kg",21,IF(Atletas!E469="Adulto +100kg",22,""))))))))))))))))))))))))</f>
        <v/>
      </c>
      <c r="AX478" s="6" t="str">
        <f>IF(Atletas!F469="","",IF(Atletas!B469="Feminino",100,IF(Atletas!B469="Masculino",200,""))+(IF(Atletas!F469="Adulto 48kg",1,IF(Atletas!F469="Adulto 56kg",2,IF(Atletas!F469="Adulto 65kg",3,IF(Atletas!F469="Adulto 75kg",4,IF(Atletas!F469="Adulto +75kg",5,IF(Atletas!F469="Adulto 52kg",6,IF(Atletas!F469="Adulto 60kg",7,IF(Atletas!F469="Adulto 70kg",8,IF(Atletas!F469="Adulto 80kg",9,IF(Atletas!F469="Adulto 90kg",10,IF(Atletas!F469="Adulto +90kg",11,"")))))))))))))</f>
        <v/>
      </c>
      <c r="BC478" s="6" t="str">
        <f>IF(Atletas!G469="","",IF(Atletas!B469="Feminino",10,IF(Atletas!B469="Masculino",20,""))+(IF(Atletas!G469="Baduanjin A",1,IF(Atletas!G469="Baduanjin B",2))))</f>
        <v/>
      </c>
      <c r="BF478" s="52" t="str">
        <f>IF(Atletas!H469="","",IF(Atletas!B469="Feminino",100,IF(Atletas!B469="Masculino",200,""))+(IF(Atletas!H469="Changquan Mirim",1,IF(Atletas!H469="Nanquan Mirim",2,IF(Atletas!H469="Taijiquan Mirim",3,IF(Atletas!H469="Changquan Grupo C",4,IF(Atletas!H469="Nanquan Grupo C",5,IF(Atletas!H469="Taijiquan Grupo C",6,IF(Atletas!H469="Changquan Grupo B",7,IF(Atletas!H469="Nanquan Grupo B",8,IF(Atletas!H469="Taijiquan Grupo B",9,IF(Atletas!H469="Changquan Grupo A",10,IF(Atletas!H469="Nanquan Grupo A",11,IF(Atletas!H469="Taijiquan Grupo A",12,IF(Atletas!H469="Changquan Opcional",13,IF(Atletas!H469="Nanquan Opcional",14,IF(Atletas!H469="Taijiquan Opcional",15,IF(Atletas!H469="Changquan Adulto",16,IF(Atletas!H469="Nanquan Adulto",17,IF(Atletas!H469="Taijiquan Adulto",18,""))))))))))))))))))))</f>
        <v/>
      </c>
      <c r="BG478" s="52" t="str">
        <f>IF(Atletas!I469="","",IF(Atletas!B469="Feminino",100,IF(Atletas!B469="Masculino",200,""))+(IF(Atletas!I469="Daoshu Mirim",19,IF(Atletas!I469="Jianshu Mirim",20,IF(Atletas!I469="Nandao Mirim",21,IF(Atletas!I469="Taijijian Mirim",22,IF(Atletas!I469="Daoshu Grupo C",23,IF(Atletas!I469="Jianshu Grupo C",24,IF(Atletas!I469="Nandao Grupo C",25,IF(Atletas!I469="Taijijian Grupo C",26,IF(Atletas!I469="Daoshu Grupo B",27,IF(Atletas!I469="Jianshu Grupo B",28,IF(Atletas!I469="Nandao Grupo B",29,IF(Atletas!I469="Taijijian Grupo B",30,IF(Atletas!I469="Daoshu Grupo A",31,IF(Atletas!I469="Jianshu Grupo A",32,IF(Atletas!I469="Nandao Grupo A",33,IF(Atletas!I469="Taijijian Grupo A",34,IF(Atletas!I469="Daoshu Opcional",35,IF(Atletas!I469="Jianshu Opcional",36,IF(Atletas!I469="Nandao Opcional",37,IF(Atletas!I469="Taijijian Opcional",38,IF(Atletas!I469="Daoshu Adulto",39,IF(Atletas!I469="Jianshu Adulto",40,IF(Atletas!I469="Nandao Adulto",41,IF(Atletas!I469="Taijijian Adulto",42,""))))))))))))))))))))))))))</f>
        <v/>
      </c>
      <c r="BH478" s="52" t="str">
        <f>IF(Atletas!J469="","",IF(Atletas!B469="Feminino",100,IF(Atletas!B469="Masculino",200,""))+(IF(Atletas!J469="Gunshu Mirim",43,IF(Atletas!J469="Qiangshu Mirim",44,IF(Atletas!J469="Nangun Mirim",45,IF(Atletas!J469="Gunshu Grupo C",46,IF(Atletas!J469="Qiangshu Grupo C",47,IF(Atletas!J469="Nangun Grupo C",48,IF(Atletas!J469="Gunshu Grupo B",49,IF(Atletas!J469="Qiangshu Grupo B",50,IF(Atletas!J469="Nangun Grupo B",51,IF(Atletas!J469="Gunshu Grupo A",52,IF(Atletas!J469="Qiangshu Grupo A",53,IF(Atletas!J469="Nangun Grupo A",54,IF(Atletas!J469="Gunshu Opcional",55,IF(Atletas!J469="Qiangshu Opcional",56,IF(Atletas!J469="Nangun Opcional",57,IF(Atletas!J469="Gunshu Adulto",58,IF(Atletas!J469="Qiangshu Adulto",59,IF(Atletas!J469="Nangun Adulto",60,IF(Atletas!J469="Taijishan Grupo B",61,IF(Atletas!J469="Taijishan Grupo A",62,""))))))))))))))))))))))</f>
        <v/>
      </c>
      <c r="BM478" s="50" t="str">
        <f>IF(Atletas!K469="","",IF(Atletas!B469="Feminino",100,IF(Atletas!B469="Masculino",200,""))+(IF(Atletas!K469="Equipe 1 Grupo B",1,IF(Atletas!K469="Equipe 2 Grupo B",2,IF(Atletas!K469="Equipe 1 Grupo A",3,IF(Atletas!K469="Equipe 2 Grupo A",4,IF(Atletas!K469="Equipe 1 Adulto",5,IF(Atletas!K469="Equipe 2 Adulto",6,""))))))))</f>
        <v/>
      </c>
      <c r="BR478" s="50" t="str">
        <f>IF(Atletas!L469="","",IF(Atletas!X469&lt;&gt;"",10000,0)+(IF(Atletas!B469="Feminino",1000,IF(Atletas!B469="Masculino",2000,""))+IF(Atletas!L469="Choylayfut A",1,IF(Atletas!L469="Hunggar A",2,IF(Atletas!L469="Wuzuquan A",3,IF(Atletas!L469="Wingchun A",4,IF(Atletas!L469="Outra Mão de Sul A",5,IF(Atletas!L469="Choylayfut B",6,IF(Atletas!L469="Hunggar B",7,IF(Atletas!L469="Wuzuquan B",8,IF(Atletas!L469="Wingchun B",9,IF(Atletas!L469="Outra Mão de Sul B",10,IF(Atletas!L469="Choylayfut C",11,IF(Atletas!L469="Hunggar C",12,IF(Atletas!L469="Wuzuquan C",13,IF(Atletas!L469="Wingchun C",14,IF(Atletas!L469="Outra Mão de Sul C",15,IF(Atletas!L469="Choylayfut D",16,IF(Atletas!L469="Hunggar D",17,IF(Atletas!L469="Wuzuquan D",18,IF(Atletas!L469="Wingchun D",19,IF(Atletas!L469="Outra Mão de Sul D",20,IF(Atletas!L469="Choylayfut E",21,IF(Atletas!L469="Hunggar E",22,IF(Atletas!L469="Wuzuquan E",23,IF(Atletas!L469="Wingchun E",24,IF(Atletas!L469="Outra Mão de Sul E",25,IF(Atletas!L469="Choylayfut F",26,IF(Atletas!L469="Hunggar F",27,IF(Atletas!L469="Wuzuquan F",28,IF(Atletas!L469="Wingchun F",29,IF(Atletas!L469="Outra Mão de Sul F",30,IF(Atletas!L469="Dishuquan A",31,IF(Atletas!L469="Dishuquan B",32,IF(Atletas!L469="Dishuquan C",33,IF(Atletas!L469="Dishuquan D",34,IF(Atletas!L469="Dishuquan E",35,IF(Atletas!L469="Dishuquan F",36,""))))))))))))))))))))))))))))))))))))))</f>
        <v/>
      </c>
      <c r="BS478" s="50" t="str">
        <f>IF(Atletas!M469="","",IF(Atletas!X469&lt;&gt;"",10000,0)+(IF(Atletas!B469="Feminino",1000,IF(Atletas!B469="Masculino",2000,""))+(IF(Atletas!M469="Chaquan A",101,IF(Atletas!M469="Emeiquan A",102,IF(Atletas!M469="Fanziquan A",103,IF(Atletas!M469="Huaquan A",104,IF(Atletas!M469="Hongquan A",105,IF(Atletas!M469="Paoquan A",106,IF(Atletas!M469="Piguaquan A",107,IF(Atletas!M469="Shaolinquan A",108,IF(Atletas!M469="Tanglangquan A",109,IF(Atletas!M469="Yingzhaoquan A",110,IF(Atletas!M469="Tongbeiquan A",111,IF(Atletas!M469="Wudangquan A",112,IF(Atletas!M469="Outros Estilos A",113,IF(Atletas!M469="Chaquan B",114,IF(Atletas!M469="Emeiquan B",115,IF(Atletas!M469="Fanziquan B",116,IF(Atletas!M469="Huaquan B",117,IF(Atletas!M469="Hongquan B",118,IF(Atletas!M469="Paoquan B",119,IF(Atletas!M469="Piguaquan B",120,IF(Atletas!M469="Shaolinquan B",121,IF(Atletas!M469="Tanglangquan B",122,IF(Atletas!M469="Yingzhaoquan B",123,IF(Atletas!M469="Tongbeiquan B",124,IF(Atletas!M469="Wudangquan B",125,IF(Atletas!M469="Outros Estilos B",126,IF(Atletas!M469="Chaquan C",127,IF(Atletas!M469="Emeiquan C",128,IF(Atletas!M469="Fanziquan C",129,IF(Atletas!M469="Huaquan C",130,IF(Atletas!M469="Hongquan C",131,IF(Atletas!M469="Paoquan C",132,IF(Atletas!M469="Piguaquan C",133,IF(Atletas!M469="Shaolinquan C",134,IF(Atletas!M469="Tanglangquan C",135,IF(Atletas!M469="Yingzhaoquan C",136,IF(Atletas!M469="Tongbeiquan C",137,IF(Atletas!M469="Wudangquan C",138,IF(Atletas!M469="Outros Estilos C",139,0))))))))))))))))))))))))))))))))))))))))))</f>
        <v/>
      </c>
      <c r="BT478" s="50" t="str">
        <f>IF(Atletas!M469="","",IF(Atletas!X469&lt;&gt;"",10000,0)+(IF(Atletas!B469="Feminino",1000,IF(Atletas!B469="Masculino",2000,""))+(IF(Atletas!M469="Chaquan D",140,IF(Atletas!M469="Emeiquan D",141,IF(Atletas!M469="Fanziquan D",142,IF(Atletas!M469="Huaquan D",143,IF(Atletas!M469="Hongquan D",144,IF(Atletas!M469="Paoquan D",145,IF(Atletas!M469="Piguaquan D",146,IF(Atletas!M469="Shaolinquan D",147,IF(Atletas!M469="Tanglangquan D",148,IF(Atletas!M469="Yingzhaoquan D",149,IF(Atletas!M469="Tongbeiquan D",150,IF(Atletas!M469="Wudangquan D",151,IF(Atletas!M469="Outros Estilos D",152,IF(Atletas!M469="Chaquan E",153,IF(Atletas!M469="Emeiquan E",154,IF(Atletas!M469="Fanziquan E",155,IF(Atletas!M469="Huaquan E",156,IF(Atletas!M469="Hongquan E",157,IF(Atletas!M469="Paoquan E",158,IF(Atletas!M469="Piguaquan E",159,IF(Atletas!M469="Shaolinquan E",160,IF(Atletas!M469="Tanglangquan E",161,IF(Atletas!M469="Yingzhaoquan E",162,IF(Atletas!M469="Tongbeiquan E",163,IF(Atletas!M469="Wudangquan E",164,IF(Atletas!M469="Outros Estilos E",165,IF(Atletas!M469="Chaquan F",166,IF(Atletas!M469="Emeiquan F",167,IF(Atletas!M469="Fanziquan F",168,IF(Atletas!M469="Huaquan F",169,IF(Atletas!M469="Hongquan F",170,IF(Atletas!M469="Paoquan F",171,IF(Atletas!M469="Piguaquan F",172,IF(Atletas!M469="Shaolinquan F",173,IF(Atletas!M469="Tanglangquan F",174,IF(Atletas!M469="Yingzhaoquan F",175,IF(Atletas!M469="Tongbeiquan F",176,IF(Atletas!M469="Wudangquan F",177,IF(Atletas!M469="Outros Estilos F",178,0))))))))))))))))))))))))))))))))))))))))))</f>
        <v/>
      </c>
      <c r="BU478" s="50" t="str">
        <f>IF(Atletas!N469="","",IF(Atletas!X469&lt;&gt;"",10000,0)+(IF(Atletas!B469="Feminino",1000,IF(Atletas!B469="Masculino",2000,""))+(IF(Atletas!N469="Ditangquan A",201,IF(Atletas!N469="Houquan A",202,IF(Atletas!N469="Zuiquan A",203,IF(Atletas!N469="Ditangquan B",204,IF(Atletas!N469="Houquan B",205,IF(Atletas!N469="Zuiquan B",206,IF(Atletas!N469="Ditangquan C",207,IF(Atletas!N469="Houquan C",208,IF(Atletas!N469="Zuiquan C",209,IF(Atletas!N469="Ditangquan D",210,IF(Atletas!N469="Houquan D",211,IF(Atletas!N469="Zuiquan D",212,IF(Atletas!N469="Ditangquan E",213,IF(Atletas!N469="Houquan E",214,IF(Atletas!N469="Zuiquan E",215,IF(Atletas!N469="Ditangquan F",216,IF(Atletas!N469="Houquan F",217,IF(Atletas!N469="Zuiquan F",218,"")))))))))))))))))))))</f>
        <v/>
      </c>
      <c r="BV478" s="50" t="str">
        <f>IF(Atletas!O469="","",IF(Atletas!X469&lt;&gt;"",10000,0)+IF(Atletas!B469="Feminino",1000,IF(Atletas!B469="Masculino",2000,""))+IF(Atletas!O469="Yang A",301,IF(Atletas!O469="Chen A",302,IF(Atletas!O469="Sun A",303,IF(Atletas!O469="Wu A",304,IF(Atletas!O469="Wu-Hao A",305,IF(Atletas!O469="Outro Taijiquan A",306,IF(Atletas!O469="Yang B",307,IF(Atletas!O469="Chen B",308,IF(Atletas!O469="Sun B",309,IF(Atletas!O469="Wu B",310,IF(Atletas!O469="Wu-Hao B",311,IF(Atletas!O469="Outro Taijiquan B",312,IF(Atletas!O469="Yang C",313,IF(Atletas!O469="Chen C",314,IF(Atletas!O469="Sun C",315,IF(Atletas!O469="Wu C",316,IF(Atletas!O469="Wu-Hao C",317,IF(Atletas!O469="Outro Taijiquan C",318,IF(Atletas!O469="Yang D",319,IF(Atletas!O469="Chen D",320,IF(Atletas!O469="Sun D",321,IF(Atletas!O469="Wu D",322,IF(Atletas!O469="Wu-Hao D",323,IF(Atletas!O469="Outro Taijiquan D",324,IF(Atletas!O469="Yang E",325,IF(Atletas!O469="Chen E",326,IF(Atletas!O469="Sun E",327,IF(Atletas!O469="Wu E",328,IF(Atletas!O469="Wu-Hao E",329,IF(Atletas!O469="Outro Taijiquan E",330,IF(Atletas!O469="Yang F",331,IF(Atletas!O469="Chen F",332,IF(Atletas!O469="Sun F",333,IF(Atletas!O469="Wu F",334,IF(Atletas!O469="Wu-Hao F",335,IF(Atletas!O469="Outro Taijiquan F",336,"")))))))))))))))))))))))))))))))))))))</f>
        <v/>
      </c>
      <c r="BW478" s="50" t="str">
        <f>IF(Atletas!P469="","",IF(Atletas!X469&lt;&gt;"",10000,0)+IF(Atletas!B469="Feminino",1000,IF(Atletas!B469="Masculino",2000,""))+IF(OR(Atletas!P469="Yang 26 A",Atletas!P469="Yang 40 A"),401,IF(OR(Atletas!P469="Chen 25 A",Atletas!P469="Chen 36 A",Atletas!P469="Chen 56 A"),402,IF(Atletas!P469="Sun 73 A",403,IF(Atletas!P469="Wu 45 A",404,IF(Atletas!P469="Wu-Hao 46 A",405,IF(OR(Atletas!P469="Taijiquan 16 A",Atletas!P469="Taijiquan 24 A",Atletas!P469="Taijiquan 32 A",Atletas!P469="Taijiquan 42 A"),406,IF(OR(Atletas!P469="Yang 26 B",Atletas!P469="Yang 40 B"),407,IF(OR(Atletas!P469="Chen 25 B",Atletas!P469="Chen 36 B",Atletas!P469="Chen 56 B"),408,IF(Atletas!P469="Sun 73 B",409,IF(Atletas!P469="Wu 45 B",410,IF(Atletas!P469="Wu-Hao 46 B",411,IF(OR(Atletas!P469="Taijiquan 16 B",Atletas!P469="Taijiquan 24 B",Atletas!P469="Taijiquan 32 B",Atletas!P469="Taijiquan 42 B"),412,IF(OR(Atletas!P469="Yang 26 C",Atletas!P469="Yang 40 C"),413,IF(OR(Atletas!P469="Chen 25 C",Atletas!P469="Chen 36 C",Atletas!P469="Chen 56 C"),414,IF(Atletas!P469="Sun 73 C",415,IF(Atletas!P469="Wu 45 C",416,IF(Atletas!P469="Wu-Hao 46 C",417,IF(OR(Atletas!P469="Taijiquan 16 C",Atletas!P469="Taijiquan 24 C",Atletas!P469="Taijiquan 32 C",Atletas!P469="Taijiquan 42 C"),418,0)))))))))))))))))))</f>
        <v/>
      </c>
      <c r="BX478" s="50" t="str">
        <f>IF(Atletas!P469="","",IF(Atletas!X469&lt;&gt;"",10000,0)+IF(Atletas!B469="Feminino",1000,IF(Atletas!B469="Masculino",2000,""))+IF(OR(Atletas!P469="Yang 26 D",Atletas!P469="Yang 40 D"),419,IF(OR(Atletas!P469="Chen 25 D",Atletas!P469="Chen 36 D",Atletas!P469="Chen 56 D"),420,IF(Atletas!P469="Sun 73 D",421,IF(Atletas!P469="Wu 45 D",422,IF(Atletas!P469="Wu-Hao 46 D",423,IF(OR(Atletas!P469="Taijiquan 16 D",Atletas!P469="Taijiquan 24 D",Atletas!P469="Taijiquan 32 D",Atletas!P469="Taijiquan 42 D"),424,IF(OR(Atletas!P469="Yang 26 E",Atletas!P469="Yang 40 E"),425,IF(OR(Atletas!P469="Chen 25 E",Atletas!P469="Chen 36 E",Atletas!P469="Chen 56 E"),426,IF(Atletas!P469="Sun 73 E",427,IF(Atletas!P469="Wu 45 E",428,IF(Atletas!P469="Wu-Hao 46 E",429,IF(OR(Atletas!P469="Taijiquan 16 E",Atletas!P469="Taijiquan 24 E",Atletas!P469="Taijiquan 32 E",Atletas!P469="Taijiquan 42 E"),430,IF(OR(Atletas!P469="Yang 26 F",Atletas!P469="Yang 40 F"),431,IF(OR(Atletas!P469="Chen 25 F",Atletas!P469="Chen 36 F",Atletas!P469="Chen 56 F"),432,IF(Atletas!P469="Sun 73 F",433,IF(Atletas!P469="Wu 45 F",434,IF(Atletas!P469="Wu-Hao 46 F",435,IF(OR(Atletas!P469="Taijiquan 16 F",Atletas!P469="Taijiquan 24 F",Atletas!P469="Taijiquan 32 F",Atletas!P469="Taijiquan 42 F"),436,0)))))))))))))))))))</f>
        <v/>
      </c>
      <c r="BY478" s="50" t="str">
        <f>IF(Atletas!Q469="","",IF(Atletas!X469&lt;&gt;"",10000,0)+IF(Atletas!B469="Feminino",1000,IF(Atletas!B469="Masculino",2000,""))+IF(Atletas!Q469="Xingyiquan A",501,IF(Atletas!Q469="Baguazhang A",502,IF(Atletas!Q469="Outro Estilo Interno A",503,IF(Atletas!Q469="Xingyiquan B",504,IF(Atletas!Q469="Baguazhang B",505,IF(Atletas!Q469="Outro Estilo Interno B",506,IF(Atletas!Q469="Xingyiquan C",507,IF(Atletas!Q469="Baguazhang C",508,IF(Atletas!Q469="Outro Estilo Interno C",509,IF(Atletas!Q469="Xingyiquan D",510,IF(Atletas!Q469="Baguazhang D",511,IF(Atletas!Q469="Outro Estilo Interno D",512,IF(Atletas!Q469="Xingyiquan E",513,IF(Atletas!Q469="Baguazhang E",514,IF(Atletas!Q469="Outro Estilo Interno E",515,IF(Atletas!Q469="Xingyiquan F",516,IF(Atletas!Q469="Baguazhang F",517,IF(Atletas!Q469="Outro Estilo Interno F",518, "")))))))))))))))))))</f>
        <v/>
      </c>
      <c r="BZ478" s="50" t="str">
        <f>IF(Atletas!R469="","",IF(Atletas!X469&lt;&gt;"",10000,0)+IF(Atletas!B469="Feminino",1000,IF(Atletas!B469="Masculino",2000,""))+IF(Atletas!R469="Dao A",601,IF(Atletas!R469="Jian A",602,IF(Atletas!R469="Bishou A",603,IF(Atletas!R469="Shanzi A",604,IF(Atletas!R469="Outra Arma Curta A",605,IF(Atletas!R469="Dao B",606,IF(Atletas!R469="Jian B",607,IF(Atletas!R469="Bishou B",608,IF(Atletas!R469="Shanzi B",609,IF(Atletas!R469="Outra Arma Curta B",610,IF(Atletas!R469="Dao C",611,IF(Atletas!R469="Jian C",612,IF(Atletas!R469="Bishou C",613,IF(Atletas!R469="Shanzi C",614,IF(Atletas!R469="Outra Arma Curta C",615,IF(Atletas!R469="Dao D",616,IF(Atletas!R469="Jian D",617,IF(Atletas!R469="Bishou D",618,IF(Atletas!R469="Shanzi D",619,IF(Atletas!R469="Outra Arma Curta D",620,IF(Atletas!R469="Dao E",621,IF(Atletas!R469="Jian E",622,IF(Atletas!R469="Bishou E",623,IF(Atletas!R469="Shanzi E",624,IF(Atletas!R469="Outra Arma Curta E",625,IF(Atletas!R469="Dao F",626,IF(Atletas!R469="Jian F",627,IF(Atletas!R469="Bishou F",628,IF(Atletas!R469="Shanzi F",629,IF(Atletas!R469="Outra Arma Curta F",630, "")))))))))))))))))))))))))))))))</f>
        <v/>
      </c>
      <c r="CA478" s="50" t="str">
        <f>IF(Atletas!S469="","",IF(Atletas!X469&lt;&gt;"",10000,0)+IF(Atletas!B469="Feminino",1000,IF(Atletas!B469="Masculino",2000,""))+IF(Atletas!S469="Gun A",701,IF(Atletas!S469="Qiang A",702,IF(Atletas!S469="Pudao / Guandao A",703,IF(Atletas!S469="Outra Arma Longa A",704,IF(Atletas!S469="Gun B",705,IF(Atletas!S469="Qiang B",706,IF(Atletas!S469="Pudao / Guandao B",707,IF(Atletas!S469="Outra Arma Longa B",708,IF(Atletas!S469="Gun C",709,IF(Atletas!S469="Qiang C",710,IF(Atletas!S469="Pudao / Guandao C",711,IF(Atletas!S469="Outra Arma Longa C",712,IF(Atletas!S469="Gun D",713,IF(Atletas!S469="Qiang D",714,IF(Atletas!S469="Pudao / Guandao D",715,IF(Atletas!S469="Outra Arma Longa D",716,IF(Atletas!S469="Gun E",717,IF(Atletas!S469="Qiang E",718,IF(Atletas!S469="Pudao / Guandao E",719,IF(Atletas!S469="Outra Arma Longa E",720,IF(Atletas!S469="Gun F",721,IF(Atletas!S469="Qiang F",722,IF(Atletas!S469="Pudao / Guandao F",723,IF(Atletas!S469="Outra Arma Longa F",724,"")))))))))))))))))))))))))</f>
        <v/>
      </c>
      <c r="CB478" s="50" t="str">
        <f>IF(Atletas!T469="","",IF(Atletas!X469&lt;&gt;"",10000,0)+IF(Atletas!B469="Feminino",1000,IF(Atletas!B469="Masculino",2000,""))+IF(Atletas!T469="Outra Arma Dupla A",801,IF(Atletas!T469="Arma Maleável A",802,IF(Atletas!T469="Outra Arma Dupla B",803,IF(Atletas!T469="Arma Maleável B",804,IF(Atletas!T469="Outra Arma Dupla C",805,IF(Atletas!T469="Arma Maleável C",806,IF(Atletas!T469="Outra Arma Dupla D",807,IF(Atletas!T469="Arma Maleável D",808,IF(Atletas!T469="Outra Arma Dupla E",809,IF(Atletas!T469="Arma Maleável E",810,IF(Atletas!T469="Outra Arma Dupla F",811,IF(Atletas!T469="Arma Maleável F",812,IF(Atletas!T469="Shuangdao A",813,IF(Atletas!T469="Shuangdao B",814,IF(Atletas!T469="Shuangdao C",815,IF(Atletas!T469="Shuangdao D",816,IF(Atletas!T469="Shuangdao E",817,IF(Atletas!T469="Shuangdao F",818,"")))))))))))))))))))</f>
        <v/>
      </c>
      <c r="CC478" s="50" t="str">
        <f>IF(Atletas!U469="","",IF(Atletas!X469&lt;&gt;"",10000,0)+IF(Atletas!B469="Feminino",1000,IF(Atletas!B469="Masculino",2000,""))+IF(OR(Atletas!U469="Taijijian Yang A",Atletas!U469="Taijijian Yang Standard A"),901,IF(OR(Atletas!U469="Taijijian Chen A", Atletas!U469="Taijijian Chen Standard A"),902,IF(Atletas!U469="Taijijian Sun A",903,IF(Atletas!U469="Taijijian Wu A",904,IF(Atletas!U469="Taijijian Wu-Hao A",905,IF(OR(Atletas!U469="Taijijian 32 A",Atletas!U469="Taijijian 42 A"),906,IF(OR(Atletas!U469="Taijijian Yang B",Atletas!U469="Taijijian Yang Standard B"),907,IF(OR(Atletas!U469="Taijijian Chen B", Atletas!U469="Taijijian Chen Standard B"),908,IF(Atletas!U469="Taijijian Sun B",909,IF(Atletas!U469="Taijijian Wu B",910,IF(Atletas!U469="Taijijian Wu-Hao B",911,IF(OR(Atletas!U469="Taijijian 32 B",Atletas!U469="Taijijian 42 B"),912,IF(OR(Atletas!U469="Taijijian Yang C",Atletas!U469="Taijijian Yang Standard C"),913,IF(OR(Atletas!U469="Taijijian Chen C", Atletas!U469="Taijijian Chen Standard C"),914,IF(Atletas!U469="Taijijian Sun C",915,IF(Atletas!U469="Taijijian Wu C",916,IF(Atletas!U469="Taijijian Wu-Hao C",917,IF(OR(Atletas!U469="Taijijian 32 C",Atletas!U469="Taijijian 42 C"),918,IF(OR(Atletas!U469="Taijijian Yang D",Atletas!U469="Taijijian Yang Standard D"),919,IF(OR(Atletas!U469="Taijijian Chen D", Atletas!U469="Taijijian Chen Standard D"),920,IF(Atletas!U469="Taijijian Sun D",921,IF(Atletas!U469="Taijijian Wu D",922,IF(Atletas!U469="Taijijian Wu-Hao D",923,IF(OR(Atletas!U469="Taijijian 32 D",Atletas!U469="Taijijian 42 D"),924,IF(OR(Atletas!U469="Taijijian Yang E",Atletas!U469="Taijijian Yang Standard E"),925,IF(OR(Atletas!U469="Taijijian Chen E", Atletas!U469="Taijijian Chen Standard E"),926,IF(Atletas!U469="Taijijian Sun E",927,IF(Atletas!U469="Taijijian Wu E",928,IF(Atletas!U469="Taijijian Wu-Hao E",929,IF(OR(Atletas!U469="Taijijian 32 E",Atletas!U469="Taijijian 42 E"),930,IF(OR(Atletas!U469="Taijijian Yang F",Atletas!U469="Taijijian Yang Standard F"),931,IF(OR(Atletas!U469="Taijijian Chen F", Atletas!U469="Taijijian Chen Standard F"),932,IF(Atletas!U469="Taijijian Sun F",933,IF(Atletas!U469="Taijijian Wu F",934,IF(Atletas!U469="Taijijian Wu-Hao F",935,IF(OR(Atletas!U469="Taijijian 32 F",Atletas!U469="Taijijian 42 F"),936,"")))))))))))))))))))))))))))))))))))))</f>
        <v/>
      </c>
      <c r="CD478" s="50" t="str">
        <f>IF(Atletas!V469="","",IF(Atletas!X469&lt;&gt;"",10000,0)+IF(Atletas!B469="Feminino",1000,IF(Atletas!B469="Masculino",2000,""))+IF(Atletas!V469="Taijidao A",937,IF(Atletas!V469="TaijiShanzi A",938,IF(Atletas!V469="Taijiqiang A",939,IF(Atletas!V469="Bagua de Arma A",940,IF(Atletas!V469="Xingyi de Arma A",941,IF(Atletas!V469="Taijidao B",942,IF(Atletas!V469="TaijiShanzi B",943,IF(Atletas!V469="Taijiqiang B",944,IF(Atletas!V469="Bagua de Arma B",945,IF(Atletas!V469="Xingyi de Arma B",946,IF(Atletas!V469="Taijidao C",947,IF(Atletas!V469="TaijiShanzi C",948,IF(Atletas!V469="Taijiqiang C",949,IF(Atletas!V469="Bagua de Arma C",950,IF(Atletas!V469="Xingyi de Arma C",951,IF(Atletas!V469="Taijidao D",952,IF(Atletas!V469="TaijiShanzi D",953,IF(Atletas!V469="Taijiqiang D",954,IF(Atletas!V469="Bagua de Arma D",955,IF(Atletas!V469="Xingyi de Arma D",956,IF(Atletas!V469="Taijidao E",957,IF(Atletas!V469="TaijiShanzi E",958,IF(Atletas!V469="Taijiqiang E",959,IF(Atletas!V469="Bagua de Arma E",960,IF(Atletas!V469="Xingyi de Arma E",961,IF(Atletas!V469="Taijidao F",962,IF(Atletas!V469="TaijiShanzi F",963,IF(Atletas!V469="Taijiqiang F",964,IF(Atletas!V469="Bagua de Arma F",965,IF(Atletas!V469="Xingyi de Arma F",966,"")))))))))))))))))))))))))))))))</f>
        <v/>
      </c>
      <c r="CM478" s="50" t="str">
        <f xml:space="preserve"> IF(Atletas!W469="","",IF(Atletas!W469="Duilian de Mãos BC - Equipe 1",1,IF(Atletas!W469="Duilian de Mãos BC - Equipe 2",2,IF(Atletas!W469="Duilian de Armas BC - Equipe 1",3,IF(Atletas!W469="Duilian de Armas BC - Equipe 2",4,IF(Atletas!W469="Duilian de Mãos DE - Equipe 1",5,IF(Atletas!W469="Duilian de Mãos DE - Equipe 2",6,IF(Atletas!W469="Duilian de Armas DE - Equipe 1",7,IF(Atletas!W469="Duilian de Armas DE - Equipe 2",8,IF(Atletas!W469="Duilian de Tuishou - Equipe 1",9,IF(Atletas!W469="Duilian de Tuishou - Equipe 2",10,IF(Atletas!W469="Grupo Externo ABC - Equipe 1",11,IF(Atletas!W469="Grupo Externo ABC - Equipe 2",12,IF(Atletas!W469="Grupo Interno ABC - Equipe 1",13,IF(Atletas!W469="Grupo Interno ABC - Equipe 2",14,IF(Atletas!W469="Grupo Externo DEF - Equipe 1",15,IF(Atletas!W469="Grupo Externo DEF - Equipe 2",16,IF(Atletas!W469="Grupo Interno DEF - Equipe 1",17,IF(Atletas!W469="Grupo Interno DEF - Equipe 2",18,"")))))))))))))))))))</f>
        <v/>
      </c>
    </row>
    <row r="479" spans="40:91">
      <c r="AN479" s="52" t="str">
        <f>IF(Atletas!D470="","",IF(Atletas!B470="Feminino",100,IF(Atletas!B470="Masculino",200,""))+(IF(Atletas!D470="Kids 30kg",1,IF(Atletas!D470="Kids 32kg",2, IF(Atletas!D470="Kids 34kg",3,IF(Atletas!D470="Kids 36kg",4,IF(Atletas!D470="Kids 39kg",5,IF(Atletas!D470="Kids 42kg",6,IF(Atletas!D470="Kids 45kg",7, IF(Atletas!D470="Infantil 39kg",8,IF(Atletas!D470="Infantil 42kg",9,IF(Atletas!D470="Infantil 45kg",10,IF(Atletas!D470="Infantil 48kg",11,IF(Atletas!D470="Infantil 52kg",12,IF(Atletas!D470="Infantil 56kg",13,IF(Atletas!D470="Infantil 60kg",14,IF(Atletas!D470="Juvenil 48kg",15,IF(Atletas!D470="Juvenil 52kg",16,IF(Atletas!D470="Juvenil 56kg",17,IF(Atletas!D470="Juvenil 60kg",18,IF(Atletas!D470="Juvenil 65kg",19,IF(Atletas!D470="Juvenil 70kg",20,IF(Atletas!D470="Juvenil 75kg",21,IF(Atletas!D470="Juvenil 80kg",22, IF(Atletas!D470="Juvenil 85kg",23,IF(Atletas!D470="Adulto 48kg",24,IF(Atletas!D470="Adulto 52kg",25,IF(Atletas!D470="Adulto 56kg",26,IF(Atletas!D470="Adulto 60kg",27,IF(Atletas!D470="Adulto 65kg",28,IF(Atletas!D470="Adulto 70kg",29,IF(Atletas!D470="Adulto 75kg",30,IF(Atletas!D470="Adulto 80kg",31,IF(Atletas!D470="Adulto 85kg",32,IF(Atletas!D470="Adulto 90kg",33,IF(Atletas!D470="Adulto 100kg",34, IF(Atletas!D470="Adulto +100kg",35,"")))))))))))))))))))))))))))))))))))))</f>
        <v/>
      </c>
      <c r="AS479" s="6" t="str">
        <f>IF(Atletas!E470="","",IF(Atletas!B470="Feminino",100,IF(Atletas!B470="Masculino",200,""))+(IF(Atletas!E470="Juvenil 44kg",1,IF(Atletas!E470="Juvenil 48kg",2,IF(Atletas!E470="Juvenil 52kg",3,IF(Atletas!E470="Juvenil 56kg",4,IF(Atletas!E470="Juvenil 60kg",5,IF(Atletas!E470="Juvenil 65kg",6,IF(Atletas!E470="Juvenil 70kg",7,IF(Atletas!E470="Juvenil 75kg",8,IF(Atletas!E470="Juvenil 82kg",9,IF(Atletas!E470="Juvenil 90kg",10,IF(Atletas!E470="Juvenil 100kg",11,IF(Atletas!E470="Adulto 48kg",12,IF(Atletas!E470="Adulto 52kg",13,IF(Atletas!E470="Adulto 56kg",14,IF(Atletas!E470="Adulto 60kg",15,IF(Atletas!E470="Adulto 65kg",16,IF(Atletas!E470="Adulto 70kg",17,IF(Atletas!E470="Adulto 75kg",18,IF(Atletas!E470="Adulto 82kg",19,IF(Atletas!E470="Adulto 90kg",20,IF(Atletas!E470="Adulto 100kg",21,IF(Atletas!E470="Adulto +100kg",22,""))))))))))))))))))))))))</f>
        <v/>
      </c>
      <c r="AX479" s="6" t="str">
        <f>IF(Atletas!F470="","",IF(Atletas!B470="Feminino",100,IF(Atletas!B470="Masculino",200,""))+(IF(Atletas!F470="Adulto 48kg",1,IF(Atletas!F470="Adulto 56kg",2,IF(Atletas!F470="Adulto 65kg",3,IF(Atletas!F470="Adulto 75kg",4,IF(Atletas!F470="Adulto +75kg",5,IF(Atletas!F470="Adulto 52kg",6,IF(Atletas!F470="Adulto 60kg",7,IF(Atletas!F470="Adulto 70kg",8,IF(Atletas!F470="Adulto 80kg",9,IF(Atletas!F470="Adulto 90kg",10,IF(Atletas!F470="Adulto +90kg",11,"")))))))))))))</f>
        <v/>
      </c>
      <c r="BC479" s="6" t="str">
        <f>IF(Atletas!G470="","",IF(Atletas!B470="Feminino",10,IF(Atletas!B470="Masculino",20,""))+(IF(Atletas!G470="Baduanjin A",1,IF(Atletas!G470="Baduanjin B",2))))</f>
        <v/>
      </c>
      <c r="BF479" s="52" t="str">
        <f>IF(Atletas!H470="","",IF(Atletas!B470="Feminino",100,IF(Atletas!B470="Masculino",200,""))+(IF(Atletas!H470="Changquan Mirim",1,IF(Atletas!H470="Nanquan Mirim",2,IF(Atletas!H470="Taijiquan Mirim",3,IF(Atletas!H470="Changquan Grupo C",4,IF(Atletas!H470="Nanquan Grupo C",5,IF(Atletas!H470="Taijiquan Grupo C",6,IF(Atletas!H470="Changquan Grupo B",7,IF(Atletas!H470="Nanquan Grupo B",8,IF(Atletas!H470="Taijiquan Grupo B",9,IF(Atletas!H470="Changquan Grupo A",10,IF(Atletas!H470="Nanquan Grupo A",11,IF(Atletas!H470="Taijiquan Grupo A",12,IF(Atletas!H470="Changquan Opcional",13,IF(Atletas!H470="Nanquan Opcional",14,IF(Atletas!H470="Taijiquan Opcional",15,IF(Atletas!H470="Changquan Adulto",16,IF(Atletas!H470="Nanquan Adulto",17,IF(Atletas!H470="Taijiquan Adulto",18,""))))))))))))))))))))</f>
        <v/>
      </c>
      <c r="BG479" s="52" t="str">
        <f>IF(Atletas!I470="","",IF(Atletas!B470="Feminino",100,IF(Atletas!B470="Masculino",200,""))+(IF(Atletas!I470="Daoshu Mirim",19,IF(Atletas!I470="Jianshu Mirim",20,IF(Atletas!I470="Nandao Mirim",21,IF(Atletas!I470="Taijijian Mirim",22,IF(Atletas!I470="Daoshu Grupo C",23,IF(Atletas!I470="Jianshu Grupo C",24,IF(Atletas!I470="Nandao Grupo C",25,IF(Atletas!I470="Taijijian Grupo C",26,IF(Atletas!I470="Daoshu Grupo B",27,IF(Atletas!I470="Jianshu Grupo B",28,IF(Atletas!I470="Nandao Grupo B",29,IF(Atletas!I470="Taijijian Grupo B",30,IF(Atletas!I470="Daoshu Grupo A",31,IF(Atletas!I470="Jianshu Grupo A",32,IF(Atletas!I470="Nandao Grupo A",33,IF(Atletas!I470="Taijijian Grupo A",34,IF(Atletas!I470="Daoshu Opcional",35,IF(Atletas!I470="Jianshu Opcional",36,IF(Atletas!I470="Nandao Opcional",37,IF(Atletas!I470="Taijijian Opcional",38,IF(Atletas!I470="Daoshu Adulto",39,IF(Atletas!I470="Jianshu Adulto",40,IF(Atletas!I470="Nandao Adulto",41,IF(Atletas!I470="Taijijian Adulto",42,""))))))))))))))))))))))))))</f>
        <v/>
      </c>
      <c r="BH479" s="52" t="str">
        <f>IF(Atletas!J470="","",IF(Atletas!B470="Feminino",100,IF(Atletas!B470="Masculino",200,""))+(IF(Atletas!J470="Gunshu Mirim",43,IF(Atletas!J470="Qiangshu Mirim",44,IF(Atletas!J470="Nangun Mirim",45,IF(Atletas!J470="Gunshu Grupo C",46,IF(Atletas!J470="Qiangshu Grupo C",47,IF(Atletas!J470="Nangun Grupo C",48,IF(Atletas!J470="Gunshu Grupo B",49,IF(Atletas!J470="Qiangshu Grupo B",50,IF(Atletas!J470="Nangun Grupo B",51,IF(Atletas!J470="Gunshu Grupo A",52,IF(Atletas!J470="Qiangshu Grupo A",53,IF(Atletas!J470="Nangun Grupo A",54,IF(Atletas!J470="Gunshu Opcional",55,IF(Atletas!J470="Qiangshu Opcional",56,IF(Atletas!J470="Nangun Opcional",57,IF(Atletas!J470="Gunshu Adulto",58,IF(Atletas!J470="Qiangshu Adulto",59,IF(Atletas!J470="Nangun Adulto",60,IF(Atletas!J470="Taijishan Grupo B",61,IF(Atletas!J470="Taijishan Grupo A",62,""))))))))))))))))))))))</f>
        <v/>
      </c>
      <c r="BM479" s="50" t="str">
        <f>IF(Atletas!K470="","",IF(Atletas!B470="Feminino",100,IF(Atletas!B470="Masculino",200,""))+(IF(Atletas!K470="Equipe 1 Grupo B",1,IF(Atletas!K470="Equipe 2 Grupo B",2,IF(Atletas!K470="Equipe 1 Grupo A",3,IF(Atletas!K470="Equipe 2 Grupo A",4,IF(Atletas!K470="Equipe 1 Adulto",5,IF(Atletas!K470="Equipe 2 Adulto",6,""))))))))</f>
        <v/>
      </c>
      <c r="BR479" s="50" t="str">
        <f>IF(Atletas!L470="","",IF(Atletas!X470&lt;&gt;"",10000,0)+(IF(Atletas!B470="Feminino",1000,IF(Atletas!B470="Masculino",2000,""))+IF(Atletas!L470="Choylayfut A",1,IF(Atletas!L470="Hunggar A",2,IF(Atletas!L470="Wuzuquan A",3,IF(Atletas!L470="Wingchun A",4,IF(Atletas!L470="Outra Mão de Sul A",5,IF(Atletas!L470="Choylayfut B",6,IF(Atletas!L470="Hunggar B",7,IF(Atletas!L470="Wuzuquan B",8,IF(Atletas!L470="Wingchun B",9,IF(Atletas!L470="Outra Mão de Sul B",10,IF(Atletas!L470="Choylayfut C",11,IF(Atletas!L470="Hunggar C",12,IF(Atletas!L470="Wuzuquan C",13,IF(Atletas!L470="Wingchun C",14,IF(Atletas!L470="Outra Mão de Sul C",15,IF(Atletas!L470="Choylayfut D",16,IF(Atletas!L470="Hunggar D",17,IF(Atletas!L470="Wuzuquan D",18,IF(Atletas!L470="Wingchun D",19,IF(Atletas!L470="Outra Mão de Sul D",20,IF(Atletas!L470="Choylayfut E",21,IF(Atletas!L470="Hunggar E",22,IF(Atletas!L470="Wuzuquan E",23,IF(Atletas!L470="Wingchun E",24,IF(Atletas!L470="Outra Mão de Sul E",25,IF(Atletas!L470="Choylayfut F",26,IF(Atletas!L470="Hunggar F",27,IF(Atletas!L470="Wuzuquan F",28,IF(Atletas!L470="Wingchun F",29,IF(Atletas!L470="Outra Mão de Sul F",30,IF(Atletas!L470="Dishuquan A",31,IF(Atletas!L470="Dishuquan B",32,IF(Atletas!L470="Dishuquan C",33,IF(Atletas!L470="Dishuquan D",34,IF(Atletas!L470="Dishuquan E",35,IF(Atletas!L470="Dishuquan F",36,""))))))))))))))))))))))))))))))))))))))</f>
        <v/>
      </c>
      <c r="BS479" s="50" t="str">
        <f>IF(Atletas!M470="","",IF(Atletas!X470&lt;&gt;"",10000,0)+(IF(Atletas!B470="Feminino",1000,IF(Atletas!B470="Masculino",2000,""))+(IF(Atletas!M470="Chaquan A",101,IF(Atletas!M470="Emeiquan A",102,IF(Atletas!M470="Fanziquan A",103,IF(Atletas!M470="Huaquan A",104,IF(Atletas!M470="Hongquan A",105,IF(Atletas!M470="Paoquan A",106,IF(Atletas!M470="Piguaquan A",107,IF(Atletas!M470="Shaolinquan A",108,IF(Atletas!M470="Tanglangquan A",109,IF(Atletas!M470="Yingzhaoquan A",110,IF(Atletas!M470="Tongbeiquan A",111,IF(Atletas!M470="Wudangquan A",112,IF(Atletas!M470="Outros Estilos A",113,IF(Atletas!M470="Chaquan B",114,IF(Atletas!M470="Emeiquan B",115,IF(Atletas!M470="Fanziquan B",116,IF(Atletas!M470="Huaquan B",117,IF(Atletas!M470="Hongquan B",118,IF(Atletas!M470="Paoquan B",119,IF(Atletas!M470="Piguaquan B",120,IF(Atletas!M470="Shaolinquan B",121,IF(Atletas!M470="Tanglangquan B",122,IF(Atletas!M470="Yingzhaoquan B",123,IF(Atletas!M470="Tongbeiquan B",124,IF(Atletas!M470="Wudangquan B",125,IF(Atletas!M470="Outros Estilos B",126,IF(Atletas!M470="Chaquan C",127,IF(Atletas!M470="Emeiquan C",128,IF(Atletas!M470="Fanziquan C",129,IF(Atletas!M470="Huaquan C",130,IF(Atletas!M470="Hongquan C",131,IF(Atletas!M470="Paoquan C",132,IF(Atletas!M470="Piguaquan C",133,IF(Atletas!M470="Shaolinquan C",134,IF(Atletas!M470="Tanglangquan C",135,IF(Atletas!M470="Yingzhaoquan C",136,IF(Atletas!M470="Tongbeiquan C",137,IF(Atletas!M470="Wudangquan C",138,IF(Atletas!M470="Outros Estilos C",139,0))))))))))))))))))))))))))))))))))))))))))</f>
        <v/>
      </c>
      <c r="BT479" s="50" t="str">
        <f>IF(Atletas!M470="","",IF(Atletas!X470&lt;&gt;"",10000,0)+(IF(Atletas!B470="Feminino",1000,IF(Atletas!B470="Masculino",2000,""))+(IF(Atletas!M470="Chaquan D",140,IF(Atletas!M470="Emeiquan D",141,IF(Atletas!M470="Fanziquan D",142,IF(Atletas!M470="Huaquan D",143,IF(Atletas!M470="Hongquan D",144,IF(Atletas!M470="Paoquan D",145,IF(Atletas!M470="Piguaquan D",146,IF(Atletas!M470="Shaolinquan D",147,IF(Atletas!M470="Tanglangquan D",148,IF(Atletas!M470="Yingzhaoquan D",149,IF(Atletas!M470="Tongbeiquan D",150,IF(Atletas!M470="Wudangquan D",151,IF(Atletas!M470="Outros Estilos D",152,IF(Atletas!M470="Chaquan E",153,IF(Atletas!M470="Emeiquan E",154,IF(Atletas!M470="Fanziquan E",155,IF(Atletas!M470="Huaquan E",156,IF(Atletas!M470="Hongquan E",157,IF(Atletas!M470="Paoquan E",158,IF(Atletas!M470="Piguaquan E",159,IF(Atletas!M470="Shaolinquan E",160,IF(Atletas!M470="Tanglangquan E",161,IF(Atletas!M470="Yingzhaoquan E",162,IF(Atletas!M470="Tongbeiquan E",163,IF(Atletas!M470="Wudangquan E",164,IF(Atletas!M470="Outros Estilos E",165,IF(Atletas!M470="Chaquan F",166,IF(Atletas!M470="Emeiquan F",167,IF(Atletas!M470="Fanziquan F",168,IF(Atletas!M470="Huaquan F",169,IF(Atletas!M470="Hongquan F",170,IF(Atletas!M470="Paoquan F",171,IF(Atletas!M470="Piguaquan F",172,IF(Atletas!M470="Shaolinquan F",173,IF(Atletas!M470="Tanglangquan F",174,IF(Atletas!M470="Yingzhaoquan F",175,IF(Atletas!M470="Tongbeiquan F",176,IF(Atletas!M470="Wudangquan F",177,IF(Atletas!M470="Outros Estilos F",178,0))))))))))))))))))))))))))))))))))))))))))</f>
        <v/>
      </c>
      <c r="BU479" s="50" t="str">
        <f>IF(Atletas!N470="","",IF(Atletas!X470&lt;&gt;"",10000,0)+(IF(Atletas!B470="Feminino",1000,IF(Atletas!B470="Masculino",2000,""))+(IF(Atletas!N470="Ditangquan A",201,IF(Atletas!N470="Houquan A",202,IF(Atletas!N470="Zuiquan A",203,IF(Atletas!N470="Ditangquan B",204,IF(Atletas!N470="Houquan B",205,IF(Atletas!N470="Zuiquan B",206,IF(Atletas!N470="Ditangquan C",207,IF(Atletas!N470="Houquan C",208,IF(Atletas!N470="Zuiquan C",209,IF(Atletas!N470="Ditangquan D",210,IF(Atletas!N470="Houquan D",211,IF(Atletas!N470="Zuiquan D",212,IF(Atletas!N470="Ditangquan E",213,IF(Atletas!N470="Houquan E",214,IF(Atletas!N470="Zuiquan E",215,IF(Atletas!N470="Ditangquan F",216,IF(Atletas!N470="Houquan F",217,IF(Atletas!N470="Zuiquan F",218,"")))))))))))))))))))))</f>
        <v/>
      </c>
      <c r="BV479" s="50" t="str">
        <f>IF(Atletas!O470="","",IF(Atletas!X470&lt;&gt;"",10000,0)+IF(Atletas!B470="Feminino",1000,IF(Atletas!B470="Masculino",2000,""))+IF(Atletas!O470="Yang A",301,IF(Atletas!O470="Chen A",302,IF(Atletas!O470="Sun A",303,IF(Atletas!O470="Wu A",304,IF(Atletas!O470="Wu-Hao A",305,IF(Atletas!O470="Outro Taijiquan A",306,IF(Atletas!O470="Yang B",307,IF(Atletas!O470="Chen B",308,IF(Atletas!O470="Sun B",309,IF(Atletas!O470="Wu B",310,IF(Atletas!O470="Wu-Hao B",311,IF(Atletas!O470="Outro Taijiquan B",312,IF(Atletas!O470="Yang C",313,IF(Atletas!O470="Chen C",314,IF(Atletas!O470="Sun C",315,IF(Atletas!O470="Wu C",316,IF(Atletas!O470="Wu-Hao C",317,IF(Atletas!O470="Outro Taijiquan C",318,IF(Atletas!O470="Yang D",319,IF(Atletas!O470="Chen D",320,IF(Atletas!O470="Sun D",321,IF(Atletas!O470="Wu D",322,IF(Atletas!O470="Wu-Hao D",323,IF(Atletas!O470="Outro Taijiquan D",324,IF(Atletas!O470="Yang E",325,IF(Atletas!O470="Chen E",326,IF(Atletas!O470="Sun E",327,IF(Atletas!O470="Wu E",328,IF(Atletas!O470="Wu-Hao E",329,IF(Atletas!O470="Outro Taijiquan E",330,IF(Atletas!O470="Yang F",331,IF(Atletas!O470="Chen F",332,IF(Atletas!O470="Sun F",333,IF(Atletas!O470="Wu F",334,IF(Atletas!O470="Wu-Hao F",335,IF(Atletas!O470="Outro Taijiquan F",336,"")))))))))))))))))))))))))))))))))))))</f>
        <v/>
      </c>
      <c r="BW479" s="50" t="str">
        <f>IF(Atletas!P470="","",IF(Atletas!X470&lt;&gt;"",10000,0)+IF(Atletas!B470="Feminino",1000,IF(Atletas!B470="Masculino",2000,""))+IF(OR(Atletas!P470="Yang 26 A",Atletas!P470="Yang 40 A"),401,IF(OR(Atletas!P470="Chen 25 A",Atletas!P470="Chen 36 A",Atletas!P470="Chen 56 A"),402,IF(Atletas!P470="Sun 73 A",403,IF(Atletas!P470="Wu 45 A",404,IF(Atletas!P470="Wu-Hao 46 A",405,IF(OR(Atletas!P470="Taijiquan 16 A",Atletas!P470="Taijiquan 24 A",Atletas!P470="Taijiquan 32 A",Atletas!P470="Taijiquan 42 A"),406,IF(OR(Atletas!P470="Yang 26 B",Atletas!P470="Yang 40 B"),407,IF(OR(Atletas!P470="Chen 25 B",Atletas!P470="Chen 36 B",Atletas!P470="Chen 56 B"),408,IF(Atletas!P470="Sun 73 B",409,IF(Atletas!P470="Wu 45 B",410,IF(Atletas!P470="Wu-Hao 46 B",411,IF(OR(Atletas!P470="Taijiquan 16 B",Atletas!P470="Taijiquan 24 B",Atletas!P470="Taijiquan 32 B",Atletas!P470="Taijiquan 42 B"),412,IF(OR(Atletas!P470="Yang 26 C",Atletas!P470="Yang 40 C"),413,IF(OR(Atletas!P470="Chen 25 C",Atletas!P470="Chen 36 C",Atletas!P470="Chen 56 C"),414,IF(Atletas!P470="Sun 73 C",415,IF(Atletas!P470="Wu 45 C",416,IF(Atletas!P470="Wu-Hao 46 C",417,IF(OR(Atletas!P470="Taijiquan 16 C",Atletas!P470="Taijiquan 24 C",Atletas!P470="Taijiquan 32 C",Atletas!P470="Taijiquan 42 C"),418,0)))))))))))))))))))</f>
        <v/>
      </c>
      <c r="BX479" s="50" t="str">
        <f>IF(Atletas!P470="","",IF(Atletas!X470&lt;&gt;"",10000,0)+IF(Atletas!B470="Feminino",1000,IF(Atletas!B470="Masculino",2000,""))+IF(OR(Atletas!P470="Yang 26 D",Atletas!P470="Yang 40 D"),419,IF(OR(Atletas!P470="Chen 25 D",Atletas!P470="Chen 36 D",Atletas!P470="Chen 56 D"),420,IF(Atletas!P470="Sun 73 D",421,IF(Atletas!P470="Wu 45 D",422,IF(Atletas!P470="Wu-Hao 46 D",423,IF(OR(Atletas!P470="Taijiquan 16 D",Atletas!P470="Taijiquan 24 D",Atletas!P470="Taijiquan 32 D",Atletas!P470="Taijiquan 42 D"),424,IF(OR(Atletas!P470="Yang 26 E",Atletas!P470="Yang 40 E"),425,IF(OR(Atletas!P470="Chen 25 E",Atletas!P470="Chen 36 E",Atletas!P470="Chen 56 E"),426,IF(Atletas!P470="Sun 73 E",427,IF(Atletas!P470="Wu 45 E",428,IF(Atletas!P470="Wu-Hao 46 E",429,IF(OR(Atletas!P470="Taijiquan 16 E",Atletas!P470="Taijiquan 24 E",Atletas!P470="Taijiquan 32 E",Atletas!P470="Taijiquan 42 E"),430,IF(OR(Atletas!P470="Yang 26 F",Atletas!P470="Yang 40 F"),431,IF(OR(Atletas!P470="Chen 25 F",Atletas!P470="Chen 36 F",Atletas!P470="Chen 56 F"),432,IF(Atletas!P470="Sun 73 F",433,IF(Atletas!P470="Wu 45 F",434,IF(Atletas!P470="Wu-Hao 46 F",435,IF(OR(Atletas!P470="Taijiquan 16 F",Atletas!P470="Taijiquan 24 F",Atletas!P470="Taijiquan 32 F",Atletas!P470="Taijiquan 42 F"),436,0)))))))))))))))))))</f>
        <v/>
      </c>
      <c r="BY479" s="50" t="str">
        <f>IF(Atletas!Q470="","",IF(Atletas!X470&lt;&gt;"",10000,0)+IF(Atletas!B470="Feminino",1000,IF(Atletas!B470="Masculino",2000,""))+IF(Atletas!Q470="Xingyiquan A",501,IF(Atletas!Q470="Baguazhang A",502,IF(Atletas!Q470="Outro Estilo Interno A",503,IF(Atletas!Q470="Xingyiquan B",504,IF(Atletas!Q470="Baguazhang B",505,IF(Atletas!Q470="Outro Estilo Interno B",506,IF(Atletas!Q470="Xingyiquan C",507,IF(Atletas!Q470="Baguazhang C",508,IF(Atletas!Q470="Outro Estilo Interno C",509,IF(Atletas!Q470="Xingyiquan D",510,IF(Atletas!Q470="Baguazhang D",511,IF(Atletas!Q470="Outro Estilo Interno D",512,IF(Atletas!Q470="Xingyiquan E",513,IF(Atletas!Q470="Baguazhang E",514,IF(Atletas!Q470="Outro Estilo Interno E",515,IF(Atletas!Q470="Xingyiquan F",516,IF(Atletas!Q470="Baguazhang F",517,IF(Atletas!Q470="Outro Estilo Interno F",518, "")))))))))))))))))))</f>
        <v/>
      </c>
      <c r="BZ479" s="50" t="str">
        <f>IF(Atletas!R470="","",IF(Atletas!X470&lt;&gt;"",10000,0)+IF(Atletas!B470="Feminino",1000,IF(Atletas!B470="Masculino",2000,""))+IF(Atletas!R470="Dao A",601,IF(Atletas!R470="Jian A",602,IF(Atletas!R470="Bishou A",603,IF(Atletas!R470="Shanzi A",604,IF(Atletas!R470="Outra Arma Curta A",605,IF(Atletas!R470="Dao B",606,IF(Atletas!R470="Jian B",607,IF(Atletas!R470="Bishou B",608,IF(Atletas!R470="Shanzi B",609,IF(Atletas!R470="Outra Arma Curta B",610,IF(Atletas!R470="Dao C",611,IF(Atletas!R470="Jian C",612,IF(Atletas!R470="Bishou C",613,IF(Atletas!R470="Shanzi C",614,IF(Atletas!R470="Outra Arma Curta C",615,IF(Atletas!R470="Dao D",616,IF(Atletas!R470="Jian D",617,IF(Atletas!R470="Bishou D",618,IF(Atletas!R470="Shanzi D",619,IF(Atletas!R470="Outra Arma Curta D",620,IF(Atletas!R470="Dao E",621,IF(Atletas!R470="Jian E",622,IF(Atletas!R470="Bishou E",623,IF(Atletas!R470="Shanzi E",624,IF(Atletas!R470="Outra Arma Curta E",625,IF(Atletas!R470="Dao F",626,IF(Atletas!R470="Jian F",627,IF(Atletas!R470="Bishou F",628,IF(Atletas!R470="Shanzi F",629,IF(Atletas!R470="Outra Arma Curta F",630, "")))))))))))))))))))))))))))))))</f>
        <v/>
      </c>
      <c r="CA479" s="50" t="str">
        <f>IF(Atletas!S470="","",IF(Atletas!X470&lt;&gt;"",10000,0)+IF(Atletas!B470="Feminino",1000,IF(Atletas!B470="Masculino",2000,""))+IF(Atletas!S470="Gun A",701,IF(Atletas!S470="Qiang A",702,IF(Atletas!S470="Pudao / Guandao A",703,IF(Atletas!S470="Outra Arma Longa A",704,IF(Atletas!S470="Gun B",705,IF(Atletas!S470="Qiang B",706,IF(Atletas!S470="Pudao / Guandao B",707,IF(Atletas!S470="Outra Arma Longa B",708,IF(Atletas!S470="Gun C",709,IF(Atletas!S470="Qiang C",710,IF(Atletas!S470="Pudao / Guandao C",711,IF(Atletas!S470="Outra Arma Longa C",712,IF(Atletas!S470="Gun D",713,IF(Atletas!S470="Qiang D",714,IF(Atletas!S470="Pudao / Guandao D",715,IF(Atletas!S470="Outra Arma Longa D",716,IF(Atletas!S470="Gun E",717,IF(Atletas!S470="Qiang E",718,IF(Atletas!S470="Pudao / Guandao E",719,IF(Atletas!S470="Outra Arma Longa E",720,IF(Atletas!S470="Gun F",721,IF(Atletas!S470="Qiang F",722,IF(Atletas!S470="Pudao / Guandao F",723,IF(Atletas!S470="Outra Arma Longa F",724,"")))))))))))))))))))))))))</f>
        <v/>
      </c>
      <c r="CB479" s="50" t="str">
        <f>IF(Atletas!T470="","",IF(Atletas!X470&lt;&gt;"",10000,0)+IF(Atletas!B470="Feminino",1000,IF(Atletas!B470="Masculino",2000,""))+IF(Atletas!T470="Outra Arma Dupla A",801,IF(Atletas!T470="Arma Maleável A",802,IF(Atletas!T470="Outra Arma Dupla B",803,IF(Atletas!T470="Arma Maleável B",804,IF(Atletas!T470="Outra Arma Dupla C",805,IF(Atletas!T470="Arma Maleável C",806,IF(Atletas!T470="Outra Arma Dupla D",807,IF(Atletas!T470="Arma Maleável D",808,IF(Atletas!T470="Outra Arma Dupla E",809,IF(Atletas!T470="Arma Maleável E",810,IF(Atletas!T470="Outra Arma Dupla F",811,IF(Atletas!T470="Arma Maleável F",812,IF(Atletas!T470="Shuangdao A",813,IF(Atletas!T470="Shuangdao B",814,IF(Atletas!T470="Shuangdao C",815,IF(Atletas!T470="Shuangdao D",816,IF(Atletas!T470="Shuangdao E",817,IF(Atletas!T470="Shuangdao F",818,"")))))))))))))))))))</f>
        <v/>
      </c>
      <c r="CC479" s="50" t="str">
        <f>IF(Atletas!U470="","",IF(Atletas!X470&lt;&gt;"",10000,0)+IF(Atletas!B470="Feminino",1000,IF(Atletas!B470="Masculino",2000,""))+IF(OR(Atletas!U470="Taijijian Yang A",Atletas!U470="Taijijian Yang Standard A"),901,IF(OR(Atletas!U470="Taijijian Chen A", Atletas!U470="Taijijian Chen Standard A"),902,IF(Atletas!U470="Taijijian Sun A",903,IF(Atletas!U470="Taijijian Wu A",904,IF(Atletas!U470="Taijijian Wu-Hao A",905,IF(OR(Atletas!U470="Taijijian 32 A",Atletas!U470="Taijijian 42 A"),906,IF(OR(Atletas!U470="Taijijian Yang B",Atletas!U470="Taijijian Yang Standard B"),907,IF(OR(Atletas!U470="Taijijian Chen B", Atletas!U470="Taijijian Chen Standard B"),908,IF(Atletas!U470="Taijijian Sun B",909,IF(Atletas!U470="Taijijian Wu B",910,IF(Atletas!U470="Taijijian Wu-Hao B",911,IF(OR(Atletas!U470="Taijijian 32 B",Atletas!U470="Taijijian 42 B"),912,IF(OR(Atletas!U470="Taijijian Yang C",Atletas!U470="Taijijian Yang Standard C"),913,IF(OR(Atletas!U470="Taijijian Chen C", Atletas!U470="Taijijian Chen Standard C"),914,IF(Atletas!U470="Taijijian Sun C",915,IF(Atletas!U470="Taijijian Wu C",916,IF(Atletas!U470="Taijijian Wu-Hao C",917,IF(OR(Atletas!U470="Taijijian 32 C",Atletas!U470="Taijijian 42 C"),918,IF(OR(Atletas!U470="Taijijian Yang D",Atletas!U470="Taijijian Yang Standard D"),919,IF(OR(Atletas!U470="Taijijian Chen D", Atletas!U470="Taijijian Chen Standard D"),920,IF(Atletas!U470="Taijijian Sun D",921,IF(Atletas!U470="Taijijian Wu D",922,IF(Atletas!U470="Taijijian Wu-Hao D",923,IF(OR(Atletas!U470="Taijijian 32 D",Atletas!U470="Taijijian 42 D"),924,IF(OR(Atletas!U470="Taijijian Yang E",Atletas!U470="Taijijian Yang Standard E"),925,IF(OR(Atletas!U470="Taijijian Chen E", Atletas!U470="Taijijian Chen Standard E"),926,IF(Atletas!U470="Taijijian Sun E",927,IF(Atletas!U470="Taijijian Wu E",928,IF(Atletas!U470="Taijijian Wu-Hao E",929,IF(OR(Atletas!U470="Taijijian 32 E",Atletas!U470="Taijijian 42 E"),930,IF(OR(Atletas!U470="Taijijian Yang F",Atletas!U470="Taijijian Yang Standard F"),931,IF(OR(Atletas!U470="Taijijian Chen F", Atletas!U470="Taijijian Chen Standard F"),932,IF(Atletas!U470="Taijijian Sun F",933,IF(Atletas!U470="Taijijian Wu F",934,IF(Atletas!U470="Taijijian Wu-Hao F",935,IF(OR(Atletas!U470="Taijijian 32 F",Atletas!U470="Taijijian 42 F"),936,"")))))))))))))))))))))))))))))))))))))</f>
        <v/>
      </c>
      <c r="CD479" s="50" t="str">
        <f>IF(Atletas!V470="","",IF(Atletas!X470&lt;&gt;"",10000,0)+IF(Atletas!B470="Feminino",1000,IF(Atletas!B470="Masculino",2000,""))+IF(Atletas!V470="Taijidao A",937,IF(Atletas!V470="TaijiShanzi A",938,IF(Atletas!V470="Taijiqiang A",939,IF(Atletas!V470="Bagua de Arma A",940,IF(Atletas!V470="Xingyi de Arma A",941,IF(Atletas!V470="Taijidao B",942,IF(Atletas!V470="TaijiShanzi B",943,IF(Atletas!V470="Taijiqiang B",944,IF(Atletas!V470="Bagua de Arma B",945,IF(Atletas!V470="Xingyi de Arma B",946,IF(Atletas!V470="Taijidao C",947,IF(Atletas!V470="TaijiShanzi C",948,IF(Atletas!V470="Taijiqiang C",949,IF(Atletas!V470="Bagua de Arma C",950,IF(Atletas!V470="Xingyi de Arma C",951,IF(Atletas!V470="Taijidao D",952,IF(Atletas!V470="TaijiShanzi D",953,IF(Atletas!V470="Taijiqiang D",954,IF(Atletas!V470="Bagua de Arma D",955,IF(Atletas!V470="Xingyi de Arma D",956,IF(Atletas!V470="Taijidao E",957,IF(Atletas!V470="TaijiShanzi E",958,IF(Atletas!V470="Taijiqiang E",959,IF(Atletas!V470="Bagua de Arma E",960,IF(Atletas!V470="Xingyi de Arma E",961,IF(Atletas!V470="Taijidao F",962,IF(Atletas!V470="TaijiShanzi F",963,IF(Atletas!V470="Taijiqiang F",964,IF(Atletas!V470="Bagua de Arma F",965,IF(Atletas!V470="Xingyi de Arma F",966,"")))))))))))))))))))))))))))))))</f>
        <v/>
      </c>
      <c r="CM479" s="50" t="str">
        <f xml:space="preserve"> IF(Atletas!W470="","",IF(Atletas!W470="Duilian de Mãos BC - Equipe 1",1,IF(Atletas!W470="Duilian de Mãos BC - Equipe 2",2,IF(Atletas!W470="Duilian de Armas BC - Equipe 1",3,IF(Atletas!W470="Duilian de Armas BC - Equipe 2",4,IF(Atletas!W470="Duilian de Mãos DE - Equipe 1",5,IF(Atletas!W470="Duilian de Mãos DE - Equipe 2",6,IF(Atletas!W470="Duilian de Armas DE - Equipe 1",7,IF(Atletas!W470="Duilian de Armas DE - Equipe 2",8,IF(Atletas!W470="Duilian de Tuishou - Equipe 1",9,IF(Atletas!W470="Duilian de Tuishou - Equipe 2",10,IF(Atletas!W470="Grupo Externo ABC - Equipe 1",11,IF(Atletas!W470="Grupo Externo ABC - Equipe 2",12,IF(Atletas!W470="Grupo Interno ABC - Equipe 1",13,IF(Atletas!W470="Grupo Interno ABC - Equipe 2",14,IF(Atletas!W470="Grupo Externo DEF - Equipe 1",15,IF(Atletas!W470="Grupo Externo DEF - Equipe 2",16,IF(Atletas!W470="Grupo Interno DEF - Equipe 1",17,IF(Atletas!W470="Grupo Interno DEF - Equipe 2",18,"")))))))))))))))))))</f>
        <v/>
      </c>
    </row>
    <row r="480" spans="40:91">
      <c r="AN480" s="52" t="str">
        <f>IF(Atletas!D471="","",IF(Atletas!B471="Feminino",100,IF(Atletas!B471="Masculino",200,""))+(IF(Atletas!D471="Kids 30kg",1,IF(Atletas!D471="Kids 32kg",2, IF(Atletas!D471="Kids 34kg",3,IF(Atletas!D471="Kids 36kg",4,IF(Atletas!D471="Kids 39kg",5,IF(Atletas!D471="Kids 42kg",6,IF(Atletas!D471="Kids 45kg",7, IF(Atletas!D471="Infantil 39kg",8,IF(Atletas!D471="Infantil 42kg",9,IF(Atletas!D471="Infantil 45kg",10,IF(Atletas!D471="Infantil 48kg",11,IF(Atletas!D471="Infantil 52kg",12,IF(Atletas!D471="Infantil 56kg",13,IF(Atletas!D471="Infantil 60kg",14,IF(Atletas!D471="Juvenil 48kg",15,IF(Atletas!D471="Juvenil 52kg",16,IF(Atletas!D471="Juvenil 56kg",17,IF(Atletas!D471="Juvenil 60kg",18,IF(Atletas!D471="Juvenil 65kg",19,IF(Atletas!D471="Juvenil 70kg",20,IF(Atletas!D471="Juvenil 75kg",21,IF(Atletas!D471="Juvenil 80kg",22, IF(Atletas!D471="Juvenil 85kg",23,IF(Atletas!D471="Adulto 48kg",24,IF(Atletas!D471="Adulto 52kg",25,IF(Atletas!D471="Adulto 56kg",26,IF(Atletas!D471="Adulto 60kg",27,IF(Atletas!D471="Adulto 65kg",28,IF(Atletas!D471="Adulto 70kg",29,IF(Atletas!D471="Adulto 75kg",30,IF(Atletas!D471="Adulto 80kg",31,IF(Atletas!D471="Adulto 85kg",32,IF(Atletas!D471="Adulto 90kg",33,IF(Atletas!D471="Adulto 100kg",34, IF(Atletas!D471="Adulto +100kg",35,"")))))))))))))))))))))))))))))))))))))</f>
        <v/>
      </c>
      <c r="AS480" s="6" t="str">
        <f>IF(Atletas!E471="","",IF(Atletas!B471="Feminino",100,IF(Atletas!B471="Masculino",200,""))+(IF(Atletas!E471="Juvenil 44kg",1,IF(Atletas!E471="Juvenil 48kg",2,IF(Atletas!E471="Juvenil 52kg",3,IF(Atletas!E471="Juvenil 56kg",4,IF(Atletas!E471="Juvenil 60kg",5,IF(Atletas!E471="Juvenil 65kg",6,IF(Atletas!E471="Juvenil 70kg",7,IF(Atletas!E471="Juvenil 75kg",8,IF(Atletas!E471="Juvenil 82kg",9,IF(Atletas!E471="Juvenil 90kg",10,IF(Atletas!E471="Juvenil 100kg",11,IF(Atletas!E471="Adulto 48kg",12,IF(Atletas!E471="Adulto 52kg",13,IF(Atletas!E471="Adulto 56kg",14,IF(Atletas!E471="Adulto 60kg",15,IF(Atletas!E471="Adulto 65kg",16,IF(Atletas!E471="Adulto 70kg",17,IF(Atletas!E471="Adulto 75kg",18,IF(Atletas!E471="Adulto 82kg",19,IF(Atletas!E471="Adulto 90kg",20,IF(Atletas!E471="Adulto 100kg",21,IF(Atletas!E471="Adulto +100kg",22,""))))))))))))))))))))))))</f>
        <v/>
      </c>
      <c r="AX480" s="6" t="str">
        <f>IF(Atletas!F471="","",IF(Atletas!B471="Feminino",100,IF(Atletas!B471="Masculino",200,""))+(IF(Atletas!F471="Adulto 48kg",1,IF(Atletas!F471="Adulto 56kg",2,IF(Atletas!F471="Adulto 65kg",3,IF(Atletas!F471="Adulto 75kg",4,IF(Atletas!F471="Adulto +75kg",5,IF(Atletas!F471="Adulto 52kg",6,IF(Atletas!F471="Adulto 60kg",7,IF(Atletas!F471="Adulto 70kg",8,IF(Atletas!F471="Adulto 80kg",9,IF(Atletas!F471="Adulto 90kg",10,IF(Atletas!F471="Adulto +90kg",11,"")))))))))))))</f>
        <v/>
      </c>
      <c r="BC480" s="6" t="str">
        <f>IF(Atletas!G471="","",IF(Atletas!B471="Feminino",10,IF(Atletas!B471="Masculino",20,""))+(IF(Atletas!G471="Baduanjin A",1,IF(Atletas!G471="Baduanjin B",2))))</f>
        <v/>
      </c>
      <c r="BF480" s="52" t="str">
        <f>IF(Atletas!H471="","",IF(Atletas!B471="Feminino",100,IF(Atletas!B471="Masculino",200,""))+(IF(Atletas!H471="Changquan Mirim",1,IF(Atletas!H471="Nanquan Mirim",2,IF(Atletas!H471="Taijiquan Mirim",3,IF(Atletas!H471="Changquan Grupo C",4,IF(Atletas!H471="Nanquan Grupo C",5,IF(Atletas!H471="Taijiquan Grupo C",6,IF(Atletas!H471="Changquan Grupo B",7,IF(Atletas!H471="Nanquan Grupo B",8,IF(Atletas!H471="Taijiquan Grupo B",9,IF(Atletas!H471="Changquan Grupo A",10,IF(Atletas!H471="Nanquan Grupo A",11,IF(Atletas!H471="Taijiquan Grupo A",12,IF(Atletas!H471="Changquan Opcional",13,IF(Atletas!H471="Nanquan Opcional",14,IF(Atletas!H471="Taijiquan Opcional",15,IF(Atletas!H471="Changquan Adulto",16,IF(Atletas!H471="Nanquan Adulto",17,IF(Atletas!H471="Taijiquan Adulto",18,""))))))))))))))))))))</f>
        <v/>
      </c>
      <c r="BG480" s="52" t="str">
        <f>IF(Atletas!I471="","",IF(Atletas!B471="Feminino",100,IF(Atletas!B471="Masculino",200,""))+(IF(Atletas!I471="Daoshu Mirim",19,IF(Atletas!I471="Jianshu Mirim",20,IF(Atletas!I471="Nandao Mirim",21,IF(Atletas!I471="Taijijian Mirim",22,IF(Atletas!I471="Daoshu Grupo C",23,IF(Atletas!I471="Jianshu Grupo C",24,IF(Atletas!I471="Nandao Grupo C",25,IF(Atletas!I471="Taijijian Grupo C",26,IF(Atletas!I471="Daoshu Grupo B",27,IF(Atletas!I471="Jianshu Grupo B",28,IF(Atletas!I471="Nandao Grupo B",29,IF(Atletas!I471="Taijijian Grupo B",30,IF(Atletas!I471="Daoshu Grupo A",31,IF(Atletas!I471="Jianshu Grupo A",32,IF(Atletas!I471="Nandao Grupo A",33,IF(Atletas!I471="Taijijian Grupo A",34,IF(Atletas!I471="Daoshu Opcional",35,IF(Atletas!I471="Jianshu Opcional",36,IF(Atletas!I471="Nandao Opcional",37,IF(Atletas!I471="Taijijian Opcional",38,IF(Atletas!I471="Daoshu Adulto",39,IF(Atletas!I471="Jianshu Adulto",40,IF(Atletas!I471="Nandao Adulto",41,IF(Atletas!I471="Taijijian Adulto",42,""))))))))))))))))))))))))))</f>
        <v/>
      </c>
      <c r="BH480" s="52" t="str">
        <f>IF(Atletas!J471="","",IF(Atletas!B471="Feminino",100,IF(Atletas!B471="Masculino",200,""))+(IF(Atletas!J471="Gunshu Mirim",43,IF(Atletas!J471="Qiangshu Mirim",44,IF(Atletas!J471="Nangun Mirim",45,IF(Atletas!J471="Gunshu Grupo C",46,IF(Atletas!J471="Qiangshu Grupo C",47,IF(Atletas!J471="Nangun Grupo C",48,IF(Atletas!J471="Gunshu Grupo B",49,IF(Atletas!J471="Qiangshu Grupo B",50,IF(Atletas!J471="Nangun Grupo B",51,IF(Atletas!J471="Gunshu Grupo A",52,IF(Atletas!J471="Qiangshu Grupo A",53,IF(Atletas!J471="Nangun Grupo A",54,IF(Atletas!J471="Gunshu Opcional",55,IF(Atletas!J471="Qiangshu Opcional",56,IF(Atletas!J471="Nangun Opcional",57,IF(Atletas!J471="Gunshu Adulto",58,IF(Atletas!J471="Qiangshu Adulto",59,IF(Atletas!J471="Nangun Adulto",60,IF(Atletas!J471="Taijishan Grupo B",61,IF(Atletas!J471="Taijishan Grupo A",62,""))))))))))))))))))))))</f>
        <v/>
      </c>
      <c r="BM480" s="50" t="str">
        <f>IF(Atletas!K471="","",IF(Atletas!B471="Feminino",100,IF(Atletas!B471="Masculino",200,""))+(IF(Atletas!K471="Equipe 1 Grupo B",1,IF(Atletas!K471="Equipe 2 Grupo B",2,IF(Atletas!K471="Equipe 1 Grupo A",3,IF(Atletas!K471="Equipe 2 Grupo A",4,IF(Atletas!K471="Equipe 1 Adulto",5,IF(Atletas!K471="Equipe 2 Adulto",6,""))))))))</f>
        <v/>
      </c>
      <c r="BR480" s="50" t="str">
        <f>IF(Atletas!L471="","",IF(Atletas!X471&lt;&gt;"",10000,0)+(IF(Atletas!B471="Feminino",1000,IF(Atletas!B471="Masculino",2000,""))+IF(Atletas!L471="Choylayfut A",1,IF(Atletas!L471="Hunggar A",2,IF(Atletas!L471="Wuzuquan A",3,IF(Atletas!L471="Wingchun A",4,IF(Atletas!L471="Outra Mão de Sul A",5,IF(Atletas!L471="Choylayfut B",6,IF(Atletas!L471="Hunggar B",7,IF(Atletas!L471="Wuzuquan B",8,IF(Atletas!L471="Wingchun B",9,IF(Atletas!L471="Outra Mão de Sul B",10,IF(Atletas!L471="Choylayfut C",11,IF(Atletas!L471="Hunggar C",12,IF(Atletas!L471="Wuzuquan C",13,IF(Atletas!L471="Wingchun C",14,IF(Atletas!L471="Outra Mão de Sul C",15,IF(Atletas!L471="Choylayfut D",16,IF(Atletas!L471="Hunggar D",17,IF(Atletas!L471="Wuzuquan D",18,IF(Atletas!L471="Wingchun D",19,IF(Atletas!L471="Outra Mão de Sul D",20,IF(Atletas!L471="Choylayfut E",21,IF(Atletas!L471="Hunggar E",22,IF(Atletas!L471="Wuzuquan E",23,IF(Atletas!L471="Wingchun E",24,IF(Atletas!L471="Outra Mão de Sul E",25,IF(Atletas!L471="Choylayfut F",26,IF(Atletas!L471="Hunggar F",27,IF(Atletas!L471="Wuzuquan F",28,IF(Atletas!L471="Wingchun F",29,IF(Atletas!L471="Outra Mão de Sul F",30,IF(Atletas!L471="Dishuquan A",31,IF(Atletas!L471="Dishuquan B",32,IF(Atletas!L471="Dishuquan C",33,IF(Atletas!L471="Dishuquan D",34,IF(Atletas!L471="Dishuquan E",35,IF(Atletas!L471="Dishuquan F",36,""))))))))))))))))))))))))))))))))))))))</f>
        <v/>
      </c>
      <c r="BS480" s="50" t="str">
        <f>IF(Atletas!M471="","",IF(Atletas!X471&lt;&gt;"",10000,0)+(IF(Atletas!B471="Feminino",1000,IF(Atletas!B471="Masculino",2000,""))+(IF(Atletas!M471="Chaquan A",101,IF(Atletas!M471="Emeiquan A",102,IF(Atletas!M471="Fanziquan A",103,IF(Atletas!M471="Huaquan A",104,IF(Atletas!M471="Hongquan A",105,IF(Atletas!M471="Paoquan A",106,IF(Atletas!M471="Piguaquan A",107,IF(Atletas!M471="Shaolinquan A",108,IF(Atletas!M471="Tanglangquan A",109,IF(Atletas!M471="Yingzhaoquan A",110,IF(Atletas!M471="Tongbeiquan A",111,IF(Atletas!M471="Wudangquan A",112,IF(Atletas!M471="Outros Estilos A",113,IF(Atletas!M471="Chaquan B",114,IF(Atletas!M471="Emeiquan B",115,IF(Atletas!M471="Fanziquan B",116,IF(Atletas!M471="Huaquan B",117,IF(Atletas!M471="Hongquan B",118,IF(Atletas!M471="Paoquan B",119,IF(Atletas!M471="Piguaquan B",120,IF(Atletas!M471="Shaolinquan B",121,IF(Atletas!M471="Tanglangquan B",122,IF(Atletas!M471="Yingzhaoquan B",123,IF(Atletas!M471="Tongbeiquan B",124,IF(Atletas!M471="Wudangquan B",125,IF(Atletas!M471="Outros Estilos B",126,IF(Atletas!M471="Chaquan C",127,IF(Atletas!M471="Emeiquan C",128,IF(Atletas!M471="Fanziquan C",129,IF(Atletas!M471="Huaquan C",130,IF(Atletas!M471="Hongquan C",131,IF(Atletas!M471="Paoquan C",132,IF(Atletas!M471="Piguaquan C",133,IF(Atletas!M471="Shaolinquan C",134,IF(Atletas!M471="Tanglangquan C",135,IF(Atletas!M471="Yingzhaoquan C",136,IF(Atletas!M471="Tongbeiquan C",137,IF(Atletas!M471="Wudangquan C",138,IF(Atletas!M471="Outros Estilos C",139,0))))))))))))))))))))))))))))))))))))))))))</f>
        <v/>
      </c>
      <c r="BT480" s="50" t="str">
        <f>IF(Atletas!M471="","",IF(Atletas!X471&lt;&gt;"",10000,0)+(IF(Atletas!B471="Feminino",1000,IF(Atletas!B471="Masculino",2000,""))+(IF(Atletas!M471="Chaquan D",140,IF(Atletas!M471="Emeiquan D",141,IF(Atletas!M471="Fanziquan D",142,IF(Atletas!M471="Huaquan D",143,IF(Atletas!M471="Hongquan D",144,IF(Atletas!M471="Paoquan D",145,IF(Atletas!M471="Piguaquan D",146,IF(Atletas!M471="Shaolinquan D",147,IF(Atletas!M471="Tanglangquan D",148,IF(Atletas!M471="Yingzhaoquan D",149,IF(Atletas!M471="Tongbeiquan D",150,IF(Atletas!M471="Wudangquan D",151,IF(Atletas!M471="Outros Estilos D",152,IF(Atletas!M471="Chaquan E",153,IF(Atletas!M471="Emeiquan E",154,IF(Atletas!M471="Fanziquan E",155,IF(Atletas!M471="Huaquan E",156,IF(Atletas!M471="Hongquan E",157,IF(Atletas!M471="Paoquan E",158,IF(Atletas!M471="Piguaquan E",159,IF(Atletas!M471="Shaolinquan E",160,IF(Atletas!M471="Tanglangquan E",161,IF(Atletas!M471="Yingzhaoquan E",162,IF(Atletas!M471="Tongbeiquan E",163,IF(Atletas!M471="Wudangquan E",164,IF(Atletas!M471="Outros Estilos E",165,IF(Atletas!M471="Chaquan F",166,IF(Atletas!M471="Emeiquan F",167,IF(Atletas!M471="Fanziquan F",168,IF(Atletas!M471="Huaquan F",169,IF(Atletas!M471="Hongquan F",170,IF(Atletas!M471="Paoquan F",171,IF(Atletas!M471="Piguaquan F",172,IF(Atletas!M471="Shaolinquan F",173,IF(Atletas!M471="Tanglangquan F",174,IF(Atletas!M471="Yingzhaoquan F",175,IF(Atletas!M471="Tongbeiquan F",176,IF(Atletas!M471="Wudangquan F",177,IF(Atletas!M471="Outros Estilos F",178,0))))))))))))))))))))))))))))))))))))))))))</f>
        <v/>
      </c>
      <c r="BU480" s="50" t="str">
        <f>IF(Atletas!N471="","",IF(Atletas!X471&lt;&gt;"",10000,0)+(IF(Atletas!B471="Feminino",1000,IF(Atletas!B471="Masculino",2000,""))+(IF(Atletas!N471="Ditangquan A",201,IF(Atletas!N471="Houquan A",202,IF(Atletas!N471="Zuiquan A",203,IF(Atletas!N471="Ditangquan B",204,IF(Atletas!N471="Houquan B",205,IF(Atletas!N471="Zuiquan B",206,IF(Atletas!N471="Ditangquan C",207,IF(Atletas!N471="Houquan C",208,IF(Atletas!N471="Zuiquan C",209,IF(Atletas!N471="Ditangquan D",210,IF(Atletas!N471="Houquan D",211,IF(Atletas!N471="Zuiquan D",212,IF(Atletas!N471="Ditangquan E",213,IF(Atletas!N471="Houquan E",214,IF(Atletas!N471="Zuiquan E",215,IF(Atletas!N471="Ditangquan F",216,IF(Atletas!N471="Houquan F",217,IF(Atletas!N471="Zuiquan F",218,"")))))))))))))))))))))</f>
        <v/>
      </c>
      <c r="BV480" s="50" t="str">
        <f>IF(Atletas!O471="","",IF(Atletas!X471&lt;&gt;"",10000,0)+IF(Atletas!B471="Feminino",1000,IF(Atletas!B471="Masculino",2000,""))+IF(Atletas!O471="Yang A",301,IF(Atletas!O471="Chen A",302,IF(Atletas!O471="Sun A",303,IF(Atletas!O471="Wu A",304,IF(Atletas!O471="Wu-Hao A",305,IF(Atletas!O471="Outro Taijiquan A",306,IF(Atletas!O471="Yang B",307,IF(Atletas!O471="Chen B",308,IF(Atletas!O471="Sun B",309,IF(Atletas!O471="Wu B",310,IF(Atletas!O471="Wu-Hao B",311,IF(Atletas!O471="Outro Taijiquan B",312,IF(Atletas!O471="Yang C",313,IF(Atletas!O471="Chen C",314,IF(Atletas!O471="Sun C",315,IF(Atletas!O471="Wu C",316,IF(Atletas!O471="Wu-Hao C",317,IF(Atletas!O471="Outro Taijiquan C",318,IF(Atletas!O471="Yang D",319,IF(Atletas!O471="Chen D",320,IF(Atletas!O471="Sun D",321,IF(Atletas!O471="Wu D",322,IF(Atletas!O471="Wu-Hao D",323,IF(Atletas!O471="Outro Taijiquan D",324,IF(Atletas!O471="Yang E",325,IF(Atletas!O471="Chen E",326,IF(Atletas!O471="Sun E",327,IF(Atletas!O471="Wu E",328,IF(Atletas!O471="Wu-Hao E",329,IF(Atletas!O471="Outro Taijiquan E",330,IF(Atletas!O471="Yang F",331,IF(Atletas!O471="Chen F",332,IF(Atletas!O471="Sun F",333,IF(Atletas!O471="Wu F",334,IF(Atletas!O471="Wu-Hao F",335,IF(Atletas!O471="Outro Taijiquan F",336,"")))))))))))))))))))))))))))))))))))))</f>
        <v/>
      </c>
      <c r="BW480" s="50" t="str">
        <f>IF(Atletas!P471="","",IF(Atletas!X471&lt;&gt;"",10000,0)+IF(Atletas!B471="Feminino",1000,IF(Atletas!B471="Masculino",2000,""))+IF(OR(Atletas!P471="Yang 26 A",Atletas!P471="Yang 40 A"),401,IF(OR(Atletas!P471="Chen 25 A",Atletas!P471="Chen 36 A",Atletas!P471="Chen 56 A"),402,IF(Atletas!P471="Sun 73 A",403,IF(Atletas!P471="Wu 45 A",404,IF(Atletas!P471="Wu-Hao 46 A",405,IF(OR(Atletas!P471="Taijiquan 16 A",Atletas!P471="Taijiquan 24 A",Atletas!P471="Taijiquan 32 A",Atletas!P471="Taijiquan 42 A"),406,IF(OR(Atletas!P471="Yang 26 B",Atletas!P471="Yang 40 B"),407,IF(OR(Atletas!P471="Chen 25 B",Atletas!P471="Chen 36 B",Atletas!P471="Chen 56 B"),408,IF(Atletas!P471="Sun 73 B",409,IF(Atletas!P471="Wu 45 B",410,IF(Atletas!P471="Wu-Hao 46 B",411,IF(OR(Atletas!P471="Taijiquan 16 B",Atletas!P471="Taijiquan 24 B",Atletas!P471="Taijiquan 32 B",Atletas!P471="Taijiquan 42 B"),412,IF(OR(Atletas!P471="Yang 26 C",Atletas!P471="Yang 40 C"),413,IF(OR(Atletas!P471="Chen 25 C",Atletas!P471="Chen 36 C",Atletas!P471="Chen 56 C"),414,IF(Atletas!P471="Sun 73 C",415,IF(Atletas!P471="Wu 45 C",416,IF(Atletas!P471="Wu-Hao 46 C",417,IF(OR(Atletas!P471="Taijiquan 16 C",Atletas!P471="Taijiquan 24 C",Atletas!P471="Taijiquan 32 C",Atletas!P471="Taijiquan 42 C"),418,0)))))))))))))))))))</f>
        <v/>
      </c>
      <c r="BX480" s="50" t="str">
        <f>IF(Atletas!P471="","",IF(Atletas!X471&lt;&gt;"",10000,0)+IF(Atletas!B471="Feminino",1000,IF(Atletas!B471="Masculino",2000,""))+IF(OR(Atletas!P471="Yang 26 D",Atletas!P471="Yang 40 D"),419,IF(OR(Atletas!P471="Chen 25 D",Atletas!P471="Chen 36 D",Atletas!P471="Chen 56 D"),420,IF(Atletas!P471="Sun 73 D",421,IF(Atletas!P471="Wu 45 D",422,IF(Atletas!P471="Wu-Hao 46 D",423,IF(OR(Atletas!P471="Taijiquan 16 D",Atletas!P471="Taijiquan 24 D",Atletas!P471="Taijiquan 32 D",Atletas!P471="Taijiquan 42 D"),424,IF(OR(Atletas!P471="Yang 26 E",Atletas!P471="Yang 40 E"),425,IF(OR(Atletas!P471="Chen 25 E",Atletas!P471="Chen 36 E",Atletas!P471="Chen 56 E"),426,IF(Atletas!P471="Sun 73 E",427,IF(Atletas!P471="Wu 45 E",428,IF(Atletas!P471="Wu-Hao 46 E",429,IF(OR(Atletas!P471="Taijiquan 16 E",Atletas!P471="Taijiquan 24 E",Atletas!P471="Taijiquan 32 E",Atletas!P471="Taijiquan 42 E"),430,IF(OR(Atletas!P471="Yang 26 F",Atletas!P471="Yang 40 F"),431,IF(OR(Atletas!P471="Chen 25 F",Atletas!P471="Chen 36 F",Atletas!P471="Chen 56 F"),432,IF(Atletas!P471="Sun 73 F",433,IF(Atletas!P471="Wu 45 F",434,IF(Atletas!P471="Wu-Hao 46 F",435,IF(OR(Atletas!P471="Taijiquan 16 F",Atletas!P471="Taijiquan 24 F",Atletas!P471="Taijiquan 32 F",Atletas!P471="Taijiquan 42 F"),436,0)))))))))))))))))))</f>
        <v/>
      </c>
      <c r="BY480" s="50" t="str">
        <f>IF(Atletas!Q471="","",IF(Atletas!X471&lt;&gt;"",10000,0)+IF(Atletas!B471="Feminino",1000,IF(Atletas!B471="Masculino",2000,""))+IF(Atletas!Q471="Xingyiquan A",501,IF(Atletas!Q471="Baguazhang A",502,IF(Atletas!Q471="Outro Estilo Interno A",503,IF(Atletas!Q471="Xingyiquan B",504,IF(Atletas!Q471="Baguazhang B",505,IF(Atletas!Q471="Outro Estilo Interno B",506,IF(Atletas!Q471="Xingyiquan C",507,IF(Atletas!Q471="Baguazhang C",508,IF(Atletas!Q471="Outro Estilo Interno C",509,IF(Atletas!Q471="Xingyiquan D",510,IF(Atletas!Q471="Baguazhang D",511,IF(Atletas!Q471="Outro Estilo Interno D",512,IF(Atletas!Q471="Xingyiquan E",513,IF(Atletas!Q471="Baguazhang E",514,IF(Atletas!Q471="Outro Estilo Interno E",515,IF(Atletas!Q471="Xingyiquan F",516,IF(Atletas!Q471="Baguazhang F",517,IF(Atletas!Q471="Outro Estilo Interno F",518, "")))))))))))))))))))</f>
        <v/>
      </c>
      <c r="BZ480" s="50" t="str">
        <f>IF(Atletas!R471="","",IF(Atletas!X471&lt;&gt;"",10000,0)+IF(Atletas!B471="Feminino",1000,IF(Atletas!B471="Masculino",2000,""))+IF(Atletas!R471="Dao A",601,IF(Atletas!R471="Jian A",602,IF(Atletas!R471="Bishou A",603,IF(Atletas!R471="Shanzi A",604,IF(Atletas!R471="Outra Arma Curta A",605,IF(Atletas!R471="Dao B",606,IF(Atletas!R471="Jian B",607,IF(Atletas!R471="Bishou B",608,IF(Atletas!R471="Shanzi B",609,IF(Atletas!R471="Outra Arma Curta B",610,IF(Atletas!R471="Dao C",611,IF(Atletas!R471="Jian C",612,IF(Atletas!R471="Bishou C",613,IF(Atletas!R471="Shanzi C",614,IF(Atletas!R471="Outra Arma Curta C",615,IF(Atletas!R471="Dao D",616,IF(Atletas!R471="Jian D",617,IF(Atletas!R471="Bishou D",618,IF(Atletas!R471="Shanzi D",619,IF(Atletas!R471="Outra Arma Curta D",620,IF(Atletas!R471="Dao E",621,IF(Atletas!R471="Jian E",622,IF(Atletas!R471="Bishou E",623,IF(Atletas!R471="Shanzi E",624,IF(Atletas!R471="Outra Arma Curta E",625,IF(Atletas!R471="Dao F",626,IF(Atletas!R471="Jian F",627,IF(Atletas!R471="Bishou F",628,IF(Atletas!R471="Shanzi F",629,IF(Atletas!R471="Outra Arma Curta F",630, "")))))))))))))))))))))))))))))))</f>
        <v/>
      </c>
      <c r="CA480" s="50" t="str">
        <f>IF(Atletas!S471="","",IF(Atletas!X471&lt;&gt;"",10000,0)+IF(Atletas!B471="Feminino",1000,IF(Atletas!B471="Masculino",2000,""))+IF(Atletas!S471="Gun A",701,IF(Atletas!S471="Qiang A",702,IF(Atletas!S471="Pudao / Guandao A",703,IF(Atletas!S471="Outra Arma Longa A",704,IF(Atletas!S471="Gun B",705,IF(Atletas!S471="Qiang B",706,IF(Atletas!S471="Pudao / Guandao B",707,IF(Atletas!S471="Outra Arma Longa B",708,IF(Atletas!S471="Gun C",709,IF(Atletas!S471="Qiang C",710,IF(Atletas!S471="Pudao / Guandao C",711,IF(Atletas!S471="Outra Arma Longa C",712,IF(Atletas!S471="Gun D",713,IF(Atletas!S471="Qiang D",714,IF(Atletas!S471="Pudao / Guandao D",715,IF(Atletas!S471="Outra Arma Longa D",716,IF(Atletas!S471="Gun E",717,IF(Atletas!S471="Qiang E",718,IF(Atletas!S471="Pudao / Guandao E",719,IF(Atletas!S471="Outra Arma Longa E",720,IF(Atletas!S471="Gun F",721,IF(Atletas!S471="Qiang F",722,IF(Atletas!S471="Pudao / Guandao F",723,IF(Atletas!S471="Outra Arma Longa F",724,"")))))))))))))))))))))))))</f>
        <v/>
      </c>
      <c r="CB480" s="50" t="str">
        <f>IF(Atletas!T471="","",IF(Atletas!X471&lt;&gt;"",10000,0)+IF(Atletas!B471="Feminino",1000,IF(Atletas!B471="Masculino",2000,""))+IF(Atletas!T471="Outra Arma Dupla A",801,IF(Atletas!T471="Arma Maleável A",802,IF(Atletas!T471="Outra Arma Dupla B",803,IF(Atletas!T471="Arma Maleável B",804,IF(Atletas!T471="Outra Arma Dupla C",805,IF(Atletas!T471="Arma Maleável C",806,IF(Atletas!T471="Outra Arma Dupla D",807,IF(Atletas!T471="Arma Maleável D",808,IF(Atletas!T471="Outra Arma Dupla E",809,IF(Atletas!T471="Arma Maleável E",810,IF(Atletas!T471="Outra Arma Dupla F",811,IF(Atletas!T471="Arma Maleável F",812,IF(Atletas!T471="Shuangdao A",813,IF(Atletas!T471="Shuangdao B",814,IF(Atletas!T471="Shuangdao C",815,IF(Atletas!T471="Shuangdao D",816,IF(Atletas!T471="Shuangdao E",817,IF(Atletas!T471="Shuangdao F",818,"")))))))))))))))))))</f>
        <v/>
      </c>
      <c r="CC480" s="50" t="str">
        <f>IF(Atletas!U471="","",IF(Atletas!X471&lt;&gt;"",10000,0)+IF(Atletas!B471="Feminino",1000,IF(Atletas!B471="Masculino",2000,""))+IF(OR(Atletas!U471="Taijijian Yang A",Atletas!U471="Taijijian Yang Standard A"),901,IF(OR(Atletas!U471="Taijijian Chen A", Atletas!U471="Taijijian Chen Standard A"),902,IF(Atletas!U471="Taijijian Sun A",903,IF(Atletas!U471="Taijijian Wu A",904,IF(Atletas!U471="Taijijian Wu-Hao A",905,IF(OR(Atletas!U471="Taijijian 32 A",Atletas!U471="Taijijian 42 A"),906,IF(OR(Atletas!U471="Taijijian Yang B",Atletas!U471="Taijijian Yang Standard B"),907,IF(OR(Atletas!U471="Taijijian Chen B", Atletas!U471="Taijijian Chen Standard B"),908,IF(Atletas!U471="Taijijian Sun B",909,IF(Atletas!U471="Taijijian Wu B",910,IF(Atletas!U471="Taijijian Wu-Hao B",911,IF(OR(Atletas!U471="Taijijian 32 B",Atletas!U471="Taijijian 42 B"),912,IF(OR(Atletas!U471="Taijijian Yang C",Atletas!U471="Taijijian Yang Standard C"),913,IF(OR(Atletas!U471="Taijijian Chen C", Atletas!U471="Taijijian Chen Standard C"),914,IF(Atletas!U471="Taijijian Sun C",915,IF(Atletas!U471="Taijijian Wu C",916,IF(Atletas!U471="Taijijian Wu-Hao C",917,IF(OR(Atletas!U471="Taijijian 32 C",Atletas!U471="Taijijian 42 C"),918,IF(OR(Atletas!U471="Taijijian Yang D",Atletas!U471="Taijijian Yang Standard D"),919,IF(OR(Atletas!U471="Taijijian Chen D", Atletas!U471="Taijijian Chen Standard D"),920,IF(Atletas!U471="Taijijian Sun D",921,IF(Atletas!U471="Taijijian Wu D",922,IF(Atletas!U471="Taijijian Wu-Hao D",923,IF(OR(Atletas!U471="Taijijian 32 D",Atletas!U471="Taijijian 42 D"),924,IF(OR(Atletas!U471="Taijijian Yang E",Atletas!U471="Taijijian Yang Standard E"),925,IF(OR(Atletas!U471="Taijijian Chen E", Atletas!U471="Taijijian Chen Standard E"),926,IF(Atletas!U471="Taijijian Sun E",927,IF(Atletas!U471="Taijijian Wu E",928,IF(Atletas!U471="Taijijian Wu-Hao E",929,IF(OR(Atletas!U471="Taijijian 32 E",Atletas!U471="Taijijian 42 E"),930,IF(OR(Atletas!U471="Taijijian Yang F",Atletas!U471="Taijijian Yang Standard F"),931,IF(OR(Atletas!U471="Taijijian Chen F", Atletas!U471="Taijijian Chen Standard F"),932,IF(Atletas!U471="Taijijian Sun F",933,IF(Atletas!U471="Taijijian Wu F",934,IF(Atletas!U471="Taijijian Wu-Hao F",935,IF(OR(Atletas!U471="Taijijian 32 F",Atletas!U471="Taijijian 42 F"),936,"")))))))))))))))))))))))))))))))))))))</f>
        <v/>
      </c>
      <c r="CD480" s="50" t="str">
        <f>IF(Atletas!V471="","",IF(Atletas!X471&lt;&gt;"",10000,0)+IF(Atletas!B471="Feminino",1000,IF(Atletas!B471="Masculino",2000,""))+IF(Atletas!V471="Taijidao A",937,IF(Atletas!V471="TaijiShanzi A",938,IF(Atletas!V471="Taijiqiang A",939,IF(Atletas!V471="Bagua de Arma A",940,IF(Atletas!V471="Xingyi de Arma A",941,IF(Atletas!V471="Taijidao B",942,IF(Atletas!V471="TaijiShanzi B",943,IF(Atletas!V471="Taijiqiang B",944,IF(Atletas!V471="Bagua de Arma B",945,IF(Atletas!V471="Xingyi de Arma B",946,IF(Atletas!V471="Taijidao C",947,IF(Atletas!V471="TaijiShanzi C",948,IF(Atletas!V471="Taijiqiang C",949,IF(Atletas!V471="Bagua de Arma C",950,IF(Atletas!V471="Xingyi de Arma C",951,IF(Atletas!V471="Taijidao D",952,IF(Atletas!V471="TaijiShanzi D",953,IF(Atletas!V471="Taijiqiang D",954,IF(Atletas!V471="Bagua de Arma D",955,IF(Atletas!V471="Xingyi de Arma D",956,IF(Atletas!V471="Taijidao E",957,IF(Atletas!V471="TaijiShanzi E",958,IF(Atletas!V471="Taijiqiang E",959,IF(Atletas!V471="Bagua de Arma E",960,IF(Atletas!V471="Xingyi de Arma E",961,IF(Atletas!V471="Taijidao F",962,IF(Atletas!V471="TaijiShanzi F",963,IF(Atletas!V471="Taijiqiang F",964,IF(Atletas!V471="Bagua de Arma F",965,IF(Atletas!V471="Xingyi de Arma F",966,"")))))))))))))))))))))))))))))))</f>
        <v/>
      </c>
      <c r="CM480" s="50" t="str">
        <f xml:space="preserve"> IF(Atletas!W471="","",IF(Atletas!W471="Duilian de Mãos BC - Equipe 1",1,IF(Atletas!W471="Duilian de Mãos BC - Equipe 2",2,IF(Atletas!W471="Duilian de Armas BC - Equipe 1",3,IF(Atletas!W471="Duilian de Armas BC - Equipe 2",4,IF(Atletas!W471="Duilian de Mãos DE - Equipe 1",5,IF(Atletas!W471="Duilian de Mãos DE - Equipe 2",6,IF(Atletas!W471="Duilian de Armas DE - Equipe 1",7,IF(Atletas!W471="Duilian de Armas DE - Equipe 2",8,IF(Atletas!W471="Duilian de Tuishou - Equipe 1",9,IF(Atletas!W471="Duilian de Tuishou - Equipe 2",10,IF(Atletas!W471="Grupo Externo ABC - Equipe 1",11,IF(Atletas!W471="Grupo Externo ABC - Equipe 2",12,IF(Atletas!W471="Grupo Interno ABC - Equipe 1",13,IF(Atletas!W471="Grupo Interno ABC - Equipe 2",14,IF(Atletas!W471="Grupo Externo DEF - Equipe 1",15,IF(Atletas!W471="Grupo Externo DEF - Equipe 2",16,IF(Atletas!W471="Grupo Interno DEF - Equipe 1",17,IF(Atletas!W471="Grupo Interno DEF - Equipe 2",18,"")))))))))))))))))))</f>
        <v/>
      </c>
    </row>
    <row r="481" spans="40:91">
      <c r="AN481" s="52" t="str">
        <f>IF(Atletas!D472="","",IF(Atletas!B472="Feminino",100,IF(Atletas!B472="Masculino",200,""))+(IF(Atletas!D472="Kids 30kg",1,IF(Atletas!D472="Kids 32kg",2, IF(Atletas!D472="Kids 34kg",3,IF(Atletas!D472="Kids 36kg",4,IF(Atletas!D472="Kids 39kg",5,IF(Atletas!D472="Kids 42kg",6,IF(Atletas!D472="Kids 45kg",7, IF(Atletas!D472="Infantil 39kg",8,IF(Atletas!D472="Infantil 42kg",9,IF(Atletas!D472="Infantil 45kg",10,IF(Atletas!D472="Infantil 48kg",11,IF(Atletas!D472="Infantil 52kg",12,IF(Atletas!D472="Infantil 56kg",13,IF(Atletas!D472="Infantil 60kg",14,IF(Atletas!D472="Juvenil 48kg",15,IF(Atletas!D472="Juvenil 52kg",16,IF(Atletas!D472="Juvenil 56kg",17,IF(Atletas!D472="Juvenil 60kg",18,IF(Atletas!D472="Juvenil 65kg",19,IF(Atletas!D472="Juvenil 70kg",20,IF(Atletas!D472="Juvenil 75kg",21,IF(Atletas!D472="Juvenil 80kg",22, IF(Atletas!D472="Juvenil 85kg",23,IF(Atletas!D472="Adulto 48kg",24,IF(Atletas!D472="Adulto 52kg",25,IF(Atletas!D472="Adulto 56kg",26,IF(Atletas!D472="Adulto 60kg",27,IF(Atletas!D472="Adulto 65kg",28,IF(Atletas!D472="Adulto 70kg",29,IF(Atletas!D472="Adulto 75kg",30,IF(Atletas!D472="Adulto 80kg",31,IF(Atletas!D472="Adulto 85kg",32,IF(Atletas!D472="Adulto 90kg",33,IF(Atletas!D472="Adulto 100kg",34, IF(Atletas!D472="Adulto +100kg",35,"")))))))))))))))))))))))))))))))))))))</f>
        <v/>
      </c>
      <c r="AS481" s="6" t="str">
        <f>IF(Atletas!E472="","",IF(Atletas!B472="Feminino",100,IF(Atletas!B472="Masculino",200,""))+(IF(Atletas!E472="Juvenil 44kg",1,IF(Atletas!E472="Juvenil 48kg",2,IF(Atletas!E472="Juvenil 52kg",3,IF(Atletas!E472="Juvenil 56kg",4,IF(Atletas!E472="Juvenil 60kg",5,IF(Atletas!E472="Juvenil 65kg",6,IF(Atletas!E472="Juvenil 70kg",7,IF(Atletas!E472="Juvenil 75kg",8,IF(Atletas!E472="Juvenil 82kg",9,IF(Atletas!E472="Juvenil 90kg",10,IF(Atletas!E472="Juvenil 100kg",11,IF(Atletas!E472="Adulto 48kg",12,IF(Atletas!E472="Adulto 52kg",13,IF(Atletas!E472="Adulto 56kg",14,IF(Atletas!E472="Adulto 60kg",15,IF(Atletas!E472="Adulto 65kg",16,IF(Atletas!E472="Adulto 70kg",17,IF(Atletas!E472="Adulto 75kg",18,IF(Atletas!E472="Adulto 82kg",19,IF(Atletas!E472="Adulto 90kg",20,IF(Atletas!E472="Adulto 100kg",21,IF(Atletas!E472="Adulto +100kg",22,""))))))))))))))))))))))))</f>
        <v/>
      </c>
      <c r="AX481" s="6" t="str">
        <f>IF(Atletas!F472="","",IF(Atletas!B472="Feminino",100,IF(Atletas!B472="Masculino",200,""))+(IF(Atletas!F472="Adulto 48kg",1,IF(Atletas!F472="Adulto 56kg",2,IF(Atletas!F472="Adulto 65kg",3,IF(Atletas!F472="Adulto 75kg",4,IF(Atletas!F472="Adulto +75kg",5,IF(Atletas!F472="Adulto 52kg",6,IF(Atletas!F472="Adulto 60kg",7,IF(Atletas!F472="Adulto 70kg",8,IF(Atletas!F472="Adulto 80kg",9,IF(Atletas!F472="Adulto 90kg",10,IF(Atletas!F472="Adulto +90kg",11,"")))))))))))))</f>
        <v/>
      </c>
      <c r="BC481" s="6" t="str">
        <f>IF(Atletas!G472="","",IF(Atletas!B472="Feminino",10,IF(Atletas!B472="Masculino",20,""))+(IF(Atletas!G472="Baduanjin A",1,IF(Atletas!G472="Baduanjin B",2))))</f>
        <v/>
      </c>
      <c r="BF481" s="52" t="str">
        <f>IF(Atletas!H472="","",IF(Atletas!B472="Feminino",100,IF(Atletas!B472="Masculino",200,""))+(IF(Atletas!H472="Changquan Mirim",1,IF(Atletas!H472="Nanquan Mirim",2,IF(Atletas!H472="Taijiquan Mirim",3,IF(Atletas!H472="Changquan Grupo C",4,IF(Atletas!H472="Nanquan Grupo C",5,IF(Atletas!H472="Taijiquan Grupo C",6,IF(Atletas!H472="Changquan Grupo B",7,IF(Atletas!H472="Nanquan Grupo B",8,IF(Atletas!H472="Taijiquan Grupo B",9,IF(Atletas!H472="Changquan Grupo A",10,IF(Atletas!H472="Nanquan Grupo A",11,IF(Atletas!H472="Taijiquan Grupo A",12,IF(Atletas!H472="Changquan Opcional",13,IF(Atletas!H472="Nanquan Opcional",14,IF(Atletas!H472="Taijiquan Opcional",15,IF(Atletas!H472="Changquan Adulto",16,IF(Atletas!H472="Nanquan Adulto",17,IF(Atletas!H472="Taijiquan Adulto",18,""))))))))))))))))))))</f>
        <v/>
      </c>
      <c r="BG481" s="52" t="str">
        <f>IF(Atletas!I472="","",IF(Atletas!B472="Feminino",100,IF(Atletas!B472="Masculino",200,""))+(IF(Atletas!I472="Daoshu Mirim",19,IF(Atletas!I472="Jianshu Mirim",20,IF(Atletas!I472="Nandao Mirim",21,IF(Atletas!I472="Taijijian Mirim",22,IF(Atletas!I472="Daoshu Grupo C",23,IF(Atletas!I472="Jianshu Grupo C",24,IF(Atletas!I472="Nandao Grupo C",25,IF(Atletas!I472="Taijijian Grupo C",26,IF(Atletas!I472="Daoshu Grupo B",27,IF(Atletas!I472="Jianshu Grupo B",28,IF(Atletas!I472="Nandao Grupo B",29,IF(Atletas!I472="Taijijian Grupo B",30,IF(Atletas!I472="Daoshu Grupo A",31,IF(Atletas!I472="Jianshu Grupo A",32,IF(Atletas!I472="Nandao Grupo A",33,IF(Atletas!I472="Taijijian Grupo A",34,IF(Atletas!I472="Daoshu Opcional",35,IF(Atletas!I472="Jianshu Opcional",36,IF(Atletas!I472="Nandao Opcional",37,IF(Atletas!I472="Taijijian Opcional",38,IF(Atletas!I472="Daoshu Adulto",39,IF(Atletas!I472="Jianshu Adulto",40,IF(Atletas!I472="Nandao Adulto",41,IF(Atletas!I472="Taijijian Adulto",42,""))))))))))))))))))))))))))</f>
        <v/>
      </c>
      <c r="BH481" s="52" t="str">
        <f>IF(Atletas!J472="","",IF(Atletas!B472="Feminino",100,IF(Atletas!B472="Masculino",200,""))+(IF(Atletas!J472="Gunshu Mirim",43,IF(Atletas!J472="Qiangshu Mirim",44,IF(Atletas!J472="Nangun Mirim",45,IF(Atletas!J472="Gunshu Grupo C",46,IF(Atletas!J472="Qiangshu Grupo C",47,IF(Atletas!J472="Nangun Grupo C",48,IF(Atletas!J472="Gunshu Grupo B",49,IF(Atletas!J472="Qiangshu Grupo B",50,IF(Atletas!J472="Nangun Grupo B",51,IF(Atletas!J472="Gunshu Grupo A",52,IF(Atletas!J472="Qiangshu Grupo A",53,IF(Atletas!J472="Nangun Grupo A",54,IF(Atletas!J472="Gunshu Opcional",55,IF(Atletas!J472="Qiangshu Opcional",56,IF(Atletas!J472="Nangun Opcional",57,IF(Atletas!J472="Gunshu Adulto",58,IF(Atletas!J472="Qiangshu Adulto",59,IF(Atletas!J472="Nangun Adulto",60,IF(Atletas!J472="Taijishan Grupo B",61,IF(Atletas!J472="Taijishan Grupo A",62,""))))))))))))))))))))))</f>
        <v/>
      </c>
      <c r="BM481" s="50" t="str">
        <f>IF(Atletas!K472="","",IF(Atletas!B472="Feminino",100,IF(Atletas!B472="Masculino",200,""))+(IF(Atletas!K472="Equipe 1 Grupo B",1,IF(Atletas!K472="Equipe 2 Grupo B",2,IF(Atletas!K472="Equipe 1 Grupo A",3,IF(Atletas!K472="Equipe 2 Grupo A",4,IF(Atletas!K472="Equipe 1 Adulto",5,IF(Atletas!K472="Equipe 2 Adulto",6,""))))))))</f>
        <v/>
      </c>
      <c r="BR481" s="50" t="str">
        <f>IF(Atletas!L472="","",IF(Atletas!X472&lt;&gt;"",10000,0)+(IF(Atletas!B472="Feminino",1000,IF(Atletas!B472="Masculino",2000,""))+IF(Atletas!L472="Choylayfut A",1,IF(Atletas!L472="Hunggar A",2,IF(Atletas!L472="Wuzuquan A",3,IF(Atletas!L472="Wingchun A",4,IF(Atletas!L472="Outra Mão de Sul A",5,IF(Atletas!L472="Choylayfut B",6,IF(Atletas!L472="Hunggar B",7,IF(Atletas!L472="Wuzuquan B",8,IF(Atletas!L472="Wingchun B",9,IF(Atletas!L472="Outra Mão de Sul B",10,IF(Atletas!L472="Choylayfut C",11,IF(Atletas!L472="Hunggar C",12,IF(Atletas!L472="Wuzuquan C",13,IF(Atletas!L472="Wingchun C",14,IF(Atletas!L472="Outra Mão de Sul C",15,IF(Atletas!L472="Choylayfut D",16,IF(Atletas!L472="Hunggar D",17,IF(Atletas!L472="Wuzuquan D",18,IF(Atletas!L472="Wingchun D",19,IF(Atletas!L472="Outra Mão de Sul D",20,IF(Atletas!L472="Choylayfut E",21,IF(Atletas!L472="Hunggar E",22,IF(Atletas!L472="Wuzuquan E",23,IF(Atletas!L472="Wingchun E",24,IF(Atletas!L472="Outra Mão de Sul E",25,IF(Atletas!L472="Choylayfut F",26,IF(Atletas!L472="Hunggar F",27,IF(Atletas!L472="Wuzuquan F",28,IF(Atletas!L472="Wingchun F",29,IF(Atletas!L472="Outra Mão de Sul F",30,IF(Atletas!L472="Dishuquan A",31,IF(Atletas!L472="Dishuquan B",32,IF(Atletas!L472="Dishuquan C",33,IF(Atletas!L472="Dishuquan D",34,IF(Atletas!L472="Dishuquan E",35,IF(Atletas!L472="Dishuquan F",36,""))))))))))))))))))))))))))))))))))))))</f>
        <v/>
      </c>
      <c r="BS481" s="50" t="str">
        <f>IF(Atletas!M472="","",IF(Atletas!X472&lt;&gt;"",10000,0)+(IF(Atletas!B472="Feminino",1000,IF(Atletas!B472="Masculino",2000,""))+(IF(Atletas!M472="Chaquan A",101,IF(Atletas!M472="Emeiquan A",102,IF(Atletas!M472="Fanziquan A",103,IF(Atletas!M472="Huaquan A",104,IF(Atletas!M472="Hongquan A",105,IF(Atletas!M472="Paoquan A",106,IF(Atletas!M472="Piguaquan A",107,IF(Atletas!M472="Shaolinquan A",108,IF(Atletas!M472="Tanglangquan A",109,IF(Atletas!M472="Yingzhaoquan A",110,IF(Atletas!M472="Tongbeiquan A",111,IF(Atletas!M472="Wudangquan A",112,IF(Atletas!M472="Outros Estilos A",113,IF(Atletas!M472="Chaquan B",114,IF(Atletas!M472="Emeiquan B",115,IF(Atletas!M472="Fanziquan B",116,IF(Atletas!M472="Huaquan B",117,IF(Atletas!M472="Hongquan B",118,IF(Atletas!M472="Paoquan B",119,IF(Atletas!M472="Piguaquan B",120,IF(Atletas!M472="Shaolinquan B",121,IF(Atletas!M472="Tanglangquan B",122,IF(Atletas!M472="Yingzhaoquan B",123,IF(Atletas!M472="Tongbeiquan B",124,IF(Atletas!M472="Wudangquan B",125,IF(Atletas!M472="Outros Estilos B",126,IF(Atletas!M472="Chaquan C",127,IF(Atletas!M472="Emeiquan C",128,IF(Atletas!M472="Fanziquan C",129,IF(Atletas!M472="Huaquan C",130,IF(Atletas!M472="Hongquan C",131,IF(Atletas!M472="Paoquan C",132,IF(Atletas!M472="Piguaquan C",133,IF(Atletas!M472="Shaolinquan C",134,IF(Atletas!M472="Tanglangquan C",135,IF(Atletas!M472="Yingzhaoquan C",136,IF(Atletas!M472="Tongbeiquan C",137,IF(Atletas!M472="Wudangquan C",138,IF(Atletas!M472="Outros Estilos C",139,0))))))))))))))))))))))))))))))))))))))))))</f>
        <v/>
      </c>
      <c r="BT481" s="50" t="str">
        <f>IF(Atletas!M472="","",IF(Atletas!X472&lt;&gt;"",10000,0)+(IF(Atletas!B472="Feminino",1000,IF(Atletas!B472="Masculino",2000,""))+(IF(Atletas!M472="Chaquan D",140,IF(Atletas!M472="Emeiquan D",141,IF(Atletas!M472="Fanziquan D",142,IF(Atletas!M472="Huaquan D",143,IF(Atletas!M472="Hongquan D",144,IF(Atletas!M472="Paoquan D",145,IF(Atletas!M472="Piguaquan D",146,IF(Atletas!M472="Shaolinquan D",147,IF(Atletas!M472="Tanglangquan D",148,IF(Atletas!M472="Yingzhaoquan D",149,IF(Atletas!M472="Tongbeiquan D",150,IF(Atletas!M472="Wudangquan D",151,IF(Atletas!M472="Outros Estilos D",152,IF(Atletas!M472="Chaquan E",153,IF(Atletas!M472="Emeiquan E",154,IF(Atletas!M472="Fanziquan E",155,IF(Atletas!M472="Huaquan E",156,IF(Atletas!M472="Hongquan E",157,IF(Atletas!M472="Paoquan E",158,IF(Atletas!M472="Piguaquan E",159,IF(Atletas!M472="Shaolinquan E",160,IF(Atletas!M472="Tanglangquan E",161,IF(Atletas!M472="Yingzhaoquan E",162,IF(Atletas!M472="Tongbeiquan E",163,IF(Atletas!M472="Wudangquan E",164,IF(Atletas!M472="Outros Estilos E",165,IF(Atletas!M472="Chaquan F",166,IF(Atletas!M472="Emeiquan F",167,IF(Atletas!M472="Fanziquan F",168,IF(Atletas!M472="Huaquan F",169,IF(Atletas!M472="Hongquan F",170,IF(Atletas!M472="Paoquan F",171,IF(Atletas!M472="Piguaquan F",172,IF(Atletas!M472="Shaolinquan F",173,IF(Atletas!M472="Tanglangquan F",174,IF(Atletas!M472="Yingzhaoquan F",175,IF(Atletas!M472="Tongbeiquan F",176,IF(Atletas!M472="Wudangquan F",177,IF(Atletas!M472="Outros Estilos F",178,0))))))))))))))))))))))))))))))))))))))))))</f>
        <v/>
      </c>
      <c r="BU481" s="50" t="str">
        <f>IF(Atletas!N472="","",IF(Atletas!X472&lt;&gt;"",10000,0)+(IF(Atletas!B472="Feminino",1000,IF(Atletas!B472="Masculino",2000,""))+(IF(Atletas!N472="Ditangquan A",201,IF(Atletas!N472="Houquan A",202,IF(Atletas!N472="Zuiquan A",203,IF(Atletas!N472="Ditangquan B",204,IF(Atletas!N472="Houquan B",205,IF(Atletas!N472="Zuiquan B",206,IF(Atletas!N472="Ditangquan C",207,IF(Atletas!N472="Houquan C",208,IF(Atletas!N472="Zuiquan C",209,IF(Atletas!N472="Ditangquan D",210,IF(Atletas!N472="Houquan D",211,IF(Atletas!N472="Zuiquan D",212,IF(Atletas!N472="Ditangquan E",213,IF(Atletas!N472="Houquan E",214,IF(Atletas!N472="Zuiquan E",215,IF(Atletas!N472="Ditangquan F",216,IF(Atletas!N472="Houquan F",217,IF(Atletas!N472="Zuiquan F",218,"")))))))))))))))))))))</f>
        <v/>
      </c>
      <c r="BV481" s="50" t="str">
        <f>IF(Atletas!O472="","",IF(Atletas!X472&lt;&gt;"",10000,0)+IF(Atletas!B472="Feminino",1000,IF(Atletas!B472="Masculino",2000,""))+IF(Atletas!O472="Yang A",301,IF(Atletas!O472="Chen A",302,IF(Atletas!O472="Sun A",303,IF(Atletas!O472="Wu A",304,IF(Atletas!O472="Wu-Hao A",305,IF(Atletas!O472="Outro Taijiquan A",306,IF(Atletas!O472="Yang B",307,IF(Atletas!O472="Chen B",308,IF(Atletas!O472="Sun B",309,IF(Atletas!O472="Wu B",310,IF(Atletas!O472="Wu-Hao B",311,IF(Atletas!O472="Outro Taijiquan B",312,IF(Atletas!O472="Yang C",313,IF(Atletas!O472="Chen C",314,IF(Atletas!O472="Sun C",315,IF(Atletas!O472="Wu C",316,IF(Atletas!O472="Wu-Hao C",317,IF(Atletas!O472="Outro Taijiquan C",318,IF(Atletas!O472="Yang D",319,IF(Atletas!O472="Chen D",320,IF(Atletas!O472="Sun D",321,IF(Atletas!O472="Wu D",322,IF(Atletas!O472="Wu-Hao D",323,IF(Atletas!O472="Outro Taijiquan D",324,IF(Atletas!O472="Yang E",325,IF(Atletas!O472="Chen E",326,IF(Atletas!O472="Sun E",327,IF(Atletas!O472="Wu E",328,IF(Atletas!O472="Wu-Hao E",329,IF(Atletas!O472="Outro Taijiquan E",330,IF(Atletas!O472="Yang F",331,IF(Atletas!O472="Chen F",332,IF(Atletas!O472="Sun F",333,IF(Atletas!O472="Wu F",334,IF(Atletas!O472="Wu-Hao F",335,IF(Atletas!O472="Outro Taijiquan F",336,"")))))))))))))))))))))))))))))))))))))</f>
        <v/>
      </c>
      <c r="BW481" s="50" t="str">
        <f>IF(Atletas!P472="","",IF(Atletas!X472&lt;&gt;"",10000,0)+IF(Atletas!B472="Feminino",1000,IF(Atletas!B472="Masculino",2000,""))+IF(OR(Atletas!P472="Yang 26 A",Atletas!P472="Yang 40 A"),401,IF(OR(Atletas!P472="Chen 25 A",Atletas!P472="Chen 36 A",Atletas!P472="Chen 56 A"),402,IF(Atletas!P472="Sun 73 A",403,IF(Atletas!P472="Wu 45 A",404,IF(Atletas!P472="Wu-Hao 46 A",405,IF(OR(Atletas!P472="Taijiquan 16 A",Atletas!P472="Taijiquan 24 A",Atletas!P472="Taijiquan 32 A",Atletas!P472="Taijiquan 42 A"),406,IF(OR(Atletas!P472="Yang 26 B",Atletas!P472="Yang 40 B"),407,IF(OR(Atletas!P472="Chen 25 B",Atletas!P472="Chen 36 B",Atletas!P472="Chen 56 B"),408,IF(Atletas!P472="Sun 73 B",409,IF(Atletas!P472="Wu 45 B",410,IF(Atletas!P472="Wu-Hao 46 B",411,IF(OR(Atletas!P472="Taijiquan 16 B",Atletas!P472="Taijiquan 24 B",Atletas!P472="Taijiquan 32 B",Atletas!P472="Taijiquan 42 B"),412,IF(OR(Atletas!P472="Yang 26 C",Atletas!P472="Yang 40 C"),413,IF(OR(Atletas!P472="Chen 25 C",Atletas!P472="Chen 36 C",Atletas!P472="Chen 56 C"),414,IF(Atletas!P472="Sun 73 C",415,IF(Atletas!P472="Wu 45 C",416,IF(Atletas!P472="Wu-Hao 46 C",417,IF(OR(Atletas!P472="Taijiquan 16 C",Atletas!P472="Taijiquan 24 C",Atletas!P472="Taijiquan 32 C",Atletas!P472="Taijiquan 42 C"),418,0)))))))))))))))))))</f>
        <v/>
      </c>
      <c r="BX481" s="50" t="str">
        <f>IF(Atletas!P472="","",IF(Atletas!X472&lt;&gt;"",10000,0)+IF(Atletas!B472="Feminino",1000,IF(Atletas!B472="Masculino",2000,""))+IF(OR(Atletas!P472="Yang 26 D",Atletas!P472="Yang 40 D"),419,IF(OR(Atletas!P472="Chen 25 D",Atletas!P472="Chen 36 D",Atletas!P472="Chen 56 D"),420,IF(Atletas!P472="Sun 73 D",421,IF(Atletas!P472="Wu 45 D",422,IF(Atletas!P472="Wu-Hao 46 D",423,IF(OR(Atletas!P472="Taijiquan 16 D",Atletas!P472="Taijiquan 24 D",Atletas!P472="Taijiquan 32 D",Atletas!P472="Taijiquan 42 D"),424,IF(OR(Atletas!P472="Yang 26 E",Atletas!P472="Yang 40 E"),425,IF(OR(Atletas!P472="Chen 25 E",Atletas!P472="Chen 36 E",Atletas!P472="Chen 56 E"),426,IF(Atletas!P472="Sun 73 E",427,IF(Atletas!P472="Wu 45 E",428,IF(Atletas!P472="Wu-Hao 46 E",429,IF(OR(Atletas!P472="Taijiquan 16 E",Atletas!P472="Taijiquan 24 E",Atletas!P472="Taijiquan 32 E",Atletas!P472="Taijiquan 42 E"),430,IF(OR(Atletas!P472="Yang 26 F",Atletas!P472="Yang 40 F"),431,IF(OR(Atletas!P472="Chen 25 F",Atletas!P472="Chen 36 F",Atletas!P472="Chen 56 F"),432,IF(Atletas!P472="Sun 73 F",433,IF(Atletas!P472="Wu 45 F",434,IF(Atletas!P472="Wu-Hao 46 F",435,IF(OR(Atletas!P472="Taijiquan 16 F",Atletas!P472="Taijiquan 24 F",Atletas!P472="Taijiquan 32 F",Atletas!P472="Taijiquan 42 F"),436,0)))))))))))))))))))</f>
        <v/>
      </c>
      <c r="BY481" s="50" t="str">
        <f>IF(Atletas!Q472="","",IF(Atletas!X472&lt;&gt;"",10000,0)+IF(Atletas!B472="Feminino",1000,IF(Atletas!B472="Masculino",2000,""))+IF(Atletas!Q472="Xingyiquan A",501,IF(Atletas!Q472="Baguazhang A",502,IF(Atletas!Q472="Outro Estilo Interno A",503,IF(Atletas!Q472="Xingyiquan B",504,IF(Atletas!Q472="Baguazhang B",505,IF(Atletas!Q472="Outro Estilo Interno B",506,IF(Atletas!Q472="Xingyiquan C",507,IF(Atletas!Q472="Baguazhang C",508,IF(Atletas!Q472="Outro Estilo Interno C",509,IF(Atletas!Q472="Xingyiquan D",510,IF(Atletas!Q472="Baguazhang D",511,IF(Atletas!Q472="Outro Estilo Interno D",512,IF(Atletas!Q472="Xingyiquan E",513,IF(Atletas!Q472="Baguazhang E",514,IF(Atletas!Q472="Outro Estilo Interno E",515,IF(Atletas!Q472="Xingyiquan F",516,IF(Atletas!Q472="Baguazhang F",517,IF(Atletas!Q472="Outro Estilo Interno F",518, "")))))))))))))))))))</f>
        <v/>
      </c>
      <c r="BZ481" s="50" t="str">
        <f>IF(Atletas!R472="","",IF(Atletas!X472&lt;&gt;"",10000,0)+IF(Atletas!B472="Feminino",1000,IF(Atletas!B472="Masculino",2000,""))+IF(Atletas!R472="Dao A",601,IF(Atletas!R472="Jian A",602,IF(Atletas!R472="Bishou A",603,IF(Atletas!R472="Shanzi A",604,IF(Atletas!R472="Outra Arma Curta A",605,IF(Atletas!R472="Dao B",606,IF(Atletas!R472="Jian B",607,IF(Atletas!R472="Bishou B",608,IF(Atletas!R472="Shanzi B",609,IF(Atletas!R472="Outra Arma Curta B",610,IF(Atletas!R472="Dao C",611,IF(Atletas!R472="Jian C",612,IF(Atletas!R472="Bishou C",613,IF(Atletas!R472="Shanzi C",614,IF(Atletas!R472="Outra Arma Curta C",615,IF(Atletas!R472="Dao D",616,IF(Atletas!R472="Jian D",617,IF(Atletas!R472="Bishou D",618,IF(Atletas!R472="Shanzi D",619,IF(Atletas!R472="Outra Arma Curta D",620,IF(Atletas!R472="Dao E",621,IF(Atletas!R472="Jian E",622,IF(Atletas!R472="Bishou E",623,IF(Atletas!R472="Shanzi E",624,IF(Atletas!R472="Outra Arma Curta E",625,IF(Atletas!R472="Dao F",626,IF(Atletas!R472="Jian F",627,IF(Atletas!R472="Bishou F",628,IF(Atletas!R472="Shanzi F",629,IF(Atletas!R472="Outra Arma Curta F",630, "")))))))))))))))))))))))))))))))</f>
        <v/>
      </c>
      <c r="CA481" s="50" t="str">
        <f>IF(Atletas!S472="","",IF(Atletas!X472&lt;&gt;"",10000,0)+IF(Atletas!B472="Feminino",1000,IF(Atletas!B472="Masculino",2000,""))+IF(Atletas!S472="Gun A",701,IF(Atletas!S472="Qiang A",702,IF(Atletas!S472="Pudao / Guandao A",703,IF(Atletas!S472="Outra Arma Longa A",704,IF(Atletas!S472="Gun B",705,IF(Atletas!S472="Qiang B",706,IF(Atletas!S472="Pudao / Guandao B",707,IF(Atletas!S472="Outra Arma Longa B",708,IF(Atletas!S472="Gun C",709,IF(Atletas!S472="Qiang C",710,IF(Atletas!S472="Pudao / Guandao C",711,IF(Atletas!S472="Outra Arma Longa C",712,IF(Atletas!S472="Gun D",713,IF(Atletas!S472="Qiang D",714,IF(Atletas!S472="Pudao / Guandao D",715,IF(Atletas!S472="Outra Arma Longa D",716,IF(Atletas!S472="Gun E",717,IF(Atletas!S472="Qiang E",718,IF(Atletas!S472="Pudao / Guandao E",719,IF(Atletas!S472="Outra Arma Longa E",720,IF(Atletas!S472="Gun F",721,IF(Atletas!S472="Qiang F",722,IF(Atletas!S472="Pudao / Guandao F",723,IF(Atletas!S472="Outra Arma Longa F",724,"")))))))))))))))))))))))))</f>
        <v/>
      </c>
      <c r="CB481" s="50" t="str">
        <f>IF(Atletas!T472="","",IF(Atletas!X472&lt;&gt;"",10000,0)+IF(Atletas!B472="Feminino",1000,IF(Atletas!B472="Masculino",2000,""))+IF(Atletas!T472="Outra Arma Dupla A",801,IF(Atletas!T472="Arma Maleável A",802,IF(Atletas!T472="Outra Arma Dupla B",803,IF(Atletas!T472="Arma Maleável B",804,IF(Atletas!T472="Outra Arma Dupla C",805,IF(Atletas!T472="Arma Maleável C",806,IF(Atletas!T472="Outra Arma Dupla D",807,IF(Atletas!T472="Arma Maleável D",808,IF(Atletas!T472="Outra Arma Dupla E",809,IF(Atletas!T472="Arma Maleável E",810,IF(Atletas!T472="Outra Arma Dupla F",811,IF(Atletas!T472="Arma Maleável F",812,IF(Atletas!T472="Shuangdao A",813,IF(Atletas!T472="Shuangdao B",814,IF(Atletas!T472="Shuangdao C",815,IF(Atletas!T472="Shuangdao D",816,IF(Atletas!T472="Shuangdao E",817,IF(Atletas!T472="Shuangdao F",818,"")))))))))))))))))))</f>
        <v/>
      </c>
      <c r="CC481" s="50" t="str">
        <f>IF(Atletas!U472="","",IF(Atletas!X472&lt;&gt;"",10000,0)+IF(Atletas!B472="Feminino",1000,IF(Atletas!B472="Masculino",2000,""))+IF(OR(Atletas!U472="Taijijian Yang A",Atletas!U472="Taijijian Yang Standard A"),901,IF(OR(Atletas!U472="Taijijian Chen A", Atletas!U472="Taijijian Chen Standard A"),902,IF(Atletas!U472="Taijijian Sun A",903,IF(Atletas!U472="Taijijian Wu A",904,IF(Atletas!U472="Taijijian Wu-Hao A",905,IF(OR(Atletas!U472="Taijijian 32 A",Atletas!U472="Taijijian 42 A"),906,IF(OR(Atletas!U472="Taijijian Yang B",Atletas!U472="Taijijian Yang Standard B"),907,IF(OR(Atletas!U472="Taijijian Chen B", Atletas!U472="Taijijian Chen Standard B"),908,IF(Atletas!U472="Taijijian Sun B",909,IF(Atletas!U472="Taijijian Wu B",910,IF(Atletas!U472="Taijijian Wu-Hao B",911,IF(OR(Atletas!U472="Taijijian 32 B",Atletas!U472="Taijijian 42 B"),912,IF(OR(Atletas!U472="Taijijian Yang C",Atletas!U472="Taijijian Yang Standard C"),913,IF(OR(Atletas!U472="Taijijian Chen C", Atletas!U472="Taijijian Chen Standard C"),914,IF(Atletas!U472="Taijijian Sun C",915,IF(Atletas!U472="Taijijian Wu C",916,IF(Atletas!U472="Taijijian Wu-Hao C",917,IF(OR(Atletas!U472="Taijijian 32 C",Atletas!U472="Taijijian 42 C"),918,IF(OR(Atletas!U472="Taijijian Yang D",Atletas!U472="Taijijian Yang Standard D"),919,IF(OR(Atletas!U472="Taijijian Chen D", Atletas!U472="Taijijian Chen Standard D"),920,IF(Atletas!U472="Taijijian Sun D",921,IF(Atletas!U472="Taijijian Wu D",922,IF(Atletas!U472="Taijijian Wu-Hao D",923,IF(OR(Atletas!U472="Taijijian 32 D",Atletas!U472="Taijijian 42 D"),924,IF(OR(Atletas!U472="Taijijian Yang E",Atletas!U472="Taijijian Yang Standard E"),925,IF(OR(Atletas!U472="Taijijian Chen E", Atletas!U472="Taijijian Chen Standard E"),926,IF(Atletas!U472="Taijijian Sun E",927,IF(Atletas!U472="Taijijian Wu E",928,IF(Atletas!U472="Taijijian Wu-Hao E",929,IF(OR(Atletas!U472="Taijijian 32 E",Atletas!U472="Taijijian 42 E"),930,IF(OR(Atletas!U472="Taijijian Yang F",Atletas!U472="Taijijian Yang Standard F"),931,IF(OR(Atletas!U472="Taijijian Chen F", Atletas!U472="Taijijian Chen Standard F"),932,IF(Atletas!U472="Taijijian Sun F",933,IF(Atletas!U472="Taijijian Wu F",934,IF(Atletas!U472="Taijijian Wu-Hao F",935,IF(OR(Atletas!U472="Taijijian 32 F",Atletas!U472="Taijijian 42 F"),936,"")))))))))))))))))))))))))))))))))))))</f>
        <v/>
      </c>
      <c r="CD481" s="50" t="str">
        <f>IF(Atletas!V472="","",IF(Atletas!X472&lt;&gt;"",10000,0)+IF(Atletas!B472="Feminino",1000,IF(Atletas!B472="Masculino",2000,""))+IF(Atletas!V472="Taijidao A",937,IF(Atletas!V472="TaijiShanzi A",938,IF(Atletas!V472="Taijiqiang A",939,IF(Atletas!V472="Bagua de Arma A",940,IF(Atletas!V472="Xingyi de Arma A",941,IF(Atletas!V472="Taijidao B",942,IF(Atletas!V472="TaijiShanzi B",943,IF(Atletas!V472="Taijiqiang B",944,IF(Atletas!V472="Bagua de Arma B",945,IF(Atletas!V472="Xingyi de Arma B",946,IF(Atletas!V472="Taijidao C",947,IF(Atletas!V472="TaijiShanzi C",948,IF(Atletas!V472="Taijiqiang C",949,IF(Atletas!V472="Bagua de Arma C",950,IF(Atletas!V472="Xingyi de Arma C",951,IF(Atletas!V472="Taijidao D",952,IF(Atletas!V472="TaijiShanzi D",953,IF(Atletas!V472="Taijiqiang D",954,IF(Atletas!V472="Bagua de Arma D",955,IF(Atletas!V472="Xingyi de Arma D",956,IF(Atletas!V472="Taijidao E",957,IF(Atletas!V472="TaijiShanzi E",958,IF(Atletas!V472="Taijiqiang E",959,IF(Atletas!V472="Bagua de Arma E",960,IF(Atletas!V472="Xingyi de Arma E",961,IF(Atletas!V472="Taijidao F",962,IF(Atletas!V472="TaijiShanzi F",963,IF(Atletas!V472="Taijiqiang F",964,IF(Atletas!V472="Bagua de Arma F",965,IF(Atletas!V472="Xingyi de Arma F",966,"")))))))))))))))))))))))))))))))</f>
        <v/>
      </c>
      <c r="CM481" s="50" t="str">
        <f xml:space="preserve"> IF(Atletas!W472="","",IF(Atletas!W472="Duilian de Mãos BC - Equipe 1",1,IF(Atletas!W472="Duilian de Mãos BC - Equipe 2",2,IF(Atletas!W472="Duilian de Armas BC - Equipe 1",3,IF(Atletas!W472="Duilian de Armas BC - Equipe 2",4,IF(Atletas!W472="Duilian de Mãos DE - Equipe 1",5,IF(Atletas!W472="Duilian de Mãos DE - Equipe 2",6,IF(Atletas!W472="Duilian de Armas DE - Equipe 1",7,IF(Atletas!W472="Duilian de Armas DE - Equipe 2",8,IF(Atletas!W472="Duilian de Tuishou - Equipe 1",9,IF(Atletas!W472="Duilian de Tuishou - Equipe 2",10,IF(Atletas!W472="Grupo Externo ABC - Equipe 1",11,IF(Atletas!W472="Grupo Externo ABC - Equipe 2",12,IF(Atletas!W472="Grupo Interno ABC - Equipe 1",13,IF(Atletas!W472="Grupo Interno ABC - Equipe 2",14,IF(Atletas!W472="Grupo Externo DEF - Equipe 1",15,IF(Atletas!W472="Grupo Externo DEF - Equipe 2",16,IF(Atletas!W472="Grupo Interno DEF - Equipe 1",17,IF(Atletas!W472="Grupo Interno DEF - Equipe 2",18,"")))))))))))))))))))</f>
        <v/>
      </c>
    </row>
    <row r="482" spans="40:91">
      <c r="AN482" s="52" t="str">
        <f>IF(Atletas!D473="","",IF(Atletas!B473="Feminino",100,IF(Atletas!B473="Masculino",200,""))+(IF(Atletas!D473="Kids 30kg",1,IF(Atletas!D473="Kids 32kg",2, IF(Atletas!D473="Kids 34kg",3,IF(Atletas!D473="Kids 36kg",4,IF(Atletas!D473="Kids 39kg",5,IF(Atletas!D473="Kids 42kg",6,IF(Atletas!D473="Kids 45kg",7, IF(Atletas!D473="Infantil 39kg",8,IF(Atletas!D473="Infantil 42kg",9,IF(Atletas!D473="Infantil 45kg",10,IF(Atletas!D473="Infantil 48kg",11,IF(Atletas!D473="Infantil 52kg",12,IF(Atletas!D473="Infantil 56kg",13,IF(Atletas!D473="Infantil 60kg",14,IF(Atletas!D473="Juvenil 48kg",15,IF(Atletas!D473="Juvenil 52kg",16,IF(Atletas!D473="Juvenil 56kg",17,IF(Atletas!D473="Juvenil 60kg",18,IF(Atletas!D473="Juvenil 65kg",19,IF(Atletas!D473="Juvenil 70kg",20,IF(Atletas!D473="Juvenil 75kg",21,IF(Atletas!D473="Juvenil 80kg",22, IF(Atletas!D473="Juvenil 85kg",23,IF(Atletas!D473="Adulto 48kg",24,IF(Atletas!D473="Adulto 52kg",25,IF(Atletas!D473="Adulto 56kg",26,IF(Atletas!D473="Adulto 60kg",27,IF(Atletas!D473="Adulto 65kg",28,IF(Atletas!D473="Adulto 70kg",29,IF(Atletas!D473="Adulto 75kg",30,IF(Atletas!D473="Adulto 80kg",31,IF(Atletas!D473="Adulto 85kg",32,IF(Atletas!D473="Adulto 90kg",33,IF(Atletas!D473="Adulto 100kg",34, IF(Atletas!D473="Adulto +100kg",35,"")))))))))))))))))))))))))))))))))))))</f>
        <v/>
      </c>
      <c r="AS482" s="6" t="str">
        <f>IF(Atletas!E473="","",IF(Atletas!B473="Feminino",100,IF(Atletas!B473="Masculino",200,""))+(IF(Atletas!E473="Juvenil 44kg",1,IF(Atletas!E473="Juvenil 48kg",2,IF(Atletas!E473="Juvenil 52kg",3,IF(Atletas!E473="Juvenil 56kg",4,IF(Atletas!E473="Juvenil 60kg",5,IF(Atletas!E473="Juvenil 65kg",6,IF(Atletas!E473="Juvenil 70kg",7,IF(Atletas!E473="Juvenil 75kg",8,IF(Atletas!E473="Juvenil 82kg",9,IF(Atletas!E473="Juvenil 90kg",10,IF(Atletas!E473="Juvenil 100kg",11,IF(Atletas!E473="Adulto 48kg",12,IF(Atletas!E473="Adulto 52kg",13,IF(Atletas!E473="Adulto 56kg",14,IF(Atletas!E473="Adulto 60kg",15,IF(Atletas!E473="Adulto 65kg",16,IF(Atletas!E473="Adulto 70kg",17,IF(Atletas!E473="Adulto 75kg",18,IF(Atletas!E473="Adulto 82kg",19,IF(Atletas!E473="Adulto 90kg",20,IF(Atletas!E473="Adulto 100kg",21,IF(Atletas!E473="Adulto +100kg",22,""))))))))))))))))))))))))</f>
        <v/>
      </c>
      <c r="AX482" s="6" t="str">
        <f>IF(Atletas!F473="","",IF(Atletas!B473="Feminino",100,IF(Atletas!B473="Masculino",200,""))+(IF(Atletas!F473="Adulto 48kg",1,IF(Atletas!F473="Adulto 56kg",2,IF(Atletas!F473="Adulto 65kg",3,IF(Atletas!F473="Adulto 75kg",4,IF(Atletas!F473="Adulto +75kg",5,IF(Atletas!F473="Adulto 52kg",6,IF(Atletas!F473="Adulto 60kg",7,IF(Atletas!F473="Adulto 70kg",8,IF(Atletas!F473="Adulto 80kg",9,IF(Atletas!F473="Adulto 90kg",10,IF(Atletas!F473="Adulto +90kg",11,"")))))))))))))</f>
        <v/>
      </c>
      <c r="BC482" s="6" t="str">
        <f>IF(Atletas!G473="","",IF(Atletas!B473="Feminino",10,IF(Atletas!B473="Masculino",20,""))+(IF(Atletas!G473="Baduanjin A",1,IF(Atletas!G473="Baduanjin B",2))))</f>
        <v/>
      </c>
      <c r="BF482" s="52" t="str">
        <f>IF(Atletas!H473="","",IF(Atletas!B473="Feminino",100,IF(Atletas!B473="Masculino",200,""))+(IF(Atletas!H473="Changquan Mirim",1,IF(Atletas!H473="Nanquan Mirim",2,IF(Atletas!H473="Taijiquan Mirim",3,IF(Atletas!H473="Changquan Grupo C",4,IF(Atletas!H473="Nanquan Grupo C",5,IF(Atletas!H473="Taijiquan Grupo C",6,IF(Atletas!H473="Changquan Grupo B",7,IF(Atletas!H473="Nanquan Grupo B",8,IF(Atletas!H473="Taijiquan Grupo B",9,IF(Atletas!H473="Changquan Grupo A",10,IF(Atletas!H473="Nanquan Grupo A",11,IF(Atletas!H473="Taijiquan Grupo A",12,IF(Atletas!H473="Changquan Opcional",13,IF(Atletas!H473="Nanquan Opcional",14,IF(Atletas!H473="Taijiquan Opcional",15,IF(Atletas!H473="Changquan Adulto",16,IF(Atletas!H473="Nanquan Adulto",17,IF(Atletas!H473="Taijiquan Adulto",18,""))))))))))))))))))))</f>
        <v/>
      </c>
      <c r="BG482" s="52" t="str">
        <f>IF(Atletas!I473="","",IF(Atletas!B473="Feminino",100,IF(Atletas!B473="Masculino",200,""))+(IF(Atletas!I473="Daoshu Mirim",19,IF(Atletas!I473="Jianshu Mirim",20,IF(Atletas!I473="Nandao Mirim",21,IF(Atletas!I473="Taijijian Mirim",22,IF(Atletas!I473="Daoshu Grupo C",23,IF(Atletas!I473="Jianshu Grupo C",24,IF(Atletas!I473="Nandao Grupo C",25,IF(Atletas!I473="Taijijian Grupo C",26,IF(Atletas!I473="Daoshu Grupo B",27,IF(Atletas!I473="Jianshu Grupo B",28,IF(Atletas!I473="Nandao Grupo B",29,IF(Atletas!I473="Taijijian Grupo B",30,IF(Atletas!I473="Daoshu Grupo A",31,IF(Atletas!I473="Jianshu Grupo A",32,IF(Atletas!I473="Nandao Grupo A",33,IF(Atletas!I473="Taijijian Grupo A",34,IF(Atletas!I473="Daoshu Opcional",35,IF(Atletas!I473="Jianshu Opcional",36,IF(Atletas!I473="Nandao Opcional",37,IF(Atletas!I473="Taijijian Opcional",38,IF(Atletas!I473="Daoshu Adulto",39,IF(Atletas!I473="Jianshu Adulto",40,IF(Atletas!I473="Nandao Adulto",41,IF(Atletas!I473="Taijijian Adulto",42,""))))))))))))))))))))))))))</f>
        <v/>
      </c>
      <c r="BH482" s="52" t="str">
        <f>IF(Atletas!J473="","",IF(Atletas!B473="Feminino",100,IF(Atletas!B473="Masculino",200,""))+(IF(Atletas!J473="Gunshu Mirim",43,IF(Atletas!J473="Qiangshu Mirim",44,IF(Atletas!J473="Nangun Mirim",45,IF(Atletas!J473="Gunshu Grupo C",46,IF(Atletas!J473="Qiangshu Grupo C",47,IF(Atletas!J473="Nangun Grupo C",48,IF(Atletas!J473="Gunshu Grupo B",49,IF(Atletas!J473="Qiangshu Grupo B",50,IF(Atletas!J473="Nangun Grupo B",51,IF(Atletas!J473="Gunshu Grupo A",52,IF(Atletas!J473="Qiangshu Grupo A",53,IF(Atletas!J473="Nangun Grupo A",54,IF(Atletas!J473="Gunshu Opcional",55,IF(Atletas!J473="Qiangshu Opcional",56,IF(Atletas!J473="Nangun Opcional",57,IF(Atletas!J473="Gunshu Adulto",58,IF(Atletas!J473="Qiangshu Adulto",59,IF(Atletas!J473="Nangun Adulto",60,IF(Atletas!J473="Taijishan Grupo B",61,IF(Atletas!J473="Taijishan Grupo A",62,""))))))))))))))))))))))</f>
        <v/>
      </c>
      <c r="BM482" s="50" t="str">
        <f>IF(Atletas!K473="","",IF(Atletas!B473="Feminino",100,IF(Atletas!B473="Masculino",200,""))+(IF(Atletas!K473="Equipe 1 Grupo B",1,IF(Atletas!K473="Equipe 2 Grupo B",2,IF(Atletas!K473="Equipe 1 Grupo A",3,IF(Atletas!K473="Equipe 2 Grupo A",4,IF(Atletas!K473="Equipe 1 Adulto",5,IF(Atletas!K473="Equipe 2 Adulto",6,""))))))))</f>
        <v/>
      </c>
      <c r="BR482" s="50" t="str">
        <f>IF(Atletas!L473="","",IF(Atletas!X473&lt;&gt;"",10000,0)+(IF(Atletas!B473="Feminino",1000,IF(Atletas!B473="Masculino",2000,""))+IF(Atletas!L473="Choylayfut A",1,IF(Atletas!L473="Hunggar A",2,IF(Atletas!L473="Wuzuquan A",3,IF(Atletas!L473="Wingchun A",4,IF(Atletas!L473="Outra Mão de Sul A",5,IF(Atletas!L473="Choylayfut B",6,IF(Atletas!L473="Hunggar B",7,IF(Atletas!L473="Wuzuquan B",8,IF(Atletas!L473="Wingchun B",9,IF(Atletas!L473="Outra Mão de Sul B",10,IF(Atletas!L473="Choylayfut C",11,IF(Atletas!L473="Hunggar C",12,IF(Atletas!L473="Wuzuquan C",13,IF(Atletas!L473="Wingchun C",14,IF(Atletas!L473="Outra Mão de Sul C",15,IF(Atletas!L473="Choylayfut D",16,IF(Atletas!L473="Hunggar D",17,IF(Atletas!L473="Wuzuquan D",18,IF(Atletas!L473="Wingchun D",19,IF(Atletas!L473="Outra Mão de Sul D",20,IF(Atletas!L473="Choylayfut E",21,IF(Atletas!L473="Hunggar E",22,IF(Atletas!L473="Wuzuquan E",23,IF(Atletas!L473="Wingchun E",24,IF(Atletas!L473="Outra Mão de Sul E",25,IF(Atletas!L473="Choylayfut F",26,IF(Atletas!L473="Hunggar F",27,IF(Atletas!L473="Wuzuquan F",28,IF(Atletas!L473="Wingchun F",29,IF(Atletas!L473="Outra Mão de Sul F",30,IF(Atletas!L473="Dishuquan A",31,IF(Atletas!L473="Dishuquan B",32,IF(Atletas!L473="Dishuquan C",33,IF(Atletas!L473="Dishuquan D",34,IF(Atletas!L473="Dishuquan E",35,IF(Atletas!L473="Dishuquan F",36,""))))))))))))))))))))))))))))))))))))))</f>
        <v/>
      </c>
      <c r="BS482" s="50" t="str">
        <f>IF(Atletas!M473="","",IF(Atletas!X473&lt;&gt;"",10000,0)+(IF(Atletas!B473="Feminino",1000,IF(Atletas!B473="Masculino",2000,""))+(IF(Atletas!M473="Chaquan A",101,IF(Atletas!M473="Emeiquan A",102,IF(Atletas!M473="Fanziquan A",103,IF(Atletas!M473="Huaquan A",104,IF(Atletas!M473="Hongquan A",105,IF(Atletas!M473="Paoquan A",106,IF(Atletas!M473="Piguaquan A",107,IF(Atletas!M473="Shaolinquan A",108,IF(Atletas!M473="Tanglangquan A",109,IF(Atletas!M473="Yingzhaoquan A",110,IF(Atletas!M473="Tongbeiquan A",111,IF(Atletas!M473="Wudangquan A",112,IF(Atletas!M473="Outros Estilos A",113,IF(Atletas!M473="Chaquan B",114,IF(Atletas!M473="Emeiquan B",115,IF(Atletas!M473="Fanziquan B",116,IF(Atletas!M473="Huaquan B",117,IF(Atletas!M473="Hongquan B",118,IF(Atletas!M473="Paoquan B",119,IF(Atletas!M473="Piguaquan B",120,IF(Atletas!M473="Shaolinquan B",121,IF(Atletas!M473="Tanglangquan B",122,IF(Atletas!M473="Yingzhaoquan B",123,IF(Atletas!M473="Tongbeiquan B",124,IF(Atletas!M473="Wudangquan B",125,IF(Atletas!M473="Outros Estilos B",126,IF(Atletas!M473="Chaquan C",127,IF(Atletas!M473="Emeiquan C",128,IF(Atletas!M473="Fanziquan C",129,IF(Atletas!M473="Huaquan C",130,IF(Atletas!M473="Hongquan C",131,IF(Atletas!M473="Paoquan C",132,IF(Atletas!M473="Piguaquan C",133,IF(Atletas!M473="Shaolinquan C",134,IF(Atletas!M473="Tanglangquan C",135,IF(Atletas!M473="Yingzhaoquan C",136,IF(Atletas!M473="Tongbeiquan C",137,IF(Atletas!M473="Wudangquan C",138,IF(Atletas!M473="Outros Estilos C",139,0))))))))))))))))))))))))))))))))))))))))))</f>
        <v/>
      </c>
      <c r="BT482" s="50" t="str">
        <f>IF(Atletas!M473="","",IF(Atletas!X473&lt;&gt;"",10000,0)+(IF(Atletas!B473="Feminino",1000,IF(Atletas!B473="Masculino",2000,""))+(IF(Atletas!M473="Chaquan D",140,IF(Atletas!M473="Emeiquan D",141,IF(Atletas!M473="Fanziquan D",142,IF(Atletas!M473="Huaquan D",143,IF(Atletas!M473="Hongquan D",144,IF(Atletas!M473="Paoquan D",145,IF(Atletas!M473="Piguaquan D",146,IF(Atletas!M473="Shaolinquan D",147,IF(Atletas!M473="Tanglangquan D",148,IF(Atletas!M473="Yingzhaoquan D",149,IF(Atletas!M473="Tongbeiquan D",150,IF(Atletas!M473="Wudangquan D",151,IF(Atletas!M473="Outros Estilos D",152,IF(Atletas!M473="Chaquan E",153,IF(Atletas!M473="Emeiquan E",154,IF(Atletas!M473="Fanziquan E",155,IF(Atletas!M473="Huaquan E",156,IF(Atletas!M473="Hongquan E",157,IF(Atletas!M473="Paoquan E",158,IF(Atletas!M473="Piguaquan E",159,IF(Atletas!M473="Shaolinquan E",160,IF(Atletas!M473="Tanglangquan E",161,IF(Atletas!M473="Yingzhaoquan E",162,IF(Atletas!M473="Tongbeiquan E",163,IF(Atletas!M473="Wudangquan E",164,IF(Atletas!M473="Outros Estilos E",165,IF(Atletas!M473="Chaquan F",166,IF(Atletas!M473="Emeiquan F",167,IF(Atletas!M473="Fanziquan F",168,IF(Atletas!M473="Huaquan F",169,IF(Atletas!M473="Hongquan F",170,IF(Atletas!M473="Paoquan F",171,IF(Atletas!M473="Piguaquan F",172,IF(Atletas!M473="Shaolinquan F",173,IF(Atletas!M473="Tanglangquan F",174,IF(Atletas!M473="Yingzhaoquan F",175,IF(Atletas!M473="Tongbeiquan F",176,IF(Atletas!M473="Wudangquan F",177,IF(Atletas!M473="Outros Estilos F",178,0))))))))))))))))))))))))))))))))))))))))))</f>
        <v/>
      </c>
      <c r="BU482" s="50" t="str">
        <f>IF(Atletas!N473="","",IF(Atletas!X473&lt;&gt;"",10000,0)+(IF(Atletas!B473="Feminino",1000,IF(Atletas!B473="Masculino",2000,""))+(IF(Atletas!N473="Ditangquan A",201,IF(Atletas!N473="Houquan A",202,IF(Atletas!N473="Zuiquan A",203,IF(Atletas!N473="Ditangquan B",204,IF(Atletas!N473="Houquan B",205,IF(Atletas!N473="Zuiquan B",206,IF(Atletas!N473="Ditangquan C",207,IF(Atletas!N473="Houquan C",208,IF(Atletas!N473="Zuiquan C",209,IF(Atletas!N473="Ditangquan D",210,IF(Atletas!N473="Houquan D",211,IF(Atletas!N473="Zuiquan D",212,IF(Atletas!N473="Ditangquan E",213,IF(Atletas!N473="Houquan E",214,IF(Atletas!N473="Zuiquan E",215,IF(Atletas!N473="Ditangquan F",216,IF(Atletas!N473="Houquan F",217,IF(Atletas!N473="Zuiquan F",218,"")))))))))))))))))))))</f>
        <v/>
      </c>
      <c r="BV482" s="50" t="str">
        <f>IF(Atletas!O473="","",IF(Atletas!X473&lt;&gt;"",10000,0)+IF(Atletas!B473="Feminino",1000,IF(Atletas!B473="Masculino",2000,""))+IF(Atletas!O473="Yang A",301,IF(Atletas!O473="Chen A",302,IF(Atletas!O473="Sun A",303,IF(Atletas!O473="Wu A",304,IF(Atletas!O473="Wu-Hao A",305,IF(Atletas!O473="Outro Taijiquan A",306,IF(Atletas!O473="Yang B",307,IF(Atletas!O473="Chen B",308,IF(Atletas!O473="Sun B",309,IF(Atletas!O473="Wu B",310,IF(Atletas!O473="Wu-Hao B",311,IF(Atletas!O473="Outro Taijiquan B",312,IF(Atletas!O473="Yang C",313,IF(Atletas!O473="Chen C",314,IF(Atletas!O473="Sun C",315,IF(Atletas!O473="Wu C",316,IF(Atletas!O473="Wu-Hao C",317,IF(Atletas!O473="Outro Taijiquan C",318,IF(Atletas!O473="Yang D",319,IF(Atletas!O473="Chen D",320,IF(Atletas!O473="Sun D",321,IF(Atletas!O473="Wu D",322,IF(Atletas!O473="Wu-Hao D",323,IF(Atletas!O473="Outro Taijiquan D",324,IF(Atletas!O473="Yang E",325,IF(Atletas!O473="Chen E",326,IF(Atletas!O473="Sun E",327,IF(Atletas!O473="Wu E",328,IF(Atletas!O473="Wu-Hao E",329,IF(Atletas!O473="Outro Taijiquan E",330,IF(Atletas!O473="Yang F",331,IF(Atletas!O473="Chen F",332,IF(Atletas!O473="Sun F",333,IF(Atletas!O473="Wu F",334,IF(Atletas!O473="Wu-Hao F",335,IF(Atletas!O473="Outro Taijiquan F",336,"")))))))))))))))))))))))))))))))))))))</f>
        <v/>
      </c>
      <c r="BW482" s="50" t="str">
        <f>IF(Atletas!P473="","",IF(Atletas!X473&lt;&gt;"",10000,0)+IF(Atletas!B473="Feminino",1000,IF(Atletas!B473="Masculino",2000,""))+IF(OR(Atletas!P473="Yang 26 A",Atletas!P473="Yang 40 A"),401,IF(OR(Atletas!P473="Chen 25 A",Atletas!P473="Chen 36 A",Atletas!P473="Chen 56 A"),402,IF(Atletas!P473="Sun 73 A",403,IF(Atletas!P473="Wu 45 A",404,IF(Atletas!P473="Wu-Hao 46 A",405,IF(OR(Atletas!P473="Taijiquan 16 A",Atletas!P473="Taijiquan 24 A",Atletas!P473="Taijiquan 32 A",Atletas!P473="Taijiquan 42 A"),406,IF(OR(Atletas!P473="Yang 26 B",Atletas!P473="Yang 40 B"),407,IF(OR(Atletas!P473="Chen 25 B",Atletas!P473="Chen 36 B",Atletas!P473="Chen 56 B"),408,IF(Atletas!P473="Sun 73 B",409,IF(Atletas!P473="Wu 45 B",410,IF(Atletas!P473="Wu-Hao 46 B",411,IF(OR(Atletas!P473="Taijiquan 16 B",Atletas!P473="Taijiquan 24 B",Atletas!P473="Taijiquan 32 B",Atletas!P473="Taijiquan 42 B"),412,IF(OR(Atletas!P473="Yang 26 C",Atletas!P473="Yang 40 C"),413,IF(OR(Atletas!P473="Chen 25 C",Atletas!P473="Chen 36 C",Atletas!P473="Chen 56 C"),414,IF(Atletas!P473="Sun 73 C",415,IF(Atletas!P473="Wu 45 C",416,IF(Atletas!P473="Wu-Hao 46 C",417,IF(OR(Atletas!P473="Taijiquan 16 C",Atletas!P473="Taijiquan 24 C",Atletas!P473="Taijiquan 32 C",Atletas!P473="Taijiquan 42 C"),418,0)))))))))))))))))))</f>
        <v/>
      </c>
      <c r="BX482" s="50" t="str">
        <f>IF(Atletas!P473="","",IF(Atletas!X473&lt;&gt;"",10000,0)+IF(Atletas!B473="Feminino",1000,IF(Atletas!B473="Masculino",2000,""))+IF(OR(Atletas!P473="Yang 26 D",Atletas!P473="Yang 40 D"),419,IF(OR(Atletas!P473="Chen 25 D",Atletas!P473="Chen 36 D",Atletas!P473="Chen 56 D"),420,IF(Atletas!P473="Sun 73 D",421,IF(Atletas!P473="Wu 45 D",422,IF(Atletas!P473="Wu-Hao 46 D",423,IF(OR(Atletas!P473="Taijiquan 16 D",Atletas!P473="Taijiquan 24 D",Atletas!P473="Taijiquan 32 D",Atletas!P473="Taijiquan 42 D"),424,IF(OR(Atletas!P473="Yang 26 E",Atletas!P473="Yang 40 E"),425,IF(OR(Atletas!P473="Chen 25 E",Atletas!P473="Chen 36 E",Atletas!P473="Chen 56 E"),426,IF(Atletas!P473="Sun 73 E",427,IF(Atletas!P473="Wu 45 E",428,IF(Atletas!P473="Wu-Hao 46 E",429,IF(OR(Atletas!P473="Taijiquan 16 E",Atletas!P473="Taijiquan 24 E",Atletas!P473="Taijiquan 32 E",Atletas!P473="Taijiquan 42 E"),430,IF(OR(Atletas!P473="Yang 26 F",Atletas!P473="Yang 40 F"),431,IF(OR(Atletas!P473="Chen 25 F",Atletas!P473="Chen 36 F",Atletas!P473="Chen 56 F"),432,IF(Atletas!P473="Sun 73 F",433,IF(Atletas!P473="Wu 45 F",434,IF(Atletas!P473="Wu-Hao 46 F",435,IF(OR(Atletas!P473="Taijiquan 16 F",Atletas!P473="Taijiquan 24 F",Atletas!P473="Taijiquan 32 F",Atletas!P473="Taijiquan 42 F"),436,0)))))))))))))))))))</f>
        <v/>
      </c>
      <c r="BY482" s="50" t="str">
        <f>IF(Atletas!Q473="","",IF(Atletas!X473&lt;&gt;"",10000,0)+IF(Atletas!B473="Feminino",1000,IF(Atletas!B473="Masculino",2000,""))+IF(Atletas!Q473="Xingyiquan A",501,IF(Atletas!Q473="Baguazhang A",502,IF(Atletas!Q473="Outro Estilo Interno A",503,IF(Atletas!Q473="Xingyiquan B",504,IF(Atletas!Q473="Baguazhang B",505,IF(Atletas!Q473="Outro Estilo Interno B",506,IF(Atletas!Q473="Xingyiquan C",507,IF(Atletas!Q473="Baguazhang C",508,IF(Atletas!Q473="Outro Estilo Interno C",509,IF(Atletas!Q473="Xingyiquan D",510,IF(Atletas!Q473="Baguazhang D",511,IF(Atletas!Q473="Outro Estilo Interno D",512,IF(Atletas!Q473="Xingyiquan E",513,IF(Atletas!Q473="Baguazhang E",514,IF(Atletas!Q473="Outro Estilo Interno E",515,IF(Atletas!Q473="Xingyiquan F",516,IF(Atletas!Q473="Baguazhang F",517,IF(Atletas!Q473="Outro Estilo Interno F",518, "")))))))))))))))))))</f>
        <v/>
      </c>
      <c r="BZ482" s="50" t="str">
        <f>IF(Atletas!R473="","",IF(Atletas!X473&lt;&gt;"",10000,0)+IF(Atletas!B473="Feminino",1000,IF(Atletas!B473="Masculino",2000,""))+IF(Atletas!R473="Dao A",601,IF(Atletas!R473="Jian A",602,IF(Atletas!R473="Bishou A",603,IF(Atletas!R473="Shanzi A",604,IF(Atletas!R473="Outra Arma Curta A",605,IF(Atletas!R473="Dao B",606,IF(Atletas!R473="Jian B",607,IF(Atletas!R473="Bishou B",608,IF(Atletas!R473="Shanzi B",609,IF(Atletas!R473="Outra Arma Curta B",610,IF(Atletas!R473="Dao C",611,IF(Atletas!R473="Jian C",612,IF(Atletas!R473="Bishou C",613,IF(Atletas!R473="Shanzi C",614,IF(Atletas!R473="Outra Arma Curta C",615,IF(Atletas!R473="Dao D",616,IF(Atletas!R473="Jian D",617,IF(Atletas!R473="Bishou D",618,IF(Atletas!R473="Shanzi D",619,IF(Atletas!R473="Outra Arma Curta D",620,IF(Atletas!R473="Dao E",621,IF(Atletas!R473="Jian E",622,IF(Atletas!R473="Bishou E",623,IF(Atletas!R473="Shanzi E",624,IF(Atletas!R473="Outra Arma Curta E",625,IF(Atletas!R473="Dao F",626,IF(Atletas!R473="Jian F",627,IF(Atletas!R473="Bishou F",628,IF(Atletas!R473="Shanzi F",629,IF(Atletas!R473="Outra Arma Curta F",630, "")))))))))))))))))))))))))))))))</f>
        <v/>
      </c>
      <c r="CA482" s="50" t="str">
        <f>IF(Atletas!S473="","",IF(Atletas!X473&lt;&gt;"",10000,0)+IF(Atletas!B473="Feminino",1000,IF(Atletas!B473="Masculino",2000,""))+IF(Atletas!S473="Gun A",701,IF(Atletas!S473="Qiang A",702,IF(Atletas!S473="Pudao / Guandao A",703,IF(Atletas!S473="Outra Arma Longa A",704,IF(Atletas!S473="Gun B",705,IF(Atletas!S473="Qiang B",706,IF(Atletas!S473="Pudao / Guandao B",707,IF(Atletas!S473="Outra Arma Longa B",708,IF(Atletas!S473="Gun C",709,IF(Atletas!S473="Qiang C",710,IF(Atletas!S473="Pudao / Guandao C",711,IF(Atletas!S473="Outra Arma Longa C",712,IF(Atletas!S473="Gun D",713,IF(Atletas!S473="Qiang D",714,IF(Atletas!S473="Pudao / Guandao D",715,IF(Atletas!S473="Outra Arma Longa D",716,IF(Atletas!S473="Gun E",717,IF(Atletas!S473="Qiang E",718,IF(Atletas!S473="Pudao / Guandao E",719,IF(Atletas!S473="Outra Arma Longa E",720,IF(Atletas!S473="Gun F",721,IF(Atletas!S473="Qiang F",722,IF(Atletas!S473="Pudao / Guandao F",723,IF(Atletas!S473="Outra Arma Longa F",724,"")))))))))))))))))))))))))</f>
        <v/>
      </c>
      <c r="CB482" s="50" t="str">
        <f>IF(Atletas!T473="","",IF(Atletas!X473&lt;&gt;"",10000,0)+IF(Atletas!B473="Feminino",1000,IF(Atletas!B473="Masculino",2000,""))+IF(Atletas!T473="Outra Arma Dupla A",801,IF(Atletas!T473="Arma Maleável A",802,IF(Atletas!T473="Outra Arma Dupla B",803,IF(Atletas!T473="Arma Maleável B",804,IF(Atletas!T473="Outra Arma Dupla C",805,IF(Atletas!T473="Arma Maleável C",806,IF(Atletas!T473="Outra Arma Dupla D",807,IF(Atletas!T473="Arma Maleável D",808,IF(Atletas!T473="Outra Arma Dupla E",809,IF(Atletas!T473="Arma Maleável E",810,IF(Atletas!T473="Outra Arma Dupla F",811,IF(Atletas!T473="Arma Maleável F",812,IF(Atletas!T473="Shuangdao A",813,IF(Atletas!T473="Shuangdao B",814,IF(Atletas!T473="Shuangdao C",815,IF(Atletas!T473="Shuangdao D",816,IF(Atletas!T473="Shuangdao E",817,IF(Atletas!T473="Shuangdao F",818,"")))))))))))))))))))</f>
        <v/>
      </c>
      <c r="CC482" s="50" t="str">
        <f>IF(Atletas!U473="","",IF(Atletas!X473&lt;&gt;"",10000,0)+IF(Atletas!B473="Feminino",1000,IF(Atletas!B473="Masculino",2000,""))+IF(OR(Atletas!U473="Taijijian Yang A",Atletas!U473="Taijijian Yang Standard A"),901,IF(OR(Atletas!U473="Taijijian Chen A", Atletas!U473="Taijijian Chen Standard A"),902,IF(Atletas!U473="Taijijian Sun A",903,IF(Atletas!U473="Taijijian Wu A",904,IF(Atletas!U473="Taijijian Wu-Hao A",905,IF(OR(Atletas!U473="Taijijian 32 A",Atletas!U473="Taijijian 42 A"),906,IF(OR(Atletas!U473="Taijijian Yang B",Atletas!U473="Taijijian Yang Standard B"),907,IF(OR(Atletas!U473="Taijijian Chen B", Atletas!U473="Taijijian Chen Standard B"),908,IF(Atletas!U473="Taijijian Sun B",909,IF(Atletas!U473="Taijijian Wu B",910,IF(Atletas!U473="Taijijian Wu-Hao B",911,IF(OR(Atletas!U473="Taijijian 32 B",Atletas!U473="Taijijian 42 B"),912,IF(OR(Atletas!U473="Taijijian Yang C",Atletas!U473="Taijijian Yang Standard C"),913,IF(OR(Atletas!U473="Taijijian Chen C", Atletas!U473="Taijijian Chen Standard C"),914,IF(Atletas!U473="Taijijian Sun C",915,IF(Atletas!U473="Taijijian Wu C",916,IF(Atletas!U473="Taijijian Wu-Hao C",917,IF(OR(Atletas!U473="Taijijian 32 C",Atletas!U473="Taijijian 42 C"),918,IF(OR(Atletas!U473="Taijijian Yang D",Atletas!U473="Taijijian Yang Standard D"),919,IF(OR(Atletas!U473="Taijijian Chen D", Atletas!U473="Taijijian Chen Standard D"),920,IF(Atletas!U473="Taijijian Sun D",921,IF(Atletas!U473="Taijijian Wu D",922,IF(Atletas!U473="Taijijian Wu-Hao D",923,IF(OR(Atletas!U473="Taijijian 32 D",Atletas!U473="Taijijian 42 D"),924,IF(OR(Atletas!U473="Taijijian Yang E",Atletas!U473="Taijijian Yang Standard E"),925,IF(OR(Atletas!U473="Taijijian Chen E", Atletas!U473="Taijijian Chen Standard E"),926,IF(Atletas!U473="Taijijian Sun E",927,IF(Atletas!U473="Taijijian Wu E",928,IF(Atletas!U473="Taijijian Wu-Hao E",929,IF(OR(Atletas!U473="Taijijian 32 E",Atletas!U473="Taijijian 42 E"),930,IF(OR(Atletas!U473="Taijijian Yang F",Atletas!U473="Taijijian Yang Standard F"),931,IF(OR(Atletas!U473="Taijijian Chen F", Atletas!U473="Taijijian Chen Standard F"),932,IF(Atletas!U473="Taijijian Sun F",933,IF(Atletas!U473="Taijijian Wu F",934,IF(Atletas!U473="Taijijian Wu-Hao F",935,IF(OR(Atletas!U473="Taijijian 32 F",Atletas!U473="Taijijian 42 F"),936,"")))))))))))))))))))))))))))))))))))))</f>
        <v/>
      </c>
      <c r="CD482" s="50" t="str">
        <f>IF(Atletas!V473="","",IF(Atletas!X473&lt;&gt;"",10000,0)+IF(Atletas!B473="Feminino",1000,IF(Atletas!B473="Masculino",2000,""))+IF(Atletas!V473="Taijidao A",937,IF(Atletas!V473="TaijiShanzi A",938,IF(Atletas!V473="Taijiqiang A",939,IF(Atletas!V473="Bagua de Arma A",940,IF(Atletas!V473="Xingyi de Arma A",941,IF(Atletas!V473="Taijidao B",942,IF(Atletas!V473="TaijiShanzi B",943,IF(Atletas!V473="Taijiqiang B",944,IF(Atletas!V473="Bagua de Arma B",945,IF(Atletas!V473="Xingyi de Arma B",946,IF(Atletas!V473="Taijidao C",947,IF(Atletas!V473="TaijiShanzi C",948,IF(Atletas!V473="Taijiqiang C",949,IF(Atletas!V473="Bagua de Arma C",950,IF(Atletas!V473="Xingyi de Arma C",951,IF(Atletas!V473="Taijidao D",952,IF(Atletas!V473="TaijiShanzi D",953,IF(Atletas!V473="Taijiqiang D",954,IF(Atletas!V473="Bagua de Arma D",955,IF(Atletas!V473="Xingyi de Arma D",956,IF(Atletas!V473="Taijidao E",957,IF(Atletas!V473="TaijiShanzi E",958,IF(Atletas!V473="Taijiqiang E",959,IF(Atletas!V473="Bagua de Arma E",960,IF(Atletas!V473="Xingyi de Arma E",961,IF(Atletas!V473="Taijidao F",962,IF(Atletas!V473="TaijiShanzi F",963,IF(Atletas!V473="Taijiqiang F",964,IF(Atletas!V473="Bagua de Arma F",965,IF(Atletas!V473="Xingyi de Arma F",966,"")))))))))))))))))))))))))))))))</f>
        <v/>
      </c>
      <c r="CM482" s="50" t="str">
        <f xml:space="preserve"> IF(Atletas!W473="","",IF(Atletas!W473="Duilian de Mãos BC - Equipe 1",1,IF(Atletas!W473="Duilian de Mãos BC - Equipe 2",2,IF(Atletas!W473="Duilian de Armas BC - Equipe 1",3,IF(Atletas!W473="Duilian de Armas BC - Equipe 2",4,IF(Atletas!W473="Duilian de Mãos DE - Equipe 1",5,IF(Atletas!W473="Duilian de Mãos DE - Equipe 2",6,IF(Atletas!W473="Duilian de Armas DE - Equipe 1",7,IF(Atletas!W473="Duilian de Armas DE - Equipe 2",8,IF(Atletas!W473="Duilian de Tuishou - Equipe 1",9,IF(Atletas!W473="Duilian de Tuishou - Equipe 2",10,IF(Atletas!W473="Grupo Externo ABC - Equipe 1",11,IF(Atletas!W473="Grupo Externo ABC - Equipe 2",12,IF(Atletas!W473="Grupo Interno ABC - Equipe 1",13,IF(Atletas!W473="Grupo Interno ABC - Equipe 2",14,IF(Atletas!W473="Grupo Externo DEF - Equipe 1",15,IF(Atletas!W473="Grupo Externo DEF - Equipe 2",16,IF(Atletas!W473="Grupo Interno DEF - Equipe 1",17,IF(Atletas!W473="Grupo Interno DEF - Equipe 2",18,"")))))))))))))))))))</f>
        <v/>
      </c>
    </row>
    <row r="483" spans="40:91">
      <c r="AN483" s="52" t="str">
        <f>IF(Atletas!D474="","",IF(Atletas!B474="Feminino",100,IF(Atletas!B474="Masculino",200,""))+(IF(Atletas!D474="Kids 30kg",1,IF(Atletas!D474="Kids 32kg",2, IF(Atletas!D474="Kids 34kg",3,IF(Atletas!D474="Kids 36kg",4,IF(Atletas!D474="Kids 39kg",5,IF(Atletas!D474="Kids 42kg",6,IF(Atletas!D474="Kids 45kg",7, IF(Atletas!D474="Infantil 39kg",8,IF(Atletas!D474="Infantil 42kg",9,IF(Atletas!D474="Infantil 45kg",10,IF(Atletas!D474="Infantil 48kg",11,IF(Atletas!D474="Infantil 52kg",12,IF(Atletas!D474="Infantil 56kg",13,IF(Atletas!D474="Infantil 60kg",14,IF(Atletas!D474="Juvenil 48kg",15,IF(Atletas!D474="Juvenil 52kg",16,IF(Atletas!D474="Juvenil 56kg",17,IF(Atletas!D474="Juvenil 60kg",18,IF(Atletas!D474="Juvenil 65kg",19,IF(Atletas!D474="Juvenil 70kg",20,IF(Atletas!D474="Juvenil 75kg",21,IF(Atletas!D474="Juvenil 80kg",22, IF(Atletas!D474="Juvenil 85kg",23,IF(Atletas!D474="Adulto 48kg",24,IF(Atletas!D474="Adulto 52kg",25,IF(Atletas!D474="Adulto 56kg",26,IF(Atletas!D474="Adulto 60kg",27,IF(Atletas!D474="Adulto 65kg",28,IF(Atletas!D474="Adulto 70kg",29,IF(Atletas!D474="Adulto 75kg",30,IF(Atletas!D474="Adulto 80kg",31,IF(Atletas!D474="Adulto 85kg",32,IF(Atletas!D474="Adulto 90kg",33,IF(Atletas!D474="Adulto 100kg",34, IF(Atletas!D474="Adulto +100kg",35,"")))))))))))))))))))))))))))))))))))))</f>
        <v/>
      </c>
      <c r="AS483" s="6" t="str">
        <f>IF(Atletas!E474="","",IF(Atletas!B474="Feminino",100,IF(Atletas!B474="Masculino",200,""))+(IF(Atletas!E474="Juvenil 44kg",1,IF(Atletas!E474="Juvenil 48kg",2,IF(Atletas!E474="Juvenil 52kg",3,IF(Atletas!E474="Juvenil 56kg",4,IF(Atletas!E474="Juvenil 60kg",5,IF(Atletas!E474="Juvenil 65kg",6,IF(Atletas!E474="Juvenil 70kg",7,IF(Atletas!E474="Juvenil 75kg",8,IF(Atletas!E474="Juvenil 82kg",9,IF(Atletas!E474="Juvenil 90kg",10,IF(Atletas!E474="Juvenil 100kg",11,IF(Atletas!E474="Adulto 48kg",12,IF(Atletas!E474="Adulto 52kg",13,IF(Atletas!E474="Adulto 56kg",14,IF(Atletas!E474="Adulto 60kg",15,IF(Atletas!E474="Adulto 65kg",16,IF(Atletas!E474="Adulto 70kg",17,IF(Atletas!E474="Adulto 75kg",18,IF(Atletas!E474="Adulto 82kg",19,IF(Atletas!E474="Adulto 90kg",20,IF(Atletas!E474="Adulto 100kg",21,IF(Atletas!E474="Adulto +100kg",22,""))))))))))))))))))))))))</f>
        <v/>
      </c>
      <c r="AX483" s="6" t="str">
        <f>IF(Atletas!F474="","",IF(Atletas!B474="Feminino",100,IF(Atletas!B474="Masculino",200,""))+(IF(Atletas!F474="Adulto 48kg",1,IF(Atletas!F474="Adulto 56kg",2,IF(Atletas!F474="Adulto 65kg",3,IF(Atletas!F474="Adulto 75kg",4,IF(Atletas!F474="Adulto +75kg",5,IF(Atletas!F474="Adulto 52kg",6,IF(Atletas!F474="Adulto 60kg",7,IF(Atletas!F474="Adulto 70kg",8,IF(Atletas!F474="Adulto 80kg",9,IF(Atletas!F474="Adulto 90kg",10,IF(Atletas!F474="Adulto +90kg",11,"")))))))))))))</f>
        <v/>
      </c>
      <c r="BC483" s="6" t="str">
        <f>IF(Atletas!G474="","",IF(Atletas!B474="Feminino",10,IF(Atletas!B474="Masculino",20,""))+(IF(Atletas!G474="Baduanjin A",1,IF(Atletas!G474="Baduanjin B",2))))</f>
        <v/>
      </c>
      <c r="BF483" s="52" t="str">
        <f>IF(Atletas!H474="","",IF(Atletas!B474="Feminino",100,IF(Atletas!B474="Masculino",200,""))+(IF(Atletas!H474="Changquan Mirim",1,IF(Atletas!H474="Nanquan Mirim",2,IF(Atletas!H474="Taijiquan Mirim",3,IF(Atletas!H474="Changquan Grupo C",4,IF(Atletas!H474="Nanquan Grupo C",5,IF(Atletas!H474="Taijiquan Grupo C",6,IF(Atletas!H474="Changquan Grupo B",7,IF(Atletas!H474="Nanquan Grupo B",8,IF(Atletas!H474="Taijiquan Grupo B",9,IF(Atletas!H474="Changquan Grupo A",10,IF(Atletas!H474="Nanquan Grupo A",11,IF(Atletas!H474="Taijiquan Grupo A",12,IF(Atletas!H474="Changquan Opcional",13,IF(Atletas!H474="Nanquan Opcional",14,IF(Atletas!H474="Taijiquan Opcional",15,IF(Atletas!H474="Changquan Adulto",16,IF(Atletas!H474="Nanquan Adulto",17,IF(Atletas!H474="Taijiquan Adulto",18,""))))))))))))))))))))</f>
        <v/>
      </c>
      <c r="BG483" s="52" t="str">
        <f>IF(Atletas!I474="","",IF(Atletas!B474="Feminino",100,IF(Atletas!B474="Masculino",200,""))+(IF(Atletas!I474="Daoshu Mirim",19,IF(Atletas!I474="Jianshu Mirim",20,IF(Atletas!I474="Nandao Mirim",21,IF(Atletas!I474="Taijijian Mirim",22,IF(Atletas!I474="Daoshu Grupo C",23,IF(Atletas!I474="Jianshu Grupo C",24,IF(Atletas!I474="Nandao Grupo C",25,IF(Atletas!I474="Taijijian Grupo C",26,IF(Atletas!I474="Daoshu Grupo B",27,IF(Atletas!I474="Jianshu Grupo B",28,IF(Atletas!I474="Nandao Grupo B",29,IF(Atletas!I474="Taijijian Grupo B",30,IF(Atletas!I474="Daoshu Grupo A",31,IF(Atletas!I474="Jianshu Grupo A",32,IF(Atletas!I474="Nandao Grupo A",33,IF(Atletas!I474="Taijijian Grupo A",34,IF(Atletas!I474="Daoshu Opcional",35,IF(Atletas!I474="Jianshu Opcional",36,IF(Atletas!I474="Nandao Opcional",37,IF(Atletas!I474="Taijijian Opcional",38,IF(Atletas!I474="Daoshu Adulto",39,IF(Atletas!I474="Jianshu Adulto",40,IF(Atletas!I474="Nandao Adulto",41,IF(Atletas!I474="Taijijian Adulto",42,""))))))))))))))))))))))))))</f>
        <v/>
      </c>
      <c r="BH483" s="52" t="str">
        <f>IF(Atletas!J474="","",IF(Atletas!B474="Feminino",100,IF(Atletas!B474="Masculino",200,""))+(IF(Atletas!J474="Gunshu Mirim",43,IF(Atletas!J474="Qiangshu Mirim",44,IF(Atletas!J474="Nangun Mirim",45,IF(Atletas!J474="Gunshu Grupo C",46,IF(Atletas!J474="Qiangshu Grupo C",47,IF(Atletas!J474="Nangun Grupo C",48,IF(Atletas!J474="Gunshu Grupo B",49,IF(Atletas!J474="Qiangshu Grupo B",50,IF(Atletas!J474="Nangun Grupo B",51,IF(Atletas!J474="Gunshu Grupo A",52,IF(Atletas!J474="Qiangshu Grupo A",53,IF(Atletas!J474="Nangun Grupo A",54,IF(Atletas!J474="Gunshu Opcional",55,IF(Atletas!J474="Qiangshu Opcional",56,IF(Atletas!J474="Nangun Opcional",57,IF(Atletas!J474="Gunshu Adulto",58,IF(Atletas!J474="Qiangshu Adulto",59,IF(Atletas!J474="Nangun Adulto",60,IF(Atletas!J474="Taijishan Grupo B",61,IF(Atletas!J474="Taijishan Grupo A",62,""))))))))))))))))))))))</f>
        <v/>
      </c>
      <c r="BM483" s="50" t="str">
        <f>IF(Atletas!K474="","",IF(Atletas!B474="Feminino",100,IF(Atletas!B474="Masculino",200,""))+(IF(Atletas!K474="Equipe 1 Grupo B",1,IF(Atletas!K474="Equipe 2 Grupo B",2,IF(Atletas!K474="Equipe 1 Grupo A",3,IF(Atletas!K474="Equipe 2 Grupo A",4,IF(Atletas!K474="Equipe 1 Adulto",5,IF(Atletas!K474="Equipe 2 Adulto",6,""))))))))</f>
        <v/>
      </c>
      <c r="BR483" s="50" t="str">
        <f>IF(Atletas!L474="","",IF(Atletas!X474&lt;&gt;"",10000,0)+(IF(Atletas!B474="Feminino",1000,IF(Atletas!B474="Masculino",2000,""))+IF(Atletas!L474="Choylayfut A",1,IF(Atletas!L474="Hunggar A",2,IF(Atletas!L474="Wuzuquan A",3,IF(Atletas!L474="Wingchun A",4,IF(Atletas!L474="Outra Mão de Sul A",5,IF(Atletas!L474="Choylayfut B",6,IF(Atletas!L474="Hunggar B",7,IF(Atletas!L474="Wuzuquan B",8,IF(Atletas!L474="Wingchun B",9,IF(Atletas!L474="Outra Mão de Sul B",10,IF(Atletas!L474="Choylayfut C",11,IF(Atletas!L474="Hunggar C",12,IF(Atletas!L474="Wuzuquan C",13,IF(Atletas!L474="Wingchun C",14,IF(Atletas!L474="Outra Mão de Sul C",15,IF(Atletas!L474="Choylayfut D",16,IF(Atletas!L474="Hunggar D",17,IF(Atletas!L474="Wuzuquan D",18,IF(Atletas!L474="Wingchun D",19,IF(Atletas!L474="Outra Mão de Sul D",20,IF(Atletas!L474="Choylayfut E",21,IF(Atletas!L474="Hunggar E",22,IF(Atletas!L474="Wuzuquan E",23,IF(Atletas!L474="Wingchun E",24,IF(Atletas!L474="Outra Mão de Sul E",25,IF(Atletas!L474="Choylayfut F",26,IF(Atletas!L474="Hunggar F",27,IF(Atletas!L474="Wuzuquan F",28,IF(Atletas!L474="Wingchun F",29,IF(Atletas!L474="Outra Mão de Sul F",30,IF(Atletas!L474="Dishuquan A",31,IF(Atletas!L474="Dishuquan B",32,IF(Atletas!L474="Dishuquan C",33,IF(Atletas!L474="Dishuquan D",34,IF(Atletas!L474="Dishuquan E",35,IF(Atletas!L474="Dishuquan F",36,""))))))))))))))))))))))))))))))))))))))</f>
        <v/>
      </c>
      <c r="BS483" s="50" t="str">
        <f>IF(Atletas!M474="","",IF(Atletas!X474&lt;&gt;"",10000,0)+(IF(Atletas!B474="Feminino",1000,IF(Atletas!B474="Masculino",2000,""))+(IF(Atletas!M474="Chaquan A",101,IF(Atletas!M474="Emeiquan A",102,IF(Atletas!M474="Fanziquan A",103,IF(Atletas!M474="Huaquan A",104,IF(Atletas!M474="Hongquan A",105,IF(Atletas!M474="Paoquan A",106,IF(Atletas!M474="Piguaquan A",107,IF(Atletas!M474="Shaolinquan A",108,IF(Atletas!M474="Tanglangquan A",109,IF(Atletas!M474="Yingzhaoquan A",110,IF(Atletas!M474="Tongbeiquan A",111,IF(Atletas!M474="Wudangquan A",112,IF(Atletas!M474="Outros Estilos A",113,IF(Atletas!M474="Chaquan B",114,IF(Atletas!M474="Emeiquan B",115,IF(Atletas!M474="Fanziquan B",116,IF(Atletas!M474="Huaquan B",117,IF(Atletas!M474="Hongquan B",118,IF(Atletas!M474="Paoquan B",119,IF(Atletas!M474="Piguaquan B",120,IF(Atletas!M474="Shaolinquan B",121,IF(Atletas!M474="Tanglangquan B",122,IF(Atletas!M474="Yingzhaoquan B",123,IF(Atletas!M474="Tongbeiquan B",124,IF(Atletas!M474="Wudangquan B",125,IF(Atletas!M474="Outros Estilos B",126,IF(Atletas!M474="Chaquan C",127,IF(Atletas!M474="Emeiquan C",128,IF(Atletas!M474="Fanziquan C",129,IF(Atletas!M474="Huaquan C",130,IF(Atletas!M474="Hongquan C",131,IF(Atletas!M474="Paoquan C",132,IF(Atletas!M474="Piguaquan C",133,IF(Atletas!M474="Shaolinquan C",134,IF(Atletas!M474="Tanglangquan C",135,IF(Atletas!M474="Yingzhaoquan C",136,IF(Atletas!M474="Tongbeiquan C",137,IF(Atletas!M474="Wudangquan C",138,IF(Atletas!M474="Outros Estilos C",139,0))))))))))))))))))))))))))))))))))))))))))</f>
        <v/>
      </c>
      <c r="BT483" s="50" t="str">
        <f>IF(Atletas!M474="","",IF(Atletas!X474&lt;&gt;"",10000,0)+(IF(Atletas!B474="Feminino",1000,IF(Atletas!B474="Masculino",2000,""))+(IF(Atletas!M474="Chaquan D",140,IF(Atletas!M474="Emeiquan D",141,IF(Atletas!M474="Fanziquan D",142,IF(Atletas!M474="Huaquan D",143,IF(Atletas!M474="Hongquan D",144,IF(Atletas!M474="Paoquan D",145,IF(Atletas!M474="Piguaquan D",146,IF(Atletas!M474="Shaolinquan D",147,IF(Atletas!M474="Tanglangquan D",148,IF(Atletas!M474="Yingzhaoquan D",149,IF(Atletas!M474="Tongbeiquan D",150,IF(Atletas!M474="Wudangquan D",151,IF(Atletas!M474="Outros Estilos D",152,IF(Atletas!M474="Chaquan E",153,IF(Atletas!M474="Emeiquan E",154,IF(Atletas!M474="Fanziquan E",155,IF(Atletas!M474="Huaquan E",156,IF(Atletas!M474="Hongquan E",157,IF(Atletas!M474="Paoquan E",158,IF(Atletas!M474="Piguaquan E",159,IF(Atletas!M474="Shaolinquan E",160,IF(Atletas!M474="Tanglangquan E",161,IF(Atletas!M474="Yingzhaoquan E",162,IF(Atletas!M474="Tongbeiquan E",163,IF(Atletas!M474="Wudangquan E",164,IF(Atletas!M474="Outros Estilos E",165,IF(Atletas!M474="Chaquan F",166,IF(Atletas!M474="Emeiquan F",167,IF(Atletas!M474="Fanziquan F",168,IF(Atletas!M474="Huaquan F",169,IF(Atletas!M474="Hongquan F",170,IF(Atletas!M474="Paoquan F",171,IF(Atletas!M474="Piguaquan F",172,IF(Atletas!M474="Shaolinquan F",173,IF(Atletas!M474="Tanglangquan F",174,IF(Atletas!M474="Yingzhaoquan F",175,IF(Atletas!M474="Tongbeiquan F",176,IF(Atletas!M474="Wudangquan F",177,IF(Atletas!M474="Outros Estilos F",178,0))))))))))))))))))))))))))))))))))))))))))</f>
        <v/>
      </c>
      <c r="BU483" s="50" t="str">
        <f>IF(Atletas!N474="","",IF(Atletas!X474&lt;&gt;"",10000,0)+(IF(Atletas!B474="Feminino",1000,IF(Atletas!B474="Masculino",2000,""))+(IF(Atletas!N474="Ditangquan A",201,IF(Atletas!N474="Houquan A",202,IF(Atletas!N474="Zuiquan A",203,IF(Atletas!N474="Ditangquan B",204,IF(Atletas!N474="Houquan B",205,IF(Atletas!N474="Zuiquan B",206,IF(Atletas!N474="Ditangquan C",207,IF(Atletas!N474="Houquan C",208,IF(Atletas!N474="Zuiquan C",209,IF(Atletas!N474="Ditangquan D",210,IF(Atletas!N474="Houquan D",211,IF(Atletas!N474="Zuiquan D",212,IF(Atletas!N474="Ditangquan E",213,IF(Atletas!N474="Houquan E",214,IF(Atletas!N474="Zuiquan E",215,IF(Atletas!N474="Ditangquan F",216,IF(Atletas!N474="Houquan F",217,IF(Atletas!N474="Zuiquan F",218,"")))))))))))))))))))))</f>
        <v/>
      </c>
      <c r="BV483" s="50" t="str">
        <f>IF(Atletas!O474="","",IF(Atletas!X474&lt;&gt;"",10000,0)+IF(Atletas!B474="Feminino",1000,IF(Atletas!B474="Masculino",2000,""))+IF(Atletas!O474="Yang A",301,IF(Atletas!O474="Chen A",302,IF(Atletas!O474="Sun A",303,IF(Atletas!O474="Wu A",304,IF(Atletas!O474="Wu-Hao A",305,IF(Atletas!O474="Outro Taijiquan A",306,IF(Atletas!O474="Yang B",307,IF(Atletas!O474="Chen B",308,IF(Atletas!O474="Sun B",309,IF(Atletas!O474="Wu B",310,IF(Atletas!O474="Wu-Hao B",311,IF(Atletas!O474="Outro Taijiquan B",312,IF(Atletas!O474="Yang C",313,IF(Atletas!O474="Chen C",314,IF(Atletas!O474="Sun C",315,IF(Atletas!O474="Wu C",316,IF(Atletas!O474="Wu-Hao C",317,IF(Atletas!O474="Outro Taijiquan C",318,IF(Atletas!O474="Yang D",319,IF(Atletas!O474="Chen D",320,IF(Atletas!O474="Sun D",321,IF(Atletas!O474="Wu D",322,IF(Atletas!O474="Wu-Hao D",323,IF(Atletas!O474="Outro Taijiquan D",324,IF(Atletas!O474="Yang E",325,IF(Atletas!O474="Chen E",326,IF(Atletas!O474="Sun E",327,IF(Atletas!O474="Wu E",328,IF(Atletas!O474="Wu-Hao E",329,IF(Atletas!O474="Outro Taijiquan E",330,IF(Atletas!O474="Yang F",331,IF(Atletas!O474="Chen F",332,IF(Atletas!O474="Sun F",333,IF(Atletas!O474="Wu F",334,IF(Atletas!O474="Wu-Hao F",335,IF(Atletas!O474="Outro Taijiquan F",336,"")))))))))))))))))))))))))))))))))))))</f>
        <v/>
      </c>
      <c r="BW483" s="50" t="str">
        <f>IF(Atletas!P474="","",IF(Atletas!X474&lt;&gt;"",10000,0)+IF(Atletas!B474="Feminino",1000,IF(Atletas!B474="Masculino",2000,""))+IF(OR(Atletas!P474="Yang 26 A",Atletas!P474="Yang 40 A"),401,IF(OR(Atletas!P474="Chen 25 A",Atletas!P474="Chen 36 A",Atletas!P474="Chen 56 A"),402,IF(Atletas!P474="Sun 73 A",403,IF(Atletas!P474="Wu 45 A",404,IF(Atletas!P474="Wu-Hao 46 A",405,IF(OR(Atletas!P474="Taijiquan 16 A",Atletas!P474="Taijiquan 24 A",Atletas!P474="Taijiquan 32 A",Atletas!P474="Taijiquan 42 A"),406,IF(OR(Atletas!P474="Yang 26 B",Atletas!P474="Yang 40 B"),407,IF(OR(Atletas!P474="Chen 25 B",Atletas!P474="Chen 36 B",Atletas!P474="Chen 56 B"),408,IF(Atletas!P474="Sun 73 B",409,IF(Atletas!P474="Wu 45 B",410,IF(Atletas!P474="Wu-Hao 46 B",411,IF(OR(Atletas!P474="Taijiquan 16 B",Atletas!P474="Taijiquan 24 B",Atletas!P474="Taijiquan 32 B",Atletas!P474="Taijiquan 42 B"),412,IF(OR(Atletas!P474="Yang 26 C",Atletas!P474="Yang 40 C"),413,IF(OR(Atletas!P474="Chen 25 C",Atletas!P474="Chen 36 C",Atletas!P474="Chen 56 C"),414,IF(Atletas!P474="Sun 73 C",415,IF(Atletas!P474="Wu 45 C",416,IF(Atletas!P474="Wu-Hao 46 C",417,IF(OR(Atletas!P474="Taijiquan 16 C",Atletas!P474="Taijiquan 24 C",Atletas!P474="Taijiquan 32 C",Atletas!P474="Taijiquan 42 C"),418,0)))))))))))))))))))</f>
        <v/>
      </c>
      <c r="BX483" s="50" t="str">
        <f>IF(Atletas!P474="","",IF(Atletas!X474&lt;&gt;"",10000,0)+IF(Atletas!B474="Feminino",1000,IF(Atletas!B474="Masculino",2000,""))+IF(OR(Atletas!P474="Yang 26 D",Atletas!P474="Yang 40 D"),419,IF(OR(Atletas!P474="Chen 25 D",Atletas!P474="Chen 36 D",Atletas!P474="Chen 56 D"),420,IF(Atletas!P474="Sun 73 D",421,IF(Atletas!P474="Wu 45 D",422,IF(Atletas!P474="Wu-Hao 46 D",423,IF(OR(Atletas!P474="Taijiquan 16 D",Atletas!P474="Taijiquan 24 D",Atletas!P474="Taijiquan 32 D",Atletas!P474="Taijiquan 42 D"),424,IF(OR(Atletas!P474="Yang 26 E",Atletas!P474="Yang 40 E"),425,IF(OR(Atletas!P474="Chen 25 E",Atletas!P474="Chen 36 E",Atletas!P474="Chen 56 E"),426,IF(Atletas!P474="Sun 73 E",427,IF(Atletas!P474="Wu 45 E",428,IF(Atletas!P474="Wu-Hao 46 E",429,IF(OR(Atletas!P474="Taijiquan 16 E",Atletas!P474="Taijiquan 24 E",Atletas!P474="Taijiquan 32 E",Atletas!P474="Taijiquan 42 E"),430,IF(OR(Atletas!P474="Yang 26 F",Atletas!P474="Yang 40 F"),431,IF(OR(Atletas!P474="Chen 25 F",Atletas!P474="Chen 36 F",Atletas!P474="Chen 56 F"),432,IF(Atletas!P474="Sun 73 F",433,IF(Atletas!P474="Wu 45 F",434,IF(Atletas!P474="Wu-Hao 46 F",435,IF(OR(Atletas!P474="Taijiquan 16 F",Atletas!P474="Taijiquan 24 F",Atletas!P474="Taijiquan 32 F",Atletas!P474="Taijiquan 42 F"),436,0)))))))))))))))))))</f>
        <v/>
      </c>
      <c r="BY483" s="50" t="str">
        <f>IF(Atletas!Q474="","",IF(Atletas!X474&lt;&gt;"",10000,0)+IF(Atletas!B474="Feminino",1000,IF(Atletas!B474="Masculino",2000,""))+IF(Atletas!Q474="Xingyiquan A",501,IF(Atletas!Q474="Baguazhang A",502,IF(Atletas!Q474="Outro Estilo Interno A",503,IF(Atletas!Q474="Xingyiquan B",504,IF(Atletas!Q474="Baguazhang B",505,IF(Atletas!Q474="Outro Estilo Interno B",506,IF(Atletas!Q474="Xingyiquan C",507,IF(Atletas!Q474="Baguazhang C",508,IF(Atletas!Q474="Outro Estilo Interno C",509,IF(Atletas!Q474="Xingyiquan D",510,IF(Atletas!Q474="Baguazhang D",511,IF(Atletas!Q474="Outro Estilo Interno D",512,IF(Atletas!Q474="Xingyiquan E",513,IF(Atletas!Q474="Baguazhang E",514,IF(Atletas!Q474="Outro Estilo Interno E",515,IF(Atletas!Q474="Xingyiquan F",516,IF(Atletas!Q474="Baguazhang F",517,IF(Atletas!Q474="Outro Estilo Interno F",518, "")))))))))))))))))))</f>
        <v/>
      </c>
      <c r="BZ483" s="50" t="str">
        <f>IF(Atletas!R474="","",IF(Atletas!X474&lt;&gt;"",10000,0)+IF(Atletas!B474="Feminino",1000,IF(Atletas!B474="Masculino",2000,""))+IF(Atletas!R474="Dao A",601,IF(Atletas!R474="Jian A",602,IF(Atletas!R474="Bishou A",603,IF(Atletas!R474="Shanzi A",604,IF(Atletas!R474="Outra Arma Curta A",605,IF(Atletas!R474="Dao B",606,IF(Atletas!R474="Jian B",607,IF(Atletas!R474="Bishou B",608,IF(Atletas!R474="Shanzi B",609,IF(Atletas!R474="Outra Arma Curta B",610,IF(Atletas!R474="Dao C",611,IF(Atletas!R474="Jian C",612,IF(Atletas!R474="Bishou C",613,IF(Atletas!R474="Shanzi C",614,IF(Atletas!R474="Outra Arma Curta C",615,IF(Atletas!R474="Dao D",616,IF(Atletas!R474="Jian D",617,IF(Atletas!R474="Bishou D",618,IF(Atletas!R474="Shanzi D",619,IF(Atletas!R474="Outra Arma Curta D",620,IF(Atletas!R474="Dao E",621,IF(Atletas!R474="Jian E",622,IF(Atletas!R474="Bishou E",623,IF(Atletas!R474="Shanzi E",624,IF(Atletas!R474="Outra Arma Curta E",625,IF(Atletas!R474="Dao F",626,IF(Atletas!R474="Jian F",627,IF(Atletas!R474="Bishou F",628,IF(Atletas!R474="Shanzi F",629,IF(Atletas!R474="Outra Arma Curta F",630, "")))))))))))))))))))))))))))))))</f>
        <v/>
      </c>
      <c r="CA483" s="50" t="str">
        <f>IF(Atletas!S474="","",IF(Atletas!X474&lt;&gt;"",10000,0)+IF(Atletas!B474="Feminino",1000,IF(Atletas!B474="Masculino",2000,""))+IF(Atletas!S474="Gun A",701,IF(Atletas!S474="Qiang A",702,IF(Atletas!S474="Pudao / Guandao A",703,IF(Atletas!S474="Outra Arma Longa A",704,IF(Atletas!S474="Gun B",705,IF(Atletas!S474="Qiang B",706,IF(Atletas!S474="Pudao / Guandao B",707,IF(Atletas!S474="Outra Arma Longa B",708,IF(Atletas!S474="Gun C",709,IF(Atletas!S474="Qiang C",710,IF(Atletas!S474="Pudao / Guandao C",711,IF(Atletas!S474="Outra Arma Longa C",712,IF(Atletas!S474="Gun D",713,IF(Atletas!S474="Qiang D",714,IF(Atletas!S474="Pudao / Guandao D",715,IF(Atletas!S474="Outra Arma Longa D",716,IF(Atletas!S474="Gun E",717,IF(Atletas!S474="Qiang E",718,IF(Atletas!S474="Pudao / Guandao E",719,IF(Atletas!S474="Outra Arma Longa E",720,IF(Atletas!S474="Gun F",721,IF(Atletas!S474="Qiang F",722,IF(Atletas!S474="Pudao / Guandao F",723,IF(Atletas!S474="Outra Arma Longa F",724,"")))))))))))))))))))))))))</f>
        <v/>
      </c>
      <c r="CB483" s="50" t="str">
        <f>IF(Atletas!T474="","",IF(Atletas!X474&lt;&gt;"",10000,0)+IF(Atletas!B474="Feminino",1000,IF(Atletas!B474="Masculino",2000,""))+IF(Atletas!T474="Outra Arma Dupla A",801,IF(Atletas!T474="Arma Maleável A",802,IF(Atletas!T474="Outra Arma Dupla B",803,IF(Atletas!T474="Arma Maleável B",804,IF(Atletas!T474="Outra Arma Dupla C",805,IF(Atletas!T474="Arma Maleável C",806,IF(Atletas!T474="Outra Arma Dupla D",807,IF(Atletas!T474="Arma Maleável D",808,IF(Atletas!T474="Outra Arma Dupla E",809,IF(Atletas!T474="Arma Maleável E",810,IF(Atletas!T474="Outra Arma Dupla F",811,IF(Atletas!T474="Arma Maleável F",812,IF(Atletas!T474="Shuangdao A",813,IF(Atletas!T474="Shuangdao B",814,IF(Atletas!T474="Shuangdao C",815,IF(Atletas!T474="Shuangdao D",816,IF(Atletas!T474="Shuangdao E",817,IF(Atletas!T474="Shuangdao F",818,"")))))))))))))))))))</f>
        <v/>
      </c>
      <c r="CC483" s="50" t="str">
        <f>IF(Atletas!U474="","",IF(Atletas!X474&lt;&gt;"",10000,0)+IF(Atletas!B474="Feminino",1000,IF(Atletas!B474="Masculino",2000,""))+IF(OR(Atletas!U474="Taijijian Yang A",Atletas!U474="Taijijian Yang Standard A"),901,IF(OR(Atletas!U474="Taijijian Chen A", Atletas!U474="Taijijian Chen Standard A"),902,IF(Atletas!U474="Taijijian Sun A",903,IF(Atletas!U474="Taijijian Wu A",904,IF(Atletas!U474="Taijijian Wu-Hao A",905,IF(OR(Atletas!U474="Taijijian 32 A",Atletas!U474="Taijijian 42 A"),906,IF(OR(Atletas!U474="Taijijian Yang B",Atletas!U474="Taijijian Yang Standard B"),907,IF(OR(Atletas!U474="Taijijian Chen B", Atletas!U474="Taijijian Chen Standard B"),908,IF(Atletas!U474="Taijijian Sun B",909,IF(Atletas!U474="Taijijian Wu B",910,IF(Atletas!U474="Taijijian Wu-Hao B",911,IF(OR(Atletas!U474="Taijijian 32 B",Atletas!U474="Taijijian 42 B"),912,IF(OR(Atletas!U474="Taijijian Yang C",Atletas!U474="Taijijian Yang Standard C"),913,IF(OR(Atletas!U474="Taijijian Chen C", Atletas!U474="Taijijian Chen Standard C"),914,IF(Atletas!U474="Taijijian Sun C",915,IF(Atletas!U474="Taijijian Wu C",916,IF(Atletas!U474="Taijijian Wu-Hao C",917,IF(OR(Atletas!U474="Taijijian 32 C",Atletas!U474="Taijijian 42 C"),918,IF(OR(Atletas!U474="Taijijian Yang D",Atletas!U474="Taijijian Yang Standard D"),919,IF(OR(Atletas!U474="Taijijian Chen D", Atletas!U474="Taijijian Chen Standard D"),920,IF(Atletas!U474="Taijijian Sun D",921,IF(Atletas!U474="Taijijian Wu D",922,IF(Atletas!U474="Taijijian Wu-Hao D",923,IF(OR(Atletas!U474="Taijijian 32 D",Atletas!U474="Taijijian 42 D"),924,IF(OR(Atletas!U474="Taijijian Yang E",Atletas!U474="Taijijian Yang Standard E"),925,IF(OR(Atletas!U474="Taijijian Chen E", Atletas!U474="Taijijian Chen Standard E"),926,IF(Atletas!U474="Taijijian Sun E",927,IF(Atletas!U474="Taijijian Wu E",928,IF(Atletas!U474="Taijijian Wu-Hao E",929,IF(OR(Atletas!U474="Taijijian 32 E",Atletas!U474="Taijijian 42 E"),930,IF(OR(Atletas!U474="Taijijian Yang F",Atletas!U474="Taijijian Yang Standard F"),931,IF(OR(Atletas!U474="Taijijian Chen F", Atletas!U474="Taijijian Chen Standard F"),932,IF(Atletas!U474="Taijijian Sun F",933,IF(Atletas!U474="Taijijian Wu F",934,IF(Atletas!U474="Taijijian Wu-Hao F",935,IF(OR(Atletas!U474="Taijijian 32 F",Atletas!U474="Taijijian 42 F"),936,"")))))))))))))))))))))))))))))))))))))</f>
        <v/>
      </c>
      <c r="CD483" s="50" t="str">
        <f>IF(Atletas!V474="","",IF(Atletas!X474&lt;&gt;"",10000,0)+IF(Atletas!B474="Feminino",1000,IF(Atletas!B474="Masculino",2000,""))+IF(Atletas!V474="Taijidao A",937,IF(Atletas!V474="TaijiShanzi A",938,IF(Atletas!V474="Taijiqiang A",939,IF(Atletas!V474="Bagua de Arma A",940,IF(Atletas!V474="Xingyi de Arma A",941,IF(Atletas!V474="Taijidao B",942,IF(Atletas!V474="TaijiShanzi B",943,IF(Atletas!V474="Taijiqiang B",944,IF(Atletas!V474="Bagua de Arma B",945,IF(Atletas!V474="Xingyi de Arma B",946,IF(Atletas!V474="Taijidao C",947,IF(Atletas!V474="TaijiShanzi C",948,IF(Atletas!V474="Taijiqiang C",949,IF(Atletas!V474="Bagua de Arma C",950,IF(Atletas!V474="Xingyi de Arma C",951,IF(Atletas!V474="Taijidao D",952,IF(Atletas!V474="TaijiShanzi D",953,IF(Atletas!V474="Taijiqiang D",954,IF(Atletas!V474="Bagua de Arma D",955,IF(Atletas!V474="Xingyi de Arma D",956,IF(Atletas!V474="Taijidao E",957,IF(Atletas!V474="TaijiShanzi E",958,IF(Atletas!V474="Taijiqiang E",959,IF(Atletas!V474="Bagua de Arma E",960,IF(Atletas!V474="Xingyi de Arma E",961,IF(Atletas!V474="Taijidao F",962,IF(Atletas!V474="TaijiShanzi F",963,IF(Atletas!V474="Taijiqiang F",964,IF(Atletas!V474="Bagua de Arma F",965,IF(Atletas!V474="Xingyi de Arma F",966,"")))))))))))))))))))))))))))))))</f>
        <v/>
      </c>
      <c r="CM483" s="50" t="str">
        <f xml:space="preserve"> IF(Atletas!W474="","",IF(Atletas!W474="Duilian de Mãos BC - Equipe 1",1,IF(Atletas!W474="Duilian de Mãos BC - Equipe 2",2,IF(Atletas!W474="Duilian de Armas BC - Equipe 1",3,IF(Atletas!W474="Duilian de Armas BC - Equipe 2",4,IF(Atletas!W474="Duilian de Mãos DE - Equipe 1",5,IF(Atletas!W474="Duilian de Mãos DE - Equipe 2",6,IF(Atletas!W474="Duilian de Armas DE - Equipe 1",7,IF(Atletas!W474="Duilian de Armas DE - Equipe 2",8,IF(Atletas!W474="Duilian de Tuishou - Equipe 1",9,IF(Atletas!W474="Duilian de Tuishou - Equipe 2",10,IF(Atletas!W474="Grupo Externo ABC - Equipe 1",11,IF(Atletas!W474="Grupo Externo ABC - Equipe 2",12,IF(Atletas!W474="Grupo Interno ABC - Equipe 1",13,IF(Atletas!W474="Grupo Interno ABC - Equipe 2",14,IF(Atletas!W474="Grupo Externo DEF - Equipe 1",15,IF(Atletas!W474="Grupo Externo DEF - Equipe 2",16,IF(Atletas!W474="Grupo Interno DEF - Equipe 1",17,IF(Atletas!W474="Grupo Interno DEF - Equipe 2",18,"")))))))))))))))))))</f>
        <v/>
      </c>
    </row>
    <row r="484" spans="40:91">
      <c r="AN484" s="52" t="str">
        <f>IF(Atletas!D475="","",IF(Atletas!B475="Feminino",100,IF(Atletas!B475="Masculino",200,""))+(IF(Atletas!D475="Kids 30kg",1,IF(Atletas!D475="Kids 32kg",2, IF(Atletas!D475="Kids 34kg",3,IF(Atletas!D475="Kids 36kg",4,IF(Atletas!D475="Kids 39kg",5,IF(Atletas!D475="Kids 42kg",6,IF(Atletas!D475="Kids 45kg",7, IF(Atletas!D475="Infantil 39kg",8,IF(Atletas!D475="Infantil 42kg",9,IF(Atletas!D475="Infantil 45kg",10,IF(Atletas!D475="Infantil 48kg",11,IF(Atletas!D475="Infantil 52kg",12,IF(Atletas!D475="Infantil 56kg",13,IF(Atletas!D475="Infantil 60kg",14,IF(Atletas!D475="Juvenil 48kg",15,IF(Atletas!D475="Juvenil 52kg",16,IF(Atletas!D475="Juvenil 56kg",17,IF(Atletas!D475="Juvenil 60kg",18,IF(Atletas!D475="Juvenil 65kg",19,IF(Atletas!D475="Juvenil 70kg",20,IF(Atletas!D475="Juvenil 75kg",21,IF(Atletas!D475="Juvenil 80kg",22, IF(Atletas!D475="Juvenil 85kg",23,IF(Atletas!D475="Adulto 48kg",24,IF(Atletas!D475="Adulto 52kg",25,IF(Atletas!D475="Adulto 56kg",26,IF(Atletas!D475="Adulto 60kg",27,IF(Atletas!D475="Adulto 65kg",28,IF(Atletas!D475="Adulto 70kg",29,IF(Atletas!D475="Adulto 75kg",30,IF(Atletas!D475="Adulto 80kg",31,IF(Atletas!D475="Adulto 85kg",32,IF(Atletas!D475="Adulto 90kg",33,IF(Atletas!D475="Adulto 100kg",34, IF(Atletas!D475="Adulto +100kg",35,"")))))))))))))))))))))))))))))))))))))</f>
        <v/>
      </c>
      <c r="AS484" s="6" t="str">
        <f>IF(Atletas!E475="","",IF(Atletas!B475="Feminino",100,IF(Atletas!B475="Masculino",200,""))+(IF(Atletas!E475="Juvenil 44kg",1,IF(Atletas!E475="Juvenil 48kg",2,IF(Atletas!E475="Juvenil 52kg",3,IF(Atletas!E475="Juvenil 56kg",4,IF(Atletas!E475="Juvenil 60kg",5,IF(Atletas!E475="Juvenil 65kg",6,IF(Atletas!E475="Juvenil 70kg",7,IF(Atletas!E475="Juvenil 75kg",8,IF(Atletas!E475="Juvenil 82kg",9,IF(Atletas!E475="Juvenil 90kg",10,IF(Atletas!E475="Juvenil 100kg",11,IF(Atletas!E475="Adulto 48kg",12,IF(Atletas!E475="Adulto 52kg",13,IF(Atletas!E475="Adulto 56kg",14,IF(Atletas!E475="Adulto 60kg",15,IF(Atletas!E475="Adulto 65kg",16,IF(Atletas!E475="Adulto 70kg",17,IF(Atletas!E475="Adulto 75kg",18,IF(Atletas!E475="Adulto 82kg",19,IF(Atletas!E475="Adulto 90kg",20,IF(Atletas!E475="Adulto 100kg",21,IF(Atletas!E475="Adulto +100kg",22,""))))))))))))))))))))))))</f>
        <v/>
      </c>
      <c r="AX484" s="6" t="str">
        <f>IF(Atletas!F475="","",IF(Atletas!B475="Feminino",100,IF(Atletas!B475="Masculino",200,""))+(IF(Atletas!F475="Adulto 48kg",1,IF(Atletas!F475="Adulto 56kg",2,IF(Atletas!F475="Adulto 65kg",3,IF(Atletas!F475="Adulto 75kg",4,IF(Atletas!F475="Adulto +75kg",5,IF(Atletas!F475="Adulto 52kg",6,IF(Atletas!F475="Adulto 60kg",7,IF(Atletas!F475="Adulto 70kg",8,IF(Atletas!F475="Adulto 80kg",9,IF(Atletas!F475="Adulto 90kg",10,IF(Atletas!F475="Adulto +90kg",11,"")))))))))))))</f>
        <v/>
      </c>
      <c r="BC484" s="6" t="str">
        <f>IF(Atletas!G475="","",IF(Atletas!B475="Feminino",10,IF(Atletas!B475="Masculino",20,""))+(IF(Atletas!G475="Baduanjin A",1,IF(Atletas!G475="Baduanjin B",2))))</f>
        <v/>
      </c>
      <c r="BF484" s="52" t="str">
        <f>IF(Atletas!H475="","",IF(Atletas!B475="Feminino",100,IF(Atletas!B475="Masculino",200,""))+(IF(Atletas!H475="Changquan Mirim",1,IF(Atletas!H475="Nanquan Mirim",2,IF(Atletas!H475="Taijiquan Mirim",3,IF(Atletas!H475="Changquan Grupo C",4,IF(Atletas!H475="Nanquan Grupo C",5,IF(Atletas!H475="Taijiquan Grupo C",6,IF(Atletas!H475="Changquan Grupo B",7,IF(Atletas!H475="Nanquan Grupo B",8,IF(Atletas!H475="Taijiquan Grupo B",9,IF(Atletas!H475="Changquan Grupo A",10,IF(Atletas!H475="Nanquan Grupo A",11,IF(Atletas!H475="Taijiquan Grupo A",12,IF(Atletas!H475="Changquan Opcional",13,IF(Atletas!H475="Nanquan Opcional",14,IF(Atletas!H475="Taijiquan Opcional",15,IF(Atletas!H475="Changquan Adulto",16,IF(Atletas!H475="Nanquan Adulto",17,IF(Atletas!H475="Taijiquan Adulto",18,""))))))))))))))))))))</f>
        <v/>
      </c>
      <c r="BG484" s="52" t="str">
        <f>IF(Atletas!I475="","",IF(Atletas!B475="Feminino",100,IF(Atletas!B475="Masculino",200,""))+(IF(Atletas!I475="Daoshu Mirim",19,IF(Atletas!I475="Jianshu Mirim",20,IF(Atletas!I475="Nandao Mirim",21,IF(Atletas!I475="Taijijian Mirim",22,IF(Atletas!I475="Daoshu Grupo C",23,IF(Atletas!I475="Jianshu Grupo C",24,IF(Atletas!I475="Nandao Grupo C",25,IF(Atletas!I475="Taijijian Grupo C",26,IF(Atletas!I475="Daoshu Grupo B",27,IF(Atletas!I475="Jianshu Grupo B",28,IF(Atletas!I475="Nandao Grupo B",29,IF(Atletas!I475="Taijijian Grupo B",30,IF(Atletas!I475="Daoshu Grupo A",31,IF(Atletas!I475="Jianshu Grupo A",32,IF(Atletas!I475="Nandao Grupo A",33,IF(Atletas!I475="Taijijian Grupo A",34,IF(Atletas!I475="Daoshu Opcional",35,IF(Atletas!I475="Jianshu Opcional",36,IF(Atletas!I475="Nandao Opcional",37,IF(Atletas!I475="Taijijian Opcional",38,IF(Atletas!I475="Daoshu Adulto",39,IF(Atletas!I475="Jianshu Adulto",40,IF(Atletas!I475="Nandao Adulto",41,IF(Atletas!I475="Taijijian Adulto",42,""))))))))))))))))))))))))))</f>
        <v/>
      </c>
      <c r="BH484" s="52" t="str">
        <f>IF(Atletas!J475="","",IF(Atletas!B475="Feminino",100,IF(Atletas!B475="Masculino",200,""))+(IF(Atletas!J475="Gunshu Mirim",43,IF(Atletas!J475="Qiangshu Mirim",44,IF(Atletas!J475="Nangun Mirim",45,IF(Atletas!J475="Gunshu Grupo C",46,IF(Atletas!J475="Qiangshu Grupo C",47,IF(Atletas!J475="Nangun Grupo C",48,IF(Atletas!J475="Gunshu Grupo B",49,IF(Atletas!J475="Qiangshu Grupo B",50,IF(Atletas!J475="Nangun Grupo B",51,IF(Atletas!J475="Gunshu Grupo A",52,IF(Atletas!J475="Qiangshu Grupo A",53,IF(Atletas!J475="Nangun Grupo A",54,IF(Atletas!J475="Gunshu Opcional",55,IF(Atletas!J475="Qiangshu Opcional",56,IF(Atletas!J475="Nangun Opcional",57,IF(Atletas!J475="Gunshu Adulto",58,IF(Atletas!J475="Qiangshu Adulto",59,IF(Atletas!J475="Nangun Adulto",60,IF(Atletas!J475="Taijishan Grupo B",61,IF(Atletas!J475="Taijishan Grupo A",62,""))))))))))))))))))))))</f>
        <v/>
      </c>
      <c r="BM484" s="50" t="str">
        <f>IF(Atletas!K475="","",IF(Atletas!B475="Feminino",100,IF(Atletas!B475="Masculino",200,""))+(IF(Atletas!K475="Equipe 1 Grupo B",1,IF(Atletas!K475="Equipe 2 Grupo B",2,IF(Atletas!K475="Equipe 1 Grupo A",3,IF(Atletas!K475="Equipe 2 Grupo A",4,IF(Atletas!K475="Equipe 1 Adulto",5,IF(Atletas!K475="Equipe 2 Adulto",6,""))))))))</f>
        <v/>
      </c>
      <c r="BR484" s="50" t="str">
        <f>IF(Atletas!L475="","",IF(Atletas!X475&lt;&gt;"",10000,0)+(IF(Atletas!B475="Feminino",1000,IF(Atletas!B475="Masculino",2000,""))+IF(Atletas!L475="Choylayfut A",1,IF(Atletas!L475="Hunggar A",2,IF(Atletas!L475="Wuzuquan A",3,IF(Atletas!L475="Wingchun A",4,IF(Atletas!L475="Outra Mão de Sul A",5,IF(Atletas!L475="Choylayfut B",6,IF(Atletas!L475="Hunggar B",7,IF(Atletas!L475="Wuzuquan B",8,IF(Atletas!L475="Wingchun B",9,IF(Atletas!L475="Outra Mão de Sul B",10,IF(Atletas!L475="Choylayfut C",11,IF(Atletas!L475="Hunggar C",12,IF(Atletas!L475="Wuzuquan C",13,IF(Atletas!L475="Wingchun C",14,IF(Atletas!L475="Outra Mão de Sul C",15,IF(Atletas!L475="Choylayfut D",16,IF(Atletas!L475="Hunggar D",17,IF(Atletas!L475="Wuzuquan D",18,IF(Atletas!L475="Wingchun D",19,IF(Atletas!L475="Outra Mão de Sul D",20,IF(Atletas!L475="Choylayfut E",21,IF(Atletas!L475="Hunggar E",22,IF(Atletas!L475="Wuzuquan E",23,IF(Atletas!L475="Wingchun E",24,IF(Atletas!L475="Outra Mão de Sul E",25,IF(Atletas!L475="Choylayfut F",26,IF(Atletas!L475="Hunggar F",27,IF(Atletas!L475="Wuzuquan F",28,IF(Atletas!L475="Wingchun F",29,IF(Atletas!L475="Outra Mão de Sul F",30,IF(Atletas!L475="Dishuquan A",31,IF(Atletas!L475="Dishuquan B",32,IF(Atletas!L475="Dishuquan C",33,IF(Atletas!L475="Dishuquan D",34,IF(Atletas!L475="Dishuquan E",35,IF(Atletas!L475="Dishuquan F",36,""))))))))))))))))))))))))))))))))))))))</f>
        <v/>
      </c>
      <c r="BS484" s="50" t="str">
        <f>IF(Atletas!M475="","",IF(Atletas!X475&lt;&gt;"",10000,0)+(IF(Atletas!B475="Feminino",1000,IF(Atletas!B475="Masculino",2000,""))+(IF(Atletas!M475="Chaquan A",101,IF(Atletas!M475="Emeiquan A",102,IF(Atletas!M475="Fanziquan A",103,IF(Atletas!M475="Huaquan A",104,IF(Atletas!M475="Hongquan A",105,IF(Atletas!M475="Paoquan A",106,IF(Atletas!M475="Piguaquan A",107,IF(Atletas!M475="Shaolinquan A",108,IF(Atletas!M475="Tanglangquan A",109,IF(Atletas!M475="Yingzhaoquan A",110,IF(Atletas!M475="Tongbeiquan A",111,IF(Atletas!M475="Wudangquan A",112,IF(Atletas!M475="Outros Estilos A",113,IF(Atletas!M475="Chaquan B",114,IF(Atletas!M475="Emeiquan B",115,IF(Atletas!M475="Fanziquan B",116,IF(Atletas!M475="Huaquan B",117,IF(Atletas!M475="Hongquan B",118,IF(Atletas!M475="Paoquan B",119,IF(Atletas!M475="Piguaquan B",120,IF(Atletas!M475="Shaolinquan B",121,IF(Atletas!M475="Tanglangquan B",122,IF(Atletas!M475="Yingzhaoquan B",123,IF(Atletas!M475="Tongbeiquan B",124,IF(Atletas!M475="Wudangquan B",125,IF(Atletas!M475="Outros Estilos B",126,IF(Atletas!M475="Chaquan C",127,IF(Atletas!M475="Emeiquan C",128,IF(Atletas!M475="Fanziquan C",129,IF(Atletas!M475="Huaquan C",130,IF(Atletas!M475="Hongquan C",131,IF(Atletas!M475="Paoquan C",132,IF(Atletas!M475="Piguaquan C",133,IF(Atletas!M475="Shaolinquan C",134,IF(Atletas!M475="Tanglangquan C",135,IF(Atletas!M475="Yingzhaoquan C",136,IF(Atletas!M475="Tongbeiquan C",137,IF(Atletas!M475="Wudangquan C",138,IF(Atletas!M475="Outros Estilos C",139,0))))))))))))))))))))))))))))))))))))))))))</f>
        <v/>
      </c>
      <c r="BT484" s="50" t="str">
        <f>IF(Atletas!M475="","",IF(Atletas!X475&lt;&gt;"",10000,0)+(IF(Atletas!B475="Feminino",1000,IF(Atletas!B475="Masculino",2000,""))+(IF(Atletas!M475="Chaquan D",140,IF(Atletas!M475="Emeiquan D",141,IF(Atletas!M475="Fanziquan D",142,IF(Atletas!M475="Huaquan D",143,IF(Atletas!M475="Hongquan D",144,IF(Atletas!M475="Paoquan D",145,IF(Atletas!M475="Piguaquan D",146,IF(Atletas!M475="Shaolinquan D",147,IF(Atletas!M475="Tanglangquan D",148,IF(Atletas!M475="Yingzhaoquan D",149,IF(Atletas!M475="Tongbeiquan D",150,IF(Atletas!M475="Wudangquan D",151,IF(Atletas!M475="Outros Estilos D",152,IF(Atletas!M475="Chaquan E",153,IF(Atletas!M475="Emeiquan E",154,IF(Atletas!M475="Fanziquan E",155,IF(Atletas!M475="Huaquan E",156,IF(Atletas!M475="Hongquan E",157,IF(Atletas!M475="Paoquan E",158,IF(Atletas!M475="Piguaquan E",159,IF(Atletas!M475="Shaolinquan E",160,IF(Atletas!M475="Tanglangquan E",161,IF(Atletas!M475="Yingzhaoquan E",162,IF(Atletas!M475="Tongbeiquan E",163,IF(Atletas!M475="Wudangquan E",164,IF(Atletas!M475="Outros Estilos E",165,IF(Atletas!M475="Chaquan F",166,IF(Atletas!M475="Emeiquan F",167,IF(Atletas!M475="Fanziquan F",168,IF(Atletas!M475="Huaquan F",169,IF(Atletas!M475="Hongquan F",170,IF(Atletas!M475="Paoquan F",171,IF(Atletas!M475="Piguaquan F",172,IF(Atletas!M475="Shaolinquan F",173,IF(Atletas!M475="Tanglangquan F",174,IF(Atletas!M475="Yingzhaoquan F",175,IF(Atletas!M475="Tongbeiquan F",176,IF(Atletas!M475="Wudangquan F",177,IF(Atletas!M475="Outros Estilos F",178,0))))))))))))))))))))))))))))))))))))))))))</f>
        <v/>
      </c>
      <c r="BU484" s="50" t="str">
        <f>IF(Atletas!N475="","",IF(Atletas!X475&lt;&gt;"",10000,0)+(IF(Atletas!B475="Feminino",1000,IF(Atletas!B475="Masculino",2000,""))+(IF(Atletas!N475="Ditangquan A",201,IF(Atletas!N475="Houquan A",202,IF(Atletas!N475="Zuiquan A",203,IF(Atletas!N475="Ditangquan B",204,IF(Atletas!N475="Houquan B",205,IF(Atletas!N475="Zuiquan B",206,IF(Atletas!N475="Ditangquan C",207,IF(Atletas!N475="Houquan C",208,IF(Atletas!N475="Zuiquan C",209,IF(Atletas!N475="Ditangquan D",210,IF(Atletas!N475="Houquan D",211,IF(Atletas!N475="Zuiquan D",212,IF(Atletas!N475="Ditangquan E",213,IF(Atletas!N475="Houquan E",214,IF(Atletas!N475="Zuiquan E",215,IF(Atletas!N475="Ditangquan F",216,IF(Atletas!N475="Houquan F",217,IF(Atletas!N475="Zuiquan F",218,"")))))))))))))))))))))</f>
        <v/>
      </c>
      <c r="BV484" s="50" t="str">
        <f>IF(Atletas!O475="","",IF(Atletas!X475&lt;&gt;"",10000,0)+IF(Atletas!B475="Feminino",1000,IF(Atletas!B475="Masculino",2000,""))+IF(Atletas!O475="Yang A",301,IF(Atletas!O475="Chen A",302,IF(Atletas!O475="Sun A",303,IF(Atletas!O475="Wu A",304,IF(Atletas!O475="Wu-Hao A",305,IF(Atletas!O475="Outro Taijiquan A",306,IF(Atletas!O475="Yang B",307,IF(Atletas!O475="Chen B",308,IF(Atletas!O475="Sun B",309,IF(Atletas!O475="Wu B",310,IF(Atletas!O475="Wu-Hao B",311,IF(Atletas!O475="Outro Taijiquan B",312,IF(Atletas!O475="Yang C",313,IF(Atletas!O475="Chen C",314,IF(Atletas!O475="Sun C",315,IF(Atletas!O475="Wu C",316,IF(Atletas!O475="Wu-Hao C",317,IF(Atletas!O475="Outro Taijiquan C",318,IF(Atletas!O475="Yang D",319,IF(Atletas!O475="Chen D",320,IF(Atletas!O475="Sun D",321,IF(Atletas!O475="Wu D",322,IF(Atletas!O475="Wu-Hao D",323,IF(Atletas!O475="Outro Taijiquan D",324,IF(Atletas!O475="Yang E",325,IF(Atletas!O475="Chen E",326,IF(Atletas!O475="Sun E",327,IF(Atletas!O475="Wu E",328,IF(Atletas!O475="Wu-Hao E",329,IF(Atletas!O475="Outro Taijiquan E",330,IF(Atletas!O475="Yang F",331,IF(Atletas!O475="Chen F",332,IF(Atletas!O475="Sun F",333,IF(Atletas!O475="Wu F",334,IF(Atletas!O475="Wu-Hao F",335,IF(Atletas!O475="Outro Taijiquan F",336,"")))))))))))))))))))))))))))))))))))))</f>
        <v/>
      </c>
      <c r="BW484" s="50" t="str">
        <f>IF(Atletas!P475="","",IF(Atletas!X475&lt;&gt;"",10000,0)+IF(Atletas!B475="Feminino",1000,IF(Atletas!B475="Masculino",2000,""))+IF(OR(Atletas!P475="Yang 26 A",Atletas!P475="Yang 40 A"),401,IF(OR(Atletas!P475="Chen 25 A",Atletas!P475="Chen 36 A",Atletas!P475="Chen 56 A"),402,IF(Atletas!P475="Sun 73 A",403,IF(Atletas!P475="Wu 45 A",404,IF(Atletas!P475="Wu-Hao 46 A",405,IF(OR(Atletas!P475="Taijiquan 16 A",Atletas!P475="Taijiquan 24 A",Atletas!P475="Taijiquan 32 A",Atletas!P475="Taijiquan 42 A"),406,IF(OR(Atletas!P475="Yang 26 B",Atletas!P475="Yang 40 B"),407,IF(OR(Atletas!P475="Chen 25 B",Atletas!P475="Chen 36 B",Atletas!P475="Chen 56 B"),408,IF(Atletas!P475="Sun 73 B",409,IF(Atletas!P475="Wu 45 B",410,IF(Atletas!P475="Wu-Hao 46 B",411,IF(OR(Atletas!P475="Taijiquan 16 B",Atletas!P475="Taijiquan 24 B",Atletas!P475="Taijiquan 32 B",Atletas!P475="Taijiquan 42 B"),412,IF(OR(Atletas!P475="Yang 26 C",Atletas!P475="Yang 40 C"),413,IF(OR(Atletas!P475="Chen 25 C",Atletas!P475="Chen 36 C",Atletas!P475="Chen 56 C"),414,IF(Atletas!P475="Sun 73 C",415,IF(Atletas!P475="Wu 45 C",416,IF(Atletas!P475="Wu-Hao 46 C",417,IF(OR(Atletas!P475="Taijiquan 16 C",Atletas!P475="Taijiquan 24 C",Atletas!P475="Taijiquan 32 C",Atletas!P475="Taijiquan 42 C"),418,0)))))))))))))))))))</f>
        <v/>
      </c>
      <c r="BX484" s="50" t="str">
        <f>IF(Atletas!P475="","",IF(Atletas!X475&lt;&gt;"",10000,0)+IF(Atletas!B475="Feminino",1000,IF(Atletas!B475="Masculino",2000,""))+IF(OR(Atletas!P475="Yang 26 D",Atletas!P475="Yang 40 D"),419,IF(OR(Atletas!P475="Chen 25 D",Atletas!P475="Chen 36 D",Atletas!P475="Chen 56 D"),420,IF(Atletas!P475="Sun 73 D",421,IF(Atletas!P475="Wu 45 D",422,IF(Atletas!P475="Wu-Hao 46 D",423,IF(OR(Atletas!P475="Taijiquan 16 D",Atletas!P475="Taijiquan 24 D",Atletas!P475="Taijiquan 32 D",Atletas!P475="Taijiquan 42 D"),424,IF(OR(Atletas!P475="Yang 26 E",Atletas!P475="Yang 40 E"),425,IF(OR(Atletas!P475="Chen 25 E",Atletas!P475="Chen 36 E",Atletas!P475="Chen 56 E"),426,IF(Atletas!P475="Sun 73 E",427,IF(Atletas!P475="Wu 45 E",428,IF(Atletas!P475="Wu-Hao 46 E",429,IF(OR(Atletas!P475="Taijiquan 16 E",Atletas!P475="Taijiquan 24 E",Atletas!P475="Taijiquan 32 E",Atletas!P475="Taijiquan 42 E"),430,IF(OR(Atletas!P475="Yang 26 F",Atletas!P475="Yang 40 F"),431,IF(OR(Atletas!P475="Chen 25 F",Atletas!P475="Chen 36 F",Atletas!P475="Chen 56 F"),432,IF(Atletas!P475="Sun 73 F",433,IF(Atletas!P475="Wu 45 F",434,IF(Atletas!P475="Wu-Hao 46 F",435,IF(OR(Atletas!P475="Taijiquan 16 F",Atletas!P475="Taijiquan 24 F",Atletas!P475="Taijiquan 32 F",Atletas!P475="Taijiquan 42 F"),436,0)))))))))))))))))))</f>
        <v/>
      </c>
      <c r="BY484" s="50" t="str">
        <f>IF(Atletas!Q475="","",IF(Atletas!X475&lt;&gt;"",10000,0)+IF(Atletas!B475="Feminino",1000,IF(Atletas!B475="Masculino",2000,""))+IF(Atletas!Q475="Xingyiquan A",501,IF(Atletas!Q475="Baguazhang A",502,IF(Atletas!Q475="Outro Estilo Interno A",503,IF(Atletas!Q475="Xingyiquan B",504,IF(Atletas!Q475="Baguazhang B",505,IF(Atletas!Q475="Outro Estilo Interno B",506,IF(Atletas!Q475="Xingyiquan C",507,IF(Atletas!Q475="Baguazhang C",508,IF(Atletas!Q475="Outro Estilo Interno C",509,IF(Atletas!Q475="Xingyiquan D",510,IF(Atletas!Q475="Baguazhang D",511,IF(Atletas!Q475="Outro Estilo Interno D",512,IF(Atletas!Q475="Xingyiquan E",513,IF(Atletas!Q475="Baguazhang E",514,IF(Atletas!Q475="Outro Estilo Interno E",515,IF(Atletas!Q475="Xingyiquan F",516,IF(Atletas!Q475="Baguazhang F",517,IF(Atletas!Q475="Outro Estilo Interno F",518, "")))))))))))))))))))</f>
        <v/>
      </c>
      <c r="BZ484" s="50" t="str">
        <f>IF(Atletas!R475="","",IF(Atletas!X475&lt;&gt;"",10000,0)+IF(Atletas!B475="Feminino",1000,IF(Atletas!B475="Masculino",2000,""))+IF(Atletas!R475="Dao A",601,IF(Atletas!R475="Jian A",602,IF(Atletas!R475="Bishou A",603,IF(Atletas!R475="Shanzi A",604,IF(Atletas!R475="Outra Arma Curta A",605,IF(Atletas!R475="Dao B",606,IF(Atletas!R475="Jian B",607,IF(Atletas!R475="Bishou B",608,IF(Atletas!R475="Shanzi B",609,IF(Atletas!R475="Outra Arma Curta B",610,IF(Atletas!R475="Dao C",611,IF(Atletas!R475="Jian C",612,IF(Atletas!R475="Bishou C",613,IF(Atletas!R475="Shanzi C",614,IF(Atletas!R475="Outra Arma Curta C",615,IF(Atletas!R475="Dao D",616,IF(Atletas!R475="Jian D",617,IF(Atletas!R475="Bishou D",618,IF(Atletas!R475="Shanzi D",619,IF(Atletas!R475="Outra Arma Curta D",620,IF(Atletas!R475="Dao E",621,IF(Atletas!R475="Jian E",622,IF(Atletas!R475="Bishou E",623,IF(Atletas!R475="Shanzi E",624,IF(Atletas!R475="Outra Arma Curta E",625,IF(Atletas!R475="Dao F",626,IF(Atletas!R475="Jian F",627,IF(Atletas!R475="Bishou F",628,IF(Atletas!R475="Shanzi F",629,IF(Atletas!R475="Outra Arma Curta F",630, "")))))))))))))))))))))))))))))))</f>
        <v/>
      </c>
      <c r="CA484" s="50" t="str">
        <f>IF(Atletas!S475="","",IF(Atletas!X475&lt;&gt;"",10000,0)+IF(Atletas!B475="Feminino",1000,IF(Atletas!B475="Masculino",2000,""))+IF(Atletas!S475="Gun A",701,IF(Atletas!S475="Qiang A",702,IF(Atletas!S475="Pudao / Guandao A",703,IF(Atletas!S475="Outra Arma Longa A",704,IF(Atletas!S475="Gun B",705,IF(Atletas!S475="Qiang B",706,IF(Atletas!S475="Pudao / Guandao B",707,IF(Atletas!S475="Outra Arma Longa B",708,IF(Atletas!S475="Gun C",709,IF(Atletas!S475="Qiang C",710,IF(Atletas!S475="Pudao / Guandao C",711,IF(Atletas!S475="Outra Arma Longa C",712,IF(Atletas!S475="Gun D",713,IF(Atletas!S475="Qiang D",714,IF(Atletas!S475="Pudao / Guandao D",715,IF(Atletas!S475="Outra Arma Longa D",716,IF(Atletas!S475="Gun E",717,IF(Atletas!S475="Qiang E",718,IF(Atletas!S475="Pudao / Guandao E",719,IF(Atletas!S475="Outra Arma Longa E",720,IF(Atletas!S475="Gun F",721,IF(Atletas!S475="Qiang F",722,IF(Atletas!S475="Pudao / Guandao F",723,IF(Atletas!S475="Outra Arma Longa F",724,"")))))))))))))))))))))))))</f>
        <v/>
      </c>
      <c r="CB484" s="50" t="str">
        <f>IF(Atletas!T475="","",IF(Atletas!X475&lt;&gt;"",10000,0)+IF(Atletas!B475="Feminino",1000,IF(Atletas!B475="Masculino",2000,""))+IF(Atletas!T475="Outra Arma Dupla A",801,IF(Atletas!T475="Arma Maleável A",802,IF(Atletas!T475="Outra Arma Dupla B",803,IF(Atletas!T475="Arma Maleável B",804,IF(Atletas!T475="Outra Arma Dupla C",805,IF(Atletas!T475="Arma Maleável C",806,IF(Atletas!T475="Outra Arma Dupla D",807,IF(Atletas!T475="Arma Maleável D",808,IF(Atletas!T475="Outra Arma Dupla E",809,IF(Atletas!T475="Arma Maleável E",810,IF(Atletas!T475="Outra Arma Dupla F",811,IF(Atletas!T475="Arma Maleável F",812,IF(Atletas!T475="Shuangdao A",813,IF(Atletas!T475="Shuangdao B",814,IF(Atletas!T475="Shuangdao C",815,IF(Atletas!T475="Shuangdao D",816,IF(Atletas!T475="Shuangdao E",817,IF(Atletas!T475="Shuangdao F",818,"")))))))))))))))))))</f>
        <v/>
      </c>
      <c r="CC484" s="50" t="str">
        <f>IF(Atletas!U475="","",IF(Atletas!X475&lt;&gt;"",10000,0)+IF(Atletas!B475="Feminino",1000,IF(Atletas!B475="Masculino",2000,""))+IF(OR(Atletas!U475="Taijijian Yang A",Atletas!U475="Taijijian Yang Standard A"),901,IF(OR(Atletas!U475="Taijijian Chen A", Atletas!U475="Taijijian Chen Standard A"),902,IF(Atletas!U475="Taijijian Sun A",903,IF(Atletas!U475="Taijijian Wu A",904,IF(Atletas!U475="Taijijian Wu-Hao A",905,IF(OR(Atletas!U475="Taijijian 32 A",Atletas!U475="Taijijian 42 A"),906,IF(OR(Atletas!U475="Taijijian Yang B",Atletas!U475="Taijijian Yang Standard B"),907,IF(OR(Atletas!U475="Taijijian Chen B", Atletas!U475="Taijijian Chen Standard B"),908,IF(Atletas!U475="Taijijian Sun B",909,IF(Atletas!U475="Taijijian Wu B",910,IF(Atletas!U475="Taijijian Wu-Hao B",911,IF(OR(Atletas!U475="Taijijian 32 B",Atletas!U475="Taijijian 42 B"),912,IF(OR(Atletas!U475="Taijijian Yang C",Atletas!U475="Taijijian Yang Standard C"),913,IF(OR(Atletas!U475="Taijijian Chen C", Atletas!U475="Taijijian Chen Standard C"),914,IF(Atletas!U475="Taijijian Sun C",915,IF(Atletas!U475="Taijijian Wu C",916,IF(Atletas!U475="Taijijian Wu-Hao C",917,IF(OR(Atletas!U475="Taijijian 32 C",Atletas!U475="Taijijian 42 C"),918,IF(OR(Atletas!U475="Taijijian Yang D",Atletas!U475="Taijijian Yang Standard D"),919,IF(OR(Atletas!U475="Taijijian Chen D", Atletas!U475="Taijijian Chen Standard D"),920,IF(Atletas!U475="Taijijian Sun D",921,IF(Atletas!U475="Taijijian Wu D",922,IF(Atletas!U475="Taijijian Wu-Hao D",923,IF(OR(Atletas!U475="Taijijian 32 D",Atletas!U475="Taijijian 42 D"),924,IF(OR(Atletas!U475="Taijijian Yang E",Atletas!U475="Taijijian Yang Standard E"),925,IF(OR(Atletas!U475="Taijijian Chen E", Atletas!U475="Taijijian Chen Standard E"),926,IF(Atletas!U475="Taijijian Sun E",927,IF(Atletas!U475="Taijijian Wu E",928,IF(Atletas!U475="Taijijian Wu-Hao E",929,IF(OR(Atletas!U475="Taijijian 32 E",Atletas!U475="Taijijian 42 E"),930,IF(OR(Atletas!U475="Taijijian Yang F",Atletas!U475="Taijijian Yang Standard F"),931,IF(OR(Atletas!U475="Taijijian Chen F", Atletas!U475="Taijijian Chen Standard F"),932,IF(Atletas!U475="Taijijian Sun F",933,IF(Atletas!U475="Taijijian Wu F",934,IF(Atletas!U475="Taijijian Wu-Hao F",935,IF(OR(Atletas!U475="Taijijian 32 F",Atletas!U475="Taijijian 42 F"),936,"")))))))))))))))))))))))))))))))))))))</f>
        <v/>
      </c>
      <c r="CD484" s="50" t="str">
        <f>IF(Atletas!V475="","",IF(Atletas!X475&lt;&gt;"",10000,0)+IF(Atletas!B475="Feminino",1000,IF(Atletas!B475="Masculino",2000,""))+IF(Atletas!V475="Taijidao A",937,IF(Atletas!V475="TaijiShanzi A",938,IF(Atletas!V475="Taijiqiang A",939,IF(Atletas!V475="Bagua de Arma A",940,IF(Atletas!V475="Xingyi de Arma A",941,IF(Atletas!V475="Taijidao B",942,IF(Atletas!V475="TaijiShanzi B",943,IF(Atletas!V475="Taijiqiang B",944,IF(Atletas!V475="Bagua de Arma B",945,IF(Atletas!V475="Xingyi de Arma B",946,IF(Atletas!V475="Taijidao C",947,IF(Atletas!V475="TaijiShanzi C",948,IF(Atletas!V475="Taijiqiang C",949,IF(Atletas!V475="Bagua de Arma C",950,IF(Atletas!V475="Xingyi de Arma C",951,IF(Atletas!V475="Taijidao D",952,IF(Atletas!V475="TaijiShanzi D",953,IF(Atletas!V475="Taijiqiang D",954,IF(Atletas!V475="Bagua de Arma D",955,IF(Atletas!V475="Xingyi de Arma D",956,IF(Atletas!V475="Taijidao E",957,IF(Atletas!V475="TaijiShanzi E",958,IF(Atletas!V475="Taijiqiang E",959,IF(Atletas!V475="Bagua de Arma E",960,IF(Atletas!V475="Xingyi de Arma E",961,IF(Atletas!V475="Taijidao F",962,IF(Atletas!V475="TaijiShanzi F",963,IF(Atletas!V475="Taijiqiang F",964,IF(Atletas!V475="Bagua de Arma F",965,IF(Atletas!V475="Xingyi de Arma F",966,"")))))))))))))))))))))))))))))))</f>
        <v/>
      </c>
      <c r="CM484" s="50" t="str">
        <f xml:space="preserve"> IF(Atletas!W475="","",IF(Atletas!W475="Duilian de Mãos BC - Equipe 1",1,IF(Atletas!W475="Duilian de Mãos BC - Equipe 2",2,IF(Atletas!W475="Duilian de Armas BC - Equipe 1",3,IF(Atletas!W475="Duilian de Armas BC - Equipe 2",4,IF(Atletas!W475="Duilian de Mãos DE - Equipe 1",5,IF(Atletas!W475="Duilian de Mãos DE - Equipe 2",6,IF(Atletas!W475="Duilian de Armas DE - Equipe 1",7,IF(Atletas!W475="Duilian de Armas DE - Equipe 2",8,IF(Atletas!W475="Duilian de Tuishou - Equipe 1",9,IF(Atletas!W475="Duilian de Tuishou - Equipe 2",10,IF(Atletas!W475="Grupo Externo ABC - Equipe 1",11,IF(Atletas!W475="Grupo Externo ABC - Equipe 2",12,IF(Atletas!W475="Grupo Interno ABC - Equipe 1",13,IF(Atletas!W475="Grupo Interno ABC - Equipe 2",14,IF(Atletas!W475="Grupo Externo DEF - Equipe 1",15,IF(Atletas!W475="Grupo Externo DEF - Equipe 2",16,IF(Atletas!W475="Grupo Interno DEF - Equipe 1",17,IF(Atletas!W475="Grupo Interno DEF - Equipe 2",18,"")))))))))))))))))))</f>
        <v/>
      </c>
    </row>
    <row r="485" spans="40:91">
      <c r="AN485" s="52" t="str">
        <f>IF(Atletas!D476="","",IF(Atletas!B476="Feminino",100,IF(Atletas!B476="Masculino",200,""))+(IF(Atletas!D476="Kids 30kg",1,IF(Atletas!D476="Kids 32kg",2, IF(Atletas!D476="Kids 34kg",3,IF(Atletas!D476="Kids 36kg",4,IF(Atletas!D476="Kids 39kg",5,IF(Atletas!D476="Kids 42kg",6,IF(Atletas!D476="Kids 45kg",7, IF(Atletas!D476="Infantil 39kg",8,IF(Atletas!D476="Infantil 42kg",9,IF(Atletas!D476="Infantil 45kg",10,IF(Atletas!D476="Infantil 48kg",11,IF(Atletas!D476="Infantil 52kg",12,IF(Atletas!D476="Infantil 56kg",13,IF(Atletas!D476="Infantil 60kg",14,IF(Atletas!D476="Juvenil 48kg",15,IF(Atletas!D476="Juvenil 52kg",16,IF(Atletas!D476="Juvenil 56kg",17,IF(Atletas!D476="Juvenil 60kg",18,IF(Atletas!D476="Juvenil 65kg",19,IF(Atletas!D476="Juvenil 70kg",20,IF(Atletas!D476="Juvenil 75kg",21,IF(Atletas!D476="Juvenil 80kg",22, IF(Atletas!D476="Juvenil 85kg",23,IF(Atletas!D476="Adulto 48kg",24,IF(Atletas!D476="Adulto 52kg",25,IF(Atletas!D476="Adulto 56kg",26,IF(Atletas!D476="Adulto 60kg",27,IF(Atletas!D476="Adulto 65kg",28,IF(Atletas!D476="Adulto 70kg",29,IF(Atletas!D476="Adulto 75kg",30,IF(Atletas!D476="Adulto 80kg",31,IF(Atletas!D476="Adulto 85kg",32,IF(Atletas!D476="Adulto 90kg",33,IF(Atletas!D476="Adulto 100kg",34, IF(Atletas!D476="Adulto +100kg",35,"")))))))))))))))))))))))))))))))))))))</f>
        <v/>
      </c>
      <c r="AS485" s="6" t="str">
        <f>IF(Atletas!E476="","",IF(Atletas!B476="Feminino",100,IF(Atletas!B476="Masculino",200,""))+(IF(Atletas!E476="Juvenil 44kg",1,IF(Atletas!E476="Juvenil 48kg",2,IF(Atletas!E476="Juvenil 52kg",3,IF(Atletas!E476="Juvenil 56kg",4,IF(Atletas!E476="Juvenil 60kg",5,IF(Atletas!E476="Juvenil 65kg",6,IF(Atletas!E476="Juvenil 70kg",7,IF(Atletas!E476="Juvenil 75kg",8,IF(Atletas!E476="Juvenil 82kg",9,IF(Atletas!E476="Juvenil 90kg",10,IF(Atletas!E476="Juvenil 100kg",11,IF(Atletas!E476="Adulto 48kg",12,IF(Atletas!E476="Adulto 52kg",13,IF(Atletas!E476="Adulto 56kg",14,IF(Atletas!E476="Adulto 60kg",15,IF(Atletas!E476="Adulto 65kg",16,IF(Atletas!E476="Adulto 70kg",17,IF(Atletas!E476="Adulto 75kg",18,IF(Atletas!E476="Adulto 82kg",19,IF(Atletas!E476="Adulto 90kg",20,IF(Atletas!E476="Adulto 100kg",21,IF(Atletas!E476="Adulto +100kg",22,""))))))))))))))))))))))))</f>
        <v/>
      </c>
      <c r="AX485" s="6" t="str">
        <f>IF(Atletas!F476="","",IF(Atletas!B476="Feminino",100,IF(Atletas!B476="Masculino",200,""))+(IF(Atletas!F476="Adulto 48kg",1,IF(Atletas!F476="Adulto 56kg",2,IF(Atletas!F476="Adulto 65kg",3,IF(Atletas!F476="Adulto 75kg",4,IF(Atletas!F476="Adulto +75kg",5,IF(Atletas!F476="Adulto 52kg",6,IF(Atletas!F476="Adulto 60kg",7,IF(Atletas!F476="Adulto 70kg",8,IF(Atletas!F476="Adulto 80kg",9,IF(Atletas!F476="Adulto 90kg",10,IF(Atletas!F476="Adulto +90kg",11,"")))))))))))))</f>
        <v/>
      </c>
      <c r="BC485" s="6" t="str">
        <f>IF(Atletas!G476="","",IF(Atletas!B476="Feminino",10,IF(Atletas!B476="Masculino",20,""))+(IF(Atletas!G476="Baduanjin A",1,IF(Atletas!G476="Baduanjin B",2))))</f>
        <v/>
      </c>
      <c r="BF485" s="52" t="str">
        <f>IF(Atletas!H476="","",IF(Atletas!B476="Feminino",100,IF(Atletas!B476="Masculino",200,""))+(IF(Atletas!H476="Changquan Mirim",1,IF(Atletas!H476="Nanquan Mirim",2,IF(Atletas!H476="Taijiquan Mirim",3,IF(Atletas!H476="Changquan Grupo C",4,IF(Atletas!H476="Nanquan Grupo C",5,IF(Atletas!H476="Taijiquan Grupo C",6,IF(Atletas!H476="Changquan Grupo B",7,IF(Atletas!H476="Nanquan Grupo B",8,IF(Atletas!H476="Taijiquan Grupo B",9,IF(Atletas!H476="Changquan Grupo A",10,IF(Atletas!H476="Nanquan Grupo A",11,IF(Atletas!H476="Taijiquan Grupo A",12,IF(Atletas!H476="Changquan Opcional",13,IF(Atletas!H476="Nanquan Opcional",14,IF(Atletas!H476="Taijiquan Opcional",15,IF(Atletas!H476="Changquan Adulto",16,IF(Atletas!H476="Nanquan Adulto",17,IF(Atletas!H476="Taijiquan Adulto",18,""))))))))))))))))))))</f>
        <v/>
      </c>
      <c r="BG485" s="52" t="str">
        <f>IF(Atletas!I476="","",IF(Atletas!B476="Feminino",100,IF(Atletas!B476="Masculino",200,""))+(IF(Atletas!I476="Daoshu Mirim",19,IF(Atletas!I476="Jianshu Mirim",20,IF(Atletas!I476="Nandao Mirim",21,IF(Atletas!I476="Taijijian Mirim",22,IF(Atletas!I476="Daoshu Grupo C",23,IF(Atletas!I476="Jianshu Grupo C",24,IF(Atletas!I476="Nandao Grupo C",25,IF(Atletas!I476="Taijijian Grupo C",26,IF(Atletas!I476="Daoshu Grupo B",27,IF(Atletas!I476="Jianshu Grupo B",28,IF(Atletas!I476="Nandao Grupo B",29,IF(Atletas!I476="Taijijian Grupo B",30,IF(Atletas!I476="Daoshu Grupo A",31,IF(Atletas!I476="Jianshu Grupo A",32,IF(Atletas!I476="Nandao Grupo A",33,IF(Atletas!I476="Taijijian Grupo A",34,IF(Atletas!I476="Daoshu Opcional",35,IF(Atletas!I476="Jianshu Opcional",36,IF(Atletas!I476="Nandao Opcional",37,IF(Atletas!I476="Taijijian Opcional",38,IF(Atletas!I476="Daoshu Adulto",39,IF(Atletas!I476="Jianshu Adulto",40,IF(Atletas!I476="Nandao Adulto",41,IF(Atletas!I476="Taijijian Adulto",42,""))))))))))))))))))))))))))</f>
        <v/>
      </c>
      <c r="BH485" s="52" t="str">
        <f>IF(Atletas!J476="","",IF(Atletas!B476="Feminino",100,IF(Atletas!B476="Masculino",200,""))+(IF(Atletas!J476="Gunshu Mirim",43,IF(Atletas!J476="Qiangshu Mirim",44,IF(Atletas!J476="Nangun Mirim",45,IF(Atletas!J476="Gunshu Grupo C",46,IF(Atletas!J476="Qiangshu Grupo C",47,IF(Atletas!J476="Nangun Grupo C",48,IF(Atletas!J476="Gunshu Grupo B",49,IF(Atletas!J476="Qiangshu Grupo B",50,IF(Atletas!J476="Nangun Grupo B",51,IF(Atletas!J476="Gunshu Grupo A",52,IF(Atletas!J476="Qiangshu Grupo A",53,IF(Atletas!J476="Nangun Grupo A",54,IF(Atletas!J476="Gunshu Opcional",55,IF(Atletas!J476="Qiangshu Opcional",56,IF(Atletas!J476="Nangun Opcional",57,IF(Atletas!J476="Gunshu Adulto",58,IF(Atletas!J476="Qiangshu Adulto",59,IF(Atletas!J476="Nangun Adulto",60,IF(Atletas!J476="Taijishan Grupo B",61,IF(Atletas!J476="Taijishan Grupo A",62,""))))))))))))))))))))))</f>
        <v/>
      </c>
      <c r="BM485" s="50" t="str">
        <f>IF(Atletas!K476="","",IF(Atletas!B476="Feminino",100,IF(Atletas!B476="Masculino",200,""))+(IF(Atletas!K476="Equipe 1 Grupo B",1,IF(Atletas!K476="Equipe 2 Grupo B",2,IF(Atletas!K476="Equipe 1 Grupo A",3,IF(Atletas!K476="Equipe 2 Grupo A",4,IF(Atletas!K476="Equipe 1 Adulto",5,IF(Atletas!K476="Equipe 2 Adulto",6,""))))))))</f>
        <v/>
      </c>
      <c r="BR485" s="50" t="str">
        <f>IF(Atletas!L476="","",IF(Atletas!X476&lt;&gt;"",10000,0)+(IF(Atletas!B476="Feminino",1000,IF(Atletas!B476="Masculino",2000,""))+IF(Atletas!L476="Choylayfut A",1,IF(Atletas!L476="Hunggar A",2,IF(Atletas!L476="Wuzuquan A",3,IF(Atletas!L476="Wingchun A",4,IF(Atletas!L476="Outra Mão de Sul A",5,IF(Atletas!L476="Choylayfut B",6,IF(Atletas!L476="Hunggar B",7,IF(Atletas!L476="Wuzuquan B",8,IF(Atletas!L476="Wingchun B",9,IF(Atletas!L476="Outra Mão de Sul B",10,IF(Atletas!L476="Choylayfut C",11,IF(Atletas!L476="Hunggar C",12,IF(Atletas!L476="Wuzuquan C",13,IF(Atletas!L476="Wingchun C",14,IF(Atletas!L476="Outra Mão de Sul C",15,IF(Atletas!L476="Choylayfut D",16,IF(Atletas!L476="Hunggar D",17,IF(Atletas!L476="Wuzuquan D",18,IF(Atletas!L476="Wingchun D",19,IF(Atletas!L476="Outra Mão de Sul D",20,IF(Atletas!L476="Choylayfut E",21,IF(Atletas!L476="Hunggar E",22,IF(Atletas!L476="Wuzuquan E",23,IF(Atletas!L476="Wingchun E",24,IF(Atletas!L476="Outra Mão de Sul E",25,IF(Atletas!L476="Choylayfut F",26,IF(Atletas!L476="Hunggar F",27,IF(Atletas!L476="Wuzuquan F",28,IF(Atletas!L476="Wingchun F",29,IF(Atletas!L476="Outra Mão de Sul F",30,IF(Atletas!L476="Dishuquan A",31,IF(Atletas!L476="Dishuquan B",32,IF(Atletas!L476="Dishuquan C",33,IF(Atletas!L476="Dishuquan D",34,IF(Atletas!L476="Dishuquan E",35,IF(Atletas!L476="Dishuquan F",36,""))))))))))))))))))))))))))))))))))))))</f>
        <v/>
      </c>
      <c r="BS485" s="50" t="str">
        <f>IF(Atletas!M476="","",IF(Atletas!X476&lt;&gt;"",10000,0)+(IF(Atletas!B476="Feminino",1000,IF(Atletas!B476="Masculino",2000,""))+(IF(Atletas!M476="Chaquan A",101,IF(Atletas!M476="Emeiquan A",102,IF(Atletas!M476="Fanziquan A",103,IF(Atletas!M476="Huaquan A",104,IF(Atletas!M476="Hongquan A",105,IF(Atletas!M476="Paoquan A",106,IF(Atletas!M476="Piguaquan A",107,IF(Atletas!M476="Shaolinquan A",108,IF(Atletas!M476="Tanglangquan A",109,IF(Atletas!M476="Yingzhaoquan A",110,IF(Atletas!M476="Tongbeiquan A",111,IF(Atletas!M476="Wudangquan A",112,IF(Atletas!M476="Outros Estilos A",113,IF(Atletas!M476="Chaquan B",114,IF(Atletas!M476="Emeiquan B",115,IF(Atletas!M476="Fanziquan B",116,IF(Atletas!M476="Huaquan B",117,IF(Atletas!M476="Hongquan B",118,IF(Atletas!M476="Paoquan B",119,IF(Atletas!M476="Piguaquan B",120,IF(Atletas!M476="Shaolinquan B",121,IF(Atletas!M476="Tanglangquan B",122,IF(Atletas!M476="Yingzhaoquan B",123,IF(Atletas!M476="Tongbeiquan B",124,IF(Atletas!M476="Wudangquan B",125,IF(Atletas!M476="Outros Estilos B",126,IF(Atletas!M476="Chaquan C",127,IF(Atletas!M476="Emeiquan C",128,IF(Atletas!M476="Fanziquan C",129,IF(Atletas!M476="Huaquan C",130,IF(Atletas!M476="Hongquan C",131,IF(Atletas!M476="Paoquan C",132,IF(Atletas!M476="Piguaquan C",133,IF(Atletas!M476="Shaolinquan C",134,IF(Atletas!M476="Tanglangquan C",135,IF(Atletas!M476="Yingzhaoquan C",136,IF(Atletas!M476="Tongbeiquan C",137,IF(Atletas!M476="Wudangquan C",138,IF(Atletas!M476="Outros Estilos C",139,0))))))))))))))))))))))))))))))))))))))))))</f>
        <v/>
      </c>
      <c r="BT485" s="50" t="str">
        <f>IF(Atletas!M476="","",IF(Atletas!X476&lt;&gt;"",10000,0)+(IF(Atletas!B476="Feminino",1000,IF(Atletas!B476="Masculino",2000,""))+(IF(Atletas!M476="Chaquan D",140,IF(Atletas!M476="Emeiquan D",141,IF(Atletas!M476="Fanziquan D",142,IF(Atletas!M476="Huaquan D",143,IF(Atletas!M476="Hongquan D",144,IF(Atletas!M476="Paoquan D",145,IF(Atletas!M476="Piguaquan D",146,IF(Atletas!M476="Shaolinquan D",147,IF(Atletas!M476="Tanglangquan D",148,IF(Atletas!M476="Yingzhaoquan D",149,IF(Atletas!M476="Tongbeiquan D",150,IF(Atletas!M476="Wudangquan D",151,IF(Atletas!M476="Outros Estilos D",152,IF(Atletas!M476="Chaquan E",153,IF(Atletas!M476="Emeiquan E",154,IF(Atletas!M476="Fanziquan E",155,IF(Atletas!M476="Huaquan E",156,IF(Atletas!M476="Hongquan E",157,IF(Atletas!M476="Paoquan E",158,IF(Atletas!M476="Piguaquan E",159,IF(Atletas!M476="Shaolinquan E",160,IF(Atletas!M476="Tanglangquan E",161,IF(Atletas!M476="Yingzhaoquan E",162,IF(Atletas!M476="Tongbeiquan E",163,IF(Atletas!M476="Wudangquan E",164,IF(Atletas!M476="Outros Estilos E",165,IF(Atletas!M476="Chaquan F",166,IF(Atletas!M476="Emeiquan F",167,IF(Atletas!M476="Fanziquan F",168,IF(Atletas!M476="Huaquan F",169,IF(Atletas!M476="Hongquan F",170,IF(Atletas!M476="Paoquan F",171,IF(Atletas!M476="Piguaquan F",172,IF(Atletas!M476="Shaolinquan F",173,IF(Atletas!M476="Tanglangquan F",174,IF(Atletas!M476="Yingzhaoquan F",175,IF(Atletas!M476="Tongbeiquan F",176,IF(Atletas!M476="Wudangquan F",177,IF(Atletas!M476="Outros Estilos F",178,0))))))))))))))))))))))))))))))))))))))))))</f>
        <v/>
      </c>
      <c r="BU485" s="50" t="str">
        <f>IF(Atletas!N476="","",IF(Atletas!X476&lt;&gt;"",10000,0)+(IF(Atletas!B476="Feminino",1000,IF(Atletas!B476="Masculino",2000,""))+(IF(Atletas!N476="Ditangquan A",201,IF(Atletas!N476="Houquan A",202,IF(Atletas!N476="Zuiquan A",203,IF(Atletas!N476="Ditangquan B",204,IF(Atletas!N476="Houquan B",205,IF(Atletas!N476="Zuiquan B",206,IF(Atletas!N476="Ditangquan C",207,IF(Atletas!N476="Houquan C",208,IF(Atletas!N476="Zuiquan C",209,IF(Atletas!N476="Ditangquan D",210,IF(Atletas!N476="Houquan D",211,IF(Atletas!N476="Zuiquan D",212,IF(Atletas!N476="Ditangquan E",213,IF(Atletas!N476="Houquan E",214,IF(Atletas!N476="Zuiquan E",215,IF(Atletas!N476="Ditangquan F",216,IF(Atletas!N476="Houquan F",217,IF(Atletas!N476="Zuiquan F",218,"")))))))))))))))))))))</f>
        <v/>
      </c>
      <c r="BV485" s="50" t="str">
        <f>IF(Atletas!O476="","",IF(Atletas!X476&lt;&gt;"",10000,0)+IF(Atletas!B476="Feminino",1000,IF(Atletas!B476="Masculino",2000,""))+IF(Atletas!O476="Yang A",301,IF(Atletas!O476="Chen A",302,IF(Atletas!O476="Sun A",303,IF(Atletas!O476="Wu A",304,IF(Atletas!O476="Wu-Hao A",305,IF(Atletas!O476="Outro Taijiquan A",306,IF(Atletas!O476="Yang B",307,IF(Atletas!O476="Chen B",308,IF(Atletas!O476="Sun B",309,IF(Atletas!O476="Wu B",310,IF(Atletas!O476="Wu-Hao B",311,IF(Atletas!O476="Outro Taijiquan B",312,IF(Atletas!O476="Yang C",313,IF(Atletas!O476="Chen C",314,IF(Atletas!O476="Sun C",315,IF(Atletas!O476="Wu C",316,IF(Atletas!O476="Wu-Hao C",317,IF(Atletas!O476="Outro Taijiquan C",318,IF(Atletas!O476="Yang D",319,IF(Atletas!O476="Chen D",320,IF(Atletas!O476="Sun D",321,IF(Atletas!O476="Wu D",322,IF(Atletas!O476="Wu-Hao D",323,IF(Atletas!O476="Outro Taijiquan D",324,IF(Atletas!O476="Yang E",325,IF(Atletas!O476="Chen E",326,IF(Atletas!O476="Sun E",327,IF(Atletas!O476="Wu E",328,IF(Atletas!O476="Wu-Hao E",329,IF(Atletas!O476="Outro Taijiquan E",330,IF(Atletas!O476="Yang F",331,IF(Atletas!O476="Chen F",332,IF(Atletas!O476="Sun F",333,IF(Atletas!O476="Wu F",334,IF(Atletas!O476="Wu-Hao F",335,IF(Atletas!O476="Outro Taijiquan F",336,"")))))))))))))))))))))))))))))))))))))</f>
        <v/>
      </c>
      <c r="BW485" s="50" t="str">
        <f>IF(Atletas!P476="","",IF(Atletas!X476&lt;&gt;"",10000,0)+IF(Atletas!B476="Feminino",1000,IF(Atletas!B476="Masculino",2000,""))+IF(OR(Atletas!P476="Yang 26 A",Atletas!P476="Yang 40 A"),401,IF(OR(Atletas!P476="Chen 25 A",Atletas!P476="Chen 36 A",Atletas!P476="Chen 56 A"),402,IF(Atletas!P476="Sun 73 A",403,IF(Atletas!P476="Wu 45 A",404,IF(Atletas!P476="Wu-Hao 46 A",405,IF(OR(Atletas!P476="Taijiquan 16 A",Atletas!P476="Taijiquan 24 A",Atletas!P476="Taijiquan 32 A",Atletas!P476="Taijiquan 42 A"),406,IF(OR(Atletas!P476="Yang 26 B",Atletas!P476="Yang 40 B"),407,IF(OR(Atletas!P476="Chen 25 B",Atletas!P476="Chen 36 B",Atletas!P476="Chen 56 B"),408,IF(Atletas!P476="Sun 73 B",409,IF(Atletas!P476="Wu 45 B",410,IF(Atletas!P476="Wu-Hao 46 B",411,IF(OR(Atletas!P476="Taijiquan 16 B",Atletas!P476="Taijiquan 24 B",Atletas!P476="Taijiquan 32 B",Atletas!P476="Taijiquan 42 B"),412,IF(OR(Atletas!P476="Yang 26 C",Atletas!P476="Yang 40 C"),413,IF(OR(Atletas!P476="Chen 25 C",Atletas!P476="Chen 36 C",Atletas!P476="Chen 56 C"),414,IF(Atletas!P476="Sun 73 C",415,IF(Atletas!P476="Wu 45 C",416,IF(Atletas!P476="Wu-Hao 46 C",417,IF(OR(Atletas!P476="Taijiquan 16 C",Atletas!P476="Taijiquan 24 C",Atletas!P476="Taijiquan 32 C",Atletas!P476="Taijiquan 42 C"),418,0)))))))))))))))))))</f>
        <v/>
      </c>
      <c r="BX485" s="50" t="str">
        <f>IF(Atletas!P476="","",IF(Atletas!X476&lt;&gt;"",10000,0)+IF(Atletas!B476="Feminino",1000,IF(Atletas!B476="Masculino",2000,""))+IF(OR(Atletas!P476="Yang 26 D",Atletas!P476="Yang 40 D"),419,IF(OR(Atletas!P476="Chen 25 D",Atletas!P476="Chen 36 D",Atletas!P476="Chen 56 D"),420,IF(Atletas!P476="Sun 73 D",421,IF(Atletas!P476="Wu 45 D",422,IF(Atletas!P476="Wu-Hao 46 D",423,IF(OR(Atletas!P476="Taijiquan 16 D",Atletas!P476="Taijiquan 24 D",Atletas!P476="Taijiquan 32 D",Atletas!P476="Taijiquan 42 D"),424,IF(OR(Atletas!P476="Yang 26 E",Atletas!P476="Yang 40 E"),425,IF(OR(Atletas!P476="Chen 25 E",Atletas!P476="Chen 36 E",Atletas!P476="Chen 56 E"),426,IF(Atletas!P476="Sun 73 E",427,IF(Atletas!P476="Wu 45 E",428,IF(Atletas!P476="Wu-Hao 46 E",429,IF(OR(Atletas!P476="Taijiquan 16 E",Atletas!P476="Taijiquan 24 E",Atletas!P476="Taijiquan 32 E",Atletas!P476="Taijiquan 42 E"),430,IF(OR(Atletas!P476="Yang 26 F",Atletas!P476="Yang 40 F"),431,IF(OR(Atletas!P476="Chen 25 F",Atletas!P476="Chen 36 F",Atletas!P476="Chen 56 F"),432,IF(Atletas!P476="Sun 73 F",433,IF(Atletas!P476="Wu 45 F",434,IF(Atletas!P476="Wu-Hao 46 F",435,IF(OR(Atletas!P476="Taijiquan 16 F",Atletas!P476="Taijiquan 24 F",Atletas!P476="Taijiquan 32 F",Atletas!P476="Taijiquan 42 F"),436,0)))))))))))))))))))</f>
        <v/>
      </c>
      <c r="BY485" s="50" t="str">
        <f>IF(Atletas!Q476="","",IF(Atletas!X476&lt;&gt;"",10000,0)+IF(Atletas!B476="Feminino",1000,IF(Atletas!B476="Masculino",2000,""))+IF(Atletas!Q476="Xingyiquan A",501,IF(Atletas!Q476="Baguazhang A",502,IF(Atletas!Q476="Outro Estilo Interno A",503,IF(Atletas!Q476="Xingyiquan B",504,IF(Atletas!Q476="Baguazhang B",505,IF(Atletas!Q476="Outro Estilo Interno B",506,IF(Atletas!Q476="Xingyiquan C",507,IF(Atletas!Q476="Baguazhang C",508,IF(Atletas!Q476="Outro Estilo Interno C",509,IF(Atletas!Q476="Xingyiquan D",510,IF(Atletas!Q476="Baguazhang D",511,IF(Atletas!Q476="Outro Estilo Interno D",512,IF(Atletas!Q476="Xingyiquan E",513,IF(Atletas!Q476="Baguazhang E",514,IF(Atletas!Q476="Outro Estilo Interno E",515,IF(Atletas!Q476="Xingyiquan F",516,IF(Atletas!Q476="Baguazhang F",517,IF(Atletas!Q476="Outro Estilo Interno F",518, "")))))))))))))))))))</f>
        <v/>
      </c>
      <c r="BZ485" s="50" t="str">
        <f>IF(Atletas!R476="","",IF(Atletas!X476&lt;&gt;"",10000,0)+IF(Atletas!B476="Feminino",1000,IF(Atletas!B476="Masculino",2000,""))+IF(Atletas!R476="Dao A",601,IF(Atletas!R476="Jian A",602,IF(Atletas!R476="Bishou A",603,IF(Atletas!R476="Shanzi A",604,IF(Atletas!R476="Outra Arma Curta A",605,IF(Atletas!R476="Dao B",606,IF(Atletas!R476="Jian B",607,IF(Atletas!R476="Bishou B",608,IF(Atletas!R476="Shanzi B",609,IF(Atletas!R476="Outra Arma Curta B",610,IF(Atletas!R476="Dao C",611,IF(Atletas!R476="Jian C",612,IF(Atletas!R476="Bishou C",613,IF(Atletas!R476="Shanzi C",614,IF(Atletas!R476="Outra Arma Curta C",615,IF(Atletas!R476="Dao D",616,IF(Atletas!R476="Jian D",617,IF(Atletas!R476="Bishou D",618,IF(Atletas!R476="Shanzi D",619,IF(Atletas!R476="Outra Arma Curta D",620,IF(Atletas!R476="Dao E",621,IF(Atletas!R476="Jian E",622,IF(Atletas!R476="Bishou E",623,IF(Atletas!R476="Shanzi E",624,IF(Atletas!R476="Outra Arma Curta E",625,IF(Atletas!R476="Dao F",626,IF(Atletas!R476="Jian F",627,IF(Atletas!R476="Bishou F",628,IF(Atletas!R476="Shanzi F",629,IF(Atletas!R476="Outra Arma Curta F",630, "")))))))))))))))))))))))))))))))</f>
        <v/>
      </c>
      <c r="CA485" s="50" t="str">
        <f>IF(Atletas!S476="","",IF(Atletas!X476&lt;&gt;"",10000,0)+IF(Atletas!B476="Feminino",1000,IF(Atletas!B476="Masculino",2000,""))+IF(Atletas!S476="Gun A",701,IF(Atletas!S476="Qiang A",702,IF(Atletas!S476="Pudao / Guandao A",703,IF(Atletas!S476="Outra Arma Longa A",704,IF(Atletas!S476="Gun B",705,IF(Atletas!S476="Qiang B",706,IF(Atletas!S476="Pudao / Guandao B",707,IF(Atletas!S476="Outra Arma Longa B",708,IF(Atletas!S476="Gun C",709,IF(Atletas!S476="Qiang C",710,IF(Atletas!S476="Pudao / Guandao C",711,IF(Atletas!S476="Outra Arma Longa C",712,IF(Atletas!S476="Gun D",713,IF(Atletas!S476="Qiang D",714,IF(Atletas!S476="Pudao / Guandao D",715,IF(Atletas!S476="Outra Arma Longa D",716,IF(Atletas!S476="Gun E",717,IF(Atletas!S476="Qiang E",718,IF(Atletas!S476="Pudao / Guandao E",719,IF(Atletas!S476="Outra Arma Longa E",720,IF(Atletas!S476="Gun F",721,IF(Atletas!S476="Qiang F",722,IF(Atletas!S476="Pudao / Guandao F",723,IF(Atletas!S476="Outra Arma Longa F",724,"")))))))))))))))))))))))))</f>
        <v/>
      </c>
      <c r="CB485" s="50" t="str">
        <f>IF(Atletas!T476="","",IF(Atletas!X476&lt;&gt;"",10000,0)+IF(Atletas!B476="Feminino",1000,IF(Atletas!B476="Masculino",2000,""))+IF(Atletas!T476="Outra Arma Dupla A",801,IF(Atletas!T476="Arma Maleável A",802,IF(Atletas!T476="Outra Arma Dupla B",803,IF(Atletas!T476="Arma Maleável B",804,IF(Atletas!T476="Outra Arma Dupla C",805,IF(Atletas!T476="Arma Maleável C",806,IF(Atletas!T476="Outra Arma Dupla D",807,IF(Atletas!T476="Arma Maleável D",808,IF(Atletas!T476="Outra Arma Dupla E",809,IF(Atletas!T476="Arma Maleável E",810,IF(Atletas!T476="Outra Arma Dupla F",811,IF(Atletas!T476="Arma Maleável F",812,IF(Atletas!T476="Shuangdao A",813,IF(Atletas!T476="Shuangdao B",814,IF(Atletas!T476="Shuangdao C",815,IF(Atletas!T476="Shuangdao D",816,IF(Atletas!T476="Shuangdao E",817,IF(Atletas!T476="Shuangdao F",818,"")))))))))))))))))))</f>
        <v/>
      </c>
      <c r="CC485" s="50" t="str">
        <f>IF(Atletas!U476="","",IF(Atletas!X476&lt;&gt;"",10000,0)+IF(Atletas!B476="Feminino",1000,IF(Atletas!B476="Masculino",2000,""))+IF(OR(Atletas!U476="Taijijian Yang A",Atletas!U476="Taijijian Yang Standard A"),901,IF(OR(Atletas!U476="Taijijian Chen A", Atletas!U476="Taijijian Chen Standard A"),902,IF(Atletas!U476="Taijijian Sun A",903,IF(Atletas!U476="Taijijian Wu A",904,IF(Atletas!U476="Taijijian Wu-Hao A",905,IF(OR(Atletas!U476="Taijijian 32 A",Atletas!U476="Taijijian 42 A"),906,IF(OR(Atletas!U476="Taijijian Yang B",Atletas!U476="Taijijian Yang Standard B"),907,IF(OR(Atletas!U476="Taijijian Chen B", Atletas!U476="Taijijian Chen Standard B"),908,IF(Atletas!U476="Taijijian Sun B",909,IF(Atletas!U476="Taijijian Wu B",910,IF(Atletas!U476="Taijijian Wu-Hao B",911,IF(OR(Atletas!U476="Taijijian 32 B",Atletas!U476="Taijijian 42 B"),912,IF(OR(Atletas!U476="Taijijian Yang C",Atletas!U476="Taijijian Yang Standard C"),913,IF(OR(Atletas!U476="Taijijian Chen C", Atletas!U476="Taijijian Chen Standard C"),914,IF(Atletas!U476="Taijijian Sun C",915,IF(Atletas!U476="Taijijian Wu C",916,IF(Atletas!U476="Taijijian Wu-Hao C",917,IF(OR(Atletas!U476="Taijijian 32 C",Atletas!U476="Taijijian 42 C"),918,IF(OR(Atletas!U476="Taijijian Yang D",Atletas!U476="Taijijian Yang Standard D"),919,IF(OR(Atletas!U476="Taijijian Chen D", Atletas!U476="Taijijian Chen Standard D"),920,IF(Atletas!U476="Taijijian Sun D",921,IF(Atletas!U476="Taijijian Wu D",922,IF(Atletas!U476="Taijijian Wu-Hao D",923,IF(OR(Atletas!U476="Taijijian 32 D",Atletas!U476="Taijijian 42 D"),924,IF(OR(Atletas!U476="Taijijian Yang E",Atletas!U476="Taijijian Yang Standard E"),925,IF(OR(Atletas!U476="Taijijian Chen E", Atletas!U476="Taijijian Chen Standard E"),926,IF(Atletas!U476="Taijijian Sun E",927,IF(Atletas!U476="Taijijian Wu E",928,IF(Atletas!U476="Taijijian Wu-Hao E",929,IF(OR(Atletas!U476="Taijijian 32 E",Atletas!U476="Taijijian 42 E"),930,IF(OR(Atletas!U476="Taijijian Yang F",Atletas!U476="Taijijian Yang Standard F"),931,IF(OR(Atletas!U476="Taijijian Chen F", Atletas!U476="Taijijian Chen Standard F"),932,IF(Atletas!U476="Taijijian Sun F",933,IF(Atletas!U476="Taijijian Wu F",934,IF(Atletas!U476="Taijijian Wu-Hao F",935,IF(OR(Atletas!U476="Taijijian 32 F",Atletas!U476="Taijijian 42 F"),936,"")))))))))))))))))))))))))))))))))))))</f>
        <v/>
      </c>
      <c r="CD485" s="50" t="str">
        <f>IF(Atletas!V476="","",IF(Atletas!X476&lt;&gt;"",10000,0)+IF(Atletas!B476="Feminino",1000,IF(Atletas!B476="Masculino",2000,""))+IF(Atletas!V476="Taijidao A",937,IF(Atletas!V476="TaijiShanzi A",938,IF(Atletas!V476="Taijiqiang A",939,IF(Atletas!V476="Bagua de Arma A",940,IF(Atletas!V476="Xingyi de Arma A",941,IF(Atletas!V476="Taijidao B",942,IF(Atletas!V476="TaijiShanzi B",943,IF(Atletas!V476="Taijiqiang B",944,IF(Atletas!V476="Bagua de Arma B",945,IF(Atletas!V476="Xingyi de Arma B",946,IF(Atletas!V476="Taijidao C",947,IF(Atletas!V476="TaijiShanzi C",948,IF(Atletas!V476="Taijiqiang C",949,IF(Atletas!V476="Bagua de Arma C",950,IF(Atletas!V476="Xingyi de Arma C",951,IF(Atletas!V476="Taijidao D",952,IF(Atletas!V476="TaijiShanzi D",953,IF(Atletas!V476="Taijiqiang D",954,IF(Atletas!V476="Bagua de Arma D",955,IF(Atletas!V476="Xingyi de Arma D",956,IF(Atletas!V476="Taijidao E",957,IF(Atletas!V476="TaijiShanzi E",958,IF(Atletas!V476="Taijiqiang E",959,IF(Atletas!V476="Bagua de Arma E",960,IF(Atletas!V476="Xingyi de Arma E",961,IF(Atletas!V476="Taijidao F",962,IF(Atletas!V476="TaijiShanzi F",963,IF(Atletas!V476="Taijiqiang F",964,IF(Atletas!V476="Bagua de Arma F",965,IF(Atletas!V476="Xingyi de Arma F",966,"")))))))))))))))))))))))))))))))</f>
        <v/>
      </c>
      <c r="CM485" s="50" t="str">
        <f xml:space="preserve"> IF(Atletas!W476="","",IF(Atletas!W476="Duilian de Mãos BC - Equipe 1",1,IF(Atletas!W476="Duilian de Mãos BC - Equipe 2",2,IF(Atletas!W476="Duilian de Armas BC - Equipe 1",3,IF(Atletas!W476="Duilian de Armas BC - Equipe 2",4,IF(Atletas!W476="Duilian de Mãos DE - Equipe 1",5,IF(Atletas!W476="Duilian de Mãos DE - Equipe 2",6,IF(Atletas!W476="Duilian de Armas DE - Equipe 1",7,IF(Atletas!W476="Duilian de Armas DE - Equipe 2",8,IF(Atletas!W476="Duilian de Tuishou - Equipe 1",9,IF(Atletas!W476="Duilian de Tuishou - Equipe 2",10,IF(Atletas!W476="Grupo Externo ABC - Equipe 1",11,IF(Atletas!W476="Grupo Externo ABC - Equipe 2",12,IF(Atletas!W476="Grupo Interno ABC - Equipe 1",13,IF(Atletas!W476="Grupo Interno ABC - Equipe 2",14,IF(Atletas!W476="Grupo Externo DEF - Equipe 1",15,IF(Atletas!W476="Grupo Externo DEF - Equipe 2",16,IF(Atletas!W476="Grupo Interno DEF - Equipe 1",17,IF(Atletas!W476="Grupo Interno DEF - Equipe 2",18,"")))))))))))))))))))</f>
        <v/>
      </c>
    </row>
    <row r="486" spans="40:91">
      <c r="AN486" s="52" t="str">
        <f>IF(Atletas!D477="","",IF(Atletas!B477="Feminino",100,IF(Atletas!B477="Masculino",200,""))+(IF(Atletas!D477="Kids 30kg",1,IF(Atletas!D477="Kids 32kg",2, IF(Atletas!D477="Kids 34kg",3,IF(Atletas!D477="Kids 36kg",4,IF(Atletas!D477="Kids 39kg",5,IF(Atletas!D477="Kids 42kg",6,IF(Atletas!D477="Kids 45kg",7, IF(Atletas!D477="Infantil 39kg",8,IF(Atletas!D477="Infantil 42kg",9,IF(Atletas!D477="Infantil 45kg",10,IF(Atletas!D477="Infantil 48kg",11,IF(Atletas!D477="Infantil 52kg",12,IF(Atletas!D477="Infantil 56kg",13,IF(Atletas!D477="Infantil 60kg",14,IF(Atletas!D477="Juvenil 48kg",15,IF(Atletas!D477="Juvenil 52kg",16,IF(Atletas!D477="Juvenil 56kg",17,IF(Atletas!D477="Juvenil 60kg",18,IF(Atletas!D477="Juvenil 65kg",19,IF(Atletas!D477="Juvenil 70kg",20,IF(Atletas!D477="Juvenil 75kg",21,IF(Atletas!D477="Juvenil 80kg",22, IF(Atletas!D477="Juvenil 85kg",23,IF(Atletas!D477="Adulto 48kg",24,IF(Atletas!D477="Adulto 52kg",25,IF(Atletas!D477="Adulto 56kg",26,IF(Atletas!D477="Adulto 60kg",27,IF(Atletas!D477="Adulto 65kg",28,IF(Atletas!D477="Adulto 70kg",29,IF(Atletas!D477="Adulto 75kg",30,IF(Atletas!D477="Adulto 80kg",31,IF(Atletas!D477="Adulto 85kg",32,IF(Atletas!D477="Adulto 90kg",33,IF(Atletas!D477="Adulto 100kg",34, IF(Atletas!D477="Adulto +100kg",35,"")))))))))))))))))))))))))))))))))))))</f>
        <v/>
      </c>
      <c r="AS486" s="6" t="str">
        <f>IF(Atletas!E477="","",IF(Atletas!B477="Feminino",100,IF(Atletas!B477="Masculino",200,""))+(IF(Atletas!E477="Juvenil 44kg",1,IF(Atletas!E477="Juvenil 48kg",2,IF(Atletas!E477="Juvenil 52kg",3,IF(Atletas!E477="Juvenil 56kg",4,IF(Atletas!E477="Juvenil 60kg",5,IF(Atletas!E477="Juvenil 65kg",6,IF(Atletas!E477="Juvenil 70kg",7,IF(Atletas!E477="Juvenil 75kg",8,IF(Atletas!E477="Juvenil 82kg",9,IF(Atletas!E477="Juvenil 90kg",10,IF(Atletas!E477="Juvenil 100kg",11,IF(Atletas!E477="Adulto 48kg",12,IF(Atletas!E477="Adulto 52kg",13,IF(Atletas!E477="Adulto 56kg",14,IF(Atletas!E477="Adulto 60kg",15,IF(Atletas!E477="Adulto 65kg",16,IF(Atletas!E477="Adulto 70kg",17,IF(Atletas!E477="Adulto 75kg",18,IF(Atletas!E477="Adulto 82kg",19,IF(Atletas!E477="Adulto 90kg",20,IF(Atletas!E477="Adulto 100kg",21,IF(Atletas!E477="Adulto +100kg",22,""))))))))))))))))))))))))</f>
        <v/>
      </c>
      <c r="AX486" s="6" t="str">
        <f>IF(Atletas!F477="","",IF(Atletas!B477="Feminino",100,IF(Atletas!B477="Masculino",200,""))+(IF(Atletas!F477="Adulto 48kg",1,IF(Atletas!F477="Adulto 56kg",2,IF(Atletas!F477="Adulto 65kg",3,IF(Atletas!F477="Adulto 75kg",4,IF(Atletas!F477="Adulto +75kg",5,IF(Atletas!F477="Adulto 52kg",6,IF(Atletas!F477="Adulto 60kg",7,IF(Atletas!F477="Adulto 70kg",8,IF(Atletas!F477="Adulto 80kg",9,IF(Atletas!F477="Adulto 90kg",10,IF(Atletas!F477="Adulto +90kg",11,"")))))))))))))</f>
        <v/>
      </c>
      <c r="BC486" s="6" t="str">
        <f>IF(Atletas!G477="","",IF(Atletas!B477="Feminino",10,IF(Atletas!B477="Masculino",20,""))+(IF(Atletas!G477="Baduanjin A",1,IF(Atletas!G477="Baduanjin B",2))))</f>
        <v/>
      </c>
      <c r="BF486" s="52" t="str">
        <f>IF(Atletas!H477="","",IF(Atletas!B477="Feminino",100,IF(Atletas!B477="Masculino",200,""))+(IF(Atletas!H477="Changquan Mirim",1,IF(Atletas!H477="Nanquan Mirim",2,IF(Atletas!H477="Taijiquan Mirim",3,IF(Atletas!H477="Changquan Grupo C",4,IF(Atletas!H477="Nanquan Grupo C",5,IF(Atletas!H477="Taijiquan Grupo C",6,IF(Atletas!H477="Changquan Grupo B",7,IF(Atletas!H477="Nanquan Grupo B",8,IF(Atletas!H477="Taijiquan Grupo B",9,IF(Atletas!H477="Changquan Grupo A",10,IF(Atletas!H477="Nanquan Grupo A",11,IF(Atletas!H477="Taijiquan Grupo A",12,IF(Atletas!H477="Changquan Opcional",13,IF(Atletas!H477="Nanquan Opcional",14,IF(Atletas!H477="Taijiquan Opcional",15,IF(Atletas!H477="Changquan Adulto",16,IF(Atletas!H477="Nanquan Adulto",17,IF(Atletas!H477="Taijiquan Adulto",18,""))))))))))))))))))))</f>
        <v/>
      </c>
      <c r="BG486" s="52" t="str">
        <f>IF(Atletas!I477="","",IF(Atletas!B477="Feminino",100,IF(Atletas!B477="Masculino",200,""))+(IF(Atletas!I477="Daoshu Mirim",19,IF(Atletas!I477="Jianshu Mirim",20,IF(Atletas!I477="Nandao Mirim",21,IF(Atletas!I477="Taijijian Mirim",22,IF(Atletas!I477="Daoshu Grupo C",23,IF(Atletas!I477="Jianshu Grupo C",24,IF(Atletas!I477="Nandao Grupo C",25,IF(Atletas!I477="Taijijian Grupo C",26,IF(Atletas!I477="Daoshu Grupo B",27,IF(Atletas!I477="Jianshu Grupo B",28,IF(Atletas!I477="Nandao Grupo B",29,IF(Atletas!I477="Taijijian Grupo B",30,IF(Atletas!I477="Daoshu Grupo A",31,IF(Atletas!I477="Jianshu Grupo A",32,IF(Atletas!I477="Nandao Grupo A",33,IF(Atletas!I477="Taijijian Grupo A",34,IF(Atletas!I477="Daoshu Opcional",35,IF(Atletas!I477="Jianshu Opcional",36,IF(Atletas!I477="Nandao Opcional",37,IF(Atletas!I477="Taijijian Opcional",38,IF(Atletas!I477="Daoshu Adulto",39,IF(Atletas!I477="Jianshu Adulto",40,IF(Atletas!I477="Nandao Adulto",41,IF(Atletas!I477="Taijijian Adulto",42,""))))))))))))))))))))))))))</f>
        <v/>
      </c>
      <c r="BH486" s="52" t="str">
        <f>IF(Atletas!J477="","",IF(Atletas!B477="Feminino",100,IF(Atletas!B477="Masculino",200,""))+(IF(Atletas!J477="Gunshu Mirim",43,IF(Atletas!J477="Qiangshu Mirim",44,IF(Atletas!J477="Nangun Mirim",45,IF(Atletas!J477="Gunshu Grupo C",46,IF(Atletas!J477="Qiangshu Grupo C",47,IF(Atletas!J477="Nangun Grupo C",48,IF(Atletas!J477="Gunshu Grupo B",49,IF(Atletas!J477="Qiangshu Grupo B",50,IF(Atletas!J477="Nangun Grupo B",51,IF(Atletas!J477="Gunshu Grupo A",52,IF(Atletas!J477="Qiangshu Grupo A",53,IF(Atletas!J477="Nangun Grupo A",54,IF(Atletas!J477="Gunshu Opcional",55,IF(Atletas!J477="Qiangshu Opcional",56,IF(Atletas!J477="Nangun Opcional",57,IF(Atletas!J477="Gunshu Adulto",58,IF(Atletas!J477="Qiangshu Adulto",59,IF(Atletas!J477="Nangun Adulto",60,IF(Atletas!J477="Taijishan Grupo B",61,IF(Atletas!J477="Taijishan Grupo A",62,""))))))))))))))))))))))</f>
        <v/>
      </c>
      <c r="BM486" s="50" t="str">
        <f>IF(Atletas!K477="","",IF(Atletas!B477="Feminino",100,IF(Atletas!B477="Masculino",200,""))+(IF(Atletas!K477="Equipe 1 Grupo B",1,IF(Atletas!K477="Equipe 2 Grupo B",2,IF(Atletas!K477="Equipe 1 Grupo A",3,IF(Atletas!K477="Equipe 2 Grupo A",4,IF(Atletas!K477="Equipe 1 Adulto",5,IF(Atletas!K477="Equipe 2 Adulto",6,""))))))))</f>
        <v/>
      </c>
      <c r="BR486" s="50" t="str">
        <f>IF(Atletas!L477="","",IF(Atletas!X477&lt;&gt;"",10000,0)+(IF(Atletas!B477="Feminino",1000,IF(Atletas!B477="Masculino",2000,""))+IF(Atletas!L477="Choylayfut A",1,IF(Atletas!L477="Hunggar A",2,IF(Atletas!L477="Wuzuquan A",3,IF(Atletas!L477="Wingchun A",4,IF(Atletas!L477="Outra Mão de Sul A",5,IF(Atletas!L477="Choylayfut B",6,IF(Atletas!L477="Hunggar B",7,IF(Atletas!L477="Wuzuquan B",8,IF(Atletas!L477="Wingchun B",9,IF(Atletas!L477="Outra Mão de Sul B",10,IF(Atletas!L477="Choylayfut C",11,IF(Atletas!L477="Hunggar C",12,IF(Atletas!L477="Wuzuquan C",13,IF(Atletas!L477="Wingchun C",14,IF(Atletas!L477="Outra Mão de Sul C",15,IF(Atletas!L477="Choylayfut D",16,IF(Atletas!L477="Hunggar D",17,IF(Atletas!L477="Wuzuquan D",18,IF(Atletas!L477="Wingchun D",19,IF(Atletas!L477="Outra Mão de Sul D",20,IF(Atletas!L477="Choylayfut E",21,IF(Atletas!L477="Hunggar E",22,IF(Atletas!L477="Wuzuquan E",23,IF(Atletas!L477="Wingchun E",24,IF(Atletas!L477="Outra Mão de Sul E",25,IF(Atletas!L477="Choylayfut F",26,IF(Atletas!L477="Hunggar F",27,IF(Atletas!L477="Wuzuquan F",28,IF(Atletas!L477="Wingchun F",29,IF(Atletas!L477="Outra Mão de Sul F",30,IF(Atletas!L477="Dishuquan A",31,IF(Atletas!L477="Dishuquan B",32,IF(Atletas!L477="Dishuquan C",33,IF(Atletas!L477="Dishuquan D",34,IF(Atletas!L477="Dishuquan E",35,IF(Atletas!L477="Dishuquan F",36,""))))))))))))))))))))))))))))))))))))))</f>
        <v/>
      </c>
      <c r="BS486" s="50" t="str">
        <f>IF(Atletas!M477="","",IF(Atletas!X477&lt;&gt;"",10000,0)+(IF(Atletas!B477="Feminino",1000,IF(Atletas!B477="Masculino",2000,""))+(IF(Atletas!M477="Chaquan A",101,IF(Atletas!M477="Emeiquan A",102,IF(Atletas!M477="Fanziquan A",103,IF(Atletas!M477="Huaquan A",104,IF(Atletas!M477="Hongquan A",105,IF(Atletas!M477="Paoquan A",106,IF(Atletas!M477="Piguaquan A",107,IF(Atletas!M477="Shaolinquan A",108,IF(Atletas!M477="Tanglangquan A",109,IF(Atletas!M477="Yingzhaoquan A",110,IF(Atletas!M477="Tongbeiquan A",111,IF(Atletas!M477="Wudangquan A",112,IF(Atletas!M477="Outros Estilos A",113,IF(Atletas!M477="Chaquan B",114,IF(Atletas!M477="Emeiquan B",115,IF(Atletas!M477="Fanziquan B",116,IF(Atletas!M477="Huaquan B",117,IF(Atletas!M477="Hongquan B",118,IF(Atletas!M477="Paoquan B",119,IF(Atletas!M477="Piguaquan B",120,IF(Atletas!M477="Shaolinquan B",121,IF(Atletas!M477="Tanglangquan B",122,IF(Atletas!M477="Yingzhaoquan B",123,IF(Atletas!M477="Tongbeiquan B",124,IF(Atletas!M477="Wudangquan B",125,IF(Atletas!M477="Outros Estilos B",126,IF(Atletas!M477="Chaquan C",127,IF(Atletas!M477="Emeiquan C",128,IF(Atletas!M477="Fanziquan C",129,IF(Atletas!M477="Huaquan C",130,IF(Atletas!M477="Hongquan C",131,IF(Atletas!M477="Paoquan C",132,IF(Atletas!M477="Piguaquan C",133,IF(Atletas!M477="Shaolinquan C",134,IF(Atletas!M477="Tanglangquan C",135,IF(Atletas!M477="Yingzhaoquan C",136,IF(Atletas!M477="Tongbeiquan C",137,IF(Atletas!M477="Wudangquan C",138,IF(Atletas!M477="Outros Estilos C",139,0))))))))))))))))))))))))))))))))))))))))))</f>
        <v/>
      </c>
      <c r="BT486" s="50" t="str">
        <f>IF(Atletas!M477="","",IF(Atletas!X477&lt;&gt;"",10000,0)+(IF(Atletas!B477="Feminino",1000,IF(Atletas!B477="Masculino",2000,""))+(IF(Atletas!M477="Chaquan D",140,IF(Atletas!M477="Emeiquan D",141,IF(Atletas!M477="Fanziquan D",142,IF(Atletas!M477="Huaquan D",143,IF(Atletas!M477="Hongquan D",144,IF(Atletas!M477="Paoquan D",145,IF(Atletas!M477="Piguaquan D",146,IF(Atletas!M477="Shaolinquan D",147,IF(Atletas!M477="Tanglangquan D",148,IF(Atletas!M477="Yingzhaoquan D",149,IF(Atletas!M477="Tongbeiquan D",150,IF(Atletas!M477="Wudangquan D",151,IF(Atletas!M477="Outros Estilos D",152,IF(Atletas!M477="Chaquan E",153,IF(Atletas!M477="Emeiquan E",154,IF(Atletas!M477="Fanziquan E",155,IF(Atletas!M477="Huaquan E",156,IF(Atletas!M477="Hongquan E",157,IF(Atletas!M477="Paoquan E",158,IF(Atletas!M477="Piguaquan E",159,IF(Atletas!M477="Shaolinquan E",160,IF(Atletas!M477="Tanglangquan E",161,IF(Atletas!M477="Yingzhaoquan E",162,IF(Atletas!M477="Tongbeiquan E",163,IF(Atletas!M477="Wudangquan E",164,IF(Atletas!M477="Outros Estilos E",165,IF(Atletas!M477="Chaquan F",166,IF(Atletas!M477="Emeiquan F",167,IF(Atletas!M477="Fanziquan F",168,IF(Atletas!M477="Huaquan F",169,IF(Atletas!M477="Hongquan F",170,IF(Atletas!M477="Paoquan F",171,IF(Atletas!M477="Piguaquan F",172,IF(Atletas!M477="Shaolinquan F",173,IF(Atletas!M477="Tanglangquan F",174,IF(Atletas!M477="Yingzhaoquan F",175,IF(Atletas!M477="Tongbeiquan F",176,IF(Atletas!M477="Wudangquan F",177,IF(Atletas!M477="Outros Estilos F",178,0))))))))))))))))))))))))))))))))))))))))))</f>
        <v/>
      </c>
      <c r="BU486" s="50" t="str">
        <f>IF(Atletas!N477="","",IF(Atletas!X477&lt;&gt;"",10000,0)+(IF(Atletas!B477="Feminino",1000,IF(Atletas!B477="Masculino",2000,""))+(IF(Atletas!N477="Ditangquan A",201,IF(Atletas!N477="Houquan A",202,IF(Atletas!N477="Zuiquan A",203,IF(Atletas!N477="Ditangquan B",204,IF(Atletas!N477="Houquan B",205,IF(Atletas!N477="Zuiquan B",206,IF(Atletas!N477="Ditangquan C",207,IF(Atletas!N477="Houquan C",208,IF(Atletas!N477="Zuiquan C",209,IF(Atletas!N477="Ditangquan D",210,IF(Atletas!N477="Houquan D",211,IF(Atletas!N477="Zuiquan D",212,IF(Atletas!N477="Ditangquan E",213,IF(Atletas!N477="Houquan E",214,IF(Atletas!N477="Zuiquan E",215,IF(Atletas!N477="Ditangquan F",216,IF(Atletas!N477="Houquan F",217,IF(Atletas!N477="Zuiquan F",218,"")))))))))))))))))))))</f>
        <v/>
      </c>
      <c r="BV486" s="50" t="str">
        <f>IF(Atletas!O477="","",IF(Atletas!X477&lt;&gt;"",10000,0)+IF(Atletas!B477="Feminino",1000,IF(Atletas!B477="Masculino",2000,""))+IF(Atletas!O477="Yang A",301,IF(Atletas!O477="Chen A",302,IF(Atletas!O477="Sun A",303,IF(Atletas!O477="Wu A",304,IF(Atletas!O477="Wu-Hao A",305,IF(Atletas!O477="Outro Taijiquan A",306,IF(Atletas!O477="Yang B",307,IF(Atletas!O477="Chen B",308,IF(Atletas!O477="Sun B",309,IF(Atletas!O477="Wu B",310,IF(Atletas!O477="Wu-Hao B",311,IF(Atletas!O477="Outro Taijiquan B",312,IF(Atletas!O477="Yang C",313,IF(Atletas!O477="Chen C",314,IF(Atletas!O477="Sun C",315,IF(Atletas!O477="Wu C",316,IF(Atletas!O477="Wu-Hao C",317,IF(Atletas!O477="Outro Taijiquan C",318,IF(Atletas!O477="Yang D",319,IF(Atletas!O477="Chen D",320,IF(Atletas!O477="Sun D",321,IF(Atletas!O477="Wu D",322,IF(Atletas!O477="Wu-Hao D",323,IF(Atletas!O477="Outro Taijiquan D",324,IF(Atletas!O477="Yang E",325,IF(Atletas!O477="Chen E",326,IF(Atletas!O477="Sun E",327,IF(Atletas!O477="Wu E",328,IF(Atletas!O477="Wu-Hao E",329,IF(Atletas!O477="Outro Taijiquan E",330,IF(Atletas!O477="Yang F",331,IF(Atletas!O477="Chen F",332,IF(Atletas!O477="Sun F",333,IF(Atletas!O477="Wu F",334,IF(Atletas!O477="Wu-Hao F",335,IF(Atletas!O477="Outro Taijiquan F",336,"")))))))))))))))))))))))))))))))))))))</f>
        <v/>
      </c>
      <c r="BW486" s="50" t="str">
        <f>IF(Atletas!P477="","",IF(Atletas!X477&lt;&gt;"",10000,0)+IF(Atletas!B477="Feminino",1000,IF(Atletas!B477="Masculino",2000,""))+IF(OR(Atletas!P477="Yang 26 A",Atletas!P477="Yang 40 A"),401,IF(OR(Atletas!P477="Chen 25 A",Atletas!P477="Chen 36 A",Atletas!P477="Chen 56 A"),402,IF(Atletas!P477="Sun 73 A",403,IF(Atletas!P477="Wu 45 A",404,IF(Atletas!P477="Wu-Hao 46 A",405,IF(OR(Atletas!P477="Taijiquan 16 A",Atletas!P477="Taijiquan 24 A",Atletas!P477="Taijiquan 32 A",Atletas!P477="Taijiquan 42 A"),406,IF(OR(Atletas!P477="Yang 26 B",Atletas!P477="Yang 40 B"),407,IF(OR(Atletas!P477="Chen 25 B",Atletas!P477="Chen 36 B",Atletas!P477="Chen 56 B"),408,IF(Atletas!P477="Sun 73 B",409,IF(Atletas!P477="Wu 45 B",410,IF(Atletas!P477="Wu-Hao 46 B",411,IF(OR(Atletas!P477="Taijiquan 16 B",Atletas!P477="Taijiquan 24 B",Atletas!P477="Taijiquan 32 B",Atletas!P477="Taijiquan 42 B"),412,IF(OR(Atletas!P477="Yang 26 C",Atletas!P477="Yang 40 C"),413,IF(OR(Atletas!P477="Chen 25 C",Atletas!P477="Chen 36 C",Atletas!P477="Chen 56 C"),414,IF(Atletas!P477="Sun 73 C",415,IF(Atletas!P477="Wu 45 C",416,IF(Atletas!P477="Wu-Hao 46 C",417,IF(OR(Atletas!P477="Taijiquan 16 C",Atletas!P477="Taijiquan 24 C",Atletas!P477="Taijiquan 32 C",Atletas!P477="Taijiquan 42 C"),418,0)))))))))))))))))))</f>
        <v/>
      </c>
      <c r="BX486" s="50" t="str">
        <f>IF(Atletas!P477="","",IF(Atletas!X477&lt;&gt;"",10000,0)+IF(Atletas!B477="Feminino",1000,IF(Atletas!B477="Masculino",2000,""))+IF(OR(Atletas!P477="Yang 26 D",Atletas!P477="Yang 40 D"),419,IF(OR(Atletas!P477="Chen 25 D",Atletas!P477="Chen 36 D",Atletas!P477="Chen 56 D"),420,IF(Atletas!P477="Sun 73 D",421,IF(Atletas!P477="Wu 45 D",422,IF(Atletas!P477="Wu-Hao 46 D",423,IF(OR(Atletas!P477="Taijiquan 16 D",Atletas!P477="Taijiquan 24 D",Atletas!P477="Taijiquan 32 D",Atletas!P477="Taijiquan 42 D"),424,IF(OR(Atletas!P477="Yang 26 E",Atletas!P477="Yang 40 E"),425,IF(OR(Atletas!P477="Chen 25 E",Atletas!P477="Chen 36 E",Atletas!P477="Chen 56 E"),426,IF(Atletas!P477="Sun 73 E",427,IF(Atletas!P477="Wu 45 E",428,IF(Atletas!P477="Wu-Hao 46 E",429,IF(OR(Atletas!P477="Taijiquan 16 E",Atletas!P477="Taijiquan 24 E",Atletas!P477="Taijiquan 32 E",Atletas!P477="Taijiquan 42 E"),430,IF(OR(Atletas!P477="Yang 26 F",Atletas!P477="Yang 40 F"),431,IF(OR(Atletas!P477="Chen 25 F",Atletas!P477="Chen 36 F",Atletas!P477="Chen 56 F"),432,IF(Atletas!P477="Sun 73 F",433,IF(Atletas!P477="Wu 45 F",434,IF(Atletas!P477="Wu-Hao 46 F",435,IF(OR(Atletas!P477="Taijiquan 16 F",Atletas!P477="Taijiquan 24 F",Atletas!P477="Taijiquan 32 F",Atletas!P477="Taijiquan 42 F"),436,0)))))))))))))))))))</f>
        <v/>
      </c>
      <c r="BY486" s="50" t="str">
        <f>IF(Atletas!Q477="","",IF(Atletas!X477&lt;&gt;"",10000,0)+IF(Atletas!B477="Feminino",1000,IF(Atletas!B477="Masculino",2000,""))+IF(Atletas!Q477="Xingyiquan A",501,IF(Atletas!Q477="Baguazhang A",502,IF(Atletas!Q477="Outro Estilo Interno A",503,IF(Atletas!Q477="Xingyiquan B",504,IF(Atletas!Q477="Baguazhang B",505,IF(Atletas!Q477="Outro Estilo Interno B",506,IF(Atletas!Q477="Xingyiquan C",507,IF(Atletas!Q477="Baguazhang C",508,IF(Atletas!Q477="Outro Estilo Interno C",509,IF(Atletas!Q477="Xingyiquan D",510,IF(Atletas!Q477="Baguazhang D",511,IF(Atletas!Q477="Outro Estilo Interno D",512,IF(Atletas!Q477="Xingyiquan E",513,IF(Atletas!Q477="Baguazhang E",514,IF(Atletas!Q477="Outro Estilo Interno E",515,IF(Atletas!Q477="Xingyiquan F",516,IF(Atletas!Q477="Baguazhang F",517,IF(Atletas!Q477="Outro Estilo Interno F",518, "")))))))))))))))))))</f>
        <v/>
      </c>
      <c r="BZ486" s="50" t="str">
        <f>IF(Atletas!R477="","",IF(Atletas!X477&lt;&gt;"",10000,0)+IF(Atletas!B477="Feminino",1000,IF(Atletas!B477="Masculino",2000,""))+IF(Atletas!R477="Dao A",601,IF(Atletas!R477="Jian A",602,IF(Atletas!R477="Bishou A",603,IF(Atletas!R477="Shanzi A",604,IF(Atletas!R477="Outra Arma Curta A",605,IF(Atletas!R477="Dao B",606,IF(Atletas!R477="Jian B",607,IF(Atletas!R477="Bishou B",608,IF(Atletas!R477="Shanzi B",609,IF(Atletas!R477="Outra Arma Curta B",610,IF(Atletas!R477="Dao C",611,IF(Atletas!R477="Jian C",612,IF(Atletas!R477="Bishou C",613,IF(Atletas!R477="Shanzi C",614,IF(Atletas!R477="Outra Arma Curta C",615,IF(Atletas!R477="Dao D",616,IF(Atletas!R477="Jian D",617,IF(Atletas!R477="Bishou D",618,IF(Atletas!R477="Shanzi D",619,IF(Atletas!R477="Outra Arma Curta D",620,IF(Atletas!R477="Dao E",621,IF(Atletas!R477="Jian E",622,IF(Atletas!R477="Bishou E",623,IF(Atletas!R477="Shanzi E",624,IF(Atletas!R477="Outra Arma Curta E",625,IF(Atletas!R477="Dao F",626,IF(Atletas!R477="Jian F",627,IF(Atletas!R477="Bishou F",628,IF(Atletas!R477="Shanzi F",629,IF(Atletas!R477="Outra Arma Curta F",630, "")))))))))))))))))))))))))))))))</f>
        <v/>
      </c>
      <c r="CA486" s="50" t="str">
        <f>IF(Atletas!S477="","",IF(Atletas!X477&lt;&gt;"",10000,0)+IF(Atletas!B477="Feminino",1000,IF(Atletas!B477="Masculino",2000,""))+IF(Atletas!S477="Gun A",701,IF(Atletas!S477="Qiang A",702,IF(Atletas!S477="Pudao / Guandao A",703,IF(Atletas!S477="Outra Arma Longa A",704,IF(Atletas!S477="Gun B",705,IF(Atletas!S477="Qiang B",706,IF(Atletas!S477="Pudao / Guandao B",707,IF(Atletas!S477="Outra Arma Longa B",708,IF(Atletas!S477="Gun C",709,IF(Atletas!S477="Qiang C",710,IF(Atletas!S477="Pudao / Guandao C",711,IF(Atletas!S477="Outra Arma Longa C",712,IF(Atletas!S477="Gun D",713,IF(Atletas!S477="Qiang D",714,IF(Atletas!S477="Pudao / Guandao D",715,IF(Atletas!S477="Outra Arma Longa D",716,IF(Atletas!S477="Gun E",717,IF(Atletas!S477="Qiang E",718,IF(Atletas!S477="Pudao / Guandao E",719,IF(Atletas!S477="Outra Arma Longa E",720,IF(Atletas!S477="Gun F",721,IF(Atletas!S477="Qiang F",722,IF(Atletas!S477="Pudao / Guandao F",723,IF(Atletas!S477="Outra Arma Longa F",724,"")))))))))))))))))))))))))</f>
        <v/>
      </c>
      <c r="CB486" s="50" t="str">
        <f>IF(Atletas!T477="","",IF(Atletas!X477&lt;&gt;"",10000,0)+IF(Atletas!B477="Feminino",1000,IF(Atletas!B477="Masculino",2000,""))+IF(Atletas!T477="Outra Arma Dupla A",801,IF(Atletas!T477="Arma Maleável A",802,IF(Atletas!T477="Outra Arma Dupla B",803,IF(Atletas!T477="Arma Maleável B",804,IF(Atletas!T477="Outra Arma Dupla C",805,IF(Atletas!T477="Arma Maleável C",806,IF(Atletas!T477="Outra Arma Dupla D",807,IF(Atletas!T477="Arma Maleável D",808,IF(Atletas!T477="Outra Arma Dupla E",809,IF(Atletas!T477="Arma Maleável E",810,IF(Atletas!T477="Outra Arma Dupla F",811,IF(Atletas!T477="Arma Maleável F",812,IF(Atletas!T477="Shuangdao A",813,IF(Atletas!T477="Shuangdao B",814,IF(Atletas!T477="Shuangdao C",815,IF(Atletas!T477="Shuangdao D",816,IF(Atletas!T477="Shuangdao E",817,IF(Atletas!T477="Shuangdao F",818,"")))))))))))))))))))</f>
        <v/>
      </c>
      <c r="CC486" s="50" t="str">
        <f>IF(Atletas!U477="","",IF(Atletas!X477&lt;&gt;"",10000,0)+IF(Atletas!B477="Feminino",1000,IF(Atletas!B477="Masculino",2000,""))+IF(OR(Atletas!U477="Taijijian Yang A",Atletas!U477="Taijijian Yang Standard A"),901,IF(OR(Atletas!U477="Taijijian Chen A", Atletas!U477="Taijijian Chen Standard A"),902,IF(Atletas!U477="Taijijian Sun A",903,IF(Atletas!U477="Taijijian Wu A",904,IF(Atletas!U477="Taijijian Wu-Hao A",905,IF(OR(Atletas!U477="Taijijian 32 A",Atletas!U477="Taijijian 42 A"),906,IF(OR(Atletas!U477="Taijijian Yang B",Atletas!U477="Taijijian Yang Standard B"),907,IF(OR(Atletas!U477="Taijijian Chen B", Atletas!U477="Taijijian Chen Standard B"),908,IF(Atletas!U477="Taijijian Sun B",909,IF(Atletas!U477="Taijijian Wu B",910,IF(Atletas!U477="Taijijian Wu-Hao B",911,IF(OR(Atletas!U477="Taijijian 32 B",Atletas!U477="Taijijian 42 B"),912,IF(OR(Atletas!U477="Taijijian Yang C",Atletas!U477="Taijijian Yang Standard C"),913,IF(OR(Atletas!U477="Taijijian Chen C", Atletas!U477="Taijijian Chen Standard C"),914,IF(Atletas!U477="Taijijian Sun C",915,IF(Atletas!U477="Taijijian Wu C",916,IF(Atletas!U477="Taijijian Wu-Hao C",917,IF(OR(Atletas!U477="Taijijian 32 C",Atletas!U477="Taijijian 42 C"),918,IF(OR(Atletas!U477="Taijijian Yang D",Atletas!U477="Taijijian Yang Standard D"),919,IF(OR(Atletas!U477="Taijijian Chen D", Atletas!U477="Taijijian Chen Standard D"),920,IF(Atletas!U477="Taijijian Sun D",921,IF(Atletas!U477="Taijijian Wu D",922,IF(Atletas!U477="Taijijian Wu-Hao D",923,IF(OR(Atletas!U477="Taijijian 32 D",Atletas!U477="Taijijian 42 D"),924,IF(OR(Atletas!U477="Taijijian Yang E",Atletas!U477="Taijijian Yang Standard E"),925,IF(OR(Atletas!U477="Taijijian Chen E", Atletas!U477="Taijijian Chen Standard E"),926,IF(Atletas!U477="Taijijian Sun E",927,IF(Atletas!U477="Taijijian Wu E",928,IF(Atletas!U477="Taijijian Wu-Hao E",929,IF(OR(Atletas!U477="Taijijian 32 E",Atletas!U477="Taijijian 42 E"),930,IF(OR(Atletas!U477="Taijijian Yang F",Atletas!U477="Taijijian Yang Standard F"),931,IF(OR(Atletas!U477="Taijijian Chen F", Atletas!U477="Taijijian Chen Standard F"),932,IF(Atletas!U477="Taijijian Sun F",933,IF(Atletas!U477="Taijijian Wu F",934,IF(Atletas!U477="Taijijian Wu-Hao F",935,IF(OR(Atletas!U477="Taijijian 32 F",Atletas!U477="Taijijian 42 F"),936,"")))))))))))))))))))))))))))))))))))))</f>
        <v/>
      </c>
      <c r="CD486" s="50" t="str">
        <f>IF(Atletas!V477="","",IF(Atletas!X477&lt;&gt;"",10000,0)+IF(Atletas!B477="Feminino",1000,IF(Atletas!B477="Masculino",2000,""))+IF(Atletas!V477="Taijidao A",937,IF(Atletas!V477="TaijiShanzi A",938,IF(Atletas!V477="Taijiqiang A",939,IF(Atletas!V477="Bagua de Arma A",940,IF(Atletas!V477="Xingyi de Arma A",941,IF(Atletas!V477="Taijidao B",942,IF(Atletas!V477="TaijiShanzi B",943,IF(Atletas!V477="Taijiqiang B",944,IF(Atletas!V477="Bagua de Arma B",945,IF(Atletas!V477="Xingyi de Arma B",946,IF(Atletas!V477="Taijidao C",947,IF(Atletas!V477="TaijiShanzi C",948,IF(Atletas!V477="Taijiqiang C",949,IF(Atletas!V477="Bagua de Arma C",950,IF(Atletas!V477="Xingyi de Arma C",951,IF(Atletas!V477="Taijidao D",952,IF(Atletas!V477="TaijiShanzi D",953,IF(Atletas!V477="Taijiqiang D",954,IF(Atletas!V477="Bagua de Arma D",955,IF(Atletas!V477="Xingyi de Arma D",956,IF(Atletas!V477="Taijidao E",957,IF(Atletas!V477="TaijiShanzi E",958,IF(Atletas!V477="Taijiqiang E",959,IF(Atletas!V477="Bagua de Arma E",960,IF(Atletas!V477="Xingyi de Arma E",961,IF(Atletas!V477="Taijidao F",962,IF(Atletas!V477="TaijiShanzi F",963,IF(Atletas!V477="Taijiqiang F",964,IF(Atletas!V477="Bagua de Arma F",965,IF(Atletas!V477="Xingyi de Arma F",966,"")))))))))))))))))))))))))))))))</f>
        <v/>
      </c>
      <c r="CM486" s="50" t="str">
        <f xml:space="preserve"> IF(Atletas!W477="","",IF(Atletas!W477="Duilian de Mãos BC - Equipe 1",1,IF(Atletas!W477="Duilian de Mãos BC - Equipe 2",2,IF(Atletas!W477="Duilian de Armas BC - Equipe 1",3,IF(Atletas!W477="Duilian de Armas BC - Equipe 2",4,IF(Atletas!W477="Duilian de Mãos DE - Equipe 1",5,IF(Atletas!W477="Duilian de Mãos DE - Equipe 2",6,IF(Atletas!W477="Duilian de Armas DE - Equipe 1",7,IF(Atletas!W477="Duilian de Armas DE - Equipe 2",8,IF(Atletas!W477="Duilian de Tuishou - Equipe 1",9,IF(Atletas!W477="Duilian de Tuishou - Equipe 2",10,IF(Atletas!W477="Grupo Externo ABC - Equipe 1",11,IF(Atletas!W477="Grupo Externo ABC - Equipe 2",12,IF(Atletas!W477="Grupo Interno ABC - Equipe 1",13,IF(Atletas!W477="Grupo Interno ABC - Equipe 2",14,IF(Atletas!W477="Grupo Externo DEF - Equipe 1",15,IF(Atletas!W477="Grupo Externo DEF - Equipe 2",16,IF(Atletas!W477="Grupo Interno DEF - Equipe 1",17,IF(Atletas!W477="Grupo Interno DEF - Equipe 2",18,"")))))))))))))))))))</f>
        <v/>
      </c>
    </row>
    <row r="487" spans="40:91">
      <c r="AN487" s="52" t="str">
        <f>IF(Atletas!D478="","",IF(Atletas!B478="Feminino",100,IF(Atletas!B478="Masculino",200,""))+(IF(Atletas!D478="Kids 30kg",1,IF(Atletas!D478="Kids 32kg",2, IF(Atletas!D478="Kids 34kg",3,IF(Atletas!D478="Kids 36kg",4,IF(Atletas!D478="Kids 39kg",5,IF(Atletas!D478="Kids 42kg",6,IF(Atletas!D478="Kids 45kg",7, IF(Atletas!D478="Infantil 39kg",8,IF(Atletas!D478="Infantil 42kg",9,IF(Atletas!D478="Infantil 45kg",10,IF(Atletas!D478="Infantil 48kg",11,IF(Atletas!D478="Infantil 52kg",12,IF(Atletas!D478="Infantil 56kg",13,IF(Atletas!D478="Infantil 60kg",14,IF(Atletas!D478="Juvenil 48kg",15,IF(Atletas!D478="Juvenil 52kg",16,IF(Atletas!D478="Juvenil 56kg",17,IF(Atletas!D478="Juvenil 60kg",18,IF(Atletas!D478="Juvenil 65kg",19,IF(Atletas!D478="Juvenil 70kg",20,IF(Atletas!D478="Juvenil 75kg",21,IF(Atletas!D478="Juvenil 80kg",22, IF(Atletas!D478="Juvenil 85kg",23,IF(Atletas!D478="Adulto 48kg",24,IF(Atletas!D478="Adulto 52kg",25,IF(Atletas!D478="Adulto 56kg",26,IF(Atletas!D478="Adulto 60kg",27,IF(Atletas!D478="Adulto 65kg",28,IF(Atletas!D478="Adulto 70kg",29,IF(Atletas!D478="Adulto 75kg",30,IF(Atletas!D478="Adulto 80kg",31,IF(Atletas!D478="Adulto 85kg",32,IF(Atletas!D478="Adulto 90kg",33,IF(Atletas!D478="Adulto 100kg",34, IF(Atletas!D478="Adulto +100kg",35,"")))))))))))))))))))))))))))))))))))))</f>
        <v/>
      </c>
      <c r="AS487" s="6" t="str">
        <f>IF(Atletas!E478="","",IF(Atletas!B478="Feminino",100,IF(Atletas!B478="Masculino",200,""))+(IF(Atletas!E478="Juvenil 44kg",1,IF(Atletas!E478="Juvenil 48kg",2,IF(Atletas!E478="Juvenil 52kg",3,IF(Atletas!E478="Juvenil 56kg",4,IF(Atletas!E478="Juvenil 60kg",5,IF(Atletas!E478="Juvenil 65kg",6,IF(Atletas!E478="Juvenil 70kg",7,IF(Atletas!E478="Juvenil 75kg",8,IF(Atletas!E478="Juvenil 82kg",9,IF(Atletas!E478="Juvenil 90kg",10,IF(Atletas!E478="Juvenil 100kg",11,IF(Atletas!E478="Adulto 48kg",12,IF(Atletas!E478="Adulto 52kg",13,IF(Atletas!E478="Adulto 56kg",14,IF(Atletas!E478="Adulto 60kg",15,IF(Atletas!E478="Adulto 65kg",16,IF(Atletas!E478="Adulto 70kg",17,IF(Atletas!E478="Adulto 75kg",18,IF(Atletas!E478="Adulto 82kg",19,IF(Atletas!E478="Adulto 90kg",20,IF(Atletas!E478="Adulto 100kg",21,IF(Atletas!E478="Adulto +100kg",22,""))))))))))))))))))))))))</f>
        <v/>
      </c>
      <c r="AX487" s="6" t="str">
        <f>IF(Atletas!F478="","",IF(Atletas!B478="Feminino",100,IF(Atletas!B478="Masculino",200,""))+(IF(Atletas!F478="Adulto 48kg",1,IF(Atletas!F478="Adulto 56kg",2,IF(Atletas!F478="Adulto 65kg",3,IF(Atletas!F478="Adulto 75kg",4,IF(Atletas!F478="Adulto +75kg",5,IF(Atletas!F478="Adulto 52kg",6,IF(Atletas!F478="Adulto 60kg",7,IF(Atletas!F478="Adulto 70kg",8,IF(Atletas!F478="Adulto 80kg",9,IF(Atletas!F478="Adulto 90kg",10,IF(Atletas!F478="Adulto +90kg",11,"")))))))))))))</f>
        <v/>
      </c>
      <c r="BC487" s="6" t="str">
        <f>IF(Atletas!G478="","",IF(Atletas!B478="Feminino",10,IF(Atletas!B478="Masculino",20,""))+(IF(Atletas!G478="Baduanjin A",1,IF(Atletas!G478="Baduanjin B",2))))</f>
        <v/>
      </c>
      <c r="BF487" s="52" t="str">
        <f>IF(Atletas!H478="","",IF(Atletas!B478="Feminino",100,IF(Atletas!B478="Masculino",200,""))+(IF(Atletas!H478="Changquan Mirim",1,IF(Atletas!H478="Nanquan Mirim",2,IF(Atletas!H478="Taijiquan Mirim",3,IF(Atletas!H478="Changquan Grupo C",4,IF(Atletas!H478="Nanquan Grupo C",5,IF(Atletas!H478="Taijiquan Grupo C",6,IF(Atletas!H478="Changquan Grupo B",7,IF(Atletas!H478="Nanquan Grupo B",8,IF(Atletas!H478="Taijiquan Grupo B",9,IF(Atletas!H478="Changquan Grupo A",10,IF(Atletas!H478="Nanquan Grupo A",11,IF(Atletas!H478="Taijiquan Grupo A",12,IF(Atletas!H478="Changquan Opcional",13,IF(Atletas!H478="Nanquan Opcional",14,IF(Atletas!H478="Taijiquan Opcional",15,IF(Atletas!H478="Changquan Adulto",16,IF(Atletas!H478="Nanquan Adulto",17,IF(Atletas!H478="Taijiquan Adulto",18,""))))))))))))))))))))</f>
        <v/>
      </c>
      <c r="BG487" s="52" t="str">
        <f>IF(Atletas!I478="","",IF(Atletas!B478="Feminino",100,IF(Atletas!B478="Masculino",200,""))+(IF(Atletas!I478="Daoshu Mirim",19,IF(Atletas!I478="Jianshu Mirim",20,IF(Atletas!I478="Nandao Mirim",21,IF(Atletas!I478="Taijijian Mirim",22,IF(Atletas!I478="Daoshu Grupo C",23,IF(Atletas!I478="Jianshu Grupo C",24,IF(Atletas!I478="Nandao Grupo C",25,IF(Atletas!I478="Taijijian Grupo C",26,IF(Atletas!I478="Daoshu Grupo B",27,IF(Atletas!I478="Jianshu Grupo B",28,IF(Atletas!I478="Nandao Grupo B",29,IF(Atletas!I478="Taijijian Grupo B",30,IF(Atletas!I478="Daoshu Grupo A",31,IF(Atletas!I478="Jianshu Grupo A",32,IF(Atletas!I478="Nandao Grupo A",33,IF(Atletas!I478="Taijijian Grupo A",34,IF(Atletas!I478="Daoshu Opcional",35,IF(Atletas!I478="Jianshu Opcional",36,IF(Atletas!I478="Nandao Opcional",37,IF(Atletas!I478="Taijijian Opcional",38,IF(Atletas!I478="Daoshu Adulto",39,IF(Atletas!I478="Jianshu Adulto",40,IF(Atletas!I478="Nandao Adulto",41,IF(Atletas!I478="Taijijian Adulto",42,""))))))))))))))))))))))))))</f>
        <v/>
      </c>
      <c r="BH487" s="52" t="str">
        <f>IF(Atletas!J478="","",IF(Atletas!B478="Feminino",100,IF(Atletas!B478="Masculino",200,""))+(IF(Atletas!J478="Gunshu Mirim",43,IF(Atletas!J478="Qiangshu Mirim",44,IF(Atletas!J478="Nangun Mirim",45,IF(Atletas!J478="Gunshu Grupo C",46,IF(Atletas!J478="Qiangshu Grupo C",47,IF(Atletas!J478="Nangun Grupo C",48,IF(Atletas!J478="Gunshu Grupo B",49,IF(Atletas!J478="Qiangshu Grupo B",50,IF(Atletas!J478="Nangun Grupo B",51,IF(Atletas!J478="Gunshu Grupo A",52,IF(Atletas!J478="Qiangshu Grupo A",53,IF(Atletas!J478="Nangun Grupo A",54,IF(Atletas!J478="Gunshu Opcional",55,IF(Atletas!J478="Qiangshu Opcional",56,IF(Atletas!J478="Nangun Opcional",57,IF(Atletas!J478="Gunshu Adulto",58,IF(Atletas!J478="Qiangshu Adulto",59,IF(Atletas!J478="Nangun Adulto",60,IF(Atletas!J478="Taijishan Grupo B",61,IF(Atletas!J478="Taijishan Grupo A",62,""))))))))))))))))))))))</f>
        <v/>
      </c>
      <c r="BM487" s="50" t="str">
        <f>IF(Atletas!K478="","",IF(Atletas!B478="Feminino",100,IF(Atletas!B478="Masculino",200,""))+(IF(Atletas!K478="Equipe 1 Grupo B",1,IF(Atletas!K478="Equipe 2 Grupo B",2,IF(Atletas!K478="Equipe 1 Grupo A",3,IF(Atletas!K478="Equipe 2 Grupo A",4,IF(Atletas!K478="Equipe 1 Adulto",5,IF(Atletas!K478="Equipe 2 Adulto",6,""))))))))</f>
        <v/>
      </c>
      <c r="BR487" s="50" t="str">
        <f>IF(Atletas!L478="","",IF(Atletas!X478&lt;&gt;"",10000,0)+(IF(Atletas!B478="Feminino",1000,IF(Atletas!B478="Masculino",2000,""))+IF(Atletas!L478="Choylayfut A",1,IF(Atletas!L478="Hunggar A",2,IF(Atletas!L478="Wuzuquan A",3,IF(Atletas!L478="Wingchun A",4,IF(Atletas!L478="Outra Mão de Sul A",5,IF(Atletas!L478="Choylayfut B",6,IF(Atletas!L478="Hunggar B",7,IF(Atletas!L478="Wuzuquan B",8,IF(Atletas!L478="Wingchun B",9,IF(Atletas!L478="Outra Mão de Sul B",10,IF(Atletas!L478="Choylayfut C",11,IF(Atletas!L478="Hunggar C",12,IF(Atletas!L478="Wuzuquan C",13,IF(Atletas!L478="Wingchun C",14,IF(Atletas!L478="Outra Mão de Sul C",15,IF(Atletas!L478="Choylayfut D",16,IF(Atletas!L478="Hunggar D",17,IF(Atletas!L478="Wuzuquan D",18,IF(Atletas!L478="Wingchun D",19,IF(Atletas!L478="Outra Mão de Sul D",20,IF(Atletas!L478="Choylayfut E",21,IF(Atletas!L478="Hunggar E",22,IF(Atletas!L478="Wuzuquan E",23,IF(Atletas!L478="Wingchun E",24,IF(Atletas!L478="Outra Mão de Sul E",25,IF(Atletas!L478="Choylayfut F",26,IF(Atletas!L478="Hunggar F",27,IF(Atletas!L478="Wuzuquan F",28,IF(Atletas!L478="Wingchun F",29,IF(Atletas!L478="Outra Mão de Sul F",30,IF(Atletas!L478="Dishuquan A",31,IF(Atletas!L478="Dishuquan B",32,IF(Atletas!L478="Dishuquan C",33,IF(Atletas!L478="Dishuquan D",34,IF(Atletas!L478="Dishuquan E",35,IF(Atletas!L478="Dishuquan F",36,""))))))))))))))))))))))))))))))))))))))</f>
        <v/>
      </c>
      <c r="BS487" s="50" t="str">
        <f>IF(Atletas!M478="","",IF(Atletas!X478&lt;&gt;"",10000,0)+(IF(Atletas!B478="Feminino",1000,IF(Atletas!B478="Masculino",2000,""))+(IF(Atletas!M478="Chaquan A",101,IF(Atletas!M478="Emeiquan A",102,IF(Atletas!M478="Fanziquan A",103,IF(Atletas!M478="Huaquan A",104,IF(Atletas!M478="Hongquan A",105,IF(Atletas!M478="Paoquan A",106,IF(Atletas!M478="Piguaquan A",107,IF(Atletas!M478="Shaolinquan A",108,IF(Atletas!M478="Tanglangquan A",109,IF(Atletas!M478="Yingzhaoquan A",110,IF(Atletas!M478="Tongbeiquan A",111,IF(Atletas!M478="Wudangquan A",112,IF(Atletas!M478="Outros Estilos A",113,IF(Atletas!M478="Chaquan B",114,IF(Atletas!M478="Emeiquan B",115,IF(Atletas!M478="Fanziquan B",116,IF(Atletas!M478="Huaquan B",117,IF(Atletas!M478="Hongquan B",118,IF(Atletas!M478="Paoquan B",119,IF(Atletas!M478="Piguaquan B",120,IF(Atletas!M478="Shaolinquan B",121,IF(Atletas!M478="Tanglangquan B",122,IF(Atletas!M478="Yingzhaoquan B",123,IF(Atletas!M478="Tongbeiquan B",124,IF(Atletas!M478="Wudangquan B",125,IF(Atletas!M478="Outros Estilos B",126,IF(Atletas!M478="Chaquan C",127,IF(Atletas!M478="Emeiquan C",128,IF(Atletas!M478="Fanziquan C",129,IF(Atletas!M478="Huaquan C",130,IF(Atletas!M478="Hongquan C",131,IF(Atletas!M478="Paoquan C",132,IF(Atletas!M478="Piguaquan C",133,IF(Atletas!M478="Shaolinquan C",134,IF(Atletas!M478="Tanglangquan C",135,IF(Atletas!M478="Yingzhaoquan C",136,IF(Atletas!M478="Tongbeiquan C",137,IF(Atletas!M478="Wudangquan C",138,IF(Atletas!M478="Outros Estilos C",139,0))))))))))))))))))))))))))))))))))))))))))</f>
        <v/>
      </c>
      <c r="BT487" s="50" t="str">
        <f>IF(Atletas!M478="","",IF(Atletas!X478&lt;&gt;"",10000,0)+(IF(Atletas!B478="Feminino",1000,IF(Atletas!B478="Masculino",2000,""))+(IF(Atletas!M478="Chaquan D",140,IF(Atletas!M478="Emeiquan D",141,IF(Atletas!M478="Fanziquan D",142,IF(Atletas!M478="Huaquan D",143,IF(Atletas!M478="Hongquan D",144,IF(Atletas!M478="Paoquan D",145,IF(Atletas!M478="Piguaquan D",146,IF(Atletas!M478="Shaolinquan D",147,IF(Atletas!M478="Tanglangquan D",148,IF(Atletas!M478="Yingzhaoquan D",149,IF(Atletas!M478="Tongbeiquan D",150,IF(Atletas!M478="Wudangquan D",151,IF(Atletas!M478="Outros Estilos D",152,IF(Atletas!M478="Chaquan E",153,IF(Atletas!M478="Emeiquan E",154,IF(Atletas!M478="Fanziquan E",155,IF(Atletas!M478="Huaquan E",156,IF(Atletas!M478="Hongquan E",157,IF(Atletas!M478="Paoquan E",158,IF(Atletas!M478="Piguaquan E",159,IF(Atletas!M478="Shaolinquan E",160,IF(Atletas!M478="Tanglangquan E",161,IF(Atletas!M478="Yingzhaoquan E",162,IF(Atletas!M478="Tongbeiquan E",163,IF(Atletas!M478="Wudangquan E",164,IF(Atletas!M478="Outros Estilos E",165,IF(Atletas!M478="Chaquan F",166,IF(Atletas!M478="Emeiquan F",167,IF(Atletas!M478="Fanziquan F",168,IF(Atletas!M478="Huaquan F",169,IF(Atletas!M478="Hongquan F",170,IF(Atletas!M478="Paoquan F",171,IF(Atletas!M478="Piguaquan F",172,IF(Atletas!M478="Shaolinquan F",173,IF(Atletas!M478="Tanglangquan F",174,IF(Atletas!M478="Yingzhaoquan F",175,IF(Atletas!M478="Tongbeiquan F",176,IF(Atletas!M478="Wudangquan F",177,IF(Atletas!M478="Outros Estilos F",178,0))))))))))))))))))))))))))))))))))))))))))</f>
        <v/>
      </c>
      <c r="BU487" s="50" t="str">
        <f>IF(Atletas!N478="","",IF(Atletas!X478&lt;&gt;"",10000,0)+(IF(Atletas!B478="Feminino",1000,IF(Atletas!B478="Masculino",2000,""))+(IF(Atletas!N478="Ditangquan A",201,IF(Atletas!N478="Houquan A",202,IF(Atletas!N478="Zuiquan A",203,IF(Atletas!N478="Ditangquan B",204,IF(Atletas!N478="Houquan B",205,IF(Atletas!N478="Zuiquan B",206,IF(Atletas!N478="Ditangquan C",207,IF(Atletas!N478="Houquan C",208,IF(Atletas!N478="Zuiquan C",209,IF(Atletas!N478="Ditangquan D",210,IF(Atletas!N478="Houquan D",211,IF(Atletas!N478="Zuiquan D",212,IF(Atletas!N478="Ditangquan E",213,IF(Atletas!N478="Houquan E",214,IF(Atletas!N478="Zuiquan E",215,IF(Atletas!N478="Ditangquan F",216,IF(Atletas!N478="Houquan F",217,IF(Atletas!N478="Zuiquan F",218,"")))))))))))))))))))))</f>
        <v/>
      </c>
      <c r="BV487" s="50" t="str">
        <f>IF(Atletas!O478="","",IF(Atletas!X478&lt;&gt;"",10000,0)+IF(Atletas!B478="Feminino",1000,IF(Atletas!B478="Masculino",2000,""))+IF(Atletas!O478="Yang A",301,IF(Atletas!O478="Chen A",302,IF(Atletas!O478="Sun A",303,IF(Atletas!O478="Wu A",304,IF(Atletas!O478="Wu-Hao A",305,IF(Atletas!O478="Outro Taijiquan A",306,IF(Atletas!O478="Yang B",307,IF(Atletas!O478="Chen B",308,IF(Atletas!O478="Sun B",309,IF(Atletas!O478="Wu B",310,IF(Atletas!O478="Wu-Hao B",311,IF(Atletas!O478="Outro Taijiquan B",312,IF(Atletas!O478="Yang C",313,IF(Atletas!O478="Chen C",314,IF(Atletas!O478="Sun C",315,IF(Atletas!O478="Wu C",316,IF(Atletas!O478="Wu-Hao C",317,IF(Atletas!O478="Outro Taijiquan C",318,IF(Atletas!O478="Yang D",319,IF(Atletas!O478="Chen D",320,IF(Atletas!O478="Sun D",321,IF(Atletas!O478="Wu D",322,IF(Atletas!O478="Wu-Hao D",323,IF(Atletas!O478="Outro Taijiquan D",324,IF(Atletas!O478="Yang E",325,IF(Atletas!O478="Chen E",326,IF(Atletas!O478="Sun E",327,IF(Atletas!O478="Wu E",328,IF(Atletas!O478="Wu-Hao E",329,IF(Atletas!O478="Outro Taijiquan E",330,IF(Atletas!O478="Yang F",331,IF(Atletas!O478="Chen F",332,IF(Atletas!O478="Sun F",333,IF(Atletas!O478="Wu F",334,IF(Atletas!O478="Wu-Hao F",335,IF(Atletas!O478="Outro Taijiquan F",336,"")))))))))))))))))))))))))))))))))))))</f>
        <v/>
      </c>
      <c r="BW487" s="50" t="str">
        <f>IF(Atletas!P478="","",IF(Atletas!X478&lt;&gt;"",10000,0)+IF(Atletas!B478="Feminino",1000,IF(Atletas!B478="Masculino",2000,""))+IF(OR(Atletas!P478="Yang 26 A",Atletas!P478="Yang 40 A"),401,IF(OR(Atletas!P478="Chen 25 A",Atletas!P478="Chen 36 A",Atletas!P478="Chen 56 A"),402,IF(Atletas!P478="Sun 73 A",403,IF(Atletas!P478="Wu 45 A",404,IF(Atletas!P478="Wu-Hao 46 A",405,IF(OR(Atletas!P478="Taijiquan 16 A",Atletas!P478="Taijiquan 24 A",Atletas!P478="Taijiquan 32 A",Atletas!P478="Taijiquan 42 A"),406,IF(OR(Atletas!P478="Yang 26 B",Atletas!P478="Yang 40 B"),407,IF(OR(Atletas!P478="Chen 25 B",Atletas!P478="Chen 36 B",Atletas!P478="Chen 56 B"),408,IF(Atletas!P478="Sun 73 B",409,IF(Atletas!P478="Wu 45 B",410,IF(Atletas!P478="Wu-Hao 46 B",411,IF(OR(Atletas!P478="Taijiquan 16 B",Atletas!P478="Taijiquan 24 B",Atletas!P478="Taijiquan 32 B",Atletas!P478="Taijiquan 42 B"),412,IF(OR(Atletas!P478="Yang 26 C",Atletas!P478="Yang 40 C"),413,IF(OR(Atletas!P478="Chen 25 C",Atletas!P478="Chen 36 C",Atletas!P478="Chen 56 C"),414,IF(Atletas!P478="Sun 73 C",415,IF(Atletas!P478="Wu 45 C",416,IF(Atletas!P478="Wu-Hao 46 C",417,IF(OR(Atletas!P478="Taijiquan 16 C",Atletas!P478="Taijiquan 24 C",Atletas!P478="Taijiquan 32 C",Atletas!P478="Taijiquan 42 C"),418,0)))))))))))))))))))</f>
        <v/>
      </c>
      <c r="BX487" s="50" t="str">
        <f>IF(Atletas!P478="","",IF(Atletas!X478&lt;&gt;"",10000,0)+IF(Atletas!B478="Feminino",1000,IF(Atletas!B478="Masculino",2000,""))+IF(OR(Atletas!P478="Yang 26 D",Atletas!P478="Yang 40 D"),419,IF(OR(Atletas!P478="Chen 25 D",Atletas!P478="Chen 36 D",Atletas!P478="Chen 56 D"),420,IF(Atletas!P478="Sun 73 D",421,IF(Atletas!P478="Wu 45 D",422,IF(Atletas!P478="Wu-Hao 46 D",423,IF(OR(Atletas!P478="Taijiquan 16 D",Atletas!P478="Taijiquan 24 D",Atletas!P478="Taijiquan 32 D",Atletas!P478="Taijiquan 42 D"),424,IF(OR(Atletas!P478="Yang 26 E",Atletas!P478="Yang 40 E"),425,IF(OR(Atletas!P478="Chen 25 E",Atletas!P478="Chen 36 E",Atletas!P478="Chen 56 E"),426,IF(Atletas!P478="Sun 73 E",427,IF(Atletas!P478="Wu 45 E",428,IF(Atletas!P478="Wu-Hao 46 E",429,IF(OR(Atletas!P478="Taijiquan 16 E",Atletas!P478="Taijiquan 24 E",Atletas!P478="Taijiquan 32 E",Atletas!P478="Taijiquan 42 E"),430,IF(OR(Atletas!P478="Yang 26 F",Atletas!P478="Yang 40 F"),431,IF(OR(Atletas!P478="Chen 25 F",Atletas!P478="Chen 36 F",Atletas!P478="Chen 56 F"),432,IF(Atletas!P478="Sun 73 F",433,IF(Atletas!P478="Wu 45 F",434,IF(Atletas!P478="Wu-Hao 46 F",435,IF(OR(Atletas!P478="Taijiquan 16 F",Atletas!P478="Taijiquan 24 F",Atletas!P478="Taijiquan 32 F",Atletas!P478="Taijiquan 42 F"),436,0)))))))))))))))))))</f>
        <v/>
      </c>
      <c r="BY487" s="50" t="str">
        <f>IF(Atletas!Q478="","",IF(Atletas!X478&lt;&gt;"",10000,0)+IF(Atletas!B478="Feminino",1000,IF(Atletas!B478="Masculino",2000,""))+IF(Atletas!Q478="Xingyiquan A",501,IF(Atletas!Q478="Baguazhang A",502,IF(Atletas!Q478="Outro Estilo Interno A",503,IF(Atletas!Q478="Xingyiquan B",504,IF(Atletas!Q478="Baguazhang B",505,IF(Atletas!Q478="Outro Estilo Interno B",506,IF(Atletas!Q478="Xingyiquan C",507,IF(Atletas!Q478="Baguazhang C",508,IF(Atletas!Q478="Outro Estilo Interno C",509,IF(Atletas!Q478="Xingyiquan D",510,IF(Atletas!Q478="Baguazhang D",511,IF(Atletas!Q478="Outro Estilo Interno D",512,IF(Atletas!Q478="Xingyiquan E",513,IF(Atletas!Q478="Baguazhang E",514,IF(Atletas!Q478="Outro Estilo Interno E",515,IF(Atletas!Q478="Xingyiquan F",516,IF(Atletas!Q478="Baguazhang F",517,IF(Atletas!Q478="Outro Estilo Interno F",518, "")))))))))))))))))))</f>
        <v/>
      </c>
      <c r="BZ487" s="50" t="str">
        <f>IF(Atletas!R478="","",IF(Atletas!X478&lt;&gt;"",10000,0)+IF(Atletas!B478="Feminino",1000,IF(Atletas!B478="Masculino",2000,""))+IF(Atletas!R478="Dao A",601,IF(Atletas!R478="Jian A",602,IF(Atletas!R478="Bishou A",603,IF(Atletas!R478="Shanzi A",604,IF(Atletas!R478="Outra Arma Curta A",605,IF(Atletas!R478="Dao B",606,IF(Atletas!R478="Jian B",607,IF(Atletas!R478="Bishou B",608,IF(Atletas!R478="Shanzi B",609,IF(Atletas!R478="Outra Arma Curta B",610,IF(Atletas!R478="Dao C",611,IF(Atletas!R478="Jian C",612,IF(Atletas!R478="Bishou C",613,IF(Atletas!R478="Shanzi C",614,IF(Atletas!R478="Outra Arma Curta C",615,IF(Atletas!R478="Dao D",616,IF(Atletas!R478="Jian D",617,IF(Atletas!R478="Bishou D",618,IF(Atletas!R478="Shanzi D",619,IF(Atletas!R478="Outra Arma Curta D",620,IF(Atletas!R478="Dao E",621,IF(Atletas!R478="Jian E",622,IF(Atletas!R478="Bishou E",623,IF(Atletas!R478="Shanzi E",624,IF(Atletas!R478="Outra Arma Curta E",625,IF(Atletas!R478="Dao F",626,IF(Atletas!R478="Jian F",627,IF(Atletas!R478="Bishou F",628,IF(Atletas!R478="Shanzi F",629,IF(Atletas!R478="Outra Arma Curta F",630, "")))))))))))))))))))))))))))))))</f>
        <v/>
      </c>
      <c r="CA487" s="50" t="str">
        <f>IF(Atletas!S478="","",IF(Atletas!X478&lt;&gt;"",10000,0)+IF(Atletas!B478="Feminino",1000,IF(Atletas!B478="Masculino",2000,""))+IF(Atletas!S478="Gun A",701,IF(Atletas!S478="Qiang A",702,IF(Atletas!S478="Pudao / Guandao A",703,IF(Atletas!S478="Outra Arma Longa A",704,IF(Atletas!S478="Gun B",705,IF(Atletas!S478="Qiang B",706,IF(Atletas!S478="Pudao / Guandao B",707,IF(Atletas!S478="Outra Arma Longa B",708,IF(Atletas!S478="Gun C",709,IF(Atletas!S478="Qiang C",710,IF(Atletas!S478="Pudao / Guandao C",711,IF(Atletas!S478="Outra Arma Longa C",712,IF(Atletas!S478="Gun D",713,IF(Atletas!S478="Qiang D",714,IF(Atletas!S478="Pudao / Guandao D",715,IF(Atletas!S478="Outra Arma Longa D",716,IF(Atletas!S478="Gun E",717,IF(Atletas!S478="Qiang E",718,IF(Atletas!S478="Pudao / Guandao E",719,IF(Atletas!S478="Outra Arma Longa E",720,IF(Atletas!S478="Gun F",721,IF(Atletas!S478="Qiang F",722,IF(Atletas!S478="Pudao / Guandao F",723,IF(Atletas!S478="Outra Arma Longa F",724,"")))))))))))))))))))))))))</f>
        <v/>
      </c>
      <c r="CB487" s="50" t="str">
        <f>IF(Atletas!T478="","",IF(Atletas!X478&lt;&gt;"",10000,0)+IF(Atletas!B478="Feminino",1000,IF(Atletas!B478="Masculino",2000,""))+IF(Atletas!T478="Outra Arma Dupla A",801,IF(Atletas!T478="Arma Maleável A",802,IF(Atletas!T478="Outra Arma Dupla B",803,IF(Atletas!T478="Arma Maleável B",804,IF(Atletas!T478="Outra Arma Dupla C",805,IF(Atletas!T478="Arma Maleável C",806,IF(Atletas!T478="Outra Arma Dupla D",807,IF(Atletas!T478="Arma Maleável D",808,IF(Atletas!T478="Outra Arma Dupla E",809,IF(Atletas!T478="Arma Maleável E",810,IF(Atletas!T478="Outra Arma Dupla F",811,IF(Atletas!T478="Arma Maleável F",812,IF(Atletas!T478="Shuangdao A",813,IF(Atletas!T478="Shuangdao B",814,IF(Atletas!T478="Shuangdao C",815,IF(Atletas!T478="Shuangdao D",816,IF(Atletas!T478="Shuangdao E",817,IF(Atletas!T478="Shuangdao F",818,"")))))))))))))))))))</f>
        <v/>
      </c>
      <c r="CC487" s="50" t="str">
        <f>IF(Atletas!U478="","",IF(Atletas!X478&lt;&gt;"",10000,0)+IF(Atletas!B478="Feminino",1000,IF(Atletas!B478="Masculino",2000,""))+IF(OR(Atletas!U478="Taijijian Yang A",Atletas!U478="Taijijian Yang Standard A"),901,IF(OR(Atletas!U478="Taijijian Chen A", Atletas!U478="Taijijian Chen Standard A"),902,IF(Atletas!U478="Taijijian Sun A",903,IF(Atletas!U478="Taijijian Wu A",904,IF(Atletas!U478="Taijijian Wu-Hao A",905,IF(OR(Atletas!U478="Taijijian 32 A",Atletas!U478="Taijijian 42 A"),906,IF(OR(Atletas!U478="Taijijian Yang B",Atletas!U478="Taijijian Yang Standard B"),907,IF(OR(Atletas!U478="Taijijian Chen B", Atletas!U478="Taijijian Chen Standard B"),908,IF(Atletas!U478="Taijijian Sun B",909,IF(Atletas!U478="Taijijian Wu B",910,IF(Atletas!U478="Taijijian Wu-Hao B",911,IF(OR(Atletas!U478="Taijijian 32 B",Atletas!U478="Taijijian 42 B"),912,IF(OR(Atletas!U478="Taijijian Yang C",Atletas!U478="Taijijian Yang Standard C"),913,IF(OR(Atletas!U478="Taijijian Chen C", Atletas!U478="Taijijian Chen Standard C"),914,IF(Atletas!U478="Taijijian Sun C",915,IF(Atletas!U478="Taijijian Wu C",916,IF(Atletas!U478="Taijijian Wu-Hao C",917,IF(OR(Atletas!U478="Taijijian 32 C",Atletas!U478="Taijijian 42 C"),918,IF(OR(Atletas!U478="Taijijian Yang D",Atletas!U478="Taijijian Yang Standard D"),919,IF(OR(Atletas!U478="Taijijian Chen D", Atletas!U478="Taijijian Chen Standard D"),920,IF(Atletas!U478="Taijijian Sun D",921,IF(Atletas!U478="Taijijian Wu D",922,IF(Atletas!U478="Taijijian Wu-Hao D",923,IF(OR(Atletas!U478="Taijijian 32 D",Atletas!U478="Taijijian 42 D"),924,IF(OR(Atletas!U478="Taijijian Yang E",Atletas!U478="Taijijian Yang Standard E"),925,IF(OR(Atletas!U478="Taijijian Chen E", Atletas!U478="Taijijian Chen Standard E"),926,IF(Atletas!U478="Taijijian Sun E",927,IF(Atletas!U478="Taijijian Wu E",928,IF(Atletas!U478="Taijijian Wu-Hao E",929,IF(OR(Atletas!U478="Taijijian 32 E",Atletas!U478="Taijijian 42 E"),930,IF(OR(Atletas!U478="Taijijian Yang F",Atletas!U478="Taijijian Yang Standard F"),931,IF(OR(Atletas!U478="Taijijian Chen F", Atletas!U478="Taijijian Chen Standard F"),932,IF(Atletas!U478="Taijijian Sun F",933,IF(Atletas!U478="Taijijian Wu F",934,IF(Atletas!U478="Taijijian Wu-Hao F",935,IF(OR(Atletas!U478="Taijijian 32 F",Atletas!U478="Taijijian 42 F"),936,"")))))))))))))))))))))))))))))))))))))</f>
        <v/>
      </c>
      <c r="CD487" s="50" t="str">
        <f>IF(Atletas!V478="","",IF(Atletas!X478&lt;&gt;"",10000,0)+IF(Atletas!B478="Feminino",1000,IF(Atletas!B478="Masculino",2000,""))+IF(Atletas!V478="Taijidao A",937,IF(Atletas!V478="TaijiShanzi A",938,IF(Atletas!V478="Taijiqiang A",939,IF(Atletas!V478="Bagua de Arma A",940,IF(Atletas!V478="Xingyi de Arma A",941,IF(Atletas!V478="Taijidao B",942,IF(Atletas!V478="TaijiShanzi B",943,IF(Atletas!V478="Taijiqiang B",944,IF(Atletas!V478="Bagua de Arma B",945,IF(Atletas!V478="Xingyi de Arma B",946,IF(Atletas!V478="Taijidao C",947,IF(Atletas!V478="TaijiShanzi C",948,IF(Atletas!V478="Taijiqiang C",949,IF(Atletas!V478="Bagua de Arma C",950,IF(Atletas!V478="Xingyi de Arma C",951,IF(Atletas!V478="Taijidao D",952,IF(Atletas!V478="TaijiShanzi D",953,IF(Atletas!V478="Taijiqiang D",954,IF(Atletas!V478="Bagua de Arma D",955,IF(Atletas!V478="Xingyi de Arma D",956,IF(Atletas!V478="Taijidao E",957,IF(Atletas!V478="TaijiShanzi E",958,IF(Atletas!V478="Taijiqiang E",959,IF(Atletas!V478="Bagua de Arma E",960,IF(Atletas!V478="Xingyi de Arma E",961,IF(Atletas!V478="Taijidao F",962,IF(Atletas!V478="TaijiShanzi F",963,IF(Atletas!V478="Taijiqiang F",964,IF(Atletas!V478="Bagua de Arma F",965,IF(Atletas!V478="Xingyi de Arma F",966,"")))))))))))))))))))))))))))))))</f>
        <v/>
      </c>
      <c r="CM487" s="50" t="str">
        <f xml:space="preserve"> IF(Atletas!W478="","",IF(Atletas!W478="Duilian de Mãos BC - Equipe 1",1,IF(Atletas!W478="Duilian de Mãos BC - Equipe 2",2,IF(Atletas!W478="Duilian de Armas BC - Equipe 1",3,IF(Atletas!W478="Duilian de Armas BC - Equipe 2",4,IF(Atletas!W478="Duilian de Mãos DE - Equipe 1",5,IF(Atletas!W478="Duilian de Mãos DE - Equipe 2",6,IF(Atletas!W478="Duilian de Armas DE - Equipe 1",7,IF(Atletas!W478="Duilian de Armas DE - Equipe 2",8,IF(Atletas!W478="Duilian de Tuishou - Equipe 1",9,IF(Atletas!W478="Duilian de Tuishou - Equipe 2",10,IF(Atletas!W478="Grupo Externo ABC - Equipe 1",11,IF(Atletas!W478="Grupo Externo ABC - Equipe 2",12,IF(Atletas!W478="Grupo Interno ABC - Equipe 1",13,IF(Atletas!W478="Grupo Interno ABC - Equipe 2",14,IF(Atletas!W478="Grupo Externo DEF - Equipe 1",15,IF(Atletas!W478="Grupo Externo DEF - Equipe 2",16,IF(Atletas!W478="Grupo Interno DEF - Equipe 1",17,IF(Atletas!W478="Grupo Interno DEF - Equipe 2",18,"")))))))))))))))))))</f>
        <v/>
      </c>
    </row>
    <row r="488" spans="40:91">
      <c r="AN488" s="52" t="str">
        <f>IF(Atletas!D479="","",IF(Atletas!B479="Feminino",100,IF(Atletas!B479="Masculino",200,""))+(IF(Atletas!D479="Kids 30kg",1,IF(Atletas!D479="Kids 32kg",2, IF(Atletas!D479="Kids 34kg",3,IF(Atletas!D479="Kids 36kg",4,IF(Atletas!D479="Kids 39kg",5,IF(Atletas!D479="Kids 42kg",6,IF(Atletas!D479="Kids 45kg",7, IF(Atletas!D479="Infantil 39kg",8,IF(Atletas!D479="Infantil 42kg",9,IF(Atletas!D479="Infantil 45kg",10,IF(Atletas!D479="Infantil 48kg",11,IF(Atletas!D479="Infantil 52kg",12,IF(Atletas!D479="Infantil 56kg",13,IF(Atletas!D479="Infantil 60kg",14,IF(Atletas!D479="Juvenil 48kg",15,IF(Atletas!D479="Juvenil 52kg",16,IF(Atletas!D479="Juvenil 56kg",17,IF(Atletas!D479="Juvenil 60kg",18,IF(Atletas!D479="Juvenil 65kg",19,IF(Atletas!D479="Juvenil 70kg",20,IF(Atletas!D479="Juvenil 75kg",21,IF(Atletas!D479="Juvenil 80kg",22, IF(Atletas!D479="Juvenil 85kg",23,IF(Atletas!D479="Adulto 48kg",24,IF(Atletas!D479="Adulto 52kg",25,IF(Atletas!D479="Adulto 56kg",26,IF(Atletas!D479="Adulto 60kg",27,IF(Atletas!D479="Adulto 65kg",28,IF(Atletas!D479="Adulto 70kg",29,IF(Atletas!D479="Adulto 75kg",30,IF(Atletas!D479="Adulto 80kg",31,IF(Atletas!D479="Adulto 85kg",32,IF(Atletas!D479="Adulto 90kg",33,IF(Atletas!D479="Adulto 100kg",34, IF(Atletas!D479="Adulto +100kg",35,"")))))))))))))))))))))))))))))))))))))</f>
        <v/>
      </c>
      <c r="AS488" s="6" t="str">
        <f>IF(Atletas!E479="","",IF(Atletas!B479="Feminino",100,IF(Atletas!B479="Masculino",200,""))+(IF(Atletas!E479="Juvenil 44kg",1,IF(Atletas!E479="Juvenil 48kg",2,IF(Atletas!E479="Juvenil 52kg",3,IF(Atletas!E479="Juvenil 56kg",4,IF(Atletas!E479="Juvenil 60kg",5,IF(Atletas!E479="Juvenil 65kg",6,IF(Atletas!E479="Juvenil 70kg",7,IF(Atletas!E479="Juvenil 75kg",8,IF(Atletas!E479="Juvenil 82kg",9,IF(Atletas!E479="Juvenil 90kg",10,IF(Atletas!E479="Juvenil 100kg",11,IF(Atletas!E479="Adulto 48kg",12,IF(Atletas!E479="Adulto 52kg",13,IF(Atletas!E479="Adulto 56kg",14,IF(Atletas!E479="Adulto 60kg",15,IF(Atletas!E479="Adulto 65kg",16,IF(Atletas!E479="Adulto 70kg",17,IF(Atletas!E479="Adulto 75kg",18,IF(Atletas!E479="Adulto 82kg",19,IF(Atletas!E479="Adulto 90kg",20,IF(Atletas!E479="Adulto 100kg",21,IF(Atletas!E479="Adulto +100kg",22,""))))))))))))))))))))))))</f>
        <v/>
      </c>
      <c r="AX488" s="6" t="str">
        <f>IF(Atletas!F479="","",IF(Atletas!B479="Feminino",100,IF(Atletas!B479="Masculino",200,""))+(IF(Atletas!F479="Adulto 48kg",1,IF(Atletas!F479="Adulto 56kg",2,IF(Atletas!F479="Adulto 65kg",3,IF(Atletas!F479="Adulto 75kg",4,IF(Atletas!F479="Adulto +75kg",5,IF(Atletas!F479="Adulto 52kg",6,IF(Atletas!F479="Adulto 60kg",7,IF(Atletas!F479="Adulto 70kg",8,IF(Atletas!F479="Adulto 80kg",9,IF(Atletas!F479="Adulto 90kg",10,IF(Atletas!F479="Adulto +90kg",11,"")))))))))))))</f>
        <v/>
      </c>
      <c r="BC488" s="6" t="str">
        <f>IF(Atletas!G479="","",IF(Atletas!B479="Feminino",10,IF(Atletas!B479="Masculino",20,""))+(IF(Atletas!G479="Baduanjin A",1,IF(Atletas!G479="Baduanjin B",2))))</f>
        <v/>
      </c>
      <c r="BF488" s="52" t="str">
        <f>IF(Atletas!H479="","",IF(Atletas!B479="Feminino",100,IF(Atletas!B479="Masculino",200,""))+(IF(Atletas!H479="Changquan Mirim",1,IF(Atletas!H479="Nanquan Mirim",2,IF(Atletas!H479="Taijiquan Mirim",3,IF(Atletas!H479="Changquan Grupo C",4,IF(Atletas!H479="Nanquan Grupo C",5,IF(Atletas!H479="Taijiquan Grupo C",6,IF(Atletas!H479="Changquan Grupo B",7,IF(Atletas!H479="Nanquan Grupo B",8,IF(Atletas!H479="Taijiquan Grupo B",9,IF(Atletas!H479="Changquan Grupo A",10,IF(Atletas!H479="Nanquan Grupo A",11,IF(Atletas!H479="Taijiquan Grupo A",12,IF(Atletas!H479="Changquan Opcional",13,IF(Atletas!H479="Nanquan Opcional",14,IF(Atletas!H479="Taijiquan Opcional",15,IF(Atletas!H479="Changquan Adulto",16,IF(Atletas!H479="Nanquan Adulto",17,IF(Atletas!H479="Taijiquan Adulto",18,""))))))))))))))))))))</f>
        <v/>
      </c>
      <c r="BG488" s="52" t="str">
        <f>IF(Atletas!I479="","",IF(Atletas!B479="Feminino",100,IF(Atletas!B479="Masculino",200,""))+(IF(Atletas!I479="Daoshu Mirim",19,IF(Atletas!I479="Jianshu Mirim",20,IF(Atletas!I479="Nandao Mirim",21,IF(Atletas!I479="Taijijian Mirim",22,IF(Atletas!I479="Daoshu Grupo C",23,IF(Atletas!I479="Jianshu Grupo C",24,IF(Atletas!I479="Nandao Grupo C",25,IF(Atletas!I479="Taijijian Grupo C",26,IF(Atletas!I479="Daoshu Grupo B",27,IF(Atletas!I479="Jianshu Grupo B",28,IF(Atletas!I479="Nandao Grupo B",29,IF(Atletas!I479="Taijijian Grupo B",30,IF(Atletas!I479="Daoshu Grupo A",31,IF(Atletas!I479="Jianshu Grupo A",32,IF(Atletas!I479="Nandao Grupo A",33,IF(Atletas!I479="Taijijian Grupo A",34,IF(Atletas!I479="Daoshu Opcional",35,IF(Atletas!I479="Jianshu Opcional",36,IF(Atletas!I479="Nandao Opcional",37,IF(Atletas!I479="Taijijian Opcional",38,IF(Atletas!I479="Daoshu Adulto",39,IF(Atletas!I479="Jianshu Adulto",40,IF(Atletas!I479="Nandao Adulto",41,IF(Atletas!I479="Taijijian Adulto",42,""))))))))))))))))))))))))))</f>
        <v/>
      </c>
      <c r="BH488" s="52" t="str">
        <f>IF(Atletas!J479="","",IF(Atletas!B479="Feminino",100,IF(Atletas!B479="Masculino",200,""))+(IF(Atletas!J479="Gunshu Mirim",43,IF(Atletas!J479="Qiangshu Mirim",44,IF(Atletas!J479="Nangun Mirim",45,IF(Atletas!J479="Gunshu Grupo C",46,IF(Atletas!J479="Qiangshu Grupo C",47,IF(Atletas!J479="Nangun Grupo C",48,IF(Atletas!J479="Gunshu Grupo B",49,IF(Atletas!J479="Qiangshu Grupo B",50,IF(Atletas!J479="Nangun Grupo B",51,IF(Atletas!J479="Gunshu Grupo A",52,IF(Atletas!J479="Qiangshu Grupo A",53,IF(Atletas!J479="Nangun Grupo A",54,IF(Atletas!J479="Gunshu Opcional",55,IF(Atletas!J479="Qiangshu Opcional",56,IF(Atletas!J479="Nangun Opcional",57,IF(Atletas!J479="Gunshu Adulto",58,IF(Atletas!J479="Qiangshu Adulto",59,IF(Atletas!J479="Nangun Adulto",60,IF(Atletas!J479="Taijishan Grupo B",61,IF(Atletas!J479="Taijishan Grupo A",62,""))))))))))))))))))))))</f>
        <v/>
      </c>
      <c r="BM488" s="50" t="str">
        <f>IF(Atletas!K479="","",IF(Atletas!B479="Feminino",100,IF(Atletas!B479="Masculino",200,""))+(IF(Atletas!K479="Equipe 1 Grupo B",1,IF(Atletas!K479="Equipe 2 Grupo B",2,IF(Atletas!K479="Equipe 1 Grupo A",3,IF(Atletas!K479="Equipe 2 Grupo A",4,IF(Atletas!K479="Equipe 1 Adulto",5,IF(Atletas!K479="Equipe 2 Adulto",6,""))))))))</f>
        <v/>
      </c>
      <c r="BR488" s="50" t="str">
        <f>IF(Atletas!L479="","",IF(Atletas!X479&lt;&gt;"",10000,0)+(IF(Atletas!B479="Feminino",1000,IF(Atletas!B479="Masculino",2000,""))+IF(Atletas!L479="Choylayfut A",1,IF(Atletas!L479="Hunggar A",2,IF(Atletas!L479="Wuzuquan A",3,IF(Atletas!L479="Wingchun A",4,IF(Atletas!L479="Outra Mão de Sul A",5,IF(Atletas!L479="Choylayfut B",6,IF(Atletas!L479="Hunggar B",7,IF(Atletas!L479="Wuzuquan B",8,IF(Atletas!L479="Wingchun B",9,IF(Atletas!L479="Outra Mão de Sul B",10,IF(Atletas!L479="Choylayfut C",11,IF(Atletas!L479="Hunggar C",12,IF(Atletas!L479="Wuzuquan C",13,IF(Atletas!L479="Wingchun C",14,IF(Atletas!L479="Outra Mão de Sul C",15,IF(Atletas!L479="Choylayfut D",16,IF(Atletas!L479="Hunggar D",17,IF(Atletas!L479="Wuzuquan D",18,IF(Atletas!L479="Wingchun D",19,IF(Atletas!L479="Outra Mão de Sul D",20,IF(Atletas!L479="Choylayfut E",21,IF(Atletas!L479="Hunggar E",22,IF(Atletas!L479="Wuzuquan E",23,IF(Atletas!L479="Wingchun E",24,IF(Atletas!L479="Outra Mão de Sul E",25,IF(Atletas!L479="Choylayfut F",26,IF(Atletas!L479="Hunggar F",27,IF(Atletas!L479="Wuzuquan F",28,IF(Atletas!L479="Wingchun F",29,IF(Atletas!L479="Outra Mão de Sul F",30,IF(Atletas!L479="Dishuquan A",31,IF(Atletas!L479="Dishuquan B",32,IF(Atletas!L479="Dishuquan C",33,IF(Atletas!L479="Dishuquan D",34,IF(Atletas!L479="Dishuquan E",35,IF(Atletas!L479="Dishuquan F",36,""))))))))))))))))))))))))))))))))))))))</f>
        <v/>
      </c>
      <c r="BS488" s="50" t="str">
        <f>IF(Atletas!M479="","",IF(Atletas!X479&lt;&gt;"",10000,0)+(IF(Atletas!B479="Feminino",1000,IF(Atletas!B479="Masculino",2000,""))+(IF(Atletas!M479="Chaquan A",101,IF(Atletas!M479="Emeiquan A",102,IF(Atletas!M479="Fanziquan A",103,IF(Atletas!M479="Huaquan A",104,IF(Atletas!M479="Hongquan A",105,IF(Atletas!M479="Paoquan A",106,IF(Atletas!M479="Piguaquan A",107,IF(Atletas!M479="Shaolinquan A",108,IF(Atletas!M479="Tanglangquan A",109,IF(Atletas!M479="Yingzhaoquan A",110,IF(Atletas!M479="Tongbeiquan A",111,IF(Atletas!M479="Wudangquan A",112,IF(Atletas!M479="Outros Estilos A",113,IF(Atletas!M479="Chaquan B",114,IF(Atletas!M479="Emeiquan B",115,IF(Atletas!M479="Fanziquan B",116,IF(Atletas!M479="Huaquan B",117,IF(Atletas!M479="Hongquan B",118,IF(Atletas!M479="Paoquan B",119,IF(Atletas!M479="Piguaquan B",120,IF(Atletas!M479="Shaolinquan B",121,IF(Atletas!M479="Tanglangquan B",122,IF(Atletas!M479="Yingzhaoquan B",123,IF(Atletas!M479="Tongbeiquan B",124,IF(Atletas!M479="Wudangquan B",125,IF(Atletas!M479="Outros Estilos B",126,IF(Atletas!M479="Chaquan C",127,IF(Atletas!M479="Emeiquan C",128,IF(Atletas!M479="Fanziquan C",129,IF(Atletas!M479="Huaquan C",130,IF(Atletas!M479="Hongquan C",131,IF(Atletas!M479="Paoquan C",132,IF(Atletas!M479="Piguaquan C",133,IF(Atletas!M479="Shaolinquan C",134,IF(Atletas!M479="Tanglangquan C",135,IF(Atletas!M479="Yingzhaoquan C",136,IF(Atletas!M479="Tongbeiquan C",137,IF(Atletas!M479="Wudangquan C",138,IF(Atletas!M479="Outros Estilos C",139,0))))))))))))))))))))))))))))))))))))))))))</f>
        <v/>
      </c>
      <c r="BT488" s="50" t="str">
        <f>IF(Atletas!M479="","",IF(Atletas!X479&lt;&gt;"",10000,0)+(IF(Atletas!B479="Feminino",1000,IF(Atletas!B479="Masculino",2000,""))+(IF(Atletas!M479="Chaquan D",140,IF(Atletas!M479="Emeiquan D",141,IF(Atletas!M479="Fanziquan D",142,IF(Atletas!M479="Huaquan D",143,IF(Atletas!M479="Hongquan D",144,IF(Atletas!M479="Paoquan D",145,IF(Atletas!M479="Piguaquan D",146,IF(Atletas!M479="Shaolinquan D",147,IF(Atletas!M479="Tanglangquan D",148,IF(Atletas!M479="Yingzhaoquan D",149,IF(Atletas!M479="Tongbeiquan D",150,IF(Atletas!M479="Wudangquan D",151,IF(Atletas!M479="Outros Estilos D",152,IF(Atletas!M479="Chaquan E",153,IF(Atletas!M479="Emeiquan E",154,IF(Atletas!M479="Fanziquan E",155,IF(Atletas!M479="Huaquan E",156,IF(Atletas!M479="Hongquan E",157,IF(Atletas!M479="Paoquan E",158,IF(Atletas!M479="Piguaquan E",159,IF(Atletas!M479="Shaolinquan E",160,IF(Atletas!M479="Tanglangquan E",161,IF(Atletas!M479="Yingzhaoquan E",162,IF(Atletas!M479="Tongbeiquan E",163,IF(Atletas!M479="Wudangquan E",164,IF(Atletas!M479="Outros Estilos E",165,IF(Atletas!M479="Chaquan F",166,IF(Atletas!M479="Emeiquan F",167,IF(Atletas!M479="Fanziquan F",168,IF(Atletas!M479="Huaquan F",169,IF(Atletas!M479="Hongquan F",170,IF(Atletas!M479="Paoquan F",171,IF(Atletas!M479="Piguaquan F",172,IF(Atletas!M479="Shaolinquan F",173,IF(Atletas!M479="Tanglangquan F",174,IF(Atletas!M479="Yingzhaoquan F",175,IF(Atletas!M479="Tongbeiquan F",176,IF(Atletas!M479="Wudangquan F",177,IF(Atletas!M479="Outros Estilos F",178,0))))))))))))))))))))))))))))))))))))))))))</f>
        <v/>
      </c>
      <c r="BU488" s="50" t="str">
        <f>IF(Atletas!N479="","",IF(Atletas!X479&lt;&gt;"",10000,0)+(IF(Atletas!B479="Feminino",1000,IF(Atletas!B479="Masculino",2000,""))+(IF(Atletas!N479="Ditangquan A",201,IF(Atletas!N479="Houquan A",202,IF(Atletas!N479="Zuiquan A",203,IF(Atletas!N479="Ditangquan B",204,IF(Atletas!N479="Houquan B",205,IF(Atletas!N479="Zuiquan B",206,IF(Atletas!N479="Ditangquan C",207,IF(Atletas!N479="Houquan C",208,IF(Atletas!N479="Zuiquan C",209,IF(Atletas!N479="Ditangquan D",210,IF(Atletas!N479="Houquan D",211,IF(Atletas!N479="Zuiquan D",212,IF(Atletas!N479="Ditangquan E",213,IF(Atletas!N479="Houquan E",214,IF(Atletas!N479="Zuiquan E",215,IF(Atletas!N479="Ditangquan F",216,IF(Atletas!N479="Houquan F",217,IF(Atletas!N479="Zuiquan F",218,"")))))))))))))))))))))</f>
        <v/>
      </c>
      <c r="BV488" s="50" t="str">
        <f>IF(Atletas!O479="","",IF(Atletas!X479&lt;&gt;"",10000,0)+IF(Atletas!B479="Feminino",1000,IF(Atletas!B479="Masculino",2000,""))+IF(Atletas!O479="Yang A",301,IF(Atletas!O479="Chen A",302,IF(Atletas!O479="Sun A",303,IF(Atletas!O479="Wu A",304,IF(Atletas!O479="Wu-Hao A",305,IF(Atletas!O479="Outro Taijiquan A",306,IF(Atletas!O479="Yang B",307,IF(Atletas!O479="Chen B",308,IF(Atletas!O479="Sun B",309,IF(Atletas!O479="Wu B",310,IF(Atletas!O479="Wu-Hao B",311,IF(Atletas!O479="Outro Taijiquan B",312,IF(Atletas!O479="Yang C",313,IF(Atletas!O479="Chen C",314,IF(Atletas!O479="Sun C",315,IF(Atletas!O479="Wu C",316,IF(Atletas!O479="Wu-Hao C",317,IF(Atletas!O479="Outro Taijiquan C",318,IF(Atletas!O479="Yang D",319,IF(Atletas!O479="Chen D",320,IF(Atletas!O479="Sun D",321,IF(Atletas!O479="Wu D",322,IF(Atletas!O479="Wu-Hao D",323,IF(Atletas!O479="Outro Taijiquan D",324,IF(Atletas!O479="Yang E",325,IF(Atletas!O479="Chen E",326,IF(Atletas!O479="Sun E",327,IF(Atletas!O479="Wu E",328,IF(Atletas!O479="Wu-Hao E",329,IF(Atletas!O479="Outro Taijiquan E",330,IF(Atletas!O479="Yang F",331,IF(Atletas!O479="Chen F",332,IF(Atletas!O479="Sun F",333,IF(Atletas!O479="Wu F",334,IF(Atletas!O479="Wu-Hao F",335,IF(Atletas!O479="Outro Taijiquan F",336,"")))))))))))))))))))))))))))))))))))))</f>
        <v/>
      </c>
      <c r="BW488" s="50" t="str">
        <f>IF(Atletas!P479="","",IF(Atletas!X479&lt;&gt;"",10000,0)+IF(Atletas!B479="Feminino",1000,IF(Atletas!B479="Masculino",2000,""))+IF(OR(Atletas!P479="Yang 26 A",Atletas!P479="Yang 40 A"),401,IF(OR(Atletas!P479="Chen 25 A",Atletas!P479="Chen 36 A",Atletas!P479="Chen 56 A"),402,IF(Atletas!P479="Sun 73 A",403,IF(Atletas!P479="Wu 45 A",404,IF(Atletas!P479="Wu-Hao 46 A",405,IF(OR(Atletas!P479="Taijiquan 16 A",Atletas!P479="Taijiquan 24 A",Atletas!P479="Taijiquan 32 A",Atletas!P479="Taijiquan 42 A"),406,IF(OR(Atletas!P479="Yang 26 B",Atletas!P479="Yang 40 B"),407,IF(OR(Atletas!P479="Chen 25 B",Atletas!P479="Chen 36 B",Atletas!P479="Chen 56 B"),408,IF(Atletas!P479="Sun 73 B",409,IF(Atletas!P479="Wu 45 B",410,IF(Atletas!P479="Wu-Hao 46 B",411,IF(OR(Atletas!P479="Taijiquan 16 B",Atletas!P479="Taijiquan 24 B",Atletas!P479="Taijiquan 32 B",Atletas!P479="Taijiquan 42 B"),412,IF(OR(Atletas!P479="Yang 26 C",Atletas!P479="Yang 40 C"),413,IF(OR(Atletas!P479="Chen 25 C",Atletas!P479="Chen 36 C",Atletas!P479="Chen 56 C"),414,IF(Atletas!P479="Sun 73 C",415,IF(Atletas!P479="Wu 45 C",416,IF(Atletas!P479="Wu-Hao 46 C",417,IF(OR(Atletas!P479="Taijiquan 16 C",Atletas!P479="Taijiquan 24 C",Atletas!P479="Taijiquan 32 C",Atletas!P479="Taijiquan 42 C"),418,0)))))))))))))))))))</f>
        <v/>
      </c>
      <c r="BX488" s="50" t="str">
        <f>IF(Atletas!P479="","",IF(Atletas!X479&lt;&gt;"",10000,0)+IF(Atletas!B479="Feminino",1000,IF(Atletas!B479="Masculino",2000,""))+IF(OR(Atletas!P479="Yang 26 D",Atletas!P479="Yang 40 D"),419,IF(OR(Atletas!P479="Chen 25 D",Atletas!P479="Chen 36 D",Atletas!P479="Chen 56 D"),420,IF(Atletas!P479="Sun 73 D",421,IF(Atletas!P479="Wu 45 D",422,IF(Atletas!P479="Wu-Hao 46 D",423,IF(OR(Atletas!P479="Taijiquan 16 D",Atletas!P479="Taijiquan 24 D",Atletas!P479="Taijiquan 32 D",Atletas!P479="Taijiquan 42 D"),424,IF(OR(Atletas!P479="Yang 26 E",Atletas!P479="Yang 40 E"),425,IF(OR(Atletas!P479="Chen 25 E",Atletas!P479="Chen 36 E",Atletas!P479="Chen 56 E"),426,IF(Atletas!P479="Sun 73 E",427,IF(Atletas!P479="Wu 45 E",428,IF(Atletas!P479="Wu-Hao 46 E",429,IF(OR(Atletas!P479="Taijiquan 16 E",Atletas!P479="Taijiquan 24 E",Atletas!P479="Taijiquan 32 E",Atletas!P479="Taijiquan 42 E"),430,IF(OR(Atletas!P479="Yang 26 F",Atletas!P479="Yang 40 F"),431,IF(OR(Atletas!P479="Chen 25 F",Atletas!P479="Chen 36 F",Atletas!P479="Chen 56 F"),432,IF(Atletas!P479="Sun 73 F",433,IF(Atletas!P479="Wu 45 F",434,IF(Atletas!P479="Wu-Hao 46 F",435,IF(OR(Atletas!P479="Taijiquan 16 F",Atletas!P479="Taijiquan 24 F",Atletas!P479="Taijiquan 32 F",Atletas!P479="Taijiquan 42 F"),436,0)))))))))))))))))))</f>
        <v/>
      </c>
      <c r="BY488" s="50" t="str">
        <f>IF(Atletas!Q479="","",IF(Atletas!X479&lt;&gt;"",10000,0)+IF(Atletas!B479="Feminino",1000,IF(Atletas!B479="Masculino",2000,""))+IF(Atletas!Q479="Xingyiquan A",501,IF(Atletas!Q479="Baguazhang A",502,IF(Atletas!Q479="Outro Estilo Interno A",503,IF(Atletas!Q479="Xingyiquan B",504,IF(Atletas!Q479="Baguazhang B",505,IF(Atletas!Q479="Outro Estilo Interno B",506,IF(Atletas!Q479="Xingyiquan C",507,IF(Atletas!Q479="Baguazhang C",508,IF(Atletas!Q479="Outro Estilo Interno C",509,IF(Atletas!Q479="Xingyiquan D",510,IF(Atletas!Q479="Baguazhang D",511,IF(Atletas!Q479="Outro Estilo Interno D",512,IF(Atletas!Q479="Xingyiquan E",513,IF(Atletas!Q479="Baguazhang E",514,IF(Atletas!Q479="Outro Estilo Interno E",515,IF(Atletas!Q479="Xingyiquan F",516,IF(Atletas!Q479="Baguazhang F",517,IF(Atletas!Q479="Outro Estilo Interno F",518, "")))))))))))))))))))</f>
        <v/>
      </c>
      <c r="BZ488" s="50" t="str">
        <f>IF(Atletas!R479="","",IF(Atletas!X479&lt;&gt;"",10000,0)+IF(Atletas!B479="Feminino",1000,IF(Atletas!B479="Masculino",2000,""))+IF(Atletas!R479="Dao A",601,IF(Atletas!R479="Jian A",602,IF(Atletas!R479="Bishou A",603,IF(Atletas!R479="Shanzi A",604,IF(Atletas!R479="Outra Arma Curta A",605,IF(Atletas!R479="Dao B",606,IF(Atletas!R479="Jian B",607,IF(Atletas!R479="Bishou B",608,IF(Atletas!R479="Shanzi B",609,IF(Atletas!R479="Outra Arma Curta B",610,IF(Atletas!R479="Dao C",611,IF(Atletas!R479="Jian C",612,IF(Atletas!R479="Bishou C",613,IF(Atletas!R479="Shanzi C",614,IF(Atletas!R479="Outra Arma Curta C",615,IF(Atletas!R479="Dao D",616,IF(Atletas!R479="Jian D",617,IF(Atletas!R479="Bishou D",618,IF(Atletas!R479="Shanzi D",619,IF(Atletas!R479="Outra Arma Curta D",620,IF(Atletas!R479="Dao E",621,IF(Atletas!R479="Jian E",622,IF(Atletas!R479="Bishou E",623,IF(Atletas!R479="Shanzi E",624,IF(Atletas!R479="Outra Arma Curta E",625,IF(Atletas!R479="Dao F",626,IF(Atletas!R479="Jian F",627,IF(Atletas!R479="Bishou F",628,IF(Atletas!R479="Shanzi F",629,IF(Atletas!R479="Outra Arma Curta F",630, "")))))))))))))))))))))))))))))))</f>
        <v/>
      </c>
      <c r="CA488" s="50" t="str">
        <f>IF(Atletas!S479="","",IF(Atletas!X479&lt;&gt;"",10000,0)+IF(Atletas!B479="Feminino",1000,IF(Atletas!B479="Masculino",2000,""))+IF(Atletas!S479="Gun A",701,IF(Atletas!S479="Qiang A",702,IF(Atletas!S479="Pudao / Guandao A",703,IF(Atletas!S479="Outra Arma Longa A",704,IF(Atletas!S479="Gun B",705,IF(Atletas!S479="Qiang B",706,IF(Atletas!S479="Pudao / Guandao B",707,IF(Atletas!S479="Outra Arma Longa B",708,IF(Atletas!S479="Gun C",709,IF(Atletas!S479="Qiang C",710,IF(Atletas!S479="Pudao / Guandao C",711,IF(Atletas!S479="Outra Arma Longa C",712,IF(Atletas!S479="Gun D",713,IF(Atletas!S479="Qiang D",714,IF(Atletas!S479="Pudao / Guandao D",715,IF(Atletas!S479="Outra Arma Longa D",716,IF(Atletas!S479="Gun E",717,IF(Atletas!S479="Qiang E",718,IF(Atletas!S479="Pudao / Guandao E",719,IF(Atletas!S479="Outra Arma Longa E",720,IF(Atletas!S479="Gun F",721,IF(Atletas!S479="Qiang F",722,IF(Atletas!S479="Pudao / Guandao F",723,IF(Atletas!S479="Outra Arma Longa F",724,"")))))))))))))))))))))))))</f>
        <v/>
      </c>
      <c r="CB488" s="50" t="str">
        <f>IF(Atletas!T479="","",IF(Atletas!X479&lt;&gt;"",10000,0)+IF(Atletas!B479="Feminino",1000,IF(Atletas!B479="Masculino",2000,""))+IF(Atletas!T479="Outra Arma Dupla A",801,IF(Atletas!T479="Arma Maleável A",802,IF(Atletas!T479="Outra Arma Dupla B",803,IF(Atletas!T479="Arma Maleável B",804,IF(Atletas!T479="Outra Arma Dupla C",805,IF(Atletas!T479="Arma Maleável C",806,IF(Atletas!T479="Outra Arma Dupla D",807,IF(Atletas!T479="Arma Maleável D",808,IF(Atletas!T479="Outra Arma Dupla E",809,IF(Atletas!T479="Arma Maleável E",810,IF(Atletas!T479="Outra Arma Dupla F",811,IF(Atletas!T479="Arma Maleável F",812,IF(Atletas!T479="Shuangdao A",813,IF(Atletas!T479="Shuangdao B",814,IF(Atletas!T479="Shuangdao C",815,IF(Atletas!T479="Shuangdao D",816,IF(Atletas!T479="Shuangdao E",817,IF(Atletas!T479="Shuangdao F",818,"")))))))))))))))))))</f>
        <v/>
      </c>
      <c r="CC488" s="50" t="str">
        <f>IF(Atletas!U479="","",IF(Atletas!X479&lt;&gt;"",10000,0)+IF(Atletas!B479="Feminino",1000,IF(Atletas!B479="Masculino",2000,""))+IF(OR(Atletas!U479="Taijijian Yang A",Atletas!U479="Taijijian Yang Standard A"),901,IF(OR(Atletas!U479="Taijijian Chen A", Atletas!U479="Taijijian Chen Standard A"),902,IF(Atletas!U479="Taijijian Sun A",903,IF(Atletas!U479="Taijijian Wu A",904,IF(Atletas!U479="Taijijian Wu-Hao A",905,IF(OR(Atletas!U479="Taijijian 32 A",Atletas!U479="Taijijian 42 A"),906,IF(OR(Atletas!U479="Taijijian Yang B",Atletas!U479="Taijijian Yang Standard B"),907,IF(OR(Atletas!U479="Taijijian Chen B", Atletas!U479="Taijijian Chen Standard B"),908,IF(Atletas!U479="Taijijian Sun B",909,IF(Atletas!U479="Taijijian Wu B",910,IF(Atletas!U479="Taijijian Wu-Hao B",911,IF(OR(Atletas!U479="Taijijian 32 B",Atletas!U479="Taijijian 42 B"),912,IF(OR(Atletas!U479="Taijijian Yang C",Atletas!U479="Taijijian Yang Standard C"),913,IF(OR(Atletas!U479="Taijijian Chen C", Atletas!U479="Taijijian Chen Standard C"),914,IF(Atletas!U479="Taijijian Sun C",915,IF(Atletas!U479="Taijijian Wu C",916,IF(Atletas!U479="Taijijian Wu-Hao C",917,IF(OR(Atletas!U479="Taijijian 32 C",Atletas!U479="Taijijian 42 C"),918,IF(OR(Atletas!U479="Taijijian Yang D",Atletas!U479="Taijijian Yang Standard D"),919,IF(OR(Atletas!U479="Taijijian Chen D", Atletas!U479="Taijijian Chen Standard D"),920,IF(Atletas!U479="Taijijian Sun D",921,IF(Atletas!U479="Taijijian Wu D",922,IF(Atletas!U479="Taijijian Wu-Hao D",923,IF(OR(Atletas!U479="Taijijian 32 D",Atletas!U479="Taijijian 42 D"),924,IF(OR(Atletas!U479="Taijijian Yang E",Atletas!U479="Taijijian Yang Standard E"),925,IF(OR(Atletas!U479="Taijijian Chen E", Atletas!U479="Taijijian Chen Standard E"),926,IF(Atletas!U479="Taijijian Sun E",927,IF(Atletas!U479="Taijijian Wu E",928,IF(Atletas!U479="Taijijian Wu-Hao E",929,IF(OR(Atletas!U479="Taijijian 32 E",Atletas!U479="Taijijian 42 E"),930,IF(OR(Atletas!U479="Taijijian Yang F",Atletas!U479="Taijijian Yang Standard F"),931,IF(OR(Atletas!U479="Taijijian Chen F", Atletas!U479="Taijijian Chen Standard F"),932,IF(Atletas!U479="Taijijian Sun F",933,IF(Atletas!U479="Taijijian Wu F",934,IF(Atletas!U479="Taijijian Wu-Hao F",935,IF(OR(Atletas!U479="Taijijian 32 F",Atletas!U479="Taijijian 42 F"),936,"")))))))))))))))))))))))))))))))))))))</f>
        <v/>
      </c>
      <c r="CD488" s="50" t="str">
        <f>IF(Atletas!V479="","",IF(Atletas!X479&lt;&gt;"",10000,0)+IF(Atletas!B479="Feminino",1000,IF(Atletas!B479="Masculino",2000,""))+IF(Atletas!V479="Taijidao A",937,IF(Atletas!V479="TaijiShanzi A",938,IF(Atletas!V479="Taijiqiang A",939,IF(Atletas!V479="Bagua de Arma A",940,IF(Atletas!V479="Xingyi de Arma A",941,IF(Atletas!V479="Taijidao B",942,IF(Atletas!V479="TaijiShanzi B",943,IF(Atletas!V479="Taijiqiang B",944,IF(Atletas!V479="Bagua de Arma B",945,IF(Atletas!V479="Xingyi de Arma B",946,IF(Atletas!V479="Taijidao C",947,IF(Atletas!V479="TaijiShanzi C",948,IF(Atletas!V479="Taijiqiang C",949,IF(Atletas!V479="Bagua de Arma C",950,IF(Atletas!V479="Xingyi de Arma C",951,IF(Atletas!V479="Taijidao D",952,IF(Atletas!V479="TaijiShanzi D",953,IF(Atletas!V479="Taijiqiang D",954,IF(Atletas!V479="Bagua de Arma D",955,IF(Atletas!V479="Xingyi de Arma D",956,IF(Atletas!V479="Taijidao E",957,IF(Atletas!V479="TaijiShanzi E",958,IF(Atletas!V479="Taijiqiang E",959,IF(Atletas!V479="Bagua de Arma E",960,IF(Atletas!V479="Xingyi de Arma E",961,IF(Atletas!V479="Taijidao F",962,IF(Atletas!V479="TaijiShanzi F",963,IF(Atletas!V479="Taijiqiang F",964,IF(Atletas!V479="Bagua de Arma F",965,IF(Atletas!V479="Xingyi de Arma F",966,"")))))))))))))))))))))))))))))))</f>
        <v/>
      </c>
      <c r="CM488" s="50" t="str">
        <f xml:space="preserve"> IF(Atletas!W479="","",IF(Atletas!W479="Duilian de Mãos BC - Equipe 1",1,IF(Atletas!W479="Duilian de Mãos BC - Equipe 2",2,IF(Atletas!W479="Duilian de Armas BC - Equipe 1",3,IF(Atletas!W479="Duilian de Armas BC - Equipe 2",4,IF(Atletas!W479="Duilian de Mãos DE - Equipe 1",5,IF(Atletas!W479="Duilian de Mãos DE - Equipe 2",6,IF(Atletas!W479="Duilian de Armas DE - Equipe 1",7,IF(Atletas!W479="Duilian de Armas DE - Equipe 2",8,IF(Atletas!W479="Duilian de Tuishou - Equipe 1",9,IF(Atletas!W479="Duilian de Tuishou - Equipe 2",10,IF(Atletas!W479="Grupo Externo ABC - Equipe 1",11,IF(Atletas!W479="Grupo Externo ABC - Equipe 2",12,IF(Atletas!W479="Grupo Interno ABC - Equipe 1",13,IF(Atletas!W479="Grupo Interno ABC - Equipe 2",14,IF(Atletas!W479="Grupo Externo DEF - Equipe 1",15,IF(Atletas!W479="Grupo Externo DEF - Equipe 2",16,IF(Atletas!W479="Grupo Interno DEF - Equipe 1",17,IF(Atletas!W479="Grupo Interno DEF - Equipe 2",18,"")))))))))))))))))))</f>
        <v/>
      </c>
    </row>
    <row r="489" spans="40:91">
      <c r="AN489" s="52" t="str">
        <f>IF(Atletas!D480="","",IF(Atletas!B480="Feminino",100,IF(Atletas!B480="Masculino",200,""))+(IF(Atletas!D480="Kids 30kg",1,IF(Atletas!D480="Kids 32kg",2, IF(Atletas!D480="Kids 34kg",3,IF(Atletas!D480="Kids 36kg",4,IF(Atletas!D480="Kids 39kg",5,IF(Atletas!D480="Kids 42kg",6,IF(Atletas!D480="Kids 45kg",7, IF(Atletas!D480="Infantil 39kg",8,IF(Atletas!D480="Infantil 42kg",9,IF(Atletas!D480="Infantil 45kg",10,IF(Atletas!D480="Infantil 48kg",11,IF(Atletas!D480="Infantil 52kg",12,IF(Atletas!D480="Infantil 56kg",13,IF(Atletas!D480="Infantil 60kg",14,IF(Atletas!D480="Juvenil 48kg",15,IF(Atletas!D480="Juvenil 52kg",16,IF(Atletas!D480="Juvenil 56kg",17,IF(Atletas!D480="Juvenil 60kg",18,IF(Atletas!D480="Juvenil 65kg",19,IF(Atletas!D480="Juvenil 70kg",20,IF(Atletas!D480="Juvenil 75kg",21,IF(Atletas!D480="Juvenil 80kg",22, IF(Atletas!D480="Juvenil 85kg",23,IF(Atletas!D480="Adulto 48kg",24,IF(Atletas!D480="Adulto 52kg",25,IF(Atletas!D480="Adulto 56kg",26,IF(Atletas!D480="Adulto 60kg",27,IF(Atletas!D480="Adulto 65kg",28,IF(Atletas!D480="Adulto 70kg",29,IF(Atletas!D480="Adulto 75kg",30,IF(Atletas!D480="Adulto 80kg",31,IF(Atletas!D480="Adulto 85kg",32,IF(Atletas!D480="Adulto 90kg",33,IF(Atletas!D480="Adulto 100kg",34, IF(Atletas!D480="Adulto +100kg",35,"")))))))))))))))))))))))))))))))))))))</f>
        <v/>
      </c>
      <c r="AS489" s="6" t="str">
        <f>IF(Atletas!E480="","",IF(Atletas!B480="Feminino",100,IF(Atletas!B480="Masculino",200,""))+(IF(Atletas!E480="Juvenil 44kg",1,IF(Atletas!E480="Juvenil 48kg",2,IF(Atletas!E480="Juvenil 52kg",3,IF(Atletas!E480="Juvenil 56kg",4,IF(Atletas!E480="Juvenil 60kg",5,IF(Atletas!E480="Juvenil 65kg",6,IF(Atletas!E480="Juvenil 70kg",7,IF(Atletas!E480="Juvenil 75kg",8,IF(Atletas!E480="Juvenil 82kg",9,IF(Atletas!E480="Juvenil 90kg",10,IF(Atletas!E480="Juvenil 100kg",11,IF(Atletas!E480="Adulto 48kg",12,IF(Atletas!E480="Adulto 52kg",13,IF(Atletas!E480="Adulto 56kg",14,IF(Atletas!E480="Adulto 60kg",15,IF(Atletas!E480="Adulto 65kg",16,IF(Atletas!E480="Adulto 70kg",17,IF(Atletas!E480="Adulto 75kg",18,IF(Atletas!E480="Adulto 82kg",19,IF(Atletas!E480="Adulto 90kg",20,IF(Atletas!E480="Adulto 100kg",21,IF(Atletas!E480="Adulto +100kg",22,""))))))))))))))))))))))))</f>
        <v/>
      </c>
      <c r="AX489" s="6" t="str">
        <f>IF(Atletas!F480="","",IF(Atletas!B480="Feminino",100,IF(Atletas!B480="Masculino",200,""))+(IF(Atletas!F480="Adulto 48kg",1,IF(Atletas!F480="Adulto 56kg",2,IF(Atletas!F480="Adulto 65kg",3,IF(Atletas!F480="Adulto 75kg",4,IF(Atletas!F480="Adulto +75kg",5,IF(Atletas!F480="Adulto 52kg",6,IF(Atletas!F480="Adulto 60kg",7,IF(Atletas!F480="Adulto 70kg",8,IF(Atletas!F480="Adulto 80kg",9,IF(Atletas!F480="Adulto 90kg",10,IF(Atletas!F480="Adulto +90kg",11,"")))))))))))))</f>
        <v/>
      </c>
      <c r="BC489" s="6" t="str">
        <f>IF(Atletas!G480="","",IF(Atletas!B480="Feminino",10,IF(Atletas!B480="Masculino",20,""))+(IF(Atletas!G480="Baduanjin A",1,IF(Atletas!G480="Baduanjin B",2))))</f>
        <v/>
      </c>
      <c r="BF489" s="52" t="str">
        <f>IF(Atletas!H480="","",IF(Atletas!B480="Feminino",100,IF(Atletas!B480="Masculino",200,""))+(IF(Atletas!H480="Changquan Mirim",1,IF(Atletas!H480="Nanquan Mirim",2,IF(Atletas!H480="Taijiquan Mirim",3,IF(Atletas!H480="Changquan Grupo C",4,IF(Atletas!H480="Nanquan Grupo C",5,IF(Atletas!H480="Taijiquan Grupo C",6,IF(Atletas!H480="Changquan Grupo B",7,IF(Atletas!H480="Nanquan Grupo B",8,IF(Atletas!H480="Taijiquan Grupo B",9,IF(Atletas!H480="Changquan Grupo A",10,IF(Atletas!H480="Nanquan Grupo A",11,IF(Atletas!H480="Taijiquan Grupo A",12,IF(Atletas!H480="Changquan Opcional",13,IF(Atletas!H480="Nanquan Opcional",14,IF(Atletas!H480="Taijiquan Opcional",15,IF(Atletas!H480="Changquan Adulto",16,IF(Atletas!H480="Nanquan Adulto",17,IF(Atletas!H480="Taijiquan Adulto",18,""))))))))))))))))))))</f>
        <v/>
      </c>
      <c r="BG489" s="52" t="str">
        <f>IF(Atletas!I480="","",IF(Atletas!B480="Feminino",100,IF(Atletas!B480="Masculino",200,""))+(IF(Atletas!I480="Daoshu Mirim",19,IF(Atletas!I480="Jianshu Mirim",20,IF(Atletas!I480="Nandao Mirim",21,IF(Atletas!I480="Taijijian Mirim",22,IF(Atletas!I480="Daoshu Grupo C",23,IF(Atletas!I480="Jianshu Grupo C",24,IF(Atletas!I480="Nandao Grupo C",25,IF(Atletas!I480="Taijijian Grupo C",26,IF(Atletas!I480="Daoshu Grupo B",27,IF(Atletas!I480="Jianshu Grupo B",28,IF(Atletas!I480="Nandao Grupo B",29,IF(Atletas!I480="Taijijian Grupo B",30,IF(Atletas!I480="Daoshu Grupo A",31,IF(Atletas!I480="Jianshu Grupo A",32,IF(Atletas!I480="Nandao Grupo A",33,IF(Atletas!I480="Taijijian Grupo A",34,IF(Atletas!I480="Daoshu Opcional",35,IF(Atletas!I480="Jianshu Opcional",36,IF(Atletas!I480="Nandao Opcional",37,IF(Atletas!I480="Taijijian Opcional",38,IF(Atletas!I480="Daoshu Adulto",39,IF(Atletas!I480="Jianshu Adulto",40,IF(Atletas!I480="Nandao Adulto",41,IF(Atletas!I480="Taijijian Adulto",42,""))))))))))))))))))))))))))</f>
        <v/>
      </c>
      <c r="BH489" s="52" t="str">
        <f>IF(Atletas!J480="","",IF(Atletas!B480="Feminino",100,IF(Atletas!B480="Masculino",200,""))+(IF(Atletas!J480="Gunshu Mirim",43,IF(Atletas!J480="Qiangshu Mirim",44,IF(Atletas!J480="Nangun Mirim",45,IF(Atletas!J480="Gunshu Grupo C",46,IF(Atletas!J480="Qiangshu Grupo C",47,IF(Atletas!J480="Nangun Grupo C",48,IF(Atletas!J480="Gunshu Grupo B",49,IF(Atletas!J480="Qiangshu Grupo B",50,IF(Atletas!J480="Nangun Grupo B",51,IF(Atletas!J480="Gunshu Grupo A",52,IF(Atletas!J480="Qiangshu Grupo A",53,IF(Atletas!J480="Nangun Grupo A",54,IF(Atletas!J480="Gunshu Opcional",55,IF(Atletas!J480="Qiangshu Opcional",56,IF(Atletas!J480="Nangun Opcional",57,IF(Atletas!J480="Gunshu Adulto",58,IF(Atletas!J480="Qiangshu Adulto",59,IF(Atletas!J480="Nangun Adulto",60,IF(Atletas!J480="Taijishan Grupo B",61,IF(Atletas!J480="Taijishan Grupo A",62,""))))))))))))))))))))))</f>
        <v/>
      </c>
      <c r="BM489" s="50" t="str">
        <f>IF(Atletas!K480="","",IF(Atletas!B480="Feminino",100,IF(Atletas!B480="Masculino",200,""))+(IF(Atletas!K480="Equipe 1 Grupo B",1,IF(Atletas!K480="Equipe 2 Grupo B",2,IF(Atletas!K480="Equipe 1 Grupo A",3,IF(Atletas!K480="Equipe 2 Grupo A",4,IF(Atletas!K480="Equipe 1 Adulto",5,IF(Atletas!K480="Equipe 2 Adulto",6,""))))))))</f>
        <v/>
      </c>
      <c r="BR489" s="50" t="str">
        <f>IF(Atletas!L480="","",IF(Atletas!X480&lt;&gt;"",10000,0)+(IF(Atletas!B480="Feminino",1000,IF(Atletas!B480="Masculino",2000,""))+IF(Atletas!L480="Choylayfut A",1,IF(Atletas!L480="Hunggar A",2,IF(Atletas!L480="Wuzuquan A",3,IF(Atletas!L480="Wingchun A",4,IF(Atletas!L480="Outra Mão de Sul A",5,IF(Atletas!L480="Choylayfut B",6,IF(Atletas!L480="Hunggar B",7,IF(Atletas!L480="Wuzuquan B",8,IF(Atletas!L480="Wingchun B",9,IF(Atletas!L480="Outra Mão de Sul B",10,IF(Atletas!L480="Choylayfut C",11,IF(Atletas!L480="Hunggar C",12,IF(Atletas!L480="Wuzuquan C",13,IF(Atletas!L480="Wingchun C",14,IF(Atletas!L480="Outra Mão de Sul C",15,IF(Atletas!L480="Choylayfut D",16,IF(Atletas!L480="Hunggar D",17,IF(Atletas!L480="Wuzuquan D",18,IF(Atletas!L480="Wingchun D",19,IF(Atletas!L480="Outra Mão de Sul D",20,IF(Atletas!L480="Choylayfut E",21,IF(Atletas!L480="Hunggar E",22,IF(Atletas!L480="Wuzuquan E",23,IF(Atletas!L480="Wingchun E",24,IF(Atletas!L480="Outra Mão de Sul E",25,IF(Atletas!L480="Choylayfut F",26,IF(Atletas!L480="Hunggar F",27,IF(Atletas!L480="Wuzuquan F",28,IF(Atletas!L480="Wingchun F",29,IF(Atletas!L480="Outra Mão de Sul F",30,IF(Atletas!L480="Dishuquan A",31,IF(Atletas!L480="Dishuquan B",32,IF(Atletas!L480="Dishuquan C",33,IF(Atletas!L480="Dishuquan D",34,IF(Atletas!L480="Dishuquan E",35,IF(Atletas!L480="Dishuquan F",36,""))))))))))))))))))))))))))))))))))))))</f>
        <v/>
      </c>
      <c r="BS489" s="50" t="str">
        <f>IF(Atletas!M480="","",IF(Atletas!X480&lt;&gt;"",10000,0)+(IF(Atletas!B480="Feminino",1000,IF(Atletas!B480="Masculino",2000,""))+(IF(Atletas!M480="Chaquan A",101,IF(Atletas!M480="Emeiquan A",102,IF(Atletas!M480="Fanziquan A",103,IF(Atletas!M480="Huaquan A",104,IF(Atletas!M480="Hongquan A",105,IF(Atletas!M480="Paoquan A",106,IF(Atletas!M480="Piguaquan A",107,IF(Atletas!M480="Shaolinquan A",108,IF(Atletas!M480="Tanglangquan A",109,IF(Atletas!M480="Yingzhaoquan A",110,IF(Atletas!M480="Tongbeiquan A",111,IF(Atletas!M480="Wudangquan A",112,IF(Atletas!M480="Outros Estilos A",113,IF(Atletas!M480="Chaquan B",114,IF(Atletas!M480="Emeiquan B",115,IF(Atletas!M480="Fanziquan B",116,IF(Atletas!M480="Huaquan B",117,IF(Atletas!M480="Hongquan B",118,IF(Atletas!M480="Paoquan B",119,IF(Atletas!M480="Piguaquan B",120,IF(Atletas!M480="Shaolinquan B",121,IF(Atletas!M480="Tanglangquan B",122,IF(Atletas!M480="Yingzhaoquan B",123,IF(Atletas!M480="Tongbeiquan B",124,IF(Atletas!M480="Wudangquan B",125,IF(Atletas!M480="Outros Estilos B",126,IF(Atletas!M480="Chaquan C",127,IF(Atletas!M480="Emeiquan C",128,IF(Atletas!M480="Fanziquan C",129,IF(Atletas!M480="Huaquan C",130,IF(Atletas!M480="Hongquan C",131,IF(Atletas!M480="Paoquan C",132,IF(Atletas!M480="Piguaquan C",133,IF(Atletas!M480="Shaolinquan C",134,IF(Atletas!M480="Tanglangquan C",135,IF(Atletas!M480="Yingzhaoquan C",136,IF(Atletas!M480="Tongbeiquan C",137,IF(Atletas!M480="Wudangquan C",138,IF(Atletas!M480="Outros Estilos C",139,0))))))))))))))))))))))))))))))))))))))))))</f>
        <v/>
      </c>
      <c r="BT489" s="50" t="str">
        <f>IF(Atletas!M480="","",IF(Atletas!X480&lt;&gt;"",10000,0)+(IF(Atletas!B480="Feminino",1000,IF(Atletas!B480="Masculino",2000,""))+(IF(Atletas!M480="Chaquan D",140,IF(Atletas!M480="Emeiquan D",141,IF(Atletas!M480="Fanziquan D",142,IF(Atletas!M480="Huaquan D",143,IF(Atletas!M480="Hongquan D",144,IF(Atletas!M480="Paoquan D",145,IF(Atletas!M480="Piguaquan D",146,IF(Atletas!M480="Shaolinquan D",147,IF(Atletas!M480="Tanglangquan D",148,IF(Atletas!M480="Yingzhaoquan D",149,IF(Atletas!M480="Tongbeiquan D",150,IF(Atletas!M480="Wudangquan D",151,IF(Atletas!M480="Outros Estilos D",152,IF(Atletas!M480="Chaquan E",153,IF(Atletas!M480="Emeiquan E",154,IF(Atletas!M480="Fanziquan E",155,IF(Atletas!M480="Huaquan E",156,IF(Atletas!M480="Hongquan E",157,IF(Atletas!M480="Paoquan E",158,IF(Atletas!M480="Piguaquan E",159,IF(Atletas!M480="Shaolinquan E",160,IF(Atletas!M480="Tanglangquan E",161,IF(Atletas!M480="Yingzhaoquan E",162,IF(Atletas!M480="Tongbeiquan E",163,IF(Atletas!M480="Wudangquan E",164,IF(Atletas!M480="Outros Estilos E",165,IF(Atletas!M480="Chaquan F",166,IF(Atletas!M480="Emeiquan F",167,IF(Atletas!M480="Fanziquan F",168,IF(Atletas!M480="Huaquan F",169,IF(Atletas!M480="Hongquan F",170,IF(Atletas!M480="Paoquan F",171,IF(Atletas!M480="Piguaquan F",172,IF(Atletas!M480="Shaolinquan F",173,IF(Atletas!M480="Tanglangquan F",174,IF(Atletas!M480="Yingzhaoquan F",175,IF(Atletas!M480="Tongbeiquan F",176,IF(Atletas!M480="Wudangquan F",177,IF(Atletas!M480="Outros Estilos F",178,0))))))))))))))))))))))))))))))))))))))))))</f>
        <v/>
      </c>
      <c r="BU489" s="50" t="str">
        <f>IF(Atletas!N480="","",IF(Atletas!X480&lt;&gt;"",10000,0)+(IF(Atletas!B480="Feminino",1000,IF(Atletas!B480="Masculino",2000,""))+(IF(Atletas!N480="Ditangquan A",201,IF(Atletas!N480="Houquan A",202,IF(Atletas!N480="Zuiquan A",203,IF(Atletas!N480="Ditangquan B",204,IF(Atletas!N480="Houquan B",205,IF(Atletas!N480="Zuiquan B",206,IF(Atletas!N480="Ditangquan C",207,IF(Atletas!N480="Houquan C",208,IF(Atletas!N480="Zuiquan C",209,IF(Atletas!N480="Ditangquan D",210,IF(Atletas!N480="Houquan D",211,IF(Atletas!N480="Zuiquan D",212,IF(Atletas!N480="Ditangquan E",213,IF(Atletas!N480="Houquan E",214,IF(Atletas!N480="Zuiquan E",215,IF(Atletas!N480="Ditangquan F",216,IF(Atletas!N480="Houquan F",217,IF(Atletas!N480="Zuiquan F",218,"")))))))))))))))))))))</f>
        <v/>
      </c>
      <c r="BV489" s="50" t="str">
        <f>IF(Atletas!O480="","",IF(Atletas!X480&lt;&gt;"",10000,0)+IF(Atletas!B480="Feminino",1000,IF(Atletas!B480="Masculino",2000,""))+IF(Atletas!O480="Yang A",301,IF(Atletas!O480="Chen A",302,IF(Atletas!O480="Sun A",303,IF(Atletas!O480="Wu A",304,IF(Atletas!O480="Wu-Hao A",305,IF(Atletas!O480="Outro Taijiquan A",306,IF(Atletas!O480="Yang B",307,IF(Atletas!O480="Chen B",308,IF(Atletas!O480="Sun B",309,IF(Atletas!O480="Wu B",310,IF(Atletas!O480="Wu-Hao B",311,IF(Atletas!O480="Outro Taijiquan B",312,IF(Atletas!O480="Yang C",313,IF(Atletas!O480="Chen C",314,IF(Atletas!O480="Sun C",315,IF(Atletas!O480="Wu C",316,IF(Atletas!O480="Wu-Hao C",317,IF(Atletas!O480="Outro Taijiquan C",318,IF(Atletas!O480="Yang D",319,IF(Atletas!O480="Chen D",320,IF(Atletas!O480="Sun D",321,IF(Atletas!O480="Wu D",322,IF(Atletas!O480="Wu-Hao D",323,IF(Atletas!O480="Outro Taijiquan D",324,IF(Atletas!O480="Yang E",325,IF(Atletas!O480="Chen E",326,IF(Atletas!O480="Sun E",327,IF(Atletas!O480="Wu E",328,IF(Atletas!O480="Wu-Hao E",329,IF(Atletas!O480="Outro Taijiquan E",330,IF(Atletas!O480="Yang F",331,IF(Atletas!O480="Chen F",332,IF(Atletas!O480="Sun F",333,IF(Atletas!O480="Wu F",334,IF(Atletas!O480="Wu-Hao F",335,IF(Atletas!O480="Outro Taijiquan F",336,"")))))))))))))))))))))))))))))))))))))</f>
        <v/>
      </c>
      <c r="BW489" s="50" t="str">
        <f>IF(Atletas!P480="","",IF(Atletas!X480&lt;&gt;"",10000,0)+IF(Atletas!B480="Feminino",1000,IF(Atletas!B480="Masculino",2000,""))+IF(OR(Atletas!P480="Yang 26 A",Atletas!P480="Yang 40 A"),401,IF(OR(Atletas!P480="Chen 25 A",Atletas!P480="Chen 36 A",Atletas!P480="Chen 56 A"),402,IF(Atletas!P480="Sun 73 A",403,IF(Atletas!P480="Wu 45 A",404,IF(Atletas!P480="Wu-Hao 46 A",405,IF(OR(Atletas!P480="Taijiquan 16 A",Atletas!P480="Taijiquan 24 A",Atletas!P480="Taijiquan 32 A",Atletas!P480="Taijiquan 42 A"),406,IF(OR(Atletas!P480="Yang 26 B",Atletas!P480="Yang 40 B"),407,IF(OR(Atletas!P480="Chen 25 B",Atletas!P480="Chen 36 B",Atletas!P480="Chen 56 B"),408,IF(Atletas!P480="Sun 73 B",409,IF(Atletas!P480="Wu 45 B",410,IF(Atletas!P480="Wu-Hao 46 B",411,IF(OR(Atletas!P480="Taijiquan 16 B",Atletas!P480="Taijiquan 24 B",Atletas!P480="Taijiquan 32 B",Atletas!P480="Taijiquan 42 B"),412,IF(OR(Atletas!P480="Yang 26 C",Atletas!P480="Yang 40 C"),413,IF(OR(Atletas!P480="Chen 25 C",Atletas!P480="Chen 36 C",Atletas!P480="Chen 56 C"),414,IF(Atletas!P480="Sun 73 C",415,IF(Atletas!P480="Wu 45 C",416,IF(Atletas!P480="Wu-Hao 46 C",417,IF(OR(Atletas!P480="Taijiquan 16 C",Atletas!P480="Taijiquan 24 C",Atletas!P480="Taijiquan 32 C",Atletas!P480="Taijiquan 42 C"),418,0)))))))))))))))))))</f>
        <v/>
      </c>
      <c r="BX489" s="50" t="str">
        <f>IF(Atletas!P480="","",IF(Atletas!X480&lt;&gt;"",10000,0)+IF(Atletas!B480="Feminino",1000,IF(Atletas!B480="Masculino",2000,""))+IF(OR(Atletas!P480="Yang 26 D",Atletas!P480="Yang 40 D"),419,IF(OR(Atletas!P480="Chen 25 D",Atletas!P480="Chen 36 D",Atletas!P480="Chen 56 D"),420,IF(Atletas!P480="Sun 73 D",421,IF(Atletas!P480="Wu 45 D",422,IF(Atletas!P480="Wu-Hao 46 D",423,IF(OR(Atletas!P480="Taijiquan 16 D",Atletas!P480="Taijiquan 24 D",Atletas!P480="Taijiquan 32 D",Atletas!P480="Taijiquan 42 D"),424,IF(OR(Atletas!P480="Yang 26 E",Atletas!P480="Yang 40 E"),425,IF(OR(Atletas!P480="Chen 25 E",Atletas!P480="Chen 36 E",Atletas!P480="Chen 56 E"),426,IF(Atletas!P480="Sun 73 E",427,IF(Atletas!P480="Wu 45 E",428,IF(Atletas!P480="Wu-Hao 46 E",429,IF(OR(Atletas!P480="Taijiquan 16 E",Atletas!P480="Taijiquan 24 E",Atletas!P480="Taijiquan 32 E",Atletas!P480="Taijiquan 42 E"),430,IF(OR(Atletas!P480="Yang 26 F",Atletas!P480="Yang 40 F"),431,IF(OR(Atletas!P480="Chen 25 F",Atletas!P480="Chen 36 F",Atletas!P480="Chen 56 F"),432,IF(Atletas!P480="Sun 73 F",433,IF(Atletas!P480="Wu 45 F",434,IF(Atletas!P480="Wu-Hao 46 F",435,IF(OR(Atletas!P480="Taijiquan 16 F",Atletas!P480="Taijiquan 24 F",Atletas!P480="Taijiquan 32 F",Atletas!P480="Taijiquan 42 F"),436,0)))))))))))))))))))</f>
        <v/>
      </c>
      <c r="BY489" s="50" t="str">
        <f>IF(Atletas!Q480="","",IF(Atletas!X480&lt;&gt;"",10000,0)+IF(Atletas!B480="Feminino",1000,IF(Atletas!B480="Masculino",2000,""))+IF(Atletas!Q480="Xingyiquan A",501,IF(Atletas!Q480="Baguazhang A",502,IF(Atletas!Q480="Outro Estilo Interno A",503,IF(Atletas!Q480="Xingyiquan B",504,IF(Atletas!Q480="Baguazhang B",505,IF(Atletas!Q480="Outro Estilo Interno B",506,IF(Atletas!Q480="Xingyiquan C",507,IF(Atletas!Q480="Baguazhang C",508,IF(Atletas!Q480="Outro Estilo Interno C",509,IF(Atletas!Q480="Xingyiquan D",510,IF(Atletas!Q480="Baguazhang D",511,IF(Atletas!Q480="Outro Estilo Interno D",512,IF(Atletas!Q480="Xingyiquan E",513,IF(Atletas!Q480="Baguazhang E",514,IF(Atletas!Q480="Outro Estilo Interno E",515,IF(Atletas!Q480="Xingyiquan F",516,IF(Atletas!Q480="Baguazhang F",517,IF(Atletas!Q480="Outro Estilo Interno F",518, "")))))))))))))))))))</f>
        <v/>
      </c>
      <c r="BZ489" s="50" t="str">
        <f>IF(Atletas!R480="","",IF(Atletas!X480&lt;&gt;"",10000,0)+IF(Atletas!B480="Feminino",1000,IF(Atletas!B480="Masculino",2000,""))+IF(Atletas!R480="Dao A",601,IF(Atletas!R480="Jian A",602,IF(Atletas!R480="Bishou A",603,IF(Atletas!R480="Shanzi A",604,IF(Atletas!R480="Outra Arma Curta A",605,IF(Atletas!R480="Dao B",606,IF(Atletas!R480="Jian B",607,IF(Atletas!R480="Bishou B",608,IF(Atletas!R480="Shanzi B",609,IF(Atletas!R480="Outra Arma Curta B",610,IF(Atletas!R480="Dao C",611,IF(Atletas!R480="Jian C",612,IF(Atletas!R480="Bishou C",613,IF(Atletas!R480="Shanzi C",614,IF(Atletas!R480="Outra Arma Curta C",615,IF(Atletas!R480="Dao D",616,IF(Atletas!R480="Jian D",617,IF(Atletas!R480="Bishou D",618,IF(Atletas!R480="Shanzi D",619,IF(Atletas!R480="Outra Arma Curta D",620,IF(Atletas!R480="Dao E",621,IF(Atletas!R480="Jian E",622,IF(Atletas!R480="Bishou E",623,IF(Atletas!R480="Shanzi E",624,IF(Atletas!R480="Outra Arma Curta E",625,IF(Atletas!R480="Dao F",626,IF(Atletas!R480="Jian F",627,IF(Atletas!R480="Bishou F",628,IF(Atletas!R480="Shanzi F",629,IF(Atletas!R480="Outra Arma Curta F",630, "")))))))))))))))))))))))))))))))</f>
        <v/>
      </c>
      <c r="CA489" s="50" t="str">
        <f>IF(Atletas!S480="","",IF(Atletas!X480&lt;&gt;"",10000,0)+IF(Atletas!B480="Feminino",1000,IF(Atletas!B480="Masculino",2000,""))+IF(Atletas!S480="Gun A",701,IF(Atletas!S480="Qiang A",702,IF(Atletas!S480="Pudao / Guandao A",703,IF(Atletas!S480="Outra Arma Longa A",704,IF(Atletas!S480="Gun B",705,IF(Atletas!S480="Qiang B",706,IF(Atletas!S480="Pudao / Guandao B",707,IF(Atletas!S480="Outra Arma Longa B",708,IF(Atletas!S480="Gun C",709,IF(Atletas!S480="Qiang C",710,IF(Atletas!S480="Pudao / Guandao C",711,IF(Atletas!S480="Outra Arma Longa C",712,IF(Atletas!S480="Gun D",713,IF(Atletas!S480="Qiang D",714,IF(Atletas!S480="Pudao / Guandao D",715,IF(Atletas!S480="Outra Arma Longa D",716,IF(Atletas!S480="Gun E",717,IF(Atletas!S480="Qiang E",718,IF(Atletas!S480="Pudao / Guandao E",719,IF(Atletas!S480="Outra Arma Longa E",720,IF(Atletas!S480="Gun F",721,IF(Atletas!S480="Qiang F",722,IF(Atletas!S480="Pudao / Guandao F",723,IF(Atletas!S480="Outra Arma Longa F",724,"")))))))))))))))))))))))))</f>
        <v/>
      </c>
      <c r="CB489" s="50" t="str">
        <f>IF(Atletas!T480="","",IF(Atletas!X480&lt;&gt;"",10000,0)+IF(Atletas!B480="Feminino",1000,IF(Atletas!B480="Masculino",2000,""))+IF(Atletas!T480="Outra Arma Dupla A",801,IF(Atletas!T480="Arma Maleável A",802,IF(Atletas!T480="Outra Arma Dupla B",803,IF(Atletas!T480="Arma Maleável B",804,IF(Atletas!T480="Outra Arma Dupla C",805,IF(Atletas!T480="Arma Maleável C",806,IF(Atletas!T480="Outra Arma Dupla D",807,IF(Atletas!T480="Arma Maleável D",808,IF(Atletas!T480="Outra Arma Dupla E",809,IF(Atletas!T480="Arma Maleável E",810,IF(Atletas!T480="Outra Arma Dupla F",811,IF(Atletas!T480="Arma Maleável F",812,IF(Atletas!T480="Shuangdao A",813,IF(Atletas!T480="Shuangdao B",814,IF(Atletas!T480="Shuangdao C",815,IF(Atletas!T480="Shuangdao D",816,IF(Atletas!T480="Shuangdao E",817,IF(Atletas!T480="Shuangdao F",818,"")))))))))))))))))))</f>
        <v/>
      </c>
      <c r="CC489" s="50" t="str">
        <f>IF(Atletas!U480="","",IF(Atletas!X480&lt;&gt;"",10000,0)+IF(Atletas!B480="Feminino",1000,IF(Atletas!B480="Masculino",2000,""))+IF(OR(Atletas!U480="Taijijian Yang A",Atletas!U480="Taijijian Yang Standard A"),901,IF(OR(Atletas!U480="Taijijian Chen A", Atletas!U480="Taijijian Chen Standard A"),902,IF(Atletas!U480="Taijijian Sun A",903,IF(Atletas!U480="Taijijian Wu A",904,IF(Atletas!U480="Taijijian Wu-Hao A",905,IF(OR(Atletas!U480="Taijijian 32 A",Atletas!U480="Taijijian 42 A"),906,IF(OR(Atletas!U480="Taijijian Yang B",Atletas!U480="Taijijian Yang Standard B"),907,IF(OR(Atletas!U480="Taijijian Chen B", Atletas!U480="Taijijian Chen Standard B"),908,IF(Atletas!U480="Taijijian Sun B",909,IF(Atletas!U480="Taijijian Wu B",910,IF(Atletas!U480="Taijijian Wu-Hao B",911,IF(OR(Atletas!U480="Taijijian 32 B",Atletas!U480="Taijijian 42 B"),912,IF(OR(Atletas!U480="Taijijian Yang C",Atletas!U480="Taijijian Yang Standard C"),913,IF(OR(Atletas!U480="Taijijian Chen C", Atletas!U480="Taijijian Chen Standard C"),914,IF(Atletas!U480="Taijijian Sun C",915,IF(Atletas!U480="Taijijian Wu C",916,IF(Atletas!U480="Taijijian Wu-Hao C",917,IF(OR(Atletas!U480="Taijijian 32 C",Atletas!U480="Taijijian 42 C"),918,IF(OR(Atletas!U480="Taijijian Yang D",Atletas!U480="Taijijian Yang Standard D"),919,IF(OR(Atletas!U480="Taijijian Chen D", Atletas!U480="Taijijian Chen Standard D"),920,IF(Atletas!U480="Taijijian Sun D",921,IF(Atletas!U480="Taijijian Wu D",922,IF(Atletas!U480="Taijijian Wu-Hao D",923,IF(OR(Atletas!U480="Taijijian 32 D",Atletas!U480="Taijijian 42 D"),924,IF(OR(Atletas!U480="Taijijian Yang E",Atletas!U480="Taijijian Yang Standard E"),925,IF(OR(Atletas!U480="Taijijian Chen E", Atletas!U480="Taijijian Chen Standard E"),926,IF(Atletas!U480="Taijijian Sun E",927,IF(Atletas!U480="Taijijian Wu E",928,IF(Atletas!U480="Taijijian Wu-Hao E",929,IF(OR(Atletas!U480="Taijijian 32 E",Atletas!U480="Taijijian 42 E"),930,IF(OR(Atletas!U480="Taijijian Yang F",Atletas!U480="Taijijian Yang Standard F"),931,IF(OR(Atletas!U480="Taijijian Chen F", Atletas!U480="Taijijian Chen Standard F"),932,IF(Atletas!U480="Taijijian Sun F",933,IF(Atletas!U480="Taijijian Wu F",934,IF(Atletas!U480="Taijijian Wu-Hao F",935,IF(OR(Atletas!U480="Taijijian 32 F",Atletas!U480="Taijijian 42 F"),936,"")))))))))))))))))))))))))))))))))))))</f>
        <v/>
      </c>
      <c r="CD489" s="50" t="str">
        <f>IF(Atletas!V480="","",IF(Atletas!X480&lt;&gt;"",10000,0)+IF(Atletas!B480="Feminino",1000,IF(Atletas!B480="Masculino",2000,""))+IF(Atletas!V480="Taijidao A",937,IF(Atletas!V480="TaijiShanzi A",938,IF(Atletas!V480="Taijiqiang A",939,IF(Atletas!V480="Bagua de Arma A",940,IF(Atletas!V480="Xingyi de Arma A",941,IF(Atletas!V480="Taijidao B",942,IF(Atletas!V480="TaijiShanzi B",943,IF(Atletas!V480="Taijiqiang B",944,IF(Atletas!V480="Bagua de Arma B",945,IF(Atletas!V480="Xingyi de Arma B",946,IF(Atletas!V480="Taijidao C",947,IF(Atletas!V480="TaijiShanzi C",948,IF(Atletas!V480="Taijiqiang C",949,IF(Atletas!V480="Bagua de Arma C",950,IF(Atletas!V480="Xingyi de Arma C",951,IF(Atletas!V480="Taijidao D",952,IF(Atletas!V480="TaijiShanzi D",953,IF(Atletas!V480="Taijiqiang D",954,IF(Atletas!V480="Bagua de Arma D",955,IF(Atletas!V480="Xingyi de Arma D",956,IF(Atletas!V480="Taijidao E",957,IF(Atletas!V480="TaijiShanzi E",958,IF(Atletas!V480="Taijiqiang E",959,IF(Atletas!V480="Bagua de Arma E",960,IF(Atletas!V480="Xingyi de Arma E",961,IF(Atletas!V480="Taijidao F",962,IF(Atletas!V480="TaijiShanzi F",963,IF(Atletas!V480="Taijiqiang F",964,IF(Atletas!V480="Bagua de Arma F",965,IF(Atletas!V480="Xingyi de Arma F",966,"")))))))))))))))))))))))))))))))</f>
        <v/>
      </c>
      <c r="CM489" s="50" t="str">
        <f xml:space="preserve"> IF(Atletas!W480="","",IF(Atletas!W480="Duilian de Mãos BC - Equipe 1",1,IF(Atletas!W480="Duilian de Mãos BC - Equipe 2",2,IF(Atletas!W480="Duilian de Armas BC - Equipe 1",3,IF(Atletas!W480="Duilian de Armas BC - Equipe 2",4,IF(Atletas!W480="Duilian de Mãos DE - Equipe 1",5,IF(Atletas!W480="Duilian de Mãos DE - Equipe 2",6,IF(Atletas!W480="Duilian de Armas DE - Equipe 1",7,IF(Atletas!W480="Duilian de Armas DE - Equipe 2",8,IF(Atletas!W480="Duilian de Tuishou - Equipe 1",9,IF(Atletas!W480="Duilian de Tuishou - Equipe 2",10,IF(Atletas!W480="Grupo Externo ABC - Equipe 1",11,IF(Atletas!W480="Grupo Externo ABC - Equipe 2",12,IF(Atletas!W480="Grupo Interno ABC - Equipe 1",13,IF(Atletas!W480="Grupo Interno ABC - Equipe 2",14,IF(Atletas!W480="Grupo Externo DEF - Equipe 1",15,IF(Atletas!W480="Grupo Externo DEF - Equipe 2",16,IF(Atletas!W480="Grupo Interno DEF - Equipe 1",17,IF(Atletas!W480="Grupo Interno DEF - Equipe 2",18,"")))))))))))))))))))</f>
        <v/>
      </c>
    </row>
    <row r="490" spans="40:91">
      <c r="AN490" s="52" t="str">
        <f>IF(Atletas!D481="","",IF(Atletas!B481="Feminino",100,IF(Atletas!B481="Masculino",200,""))+(IF(Atletas!D481="Kids 30kg",1,IF(Atletas!D481="Kids 32kg",2, IF(Atletas!D481="Kids 34kg",3,IF(Atletas!D481="Kids 36kg",4,IF(Atletas!D481="Kids 39kg",5,IF(Atletas!D481="Kids 42kg",6,IF(Atletas!D481="Kids 45kg",7, IF(Atletas!D481="Infantil 39kg",8,IF(Atletas!D481="Infantil 42kg",9,IF(Atletas!D481="Infantil 45kg",10,IF(Atletas!D481="Infantil 48kg",11,IF(Atletas!D481="Infantil 52kg",12,IF(Atletas!D481="Infantil 56kg",13,IF(Atletas!D481="Infantil 60kg",14,IF(Atletas!D481="Juvenil 48kg",15,IF(Atletas!D481="Juvenil 52kg",16,IF(Atletas!D481="Juvenil 56kg",17,IF(Atletas!D481="Juvenil 60kg",18,IF(Atletas!D481="Juvenil 65kg",19,IF(Atletas!D481="Juvenil 70kg",20,IF(Atletas!D481="Juvenil 75kg",21,IF(Atletas!D481="Juvenil 80kg",22, IF(Atletas!D481="Juvenil 85kg",23,IF(Atletas!D481="Adulto 48kg",24,IF(Atletas!D481="Adulto 52kg",25,IF(Atletas!D481="Adulto 56kg",26,IF(Atletas!D481="Adulto 60kg",27,IF(Atletas!D481="Adulto 65kg",28,IF(Atletas!D481="Adulto 70kg",29,IF(Atletas!D481="Adulto 75kg",30,IF(Atletas!D481="Adulto 80kg",31,IF(Atletas!D481="Adulto 85kg",32,IF(Atletas!D481="Adulto 90kg",33,IF(Atletas!D481="Adulto 100kg",34, IF(Atletas!D481="Adulto +100kg",35,"")))))))))))))))))))))))))))))))))))))</f>
        <v/>
      </c>
      <c r="AS490" s="6" t="str">
        <f>IF(Atletas!E481="","",IF(Atletas!B481="Feminino",100,IF(Atletas!B481="Masculino",200,""))+(IF(Atletas!E481="Juvenil 44kg",1,IF(Atletas!E481="Juvenil 48kg",2,IF(Atletas!E481="Juvenil 52kg",3,IF(Atletas!E481="Juvenil 56kg",4,IF(Atletas!E481="Juvenil 60kg",5,IF(Atletas!E481="Juvenil 65kg",6,IF(Atletas!E481="Juvenil 70kg",7,IF(Atletas!E481="Juvenil 75kg",8,IF(Atletas!E481="Juvenil 82kg",9,IF(Atletas!E481="Juvenil 90kg",10,IF(Atletas!E481="Juvenil 100kg",11,IF(Atletas!E481="Adulto 48kg",12,IF(Atletas!E481="Adulto 52kg",13,IF(Atletas!E481="Adulto 56kg",14,IF(Atletas!E481="Adulto 60kg",15,IF(Atletas!E481="Adulto 65kg",16,IF(Atletas!E481="Adulto 70kg",17,IF(Atletas!E481="Adulto 75kg",18,IF(Atletas!E481="Adulto 82kg",19,IF(Atletas!E481="Adulto 90kg",20,IF(Atletas!E481="Adulto 100kg",21,IF(Atletas!E481="Adulto +100kg",22,""))))))))))))))))))))))))</f>
        <v/>
      </c>
      <c r="AX490" s="6" t="str">
        <f>IF(Atletas!F481="","",IF(Atletas!B481="Feminino",100,IF(Atletas!B481="Masculino",200,""))+(IF(Atletas!F481="Adulto 48kg",1,IF(Atletas!F481="Adulto 56kg",2,IF(Atletas!F481="Adulto 65kg",3,IF(Atletas!F481="Adulto 75kg",4,IF(Atletas!F481="Adulto +75kg",5,IF(Atletas!F481="Adulto 52kg",6,IF(Atletas!F481="Adulto 60kg",7,IF(Atletas!F481="Adulto 70kg",8,IF(Atletas!F481="Adulto 80kg",9,IF(Atletas!F481="Adulto 90kg",10,IF(Atletas!F481="Adulto +90kg",11,"")))))))))))))</f>
        <v/>
      </c>
      <c r="BC490" s="6" t="str">
        <f>IF(Atletas!G481="","",IF(Atletas!B481="Feminino",10,IF(Atletas!B481="Masculino",20,""))+(IF(Atletas!G481="Baduanjin A",1,IF(Atletas!G481="Baduanjin B",2))))</f>
        <v/>
      </c>
      <c r="BF490" s="52" t="str">
        <f>IF(Atletas!H481="","",IF(Atletas!B481="Feminino",100,IF(Atletas!B481="Masculino",200,""))+(IF(Atletas!H481="Changquan Mirim",1,IF(Atletas!H481="Nanquan Mirim",2,IF(Atletas!H481="Taijiquan Mirim",3,IF(Atletas!H481="Changquan Grupo C",4,IF(Atletas!H481="Nanquan Grupo C",5,IF(Atletas!H481="Taijiquan Grupo C",6,IF(Atletas!H481="Changquan Grupo B",7,IF(Atletas!H481="Nanquan Grupo B",8,IF(Atletas!H481="Taijiquan Grupo B",9,IF(Atletas!H481="Changquan Grupo A",10,IF(Atletas!H481="Nanquan Grupo A",11,IF(Atletas!H481="Taijiquan Grupo A",12,IF(Atletas!H481="Changquan Opcional",13,IF(Atletas!H481="Nanquan Opcional",14,IF(Atletas!H481="Taijiquan Opcional",15,IF(Atletas!H481="Changquan Adulto",16,IF(Atletas!H481="Nanquan Adulto",17,IF(Atletas!H481="Taijiquan Adulto",18,""))))))))))))))))))))</f>
        <v/>
      </c>
      <c r="BG490" s="52" t="str">
        <f>IF(Atletas!I481="","",IF(Atletas!B481="Feminino",100,IF(Atletas!B481="Masculino",200,""))+(IF(Atletas!I481="Daoshu Mirim",19,IF(Atletas!I481="Jianshu Mirim",20,IF(Atletas!I481="Nandao Mirim",21,IF(Atletas!I481="Taijijian Mirim",22,IF(Atletas!I481="Daoshu Grupo C",23,IF(Atletas!I481="Jianshu Grupo C",24,IF(Atletas!I481="Nandao Grupo C",25,IF(Atletas!I481="Taijijian Grupo C",26,IF(Atletas!I481="Daoshu Grupo B",27,IF(Atletas!I481="Jianshu Grupo B",28,IF(Atletas!I481="Nandao Grupo B",29,IF(Atletas!I481="Taijijian Grupo B",30,IF(Atletas!I481="Daoshu Grupo A",31,IF(Atletas!I481="Jianshu Grupo A",32,IF(Atletas!I481="Nandao Grupo A",33,IF(Atletas!I481="Taijijian Grupo A",34,IF(Atletas!I481="Daoshu Opcional",35,IF(Atletas!I481="Jianshu Opcional",36,IF(Atletas!I481="Nandao Opcional",37,IF(Atletas!I481="Taijijian Opcional",38,IF(Atletas!I481="Daoshu Adulto",39,IF(Atletas!I481="Jianshu Adulto",40,IF(Atletas!I481="Nandao Adulto",41,IF(Atletas!I481="Taijijian Adulto",42,""))))))))))))))))))))))))))</f>
        <v/>
      </c>
      <c r="BH490" s="52" t="str">
        <f>IF(Atletas!J481="","",IF(Atletas!B481="Feminino",100,IF(Atletas!B481="Masculino",200,""))+(IF(Atletas!J481="Gunshu Mirim",43,IF(Atletas!J481="Qiangshu Mirim",44,IF(Atletas!J481="Nangun Mirim",45,IF(Atletas!J481="Gunshu Grupo C",46,IF(Atletas!J481="Qiangshu Grupo C",47,IF(Atletas!J481="Nangun Grupo C",48,IF(Atletas!J481="Gunshu Grupo B",49,IF(Atletas!J481="Qiangshu Grupo B",50,IF(Atletas!J481="Nangun Grupo B",51,IF(Atletas!J481="Gunshu Grupo A",52,IF(Atletas!J481="Qiangshu Grupo A",53,IF(Atletas!J481="Nangun Grupo A",54,IF(Atletas!J481="Gunshu Opcional",55,IF(Atletas!J481="Qiangshu Opcional",56,IF(Atletas!J481="Nangun Opcional",57,IF(Atletas!J481="Gunshu Adulto",58,IF(Atletas!J481="Qiangshu Adulto",59,IF(Atletas!J481="Nangun Adulto",60,IF(Atletas!J481="Taijishan Grupo B",61,IF(Atletas!J481="Taijishan Grupo A",62,""))))))))))))))))))))))</f>
        <v/>
      </c>
      <c r="BM490" s="50" t="str">
        <f>IF(Atletas!K481="","",IF(Atletas!B481="Feminino",100,IF(Atletas!B481="Masculino",200,""))+(IF(Atletas!K481="Equipe 1 Grupo B",1,IF(Atletas!K481="Equipe 2 Grupo B",2,IF(Atletas!K481="Equipe 1 Grupo A",3,IF(Atletas!K481="Equipe 2 Grupo A",4,IF(Atletas!K481="Equipe 1 Adulto",5,IF(Atletas!K481="Equipe 2 Adulto",6,""))))))))</f>
        <v/>
      </c>
      <c r="BR490" s="50" t="str">
        <f>IF(Atletas!L481="","",IF(Atletas!X481&lt;&gt;"",10000,0)+(IF(Atletas!B481="Feminino",1000,IF(Atletas!B481="Masculino",2000,""))+IF(Atletas!L481="Choylayfut A",1,IF(Atletas!L481="Hunggar A",2,IF(Atletas!L481="Wuzuquan A",3,IF(Atletas!L481="Wingchun A",4,IF(Atletas!L481="Outra Mão de Sul A",5,IF(Atletas!L481="Choylayfut B",6,IF(Atletas!L481="Hunggar B",7,IF(Atletas!L481="Wuzuquan B",8,IF(Atletas!L481="Wingchun B",9,IF(Atletas!L481="Outra Mão de Sul B",10,IF(Atletas!L481="Choylayfut C",11,IF(Atletas!L481="Hunggar C",12,IF(Atletas!L481="Wuzuquan C",13,IF(Atletas!L481="Wingchun C",14,IF(Atletas!L481="Outra Mão de Sul C",15,IF(Atletas!L481="Choylayfut D",16,IF(Atletas!L481="Hunggar D",17,IF(Atletas!L481="Wuzuquan D",18,IF(Atletas!L481="Wingchun D",19,IF(Atletas!L481="Outra Mão de Sul D",20,IF(Atletas!L481="Choylayfut E",21,IF(Atletas!L481="Hunggar E",22,IF(Atletas!L481="Wuzuquan E",23,IF(Atletas!L481="Wingchun E",24,IF(Atletas!L481="Outra Mão de Sul E",25,IF(Atletas!L481="Choylayfut F",26,IF(Atletas!L481="Hunggar F",27,IF(Atletas!L481="Wuzuquan F",28,IF(Atletas!L481="Wingchun F",29,IF(Atletas!L481="Outra Mão de Sul F",30,IF(Atletas!L481="Dishuquan A",31,IF(Atletas!L481="Dishuquan B",32,IF(Atletas!L481="Dishuquan C",33,IF(Atletas!L481="Dishuquan D",34,IF(Atletas!L481="Dishuquan E",35,IF(Atletas!L481="Dishuquan F",36,""))))))))))))))))))))))))))))))))))))))</f>
        <v/>
      </c>
      <c r="BS490" s="50" t="str">
        <f>IF(Atletas!M481="","",IF(Atletas!X481&lt;&gt;"",10000,0)+(IF(Atletas!B481="Feminino",1000,IF(Atletas!B481="Masculino",2000,""))+(IF(Atletas!M481="Chaquan A",101,IF(Atletas!M481="Emeiquan A",102,IF(Atletas!M481="Fanziquan A",103,IF(Atletas!M481="Huaquan A",104,IF(Atletas!M481="Hongquan A",105,IF(Atletas!M481="Paoquan A",106,IF(Atletas!M481="Piguaquan A",107,IF(Atletas!M481="Shaolinquan A",108,IF(Atletas!M481="Tanglangquan A",109,IF(Atletas!M481="Yingzhaoquan A",110,IF(Atletas!M481="Tongbeiquan A",111,IF(Atletas!M481="Wudangquan A",112,IF(Atletas!M481="Outros Estilos A",113,IF(Atletas!M481="Chaquan B",114,IF(Atletas!M481="Emeiquan B",115,IF(Atletas!M481="Fanziquan B",116,IF(Atletas!M481="Huaquan B",117,IF(Atletas!M481="Hongquan B",118,IF(Atletas!M481="Paoquan B",119,IF(Atletas!M481="Piguaquan B",120,IF(Atletas!M481="Shaolinquan B",121,IF(Atletas!M481="Tanglangquan B",122,IF(Atletas!M481="Yingzhaoquan B",123,IF(Atletas!M481="Tongbeiquan B",124,IF(Atletas!M481="Wudangquan B",125,IF(Atletas!M481="Outros Estilos B",126,IF(Atletas!M481="Chaquan C",127,IF(Atletas!M481="Emeiquan C",128,IF(Atletas!M481="Fanziquan C",129,IF(Atletas!M481="Huaquan C",130,IF(Atletas!M481="Hongquan C",131,IF(Atletas!M481="Paoquan C",132,IF(Atletas!M481="Piguaquan C",133,IF(Atletas!M481="Shaolinquan C",134,IF(Atletas!M481="Tanglangquan C",135,IF(Atletas!M481="Yingzhaoquan C",136,IF(Atletas!M481="Tongbeiquan C",137,IF(Atletas!M481="Wudangquan C",138,IF(Atletas!M481="Outros Estilos C",139,0))))))))))))))))))))))))))))))))))))))))))</f>
        <v/>
      </c>
      <c r="BT490" s="50" t="str">
        <f>IF(Atletas!M481="","",IF(Atletas!X481&lt;&gt;"",10000,0)+(IF(Atletas!B481="Feminino",1000,IF(Atletas!B481="Masculino",2000,""))+(IF(Atletas!M481="Chaquan D",140,IF(Atletas!M481="Emeiquan D",141,IF(Atletas!M481="Fanziquan D",142,IF(Atletas!M481="Huaquan D",143,IF(Atletas!M481="Hongquan D",144,IF(Atletas!M481="Paoquan D",145,IF(Atletas!M481="Piguaquan D",146,IF(Atletas!M481="Shaolinquan D",147,IF(Atletas!M481="Tanglangquan D",148,IF(Atletas!M481="Yingzhaoquan D",149,IF(Atletas!M481="Tongbeiquan D",150,IF(Atletas!M481="Wudangquan D",151,IF(Atletas!M481="Outros Estilos D",152,IF(Atletas!M481="Chaquan E",153,IF(Atletas!M481="Emeiquan E",154,IF(Atletas!M481="Fanziquan E",155,IF(Atletas!M481="Huaquan E",156,IF(Atletas!M481="Hongquan E",157,IF(Atletas!M481="Paoquan E",158,IF(Atletas!M481="Piguaquan E",159,IF(Atletas!M481="Shaolinquan E",160,IF(Atletas!M481="Tanglangquan E",161,IF(Atletas!M481="Yingzhaoquan E",162,IF(Atletas!M481="Tongbeiquan E",163,IF(Atletas!M481="Wudangquan E",164,IF(Atletas!M481="Outros Estilos E",165,IF(Atletas!M481="Chaquan F",166,IF(Atletas!M481="Emeiquan F",167,IF(Atletas!M481="Fanziquan F",168,IF(Atletas!M481="Huaquan F",169,IF(Atletas!M481="Hongquan F",170,IF(Atletas!M481="Paoquan F",171,IF(Atletas!M481="Piguaquan F",172,IF(Atletas!M481="Shaolinquan F",173,IF(Atletas!M481="Tanglangquan F",174,IF(Atletas!M481="Yingzhaoquan F",175,IF(Atletas!M481="Tongbeiquan F",176,IF(Atletas!M481="Wudangquan F",177,IF(Atletas!M481="Outros Estilos F",178,0))))))))))))))))))))))))))))))))))))))))))</f>
        <v/>
      </c>
      <c r="BU490" s="50" t="str">
        <f>IF(Atletas!N481="","",IF(Atletas!X481&lt;&gt;"",10000,0)+(IF(Atletas!B481="Feminino",1000,IF(Atletas!B481="Masculino",2000,""))+(IF(Atletas!N481="Ditangquan A",201,IF(Atletas!N481="Houquan A",202,IF(Atletas!N481="Zuiquan A",203,IF(Atletas!N481="Ditangquan B",204,IF(Atletas!N481="Houquan B",205,IF(Atletas!N481="Zuiquan B",206,IF(Atletas!N481="Ditangquan C",207,IF(Atletas!N481="Houquan C",208,IF(Atletas!N481="Zuiquan C",209,IF(Atletas!N481="Ditangquan D",210,IF(Atletas!N481="Houquan D",211,IF(Atletas!N481="Zuiquan D",212,IF(Atletas!N481="Ditangquan E",213,IF(Atletas!N481="Houquan E",214,IF(Atletas!N481="Zuiquan E",215,IF(Atletas!N481="Ditangquan F",216,IF(Atletas!N481="Houquan F",217,IF(Atletas!N481="Zuiquan F",218,"")))))))))))))))))))))</f>
        <v/>
      </c>
      <c r="BV490" s="50" t="str">
        <f>IF(Atletas!O481="","",IF(Atletas!X481&lt;&gt;"",10000,0)+IF(Atletas!B481="Feminino",1000,IF(Atletas!B481="Masculino",2000,""))+IF(Atletas!O481="Yang A",301,IF(Atletas!O481="Chen A",302,IF(Atletas!O481="Sun A",303,IF(Atletas!O481="Wu A",304,IF(Atletas!O481="Wu-Hao A",305,IF(Atletas!O481="Outro Taijiquan A",306,IF(Atletas!O481="Yang B",307,IF(Atletas!O481="Chen B",308,IF(Atletas!O481="Sun B",309,IF(Atletas!O481="Wu B",310,IF(Atletas!O481="Wu-Hao B",311,IF(Atletas!O481="Outro Taijiquan B",312,IF(Atletas!O481="Yang C",313,IF(Atletas!O481="Chen C",314,IF(Atletas!O481="Sun C",315,IF(Atletas!O481="Wu C",316,IF(Atletas!O481="Wu-Hao C",317,IF(Atletas!O481="Outro Taijiquan C",318,IF(Atletas!O481="Yang D",319,IF(Atletas!O481="Chen D",320,IF(Atletas!O481="Sun D",321,IF(Atletas!O481="Wu D",322,IF(Atletas!O481="Wu-Hao D",323,IF(Atletas!O481="Outro Taijiquan D",324,IF(Atletas!O481="Yang E",325,IF(Atletas!O481="Chen E",326,IF(Atletas!O481="Sun E",327,IF(Atletas!O481="Wu E",328,IF(Atletas!O481="Wu-Hao E",329,IF(Atletas!O481="Outro Taijiquan E",330,IF(Atletas!O481="Yang F",331,IF(Atletas!O481="Chen F",332,IF(Atletas!O481="Sun F",333,IF(Atletas!O481="Wu F",334,IF(Atletas!O481="Wu-Hao F",335,IF(Atletas!O481="Outro Taijiquan F",336,"")))))))))))))))))))))))))))))))))))))</f>
        <v/>
      </c>
      <c r="BW490" s="50" t="str">
        <f>IF(Atletas!P481="","",IF(Atletas!X481&lt;&gt;"",10000,0)+IF(Atletas!B481="Feminino",1000,IF(Atletas!B481="Masculino",2000,""))+IF(OR(Atletas!P481="Yang 26 A",Atletas!P481="Yang 40 A"),401,IF(OR(Atletas!P481="Chen 25 A",Atletas!P481="Chen 36 A",Atletas!P481="Chen 56 A"),402,IF(Atletas!P481="Sun 73 A",403,IF(Atletas!P481="Wu 45 A",404,IF(Atletas!P481="Wu-Hao 46 A",405,IF(OR(Atletas!P481="Taijiquan 16 A",Atletas!P481="Taijiquan 24 A",Atletas!P481="Taijiquan 32 A",Atletas!P481="Taijiquan 42 A"),406,IF(OR(Atletas!P481="Yang 26 B",Atletas!P481="Yang 40 B"),407,IF(OR(Atletas!P481="Chen 25 B",Atletas!P481="Chen 36 B",Atletas!P481="Chen 56 B"),408,IF(Atletas!P481="Sun 73 B",409,IF(Atletas!P481="Wu 45 B",410,IF(Atletas!P481="Wu-Hao 46 B",411,IF(OR(Atletas!P481="Taijiquan 16 B",Atletas!P481="Taijiquan 24 B",Atletas!P481="Taijiquan 32 B",Atletas!P481="Taijiquan 42 B"),412,IF(OR(Atletas!P481="Yang 26 C",Atletas!P481="Yang 40 C"),413,IF(OR(Atletas!P481="Chen 25 C",Atletas!P481="Chen 36 C",Atletas!P481="Chen 56 C"),414,IF(Atletas!P481="Sun 73 C",415,IF(Atletas!P481="Wu 45 C",416,IF(Atletas!P481="Wu-Hao 46 C",417,IF(OR(Atletas!P481="Taijiquan 16 C",Atletas!P481="Taijiquan 24 C",Atletas!P481="Taijiquan 32 C",Atletas!P481="Taijiquan 42 C"),418,0)))))))))))))))))))</f>
        <v/>
      </c>
      <c r="BX490" s="50" t="str">
        <f>IF(Atletas!P481="","",IF(Atletas!X481&lt;&gt;"",10000,0)+IF(Atletas!B481="Feminino",1000,IF(Atletas!B481="Masculino",2000,""))+IF(OR(Atletas!P481="Yang 26 D",Atletas!P481="Yang 40 D"),419,IF(OR(Atletas!P481="Chen 25 D",Atletas!P481="Chen 36 D",Atletas!P481="Chen 56 D"),420,IF(Atletas!P481="Sun 73 D",421,IF(Atletas!P481="Wu 45 D",422,IF(Atletas!P481="Wu-Hao 46 D",423,IF(OR(Atletas!P481="Taijiquan 16 D",Atletas!P481="Taijiquan 24 D",Atletas!P481="Taijiquan 32 D",Atletas!P481="Taijiquan 42 D"),424,IF(OR(Atletas!P481="Yang 26 E",Atletas!P481="Yang 40 E"),425,IF(OR(Atletas!P481="Chen 25 E",Atletas!P481="Chen 36 E",Atletas!P481="Chen 56 E"),426,IF(Atletas!P481="Sun 73 E",427,IF(Atletas!P481="Wu 45 E",428,IF(Atletas!P481="Wu-Hao 46 E",429,IF(OR(Atletas!P481="Taijiquan 16 E",Atletas!P481="Taijiquan 24 E",Atletas!P481="Taijiquan 32 E",Atletas!P481="Taijiquan 42 E"),430,IF(OR(Atletas!P481="Yang 26 F",Atletas!P481="Yang 40 F"),431,IF(OR(Atletas!P481="Chen 25 F",Atletas!P481="Chen 36 F",Atletas!P481="Chen 56 F"),432,IF(Atletas!P481="Sun 73 F",433,IF(Atletas!P481="Wu 45 F",434,IF(Atletas!P481="Wu-Hao 46 F",435,IF(OR(Atletas!P481="Taijiquan 16 F",Atletas!P481="Taijiquan 24 F",Atletas!P481="Taijiquan 32 F",Atletas!P481="Taijiquan 42 F"),436,0)))))))))))))))))))</f>
        <v/>
      </c>
      <c r="BY490" s="50" t="str">
        <f>IF(Atletas!Q481="","",IF(Atletas!X481&lt;&gt;"",10000,0)+IF(Atletas!B481="Feminino",1000,IF(Atletas!B481="Masculino",2000,""))+IF(Atletas!Q481="Xingyiquan A",501,IF(Atletas!Q481="Baguazhang A",502,IF(Atletas!Q481="Outro Estilo Interno A",503,IF(Atletas!Q481="Xingyiquan B",504,IF(Atletas!Q481="Baguazhang B",505,IF(Atletas!Q481="Outro Estilo Interno B",506,IF(Atletas!Q481="Xingyiquan C",507,IF(Atletas!Q481="Baguazhang C",508,IF(Atletas!Q481="Outro Estilo Interno C",509,IF(Atletas!Q481="Xingyiquan D",510,IF(Atletas!Q481="Baguazhang D",511,IF(Atletas!Q481="Outro Estilo Interno D",512,IF(Atletas!Q481="Xingyiquan E",513,IF(Atletas!Q481="Baguazhang E",514,IF(Atletas!Q481="Outro Estilo Interno E",515,IF(Atletas!Q481="Xingyiquan F",516,IF(Atletas!Q481="Baguazhang F",517,IF(Atletas!Q481="Outro Estilo Interno F",518, "")))))))))))))))))))</f>
        <v/>
      </c>
      <c r="BZ490" s="50" t="str">
        <f>IF(Atletas!R481="","",IF(Atletas!X481&lt;&gt;"",10000,0)+IF(Atletas!B481="Feminino",1000,IF(Atletas!B481="Masculino",2000,""))+IF(Atletas!R481="Dao A",601,IF(Atletas!R481="Jian A",602,IF(Atletas!R481="Bishou A",603,IF(Atletas!R481="Shanzi A",604,IF(Atletas!R481="Outra Arma Curta A",605,IF(Atletas!R481="Dao B",606,IF(Atletas!R481="Jian B",607,IF(Atletas!R481="Bishou B",608,IF(Atletas!R481="Shanzi B",609,IF(Atletas!R481="Outra Arma Curta B",610,IF(Atletas!R481="Dao C",611,IF(Atletas!R481="Jian C",612,IF(Atletas!R481="Bishou C",613,IF(Atletas!R481="Shanzi C",614,IF(Atletas!R481="Outra Arma Curta C",615,IF(Atletas!R481="Dao D",616,IF(Atletas!R481="Jian D",617,IF(Atletas!R481="Bishou D",618,IF(Atletas!R481="Shanzi D",619,IF(Atletas!R481="Outra Arma Curta D",620,IF(Atletas!R481="Dao E",621,IF(Atletas!R481="Jian E",622,IF(Atletas!R481="Bishou E",623,IF(Atletas!R481="Shanzi E",624,IF(Atletas!R481="Outra Arma Curta E",625,IF(Atletas!R481="Dao F",626,IF(Atletas!R481="Jian F",627,IF(Atletas!R481="Bishou F",628,IF(Atletas!R481="Shanzi F",629,IF(Atletas!R481="Outra Arma Curta F",630, "")))))))))))))))))))))))))))))))</f>
        <v/>
      </c>
      <c r="CA490" s="50" t="str">
        <f>IF(Atletas!S481="","",IF(Atletas!X481&lt;&gt;"",10000,0)+IF(Atletas!B481="Feminino",1000,IF(Atletas!B481="Masculino",2000,""))+IF(Atletas!S481="Gun A",701,IF(Atletas!S481="Qiang A",702,IF(Atletas!S481="Pudao / Guandao A",703,IF(Atletas!S481="Outra Arma Longa A",704,IF(Atletas!S481="Gun B",705,IF(Atletas!S481="Qiang B",706,IF(Atletas!S481="Pudao / Guandao B",707,IF(Atletas!S481="Outra Arma Longa B",708,IF(Atletas!S481="Gun C",709,IF(Atletas!S481="Qiang C",710,IF(Atletas!S481="Pudao / Guandao C",711,IF(Atletas!S481="Outra Arma Longa C",712,IF(Atletas!S481="Gun D",713,IF(Atletas!S481="Qiang D",714,IF(Atletas!S481="Pudao / Guandao D",715,IF(Atletas!S481="Outra Arma Longa D",716,IF(Atletas!S481="Gun E",717,IF(Atletas!S481="Qiang E",718,IF(Atletas!S481="Pudao / Guandao E",719,IF(Atletas!S481="Outra Arma Longa E",720,IF(Atletas!S481="Gun F",721,IF(Atletas!S481="Qiang F",722,IF(Atletas!S481="Pudao / Guandao F",723,IF(Atletas!S481="Outra Arma Longa F",724,"")))))))))))))))))))))))))</f>
        <v/>
      </c>
      <c r="CB490" s="50" t="str">
        <f>IF(Atletas!T481="","",IF(Atletas!X481&lt;&gt;"",10000,0)+IF(Atletas!B481="Feminino",1000,IF(Atletas!B481="Masculino",2000,""))+IF(Atletas!T481="Outra Arma Dupla A",801,IF(Atletas!T481="Arma Maleável A",802,IF(Atletas!T481="Outra Arma Dupla B",803,IF(Atletas!T481="Arma Maleável B",804,IF(Atletas!T481="Outra Arma Dupla C",805,IF(Atletas!T481="Arma Maleável C",806,IF(Atletas!T481="Outra Arma Dupla D",807,IF(Atletas!T481="Arma Maleável D",808,IF(Atletas!T481="Outra Arma Dupla E",809,IF(Atletas!T481="Arma Maleável E",810,IF(Atletas!T481="Outra Arma Dupla F",811,IF(Atletas!T481="Arma Maleável F",812,IF(Atletas!T481="Shuangdao A",813,IF(Atletas!T481="Shuangdao B",814,IF(Atletas!T481="Shuangdao C",815,IF(Atletas!T481="Shuangdao D",816,IF(Atletas!T481="Shuangdao E",817,IF(Atletas!T481="Shuangdao F",818,"")))))))))))))))))))</f>
        <v/>
      </c>
      <c r="CC490" s="50" t="str">
        <f>IF(Atletas!U481="","",IF(Atletas!X481&lt;&gt;"",10000,0)+IF(Atletas!B481="Feminino",1000,IF(Atletas!B481="Masculino",2000,""))+IF(OR(Atletas!U481="Taijijian Yang A",Atletas!U481="Taijijian Yang Standard A"),901,IF(OR(Atletas!U481="Taijijian Chen A", Atletas!U481="Taijijian Chen Standard A"),902,IF(Atletas!U481="Taijijian Sun A",903,IF(Atletas!U481="Taijijian Wu A",904,IF(Atletas!U481="Taijijian Wu-Hao A",905,IF(OR(Atletas!U481="Taijijian 32 A",Atletas!U481="Taijijian 42 A"),906,IF(OR(Atletas!U481="Taijijian Yang B",Atletas!U481="Taijijian Yang Standard B"),907,IF(OR(Atletas!U481="Taijijian Chen B", Atletas!U481="Taijijian Chen Standard B"),908,IF(Atletas!U481="Taijijian Sun B",909,IF(Atletas!U481="Taijijian Wu B",910,IF(Atletas!U481="Taijijian Wu-Hao B",911,IF(OR(Atletas!U481="Taijijian 32 B",Atletas!U481="Taijijian 42 B"),912,IF(OR(Atletas!U481="Taijijian Yang C",Atletas!U481="Taijijian Yang Standard C"),913,IF(OR(Atletas!U481="Taijijian Chen C", Atletas!U481="Taijijian Chen Standard C"),914,IF(Atletas!U481="Taijijian Sun C",915,IF(Atletas!U481="Taijijian Wu C",916,IF(Atletas!U481="Taijijian Wu-Hao C",917,IF(OR(Atletas!U481="Taijijian 32 C",Atletas!U481="Taijijian 42 C"),918,IF(OR(Atletas!U481="Taijijian Yang D",Atletas!U481="Taijijian Yang Standard D"),919,IF(OR(Atletas!U481="Taijijian Chen D", Atletas!U481="Taijijian Chen Standard D"),920,IF(Atletas!U481="Taijijian Sun D",921,IF(Atletas!U481="Taijijian Wu D",922,IF(Atletas!U481="Taijijian Wu-Hao D",923,IF(OR(Atletas!U481="Taijijian 32 D",Atletas!U481="Taijijian 42 D"),924,IF(OR(Atletas!U481="Taijijian Yang E",Atletas!U481="Taijijian Yang Standard E"),925,IF(OR(Atletas!U481="Taijijian Chen E", Atletas!U481="Taijijian Chen Standard E"),926,IF(Atletas!U481="Taijijian Sun E",927,IF(Atletas!U481="Taijijian Wu E",928,IF(Atletas!U481="Taijijian Wu-Hao E",929,IF(OR(Atletas!U481="Taijijian 32 E",Atletas!U481="Taijijian 42 E"),930,IF(OR(Atletas!U481="Taijijian Yang F",Atletas!U481="Taijijian Yang Standard F"),931,IF(OR(Atletas!U481="Taijijian Chen F", Atletas!U481="Taijijian Chen Standard F"),932,IF(Atletas!U481="Taijijian Sun F",933,IF(Atletas!U481="Taijijian Wu F",934,IF(Atletas!U481="Taijijian Wu-Hao F",935,IF(OR(Atletas!U481="Taijijian 32 F",Atletas!U481="Taijijian 42 F"),936,"")))))))))))))))))))))))))))))))))))))</f>
        <v/>
      </c>
      <c r="CD490" s="50" t="str">
        <f>IF(Atletas!V481="","",IF(Atletas!X481&lt;&gt;"",10000,0)+IF(Atletas!B481="Feminino",1000,IF(Atletas!B481="Masculino",2000,""))+IF(Atletas!V481="Taijidao A",937,IF(Atletas!V481="TaijiShanzi A",938,IF(Atletas!V481="Taijiqiang A",939,IF(Atletas!V481="Bagua de Arma A",940,IF(Atletas!V481="Xingyi de Arma A",941,IF(Atletas!V481="Taijidao B",942,IF(Atletas!V481="TaijiShanzi B",943,IF(Atletas!V481="Taijiqiang B",944,IF(Atletas!V481="Bagua de Arma B",945,IF(Atletas!V481="Xingyi de Arma B",946,IF(Atletas!V481="Taijidao C",947,IF(Atletas!V481="TaijiShanzi C",948,IF(Atletas!V481="Taijiqiang C",949,IF(Atletas!V481="Bagua de Arma C",950,IF(Atletas!V481="Xingyi de Arma C",951,IF(Atletas!V481="Taijidao D",952,IF(Atletas!V481="TaijiShanzi D",953,IF(Atletas!V481="Taijiqiang D",954,IF(Atletas!V481="Bagua de Arma D",955,IF(Atletas!V481="Xingyi de Arma D",956,IF(Atletas!V481="Taijidao E",957,IF(Atletas!V481="TaijiShanzi E",958,IF(Atletas!V481="Taijiqiang E",959,IF(Atletas!V481="Bagua de Arma E",960,IF(Atletas!V481="Xingyi de Arma E",961,IF(Atletas!V481="Taijidao F",962,IF(Atletas!V481="TaijiShanzi F",963,IF(Atletas!V481="Taijiqiang F",964,IF(Atletas!V481="Bagua de Arma F",965,IF(Atletas!V481="Xingyi de Arma F",966,"")))))))))))))))))))))))))))))))</f>
        <v/>
      </c>
      <c r="CM490" s="50" t="str">
        <f xml:space="preserve"> IF(Atletas!W481="","",IF(Atletas!W481="Duilian de Mãos BC - Equipe 1",1,IF(Atletas!W481="Duilian de Mãos BC - Equipe 2",2,IF(Atletas!W481="Duilian de Armas BC - Equipe 1",3,IF(Atletas!W481="Duilian de Armas BC - Equipe 2",4,IF(Atletas!W481="Duilian de Mãos DE - Equipe 1",5,IF(Atletas!W481="Duilian de Mãos DE - Equipe 2",6,IF(Atletas!W481="Duilian de Armas DE - Equipe 1",7,IF(Atletas!W481="Duilian de Armas DE - Equipe 2",8,IF(Atletas!W481="Duilian de Tuishou - Equipe 1",9,IF(Atletas!W481="Duilian de Tuishou - Equipe 2",10,IF(Atletas!W481="Grupo Externo ABC - Equipe 1",11,IF(Atletas!W481="Grupo Externo ABC - Equipe 2",12,IF(Atletas!W481="Grupo Interno ABC - Equipe 1",13,IF(Atletas!W481="Grupo Interno ABC - Equipe 2",14,IF(Atletas!W481="Grupo Externo DEF - Equipe 1",15,IF(Atletas!W481="Grupo Externo DEF - Equipe 2",16,IF(Atletas!W481="Grupo Interno DEF - Equipe 1",17,IF(Atletas!W481="Grupo Interno DEF - Equipe 2",18,"")))))))))))))))))))</f>
        <v/>
      </c>
    </row>
    <row r="491" spans="40:91">
      <c r="AN491" s="52" t="str">
        <f>IF(Atletas!D482="","",IF(Atletas!B482="Feminino",100,IF(Atletas!B482="Masculino",200,""))+(IF(Atletas!D482="Kids 30kg",1,IF(Atletas!D482="Kids 32kg",2, IF(Atletas!D482="Kids 34kg",3,IF(Atletas!D482="Kids 36kg",4,IF(Atletas!D482="Kids 39kg",5,IF(Atletas!D482="Kids 42kg",6,IF(Atletas!D482="Kids 45kg",7, IF(Atletas!D482="Infantil 39kg",8,IF(Atletas!D482="Infantil 42kg",9,IF(Atletas!D482="Infantil 45kg",10,IF(Atletas!D482="Infantil 48kg",11,IF(Atletas!D482="Infantil 52kg",12,IF(Atletas!D482="Infantil 56kg",13,IF(Atletas!D482="Infantil 60kg",14,IF(Atletas!D482="Juvenil 48kg",15,IF(Atletas!D482="Juvenil 52kg",16,IF(Atletas!D482="Juvenil 56kg",17,IF(Atletas!D482="Juvenil 60kg",18,IF(Atletas!D482="Juvenil 65kg",19,IF(Atletas!D482="Juvenil 70kg",20,IF(Atletas!D482="Juvenil 75kg",21,IF(Atletas!D482="Juvenil 80kg",22, IF(Atletas!D482="Juvenil 85kg",23,IF(Atletas!D482="Adulto 48kg",24,IF(Atletas!D482="Adulto 52kg",25,IF(Atletas!D482="Adulto 56kg",26,IF(Atletas!D482="Adulto 60kg",27,IF(Atletas!D482="Adulto 65kg",28,IF(Atletas!D482="Adulto 70kg",29,IF(Atletas!D482="Adulto 75kg",30,IF(Atletas!D482="Adulto 80kg",31,IF(Atletas!D482="Adulto 85kg",32,IF(Atletas!D482="Adulto 90kg",33,IF(Atletas!D482="Adulto 100kg",34, IF(Atletas!D482="Adulto +100kg",35,"")))))))))))))))))))))))))))))))))))))</f>
        <v/>
      </c>
      <c r="AS491" s="6" t="str">
        <f>IF(Atletas!E482="","",IF(Atletas!B482="Feminino",100,IF(Atletas!B482="Masculino",200,""))+(IF(Atletas!E482="Juvenil 44kg",1,IF(Atletas!E482="Juvenil 48kg",2,IF(Atletas!E482="Juvenil 52kg",3,IF(Atletas!E482="Juvenil 56kg",4,IF(Atletas!E482="Juvenil 60kg",5,IF(Atletas!E482="Juvenil 65kg",6,IF(Atletas!E482="Juvenil 70kg",7,IF(Atletas!E482="Juvenil 75kg",8,IF(Atletas!E482="Juvenil 82kg",9,IF(Atletas!E482="Juvenil 90kg",10,IF(Atletas!E482="Juvenil 100kg",11,IF(Atletas!E482="Adulto 48kg",12,IF(Atletas!E482="Adulto 52kg",13,IF(Atletas!E482="Adulto 56kg",14,IF(Atletas!E482="Adulto 60kg",15,IF(Atletas!E482="Adulto 65kg",16,IF(Atletas!E482="Adulto 70kg",17,IF(Atletas!E482="Adulto 75kg",18,IF(Atletas!E482="Adulto 82kg",19,IF(Atletas!E482="Adulto 90kg",20,IF(Atletas!E482="Adulto 100kg",21,IF(Atletas!E482="Adulto +100kg",22,""))))))))))))))))))))))))</f>
        <v/>
      </c>
      <c r="AX491" s="6" t="str">
        <f>IF(Atletas!F482="","",IF(Atletas!B482="Feminino",100,IF(Atletas!B482="Masculino",200,""))+(IF(Atletas!F482="Adulto 48kg",1,IF(Atletas!F482="Adulto 56kg",2,IF(Atletas!F482="Adulto 65kg",3,IF(Atletas!F482="Adulto 75kg",4,IF(Atletas!F482="Adulto +75kg",5,IF(Atletas!F482="Adulto 52kg",6,IF(Atletas!F482="Adulto 60kg",7,IF(Atletas!F482="Adulto 70kg",8,IF(Atletas!F482="Adulto 80kg",9,IF(Atletas!F482="Adulto 90kg",10,IF(Atletas!F482="Adulto +90kg",11,"")))))))))))))</f>
        <v/>
      </c>
      <c r="BC491" s="6" t="str">
        <f>IF(Atletas!G482="","",IF(Atletas!B482="Feminino",10,IF(Atletas!B482="Masculino",20,""))+(IF(Atletas!G482="Baduanjin A",1,IF(Atletas!G482="Baduanjin B",2))))</f>
        <v/>
      </c>
      <c r="BF491" s="52" t="str">
        <f>IF(Atletas!H482="","",IF(Atletas!B482="Feminino",100,IF(Atletas!B482="Masculino",200,""))+(IF(Atletas!H482="Changquan Mirim",1,IF(Atletas!H482="Nanquan Mirim",2,IF(Atletas!H482="Taijiquan Mirim",3,IF(Atletas!H482="Changquan Grupo C",4,IF(Atletas!H482="Nanquan Grupo C",5,IF(Atletas!H482="Taijiquan Grupo C",6,IF(Atletas!H482="Changquan Grupo B",7,IF(Atletas!H482="Nanquan Grupo B",8,IF(Atletas!H482="Taijiquan Grupo B",9,IF(Atletas!H482="Changquan Grupo A",10,IF(Atletas!H482="Nanquan Grupo A",11,IF(Atletas!H482="Taijiquan Grupo A",12,IF(Atletas!H482="Changquan Opcional",13,IF(Atletas!H482="Nanquan Opcional",14,IF(Atletas!H482="Taijiquan Opcional",15,IF(Atletas!H482="Changquan Adulto",16,IF(Atletas!H482="Nanquan Adulto",17,IF(Atletas!H482="Taijiquan Adulto",18,""))))))))))))))))))))</f>
        <v/>
      </c>
      <c r="BG491" s="52" t="str">
        <f>IF(Atletas!I482="","",IF(Atletas!B482="Feminino",100,IF(Atletas!B482="Masculino",200,""))+(IF(Atletas!I482="Daoshu Mirim",19,IF(Atletas!I482="Jianshu Mirim",20,IF(Atletas!I482="Nandao Mirim",21,IF(Atletas!I482="Taijijian Mirim",22,IF(Atletas!I482="Daoshu Grupo C",23,IF(Atletas!I482="Jianshu Grupo C",24,IF(Atletas!I482="Nandao Grupo C",25,IF(Atletas!I482="Taijijian Grupo C",26,IF(Atletas!I482="Daoshu Grupo B",27,IF(Atletas!I482="Jianshu Grupo B",28,IF(Atletas!I482="Nandao Grupo B",29,IF(Atletas!I482="Taijijian Grupo B",30,IF(Atletas!I482="Daoshu Grupo A",31,IF(Atletas!I482="Jianshu Grupo A",32,IF(Atletas!I482="Nandao Grupo A",33,IF(Atletas!I482="Taijijian Grupo A",34,IF(Atletas!I482="Daoshu Opcional",35,IF(Atletas!I482="Jianshu Opcional",36,IF(Atletas!I482="Nandao Opcional",37,IF(Atletas!I482="Taijijian Opcional",38,IF(Atletas!I482="Daoshu Adulto",39,IF(Atletas!I482="Jianshu Adulto",40,IF(Atletas!I482="Nandao Adulto",41,IF(Atletas!I482="Taijijian Adulto",42,""))))))))))))))))))))))))))</f>
        <v/>
      </c>
      <c r="BH491" s="52" t="str">
        <f>IF(Atletas!J482="","",IF(Atletas!B482="Feminino",100,IF(Atletas!B482="Masculino",200,""))+(IF(Atletas!J482="Gunshu Mirim",43,IF(Atletas!J482="Qiangshu Mirim",44,IF(Atletas!J482="Nangun Mirim",45,IF(Atletas!J482="Gunshu Grupo C",46,IF(Atletas!J482="Qiangshu Grupo C",47,IF(Atletas!J482="Nangun Grupo C",48,IF(Atletas!J482="Gunshu Grupo B",49,IF(Atletas!J482="Qiangshu Grupo B",50,IF(Atletas!J482="Nangun Grupo B",51,IF(Atletas!J482="Gunshu Grupo A",52,IF(Atletas!J482="Qiangshu Grupo A",53,IF(Atletas!J482="Nangun Grupo A",54,IF(Atletas!J482="Gunshu Opcional",55,IF(Atletas!J482="Qiangshu Opcional",56,IF(Atletas!J482="Nangun Opcional",57,IF(Atletas!J482="Gunshu Adulto",58,IF(Atletas!J482="Qiangshu Adulto",59,IF(Atletas!J482="Nangun Adulto",60,IF(Atletas!J482="Taijishan Grupo B",61,IF(Atletas!J482="Taijishan Grupo A",62,""))))))))))))))))))))))</f>
        <v/>
      </c>
      <c r="BM491" s="50" t="str">
        <f>IF(Atletas!K482="","",IF(Atletas!B482="Feminino",100,IF(Atletas!B482="Masculino",200,""))+(IF(Atletas!K482="Equipe 1 Grupo B",1,IF(Atletas!K482="Equipe 2 Grupo B",2,IF(Atletas!K482="Equipe 1 Grupo A",3,IF(Atletas!K482="Equipe 2 Grupo A",4,IF(Atletas!K482="Equipe 1 Adulto",5,IF(Atletas!K482="Equipe 2 Adulto",6,""))))))))</f>
        <v/>
      </c>
      <c r="BR491" s="50" t="str">
        <f>IF(Atletas!L482="","",IF(Atletas!X482&lt;&gt;"",10000,0)+(IF(Atletas!B482="Feminino",1000,IF(Atletas!B482="Masculino",2000,""))+IF(Atletas!L482="Choylayfut A",1,IF(Atletas!L482="Hunggar A",2,IF(Atletas!L482="Wuzuquan A",3,IF(Atletas!L482="Wingchun A",4,IF(Atletas!L482="Outra Mão de Sul A",5,IF(Atletas!L482="Choylayfut B",6,IF(Atletas!L482="Hunggar B",7,IF(Atletas!L482="Wuzuquan B",8,IF(Atletas!L482="Wingchun B",9,IF(Atletas!L482="Outra Mão de Sul B",10,IF(Atletas!L482="Choylayfut C",11,IF(Atletas!L482="Hunggar C",12,IF(Atletas!L482="Wuzuquan C",13,IF(Atletas!L482="Wingchun C",14,IF(Atletas!L482="Outra Mão de Sul C",15,IF(Atletas!L482="Choylayfut D",16,IF(Atletas!L482="Hunggar D",17,IF(Atletas!L482="Wuzuquan D",18,IF(Atletas!L482="Wingchun D",19,IF(Atletas!L482="Outra Mão de Sul D",20,IF(Atletas!L482="Choylayfut E",21,IF(Atletas!L482="Hunggar E",22,IF(Atletas!L482="Wuzuquan E",23,IF(Atletas!L482="Wingchun E",24,IF(Atletas!L482="Outra Mão de Sul E",25,IF(Atletas!L482="Choylayfut F",26,IF(Atletas!L482="Hunggar F",27,IF(Atletas!L482="Wuzuquan F",28,IF(Atletas!L482="Wingchun F",29,IF(Atletas!L482="Outra Mão de Sul F",30,IF(Atletas!L482="Dishuquan A",31,IF(Atletas!L482="Dishuquan B",32,IF(Atletas!L482="Dishuquan C",33,IF(Atletas!L482="Dishuquan D",34,IF(Atletas!L482="Dishuquan E",35,IF(Atletas!L482="Dishuquan F",36,""))))))))))))))))))))))))))))))))))))))</f>
        <v/>
      </c>
      <c r="BS491" s="50" t="str">
        <f>IF(Atletas!M482="","",IF(Atletas!X482&lt;&gt;"",10000,0)+(IF(Atletas!B482="Feminino",1000,IF(Atletas!B482="Masculino",2000,""))+(IF(Atletas!M482="Chaquan A",101,IF(Atletas!M482="Emeiquan A",102,IF(Atletas!M482="Fanziquan A",103,IF(Atletas!M482="Huaquan A",104,IF(Atletas!M482="Hongquan A",105,IF(Atletas!M482="Paoquan A",106,IF(Atletas!M482="Piguaquan A",107,IF(Atletas!M482="Shaolinquan A",108,IF(Atletas!M482="Tanglangquan A",109,IF(Atletas!M482="Yingzhaoquan A",110,IF(Atletas!M482="Tongbeiquan A",111,IF(Atletas!M482="Wudangquan A",112,IF(Atletas!M482="Outros Estilos A",113,IF(Atletas!M482="Chaquan B",114,IF(Atletas!M482="Emeiquan B",115,IF(Atletas!M482="Fanziquan B",116,IF(Atletas!M482="Huaquan B",117,IF(Atletas!M482="Hongquan B",118,IF(Atletas!M482="Paoquan B",119,IF(Atletas!M482="Piguaquan B",120,IF(Atletas!M482="Shaolinquan B",121,IF(Atletas!M482="Tanglangquan B",122,IF(Atletas!M482="Yingzhaoquan B",123,IF(Atletas!M482="Tongbeiquan B",124,IF(Atletas!M482="Wudangquan B",125,IF(Atletas!M482="Outros Estilos B",126,IF(Atletas!M482="Chaquan C",127,IF(Atletas!M482="Emeiquan C",128,IF(Atletas!M482="Fanziquan C",129,IF(Atletas!M482="Huaquan C",130,IF(Atletas!M482="Hongquan C",131,IF(Atletas!M482="Paoquan C",132,IF(Atletas!M482="Piguaquan C",133,IF(Atletas!M482="Shaolinquan C",134,IF(Atletas!M482="Tanglangquan C",135,IF(Atletas!M482="Yingzhaoquan C",136,IF(Atletas!M482="Tongbeiquan C",137,IF(Atletas!M482="Wudangquan C",138,IF(Atletas!M482="Outros Estilos C",139,0))))))))))))))))))))))))))))))))))))))))))</f>
        <v/>
      </c>
      <c r="BT491" s="50" t="str">
        <f>IF(Atletas!M482="","",IF(Atletas!X482&lt;&gt;"",10000,0)+(IF(Atletas!B482="Feminino",1000,IF(Atletas!B482="Masculino",2000,""))+(IF(Atletas!M482="Chaquan D",140,IF(Atletas!M482="Emeiquan D",141,IF(Atletas!M482="Fanziquan D",142,IF(Atletas!M482="Huaquan D",143,IF(Atletas!M482="Hongquan D",144,IF(Atletas!M482="Paoquan D",145,IF(Atletas!M482="Piguaquan D",146,IF(Atletas!M482="Shaolinquan D",147,IF(Atletas!M482="Tanglangquan D",148,IF(Atletas!M482="Yingzhaoquan D",149,IF(Atletas!M482="Tongbeiquan D",150,IF(Atletas!M482="Wudangquan D",151,IF(Atletas!M482="Outros Estilos D",152,IF(Atletas!M482="Chaquan E",153,IF(Atletas!M482="Emeiquan E",154,IF(Atletas!M482="Fanziquan E",155,IF(Atletas!M482="Huaquan E",156,IF(Atletas!M482="Hongquan E",157,IF(Atletas!M482="Paoquan E",158,IF(Atletas!M482="Piguaquan E",159,IF(Atletas!M482="Shaolinquan E",160,IF(Atletas!M482="Tanglangquan E",161,IF(Atletas!M482="Yingzhaoquan E",162,IF(Atletas!M482="Tongbeiquan E",163,IF(Atletas!M482="Wudangquan E",164,IF(Atletas!M482="Outros Estilos E",165,IF(Atletas!M482="Chaquan F",166,IF(Atletas!M482="Emeiquan F",167,IF(Atletas!M482="Fanziquan F",168,IF(Atletas!M482="Huaquan F",169,IF(Atletas!M482="Hongquan F",170,IF(Atletas!M482="Paoquan F",171,IF(Atletas!M482="Piguaquan F",172,IF(Atletas!M482="Shaolinquan F",173,IF(Atletas!M482="Tanglangquan F",174,IF(Atletas!M482="Yingzhaoquan F",175,IF(Atletas!M482="Tongbeiquan F",176,IF(Atletas!M482="Wudangquan F",177,IF(Atletas!M482="Outros Estilos F",178,0))))))))))))))))))))))))))))))))))))))))))</f>
        <v/>
      </c>
      <c r="BU491" s="50" t="str">
        <f>IF(Atletas!N482="","",IF(Atletas!X482&lt;&gt;"",10000,0)+(IF(Atletas!B482="Feminino",1000,IF(Atletas!B482="Masculino",2000,""))+(IF(Atletas!N482="Ditangquan A",201,IF(Atletas!N482="Houquan A",202,IF(Atletas!N482="Zuiquan A",203,IF(Atletas!N482="Ditangquan B",204,IF(Atletas!N482="Houquan B",205,IF(Atletas!N482="Zuiquan B",206,IF(Atletas!N482="Ditangquan C",207,IF(Atletas!N482="Houquan C",208,IF(Atletas!N482="Zuiquan C",209,IF(Atletas!N482="Ditangquan D",210,IF(Atletas!N482="Houquan D",211,IF(Atletas!N482="Zuiquan D",212,IF(Atletas!N482="Ditangquan E",213,IF(Atletas!N482="Houquan E",214,IF(Atletas!N482="Zuiquan E",215,IF(Atletas!N482="Ditangquan F",216,IF(Atletas!N482="Houquan F",217,IF(Atletas!N482="Zuiquan F",218,"")))))))))))))))))))))</f>
        <v/>
      </c>
      <c r="BV491" s="50" t="str">
        <f>IF(Atletas!O482="","",IF(Atletas!X482&lt;&gt;"",10000,0)+IF(Atletas!B482="Feminino",1000,IF(Atletas!B482="Masculino",2000,""))+IF(Atletas!O482="Yang A",301,IF(Atletas!O482="Chen A",302,IF(Atletas!O482="Sun A",303,IF(Atletas!O482="Wu A",304,IF(Atletas!O482="Wu-Hao A",305,IF(Atletas!O482="Outro Taijiquan A",306,IF(Atletas!O482="Yang B",307,IF(Atletas!O482="Chen B",308,IF(Atletas!O482="Sun B",309,IF(Atletas!O482="Wu B",310,IF(Atletas!O482="Wu-Hao B",311,IF(Atletas!O482="Outro Taijiquan B",312,IF(Atletas!O482="Yang C",313,IF(Atletas!O482="Chen C",314,IF(Atletas!O482="Sun C",315,IF(Atletas!O482="Wu C",316,IF(Atletas!O482="Wu-Hao C",317,IF(Atletas!O482="Outro Taijiquan C",318,IF(Atletas!O482="Yang D",319,IF(Atletas!O482="Chen D",320,IF(Atletas!O482="Sun D",321,IF(Atletas!O482="Wu D",322,IF(Atletas!O482="Wu-Hao D",323,IF(Atletas!O482="Outro Taijiquan D",324,IF(Atletas!O482="Yang E",325,IF(Atletas!O482="Chen E",326,IF(Atletas!O482="Sun E",327,IF(Atletas!O482="Wu E",328,IF(Atletas!O482="Wu-Hao E",329,IF(Atletas!O482="Outro Taijiquan E",330,IF(Atletas!O482="Yang F",331,IF(Atletas!O482="Chen F",332,IF(Atletas!O482="Sun F",333,IF(Atletas!O482="Wu F",334,IF(Atletas!O482="Wu-Hao F",335,IF(Atletas!O482="Outro Taijiquan F",336,"")))))))))))))))))))))))))))))))))))))</f>
        <v/>
      </c>
      <c r="BW491" s="50" t="str">
        <f>IF(Atletas!P482="","",IF(Atletas!X482&lt;&gt;"",10000,0)+IF(Atletas!B482="Feminino",1000,IF(Atletas!B482="Masculino",2000,""))+IF(OR(Atletas!P482="Yang 26 A",Atletas!P482="Yang 40 A"),401,IF(OR(Atletas!P482="Chen 25 A",Atletas!P482="Chen 36 A",Atletas!P482="Chen 56 A"),402,IF(Atletas!P482="Sun 73 A",403,IF(Atletas!P482="Wu 45 A",404,IF(Atletas!P482="Wu-Hao 46 A",405,IF(OR(Atletas!P482="Taijiquan 16 A",Atletas!P482="Taijiquan 24 A",Atletas!P482="Taijiquan 32 A",Atletas!P482="Taijiquan 42 A"),406,IF(OR(Atletas!P482="Yang 26 B",Atletas!P482="Yang 40 B"),407,IF(OR(Atletas!P482="Chen 25 B",Atletas!P482="Chen 36 B",Atletas!P482="Chen 56 B"),408,IF(Atletas!P482="Sun 73 B",409,IF(Atletas!P482="Wu 45 B",410,IF(Atletas!P482="Wu-Hao 46 B",411,IF(OR(Atletas!P482="Taijiquan 16 B",Atletas!P482="Taijiquan 24 B",Atletas!P482="Taijiquan 32 B",Atletas!P482="Taijiquan 42 B"),412,IF(OR(Atletas!P482="Yang 26 C",Atletas!P482="Yang 40 C"),413,IF(OR(Atletas!P482="Chen 25 C",Atletas!P482="Chen 36 C",Atletas!P482="Chen 56 C"),414,IF(Atletas!P482="Sun 73 C",415,IF(Atletas!P482="Wu 45 C",416,IF(Atletas!P482="Wu-Hao 46 C",417,IF(OR(Atletas!P482="Taijiquan 16 C",Atletas!P482="Taijiquan 24 C",Atletas!P482="Taijiquan 32 C",Atletas!P482="Taijiquan 42 C"),418,0)))))))))))))))))))</f>
        <v/>
      </c>
      <c r="BX491" s="50" t="str">
        <f>IF(Atletas!P482="","",IF(Atletas!X482&lt;&gt;"",10000,0)+IF(Atletas!B482="Feminino",1000,IF(Atletas!B482="Masculino",2000,""))+IF(OR(Atletas!P482="Yang 26 D",Atletas!P482="Yang 40 D"),419,IF(OR(Atletas!P482="Chen 25 D",Atletas!P482="Chen 36 D",Atletas!P482="Chen 56 D"),420,IF(Atletas!P482="Sun 73 D",421,IF(Atletas!P482="Wu 45 D",422,IF(Atletas!P482="Wu-Hao 46 D",423,IF(OR(Atletas!P482="Taijiquan 16 D",Atletas!P482="Taijiquan 24 D",Atletas!P482="Taijiquan 32 D",Atletas!P482="Taijiquan 42 D"),424,IF(OR(Atletas!P482="Yang 26 E",Atletas!P482="Yang 40 E"),425,IF(OR(Atletas!P482="Chen 25 E",Atletas!P482="Chen 36 E",Atletas!P482="Chen 56 E"),426,IF(Atletas!P482="Sun 73 E",427,IF(Atletas!P482="Wu 45 E",428,IF(Atletas!P482="Wu-Hao 46 E",429,IF(OR(Atletas!P482="Taijiquan 16 E",Atletas!P482="Taijiquan 24 E",Atletas!P482="Taijiquan 32 E",Atletas!P482="Taijiquan 42 E"),430,IF(OR(Atletas!P482="Yang 26 F",Atletas!P482="Yang 40 F"),431,IF(OR(Atletas!P482="Chen 25 F",Atletas!P482="Chen 36 F",Atletas!P482="Chen 56 F"),432,IF(Atletas!P482="Sun 73 F",433,IF(Atletas!P482="Wu 45 F",434,IF(Atletas!P482="Wu-Hao 46 F",435,IF(OR(Atletas!P482="Taijiquan 16 F",Atletas!P482="Taijiquan 24 F",Atletas!P482="Taijiquan 32 F",Atletas!P482="Taijiquan 42 F"),436,0)))))))))))))))))))</f>
        <v/>
      </c>
      <c r="BY491" s="50" t="str">
        <f>IF(Atletas!Q482="","",IF(Atletas!X482&lt;&gt;"",10000,0)+IF(Atletas!B482="Feminino",1000,IF(Atletas!B482="Masculino",2000,""))+IF(Atletas!Q482="Xingyiquan A",501,IF(Atletas!Q482="Baguazhang A",502,IF(Atletas!Q482="Outro Estilo Interno A",503,IF(Atletas!Q482="Xingyiquan B",504,IF(Atletas!Q482="Baguazhang B",505,IF(Atletas!Q482="Outro Estilo Interno B",506,IF(Atletas!Q482="Xingyiquan C",507,IF(Atletas!Q482="Baguazhang C",508,IF(Atletas!Q482="Outro Estilo Interno C",509,IF(Atletas!Q482="Xingyiquan D",510,IF(Atletas!Q482="Baguazhang D",511,IF(Atletas!Q482="Outro Estilo Interno D",512,IF(Atletas!Q482="Xingyiquan E",513,IF(Atletas!Q482="Baguazhang E",514,IF(Atletas!Q482="Outro Estilo Interno E",515,IF(Atletas!Q482="Xingyiquan F",516,IF(Atletas!Q482="Baguazhang F",517,IF(Atletas!Q482="Outro Estilo Interno F",518, "")))))))))))))))))))</f>
        <v/>
      </c>
      <c r="BZ491" s="50" t="str">
        <f>IF(Atletas!R482="","",IF(Atletas!X482&lt;&gt;"",10000,0)+IF(Atletas!B482="Feminino",1000,IF(Atletas!B482="Masculino",2000,""))+IF(Atletas!R482="Dao A",601,IF(Atletas!R482="Jian A",602,IF(Atletas!R482="Bishou A",603,IF(Atletas!R482="Shanzi A",604,IF(Atletas!R482="Outra Arma Curta A",605,IF(Atletas!R482="Dao B",606,IF(Atletas!R482="Jian B",607,IF(Atletas!R482="Bishou B",608,IF(Atletas!R482="Shanzi B",609,IF(Atletas!R482="Outra Arma Curta B",610,IF(Atletas!R482="Dao C",611,IF(Atletas!R482="Jian C",612,IF(Atletas!R482="Bishou C",613,IF(Atletas!R482="Shanzi C",614,IF(Atletas!R482="Outra Arma Curta C",615,IF(Atletas!R482="Dao D",616,IF(Atletas!R482="Jian D",617,IF(Atletas!R482="Bishou D",618,IF(Atletas!R482="Shanzi D",619,IF(Atletas!R482="Outra Arma Curta D",620,IF(Atletas!R482="Dao E",621,IF(Atletas!R482="Jian E",622,IF(Atletas!R482="Bishou E",623,IF(Atletas!R482="Shanzi E",624,IF(Atletas!R482="Outra Arma Curta E",625,IF(Atletas!R482="Dao F",626,IF(Atletas!R482="Jian F",627,IF(Atletas!R482="Bishou F",628,IF(Atletas!R482="Shanzi F",629,IF(Atletas!R482="Outra Arma Curta F",630, "")))))))))))))))))))))))))))))))</f>
        <v/>
      </c>
      <c r="CA491" s="50" t="str">
        <f>IF(Atletas!S482="","",IF(Atletas!X482&lt;&gt;"",10000,0)+IF(Atletas!B482="Feminino",1000,IF(Atletas!B482="Masculino",2000,""))+IF(Atletas!S482="Gun A",701,IF(Atletas!S482="Qiang A",702,IF(Atletas!S482="Pudao / Guandao A",703,IF(Atletas!S482="Outra Arma Longa A",704,IF(Atletas!S482="Gun B",705,IF(Atletas!S482="Qiang B",706,IF(Atletas!S482="Pudao / Guandao B",707,IF(Atletas!S482="Outra Arma Longa B",708,IF(Atletas!S482="Gun C",709,IF(Atletas!S482="Qiang C",710,IF(Atletas!S482="Pudao / Guandao C",711,IF(Atletas!S482="Outra Arma Longa C",712,IF(Atletas!S482="Gun D",713,IF(Atletas!S482="Qiang D",714,IF(Atletas!S482="Pudao / Guandao D",715,IF(Atletas!S482="Outra Arma Longa D",716,IF(Atletas!S482="Gun E",717,IF(Atletas!S482="Qiang E",718,IF(Atletas!S482="Pudao / Guandao E",719,IF(Atletas!S482="Outra Arma Longa E",720,IF(Atletas!S482="Gun F",721,IF(Atletas!S482="Qiang F",722,IF(Atletas!S482="Pudao / Guandao F",723,IF(Atletas!S482="Outra Arma Longa F",724,"")))))))))))))))))))))))))</f>
        <v/>
      </c>
      <c r="CB491" s="50" t="str">
        <f>IF(Atletas!T482="","",IF(Atletas!X482&lt;&gt;"",10000,0)+IF(Atletas!B482="Feminino",1000,IF(Atletas!B482="Masculino",2000,""))+IF(Atletas!T482="Outra Arma Dupla A",801,IF(Atletas!T482="Arma Maleável A",802,IF(Atletas!T482="Outra Arma Dupla B",803,IF(Atletas!T482="Arma Maleável B",804,IF(Atletas!T482="Outra Arma Dupla C",805,IF(Atletas!T482="Arma Maleável C",806,IF(Atletas!T482="Outra Arma Dupla D",807,IF(Atletas!T482="Arma Maleável D",808,IF(Atletas!T482="Outra Arma Dupla E",809,IF(Atletas!T482="Arma Maleável E",810,IF(Atletas!T482="Outra Arma Dupla F",811,IF(Atletas!T482="Arma Maleável F",812,IF(Atletas!T482="Shuangdao A",813,IF(Atletas!T482="Shuangdao B",814,IF(Atletas!T482="Shuangdao C",815,IF(Atletas!T482="Shuangdao D",816,IF(Atletas!T482="Shuangdao E",817,IF(Atletas!T482="Shuangdao F",818,"")))))))))))))))))))</f>
        <v/>
      </c>
      <c r="CC491" s="50" t="str">
        <f>IF(Atletas!U482="","",IF(Atletas!X482&lt;&gt;"",10000,0)+IF(Atletas!B482="Feminino",1000,IF(Atletas!B482="Masculino",2000,""))+IF(OR(Atletas!U482="Taijijian Yang A",Atletas!U482="Taijijian Yang Standard A"),901,IF(OR(Atletas!U482="Taijijian Chen A", Atletas!U482="Taijijian Chen Standard A"),902,IF(Atletas!U482="Taijijian Sun A",903,IF(Atletas!U482="Taijijian Wu A",904,IF(Atletas!U482="Taijijian Wu-Hao A",905,IF(OR(Atletas!U482="Taijijian 32 A",Atletas!U482="Taijijian 42 A"),906,IF(OR(Atletas!U482="Taijijian Yang B",Atletas!U482="Taijijian Yang Standard B"),907,IF(OR(Atletas!U482="Taijijian Chen B", Atletas!U482="Taijijian Chen Standard B"),908,IF(Atletas!U482="Taijijian Sun B",909,IF(Atletas!U482="Taijijian Wu B",910,IF(Atletas!U482="Taijijian Wu-Hao B",911,IF(OR(Atletas!U482="Taijijian 32 B",Atletas!U482="Taijijian 42 B"),912,IF(OR(Atletas!U482="Taijijian Yang C",Atletas!U482="Taijijian Yang Standard C"),913,IF(OR(Atletas!U482="Taijijian Chen C", Atletas!U482="Taijijian Chen Standard C"),914,IF(Atletas!U482="Taijijian Sun C",915,IF(Atletas!U482="Taijijian Wu C",916,IF(Atletas!U482="Taijijian Wu-Hao C",917,IF(OR(Atletas!U482="Taijijian 32 C",Atletas!U482="Taijijian 42 C"),918,IF(OR(Atletas!U482="Taijijian Yang D",Atletas!U482="Taijijian Yang Standard D"),919,IF(OR(Atletas!U482="Taijijian Chen D", Atletas!U482="Taijijian Chen Standard D"),920,IF(Atletas!U482="Taijijian Sun D",921,IF(Atletas!U482="Taijijian Wu D",922,IF(Atletas!U482="Taijijian Wu-Hao D",923,IF(OR(Atletas!U482="Taijijian 32 D",Atletas!U482="Taijijian 42 D"),924,IF(OR(Atletas!U482="Taijijian Yang E",Atletas!U482="Taijijian Yang Standard E"),925,IF(OR(Atletas!U482="Taijijian Chen E", Atletas!U482="Taijijian Chen Standard E"),926,IF(Atletas!U482="Taijijian Sun E",927,IF(Atletas!U482="Taijijian Wu E",928,IF(Atletas!U482="Taijijian Wu-Hao E",929,IF(OR(Atletas!U482="Taijijian 32 E",Atletas!U482="Taijijian 42 E"),930,IF(OR(Atletas!U482="Taijijian Yang F",Atletas!U482="Taijijian Yang Standard F"),931,IF(OR(Atletas!U482="Taijijian Chen F", Atletas!U482="Taijijian Chen Standard F"),932,IF(Atletas!U482="Taijijian Sun F",933,IF(Atletas!U482="Taijijian Wu F",934,IF(Atletas!U482="Taijijian Wu-Hao F",935,IF(OR(Atletas!U482="Taijijian 32 F",Atletas!U482="Taijijian 42 F"),936,"")))))))))))))))))))))))))))))))))))))</f>
        <v/>
      </c>
      <c r="CD491" s="50" t="str">
        <f>IF(Atletas!V482="","",IF(Atletas!X482&lt;&gt;"",10000,0)+IF(Atletas!B482="Feminino",1000,IF(Atletas!B482="Masculino",2000,""))+IF(Atletas!V482="Taijidao A",937,IF(Atletas!V482="TaijiShanzi A",938,IF(Atletas!V482="Taijiqiang A",939,IF(Atletas!V482="Bagua de Arma A",940,IF(Atletas!V482="Xingyi de Arma A",941,IF(Atletas!V482="Taijidao B",942,IF(Atletas!V482="TaijiShanzi B",943,IF(Atletas!V482="Taijiqiang B",944,IF(Atletas!V482="Bagua de Arma B",945,IF(Atletas!V482="Xingyi de Arma B",946,IF(Atletas!V482="Taijidao C",947,IF(Atletas!V482="TaijiShanzi C",948,IF(Atletas!V482="Taijiqiang C",949,IF(Atletas!V482="Bagua de Arma C",950,IF(Atletas!V482="Xingyi de Arma C",951,IF(Atletas!V482="Taijidao D",952,IF(Atletas!V482="TaijiShanzi D",953,IF(Atletas!V482="Taijiqiang D",954,IF(Atletas!V482="Bagua de Arma D",955,IF(Atletas!V482="Xingyi de Arma D",956,IF(Atletas!V482="Taijidao E",957,IF(Atletas!V482="TaijiShanzi E",958,IF(Atletas!V482="Taijiqiang E",959,IF(Atletas!V482="Bagua de Arma E",960,IF(Atletas!V482="Xingyi de Arma E",961,IF(Atletas!V482="Taijidao F",962,IF(Atletas!V482="TaijiShanzi F",963,IF(Atletas!V482="Taijiqiang F",964,IF(Atletas!V482="Bagua de Arma F",965,IF(Atletas!V482="Xingyi de Arma F",966,"")))))))))))))))))))))))))))))))</f>
        <v/>
      </c>
      <c r="CM491" s="50" t="str">
        <f xml:space="preserve"> IF(Atletas!W482="","",IF(Atletas!W482="Duilian de Mãos BC - Equipe 1",1,IF(Atletas!W482="Duilian de Mãos BC - Equipe 2",2,IF(Atletas!W482="Duilian de Armas BC - Equipe 1",3,IF(Atletas!W482="Duilian de Armas BC - Equipe 2",4,IF(Atletas!W482="Duilian de Mãos DE - Equipe 1",5,IF(Atletas!W482="Duilian de Mãos DE - Equipe 2",6,IF(Atletas!W482="Duilian de Armas DE - Equipe 1",7,IF(Atletas!W482="Duilian de Armas DE - Equipe 2",8,IF(Atletas!W482="Duilian de Tuishou - Equipe 1",9,IF(Atletas!W482="Duilian de Tuishou - Equipe 2",10,IF(Atletas!W482="Grupo Externo ABC - Equipe 1",11,IF(Atletas!W482="Grupo Externo ABC - Equipe 2",12,IF(Atletas!W482="Grupo Interno ABC - Equipe 1",13,IF(Atletas!W482="Grupo Interno ABC - Equipe 2",14,IF(Atletas!W482="Grupo Externo DEF - Equipe 1",15,IF(Atletas!W482="Grupo Externo DEF - Equipe 2",16,IF(Atletas!W482="Grupo Interno DEF - Equipe 1",17,IF(Atletas!W482="Grupo Interno DEF - Equipe 2",18,"")))))))))))))))))))</f>
        <v/>
      </c>
    </row>
    <row r="492" spans="40:91">
      <c r="AN492" s="52" t="str">
        <f>IF(Atletas!D483="","",IF(Atletas!B483="Feminino",100,IF(Atletas!B483="Masculino",200,""))+(IF(Atletas!D483="Kids 30kg",1,IF(Atletas!D483="Kids 32kg",2, IF(Atletas!D483="Kids 34kg",3,IF(Atletas!D483="Kids 36kg",4,IF(Atletas!D483="Kids 39kg",5,IF(Atletas!D483="Kids 42kg",6,IF(Atletas!D483="Kids 45kg",7, IF(Atletas!D483="Infantil 39kg",8,IF(Atletas!D483="Infantil 42kg",9,IF(Atletas!D483="Infantil 45kg",10,IF(Atletas!D483="Infantil 48kg",11,IF(Atletas!D483="Infantil 52kg",12,IF(Atletas!D483="Infantil 56kg",13,IF(Atletas!D483="Infantil 60kg",14,IF(Atletas!D483="Juvenil 48kg",15,IF(Atletas!D483="Juvenil 52kg",16,IF(Atletas!D483="Juvenil 56kg",17,IF(Atletas!D483="Juvenil 60kg",18,IF(Atletas!D483="Juvenil 65kg",19,IF(Atletas!D483="Juvenil 70kg",20,IF(Atletas!D483="Juvenil 75kg",21,IF(Atletas!D483="Juvenil 80kg",22, IF(Atletas!D483="Juvenil 85kg",23,IF(Atletas!D483="Adulto 48kg",24,IF(Atletas!D483="Adulto 52kg",25,IF(Atletas!D483="Adulto 56kg",26,IF(Atletas!D483="Adulto 60kg",27,IF(Atletas!D483="Adulto 65kg",28,IF(Atletas!D483="Adulto 70kg",29,IF(Atletas!D483="Adulto 75kg",30,IF(Atletas!D483="Adulto 80kg",31,IF(Atletas!D483="Adulto 85kg",32,IF(Atletas!D483="Adulto 90kg",33,IF(Atletas!D483="Adulto 100kg",34, IF(Atletas!D483="Adulto +100kg",35,"")))))))))))))))))))))))))))))))))))))</f>
        <v/>
      </c>
      <c r="AS492" s="6" t="str">
        <f>IF(Atletas!E483="","",IF(Atletas!B483="Feminino",100,IF(Atletas!B483="Masculino",200,""))+(IF(Atletas!E483="Juvenil 44kg",1,IF(Atletas!E483="Juvenil 48kg",2,IF(Atletas!E483="Juvenil 52kg",3,IF(Atletas!E483="Juvenil 56kg",4,IF(Atletas!E483="Juvenil 60kg",5,IF(Atletas!E483="Juvenil 65kg",6,IF(Atletas!E483="Juvenil 70kg",7,IF(Atletas!E483="Juvenil 75kg",8,IF(Atletas!E483="Juvenil 82kg",9,IF(Atletas!E483="Juvenil 90kg",10,IF(Atletas!E483="Juvenil 100kg",11,IF(Atletas!E483="Adulto 48kg",12,IF(Atletas!E483="Adulto 52kg",13,IF(Atletas!E483="Adulto 56kg",14,IF(Atletas!E483="Adulto 60kg",15,IF(Atletas!E483="Adulto 65kg",16,IF(Atletas!E483="Adulto 70kg",17,IF(Atletas!E483="Adulto 75kg",18,IF(Atletas!E483="Adulto 82kg",19,IF(Atletas!E483="Adulto 90kg",20,IF(Atletas!E483="Adulto 100kg",21,IF(Atletas!E483="Adulto +100kg",22,""))))))))))))))))))))))))</f>
        <v/>
      </c>
      <c r="AX492" s="6" t="str">
        <f>IF(Atletas!F483="","",IF(Atletas!B483="Feminino",100,IF(Atletas!B483="Masculino",200,""))+(IF(Atletas!F483="Adulto 48kg",1,IF(Atletas!F483="Adulto 56kg",2,IF(Atletas!F483="Adulto 65kg",3,IF(Atletas!F483="Adulto 75kg",4,IF(Atletas!F483="Adulto +75kg",5,IF(Atletas!F483="Adulto 52kg",6,IF(Atletas!F483="Adulto 60kg",7,IF(Atletas!F483="Adulto 70kg",8,IF(Atletas!F483="Adulto 80kg",9,IF(Atletas!F483="Adulto 90kg",10,IF(Atletas!F483="Adulto +90kg",11,"")))))))))))))</f>
        <v/>
      </c>
      <c r="BC492" s="6" t="str">
        <f>IF(Atletas!G483="","",IF(Atletas!B483="Feminino",10,IF(Atletas!B483="Masculino",20,""))+(IF(Atletas!G483="Baduanjin A",1,IF(Atletas!G483="Baduanjin B",2))))</f>
        <v/>
      </c>
      <c r="BF492" s="52" t="str">
        <f>IF(Atletas!H483="","",IF(Atletas!B483="Feminino",100,IF(Atletas!B483="Masculino",200,""))+(IF(Atletas!H483="Changquan Mirim",1,IF(Atletas!H483="Nanquan Mirim",2,IF(Atletas!H483="Taijiquan Mirim",3,IF(Atletas!H483="Changquan Grupo C",4,IF(Atletas!H483="Nanquan Grupo C",5,IF(Atletas!H483="Taijiquan Grupo C",6,IF(Atletas!H483="Changquan Grupo B",7,IF(Atletas!H483="Nanquan Grupo B",8,IF(Atletas!H483="Taijiquan Grupo B",9,IF(Atletas!H483="Changquan Grupo A",10,IF(Atletas!H483="Nanquan Grupo A",11,IF(Atletas!H483="Taijiquan Grupo A",12,IF(Atletas!H483="Changquan Opcional",13,IF(Atletas!H483="Nanquan Opcional",14,IF(Atletas!H483="Taijiquan Opcional",15,IF(Atletas!H483="Changquan Adulto",16,IF(Atletas!H483="Nanquan Adulto",17,IF(Atletas!H483="Taijiquan Adulto",18,""))))))))))))))))))))</f>
        <v/>
      </c>
      <c r="BG492" s="52" t="str">
        <f>IF(Atletas!I483="","",IF(Atletas!B483="Feminino",100,IF(Atletas!B483="Masculino",200,""))+(IF(Atletas!I483="Daoshu Mirim",19,IF(Atletas!I483="Jianshu Mirim",20,IF(Atletas!I483="Nandao Mirim",21,IF(Atletas!I483="Taijijian Mirim",22,IF(Atletas!I483="Daoshu Grupo C",23,IF(Atletas!I483="Jianshu Grupo C",24,IF(Atletas!I483="Nandao Grupo C",25,IF(Atletas!I483="Taijijian Grupo C",26,IF(Atletas!I483="Daoshu Grupo B",27,IF(Atletas!I483="Jianshu Grupo B",28,IF(Atletas!I483="Nandao Grupo B",29,IF(Atletas!I483="Taijijian Grupo B",30,IF(Atletas!I483="Daoshu Grupo A",31,IF(Atletas!I483="Jianshu Grupo A",32,IF(Atletas!I483="Nandao Grupo A",33,IF(Atletas!I483="Taijijian Grupo A",34,IF(Atletas!I483="Daoshu Opcional",35,IF(Atletas!I483="Jianshu Opcional",36,IF(Atletas!I483="Nandao Opcional",37,IF(Atletas!I483="Taijijian Opcional",38,IF(Atletas!I483="Daoshu Adulto",39,IF(Atletas!I483="Jianshu Adulto",40,IF(Atletas!I483="Nandao Adulto",41,IF(Atletas!I483="Taijijian Adulto",42,""))))))))))))))))))))))))))</f>
        <v/>
      </c>
      <c r="BH492" s="52" t="str">
        <f>IF(Atletas!J483="","",IF(Atletas!B483="Feminino",100,IF(Atletas!B483="Masculino",200,""))+(IF(Atletas!J483="Gunshu Mirim",43,IF(Atletas!J483="Qiangshu Mirim",44,IF(Atletas!J483="Nangun Mirim",45,IF(Atletas!J483="Gunshu Grupo C",46,IF(Atletas!J483="Qiangshu Grupo C",47,IF(Atletas!J483="Nangun Grupo C",48,IF(Atletas!J483="Gunshu Grupo B",49,IF(Atletas!J483="Qiangshu Grupo B",50,IF(Atletas!J483="Nangun Grupo B",51,IF(Atletas!J483="Gunshu Grupo A",52,IF(Atletas!J483="Qiangshu Grupo A",53,IF(Atletas!J483="Nangun Grupo A",54,IF(Atletas!J483="Gunshu Opcional",55,IF(Atletas!J483="Qiangshu Opcional",56,IF(Atletas!J483="Nangun Opcional",57,IF(Atletas!J483="Gunshu Adulto",58,IF(Atletas!J483="Qiangshu Adulto",59,IF(Atletas!J483="Nangun Adulto",60,IF(Atletas!J483="Taijishan Grupo B",61,IF(Atletas!J483="Taijishan Grupo A",62,""))))))))))))))))))))))</f>
        <v/>
      </c>
      <c r="BM492" s="50" t="str">
        <f>IF(Atletas!K483="","",IF(Atletas!B483="Feminino",100,IF(Atletas!B483="Masculino",200,""))+(IF(Atletas!K483="Equipe 1 Grupo B",1,IF(Atletas!K483="Equipe 2 Grupo B",2,IF(Atletas!K483="Equipe 1 Grupo A",3,IF(Atletas!K483="Equipe 2 Grupo A",4,IF(Atletas!K483="Equipe 1 Adulto",5,IF(Atletas!K483="Equipe 2 Adulto",6,""))))))))</f>
        <v/>
      </c>
      <c r="BR492" s="50" t="str">
        <f>IF(Atletas!L483="","",IF(Atletas!X483&lt;&gt;"",10000,0)+(IF(Atletas!B483="Feminino",1000,IF(Atletas!B483="Masculino",2000,""))+IF(Atletas!L483="Choylayfut A",1,IF(Atletas!L483="Hunggar A",2,IF(Atletas!L483="Wuzuquan A",3,IF(Atletas!L483="Wingchun A",4,IF(Atletas!L483="Outra Mão de Sul A",5,IF(Atletas!L483="Choylayfut B",6,IF(Atletas!L483="Hunggar B",7,IF(Atletas!L483="Wuzuquan B",8,IF(Atletas!L483="Wingchun B",9,IF(Atletas!L483="Outra Mão de Sul B",10,IF(Atletas!L483="Choylayfut C",11,IF(Atletas!L483="Hunggar C",12,IF(Atletas!L483="Wuzuquan C",13,IF(Atletas!L483="Wingchun C",14,IF(Atletas!L483="Outra Mão de Sul C",15,IF(Atletas!L483="Choylayfut D",16,IF(Atletas!L483="Hunggar D",17,IF(Atletas!L483="Wuzuquan D",18,IF(Atletas!L483="Wingchun D",19,IF(Atletas!L483="Outra Mão de Sul D",20,IF(Atletas!L483="Choylayfut E",21,IF(Atletas!L483="Hunggar E",22,IF(Atletas!L483="Wuzuquan E",23,IF(Atletas!L483="Wingchun E",24,IF(Atletas!L483="Outra Mão de Sul E",25,IF(Atletas!L483="Choylayfut F",26,IF(Atletas!L483="Hunggar F",27,IF(Atletas!L483="Wuzuquan F",28,IF(Atletas!L483="Wingchun F",29,IF(Atletas!L483="Outra Mão de Sul F",30,IF(Atletas!L483="Dishuquan A",31,IF(Atletas!L483="Dishuquan B",32,IF(Atletas!L483="Dishuquan C",33,IF(Atletas!L483="Dishuquan D",34,IF(Atletas!L483="Dishuquan E",35,IF(Atletas!L483="Dishuquan F",36,""))))))))))))))))))))))))))))))))))))))</f>
        <v/>
      </c>
      <c r="BS492" s="50" t="str">
        <f>IF(Atletas!M483="","",IF(Atletas!X483&lt;&gt;"",10000,0)+(IF(Atletas!B483="Feminino",1000,IF(Atletas!B483="Masculino",2000,""))+(IF(Atletas!M483="Chaquan A",101,IF(Atletas!M483="Emeiquan A",102,IF(Atletas!M483="Fanziquan A",103,IF(Atletas!M483="Huaquan A",104,IF(Atletas!M483="Hongquan A",105,IF(Atletas!M483="Paoquan A",106,IF(Atletas!M483="Piguaquan A",107,IF(Atletas!M483="Shaolinquan A",108,IF(Atletas!M483="Tanglangquan A",109,IF(Atletas!M483="Yingzhaoquan A",110,IF(Atletas!M483="Tongbeiquan A",111,IF(Atletas!M483="Wudangquan A",112,IF(Atletas!M483="Outros Estilos A",113,IF(Atletas!M483="Chaquan B",114,IF(Atletas!M483="Emeiquan B",115,IF(Atletas!M483="Fanziquan B",116,IF(Atletas!M483="Huaquan B",117,IF(Atletas!M483="Hongquan B",118,IF(Atletas!M483="Paoquan B",119,IF(Atletas!M483="Piguaquan B",120,IF(Atletas!M483="Shaolinquan B",121,IF(Atletas!M483="Tanglangquan B",122,IF(Atletas!M483="Yingzhaoquan B",123,IF(Atletas!M483="Tongbeiquan B",124,IF(Atletas!M483="Wudangquan B",125,IF(Atletas!M483="Outros Estilos B",126,IF(Atletas!M483="Chaquan C",127,IF(Atletas!M483="Emeiquan C",128,IF(Atletas!M483="Fanziquan C",129,IF(Atletas!M483="Huaquan C",130,IF(Atletas!M483="Hongquan C",131,IF(Atletas!M483="Paoquan C",132,IF(Atletas!M483="Piguaquan C",133,IF(Atletas!M483="Shaolinquan C",134,IF(Atletas!M483="Tanglangquan C",135,IF(Atletas!M483="Yingzhaoquan C",136,IF(Atletas!M483="Tongbeiquan C",137,IF(Atletas!M483="Wudangquan C",138,IF(Atletas!M483="Outros Estilos C",139,0))))))))))))))))))))))))))))))))))))))))))</f>
        <v/>
      </c>
      <c r="BT492" s="50" t="str">
        <f>IF(Atletas!M483="","",IF(Atletas!X483&lt;&gt;"",10000,0)+(IF(Atletas!B483="Feminino",1000,IF(Atletas!B483="Masculino",2000,""))+(IF(Atletas!M483="Chaquan D",140,IF(Atletas!M483="Emeiquan D",141,IF(Atletas!M483="Fanziquan D",142,IF(Atletas!M483="Huaquan D",143,IF(Atletas!M483="Hongquan D",144,IF(Atletas!M483="Paoquan D",145,IF(Atletas!M483="Piguaquan D",146,IF(Atletas!M483="Shaolinquan D",147,IF(Atletas!M483="Tanglangquan D",148,IF(Atletas!M483="Yingzhaoquan D",149,IF(Atletas!M483="Tongbeiquan D",150,IF(Atletas!M483="Wudangquan D",151,IF(Atletas!M483="Outros Estilos D",152,IF(Atletas!M483="Chaquan E",153,IF(Atletas!M483="Emeiquan E",154,IF(Atletas!M483="Fanziquan E",155,IF(Atletas!M483="Huaquan E",156,IF(Atletas!M483="Hongquan E",157,IF(Atletas!M483="Paoquan E",158,IF(Atletas!M483="Piguaquan E",159,IF(Atletas!M483="Shaolinquan E",160,IF(Atletas!M483="Tanglangquan E",161,IF(Atletas!M483="Yingzhaoquan E",162,IF(Atletas!M483="Tongbeiquan E",163,IF(Atletas!M483="Wudangquan E",164,IF(Atletas!M483="Outros Estilos E",165,IF(Atletas!M483="Chaquan F",166,IF(Atletas!M483="Emeiquan F",167,IF(Atletas!M483="Fanziquan F",168,IF(Atletas!M483="Huaquan F",169,IF(Atletas!M483="Hongquan F",170,IF(Atletas!M483="Paoquan F",171,IF(Atletas!M483="Piguaquan F",172,IF(Atletas!M483="Shaolinquan F",173,IF(Atletas!M483="Tanglangquan F",174,IF(Atletas!M483="Yingzhaoquan F",175,IF(Atletas!M483="Tongbeiquan F",176,IF(Atletas!M483="Wudangquan F",177,IF(Atletas!M483="Outros Estilos F",178,0))))))))))))))))))))))))))))))))))))))))))</f>
        <v/>
      </c>
      <c r="BU492" s="50" t="str">
        <f>IF(Atletas!N483="","",IF(Atletas!X483&lt;&gt;"",10000,0)+(IF(Atletas!B483="Feminino",1000,IF(Atletas!B483="Masculino",2000,""))+(IF(Atletas!N483="Ditangquan A",201,IF(Atletas!N483="Houquan A",202,IF(Atletas!N483="Zuiquan A",203,IF(Atletas!N483="Ditangquan B",204,IF(Atletas!N483="Houquan B",205,IF(Atletas!N483="Zuiquan B",206,IF(Atletas!N483="Ditangquan C",207,IF(Atletas!N483="Houquan C",208,IF(Atletas!N483="Zuiquan C",209,IF(Atletas!N483="Ditangquan D",210,IF(Atletas!N483="Houquan D",211,IF(Atletas!N483="Zuiquan D",212,IF(Atletas!N483="Ditangquan E",213,IF(Atletas!N483="Houquan E",214,IF(Atletas!N483="Zuiquan E",215,IF(Atletas!N483="Ditangquan F",216,IF(Atletas!N483="Houquan F",217,IF(Atletas!N483="Zuiquan F",218,"")))))))))))))))))))))</f>
        <v/>
      </c>
      <c r="BV492" s="50" t="str">
        <f>IF(Atletas!O483="","",IF(Atletas!X483&lt;&gt;"",10000,0)+IF(Atletas!B483="Feminino",1000,IF(Atletas!B483="Masculino",2000,""))+IF(Atletas!O483="Yang A",301,IF(Atletas!O483="Chen A",302,IF(Atletas!O483="Sun A",303,IF(Atletas!O483="Wu A",304,IF(Atletas!O483="Wu-Hao A",305,IF(Atletas!O483="Outro Taijiquan A",306,IF(Atletas!O483="Yang B",307,IF(Atletas!O483="Chen B",308,IF(Atletas!O483="Sun B",309,IF(Atletas!O483="Wu B",310,IF(Atletas!O483="Wu-Hao B",311,IF(Atletas!O483="Outro Taijiquan B",312,IF(Atletas!O483="Yang C",313,IF(Atletas!O483="Chen C",314,IF(Atletas!O483="Sun C",315,IF(Atletas!O483="Wu C",316,IF(Atletas!O483="Wu-Hao C",317,IF(Atletas!O483="Outro Taijiquan C",318,IF(Atletas!O483="Yang D",319,IF(Atletas!O483="Chen D",320,IF(Atletas!O483="Sun D",321,IF(Atletas!O483="Wu D",322,IF(Atletas!O483="Wu-Hao D",323,IF(Atletas!O483="Outro Taijiquan D",324,IF(Atletas!O483="Yang E",325,IF(Atletas!O483="Chen E",326,IF(Atletas!O483="Sun E",327,IF(Atletas!O483="Wu E",328,IF(Atletas!O483="Wu-Hao E",329,IF(Atletas!O483="Outro Taijiquan E",330,IF(Atletas!O483="Yang F",331,IF(Atletas!O483="Chen F",332,IF(Atletas!O483="Sun F",333,IF(Atletas!O483="Wu F",334,IF(Atletas!O483="Wu-Hao F",335,IF(Atletas!O483="Outro Taijiquan F",336,"")))))))))))))))))))))))))))))))))))))</f>
        <v/>
      </c>
      <c r="BW492" s="50" t="str">
        <f>IF(Atletas!P483="","",IF(Atletas!X483&lt;&gt;"",10000,0)+IF(Atletas!B483="Feminino",1000,IF(Atletas!B483="Masculino",2000,""))+IF(OR(Atletas!P483="Yang 26 A",Atletas!P483="Yang 40 A"),401,IF(OR(Atletas!P483="Chen 25 A",Atletas!P483="Chen 36 A",Atletas!P483="Chen 56 A"),402,IF(Atletas!P483="Sun 73 A",403,IF(Atletas!P483="Wu 45 A",404,IF(Atletas!P483="Wu-Hao 46 A",405,IF(OR(Atletas!P483="Taijiquan 16 A",Atletas!P483="Taijiquan 24 A",Atletas!P483="Taijiquan 32 A",Atletas!P483="Taijiquan 42 A"),406,IF(OR(Atletas!P483="Yang 26 B",Atletas!P483="Yang 40 B"),407,IF(OR(Atletas!P483="Chen 25 B",Atletas!P483="Chen 36 B",Atletas!P483="Chen 56 B"),408,IF(Atletas!P483="Sun 73 B",409,IF(Atletas!P483="Wu 45 B",410,IF(Atletas!P483="Wu-Hao 46 B",411,IF(OR(Atletas!P483="Taijiquan 16 B",Atletas!P483="Taijiquan 24 B",Atletas!P483="Taijiquan 32 B",Atletas!P483="Taijiquan 42 B"),412,IF(OR(Atletas!P483="Yang 26 C",Atletas!P483="Yang 40 C"),413,IF(OR(Atletas!P483="Chen 25 C",Atletas!P483="Chen 36 C",Atletas!P483="Chen 56 C"),414,IF(Atletas!P483="Sun 73 C",415,IF(Atletas!P483="Wu 45 C",416,IF(Atletas!P483="Wu-Hao 46 C",417,IF(OR(Atletas!P483="Taijiquan 16 C",Atletas!P483="Taijiquan 24 C",Atletas!P483="Taijiquan 32 C",Atletas!P483="Taijiquan 42 C"),418,0)))))))))))))))))))</f>
        <v/>
      </c>
      <c r="BX492" s="50" t="str">
        <f>IF(Atletas!P483="","",IF(Atletas!X483&lt;&gt;"",10000,0)+IF(Atletas!B483="Feminino",1000,IF(Atletas!B483="Masculino",2000,""))+IF(OR(Atletas!P483="Yang 26 D",Atletas!P483="Yang 40 D"),419,IF(OR(Atletas!P483="Chen 25 D",Atletas!P483="Chen 36 D",Atletas!P483="Chen 56 D"),420,IF(Atletas!P483="Sun 73 D",421,IF(Atletas!P483="Wu 45 D",422,IF(Atletas!P483="Wu-Hao 46 D",423,IF(OR(Atletas!P483="Taijiquan 16 D",Atletas!P483="Taijiquan 24 D",Atletas!P483="Taijiquan 32 D",Atletas!P483="Taijiquan 42 D"),424,IF(OR(Atletas!P483="Yang 26 E",Atletas!P483="Yang 40 E"),425,IF(OR(Atletas!P483="Chen 25 E",Atletas!P483="Chen 36 E",Atletas!P483="Chen 56 E"),426,IF(Atletas!P483="Sun 73 E",427,IF(Atletas!P483="Wu 45 E",428,IF(Atletas!P483="Wu-Hao 46 E",429,IF(OR(Atletas!P483="Taijiquan 16 E",Atletas!P483="Taijiquan 24 E",Atletas!P483="Taijiquan 32 E",Atletas!P483="Taijiquan 42 E"),430,IF(OR(Atletas!P483="Yang 26 F",Atletas!P483="Yang 40 F"),431,IF(OR(Atletas!P483="Chen 25 F",Atletas!P483="Chen 36 F",Atletas!P483="Chen 56 F"),432,IF(Atletas!P483="Sun 73 F",433,IF(Atletas!P483="Wu 45 F",434,IF(Atletas!P483="Wu-Hao 46 F",435,IF(OR(Atletas!P483="Taijiquan 16 F",Atletas!P483="Taijiquan 24 F",Atletas!P483="Taijiquan 32 F",Atletas!P483="Taijiquan 42 F"),436,0)))))))))))))))))))</f>
        <v/>
      </c>
      <c r="BY492" s="50" t="str">
        <f>IF(Atletas!Q483="","",IF(Atletas!X483&lt;&gt;"",10000,0)+IF(Atletas!B483="Feminino",1000,IF(Atletas!B483="Masculino",2000,""))+IF(Atletas!Q483="Xingyiquan A",501,IF(Atletas!Q483="Baguazhang A",502,IF(Atletas!Q483="Outro Estilo Interno A",503,IF(Atletas!Q483="Xingyiquan B",504,IF(Atletas!Q483="Baguazhang B",505,IF(Atletas!Q483="Outro Estilo Interno B",506,IF(Atletas!Q483="Xingyiquan C",507,IF(Atletas!Q483="Baguazhang C",508,IF(Atletas!Q483="Outro Estilo Interno C",509,IF(Atletas!Q483="Xingyiquan D",510,IF(Atletas!Q483="Baguazhang D",511,IF(Atletas!Q483="Outro Estilo Interno D",512,IF(Atletas!Q483="Xingyiquan E",513,IF(Atletas!Q483="Baguazhang E",514,IF(Atletas!Q483="Outro Estilo Interno E",515,IF(Atletas!Q483="Xingyiquan F",516,IF(Atletas!Q483="Baguazhang F",517,IF(Atletas!Q483="Outro Estilo Interno F",518, "")))))))))))))))))))</f>
        <v/>
      </c>
      <c r="BZ492" s="50" t="str">
        <f>IF(Atletas!R483="","",IF(Atletas!X483&lt;&gt;"",10000,0)+IF(Atletas!B483="Feminino",1000,IF(Atletas!B483="Masculino",2000,""))+IF(Atletas!R483="Dao A",601,IF(Atletas!R483="Jian A",602,IF(Atletas!R483="Bishou A",603,IF(Atletas!R483="Shanzi A",604,IF(Atletas!R483="Outra Arma Curta A",605,IF(Atletas!R483="Dao B",606,IF(Atletas!R483="Jian B",607,IF(Atletas!R483="Bishou B",608,IF(Atletas!R483="Shanzi B",609,IF(Atletas!R483="Outra Arma Curta B",610,IF(Atletas!R483="Dao C",611,IF(Atletas!R483="Jian C",612,IF(Atletas!R483="Bishou C",613,IF(Atletas!R483="Shanzi C",614,IF(Atletas!R483="Outra Arma Curta C",615,IF(Atletas!R483="Dao D",616,IF(Atletas!R483="Jian D",617,IF(Atletas!R483="Bishou D",618,IF(Atletas!R483="Shanzi D",619,IF(Atletas!R483="Outra Arma Curta D",620,IF(Atletas!R483="Dao E",621,IF(Atletas!R483="Jian E",622,IF(Atletas!R483="Bishou E",623,IF(Atletas!R483="Shanzi E",624,IF(Atletas!R483="Outra Arma Curta E",625,IF(Atletas!R483="Dao F",626,IF(Atletas!R483="Jian F",627,IF(Atletas!R483="Bishou F",628,IF(Atletas!R483="Shanzi F",629,IF(Atletas!R483="Outra Arma Curta F",630, "")))))))))))))))))))))))))))))))</f>
        <v/>
      </c>
      <c r="CA492" s="50" t="str">
        <f>IF(Atletas!S483="","",IF(Atletas!X483&lt;&gt;"",10000,0)+IF(Atletas!B483="Feminino",1000,IF(Atletas!B483="Masculino",2000,""))+IF(Atletas!S483="Gun A",701,IF(Atletas!S483="Qiang A",702,IF(Atletas!S483="Pudao / Guandao A",703,IF(Atletas!S483="Outra Arma Longa A",704,IF(Atletas!S483="Gun B",705,IF(Atletas!S483="Qiang B",706,IF(Atletas!S483="Pudao / Guandao B",707,IF(Atletas!S483="Outra Arma Longa B",708,IF(Atletas!S483="Gun C",709,IF(Atletas!S483="Qiang C",710,IF(Atletas!S483="Pudao / Guandao C",711,IF(Atletas!S483="Outra Arma Longa C",712,IF(Atletas!S483="Gun D",713,IF(Atletas!S483="Qiang D",714,IF(Atletas!S483="Pudao / Guandao D",715,IF(Atletas!S483="Outra Arma Longa D",716,IF(Atletas!S483="Gun E",717,IF(Atletas!S483="Qiang E",718,IF(Atletas!S483="Pudao / Guandao E",719,IF(Atletas!S483="Outra Arma Longa E",720,IF(Atletas!S483="Gun F",721,IF(Atletas!S483="Qiang F",722,IF(Atletas!S483="Pudao / Guandao F",723,IF(Atletas!S483="Outra Arma Longa F",724,"")))))))))))))))))))))))))</f>
        <v/>
      </c>
      <c r="CB492" s="50" t="str">
        <f>IF(Atletas!T483="","",IF(Atletas!X483&lt;&gt;"",10000,0)+IF(Atletas!B483="Feminino",1000,IF(Atletas!B483="Masculino",2000,""))+IF(Atletas!T483="Outra Arma Dupla A",801,IF(Atletas!T483="Arma Maleável A",802,IF(Atletas!T483="Outra Arma Dupla B",803,IF(Atletas!T483="Arma Maleável B",804,IF(Atletas!T483="Outra Arma Dupla C",805,IF(Atletas!T483="Arma Maleável C",806,IF(Atletas!T483="Outra Arma Dupla D",807,IF(Atletas!T483="Arma Maleável D",808,IF(Atletas!T483="Outra Arma Dupla E",809,IF(Atletas!T483="Arma Maleável E",810,IF(Atletas!T483="Outra Arma Dupla F",811,IF(Atletas!T483="Arma Maleável F",812,IF(Atletas!T483="Shuangdao A",813,IF(Atletas!T483="Shuangdao B",814,IF(Atletas!T483="Shuangdao C",815,IF(Atletas!T483="Shuangdao D",816,IF(Atletas!T483="Shuangdao E",817,IF(Atletas!T483="Shuangdao F",818,"")))))))))))))))))))</f>
        <v/>
      </c>
      <c r="CC492" s="50" t="str">
        <f>IF(Atletas!U483="","",IF(Atletas!X483&lt;&gt;"",10000,0)+IF(Atletas!B483="Feminino",1000,IF(Atletas!B483="Masculino",2000,""))+IF(OR(Atletas!U483="Taijijian Yang A",Atletas!U483="Taijijian Yang Standard A"),901,IF(OR(Atletas!U483="Taijijian Chen A", Atletas!U483="Taijijian Chen Standard A"),902,IF(Atletas!U483="Taijijian Sun A",903,IF(Atletas!U483="Taijijian Wu A",904,IF(Atletas!U483="Taijijian Wu-Hao A",905,IF(OR(Atletas!U483="Taijijian 32 A",Atletas!U483="Taijijian 42 A"),906,IF(OR(Atletas!U483="Taijijian Yang B",Atletas!U483="Taijijian Yang Standard B"),907,IF(OR(Atletas!U483="Taijijian Chen B", Atletas!U483="Taijijian Chen Standard B"),908,IF(Atletas!U483="Taijijian Sun B",909,IF(Atletas!U483="Taijijian Wu B",910,IF(Atletas!U483="Taijijian Wu-Hao B",911,IF(OR(Atletas!U483="Taijijian 32 B",Atletas!U483="Taijijian 42 B"),912,IF(OR(Atletas!U483="Taijijian Yang C",Atletas!U483="Taijijian Yang Standard C"),913,IF(OR(Atletas!U483="Taijijian Chen C", Atletas!U483="Taijijian Chen Standard C"),914,IF(Atletas!U483="Taijijian Sun C",915,IF(Atletas!U483="Taijijian Wu C",916,IF(Atletas!U483="Taijijian Wu-Hao C",917,IF(OR(Atletas!U483="Taijijian 32 C",Atletas!U483="Taijijian 42 C"),918,IF(OR(Atletas!U483="Taijijian Yang D",Atletas!U483="Taijijian Yang Standard D"),919,IF(OR(Atletas!U483="Taijijian Chen D", Atletas!U483="Taijijian Chen Standard D"),920,IF(Atletas!U483="Taijijian Sun D",921,IF(Atletas!U483="Taijijian Wu D",922,IF(Atletas!U483="Taijijian Wu-Hao D",923,IF(OR(Atletas!U483="Taijijian 32 D",Atletas!U483="Taijijian 42 D"),924,IF(OR(Atletas!U483="Taijijian Yang E",Atletas!U483="Taijijian Yang Standard E"),925,IF(OR(Atletas!U483="Taijijian Chen E", Atletas!U483="Taijijian Chen Standard E"),926,IF(Atletas!U483="Taijijian Sun E",927,IF(Atletas!U483="Taijijian Wu E",928,IF(Atletas!U483="Taijijian Wu-Hao E",929,IF(OR(Atletas!U483="Taijijian 32 E",Atletas!U483="Taijijian 42 E"),930,IF(OR(Atletas!U483="Taijijian Yang F",Atletas!U483="Taijijian Yang Standard F"),931,IF(OR(Atletas!U483="Taijijian Chen F", Atletas!U483="Taijijian Chen Standard F"),932,IF(Atletas!U483="Taijijian Sun F",933,IF(Atletas!U483="Taijijian Wu F",934,IF(Atletas!U483="Taijijian Wu-Hao F",935,IF(OR(Atletas!U483="Taijijian 32 F",Atletas!U483="Taijijian 42 F"),936,"")))))))))))))))))))))))))))))))))))))</f>
        <v/>
      </c>
      <c r="CD492" s="50" t="str">
        <f>IF(Atletas!V483="","",IF(Atletas!X483&lt;&gt;"",10000,0)+IF(Atletas!B483="Feminino",1000,IF(Atletas!B483="Masculino",2000,""))+IF(Atletas!V483="Taijidao A",937,IF(Atletas!V483="TaijiShanzi A",938,IF(Atletas!V483="Taijiqiang A",939,IF(Atletas!V483="Bagua de Arma A",940,IF(Atletas!V483="Xingyi de Arma A",941,IF(Atletas!V483="Taijidao B",942,IF(Atletas!V483="TaijiShanzi B",943,IF(Atletas!V483="Taijiqiang B",944,IF(Atletas!V483="Bagua de Arma B",945,IF(Atletas!V483="Xingyi de Arma B",946,IF(Atletas!V483="Taijidao C",947,IF(Atletas!V483="TaijiShanzi C",948,IF(Atletas!V483="Taijiqiang C",949,IF(Atletas!V483="Bagua de Arma C",950,IF(Atletas!V483="Xingyi de Arma C",951,IF(Atletas!V483="Taijidao D",952,IF(Atletas!V483="TaijiShanzi D",953,IF(Atletas!V483="Taijiqiang D",954,IF(Atletas!V483="Bagua de Arma D",955,IF(Atletas!V483="Xingyi de Arma D",956,IF(Atletas!V483="Taijidao E",957,IF(Atletas!V483="TaijiShanzi E",958,IF(Atletas!V483="Taijiqiang E",959,IF(Atletas!V483="Bagua de Arma E",960,IF(Atletas!V483="Xingyi de Arma E",961,IF(Atletas!V483="Taijidao F",962,IF(Atletas!V483="TaijiShanzi F",963,IF(Atletas!V483="Taijiqiang F",964,IF(Atletas!V483="Bagua de Arma F",965,IF(Atletas!V483="Xingyi de Arma F",966,"")))))))))))))))))))))))))))))))</f>
        <v/>
      </c>
      <c r="CM492" s="50" t="str">
        <f xml:space="preserve"> IF(Atletas!W483="","",IF(Atletas!W483="Duilian de Mãos BC - Equipe 1",1,IF(Atletas!W483="Duilian de Mãos BC - Equipe 2",2,IF(Atletas!W483="Duilian de Armas BC - Equipe 1",3,IF(Atletas!W483="Duilian de Armas BC - Equipe 2",4,IF(Atletas!W483="Duilian de Mãos DE - Equipe 1",5,IF(Atletas!W483="Duilian de Mãos DE - Equipe 2",6,IF(Atletas!W483="Duilian de Armas DE - Equipe 1",7,IF(Atletas!W483="Duilian de Armas DE - Equipe 2",8,IF(Atletas!W483="Duilian de Tuishou - Equipe 1",9,IF(Atletas!W483="Duilian de Tuishou - Equipe 2",10,IF(Atletas!W483="Grupo Externo ABC - Equipe 1",11,IF(Atletas!W483="Grupo Externo ABC - Equipe 2",12,IF(Atletas!W483="Grupo Interno ABC - Equipe 1",13,IF(Atletas!W483="Grupo Interno ABC - Equipe 2",14,IF(Atletas!W483="Grupo Externo DEF - Equipe 1",15,IF(Atletas!W483="Grupo Externo DEF - Equipe 2",16,IF(Atletas!W483="Grupo Interno DEF - Equipe 1",17,IF(Atletas!W483="Grupo Interno DEF - Equipe 2",18,"")))))))))))))))))))</f>
        <v/>
      </c>
    </row>
    <row r="493" spans="40:91">
      <c r="AN493" s="52" t="str">
        <f>IF(Atletas!D484="","",IF(Atletas!B484="Feminino",100,IF(Atletas!B484="Masculino",200,""))+(IF(Atletas!D484="Kids 30kg",1,IF(Atletas!D484="Kids 32kg",2, IF(Atletas!D484="Kids 34kg",3,IF(Atletas!D484="Kids 36kg",4,IF(Atletas!D484="Kids 39kg",5,IF(Atletas!D484="Kids 42kg",6,IF(Atletas!D484="Kids 45kg",7, IF(Atletas!D484="Infantil 39kg",8,IF(Atletas!D484="Infantil 42kg",9,IF(Atletas!D484="Infantil 45kg",10,IF(Atletas!D484="Infantil 48kg",11,IF(Atletas!D484="Infantil 52kg",12,IF(Atletas!D484="Infantil 56kg",13,IF(Atletas!D484="Infantil 60kg",14,IF(Atletas!D484="Juvenil 48kg",15,IF(Atletas!D484="Juvenil 52kg",16,IF(Atletas!D484="Juvenil 56kg",17,IF(Atletas!D484="Juvenil 60kg",18,IF(Atletas!D484="Juvenil 65kg",19,IF(Atletas!D484="Juvenil 70kg",20,IF(Atletas!D484="Juvenil 75kg",21,IF(Atletas!D484="Juvenil 80kg",22, IF(Atletas!D484="Juvenil 85kg",23,IF(Atletas!D484="Adulto 48kg",24,IF(Atletas!D484="Adulto 52kg",25,IF(Atletas!D484="Adulto 56kg",26,IF(Atletas!D484="Adulto 60kg",27,IF(Atletas!D484="Adulto 65kg",28,IF(Atletas!D484="Adulto 70kg",29,IF(Atletas!D484="Adulto 75kg",30,IF(Atletas!D484="Adulto 80kg",31,IF(Atletas!D484="Adulto 85kg",32,IF(Atletas!D484="Adulto 90kg",33,IF(Atletas!D484="Adulto 100kg",34, IF(Atletas!D484="Adulto +100kg",35,"")))))))))))))))))))))))))))))))))))))</f>
        <v/>
      </c>
      <c r="AS493" s="6" t="str">
        <f>IF(Atletas!E484="","",IF(Atletas!B484="Feminino",100,IF(Atletas!B484="Masculino",200,""))+(IF(Atletas!E484="Juvenil 44kg",1,IF(Atletas!E484="Juvenil 48kg",2,IF(Atletas!E484="Juvenil 52kg",3,IF(Atletas!E484="Juvenil 56kg",4,IF(Atletas!E484="Juvenil 60kg",5,IF(Atletas!E484="Juvenil 65kg",6,IF(Atletas!E484="Juvenil 70kg",7,IF(Atletas!E484="Juvenil 75kg",8,IF(Atletas!E484="Juvenil 82kg",9,IF(Atletas!E484="Juvenil 90kg",10,IF(Atletas!E484="Juvenil 100kg",11,IF(Atletas!E484="Adulto 48kg",12,IF(Atletas!E484="Adulto 52kg",13,IF(Atletas!E484="Adulto 56kg",14,IF(Atletas!E484="Adulto 60kg",15,IF(Atletas!E484="Adulto 65kg",16,IF(Atletas!E484="Adulto 70kg",17,IF(Atletas!E484="Adulto 75kg",18,IF(Atletas!E484="Adulto 82kg",19,IF(Atletas!E484="Adulto 90kg",20,IF(Atletas!E484="Adulto 100kg",21,IF(Atletas!E484="Adulto +100kg",22,""))))))))))))))))))))))))</f>
        <v/>
      </c>
      <c r="AX493" s="6" t="str">
        <f>IF(Atletas!F484="","",IF(Atletas!B484="Feminino",100,IF(Atletas!B484="Masculino",200,""))+(IF(Atletas!F484="Adulto 48kg",1,IF(Atletas!F484="Adulto 56kg",2,IF(Atletas!F484="Adulto 65kg",3,IF(Atletas!F484="Adulto 75kg",4,IF(Atletas!F484="Adulto +75kg",5,IF(Atletas!F484="Adulto 52kg",6,IF(Atletas!F484="Adulto 60kg",7,IF(Atletas!F484="Adulto 70kg",8,IF(Atletas!F484="Adulto 80kg",9,IF(Atletas!F484="Adulto 90kg",10,IF(Atletas!F484="Adulto +90kg",11,"")))))))))))))</f>
        <v/>
      </c>
      <c r="BC493" s="6" t="str">
        <f>IF(Atletas!G484="","",IF(Atletas!B484="Feminino",10,IF(Atletas!B484="Masculino",20,""))+(IF(Atletas!G484="Baduanjin A",1,IF(Atletas!G484="Baduanjin B",2))))</f>
        <v/>
      </c>
      <c r="BF493" s="52" t="str">
        <f>IF(Atletas!H484="","",IF(Atletas!B484="Feminino",100,IF(Atletas!B484="Masculino",200,""))+(IF(Atletas!H484="Changquan Mirim",1,IF(Atletas!H484="Nanquan Mirim",2,IF(Atletas!H484="Taijiquan Mirim",3,IF(Atletas!H484="Changquan Grupo C",4,IF(Atletas!H484="Nanquan Grupo C",5,IF(Atletas!H484="Taijiquan Grupo C",6,IF(Atletas!H484="Changquan Grupo B",7,IF(Atletas!H484="Nanquan Grupo B",8,IF(Atletas!H484="Taijiquan Grupo B",9,IF(Atletas!H484="Changquan Grupo A",10,IF(Atletas!H484="Nanquan Grupo A",11,IF(Atletas!H484="Taijiquan Grupo A",12,IF(Atletas!H484="Changquan Opcional",13,IF(Atletas!H484="Nanquan Opcional",14,IF(Atletas!H484="Taijiquan Opcional",15,IF(Atletas!H484="Changquan Adulto",16,IF(Atletas!H484="Nanquan Adulto",17,IF(Atletas!H484="Taijiquan Adulto",18,""))))))))))))))))))))</f>
        <v/>
      </c>
      <c r="BG493" s="52" t="str">
        <f>IF(Atletas!I484="","",IF(Atletas!B484="Feminino",100,IF(Atletas!B484="Masculino",200,""))+(IF(Atletas!I484="Daoshu Mirim",19,IF(Atletas!I484="Jianshu Mirim",20,IF(Atletas!I484="Nandao Mirim",21,IF(Atletas!I484="Taijijian Mirim",22,IF(Atletas!I484="Daoshu Grupo C",23,IF(Atletas!I484="Jianshu Grupo C",24,IF(Atletas!I484="Nandao Grupo C",25,IF(Atletas!I484="Taijijian Grupo C",26,IF(Atletas!I484="Daoshu Grupo B",27,IF(Atletas!I484="Jianshu Grupo B",28,IF(Atletas!I484="Nandao Grupo B",29,IF(Atletas!I484="Taijijian Grupo B",30,IF(Atletas!I484="Daoshu Grupo A",31,IF(Atletas!I484="Jianshu Grupo A",32,IF(Atletas!I484="Nandao Grupo A",33,IF(Atletas!I484="Taijijian Grupo A",34,IF(Atletas!I484="Daoshu Opcional",35,IF(Atletas!I484="Jianshu Opcional",36,IF(Atletas!I484="Nandao Opcional",37,IF(Atletas!I484="Taijijian Opcional",38,IF(Atletas!I484="Daoshu Adulto",39,IF(Atletas!I484="Jianshu Adulto",40,IF(Atletas!I484="Nandao Adulto",41,IF(Atletas!I484="Taijijian Adulto",42,""))))))))))))))))))))))))))</f>
        <v/>
      </c>
      <c r="BH493" s="52" t="str">
        <f>IF(Atletas!J484="","",IF(Atletas!B484="Feminino",100,IF(Atletas!B484="Masculino",200,""))+(IF(Atletas!J484="Gunshu Mirim",43,IF(Atletas!J484="Qiangshu Mirim",44,IF(Atletas!J484="Nangun Mirim",45,IF(Atletas!J484="Gunshu Grupo C",46,IF(Atletas!J484="Qiangshu Grupo C",47,IF(Atletas!J484="Nangun Grupo C",48,IF(Atletas!J484="Gunshu Grupo B",49,IF(Atletas!J484="Qiangshu Grupo B",50,IF(Atletas!J484="Nangun Grupo B",51,IF(Atletas!J484="Gunshu Grupo A",52,IF(Atletas!J484="Qiangshu Grupo A",53,IF(Atletas!J484="Nangun Grupo A",54,IF(Atletas!J484="Gunshu Opcional",55,IF(Atletas!J484="Qiangshu Opcional",56,IF(Atletas!J484="Nangun Opcional",57,IF(Atletas!J484="Gunshu Adulto",58,IF(Atletas!J484="Qiangshu Adulto",59,IF(Atletas!J484="Nangun Adulto",60,IF(Atletas!J484="Taijishan Grupo B",61,IF(Atletas!J484="Taijishan Grupo A",62,""))))))))))))))))))))))</f>
        <v/>
      </c>
      <c r="BM493" s="50" t="str">
        <f>IF(Atletas!K484="","",IF(Atletas!B484="Feminino",100,IF(Atletas!B484="Masculino",200,""))+(IF(Atletas!K484="Equipe 1 Grupo B",1,IF(Atletas!K484="Equipe 2 Grupo B",2,IF(Atletas!K484="Equipe 1 Grupo A",3,IF(Atletas!K484="Equipe 2 Grupo A",4,IF(Atletas!K484="Equipe 1 Adulto",5,IF(Atletas!K484="Equipe 2 Adulto",6,""))))))))</f>
        <v/>
      </c>
      <c r="BR493" s="50" t="str">
        <f>IF(Atletas!L484="","",IF(Atletas!X484&lt;&gt;"",10000,0)+(IF(Atletas!B484="Feminino",1000,IF(Atletas!B484="Masculino",2000,""))+IF(Atletas!L484="Choylayfut A",1,IF(Atletas!L484="Hunggar A",2,IF(Atletas!L484="Wuzuquan A",3,IF(Atletas!L484="Wingchun A",4,IF(Atletas!L484="Outra Mão de Sul A",5,IF(Atletas!L484="Choylayfut B",6,IF(Atletas!L484="Hunggar B",7,IF(Atletas!L484="Wuzuquan B",8,IF(Atletas!L484="Wingchun B",9,IF(Atletas!L484="Outra Mão de Sul B",10,IF(Atletas!L484="Choylayfut C",11,IF(Atletas!L484="Hunggar C",12,IF(Atletas!L484="Wuzuquan C",13,IF(Atletas!L484="Wingchun C",14,IF(Atletas!L484="Outra Mão de Sul C",15,IF(Atletas!L484="Choylayfut D",16,IF(Atletas!L484="Hunggar D",17,IF(Atletas!L484="Wuzuquan D",18,IF(Atletas!L484="Wingchun D",19,IF(Atletas!L484="Outra Mão de Sul D",20,IF(Atletas!L484="Choylayfut E",21,IF(Atletas!L484="Hunggar E",22,IF(Atletas!L484="Wuzuquan E",23,IF(Atletas!L484="Wingchun E",24,IF(Atletas!L484="Outra Mão de Sul E",25,IF(Atletas!L484="Choylayfut F",26,IF(Atletas!L484="Hunggar F",27,IF(Atletas!L484="Wuzuquan F",28,IF(Atletas!L484="Wingchun F",29,IF(Atletas!L484="Outra Mão de Sul F",30,IF(Atletas!L484="Dishuquan A",31,IF(Atletas!L484="Dishuquan B",32,IF(Atletas!L484="Dishuquan C",33,IF(Atletas!L484="Dishuquan D",34,IF(Atletas!L484="Dishuquan E",35,IF(Atletas!L484="Dishuquan F",36,""))))))))))))))))))))))))))))))))))))))</f>
        <v/>
      </c>
      <c r="BS493" s="50" t="str">
        <f>IF(Atletas!M484="","",IF(Atletas!X484&lt;&gt;"",10000,0)+(IF(Atletas!B484="Feminino",1000,IF(Atletas!B484="Masculino",2000,""))+(IF(Atletas!M484="Chaquan A",101,IF(Atletas!M484="Emeiquan A",102,IF(Atletas!M484="Fanziquan A",103,IF(Atletas!M484="Huaquan A",104,IF(Atletas!M484="Hongquan A",105,IF(Atletas!M484="Paoquan A",106,IF(Atletas!M484="Piguaquan A",107,IF(Atletas!M484="Shaolinquan A",108,IF(Atletas!M484="Tanglangquan A",109,IF(Atletas!M484="Yingzhaoquan A",110,IF(Atletas!M484="Tongbeiquan A",111,IF(Atletas!M484="Wudangquan A",112,IF(Atletas!M484="Outros Estilos A",113,IF(Atletas!M484="Chaquan B",114,IF(Atletas!M484="Emeiquan B",115,IF(Atletas!M484="Fanziquan B",116,IF(Atletas!M484="Huaquan B",117,IF(Atletas!M484="Hongquan B",118,IF(Atletas!M484="Paoquan B",119,IF(Atletas!M484="Piguaquan B",120,IF(Atletas!M484="Shaolinquan B",121,IF(Atletas!M484="Tanglangquan B",122,IF(Atletas!M484="Yingzhaoquan B",123,IF(Atletas!M484="Tongbeiquan B",124,IF(Atletas!M484="Wudangquan B",125,IF(Atletas!M484="Outros Estilos B",126,IF(Atletas!M484="Chaquan C",127,IF(Atletas!M484="Emeiquan C",128,IF(Atletas!M484="Fanziquan C",129,IF(Atletas!M484="Huaquan C",130,IF(Atletas!M484="Hongquan C",131,IF(Atletas!M484="Paoquan C",132,IF(Atletas!M484="Piguaquan C",133,IF(Atletas!M484="Shaolinquan C",134,IF(Atletas!M484="Tanglangquan C",135,IF(Atletas!M484="Yingzhaoquan C",136,IF(Atletas!M484="Tongbeiquan C",137,IF(Atletas!M484="Wudangquan C",138,IF(Atletas!M484="Outros Estilos C",139,0))))))))))))))))))))))))))))))))))))))))))</f>
        <v/>
      </c>
      <c r="BT493" s="50" t="str">
        <f>IF(Atletas!M484="","",IF(Atletas!X484&lt;&gt;"",10000,0)+(IF(Atletas!B484="Feminino",1000,IF(Atletas!B484="Masculino",2000,""))+(IF(Atletas!M484="Chaquan D",140,IF(Atletas!M484="Emeiquan D",141,IF(Atletas!M484="Fanziquan D",142,IF(Atletas!M484="Huaquan D",143,IF(Atletas!M484="Hongquan D",144,IF(Atletas!M484="Paoquan D",145,IF(Atletas!M484="Piguaquan D",146,IF(Atletas!M484="Shaolinquan D",147,IF(Atletas!M484="Tanglangquan D",148,IF(Atletas!M484="Yingzhaoquan D",149,IF(Atletas!M484="Tongbeiquan D",150,IF(Atletas!M484="Wudangquan D",151,IF(Atletas!M484="Outros Estilos D",152,IF(Atletas!M484="Chaquan E",153,IF(Atletas!M484="Emeiquan E",154,IF(Atletas!M484="Fanziquan E",155,IF(Atletas!M484="Huaquan E",156,IF(Atletas!M484="Hongquan E",157,IF(Atletas!M484="Paoquan E",158,IF(Atletas!M484="Piguaquan E",159,IF(Atletas!M484="Shaolinquan E",160,IF(Atletas!M484="Tanglangquan E",161,IF(Atletas!M484="Yingzhaoquan E",162,IF(Atletas!M484="Tongbeiquan E",163,IF(Atletas!M484="Wudangquan E",164,IF(Atletas!M484="Outros Estilos E",165,IF(Atletas!M484="Chaquan F",166,IF(Atletas!M484="Emeiquan F",167,IF(Atletas!M484="Fanziquan F",168,IF(Atletas!M484="Huaquan F",169,IF(Atletas!M484="Hongquan F",170,IF(Atletas!M484="Paoquan F",171,IF(Atletas!M484="Piguaquan F",172,IF(Atletas!M484="Shaolinquan F",173,IF(Atletas!M484="Tanglangquan F",174,IF(Atletas!M484="Yingzhaoquan F",175,IF(Atletas!M484="Tongbeiquan F",176,IF(Atletas!M484="Wudangquan F",177,IF(Atletas!M484="Outros Estilos F",178,0))))))))))))))))))))))))))))))))))))))))))</f>
        <v/>
      </c>
      <c r="BU493" s="50" t="str">
        <f>IF(Atletas!N484="","",IF(Atletas!X484&lt;&gt;"",10000,0)+(IF(Atletas!B484="Feminino",1000,IF(Atletas!B484="Masculino",2000,""))+(IF(Atletas!N484="Ditangquan A",201,IF(Atletas!N484="Houquan A",202,IF(Atletas!N484="Zuiquan A",203,IF(Atletas!N484="Ditangquan B",204,IF(Atletas!N484="Houquan B",205,IF(Atletas!N484="Zuiquan B",206,IF(Atletas!N484="Ditangquan C",207,IF(Atletas!N484="Houquan C",208,IF(Atletas!N484="Zuiquan C",209,IF(Atletas!N484="Ditangquan D",210,IF(Atletas!N484="Houquan D",211,IF(Atletas!N484="Zuiquan D",212,IF(Atletas!N484="Ditangquan E",213,IF(Atletas!N484="Houquan E",214,IF(Atletas!N484="Zuiquan E",215,IF(Atletas!N484="Ditangquan F",216,IF(Atletas!N484="Houquan F",217,IF(Atletas!N484="Zuiquan F",218,"")))))))))))))))))))))</f>
        <v/>
      </c>
      <c r="BV493" s="50" t="str">
        <f>IF(Atletas!O484="","",IF(Atletas!X484&lt;&gt;"",10000,0)+IF(Atletas!B484="Feminino",1000,IF(Atletas!B484="Masculino",2000,""))+IF(Atletas!O484="Yang A",301,IF(Atletas!O484="Chen A",302,IF(Atletas!O484="Sun A",303,IF(Atletas!O484="Wu A",304,IF(Atletas!O484="Wu-Hao A",305,IF(Atletas!O484="Outro Taijiquan A",306,IF(Atletas!O484="Yang B",307,IF(Atletas!O484="Chen B",308,IF(Atletas!O484="Sun B",309,IF(Atletas!O484="Wu B",310,IF(Atletas!O484="Wu-Hao B",311,IF(Atletas!O484="Outro Taijiquan B",312,IF(Atletas!O484="Yang C",313,IF(Atletas!O484="Chen C",314,IF(Atletas!O484="Sun C",315,IF(Atletas!O484="Wu C",316,IF(Atletas!O484="Wu-Hao C",317,IF(Atletas!O484="Outro Taijiquan C",318,IF(Atletas!O484="Yang D",319,IF(Atletas!O484="Chen D",320,IF(Atletas!O484="Sun D",321,IF(Atletas!O484="Wu D",322,IF(Atletas!O484="Wu-Hao D",323,IF(Atletas!O484="Outro Taijiquan D",324,IF(Atletas!O484="Yang E",325,IF(Atletas!O484="Chen E",326,IF(Atletas!O484="Sun E",327,IF(Atletas!O484="Wu E",328,IF(Atletas!O484="Wu-Hao E",329,IF(Atletas!O484="Outro Taijiquan E",330,IF(Atletas!O484="Yang F",331,IF(Atletas!O484="Chen F",332,IF(Atletas!O484="Sun F",333,IF(Atletas!O484="Wu F",334,IF(Atletas!O484="Wu-Hao F",335,IF(Atletas!O484="Outro Taijiquan F",336,"")))))))))))))))))))))))))))))))))))))</f>
        <v/>
      </c>
      <c r="BW493" s="50" t="str">
        <f>IF(Atletas!P484="","",IF(Atletas!X484&lt;&gt;"",10000,0)+IF(Atletas!B484="Feminino",1000,IF(Atletas!B484="Masculino",2000,""))+IF(OR(Atletas!P484="Yang 26 A",Atletas!P484="Yang 40 A"),401,IF(OR(Atletas!P484="Chen 25 A",Atletas!P484="Chen 36 A",Atletas!P484="Chen 56 A"),402,IF(Atletas!P484="Sun 73 A",403,IF(Atletas!P484="Wu 45 A",404,IF(Atletas!P484="Wu-Hao 46 A",405,IF(OR(Atletas!P484="Taijiquan 16 A",Atletas!P484="Taijiquan 24 A",Atletas!P484="Taijiquan 32 A",Atletas!P484="Taijiquan 42 A"),406,IF(OR(Atletas!P484="Yang 26 B",Atletas!P484="Yang 40 B"),407,IF(OR(Atletas!P484="Chen 25 B",Atletas!P484="Chen 36 B",Atletas!P484="Chen 56 B"),408,IF(Atletas!P484="Sun 73 B",409,IF(Atletas!P484="Wu 45 B",410,IF(Atletas!P484="Wu-Hao 46 B",411,IF(OR(Atletas!P484="Taijiquan 16 B",Atletas!P484="Taijiquan 24 B",Atletas!P484="Taijiquan 32 B",Atletas!P484="Taijiquan 42 B"),412,IF(OR(Atletas!P484="Yang 26 C",Atletas!P484="Yang 40 C"),413,IF(OR(Atletas!P484="Chen 25 C",Atletas!P484="Chen 36 C",Atletas!P484="Chen 56 C"),414,IF(Atletas!P484="Sun 73 C",415,IF(Atletas!P484="Wu 45 C",416,IF(Atletas!P484="Wu-Hao 46 C",417,IF(OR(Atletas!P484="Taijiquan 16 C",Atletas!P484="Taijiquan 24 C",Atletas!P484="Taijiquan 32 C",Atletas!P484="Taijiquan 42 C"),418,0)))))))))))))))))))</f>
        <v/>
      </c>
      <c r="BX493" s="50" t="str">
        <f>IF(Atletas!P484="","",IF(Atletas!X484&lt;&gt;"",10000,0)+IF(Atletas!B484="Feminino",1000,IF(Atletas!B484="Masculino",2000,""))+IF(OR(Atletas!P484="Yang 26 D",Atletas!P484="Yang 40 D"),419,IF(OR(Atletas!P484="Chen 25 D",Atletas!P484="Chen 36 D",Atletas!P484="Chen 56 D"),420,IF(Atletas!P484="Sun 73 D",421,IF(Atletas!P484="Wu 45 D",422,IF(Atletas!P484="Wu-Hao 46 D",423,IF(OR(Atletas!P484="Taijiquan 16 D",Atletas!P484="Taijiquan 24 D",Atletas!P484="Taijiquan 32 D",Atletas!P484="Taijiquan 42 D"),424,IF(OR(Atletas!P484="Yang 26 E",Atletas!P484="Yang 40 E"),425,IF(OR(Atletas!P484="Chen 25 E",Atletas!P484="Chen 36 E",Atletas!P484="Chen 56 E"),426,IF(Atletas!P484="Sun 73 E",427,IF(Atletas!P484="Wu 45 E",428,IF(Atletas!P484="Wu-Hao 46 E",429,IF(OR(Atletas!P484="Taijiquan 16 E",Atletas!P484="Taijiquan 24 E",Atletas!P484="Taijiquan 32 E",Atletas!P484="Taijiquan 42 E"),430,IF(OR(Atletas!P484="Yang 26 F",Atletas!P484="Yang 40 F"),431,IF(OR(Atletas!P484="Chen 25 F",Atletas!P484="Chen 36 F",Atletas!P484="Chen 56 F"),432,IF(Atletas!P484="Sun 73 F",433,IF(Atletas!P484="Wu 45 F",434,IF(Atletas!P484="Wu-Hao 46 F",435,IF(OR(Atletas!P484="Taijiquan 16 F",Atletas!P484="Taijiquan 24 F",Atletas!P484="Taijiquan 32 F",Atletas!P484="Taijiquan 42 F"),436,0)))))))))))))))))))</f>
        <v/>
      </c>
      <c r="BY493" s="50" t="str">
        <f>IF(Atletas!Q484="","",IF(Atletas!X484&lt;&gt;"",10000,0)+IF(Atletas!B484="Feminino",1000,IF(Atletas!B484="Masculino",2000,""))+IF(Atletas!Q484="Xingyiquan A",501,IF(Atletas!Q484="Baguazhang A",502,IF(Atletas!Q484="Outro Estilo Interno A",503,IF(Atletas!Q484="Xingyiquan B",504,IF(Atletas!Q484="Baguazhang B",505,IF(Atletas!Q484="Outro Estilo Interno B",506,IF(Atletas!Q484="Xingyiquan C",507,IF(Atletas!Q484="Baguazhang C",508,IF(Atletas!Q484="Outro Estilo Interno C",509,IF(Atletas!Q484="Xingyiquan D",510,IF(Atletas!Q484="Baguazhang D",511,IF(Atletas!Q484="Outro Estilo Interno D",512,IF(Atletas!Q484="Xingyiquan E",513,IF(Atletas!Q484="Baguazhang E",514,IF(Atletas!Q484="Outro Estilo Interno E",515,IF(Atletas!Q484="Xingyiquan F",516,IF(Atletas!Q484="Baguazhang F",517,IF(Atletas!Q484="Outro Estilo Interno F",518, "")))))))))))))))))))</f>
        <v/>
      </c>
      <c r="BZ493" s="50" t="str">
        <f>IF(Atletas!R484="","",IF(Atletas!X484&lt;&gt;"",10000,0)+IF(Atletas!B484="Feminino",1000,IF(Atletas!B484="Masculino",2000,""))+IF(Atletas!R484="Dao A",601,IF(Atletas!R484="Jian A",602,IF(Atletas!R484="Bishou A",603,IF(Atletas!R484="Shanzi A",604,IF(Atletas!R484="Outra Arma Curta A",605,IF(Atletas!R484="Dao B",606,IF(Atletas!R484="Jian B",607,IF(Atletas!R484="Bishou B",608,IF(Atletas!R484="Shanzi B",609,IF(Atletas!R484="Outra Arma Curta B",610,IF(Atletas!R484="Dao C",611,IF(Atletas!R484="Jian C",612,IF(Atletas!R484="Bishou C",613,IF(Atletas!R484="Shanzi C",614,IF(Atletas!R484="Outra Arma Curta C",615,IF(Atletas!R484="Dao D",616,IF(Atletas!R484="Jian D",617,IF(Atletas!R484="Bishou D",618,IF(Atletas!R484="Shanzi D",619,IF(Atletas!R484="Outra Arma Curta D",620,IF(Atletas!R484="Dao E",621,IF(Atletas!R484="Jian E",622,IF(Atletas!R484="Bishou E",623,IF(Atletas!R484="Shanzi E",624,IF(Atletas!R484="Outra Arma Curta E",625,IF(Atletas!R484="Dao F",626,IF(Atletas!R484="Jian F",627,IF(Atletas!R484="Bishou F",628,IF(Atletas!R484="Shanzi F",629,IF(Atletas!R484="Outra Arma Curta F",630, "")))))))))))))))))))))))))))))))</f>
        <v/>
      </c>
      <c r="CA493" s="50" t="str">
        <f>IF(Atletas!S484="","",IF(Atletas!X484&lt;&gt;"",10000,0)+IF(Atletas!B484="Feminino",1000,IF(Atletas!B484="Masculino",2000,""))+IF(Atletas!S484="Gun A",701,IF(Atletas!S484="Qiang A",702,IF(Atletas!S484="Pudao / Guandao A",703,IF(Atletas!S484="Outra Arma Longa A",704,IF(Atletas!S484="Gun B",705,IF(Atletas!S484="Qiang B",706,IF(Atletas!S484="Pudao / Guandao B",707,IF(Atletas!S484="Outra Arma Longa B",708,IF(Atletas!S484="Gun C",709,IF(Atletas!S484="Qiang C",710,IF(Atletas!S484="Pudao / Guandao C",711,IF(Atletas!S484="Outra Arma Longa C",712,IF(Atletas!S484="Gun D",713,IF(Atletas!S484="Qiang D",714,IF(Atletas!S484="Pudao / Guandao D",715,IF(Atletas!S484="Outra Arma Longa D",716,IF(Atletas!S484="Gun E",717,IF(Atletas!S484="Qiang E",718,IF(Atletas!S484="Pudao / Guandao E",719,IF(Atletas!S484="Outra Arma Longa E",720,IF(Atletas!S484="Gun F",721,IF(Atletas!S484="Qiang F",722,IF(Atletas!S484="Pudao / Guandao F",723,IF(Atletas!S484="Outra Arma Longa F",724,"")))))))))))))))))))))))))</f>
        <v/>
      </c>
      <c r="CB493" s="50" t="str">
        <f>IF(Atletas!T484="","",IF(Atletas!X484&lt;&gt;"",10000,0)+IF(Atletas!B484="Feminino",1000,IF(Atletas!B484="Masculino",2000,""))+IF(Atletas!T484="Outra Arma Dupla A",801,IF(Atletas!T484="Arma Maleável A",802,IF(Atletas!T484="Outra Arma Dupla B",803,IF(Atletas!T484="Arma Maleável B",804,IF(Atletas!T484="Outra Arma Dupla C",805,IF(Atletas!T484="Arma Maleável C",806,IF(Atletas!T484="Outra Arma Dupla D",807,IF(Atletas!T484="Arma Maleável D",808,IF(Atletas!T484="Outra Arma Dupla E",809,IF(Atletas!T484="Arma Maleável E",810,IF(Atletas!T484="Outra Arma Dupla F",811,IF(Atletas!T484="Arma Maleável F",812,IF(Atletas!T484="Shuangdao A",813,IF(Atletas!T484="Shuangdao B",814,IF(Atletas!T484="Shuangdao C",815,IF(Atletas!T484="Shuangdao D",816,IF(Atletas!T484="Shuangdao E",817,IF(Atletas!T484="Shuangdao F",818,"")))))))))))))))))))</f>
        <v/>
      </c>
      <c r="CC493" s="50" t="str">
        <f>IF(Atletas!U484="","",IF(Atletas!X484&lt;&gt;"",10000,0)+IF(Atletas!B484="Feminino",1000,IF(Atletas!B484="Masculino",2000,""))+IF(OR(Atletas!U484="Taijijian Yang A",Atletas!U484="Taijijian Yang Standard A"),901,IF(OR(Atletas!U484="Taijijian Chen A", Atletas!U484="Taijijian Chen Standard A"),902,IF(Atletas!U484="Taijijian Sun A",903,IF(Atletas!U484="Taijijian Wu A",904,IF(Atletas!U484="Taijijian Wu-Hao A",905,IF(OR(Atletas!U484="Taijijian 32 A",Atletas!U484="Taijijian 42 A"),906,IF(OR(Atletas!U484="Taijijian Yang B",Atletas!U484="Taijijian Yang Standard B"),907,IF(OR(Atletas!U484="Taijijian Chen B", Atletas!U484="Taijijian Chen Standard B"),908,IF(Atletas!U484="Taijijian Sun B",909,IF(Atletas!U484="Taijijian Wu B",910,IF(Atletas!U484="Taijijian Wu-Hao B",911,IF(OR(Atletas!U484="Taijijian 32 B",Atletas!U484="Taijijian 42 B"),912,IF(OR(Atletas!U484="Taijijian Yang C",Atletas!U484="Taijijian Yang Standard C"),913,IF(OR(Atletas!U484="Taijijian Chen C", Atletas!U484="Taijijian Chen Standard C"),914,IF(Atletas!U484="Taijijian Sun C",915,IF(Atletas!U484="Taijijian Wu C",916,IF(Atletas!U484="Taijijian Wu-Hao C",917,IF(OR(Atletas!U484="Taijijian 32 C",Atletas!U484="Taijijian 42 C"),918,IF(OR(Atletas!U484="Taijijian Yang D",Atletas!U484="Taijijian Yang Standard D"),919,IF(OR(Atletas!U484="Taijijian Chen D", Atletas!U484="Taijijian Chen Standard D"),920,IF(Atletas!U484="Taijijian Sun D",921,IF(Atletas!U484="Taijijian Wu D",922,IF(Atletas!U484="Taijijian Wu-Hao D",923,IF(OR(Atletas!U484="Taijijian 32 D",Atletas!U484="Taijijian 42 D"),924,IF(OR(Atletas!U484="Taijijian Yang E",Atletas!U484="Taijijian Yang Standard E"),925,IF(OR(Atletas!U484="Taijijian Chen E", Atletas!U484="Taijijian Chen Standard E"),926,IF(Atletas!U484="Taijijian Sun E",927,IF(Atletas!U484="Taijijian Wu E",928,IF(Atletas!U484="Taijijian Wu-Hao E",929,IF(OR(Atletas!U484="Taijijian 32 E",Atletas!U484="Taijijian 42 E"),930,IF(OR(Atletas!U484="Taijijian Yang F",Atletas!U484="Taijijian Yang Standard F"),931,IF(OR(Atletas!U484="Taijijian Chen F", Atletas!U484="Taijijian Chen Standard F"),932,IF(Atletas!U484="Taijijian Sun F",933,IF(Atletas!U484="Taijijian Wu F",934,IF(Atletas!U484="Taijijian Wu-Hao F",935,IF(OR(Atletas!U484="Taijijian 32 F",Atletas!U484="Taijijian 42 F"),936,"")))))))))))))))))))))))))))))))))))))</f>
        <v/>
      </c>
      <c r="CD493" s="50" t="str">
        <f>IF(Atletas!V484="","",IF(Atletas!X484&lt;&gt;"",10000,0)+IF(Atletas!B484="Feminino",1000,IF(Atletas!B484="Masculino",2000,""))+IF(Atletas!V484="Taijidao A",937,IF(Atletas!V484="TaijiShanzi A",938,IF(Atletas!V484="Taijiqiang A",939,IF(Atletas!V484="Bagua de Arma A",940,IF(Atletas!V484="Xingyi de Arma A",941,IF(Atletas!V484="Taijidao B",942,IF(Atletas!V484="TaijiShanzi B",943,IF(Atletas!V484="Taijiqiang B",944,IF(Atletas!V484="Bagua de Arma B",945,IF(Atletas!V484="Xingyi de Arma B",946,IF(Atletas!V484="Taijidao C",947,IF(Atletas!V484="TaijiShanzi C",948,IF(Atletas!V484="Taijiqiang C",949,IF(Atletas!V484="Bagua de Arma C",950,IF(Atletas!V484="Xingyi de Arma C",951,IF(Atletas!V484="Taijidao D",952,IF(Atletas!V484="TaijiShanzi D",953,IF(Atletas!V484="Taijiqiang D",954,IF(Atletas!V484="Bagua de Arma D",955,IF(Atletas!V484="Xingyi de Arma D",956,IF(Atletas!V484="Taijidao E",957,IF(Atletas!V484="TaijiShanzi E",958,IF(Atletas!V484="Taijiqiang E",959,IF(Atletas!V484="Bagua de Arma E",960,IF(Atletas!V484="Xingyi de Arma E",961,IF(Atletas!V484="Taijidao F",962,IF(Atletas!V484="TaijiShanzi F",963,IF(Atletas!V484="Taijiqiang F",964,IF(Atletas!V484="Bagua de Arma F",965,IF(Atletas!V484="Xingyi de Arma F",966,"")))))))))))))))))))))))))))))))</f>
        <v/>
      </c>
      <c r="CM493" s="50" t="str">
        <f xml:space="preserve"> IF(Atletas!W484="","",IF(Atletas!W484="Duilian de Mãos BC - Equipe 1",1,IF(Atletas!W484="Duilian de Mãos BC - Equipe 2",2,IF(Atletas!W484="Duilian de Armas BC - Equipe 1",3,IF(Atletas!W484="Duilian de Armas BC - Equipe 2",4,IF(Atletas!W484="Duilian de Mãos DE - Equipe 1",5,IF(Atletas!W484="Duilian de Mãos DE - Equipe 2",6,IF(Atletas!W484="Duilian de Armas DE - Equipe 1",7,IF(Atletas!W484="Duilian de Armas DE - Equipe 2",8,IF(Atletas!W484="Duilian de Tuishou - Equipe 1",9,IF(Atletas!W484="Duilian de Tuishou - Equipe 2",10,IF(Atletas!W484="Grupo Externo ABC - Equipe 1",11,IF(Atletas!W484="Grupo Externo ABC - Equipe 2",12,IF(Atletas!W484="Grupo Interno ABC - Equipe 1",13,IF(Atletas!W484="Grupo Interno ABC - Equipe 2",14,IF(Atletas!W484="Grupo Externo DEF - Equipe 1",15,IF(Atletas!W484="Grupo Externo DEF - Equipe 2",16,IF(Atletas!W484="Grupo Interno DEF - Equipe 1",17,IF(Atletas!W484="Grupo Interno DEF - Equipe 2",18,"")))))))))))))))))))</f>
        <v/>
      </c>
    </row>
    <row r="494" spans="40:91">
      <c r="AN494" s="52" t="str">
        <f>IF(Atletas!D485="","",IF(Atletas!B485="Feminino",100,IF(Atletas!B485="Masculino",200,""))+(IF(Atletas!D485="Kids 30kg",1,IF(Atletas!D485="Kids 32kg",2, IF(Atletas!D485="Kids 34kg",3,IF(Atletas!D485="Kids 36kg",4,IF(Atletas!D485="Kids 39kg",5,IF(Atletas!D485="Kids 42kg",6,IF(Atletas!D485="Kids 45kg",7, IF(Atletas!D485="Infantil 39kg",8,IF(Atletas!D485="Infantil 42kg",9,IF(Atletas!D485="Infantil 45kg",10,IF(Atletas!D485="Infantil 48kg",11,IF(Atletas!D485="Infantil 52kg",12,IF(Atletas!D485="Infantil 56kg",13,IF(Atletas!D485="Infantil 60kg",14,IF(Atletas!D485="Juvenil 48kg",15,IF(Atletas!D485="Juvenil 52kg",16,IF(Atletas!D485="Juvenil 56kg",17,IF(Atletas!D485="Juvenil 60kg",18,IF(Atletas!D485="Juvenil 65kg",19,IF(Atletas!D485="Juvenil 70kg",20,IF(Atletas!D485="Juvenil 75kg",21,IF(Atletas!D485="Juvenil 80kg",22, IF(Atletas!D485="Juvenil 85kg",23,IF(Atletas!D485="Adulto 48kg",24,IF(Atletas!D485="Adulto 52kg",25,IF(Atletas!D485="Adulto 56kg",26,IF(Atletas!D485="Adulto 60kg",27,IF(Atletas!D485="Adulto 65kg",28,IF(Atletas!D485="Adulto 70kg",29,IF(Atletas!D485="Adulto 75kg",30,IF(Atletas!D485="Adulto 80kg",31,IF(Atletas!D485="Adulto 85kg",32,IF(Atletas!D485="Adulto 90kg",33,IF(Atletas!D485="Adulto 100kg",34, IF(Atletas!D485="Adulto +100kg",35,"")))))))))))))))))))))))))))))))))))))</f>
        <v/>
      </c>
      <c r="AS494" s="6" t="str">
        <f>IF(Atletas!E485="","",IF(Atletas!B485="Feminino",100,IF(Atletas!B485="Masculino",200,""))+(IF(Atletas!E485="Juvenil 44kg",1,IF(Atletas!E485="Juvenil 48kg",2,IF(Atletas!E485="Juvenil 52kg",3,IF(Atletas!E485="Juvenil 56kg",4,IF(Atletas!E485="Juvenil 60kg",5,IF(Atletas!E485="Juvenil 65kg",6,IF(Atletas!E485="Juvenil 70kg",7,IF(Atletas!E485="Juvenil 75kg",8,IF(Atletas!E485="Juvenil 82kg",9,IF(Atletas!E485="Juvenil 90kg",10,IF(Atletas!E485="Juvenil 100kg",11,IF(Atletas!E485="Adulto 48kg",12,IF(Atletas!E485="Adulto 52kg",13,IF(Atletas!E485="Adulto 56kg",14,IF(Atletas!E485="Adulto 60kg",15,IF(Atletas!E485="Adulto 65kg",16,IF(Atletas!E485="Adulto 70kg",17,IF(Atletas!E485="Adulto 75kg",18,IF(Atletas!E485="Adulto 82kg",19,IF(Atletas!E485="Adulto 90kg",20,IF(Atletas!E485="Adulto 100kg",21,IF(Atletas!E485="Adulto +100kg",22,""))))))))))))))))))))))))</f>
        <v/>
      </c>
      <c r="AX494" s="6" t="str">
        <f>IF(Atletas!F485="","",IF(Atletas!B485="Feminino",100,IF(Atletas!B485="Masculino",200,""))+(IF(Atletas!F485="Adulto 48kg",1,IF(Atletas!F485="Adulto 56kg",2,IF(Atletas!F485="Adulto 65kg",3,IF(Atletas!F485="Adulto 75kg",4,IF(Atletas!F485="Adulto +75kg",5,IF(Atletas!F485="Adulto 52kg",6,IF(Atletas!F485="Adulto 60kg",7,IF(Atletas!F485="Adulto 70kg",8,IF(Atletas!F485="Adulto 80kg",9,IF(Atletas!F485="Adulto 90kg",10,IF(Atletas!F485="Adulto +90kg",11,"")))))))))))))</f>
        <v/>
      </c>
      <c r="BC494" s="6" t="str">
        <f>IF(Atletas!G485="","",IF(Atletas!B485="Feminino",10,IF(Atletas!B485="Masculino",20,""))+(IF(Atletas!G485="Baduanjin A",1,IF(Atletas!G485="Baduanjin B",2))))</f>
        <v/>
      </c>
      <c r="BF494" s="52" t="str">
        <f>IF(Atletas!H485="","",IF(Atletas!B485="Feminino",100,IF(Atletas!B485="Masculino",200,""))+(IF(Atletas!H485="Changquan Mirim",1,IF(Atletas!H485="Nanquan Mirim",2,IF(Atletas!H485="Taijiquan Mirim",3,IF(Atletas!H485="Changquan Grupo C",4,IF(Atletas!H485="Nanquan Grupo C",5,IF(Atletas!H485="Taijiquan Grupo C",6,IF(Atletas!H485="Changquan Grupo B",7,IF(Atletas!H485="Nanquan Grupo B",8,IF(Atletas!H485="Taijiquan Grupo B",9,IF(Atletas!H485="Changquan Grupo A",10,IF(Atletas!H485="Nanquan Grupo A",11,IF(Atletas!H485="Taijiquan Grupo A",12,IF(Atletas!H485="Changquan Opcional",13,IF(Atletas!H485="Nanquan Opcional",14,IF(Atletas!H485="Taijiquan Opcional",15,IF(Atletas!H485="Changquan Adulto",16,IF(Atletas!H485="Nanquan Adulto",17,IF(Atletas!H485="Taijiquan Adulto",18,""))))))))))))))))))))</f>
        <v/>
      </c>
      <c r="BG494" s="52" t="str">
        <f>IF(Atletas!I485="","",IF(Atletas!B485="Feminino",100,IF(Atletas!B485="Masculino",200,""))+(IF(Atletas!I485="Daoshu Mirim",19,IF(Atletas!I485="Jianshu Mirim",20,IF(Atletas!I485="Nandao Mirim",21,IF(Atletas!I485="Taijijian Mirim",22,IF(Atletas!I485="Daoshu Grupo C",23,IF(Atletas!I485="Jianshu Grupo C",24,IF(Atletas!I485="Nandao Grupo C",25,IF(Atletas!I485="Taijijian Grupo C",26,IF(Atletas!I485="Daoshu Grupo B",27,IF(Atletas!I485="Jianshu Grupo B",28,IF(Atletas!I485="Nandao Grupo B",29,IF(Atletas!I485="Taijijian Grupo B",30,IF(Atletas!I485="Daoshu Grupo A",31,IF(Atletas!I485="Jianshu Grupo A",32,IF(Atletas!I485="Nandao Grupo A",33,IF(Atletas!I485="Taijijian Grupo A",34,IF(Atletas!I485="Daoshu Opcional",35,IF(Atletas!I485="Jianshu Opcional",36,IF(Atletas!I485="Nandao Opcional",37,IF(Atletas!I485="Taijijian Opcional",38,IF(Atletas!I485="Daoshu Adulto",39,IF(Atletas!I485="Jianshu Adulto",40,IF(Atletas!I485="Nandao Adulto",41,IF(Atletas!I485="Taijijian Adulto",42,""))))))))))))))))))))))))))</f>
        <v/>
      </c>
      <c r="BH494" s="52" t="str">
        <f>IF(Atletas!J485="","",IF(Atletas!B485="Feminino",100,IF(Atletas!B485="Masculino",200,""))+(IF(Atletas!J485="Gunshu Mirim",43,IF(Atletas!J485="Qiangshu Mirim",44,IF(Atletas!J485="Nangun Mirim",45,IF(Atletas!J485="Gunshu Grupo C",46,IF(Atletas!J485="Qiangshu Grupo C",47,IF(Atletas!J485="Nangun Grupo C",48,IF(Atletas!J485="Gunshu Grupo B",49,IF(Atletas!J485="Qiangshu Grupo B",50,IF(Atletas!J485="Nangun Grupo B",51,IF(Atletas!J485="Gunshu Grupo A",52,IF(Atletas!J485="Qiangshu Grupo A",53,IF(Atletas!J485="Nangun Grupo A",54,IF(Atletas!J485="Gunshu Opcional",55,IF(Atletas!J485="Qiangshu Opcional",56,IF(Atletas!J485="Nangun Opcional",57,IF(Atletas!J485="Gunshu Adulto",58,IF(Atletas!J485="Qiangshu Adulto",59,IF(Atletas!J485="Nangun Adulto",60,IF(Atletas!J485="Taijishan Grupo B",61,IF(Atletas!J485="Taijishan Grupo A",62,""))))))))))))))))))))))</f>
        <v/>
      </c>
      <c r="BM494" s="50" t="str">
        <f>IF(Atletas!K485="","",IF(Atletas!B485="Feminino",100,IF(Atletas!B485="Masculino",200,""))+(IF(Atletas!K485="Equipe 1 Grupo B",1,IF(Atletas!K485="Equipe 2 Grupo B",2,IF(Atletas!K485="Equipe 1 Grupo A",3,IF(Atletas!K485="Equipe 2 Grupo A",4,IF(Atletas!K485="Equipe 1 Adulto",5,IF(Atletas!K485="Equipe 2 Adulto",6,""))))))))</f>
        <v/>
      </c>
      <c r="BR494" s="50" t="str">
        <f>IF(Atletas!L485="","",IF(Atletas!X485&lt;&gt;"",10000,0)+(IF(Atletas!B485="Feminino",1000,IF(Atletas!B485="Masculino",2000,""))+IF(Atletas!L485="Choylayfut A",1,IF(Atletas!L485="Hunggar A",2,IF(Atletas!L485="Wuzuquan A",3,IF(Atletas!L485="Wingchun A",4,IF(Atletas!L485="Outra Mão de Sul A",5,IF(Atletas!L485="Choylayfut B",6,IF(Atletas!L485="Hunggar B",7,IF(Atletas!L485="Wuzuquan B",8,IF(Atletas!L485="Wingchun B",9,IF(Atletas!L485="Outra Mão de Sul B",10,IF(Atletas!L485="Choylayfut C",11,IF(Atletas!L485="Hunggar C",12,IF(Atletas!L485="Wuzuquan C",13,IF(Atletas!L485="Wingchun C",14,IF(Atletas!L485="Outra Mão de Sul C",15,IF(Atletas!L485="Choylayfut D",16,IF(Atletas!L485="Hunggar D",17,IF(Atletas!L485="Wuzuquan D",18,IF(Atletas!L485="Wingchun D",19,IF(Atletas!L485="Outra Mão de Sul D",20,IF(Atletas!L485="Choylayfut E",21,IF(Atletas!L485="Hunggar E",22,IF(Atletas!L485="Wuzuquan E",23,IF(Atletas!L485="Wingchun E",24,IF(Atletas!L485="Outra Mão de Sul E",25,IF(Atletas!L485="Choylayfut F",26,IF(Atletas!L485="Hunggar F",27,IF(Atletas!L485="Wuzuquan F",28,IF(Atletas!L485="Wingchun F",29,IF(Atletas!L485="Outra Mão de Sul F",30,IF(Atletas!L485="Dishuquan A",31,IF(Atletas!L485="Dishuquan B",32,IF(Atletas!L485="Dishuquan C",33,IF(Atletas!L485="Dishuquan D",34,IF(Atletas!L485="Dishuquan E",35,IF(Atletas!L485="Dishuquan F",36,""))))))))))))))))))))))))))))))))))))))</f>
        <v/>
      </c>
      <c r="BS494" s="50" t="str">
        <f>IF(Atletas!M485="","",IF(Atletas!X485&lt;&gt;"",10000,0)+(IF(Atletas!B485="Feminino",1000,IF(Atletas!B485="Masculino",2000,""))+(IF(Atletas!M485="Chaquan A",101,IF(Atletas!M485="Emeiquan A",102,IF(Atletas!M485="Fanziquan A",103,IF(Atletas!M485="Huaquan A",104,IF(Atletas!M485="Hongquan A",105,IF(Atletas!M485="Paoquan A",106,IF(Atletas!M485="Piguaquan A",107,IF(Atletas!M485="Shaolinquan A",108,IF(Atletas!M485="Tanglangquan A",109,IF(Atletas!M485="Yingzhaoquan A",110,IF(Atletas!M485="Tongbeiquan A",111,IF(Atletas!M485="Wudangquan A",112,IF(Atletas!M485="Outros Estilos A",113,IF(Atletas!M485="Chaquan B",114,IF(Atletas!M485="Emeiquan B",115,IF(Atletas!M485="Fanziquan B",116,IF(Atletas!M485="Huaquan B",117,IF(Atletas!M485="Hongquan B",118,IF(Atletas!M485="Paoquan B",119,IF(Atletas!M485="Piguaquan B",120,IF(Atletas!M485="Shaolinquan B",121,IF(Atletas!M485="Tanglangquan B",122,IF(Atletas!M485="Yingzhaoquan B",123,IF(Atletas!M485="Tongbeiquan B",124,IF(Atletas!M485="Wudangquan B",125,IF(Atletas!M485="Outros Estilos B",126,IF(Atletas!M485="Chaquan C",127,IF(Atletas!M485="Emeiquan C",128,IF(Atletas!M485="Fanziquan C",129,IF(Atletas!M485="Huaquan C",130,IF(Atletas!M485="Hongquan C",131,IF(Atletas!M485="Paoquan C",132,IF(Atletas!M485="Piguaquan C",133,IF(Atletas!M485="Shaolinquan C",134,IF(Atletas!M485="Tanglangquan C",135,IF(Atletas!M485="Yingzhaoquan C",136,IF(Atletas!M485="Tongbeiquan C",137,IF(Atletas!M485="Wudangquan C",138,IF(Atletas!M485="Outros Estilos C",139,0))))))))))))))))))))))))))))))))))))))))))</f>
        <v/>
      </c>
      <c r="BT494" s="50" t="str">
        <f>IF(Atletas!M485="","",IF(Atletas!X485&lt;&gt;"",10000,0)+(IF(Atletas!B485="Feminino",1000,IF(Atletas!B485="Masculino",2000,""))+(IF(Atletas!M485="Chaquan D",140,IF(Atletas!M485="Emeiquan D",141,IF(Atletas!M485="Fanziquan D",142,IF(Atletas!M485="Huaquan D",143,IF(Atletas!M485="Hongquan D",144,IF(Atletas!M485="Paoquan D",145,IF(Atletas!M485="Piguaquan D",146,IF(Atletas!M485="Shaolinquan D",147,IF(Atletas!M485="Tanglangquan D",148,IF(Atletas!M485="Yingzhaoquan D",149,IF(Atletas!M485="Tongbeiquan D",150,IF(Atletas!M485="Wudangquan D",151,IF(Atletas!M485="Outros Estilos D",152,IF(Atletas!M485="Chaquan E",153,IF(Atletas!M485="Emeiquan E",154,IF(Atletas!M485="Fanziquan E",155,IF(Atletas!M485="Huaquan E",156,IF(Atletas!M485="Hongquan E",157,IF(Atletas!M485="Paoquan E",158,IF(Atletas!M485="Piguaquan E",159,IF(Atletas!M485="Shaolinquan E",160,IF(Atletas!M485="Tanglangquan E",161,IF(Atletas!M485="Yingzhaoquan E",162,IF(Atletas!M485="Tongbeiquan E",163,IF(Atletas!M485="Wudangquan E",164,IF(Atletas!M485="Outros Estilos E",165,IF(Atletas!M485="Chaquan F",166,IF(Atletas!M485="Emeiquan F",167,IF(Atletas!M485="Fanziquan F",168,IF(Atletas!M485="Huaquan F",169,IF(Atletas!M485="Hongquan F",170,IF(Atletas!M485="Paoquan F",171,IF(Atletas!M485="Piguaquan F",172,IF(Atletas!M485="Shaolinquan F",173,IF(Atletas!M485="Tanglangquan F",174,IF(Atletas!M485="Yingzhaoquan F",175,IF(Atletas!M485="Tongbeiquan F",176,IF(Atletas!M485="Wudangquan F",177,IF(Atletas!M485="Outros Estilos F",178,0))))))))))))))))))))))))))))))))))))))))))</f>
        <v/>
      </c>
      <c r="BU494" s="50" t="str">
        <f>IF(Atletas!N485="","",IF(Atletas!X485&lt;&gt;"",10000,0)+(IF(Atletas!B485="Feminino",1000,IF(Atletas!B485="Masculino",2000,""))+(IF(Atletas!N485="Ditangquan A",201,IF(Atletas!N485="Houquan A",202,IF(Atletas!N485="Zuiquan A",203,IF(Atletas!N485="Ditangquan B",204,IF(Atletas!N485="Houquan B",205,IF(Atletas!N485="Zuiquan B",206,IF(Atletas!N485="Ditangquan C",207,IF(Atletas!N485="Houquan C",208,IF(Atletas!N485="Zuiquan C",209,IF(Atletas!N485="Ditangquan D",210,IF(Atletas!N485="Houquan D",211,IF(Atletas!N485="Zuiquan D",212,IF(Atletas!N485="Ditangquan E",213,IF(Atletas!N485="Houquan E",214,IF(Atletas!N485="Zuiquan E",215,IF(Atletas!N485="Ditangquan F",216,IF(Atletas!N485="Houquan F",217,IF(Atletas!N485="Zuiquan F",218,"")))))))))))))))))))))</f>
        <v/>
      </c>
      <c r="BV494" s="50" t="str">
        <f>IF(Atletas!O485="","",IF(Atletas!X485&lt;&gt;"",10000,0)+IF(Atletas!B485="Feminino",1000,IF(Atletas!B485="Masculino",2000,""))+IF(Atletas!O485="Yang A",301,IF(Atletas!O485="Chen A",302,IF(Atletas!O485="Sun A",303,IF(Atletas!O485="Wu A",304,IF(Atletas!O485="Wu-Hao A",305,IF(Atletas!O485="Outro Taijiquan A",306,IF(Atletas!O485="Yang B",307,IF(Atletas!O485="Chen B",308,IF(Atletas!O485="Sun B",309,IF(Atletas!O485="Wu B",310,IF(Atletas!O485="Wu-Hao B",311,IF(Atletas!O485="Outro Taijiquan B",312,IF(Atletas!O485="Yang C",313,IF(Atletas!O485="Chen C",314,IF(Atletas!O485="Sun C",315,IF(Atletas!O485="Wu C",316,IF(Atletas!O485="Wu-Hao C",317,IF(Atletas!O485="Outro Taijiquan C",318,IF(Atletas!O485="Yang D",319,IF(Atletas!O485="Chen D",320,IF(Atletas!O485="Sun D",321,IF(Atletas!O485="Wu D",322,IF(Atletas!O485="Wu-Hao D",323,IF(Atletas!O485="Outro Taijiquan D",324,IF(Atletas!O485="Yang E",325,IF(Atletas!O485="Chen E",326,IF(Atletas!O485="Sun E",327,IF(Atletas!O485="Wu E",328,IF(Atletas!O485="Wu-Hao E",329,IF(Atletas!O485="Outro Taijiquan E",330,IF(Atletas!O485="Yang F",331,IF(Atletas!O485="Chen F",332,IF(Atletas!O485="Sun F",333,IF(Atletas!O485="Wu F",334,IF(Atletas!O485="Wu-Hao F",335,IF(Atletas!O485="Outro Taijiquan F",336,"")))))))))))))))))))))))))))))))))))))</f>
        <v/>
      </c>
      <c r="BW494" s="50" t="str">
        <f>IF(Atletas!P485="","",IF(Atletas!X485&lt;&gt;"",10000,0)+IF(Atletas!B485="Feminino",1000,IF(Atletas!B485="Masculino",2000,""))+IF(OR(Atletas!P485="Yang 26 A",Atletas!P485="Yang 40 A"),401,IF(OR(Atletas!P485="Chen 25 A",Atletas!P485="Chen 36 A",Atletas!P485="Chen 56 A"),402,IF(Atletas!P485="Sun 73 A",403,IF(Atletas!P485="Wu 45 A",404,IF(Atletas!P485="Wu-Hao 46 A",405,IF(OR(Atletas!P485="Taijiquan 16 A",Atletas!P485="Taijiquan 24 A",Atletas!P485="Taijiquan 32 A",Atletas!P485="Taijiquan 42 A"),406,IF(OR(Atletas!P485="Yang 26 B",Atletas!P485="Yang 40 B"),407,IF(OR(Atletas!P485="Chen 25 B",Atletas!P485="Chen 36 B",Atletas!P485="Chen 56 B"),408,IF(Atletas!P485="Sun 73 B",409,IF(Atletas!P485="Wu 45 B",410,IF(Atletas!P485="Wu-Hao 46 B",411,IF(OR(Atletas!P485="Taijiquan 16 B",Atletas!P485="Taijiquan 24 B",Atletas!P485="Taijiquan 32 B",Atletas!P485="Taijiquan 42 B"),412,IF(OR(Atletas!P485="Yang 26 C",Atletas!P485="Yang 40 C"),413,IF(OR(Atletas!P485="Chen 25 C",Atletas!P485="Chen 36 C",Atletas!P485="Chen 56 C"),414,IF(Atletas!P485="Sun 73 C",415,IF(Atletas!P485="Wu 45 C",416,IF(Atletas!P485="Wu-Hao 46 C",417,IF(OR(Atletas!P485="Taijiquan 16 C",Atletas!P485="Taijiquan 24 C",Atletas!P485="Taijiquan 32 C",Atletas!P485="Taijiquan 42 C"),418,0)))))))))))))))))))</f>
        <v/>
      </c>
      <c r="BX494" s="50" t="str">
        <f>IF(Atletas!P485="","",IF(Atletas!X485&lt;&gt;"",10000,0)+IF(Atletas!B485="Feminino",1000,IF(Atletas!B485="Masculino",2000,""))+IF(OR(Atletas!P485="Yang 26 D",Atletas!P485="Yang 40 D"),419,IF(OR(Atletas!P485="Chen 25 D",Atletas!P485="Chen 36 D",Atletas!P485="Chen 56 D"),420,IF(Atletas!P485="Sun 73 D",421,IF(Atletas!P485="Wu 45 D",422,IF(Atletas!P485="Wu-Hao 46 D",423,IF(OR(Atletas!P485="Taijiquan 16 D",Atletas!P485="Taijiquan 24 D",Atletas!P485="Taijiquan 32 D",Atletas!P485="Taijiquan 42 D"),424,IF(OR(Atletas!P485="Yang 26 E",Atletas!P485="Yang 40 E"),425,IF(OR(Atletas!P485="Chen 25 E",Atletas!P485="Chen 36 E",Atletas!P485="Chen 56 E"),426,IF(Atletas!P485="Sun 73 E",427,IF(Atletas!P485="Wu 45 E",428,IF(Atletas!P485="Wu-Hao 46 E",429,IF(OR(Atletas!P485="Taijiquan 16 E",Atletas!P485="Taijiquan 24 E",Atletas!P485="Taijiquan 32 E",Atletas!P485="Taijiquan 42 E"),430,IF(OR(Atletas!P485="Yang 26 F",Atletas!P485="Yang 40 F"),431,IF(OR(Atletas!P485="Chen 25 F",Atletas!P485="Chen 36 F",Atletas!P485="Chen 56 F"),432,IF(Atletas!P485="Sun 73 F",433,IF(Atletas!P485="Wu 45 F",434,IF(Atletas!P485="Wu-Hao 46 F",435,IF(OR(Atletas!P485="Taijiquan 16 F",Atletas!P485="Taijiquan 24 F",Atletas!P485="Taijiquan 32 F",Atletas!P485="Taijiquan 42 F"),436,0)))))))))))))))))))</f>
        <v/>
      </c>
      <c r="BY494" s="50" t="str">
        <f>IF(Atletas!Q485="","",IF(Atletas!X485&lt;&gt;"",10000,0)+IF(Atletas!B485="Feminino",1000,IF(Atletas!B485="Masculino",2000,""))+IF(Atletas!Q485="Xingyiquan A",501,IF(Atletas!Q485="Baguazhang A",502,IF(Atletas!Q485="Outro Estilo Interno A",503,IF(Atletas!Q485="Xingyiquan B",504,IF(Atletas!Q485="Baguazhang B",505,IF(Atletas!Q485="Outro Estilo Interno B",506,IF(Atletas!Q485="Xingyiquan C",507,IF(Atletas!Q485="Baguazhang C",508,IF(Atletas!Q485="Outro Estilo Interno C",509,IF(Atletas!Q485="Xingyiquan D",510,IF(Atletas!Q485="Baguazhang D",511,IF(Atletas!Q485="Outro Estilo Interno D",512,IF(Atletas!Q485="Xingyiquan E",513,IF(Atletas!Q485="Baguazhang E",514,IF(Atletas!Q485="Outro Estilo Interno E",515,IF(Atletas!Q485="Xingyiquan F",516,IF(Atletas!Q485="Baguazhang F",517,IF(Atletas!Q485="Outro Estilo Interno F",518, "")))))))))))))))))))</f>
        <v/>
      </c>
      <c r="BZ494" s="50" t="str">
        <f>IF(Atletas!R485="","",IF(Atletas!X485&lt;&gt;"",10000,0)+IF(Atletas!B485="Feminino",1000,IF(Atletas!B485="Masculino",2000,""))+IF(Atletas!R485="Dao A",601,IF(Atletas!R485="Jian A",602,IF(Atletas!R485="Bishou A",603,IF(Atletas!R485="Shanzi A",604,IF(Atletas!R485="Outra Arma Curta A",605,IF(Atletas!R485="Dao B",606,IF(Atletas!R485="Jian B",607,IF(Atletas!R485="Bishou B",608,IF(Atletas!R485="Shanzi B",609,IF(Atletas!R485="Outra Arma Curta B",610,IF(Atletas!R485="Dao C",611,IF(Atletas!R485="Jian C",612,IF(Atletas!R485="Bishou C",613,IF(Atletas!R485="Shanzi C",614,IF(Atletas!R485="Outra Arma Curta C",615,IF(Atletas!R485="Dao D",616,IF(Atletas!R485="Jian D",617,IF(Atletas!R485="Bishou D",618,IF(Atletas!R485="Shanzi D",619,IF(Atletas!R485="Outra Arma Curta D",620,IF(Atletas!R485="Dao E",621,IF(Atletas!R485="Jian E",622,IF(Atletas!R485="Bishou E",623,IF(Atletas!R485="Shanzi E",624,IF(Atletas!R485="Outra Arma Curta E",625,IF(Atletas!R485="Dao F",626,IF(Atletas!R485="Jian F",627,IF(Atletas!R485="Bishou F",628,IF(Atletas!R485="Shanzi F",629,IF(Atletas!R485="Outra Arma Curta F",630, "")))))))))))))))))))))))))))))))</f>
        <v/>
      </c>
      <c r="CA494" s="50" t="str">
        <f>IF(Atletas!S485="","",IF(Atletas!X485&lt;&gt;"",10000,0)+IF(Atletas!B485="Feminino",1000,IF(Atletas!B485="Masculino",2000,""))+IF(Atletas!S485="Gun A",701,IF(Atletas!S485="Qiang A",702,IF(Atletas!S485="Pudao / Guandao A",703,IF(Atletas!S485="Outra Arma Longa A",704,IF(Atletas!S485="Gun B",705,IF(Atletas!S485="Qiang B",706,IF(Atletas!S485="Pudao / Guandao B",707,IF(Atletas!S485="Outra Arma Longa B",708,IF(Atletas!S485="Gun C",709,IF(Atletas!S485="Qiang C",710,IF(Atletas!S485="Pudao / Guandao C",711,IF(Atletas!S485="Outra Arma Longa C",712,IF(Atletas!S485="Gun D",713,IF(Atletas!S485="Qiang D",714,IF(Atletas!S485="Pudao / Guandao D",715,IF(Atletas!S485="Outra Arma Longa D",716,IF(Atletas!S485="Gun E",717,IF(Atletas!S485="Qiang E",718,IF(Atletas!S485="Pudao / Guandao E",719,IF(Atletas!S485="Outra Arma Longa E",720,IF(Atletas!S485="Gun F",721,IF(Atletas!S485="Qiang F",722,IF(Atletas!S485="Pudao / Guandao F",723,IF(Atletas!S485="Outra Arma Longa F",724,"")))))))))))))))))))))))))</f>
        <v/>
      </c>
      <c r="CB494" s="50" t="str">
        <f>IF(Atletas!T485="","",IF(Atletas!X485&lt;&gt;"",10000,0)+IF(Atletas!B485="Feminino",1000,IF(Atletas!B485="Masculino",2000,""))+IF(Atletas!T485="Outra Arma Dupla A",801,IF(Atletas!T485="Arma Maleável A",802,IF(Atletas!T485="Outra Arma Dupla B",803,IF(Atletas!T485="Arma Maleável B",804,IF(Atletas!T485="Outra Arma Dupla C",805,IF(Atletas!T485="Arma Maleável C",806,IF(Atletas!T485="Outra Arma Dupla D",807,IF(Atletas!T485="Arma Maleável D",808,IF(Atletas!T485="Outra Arma Dupla E",809,IF(Atletas!T485="Arma Maleável E",810,IF(Atletas!T485="Outra Arma Dupla F",811,IF(Atletas!T485="Arma Maleável F",812,IF(Atletas!T485="Shuangdao A",813,IF(Atletas!T485="Shuangdao B",814,IF(Atletas!T485="Shuangdao C",815,IF(Atletas!T485="Shuangdao D",816,IF(Atletas!T485="Shuangdao E",817,IF(Atletas!T485="Shuangdao F",818,"")))))))))))))))))))</f>
        <v/>
      </c>
      <c r="CC494" s="50" t="str">
        <f>IF(Atletas!U485="","",IF(Atletas!X485&lt;&gt;"",10000,0)+IF(Atletas!B485="Feminino",1000,IF(Atletas!B485="Masculino",2000,""))+IF(OR(Atletas!U485="Taijijian Yang A",Atletas!U485="Taijijian Yang Standard A"),901,IF(OR(Atletas!U485="Taijijian Chen A", Atletas!U485="Taijijian Chen Standard A"),902,IF(Atletas!U485="Taijijian Sun A",903,IF(Atletas!U485="Taijijian Wu A",904,IF(Atletas!U485="Taijijian Wu-Hao A",905,IF(OR(Atletas!U485="Taijijian 32 A",Atletas!U485="Taijijian 42 A"),906,IF(OR(Atletas!U485="Taijijian Yang B",Atletas!U485="Taijijian Yang Standard B"),907,IF(OR(Atletas!U485="Taijijian Chen B", Atletas!U485="Taijijian Chen Standard B"),908,IF(Atletas!U485="Taijijian Sun B",909,IF(Atletas!U485="Taijijian Wu B",910,IF(Atletas!U485="Taijijian Wu-Hao B",911,IF(OR(Atletas!U485="Taijijian 32 B",Atletas!U485="Taijijian 42 B"),912,IF(OR(Atletas!U485="Taijijian Yang C",Atletas!U485="Taijijian Yang Standard C"),913,IF(OR(Atletas!U485="Taijijian Chen C", Atletas!U485="Taijijian Chen Standard C"),914,IF(Atletas!U485="Taijijian Sun C",915,IF(Atletas!U485="Taijijian Wu C",916,IF(Atletas!U485="Taijijian Wu-Hao C",917,IF(OR(Atletas!U485="Taijijian 32 C",Atletas!U485="Taijijian 42 C"),918,IF(OR(Atletas!U485="Taijijian Yang D",Atletas!U485="Taijijian Yang Standard D"),919,IF(OR(Atletas!U485="Taijijian Chen D", Atletas!U485="Taijijian Chen Standard D"),920,IF(Atletas!U485="Taijijian Sun D",921,IF(Atletas!U485="Taijijian Wu D",922,IF(Atletas!U485="Taijijian Wu-Hao D",923,IF(OR(Atletas!U485="Taijijian 32 D",Atletas!U485="Taijijian 42 D"),924,IF(OR(Atletas!U485="Taijijian Yang E",Atletas!U485="Taijijian Yang Standard E"),925,IF(OR(Atletas!U485="Taijijian Chen E", Atletas!U485="Taijijian Chen Standard E"),926,IF(Atletas!U485="Taijijian Sun E",927,IF(Atletas!U485="Taijijian Wu E",928,IF(Atletas!U485="Taijijian Wu-Hao E",929,IF(OR(Atletas!U485="Taijijian 32 E",Atletas!U485="Taijijian 42 E"),930,IF(OR(Atletas!U485="Taijijian Yang F",Atletas!U485="Taijijian Yang Standard F"),931,IF(OR(Atletas!U485="Taijijian Chen F", Atletas!U485="Taijijian Chen Standard F"),932,IF(Atletas!U485="Taijijian Sun F",933,IF(Atletas!U485="Taijijian Wu F",934,IF(Atletas!U485="Taijijian Wu-Hao F",935,IF(OR(Atletas!U485="Taijijian 32 F",Atletas!U485="Taijijian 42 F"),936,"")))))))))))))))))))))))))))))))))))))</f>
        <v/>
      </c>
      <c r="CD494" s="50" t="str">
        <f>IF(Atletas!V485="","",IF(Atletas!X485&lt;&gt;"",10000,0)+IF(Atletas!B485="Feminino",1000,IF(Atletas!B485="Masculino",2000,""))+IF(Atletas!V485="Taijidao A",937,IF(Atletas!V485="TaijiShanzi A",938,IF(Atletas!V485="Taijiqiang A",939,IF(Atletas!V485="Bagua de Arma A",940,IF(Atletas!V485="Xingyi de Arma A",941,IF(Atletas!V485="Taijidao B",942,IF(Atletas!V485="TaijiShanzi B",943,IF(Atletas!V485="Taijiqiang B",944,IF(Atletas!V485="Bagua de Arma B",945,IF(Atletas!V485="Xingyi de Arma B",946,IF(Atletas!V485="Taijidao C",947,IF(Atletas!V485="TaijiShanzi C",948,IF(Atletas!V485="Taijiqiang C",949,IF(Atletas!V485="Bagua de Arma C",950,IF(Atletas!V485="Xingyi de Arma C",951,IF(Atletas!V485="Taijidao D",952,IF(Atletas!V485="TaijiShanzi D",953,IF(Atletas!V485="Taijiqiang D",954,IF(Atletas!V485="Bagua de Arma D",955,IF(Atletas!V485="Xingyi de Arma D",956,IF(Atletas!V485="Taijidao E",957,IF(Atletas!V485="TaijiShanzi E",958,IF(Atletas!V485="Taijiqiang E",959,IF(Atletas!V485="Bagua de Arma E",960,IF(Atletas!V485="Xingyi de Arma E",961,IF(Atletas!V485="Taijidao F",962,IF(Atletas!V485="TaijiShanzi F",963,IF(Atletas!V485="Taijiqiang F",964,IF(Atletas!V485="Bagua de Arma F",965,IF(Atletas!V485="Xingyi de Arma F",966,"")))))))))))))))))))))))))))))))</f>
        <v/>
      </c>
      <c r="CM494" s="50" t="str">
        <f xml:space="preserve"> IF(Atletas!W485="","",IF(Atletas!W485="Duilian de Mãos BC - Equipe 1",1,IF(Atletas!W485="Duilian de Mãos BC - Equipe 2",2,IF(Atletas!W485="Duilian de Armas BC - Equipe 1",3,IF(Atletas!W485="Duilian de Armas BC - Equipe 2",4,IF(Atletas!W485="Duilian de Mãos DE - Equipe 1",5,IF(Atletas!W485="Duilian de Mãos DE - Equipe 2",6,IF(Atletas!W485="Duilian de Armas DE - Equipe 1",7,IF(Atletas!W485="Duilian de Armas DE - Equipe 2",8,IF(Atletas!W485="Duilian de Tuishou - Equipe 1",9,IF(Atletas!W485="Duilian de Tuishou - Equipe 2",10,IF(Atletas!W485="Grupo Externo ABC - Equipe 1",11,IF(Atletas!W485="Grupo Externo ABC - Equipe 2",12,IF(Atletas!W485="Grupo Interno ABC - Equipe 1",13,IF(Atletas!W485="Grupo Interno ABC - Equipe 2",14,IF(Atletas!W485="Grupo Externo DEF - Equipe 1",15,IF(Atletas!W485="Grupo Externo DEF - Equipe 2",16,IF(Atletas!W485="Grupo Interno DEF - Equipe 1",17,IF(Atletas!W485="Grupo Interno DEF - Equipe 2",18,"")))))))))))))))))))</f>
        <v/>
      </c>
    </row>
    <row r="495" spans="40:91">
      <c r="AN495" s="52" t="str">
        <f>IF(Atletas!D486="","",IF(Atletas!B486="Feminino",100,IF(Atletas!B486="Masculino",200,""))+(IF(Atletas!D486="Kids 30kg",1,IF(Atletas!D486="Kids 32kg",2, IF(Atletas!D486="Kids 34kg",3,IF(Atletas!D486="Kids 36kg",4,IF(Atletas!D486="Kids 39kg",5,IF(Atletas!D486="Kids 42kg",6,IF(Atletas!D486="Kids 45kg",7, IF(Atletas!D486="Infantil 39kg",8,IF(Atletas!D486="Infantil 42kg",9,IF(Atletas!D486="Infantil 45kg",10,IF(Atletas!D486="Infantil 48kg",11,IF(Atletas!D486="Infantil 52kg",12,IF(Atletas!D486="Infantil 56kg",13,IF(Atletas!D486="Infantil 60kg",14,IF(Atletas!D486="Juvenil 48kg",15,IF(Atletas!D486="Juvenil 52kg",16,IF(Atletas!D486="Juvenil 56kg",17,IF(Atletas!D486="Juvenil 60kg",18,IF(Atletas!D486="Juvenil 65kg",19,IF(Atletas!D486="Juvenil 70kg",20,IF(Atletas!D486="Juvenil 75kg",21,IF(Atletas!D486="Juvenil 80kg",22, IF(Atletas!D486="Juvenil 85kg",23,IF(Atletas!D486="Adulto 48kg",24,IF(Atletas!D486="Adulto 52kg",25,IF(Atletas!D486="Adulto 56kg",26,IF(Atletas!D486="Adulto 60kg",27,IF(Atletas!D486="Adulto 65kg",28,IF(Atletas!D486="Adulto 70kg",29,IF(Atletas!D486="Adulto 75kg",30,IF(Atletas!D486="Adulto 80kg",31,IF(Atletas!D486="Adulto 85kg",32,IF(Atletas!D486="Adulto 90kg",33,IF(Atletas!D486="Adulto 100kg",34, IF(Atletas!D486="Adulto +100kg",35,"")))))))))))))))))))))))))))))))))))))</f>
        <v/>
      </c>
      <c r="AS495" s="6" t="str">
        <f>IF(Atletas!E486="","",IF(Atletas!B486="Feminino",100,IF(Atletas!B486="Masculino",200,""))+(IF(Atletas!E486="Juvenil 44kg",1,IF(Atletas!E486="Juvenil 48kg",2,IF(Atletas!E486="Juvenil 52kg",3,IF(Atletas!E486="Juvenil 56kg",4,IF(Atletas!E486="Juvenil 60kg",5,IF(Atletas!E486="Juvenil 65kg",6,IF(Atletas!E486="Juvenil 70kg",7,IF(Atletas!E486="Juvenil 75kg",8,IF(Atletas!E486="Juvenil 82kg",9,IF(Atletas!E486="Juvenil 90kg",10,IF(Atletas!E486="Juvenil 100kg",11,IF(Atletas!E486="Adulto 48kg",12,IF(Atletas!E486="Adulto 52kg",13,IF(Atletas!E486="Adulto 56kg",14,IF(Atletas!E486="Adulto 60kg",15,IF(Atletas!E486="Adulto 65kg",16,IF(Atletas!E486="Adulto 70kg",17,IF(Atletas!E486="Adulto 75kg",18,IF(Atletas!E486="Adulto 82kg",19,IF(Atletas!E486="Adulto 90kg",20,IF(Atletas!E486="Adulto 100kg",21,IF(Atletas!E486="Adulto +100kg",22,""))))))))))))))))))))))))</f>
        <v/>
      </c>
      <c r="AX495" s="6" t="str">
        <f>IF(Atletas!F486="","",IF(Atletas!B486="Feminino",100,IF(Atletas!B486="Masculino",200,""))+(IF(Atletas!F486="Adulto 48kg",1,IF(Atletas!F486="Adulto 56kg",2,IF(Atletas!F486="Adulto 65kg",3,IF(Atletas!F486="Adulto 75kg",4,IF(Atletas!F486="Adulto +75kg",5,IF(Atletas!F486="Adulto 52kg",6,IF(Atletas!F486="Adulto 60kg",7,IF(Atletas!F486="Adulto 70kg",8,IF(Atletas!F486="Adulto 80kg",9,IF(Atletas!F486="Adulto 90kg",10,IF(Atletas!F486="Adulto +90kg",11,"")))))))))))))</f>
        <v/>
      </c>
      <c r="BC495" s="6" t="str">
        <f>IF(Atletas!G486="","",IF(Atletas!B486="Feminino",10,IF(Atletas!B486="Masculino",20,""))+(IF(Atletas!G486="Baduanjin A",1,IF(Atletas!G486="Baduanjin B",2))))</f>
        <v/>
      </c>
      <c r="BF495" s="52" t="str">
        <f>IF(Atletas!H486="","",IF(Atletas!B486="Feminino",100,IF(Atletas!B486="Masculino",200,""))+(IF(Atletas!H486="Changquan Mirim",1,IF(Atletas!H486="Nanquan Mirim",2,IF(Atletas!H486="Taijiquan Mirim",3,IF(Atletas!H486="Changquan Grupo C",4,IF(Atletas!H486="Nanquan Grupo C",5,IF(Atletas!H486="Taijiquan Grupo C",6,IF(Atletas!H486="Changquan Grupo B",7,IF(Atletas!H486="Nanquan Grupo B",8,IF(Atletas!H486="Taijiquan Grupo B",9,IF(Atletas!H486="Changquan Grupo A",10,IF(Atletas!H486="Nanquan Grupo A",11,IF(Atletas!H486="Taijiquan Grupo A",12,IF(Atletas!H486="Changquan Opcional",13,IF(Atletas!H486="Nanquan Opcional",14,IF(Atletas!H486="Taijiquan Opcional",15,IF(Atletas!H486="Changquan Adulto",16,IF(Atletas!H486="Nanquan Adulto",17,IF(Atletas!H486="Taijiquan Adulto",18,""))))))))))))))))))))</f>
        <v/>
      </c>
      <c r="BG495" s="52" t="str">
        <f>IF(Atletas!I486="","",IF(Atletas!B486="Feminino",100,IF(Atletas!B486="Masculino",200,""))+(IF(Atletas!I486="Daoshu Mirim",19,IF(Atletas!I486="Jianshu Mirim",20,IF(Atletas!I486="Nandao Mirim",21,IF(Atletas!I486="Taijijian Mirim",22,IF(Atletas!I486="Daoshu Grupo C",23,IF(Atletas!I486="Jianshu Grupo C",24,IF(Atletas!I486="Nandao Grupo C",25,IF(Atletas!I486="Taijijian Grupo C",26,IF(Atletas!I486="Daoshu Grupo B",27,IF(Atletas!I486="Jianshu Grupo B",28,IF(Atletas!I486="Nandao Grupo B",29,IF(Atletas!I486="Taijijian Grupo B",30,IF(Atletas!I486="Daoshu Grupo A",31,IF(Atletas!I486="Jianshu Grupo A",32,IF(Atletas!I486="Nandao Grupo A",33,IF(Atletas!I486="Taijijian Grupo A",34,IF(Atletas!I486="Daoshu Opcional",35,IF(Atletas!I486="Jianshu Opcional",36,IF(Atletas!I486="Nandao Opcional",37,IF(Atletas!I486="Taijijian Opcional",38,IF(Atletas!I486="Daoshu Adulto",39,IF(Atletas!I486="Jianshu Adulto",40,IF(Atletas!I486="Nandao Adulto",41,IF(Atletas!I486="Taijijian Adulto",42,""))))))))))))))))))))))))))</f>
        <v/>
      </c>
      <c r="BH495" s="52" t="str">
        <f>IF(Atletas!J486="","",IF(Atletas!B486="Feminino",100,IF(Atletas!B486="Masculino",200,""))+(IF(Atletas!J486="Gunshu Mirim",43,IF(Atletas!J486="Qiangshu Mirim",44,IF(Atletas!J486="Nangun Mirim",45,IF(Atletas!J486="Gunshu Grupo C",46,IF(Atletas!J486="Qiangshu Grupo C",47,IF(Atletas!J486="Nangun Grupo C",48,IF(Atletas!J486="Gunshu Grupo B",49,IF(Atletas!J486="Qiangshu Grupo B",50,IF(Atletas!J486="Nangun Grupo B",51,IF(Atletas!J486="Gunshu Grupo A",52,IF(Atletas!J486="Qiangshu Grupo A",53,IF(Atletas!J486="Nangun Grupo A",54,IF(Atletas!J486="Gunshu Opcional",55,IF(Atletas!J486="Qiangshu Opcional",56,IF(Atletas!J486="Nangun Opcional",57,IF(Atletas!J486="Gunshu Adulto",58,IF(Atletas!J486="Qiangshu Adulto",59,IF(Atletas!J486="Nangun Adulto",60,IF(Atletas!J486="Taijishan Grupo B",61,IF(Atletas!J486="Taijishan Grupo A",62,""))))))))))))))))))))))</f>
        <v/>
      </c>
      <c r="BM495" s="50" t="str">
        <f>IF(Atletas!K486="","",IF(Atletas!B486="Feminino",100,IF(Atletas!B486="Masculino",200,""))+(IF(Atletas!K486="Equipe 1 Grupo B",1,IF(Atletas!K486="Equipe 2 Grupo B",2,IF(Atletas!K486="Equipe 1 Grupo A",3,IF(Atletas!K486="Equipe 2 Grupo A",4,IF(Atletas!K486="Equipe 1 Adulto",5,IF(Atletas!K486="Equipe 2 Adulto",6,""))))))))</f>
        <v/>
      </c>
      <c r="BR495" s="50" t="str">
        <f>IF(Atletas!L486="","",IF(Atletas!X486&lt;&gt;"",10000,0)+(IF(Atletas!B486="Feminino",1000,IF(Atletas!B486="Masculino",2000,""))+IF(Atletas!L486="Choylayfut A",1,IF(Atletas!L486="Hunggar A",2,IF(Atletas!L486="Wuzuquan A",3,IF(Atletas!L486="Wingchun A",4,IF(Atletas!L486="Outra Mão de Sul A",5,IF(Atletas!L486="Choylayfut B",6,IF(Atletas!L486="Hunggar B",7,IF(Atletas!L486="Wuzuquan B",8,IF(Atletas!L486="Wingchun B",9,IF(Atletas!L486="Outra Mão de Sul B",10,IF(Atletas!L486="Choylayfut C",11,IF(Atletas!L486="Hunggar C",12,IF(Atletas!L486="Wuzuquan C",13,IF(Atletas!L486="Wingchun C",14,IF(Atletas!L486="Outra Mão de Sul C",15,IF(Atletas!L486="Choylayfut D",16,IF(Atletas!L486="Hunggar D",17,IF(Atletas!L486="Wuzuquan D",18,IF(Atletas!L486="Wingchun D",19,IF(Atletas!L486="Outra Mão de Sul D",20,IF(Atletas!L486="Choylayfut E",21,IF(Atletas!L486="Hunggar E",22,IF(Atletas!L486="Wuzuquan E",23,IF(Atletas!L486="Wingchun E",24,IF(Atletas!L486="Outra Mão de Sul E",25,IF(Atletas!L486="Choylayfut F",26,IF(Atletas!L486="Hunggar F",27,IF(Atletas!L486="Wuzuquan F",28,IF(Atletas!L486="Wingchun F",29,IF(Atletas!L486="Outra Mão de Sul F",30,IF(Atletas!L486="Dishuquan A",31,IF(Atletas!L486="Dishuquan B",32,IF(Atletas!L486="Dishuquan C",33,IF(Atletas!L486="Dishuquan D",34,IF(Atletas!L486="Dishuquan E",35,IF(Atletas!L486="Dishuquan F",36,""))))))))))))))))))))))))))))))))))))))</f>
        <v/>
      </c>
      <c r="BS495" s="50" t="str">
        <f>IF(Atletas!M486="","",IF(Atletas!X486&lt;&gt;"",10000,0)+(IF(Atletas!B486="Feminino",1000,IF(Atletas!B486="Masculino",2000,""))+(IF(Atletas!M486="Chaquan A",101,IF(Atletas!M486="Emeiquan A",102,IF(Atletas!M486="Fanziquan A",103,IF(Atletas!M486="Huaquan A",104,IF(Atletas!M486="Hongquan A",105,IF(Atletas!M486="Paoquan A",106,IF(Atletas!M486="Piguaquan A",107,IF(Atletas!M486="Shaolinquan A",108,IF(Atletas!M486="Tanglangquan A",109,IF(Atletas!M486="Yingzhaoquan A",110,IF(Atletas!M486="Tongbeiquan A",111,IF(Atletas!M486="Wudangquan A",112,IF(Atletas!M486="Outros Estilos A",113,IF(Atletas!M486="Chaquan B",114,IF(Atletas!M486="Emeiquan B",115,IF(Atletas!M486="Fanziquan B",116,IF(Atletas!M486="Huaquan B",117,IF(Atletas!M486="Hongquan B",118,IF(Atletas!M486="Paoquan B",119,IF(Atletas!M486="Piguaquan B",120,IF(Atletas!M486="Shaolinquan B",121,IF(Atletas!M486="Tanglangquan B",122,IF(Atletas!M486="Yingzhaoquan B",123,IF(Atletas!M486="Tongbeiquan B",124,IF(Atletas!M486="Wudangquan B",125,IF(Atletas!M486="Outros Estilos B",126,IF(Atletas!M486="Chaquan C",127,IF(Atletas!M486="Emeiquan C",128,IF(Atletas!M486="Fanziquan C",129,IF(Atletas!M486="Huaquan C",130,IF(Atletas!M486="Hongquan C",131,IF(Atletas!M486="Paoquan C",132,IF(Atletas!M486="Piguaquan C",133,IF(Atletas!M486="Shaolinquan C",134,IF(Atletas!M486="Tanglangquan C",135,IF(Atletas!M486="Yingzhaoquan C",136,IF(Atletas!M486="Tongbeiquan C",137,IF(Atletas!M486="Wudangquan C",138,IF(Atletas!M486="Outros Estilos C",139,0))))))))))))))))))))))))))))))))))))))))))</f>
        <v/>
      </c>
      <c r="BT495" s="50" t="str">
        <f>IF(Atletas!M486="","",IF(Atletas!X486&lt;&gt;"",10000,0)+(IF(Atletas!B486="Feminino",1000,IF(Atletas!B486="Masculino",2000,""))+(IF(Atletas!M486="Chaquan D",140,IF(Atletas!M486="Emeiquan D",141,IF(Atletas!M486="Fanziquan D",142,IF(Atletas!M486="Huaquan D",143,IF(Atletas!M486="Hongquan D",144,IF(Atletas!M486="Paoquan D",145,IF(Atletas!M486="Piguaquan D",146,IF(Atletas!M486="Shaolinquan D",147,IF(Atletas!M486="Tanglangquan D",148,IF(Atletas!M486="Yingzhaoquan D",149,IF(Atletas!M486="Tongbeiquan D",150,IF(Atletas!M486="Wudangquan D",151,IF(Atletas!M486="Outros Estilos D",152,IF(Atletas!M486="Chaquan E",153,IF(Atletas!M486="Emeiquan E",154,IF(Atletas!M486="Fanziquan E",155,IF(Atletas!M486="Huaquan E",156,IF(Atletas!M486="Hongquan E",157,IF(Atletas!M486="Paoquan E",158,IF(Atletas!M486="Piguaquan E",159,IF(Atletas!M486="Shaolinquan E",160,IF(Atletas!M486="Tanglangquan E",161,IF(Atletas!M486="Yingzhaoquan E",162,IF(Atletas!M486="Tongbeiquan E",163,IF(Atletas!M486="Wudangquan E",164,IF(Atletas!M486="Outros Estilos E",165,IF(Atletas!M486="Chaquan F",166,IF(Atletas!M486="Emeiquan F",167,IF(Atletas!M486="Fanziquan F",168,IF(Atletas!M486="Huaquan F",169,IF(Atletas!M486="Hongquan F",170,IF(Atletas!M486="Paoquan F",171,IF(Atletas!M486="Piguaquan F",172,IF(Atletas!M486="Shaolinquan F",173,IF(Atletas!M486="Tanglangquan F",174,IF(Atletas!M486="Yingzhaoquan F",175,IF(Atletas!M486="Tongbeiquan F",176,IF(Atletas!M486="Wudangquan F",177,IF(Atletas!M486="Outros Estilos F",178,0))))))))))))))))))))))))))))))))))))))))))</f>
        <v/>
      </c>
      <c r="BU495" s="50" t="str">
        <f>IF(Atletas!N486="","",IF(Atletas!X486&lt;&gt;"",10000,0)+(IF(Atletas!B486="Feminino",1000,IF(Atletas!B486="Masculino",2000,""))+(IF(Atletas!N486="Ditangquan A",201,IF(Atletas!N486="Houquan A",202,IF(Atletas!N486="Zuiquan A",203,IF(Atletas!N486="Ditangquan B",204,IF(Atletas!N486="Houquan B",205,IF(Atletas!N486="Zuiquan B",206,IF(Atletas!N486="Ditangquan C",207,IF(Atletas!N486="Houquan C",208,IF(Atletas!N486="Zuiquan C",209,IF(Atletas!N486="Ditangquan D",210,IF(Atletas!N486="Houquan D",211,IF(Atletas!N486="Zuiquan D",212,IF(Atletas!N486="Ditangquan E",213,IF(Atletas!N486="Houquan E",214,IF(Atletas!N486="Zuiquan E",215,IF(Atletas!N486="Ditangquan F",216,IF(Atletas!N486="Houquan F",217,IF(Atletas!N486="Zuiquan F",218,"")))))))))))))))))))))</f>
        <v/>
      </c>
      <c r="BV495" s="50" t="str">
        <f>IF(Atletas!O486="","",IF(Atletas!X486&lt;&gt;"",10000,0)+IF(Atletas!B486="Feminino",1000,IF(Atletas!B486="Masculino",2000,""))+IF(Atletas!O486="Yang A",301,IF(Atletas!O486="Chen A",302,IF(Atletas!O486="Sun A",303,IF(Atletas!O486="Wu A",304,IF(Atletas!O486="Wu-Hao A",305,IF(Atletas!O486="Outro Taijiquan A",306,IF(Atletas!O486="Yang B",307,IF(Atletas!O486="Chen B",308,IF(Atletas!O486="Sun B",309,IF(Atletas!O486="Wu B",310,IF(Atletas!O486="Wu-Hao B",311,IF(Atletas!O486="Outro Taijiquan B",312,IF(Atletas!O486="Yang C",313,IF(Atletas!O486="Chen C",314,IF(Atletas!O486="Sun C",315,IF(Atletas!O486="Wu C",316,IF(Atletas!O486="Wu-Hao C",317,IF(Atletas!O486="Outro Taijiquan C",318,IF(Atletas!O486="Yang D",319,IF(Atletas!O486="Chen D",320,IF(Atletas!O486="Sun D",321,IF(Atletas!O486="Wu D",322,IF(Atletas!O486="Wu-Hao D",323,IF(Atletas!O486="Outro Taijiquan D",324,IF(Atletas!O486="Yang E",325,IF(Atletas!O486="Chen E",326,IF(Atletas!O486="Sun E",327,IF(Atletas!O486="Wu E",328,IF(Atletas!O486="Wu-Hao E",329,IF(Atletas!O486="Outro Taijiquan E",330,IF(Atletas!O486="Yang F",331,IF(Atletas!O486="Chen F",332,IF(Atletas!O486="Sun F",333,IF(Atletas!O486="Wu F",334,IF(Atletas!O486="Wu-Hao F",335,IF(Atletas!O486="Outro Taijiquan F",336,"")))))))))))))))))))))))))))))))))))))</f>
        <v/>
      </c>
      <c r="BW495" s="50" t="str">
        <f>IF(Atletas!P486="","",IF(Atletas!X486&lt;&gt;"",10000,0)+IF(Atletas!B486="Feminino",1000,IF(Atletas!B486="Masculino",2000,""))+IF(OR(Atletas!P486="Yang 26 A",Atletas!P486="Yang 40 A"),401,IF(OR(Atletas!P486="Chen 25 A",Atletas!P486="Chen 36 A",Atletas!P486="Chen 56 A"),402,IF(Atletas!P486="Sun 73 A",403,IF(Atletas!P486="Wu 45 A",404,IF(Atletas!P486="Wu-Hao 46 A",405,IF(OR(Atletas!P486="Taijiquan 16 A",Atletas!P486="Taijiquan 24 A",Atletas!P486="Taijiquan 32 A",Atletas!P486="Taijiquan 42 A"),406,IF(OR(Atletas!P486="Yang 26 B",Atletas!P486="Yang 40 B"),407,IF(OR(Atletas!P486="Chen 25 B",Atletas!P486="Chen 36 B",Atletas!P486="Chen 56 B"),408,IF(Atletas!P486="Sun 73 B",409,IF(Atletas!P486="Wu 45 B",410,IF(Atletas!P486="Wu-Hao 46 B",411,IF(OR(Atletas!P486="Taijiquan 16 B",Atletas!P486="Taijiquan 24 B",Atletas!P486="Taijiquan 32 B",Atletas!P486="Taijiquan 42 B"),412,IF(OR(Atletas!P486="Yang 26 C",Atletas!P486="Yang 40 C"),413,IF(OR(Atletas!P486="Chen 25 C",Atletas!P486="Chen 36 C",Atletas!P486="Chen 56 C"),414,IF(Atletas!P486="Sun 73 C",415,IF(Atletas!P486="Wu 45 C",416,IF(Atletas!P486="Wu-Hao 46 C",417,IF(OR(Atletas!P486="Taijiquan 16 C",Atletas!P486="Taijiquan 24 C",Atletas!P486="Taijiquan 32 C",Atletas!P486="Taijiquan 42 C"),418,0)))))))))))))))))))</f>
        <v/>
      </c>
      <c r="BX495" s="50" t="str">
        <f>IF(Atletas!P486="","",IF(Atletas!X486&lt;&gt;"",10000,0)+IF(Atletas!B486="Feminino",1000,IF(Atletas!B486="Masculino",2000,""))+IF(OR(Atletas!P486="Yang 26 D",Atletas!P486="Yang 40 D"),419,IF(OR(Atletas!P486="Chen 25 D",Atletas!P486="Chen 36 D",Atletas!P486="Chen 56 D"),420,IF(Atletas!P486="Sun 73 D",421,IF(Atletas!P486="Wu 45 D",422,IF(Atletas!P486="Wu-Hao 46 D",423,IF(OR(Atletas!P486="Taijiquan 16 D",Atletas!P486="Taijiquan 24 D",Atletas!P486="Taijiquan 32 D",Atletas!P486="Taijiquan 42 D"),424,IF(OR(Atletas!P486="Yang 26 E",Atletas!P486="Yang 40 E"),425,IF(OR(Atletas!P486="Chen 25 E",Atletas!P486="Chen 36 E",Atletas!P486="Chen 56 E"),426,IF(Atletas!P486="Sun 73 E",427,IF(Atletas!P486="Wu 45 E",428,IF(Atletas!P486="Wu-Hao 46 E",429,IF(OR(Atletas!P486="Taijiquan 16 E",Atletas!P486="Taijiquan 24 E",Atletas!P486="Taijiquan 32 E",Atletas!P486="Taijiquan 42 E"),430,IF(OR(Atletas!P486="Yang 26 F",Atletas!P486="Yang 40 F"),431,IF(OR(Atletas!P486="Chen 25 F",Atletas!P486="Chen 36 F",Atletas!P486="Chen 56 F"),432,IF(Atletas!P486="Sun 73 F",433,IF(Atletas!P486="Wu 45 F",434,IF(Atletas!P486="Wu-Hao 46 F",435,IF(OR(Atletas!P486="Taijiquan 16 F",Atletas!P486="Taijiquan 24 F",Atletas!P486="Taijiquan 32 F",Atletas!P486="Taijiquan 42 F"),436,0)))))))))))))))))))</f>
        <v/>
      </c>
      <c r="BY495" s="50" t="str">
        <f>IF(Atletas!Q486="","",IF(Atletas!X486&lt;&gt;"",10000,0)+IF(Atletas!B486="Feminino",1000,IF(Atletas!B486="Masculino",2000,""))+IF(Atletas!Q486="Xingyiquan A",501,IF(Atletas!Q486="Baguazhang A",502,IF(Atletas!Q486="Outro Estilo Interno A",503,IF(Atletas!Q486="Xingyiquan B",504,IF(Atletas!Q486="Baguazhang B",505,IF(Atletas!Q486="Outro Estilo Interno B",506,IF(Atletas!Q486="Xingyiquan C",507,IF(Atletas!Q486="Baguazhang C",508,IF(Atletas!Q486="Outro Estilo Interno C",509,IF(Atletas!Q486="Xingyiquan D",510,IF(Atletas!Q486="Baguazhang D",511,IF(Atletas!Q486="Outro Estilo Interno D",512,IF(Atletas!Q486="Xingyiquan E",513,IF(Atletas!Q486="Baguazhang E",514,IF(Atletas!Q486="Outro Estilo Interno E",515,IF(Atletas!Q486="Xingyiquan F",516,IF(Atletas!Q486="Baguazhang F",517,IF(Atletas!Q486="Outro Estilo Interno F",518, "")))))))))))))))))))</f>
        <v/>
      </c>
      <c r="BZ495" s="50" t="str">
        <f>IF(Atletas!R486="","",IF(Atletas!X486&lt;&gt;"",10000,0)+IF(Atletas!B486="Feminino",1000,IF(Atletas!B486="Masculino",2000,""))+IF(Atletas!R486="Dao A",601,IF(Atletas!R486="Jian A",602,IF(Atletas!R486="Bishou A",603,IF(Atletas!R486="Shanzi A",604,IF(Atletas!R486="Outra Arma Curta A",605,IF(Atletas!R486="Dao B",606,IF(Atletas!R486="Jian B",607,IF(Atletas!R486="Bishou B",608,IF(Atletas!R486="Shanzi B",609,IF(Atletas!R486="Outra Arma Curta B",610,IF(Atletas!R486="Dao C",611,IF(Atletas!R486="Jian C",612,IF(Atletas!R486="Bishou C",613,IF(Atletas!R486="Shanzi C",614,IF(Atletas!R486="Outra Arma Curta C",615,IF(Atletas!R486="Dao D",616,IF(Atletas!R486="Jian D",617,IF(Atletas!R486="Bishou D",618,IF(Atletas!R486="Shanzi D",619,IF(Atletas!R486="Outra Arma Curta D",620,IF(Atletas!R486="Dao E",621,IF(Atletas!R486="Jian E",622,IF(Atletas!R486="Bishou E",623,IF(Atletas!R486="Shanzi E",624,IF(Atletas!R486="Outra Arma Curta E",625,IF(Atletas!R486="Dao F",626,IF(Atletas!R486="Jian F",627,IF(Atletas!R486="Bishou F",628,IF(Atletas!R486="Shanzi F",629,IF(Atletas!R486="Outra Arma Curta F",630, "")))))))))))))))))))))))))))))))</f>
        <v/>
      </c>
      <c r="CA495" s="50" t="str">
        <f>IF(Atletas!S486="","",IF(Atletas!X486&lt;&gt;"",10000,0)+IF(Atletas!B486="Feminino",1000,IF(Atletas!B486="Masculino",2000,""))+IF(Atletas!S486="Gun A",701,IF(Atletas!S486="Qiang A",702,IF(Atletas!S486="Pudao / Guandao A",703,IF(Atletas!S486="Outra Arma Longa A",704,IF(Atletas!S486="Gun B",705,IF(Atletas!S486="Qiang B",706,IF(Atletas!S486="Pudao / Guandao B",707,IF(Atletas!S486="Outra Arma Longa B",708,IF(Atletas!S486="Gun C",709,IF(Atletas!S486="Qiang C",710,IF(Atletas!S486="Pudao / Guandao C",711,IF(Atletas!S486="Outra Arma Longa C",712,IF(Atletas!S486="Gun D",713,IF(Atletas!S486="Qiang D",714,IF(Atletas!S486="Pudao / Guandao D",715,IF(Atletas!S486="Outra Arma Longa D",716,IF(Atletas!S486="Gun E",717,IF(Atletas!S486="Qiang E",718,IF(Atletas!S486="Pudao / Guandao E",719,IF(Atletas!S486="Outra Arma Longa E",720,IF(Atletas!S486="Gun F",721,IF(Atletas!S486="Qiang F",722,IF(Atletas!S486="Pudao / Guandao F",723,IF(Atletas!S486="Outra Arma Longa F",724,"")))))))))))))))))))))))))</f>
        <v/>
      </c>
      <c r="CB495" s="50" t="str">
        <f>IF(Atletas!T486="","",IF(Atletas!X486&lt;&gt;"",10000,0)+IF(Atletas!B486="Feminino",1000,IF(Atletas!B486="Masculino",2000,""))+IF(Atletas!T486="Outra Arma Dupla A",801,IF(Atletas!T486="Arma Maleável A",802,IF(Atletas!T486="Outra Arma Dupla B",803,IF(Atletas!T486="Arma Maleável B",804,IF(Atletas!T486="Outra Arma Dupla C",805,IF(Atletas!T486="Arma Maleável C",806,IF(Atletas!T486="Outra Arma Dupla D",807,IF(Atletas!T486="Arma Maleável D",808,IF(Atletas!T486="Outra Arma Dupla E",809,IF(Atletas!T486="Arma Maleável E",810,IF(Atletas!T486="Outra Arma Dupla F",811,IF(Atletas!T486="Arma Maleável F",812,IF(Atletas!T486="Shuangdao A",813,IF(Atletas!T486="Shuangdao B",814,IF(Atletas!T486="Shuangdao C",815,IF(Atletas!T486="Shuangdao D",816,IF(Atletas!T486="Shuangdao E",817,IF(Atletas!T486="Shuangdao F",818,"")))))))))))))))))))</f>
        <v/>
      </c>
      <c r="CC495" s="50" t="str">
        <f>IF(Atletas!U486="","",IF(Atletas!X486&lt;&gt;"",10000,0)+IF(Atletas!B486="Feminino",1000,IF(Atletas!B486="Masculino",2000,""))+IF(OR(Atletas!U486="Taijijian Yang A",Atletas!U486="Taijijian Yang Standard A"),901,IF(OR(Atletas!U486="Taijijian Chen A", Atletas!U486="Taijijian Chen Standard A"),902,IF(Atletas!U486="Taijijian Sun A",903,IF(Atletas!U486="Taijijian Wu A",904,IF(Atletas!U486="Taijijian Wu-Hao A",905,IF(OR(Atletas!U486="Taijijian 32 A",Atletas!U486="Taijijian 42 A"),906,IF(OR(Atletas!U486="Taijijian Yang B",Atletas!U486="Taijijian Yang Standard B"),907,IF(OR(Atletas!U486="Taijijian Chen B", Atletas!U486="Taijijian Chen Standard B"),908,IF(Atletas!U486="Taijijian Sun B",909,IF(Atletas!U486="Taijijian Wu B",910,IF(Atletas!U486="Taijijian Wu-Hao B",911,IF(OR(Atletas!U486="Taijijian 32 B",Atletas!U486="Taijijian 42 B"),912,IF(OR(Atletas!U486="Taijijian Yang C",Atletas!U486="Taijijian Yang Standard C"),913,IF(OR(Atletas!U486="Taijijian Chen C", Atletas!U486="Taijijian Chen Standard C"),914,IF(Atletas!U486="Taijijian Sun C",915,IF(Atletas!U486="Taijijian Wu C",916,IF(Atletas!U486="Taijijian Wu-Hao C",917,IF(OR(Atletas!U486="Taijijian 32 C",Atletas!U486="Taijijian 42 C"),918,IF(OR(Atletas!U486="Taijijian Yang D",Atletas!U486="Taijijian Yang Standard D"),919,IF(OR(Atletas!U486="Taijijian Chen D", Atletas!U486="Taijijian Chen Standard D"),920,IF(Atletas!U486="Taijijian Sun D",921,IF(Atletas!U486="Taijijian Wu D",922,IF(Atletas!U486="Taijijian Wu-Hao D",923,IF(OR(Atletas!U486="Taijijian 32 D",Atletas!U486="Taijijian 42 D"),924,IF(OR(Atletas!U486="Taijijian Yang E",Atletas!U486="Taijijian Yang Standard E"),925,IF(OR(Atletas!U486="Taijijian Chen E", Atletas!U486="Taijijian Chen Standard E"),926,IF(Atletas!U486="Taijijian Sun E",927,IF(Atletas!U486="Taijijian Wu E",928,IF(Atletas!U486="Taijijian Wu-Hao E",929,IF(OR(Atletas!U486="Taijijian 32 E",Atletas!U486="Taijijian 42 E"),930,IF(OR(Atletas!U486="Taijijian Yang F",Atletas!U486="Taijijian Yang Standard F"),931,IF(OR(Atletas!U486="Taijijian Chen F", Atletas!U486="Taijijian Chen Standard F"),932,IF(Atletas!U486="Taijijian Sun F",933,IF(Atletas!U486="Taijijian Wu F",934,IF(Atletas!U486="Taijijian Wu-Hao F",935,IF(OR(Atletas!U486="Taijijian 32 F",Atletas!U486="Taijijian 42 F"),936,"")))))))))))))))))))))))))))))))))))))</f>
        <v/>
      </c>
      <c r="CD495" s="50" t="str">
        <f>IF(Atletas!V486="","",IF(Atletas!X486&lt;&gt;"",10000,0)+IF(Atletas!B486="Feminino",1000,IF(Atletas!B486="Masculino",2000,""))+IF(Atletas!V486="Taijidao A",937,IF(Atletas!V486="TaijiShanzi A",938,IF(Atletas!V486="Taijiqiang A",939,IF(Atletas!V486="Bagua de Arma A",940,IF(Atletas!V486="Xingyi de Arma A",941,IF(Atletas!V486="Taijidao B",942,IF(Atletas!V486="TaijiShanzi B",943,IF(Atletas!V486="Taijiqiang B",944,IF(Atletas!V486="Bagua de Arma B",945,IF(Atletas!V486="Xingyi de Arma B",946,IF(Atletas!V486="Taijidao C",947,IF(Atletas!V486="TaijiShanzi C",948,IF(Atletas!V486="Taijiqiang C",949,IF(Atletas!V486="Bagua de Arma C",950,IF(Atletas!V486="Xingyi de Arma C",951,IF(Atletas!V486="Taijidao D",952,IF(Atletas!V486="TaijiShanzi D",953,IF(Atletas!V486="Taijiqiang D",954,IF(Atletas!V486="Bagua de Arma D",955,IF(Atletas!V486="Xingyi de Arma D",956,IF(Atletas!V486="Taijidao E",957,IF(Atletas!V486="TaijiShanzi E",958,IF(Atletas!V486="Taijiqiang E",959,IF(Atletas!V486="Bagua de Arma E",960,IF(Atletas!V486="Xingyi de Arma E",961,IF(Atletas!V486="Taijidao F",962,IF(Atletas!V486="TaijiShanzi F",963,IF(Atletas!V486="Taijiqiang F",964,IF(Atletas!V486="Bagua de Arma F",965,IF(Atletas!V486="Xingyi de Arma F",966,"")))))))))))))))))))))))))))))))</f>
        <v/>
      </c>
      <c r="CM495" s="50" t="str">
        <f xml:space="preserve"> IF(Atletas!W486="","",IF(Atletas!W486="Duilian de Mãos BC - Equipe 1",1,IF(Atletas!W486="Duilian de Mãos BC - Equipe 2",2,IF(Atletas!W486="Duilian de Armas BC - Equipe 1",3,IF(Atletas!W486="Duilian de Armas BC - Equipe 2",4,IF(Atletas!W486="Duilian de Mãos DE - Equipe 1",5,IF(Atletas!W486="Duilian de Mãos DE - Equipe 2",6,IF(Atletas!W486="Duilian de Armas DE - Equipe 1",7,IF(Atletas!W486="Duilian de Armas DE - Equipe 2",8,IF(Atletas!W486="Duilian de Tuishou - Equipe 1",9,IF(Atletas!W486="Duilian de Tuishou - Equipe 2",10,IF(Atletas!W486="Grupo Externo ABC - Equipe 1",11,IF(Atletas!W486="Grupo Externo ABC - Equipe 2",12,IF(Atletas!W486="Grupo Interno ABC - Equipe 1",13,IF(Atletas!W486="Grupo Interno ABC - Equipe 2",14,IF(Atletas!W486="Grupo Externo DEF - Equipe 1",15,IF(Atletas!W486="Grupo Externo DEF - Equipe 2",16,IF(Atletas!W486="Grupo Interno DEF - Equipe 1",17,IF(Atletas!W486="Grupo Interno DEF - Equipe 2",18,"")))))))))))))))))))</f>
        <v/>
      </c>
    </row>
    <row r="496" spans="40:91">
      <c r="AN496" s="52" t="str">
        <f>IF(Atletas!D487="","",IF(Atletas!B487="Feminino",100,IF(Atletas!B487="Masculino",200,""))+(IF(Atletas!D487="Kids 30kg",1,IF(Atletas!D487="Kids 32kg",2, IF(Atletas!D487="Kids 34kg",3,IF(Atletas!D487="Kids 36kg",4,IF(Atletas!D487="Kids 39kg",5,IF(Atletas!D487="Kids 42kg",6,IF(Atletas!D487="Kids 45kg",7, IF(Atletas!D487="Infantil 39kg",8,IF(Atletas!D487="Infantil 42kg",9,IF(Atletas!D487="Infantil 45kg",10,IF(Atletas!D487="Infantil 48kg",11,IF(Atletas!D487="Infantil 52kg",12,IF(Atletas!D487="Infantil 56kg",13,IF(Atletas!D487="Infantil 60kg",14,IF(Atletas!D487="Juvenil 48kg",15,IF(Atletas!D487="Juvenil 52kg",16,IF(Atletas!D487="Juvenil 56kg",17,IF(Atletas!D487="Juvenil 60kg",18,IF(Atletas!D487="Juvenil 65kg",19,IF(Atletas!D487="Juvenil 70kg",20,IF(Atletas!D487="Juvenil 75kg",21,IF(Atletas!D487="Juvenil 80kg",22, IF(Atletas!D487="Juvenil 85kg",23,IF(Atletas!D487="Adulto 48kg",24,IF(Atletas!D487="Adulto 52kg",25,IF(Atletas!D487="Adulto 56kg",26,IF(Atletas!D487="Adulto 60kg",27,IF(Atletas!D487="Adulto 65kg",28,IF(Atletas!D487="Adulto 70kg",29,IF(Atletas!D487="Adulto 75kg",30,IF(Atletas!D487="Adulto 80kg",31,IF(Atletas!D487="Adulto 85kg",32,IF(Atletas!D487="Adulto 90kg",33,IF(Atletas!D487="Adulto 100kg",34, IF(Atletas!D487="Adulto +100kg",35,"")))))))))))))))))))))))))))))))))))))</f>
        <v/>
      </c>
      <c r="AS496" s="6" t="str">
        <f>IF(Atletas!E487="","",IF(Atletas!B487="Feminino",100,IF(Atletas!B487="Masculino",200,""))+(IF(Atletas!E487="Juvenil 44kg",1,IF(Atletas!E487="Juvenil 48kg",2,IF(Atletas!E487="Juvenil 52kg",3,IF(Atletas!E487="Juvenil 56kg",4,IF(Atletas!E487="Juvenil 60kg",5,IF(Atletas!E487="Juvenil 65kg",6,IF(Atletas!E487="Juvenil 70kg",7,IF(Atletas!E487="Juvenil 75kg",8,IF(Atletas!E487="Juvenil 82kg",9,IF(Atletas!E487="Juvenil 90kg",10,IF(Atletas!E487="Juvenil 100kg",11,IF(Atletas!E487="Adulto 48kg",12,IF(Atletas!E487="Adulto 52kg",13,IF(Atletas!E487="Adulto 56kg",14,IF(Atletas!E487="Adulto 60kg",15,IF(Atletas!E487="Adulto 65kg",16,IF(Atletas!E487="Adulto 70kg",17,IF(Atletas!E487="Adulto 75kg",18,IF(Atletas!E487="Adulto 82kg",19,IF(Atletas!E487="Adulto 90kg",20,IF(Atletas!E487="Adulto 100kg",21,IF(Atletas!E487="Adulto +100kg",22,""))))))))))))))))))))))))</f>
        <v/>
      </c>
      <c r="AX496" s="6" t="str">
        <f>IF(Atletas!F487="","",IF(Atletas!B487="Feminino",100,IF(Atletas!B487="Masculino",200,""))+(IF(Atletas!F487="Adulto 48kg",1,IF(Atletas!F487="Adulto 56kg",2,IF(Atletas!F487="Adulto 65kg",3,IF(Atletas!F487="Adulto 75kg",4,IF(Atletas!F487="Adulto +75kg",5,IF(Atletas!F487="Adulto 52kg",6,IF(Atletas!F487="Adulto 60kg",7,IF(Atletas!F487="Adulto 70kg",8,IF(Atletas!F487="Adulto 80kg",9,IF(Atletas!F487="Adulto 90kg",10,IF(Atletas!F487="Adulto +90kg",11,"")))))))))))))</f>
        <v/>
      </c>
      <c r="BC496" s="6" t="str">
        <f>IF(Atletas!G487="","",IF(Atletas!B487="Feminino",10,IF(Atletas!B487="Masculino",20,""))+(IF(Atletas!G487="Baduanjin A",1,IF(Atletas!G487="Baduanjin B",2))))</f>
        <v/>
      </c>
      <c r="BF496" s="52" t="str">
        <f>IF(Atletas!H487="","",IF(Atletas!B487="Feminino",100,IF(Atletas!B487="Masculino",200,""))+(IF(Atletas!H487="Changquan Mirim",1,IF(Atletas!H487="Nanquan Mirim",2,IF(Atletas!H487="Taijiquan Mirim",3,IF(Atletas!H487="Changquan Grupo C",4,IF(Atletas!H487="Nanquan Grupo C",5,IF(Atletas!H487="Taijiquan Grupo C",6,IF(Atletas!H487="Changquan Grupo B",7,IF(Atletas!H487="Nanquan Grupo B",8,IF(Atletas!H487="Taijiquan Grupo B",9,IF(Atletas!H487="Changquan Grupo A",10,IF(Atletas!H487="Nanquan Grupo A",11,IF(Atletas!H487="Taijiquan Grupo A",12,IF(Atletas!H487="Changquan Opcional",13,IF(Atletas!H487="Nanquan Opcional",14,IF(Atletas!H487="Taijiquan Opcional",15,IF(Atletas!H487="Changquan Adulto",16,IF(Atletas!H487="Nanquan Adulto",17,IF(Atletas!H487="Taijiquan Adulto",18,""))))))))))))))))))))</f>
        <v/>
      </c>
      <c r="BG496" s="52" t="str">
        <f>IF(Atletas!I487="","",IF(Atletas!B487="Feminino",100,IF(Atletas!B487="Masculino",200,""))+(IF(Atletas!I487="Daoshu Mirim",19,IF(Atletas!I487="Jianshu Mirim",20,IF(Atletas!I487="Nandao Mirim",21,IF(Atletas!I487="Taijijian Mirim",22,IF(Atletas!I487="Daoshu Grupo C",23,IF(Atletas!I487="Jianshu Grupo C",24,IF(Atletas!I487="Nandao Grupo C",25,IF(Atletas!I487="Taijijian Grupo C",26,IF(Atletas!I487="Daoshu Grupo B",27,IF(Atletas!I487="Jianshu Grupo B",28,IF(Atletas!I487="Nandao Grupo B",29,IF(Atletas!I487="Taijijian Grupo B",30,IF(Atletas!I487="Daoshu Grupo A",31,IF(Atletas!I487="Jianshu Grupo A",32,IF(Atletas!I487="Nandao Grupo A",33,IF(Atletas!I487="Taijijian Grupo A",34,IF(Atletas!I487="Daoshu Opcional",35,IF(Atletas!I487="Jianshu Opcional",36,IF(Atletas!I487="Nandao Opcional",37,IF(Atletas!I487="Taijijian Opcional",38,IF(Atletas!I487="Daoshu Adulto",39,IF(Atletas!I487="Jianshu Adulto",40,IF(Atletas!I487="Nandao Adulto",41,IF(Atletas!I487="Taijijian Adulto",42,""))))))))))))))))))))))))))</f>
        <v/>
      </c>
      <c r="BH496" s="52" t="str">
        <f>IF(Atletas!J487="","",IF(Atletas!B487="Feminino",100,IF(Atletas!B487="Masculino",200,""))+(IF(Atletas!J487="Gunshu Mirim",43,IF(Atletas!J487="Qiangshu Mirim",44,IF(Atletas!J487="Nangun Mirim",45,IF(Atletas!J487="Gunshu Grupo C",46,IF(Atletas!J487="Qiangshu Grupo C",47,IF(Atletas!J487="Nangun Grupo C",48,IF(Atletas!J487="Gunshu Grupo B",49,IF(Atletas!J487="Qiangshu Grupo B",50,IF(Atletas!J487="Nangun Grupo B",51,IF(Atletas!J487="Gunshu Grupo A",52,IF(Atletas!J487="Qiangshu Grupo A",53,IF(Atletas!J487="Nangun Grupo A",54,IF(Atletas!J487="Gunshu Opcional",55,IF(Atletas!J487="Qiangshu Opcional",56,IF(Atletas!J487="Nangun Opcional",57,IF(Atletas!J487="Gunshu Adulto",58,IF(Atletas!J487="Qiangshu Adulto",59,IF(Atletas!J487="Nangun Adulto",60,IF(Atletas!J487="Taijishan Grupo B",61,IF(Atletas!J487="Taijishan Grupo A",62,""))))))))))))))))))))))</f>
        <v/>
      </c>
      <c r="BM496" s="50" t="str">
        <f>IF(Atletas!K487="","",IF(Atletas!B487="Feminino",100,IF(Atletas!B487="Masculino",200,""))+(IF(Atletas!K487="Equipe 1 Grupo B",1,IF(Atletas!K487="Equipe 2 Grupo B",2,IF(Atletas!K487="Equipe 1 Grupo A",3,IF(Atletas!K487="Equipe 2 Grupo A",4,IF(Atletas!K487="Equipe 1 Adulto",5,IF(Atletas!K487="Equipe 2 Adulto",6,""))))))))</f>
        <v/>
      </c>
      <c r="BR496" s="50" t="str">
        <f>IF(Atletas!L487="","",IF(Atletas!X487&lt;&gt;"",10000,0)+(IF(Atletas!B487="Feminino",1000,IF(Atletas!B487="Masculino",2000,""))+IF(Atletas!L487="Choylayfut A",1,IF(Atletas!L487="Hunggar A",2,IF(Atletas!L487="Wuzuquan A",3,IF(Atletas!L487="Wingchun A",4,IF(Atletas!L487="Outra Mão de Sul A",5,IF(Atletas!L487="Choylayfut B",6,IF(Atletas!L487="Hunggar B",7,IF(Atletas!L487="Wuzuquan B",8,IF(Atletas!L487="Wingchun B",9,IF(Atletas!L487="Outra Mão de Sul B",10,IF(Atletas!L487="Choylayfut C",11,IF(Atletas!L487="Hunggar C",12,IF(Atletas!L487="Wuzuquan C",13,IF(Atletas!L487="Wingchun C",14,IF(Atletas!L487="Outra Mão de Sul C",15,IF(Atletas!L487="Choylayfut D",16,IF(Atletas!L487="Hunggar D",17,IF(Atletas!L487="Wuzuquan D",18,IF(Atletas!L487="Wingchun D",19,IF(Atletas!L487="Outra Mão de Sul D",20,IF(Atletas!L487="Choylayfut E",21,IF(Atletas!L487="Hunggar E",22,IF(Atletas!L487="Wuzuquan E",23,IF(Atletas!L487="Wingchun E",24,IF(Atletas!L487="Outra Mão de Sul E",25,IF(Atletas!L487="Choylayfut F",26,IF(Atletas!L487="Hunggar F",27,IF(Atletas!L487="Wuzuquan F",28,IF(Atletas!L487="Wingchun F",29,IF(Atletas!L487="Outra Mão de Sul F",30,IF(Atletas!L487="Dishuquan A",31,IF(Atletas!L487="Dishuquan B",32,IF(Atletas!L487="Dishuquan C",33,IF(Atletas!L487="Dishuquan D",34,IF(Atletas!L487="Dishuquan E",35,IF(Atletas!L487="Dishuquan F",36,""))))))))))))))))))))))))))))))))))))))</f>
        <v/>
      </c>
      <c r="BS496" s="50" t="str">
        <f>IF(Atletas!M487="","",IF(Atletas!X487&lt;&gt;"",10000,0)+(IF(Atletas!B487="Feminino",1000,IF(Atletas!B487="Masculino",2000,""))+(IF(Atletas!M487="Chaquan A",101,IF(Atletas!M487="Emeiquan A",102,IF(Atletas!M487="Fanziquan A",103,IF(Atletas!M487="Huaquan A",104,IF(Atletas!M487="Hongquan A",105,IF(Atletas!M487="Paoquan A",106,IF(Atletas!M487="Piguaquan A",107,IF(Atletas!M487="Shaolinquan A",108,IF(Atletas!M487="Tanglangquan A",109,IF(Atletas!M487="Yingzhaoquan A",110,IF(Atletas!M487="Tongbeiquan A",111,IF(Atletas!M487="Wudangquan A",112,IF(Atletas!M487="Outros Estilos A",113,IF(Atletas!M487="Chaquan B",114,IF(Atletas!M487="Emeiquan B",115,IF(Atletas!M487="Fanziquan B",116,IF(Atletas!M487="Huaquan B",117,IF(Atletas!M487="Hongquan B",118,IF(Atletas!M487="Paoquan B",119,IF(Atletas!M487="Piguaquan B",120,IF(Atletas!M487="Shaolinquan B",121,IF(Atletas!M487="Tanglangquan B",122,IF(Atletas!M487="Yingzhaoquan B",123,IF(Atletas!M487="Tongbeiquan B",124,IF(Atletas!M487="Wudangquan B",125,IF(Atletas!M487="Outros Estilos B",126,IF(Atletas!M487="Chaquan C",127,IF(Atletas!M487="Emeiquan C",128,IF(Atletas!M487="Fanziquan C",129,IF(Atletas!M487="Huaquan C",130,IF(Atletas!M487="Hongquan C",131,IF(Atletas!M487="Paoquan C",132,IF(Atletas!M487="Piguaquan C",133,IF(Atletas!M487="Shaolinquan C",134,IF(Atletas!M487="Tanglangquan C",135,IF(Atletas!M487="Yingzhaoquan C",136,IF(Atletas!M487="Tongbeiquan C",137,IF(Atletas!M487="Wudangquan C",138,IF(Atletas!M487="Outros Estilos C",139,0))))))))))))))))))))))))))))))))))))))))))</f>
        <v/>
      </c>
      <c r="BT496" s="50" t="str">
        <f>IF(Atletas!M487="","",IF(Atletas!X487&lt;&gt;"",10000,0)+(IF(Atletas!B487="Feminino",1000,IF(Atletas!B487="Masculino",2000,""))+(IF(Atletas!M487="Chaquan D",140,IF(Atletas!M487="Emeiquan D",141,IF(Atletas!M487="Fanziquan D",142,IF(Atletas!M487="Huaquan D",143,IF(Atletas!M487="Hongquan D",144,IF(Atletas!M487="Paoquan D",145,IF(Atletas!M487="Piguaquan D",146,IF(Atletas!M487="Shaolinquan D",147,IF(Atletas!M487="Tanglangquan D",148,IF(Atletas!M487="Yingzhaoquan D",149,IF(Atletas!M487="Tongbeiquan D",150,IF(Atletas!M487="Wudangquan D",151,IF(Atletas!M487="Outros Estilos D",152,IF(Atletas!M487="Chaquan E",153,IF(Atletas!M487="Emeiquan E",154,IF(Atletas!M487="Fanziquan E",155,IF(Atletas!M487="Huaquan E",156,IF(Atletas!M487="Hongquan E",157,IF(Atletas!M487="Paoquan E",158,IF(Atletas!M487="Piguaquan E",159,IF(Atletas!M487="Shaolinquan E",160,IF(Atletas!M487="Tanglangquan E",161,IF(Atletas!M487="Yingzhaoquan E",162,IF(Atletas!M487="Tongbeiquan E",163,IF(Atletas!M487="Wudangquan E",164,IF(Atletas!M487="Outros Estilos E",165,IF(Atletas!M487="Chaquan F",166,IF(Atletas!M487="Emeiquan F",167,IF(Atletas!M487="Fanziquan F",168,IF(Atletas!M487="Huaquan F",169,IF(Atletas!M487="Hongquan F",170,IF(Atletas!M487="Paoquan F",171,IF(Atletas!M487="Piguaquan F",172,IF(Atletas!M487="Shaolinquan F",173,IF(Atletas!M487="Tanglangquan F",174,IF(Atletas!M487="Yingzhaoquan F",175,IF(Atletas!M487="Tongbeiquan F",176,IF(Atletas!M487="Wudangquan F",177,IF(Atletas!M487="Outros Estilos F",178,0))))))))))))))))))))))))))))))))))))))))))</f>
        <v/>
      </c>
      <c r="BU496" s="50" t="str">
        <f>IF(Atletas!N487="","",IF(Atletas!X487&lt;&gt;"",10000,0)+(IF(Atletas!B487="Feminino",1000,IF(Atletas!B487="Masculino",2000,""))+(IF(Atletas!N487="Ditangquan A",201,IF(Atletas!N487="Houquan A",202,IF(Atletas!N487="Zuiquan A",203,IF(Atletas!N487="Ditangquan B",204,IF(Atletas!N487="Houquan B",205,IF(Atletas!N487="Zuiquan B",206,IF(Atletas!N487="Ditangquan C",207,IF(Atletas!N487="Houquan C",208,IF(Atletas!N487="Zuiquan C",209,IF(Atletas!N487="Ditangquan D",210,IF(Atletas!N487="Houquan D",211,IF(Atletas!N487="Zuiquan D",212,IF(Atletas!N487="Ditangquan E",213,IF(Atletas!N487="Houquan E",214,IF(Atletas!N487="Zuiquan E",215,IF(Atletas!N487="Ditangquan F",216,IF(Atletas!N487="Houquan F",217,IF(Atletas!N487="Zuiquan F",218,"")))))))))))))))))))))</f>
        <v/>
      </c>
      <c r="BV496" s="50" t="str">
        <f>IF(Atletas!O487="","",IF(Atletas!X487&lt;&gt;"",10000,0)+IF(Atletas!B487="Feminino",1000,IF(Atletas!B487="Masculino",2000,""))+IF(Atletas!O487="Yang A",301,IF(Atletas!O487="Chen A",302,IF(Atletas!O487="Sun A",303,IF(Atletas!O487="Wu A",304,IF(Atletas!O487="Wu-Hao A",305,IF(Atletas!O487="Outro Taijiquan A",306,IF(Atletas!O487="Yang B",307,IF(Atletas!O487="Chen B",308,IF(Atletas!O487="Sun B",309,IF(Atletas!O487="Wu B",310,IF(Atletas!O487="Wu-Hao B",311,IF(Atletas!O487="Outro Taijiquan B",312,IF(Atletas!O487="Yang C",313,IF(Atletas!O487="Chen C",314,IF(Atletas!O487="Sun C",315,IF(Atletas!O487="Wu C",316,IF(Atletas!O487="Wu-Hao C",317,IF(Atletas!O487="Outro Taijiquan C",318,IF(Atletas!O487="Yang D",319,IF(Atletas!O487="Chen D",320,IF(Atletas!O487="Sun D",321,IF(Atletas!O487="Wu D",322,IF(Atletas!O487="Wu-Hao D",323,IF(Atletas!O487="Outro Taijiquan D",324,IF(Atletas!O487="Yang E",325,IF(Atletas!O487="Chen E",326,IF(Atletas!O487="Sun E",327,IF(Atletas!O487="Wu E",328,IF(Atletas!O487="Wu-Hao E",329,IF(Atletas!O487="Outro Taijiquan E",330,IF(Atletas!O487="Yang F",331,IF(Atletas!O487="Chen F",332,IF(Atletas!O487="Sun F",333,IF(Atletas!O487="Wu F",334,IF(Atletas!O487="Wu-Hao F",335,IF(Atletas!O487="Outro Taijiquan F",336,"")))))))))))))))))))))))))))))))))))))</f>
        <v/>
      </c>
      <c r="BW496" s="50" t="str">
        <f>IF(Atletas!P487="","",IF(Atletas!X487&lt;&gt;"",10000,0)+IF(Atletas!B487="Feminino",1000,IF(Atletas!B487="Masculino",2000,""))+IF(OR(Atletas!P487="Yang 26 A",Atletas!P487="Yang 40 A"),401,IF(OR(Atletas!P487="Chen 25 A",Atletas!P487="Chen 36 A",Atletas!P487="Chen 56 A"),402,IF(Atletas!P487="Sun 73 A",403,IF(Atletas!P487="Wu 45 A",404,IF(Atletas!P487="Wu-Hao 46 A",405,IF(OR(Atletas!P487="Taijiquan 16 A",Atletas!P487="Taijiquan 24 A",Atletas!P487="Taijiquan 32 A",Atletas!P487="Taijiquan 42 A"),406,IF(OR(Atletas!P487="Yang 26 B",Atletas!P487="Yang 40 B"),407,IF(OR(Atletas!P487="Chen 25 B",Atletas!P487="Chen 36 B",Atletas!P487="Chen 56 B"),408,IF(Atletas!P487="Sun 73 B",409,IF(Atletas!P487="Wu 45 B",410,IF(Atletas!P487="Wu-Hao 46 B",411,IF(OR(Atletas!P487="Taijiquan 16 B",Atletas!P487="Taijiquan 24 B",Atletas!P487="Taijiquan 32 B",Atletas!P487="Taijiquan 42 B"),412,IF(OR(Atletas!P487="Yang 26 C",Atletas!P487="Yang 40 C"),413,IF(OR(Atletas!P487="Chen 25 C",Atletas!P487="Chen 36 C",Atletas!P487="Chen 56 C"),414,IF(Atletas!P487="Sun 73 C",415,IF(Atletas!P487="Wu 45 C",416,IF(Atletas!P487="Wu-Hao 46 C",417,IF(OR(Atletas!P487="Taijiquan 16 C",Atletas!P487="Taijiquan 24 C",Atletas!P487="Taijiquan 32 C",Atletas!P487="Taijiquan 42 C"),418,0)))))))))))))))))))</f>
        <v/>
      </c>
      <c r="BX496" s="50" t="str">
        <f>IF(Atletas!P487="","",IF(Atletas!X487&lt;&gt;"",10000,0)+IF(Atletas!B487="Feminino",1000,IF(Atletas!B487="Masculino",2000,""))+IF(OR(Atletas!P487="Yang 26 D",Atletas!P487="Yang 40 D"),419,IF(OR(Atletas!P487="Chen 25 D",Atletas!P487="Chen 36 D",Atletas!P487="Chen 56 D"),420,IF(Atletas!P487="Sun 73 D",421,IF(Atletas!P487="Wu 45 D",422,IF(Atletas!P487="Wu-Hao 46 D",423,IF(OR(Atletas!P487="Taijiquan 16 D",Atletas!P487="Taijiquan 24 D",Atletas!P487="Taijiquan 32 D",Atletas!P487="Taijiquan 42 D"),424,IF(OR(Atletas!P487="Yang 26 E",Atletas!P487="Yang 40 E"),425,IF(OR(Atletas!P487="Chen 25 E",Atletas!P487="Chen 36 E",Atletas!P487="Chen 56 E"),426,IF(Atletas!P487="Sun 73 E",427,IF(Atletas!P487="Wu 45 E",428,IF(Atletas!P487="Wu-Hao 46 E",429,IF(OR(Atletas!P487="Taijiquan 16 E",Atletas!P487="Taijiquan 24 E",Atletas!P487="Taijiquan 32 E",Atletas!P487="Taijiquan 42 E"),430,IF(OR(Atletas!P487="Yang 26 F",Atletas!P487="Yang 40 F"),431,IF(OR(Atletas!P487="Chen 25 F",Atletas!P487="Chen 36 F",Atletas!P487="Chen 56 F"),432,IF(Atletas!P487="Sun 73 F",433,IF(Atletas!P487="Wu 45 F",434,IF(Atletas!P487="Wu-Hao 46 F",435,IF(OR(Atletas!P487="Taijiquan 16 F",Atletas!P487="Taijiquan 24 F",Atletas!P487="Taijiquan 32 F",Atletas!P487="Taijiquan 42 F"),436,0)))))))))))))))))))</f>
        <v/>
      </c>
      <c r="BY496" s="50" t="str">
        <f>IF(Atletas!Q487="","",IF(Atletas!X487&lt;&gt;"",10000,0)+IF(Atletas!B487="Feminino",1000,IF(Atletas!B487="Masculino",2000,""))+IF(Atletas!Q487="Xingyiquan A",501,IF(Atletas!Q487="Baguazhang A",502,IF(Atletas!Q487="Outro Estilo Interno A",503,IF(Atletas!Q487="Xingyiquan B",504,IF(Atletas!Q487="Baguazhang B",505,IF(Atletas!Q487="Outro Estilo Interno B",506,IF(Atletas!Q487="Xingyiquan C",507,IF(Atletas!Q487="Baguazhang C",508,IF(Atletas!Q487="Outro Estilo Interno C",509,IF(Atletas!Q487="Xingyiquan D",510,IF(Atletas!Q487="Baguazhang D",511,IF(Atletas!Q487="Outro Estilo Interno D",512,IF(Atletas!Q487="Xingyiquan E",513,IF(Atletas!Q487="Baguazhang E",514,IF(Atletas!Q487="Outro Estilo Interno E",515,IF(Atletas!Q487="Xingyiquan F",516,IF(Atletas!Q487="Baguazhang F",517,IF(Atletas!Q487="Outro Estilo Interno F",518, "")))))))))))))))))))</f>
        <v/>
      </c>
      <c r="BZ496" s="50" t="str">
        <f>IF(Atletas!R487="","",IF(Atletas!X487&lt;&gt;"",10000,0)+IF(Atletas!B487="Feminino",1000,IF(Atletas!B487="Masculino",2000,""))+IF(Atletas!R487="Dao A",601,IF(Atletas!R487="Jian A",602,IF(Atletas!R487="Bishou A",603,IF(Atletas!R487="Shanzi A",604,IF(Atletas!R487="Outra Arma Curta A",605,IF(Atletas!R487="Dao B",606,IF(Atletas!R487="Jian B",607,IF(Atletas!R487="Bishou B",608,IF(Atletas!R487="Shanzi B",609,IF(Atletas!R487="Outra Arma Curta B",610,IF(Atletas!R487="Dao C",611,IF(Atletas!R487="Jian C",612,IF(Atletas!R487="Bishou C",613,IF(Atletas!R487="Shanzi C",614,IF(Atletas!R487="Outra Arma Curta C",615,IF(Atletas!R487="Dao D",616,IF(Atletas!R487="Jian D",617,IF(Atletas!R487="Bishou D",618,IF(Atletas!R487="Shanzi D",619,IF(Atletas!R487="Outra Arma Curta D",620,IF(Atletas!R487="Dao E",621,IF(Atletas!R487="Jian E",622,IF(Atletas!R487="Bishou E",623,IF(Atletas!R487="Shanzi E",624,IF(Atletas!R487="Outra Arma Curta E",625,IF(Atletas!R487="Dao F",626,IF(Atletas!R487="Jian F",627,IF(Atletas!R487="Bishou F",628,IF(Atletas!R487="Shanzi F",629,IF(Atletas!R487="Outra Arma Curta F",630, "")))))))))))))))))))))))))))))))</f>
        <v/>
      </c>
      <c r="CA496" s="50" t="str">
        <f>IF(Atletas!S487="","",IF(Atletas!X487&lt;&gt;"",10000,0)+IF(Atletas!B487="Feminino",1000,IF(Atletas!B487="Masculino",2000,""))+IF(Atletas!S487="Gun A",701,IF(Atletas!S487="Qiang A",702,IF(Atletas!S487="Pudao / Guandao A",703,IF(Atletas!S487="Outra Arma Longa A",704,IF(Atletas!S487="Gun B",705,IF(Atletas!S487="Qiang B",706,IF(Atletas!S487="Pudao / Guandao B",707,IF(Atletas!S487="Outra Arma Longa B",708,IF(Atletas!S487="Gun C",709,IF(Atletas!S487="Qiang C",710,IF(Atletas!S487="Pudao / Guandao C",711,IF(Atletas!S487="Outra Arma Longa C",712,IF(Atletas!S487="Gun D",713,IF(Atletas!S487="Qiang D",714,IF(Atletas!S487="Pudao / Guandao D",715,IF(Atletas!S487="Outra Arma Longa D",716,IF(Atletas!S487="Gun E",717,IF(Atletas!S487="Qiang E",718,IF(Atletas!S487="Pudao / Guandao E",719,IF(Atletas!S487="Outra Arma Longa E",720,IF(Atletas!S487="Gun F",721,IF(Atletas!S487="Qiang F",722,IF(Atletas!S487="Pudao / Guandao F",723,IF(Atletas!S487="Outra Arma Longa F",724,"")))))))))))))))))))))))))</f>
        <v/>
      </c>
      <c r="CB496" s="50" t="str">
        <f>IF(Atletas!T487="","",IF(Atletas!X487&lt;&gt;"",10000,0)+IF(Atletas!B487="Feminino",1000,IF(Atletas!B487="Masculino",2000,""))+IF(Atletas!T487="Outra Arma Dupla A",801,IF(Atletas!T487="Arma Maleável A",802,IF(Atletas!T487="Outra Arma Dupla B",803,IF(Atletas!T487="Arma Maleável B",804,IF(Atletas!T487="Outra Arma Dupla C",805,IF(Atletas!T487="Arma Maleável C",806,IF(Atletas!T487="Outra Arma Dupla D",807,IF(Atletas!T487="Arma Maleável D",808,IF(Atletas!T487="Outra Arma Dupla E",809,IF(Atletas!T487="Arma Maleável E",810,IF(Atletas!T487="Outra Arma Dupla F",811,IF(Atletas!T487="Arma Maleável F",812,IF(Atletas!T487="Shuangdao A",813,IF(Atletas!T487="Shuangdao B",814,IF(Atletas!T487="Shuangdao C",815,IF(Atletas!T487="Shuangdao D",816,IF(Atletas!T487="Shuangdao E",817,IF(Atletas!T487="Shuangdao F",818,"")))))))))))))))))))</f>
        <v/>
      </c>
      <c r="CC496" s="50" t="str">
        <f>IF(Atletas!U487="","",IF(Atletas!X487&lt;&gt;"",10000,0)+IF(Atletas!B487="Feminino",1000,IF(Atletas!B487="Masculino",2000,""))+IF(OR(Atletas!U487="Taijijian Yang A",Atletas!U487="Taijijian Yang Standard A"),901,IF(OR(Atletas!U487="Taijijian Chen A", Atletas!U487="Taijijian Chen Standard A"),902,IF(Atletas!U487="Taijijian Sun A",903,IF(Atletas!U487="Taijijian Wu A",904,IF(Atletas!U487="Taijijian Wu-Hao A",905,IF(OR(Atletas!U487="Taijijian 32 A",Atletas!U487="Taijijian 42 A"),906,IF(OR(Atletas!U487="Taijijian Yang B",Atletas!U487="Taijijian Yang Standard B"),907,IF(OR(Atletas!U487="Taijijian Chen B", Atletas!U487="Taijijian Chen Standard B"),908,IF(Atletas!U487="Taijijian Sun B",909,IF(Atletas!U487="Taijijian Wu B",910,IF(Atletas!U487="Taijijian Wu-Hao B",911,IF(OR(Atletas!U487="Taijijian 32 B",Atletas!U487="Taijijian 42 B"),912,IF(OR(Atletas!U487="Taijijian Yang C",Atletas!U487="Taijijian Yang Standard C"),913,IF(OR(Atletas!U487="Taijijian Chen C", Atletas!U487="Taijijian Chen Standard C"),914,IF(Atletas!U487="Taijijian Sun C",915,IF(Atletas!U487="Taijijian Wu C",916,IF(Atletas!U487="Taijijian Wu-Hao C",917,IF(OR(Atletas!U487="Taijijian 32 C",Atletas!U487="Taijijian 42 C"),918,IF(OR(Atletas!U487="Taijijian Yang D",Atletas!U487="Taijijian Yang Standard D"),919,IF(OR(Atletas!U487="Taijijian Chen D", Atletas!U487="Taijijian Chen Standard D"),920,IF(Atletas!U487="Taijijian Sun D",921,IF(Atletas!U487="Taijijian Wu D",922,IF(Atletas!U487="Taijijian Wu-Hao D",923,IF(OR(Atletas!U487="Taijijian 32 D",Atletas!U487="Taijijian 42 D"),924,IF(OR(Atletas!U487="Taijijian Yang E",Atletas!U487="Taijijian Yang Standard E"),925,IF(OR(Atletas!U487="Taijijian Chen E", Atletas!U487="Taijijian Chen Standard E"),926,IF(Atletas!U487="Taijijian Sun E",927,IF(Atletas!U487="Taijijian Wu E",928,IF(Atletas!U487="Taijijian Wu-Hao E",929,IF(OR(Atletas!U487="Taijijian 32 E",Atletas!U487="Taijijian 42 E"),930,IF(OR(Atletas!U487="Taijijian Yang F",Atletas!U487="Taijijian Yang Standard F"),931,IF(OR(Atletas!U487="Taijijian Chen F", Atletas!U487="Taijijian Chen Standard F"),932,IF(Atletas!U487="Taijijian Sun F",933,IF(Atletas!U487="Taijijian Wu F",934,IF(Atletas!U487="Taijijian Wu-Hao F",935,IF(OR(Atletas!U487="Taijijian 32 F",Atletas!U487="Taijijian 42 F"),936,"")))))))))))))))))))))))))))))))))))))</f>
        <v/>
      </c>
      <c r="CD496" s="50" t="str">
        <f>IF(Atletas!V487="","",IF(Atletas!X487&lt;&gt;"",10000,0)+IF(Atletas!B487="Feminino",1000,IF(Atletas!B487="Masculino",2000,""))+IF(Atletas!V487="Taijidao A",937,IF(Atletas!V487="TaijiShanzi A",938,IF(Atletas!V487="Taijiqiang A",939,IF(Atletas!V487="Bagua de Arma A",940,IF(Atletas!V487="Xingyi de Arma A",941,IF(Atletas!V487="Taijidao B",942,IF(Atletas!V487="TaijiShanzi B",943,IF(Atletas!V487="Taijiqiang B",944,IF(Atletas!V487="Bagua de Arma B",945,IF(Atletas!V487="Xingyi de Arma B",946,IF(Atletas!V487="Taijidao C",947,IF(Atletas!V487="TaijiShanzi C",948,IF(Atletas!V487="Taijiqiang C",949,IF(Atletas!V487="Bagua de Arma C",950,IF(Atletas!V487="Xingyi de Arma C",951,IF(Atletas!V487="Taijidao D",952,IF(Atletas!V487="TaijiShanzi D",953,IF(Atletas!V487="Taijiqiang D",954,IF(Atletas!V487="Bagua de Arma D",955,IF(Atletas!V487="Xingyi de Arma D",956,IF(Atletas!V487="Taijidao E",957,IF(Atletas!V487="TaijiShanzi E",958,IF(Atletas!V487="Taijiqiang E",959,IF(Atletas!V487="Bagua de Arma E",960,IF(Atletas!V487="Xingyi de Arma E",961,IF(Atletas!V487="Taijidao F",962,IF(Atletas!V487="TaijiShanzi F",963,IF(Atletas!V487="Taijiqiang F",964,IF(Atletas!V487="Bagua de Arma F",965,IF(Atletas!V487="Xingyi de Arma F",966,"")))))))))))))))))))))))))))))))</f>
        <v/>
      </c>
      <c r="CM496" s="50" t="str">
        <f xml:space="preserve"> IF(Atletas!W487="","",IF(Atletas!W487="Duilian de Mãos BC - Equipe 1",1,IF(Atletas!W487="Duilian de Mãos BC - Equipe 2",2,IF(Atletas!W487="Duilian de Armas BC - Equipe 1",3,IF(Atletas!W487="Duilian de Armas BC - Equipe 2",4,IF(Atletas!W487="Duilian de Mãos DE - Equipe 1",5,IF(Atletas!W487="Duilian de Mãos DE - Equipe 2",6,IF(Atletas!W487="Duilian de Armas DE - Equipe 1",7,IF(Atletas!W487="Duilian de Armas DE - Equipe 2",8,IF(Atletas!W487="Duilian de Tuishou - Equipe 1",9,IF(Atletas!W487="Duilian de Tuishou - Equipe 2",10,IF(Atletas!W487="Grupo Externo ABC - Equipe 1",11,IF(Atletas!W487="Grupo Externo ABC - Equipe 2",12,IF(Atletas!W487="Grupo Interno ABC - Equipe 1",13,IF(Atletas!W487="Grupo Interno ABC - Equipe 2",14,IF(Atletas!W487="Grupo Externo DEF - Equipe 1",15,IF(Atletas!W487="Grupo Externo DEF - Equipe 2",16,IF(Atletas!W487="Grupo Interno DEF - Equipe 1",17,IF(Atletas!W487="Grupo Interno DEF - Equipe 2",18,"")))))))))))))))))))</f>
        <v/>
      </c>
    </row>
    <row r="497" spans="40:91">
      <c r="AN497" s="52" t="str">
        <f>IF(Atletas!D488="","",IF(Atletas!B488="Feminino",100,IF(Atletas!B488="Masculino",200,""))+(IF(Atletas!D488="Kids 30kg",1,IF(Atletas!D488="Kids 32kg",2, IF(Atletas!D488="Kids 34kg",3,IF(Atletas!D488="Kids 36kg",4,IF(Atletas!D488="Kids 39kg",5,IF(Atletas!D488="Kids 42kg",6,IF(Atletas!D488="Kids 45kg",7, IF(Atletas!D488="Infantil 39kg",8,IF(Atletas!D488="Infantil 42kg",9,IF(Atletas!D488="Infantil 45kg",10,IF(Atletas!D488="Infantil 48kg",11,IF(Atletas!D488="Infantil 52kg",12,IF(Atletas!D488="Infantil 56kg",13,IF(Atletas!D488="Infantil 60kg",14,IF(Atletas!D488="Juvenil 48kg",15,IF(Atletas!D488="Juvenil 52kg",16,IF(Atletas!D488="Juvenil 56kg",17,IF(Atletas!D488="Juvenil 60kg",18,IF(Atletas!D488="Juvenil 65kg",19,IF(Atletas!D488="Juvenil 70kg",20,IF(Atletas!D488="Juvenil 75kg",21,IF(Atletas!D488="Juvenil 80kg",22, IF(Atletas!D488="Juvenil 85kg",23,IF(Atletas!D488="Adulto 48kg",24,IF(Atletas!D488="Adulto 52kg",25,IF(Atletas!D488="Adulto 56kg",26,IF(Atletas!D488="Adulto 60kg",27,IF(Atletas!D488="Adulto 65kg",28,IF(Atletas!D488="Adulto 70kg",29,IF(Atletas!D488="Adulto 75kg",30,IF(Atletas!D488="Adulto 80kg",31,IF(Atletas!D488="Adulto 85kg",32,IF(Atletas!D488="Adulto 90kg",33,IF(Atletas!D488="Adulto 100kg",34, IF(Atletas!D488="Adulto +100kg",35,"")))))))))))))))))))))))))))))))))))))</f>
        <v/>
      </c>
      <c r="AS497" s="6" t="str">
        <f>IF(Atletas!E488="","",IF(Atletas!B488="Feminino",100,IF(Atletas!B488="Masculino",200,""))+(IF(Atletas!E488="Juvenil 44kg",1,IF(Atletas!E488="Juvenil 48kg",2,IF(Atletas!E488="Juvenil 52kg",3,IF(Atletas!E488="Juvenil 56kg",4,IF(Atletas!E488="Juvenil 60kg",5,IF(Atletas!E488="Juvenil 65kg",6,IF(Atletas!E488="Juvenil 70kg",7,IF(Atletas!E488="Juvenil 75kg",8,IF(Atletas!E488="Juvenil 82kg",9,IF(Atletas!E488="Juvenil 90kg",10,IF(Atletas!E488="Juvenil 100kg",11,IF(Atletas!E488="Adulto 48kg",12,IF(Atletas!E488="Adulto 52kg",13,IF(Atletas!E488="Adulto 56kg",14,IF(Atletas!E488="Adulto 60kg",15,IF(Atletas!E488="Adulto 65kg",16,IF(Atletas!E488="Adulto 70kg",17,IF(Atletas!E488="Adulto 75kg",18,IF(Atletas!E488="Adulto 82kg",19,IF(Atletas!E488="Adulto 90kg",20,IF(Atletas!E488="Adulto 100kg",21,IF(Atletas!E488="Adulto +100kg",22,""))))))))))))))))))))))))</f>
        <v/>
      </c>
      <c r="AX497" s="6" t="str">
        <f>IF(Atletas!F488="","",IF(Atletas!B488="Feminino",100,IF(Atletas!B488="Masculino",200,""))+(IF(Atletas!F488="Adulto 48kg",1,IF(Atletas!F488="Adulto 56kg",2,IF(Atletas!F488="Adulto 65kg",3,IF(Atletas!F488="Adulto 75kg",4,IF(Atletas!F488="Adulto +75kg",5,IF(Atletas!F488="Adulto 52kg",6,IF(Atletas!F488="Adulto 60kg",7,IF(Atletas!F488="Adulto 70kg",8,IF(Atletas!F488="Adulto 80kg",9,IF(Atletas!F488="Adulto 90kg",10,IF(Atletas!F488="Adulto +90kg",11,"")))))))))))))</f>
        <v/>
      </c>
      <c r="BC497" s="6" t="str">
        <f>IF(Atletas!G488="","",IF(Atletas!B488="Feminino",10,IF(Atletas!B488="Masculino",20,""))+(IF(Atletas!G488="Baduanjin A",1,IF(Atletas!G488="Baduanjin B",2))))</f>
        <v/>
      </c>
      <c r="BF497" s="52" t="str">
        <f>IF(Atletas!H488="","",IF(Atletas!B488="Feminino",100,IF(Atletas!B488="Masculino",200,""))+(IF(Atletas!H488="Changquan Mirim",1,IF(Atletas!H488="Nanquan Mirim",2,IF(Atletas!H488="Taijiquan Mirim",3,IF(Atletas!H488="Changquan Grupo C",4,IF(Atletas!H488="Nanquan Grupo C",5,IF(Atletas!H488="Taijiquan Grupo C",6,IF(Atletas!H488="Changquan Grupo B",7,IF(Atletas!H488="Nanquan Grupo B",8,IF(Atletas!H488="Taijiquan Grupo B",9,IF(Atletas!H488="Changquan Grupo A",10,IF(Atletas!H488="Nanquan Grupo A",11,IF(Atletas!H488="Taijiquan Grupo A",12,IF(Atletas!H488="Changquan Opcional",13,IF(Atletas!H488="Nanquan Opcional",14,IF(Atletas!H488="Taijiquan Opcional",15,IF(Atletas!H488="Changquan Adulto",16,IF(Atletas!H488="Nanquan Adulto",17,IF(Atletas!H488="Taijiquan Adulto",18,""))))))))))))))))))))</f>
        <v/>
      </c>
      <c r="BG497" s="52" t="str">
        <f>IF(Atletas!I488="","",IF(Atletas!B488="Feminino",100,IF(Atletas!B488="Masculino",200,""))+(IF(Atletas!I488="Daoshu Mirim",19,IF(Atletas!I488="Jianshu Mirim",20,IF(Atletas!I488="Nandao Mirim",21,IF(Atletas!I488="Taijijian Mirim",22,IF(Atletas!I488="Daoshu Grupo C",23,IF(Atletas!I488="Jianshu Grupo C",24,IF(Atletas!I488="Nandao Grupo C",25,IF(Atletas!I488="Taijijian Grupo C",26,IF(Atletas!I488="Daoshu Grupo B",27,IF(Atletas!I488="Jianshu Grupo B",28,IF(Atletas!I488="Nandao Grupo B",29,IF(Atletas!I488="Taijijian Grupo B",30,IF(Atletas!I488="Daoshu Grupo A",31,IF(Atletas!I488="Jianshu Grupo A",32,IF(Atletas!I488="Nandao Grupo A",33,IF(Atletas!I488="Taijijian Grupo A",34,IF(Atletas!I488="Daoshu Opcional",35,IF(Atletas!I488="Jianshu Opcional",36,IF(Atletas!I488="Nandao Opcional",37,IF(Atletas!I488="Taijijian Opcional",38,IF(Atletas!I488="Daoshu Adulto",39,IF(Atletas!I488="Jianshu Adulto",40,IF(Atletas!I488="Nandao Adulto",41,IF(Atletas!I488="Taijijian Adulto",42,""))))))))))))))))))))))))))</f>
        <v/>
      </c>
      <c r="BH497" s="52" t="str">
        <f>IF(Atletas!J488="","",IF(Atletas!B488="Feminino",100,IF(Atletas!B488="Masculino",200,""))+(IF(Atletas!J488="Gunshu Mirim",43,IF(Atletas!J488="Qiangshu Mirim",44,IF(Atletas!J488="Nangun Mirim",45,IF(Atletas!J488="Gunshu Grupo C",46,IF(Atletas!J488="Qiangshu Grupo C",47,IF(Atletas!J488="Nangun Grupo C",48,IF(Atletas!J488="Gunshu Grupo B",49,IF(Atletas!J488="Qiangshu Grupo B",50,IF(Atletas!J488="Nangun Grupo B",51,IF(Atletas!J488="Gunshu Grupo A",52,IF(Atletas!J488="Qiangshu Grupo A",53,IF(Atletas!J488="Nangun Grupo A",54,IF(Atletas!J488="Gunshu Opcional",55,IF(Atletas!J488="Qiangshu Opcional",56,IF(Atletas!J488="Nangun Opcional",57,IF(Atletas!J488="Gunshu Adulto",58,IF(Atletas!J488="Qiangshu Adulto",59,IF(Atletas!J488="Nangun Adulto",60,IF(Atletas!J488="Taijishan Grupo B",61,IF(Atletas!J488="Taijishan Grupo A",62,""))))))))))))))))))))))</f>
        <v/>
      </c>
      <c r="BM497" s="50" t="str">
        <f>IF(Atletas!K488="","",IF(Atletas!B488="Feminino",100,IF(Atletas!B488="Masculino",200,""))+(IF(Atletas!K488="Equipe 1 Grupo B",1,IF(Atletas!K488="Equipe 2 Grupo B",2,IF(Atletas!K488="Equipe 1 Grupo A",3,IF(Atletas!K488="Equipe 2 Grupo A",4,IF(Atletas!K488="Equipe 1 Adulto",5,IF(Atletas!K488="Equipe 2 Adulto",6,""))))))))</f>
        <v/>
      </c>
      <c r="BR497" s="50" t="str">
        <f>IF(Atletas!L488="","",IF(Atletas!X488&lt;&gt;"",10000,0)+(IF(Atletas!B488="Feminino",1000,IF(Atletas!B488="Masculino",2000,""))+IF(Atletas!L488="Choylayfut A",1,IF(Atletas!L488="Hunggar A",2,IF(Atletas!L488="Wuzuquan A",3,IF(Atletas!L488="Wingchun A",4,IF(Atletas!L488="Outra Mão de Sul A",5,IF(Atletas!L488="Choylayfut B",6,IF(Atletas!L488="Hunggar B",7,IF(Atletas!L488="Wuzuquan B",8,IF(Atletas!L488="Wingchun B",9,IF(Atletas!L488="Outra Mão de Sul B",10,IF(Atletas!L488="Choylayfut C",11,IF(Atletas!L488="Hunggar C",12,IF(Atletas!L488="Wuzuquan C",13,IF(Atletas!L488="Wingchun C",14,IF(Atletas!L488="Outra Mão de Sul C",15,IF(Atletas!L488="Choylayfut D",16,IF(Atletas!L488="Hunggar D",17,IF(Atletas!L488="Wuzuquan D",18,IF(Atletas!L488="Wingchun D",19,IF(Atletas!L488="Outra Mão de Sul D",20,IF(Atletas!L488="Choylayfut E",21,IF(Atletas!L488="Hunggar E",22,IF(Atletas!L488="Wuzuquan E",23,IF(Atletas!L488="Wingchun E",24,IF(Atletas!L488="Outra Mão de Sul E",25,IF(Atletas!L488="Choylayfut F",26,IF(Atletas!L488="Hunggar F",27,IF(Atletas!L488="Wuzuquan F",28,IF(Atletas!L488="Wingchun F",29,IF(Atletas!L488="Outra Mão de Sul F",30,IF(Atletas!L488="Dishuquan A",31,IF(Atletas!L488="Dishuquan B",32,IF(Atletas!L488="Dishuquan C",33,IF(Atletas!L488="Dishuquan D",34,IF(Atletas!L488="Dishuquan E",35,IF(Atletas!L488="Dishuquan F",36,""))))))))))))))))))))))))))))))))))))))</f>
        <v/>
      </c>
      <c r="BS497" s="50" t="str">
        <f>IF(Atletas!M488="","",IF(Atletas!X488&lt;&gt;"",10000,0)+(IF(Atletas!B488="Feminino",1000,IF(Atletas!B488="Masculino",2000,""))+(IF(Atletas!M488="Chaquan A",101,IF(Atletas!M488="Emeiquan A",102,IF(Atletas!M488="Fanziquan A",103,IF(Atletas!M488="Huaquan A",104,IF(Atletas!M488="Hongquan A",105,IF(Atletas!M488="Paoquan A",106,IF(Atletas!M488="Piguaquan A",107,IF(Atletas!M488="Shaolinquan A",108,IF(Atletas!M488="Tanglangquan A",109,IF(Atletas!M488="Yingzhaoquan A",110,IF(Atletas!M488="Tongbeiquan A",111,IF(Atletas!M488="Wudangquan A",112,IF(Atletas!M488="Outros Estilos A",113,IF(Atletas!M488="Chaquan B",114,IF(Atletas!M488="Emeiquan B",115,IF(Atletas!M488="Fanziquan B",116,IF(Atletas!M488="Huaquan B",117,IF(Atletas!M488="Hongquan B",118,IF(Atletas!M488="Paoquan B",119,IF(Atletas!M488="Piguaquan B",120,IF(Atletas!M488="Shaolinquan B",121,IF(Atletas!M488="Tanglangquan B",122,IF(Atletas!M488="Yingzhaoquan B",123,IF(Atletas!M488="Tongbeiquan B",124,IF(Atletas!M488="Wudangquan B",125,IF(Atletas!M488="Outros Estilos B",126,IF(Atletas!M488="Chaquan C",127,IF(Atletas!M488="Emeiquan C",128,IF(Atletas!M488="Fanziquan C",129,IF(Atletas!M488="Huaquan C",130,IF(Atletas!M488="Hongquan C",131,IF(Atletas!M488="Paoquan C",132,IF(Atletas!M488="Piguaquan C",133,IF(Atletas!M488="Shaolinquan C",134,IF(Atletas!M488="Tanglangquan C",135,IF(Atletas!M488="Yingzhaoquan C",136,IF(Atletas!M488="Tongbeiquan C",137,IF(Atletas!M488="Wudangquan C",138,IF(Atletas!M488="Outros Estilos C",139,0))))))))))))))))))))))))))))))))))))))))))</f>
        <v/>
      </c>
      <c r="BT497" s="50" t="str">
        <f>IF(Atletas!M488="","",IF(Atletas!X488&lt;&gt;"",10000,0)+(IF(Atletas!B488="Feminino",1000,IF(Atletas!B488="Masculino",2000,""))+(IF(Atletas!M488="Chaquan D",140,IF(Atletas!M488="Emeiquan D",141,IF(Atletas!M488="Fanziquan D",142,IF(Atletas!M488="Huaquan D",143,IF(Atletas!M488="Hongquan D",144,IF(Atletas!M488="Paoquan D",145,IF(Atletas!M488="Piguaquan D",146,IF(Atletas!M488="Shaolinquan D",147,IF(Atletas!M488="Tanglangquan D",148,IF(Atletas!M488="Yingzhaoquan D",149,IF(Atletas!M488="Tongbeiquan D",150,IF(Atletas!M488="Wudangquan D",151,IF(Atletas!M488="Outros Estilos D",152,IF(Atletas!M488="Chaquan E",153,IF(Atletas!M488="Emeiquan E",154,IF(Atletas!M488="Fanziquan E",155,IF(Atletas!M488="Huaquan E",156,IF(Atletas!M488="Hongquan E",157,IF(Atletas!M488="Paoquan E",158,IF(Atletas!M488="Piguaquan E",159,IF(Atletas!M488="Shaolinquan E",160,IF(Atletas!M488="Tanglangquan E",161,IF(Atletas!M488="Yingzhaoquan E",162,IF(Atletas!M488="Tongbeiquan E",163,IF(Atletas!M488="Wudangquan E",164,IF(Atletas!M488="Outros Estilos E",165,IF(Atletas!M488="Chaquan F",166,IF(Atletas!M488="Emeiquan F",167,IF(Atletas!M488="Fanziquan F",168,IF(Atletas!M488="Huaquan F",169,IF(Atletas!M488="Hongquan F",170,IF(Atletas!M488="Paoquan F",171,IF(Atletas!M488="Piguaquan F",172,IF(Atletas!M488="Shaolinquan F",173,IF(Atletas!M488="Tanglangquan F",174,IF(Atletas!M488="Yingzhaoquan F",175,IF(Atletas!M488="Tongbeiquan F",176,IF(Atletas!M488="Wudangquan F",177,IF(Atletas!M488="Outros Estilos F",178,0))))))))))))))))))))))))))))))))))))))))))</f>
        <v/>
      </c>
      <c r="BU497" s="50" t="str">
        <f>IF(Atletas!N488="","",IF(Atletas!X488&lt;&gt;"",10000,0)+(IF(Atletas!B488="Feminino",1000,IF(Atletas!B488="Masculino",2000,""))+(IF(Atletas!N488="Ditangquan A",201,IF(Atletas!N488="Houquan A",202,IF(Atletas!N488="Zuiquan A",203,IF(Atletas!N488="Ditangquan B",204,IF(Atletas!N488="Houquan B",205,IF(Atletas!N488="Zuiquan B",206,IF(Atletas!N488="Ditangquan C",207,IF(Atletas!N488="Houquan C",208,IF(Atletas!N488="Zuiquan C",209,IF(Atletas!N488="Ditangquan D",210,IF(Atletas!N488="Houquan D",211,IF(Atletas!N488="Zuiquan D",212,IF(Atletas!N488="Ditangquan E",213,IF(Atletas!N488="Houquan E",214,IF(Atletas!N488="Zuiquan E",215,IF(Atletas!N488="Ditangquan F",216,IF(Atletas!N488="Houquan F",217,IF(Atletas!N488="Zuiquan F",218,"")))))))))))))))))))))</f>
        <v/>
      </c>
      <c r="BV497" s="50" t="str">
        <f>IF(Atletas!O488="","",IF(Atletas!X488&lt;&gt;"",10000,0)+IF(Atletas!B488="Feminino",1000,IF(Atletas!B488="Masculino",2000,""))+IF(Atletas!O488="Yang A",301,IF(Atletas!O488="Chen A",302,IF(Atletas!O488="Sun A",303,IF(Atletas!O488="Wu A",304,IF(Atletas!O488="Wu-Hao A",305,IF(Atletas!O488="Outro Taijiquan A",306,IF(Atletas!O488="Yang B",307,IF(Atletas!O488="Chen B",308,IF(Atletas!O488="Sun B",309,IF(Atletas!O488="Wu B",310,IF(Atletas!O488="Wu-Hao B",311,IF(Atletas!O488="Outro Taijiquan B",312,IF(Atletas!O488="Yang C",313,IF(Atletas!O488="Chen C",314,IF(Atletas!O488="Sun C",315,IF(Atletas!O488="Wu C",316,IF(Atletas!O488="Wu-Hao C",317,IF(Atletas!O488="Outro Taijiquan C",318,IF(Atletas!O488="Yang D",319,IF(Atletas!O488="Chen D",320,IF(Atletas!O488="Sun D",321,IF(Atletas!O488="Wu D",322,IF(Atletas!O488="Wu-Hao D",323,IF(Atletas!O488="Outro Taijiquan D",324,IF(Atletas!O488="Yang E",325,IF(Atletas!O488="Chen E",326,IF(Atletas!O488="Sun E",327,IF(Atletas!O488="Wu E",328,IF(Atletas!O488="Wu-Hao E",329,IF(Atletas!O488="Outro Taijiquan E",330,IF(Atletas!O488="Yang F",331,IF(Atletas!O488="Chen F",332,IF(Atletas!O488="Sun F",333,IF(Atletas!O488="Wu F",334,IF(Atletas!O488="Wu-Hao F",335,IF(Atletas!O488="Outro Taijiquan F",336,"")))))))))))))))))))))))))))))))))))))</f>
        <v/>
      </c>
      <c r="BW497" s="50" t="str">
        <f>IF(Atletas!P488="","",IF(Atletas!X488&lt;&gt;"",10000,0)+IF(Atletas!B488="Feminino",1000,IF(Atletas!B488="Masculino",2000,""))+IF(OR(Atletas!P488="Yang 26 A",Atletas!P488="Yang 40 A"),401,IF(OR(Atletas!P488="Chen 25 A",Atletas!P488="Chen 36 A",Atletas!P488="Chen 56 A"),402,IF(Atletas!P488="Sun 73 A",403,IF(Atletas!P488="Wu 45 A",404,IF(Atletas!P488="Wu-Hao 46 A",405,IF(OR(Atletas!P488="Taijiquan 16 A",Atletas!P488="Taijiquan 24 A",Atletas!P488="Taijiquan 32 A",Atletas!P488="Taijiquan 42 A"),406,IF(OR(Atletas!P488="Yang 26 B",Atletas!P488="Yang 40 B"),407,IF(OR(Atletas!P488="Chen 25 B",Atletas!P488="Chen 36 B",Atletas!P488="Chen 56 B"),408,IF(Atletas!P488="Sun 73 B",409,IF(Atletas!P488="Wu 45 B",410,IF(Atletas!P488="Wu-Hao 46 B",411,IF(OR(Atletas!P488="Taijiquan 16 B",Atletas!P488="Taijiquan 24 B",Atletas!P488="Taijiquan 32 B",Atletas!P488="Taijiquan 42 B"),412,IF(OR(Atletas!P488="Yang 26 C",Atletas!P488="Yang 40 C"),413,IF(OR(Atletas!P488="Chen 25 C",Atletas!P488="Chen 36 C",Atletas!P488="Chen 56 C"),414,IF(Atletas!P488="Sun 73 C",415,IF(Atletas!P488="Wu 45 C",416,IF(Atletas!P488="Wu-Hao 46 C",417,IF(OR(Atletas!P488="Taijiquan 16 C",Atletas!P488="Taijiquan 24 C",Atletas!P488="Taijiquan 32 C",Atletas!P488="Taijiquan 42 C"),418,0)))))))))))))))))))</f>
        <v/>
      </c>
      <c r="BX497" s="50" t="str">
        <f>IF(Atletas!P488="","",IF(Atletas!X488&lt;&gt;"",10000,0)+IF(Atletas!B488="Feminino",1000,IF(Atletas!B488="Masculino",2000,""))+IF(OR(Atletas!P488="Yang 26 D",Atletas!P488="Yang 40 D"),419,IF(OR(Atletas!P488="Chen 25 D",Atletas!P488="Chen 36 D",Atletas!P488="Chen 56 D"),420,IF(Atletas!P488="Sun 73 D",421,IF(Atletas!P488="Wu 45 D",422,IF(Atletas!P488="Wu-Hao 46 D",423,IF(OR(Atletas!P488="Taijiquan 16 D",Atletas!P488="Taijiquan 24 D",Atletas!P488="Taijiquan 32 D",Atletas!P488="Taijiquan 42 D"),424,IF(OR(Atletas!P488="Yang 26 E",Atletas!P488="Yang 40 E"),425,IF(OR(Atletas!P488="Chen 25 E",Atletas!P488="Chen 36 E",Atletas!P488="Chen 56 E"),426,IF(Atletas!P488="Sun 73 E",427,IF(Atletas!P488="Wu 45 E",428,IF(Atletas!P488="Wu-Hao 46 E",429,IF(OR(Atletas!P488="Taijiquan 16 E",Atletas!P488="Taijiquan 24 E",Atletas!P488="Taijiquan 32 E",Atletas!P488="Taijiquan 42 E"),430,IF(OR(Atletas!P488="Yang 26 F",Atletas!P488="Yang 40 F"),431,IF(OR(Atletas!P488="Chen 25 F",Atletas!P488="Chen 36 F",Atletas!P488="Chen 56 F"),432,IF(Atletas!P488="Sun 73 F",433,IF(Atletas!P488="Wu 45 F",434,IF(Atletas!P488="Wu-Hao 46 F",435,IF(OR(Atletas!P488="Taijiquan 16 F",Atletas!P488="Taijiquan 24 F",Atletas!P488="Taijiquan 32 F",Atletas!P488="Taijiquan 42 F"),436,0)))))))))))))))))))</f>
        <v/>
      </c>
      <c r="BY497" s="50" t="str">
        <f>IF(Atletas!Q488="","",IF(Atletas!X488&lt;&gt;"",10000,0)+IF(Atletas!B488="Feminino",1000,IF(Atletas!B488="Masculino",2000,""))+IF(Atletas!Q488="Xingyiquan A",501,IF(Atletas!Q488="Baguazhang A",502,IF(Atletas!Q488="Outro Estilo Interno A",503,IF(Atletas!Q488="Xingyiquan B",504,IF(Atletas!Q488="Baguazhang B",505,IF(Atletas!Q488="Outro Estilo Interno B",506,IF(Atletas!Q488="Xingyiquan C",507,IF(Atletas!Q488="Baguazhang C",508,IF(Atletas!Q488="Outro Estilo Interno C",509,IF(Atletas!Q488="Xingyiquan D",510,IF(Atletas!Q488="Baguazhang D",511,IF(Atletas!Q488="Outro Estilo Interno D",512,IF(Atletas!Q488="Xingyiquan E",513,IF(Atletas!Q488="Baguazhang E",514,IF(Atletas!Q488="Outro Estilo Interno E",515,IF(Atletas!Q488="Xingyiquan F",516,IF(Atletas!Q488="Baguazhang F",517,IF(Atletas!Q488="Outro Estilo Interno F",518, "")))))))))))))))))))</f>
        <v/>
      </c>
      <c r="BZ497" s="50" t="str">
        <f>IF(Atletas!R488="","",IF(Atletas!X488&lt;&gt;"",10000,0)+IF(Atletas!B488="Feminino",1000,IF(Atletas!B488="Masculino",2000,""))+IF(Atletas!R488="Dao A",601,IF(Atletas!R488="Jian A",602,IF(Atletas!R488="Bishou A",603,IF(Atletas!R488="Shanzi A",604,IF(Atletas!R488="Outra Arma Curta A",605,IF(Atletas!R488="Dao B",606,IF(Atletas!R488="Jian B",607,IF(Atletas!R488="Bishou B",608,IF(Atletas!R488="Shanzi B",609,IF(Atletas!R488="Outra Arma Curta B",610,IF(Atletas!R488="Dao C",611,IF(Atletas!R488="Jian C",612,IF(Atletas!R488="Bishou C",613,IF(Atletas!R488="Shanzi C",614,IF(Atletas!R488="Outra Arma Curta C",615,IF(Atletas!R488="Dao D",616,IF(Atletas!R488="Jian D",617,IF(Atletas!R488="Bishou D",618,IF(Atletas!R488="Shanzi D",619,IF(Atletas!R488="Outra Arma Curta D",620,IF(Atletas!R488="Dao E",621,IF(Atletas!R488="Jian E",622,IF(Atletas!R488="Bishou E",623,IF(Atletas!R488="Shanzi E",624,IF(Atletas!R488="Outra Arma Curta E",625,IF(Atletas!R488="Dao F",626,IF(Atletas!R488="Jian F",627,IF(Atletas!R488="Bishou F",628,IF(Atletas!R488="Shanzi F",629,IF(Atletas!R488="Outra Arma Curta F",630, "")))))))))))))))))))))))))))))))</f>
        <v/>
      </c>
      <c r="CA497" s="50" t="str">
        <f>IF(Atletas!S488="","",IF(Atletas!X488&lt;&gt;"",10000,0)+IF(Atletas!B488="Feminino",1000,IF(Atletas!B488="Masculino",2000,""))+IF(Atletas!S488="Gun A",701,IF(Atletas!S488="Qiang A",702,IF(Atletas!S488="Pudao / Guandao A",703,IF(Atletas!S488="Outra Arma Longa A",704,IF(Atletas!S488="Gun B",705,IF(Atletas!S488="Qiang B",706,IF(Atletas!S488="Pudao / Guandao B",707,IF(Atletas!S488="Outra Arma Longa B",708,IF(Atletas!S488="Gun C",709,IF(Atletas!S488="Qiang C",710,IF(Atletas!S488="Pudao / Guandao C",711,IF(Atletas!S488="Outra Arma Longa C",712,IF(Atletas!S488="Gun D",713,IF(Atletas!S488="Qiang D",714,IF(Atletas!S488="Pudao / Guandao D",715,IF(Atletas!S488="Outra Arma Longa D",716,IF(Atletas!S488="Gun E",717,IF(Atletas!S488="Qiang E",718,IF(Atletas!S488="Pudao / Guandao E",719,IF(Atletas!S488="Outra Arma Longa E",720,IF(Atletas!S488="Gun F",721,IF(Atletas!S488="Qiang F",722,IF(Atletas!S488="Pudao / Guandao F",723,IF(Atletas!S488="Outra Arma Longa F",724,"")))))))))))))))))))))))))</f>
        <v/>
      </c>
      <c r="CB497" s="50" t="str">
        <f>IF(Atletas!T488="","",IF(Atletas!X488&lt;&gt;"",10000,0)+IF(Atletas!B488="Feminino",1000,IF(Atletas!B488="Masculino",2000,""))+IF(Atletas!T488="Outra Arma Dupla A",801,IF(Atletas!T488="Arma Maleável A",802,IF(Atletas!T488="Outra Arma Dupla B",803,IF(Atletas!T488="Arma Maleável B",804,IF(Atletas!T488="Outra Arma Dupla C",805,IF(Atletas!T488="Arma Maleável C",806,IF(Atletas!T488="Outra Arma Dupla D",807,IF(Atletas!T488="Arma Maleável D",808,IF(Atletas!T488="Outra Arma Dupla E",809,IF(Atletas!T488="Arma Maleável E",810,IF(Atletas!T488="Outra Arma Dupla F",811,IF(Atletas!T488="Arma Maleável F",812,IF(Atletas!T488="Shuangdao A",813,IF(Atletas!T488="Shuangdao B",814,IF(Atletas!T488="Shuangdao C",815,IF(Atletas!T488="Shuangdao D",816,IF(Atletas!T488="Shuangdao E",817,IF(Atletas!T488="Shuangdao F",818,"")))))))))))))))))))</f>
        <v/>
      </c>
      <c r="CC497" s="50" t="str">
        <f>IF(Atletas!U488="","",IF(Atletas!X488&lt;&gt;"",10000,0)+IF(Atletas!B488="Feminino",1000,IF(Atletas!B488="Masculino",2000,""))+IF(OR(Atletas!U488="Taijijian Yang A",Atletas!U488="Taijijian Yang Standard A"),901,IF(OR(Atletas!U488="Taijijian Chen A", Atletas!U488="Taijijian Chen Standard A"),902,IF(Atletas!U488="Taijijian Sun A",903,IF(Atletas!U488="Taijijian Wu A",904,IF(Atletas!U488="Taijijian Wu-Hao A",905,IF(OR(Atletas!U488="Taijijian 32 A",Atletas!U488="Taijijian 42 A"),906,IF(OR(Atletas!U488="Taijijian Yang B",Atletas!U488="Taijijian Yang Standard B"),907,IF(OR(Atletas!U488="Taijijian Chen B", Atletas!U488="Taijijian Chen Standard B"),908,IF(Atletas!U488="Taijijian Sun B",909,IF(Atletas!U488="Taijijian Wu B",910,IF(Atletas!U488="Taijijian Wu-Hao B",911,IF(OR(Atletas!U488="Taijijian 32 B",Atletas!U488="Taijijian 42 B"),912,IF(OR(Atletas!U488="Taijijian Yang C",Atletas!U488="Taijijian Yang Standard C"),913,IF(OR(Atletas!U488="Taijijian Chen C", Atletas!U488="Taijijian Chen Standard C"),914,IF(Atletas!U488="Taijijian Sun C",915,IF(Atletas!U488="Taijijian Wu C",916,IF(Atletas!U488="Taijijian Wu-Hao C",917,IF(OR(Atletas!U488="Taijijian 32 C",Atletas!U488="Taijijian 42 C"),918,IF(OR(Atletas!U488="Taijijian Yang D",Atletas!U488="Taijijian Yang Standard D"),919,IF(OR(Atletas!U488="Taijijian Chen D", Atletas!U488="Taijijian Chen Standard D"),920,IF(Atletas!U488="Taijijian Sun D",921,IF(Atletas!U488="Taijijian Wu D",922,IF(Atletas!U488="Taijijian Wu-Hao D",923,IF(OR(Atletas!U488="Taijijian 32 D",Atletas!U488="Taijijian 42 D"),924,IF(OR(Atletas!U488="Taijijian Yang E",Atletas!U488="Taijijian Yang Standard E"),925,IF(OR(Atletas!U488="Taijijian Chen E", Atletas!U488="Taijijian Chen Standard E"),926,IF(Atletas!U488="Taijijian Sun E",927,IF(Atletas!U488="Taijijian Wu E",928,IF(Atletas!U488="Taijijian Wu-Hao E",929,IF(OR(Atletas!U488="Taijijian 32 E",Atletas!U488="Taijijian 42 E"),930,IF(OR(Atletas!U488="Taijijian Yang F",Atletas!U488="Taijijian Yang Standard F"),931,IF(OR(Atletas!U488="Taijijian Chen F", Atletas!U488="Taijijian Chen Standard F"),932,IF(Atletas!U488="Taijijian Sun F",933,IF(Atletas!U488="Taijijian Wu F",934,IF(Atletas!U488="Taijijian Wu-Hao F",935,IF(OR(Atletas!U488="Taijijian 32 F",Atletas!U488="Taijijian 42 F"),936,"")))))))))))))))))))))))))))))))))))))</f>
        <v/>
      </c>
      <c r="CD497" s="50" t="str">
        <f>IF(Atletas!V488="","",IF(Atletas!X488&lt;&gt;"",10000,0)+IF(Atletas!B488="Feminino",1000,IF(Atletas!B488="Masculino",2000,""))+IF(Atletas!V488="Taijidao A",937,IF(Atletas!V488="TaijiShanzi A",938,IF(Atletas!V488="Taijiqiang A",939,IF(Atletas!V488="Bagua de Arma A",940,IF(Atletas!V488="Xingyi de Arma A",941,IF(Atletas!V488="Taijidao B",942,IF(Atletas!V488="TaijiShanzi B",943,IF(Atletas!V488="Taijiqiang B",944,IF(Atletas!V488="Bagua de Arma B",945,IF(Atletas!V488="Xingyi de Arma B",946,IF(Atletas!V488="Taijidao C",947,IF(Atletas!V488="TaijiShanzi C",948,IF(Atletas!V488="Taijiqiang C",949,IF(Atletas!V488="Bagua de Arma C",950,IF(Atletas!V488="Xingyi de Arma C",951,IF(Atletas!V488="Taijidao D",952,IF(Atletas!V488="TaijiShanzi D",953,IF(Atletas!V488="Taijiqiang D",954,IF(Atletas!V488="Bagua de Arma D",955,IF(Atletas!V488="Xingyi de Arma D",956,IF(Atletas!V488="Taijidao E",957,IF(Atletas!V488="TaijiShanzi E",958,IF(Atletas!V488="Taijiqiang E",959,IF(Atletas!V488="Bagua de Arma E",960,IF(Atletas!V488="Xingyi de Arma E",961,IF(Atletas!V488="Taijidao F",962,IF(Atletas!V488="TaijiShanzi F",963,IF(Atletas!V488="Taijiqiang F",964,IF(Atletas!V488="Bagua de Arma F",965,IF(Atletas!V488="Xingyi de Arma F",966,"")))))))))))))))))))))))))))))))</f>
        <v/>
      </c>
      <c r="CM497" s="50" t="str">
        <f xml:space="preserve"> IF(Atletas!W488="","",IF(Atletas!W488="Duilian de Mãos BC - Equipe 1",1,IF(Atletas!W488="Duilian de Mãos BC - Equipe 2",2,IF(Atletas!W488="Duilian de Armas BC - Equipe 1",3,IF(Atletas!W488="Duilian de Armas BC - Equipe 2",4,IF(Atletas!W488="Duilian de Mãos DE - Equipe 1",5,IF(Atletas!W488="Duilian de Mãos DE - Equipe 2",6,IF(Atletas!W488="Duilian de Armas DE - Equipe 1",7,IF(Atletas!W488="Duilian de Armas DE - Equipe 2",8,IF(Atletas!W488="Duilian de Tuishou - Equipe 1",9,IF(Atletas!W488="Duilian de Tuishou - Equipe 2",10,IF(Atletas!W488="Grupo Externo ABC - Equipe 1",11,IF(Atletas!W488="Grupo Externo ABC - Equipe 2",12,IF(Atletas!W488="Grupo Interno ABC - Equipe 1",13,IF(Atletas!W488="Grupo Interno ABC - Equipe 2",14,IF(Atletas!W488="Grupo Externo DEF - Equipe 1",15,IF(Atletas!W488="Grupo Externo DEF - Equipe 2",16,IF(Atletas!W488="Grupo Interno DEF - Equipe 1",17,IF(Atletas!W488="Grupo Interno DEF - Equipe 2",18,"")))))))))))))))))))</f>
        <v/>
      </c>
    </row>
    <row r="498" spans="40:91">
      <c r="AN498" s="52" t="str">
        <f>IF(Atletas!D489="","",IF(Atletas!B489="Feminino",100,IF(Atletas!B489="Masculino",200,""))+(IF(Atletas!D489="Kids 30kg",1,IF(Atletas!D489="Kids 32kg",2, IF(Atletas!D489="Kids 34kg",3,IF(Atletas!D489="Kids 36kg",4,IF(Atletas!D489="Kids 39kg",5,IF(Atletas!D489="Kids 42kg",6,IF(Atletas!D489="Kids 45kg",7, IF(Atletas!D489="Infantil 39kg",8,IF(Atletas!D489="Infantil 42kg",9,IF(Atletas!D489="Infantil 45kg",10,IF(Atletas!D489="Infantil 48kg",11,IF(Atletas!D489="Infantil 52kg",12,IF(Atletas!D489="Infantil 56kg",13,IF(Atletas!D489="Infantil 60kg",14,IF(Atletas!D489="Juvenil 48kg",15,IF(Atletas!D489="Juvenil 52kg",16,IF(Atletas!D489="Juvenil 56kg",17,IF(Atletas!D489="Juvenil 60kg",18,IF(Atletas!D489="Juvenil 65kg",19,IF(Atletas!D489="Juvenil 70kg",20,IF(Atletas!D489="Juvenil 75kg",21,IF(Atletas!D489="Juvenil 80kg",22, IF(Atletas!D489="Juvenil 85kg",23,IF(Atletas!D489="Adulto 48kg",24,IF(Atletas!D489="Adulto 52kg",25,IF(Atletas!D489="Adulto 56kg",26,IF(Atletas!D489="Adulto 60kg",27,IF(Atletas!D489="Adulto 65kg",28,IF(Atletas!D489="Adulto 70kg",29,IF(Atletas!D489="Adulto 75kg",30,IF(Atletas!D489="Adulto 80kg",31,IF(Atletas!D489="Adulto 85kg",32,IF(Atletas!D489="Adulto 90kg",33,IF(Atletas!D489="Adulto 100kg",34, IF(Atletas!D489="Adulto +100kg",35,"")))))))))))))))))))))))))))))))))))))</f>
        <v/>
      </c>
      <c r="AS498" s="6" t="str">
        <f>IF(Atletas!E489="","",IF(Atletas!B489="Feminino",100,IF(Atletas!B489="Masculino",200,""))+(IF(Atletas!E489="Juvenil 44kg",1,IF(Atletas!E489="Juvenil 48kg",2,IF(Atletas!E489="Juvenil 52kg",3,IF(Atletas!E489="Juvenil 56kg",4,IF(Atletas!E489="Juvenil 60kg",5,IF(Atletas!E489="Juvenil 65kg",6,IF(Atletas!E489="Juvenil 70kg",7,IF(Atletas!E489="Juvenil 75kg",8,IF(Atletas!E489="Juvenil 82kg",9,IF(Atletas!E489="Juvenil 90kg",10,IF(Atletas!E489="Juvenil 100kg",11,IF(Atletas!E489="Adulto 48kg",12,IF(Atletas!E489="Adulto 52kg",13,IF(Atletas!E489="Adulto 56kg",14,IF(Atletas!E489="Adulto 60kg",15,IF(Atletas!E489="Adulto 65kg",16,IF(Atletas!E489="Adulto 70kg",17,IF(Atletas!E489="Adulto 75kg",18,IF(Atletas!E489="Adulto 82kg",19,IF(Atletas!E489="Adulto 90kg",20,IF(Atletas!E489="Adulto 100kg",21,IF(Atletas!E489="Adulto +100kg",22,""))))))))))))))))))))))))</f>
        <v/>
      </c>
      <c r="AX498" s="6" t="str">
        <f>IF(Atletas!F489="","",IF(Atletas!B489="Feminino",100,IF(Atletas!B489="Masculino",200,""))+(IF(Atletas!F489="Adulto 48kg",1,IF(Atletas!F489="Adulto 56kg",2,IF(Atletas!F489="Adulto 65kg",3,IF(Atletas!F489="Adulto 75kg",4,IF(Atletas!F489="Adulto +75kg",5,IF(Atletas!F489="Adulto 52kg",6,IF(Atletas!F489="Adulto 60kg",7,IF(Atletas!F489="Adulto 70kg",8,IF(Atletas!F489="Adulto 80kg",9,IF(Atletas!F489="Adulto 90kg",10,IF(Atletas!F489="Adulto +90kg",11,"")))))))))))))</f>
        <v/>
      </c>
      <c r="BC498" s="6" t="str">
        <f>IF(Atletas!G489="","",IF(Atletas!B489="Feminino",10,IF(Atletas!B489="Masculino",20,""))+(IF(Atletas!G489="Baduanjin A",1,IF(Atletas!G489="Baduanjin B",2))))</f>
        <v/>
      </c>
      <c r="BF498" s="52" t="str">
        <f>IF(Atletas!H489="","",IF(Atletas!B489="Feminino",100,IF(Atletas!B489="Masculino",200,""))+(IF(Atletas!H489="Changquan Mirim",1,IF(Atletas!H489="Nanquan Mirim",2,IF(Atletas!H489="Taijiquan Mirim",3,IF(Atletas!H489="Changquan Grupo C",4,IF(Atletas!H489="Nanquan Grupo C",5,IF(Atletas!H489="Taijiquan Grupo C",6,IF(Atletas!H489="Changquan Grupo B",7,IF(Atletas!H489="Nanquan Grupo B",8,IF(Atletas!H489="Taijiquan Grupo B",9,IF(Atletas!H489="Changquan Grupo A",10,IF(Atletas!H489="Nanquan Grupo A",11,IF(Atletas!H489="Taijiquan Grupo A",12,IF(Atletas!H489="Changquan Opcional",13,IF(Atletas!H489="Nanquan Opcional",14,IF(Atletas!H489="Taijiquan Opcional",15,IF(Atletas!H489="Changquan Adulto",16,IF(Atletas!H489="Nanquan Adulto",17,IF(Atletas!H489="Taijiquan Adulto",18,""))))))))))))))))))))</f>
        <v/>
      </c>
      <c r="BG498" s="52" t="str">
        <f>IF(Atletas!I489="","",IF(Atletas!B489="Feminino",100,IF(Atletas!B489="Masculino",200,""))+(IF(Atletas!I489="Daoshu Mirim",19,IF(Atletas!I489="Jianshu Mirim",20,IF(Atletas!I489="Nandao Mirim",21,IF(Atletas!I489="Taijijian Mirim",22,IF(Atletas!I489="Daoshu Grupo C",23,IF(Atletas!I489="Jianshu Grupo C",24,IF(Atletas!I489="Nandao Grupo C",25,IF(Atletas!I489="Taijijian Grupo C",26,IF(Atletas!I489="Daoshu Grupo B",27,IF(Atletas!I489="Jianshu Grupo B",28,IF(Atletas!I489="Nandao Grupo B",29,IF(Atletas!I489="Taijijian Grupo B",30,IF(Atletas!I489="Daoshu Grupo A",31,IF(Atletas!I489="Jianshu Grupo A",32,IF(Atletas!I489="Nandao Grupo A",33,IF(Atletas!I489="Taijijian Grupo A",34,IF(Atletas!I489="Daoshu Opcional",35,IF(Atletas!I489="Jianshu Opcional",36,IF(Atletas!I489="Nandao Opcional",37,IF(Atletas!I489="Taijijian Opcional",38,IF(Atletas!I489="Daoshu Adulto",39,IF(Atletas!I489="Jianshu Adulto",40,IF(Atletas!I489="Nandao Adulto",41,IF(Atletas!I489="Taijijian Adulto",42,""))))))))))))))))))))))))))</f>
        <v/>
      </c>
      <c r="BH498" s="52" t="str">
        <f>IF(Atletas!J489="","",IF(Atletas!B489="Feminino",100,IF(Atletas!B489="Masculino",200,""))+(IF(Atletas!J489="Gunshu Mirim",43,IF(Atletas!J489="Qiangshu Mirim",44,IF(Atletas!J489="Nangun Mirim",45,IF(Atletas!J489="Gunshu Grupo C",46,IF(Atletas!J489="Qiangshu Grupo C",47,IF(Atletas!J489="Nangun Grupo C",48,IF(Atletas!J489="Gunshu Grupo B",49,IF(Atletas!J489="Qiangshu Grupo B",50,IF(Atletas!J489="Nangun Grupo B",51,IF(Atletas!J489="Gunshu Grupo A",52,IF(Atletas!J489="Qiangshu Grupo A",53,IF(Atletas!J489="Nangun Grupo A",54,IF(Atletas!J489="Gunshu Opcional",55,IF(Atletas!J489="Qiangshu Opcional",56,IF(Atletas!J489="Nangun Opcional",57,IF(Atletas!J489="Gunshu Adulto",58,IF(Atletas!J489="Qiangshu Adulto",59,IF(Atletas!J489="Nangun Adulto",60,IF(Atletas!J489="Taijishan Grupo B",61,IF(Atletas!J489="Taijishan Grupo A",62,""))))))))))))))))))))))</f>
        <v/>
      </c>
      <c r="BM498" s="50" t="str">
        <f>IF(Atletas!K489="","",IF(Atletas!B489="Feminino",100,IF(Atletas!B489="Masculino",200,""))+(IF(Atletas!K489="Equipe 1 Grupo B",1,IF(Atletas!K489="Equipe 2 Grupo B",2,IF(Atletas!K489="Equipe 1 Grupo A",3,IF(Atletas!K489="Equipe 2 Grupo A",4,IF(Atletas!K489="Equipe 1 Adulto",5,IF(Atletas!K489="Equipe 2 Adulto",6,""))))))))</f>
        <v/>
      </c>
      <c r="BR498" s="50" t="str">
        <f>IF(Atletas!L489="","",IF(Atletas!X489&lt;&gt;"",10000,0)+(IF(Atletas!B489="Feminino",1000,IF(Atletas!B489="Masculino",2000,""))+IF(Atletas!L489="Choylayfut A",1,IF(Atletas!L489="Hunggar A",2,IF(Atletas!L489="Wuzuquan A",3,IF(Atletas!L489="Wingchun A",4,IF(Atletas!L489="Outra Mão de Sul A",5,IF(Atletas!L489="Choylayfut B",6,IF(Atletas!L489="Hunggar B",7,IF(Atletas!L489="Wuzuquan B",8,IF(Atletas!L489="Wingchun B",9,IF(Atletas!L489="Outra Mão de Sul B",10,IF(Atletas!L489="Choylayfut C",11,IF(Atletas!L489="Hunggar C",12,IF(Atletas!L489="Wuzuquan C",13,IF(Atletas!L489="Wingchun C",14,IF(Atletas!L489="Outra Mão de Sul C",15,IF(Atletas!L489="Choylayfut D",16,IF(Atletas!L489="Hunggar D",17,IF(Atletas!L489="Wuzuquan D",18,IF(Atletas!L489="Wingchun D",19,IF(Atletas!L489="Outra Mão de Sul D",20,IF(Atletas!L489="Choylayfut E",21,IF(Atletas!L489="Hunggar E",22,IF(Atletas!L489="Wuzuquan E",23,IF(Atletas!L489="Wingchun E",24,IF(Atletas!L489="Outra Mão de Sul E",25,IF(Atletas!L489="Choylayfut F",26,IF(Atletas!L489="Hunggar F",27,IF(Atletas!L489="Wuzuquan F",28,IF(Atletas!L489="Wingchun F",29,IF(Atletas!L489="Outra Mão de Sul F",30,IF(Atletas!L489="Dishuquan A",31,IF(Atletas!L489="Dishuquan B",32,IF(Atletas!L489="Dishuquan C",33,IF(Atletas!L489="Dishuquan D",34,IF(Atletas!L489="Dishuquan E",35,IF(Atletas!L489="Dishuquan F",36,""))))))))))))))))))))))))))))))))))))))</f>
        <v/>
      </c>
      <c r="BS498" s="50" t="str">
        <f>IF(Atletas!M489="","",IF(Atletas!X489&lt;&gt;"",10000,0)+(IF(Atletas!B489="Feminino",1000,IF(Atletas!B489="Masculino",2000,""))+(IF(Atletas!M489="Chaquan A",101,IF(Atletas!M489="Emeiquan A",102,IF(Atletas!M489="Fanziquan A",103,IF(Atletas!M489="Huaquan A",104,IF(Atletas!M489="Hongquan A",105,IF(Atletas!M489="Paoquan A",106,IF(Atletas!M489="Piguaquan A",107,IF(Atletas!M489="Shaolinquan A",108,IF(Atletas!M489="Tanglangquan A",109,IF(Atletas!M489="Yingzhaoquan A",110,IF(Atletas!M489="Tongbeiquan A",111,IF(Atletas!M489="Wudangquan A",112,IF(Atletas!M489="Outros Estilos A",113,IF(Atletas!M489="Chaquan B",114,IF(Atletas!M489="Emeiquan B",115,IF(Atletas!M489="Fanziquan B",116,IF(Atletas!M489="Huaquan B",117,IF(Atletas!M489="Hongquan B",118,IF(Atletas!M489="Paoquan B",119,IF(Atletas!M489="Piguaquan B",120,IF(Atletas!M489="Shaolinquan B",121,IF(Atletas!M489="Tanglangquan B",122,IF(Atletas!M489="Yingzhaoquan B",123,IF(Atletas!M489="Tongbeiquan B",124,IF(Atletas!M489="Wudangquan B",125,IF(Atletas!M489="Outros Estilos B",126,IF(Atletas!M489="Chaquan C",127,IF(Atletas!M489="Emeiquan C",128,IF(Atletas!M489="Fanziquan C",129,IF(Atletas!M489="Huaquan C",130,IF(Atletas!M489="Hongquan C",131,IF(Atletas!M489="Paoquan C",132,IF(Atletas!M489="Piguaquan C",133,IF(Atletas!M489="Shaolinquan C",134,IF(Atletas!M489="Tanglangquan C",135,IF(Atletas!M489="Yingzhaoquan C",136,IF(Atletas!M489="Tongbeiquan C",137,IF(Atletas!M489="Wudangquan C",138,IF(Atletas!M489="Outros Estilos C",139,0))))))))))))))))))))))))))))))))))))))))))</f>
        <v/>
      </c>
      <c r="BT498" s="50" t="str">
        <f>IF(Atletas!M489="","",IF(Atletas!X489&lt;&gt;"",10000,0)+(IF(Atletas!B489="Feminino",1000,IF(Atletas!B489="Masculino",2000,""))+(IF(Atletas!M489="Chaquan D",140,IF(Atletas!M489="Emeiquan D",141,IF(Atletas!M489="Fanziquan D",142,IF(Atletas!M489="Huaquan D",143,IF(Atletas!M489="Hongquan D",144,IF(Atletas!M489="Paoquan D",145,IF(Atletas!M489="Piguaquan D",146,IF(Atletas!M489="Shaolinquan D",147,IF(Atletas!M489="Tanglangquan D",148,IF(Atletas!M489="Yingzhaoquan D",149,IF(Atletas!M489="Tongbeiquan D",150,IF(Atletas!M489="Wudangquan D",151,IF(Atletas!M489="Outros Estilos D",152,IF(Atletas!M489="Chaquan E",153,IF(Atletas!M489="Emeiquan E",154,IF(Atletas!M489="Fanziquan E",155,IF(Atletas!M489="Huaquan E",156,IF(Atletas!M489="Hongquan E",157,IF(Atletas!M489="Paoquan E",158,IF(Atletas!M489="Piguaquan E",159,IF(Atletas!M489="Shaolinquan E",160,IF(Atletas!M489="Tanglangquan E",161,IF(Atletas!M489="Yingzhaoquan E",162,IF(Atletas!M489="Tongbeiquan E",163,IF(Atletas!M489="Wudangquan E",164,IF(Atletas!M489="Outros Estilos E",165,IF(Atletas!M489="Chaquan F",166,IF(Atletas!M489="Emeiquan F",167,IF(Atletas!M489="Fanziquan F",168,IF(Atletas!M489="Huaquan F",169,IF(Atletas!M489="Hongquan F",170,IF(Atletas!M489="Paoquan F",171,IF(Atletas!M489="Piguaquan F",172,IF(Atletas!M489="Shaolinquan F",173,IF(Atletas!M489="Tanglangquan F",174,IF(Atletas!M489="Yingzhaoquan F",175,IF(Atletas!M489="Tongbeiquan F",176,IF(Atletas!M489="Wudangquan F",177,IF(Atletas!M489="Outros Estilos F",178,0))))))))))))))))))))))))))))))))))))))))))</f>
        <v/>
      </c>
      <c r="BU498" s="50" t="str">
        <f>IF(Atletas!N489="","",IF(Atletas!X489&lt;&gt;"",10000,0)+(IF(Atletas!B489="Feminino",1000,IF(Atletas!B489="Masculino",2000,""))+(IF(Atletas!N489="Ditangquan A",201,IF(Atletas!N489="Houquan A",202,IF(Atletas!N489="Zuiquan A",203,IF(Atletas!N489="Ditangquan B",204,IF(Atletas!N489="Houquan B",205,IF(Atletas!N489="Zuiquan B",206,IF(Atletas!N489="Ditangquan C",207,IF(Atletas!N489="Houquan C",208,IF(Atletas!N489="Zuiquan C",209,IF(Atletas!N489="Ditangquan D",210,IF(Atletas!N489="Houquan D",211,IF(Atletas!N489="Zuiquan D",212,IF(Atletas!N489="Ditangquan E",213,IF(Atletas!N489="Houquan E",214,IF(Atletas!N489="Zuiquan E",215,IF(Atletas!N489="Ditangquan F",216,IF(Atletas!N489="Houquan F",217,IF(Atletas!N489="Zuiquan F",218,"")))))))))))))))))))))</f>
        <v/>
      </c>
      <c r="BV498" s="50" t="str">
        <f>IF(Atletas!O489="","",IF(Atletas!X489&lt;&gt;"",10000,0)+IF(Atletas!B489="Feminino",1000,IF(Atletas!B489="Masculino",2000,""))+IF(Atletas!O489="Yang A",301,IF(Atletas!O489="Chen A",302,IF(Atletas!O489="Sun A",303,IF(Atletas!O489="Wu A",304,IF(Atletas!O489="Wu-Hao A",305,IF(Atletas!O489="Outro Taijiquan A",306,IF(Atletas!O489="Yang B",307,IF(Atletas!O489="Chen B",308,IF(Atletas!O489="Sun B",309,IF(Atletas!O489="Wu B",310,IF(Atletas!O489="Wu-Hao B",311,IF(Atletas!O489="Outro Taijiquan B",312,IF(Atletas!O489="Yang C",313,IF(Atletas!O489="Chen C",314,IF(Atletas!O489="Sun C",315,IF(Atletas!O489="Wu C",316,IF(Atletas!O489="Wu-Hao C",317,IF(Atletas!O489="Outro Taijiquan C",318,IF(Atletas!O489="Yang D",319,IF(Atletas!O489="Chen D",320,IF(Atletas!O489="Sun D",321,IF(Atletas!O489="Wu D",322,IF(Atletas!O489="Wu-Hao D",323,IF(Atletas!O489="Outro Taijiquan D",324,IF(Atletas!O489="Yang E",325,IF(Atletas!O489="Chen E",326,IF(Atletas!O489="Sun E",327,IF(Atletas!O489="Wu E",328,IF(Atletas!O489="Wu-Hao E",329,IF(Atletas!O489="Outro Taijiquan E",330,IF(Atletas!O489="Yang F",331,IF(Atletas!O489="Chen F",332,IF(Atletas!O489="Sun F",333,IF(Atletas!O489="Wu F",334,IF(Atletas!O489="Wu-Hao F",335,IF(Atletas!O489="Outro Taijiquan F",336,"")))))))))))))))))))))))))))))))))))))</f>
        <v/>
      </c>
      <c r="BW498" s="50" t="str">
        <f>IF(Atletas!P489="","",IF(Atletas!X489&lt;&gt;"",10000,0)+IF(Atletas!B489="Feminino",1000,IF(Atletas!B489="Masculino",2000,""))+IF(OR(Atletas!P489="Yang 26 A",Atletas!P489="Yang 40 A"),401,IF(OR(Atletas!P489="Chen 25 A",Atletas!P489="Chen 36 A",Atletas!P489="Chen 56 A"),402,IF(Atletas!P489="Sun 73 A",403,IF(Atletas!P489="Wu 45 A",404,IF(Atletas!P489="Wu-Hao 46 A",405,IF(OR(Atletas!P489="Taijiquan 16 A",Atletas!P489="Taijiquan 24 A",Atletas!P489="Taijiquan 32 A",Atletas!P489="Taijiquan 42 A"),406,IF(OR(Atletas!P489="Yang 26 B",Atletas!P489="Yang 40 B"),407,IF(OR(Atletas!P489="Chen 25 B",Atletas!P489="Chen 36 B",Atletas!P489="Chen 56 B"),408,IF(Atletas!P489="Sun 73 B",409,IF(Atletas!P489="Wu 45 B",410,IF(Atletas!P489="Wu-Hao 46 B",411,IF(OR(Atletas!P489="Taijiquan 16 B",Atletas!P489="Taijiquan 24 B",Atletas!P489="Taijiquan 32 B",Atletas!P489="Taijiquan 42 B"),412,IF(OR(Atletas!P489="Yang 26 C",Atletas!P489="Yang 40 C"),413,IF(OR(Atletas!P489="Chen 25 C",Atletas!P489="Chen 36 C",Atletas!P489="Chen 56 C"),414,IF(Atletas!P489="Sun 73 C",415,IF(Atletas!P489="Wu 45 C",416,IF(Atletas!P489="Wu-Hao 46 C",417,IF(OR(Atletas!P489="Taijiquan 16 C",Atletas!P489="Taijiquan 24 C",Atletas!P489="Taijiquan 32 C",Atletas!P489="Taijiquan 42 C"),418,0)))))))))))))))))))</f>
        <v/>
      </c>
      <c r="BX498" s="50" t="str">
        <f>IF(Atletas!P489="","",IF(Atletas!X489&lt;&gt;"",10000,0)+IF(Atletas!B489="Feminino",1000,IF(Atletas!B489="Masculino",2000,""))+IF(OR(Atletas!P489="Yang 26 D",Atletas!P489="Yang 40 D"),419,IF(OR(Atletas!P489="Chen 25 D",Atletas!P489="Chen 36 D",Atletas!P489="Chen 56 D"),420,IF(Atletas!P489="Sun 73 D",421,IF(Atletas!P489="Wu 45 D",422,IF(Atletas!P489="Wu-Hao 46 D",423,IF(OR(Atletas!P489="Taijiquan 16 D",Atletas!P489="Taijiquan 24 D",Atletas!P489="Taijiquan 32 D",Atletas!P489="Taijiquan 42 D"),424,IF(OR(Atletas!P489="Yang 26 E",Atletas!P489="Yang 40 E"),425,IF(OR(Atletas!P489="Chen 25 E",Atletas!P489="Chen 36 E",Atletas!P489="Chen 56 E"),426,IF(Atletas!P489="Sun 73 E",427,IF(Atletas!P489="Wu 45 E",428,IF(Atletas!P489="Wu-Hao 46 E",429,IF(OR(Atletas!P489="Taijiquan 16 E",Atletas!P489="Taijiquan 24 E",Atletas!P489="Taijiquan 32 E",Atletas!P489="Taijiquan 42 E"),430,IF(OR(Atletas!P489="Yang 26 F",Atletas!P489="Yang 40 F"),431,IF(OR(Atletas!P489="Chen 25 F",Atletas!P489="Chen 36 F",Atletas!P489="Chen 56 F"),432,IF(Atletas!P489="Sun 73 F",433,IF(Atletas!P489="Wu 45 F",434,IF(Atletas!P489="Wu-Hao 46 F",435,IF(OR(Atletas!P489="Taijiquan 16 F",Atletas!P489="Taijiquan 24 F",Atletas!P489="Taijiquan 32 F",Atletas!P489="Taijiquan 42 F"),436,0)))))))))))))))))))</f>
        <v/>
      </c>
      <c r="BY498" s="50" t="str">
        <f>IF(Atletas!Q489="","",IF(Atletas!X489&lt;&gt;"",10000,0)+IF(Atletas!B489="Feminino",1000,IF(Atletas!B489="Masculino",2000,""))+IF(Atletas!Q489="Xingyiquan A",501,IF(Atletas!Q489="Baguazhang A",502,IF(Atletas!Q489="Outro Estilo Interno A",503,IF(Atletas!Q489="Xingyiquan B",504,IF(Atletas!Q489="Baguazhang B",505,IF(Atletas!Q489="Outro Estilo Interno B",506,IF(Atletas!Q489="Xingyiquan C",507,IF(Atletas!Q489="Baguazhang C",508,IF(Atletas!Q489="Outro Estilo Interno C",509,IF(Atletas!Q489="Xingyiquan D",510,IF(Atletas!Q489="Baguazhang D",511,IF(Atletas!Q489="Outro Estilo Interno D",512,IF(Atletas!Q489="Xingyiquan E",513,IF(Atletas!Q489="Baguazhang E",514,IF(Atletas!Q489="Outro Estilo Interno E",515,IF(Atletas!Q489="Xingyiquan F",516,IF(Atletas!Q489="Baguazhang F",517,IF(Atletas!Q489="Outro Estilo Interno F",518, "")))))))))))))))))))</f>
        <v/>
      </c>
      <c r="BZ498" s="50" t="str">
        <f>IF(Atletas!R489="","",IF(Atletas!X489&lt;&gt;"",10000,0)+IF(Atletas!B489="Feminino",1000,IF(Atletas!B489="Masculino",2000,""))+IF(Atletas!R489="Dao A",601,IF(Atletas!R489="Jian A",602,IF(Atletas!R489="Bishou A",603,IF(Atletas!R489="Shanzi A",604,IF(Atletas!R489="Outra Arma Curta A",605,IF(Atletas!R489="Dao B",606,IF(Atletas!R489="Jian B",607,IF(Atletas!R489="Bishou B",608,IF(Atletas!R489="Shanzi B",609,IF(Atletas!R489="Outra Arma Curta B",610,IF(Atletas!R489="Dao C",611,IF(Atletas!R489="Jian C",612,IF(Atletas!R489="Bishou C",613,IF(Atletas!R489="Shanzi C",614,IF(Atletas!R489="Outra Arma Curta C",615,IF(Atletas!R489="Dao D",616,IF(Atletas!R489="Jian D",617,IF(Atletas!R489="Bishou D",618,IF(Atletas!R489="Shanzi D",619,IF(Atletas!R489="Outra Arma Curta D",620,IF(Atletas!R489="Dao E",621,IF(Atletas!R489="Jian E",622,IF(Atletas!R489="Bishou E",623,IF(Atletas!R489="Shanzi E",624,IF(Atletas!R489="Outra Arma Curta E",625,IF(Atletas!R489="Dao F",626,IF(Atletas!R489="Jian F",627,IF(Atletas!R489="Bishou F",628,IF(Atletas!R489="Shanzi F",629,IF(Atletas!R489="Outra Arma Curta F",630, "")))))))))))))))))))))))))))))))</f>
        <v/>
      </c>
      <c r="CA498" s="50" t="str">
        <f>IF(Atletas!S489="","",IF(Atletas!X489&lt;&gt;"",10000,0)+IF(Atletas!B489="Feminino",1000,IF(Atletas!B489="Masculino",2000,""))+IF(Atletas!S489="Gun A",701,IF(Atletas!S489="Qiang A",702,IF(Atletas!S489="Pudao / Guandao A",703,IF(Atletas!S489="Outra Arma Longa A",704,IF(Atletas!S489="Gun B",705,IF(Atletas!S489="Qiang B",706,IF(Atletas!S489="Pudao / Guandao B",707,IF(Atletas!S489="Outra Arma Longa B",708,IF(Atletas!S489="Gun C",709,IF(Atletas!S489="Qiang C",710,IF(Atletas!S489="Pudao / Guandao C",711,IF(Atletas!S489="Outra Arma Longa C",712,IF(Atletas!S489="Gun D",713,IF(Atletas!S489="Qiang D",714,IF(Atletas!S489="Pudao / Guandao D",715,IF(Atletas!S489="Outra Arma Longa D",716,IF(Atletas!S489="Gun E",717,IF(Atletas!S489="Qiang E",718,IF(Atletas!S489="Pudao / Guandao E",719,IF(Atletas!S489="Outra Arma Longa E",720,IF(Atletas!S489="Gun F",721,IF(Atletas!S489="Qiang F",722,IF(Atletas!S489="Pudao / Guandao F",723,IF(Atletas!S489="Outra Arma Longa F",724,"")))))))))))))))))))))))))</f>
        <v/>
      </c>
      <c r="CB498" s="50" t="str">
        <f>IF(Atletas!T489="","",IF(Atletas!X489&lt;&gt;"",10000,0)+IF(Atletas!B489="Feminino",1000,IF(Atletas!B489="Masculino",2000,""))+IF(Atletas!T489="Outra Arma Dupla A",801,IF(Atletas!T489="Arma Maleável A",802,IF(Atletas!T489="Outra Arma Dupla B",803,IF(Atletas!T489="Arma Maleável B",804,IF(Atletas!T489="Outra Arma Dupla C",805,IF(Atletas!T489="Arma Maleável C",806,IF(Atletas!T489="Outra Arma Dupla D",807,IF(Atletas!T489="Arma Maleável D",808,IF(Atletas!T489="Outra Arma Dupla E",809,IF(Atletas!T489="Arma Maleável E",810,IF(Atletas!T489="Outra Arma Dupla F",811,IF(Atletas!T489="Arma Maleável F",812,IF(Atletas!T489="Shuangdao A",813,IF(Atletas!T489="Shuangdao B",814,IF(Atletas!T489="Shuangdao C",815,IF(Atletas!T489="Shuangdao D",816,IF(Atletas!T489="Shuangdao E",817,IF(Atletas!T489="Shuangdao F",818,"")))))))))))))))))))</f>
        <v/>
      </c>
      <c r="CC498" s="50" t="str">
        <f>IF(Atletas!U489="","",IF(Atletas!X489&lt;&gt;"",10000,0)+IF(Atletas!B489="Feminino",1000,IF(Atletas!B489="Masculino",2000,""))+IF(OR(Atletas!U489="Taijijian Yang A",Atletas!U489="Taijijian Yang Standard A"),901,IF(OR(Atletas!U489="Taijijian Chen A", Atletas!U489="Taijijian Chen Standard A"),902,IF(Atletas!U489="Taijijian Sun A",903,IF(Atletas!U489="Taijijian Wu A",904,IF(Atletas!U489="Taijijian Wu-Hao A",905,IF(OR(Atletas!U489="Taijijian 32 A",Atletas!U489="Taijijian 42 A"),906,IF(OR(Atletas!U489="Taijijian Yang B",Atletas!U489="Taijijian Yang Standard B"),907,IF(OR(Atletas!U489="Taijijian Chen B", Atletas!U489="Taijijian Chen Standard B"),908,IF(Atletas!U489="Taijijian Sun B",909,IF(Atletas!U489="Taijijian Wu B",910,IF(Atletas!U489="Taijijian Wu-Hao B",911,IF(OR(Atletas!U489="Taijijian 32 B",Atletas!U489="Taijijian 42 B"),912,IF(OR(Atletas!U489="Taijijian Yang C",Atletas!U489="Taijijian Yang Standard C"),913,IF(OR(Atletas!U489="Taijijian Chen C", Atletas!U489="Taijijian Chen Standard C"),914,IF(Atletas!U489="Taijijian Sun C",915,IF(Atletas!U489="Taijijian Wu C",916,IF(Atletas!U489="Taijijian Wu-Hao C",917,IF(OR(Atletas!U489="Taijijian 32 C",Atletas!U489="Taijijian 42 C"),918,IF(OR(Atletas!U489="Taijijian Yang D",Atletas!U489="Taijijian Yang Standard D"),919,IF(OR(Atletas!U489="Taijijian Chen D", Atletas!U489="Taijijian Chen Standard D"),920,IF(Atletas!U489="Taijijian Sun D",921,IF(Atletas!U489="Taijijian Wu D",922,IF(Atletas!U489="Taijijian Wu-Hao D",923,IF(OR(Atletas!U489="Taijijian 32 D",Atletas!U489="Taijijian 42 D"),924,IF(OR(Atletas!U489="Taijijian Yang E",Atletas!U489="Taijijian Yang Standard E"),925,IF(OR(Atletas!U489="Taijijian Chen E", Atletas!U489="Taijijian Chen Standard E"),926,IF(Atletas!U489="Taijijian Sun E",927,IF(Atletas!U489="Taijijian Wu E",928,IF(Atletas!U489="Taijijian Wu-Hao E",929,IF(OR(Atletas!U489="Taijijian 32 E",Atletas!U489="Taijijian 42 E"),930,IF(OR(Atletas!U489="Taijijian Yang F",Atletas!U489="Taijijian Yang Standard F"),931,IF(OR(Atletas!U489="Taijijian Chen F", Atletas!U489="Taijijian Chen Standard F"),932,IF(Atletas!U489="Taijijian Sun F",933,IF(Atletas!U489="Taijijian Wu F",934,IF(Atletas!U489="Taijijian Wu-Hao F",935,IF(OR(Atletas!U489="Taijijian 32 F",Atletas!U489="Taijijian 42 F"),936,"")))))))))))))))))))))))))))))))))))))</f>
        <v/>
      </c>
      <c r="CD498" s="50" t="str">
        <f>IF(Atletas!V489="","",IF(Atletas!X489&lt;&gt;"",10000,0)+IF(Atletas!B489="Feminino",1000,IF(Atletas!B489="Masculino",2000,""))+IF(Atletas!V489="Taijidao A",937,IF(Atletas!V489="TaijiShanzi A",938,IF(Atletas!V489="Taijiqiang A",939,IF(Atletas!V489="Bagua de Arma A",940,IF(Atletas!V489="Xingyi de Arma A",941,IF(Atletas!V489="Taijidao B",942,IF(Atletas!V489="TaijiShanzi B",943,IF(Atletas!V489="Taijiqiang B",944,IF(Atletas!V489="Bagua de Arma B",945,IF(Atletas!V489="Xingyi de Arma B",946,IF(Atletas!V489="Taijidao C",947,IF(Atletas!V489="TaijiShanzi C",948,IF(Atletas!V489="Taijiqiang C",949,IF(Atletas!V489="Bagua de Arma C",950,IF(Atletas!V489="Xingyi de Arma C",951,IF(Atletas!V489="Taijidao D",952,IF(Atletas!V489="TaijiShanzi D",953,IF(Atletas!V489="Taijiqiang D",954,IF(Atletas!V489="Bagua de Arma D",955,IF(Atletas!V489="Xingyi de Arma D",956,IF(Atletas!V489="Taijidao E",957,IF(Atletas!V489="TaijiShanzi E",958,IF(Atletas!V489="Taijiqiang E",959,IF(Atletas!V489="Bagua de Arma E",960,IF(Atletas!V489="Xingyi de Arma E",961,IF(Atletas!V489="Taijidao F",962,IF(Atletas!V489="TaijiShanzi F",963,IF(Atletas!V489="Taijiqiang F",964,IF(Atletas!V489="Bagua de Arma F",965,IF(Atletas!V489="Xingyi de Arma F",966,"")))))))))))))))))))))))))))))))</f>
        <v/>
      </c>
      <c r="CM498" s="50" t="str">
        <f xml:space="preserve"> IF(Atletas!W489="","",IF(Atletas!W489="Duilian de Mãos BC - Equipe 1",1,IF(Atletas!W489="Duilian de Mãos BC - Equipe 2",2,IF(Atletas!W489="Duilian de Armas BC - Equipe 1",3,IF(Atletas!W489="Duilian de Armas BC - Equipe 2",4,IF(Atletas!W489="Duilian de Mãos DE - Equipe 1",5,IF(Atletas!W489="Duilian de Mãos DE - Equipe 2",6,IF(Atletas!W489="Duilian de Armas DE - Equipe 1",7,IF(Atletas!W489="Duilian de Armas DE - Equipe 2",8,IF(Atletas!W489="Duilian de Tuishou - Equipe 1",9,IF(Atletas!W489="Duilian de Tuishou - Equipe 2",10,IF(Atletas!W489="Grupo Externo ABC - Equipe 1",11,IF(Atletas!W489="Grupo Externo ABC - Equipe 2",12,IF(Atletas!W489="Grupo Interno ABC - Equipe 1",13,IF(Atletas!W489="Grupo Interno ABC - Equipe 2",14,IF(Atletas!W489="Grupo Externo DEF - Equipe 1",15,IF(Atletas!W489="Grupo Externo DEF - Equipe 2",16,IF(Atletas!W489="Grupo Interno DEF - Equipe 1",17,IF(Atletas!W489="Grupo Interno DEF - Equipe 2",18,"")))))))))))))))))))</f>
        <v/>
      </c>
    </row>
    <row r="499" spans="40:91">
      <c r="AN499" s="52" t="str">
        <f>IF(Atletas!D490="","",IF(Atletas!B490="Feminino",100,IF(Atletas!B490="Masculino",200,""))+(IF(Atletas!D490="Kids 30kg",1,IF(Atletas!D490="Kids 32kg",2, IF(Atletas!D490="Kids 34kg",3,IF(Atletas!D490="Kids 36kg",4,IF(Atletas!D490="Kids 39kg",5,IF(Atletas!D490="Kids 42kg",6,IF(Atletas!D490="Kids 45kg",7, IF(Atletas!D490="Infantil 39kg",8,IF(Atletas!D490="Infantil 42kg",9,IF(Atletas!D490="Infantil 45kg",10,IF(Atletas!D490="Infantil 48kg",11,IF(Atletas!D490="Infantil 52kg",12,IF(Atletas!D490="Infantil 56kg",13,IF(Atletas!D490="Infantil 60kg",14,IF(Atletas!D490="Juvenil 48kg",15,IF(Atletas!D490="Juvenil 52kg",16,IF(Atletas!D490="Juvenil 56kg",17,IF(Atletas!D490="Juvenil 60kg",18,IF(Atletas!D490="Juvenil 65kg",19,IF(Atletas!D490="Juvenil 70kg",20,IF(Atletas!D490="Juvenil 75kg",21,IF(Atletas!D490="Juvenil 80kg",22, IF(Atletas!D490="Juvenil 85kg",23,IF(Atletas!D490="Adulto 48kg",24,IF(Atletas!D490="Adulto 52kg",25,IF(Atletas!D490="Adulto 56kg",26,IF(Atletas!D490="Adulto 60kg",27,IF(Atletas!D490="Adulto 65kg",28,IF(Atletas!D490="Adulto 70kg",29,IF(Atletas!D490="Adulto 75kg",30,IF(Atletas!D490="Adulto 80kg",31,IF(Atletas!D490="Adulto 85kg",32,IF(Atletas!D490="Adulto 90kg",33,IF(Atletas!D490="Adulto 100kg",34, IF(Atletas!D490="Adulto +100kg",35,"")))))))))))))))))))))))))))))))))))))</f>
        <v/>
      </c>
      <c r="AS499" s="6" t="str">
        <f>IF(Atletas!E490="","",IF(Atletas!B490="Feminino",100,IF(Atletas!B490="Masculino",200,""))+(IF(Atletas!E490="Juvenil 44kg",1,IF(Atletas!E490="Juvenil 48kg",2,IF(Atletas!E490="Juvenil 52kg",3,IF(Atletas!E490="Juvenil 56kg",4,IF(Atletas!E490="Juvenil 60kg",5,IF(Atletas!E490="Juvenil 65kg",6,IF(Atletas!E490="Juvenil 70kg",7,IF(Atletas!E490="Juvenil 75kg",8,IF(Atletas!E490="Juvenil 82kg",9,IF(Atletas!E490="Juvenil 90kg",10,IF(Atletas!E490="Juvenil 100kg",11,IF(Atletas!E490="Adulto 48kg",12,IF(Atletas!E490="Adulto 52kg",13,IF(Atletas!E490="Adulto 56kg",14,IF(Atletas!E490="Adulto 60kg",15,IF(Atletas!E490="Adulto 65kg",16,IF(Atletas!E490="Adulto 70kg",17,IF(Atletas!E490="Adulto 75kg",18,IF(Atletas!E490="Adulto 82kg",19,IF(Atletas!E490="Adulto 90kg",20,IF(Atletas!E490="Adulto 100kg",21,IF(Atletas!E490="Adulto +100kg",22,""))))))))))))))))))))))))</f>
        <v/>
      </c>
      <c r="AX499" s="6" t="str">
        <f>IF(Atletas!F490="","",IF(Atletas!B490="Feminino",100,IF(Atletas!B490="Masculino",200,""))+(IF(Atletas!F490="Adulto 48kg",1,IF(Atletas!F490="Adulto 56kg",2,IF(Atletas!F490="Adulto 65kg",3,IF(Atletas!F490="Adulto 75kg",4,IF(Atletas!F490="Adulto +75kg",5,IF(Atletas!F490="Adulto 52kg",6,IF(Atletas!F490="Adulto 60kg",7,IF(Atletas!F490="Adulto 70kg",8,IF(Atletas!F490="Adulto 80kg",9,IF(Atletas!F490="Adulto 90kg",10,IF(Atletas!F490="Adulto +90kg",11,"")))))))))))))</f>
        <v/>
      </c>
      <c r="BC499" s="6" t="str">
        <f>IF(Atletas!G490="","",IF(Atletas!B490="Feminino",10,IF(Atletas!B490="Masculino",20,""))+(IF(Atletas!G490="Baduanjin A",1,IF(Atletas!G490="Baduanjin B",2))))</f>
        <v/>
      </c>
      <c r="BF499" s="52" t="str">
        <f>IF(Atletas!H490="","",IF(Atletas!B490="Feminino",100,IF(Atletas!B490="Masculino",200,""))+(IF(Atletas!H490="Changquan Mirim",1,IF(Atletas!H490="Nanquan Mirim",2,IF(Atletas!H490="Taijiquan Mirim",3,IF(Atletas!H490="Changquan Grupo C",4,IF(Atletas!H490="Nanquan Grupo C",5,IF(Atletas!H490="Taijiquan Grupo C",6,IF(Atletas!H490="Changquan Grupo B",7,IF(Atletas!H490="Nanquan Grupo B",8,IF(Atletas!H490="Taijiquan Grupo B",9,IF(Atletas!H490="Changquan Grupo A",10,IF(Atletas!H490="Nanquan Grupo A",11,IF(Atletas!H490="Taijiquan Grupo A",12,IF(Atletas!H490="Changquan Opcional",13,IF(Atletas!H490="Nanquan Opcional",14,IF(Atletas!H490="Taijiquan Opcional",15,IF(Atletas!H490="Changquan Adulto",16,IF(Atletas!H490="Nanquan Adulto",17,IF(Atletas!H490="Taijiquan Adulto",18,""))))))))))))))))))))</f>
        <v/>
      </c>
      <c r="BG499" s="52" t="str">
        <f>IF(Atletas!I490="","",IF(Atletas!B490="Feminino",100,IF(Atletas!B490="Masculino",200,""))+(IF(Atletas!I490="Daoshu Mirim",19,IF(Atletas!I490="Jianshu Mirim",20,IF(Atletas!I490="Nandao Mirim",21,IF(Atletas!I490="Taijijian Mirim",22,IF(Atletas!I490="Daoshu Grupo C",23,IF(Atletas!I490="Jianshu Grupo C",24,IF(Atletas!I490="Nandao Grupo C",25,IF(Atletas!I490="Taijijian Grupo C",26,IF(Atletas!I490="Daoshu Grupo B",27,IF(Atletas!I490="Jianshu Grupo B",28,IF(Atletas!I490="Nandao Grupo B",29,IF(Atletas!I490="Taijijian Grupo B",30,IF(Atletas!I490="Daoshu Grupo A",31,IF(Atletas!I490="Jianshu Grupo A",32,IF(Atletas!I490="Nandao Grupo A",33,IF(Atletas!I490="Taijijian Grupo A",34,IF(Atletas!I490="Daoshu Opcional",35,IF(Atletas!I490="Jianshu Opcional",36,IF(Atletas!I490="Nandao Opcional",37,IF(Atletas!I490="Taijijian Opcional",38,IF(Atletas!I490="Daoshu Adulto",39,IF(Atletas!I490="Jianshu Adulto",40,IF(Atletas!I490="Nandao Adulto",41,IF(Atletas!I490="Taijijian Adulto",42,""))))))))))))))))))))))))))</f>
        <v/>
      </c>
      <c r="BH499" s="52" t="str">
        <f>IF(Atletas!J490="","",IF(Atletas!B490="Feminino",100,IF(Atletas!B490="Masculino",200,""))+(IF(Atletas!J490="Gunshu Mirim",43,IF(Atletas!J490="Qiangshu Mirim",44,IF(Atletas!J490="Nangun Mirim",45,IF(Atletas!J490="Gunshu Grupo C",46,IF(Atletas!J490="Qiangshu Grupo C",47,IF(Atletas!J490="Nangun Grupo C",48,IF(Atletas!J490="Gunshu Grupo B",49,IF(Atletas!J490="Qiangshu Grupo B",50,IF(Atletas!J490="Nangun Grupo B",51,IF(Atletas!J490="Gunshu Grupo A",52,IF(Atletas!J490="Qiangshu Grupo A",53,IF(Atletas!J490="Nangun Grupo A",54,IF(Atletas!J490="Gunshu Opcional",55,IF(Atletas!J490="Qiangshu Opcional",56,IF(Atletas!J490="Nangun Opcional",57,IF(Atletas!J490="Gunshu Adulto",58,IF(Atletas!J490="Qiangshu Adulto",59,IF(Atletas!J490="Nangun Adulto",60,IF(Atletas!J490="Taijishan Grupo B",61,IF(Atletas!J490="Taijishan Grupo A",62,""))))))))))))))))))))))</f>
        <v/>
      </c>
      <c r="BM499" s="50" t="str">
        <f>IF(Atletas!K490="","",IF(Atletas!B490="Feminino",100,IF(Atletas!B490="Masculino",200,""))+(IF(Atletas!K490="Equipe 1 Grupo B",1,IF(Atletas!K490="Equipe 2 Grupo B",2,IF(Atletas!K490="Equipe 1 Grupo A",3,IF(Atletas!K490="Equipe 2 Grupo A",4,IF(Atletas!K490="Equipe 1 Adulto",5,IF(Atletas!K490="Equipe 2 Adulto",6,""))))))))</f>
        <v/>
      </c>
      <c r="BR499" s="50" t="str">
        <f>IF(Atletas!L490="","",IF(Atletas!X490&lt;&gt;"",10000,0)+(IF(Atletas!B490="Feminino",1000,IF(Atletas!B490="Masculino",2000,""))+IF(Atletas!L490="Choylayfut A",1,IF(Atletas!L490="Hunggar A",2,IF(Atletas!L490="Wuzuquan A",3,IF(Atletas!L490="Wingchun A",4,IF(Atletas!L490="Outra Mão de Sul A",5,IF(Atletas!L490="Choylayfut B",6,IF(Atletas!L490="Hunggar B",7,IF(Atletas!L490="Wuzuquan B",8,IF(Atletas!L490="Wingchun B",9,IF(Atletas!L490="Outra Mão de Sul B",10,IF(Atletas!L490="Choylayfut C",11,IF(Atletas!L490="Hunggar C",12,IF(Atletas!L490="Wuzuquan C",13,IF(Atletas!L490="Wingchun C",14,IF(Atletas!L490="Outra Mão de Sul C",15,IF(Atletas!L490="Choylayfut D",16,IF(Atletas!L490="Hunggar D",17,IF(Atletas!L490="Wuzuquan D",18,IF(Atletas!L490="Wingchun D",19,IF(Atletas!L490="Outra Mão de Sul D",20,IF(Atletas!L490="Choylayfut E",21,IF(Atletas!L490="Hunggar E",22,IF(Atletas!L490="Wuzuquan E",23,IF(Atletas!L490="Wingchun E",24,IF(Atletas!L490="Outra Mão de Sul E",25,IF(Atletas!L490="Choylayfut F",26,IF(Atletas!L490="Hunggar F",27,IF(Atletas!L490="Wuzuquan F",28,IF(Atletas!L490="Wingchun F",29,IF(Atletas!L490="Outra Mão de Sul F",30,IF(Atletas!L490="Dishuquan A",31,IF(Atletas!L490="Dishuquan B",32,IF(Atletas!L490="Dishuquan C",33,IF(Atletas!L490="Dishuquan D",34,IF(Atletas!L490="Dishuquan E",35,IF(Atletas!L490="Dishuquan F",36,""))))))))))))))))))))))))))))))))))))))</f>
        <v/>
      </c>
      <c r="BS499" s="50" t="str">
        <f>IF(Atletas!M490="","",IF(Atletas!X490&lt;&gt;"",10000,0)+(IF(Atletas!B490="Feminino",1000,IF(Atletas!B490="Masculino",2000,""))+(IF(Atletas!M490="Chaquan A",101,IF(Atletas!M490="Emeiquan A",102,IF(Atletas!M490="Fanziquan A",103,IF(Atletas!M490="Huaquan A",104,IF(Atletas!M490="Hongquan A",105,IF(Atletas!M490="Paoquan A",106,IF(Atletas!M490="Piguaquan A",107,IF(Atletas!M490="Shaolinquan A",108,IF(Atletas!M490="Tanglangquan A",109,IF(Atletas!M490="Yingzhaoquan A",110,IF(Atletas!M490="Tongbeiquan A",111,IF(Atletas!M490="Wudangquan A",112,IF(Atletas!M490="Outros Estilos A",113,IF(Atletas!M490="Chaquan B",114,IF(Atletas!M490="Emeiquan B",115,IF(Atletas!M490="Fanziquan B",116,IF(Atletas!M490="Huaquan B",117,IF(Atletas!M490="Hongquan B",118,IF(Atletas!M490="Paoquan B",119,IF(Atletas!M490="Piguaquan B",120,IF(Atletas!M490="Shaolinquan B",121,IF(Atletas!M490="Tanglangquan B",122,IF(Atletas!M490="Yingzhaoquan B",123,IF(Atletas!M490="Tongbeiquan B",124,IF(Atletas!M490="Wudangquan B",125,IF(Atletas!M490="Outros Estilos B",126,IF(Atletas!M490="Chaquan C",127,IF(Atletas!M490="Emeiquan C",128,IF(Atletas!M490="Fanziquan C",129,IF(Atletas!M490="Huaquan C",130,IF(Atletas!M490="Hongquan C",131,IF(Atletas!M490="Paoquan C",132,IF(Atletas!M490="Piguaquan C",133,IF(Atletas!M490="Shaolinquan C",134,IF(Atletas!M490="Tanglangquan C",135,IF(Atletas!M490="Yingzhaoquan C",136,IF(Atletas!M490="Tongbeiquan C",137,IF(Atletas!M490="Wudangquan C",138,IF(Atletas!M490="Outros Estilos C",139,0))))))))))))))))))))))))))))))))))))))))))</f>
        <v/>
      </c>
      <c r="BT499" s="50" t="str">
        <f>IF(Atletas!M490="","",IF(Atletas!X490&lt;&gt;"",10000,0)+(IF(Atletas!B490="Feminino",1000,IF(Atletas!B490="Masculino",2000,""))+(IF(Atletas!M490="Chaquan D",140,IF(Atletas!M490="Emeiquan D",141,IF(Atletas!M490="Fanziquan D",142,IF(Atletas!M490="Huaquan D",143,IF(Atletas!M490="Hongquan D",144,IF(Atletas!M490="Paoquan D",145,IF(Atletas!M490="Piguaquan D",146,IF(Atletas!M490="Shaolinquan D",147,IF(Atletas!M490="Tanglangquan D",148,IF(Atletas!M490="Yingzhaoquan D",149,IF(Atletas!M490="Tongbeiquan D",150,IF(Atletas!M490="Wudangquan D",151,IF(Atletas!M490="Outros Estilos D",152,IF(Atletas!M490="Chaquan E",153,IF(Atletas!M490="Emeiquan E",154,IF(Atletas!M490="Fanziquan E",155,IF(Atletas!M490="Huaquan E",156,IF(Atletas!M490="Hongquan E",157,IF(Atletas!M490="Paoquan E",158,IF(Atletas!M490="Piguaquan E",159,IF(Atletas!M490="Shaolinquan E",160,IF(Atletas!M490="Tanglangquan E",161,IF(Atletas!M490="Yingzhaoquan E",162,IF(Atletas!M490="Tongbeiquan E",163,IF(Atletas!M490="Wudangquan E",164,IF(Atletas!M490="Outros Estilos E",165,IF(Atletas!M490="Chaquan F",166,IF(Atletas!M490="Emeiquan F",167,IF(Atletas!M490="Fanziquan F",168,IF(Atletas!M490="Huaquan F",169,IF(Atletas!M490="Hongquan F",170,IF(Atletas!M490="Paoquan F",171,IF(Atletas!M490="Piguaquan F",172,IF(Atletas!M490="Shaolinquan F",173,IF(Atletas!M490="Tanglangquan F",174,IF(Atletas!M490="Yingzhaoquan F",175,IF(Atletas!M490="Tongbeiquan F",176,IF(Atletas!M490="Wudangquan F",177,IF(Atletas!M490="Outros Estilos F",178,0))))))))))))))))))))))))))))))))))))))))))</f>
        <v/>
      </c>
      <c r="BU499" s="50" t="str">
        <f>IF(Atletas!N490="","",IF(Atletas!X490&lt;&gt;"",10000,0)+(IF(Atletas!B490="Feminino",1000,IF(Atletas!B490="Masculino",2000,""))+(IF(Atletas!N490="Ditangquan A",201,IF(Atletas!N490="Houquan A",202,IF(Atletas!N490="Zuiquan A",203,IF(Atletas!N490="Ditangquan B",204,IF(Atletas!N490="Houquan B",205,IF(Atletas!N490="Zuiquan B",206,IF(Atletas!N490="Ditangquan C",207,IF(Atletas!N490="Houquan C",208,IF(Atletas!N490="Zuiquan C",209,IF(Atletas!N490="Ditangquan D",210,IF(Atletas!N490="Houquan D",211,IF(Atletas!N490="Zuiquan D",212,IF(Atletas!N490="Ditangquan E",213,IF(Atletas!N490="Houquan E",214,IF(Atletas!N490="Zuiquan E",215,IF(Atletas!N490="Ditangquan F",216,IF(Atletas!N490="Houquan F",217,IF(Atletas!N490="Zuiquan F",218,"")))))))))))))))))))))</f>
        <v/>
      </c>
      <c r="BV499" s="50" t="str">
        <f>IF(Atletas!O490="","",IF(Atletas!X490&lt;&gt;"",10000,0)+IF(Atletas!B490="Feminino",1000,IF(Atletas!B490="Masculino",2000,""))+IF(Atletas!O490="Yang A",301,IF(Atletas!O490="Chen A",302,IF(Atletas!O490="Sun A",303,IF(Atletas!O490="Wu A",304,IF(Atletas!O490="Wu-Hao A",305,IF(Atletas!O490="Outro Taijiquan A",306,IF(Atletas!O490="Yang B",307,IF(Atletas!O490="Chen B",308,IF(Atletas!O490="Sun B",309,IF(Atletas!O490="Wu B",310,IF(Atletas!O490="Wu-Hao B",311,IF(Atletas!O490="Outro Taijiquan B",312,IF(Atletas!O490="Yang C",313,IF(Atletas!O490="Chen C",314,IF(Atletas!O490="Sun C",315,IF(Atletas!O490="Wu C",316,IF(Atletas!O490="Wu-Hao C",317,IF(Atletas!O490="Outro Taijiquan C",318,IF(Atletas!O490="Yang D",319,IF(Atletas!O490="Chen D",320,IF(Atletas!O490="Sun D",321,IF(Atletas!O490="Wu D",322,IF(Atletas!O490="Wu-Hao D",323,IF(Atletas!O490="Outro Taijiquan D",324,IF(Atletas!O490="Yang E",325,IF(Atletas!O490="Chen E",326,IF(Atletas!O490="Sun E",327,IF(Atletas!O490="Wu E",328,IF(Atletas!O490="Wu-Hao E",329,IF(Atletas!O490="Outro Taijiquan E",330,IF(Atletas!O490="Yang F",331,IF(Atletas!O490="Chen F",332,IF(Atletas!O490="Sun F",333,IF(Atletas!O490="Wu F",334,IF(Atletas!O490="Wu-Hao F",335,IF(Atletas!O490="Outro Taijiquan F",336,"")))))))))))))))))))))))))))))))))))))</f>
        <v/>
      </c>
      <c r="BW499" s="50" t="str">
        <f>IF(Atletas!P490="","",IF(Atletas!X490&lt;&gt;"",10000,0)+IF(Atletas!B490="Feminino",1000,IF(Atletas!B490="Masculino",2000,""))+IF(OR(Atletas!P490="Yang 26 A",Atletas!P490="Yang 40 A"),401,IF(OR(Atletas!P490="Chen 25 A",Atletas!P490="Chen 36 A",Atletas!P490="Chen 56 A"),402,IF(Atletas!P490="Sun 73 A",403,IF(Atletas!P490="Wu 45 A",404,IF(Atletas!P490="Wu-Hao 46 A",405,IF(OR(Atletas!P490="Taijiquan 16 A",Atletas!P490="Taijiquan 24 A",Atletas!P490="Taijiquan 32 A",Atletas!P490="Taijiquan 42 A"),406,IF(OR(Atletas!P490="Yang 26 B",Atletas!P490="Yang 40 B"),407,IF(OR(Atletas!P490="Chen 25 B",Atletas!P490="Chen 36 B",Atletas!P490="Chen 56 B"),408,IF(Atletas!P490="Sun 73 B",409,IF(Atletas!P490="Wu 45 B",410,IF(Atletas!P490="Wu-Hao 46 B",411,IF(OR(Atletas!P490="Taijiquan 16 B",Atletas!P490="Taijiquan 24 B",Atletas!P490="Taijiquan 32 B",Atletas!P490="Taijiquan 42 B"),412,IF(OR(Atletas!P490="Yang 26 C",Atletas!P490="Yang 40 C"),413,IF(OR(Atletas!P490="Chen 25 C",Atletas!P490="Chen 36 C",Atletas!P490="Chen 56 C"),414,IF(Atletas!P490="Sun 73 C",415,IF(Atletas!P490="Wu 45 C",416,IF(Atletas!P490="Wu-Hao 46 C",417,IF(OR(Atletas!P490="Taijiquan 16 C",Atletas!P490="Taijiquan 24 C",Atletas!P490="Taijiquan 32 C",Atletas!P490="Taijiquan 42 C"),418,0)))))))))))))))))))</f>
        <v/>
      </c>
      <c r="BX499" s="50" t="str">
        <f>IF(Atletas!P490="","",IF(Atletas!X490&lt;&gt;"",10000,0)+IF(Atletas!B490="Feminino",1000,IF(Atletas!B490="Masculino",2000,""))+IF(OR(Atletas!P490="Yang 26 D",Atletas!P490="Yang 40 D"),419,IF(OR(Atletas!P490="Chen 25 D",Atletas!P490="Chen 36 D",Atletas!P490="Chen 56 D"),420,IF(Atletas!P490="Sun 73 D",421,IF(Atletas!P490="Wu 45 D",422,IF(Atletas!P490="Wu-Hao 46 D",423,IF(OR(Atletas!P490="Taijiquan 16 D",Atletas!P490="Taijiquan 24 D",Atletas!P490="Taijiquan 32 D",Atletas!P490="Taijiquan 42 D"),424,IF(OR(Atletas!P490="Yang 26 E",Atletas!P490="Yang 40 E"),425,IF(OR(Atletas!P490="Chen 25 E",Atletas!P490="Chen 36 E",Atletas!P490="Chen 56 E"),426,IF(Atletas!P490="Sun 73 E",427,IF(Atletas!P490="Wu 45 E",428,IF(Atletas!P490="Wu-Hao 46 E",429,IF(OR(Atletas!P490="Taijiquan 16 E",Atletas!P490="Taijiquan 24 E",Atletas!P490="Taijiquan 32 E",Atletas!P490="Taijiquan 42 E"),430,IF(OR(Atletas!P490="Yang 26 F",Atletas!P490="Yang 40 F"),431,IF(OR(Atletas!P490="Chen 25 F",Atletas!P490="Chen 36 F",Atletas!P490="Chen 56 F"),432,IF(Atletas!P490="Sun 73 F",433,IF(Atletas!P490="Wu 45 F",434,IF(Atletas!P490="Wu-Hao 46 F",435,IF(OR(Atletas!P490="Taijiquan 16 F",Atletas!P490="Taijiquan 24 F",Atletas!P490="Taijiquan 32 F",Atletas!P490="Taijiquan 42 F"),436,0)))))))))))))))))))</f>
        <v/>
      </c>
      <c r="BY499" s="50" t="str">
        <f>IF(Atletas!Q490="","",IF(Atletas!X490&lt;&gt;"",10000,0)+IF(Atletas!B490="Feminino",1000,IF(Atletas!B490="Masculino",2000,""))+IF(Atletas!Q490="Xingyiquan A",501,IF(Atletas!Q490="Baguazhang A",502,IF(Atletas!Q490="Outro Estilo Interno A",503,IF(Atletas!Q490="Xingyiquan B",504,IF(Atletas!Q490="Baguazhang B",505,IF(Atletas!Q490="Outro Estilo Interno B",506,IF(Atletas!Q490="Xingyiquan C",507,IF(Atletas!Q490="Baguazhang C",508,IF(Atletas!Q490="Outro Estilo Interno C",509,IF(Atletas!Q490="Xingyiquan D",510,IF(Atletas!Q490="Baguazhang D",511,IF(Atletas!Q490="Outro Estilo Interno D",512,IF(Atletas!Q490="Xingyiquan E",513,IF(Atletas!Q490="Baguazhang E",514,IF(Atletas!Q490="Outro Estilo Interno E",515,IF(Atletas!Q490="Xingyiquan F",516,IF(Atletas!Q490="Baguazhang F",517,IF(Atletas!Q490="Outro Estilo Interno F",518, "")))))))))))))))))))</f>
        <v/>
      </c>
      <c r="BZ499" s="50" t="str">
        <f>IF(Atletas!R490="","",IF(Atletas!X490&lt;&gt;"",10000,0)+IF(Atletas!B490="Feminino",1000,IF(Atletas!B490="Masculino",2000,""))+IF(Atletas!R490="Dao A",601,IF(Atletas!R490="Jian A",602,IF(Atletas!R490="Bishou A",603,IF(Atletas!R490="Shanzi A",604,IF(Atletas!R490="Outra Arma Curta A",605,IF(Atletas!R490="Dao B",606,IF(Atletas!R490="Jian B",607,IF(Atletas!R490="Bishou B",608,IF(Atletas!R490="Shanzi B",609,IF(Atletas!R490="Outra Arma Curta B",610,IF(Atletas!R490="Dao C",611,IF(Atletas!R490="Jian C",612,IF(Atletas!R490="Bishou C",613,IF(Atletas!R490="Shanzi C",614,IF(Atletas!R490="Outra Arma Curta C",615,IF(Atletas!R490="Dao D",616,IF(Atletas!R490="Jian D",617,IF(Atletas!R490="Bishou D",618,IF(Atletas!R490="Shanzi D",619,IF(Atletas!R490="Outra Arma Curta D",620,IF(Atletas!R490="Dao E",621,IF(Atletas!R490="Jian E",622,IF(Atletas!R490="Bishou E",623,IF(Atletas!R490="Shanzi E",624,IF(Atletas!R490="Outra Arma Curta E",625,IF(Atletas!R490="Dao F",626,IF(Atletas!R490="Jian F",627,IF(Atletas!R490="Bishou F",628,IF(Atletas!R490="Shanzi F",629,IF(Atletas!R490="Outra Arma Curta F",630, "")))))))))))))))))))))))))))))))</f>
        <v/>
      </c>
      <c r="CA499" s="50" t="str">
        <f>IF(Atletas!S490="","",IF(Atletas!X490&lt;&gt;"",10000,0)+IF(Atletas!B490="Feminino",1000,IF(Atletas!B490="Masculino",2000,""))+IF(Atletas!S490="Gun A",701,IF(Atletas!S490="Qiang A",702,IF(Atletas!S490="Pudao / Guandao A",703,IF(Atletas!S490="Outra Arma Longa A",704,IF(Atletas!S490="Gun B",705,IF(Atletas!S490="Qiang B",706,IF(Atletas!S490="Pudao / Guandao B",707,IF(Atletas!S490="Outra Arma Longa B",708,IF(Atletas!S490="Gun C",709,IF(Atletas!S490="Qiang C",710,IF(Atletas!S490="Pudao / Guandao C",711,IF(Atletas!S490="Outra Arma Longa C",712,IF(Atletas!S490="Gun D",713,IF(Atletas!S490="Qiang D",714,IF(Atletas!S490="Pudao / Guandao D",715,IF(Atletas!S490="Outra Arma Longa D",716,IF(Atletas!S490="Gun E",717,IF(Atletas!S490="Qiang E",718,IF(Atletas!S490="Pudao / Guandao E",719,IF(Atletas!S490="Outra Arma Longa E",720,IF(Atletas!S490="Gun F",721,IF(Atletas!S490="Qiang F",722,IF(Atletas!S490="Pudao / Guandao F",723,IF(Atletas!S490="Outra Arma Longa F",724,"")))))))))))))))))))))))))</f>
        <v/>
      </c>
      <c r="CB499" s="50" t="str">
        <f>IF(Atletas!T490="","",IF(Atletas!X490&lt;&gt;"",10000,0)+IF(Atletas!B490="Feminino",1000,IF(Atletas!B490="Masculino",2000,""))+IF(Atletas!T490="Outra Arma Dupla A",801,IF(Atletas!T490="Arma Maleável A",802,IF(Atletas!T490="Outra Arma Dupla B",803,IF(Atletas!T490="Arma Maleável B",804,IF(Atletas!T490="Outra Arma Dupla C",805,IF(Atletas!T490="Arma Maleável C",806,IF(Atletas!T490="Outra Arma Dupla D",807,IF(Atletas!T490="Arma Maleável D",808,IF(Atletas!T490="Outra Arma Dupla E",809,IF(Atletas!T490="Arma Maleável E",810,IF(Atletas!T490="Outra Arma Dupla F",811,IF(Atletas!T490="Arma Maleável F",812,IF(Atletas!T490="Shuangdao A",813,IF(Atletas!T490="Shuangdao B",814,IF(Atletas!T490="Shuangdao C",815,IF(Atletas!T490="Shuangdao D",816,IF(Atletas!T490="Shuangdao E",817,IF(Atletas!T490="Shuangdao F",818,"")))))))))))))))))))</f>
        <v/>
      </c>
      <c r="CC499" s="50" t="str">
        <f>IF(Atletas!U490="","",IF(Atletas!X490&lt;&gt;"",10000,0)+IF(Atletas!B490="Feminino",1000,IF(Atletas!B490="Masculino",2000,""))+IF(OR(Atletas!U490="Taijijian Yang A",Atletas!U490="Taijijian Yang Standard A"),901,IF(OR(Atletas!U490="Taijijian Chen A", Atletas!U490="Taijijian Chen Standard A"),902,IF(Atletas!U490="Taijijian Sun A",903,IF(Atletas!U490="Taijijian Wu A",904,IF(Atletas!U490="Taijijian Wu-Hao A",905,IF(OR(Atletas!U490="Taijijian 32 A",Atletas!U490="Taijijian 42 A"),906,IF(OR(Atletas!U490="Taijijian Yang B",Atletas!U490="Taijijian Yang Standard B"),907,IF(OR(Atletas!U490="Taijijian Chen B", Atletas!U490="Taijijian Chen Standard B"),908,IF(Atletas!U490="Taijijian Sun B",909,IF(Atletas!U490="Taijijian Wu B",910,IF(Atletas!U490="Taijijian Wu-Hao B",911,IF(OR(Atletas!U490="Taijijian 32 B",Atletas!U490="Taijijian 42 B"),912,IF(OR(Atletas!U490="Taijijian Yang C",Atletas!U490="Taijijian Yang Standard C"),913,IF(OR(Atletas!U490="Taijijian Chen C", Atletas!U490="Taijijian Chen Standard C"),914,IF(Atletas!U490="Taijijian Sun C",915,IF(Atletas!U490="Taijijian Wu C",916,IF(Atletas!U490="Taijijian Wu-Hao C",917,IF(OR(Atletas!U490="Taijijian 32 C",Atletas!U490="Taijijian 42 C"),918,IF(OR(Atletas!U490="Taijijian Yang D",Atletas!U490="Taijijian Yang Standard D"),919,IF(OR(Atletas!U490="Taijijian Chen D", Atletas!U490="Taijijian Chen Standard D"),920,IF(Atletas!U490="Taijijian Sun D",921,IF(Atletas!U490="Taijijian Wu D",922,IF(Atletas!U490="Taijijian Wu-Hao D",923,IF(OR(Atletas!U490="Taijijian 32 D",Atletas!U490="Taijijian 42 D"),924,IF(OR(Atletas!U490="Taijijian Yang E",Atletas!U490="Taijijian Yang Standard E"),925,IF(OR(Atletas!U490="Taijijian Chen E", Atletas!U490="Taijijian Chen Standard E"),926,IF(Atletas!U490="Taijijian Sun E",927,IF(Atletas!U490="Taijijian Wu E",928,IF(Atletas!U490="Taijijian Wu-Hao E",929,IF(OR(Atletas!U490="Taijijian 32 E",Atletas!U490="Taijijian 42 E"),930,IF(OR(Atletas!U490="Taijijian Yang F",Atletas!U490="Taijijian Yang Standard F"),931,IF(OR(Atletas!U490="Taijijian Chen F", Atletas!U490="Taijijian Chen Standard F"),932,IF(Atletas!U490="Taijijian Sun F",933,IF(Atletas!U490="Taijijian Wu F",934,IF(Atletas!U490="Taijijian Wu-Hao F",935,IF(OR(Atletas!U490="Taijijian 32 F",Atletas!U490="Taijijian 42 F"),936,"")))))))))))))))))))))))))))))))))))))</f>
        <v/>
      </c>
      <c r="CD499" s="50" t="str">
        <f>IF(Atletas!V490="","",IF(Atletas!X490&lt;&gt;"",10000,0)+IF(Atletas!B490="Feminino",1000,IF(Atletas!B490="Masculino",2000,""))+IF(Atletas!V490="Taijidao A",937,IF(Atletas!V490="TaijiShanzi A",938,IF(Atletas!V490="Taijiqiang A",939,IF(Atletas!V490="Bagua de Arma A",940,IF(Atletas!V490="Xingyi de Arma A",941,IF(Atletas!V490="Taijidao B",942,IF(Atletas!V490="TaijiShanzi B",943,IF(Atletas!V490="Taijiqiang B",944,IF(Atletas!V490="Bagua de Arma B",945,IF(Atletas!V490="Xingyi de Arma B",946,IF(Atletas!V490="Taijidao C",947,IF(Atletas!V490="TaijiShanzi C",948,IF(Atletas!V490="Taijiqiang C",949,IF(Atletas!V490="Bagua de Arma C",950,IF(Atletas!V490="Xingyi de Arma C",951,IF(Atletas!V490="Taijidao D",952,IF(Atletas!V490="TaijiShanzi D",953,IF(Atletas!V490="Taijiqiang D",954,IF(Atletas!V490="Bagua de Arma D",955,IF(Atletas!V490="Xingyi de Arma D",956,IF(Atletas!V490="Taijidao E",957,IF(Atletas!V490="TaijiShanzi E",958,IF(Atletas!V490="Taijiqiang E",959,IF(Atletas!V490="Bagua de Arma E",960,IF(Atletas!V490="Xingyi de Arma E",961,IF(Atletas!V490="Taijidao F",962,IF(Atletas!V490="TaijiShanzi F",963,IF(Atletas!V490="Taijiqiang F",964,IF(Atletas!V490="Bagua de Arma F",965,IF(Atletas!V490="Xingyi de Arma F",966,"")))))))))))))))))))))))))))))))</f>
        <v/>
      </c>
      <c r="CM499" s="50" t="str">
        <f xml:space="preserve"> IF(Atletas!W490="","",IF(Atletas!W490="Duilian de Mãos BC - Equipe 1",1,IF(Atletas!W490="Duilian de Mãos BC - Equipe 2",2,IF(Atletas!W490="Duilian de Armas BC - Equipe 1",3,IF(Atletas!W490="Duilian de Armas BC - Equipe 2",4,IF(Atletas!W490="Duilian de Mãos DE - Equipe 1",5,IF(Atletas!W490="Duilian de Mãos DE - Equipe 2",6,IF(Atletas!W490="Duilian de Armas DE - Equipe 1",7,IF(Atletas!W490="Duilian de Armas DE - Equipe 2",8,IF(Atletas!W490="Duilian de Tuishou - Equipe 1",9,IF(Atletas!W490="Duilian de Tuishou - Equipe 2",10,IF(Atletas!W490="Grupo Externo ABC - Equipe 1",11,IF(Atletas!W490="Grupo Externo ABC - Equipe 2",12,IF(Atletas!W490="Grupo Interno ABC - Equipe 1",13,IF(Atletas!W490="Grupo Interno ABC - Equipe 2",14,IF(Atletas!W490="Grupo Externo DEF - Equipe 1",15,IF(Atletas!W490="Grupo Externo DEF - Equipe 2",16,IF(Atletas!W490="Grupo Interno DEF - Equipe 1",17,IF(Atletas!W490="Grupo Interno DEF - Equipe 2",18,"")))))))))))))))))))</f>
        <v/>
      </c>
    </row>
    <row r="500" spans="40:91">
      <c r="AN500" s="52" t="str">
        <f>IF(Atletas!D491="","",IF(Atletas!B491="Feminino",100,IF(Atletas!B491="Masculino",200,""))+(IF(Atletas!D491="Kids 30kg",1,IF(Atletas!D491="Kids 32kg",2, IF(Atletas!D491="Kids 34kg",3,IF(Atletas!D491="Kids 36kg",4,IF(Atletas!D491="Kids 39kg",5,IF(Atletas!D491="Kids 42kg",6,IF(Atletas!D491="Kids 45kg",7, IF(Atletas!D491="Infantil 39kg",8,IF(Atletas!D491="Infantil 42kg",9,IF(Atletas!D491="Infantil 45kg",10,IF(Atletas!D491="Infantil 48kg",11,IF(Atletas!D491="Infantil 52kg",12,IF(Atletas!D491="Infantil 56kg",13,IF(Atletas!D491="Infantil 60kg",14,IF(Atletas!D491="Juvenil 48kg",15,IF(Atletas!D491="Juvenil 52kg",16,IF(Atletas!D491="Juvenil 56kg",17,IF(Atletas!D491="Juvenil 60kg",18,IF(Atletas!D491="Juvenil 65kg",19,IF(Atletas!D491="Juvenil 70kg",20,IF(Atletas!D491="Juvenil 75kg",21,IF(Atletas!D491="Juvenil 80kg",22, IF(Atletas!D491="Juvenil 85kg",23,IF(Atletas!D491="Adulto 48kg",24,IF(Atletas!D491="Adulto 52kg",25,IF(Atletas!D491="Adulto 56kg",26,IF(Atletas!D491="Adulto 60kg",27,IF(Atletas!D491="Adulto 65kg",28,IF(Atletas!D491="Adulto 70kg",29,IF(Atletas!D491="Adulto 75kg",30,IF(Atletas!D491="Adulto 80kg",31,IF(Atletas!D491="Adulto 85kg",32,IF(Atletas!D491="Adulto 90kg",33,IF(Atletas!D491="Adulto 100kg",34, IF(Atletas!D491="Adulto +100kg",35,"")))))))))))))))))))))))))))))))))))))</f>
        <v/>
      </c>
      <c r="AS500" s="6" t="str">
        <f>IF(Atletas!E491="","",IF(Atletas!B491="Feminino",100,IF(Atletas!B491="Masculino",200,""))+(IF(Atletas!E491="Juvenil 44kg",1,IF(Atletas!E491="Juvenil 48kg",2,IF(Atletas!E491="Juvenil 52kg",3,IF(Atletas!E491="Juvenil 56kg",4,IF(Atletas!E491="Juvenil 60kg",5,IF(Atletas!E491="Juvenil 65kg",6,IF(Atletas!E491="Juvenil 70kg",7,IF(Atletas!E491="Juvenil 75kg",8,IF(Atletas!E491="Juvenil 82kg",9,IF(Atletas!E491="Juvenil 90kg",10,IF(Atletas!E491="Juvenil 100kg",11,IF(Atletas!E491="Adulto 48kg",12,IF(Atletas!E491="Adulto 52kg",13,IF(Atletas!E491="Adulto 56kg",14,IF(Atletas!E491="Adulto 60kg",15,IF(Atletas!E491="Adulto 65kg",16,IF(Atletas!E491="Adulto 70kg",17,IF(Atletas!E491="Adulto 75kg",18,IF(Atletas!E491="Adulto 82kg",19,IF(Atletas!E491="Adulto 90kg",20,IF(Atletas!E491="Adulto 100kg",21,IF(Atletas!E491="Adulto +100kg",22,""))))))))))))))))))))))))</f>
        <v/>
      </c>
      <c r="AX500" s="6" t="str">
        <f>IF(Atletas!F491="","",IF(Atletas!B491="Feminino",100,IF(Atletas!B491="Masculino",200,""))+(IF(Atletas!F491="Adulto 48kg",1,IF(Atletas!F491="Adulto 56kg",2,IF(Atletas!F491="Adulto 65kg",3,IF(Atletas!F491="Adulto 75kg",4,IF(Atletas!F491="Adulto +75kg",5,IF(Atletas!F491="Adulto 52kg",6,IF(Atletas!F491="Adulto 60kg",7,IF(Atletas!F491="Adulto 70kg",8,IF(Atletas!F491="Adulto 80kg",9,IF(Atletas!F491="Adulto 90kg",10,IF(Atletas!F491="Adulto +90kg",11,"")))))))))))))</f>
        <v/>
      </c>
      <c r="BC500" s="6" t="str">
        <f>IF(Atletas!G491="","",IF(Atletas!B491="Feminino",10,IF(Atletas!B491="Masculino",20,""))+(IF(Atletas!G491="Baduanjin A",1,IF(Atletas!G491="Baduanjin B",2))))</f>
        <v/>
      </c>
      <c r="BF500" s="52" t="str">
        <f>IF(Atletas!H491="","",IF(Atletas!B491="Feminino",100,IF(Atletas!B491="Masculino",200,""))+(IF(Atletas!H491="Changquan Mirim",1,IF(Atletas!H491="Nanquan Mirim",2,IF(Atletas!H491="Taijiquan Mirim",3,IF(Atletas!H491="Changquan Grupo C",4,IF(Atletas!H491="Nanquan Grupo C",5,IF(Atletas!H491="Taijiquan Grupo C",6,IF(Atletas!H491="Changquan Grupo B",7,IF(Atletas!H491="Nanquan Grupo B",8,IF(Atletas!H491="Taijiquan Grupo B",9,IF(Atletas!H491="Changquan Grupo A",10,IF(Atletas!H491="Nanquan Grupo A",11,IF(Atletas!H491="Taijiquan Grupo A",12,IF(Atletas!H491="Changquan Opcional",13,IF(Atletas!H491="Nanquan Opcional",14,IF(Atletas!H491="Taijiquan Opcional",15,IF(Atletas!H491="Changquan Adulto",16,IF(Atletas!H491="Nanquan Adulto",17,IF(Atletas!H491="Taijiquan Adulto",18,""))))))))))))))))))))</f>
        <v/>
      </c>
      <c r="BG500" s="52" t="str">
        <f>IF(Atletas!I491="","",IF(Atletas!B491="Feminino",100,IF(Atletas!B491="Masculino",200,""))+(IF(Atletas!I491="Daoshu Mirim",19,IF(Atletas!I491="Jianshu Mirim",20,IF(Atletas!I491="Nandao Mirim",21,IF(Atletas!I491="Taijijian Mirim",22,IF(Atletas!I491="Daoshu Grupo C",23,IF(Atletas!I491="Jianshu Grupo C",24,IF(Atletas!I491="Nandao Grupo C",25,IF(Atletas!I491="Taijijian Grupo C",26,IF(Atletas!I491="Daoshu Grupo B",27,IF(Atletas!I491="Jianshu Grupo B",28,IF(Atletas!I491="Nandao Grupo B",29,IF(Atletas!I491="Taijijian Grupo B",30,IF(Atletas!I491="Daoshu Grupo A",31,IF(Atletas!I491="Jianshu Grupo A",32,IF(Atletas!I491="Nandao Grupo A",33,IF(Atletas!I491="Taijijian Grupo A",34,IF(Atletas!I491="Daoshu Opcional",35,IF(Atletas!I491="Jianshu Opcional",36,IF(Atletas!I491="Nandao Opcional",37,IF(Atletas!I491="Taijijian Opcional",38,IF(Atletas!I491="Daoshu Adulto",39,IF(Atletas!I491="Jianshu Adulto",40,IF(Atletas!I491="Nandao Adulto",41,IF(Atletas!I491="Taijijian Adulto",42,""))))))))))))))))))))))))))</f>
        <v/>
      </c>
      <c r="BH500" s="52" t="str">
        <f>IF(Atletas!J491="","",IF(Atletas!B491="Feminino",100,IF(Atletas!B491="Masculino",200,""))+(IF(Atletas!J491="Gunshu Mirim",43,IF(Atletas!J491="Qiangshu Mirim",44,IF(Atletas!J491="Nangun Mirim",45,IF(Atletas!J491="Gunshu Grupo C",46,IF(Atletas!J491="Qiangshu Grupo C",47,IF(Atletas!J491="Nangun Grupo C",48,IF(Atletas!J491="Gunshu Grupo B",49,IF(Atletas!J491="Qiangshu Grupo B",50,IF(Atletas!J491="Nangun Grupo B",51,IF(Atletas!J491="Gunshu Grupo A",52,IF(Atletas!J491="Qiangshu Grupo A",53,IF(Atletas!J491="Nangun Grupo A",54,IF(Atletas!J491="Gunshu Opcional",55,IF(Atletas!J491="Qiangshu Opcional",56,IF(Atletas!J491="Nangun Opcional",57,IF(Atletas!J491="Gunshu Adulto",58,IF(Atletas!J491="Qiangshu Adulto",59,IF(Atletas!J491="Nangun Adulto",60,IF(Atletas!J491="Taijishan Grupo B",61,IF(Atletas!J491="Taijishan Grupo A",62,""))))))))))))))))))))))</f>
        <v/>
      </c>
      <c r="BM500" s="50" t="str">
        <f>IF(Atletas!K491="","",IF(Atletas!B491="Feminino",100,IF(Atletas!B491="Masculino",200,""))+(IF(Atletas!K491="Equipe 1 Grupo B",1,IF(Atletas!K491="Equipe 2 Grupo B",2,IF(Atletas!K491="Equipe 1 Grupo A",3,IF(Atletas!K491="Equipe 2 Grupo A",4,IF(Atletas!K491="Equipe 1 Adulto",5,IF(Atletas!K491="Equipe 2 Adulto",6,""))))))))</f>
        <v/>
      </c>
      <c r="BR500" s="50" t="str">
        <f>IF(Atletas!L491="","",IF(Atletas!X491&lt;&gt;"",10000,0)+(IF(Atletas!B491="Feminino",1000,IF(Atletas!B491="Masculino",2000,""))+IF(Atletas!L491="Choylayfut A",1,IF(Atletas!L491="Hunggar A",2,IF(Atletas!L491="Wuzuquan A",3,IF(Atletas!L491="Wingchun A",4,IF(Atletas!L491="Outra Mão de Sul A",5,IF(Atletas!L491="Choylayfut B",6,IF(Atletas!L491="Hunggar B",7,IF(Atletas!L491="Wuzuquan B",8,IF(Atletas!L491="Wingchun B",9,IF(Atletas!L491="Outra Mão de Sul B",10,IF(Atletas!L491="Choylayfut C",11,IF(Atletas!L491="Hunggar C",12,IF(Atletas!L491="Wuzuquan C",13,IF(Atletas!L491="Wingchun C",14,IF(Atletas!L491="Outra Mão de Sul C",15,IF(Atletas!L491="Choylayfut D",16,IF(Atletas!L491="Hunggar D",17,IF(Atletas!L491="Wuzuquan D",18,IF(Atletas!L491="Wingchun D",19,IF(Atletas!L491="Outra Mão de Sul D",20,IF(Atletas!L491="Choylayfut E",21,IF(Atletas!L491="Hunggar E",22,IF(Atletas!L491="Wuzuquan E",23,IF(Atletas!L491="Wingchun E",24,IF(Atletas!L491="Outra Mão de Sul E",25,IF(Atletas!L491="Choylayfut F",26,IF(Atletas!L491="Hunggar F",27,IF(Atletas!L491="Wuzuquan F",28,IF(Atletas!L491="Wingchun F",29,IF(Atletas!L491="Outra Mão de Sul F",30,IF(Atletas!L491="Dishuquan A",31,IF(Atletas!L491="Dishuquan B",32,IF(Atletas!L491="Dishuquan C",33,IF(Atletas!L491="Dishuquan D",34,IF(Atletas!L491="Dishuquan E",35,IF(Atletas!L491="Dishuquan F",36,""))))))))))))))))))))))))))))))))))))))</f>
        <v/>
      </c>
      <c r="BS500" s="50" t="str">
        <f>IF(Atletas!M491="","",IF(Atletas!X491&lt;&gt;"",10000,0)+(IF(Atletas!B491="Feminino",1000,IF(Atletas!B491="Masculino",2000,""))+(IF(Atletas!M491="Chaquan A",101,IF(Atletas!M491="Emeiquan A",102,IF(Atletas!M491="Fanziquan A",103,IF(Atletas!M491="Huaquan A",104,IF(Atletas!M491="Hongquan A",105,IF(Atletas!M491="Paoquan A",106,IF(Atletas!M491="Piguaquan A",107,IF(Atletas!M491="Shaolinquan A",108,IF(Atletas!M491="Tanglangquan A",109,IF(Atletas!M491="Yingzhaoquan A",110,IF(Atletas!M491="Tongbeiquan A",111,IF(Atletas!M491="Wudangquan A",112,IF(Atletas!M491="Outros Estilos A",113,IF(Atletas!M491="Chaquan B",114,IF(Atletas!M491="Emeiquan B",115,IF(Atletas!M491="Fanziquan B",116,IF(Atletas!M491="Huaquan B",117,IF(Atletas!M491="Hongquan B",118,IF(Atletas!M491="Paoquan B",119,IF(Atletas!M491="Piguaquan B",120,IF(Atletas!M491="Shaolinquan B",121,IF(Atletas!M491="Tanglangquan B",122,IF(Atletas!M491="Yingzhaoquan B",123,IF(Atletas!M491="Tongbeiquan B",124,IF(Atletas!M491="Wudangquan B",125,IF(Atletas!M491="Outros Estilos B",126,IF(Atletas!M491="Chaquan C",127,IF(Atletas!M491="Emeiquan C",128,IF(Atletas!M491="Fanziquan C",129,IF(Atletas!M491="Huaquan C",130,IF(Atletas!M491="Hongquan C",131,IF(Atletas!M491="Paoquan C",132,IF(Atletas!M491="Piguaquan C",133,IF(Atletas!M491="Shaolinquan C",134,IF(Atletas!M491="Tanglangquan C",135,IF(Atletas!M491="Yingzhaoquan C",136,IF(Atletas!M491="Tongbeiquan C",137,IF(Atletas!M491="Wudangquan C",138,IF(Atletas!M491="Outros Estilos C",139,0))))))))))))))))))))))))))))))))))))))))))</f>
        <v/>
      </c>
      <c r="BT500" s="50" t="str">
        <f>IF(Atletas!M491="","",IF(Atletas!X491&lt;&gt;"",10000,0)+(IF(Atletas!B491="Feminino",1000,IF(Atletas!B491="Masculino",2000,""))+(IF(Atletas!M491="Chaquan D",140,IF(Atletas!M491="Emeiquan D",141,IF(Atletas!M491="Fanziquan D",142,IF(Atletas!M491="Huaquan D",143,IF(Atletas!M491="Hongquan D",144,IF(Atletas!M491="Paoquan D",145,IF(Atletas!M491="Piguaquan D",146,IF(Atletas!M491="Shaolinquan D",147,IF(Atletas!M491="Tanglangquan D",148,IF(Atletas!M491="Yingzhaoquan D",149,IF(Atletas!M491="Tongbeiquan D",150,IF(Atletas!M491="Wudangquan D",151,IF(Atletas!M491="Outros Estilos D",152,IF(Atletas!M491="Chaquan E",153,IF(Atletas!M491="Emeiquan E",154,IF(Atletas!M491="Fanziquan E",155,IF(Atletas!M491="Huaquan E",156,IF(Atletas!M491="Hongquan E",157,IF(Atletas!M491="Paoquan E",158,IF(Atletas!M491="Piguaquan E",159,IF(Atletas!M491="Shaolinquan E",160,IF(Atletas!M491="Tanglangquan E",161,IF(Atletas!M491="Yingzhaoquan E",162,IF(Atletas!M491="Tongbeiquan E",163,IF(Atletas!M491="Wudangquan E",164,IF(Atletas!M491="Outros Estilos E",165,IF(Atletas!M491="Chaquan F",166,IF(Atletas!M491="Emeiquan F",167,IF(Atletas!M491="Fanziquan F",168,IF(Atletas!M491="Huaquan F",169,IF(Atletas!M491="Hongquan F",170,IF(Atletas!M491="Paoquan F",171,IF(Atletas!M491="Piguaquan F",172,IF(Atletas!M491="Shaolinquan F",173,IF(Atletas!M491="Tanglangquan F",174,IF(Atletas!M491="Yingzhaoquan F",175,IF(Atletas!M491="Tongbeiquan F",176,IF(Atletas!M491="Wudangquan F",177,IF(Atletas!M491="Outros Estilos F",178,0))))))))))))))))))))))))))))))))))))))))))</f>
        <v/>
      </c>
      <c r="BU500" s="50" t="str">
        <f>IF(Atletas!N491="","",IF(Atletas!X491&lt;&gt;"",10000,0)+(IF(Atletas!B491="Feminino",1000,IF(Atletas!B491="Masculino",2000,""))+(IF(Atletas!N491="Ditangquan A",201,IF(Atletas!N491="Houquan A",202,IF(Atletas!N491="Zuiquan A",203,IF(Atletas!N491="Ditangquan B",204,IF(Atletas!N491="Houquan B",205,IF(Atletas!N491="Zuiquan B",206,IF(Atletas!N491="Ditangquan C",207,IF(Atletas!N491="Houquan C",208,IF(Atletas!N491="Zuiquan C",209,IF(Atletas!N491="Ditangquan D",210,IF(Atletas!N491="Houquan D",211,IF(Atletas!N491="Zuiquan D",212,IF(Atletas!N491="Ditangquan E",213,IF(Atletas!N491="Houquan E",214,IF(Atletas!N491="Zuiquan E",215,IF(Atletas!N491="Ditangquan F",216,IF(Atletas!N491="Houquan F",217,IF(Atletas!N491="Zuiquan F",218,"")))))))))))))))))))))</f>
        <v/>
      </c>
      <c r="BV500" s="50" t="str">
        <f>IF(Atletas!O491="","",IF(Atletas!X491&lt;&gt;"",10000,0)+IF(Atletas!B491="Feminino",1000,IF(Atletas!B491="Masculino",2000,""))+IF(Atletas!O491="Yang A",301,IF(Atletas!O491="Chen A",302,IF(Atletas!O491="Sun A",303,IF(Atletas!O491="Wu A",304,IF(Atletas!O491="Wu-Hao A",305,IF(Atletas!O491="Outro Taijiquan A",306,IF(Atletas!O491="Yang B",307,IF(Atletas!O491="Chen B",308,IF(Atletas!O491="Sun B",309,IF(Atletas!O491="Wu B",310,IF(Atletas!O491="Wu-Hao B",311,IF(Atletas!O491="Outro Taijiquan B",312,IF(Atletas!O491="Yang C",313,IF(Atletas!O491="Chen C",314,IF(Atletas!O491="Sun C",315,IF(Atletas!O491="Wu C",316,IF(Atletas!O491="Wu-Hao C",317,IF(Atletas!O491="Outro Taijiquan C",318,IF(Atletas!O491="Yang D",319,IF(Atletas!O491="Chen D",320,IF(Atletas!O491="Sun D",321,IF(Atletas!O491="Wu D",322,IF(Atletas!O491="Wu-Hao D",323,IF(Atletas!O491="Outro Taijiquan D",324,IF(Atletas!O491="Yang E",325,IF(Atletas!O491="Chen E",326,IF(Atletas!O491="Sun E",327,IF(Atletas!O491="Wu E",328,IF(Atletas!O491="Wu-Hao E",329,IF(Atletas!O491="Outro Taijiquan E",330,IF(Atletas!O491="Yang F",331,IF(Atletas!O491="Chen F",332,IF(Atletas!O491="Sun F",333,IF(Atletas!O491="Wu F",334,IF(Atletas!O491="Wu-Hao F",335,IF(Atletas!O491="Outro Taijiquan F",336,"")))))))))))))))))))))))))))))))))))))</f>
        <v/>
      </c>
      <c r="BW500" s="50" t="str">
        <f>IF(Atletas!P491="","",IF(Atletas!X491&lt;&gt;"",10000,0)+IF(Atletas!B491="Feminino",1000,IF(Atletas!B491="Masculino",2000,""))+IF(OR(Atletas!P491="Yang 26 A",Atletas!P491="Yang 40 A"),401,IF(OR(Atletas!P491="Chen 25 A",Atletas!P491="Chen 36 A",Atletas!P491="Chen 56 A"),402,IF(Atletas!P491="Sun 73 A",403,IF(Atletas!P491="Wu 45 A",404,IF(Atletas!P491="Wu-Hao 46 A",405,IF(OR(Atletas!P491="Taijiquan 16 A",Atletas!P491="Taijiquan 24 A",Atletas!P491="Taijiquan 32 A",Atletas!P491="Taijiquan 42 A"),406,IF(OR(Atletas!P491="Yang 26 B",Atletas!P491="Yang 40 B"),407,IF(OR(Atletas!P491="Chen 25 B",Atletas!P491="Chen 36 B",Atletas!P491="Chen 56 B"),408,IF(Atletas!P491="Sun 73 B",409,IF(Atletas!P491="Wu 45 B",410,IF(Atletas!P491="Wu-Hao 46 B",411,IF(OR(Atletas!P491="Taijiquan 16 B",Atletas!P491="Taijiquan 24 B",Atletas!P491="Taijiquan 32 B",Atletas!P491="Taijiquan 42 B"),412,IF(OR(Atletas!P491="Yang 26 C",Atletas!P491="Yang 40 C"),413,IF(OR(Atletas!P491="Chen 25 C",Atletas!P491="Chen 36 C",Atletas!P491="Chen 56 C"),414,IF(Atletas!P491="Sun 73 C",415,IF(Atletas!P491="Wu 45 C",416,IF(Atletas!P491="Wu-Hao 46 C",417,IF(OR(Atletas!P491="Taijiquan 16 C",Atletas!P491="Taijiquan 24 C",Atletas!P491="Taijiquan 32 C",Atletas!P491="Taijiquan 42 C"),418,0)))))))))))))))))))</f>
        <v/>
      </c>
      <c r="BX500" s="50" t="str">
        <f>IF(Atletas!P491="","",IF(Atletas!X491&lt;&gt;"",10000,0)+IF(Atletas!B491="Feminino",1000,IF(Atletas!B491="Masculino",2000,""))+IF(OR(Atletas!P491="Yang 26 D",Atletas!P491="Yang 40 D"),419,IF(OR(Atletas!P491="Chen 25 D",Atletas!P491="Chen 36 D",Atletas!P491="Chen 56 D"),420,IF(Atletas!P491="Sun 73 D",421,IF(Atletas!P491="Wu 45 D",422,IF(Atletas!P491="Wu-Hao 46 D",423,IF(OR(Atletas!P491="Taijiquan 16 D",Atletas!P491="Taijiquan 24 D",Atletas!P491="Taijiquan 32 D",Atletas!P491="Taijiquan 42 D"),424,IF(OR(Atletas!P491="Yang 26 E",Atletas!P491="Yang 40 E"),425,IF(OR(Atletas!P491="Chen 25 E",Atletas!P491="Chen 36 E",Atletas!P491="Chen 56 E"),426,IF(Atletas!P491="Sun 73 E",427,IF(Atletas!P491="Wu 45 E",428,IF(Atletas!P491="Wu-Hao 46 E",429,IF(OR(Atletas!P491="Taijiquan 16 E",Atletas!P491="Taijiquan 24 E",Atletas!P491="Taijiquan 32 E",Atletas!P491="Taijiquan 42 E"),430,IF(OR(Atletas!P491="Yang 26 F",Atletas!P491="Yang 40 F"),431,IF(OR(Atletas!P491="Chen 25 F",Atletas!P491="Chen 36 F",Atletas!P491="Chen 56 F"),432,IF(Atletas!P491="Sun 73 F",433,IF(Atletas!P491="Wu 45 F",434,IF(Atletas!P491="Wu-Hao 46 F",435,IF(OR(Atletas!P491="Taijiquan 16 F",Atletas!P491="Taijiquan 24 F",Atletas!P491="Taijiquan 32 F",Atletas!P491="Taijiquan 42 F"),436,0)))))))))))))))))))</f>
        <v/>
      </c>
      <c r="BY500" s="50" t="str">
        <f>IF(Atletas!Q491="","",IF(Atletas!X491&lt;&gt;"",10000,0)+IF(Atletas!B491="Feminino",1000,IF(Atletas!B491="Masculino",2000,""))+IF(Atletas!Q491="Xingyiquan A",501,IF(Atletas!Q491="Baguazhang A",502,IF(Atletas!Q491="Outro Estilo Interno A",503,IF(Atletas!Q491="Xingyiquan B",504,IF(Atletas!Q491="Baguazhang B",505,IF(Atletas!Q491="Outro Estilo Interno B",506,IF(Atletas!Q491="Xingyiquan C",507,IF(Atletas!Q491="Baguazhang C",508,IF(Atletas!Q491="Outro Estilo Interno C",509,IF(Atletas!Q491="Xingyiquan D",510,IF(Atletas!Q491="Baguazhang D",511,IF(Atletas!Q491="Outro Estilo Interno D",512,IF(Atletas!Q491="Xingyiquan E",513,IF(Atletas!Q491="Baguazhang E",514,IF(Atletas!Q491="Outro Estilo Interno E",515,IF(Atletas!Q491="Xingyiquan F",516,IF(Atletas!Q491="Baguazhang F",517,IF(Atletas!Q491="Outro Estilo Interno F",518, "")))))))))))))))))))</f>
        <v/>
      </c>
      <c r="BZ500" s="50" t="str">
        <f>IF(Atletas!R491="","",IF(Atletas!X491&lt;&gt;"",10000,0)+IF(Atletas!B491="Feminino",1000,IF(Atletas!B491="Masculino",2000,""))+IF(Atletas!R491="Dao A",601,IF(Atletas!R491="Jian A",602,IF(Atletas!R491="Bishou A",603,IF(Atletas!R491="Shanzi A",604,IF(Atletas!R491="Outra Arma Curta A",605,IF(Atletas!R491="Dao B",606,IF(Atletas!R491="Jian B",607,IF(Atletas!R491="Bishou B",608,IF(Atletas!R491="Shanzi B",609,IF(Atletas!R491="Outra Arma Curta B",610,IF(Atletas!R491="Dao C",611,IF(Atletas!R491="Jian C",612,IF(Atletas!R491="Bishou C",613,IF(Atletas!R491="Shanzi C",614,IF(Atletas!R491="Outra Arma Curta C",615,IF(Atletas!R491="Dao D",616,IF(Atletas!R491="Jian D",617,IF(Atletas!R491="Bishou D",618,IF(Atletas!R491="Shanzi D",619,IF(Atletas!R491="Outra Arma Curta D",620,IF(Atletas!R491="Dao E",621,IF(Atletas!R491="Jian E",622,IF(Atletas!R491="Bishou E",623,IF(Atletas!R491="Shanzi E",624,IF(Atletas!R491="Outra Arma Curta E",625,IF(Atletas!R491="Dao F",626,IF(Atletas!R491="Jian F",627,IF(Atletas!R491="Bishou F",628,IF(Atletas!R491="Shanzi F",629,IF(Atletas!R491="Outra Arma Curta F",630, "")))))))))))))))))))))))))))))))</f>
        <v/>
      </c>
      <c r="CA500" s="50" t="str">
        <f>IF(Atletas!S491="","",IF(Atletas!X491&lt;&gt;"",10000,0)+IF(Atletas!B491="Feminino",1000,IF(Atletas!B491="Masculino",2000,""))+IF(Atletas!S491="Gun A",701,IF(Atletas!S491="Qiang A",702,IF(Atletas!S491="Pudao / Guandao A",703,IF(Atletas!S491="Outra Arma Longa A",704,IF(Atletas!S491="Gun B",705,IF(Atletas!S491="Qiang B",706,IF(Atletas!S491="Pudao / Guandao B",707,IF(Atletas!S491="Outra Arma Longa B",708,IF(Atletas!S491="Gun C",709,IF(Atletas!S491="Qiang C",710,IF(Atletas!S491="Pudao / Guandao C",711,IF(Atletas!S491="Outra Arma Longa C",712,IF(Atletas!S491="Gun D",713,IF(Atletas!S491="Qiang D",714,IF(Atletas!S491="Pudao / Guandao D",715,IF(Atletas!S491="Outra Arma Longa D",716,IF(Atletas!S491="Gun E",717,IF(Atletas!S491="Qiang E",718,IF(Atletas!S491="Pudao / Guandao E",719,IF(Atletas!S491="Outra Arma Longa E",720,IF(Atletas!S491="Gun F",721,IF(Atletas!S491="Qiang F",722,IF(Atletas!S491="Pudao / Guandao F",723,IF(Atletas!S491="Outra Arma Longa F",724,"")))))))))))))))))))))))))</f>
        <v/>
      </c>
      <c r="CB500" s="50" t="str">
        <f>IF(Atletas!T491="","",IF(Atletas!X491&lt;&gt;"",10000,0)+IF(Atletas!B491="Feminino",1000,IF(Atletas!B491="Masculino",2000,""))+IF(Atletas!T491="Outra Arma Dupla A",801,IF(Atletas!T491="Arma Maleável A",802,IF(Atletas!T491="Outra Arma Dupla B",803,IF(Atletas!T491="Arma Maleável B",804,IF(Atletas!T491="Outra Arma Dupla C",805,IF(Atletas!T491="Arma Maleável C",806,IF(Atletas!T491="Outra Arma Dupla D",807,IF(Atletas!T491="Arma Maleável D",808,IF(Atletas!T491="Outra Arma Dupla E",809,IF(Atletas!T491="Arma Maleável E",810,IF(Atletas!T491="Outra Arma Dupla F",811,IF(Atletas!T491="Arma Maleável F",812,IF(Atletas!T491="Shuangdao A",813,IF(Atletas!T491="Shuangdao B",814,IF(Atletas!T491="Shuangdao C",815,IF(Atletas!T491="Shuangdao D",816,IF(Atletas!T491="Shuangdao E",817,IF(Atletas!T491="Shuangdao F",818,"")))))))))))))))))))</f>
        <v/>
      </c>
      <c r="CC500" s="50" t="str">
        <f>IF(Atletas!U491="","",IF(Atletas!X491&lt;&gt;"",10000,0)+IF(Atletas!B491="Feminino",1000,IF(Atletas!B491="Masculino",2000,""))+IF(OR(Atletas!U491="Taijijian Yang A",Atletas!U491="Taijijian Yang Standard A"),901,IF(OR(Atletas!U491="Taijijian Chen A", Atletas!U491="Taijijian Chen Standard A"),902,IF(Atletas!U491="Taijijian Sun A",903,IF(Atletas!U491="Taijijian Wu A",904,IF(Atletas!U491="Taijijian Wu-Hao A",905,IF(OR(Atletas!U491="Taijijian 32 A",Atletas!U491="Taijijian 42 A"),906,IF(OR(Atletas!U491="Taijijian Yang B",Atletas!U491="Taijijian Yang Standard B"),907,IF(OR(Atletas!U491="Taijijian Chen B", Atletas!U491="Taijijian Chen Standard B"),908,IF(Atletas!U491="Taijijian Sun B",909,IF(Atletas!U491="Taijijian Wu B",910,IF(Atletas!U491="Taijijian Wu-Hao B",911,IF(OR(Atletas!U491="Taijijian 32 B",Atletas!U491="Taijijian 42 B"),912,IF(OR(Atletas!U491="Taijijian Yang C",Atletas!U491="Taijijian Yang Standard C"),913,IF(OR(Atletas!U491="Taijijian Chen C", Atletas!U491="Taijijian Chen Standard C"),914,IF(Atletas!U491="Taijijian Sun C",915,IF(Atletas!U491="Taijijian Wu C",916,IF(Atletas!U491="Taijijian Wu-Hao C",917,IF(OR(Atletas!U491="Taijijian 32 C",Atletas!U491="Taijijian 42 C"),918,IF(OR(Atletas!U491="Taijijian Yang D",Atletas!U491="Taijijian Yang Standard D"),919,IF(OR(Atletas!U491="Taijijian Chen D", Atletas!U491="Taijijian Chen Standard D"),920,IF(Atletas!U491="Taijijian Sun D",921,IF(Atletas!U491="Taijijian Wu D",922,IF(Atletas!U491="Taijijian Wu-Hao D",923,IF(OR(Atletas!U491="Taijijian 32 D",Atletas!U491="Taijijian 42 D"),924,IF(OR(Atletas!U491="Taijijian Yang E",Atletas!U491="Taijijian Yang Standard E"),925,IF(OR(Atletas!U491="Taijijian Chen E", Atletas!U491="Taijijian Chen Standard E"),926,IF(Atletas!U491="Taijijian Sun E",927,IF(Atletas!U491="Taijijian Wu E",928,IF(Atletas!U491="Taijijian Wu-Hao E",929,IF(OR(Atletas!U491="Taijijian 32 E",Atletas!U491="Taijijian 42 E"),930,IF(OR(Atletas!U491="Taijijian Yang F",Atletas!U491="Taijijian Yang Standard F"),931,IF(OR(Atletas!U491="Taijijian Chen F", Atletas!U491="Taijijian Chen Standard F"),932,IF(Atletas!U491="Taijijian Sun F",933,IF(Atletas!U491="Taijijian Wu F",934,IF(Atletas!U491="Taijijian Wu-Hao F",935,IF(OR(Atletas!U491="Taijijian 32 F",Atletas!U491="Taijijian 42 F"),936,"")))))))))))))))))))))))))))))))))))))</f>
        <v/>
      </c>
      <c r="CD500" s="50" t="str">
        <f>IF(Atletas!V491="","",IF(Atletas!X491&lt;&gt;"",10000,0)+IF(Atletas!B491="Feminino",1000,IF(Atletas!B491="Masculino",2000,""))+IF(Atletas!V491="Taijidao A",937,IF(Atletas!V491="TaijiShanzi A",938,IF(Atletas!V491="Taijiqiang A",939,IF(Atletas!V491="Bagua de Arma A",940,IF(Atletas!V491="Xingyi de Arma A",941,IF(Atletas!V491="Taijidao B",942,IF(Atletas!V491="TaijiShanzi B",943,IF(Atletas!V491="Taijiqiang B",944,IF(Atletas!V491="Bagua de Arma B",945,IF(Atletas!V491="Xingyi de Arma B",946,IF(Atletas!V491="Taijidao C",947,IF(Atletas!V491="TaijiShanzi C",948,IF(Atletas!V491="Taijiqiang C",949,IF(Atletas!V491="Bagua de Arma C",950,IF(Atletas!V491="Xingyi de Arma C",951,IF(Atletas!V491="Taijidao D",952,IF(Atletas!V491="TaijiShanzi D",953,IF(Atletas!V491="Taijiqiang D",954,IF(Atletas!V491="Bagua de Arma D",955,IF(Atletas!V491="Xingyi de Arma D",956,IF(Atletas!V491="Taijidao E",957,IF(Atletas!V491="TaijiShanzi E",958,IF(Atletas!V491="Taijiqiang E",959,IF(Atletas!V491="Bagua de Arma E",960,IF(Atletas!V491="Xingyi de Arma E",961,IF(Atletas!V491="Taijidao F",962,IF(Atletas!V491="TaijiShanzi F",963,IF(Atletas!V491="Taijiqiang F",964,IF(Atletas!V491="Bagua de Arma F",965,IF(Atletas!V491="Xingyi de Arma F",966,"")))))))))))))))))))))))))))))))</f>
        <v/>
      </c>
      <c r="CM500" s="50" t="str">
        <f xml:space="preserve"> IF(Atletas!W491="","",IF(Atletas!W491="Duilian de Mãos BC - Equipe 1",1,IF(Atletas!W491="Duilian de Mãos BC - Equipe 2",2,IF(Atletas!W491="Duilian de Armas BC - Equipe 1",3,IF(Atletas!W491="Duilian de Armas BC - Equipe 2",4,IF(Atletas!W491="Duilian de Mãos DE - Equipe 1",5,IF(Atletas!W491="Duilian de Mãos DE - Equipe 2",6,IF(Atletas!W491="Duilian de Armas DE - Equipe 1",7,IF(Atletas!W491="Duilian de Armas DE - Equipe 2",8,IF(Atletas!W491="Duilian de Tuishou - Equipe 1",9,IF(Atletas!W491="Duilian de Tuishou - Equipe 2",10,IF(Atletas!W491="Grupo Externo ABC - Equipe 1",11,IF(Atletas!W491="Grupo Externo ABC - Equipe 2",12,IF(Atletas!W491="Grupo Interno ABC - Equipe 1",13,IF(Atletas!W491="Grupo Interno ABC - Equipe 2",14,IF(Atletas!W491="Grupo Externo DEF - Equipe 1",15,IF(Atletas!W491="Grupo Externo DEF - Equipe 2",16,IF(Atletas!W491="Grupo Interno DEF - Equipe 1",17,IF(Atletas!W491="Grupo Interno DEF - Equipe 2",18,"")))))))))))))))))))</f>
        <v/>
      </c>
    </row>
    <row r="501" spans="40:91">
      <c r="AN501" s="52" t="str">
        <f>IF(Atletas!D492="","",IF(Atletas!B492="Feminino",100,IF(Atletas!B492="Masculino",200,""))+(IF(Atletas!D492="Kids 30kg",1,IF(Atletas!D492="Kids 32kg",2, IF(Atletas!D492="Kids 34kg",3,IF(Atletas!D492="Kids 36kg",4,IF(Atletas!D492="Kids 39kg",5,IF(Atletas!D492="Kids 42kg",6,IF(Atletas!D492="Kids 45kg",7, IF(Atletas!D492="Infantil 39kg",8,IF(Atletas!D492="Infantil 42kg",9,IF(Atletas!D492="Infantil 45kg",10,IF(Atletas!D492="Infantil 48kg",11,IF(Atletas!D492="Infantil 52kg",12,IF(Atletas!D492="Infantil 56kg",13,IF(Atletas!D492="Infantil 60kg",14,IF(Atletas!D492="Juvenil 48kg",15,IF(Atletas!D492="Juvenil 52kg",16,IF(Atletas!D492="Juvenil 56kg",17,IF(Atletas!D492="Juvenil 60kg",18,IF(Atletas!D492="Juvenil 65kg",19,IF(Atletas!D492="Juvenil 70kg",20,IF(Atletas!D492="Juvenil 75kg",21,IF(Atletas!D492="Juvenil 80kg",22, IF(Atletas!D492="Juvenil 85kg",23,IF(Atletas!D492="Adulto 48kg",24,IF(Atletas!D492="Adulto 52kg",25,IF(Atletas!D492="Adulto 56kg",26,IF(Atletas!D492="Adulto 60kg",27,IF(Atletas!D492="Adulto 65kg",28,IF(Atletas!D492="Adulto 70kg",29,IF(Atletas!D492="Adulto 75kg",30,IF(Atletas!D492="Adulto 80kg",31,IF(Atletas!D492="Adulto 85kg",32,IF(Atletas!D492="Adulto 90kg",33,IF(Atletas!D492="Adulto 100kg",34, IF(Atletas!D492="Adulto +100kg",35,"")))))))))))))))))))))))))))))))))))))</f>
        <v/>
      </c>
      <c r="AS501" s="6" t="str">
        <f>IF(Atletas!E492="","",IF(Atletas!B492="Feminino",100,IF(Atletas!B492="Masculino",200,""))+(IF(Atletas!E492="Juvenil 44kg",1,IF(Atletas!E492="Juvenil 48kg",2,IF(Atletas!E492="Juvenil 52kg",3,IF(Atletas!E492="Juvenil 56kg",4,IF(Atletas!E492="Juvenil 60kg",5,IF(Atletas!E492="Juvenil 65kg",6,IF(Atletas!E492="Juvenil 70kg",7,IF(Atletas!E492="Juvenil 75kg",8,IF(Atletas!E492="Juvenil 82kg",9,IF(Atletas!E492="Juvenil 90kg",10,IF(Atletas!E492="Juvenil 100kg",11,IF(Atletas!E492="Adulto 48kg",12,IF(Atletas!E492="Adulto 52kg",13,IF(Atletas!E492="Adulto 56kg",14,IF(Atletas!E492="Adulto 60kg",15,IF(Atletas!E492="Adulto 65kg",16,IF(Atletas!E492="Adulto 70kg",17,IF(Atletas!E492="Adulto 75kg",18,IF(Atletas!E492="Adulto 82kg",19,IF(Atletas!E492="Adulto 90kg",20,IF(Atletas!E492="Adulto 100kg",21,IF(Atletas!E492="Adulto +100kg",22,""))))))))))))))))))))))))</f>
        <v/>
      </c>
      <c r="AX501" s="6" t="str">
        <f>IF(Atletas!F492="","",IF(Atletas!B492="Feminino",100,IF(Atletas!B492="Masculino",200,""))+(IF(Atletas!F492="Adulto 48kg",1,IF(Atletas!F492="Adulto 56kg",2,IF(Atletas!F492="Adulto 65kg",3,IF(Atletas!F492="Adulto 75kg",4,IF(Atletas!F492="Adulto +75kg",5,IF(Atletas!F492="Adulto 52kg",6,IF(Atletas!F492="Adulto 60kg",7,IF(Atletas!F492="Adulto 70kg",8,IF(Atletas!F492="Adulto 80kg",9,IF(Atletas!F492="Adulto 90kg",10,IF(Atletas!F492="Adulto +90kg",11,"")))))))))))))</f>
        <v/>
      </c>
      <c r="BC501" s="6" t="str">
        <f>IF(Atletas!G492="","",IF(Atletas!B492="Feminino",10,IF(Atletas!B492="Masculino",20,""))+(IF(Atletas!G492="Baduanjin A",1,IF(Atletas!G492="Baduanjin B",2))))</f>
        <v/>
      </c>
      <c r="BF501" s="52" t="str">
        <f>IF(Atletas!H492="","",IF(Atletas!B492="Feminino",100,IF(Atletas!B492="Masculino",200,""))+(IF(Atletas!H492="Changquan Mirim",1,IF(Atletas!H492="Nanquan Mirim",2,IF(Atletas!H492="Taijiquan Mirim",3,IF(Atletas!H492="Changquan Grupo C",4,IF(Atletas!H492="Nanquan Grupo C",5,IF(Atletas!H492="Taijiquan Grupo C",6,IF(Atletas!H492="Changquan Grupo B",7,IF(Atletas!H492="Nanquan Grupo B",8,IF(Atletas!H492="Taijiquan Grupo B",9,IF(Atletas!H492="Changquan Grupo A",10,IF(Atletas!H492="Nanquan Grupo A",11,IF(Atletas!H492="Taijiquan Grupo A",12,IF(Atletas!H492="Changquan Opcional",13,IF(Atletas!H492="Nanquan Opcional",14,IF(Atletas!H492="Taijiquan Opcional",15,IF(Atletas!H492="Changquan Adulto",16,IF(Atletas!H492="Nanquan Adulto",17,IF(Atletas!H492="Taijiquan Adulto",18,""))))))))))))))))))))</f>
        <v/>
      </c>
      <c r="BG501" s="52" t="str">
        <f>IF(Atletas!I492="","",IF(Atletas!B492="Feminino",100,IF(Atletas!B492="Masculino",200,""))+(IF(Atletas!I492="Daoshu Mirim",19,IF(Atletas!I492="Jianshu Mirim",20,IF(Atletas!I492="Nandao Mirim",21,IF(Atletas!I492="Taijijian Mirim",22,IF(Atletas!I492="Daoshu Grupo C",23,IF(Atletas!I492="Jianshu Grupo C",24,IF(Atletas!I492="Nandao Grupo C",25,IF(Atletas!I492="Taijijian Grupo C",26,IF(Atletas!I492="Daoshu Grupo B",27,IF(Atletas!I492="Jianshu Grupo B",28,IF(Atletas!I492="Nandao Grupo B",29,IF(Atletas!I492="Taijijian Grupo B",30,IF(Atletas!I492="Daoshu Grupo A",31,IF(Atletas!I492="Jianshu Grupo A",32,IF(Atletas!I492="Nandao Grupo A",33,IF(Atletas!I492="Taijijian Grupo A",34,IF(Atletas!I492="Daoshu Opcional",35,IF(Atletas!I492="Jianshu Opcional",36,IF(Atletas!I492="Nandao Opcional",37,IF(Atletas!I492="Taijijian Opcional",38,IF(Atletas!I492="Daoshu Adulto",39,IF(Atletas!I492="Jianshu Adulto",40,IF(Atletas!I492="Nandao Adulto",41,IF(Atletas!I492="Taijijian Adulto",42,""))))))))))))))))))))))))))</f>
        <v/>
      </c>
      <c r="BH501" s="52" t="str">
        <f>IF(Atletas!J492="","",IF(Atletas!B492="Feminino",100,IF(Atletas!B492="Masculino",200,""))+(IF(Atletas!J492="Gunshu Mirim",43,IF(Atletas!J492="Qiangshu Mirim",44,IF(Atletas!J492="Nangun Mirim",45,IF(Atletas!J492="Gunshu Grupo C",46,IF(Atletas!J492="Qiangshu Grupo C",47,IF(Atletas!J492="Nangun Grupo C",48,IF(Atletas!J492="Gunshu Grupo B",49,IF(Atletas!J492="Qiangshu Grupo B",50,IF(Atletas!J492="Nangun Grupo B",51,IF(Atletas!J492="Gunshu Grupo A",52,IF(Atletas!J492="Qiangshu Grupo A",53,IF(Atletas!J492="Nangun Grupo A",54,IF(Atletas!J492="Gunshu Opcional",55,IF(Atletas!J492="Qiangshu Opcional",56,IF(Atletas!J492="Nangun Opcional",57,IF(Atletas!J492="Gunshu Adulto",58,IF(Atletas!J492="Qiangshu Adulto",59,IF(Atletas!J492="Nangun Adulto",60,IF(Atletas!J492="Taijishan Grupo B",61,IF(Atletas!J492="Taijishan Grupo A",62,""))))))))))))))))))))))</f>
        <v/>
      </c>
      <c r="BM501" s="50" t="str">
        <f>IF(Atletas!K492="","",IF(Atletas!B492="Feminino",100,IF(Atletas!B492="Masculino",200,""))+(IF(Atletas!K492="Equipe 1 Grupo B",1,IF(Atletas!K492="Equipe 2 Grupo B",2,IF(Atletas!K492="Equipe 1 Grupo A",3,IF(Atletas!K492="Equipe 2 Grupo A",4,IF(Atletas!K492="Equipe 1 Adulto",5,IF(Atletas!K492="Equipe 2 Adulto",6,""))))))))</f>
        <v/>
      </c>
      <c r="BR501" s="50" t="str">
        <f>IF(Atletas!L492="","",IF(Atletas!X492&lt;&gt;"",10000,0)+(IF(Atletas!B492="Feminino",1000,IF(Atletas!B492="Masculino",2000,""))+IF(Atletas!L492="Choylayfut A",1,IF(Atletas!L492="Hunggar A",2,IF(Atletas!L492="Wuzuquan A",3,IF(Atletas!L492="Wingchun A",4,IF(Atletas!L492="Outra Mão de Sul A",5,IF(Atletas!L492="Choylayfut B",6,IF(Atletas!L492="Hunggar B",7,IF(Atletas!L492="Wuzuquan B",8,IF(Atletas!L492="Wingchun B",9,IF(Atletas!L492="Outra Mão de Sul B",10,IF(Atletas!L492="Choylayfut C",11,IF(Atletas!L492="Hunggar C",12,IF(Atletas!L492="Wuzuquan C",13,IF(Atletas!L492="Wingchun C",14,IF(Atletas!L492="Outra Mão de Sul C",15,IF(Atletas!L492="Choylayfut D",16,IF(Atletas!L492="Hunggar D",17,IF(Atletas!L492="Wuzuquan D",18,IF(Atletas!L492="Wingchun D",19,IF(Atletas!L492="Outra Mão de Sul D",20,IF(Atletas!L492="Choylayfut E",21,IF(Atletas!L492="Hunggar E",22,IF(Atletas!L492="Wuzuquan E",23,IF(Atletas!L492="Wingchun E",24,IF(Atletas!L492="Outra Mão de Sul E",25,IF(Atletas!L492="Choylayfut F",26,IF(Atletas!L492="Hunggar F",27,IF(Atletas!L492="Wuzuquan F",28,IF(Atletas!L492="Wingchun F",29,IF(Atletas!L492="Outra Mão de Sul F",30,IF(Atletas!L492="Dishuquan A",31,IF(Atletas!L492="Dishuquan B",32,IF(Atletas!L492="Dishuquan C",33,IF(Atletas!L492="Dishuquan D",34,IF(Atletas!L492="Dishuquan E",35,IF(Atletas!L492="Dishuquan F",36,""))))))))))))))))))))))))))))))))))))))</f>
        <v/>
      </c>
      <c r="BS501" s="50" t="str">
        <f>IF(Atletas!M492="","",IF(Atletas!X492&lt;&gt;"",10000,0)+(IF(Atletas!B492="Feminino",1000,IF(Atletas!B492="Masculino",2000,""))+(IF(Atletas!M492="Chaquan A",101,IF(Atletas!M492="Emeiquan A",102,IF(Atletas!M492="Fanziquan A",103,IF(Atletas!M492="Huaquan A",104,IF(Atletas!M492="Hongquan A",105,IF(Atletas!M492="Paoquan A",106,IF(Atletas!M492="Piguaquan A",107,IF(Atletas!M492="Shaolinquan A",108,IF(Atletas!M492="Tanglangquan A",109,IF(Atletas!M492="Yingzhaoquan A",110,IF(Atletas!M492="Tongbeiquan A",111,IF(Atletas!M492="Wudangquan A",112,IF(Atletas!M492="Outros Estilos A",113,IF(Atletas!M492="Chaquan B",114,IF(Atletas!M492="Emeiquan B",115,IF(Atletas!M492="Fanziquan B",116,IF(Atletas!M492="Huaquan B",117,IF(Atletas!M492="Hongquan B",118,IF(Atletas!M492="Paoquan B",119,IF(Atletas!M492="Piguaquan B",120,IF(Atletas!M492="Shaolinquan B",121,IF(Atletas!M492="Tanglangquan B",122,IF(Atletas!M492="Yingzhaoquan B",123,IF(Atletas!M492="Tongbeiquan B",124,IF(Atletas!M492="Wudangquan B",125,IF(Atletas!M492="Outros Estilos B",126,IF(Atletas!M492="Chaquan C",127,IF(Atletas!M492="Emeiquan C",128,IF(Atletas!M492="Fanziquan C",129,IF(Atletas!M492="Huaquan C",130,IF(Atletas!M492="Hongquan C",131,IF(Atletas!M492="Paoquan C",132,IF(Atletas!M492="Piguaquan C",133,IF(Atletas!M492="Shaolinquan C",134,IF(Atletas!M492="Tanglangquan C",135,IF(Atletas!M492="Yingzhaoquan C",136,IF(Atletas!M492="Tongbeiquan C",137,IF(Atletas!M492="Wudangquan C",138,IF(Atletas!M492="Outros Estilos C",139,0))))))))))))))))))))))))))))))))))))))))))</f>
        <v/>
      </c>
      <c r="BT501" s="50" t="str">
        <f>IF(Atletas!M492="","",IF(Atletas!X492&lt;&gt;"",10000,0)+(IF(Atletas!B492="Feminino",1000,IF(Atletas!B492="Masculino",2000,""))+(IF(Atletas!M492="Chaquan D",140,IF(Atletas!M492="Emeiquan D",141,IF(Atletas!M492="Fanziquan D",142,IF(Atletas!M492="Huaquan D",143,IF(Atletas!M492="Hongquan D",144,IF(Atletas!M492="Paoquan D",145,IF(Atletas!M492="Piguaquan D",146,IF(Atletas!M492="Shaolinquan D",147,IF(Atletas!M492="Tanglangquan D",148,IF(Atletas!M492="Yingzhaoquan D",149,IF(Atletas!M492="Tongbeiquan D",150,IF(Atletas!M492="Wudangquan D",151,IF(Atletas!M492="Outros Estilos D",152,IF(Atletas!M492="Chaquan E",153,IF(Atletas!M492="Emeiquan E",154,IF(Atletas!M492="Fanziquan E",155,IF(Atletas!M492="Huaquan E",156,IF(Atletas!M492="Hongquan E",157,IF(Atletas!M492="Paoquan E",158,IF(Atletas!M492="Piguaquan E",159,IF(Atletas!M492="Shaolinquan E",160,IF(Atletas!M492="Tanglangquan E",161,IF(Atletas!M492="Yingzhaoquan E",162,IF(Atletas!M492="Tongbeiquan E",163,IF(Atletas!M492="Wudangquan E",164,IF(Atletas!M492="Outros Estilos E",165,IF(Atletas!M492="Chaquan F",166,IF(Atletas!M492="Emeiquan F",167,IF(Atletas!M492="Fanziquan F",168,IF(Atletas!M492="Huaquan F",169,IF(Atletas!M492="Hongquan F",170,IF(Atletas!M492="Paoquan F",171,IF(Atletas!M492="Piguaquan F",172,IF(Atletas!M492="Shaolinquan F",173,IF(Atletas!M492="Tanglangquan F",174,IF(Atletas!M492="Yingzhaoquan F",175,IF(Atletas!M492="Tongbeiquan F",176,IF(Atletas!M492="Wudangquan F",177,IF(Atletas!M492="Outros Estilos F",178,0))))))))))))))))))))))))))))))))))))))))))</f>
        <v/>
      </c>
      <c r="BU501" s="50" t="str">
        <f>IF(Atletas!N492="","",IF(Atletas!X492&lt;&gt;"",10000,0)+(IF(Atletas!B492="Feminino",1000,IF(Atletas!B492="Masculino",2000,""))+(IF(Atletas!N492="Ditangquan A",201,IF(Atletas!N492="Houquan A",202,IF(Atletas!N492="Zuiquan A",203,IF(Atletas!N492="Ditangquan B",204,IF(Atletas!N492="Houquan B",205,IF(Atletas!N492="Zuiquan B",206,IF(Atletas!N492="Ditangquan C",207,IF(Atletas!N492="Houquan C",208,IF(Atletas!N492="Zuiquan C",209,IF(Atletas!N492="Ditangquan D",210,IF(Atletas!N492="Houquan D",211,IF(Atletas!N492="Zuiquan D",212,IF(Atletas!N492="Ditangquan E",213,IF(Atletas!N492="Houquan E",214,IF(Atletas!N492="Zuiquan E",215,IF(Atletas!N492="Ditangquan F",216,IF(Atletas!N492="Houquan F",217,IF(Atletas!N492="Zuiquan F",218,"")))))))))))))))))))))</f>
        <v/>
      </c>
      <c r="BV501" s="50" t="str">
        <f>IF(Atletas!O492="","",IF(Atletas!X492&lt;&gt;"",10000,0)+IF(Atletas!B492="Feminino",1000,IF(Atletas!B492="Masculino",2000,""))+IF(Atletas!O492="Yang A",301,IF(Atletas!O492="Chen A",302,IF(Atletas!O492="Sun A",303,IF(Atletas!O492="Wu A",304,IF(Atletas!O492="Wu-Hao A",305,IF(Atletas!O492="Outro Taijiquan A",306,IF(Atletas!O492="Yang B",307,IF(Atletas!O492="Chen B",308,IF(Atletas!O492="Sun B",309,IF(Atletas!O492="Wu B",310,IF(Atletas!O492="Wu-Hao B",311,IF(Atletas!O492="Outro Taijiquan B",312,IF(Atletas!O492="Yang C",313,IF(Atletas!O492="Chen C",314,IF(Atletas!O492="Sun C",315,IF(Atletas!O492="Wu C",316,IF(Atletas!O492="Wu-Hao C",317,IF(Atletas!O492="Outro Taijiquan C",318,IF(Atletas!O492="Yang D",319,IF(Atletas!O492="Chen D",320,IF(Atletas!O492="Sun D",321,IF(Atletas!O492="Wu D",322,IF(Atletas!O492="Wu-Hao D",323,IF(Atletas!O492="Outro Taijiquan D",324,IF(Atletas!O492="Yang E",325,IF(Atletas!O492="Chen E",326,IF(Atletas!O492="Sun E",327,IF(Atletas!O492="Wu E",328,IF(Atletas!O492="Wu-Hao E",329,IF(Atletas!O492="Outro Taijiquan E",330,IF(Atletas!O492="Yang F",331,IF(Atletas!O492="Chen F",332,IF(Atletas!O492="Sun F",333,IF(Atletas!O492="Wu F",334,IF(Atletas!O492="Wu-Hao F",335,IF(Atletas!O492="Outro Taijiquan F",336,"")))))))))))))))))))))))))))))))))))))</f>
        <v/>
      </c>
      <c r="BW501" s="50" t="str">
        <f>IF(Atletas!P492="","",IF(Atletas!X492&lt;&gt;"",10000,0)+IF(Atletas!B492="Feminino",1000,IF(Atletas!B492="Masculino",2000,""))+IF(OR(Atletas!P492="Yang 26 A",Atletas!P492="Yang 40 A"),401,IF(OR(Atletas!P492="Chen 25 A",Atletas!P492="Chen 36 A",Atletas!P492="Chen 56 A"),402,IF(Atletas!P492="Sun 73 A",403,IF(Atletas!P492="Wu 45 A",404,IF(Atletas!P492="Wu-Hao 46 A",405,IF(OR(Atletas!P492="Taijiquan 16 A",Atletas!P492="Taijiquan 24 A",Atletas!P492="Taijiquan 32 A",Atletas!P492="Taijiquan 42 A"),406,IF(OR(Atletas!P492="Yang 26 B",Atletas!P492="Yang 40 B"),407,IF(OR(Atletas!P492="Chen 25 B",Atletas!P492="Chen 36 B",Atletas!P492="Chen 56 B"),408,IF(Atletas!P492="Sun 73 B",409,IF(Atletas!P492="Wu 45 B",410,IF(Atletas!P492="Wu-Hao 46 B",411,IF(OR(Atletas!P492="Taijiquan 16 B",Atletas!P492="Taijiquan 24 B",Atletas!P492="Taijiquan 32 B",Atletas!P492="Taijiquan 42 B"),412,IF(OR(Atletas!P492="Yang 26 C",Atletas!P492="Yang 40 C"),413,IF(OR(Atletas!P492="Chen 25 C",Atletas!P492="Chen 36 C",Atletas!P492="Chen 56 C"),414,IF(Atletas!P492="Sun 73 C",415,IF(Atletas!P492="Wu 45 C",416,IF(Atletas!P492="Wu-Hao 46 C",417,IF(OR(Atletas!P492="Taijiquan 16 C",Atletas!P492="Taijiquan 24 C",Atletas!P492="Taijiquan 32 C",Atletas!P492="Taijiquan 42 C"),418,0)))))))))))))))))))</f>
        <v/>
      </c>
      <c r="BX501" s="50" t="str">
        <f>IF(Atletas!P492="","",IF(Atletas!X492&lt;&gt;"",10000,0)+IF(Atletas!B492="Feminino",1000,IF(Atletas!B492="Masculino",2000,""))+IF(OR(Atletas!P492="Yang 26 D",Atletas!P492="Yang 40 D"),419,IF(OR(Atletas!P492="Chen 25 D",Atletas!P492="Chen 36 D",Atletas!P492="Chen 56 D"),420,IF(Atletas!P492="Sun 73 D",421,IF(Atletas!P492="Wu 45 D",422,IF(Atletas!P492="Wu-Hao 46 D",423,IF(OR(Atletas!P492="Taijiquan 16 D",Atletas!P492="Taijiquan 24 D",Atletas!P492="Taijiquan 32 D",Atletas!P492="Taijiquan 42 D"),424,IF(OR(Atletas!P492="Yang 26 E",Atletas!P492="Yang 40 E"),425,IF(OR(Atletas!P492="Chen 25 E",Atletas!P492="Chen 36 E",Atletas!P492="Chen 56 E"),426,IF(Atletas!P492="Sun 73 E",427,IF(Atletas!P492="Wu 45 E",428,IF(Atletas!P492="Wu-Hao 46 E",429,IF(OR(Atletas!P492="Taijiquan 16 E",Atletas!P492="Taijiquan 24 E",Atletas!P492="Taijiquan 32 E",Atletas!P492="Taijiquan 42 E"),430,IF(OR(Atletas!P492="Yang 26 F",Atletas!P492="Yang 40 F"),431,IF(OR(Atletas!P492="Chen 25 F",Atletas!P492="Chen 36 F",Atletas!P492="Chen 56 F"),432,IF(Atletas!P492="Sun 73 F",433,IF(Atletas!P492="Wu 45 F",434,IF(Atletas!P492="Wu-Hao 46 F",435,IF(OR(Atletas!P492="Taijiquan 16 F",Atletas!P492="Taijiquan 24 F",Atletas!P492="Taijiquan 32 F",Atletas!P492="Taijiquan 42 F"),436,0)))))))))))))))))))</f>
        <v/>
      </c>
      <c r="BY501" s="50" t="str">
        <f>IF(Atletas!Q492="","",IF(Atletas!X492&lt;&gt;"",10000,0)+IF(Atletas!B492="Feminino",1000,IF(Atletas!B492="Masculino",2000,""))+IF(Atletas!Q492="Xingyiquan A",501,IF(Atletas!Q492="Baguazhang A",502,IF(Atletas!Q492="Outro Estilo Interno A",503,IF(Atletas!Q492="Xingyiquan B",504,IF(Atletas!Q492="Baguazhang B",505,IF(Atletas!Q492="Outro Estilo Interno B",506,IF(Atletas!Q492="Xingyiquan C",507,IF(Atletas!Q492="Baguazhang C",508,IF(Atletas!Q492="Outro Estilo Interno C",509,IF(Atletas!Q492="Xingyiquan D",510,IF(Atletas!Q492="Baguazhang D",511,IF(Atletas!Q492="Outro Estilo Interno D",512,IF(Atletas!Q492="Xingyiquan E",513,IF(Atletas!Q492="Baguazhang E",514,IF(Atletas!Q492="Outro Estilo Interno E",515,IF(Atletas!Q492="Xingyiquan F",516,IF(Atletas!Q492="Baguazhang F",517,IF(Atletas!Q492="Outro Estilo Interno F",518, "")))))))))))))))))))</f>
        <v/>
      </c>
      <c r="BZ501" s="50" t="str">
        <f>IF(Atletas!R492="","",IF(Atletas!X492&lt;&gt;"",10000,0)+IF(Atletas!B492="Feminino",1000,IF(Atletas!B492="Masculino",2000,""))+IF(Atletas!R492="Dao A",601,IF(Atletas!R492="Jian A",602,IF(Atletas!R492="Bishou A",603,IF(Atletas!R492="Shanzi A",604,IF(Atletas!R492="Outra Arma Curta A",605,IF(Atletas!R492="Dao B",606,IF(Atletas!R492="Jian B",607,IF(Atletas!R492="Bishou B",608,IF(Atletas!R492="Shanzi B",609,IF(Atletas!R492="Outra Arma Curta B",610,IF(Atletas!R492="Dao C",611,IF(Atletas!R492="Jian C",612,IF(Atletas!R492="Bishou C",613,IF(Atletas!R492="Shanzi C",614,IF(Atletas!R492="Outra Arma Curta C",615,IF(Atletas!R492="Dao D",616,IF(Atletas!R492="Jian D",617,IF(Atletas!R492="Bishou D",618,IF(Atletas!R492="Shanzi D",619,IF(Atletas!R492="Outra Arma Curta D",620,IF(Atletas!R492="Dao E",621,IF(Atletas!R492="Jian E",622,IF(Atletas!R492="Bishou E",623,IF(Atletas!R492="Shanzi E",624,IF(Atletas!R492="Outra Arma Curta E",625,IF(Atletas!R492="Dao F",626,IF(Atletas!R492="Jian F",627,IF(Atletas!R492="Bishou F",628,IF(Atletas!R492="Shanzi F",629,IF(Atletas!R492="Outra Arma Curta F",630, "")))))))))))))))))))))))))))))))</f>
        <v/>
      </c>
      <c r="CA501" s="50" t="str">
        <f>IF(Atletas!S492="","",IF(Atletas!X492&lt;&gt;"",10000,0)+IF(Atletas!B492="Feminino",1000,IF(Atletas!B492="Masculino",2000,""))+IF(Atletas!S492="Gun A",701,IF(Atletas!S492="Qiang A",702,IF(Atletas!S492="Pudao / Guandao A",703,IF(Atletas!S492="Outra Arma Longa A",704,IF(Atletas!S492="Gun B",705,IF(Atletas!S492="Qiang B",706,IF(Atletas!S492="Pudao / Guandao B",707,IF(Atletas!S492="Outra Arma Longa B",708,IF(Atletas!S492="Gun C",709,IF(Atletas!S492="Qiang C",710,IF(Atletas!S492="Pudao / Guandao C",711,IF(Atletas!S492="Outra Arma Longa C",712,IF(Atletas!S492="Gun D",713,IF(Atletas!S492="Qiang D",714,IF(Atletas!S492="Pudao / Guandao D",715,IF(Atletas!S492="Outra Arma Longa D",716,IF(Atletas!S492="Gun E",717,IF(Atletas!S492="Qiang E",718,IF(Atletas!S492="Pudao / Guandao E",719,IF(Atletas!S492="Outra Arma Longa E",720,IF(Atletas!S492="Gun F",721,IF(Atletas!S492="Qiang F",722,IF(Atletas!S492="Pudao / Guandao F",723,IF(Atletas!S492="Outra Arma Longa F",724,"")))))))))))))))))))))))))</f>
        <v/>
      </c>
      <c r="CB501" s="50" t="str">
        <f>IF(Atletas!T492="","",IF(Atletas!X492&lt;&gt;"",10000,0)+IF(Atletas!B492="Feminino",1000,IF(Atletas!B492="Masculino",2000,""))+IF(Atletas!T492="Outra Arma Dupla A",801,IF(Atletas!T492="Arma Maleável A",802,IF(Atletas!T492="Outra Arma Dupla B",803,IF(Atletas!T492="Arma Maleável B",804,IF(Atletas!T492="Outra Arma Dupla C",805,IF(Atletas!T492="Arma Maleável C",806,IF(Atletas!T492="Outra Arma Dupla D",807,IF(Atletas!T492="Arma Maleável D",808,IF(Atletas!T492="Outra Arma Dupla E",809,IF(Atletas!T492="Arma Maleável E",810,IF(Atletas!T492="Outra Arma Dupla F",811,IF(Atletas!T492="Arma Maleável F",812,IF(Atletas!T492="Shuangdao A",813,IF(Atletas!T492="Shuangdao B",814,IF(Atletas!T492="Shuangdao C",815,IF(Atletas!T492="Shuangdao D",816,IF(Atletas!T492="Shuangdao E",817,IF(Atletas!T492="Shuangdao F",818,"")))))))))))))))))))</f>
        <v/>
      </c>
      <c r="CC501" s="50" t="str">
        <f>IF(Atletas!U492="","",IF(Atletas!X492&lt;&gt;"",10000,0)+IF(Atletas!B492="Feminino",1000,IF(Atletas!B492="Masculino",2000,""))+IF(OR(Atletas!U492="Taijijian Yang A",Atletas!U492="Taijijian Yang Standard A"),901,IF(OR(Atletas!U492="Taijijian Chen A", Atletas!U492="Taijijian Chen Standard A"),902,IF(Atletas!U492="Taijijian Sun A",903,IF(Atletas!U492="Taijijian Wu A",904,IF(Atletas!U492="Taijijian Wu-Hao A",905,IF(OR(Atletas!U492="Taijijian 32 A",Atletas!U492="Taijijian 42 A"),906,IF(OR(Atletas!U492="Taijijian Yang B",Atletas!U492="Taijijian Yang Standard B"),907,IF(OR(Atletas!U492="Taijijian Chen B", Atletas!U492="Taijijian Chen Standard B"),908,IF(Atletas!U492="Taijijian Sun B",909,IF(Atletas!U492="Taijijian Wu B",910,IF(Atletas!U492="Taijijian Wu-Hao B",911,IF(OR(Atletas!U492="Taijijian 32 B",Atletas!U492="Taijijian 42 B"),912,IF(OR(Atletas!U492="Taijijian Yang C",Atletas!U492="Taijijian Yang Standard C"),913,IF(OR(Atletas!U492="Taijijian Chen C", Atletas!U492="Taijijian Chen Standard C"),914,IF(Atletas!U492="Taijijian Sun C",915,IF(Atletas!U492="Taijijian Wu C",916,IF(Atletas!U492="Taijijian Wu-Hao C",917,IF(OR(Atletas!U492="Taijijian 32 C",Atletas!U492="Taijijian 42 C"),918,IF(OR(Atletas!U492="Taijijian Yang D",Atletas!U492="Taijijian Yang Standard D"),919,IF(OR(Atletas!U492="Taijijian Chen D", Atletas!U492="Taijijian Chen Standard D"),920,IF(Atletas!U492="Taijijian Sun D",921,IF(Atletas!U492="Taijijian Wu D",922,IF(Atletas!U492="Taijijian Wu-Hao D",923,IF(OR(Atletas!U492="Taijijian 32 D",Atletas!U492="Taijijian 42 D"),924,IF(OR(Atletas!U492="Taijijian Yang E",Atletas!U492="Taijijian Yang Standard E"),925,IF(OR(Atletas!U492="Taijijian Chen E", Atletas!U492="Taijijian Chen Standard E"),926,IF(Atletas!U492="Taijijian Sun E",927,IF(Atletas!U492="Taijijian Wu E",928,IF(Atletas!U492="Taijijian Wu-Hao E",929,IF(OR(Atletas!U492="Taijijian 32 E",Atletas!U492="Taijijian 42 E"),930,IF(OR(Atletas!U492="Taijijian Yang F",Atletas!U492="Taijijian Yang Standard F"),931,IF(OR(Atletas!U492="Taijijian Chen F", Atletas!U492="Taijijian Chen Standard F"),932,IF(Atletas!U492="Taijijian Sun F",933,IF(Atletas!U492="Taijijian Wu F",934,IF(Atletas!U492="Taijijian Wu-Hao F",935,IF(OR(Atletas!U492="Taijijian 32 F",Atletas!U492="Taijijian 42 F"),936,"")))))))))))))))))))))))))))))))))))))</f>
        <v/>
      </c>
      <c r="CD501" s="50" t="str">
        <f>IF(Atletas!V492="","",IF(Atletas!X492&lt;&gt;"",10000,0)+IF(Atletas!B492="Feminino",1000,IF(Atletas!B492="Masculino",2000,""))+IF(Atletas!V492="Taijidao A",937,IF(Atletas!V492="TaijiShanzi A",938,IF(Atletas!V492="Taijiqiang A",939,IF(Atletas!V492="Bagua de Arma A",940,IF(Atletas!V492="Xingyi de Arma A",941,IF(Atletas!V492="Taijidao B",942,IF(Atletas!V492="TaijiShanzi B",943,IF(Atletas!V492="Taijiqiang B",944,IF(Atletas!V492="Bagua de Arma B",945,IF(Atletas!V492="Xingyi de Arma B",946,IF(Atletas!V492="Taijidao C",947,IF(Atletas!V492="TaijiShanzi C",948,IF(Atletas!V492="Taijiqiang C",949,IF(Atletas!V492="Bagua de Arma C",950,IF(Atletas!V492="Xingyi de Arma C",951,IF(Atletas!V492="Taijidao D",952,IF(Atletas!V492="TaijiShanzi D",953,IF(Atletas!V492="Taijiqiang D",954,IF(Atletas!V492="Bagua de Arma D",955,IF(Atletas!V492="Xingyi de Arma D",956,IF(Atletas!V492="Taijidao E",957,IF(Atletas!V492="TaijiShanzi E",958,IF(Atletas!V492="Taijiqiang E",959,IF(Atletas!V492="Bagua de Arma E",960,IF(Atletas!V492="Xingyi de Arma E",961,IF(Atletas!V492="Taijidao F",962,IF(Atletas!V492="TaijiShanzi F",963,IF(Atletas!V492="Taijiqiang F",964,IF(Atletas!V492="Bagua de Arma F",965,IF(Atletas!V492="Xingyi de Arma F",966,"")))))))))))))))))))))))))))))))</f>
        <v/>
      </c>
      <c r="CM501" s="50" t="str">
        <f xml:space="preserve"> IF(Atletas!W492="","",IF(Atletas!W492="Duilian de Mãos BC - Equipe 1",1,IF(Atletas!W492="Duilian de Mãos BC - Equipe 2",2,IF(Atletas!W492="Duilian de Armas BC - Equipe 1",3,IF(Atletas!W492="Duilian de Armas BC - Equipe 2",4,IF(Atletas!W492="Duilian de Mãos DE - Equipe 1",5,IF(Atletas!W492="Duilian de Mãos DE - Equipe 2",6,IF(Atletas!W492="Duilian de Armas DE - Equipe 1",7,IF(Atletas!W492="Duilian de Armas DE - Equipe 2",8,IF(Atletas!W492="Duilian de Tuishou - Equipe 1",9,IF(Atletas!W492="Duilian de Tuishou - Equipe 2",10,IF(Atletas!W492="Grupo Externo ABC - Equipe 1",11,IF(Atletas!W492="Grupo Externo ABC - Equipe 2",12,IF(Atletas!W492="Grupo Interno ABC - Equipe 1",13,IF(Atletas!W492="Grupo Interno ABC - Equipe 2",14,IF(Atletas!W492="Grupo Externo DEF - Equipe 1",15,IF(Atletas!W492="Grupo Externo DEF - Equipe 2",16,IF(Atletas!W492="Grupo Interno DEF - Equipe 1",17,IF(Atletas!W492="Grupo Interno DEF - Equipe 2",18,"")))))))))))))))))))</f>
        <v/>
      </c>
    </row>
    <row r="502" spans="40:91">
      <c r="AN502" s="52" t="str">
        <f>IF(Atletas!D493="","",IF(Atletas!B493="Feminino",100,IF(Atletas!B493="Masculino",200,""))+(IF(Atletas!D493="Kids 30kg",1,IF(Atletas!D493="Kids 32kg",2, IF(Atletas!D493="Kids 34kg",3,IF(Atletas!D493="Kids 36kg",4,IF(Atletas!D493="Kids 39kg",5,IF(Atletas!D493="Kids 42kg",6,IF(Atletas!D493="Kids 45kg",7, IF(Atletas!D493="Infantil 39kg",8,IF(Atletas!D493="Infantil 42kg",9,IF(Atletas!D493="Infantil 45kg",10,IF(Atletas!D493="Infantil 48kg",11,IF(Atletas!D493="Infantil 52kg",12,IF(Atletas!D493="Infantil 56kg",13,IF(Atletas!D493="Infantil 60kg",14,IF(Atletas!D493="Juvenil 48kg",15,IF(Atletas!D493="Juvenil 52kg",16,IF(Atletas!D493="Juvenil 56kg",17,IF(Atletas!D493="Juvenil 60kg",18,IF(Atletas!D493="Juvenil 65kg",19,IF(Atletas!D493="Juvenil 70kg",20,IF(Atletas!D493="Juvenil 75kg",21,IF(Atletas!D493="Juvenil 80kg",22, IF(Atletas!D493="Juvenil 85kg",23,IF(Atletas!D493="Adulto 48kg",24,IF(Atletas!D493="Adulto 52kg",25,IF(Atletas!D493="Adulto 56kg",26,IF(Atletas!D493="Adulto 60kg",27,IF(Atletas!D493="Adulto 65kg",28,IF(Atletas!D493="Adulto 70kg",29,IF(Atletas!D493="Adulto 75kg",30,IF(Atletas!D493="Adulto 80kg",31,IF(Atletas!D493="Adulto 85kg",32,IF(Atletas!D493="Adulto 90kg",33,IF(Atletas!D493="Adulto 100kg",34, IF(Atletas!D493="Adulto +100kg",35,"")))))))))))))))))))))))))))))))))))))</f>
        <v/>
      </c>
      <c r="AS502" s="6" t="str">
        <f>IF(Atletas!E493="","",IF(Atletas!B493="Feminino",100,IF(Atletas!B493="Masculino",200,""))+(IF(Atletas!E493="Juvenil 44kg",1,IF(Atletas!E493="Juvenil 48kg",2,IF(Atletas!E493="Juvenil 52kg",3,IF(Atletas!E493="Juvenil 56kg",4,IF(Atletas!E493="Juvenil 60kg",5,IF(Atletas!E493="Juvenil 65kg",6,IF(Atletas!E493="Juvenil 70kg",7,IF(Atletas!E493="Juvenil 75kg",8,IF(Atletas!E493="Juvenil 82kg",9,IF(Atletas!E493="Juvenil 90kg",10,IF(Atletas!E493="Juvenil 100kg",11,IF(Atletas!E493="Adulto 48kg",12,IF(Atletas!E493="Adulto 52kg",13,IF(Atletas!E493="Adulto 56kg",14,IF(Atletas!E493="Adulto 60kg",15,IF(Atletas!E493="Adulto 65kg",16,IF(Atletas!E493="Adulto 70kg",17,IF(Atletas!E493="Adulto 75kg",18,IF(Atletas!E493="Adulto 82kg",19,IF(Atletas!E493="Adulto 90kg",20,IF(Atletas!E493="Adulto 100kg",21,IF(Atletas!E493="Adulto +100kg",22,""))))))))))))))))))))))))</f>
        <v/>
      </c>
      <c r="AX502" s="6" t="str">
        <f>IF(Atletas!F493="","",IF(Atletas!B493="Feminino",100,IF(Atletas!B493="Masculino",200,""))+(IF(Atletas!F493="Adulto 48kg",1,IF(Atletas!F493="Adulto 56kg",2,IF(Atletas!F493="Adulto 65kg",3,IF(Atletas!F493="Adulto 75kg",4,IF(Atletas!F493="Adulto +75kg",5,IF(Atletas!F493="Adulto 52kg",6,IF(Atletas!F493="Adulto 60kg",7,IF(Atletas!F493="Adulto 70kg",8,IF(Atletas!F493="Adulto 80kg",9,IF(Atletas!F493="Adulto 90kg",10,IF(Atletas!F493="Adulto +90kg",11,"")))))))))))))</f>
        <v/>
      </c>
      <c r="BC502" s="6" t="str">
        <f>IF(Atletas!G493="","",IF(Atletas!B493="Feminino",10,IF(Atletas!B493="Masculino",20,""))+(IF(Atletas!G493="Baduanjin A",1,IF(Atletas!G493="Baduanjin B",2))))</f>
        <v/>
      </c>
      <c r="BF502" s="52" t="str">
        <f>IF(Atletas!H493="","",IF(Atletas!B493="Feminino",100,IF(Atletas!B493="Masculino",200,""))+(IF(Atletas!H493="Changquan Mirim",1,IF(Atletas!H493="Nanquan Mirim",2,IF(Atletas!H493="Taijiquan Mirim",3,IF(Atletas!H493="Changquan Grupo C",4,IF(Atletas!H493="Nanquan Grupo C",5,IF(Atletas!H493="Taijiquan Grupo C",6,IF(Atletas!H493="Changquan Grupo B",7,IF(Atletas!H493="Nanquan Grupo B",8,IF(Atletas!H493="Taijiquan Grupo B",9,IF(Atletas!H493="Changquan Grupo A",10,IF(Atletas!H493="Nanquan Grupo A",11,IF(Atletas!H493="Taijiquan Grupo A",12,IF(Atletas!H493="Changquan Opcional",13,IF(Atletas!H493="Nanquan Opcional",14,IF(Atletas!H493="Taijiquan Opcional",15,IF(Atletas!H493="Changquan Adulto",16,IF(Atletas!H493="Nanquan Adulto",17,IF(Atletas!H493="Taijiquan Adulto",18,""))))))))))))))))))))</f>
        <v/>
      </c>
      <c r="BG502" s="52" t="str">
        <f>IF(Atletas!I493="","",IF(Atletas!B493="Feminino",100,IF(Atletas!B493="Masculino",200,""))+(IF(Atletas!I493="Daoshu Mirim",19,IF(Atletas!I493="Jianshu Mirim",20,IF(Atletas!I493="Nandao Mirim",21,IF(Atletas!I493="Taijijian Mirim",22,IF(Atletas!I493="Daoshu Grupo C",23,IF(Atletas!I493="Jianshu Grupo C",24,IF(Atletas!I493="Nandao Grupo C",25,IF(Atletas!I493="Taijijian Grupo C",26,IF(Atletas!I493="Daoshu Grupo B",27,IF(Atletas!I493="Jianshu Grupo B",28,IF(Atletas!I493="Nandao Grupo B",29,IF(Atletas!I493="Taijijian Grupo B",30,IF(Atletas!I493="Daoshu Grupo A",31,IF(Atletas!I493="Jianshu Grupo A",32,IF(Atletas!I493="Nandao Grupo A",33,IF(Atletas!I493="Taijijian Grupo A",34,IF(Atletas!I493="Daoshu Opcional",35,IF(Atletas!I493="Jianshu Opcional",36,IF(Atletas!I493="Nandao Opcional",37,IF(Atletas!I493="Taijijian Opcional",38,IF(Atletas!I493="Daoshu Adulto",39,IF(Atletas!I493="Jianshu Adulto",40,IF(Atletas!I493="Nandao Adulto",41,IF(Atletas!I493="Taijijian Adulto",42,""))))))))))))))))))))))))))</f>
        <v/>
      </c>
      <c r="BH502" s="52" t="str">
        <f>IF(Atletas!J493="","",IF(Atletas!B493="Feminino",100,IF(Atletas!B493="Masculino",200,""))+(IF(Atletas!J493="Gunshu Mirim",43,IF(Atletas!J493="Qiangshu Mirim",44,IF(Atletas!J493="Nangun Mirim",45,IF(Atletas!J493="Gunshu Grupo C",46,IF(Atletas!J493="Qiangshu Grupo C",47,IF(Atletas!J493="Nangun Grupo C",48,IF(Atletas!J493="Gunshu Grupo B",49,IF(Atletas!J493="Qiangshu Grupo B",50,IF(Atletas!J493="Nangun Grupo B",51,IF(Atletas!J493="Gunshu Grupo A",52,IF(Atletas!J493="Qiangshu Grupo A",53,IF(Atletas!J493="Nangun Grupo A",54,IF(Atletas!J493="Gunshu Opcional",55,IF(Atletas!J493="Qiangshu Opcional",56,IF(Atletas!J493="Nangun Opcional",57,IF(Atletas!J493="Gunshu Adulto",58,IF(Atletas!J493="Qiangshu Adulto",59,IF(Atletas!J493="Nangun Adulto",60,IF(Atletas!J493="Taijishan Grupo B",61,IF(Atletas!J493="Taijishan Grupo A",62,""))))))))))))))))))))))</f>
        <v/>
      </c>
      <c r="BM502" s="50" t="str">
        <f>IF(Atletas!K493="","",IF(Atletas!B493="Feminino",100,IF(Atletas!B493="Masculino",200,""))+(IF(Atletas!K493="Equipe 1 Grupo B",1,IF(Atletas!K493="Equipe 2 Grupo B",2,IF(Atletas!K493="Equipe 1 Grupo A",3,IF(Atletas!K493="Equipe 2 Grupo A",4,IF(Atletas!K493="Equipe 1 Adulto",5,IF(Atletas!K493="Equipe 2 Adulto",6,""))))))))</f>
        <v/>
      </c>
      <c r="BR502" s="50" t="str">
        <f>IF(Atletas!L493="","",IF(Atletas!X493&lt;&gt;"",10000,0)+(IF(Atletas!B493="Feminino",1000,IF(Atletas!B493="Masculino",2000,""))+IF(Atletas!L493="Choylayfut A",1,IF(Atletas!L493="Hunggar A",2,IF(Atletas!L493="Wuzuquan A",3,IF(Atletas!L493="Wingchun A",4,IF(Atletas!L493="Outra Mão de Sul A",5,IF(Atletas!L493="Choylayfut B",6,IF(Atletas!L493="Hunggar B",7,IF(Atletas!L493="Wuzuquan B",8,IF(Atletas!L493="Wingchun B",9,IF(Atletas!L493="Outra Mão de Sul B",10,IF(Atletas!L493="Choylayfut C",11,IF(Atletas!L493="Hunggar C",12,IF(Atletas!L493="Wuzuquan C",13,IF(Atletas!L493="Wingchun C",14,IF(Atletas!L493="Outra Mão de Sul C",15,IF(Atletas!L493="Choylayfut D",16,IF(Atletas!L493="Hunggar D",17,IF(Atletas!L493="Wuzuquan D",18,IF(Atletas!L493="Wingchun D",19,IF(Atletas!L493="Outra Mão de Sul D",20,IF(Atletas!L493="Choylayfut E",21,IF(Atletas!L493="Hunggar E",22,IF(Atletas!L493="Wuzuquan E",23,IF(Atletas!L493="Wingchun E",24,IF(Atletas!L493="Outra Mão de Sul E",25,IF(Atletas!L493="Choylayfut F",26,IF(Atletas!L493="Hunggar F",27,IF(Atletas!L493="Wuzuquan F",28,IF(Atletas!L493="Wingchun F",29,IF(Atletas!L493="Outra Mão de Sul F",30,IF(Atletas!L493="Dishuquan A",31,IF(Atletas!L493="Dishuquan B",32,IF(Atletas!L493="Dishuquan C",33,IF(Atletas!L493="Dishuquan D",34,IF(Atletas!L493="Dishuquan E",35,IF(Atletas!L493="Dishuquan F",36,""))))))))))))))))))))))))))))))))))))))</f>
        <v/>
      </c>
      <c r="BS502" s="50" t="str">
        <f>IF(Atletas!M493="","",IF(Atletas!X493&lt;&gt;"",10000,0)+(IF(Atletas!B493="Feminino",1000,IF(Atletas!B493="Masculino",2000,""))+(IF(Atletas!M493="Chaquan A",101,IF(Atletas!M493="Emeiquan A",102,IF(Atletas!M493="Fanziquan A",103,IF(Atletas!M493="Huaquan A",104,IF(Atletas!M493="Hongquan A",105,IF(Atletas!M493="Paoquan A",106,IF(Atletas!M493="Piguaquan A",107,IF(Atletas!M493="Shaolinquan A",108,IF(Atletas!M493="Tanglangquan A",109,IF(Atletas!M493="Yingzhaoquan A",110,IF(Atletas!M493="Tongbeiquan A",111,IF(Atletas!M493="Wudangquan A",112,IF(Atletas!M493="Outros Estilos A",113,IF(Atletas!M493="Chaquan B",114,IF(Atletas!M493="Emeiquan B",115,IF(Atletas!M493="Fanziquan B",116,IF(Atletas!M493="Huaquan B",117,IF(Atletas!M493="Hongquan B",118,IF(Atletas!M493="Paoquan B",119,IF(Atletas!M493="Piguaquan B",120,IF(Atletas!M493="Shaolinquan B",121,IF(Atletas!M493="Tanglangquan B",122,IF(Atletas!M493="Yingzhaoquan B",123,IF(Atletas!M493="Tongbeiquan B",124,IF(Atletas!M493="Wudangquan B",125,IF(Atletas!M493="Outros Estilos B",126,IF(Atletas!M493="Chaquan C",127,IF(Atletas!M493="Emeiquan C",128,IF(Atletas!M493="Fanziquan C",129,IF(Atletas!M493="Huaquan C",130,IF(Atletas!M493="Hongquan C",131,IF(Atletas!M493="Paoquan C",132,IF(Atletas!M493="Piguaquan C",133,IF(Atletas!M493="Shaolinquan C",134,IF(Atletas!M493="Tanglangquan C",135,IF(Atletas!M493="Yingzhaoquan C",136,IF(Atletas!M493="Tongbeiquan C",137,IF(Atletas!M493="Wudangquan C",138,IF(Atletas!M493="Outros Estilos C",139,0))))))))))))))))))))))))))))))))))))))))))</f>
        <v/>
      </c>
      <c r="BT502" s="50" t="str">
        <f>IF(Atletas!M493="","",IF(Atletas!X493&lt;&gt;"",10000,0)+(IF(Atletas!B493="Feminino",1000,IF(Atletas!B493="Masculino",2000,""))+(IF(Atletas!M493="Chaquan D",140,IF(Atletas!M493="Emeiquan D",141,IF(Atletas!M493="Fanziquan D",142,IF(Atletas!M493="Huaquan D",143,IF(Atletas!M493="Hongquan D",144,IF(Atletas!M493="Paoquan D",145,IF(Atletas!M493="Piguaquan D",146,IF(Atletas!M493="Shaolinquan D",147,IF(Atletas!M493="Tanglangquan D",148,IF(Atletas!M493="Yingzhaoquan D",149,IF(Atletas!M493="Tongbeiquan D",150,IF(Atletas!M493="Wudangquan D",151,IF(Atletas!M493="Outros Estilos D",152,IF(Atletas!M493="Chaquan E",153,IF(Atletas!M493="Emeiquan E",154,IF(Atletas!M493="Fanziquan E",155,IF(Atletas!M493="Huaquan E",156,IF(Atletas!M493="Hongquan E",157,IF(Atletas!M493="Paoquan E",158,IF(Atletas!M493="Piguaquan E",159,IF(Atletas!M493="Shaolinquan E",160,IF(Atletas!M493="Tanglangquan E",161,IF(Atletas!M493="Yingzhaoquan E",162,IF(Atletas!M493="Tongbeiquan E",163,IF(Atletas!M493="Wudangquan E",164,IF(Atletas!M493="Outros Estilos E",165,IF(Atletas!M493="Chaquan F",166,IF(Atletas!M493="Emeiquan F",167,IF(Atletas!M493="Fanziquan F",168,IF(Atletas!M493="Huaquan F",169,IF(Atletas!M493="Hongquan F",170,IF(Atletas!M493="Paoquan F",171,IF(Atletas!M493="Piguaquan F",172,IF(Atletas!M493="Shaolinquan F",173,IF(Atletas!M493="Tanglangquan F",174,IF(Atletas!M493="Yingzhaoquan F",175,IF(Atletas!M493="Tongbeiquan F",176,IF(Atletas!M493="Wudangquan F",177,IF(Atletas!M493="Outros Estilos F",178,0))))))))))))))))))))))))))))))))))))))))))</f>
        <v/>
      </c>
      <c r="BU502" s="50" t="str">
        <f>IF(Atletas!N493="","",IF(Atletas!X493&lt;&gt;"",10000,0)+(IF(Atletas!B493="Feminino",1000,IF(Atletas!B493="Masculino",2000,""))+(IF(Atletas!N493="Ditangquan A",201,IF(Atletas!N493="Houquan A",202,IF(Atletas!N493="Zuiquan A",203,IF(Atletas!N493="Ditangquan B",204,IF(Atletas!N493="Houquan B",205,IF(Atletas!N493="Zuiquan B",206,IF(Atletas!N493="Ditangquan C",207,IF(Atletas!N493="Houquan C",208,IF(Atletas!N493="Zuiquan C",209,IF(Atletas!N493="Ditangquan D",210,IF(Atletas!N493="Houquan D",211,IF(Atletas!N493="Zuiquan D",212,IF(Atletas!N493="Ditangquan E",213,IF(Atletas!N493="Houquan E",214,IF(Atletas!N493="Zuiquan E",215,IF(Atletas!N493="Ditangquan F",216,IF(Atletas!N493="Houquan F",217,IF(Atletas!N493="Zuiquan F",218,"")))))))))))))))))))))</f>
        <v/>
      </c>
      <c r="BV502" s="50" t="str">
        <f>IF(Atletas!O493="","",IF(Atletas!X493&lt;&gt;"",10000,0)+IF(Atletas!B493="Feminino",1000,IF(Atletas!B493="Masculino",2000,""))+IF(Atletas!O493="Yang A",301,IF(Atletas!O493="Chen A",302,IF(Atletas!O493="Sun A",303,IF(Atletas!O493="Wu A",304,IF(Atletas!O493="Wu-Hao A",305,IF(Atletas!O493="Outro Taijiquan A",306,IF(Atletas!O493="Yang B",307,IF(Atletas!O493="Chen B",308,IF(Atletas!O493="Sun B",309,IF(Atletas!O493="Wu B",310,IF(Atletas!O493="Wu-Hao B",311,IF(Atletas!O493="Outro Taijiquan B",312,IF(Atletas!O493="Yang C",313,IF(Atletas!O493="Chen C",314,IF(Atletas!O493="Sun C",315,IF(Atletas!O493="Wu C",316,IF(Atletas!O493="Wu-Hao C",317,IF(Atletas!O493="Outro Taijiquan C",318,IF(Atletas!O493="Yang D",319,IF(Atletas!O493="Chen D",320,IF(Atletas!O493="Sun D",321,IF(Atletas!O493="Wu D",322,IF(Atletas!O493="Wu-Hao D",323,IF(Atletas!O493="Outro Taijiquan D",324,IF(Atletas!O493="Yang E",325,IF(Atletas!O493="Chen E",326,IF(Atletas!O493="Sun E",327,IF(Atletas!O493="Wu E",328,IF(Atletas!O493="Wu-Hao E",329,IF(Atletas!O493="Outro Taijiquan E",330,IF(Atletas!O493="Yang F",331,IF(Atletas!O493="Chen F",332,IF(Atletas!O493="Sun F",333,IF(Atletas!O493="Wu F",334,IF(Atletas!O493="Wu-Hao F",335,IF(Atletas!O493="Outro Taijiquan F",336,"")))))))))))))))))))))))))))))))))))))</f>
        <v/>
      </c>
      <c r="BW502" s="50" t="str">
        <f>IF(Atletas!P493="","",IF(Atletas!X493&lt;&gt;"",10000,0)+IF(Atletas!B493="Feminino",1000,IF(Atletas!B493="Masculino",2000,""))+IF(OR(Atletas!P493="Yang 26 A",Atletas!P493="Yang 40 A"),401,IF(OR(Atletas!P493="Chen 25 A",Atletas!P493="Chen 36 A",Atletas!P493="Chen 56 A"),402,IF(Atletas!P493="Sun 73 A",403,IF(Atletas!P493="Wu 45 A",404,IF(Atletas!P493="Wu-Hao 46 A",405,IF(OR(Atletas!P493="Taijiquan 16 A",Atletas!P493="Taijiquan 24 A",Atletas!P493="Taijiquan 32 A",Atletas!P493="Taijiquan 42 A"),406,IF(OR(Atletas!P493="Yang 26 B",Atletas!P493="Yang 40 B"),407,IF(OR(Atletas!P493="Chen 25 B",Atletas!P493="Chen 36 B",Atletas!P493="Chen 56 B"),408,IF(Atletas!P493="Sun 73 B",409,IF(Atletas!P493="Wu 45 B",410,IF(Atletas!P493="Wu-Hao 46 B",411,IF(OR(Atletas!P493="Taijiquan 16 B",Atletas!P493="Taijiquan 24 B",Atletas!P493="Taijiquan 32 B",Atletas!P493="Taijiquan 42 B"),412,IF(OR(Atletas!P493="Yang 26 C",Atletas!P493="Yang 40 C"),413,IF(OR(Atletas!P493="Chen 25 C",Atletas!P493="Chen 36 C",Atletas!P493="Chen 56 C"),414,IF(Atletas!P493="Sun 73 C",415,IF(Atletas!P493="Wu 45 C",416,IF(Atletas!P493="Wu-Hao 46 C",417,IF(OR(Atletas!P493="Taijiquan 16 C",Atletas!P493="Taijiquan 24 C",Atletas!P493="Taijiquan 32 C",Atletas!P493="Taijiquan 42 C"),418,0)))))))))))))))))))</f>
        <v/>
      </c>
      <c r="BX502" s="50" t="str">
        <f>IF(Atletas!P493="","",IF(Atletas!X493&lt;&gt;"",10000,0)+IF(Atletas!B493="Feminino",1000,IF(Atletas!B493="Masculino",2000,""))+IF(OR(Atletas!P493="Yang 26 D",Atletas!P493="Yang 40 D"),419,IF(OR(Atletas!P493="Chen 25 D",Atletas!P493="Chen 36 D",Atletas!P493="Chen 56 D"),420,IF(Atletas!P493="Sun 73 D",421,IF(Atletas!P493="Wu 45 D",422,IF(Atletas!P493="Wu-Hao 46 D",423,IF(OR(Atletas!P493="Taijiquan 16 D",Atletas!P493="Taijiquan 24 D",Atletas!P493="Taijiquan 32 D",Atletas!P493="Taijiquan 42 D"),424,IF(OR(Atletas!P493="Yang 26 E",Atletas!P493="Yang 40 E"),425,IF(OR(Atletas!P493="Chen 25 E",Atletas!P493="Chen 36 E",Atletas!P493="Chen 56 E"),426,IF(Atletas!P493="Sun 73 E",427,IF(Atletas!P493="Wu 45 E",428,IF(Atletas!P493="Wu-Hao 46 E",429,IF(OR(Atletas!P493="Taijiquan 16 E",Atletas!P493="Taijiquan 24 E",Atletas!P493="Taijiquan 32 E",Atletas!P493="Taijiquan 42 E"),430,IF(OR(Atletas!P493="Yang 26 F",Atletas!P493="Yang 40 F"),431,IF(OR(Atletas!P493="Chen 25 F",Atletas!P493="Chen 36 F",Atletas!P493="Chen 56 F"),432,IF(Atletas!P493="Sun 73 F",433,IF(Atletas!P493="Wu 45 F",434,IF(Atletas!P493="Wu-Hao 46 F",435,IF(OR(Atletas!P493="Taijiquan 16 F",Atletas!P493="Taijiquan 24 F",Atletas!P493="Taijiquan 32 F",Atletas!P493="Taijiquan 42 F"),436,0)))))))))))))))))))</f>
        <v/>
      </c>
      <c r="BY502" s="50" t="str">
        <f>IF(Atletas!Q493="","",IF(Atletas!X493&lt;&gt;"",10000,0)+IF(Atletas!B493="Feminino",1000,IF(Atletas!B493="Masculino",2000,""))+IF(Atletas!Q493="Xingyiquan A",501,IF(Atletas!Q493="Baguazhang A",502,IF(Atletas!Q493="Outro Estilo Interno A",503,IF(Atletas!Q493="Xingyiquan B",504,IF(Atletas!Q493="Baguazhang B",505,IF(Atletas!Q493="Outro Estilo Interno B",506,IF(Atletas!Q493="Xingyiquan C",507,IF(Atletas!Q493="Baguazhang C",508,IF(Atletas!Q493="Outro Estilo Interno C",509,IF(Atletas!Q493="Xingyiquan D",510,IF(Atletas!Q493="Baguazhang D",511,IF(Atletas!Q493="Outro Estilo Interno D",512,IF(Atletas!Q493="Xingyiquan E",513,IF(Atletas!Q493="Baguazhang E",514,IF(Atletas!Q493="Outro Estilo Interno E",515,IF(Atletas!Q493="Xingyiquan F",516,IF(Atletas!Q493="Baguazhang F",517,IF(Atletas!Q493="Outro Estilo Interno F",518, "")))))))))))))))))))</f>
        <v/>
      </c>
      <c r="BZ502" s="50" t="str">
        <f>IF(Atletas!R493="","",IF(Atletas!X493&lt;&gt;"",10000,0)+IF(Atletas!B493="Feminino",1000,IF(Atletas!B493="Masculino",2000,""))+IF(Atletas!R493="Dao A",601,IF(Atletas!R493="Jian A",602,IF(Atletas!R493="Bishou A",603,IF(Atletas!R493="Shanzi A",604,IF(Atletas!R493="Outra Arma Curta A",605,IF(Atletas!R493="Dao B",606,IF(Atletas!R493="Jian B",607,IF(Atletas!R493="Bishou B",608,IF(Atletas!R493="Shanzi B",609,IF(Atletas!R493="Outra Arma Curta B",610,IF(Atletas!R493="Dao C",611,IF(Atletas!R493="Jian C",612,IF(Atletas!R493="Bishou C",613,IF(Atletas!R493="Shanzi C",614,IF(Atletas!R493="Outra Arma Curta C",615,IF(Atletas!R493="Dao D",616,IF(Atletas!R493="Jian D",617,IF(Atletas!R493="Bishou D",618,IF(Atletas!R493="Shanzi D",619,IF(Atletas!R493="Outra Arma Curta D",620,IF(Atletas!R493="Dao E",621,IF(Atletas!R493="Jian E",622,IF(Atletas!R493="Bishou E",623,IF(Atletas!R493="Shanzi E",624,IF(Atletas!R493="Outra Arma Curta E",625,IF(Atletas!R493="Dao F",626,IF(Atletas!R493="Jian F",627,IF(Atletas!R493="Bishou F",628,IF(Atletas!R493="Shanzi F",629,IF(Atletas!R493="Outra Arma Curta F",630, "")))))))))))))))))))))))))))))))</f>
        <v/>
      </c>
      <c r="CA502" s="50" t="str">
        <f>IF(Atletas!S493="","",IF(Atletas!X493&lt;&gt;"",10000,0)+IF(Atletas!B493="Feminino",1000,IF(Atletas!B493="Masculino",2000,""))+IF(Atletas!S493="Gun A",701,IF(Atletas!S493="Qiang A",702,IF(Atletas!S493="Pudao / Guandao A",703,IF(Atletas!S493="Outra Arma Longa A",704,IF(Atletas!S493="Gun B",705,IF(Atletas!S493="Qiang B",706,IF(Atletas!S493="Pudao / Guandao B",707,IF(Atletas!S493="Outra Arma Longa B",708,IF(Atletas!S493="Gun C",709,IF(Atletas!S493="Qiang C",710,IF(Atletas!S493="Pudao / Guandao C",711,IF(Atletas!S493="Outra Arma Longa C",712,IF(Atletas!S493="Gun D",713,IF(Atletas!S493="Qiang D",714,IF(Atletas!S493="Pudao / Guandao D",715,IF(Atletas!S493="Outra Arma Longa D",716,IF(Atletas!S493="Gun E",717,IF(Atletas!S493="Qiang E",718,IF(Atletas!S493="Pudao / Guandao E",719,IF(Atletas!S493="Outra Arma Longa E",720,IF(Atletas!S493="Gun F",721,IF(Atletas!S493="Qiang F",722,IF(Atletas!S493="Pudao / Guandao F",723,IF(Atletas!S493="Outra Arma Longa F",724,"")))))))))))))))))))))))))</f>
        <v/>
      </c>
      <c r="CB502" s="50" t="str">
        <f>IF(Atletas!T493="","",IF(Atletas!X493&lt;&gt;"",10000,0)+IF(Atletas!B493="Feminino",1000,IF(Atletas!B493="Masculino",2000,""))+IF(Atletas!T493="Outra Arma Dupla A",801,IF(Atletas!T493="Arma Maleável A",802,IF(Atletas!T493="Outra Arma Dupla B",803,IF(Atletas!T493="Arma Maleável B",804,IF(Atletas!T493="Outra Arma Dupla C",805,IF(Atletas!T493="Arma Maleável C",806,IF(Atletas!T493="Outra Arma Dupla D",807,IF(Atletas!T493="Arma Maleável D",808,IF(Atletas!T493="Outra Arma Dupla E",809,IF(Atletas!T493="Arma Maleável E",810,IF(Atletas!T493="Outra Arma Dupla F",811,IF(Atletas!T493="Arma Maleável F",812,IF(Atletas!T493="Shuangdao A",813,IF(Atletas!T493="Shuangdao B",814,IF(Atletas!T493="Shuangdao C",815,IF(Atletas!T493="Shuangdao D",816,IF(Atletas!T493="Shuangdao E",817,IF(Atletas!T493="Shuangdao F",818,"")))))))))))))))))))</f>
        <v/>
      </c>
      <c r="CC502" s="50" t="str">
        <f>IF(Atletas!U493="","",IF(Atletas!X493&lt;&gt;"",10000,0)+IF(Atletas!B493="Feminino",1000,IF(Atletas!B493="Masculino",2000,""))+IF(OR(Atletas!U493="Taijijian Yang A",Atletas!U493="Taijijian Yang Standard A"),901,IF(OR(Atletas!U493="Taijijian Chen A", Atletas!U493="Taijijian Chen Standard A"),902,IF(Atletas!U493="Taijijian Sun A",903,IF(Atletas!U493="Taijijian Wu A",904,IF(Atletas!U493="Taijijian Wu-Hao A",905,IF(OR(Atletas!U493="Taijijian 32 A",Atletas!U493="Taijijian 42 A"),906,IF(OR(Atletas!U493="Taijijian Yang B",Atletas!U493="Taijijian Yang Standard B"),907,IF(OR(Atletas!U493="Taijijian Chen B", Atletas!U493="Taijijian Chen Standard B"),908,IF(Atletas!U493="Taijijian Sun B",909,IF(Atletas!U493="Taijijian Wu B",910,IF(Atletas!U493="Taijijian Wu-Hao B",911,IF(OR(Atletas!U493="Taijijian 32 B",Atletas!U493="Taijijian 42 B"),912,IF(OR(Atletas!U493="Taijijian Yang C",Atletas!U493="Taijijian Yang Standard C"),913,IF(OR(Atletas!U493="Taijijian Chen C", Atletas!U493="Taijijian Chen Standard C"),914,IF(Atletas!U493="Taijijian Sun C",915,IF(Atletas!U493="Taijijian Wu C",916,IF(Atletas!U493="Taijijian Wu-Hao C",917,IF(OR(Atletas!U493="Taijijian 32 C",Atletas!U493="Taijijian 42 C"),918,IF(OR(Atletas!U493="Taijijian Yang D",Atletas!U493="Taijijian Yang Standard D"),919,IF(OR(Atletas!U493="Taijijian Chen D", Atletas!U493="Taijijian Chen Standard D"),920,IF(Atletas!U493="Taijijian Sun D",921,IF(Atletas!U493="Taijijian Wu D",922,IF(Atletas!U493="Taijijian Wu-Hao D",923,IF(OR(Atletas!U493="Taijijian 32 D",Atletas!U493="Taijijian 42 D"),924,IF(OR(Atletas!U493="Taijijian Yang E",Atletas!U493="Taijijian Yang Standard E"),925,IF(OR(Atletas!U493="Taijijian Chen E", Atletas!U493="Taijijian Chen Standard E"),926,IF(Atletas!U493="Taijijian Sun E",927,IF(Atletas!U493="Taijijian Wu E",928,IF(Atletas!U493="Taijijian Wu-Hao E",929,IF(OR(Atletas!U493="Taijijian 32 E",Atletas!U493="Taijijian 42 E"),930,IF(OR(Atletas!U493="Taijijian Yang F",Atletas!U493="Taijijian Yang Standard F"),931,IF(OR(Atletas!U493="Taijijian Chen F", Atletas!U493="Taijijian Chen Standard F"),932,IF(Atletas!U493="Taijijian Sun F",933,IF(Atletas!U493="Taijijian Wu F",934,IF(Atletas!U493="Taijijian Wu-Hao F",935,IF(OR(Atletas!U493="Taijijian 32 F",Atletas!U493="Taijijian 42 F"),936,"")))))))))))))))))))))))))))))))))))))</f>
        <v/>
      </c>
      <c r="CD502" s="50" t="str">
        <f>IF(Atletas!V493="","",IF(Atletas!X493&lt;&gt;"",10000,0)+IF(Atletas!B493="Feminino",1000,IF(Atletas!B493="Masculino",2000,""))+IF(Atletas!V493="Taijidao A",937,IF(Atletas!V493="TaijiShanzi A",938,IF(Atletas!V493="Taijiqiang A",939,IF(Atletas!V493="Bagua de Arma A",940,IF(Atletas!V493="Xingyi de Arma A",941,IF(Atletas!V493="Taijidao B",942,IF(Atletas!V493="TaijiShanzi B",943,IF(Atletas!V493="Taijiqiang B",944,IF(Atletas!V493="Bagua de Arma B",945,IF(Atletas!V493="Xingyi de Arma B",946,IF(Atletas!V493="Taijidao C",947,IF(Atletas!V493="TaijiShanzi C",948,IF(Atletas!V493="Taijiqiang C",949,IF(Atletas!V493="Bagua de Arma C",950,IF(Atletas!V493="Xingyi de Arma C",951,IF(Atletas!V493="Taijidao D",952,IF(Atletas!V493="TaijiShanzi D",953,IF(Atletas!V493="Taijiqiang D",954,IF(Atletas!V493="Bagua de Arma D",955,IF(Atletas!V493="Xingyi de Arma D",956,IF(Atletas!V493="Taijidao E",957,IF(Atletas!V493="TaijiShanzi E",958,IF(Atletas!V493="Taijiqiang E",959,IF(Atletas!V493="Bagua de Arma E",960,IF(Atletas!V493="Xingyi de Arma E",961,IF(Atletas!V493="Taijidao F",962,IF(Atletas!V493="TaijiShanzi F",963,IF(Atletas!V493="Taijiqiang F",964,IF(Atletas!V493="Bagua de Arma F",965,IF(Atletas!V493="Xingyi de Arma F",966,"")))))))))))))))))))))))))))))))</f>
        <v/>
      </c>
      <c r="CM502" s="50" t="str">
        <f xml:space="preserve"> IF(Atletas!W493="","",IF(Atletas!W493="Duilian de Mãos BC - Equipe 1",1,IF(Atletas!W493="Duilian de Mãos BC - Equipe 2",2,IF(Atletas!W493="Duilian de Armas BC - Equipe 1",3,IF(Atletas!W493="Duilian de Armas BC - Equipe 2",4,IF(Atletas!W493="Duilian de Mãos DE - Equipe 1",5,IF(Atletas!W493="Duilian de Mãos DE - Equipe 2",6,IF(Atletas!W493="Duilian de Armas DE - Equipe 1",7,IF(Atletas!W493="Duilian de Armas DE - Equipe 2",8,IF(Atletas!W493="Duilian de Tuishou - Equipe 1",9,IF(Atletas!W493="Duilian de Tuishou - Equipe 2",10,IF(Atletas!W493="Grupo Externo ABC - Equipe 1",11,IF(Atletas!W493="Grupo Externo ABC - Equipe 2",12,IF(Atletas!W493="Grupo Interno ABC - Equipe 1",13,IF(Atletas!W493="Grupo Interno ABC - Equipe 2",14,IF(Atletas!W493="Grupo Externo DEF - Equipe 1",15,IF(Atletas!W493="Grupo Externo DEF - Equipe 2",16,IF(Atletas!W493="Grupo Interno DEF - Equipe 1",17,IF(Atletas!W493="Grupo Interno DEF - Equipe 2",18,"")))))))))))))))))))</f>
        <v/>
      </c>
    </row>
    <row r="503" spans="40:91">
      <c r="AN503" s="52" t="str">
        <f>IF(Atletas!D494="","",IF(Atletas!B494="Feminino",100,IF(Atletas!B494="Masculino",200,""))+(IF(Atletas!D494="Kids 30kg",1,IF(Atletas!D494="Kids 32kg",2, IF(Atletas!D494="Kids 34kg",3,IF(Atletas!D494="Kids 36kg",4,IF(Atletas!D494="Kids 39kg",5,IF(Atletas!D494="Kids 42kg",6,IF(Atletas!D494="Kids 45kg",7, IF(Atletas!D494="Infantil 39kg",8,IF(Atletas!D494="Infantil 42kg",9,IF(Atletas!D494="Infantil 45kg",10,IF(Atletas!D494="Infantil 48kg",11,IF(Atletas!D494="Infantil 52kg",12,IF(Atletas!D494="Infantil 56kg",13,IF(Atletas!D494="Infantil 60kg",14,IF(Atletas!D494="Juvenil 48kg",15,IF(Atletas!D494="Juvenil 52kg",16,IF(Atletas!D494="Juvenil 56kg",17,IF(Atletas!D494="Juvenil 60kg",18,IF(Atletas!D494="Juvenil 65kg",19,IF(Atletas!D494="Juvenil 70kg",20,IF(Atletas!D494="Juvenil 75kg",21,IF(Atletas!D494="Juvenil 80kg",22, IF(Atletas!D494="Juvenil 85kg",23,IF(Atletas!D494="Adulto 48kg",24,IF(Atletas!D494="Adulto 52kg",25,IF(Atletas!D494="Adulto 56kg",26,IF(Atletas!D494="Adulto 60kg",27,IF(Atletas!D494="Adulto 65kg",28,IF(Atletas!D494="Adulto 70kg",29,IF(Atletas!D494="Adulto 75kg",30,IF(Atletas!D494="Adulto 80kg",31,IF(Atletas!D494="Adulto 85kg",32,IF(Atletas!D494="Adulto 90kg",33,IF(Atletas!D494="Adulto 100kg",34, IF(Atletas!D494="Adulto +100kg",35,"")))))))))))))))))))))))))))))))))))))</f>
        <v/>
      </c>
      <c r="AS503" s="6" t="str">
        <f>IF(Atletas!E494="","",IF(Atletas!B494="Feminino",100,IF(Atletas!B494="Masculino",200,""))+(IF(Atletas!E494="Juvenil 44kg",1,IF(Atletas!E494="Juvenil 48kg",2,IF(Atletas!E494="Juvenil 52kg",3,IF(Atletas!E494="Juvenil 56kg",4,IF(Atletas!E494="Juvenil 60kg",5,IF(Atletas!E494="Juvenil 65kg",6,IF(Atletas!E494="Juvenil 70kg",7,IF(Atletas!E494="Juvenil 75kg",8,IF(Atletas!E494="Juvenil 82kg",9,IF(Atletas!E494="Juvenil 90kg",10,IF(Atletas!E494="Juvenil 100kg",11,IF(Atletas!E494="Adulto 48kg",12,IF(Atletas!E494="Adulto 52kg",13,IF(Atletas!E494="Adulto 56kg",14,IF(Atletas!E494="Adulto 60kg",15,IF(Atletas!E494="Adulto 65kg",16,IF(Atletas!E494="Adulto 70kg",17,IF(Atletas!E494="Adulto 75kg",18,IF(Atletas!E494="Adulto 82kg",19,IF(Atletas!E494="Adulto 90kg",20,IF(Atletas!E494="Adulto 100kg",21,IF(Atletas!E494="Adulto +100kg",22,""))))))))))))))))))))))))</f>
        <v/>
      </c>
      <c r="AX503" s="6" t="str">
        <f>IF(Atletas!F494="","",IF(Atletas!B494="Feminino",100,IF(Atletas!B494="Masculino",200,""))+(IF(Atletas!F494="Adulto 48kg",1,IF(Atletas!F494="Adulto 56kg",2,IF(Atletas!F494="Adulto 65kg",3,IF(Atletas!F494="Adulto 75kg",4,IF(Atletas!F494="Adulto +75kg",5,IF(Atletas!F494="Adulto 52kg",6,IF(Atletas!F494="Adulto 60kg",7,IF(Atletas!F494="Adulto 70kg",8,IF(Atletas!F494="Adulto 80kg",9,IF(Atletas!F494="Adulto 90kg",10,IF(Atletas!F494="Adulto +90kg",11,"")))))))))))))</f>
        <v/>
      </c>
      <c r="BC503" s="6" t="str">
        <f>IF(Atletas!G494="","",IF(Atletas!B494="Feminino",10,IF(Atletas!B494="Masculino",20,""))+(IF(Atletas!G494="Baduanjin A",1,IF(Atletas!G494="Baduanjin B",2))))</f>
        <v/>
      </c>
      <c r="BF503" s="52" t="str">
        <f>IF(Atletas!H494="","",IF(Atletas!B494="Feminino",100,IF(Atletas!B494="Masculino",200,""))+(IF(Atletas!H494="Changquan Mirim",1,IF(Atletas!H494="Nanquan Mirim",2,IF(Atletas!H494="Taijiquan Mirim",3,IF(Atletas!H494="Changquan Grupo C",4,IF(Atletas!H494="Nanquan Grupo C",5,IF(Atletas!H494="Taijiquan Grupo C",6,IF(Atletas!H494="Changquan Grupo B",7,IF(Atletas!H494="Nanquan Grupo B",8,IF(Atletas!H494="Taijiquan Grupo B",9,IF(Atletas!H494="Changquan Grupo A",10,IF(Atletas!H494="Nanquan Grupo A",11,IF(Atletas!H494="Taijiquan Grupo A",12,IF(Atletas!H494="Changquan Opcional",13,IF(Atletas!H494="Nanquan Opcional",14,IF(Atletas!H494="Taijiquan Opcional",15,IF(Atletas!H494="Changquan Adulto",16,IF(Atletas!H494="Nanquan Adulto",17,IF(Atletas!H494="Taijiquan Adulto",18,""))))))))))))))))))))</f>
        <v/>
      </c>
      <c r="BG503" s="52" t="str">
        <f>IF(Atletas!I494="","",IF(Atletas!B494="Feminino",100,IF(Atletas!B494="Masculino",200,""))+(IF(Atletas!I494="Daoshu Mirim",19,IF(Atletas!I494="Jianshu Mirim",20,IF(Atletas!I494="Nandao Mirim",21,IF(Atletas!I494="Taijijian Mirim",22,IF(Atletas!I494="Daoshu Grupo C",23,IF(Atletas!I494="Jianshu Grupo C",24,IF(Atletas!I494="Nandao Grupo C",25,IF(Atletas!I494="Taijijian Grupo C",26,IF(Atletas!I494="Daoshu Grupo B",27,IF(Atletas!I494="Jianshu Grupo B",28,IF(Atletas!I494="Nandao Grupo B",29,IF(Atletas!I494="Taijijian Grupo B",30,IF(Atletas!I494="Daoshu Grupo A",31,IF(Atletas!I494="Jianshu Grupo A",32,IF(Atletas!I494="Nandao Grupo A",33,IF(Atletas!I494="Taijijian Grupo A",34,IF(Atletas!I494="Daoshu Opcional",35,IF(Atletas!I494="Jianshu Opcional",36,IF(Atletas!I494="Nandao Opcional",37,IF(Atletas!I494="Taijijian Opcional",38,IF(Atletas!I494="Daoshu Adulto",39,IF(Atletas!I494="Jianshu Adulto",40,IF(Atletas!I494="Nandao Adulto",41,IF(Atletas!I494="Taijijian Adulto",42,""))))))))))))))))))))))))))</f>
        <v/>
      </c>
      <c r="BH503" s="52" t="str">
        <f>IF(Atletas!J494="","",IF(Atletas!B494="Feminino",100,IF(Atletas!B494="Masculino",200,""))+(IF(Atletas!J494="Gunshu Mirim",43,IF(Atletas!J494="Qiangshu Mirim",44,IF(Atletas!J494="Nangun Mirim",45,IF(Atletas!J494="Gunshu Grupo C",46,IF(Atletas!J494="Qiangshu Grupo C",47,IF(Atletas!J494="Nangun Grupo C",48,IF(Atletas!J494="Gunshu Grupo B",49,IF(Atletas!J494="Qiangshu Grupo B",50,IF(Atletas!J494="Nangun Grupo B",51,IF(Atletas!J494="Gunshu Grupo A",52,IF(Atletas!J494="Qiangshu Grupo A",53,IF(Atletas!J494="Nangun Grupo A",54,IF(Atletas!J494="Gunshu Opcional",55,IF(Atletas!J494="Qiangshu Opcional",56,IF(Atletas!J494="Nangun Opcional",57,IF(Atletas!J494="Gunshu Adulto",58,IF(Atletas!J494="Qiangshu Adulto",59,IF(Atletas!J494="Nangun Adulto",60,IF(Atletas!J494="Taijishan Grupo B",61,IF(Atletas!J494="Taijishan Grupo A",62,""))))))))))))))))))))))</f>
        <v/>
      </c>
      <c r="BM503" s="50" t="str">
        <f>IF(Atletas!K494="","",IF(Atletas!B494="Feminino",100,IF(Atletas!B494="Masculino",200,""))+(IF(Atletas!K494="Equipe 1 Grupo B",1,IF(Atletas!K494="Equipe 2 Grupo B",2,IF(Atletas!K494="Equipe 1 Grupo A",3,IF(Atletas!K494="Equipe 2 Grupo A",4,IF(Atletas!K494="Equipe 1 Adulto",5,IF(Atletas!K494="Equipe 2 Adulto",6,""))))))))</f>
        <v/>
      </c>
      <c r="BR503" s="50" t="str">
        <f>IF(Atletas!L494="","",IF(Atletas!X494&lt;&gt;"",10000,0)+(IF(Atletas!B494="Feminino",1000,IF(Atletas!B494="Masculino",2000,""))+IF(Atletas!L494="Choylayfut A",1,IF(Atletas!L494="Hunggar A",2,IF(Atletas!L494="Wuzuquan A",3,IF(Atletas!L494="Wingchun A",4,IF(Atletas!L494="Outra Mão de Sul A",5,IF(Atletas!L494="Choylayfut B",6,IF(Atletas!L494="Hunggar B",7,IF(Atletas!L494="Wuzuquan B",8,IF(Atletas!L494="Wingchun B",9,IF(Atletas!L494="Outra Mão de Sul B",10,IF(Atletas!L494="Choylayfut C",11,IF(Atletas!L494="Hunggar C",12,IF(Atletas!L494="Wuzuquan C",13,IF(Atletas!L494="Wingchun C",14,IF(Atletas!L494="Outra Mão de Sul C",15,IF(Atletas!L494="Choylayfut D",16,IF(Atletas!L494="Hunggar D",17,IF(Atletas!L494="Wuzuquan D",18,IF(Atletas!L494="Wingchun D",19,IF(Atletas!L494="Outra Mão de Sul D",20,IF(Atletas!L494="Choylayfut E",21,IF(Atletas!L494="Hunggar E",22,IF(Atletas!L494="Wuzuquan E",23,IF(Atletas!L494="Wingchun E",24,IF(Atletas!L494="Outra Mão de Sul E",25,IF(Atletas!L494="Choylayfut F",26,IF(Atletas!L494="Hunggar F",27,IF(Atletas!L494="Wuzuquan F",28,IF(Atletas!L494="Wingchun F",29,IF(Atletas!L494="Outra Mão de Sul F",30,IF(Atletas!L494="Dishuquan A",31,IF(Atletas!L494="Dishuquan B",32,IF(Atletas!L494="Dishuquan C",33,IF(Atletas!L494="Dishuquan D",34,IF(Atletas!L494="Dishuquan E",35,IF(Atletas!L494="Dishuquan F",36,""))))))))))))))))))))))))))))))))))))))</f>
        <v/>
      </c>
      <c r="BS503" s="50" t="str">
        <f>IF(Atletas!M494="","",IF(Atletas!X494&lt;&gt;"",10000,0)+(IF(Atletas!B494="Feminino",1000,IF(Atletas!B494="Masculino",2000,""))+(IF(Atletas!M494="Chaquan A",101,IF(Atletas!M494="Emeiquan A",102,IF(Atletas!M494="Fanziquan A",103,IF(Atletas!M494="Huaquan A",104,IF(Atletas!M494="Hongquan A",105,IF(Atletas!M494="Paoquan A",106,IF(Atletas!M494="Piguaquan A",107,IF(Atletas!M494="Shaolinquan A",108,IF(Atletas!M494="Tanglangquan A",109,IF(Atletas!M494="Yingzhaoquan A",110,IF(Atletas!M494="Tongbeiquan A",111,IF(Atletas!M494="Wudangquan A",112,IF(Atletas!M494="Outros Estilos A",113,IF(Atletas!M494="Chaquan B",114,IF(Atletas!M494="Emeiquan B",115,IF(Atletas!M494="Fanziquan B",116,IF(Atletas!M494="Huaquan B",117,IF(Atletas!M494="Hongquan B",118,IF(Atletas!M494="Paoquan B",119,IF(Atletas!M494="Piguaquan B",120,IF(Atletas!M494="Shaolinquan B",121,IF(Atletas!M494="Tanglangquan B",122,IF(Atletas!M494="Yingzhaoquan B",123,IF(Atletas!M494="Tongbeiquan B",124,IF(Atletas!M494="Wudangquan B",125,IF(Atletas!M494="Outros Estilos B",126,IF(Atletas!M494="Chaquan C",127,IF(Atletas!M494="Emeiquan C",128,IF(Atletas!M494="Fanziquan C",129,IF(Atletas!M494="Huaquan C",130,IF(Atletas!M494="Hongquan C",131,IF(Atletas!M494="Paoquan C",132,IF(Atletas!M494="Piguaquan C",133,IF(Atletas!M494="Shaolinquan C",134,IF(Atletas!M494="Tanglangquan C",135,IF(Atletas!M494="Yingzhaoquan C",136,IF(Atletas!M494="Tongbeiquan C",137,IF(Atletas!M494="Wudangquan C",138,IF(Atletas!M494="Outros Estilos C",139,0))))))))))))))))))))))))))))))))))))))))))</f>
        <v/>
      </c>
      <c r="BT503" s="50" t="str">
        <f>IF(Atletas!M494="","",IF(Atletas!X494&lt;&gt;"",10000,0)+(IF(Atletas!B494="Feminino",1000,IF(Atletas!B494="Masculino",2000,""))+(IF(Atletas!M494="Chaquan D",140,IF(Atletas!M494="Emeiquan D",141,IF(Atletas!M494="Fanziquan D",142,IF(Atletas!M494="Huaquan D",143,IF(Atletas!M494="Hongquan D",144,IF(Atletas!M494="Paoquan D",145,IF(Atletas!M494="Piguaquan D",146,IF(Atletas!M494="Shaolinquan D",147,IF(Atletas!M494="Tanglangquan D",148,IF(Atletas!M494="Yingzhaoquan D",149,IF(Atletas!M494="Tongbeiquan D",150,IF(Atletas!M494="Wudangquan D",151,IF(Atletas!M494="Outros Estilos D",152,IF(Atletas!M494="Chaquan E",153,IF(Atletas!M494="Emeiquan E",154,IF(Atletas!M494="Fanziquan E",155,IF(Atletas!M494="Huaquan E",156,IF(Atletas!M494="Hongquan E",157,IF(Atletas!M494="Paoquan E",158,IF(Atletas!M494="Piguaquan E",159,IF(Atletas!M494="Shaolinquan E",160,IF(Atletas!M494="Tanglangquan E",161,IF(Atletas!M494="Yingzhaoquan E",162,IF(Atletas!M494="Tongbeiquan E",163,IF(Atletas!M494="Wudangquan E",164,IF(Atletas!M494="Outros Estilos E",165,IF(Atletas!M494="Chaquan F",166,IF(Atletas!M494="Emeiquan F",167,IF(Atletas!M494="Fanziquan F",168,IF(Atletas!M494="Huaquan F",169,IF(Atletas!M494="Hongquan F",170,IF(Atletas!M494="Paoquan F",171,IF(Atletas!M494="Piguaquan F",172,IF(Atletas!M494="Shaolinquan F",173,IF(Atletas!M494="Tanglangquan F",174,IF(Atletas!M494="Yingzhaoquan F",175,IF(Atletas!M494="Tongbeiquan F",176,IF(Atletas!M494="Wudangquan F",177,IF(Atletas!M494="Outros Estilos F",178,0))))))))))))))))))))))))))))))))))))))))))</f>
        <v/>
      </c>
      <c r="BU503" s="50" t="str">
        <f>IF(Atletas!N494="","",IF(Atletas!X494&lt;&gt;"",10000,0)+(IF(Atletas!B494="Feminino",1000,IF(Atletas!B494="Masculino",2000,""))+(IF(Atletas!N494="Ditangquan A",201,IF(Atletas!N494="Houquan A",202,IF(Atletas!N494="Zuiquan A",203,IF(Atletas!N494="Ditangquan B",204,IF(Atletas!N494="Houquan B",205,IF(Atletas!N494="Zuiquan B",206,IF(Atletas!N494="Ditangquan C",207,IF(Atletas!N494="Houquan C",208,IF(Atletas!N494="Zuiquan C",209,IF(Atletas!N494="Ditangquan D",210,IF(Atletas!N494="Houquan D",211,IF(Atletas!N494="Zuiquan D",212,IF(Atletas!N494="Ditangquan E",213,IF(Atletas!N494="Houquan E",214,IF(Atletas!N494="Zuiquan E",215,IF(Atletas!N494="Ditangquan F",216,IF(Atletas!N494="Houquan F",217,IF(Atletas!N494="Zuiquan F",218,"")))))))))))))))))))))</f>
        <v/>
      </c>
      <c r="BV503" s="50" t="str">
        <f>IF(Atletas!O494="","",IF(Atletas!X494&lt;&gt;"",10000,0)+IF(Atletas!B494="Feminino",1000,IF(Atletas!B494="Masculino",2000,""))+IF(Atletas!O494="Yang A",301,IF(Atletas!O494="Chen A",302,IF(Atletas!O494="Sun A",303,IF(Atletas!O494="Wu A",304,IF(Atletas!O494="Wu-Hao A",305,IF(Atletas!O494="Outro Taijiquan A",306,IF(Atletas!O494="Yang B",307,IF(Atletas!O494="Chen B",308,IF(Atletas!O494="Sun B",309,IF(Atletas!O494="Wu B",310,IF(Atletas!O494="Wu-Hao B",311,IF(Atletas!O494="Outro Taijiquan B",312,IF(Atletas!O494="Yang C",313,IF(Atletas!O494="Chen C",314,IF(Atletas!O494="Sun C",315,IF(Atletas!O494="Wu C",316,IF(Atletas!O494="Wu-Hao C",317,IF(Atletas!O494="Outro Taijiquan C",318,IF(Atletas!O494="Yang D",319,IF(Atletas!O494="Chen D",320,IF(Atletas!O494="Sun D",321,IF(Atletas!O494="Wu D",322,IF(Atletas!O494="Wu-Hao D",323,IF(Atletas!O494="Outro Taijiquan D",324,IF(Atletas!O494="Yang E",325,IF(Atletas!O494="Chen E",326,IF(Atletas!O494="Sun E",327,IF(Atletas!O494="Wu E",328,IF(Atletas!O494="Wu-Hao E",329,IF(Atletas!O494="Outro Taijiquan E",330,IF(Atletas!O494="Yang F",331,IF(Atletas!O494="Chen F",332,IF(Atletas!O494="Sun F",333,IF(Atletas!O494="Wu F",334,IF(Atletas!O494="Wu-Hao F",335,IF(Atletas!O494="Outro Taijiquan F",336,"")))))))))))))))))))))))))))))))))))))</f>
        <v/>
      </c>
      <c r="BW503" s="50" t="str">
        <f>IF(Atletas!P494="","",IF(Atletas!X494&lt;&gt;"",10000,0)+IF(Atletas!B494="Feminino",1000,IF(Atletas!B494="Masculino",2000,""))+IF(OR(Atletas!P494="Yang 26 A",Atletas!P494="Yang 40 A"),401,IF(OR(Atletas!P494="Chen 25 A",Atletas!P494="Chen 36 A",Atletas!P494="Chen 56 A"),402,IF(Atletas!P494="Sun 73 A",403,IF(Atletas!P494="Wu 45 A",404,IF(Atletas!P494="Wu-Hao 46 A",405,IF(OR(Atletas!P494="Taijiquan 16 A",Atletas!P494="Taijiquan 24 A",Atletas!P494="Taijiquan 32 A",Atletas!P494="Taijiquan 42 A"),406,IF(OR(Atletas!P494="Yang 26 B",Atletas!P494="Yang 40 B"),407,IF(OR(Atletas!P494="Chen 25 B",Atletas!P494="Chen 36 B",Atletas!P494="Chen 56 B"),408,IF(Atletas!P494="Sun 73 B",409,IF(Atletas!P494="Wu 45 B",410,IF(Atletas!P494="Wu-Hao 46 B",411,IF(OR(Atletas!P494="Taijiquan 16 B",Atletas!P494="Taijiquan 24 B",Atletas!P494="Taijiquan 32 B",Atletas!P494="Taijiquan 42 B"),412,IF(OR(Atletas!P494="Yang 26 C",Atletas!P494="Yang 40 C"),413,IF(OR(Atletas!P494="Chen 25 C",Atletas!P494="Chen 36 C",Atletas!P494="Chen 56 C"),414,IF(Atletas!P494="Sun 73 C",415,IF(Atletas!P494="Wu 45 C",416,IF(Atletas!P494="Wu-Hao 46 C",417,IF(OR(Atletas!P494="Taijiquan 16 C",Atletas!P494="Taijiquan 24 C",Atletas!P494="Taijiquan 32 C",Atletas!P494="Taijiquan 42 C"),418,0)))))))))))))))))))</f>
        <v/>
      </c>
      <c r="BX503" s="50" t="str">
        <f>IF(Atletas!P494="","",IF(Atletas!X494&lt;&gt;"",10000,0)+IF(Atletas!B494="Feminino",1000,IF(Atletas!B494="Masculino",2000,""))+IF(OR(Atletas!P494="Yang 26 D",Atletas!P494="Yang 40 D"),419,IF(OR(Atletas!P494="Chen 25 D",Atletas!P494="Chen 36 D",Atletas!P494="Chen 56 D"),420,IF(Atletas!P494="Sun 73 D",421,IF(Atletas!P494="Wu 45 D",422,IF(Atletas!P494="Wu-Hao 46 D",423,IF(OR(Atletas!P494="Taijiquan 16 D",Atletas!P494="Taijiquan 24 D",Atletas!P494="Taijiquan 32 D",Atletas!P494="Taijiquan 42 D"),424,IF(OR(Atletas!P494="Yang 26 E",Atletas!P494="Yang 40 E"),425,IF(OR(Atletas!P494="Chen 25 E",Atletas!P494="Chen 36 E",Atletas!P494="Chen 56 E"),426,IF(Atletas!P494="Sun 73 E",427,IF(Atletas!P494="Wu 45 E",428,IF(Atletas!P494="Wu-Hao 46 E",429,IF(OR(Atletas!P494="Taijiquan 16 E",Atletas!P494="Taijiquan 24 E",Atletas!P494="Taijiquan 32 E",Atletas!P494="Taijiquan 42 E"),430,IF(OR(Atletas!P494="Yang 26 F",Atletas!P494="Yang 40 F"),431,IF(OR(Atletas!P494="Chen 25 F",Atletas!P494="Chen 36 F",Atletas!P494="Chen 56 F"),432,IF(Atletas!P494="Sun 73 F",433,IF(Atletas!P494="Wu 45 F",434,IF(Atletas!P494="Wu-Hao 46 F",435,IF(OR(Atletas!P494="Taijiquan 16 F",Atletas!P494="Taijiquan 24 F",Atletas!P494="Taijiquan 32 F",Atletas!P494="Taijiquan 42 F"),436,0)))))))))))))))))))</f>
        <v/>
      </c>
      <c r="BY503" s="50" t="str">
        <f>IF(Atletas!Q494="","",IF(Atletas!X494&lt;&gt;"",10000,0)+IF(Atletas!B494="Feminino",1000,IF(Atletas!B494="Masculino",2000,""))+IF(Atletas!Q494="Xingyiquan A",501,IF(Atletas!Q494="Baguazhang A",502,IF(Atletas!Q494="Outro Estilo Interno A",503,IF(Atletas!Q494="Xingyiquan B",504,IF(Atletas!Q494="Baguazhang B",505,IF(Atletas!Q494="Outro Estilo Interno B",506,IF(Atletas!Q494="Xingyiquan C",507,IF(Atletas!Q494="Baguazhang C",508,IF(Atletas!Q494="Outro Estilo Interno C",509,IF(Atletas!Q494="Xingyiquan D",510,IF(Atletas!Q494="Baguazhang D",511,IF(Atletas!Q494="Outro Estilo Interno D",512,IF(Atletas!Q494="Xingyiquan E",513,IF(Atletas!Q494="Baguazhang E",514,IF(Atletas!Q494="Outro Estilo Interno E",515,IF(Atletas!Q494="Xingyiquan F",516,IF(Atletas!Q494="Baguazhang F",517,IF(Atletas!Q494="Outro Estilo Interno F",518, "")))))))))))))))))))</f>
        <v/>
      </c>
      <c r="BZ503" s="50" t="str">
        <f>IF(Atletas!R494="","",IF(Atletas!X494&lt;&gt;"",10000,0)+IF(Atletas!B494="Feminino",1000,IF(Atletas!B494="Masculino",2000,""))+IF(Atletas!R494="Dao A",601,IF(Atletas!R494="Jian A",602,IF(Atletas!R494="Bishou A",603,IF(Atletas!R494="Shanzi A",604,IF(Atletas!R494="Outra Arma Curta A",605,IF(Atletas!R494="Dao B",606,IF(Atletas!R494="Jian B",607,IF(Atletas!R494="Bishou B",608,IF(Atletas!R494="Shanzi B",609,IF(Atletas!R494="Outra Arma Curta B",610,IF(Atletas!R494="Dao C",611,IF(Atletas!R494="Jian C",612,IF(Atletas!R494="Bishou C",613,IF(Atletas!R494="Shanzi C",614,IF(Atletas!R494="Outra Arma Curta C",615,IF(Atletas!R494="Dao D",616,IF(Atletas!R494="Jian D",617,IF(Atletas!R494="Bishou D",618,IF(Atletas!R494="Shanzi D",619,IF(Atletas!R494="Outra Arma Curta D",620,IF(Atletas!R494="Dao E",621,IF(Atletas!R494="Jian E",622,IF(Atletas!R494="Bishou E",623,IF(Atletas!R494="Shanzi E",624,IF(Atletas!R494="Outra Arma Curta E",625,IF(Atletas!R494="Dao F",626,IF(Atletas!R494="Jian F",627,IF(Atletas!R494="Bishou F",628,IF(Atletas!R494="Shanzi F",629,IF(Atletas!R494="Outra Arma Curta F",630, "")))))))))))))))))))))))))))))))</f>
        <v/>
      </c>
      <c r="CA503" s="50" t="str">
        <f>IF(Atletas!S494="","",IF(Atletas!X494&lt;&gt;"",10000,0)+IF(Atletas!B494="Feminino",1000,IF(Atletas!B494="Masculino",2000,""))+IF(Atletas!S494="Gun A",701,IF(Atletas!S494="Qiang A",702,IF(Atletas!S494="Pudao / Guandao A",703,IF(Atletas!S494="Outra Arma Longa A",704,IF(Atletas!S494="Gun B",705,IF(Atletas!S494="Qiang B",706,IF(Atletas!S494="Pudao / Guandao B",707,IF(Atletas!S494="Outra Arma Longa B",708,IF(Atletas!S494="Gun C",709,IF(Atletas!S494="Qiang C",710,IF(Atletas!S494="Pudao / Guandao C",711,IF(Atletas!S494="Outra Arma Longa C",712,IF(Atletas!S494="Gun D",713,IF(Atletas!S494="Qiang D",714,IF(Atletas!S494="Pudao / Guandao D",715,IF(Atletas!S494="Outra Arma Longa D",716,IF(Atletas!S494="Gun E",717,IF(Atletas!S494="Qiang E",718,IF(Atletas!S494="Pudao / Guandao E",719,IF(Atletas!S494="Outra Arma Longa E",720,IF(Atletas!S494="Gun F",721,IF(Atletas!S494="Qiang F",722,IF(Atletas!S494="Pudao / Guandao F",723,IF(Atletas!S494="Outra Arma Longa F",724,"")))))))))))))))))))))))))</f>
        <v/>
      </c>
      <c r="CB503" s="50" t="str">
        <f>IF(Atletas!T494="","",IF(Atletas!X494&lt;&gt;"",10000,0)+IF(Atletas!B494="Feminino",1000,IF(Atletas!B494="Masculino",2000,""))+IF(Atletas!T494="Outra Arma Dupla A",801,IF(Atletas!T494="Arma Maleável A",802,IF(Atletas!T494="Outra Arma Dupla B",803,IF(Atletas!T494="Arma Maleável B",804,IF(Atletas!T494="Outra Arma Dupla C",805,IF(Atletas!T494="Arma Maleável C",806,IF(Atletas!T494="Outra Arma Dupla D",807,IF(Atletas!T494="Arma Maleável D",808,IF(Atletas!T494="Outra Arma Dupla E",809,IF(Atletas!T494="Arma Maleável E",810,IF(Atletas!T494="Outra Arma Dupla F",811,IF(Atletas!T494="Arma Maleável F",812,IF(Atletas!T494="Shuangdao A",813,IF(Atletas!T494="Shuangdao B",814,IF(Atletas!T494="Shuangdao C",815,IF(Atletas!T494="Shuangdao D",816,IF(Atletas!T494="Shuangdao E",817,IF(Atletas!T494="Shuangdao F",818,"")))))))))))))))))))</f>
        <v/>
      </c>
      <c r="CC503" s="50" t="str">
        <f>IF(Atletas!U494="","",IF(Atletas!X494&lt;&gt;"",10000,0)+IF(Atletas!B494="Feminino",1000,IF(Atletas!B494="Masculino",2000,""))+IF(OR(Atletas!U494="Taijijian Yang A",Atletas!U494="Taijijian Yang Standard A"),901,IF(OR(Atletas!U494="Taijijian Chen A", Atletas!U494="Taijijian Chen Standard A"),902,IF(Atletas!U494="Taijijian Sun A",903,IF(Atletas!U494="Taijijian Wu A",904,IF(Atletas!U494="Taijijian Wu-Hao A",905,IF(OR(Atletas!U494="Taijijian 32 A",Atletas!U494="Taijijian 42 A"),906,IF(OR(Atletas!U494="Taijijian Yang B",Atletas!U494="Taijijian Yang Standard B"),907,IF(OR(Atletas!U494="Taijijian Chen B", Atletas!U494="Taijijian Chen Standard B"),908,IF(Atletas!U494="Taijijian Sun B",909,IF(Atletas!U494="Taijijian Wu B",910,IF(Atletas!U494="Taijijian Wu-Hao B",911,IF(OR(Atletas!U494="Taijijian 32 B",Atletas!U494="Taijijian 42 B"),912,IF(OR(Atletas!U494="Taijijian Yang C",Atletas!U494="Taijijian Yang Standard C"),913,IF(OR(Atletas!U494="Taijijian Chen C", Atletas!U494="Taijijian Chen Standard C"),914,IF(Atletas!U494="Taijijian Sun C",915,IF(Atletas!U494="Taijijian Wu C",916,IF(Atletas!U494="Taijijian Wu-Hao C",917,IF(OR(Atletas!U494="Taijijian 32 C",Atletas!U494="Taijijian 42 C"),918,IF(OR(Atletas!U494="Taijijian Yang D",Atletas!U494="Taijijian Yang Standard D"),919,IF(OR(Atletas!U494="Taijijian Chen D", Atletas!U494="Taijijian Chen Standard D"),920,IF(Atletas!U494="Taijijian Sun D",921,IF(Atletas!U494="Taijijian Wu D",922,IF(Atletas!U494="Taijijian Wu-Hao D",923,IF(OR(Atletas!U494="Taijijian 32 D",Atletas!U494="Taijijian 42 D"),924,IF(OR(Atletas!U494="Taijijian Yang E",Atletas!U494="Taijijian Yang Standard E"),925,IF(OR(Atletas!U494="Taijijian Chen E", Atletas!U494="Taijijian Chen Standard E"),926,IF(Atletas!U494="Taijijian Sun E",927,IF(Atletas!U494="Taijijian Wu E",928,IF(Atletas!U494="Taijijian Wu-Hao E",929,IF(OR(Atletas!U494="Taijijian 32 E",Atletas!U494="Taijijian 42 E"),930,IF(OR(Atletas!U494="Taijijian Yang F",Atletas!U494="Taijijian Yang Standard F"),931,IF(OR(Atletas!U494="Taijijian Chen F", Atletas!U494="Taijijian Chen Standard F"),932,IF(Atletas!U494="Taijijian Sun F",933,IF(Atletas!U494="Taijijian Wu F",934,IF(Atletas!U494="Taijijian Wu-Hao F",935,IF(OR(Atletas!U494="Taijijian 32 F",Atletas!U494="Taijijian 42 F"),936,"")))))))))))))))))))))))))))))))))))))</f>
        <v/>
      </c>
      <c r="CD503" s="50" t="str">
        <f>IF(Atletas!V494="","",IF(Atletas!X494&lt;&gt;"",10000,0)+IF(Atletas!B494="Feminino",1000,IF(Atletas!B494="Masculino",2000,""))+IF(Atletas!V494="Taijidao A",937,IF(Atletas!V494="TaijiShanzi A",938,IF(Atletas!V494="Taijiqiang A",939,IF(Atletas!V494="Bagua de Arma A",940,IF(Atletas!V494="Xingyi de Arma A",941,IF(Atletas!V494="Taijidao B",942,IF(Atletas!V494="TaijiShanzi B",943,IF(Atletas!V494="Taijiqiang B",944,IF(Atletas!V494="Bagua de Arma B",945,IF(Atletas!V494="Xingyi de Arma B",946,IF(Atletas!V494="Taijidao C",947,IF(Atletas!V494="TaijiShanzi C",948,IF(Atletas!V494="Taijiqiang C",949,IF(Atletas!V494="Bagua de Arma C",950,IF(Atletas!V494="Xingyi de Arma C",951,IF(Atletas!V494="Taijidao D",952,IF(Atletas!V494="TaijiShanzi D",953,IF(Atletas!V494="Taijiqiang D",954,IF(Atletas!V494="Bagua de Arma D",955,IF(Atletas!V494="Xingyi de Arma D",956,IF(Atletas!V494="Taijidao E",957,IF(Atletas!V494="TaijiShanzi E",958,IF(Atletas!V494="Taijiqiang E",959,IF(Atletas!V494="Bagua de Arma E",960,IF(Atletas!V494="Xingyi de Arma E",961,IF(Atletas!V494="Taijidao F",962,IF(Atletas!V494="TaijiShanzi F",963,IF(Atletas!V494="Taijiqiang F",964,IF(Atletas!V494="Bagua de Arma F",965,IF(Atletas!V494="Xingyi de Arma F",966,"")))))))))))))))))))))))))))))))</f>
        <v/>
      </c>
      <c r="CM503" s="50" t="str">
        <f xml:space="preserve"> IF(Atletas!W494="","",IF(Atletas!W494="Duilian de Mãos BC - Equipe 1",1,IF(Atletas!W494="Duilian de Mãos BC - Equipe 2",2,IF(Atletas!W494="Duilian de Armas BC - Equipe 1",3,IF(Atletas!W494="Duilian de Armas BC - Equipe 2",4,IF(Atletas!W494="Duilian de Mãos DE - Equipe 1",5,IF(Atletas!W494="Duilian de Mãos DE - Equipe 2",6,IF(Atletas!W494="Duilian de Armas DE - Equipe 1",7,IF(Atletas!W494="Duilian de Armas DE - Equipe 2",8,IF(Atletas!W494="Duilian de Tuishou - Equipe 1",9,IF(Atletas!W494="Duilian de Tuishou - Equipe 2",10,IF(Atletas!W494="Grupo Externo ABC - Equipe 1",11,IF(Atletas!W494="Grupo Externo ABC - Equipe 2",12,IF(Atletas!W494="Grupo Interno ABC - Equipe 1",13,IF(Atletas!W494="Grupo Interno ABC - Equipe 2",14,IF(Atletas!W494="Grupo Externo DEF - Equipe 1",15,IF(Atletas!W494="Grupo Externo DEF - Equipe 2",16,IF(Atletas!W494="Grupo Interno DEF - Equipe 1",17,IF(Atletas!W494="Grupo Interno DEF - Equipe 2",18,"")))))))))))))))))))</f>
        <v/>
      </c>
    </row>
    <row r="504" spans="40:91">
      <c r="AN504" s="52" t="str">
        <f>IF(Atletas!D495="","",IF(Atletas!B495="Feminino",100,IF(Atletas!B495="Masculino",200,""))+(IF(Atletas!D495="Kids 30kg",1,IF(Atletas!D495="Kids 32kg",2, IF(Atletas!D495="Kids 34kg",3,IF(Atletas!D495="Kids 36kg",4,IF(Atletas!D495="Kids 39kg",5,IF(Atletas!D495="Kids 42kg",6,IF(Atletas!D495="Kids 45kg",7, IF(Atletas!D495="Infantil 39kg",8,IF(Atletas!D495="Infantil 42kg",9,IF(Atletas!D495="Infantil 45kg",10,IF(Atletas!D495="Infantil 48kg",11,IF(Atletas!D495="Infantil 52kg",12,IF(Atletas!D495="Infantil 56kg",13,IF(Atletas!D495="Infantil 60kg",14,IF(Atletas!D495="Juvenil 48kg",15,IF(Atletas!D495="Juvenil 52kg",16,IF(Atletas!D495="Juvenil 56kg",17,IF(Atletas!D495="Juvenil 60kg",18,IF(Atletas!D495="Juvenil 65kg",19,IF(Atletas!D495="Juvenil 70kg",20,IF(Atletas!D495="Juvenil 75kg",21,IF(Atletas!D495="Juvenil 80kg",22, IF(Atletas!D495="Juvenil 85kg",23,IF(Atletas!D495="Adulto 48kg",24,IF(Atletas!D495="Adulto 52kg",25,IF(Atletas!D495="Adulto 56kg",26,IF(Atletas!D495="Adulto 60kg",27,IF(Atletas!D495="Adulto 65kg",28,IF(Atletas!D495="Adulto 70kg",29,IF(Atletas!D495="Adulto 75kg",30,IF(Atletas!D495="Adulto 80kg",31,IF(Atletas!D495="Adulto 85kg",32,IF(Atletas!D495="Adulto 90kg",33,IF(Atletas!D495="Adulto 100kg",34, IF(Atletas!D495="Adulto +100kg",35,"")))))))))))))))))))))))))))))))))))))</f>
        <v/>
      </c>
      <c r="AS504" s="6" t="str">
        <f>IF(Atletas!E495="","",IF(Atletas!B495="Feminino",100,IF(Atletas!B495="Masculino",200,""))+(IF(Atletas!E495="Juvenil 44kg",1,IF(Atletas!E495="Juvenil 48kg",2,IF(Atletas!E495="Juvenil 52kg",3,IF(Atletas!E495="Juvenil 56kg",4,IF(Atletas!E495="Juvenil 60kg",5,IF(Atletas!E495="Juvenil 65kg",6,IF(Atletas!E495="Juvenil 70kg",7,IF(Atletas!E495="Juvenil 75kg",8,IF(Atletas!E495="Juvenil 82kg",9,IF(Atletas!E495="Juvenil 90kg",10,IF(Atletas!E495="Juvenil 100kg",11,IF(Atletas!E495="Adulto 48kg",12,IF(Atletas!E495="Adulto 52kg",13,IF(Atletas!E495="Adulto 56kg",14,IF(Atletas!E495="Adulto 60kg",15,IF(Atletas!E495="Adulto 65kg",16,IF(Atletas!E495="Adulto 70kg",17,IF(Atletas!E495="Adulto 75kg",18,IF(Atletas!E495="Adulto 82kg",19,IF(Atletas!E495="Adulto 90kg",20,IF(Atletas!E495="Adulto 100kg",21,IF(Atletas!E495="Adulto +100kg",22,""))))))))))))))))))))))))</f>
        <v/>
      </c>
      <c r="AX504" s="6" t="str">
        <f>IF(Atletas!F495="","",IF(Atletas!B495="Feminino",100,IF(Atletas!B495="Masculino",200,""))+(IF(Atletas!F495="Adulto 48kg",1,IF(Atletas!F495="Adulto 56kg",2,IF(Atletas!F495="Adulto 65kg",3,IF(Atletas!F495="Adulto 75kg",4,IF(Atletas!F495="Adulto +75kg",5,IF(Atletas!F495="Adulto 52kg",6,IF(Atletas!F495="Adulto 60kg",7,IF(Atletas!F495="Adulto 70kg",8,IF(Atletas!F495="Adulto 80kg",9,IF(Atletas!F495="Adulto 90kg",10,IF(Atletas!F495="Adulto +90kg",11,"")))))))))))))</f>
        <v/>
      </c>
      <c r="BC504" s="6" t="str">
        <f>IF(Atletas!G495="","",IF(Atletas!B495="Feminino",10,IF(Atletas!B495="Masculino",20,""))+(IF(Atletas!G495="Baduanjin A",1,IF(Atletas!G495="Baduanjin B",2))))</f>
        <v/>
      </c>
      <c r="BF504" s="52" t="str">
        <f>IF(Atletas!H495="","",IF(Atletas!B495="Feminino",100,IF(Atletas!B495="Masculino",200,""))+(IF(Atletas!H495="Changquan Mirim",1,IF(Atletas!H495="Nanquan Mirim",2,IF(Atletas!H495="Taijiquan Mirim",3,IF(Atletas!H495="Changquan Grupo C",4,IF(Atletas!H495="Nanquan Grupo C",5,IF(Atletas!H495="Taijiquan Grupo C",6,IF(Atletas!H495="Changquan Grupo B",7,IF(Atletas!H495="Nanquan Grupo B",8,IF(Atletas!H495="Taijiquan Grupo B",9,IF(Atletas!H495="Changquan Grupo A",10,IF(Atletas!H495="Nanquan Grupo A",11,IF(Atletas!H495="Taijiquan Grupo A",12,IF(Atletas!H495="Changquan Opcional",13,IF(Atletas!H495="Nanquan Opcional",14,IF(Atletas!H495="Taijiquan Opcional",15,IF(Atletas!H495="Changquan Adulto",16,IF(Atletas!H495="Nanquan Adulto",17,IF(Atletas!H495="Taijiquan Adulto",18,""))))))))))))))))))))</f>
        <v/>
      </c>
      <c r="BG504" s="52" t="str">
        <f>IF(Atletas!I495="","",IF(Atletas!B495="Feminino",100,IF(Atletas!B495="Masculino",200,""))+(IF(Atletas!I495="Daoshu Mirim",19,IF(Atletas!I495="Jianshu Mirim",20,IF(Atletas!I495="Nandao Mirim",21,IF(Atletas!I495="Taijijian Mirim",22,IF(Atletas!I495="Daoshu Grupo C",23,IF(Atletas!I495="Jianshu Grupo C",24,IF(Atletas!I495="Nandao Grupo C",25,IF(Atletas!I495="Taijijian Grupo C",26,IF(Atletas!I495="Daoshu Grupo B",27,IF(Atletas!I495="Jianshu Grupo B",28,IF(Atletas!I495="Nandao Grupo B",29,IF(Atletas!I495="Taijijian Grupo B",30,IF(Atletas!I495="Daoshu Grupo A",31,IF(Atletas!I495="Jianshu Grupo A",32,IF(Atletas!I495="Nandao Grupo A",33,IF(Atletas!I495="Taijijian Grupo A",34,IF(Atletas!I495="Daoshu Opcional",35,IF(Atletas!I495="Jianshu Opcional",36,IF(Atletas!I495="Nandao Opcional",37,IF(Atletas!I495="Taijijian Opcional",38,IF(Atletas!I495="Daoshu Adulto",39,IF(Atletas!I495="Jianshu Adulto",40,IF(Atletas!I495="Nandao Adulto",41,IF(Atletas!I495="Taijijian Adulto",42,""))))))))))))))))))))))))))</f>
        <v/>
      </c>
      <c r="BH504" s="52" t="str">
        <f>IF(Atletas!J495="","",IF(Atletas!B495="Feminino",100,IF(Atletas!B495="Masculino",200,""))+(IF(Atletas!J495="Gunshu Mirim",43,IF(Atletas!J495="Qiangshu Mirim",44,IF(Atletas!J495="Nangun Mirim",45,IF(Atletas!J495="Gunshu Grupo C",46,IF(Atletas!J495="Qiangshu Grupo C",47,IF(Atletas!J495="Nangun Grupo C",48,IF(Atletas!J495="Gunshu Grupo B",49,IF(Atletas!J495="Qiangshu Grupo B",50,IF(Atletas!J495="Nangun Grupo B",51,IF(Atletas!J495="Gunshu Grupo A",52,IF(Atletas!J495="Qiangshu Grupo A",53,IF(Atletas!J495="Nangun Grupo A",54,IF(Atletas!J495="Gunshu Opcional",55,IF(Atletas!J495="Qiangshu Opcional",56,IF(Atletas!J495="Nangun Opcional",57,IF(Atletas!J495="Gunshu Adulto",58,IF(Atletas!J495="Qiangshu Adulto",59,IF(Atletas!J495="Nangun Adulto",60,IF(Atletas!J495="Taijishan Grupo B",61,IF(Atletas!J495="Taijishan Grupo A",62,""))))))))))))))))))))))</f>
        <v/>
      </c>
      <c r="BM504" s="50" t="str">
        <f>IF(Atletas!K495="","",IF(Atletas!B495="Feminino",100,IF(Atletas!B495="Masculino",200,""))+(IF(Atletas!K495="Equipe 1 Grupo B",1,IF(Atletas!K495="Equipe 2 Grupo B",2,IF(Atletas!K495="Equipe 1 Grupo A",3,IF(Atletas!K495="Equipe 2 Grupo A",4,IF(Atletas!K495="Equipe 1 Adulto",5,IF(Atletas!K495="Equipe 2 Adulto",6,""))))))))</f>
        <v/>
      </c>
      <c r="BR504" s="50" t="str">
        <f>IF(Atletas!L495="","",IF(Atletas!X495&lt;&gt;"",10000,0)+(IF(Atletas!B495="Feminino",1000,IF(Atletas!B495="Masculino",2000,""))+IF(Atletas!L495="Choylayfut A",1,IF(Atletas!L495="Hunggar A",2,IF(Atletas!L495="Wuzuquan A",3,IF(Atletas!L495="Wingchun A",4,IF(Atletas!L495="Outra Mão de Sul A",5,IF(Atletas!L495="Choylayfut B",6,IF(Atletas!L495="Hunggar B",7,IF(Atletas!L495="Wuzuquan B",8,IF(Atletas!L495="Wingchun B",9,IF(Atletas!L495="Outra Mão de Sul B",10,IF(Atletas!L495="Choylayfut C",11,IF(Atletas!L495="Hunggar C",12,IF(Atletas!L495="Wuzuquan C",13,IF(Atletas!L495="Wingchun C",14,IF(Atletas!L495="Outra Mão de Sul C",15,IF(Atletas!L495="Choylayfut D",16,IF(Atletas!L495="Hunggar D",17,IF(Atletas!L495="Wuzuquan D",18,IF(Atletas!L495="Wingchun D",19,IF(Atletas!L495="Outra Mão de Sul D",20,IF(Atletas!L495="Choylayfut E",21,IF(Atletas!L495="Hunggar E",22,IF(Atletas!L495="Wuzuquan E",23,IF(Atletas!L495="Wingchun E",24,IF(Atletas!L495="Outra Mão de Sul E",25,IF(Atletas!L495="Choylayfut F",26,IF(Atletas!L495="Hunggar F",27,IF(Atletas!L495="Wuzuquan F",28,IF(Atletas!L495="Wingchun F",29,IF(Atletas!L495="Outra Mão de Sul F",30,IF(Atletas!L495="Dishuquan A",31,IF(Atletas!L495="Dishuquan B",32,IF(Atletas!L495="Dishuquan C",33,IF(Atletas!L495="Dishuquan D",34,IF(Atletas!L495="Dishuquan E",35,IF(Atletas!L495="Dishuquan F",36,""))))))))))))))))))))))))))))))))))))))</f>
        <v/>
      </c>
      <c r="BS504" s="50" t="str">
        <f>IF(Atletas!M495="","",IF(Atletas!X495&lt;&gt;"",10000,0)+(IF(Atletas!B495="Feminino",1000,IF(Atletas!B495="Masculino",2000,""))+(IF(Atletas!M495="Chaquan A",101,IF(Atletas!M495="Emeiquan A",102,IF(Atletas!M495="Fanziquan A",103,IF(Atletas!M495="Huaquan A",104,IF(Atletas!M495="Hongquan A",105,IF(Atletas!M495="Paoquan A",106,IF(Atletas!M495="Piguaquan A",107,IF(Atletas!M495="Shaolinquan A",108,IF(Atletas!M495="Tanglangquan A",109,IF(Atletas!M495="Yingzhaoquan A",110,IF(Atletas!M495="Tongbeiquan A",111,IF(Atletas!M495="Wudangquan A",112,IF(Atletas!M495="Outros Estilos A",113,IF(Atletas!M495="Chaquan B",114,IF(Atletas!M495="Emeiquan B",115,IF(Atletas!M495="Fanziquan B",116,IF(Atletas!M495="Huaquan B",117,IF(Atletas!M495="Hongquan B",118,IF(Atletas!M495="Paoquan B",119,IF(Atletas!M495="Piguaquan B",120,IF(Atletas!M495="Shaolinquan B",121,IF(Atletas!M495="Tanglangquan B",122,IF(Atletas!M495="Yingzhaoquan B",123,IF(Atletas!M495="Tongbeiquan B",124,IF(Atletas!M495="Wudangquan B",125,IF(Atletas!M495="Outros Estilos B",126,IF(Atletas!M495="Chaquan C",127,IF(Atletas!M495="Emeiquan C",128,IF(Atletas!M495="Fanziquan C",129,IF(Atletas!M495="Huaquan C",130,IF(Atletas!M495="Hongquan C",131,IF(Atletas!M495="Paoquan C",132,IF(Atletas!M495="Piguaquan C",133,IF(Atletas!M495="Shaolinquan C",134,IF(Atletas!M495="Tanglangquan C",135,IF(Atletas!M495="Yingzhaoquan C",136,IF(Atletas!M495="Tongbeiquan C",137,IF(Atletas!M495="Wudangquan C",138,IF(Atletas!M495="Outros Estilos C",139,0))))))))))))))))))))))))))))))))))))))))))</f>
        <v/>
      </c>
      <c r="BT504" s="50" t="str">
        <f>IF(Atletas!M495="","",IF(Atletas!X495&lt;&gt;"",10000,0)+(IF(Atletas!B495="Feminino",1000,IF(Atletas!B495="Masculino",2000,""))+(IF(Atletas!M495="Chaquan D",140,IF(Atletas!M495="Emeiquan D",141,IF(Atletas!M495="Fanziquan D",142,IF(Atletas!M495="Huaquan D",143,IF(Atletas!M495="Hongquan D",144,IF(Atletas!M495="Paoquan D",145,IF(Atletas!M495="Piguaquan D",146,IF(Atletas!M495="Shaolinquan D",147,IF(Atletas!M495="Tanglangquan D",148,IF(Atletas!M495="Yingzhaoquan D",149,IF(Atletas!M495="Tongbeiquan D",150,IF(Atletas!M495="Wudangquan D",151,IF(Atletas!M495="Outros Estilos D",152,IF(Atletas!M495="Chaquan E",153,IF(Atletas!M495="Emeiquan E",154,IF(Atletas!M495="Fanziquan E",155,IF(Atletas!M495="Huaquan E",156,IF(Atletas!M495="Hongquan E",157,IF(Atletas!M495="Paoquan E",158,IF(Atletas!M495="Piguaquan E",159,IF(Atletas!M495="Shaolinquan E",160,IF(Atletas!M495="Tanglangquan E",161,IF(Atletas!M495="Yingzhaoquan E",162,IF(Atletas!M495="Tongbeiquan E",163,IF(Atletas!M495="Wudangquan E",164,IF(Atletas!M495="Outros Estilos E",165,IF(Atletas!M495="Chaquan F",166,IF(Atletas!M495="Emeiquan F",167,IF(Atletas!M495="Fanziquan F",168,IF(Atletas!M495="Huaquan F",169,IF(Atletas!M495="Hongquan F",170,IF(Atletas!M495="Paoquan F",171,IF(Atletas!M495="Piguaquan F",172,IF(Atletas!M495="Shaolinquan F",173,IF(Atletas!M495="Tanglangquan F",174,IF(Atletas!M495="Yingzhaoquan F",175,IF(Atletas!M495="Tongbeiquan F",176,IF(Atletas!M495="Wudangquan F",177,IF(Atletas!M495="Outros Estilos F",178,0))))))))))))))))))))))))))))))))))))))))))</f>
        <v/>
      </c>
      <c r="BU504" s="50" t="str">
        <f>IF(Atletas!N495="","",IF(Atletas!X495&lt;&gt;"",10000,0)+(IF(Atletas!B495="Feminino",1000,IF(Atletas!B495="Masculino",2000,""))+(IF(Atletas!N495="Ditangquan A",201,IF(Atletas!N495="Houquan A",202,IF(Atletas!N495="Zuiquan A",203,IF(Atletas!N495="Ditangquan B",204,IF(Atletas!N495="Houquan B",205,IF(Atletas!N495="Zuiquan B",206,IF(Atletas!N495="Ditangquan C",207,IF(Atletas!N495="Houquan C",208,IF(Atletas!N495="Zuiquan C",209,IF(Atletas!N495="Ditangquan D",210,IF(Atletas!N495="Houquan D",211,IF(Atletas!N495="Zuiquan D",212,IF(Atletas!N495="Ditangquan E",213,IF(Atletas!N495="Houquan E",214,IF(Atletas!N495="Zuiquan E",215,IF(Atletas!N495="Ditangquan F",216,IF(Atletas!N495="Houquan F",217,IF(Atletas!N495="Zuiquan F",218,"")))))))))))))))))))))</f>
        <v/>
      </c>
      <c r="BV504" s="50" t="str">
        <f>IF(Atletas!O495="","",IF(Atletas!X495&lt;&gt;"",10000,0)+IF(Atletas!B495="Feminino",1000,IF(Atletas!B495="Masculino",2000,""))+IF(Atletas!O495="Yang A",301,IF(Atletas!O495="Chen A",302,IF(Atletas!O495="Sun A",303,IF(Atletas!O495="Wu A",304,IF(Atletas!O495="Wu-Hao A",305,IF(Atletas!O495="Outro Taijiquan A",306,IF(Atletas!O495="Yang B",307,IF(Atletas!O495="Chen B",308,IF(Atletas!O495="Sun B",309,IF(Atletas!O495="Wu B",310,IF(Atletas!O495="Wu-Hao B",311,IF(Atletas!O495="Outro Taijiquan B",312,IF(Atletas!O495="Yang C",313,IF(Atletas!O495="Chen C",314,IF(Atletas!O495="Sun C",315,IF(Atletas!O495="Wu C",316,IF(Atletas!O495="Wu-Hao C",317,IF(Atletas!O495="Outro Taijiquan C",318,IF(Atletas!O495="Yang D",319,IF(Atletas!O495="Chen D",320,IF(Atletas!O495="Sun D",321,IF(Atletas!O495="Wu D",322,IF(Atletas!O495="Wu-Hao D",323,IF(Atletas!O495="Outro Taijiquan D",324,IF(Atletas!O495="Yang E",325,IF(Atletas!O495="Chen E",326,IF(Atletas!O495="Sun E",327,IF(Atletas!O495="Wu E",328,IF(Atletas!O495="Wu-Hao E",329,IF(Atletas!O495="Outro Taijiquan E",330,IF(Atletas!O495="Yang F",331,IF(Atletas!O495="Chen F",332,IF(Atletas!O495="Sun F",333,IF(Atletas!O495="Wu F",334,IF(Atletas!O495="Wu-Hao F",335,IF(Atletas!O495="Outro Taijiquan F",336,"")))))))))))))))))))))))))))))))))))))</f>
        <v/>
      </c>
      <c r="BW504" s="50" t="str">
        <f>IF(Atletas!P495="","",IF(Atletas!X495&lt;&gt;"",10000,0)+IF(Atletas!B495="Feminino",1000,IF(Atletas!B495="Masculino",2000,""))+IF(OR(Atletas!P495="Yang 26 A",Atletas!P495="Yang 40 A"),401,IF(OR(Atletas!P495="Chen 25 A",Atletas!P495="Chen 36 A",Atletas!P495="Chen 56 A"),402,IF(Atletas!P495="Sun 73 A",403,IF(Atletas!P495="Wu 45 A",404,IF(Atletas!P495="Wu-Hao 46 A",405,IF(OR(Atletas!P495="Taijiquan 16 A",Atletas!P495="Taijiquan 24 A",Atletas!P495="Taijiquan 32 A",Atletas!P495="Taijiquan 42 A"),406,IF(OR(Atletas!P495="Yang 26 B",Atletas!P495="Yang 40 B"),407,IF(OR(Atletas!P495="Chen 25 B",Atletas!P495="Chen 36 B",Atletas!P495="Chen 56 B"),408,IF(Atletas!P495="Sun 73 B",409,IF(Atletas!P495="Wu 45 B",410,IF(Atletas!P495="Wu-Hao 46 B",411,IF(OR(Atletas!P495="Taijiquan 16 B",Atletas!P495="Taijiquan 24 B",Atletas!P495="Taijiquan 32 B",Atletas!P495="Taijiquan 42 B"),412,IF(OR(Atletas!P495="Yang 26 C",Atletas!P495="Yang 40 C"),413,IF(OR(Atletas!P495="Chen 25 C",Atletas!P495="Chen 36 C",Atletas!P495="Chen 56 C"),414,IF(Atletas!P495="Sun 73 C",415,IF(Atletas!P495="Wu 45 C",416,IF(Atletas!P495="Wu-Hao 46 C",417,IF(OR(Atletas!P495="Taijiquan 16 C",Atletas!P495="Taijiquan 24 C",Atletas!P495="Taijiquan 32 C",Atletas!P495="Taijiquan 42 C"),418,0)))))))))))))))))))</f>
        <v/>
      </c>
      <c r="BX504" s="50" t="str">
        <f>IF(Atletas!P495="","",IF(Atletas!X495&lt;&gt;"",10000,0)+IF(Atletas!B495="Feminino",1000,IF(Atletas!B495="Masculino",2000,""))+IF(OR(Atletas!P495="Yang 26 D",Atletas!P495="Yang 40 D"),419,IF(OR(Atletas!P495="Chen 25 D",Atletas!P495="Chen 36 D",Atletas!P495="Chen 56 D"),420,IF(Atletas!P495="Sun 73 D",421,IF(Atletas!P495="Wu 45 D",422,IF(Atletas!P495="Wu-Hao 46 D",423,IF(OR(Atletas!P495="Taijiquan 16 D",Atletas!P495="Taijiquan 24 D",Atletas!P495="Taijiquan 32 D",Atletas!P495="Taijiquan 42 D"),424,IF(OR(Atletas!P495="Yang 26 E",Atletas!P495="Yang 40 E"),425,IF(OR(Atletas!P495="Chen 25 E",Atletas!P495="Chen 36 E",Atletas!P495="Chen 56 E"),426,IF(Atletas!P495="Sun 73 E",427,IF(Atletas!P495="Wu 45 E",428,IF(Atletas!P495="Wu-Hao 46 E",429,IF(OR(Atletas!P495="Taijiquan 16 E",Atletas!P495="Taijiquan 24 E",Atletas!P495="Taijiquan 32 E",Atletas!P495="Taijiquan 42 E"),430,IF(OR(Atletas!P495="Yang 26 F",Atletas!P495="Yang 40 F"),431,IF(OR(Atletas!P495="Chen 25 F",Atletas!P495="Chen 36 F",Atletas!P495="Chen 56 F"),432,IF(Atletas!P495="Sun 73 F",433,IF(Atletas!P495="Wu 45 F",434,IF(Atletas!P495="Wu-Hao 46 F",435,IF(OR(Atletas!P495="Taijiquan 16 F",Atletas!P495="Taijiquan 24 F",Atletas!P495="Taijiquan 32 F",Atletas!P495="Taijiquan 42 F"),436,0)))))))))))))))))))</f>
        <v/>
      </c>
      <c r="BY504" s="50" t="str">
        <f>IF(Atletas!Q495="","",IF(Atletas!X495&lt;&gt;"",10000,0)+IF(Atletas!B495="Feminino",1000,IF(Atletas!B495="Masculino",2000,""))+IF(Atletas!Q495="Xingyiquan A",501,IF(Atletas!Q495="Baguazhang A",502,IF(Atletas!Q495="Outro Estilo Interno A",503,IF(Atletas!Q495="Xingyiquan B",504,IF(Atletas!Q495="Baguazhang B",505,IF(Atletas!Q495="Outro Estilo Interno B",506,IF(Atletas!Q495="Xingyiquan C",507,IF(Atletas!Q495="Baguazhang C",508,IF(Atletas!Q495="Outro Estilo Interno C",509,IF(Atletas!Q495="Xingyiquan D",510,IF(Atletas!Q495="Baguazhang D",511,IF(Atletas!Q495="Outro Estilo Interno D",512,IF(Atletas!Q495="Xingyiquan E",513,IF(Atletas!Q495="Baguazhang E",514,IF(Atletas!Q495="Outro Estilo Interno E",515,IF(Atletas!Q495="Xingyiquan F",516,IF(Atletas!Q495="Baguazhang F",517,IF(Atletas!Q495="Outro Estilo Interno F",518, "")))))))))))))))))))</f>
        <v/>
      </c>
      <c r="BZ504" s="50" t="str">
        <f>IF(Atletas!R495="","",IF(Atletas!X495&lt;&gt;"",10000,0)+IF(Atletas!B495="Feminino",1000,IF(Atletas!B495="Masculino",2000,""))+IF(Atletas!R495="Dao A",601,IF(Atletas!R495="Jian A",602,IF(Atletas!R495="Bishou A",603,IF(Atletas!R495="Shanzi A",604,IF(Atletas!R495="Outra Arma Curta A",605,IF(Atletas!R495="Dao B",606,IF(Atletas!R495="Jian B",607,IF(Atletas!R495="Bishou B",608,IF(Atletas!R495="Shanzi B",609,IF(Atletas!R495="Outra Arma Curta B",610,IF(Atletas!R495="Dao C",611,IF(Atletas!R495="Jian C",612,IF(Atletas!R495="Bishou C",613,IF(Atletas!R495="Shanzi C",614,IF(Atletas!R495="Outra Arma Curta C",615,IF(Atletas!R495="Dao D",616,IF(Atletas!R495="Jian D",617,IF(Atletas!R495="Bishou D",618,IF(Atletas!R495="Shanzi D",619,IF(Atletas!R495="Outra Arma Curta D",620,IF(Atletas!R495="Dao E",621,IF(Atletas!R495="Jian E",622,IF(Atletas!R495="Bishou E",623,IF(Atletas!R495="Shanzi E",624,IF(Atletas!R495="Outra Arma Curta E",625,IF(Atletas!R495="Dao F",626,IF(Atletas!R495="Jian F",627,IF(Atletas!R495="Bishou F",628,IF(Atletas!R495="Shanzi F",629,IF(Atletas!R495="Outra Arma Curta F",630, "")))))))))))))))))))))))))))))))</f>
        <v/>
      </c>
      <c r="CA504" s="50" t="str">
        <f>IF(Atletas!S495="","",IF(Atletas!X495&lt;&gt;"",10000,0)+IF(Atletas!B495="Feminino",1000,IF(Atletas!B495="Masculino",2000,""))+IF(Atletas!S495="Gun A",701,IF(Atletas!S495="Qiang A",702,IF(Atletas!S495="Pudao / Guandao A",703,IF(Atletas!S495="Outra Arma Longa A",704,IF(Atletas!S495="Gun B",705,IF(Atletas!S495="Qiang B",706,IF(Atletas!S495="Pudao / Guandao B",707,IF(Atletas!S495="Outra Arma Longa B",708,IF(Atletas!S495="Gun C",709,IF(Atletas!S495="Qiang C",710,IF(Atletas!S495="Pudao / Guandao C",711,IF(Atletas!S495="Outra Arma Longa C",712,IF(Atletas!S495="Gun D",713,IF(Atletas!S495="Qiang D",714,IF(Atletas!S495="Pudao / Guandao D",715,IF(Atletas!S495="Outra Arma Longa D",716,IF(Atletas!S495="Gun E",717,IF(Atletas!S495="Qiang E",718,IF(Atletas!S495="Pudao / Guandao E",719,IF(Atletas!S495="Outra Arma Longa E",720,IF(Atletas!S495="Gun F",721,IF(Atletas!S495="Qiang F",722,IF(Atletas!S495="Pudao / Guandao F",723,IF(Atletas!S495="Outra Arma Longa F",724,"")))))))))))))))))))))))))</f>
        <v/>
      </c>
      <c r="CB504" s="50" t="str">
        <f>IF(Atletas!T495="","",IF(Atletas!X495&lt;&gt;"",10000,0)+IF(Atletas!B495="Feminino",1000,IF(Atletas!B495="Masculino",2000,""))+IF(Atletas!T495="Outra Arma Dupla A",801,IF(Atletas!T495="Arma Maleável A",802,IF(Atletas!T495="Outra Arma Dupla B",803,IF(Atletas!T495="Arma Maleável B",804,IF(Atletas!T495="Outra Arma Dupla C",805,IF(Atletas!T495="Arma Maleável C",806,IF(Atletas!T495="Outra Arma Dupla D",807,IF(Atletas!T495="Arma Maleável D",808,IF(Atletas!T495="Outra Arma Dupla E",809,IF(Atletas!T495="Arma Maleável E",810,IF(Atletas!T495="Outra Arma Dupla F",811,IF(Atletas!T495="Arma Maleável F",812,IF(Atletas!T495="Shuangdao A",813,IF(Atletas!T495="Shuangdao B",814,IF(Atletas!T495="Shuangdao C",815,IF(Atletas!T495="Shuangdao D",816,IF(Atletas!T495="Shuangdao E",817,IF(Atletas!T495="Shuangdao F",818,"")))))))))))))))))))</f>
        <v/>
      </c>
      <c r="CC504" s="50" t="str">
        <f>IF(Atletas!U495="","",IF(Atletas!X495&lt;&gt;"",10000,0)+IF(Atletas!B495="Feminino",1000,IF(Atletas!B495="Masculino",2000,""))+IF(OR(Atletas!U495="Taijijian Yang A",Atletas!U495="Taijijian Yang Standard A"),901,IF(OR(Atletas!U495="Taijijian Chen A", Atletas!U495="Taijijian Chen Standard A"),902,IF(Atletas!U495="Taijijian Sun A",903,IF(Atletas!U495="Taijijian Wu A",904,IF(Atletas!U495="Taijijian Wu-Hao A",905,IF(OR(Atletas!U495="Taijijian 32 A",Atletas!U495="Taijijian 42 A"),906,IF(OR(Atletas!U495="Taijijian Yang B",Atletas!U495="Taijijian Yang Standard B"),907,IF(OR(Atletas!U495="Taijijian Chen B", Atletas!U495="Taijijian Chen Standard B"),908,IF(Atletas!U495="Taijijian Sun B",909,IF(Atletas!U495="Taijijian Wu B",910,IF(Atletas!U495="Taijijian Wu-Hao B",911,IF(OR(Atletas!U495="Taijijian 32 B",Atletas!U495="Taijijian 42 B"),912,IF(OR(Atletas!U495="Taijijian Yang C",Atletas!U495="Taijijian Yang Standard C"),913,IF(OR(Atletas!U495="Taijijian Chen C", Atletas!U495="Taijijian Chen Standard C"),914,IF(Atletas!U495="Taijijian Sun C",915,IF(Atletas!U495="Taijijian Wu C",916,IF(Atletas!U495="Taijijian Wu-Hao C",917,IF(OR(Atletas!U495="Taijijian 32 C",Atletas!U495="Taijijian 42 C"),918,IF(OR(Atletas!U495="Taijijian Yang D",Atletas!U495="Taijijian Yang Standard D"),919,IF(OR(Atletas!U495="Taijijian Chen D", Atletas!U495="Taijijian Chen Standard D"),920,IF(Atletas!U495="Taijijian Sun D",921,IF(Atletas!U495="Taijijian Wu D",922,IF(Atletas!U495="Taijijian Wu-Hao D",923,IF(OR(Atletas!U495="Taijijian 32 D",Atletas!U495="Taijijian 42 D"),924,IF(OR(Atletas!U495="Taijijian Yang E",Atletas!U495="Taijijian Yang Standard E"),925,IF(OR(Atletas!U495="Taijijian Chen E", Atletas!U495="Taijijian Chen Standard E"),926,IF(Atletas!U495="Taijijian Sun E",927,IF(Atletas!U495="Taijijian Wu E",928,IF(Atletas!U495="Taijijian Wu-Hao E",929,IF(OR(Atletas!U495="Taijijian 32 E",Atletas!U495="Taijijian 42 E"),930,IF(OR(Atletas!U495="Taijijian Yang F",Atletas!U495="Taijijian Yang Standard F"),931,IF(OR(Atletas!U495="Taijijian Chen F", Atletas!U495="Taijijian Chen Standard F"),932,IF(Atletas!U495="Taijijian Sun F",933,IF(Atletas!U495="Taijijian Wu F",934,IF(Atletas!U495="Taijijian Wu-Hao F",935,IF(OR(Atletas!U495="Taijijian 32 F",Atletas!U495="Taijijian 42 F"),936,"")))))))))))))))))))))))))))))))))))))</f>
        <v/>
      </c>
      <c r="CD504" s="50" t="str">
        <f>IF(Atletas!V495="","",IF(Atletas!X495&lt;&gt;"",10000,0)+IF(Atletas!B495="Feminino",1000,IF(Atletas!B495="Masculino",2000,""))+IF(Atletas!V495="Taijidao A",937,IF(Atletas!V495="TaijiShanzi A",938,IF(Atletas!V495="Taijiqiang A",939,IF(Atletas!V495="Bagua de Arma A",940,IF(Atletas!V495="Xingyi de Arma A",941,IF(Atletas!V495="Taijidao B",942,IF(Atletas!V495="TaijiShanzi B",943,IF(Atletas!V495="Taijiqiang B",944,IF(Atletas!V495="Bagua de Arma B",945,IF(Atletas!V495="Xingyi de Arma B",946,IF(Atletas!V495="Taijidao C",947,IF(Atletas!V495="TaijiShanzi C",948,IF(Atletas!V495="Taijiqiang C",949,IF(Atletas!V495="Bagua de Arma C",950,IF(Atletas!V495="Xingyi de Arma C",951,IF(Atletas!V495="Taijidao D",952,IF(Atletas!V495="TaijiShanzi D",953,IF(Atletas!V495="Taijiqiang D",954,IF(Atletas!V495="Bagua de Arma D",955,IF(Atletas!V495="Xingyi de Arma D",956,IF(Atletas!V495="Taijidao E",957,IF(Atletas!V495="TaijiShanzi E",958,IF(Atletas!V495="Taijiqiang E",959,IF(Atletas!V495="Bagua de Arma E",960,IF(Atletas!V495="Xingyi de Arma E",961,IF(Atletas!V495="Taijidao F",962,IF(Atletas!V495="TaijiShanzi F",963,IF(Atletas!V495="Taijiqiang F",964,IF(Atletas!V495="Bagua de Arma F",965,IF(Atletas!V495="Xingyi de Arma F",966,"")))))))))))))))))))))))))))))))</f>
        <v/>
      </c>
      <c r="CM504" s="50" t="str">
        <f xml:space="preserve"> IF(Atletas!W495="","",IF(Atletas!W495="Duilian de Mãos BC - Equipe 1",1,IF(Atletas!W495="Duilian de Mãos BC - Equipe 2",2,IF(Atletas!W495="Duilian de Armas BC - Equipe 1",3,IF(Atletas!W495="Duilian de Armas BC - Equipe 2",4,IF(Atletas!W495="Duilian de Mãos DE - Equipe 1",5,IF(Atletas!W495="Duilian de Mãos DE - Equipe 2",6,IF(Atletas!W495="Duilian de Armas DE - Equipe 1",7,IF(Atletas!W495="Duilian de Armas DE - Equipe 2",8,IF(Atletas!W495="Duilian de Tuishou - Equipe 1",9,IF(Atletas!W495="Duilian de Tuishou - Equipe 2",10,IF(Atletas!W495="Grupo Externo ABC - Equipe 1",11,IF(Atletas!W495="Grupo Externo ABC - Equipe 2",12,IF(Atletas!W495="Grupo Interno ABC - Equipe 1",13,IF(Atletas!W495="Grupo Interno ABC - Equipe 2",14,IF(Atletas!W495="Grupo Externo DEF - Equipe 1",15,IF(Atletas!W495="Grupo Externo DEF - Equipe 2",16,IF(Atletas!W495="Grupo Interno DEF - Equipe 1",17,IF(Atletas!W495="Grupo Interno DEF - Equipe 2",18,"")))))))))))))))))))</f>
        <v/>
      </c>
    </row>
    <row r="505" spans="40:91">
      <c r="AN505" s="52" t="str">
        <f>IF(Atletas!D496="","",IF(Atletas!B496="Feminino",100,IF(Atletas!B496="Masculino",200,""))+(IF(Atletas!D496="Kids 30kg",1,IF(Atletas!D496="Kids 32kg",2, IF(Atletas!D496="Kids 34kg",3,IF(Atletas!D496="Kids 36kg",4,IF(Atletas!D496="Kids 39kg",5,IF(Atletas!D496="Kids 42kg",6,IF(Atletas!D496="Kids 45kg",7, IF(Atletas!D496="Infantil 39kg",8,IF(Atletas!D496="Infantil 42kg",9,IF(Atletas!D496="Infantil 45kg",10,IF(Atletas!D496="Infantil 48kg",11,IF(Atletas!D496="Infantil 52kg",12,IF(Atletas!D496="Infantil 56kg",13,IF(Atletas!D496="Infantil 60kg",14,IF(Atletas!D496="Juvenil 48kg",15,IF(Atletas!D496="Juvenil 52kg",16,IF(Atletas!D496="Juvenil 56kg",17,IF(Atletas!D496="Juvenil 60kg",18,IF(Atletas!D496="Juvenil 65kg",19,IF(Atletas!D496="Juvenil 70kg",20,IF(Atletas!D496="Juvenil 75kg",21,IF(Atletas!D496="Juvenil 80kg",22, IF(Atletas!D496="Juvenil 85kg",23,IF(Atletas!D496="Adulto 48kg",24,IF(Atletas!D496="Adulto 52kg",25,IF(Atletas!D496="Adulto 56kg",26,IF(Atletas!D496="Adulto 60kg",27,IF(Atletas!D496="Adulto 65kg",28,IF(Atletas!D496="Adulto 70kg",29,IF(Atletas!D496="Adulto 75kg",30,IF(Atletas!D496="Adulto 80kg",31,IF(Atletas!D496="Adulto 85kg",32,IF(Atletas!D496="Adulto 90kg",33,IF(Atletas!D496="Adulto 100kg",34, IF(Atletas!D496="Adulto +100kg",35,"")))))))))))))))))))))))))))))))))))))</f>
        <v/>
      </c>
      <c r="AS505" s="6" t="str">
        <f>IF(Atletas!E496="","",IF(Atletas!B496="Feminino",100,IF(Atletas!B496="Masculino",200,""))+(IF(Atletas!E496="Juvenil 44kg",1,IF(Atletas!E496="Juvenil 48kg",2,IF(Atletas!E496="Juvenil 52kg",3,IF(Atletas!E496="Juvenil 56kg",4,IF(Atletas!E496="Juvenil 60kg",5,IF(Atletas!E496="Juvenil 65kg",6,IF(Atletas!E496="Juvenil 70kg",7,IF(Atletas!E496="Juvenil 75kg",8,IF(Atletas!E496="Juvenil 82kg",9,IF(Atletas!E496="Juvenil 90kg",10,IF(Atletas!E496="Juvenil 100kg",11,IF(Atletas!E496="Adulto 48kg",12,IF(Atletas!E496="Adulto 52kg",13,IF(Atletas!E496="Adulto 56kg",14,IF(Atletas!E496="Adulto 60kg",15,IF(Atletas!E496="Adulto 65kg",16,IF(Atletas!E496="Adulto 70kg",17,IF(Atletas!E496="Adulto 75kg",18,IF(Atletas!E496="Adulto 82kg",19,IF(Atletas!E496="Adulto 90kg",20,IF(Atletas!E496="Adulto 100kg",21,IF(Atletas!E496="Adulto +100kg",22,""))))))))))))))))))))))))</f>
        <v/>
      </c>
      <c r="AX505" s="6" t="str">
        <f>IF(Atletas!F496="","",IF(Atletas!B496="Feminino",100,IF(Atletas!B496="Masculino",200,""))+(IF(Atletas!F496="Adulto 48kg",1,IF(Atletas!F496="Adulto 56kg",2,IF(Atletas!F496="Adulto 65kg",3,IF(Atletas!F496="Adulto 75kg",4,IF(Atletas!F496="Adulto +75kg",5,IF(Atletas!F496="Adulto 52kg",6,IF(Atletas!F496="Adulto 60kg",7,IF(Atletas!F496="Adulto 70kg",8,IF(Atletas!F496="Adulto 80kg",9,IF(Atletas!F496="Adulto 90kg",10,IF(Atletas!F496="Adulto +90kg",11,"")))))))))))))</f>
        <v/>
      </c>
      <c r="BC505" s="6" t="str">
        <f>IF(Atletas!G496="","",IF(Atletas!B496="Feminino",10,IF(Atletas!B496="Masculino",20,""))+(IF(Atletas!G496="Baduanjin A",1,IF(Atletas!G496="Baduanjin B",2))))</f>
        <v/>
      </c>
      <c r="BF505" s="52" t="str">
        <f>IF(Atletas!H496="","",IF(Atletas!B496="Feminino",100,IF(Atletas!B496="Masculino",200,""))+(IF(Atletas!H496="Changquan Mirim",1,IF(Atletas!H496="Nanquan Mirim",2,IF(Atletas!H496="Taijiquan Mirim",3,IF(Atletas!H496="Changquan Grupo C",4,IF(Atletas!H496="Nanquan Grupo C",5,IF(Atletas!H496="Taijiquan Grupo C",6,IF(Atletas!H496="Changquan Grupo B",7,IF(Atletas!H496="Nanquan Grupo B",8,IF(Atletas!H496="Taijiquan Grupo B",9,IF(Atletas!H496="Changquan Grupo A",10,IF(Atletas!H496="Nanquan Grupo A",11,IF(Atletas!H496="Taijiquan Grupo A",12,IF(Atletas!H496="Changquan Opcional",13,IF(Atletas!H496="Nanquan Opcional",14,IF(Atletas!H496="Taijiquan Opcional",15,IF(Atletas!H496="Changquan Adulto",16,IF(Atletas!H496="Nanquan Adulto",17,IF(Atletas!H496="Taijiquan Adulto",18,""))))))))))))))))))))</f>
        <v/>
      </c>
      <c r="BG505" s="52" t="str">
        <f>IF(Atletas!I496="","",IF(Atletas!B496="Feminino",100,IF(Atletas!B496="Masculino",200,""))+(IF(Atletas!I496="Daoshu Mirim",19,IF(Atletas!I496="Jianshu Mirim",20,IF(Atletas!I496="Nandao Mirim",21,IF(Atletas!I496="Taijijian Mirim",22,IF(Atletas!I496="Daoshu Grupo C",23,IF(Atletas!I496="Jianshu Grupo C",24,IF(Atletas!I496="Nandao Grupo C",25,IF(Atletas!I496="Taijijian Grupo C",26,IF(Atletas!I496="Daoshu Grupo B",27,IF(Atletas!I496="Jianshu Grupo B",28,IF(Atletas!I496="Nandao Grupo B",29,IF(Atletas!I496="Taijijian Grupo B",30,IF(Atletas!I496="Daoshu Grupo A",31,IF(Atletas!I496="Jianshu Grupo A",32,IF(Atletas!I496="Nandao Grupo A",33,IF(Atletas!I496="Taijijian Grupo A",34,IF(Atletas!I496="Daoshu Opcional",35,IF(Atletas!I496="Jianshu Opcional",36,IF(Atletas!I496="Nandao Opcional",37,IF(Atletas!I496="Taijijian Opcional",38,IF(Atletas!I496="Daoshu Adulto",39,IF(Atletas!I496="Jianshu Adulto",40,IF(Atletas!I496="Nandao Adulto",41,IF(Atletas!I496="Taijijian Adulto",42,""))))))))))))))))))))))))))</f>
        <v/>
      </c>
      <c r="BH505" s="52" t="str">
        <f>IF(Atletas!J496="","",IF(Atletas!B496="Feminino",100,IF(Atletas!B496="Masculino",200,""))+(IF(Atletas!J496="Gunshu Mirim",43,IF(Atletas!J496="Qiangshu Mirim",44,IF(Atletas!J496="Nangun Mirim",45,IF(Atletas!J496="Gunshu Grupo C",46,IF(Atletas!J496="Qiangshu Grupo C",47,IF(Atletas!J496="Nangun Grupo C",48,IF(Atletas!J496="Gunshu Grupo B",49,IF(Atletas!J496="Qiangshu Grupo B",50,IF(Atletas!J496="Nangun Grupo B",51,IF(Atletas!J496="Gunshu Grupo A",52,IF(Atletas!J496="Qiangshu Grupo A",53,IF(Atletas!J496="Nangun Grupo A",54,IF(Atletas!J496="Gunshu Opcional",55,IF(Atletas!J496="Qiangshu Opcional",56,IF(Atletas!J496="Nangun Opcional",57,IF(Atletas!J496="Gunshu Adulto",58,IF(Atletas!J496="Qiangshu Adulto",59,IF(Atletas!J496="Nangun Adulto",60,IF(Atletas!J496="Taijishan Grupo B",61,IF(Atletas!J496="Taijishan Grupo A",62,""))))))))))))))))))))))</f>
        <v/>
      </c>
      <c r="BM505" s="50" t="str">
        <f>IF(Atletas!K496="","",IF(Atletas!B496="Feminino",100,IF(Atletas!B496="Masculino",200,""))+(IF(Atletas!K496="Equipe 1 Grupo B",1,IF(Atletas!K496="Equipe 2 Grupo B",2,IF(Atletas!K496="Equipe 1 Grupo A",3,IF(Atletas!K496="Equipe 2 Grupo A",4,IF(Atletas!K496="Equipe 1 Adulto",5,IF(Atletas!K496="Equipe 2 Adulto",6,""))))))))</f>
        <v/>
      </c>
      <c r="BR505" s="50" t="str">
        <f>IF(Atletas!L496="","",IF(Atletas!X496&lt;&gt;"",10000,0)+(IF(Atletas!B496="Feminino",1000,IF(Atletas!B496="Masculino",2000,""))+IF(Atletas!L496="Choylayfut A",1,IF(Atletas!L496="Hunggar A",2,IF(Atletas!L496="Wuzuquan A",3,IF(Atletas!L496="Wingchun A",4,IF(Atletas!L496="Outra Mão de Sul A",5,IF(Atletas!L496="Choylayfut B",6,IF(Atletas!L496="Hunggar B",7,IF(Atletas!L496="Wuzuquan B",8,IF(Atletas!L496="Wingchun B",9,IF(Atletas!L496="Outra Mão de Sul B",10,IF(Atletas!L496="Choylayfut C",11,IF(Atletas!L496="Hunggar C",12,IF(Atletas!L496="Wuzuquan C",13,IF(Atletas!L496="Wingchun C",14,IF(Atletas!L496="Outra Mão de Sul C",15,IF(Atletas!L496="Choylayfut D",16,IF(Atletas!L496="Hunggar D",17,IF(Atletas!L496="Wuzuquan D",18,IF(Atletas!L496="Wingchun D",19,IF(Atletas!L496="Outra Mão de Sul D",20,IF(Atletas!L496="Choylayfut E",21,IF(Atletas!L496="Hunggar E",22,IF(Atletas!L496="Wuzuquan E",23,IF(Atletas!L496="Wingchun E",24,IF(Atletas!L496="Outra Mão de Sul E",25,IF(Atletas!L496="Choylayfut F",26,IF(Atletas!L496="Hunggar F",27,IF(Atletas!L496="Wuzuquan F",28,IF(Atletas!L496="Wingchun F",29,IF(Atletas!L496="Outra Mão de Sul F",30,IF(Atletas!L496="Dishuquan A",31,IF(Atletas!L496="Dishuquan B",32,IF(Atletas!L496="Dishuquan C",33,IF(Atletas!L496="Dishuquan D",34,IF(Atletas!L496="Dishuquan E",35,IF(Atletas!L496="Dishuquan F",36,""))))))))))))))))))))))))))))))))))))))</f>
        <v/>
      </c>
      <c r="BS505" s="50" t="str">
        <f>IF(Atletas!M496="","",IF(Atletas!X496&lt;&gt;"",10000,0)+(IF(Atletas!B496="Feminino",1000,IF(Atletas!B496="Masculino",2000,""))+(IF(Atletas!M496="Chaquan A",101,IF(Atletas!M496="Emeiquan A",102,IF(Atletas!M496="Fanziquan A",103,IF(Atletas!M496="Huaquan A",104,IF(Atletas!M496="Hongquan A",105,IF(Atletas!M496="Paoquan A",106,IF(Atletas!M496="Piguaquan A",107,IF(Atletas!M496="Shaolinquan A",108,IF(Atletas!M496="Tanglangquan A",109,IF(Atletas!M496="Yingzhaoquan A",110,IF(Atletas!M496="Tongbeiquan A",111,IF(Atletas!M496="Wudangquan A",112,IF(Atletas!M496="Outros Estilos A",113,IF(Atletas!M496="Chaquan B",114,IF(Atletas!M496="Emeiquan B",115,IF(Atletas!M496="Fanziquan B",116,IF(Atletas!M496="Huaquan B",117,IF(Atletas!M496="Hongquan B",118,IF(Atletas!M496="Paoquan B",119,IF(Atletas!M496="Piguaquan B",120,IF(Atletas!M496="Shaolinquan B",121,IF(Atletas!M496="Tanglangquan B",122,IF(Atletas!M496="Yingzhaoquan B",123,IF(Atletas!M496="Tongbeiquan B",124,IF(Atletas!M496="Wudangquan B",125,IF(Atletas!M496="Outros Estilos B",126,IF(Atletas!M496="Chaquan C",127,IF(Atletas!M496="Emeiquan C",128,IF(Atletas!M496="Fanziquan C",129,IF(Atletas!M496="Huaquan C",130,IF(Atletas!M496="Hongquan C",131,IF(Atletas!M496="Paoquan C",132,IF(Atletas!M496="Piguaquan C",133,IF(Atletas!M496="Shaolinquan C",134,IF(Atletas!M496="Tanglangquan C",135,IF(Atletas!M496="Yingzhaoquan C",136,IF(Atletas!M496="Tongbeiquan C",137,IF(Atletas!M496="Wudangquan C",138,IF(Atletas!M496="Outros Estilos C",139,0))))))))))))))))))))))))))))))))))))))))))</f>
        <v/>
      </c>
      <c r="BT505" s="50" t="str">
        <f>IF(Atletas!M496="","",IF(Atletas!X496&lt;&gt;"",10000,0)+(IF(Atletas!B496="Feminino",1000,IF(Atletas!B496="Masculino",2000,""))+(IF(Atletas!M496="Chaquan D",140,IF(Atletas!M496="Emeiquan D",141,IF(Atletas!M496="Fanziquan D",142,IF(Atletas!M496="Huaquan D",143,IF(Atletas!M496="Hongquan D",144,IF(Atletas!M496="Paoquan D",145,IF(Atletas!M496="Piguaquan D",146,IF(Atletas!M496="Shaolinquan D",147,IF(Atletas!M496="Tanglangquan D",148,IF(Atletas!M496="Yingzhaoquan D",149,IF(Atletas!M496="Tongbeiquan D",150,IF(Atletas!M496="Wudangquan D",151,IF(Atletas!M496="Outros Estilos D",152,IF(Atletas!M496="Chaquan E",153,IF(Atletas!M496="Emeiquan E",154,IF(Atletas!M496="Fanziquan E",155,IF(Atletas!M496="Huaquan E",156,IF(Atletas!M496="Hongquan E",157,IF(Atletas!M496="Paoquan E",158,IF(Atletas!M496="Piguaquan E",159,IF(Atletas!M496="Shaolinquan E",160,IF(Atletas!M496="Tanglangquan E",161,IF(Atletas!M496="Yingzhaoquan E",162,IF(Atletas!M496="Tongbeiquan E",163,IF(Atletas!M496="Wudangquan E",164,IF(Atletas!M496="Outros Estilos E",165,IF(Atletas!M496="Chaquan F",166,IF(Atletas!M496="Emeiquan F",167,IF(Atletas!M496="Fanziquan F",168,IF(Atletas!M496="Huaquan F",169,IF(Atletas!M496="Hongquan F",170,IF(Atletas!M496="Paoquan F",171,IF(Atletas!M496="Piguaquan F",172,IF(Atletas!M496="Shaolinquan F",173,IF(Atletas!M496="Tanglangquan F",174,IF(Atletas!M496="Yingzhaoquan F",175,IF(Atletas!M496="Tongbeiquan F",176,IF(Atletas!M496="Wudangquan F",177,IF(Atletas!M496="Outros Estilos F",178,0))))))))))))))))))))))))))))))))))))))))))</f>
        <v/>
      </c>
      <c r="BU505" s="50" t="str">
        <f>IF(Atletas!N496="","",IF(Atletas!X496&lt;&gt;"",10000,0)+(IF(Atletas!B496="Feminino",1000,IF(Atletas!B496="Masculino",2000,""))+(IF(Atletas!N496="Ditangquan A",201,IF(Atletas!N496="Houquan A",202,IF(Atletas!N496="Zuiquan A",203,IF(Atletas!N496="Ditangquan B",204,IF(Atletas!N496="Houquan B",205,IF(Atletas!N496="Zuiquan B",206,IF(Atletas!N496="Ditangquan C",207,IF(Atletas!N496="Houquan C",208,IF(Atletas!N496="Zuiquan C",209,IF(Atletas!N496="Ditangquan D",210,IF(Atletas!N496="Houquan D",211,IF(Atletas!N496="Zuiquan D",212,IF(Atletas!N496="Ditangquan E",213,IF(Atletas!N496="Houquan E",214,IF(Atletas!N496="Zuiquan E",215,IF(Atletas!N496="Ditangquan F",216,IF(Atletas!N496="Houquan F",217,IF(Atletas!N496="Zuiquan F",218,"")))))))))))))))))))))</f>
        <v/>
      </c>
      <c r="BV505" s="50" t="str">
        <f>IF(Atletas!O496="","",IF(Atletas!X496&lt;&gt;"",10000,0)+IF(Atletas!B496="Feminino",1000,IF(Atletas!B496="Masculino",2000,""))+IF(Atletas!O496="Yang A",301,IF(Atletas!O496="Chen A",302,IF(Atletas!O496="Sun A",303,IF(Atletas!O496="Wu A",304,IF(Atletas!O496="Wu-Hao A",305,IF(Atletas!O496="Outro Taijiquan A",306,IF(Atletas!O496="Yang B",307,IF(Atletas!O496="Chen B",308,IF(Atletas!O496="Sun B",309,IF(Atletas!O496="Wu B",310,IF(Atletas!O496="Wu-Hao B",311,IF(Atletas!O496="Outro Taijiquan B",312,IF(Atletas!O496="Yang C",313,IF(Atletas!O496="Chen C",314,IF(Atletas!O496="Sun C",315,IF(Atletas!O496="Wu C",316,IF(Atletas!O496="Wu-Hao C",317,IF(Atletas!O496="Outro Taijiquan C",318,IF(Atletas!O496="Yang D",319,IF(Atletas!O496="Chen D",320,IF(Atletas!O496="Sun D",321,IF(Atletas!O496="Wu D",322,IF(Atletas!O496="Wu-Hao D",323,IF(Atletas!O496="Outro Taijiquan D",324,IF(Atletas!O496="Yang E",325,IF(Atletas!O496="Chen E",326,IF(Atletas!O496="Sun E",327,IF(Atletas!O496="Wu E",328,IF(Atletas!O496="Wu-Hao E",329,IF(Atletas!O496="Outro Taijiquan E",330,IF(Atletas!O496="Yang F",331,IF(Atletas!O496="Chen F",332,IF(Atletas!O496="Sun F",333,IF(Atletas!O496="Wu F",334,IF(Atletas!O496="Wu-Hao F",335,IF(Atletas!O496="Outro Taijiquan F",336,"")))))))))))))))))))))))))))))))))))))</f>
        <v/>
      </c>
      <c r="BW505" s="50" t="str">
        <f>IF(Atletas!P496="","",IF(Atletas!X496&lt;&gt;"",10000,0)+IF(Atletas!B496="Feminino",1000,IF(Atletas!B496="Masculino",2000,""))+IF(OR(Atletas!P496="Yang 26 A",Atletas!P496="Yang 40 A"),401,IF(OR(Atletas!P496="Chen 25 A",Atletas!P496="Chen 36 A",Atletas!P496="Chen 56 A"),402,IF(Atletas!P496="Sun 73 A",403,IF(Atletas!P496="Wu 45 A",404,IF(Atletas!P496="Wu-Hao 46 A",405,IF(OR(Atletas!P496="Taijiquan 16 A",Atletas!P496="Taijiquan 24 A",Atletas!P496="Taijiquan 32 A",Atletas!P496="Taijiquan 42 A"),406,IF(OR(Atletas!P496="Yang 26 B",Atletas!P496="Yang 40 B"),407,IF(OR(Atletas!P496="Chen 25 B",Atletas!P496="Chen 36 B",Atletas!P496="Chen 56 B"),408,IF(Atletas!P496="Sun 73 B",409,IF(Atletas!P496="Wu 45 B",410,IF(Atletas!P496="Wu-Hao 46 B",411,IF(OR(Atletas!P496="Taijiquan 16 B",Atletas!P496="Taijiquan 24 B",Atletas!P496="Taijiquan 32 B",Atletas!P496="Taijiquan 42 B"),412,IF(OR(Atletas!P496="Yang 26 C",Atletas!P496="Yang 40 C"),413,IF(OR(Atletas!P496="Chen 25 C",Atletas!P496="Chen 36 C",Atletas!P496="Chen 56 C"),414,IF(Atletas!P496="Sun 73 C",415,IF(Atletas!P496="Wu 45 C",416,IF(Atletas!P496="Wu-Hao 46 C",417,IF(OR(Atletas!P496="Taijiquan 16 C",Atletas!P496="Taijiquan 24 C",Atletas!P496="Taijiquan 32 C",Atletas!P496="Taijiquan 42 C"),418,0)))))))))))))))))))</f>
        <v/>
      </c>
      <c r="BX505" s="50" t="str">
        <f>IF(Atletas!P496="","",IF(Atletas!X496&lt;&gt;"",10000,0)+IF(Atletas!B496="Feminino",1000,IF(Atletas!B496="Masculino",2000,""))+IF(OR(Atletas!P496="Yang 26 D",Atletas!P496="Yang 40 D"),419,IF(OR(Atletas!P496="Chen 25 D",Atletas!P496="Chen 36 D",Atletas!P496="Chen 56 D"),420,IF(Atletas!P496="Sun 73 D",421,IF(Atletas!P496="Wu 45 D",422,IF(Atletas!P496="Wu-Hao 46 D",423,IF(OR(Atletas!P496="Taijiquan 16 D",Atletas!P496="Taijiquan 24 D",Atletas!P496="Taijiquan 32 D",Atletas!P496="Taijiquan 42 D"),424,IF(OR(Atletas!P496="Yang 26 E",Atletas!P496="Yang 40 E"),425,IF(OR(Atletas!P496="Chen 25 E",Atletas!P496="Chen 36 E",Atletas!P496="Chen 56 E"),426,IF(Atletas!P496="Sun 73 E",427,IF(Atletas!P496="Wu 45 E",428,IF(Atletas!P496="Wu-Hao 46 E",429,IF(OR(Atletas!P496="Taijiquan 16 E",Atletas!P496="Taijiquan 24 E",Atletas!P496="Taijiquan 32 E",Atletas!P496="Taijiquan 42 E"),430,IF(OR(Atletas!P496="Yang 26 F",Atletas!P496="Yang 40 F"),431,IF(OR(Atletas!P496="Chen 25 F",Atletas!P496="Chen 36 F",Atletas!P496="Chen 56 F"),432,IF(Atletas!P496="Sun 73 F",433,IF(Atletas!P496="Wu 45 F",434,IF(Atletas!P496="Wu-Hao 46 F",435,IF(OR(Atletas!P496="Taijiquan 16 F",Atletas!P496="Taijiquan 24 F",Atletas!P496="Taijiquan 32 F",Atletas!P496="Taijiquan 42 F"),436,0)))))))))))))))))))</f>
        <v/>
      </c>
      <c r="BY505" s="50" t="str">
        <f>IF(Atletas!Q496="","",IF(Atletas!X496&lt;&gt;"",10000,0)+IF(Atletas!B496="Feminino",1000,IF(Atletas!B496="Masculino",2000,""))+IF(Atletas!Q496="Xingyiquan A",501,IF(Atletas!Q496="Baguazhang A",502,IF(Atletas!Q496="Outro Estilo Interno A",503,IF(Atletas!Q496="Xingyiquan B",504,IF(Atletas!Q496="Baguazhang B",505,IF(Atletas!Q496="Outro Estilo Interno B",506,IF(Atletas!Q496="Xingyiquan C",507,IF(Atletas!Q496="Baguazhang C",508,IF(Atletas!Q496="Outro Estilo Interno C",509,IF(Atletas!Q496="Xingyiquan D",510,IF(Atletas!Q496="Baguazhang D",511,IF(Atletas!Q496="Outro Estilo Interno D",512,IF(Atletas!Q496="Xingyiquan E",513,IF(Atletas!Q496="Baguazhang E",514,IF(Atletas!Q496="Outro Estilo Interno E",515,IF(Atletas!Q496="Xingyiquan F",516,IF(Atletas!Q496="Baguazhang F",517,IF(Atletas!Q496="Outro Estilo Interno F",518, "")))))))))))))))))))</f>
        <v/>
      </c>
      <c r="BZ505" s="50" t="str">
        <f>IF(Atletas!R496="","",IF(Atletas!X496&lt;&gt;"",10000,0)+IF(Atletas!B496="Feminino",1000,IF(Atletas!B496="Masculino",2000,""))+IF(Atletas!R496="Dao A",601,IF(Atletas!R496="Jian A",602,IF(Atletas!R496="Bishou A",603,IF(Atletas!R496="Shanzi A",604,IF(Atletas!R496="Outra Arma Curta A",605,IF(Atletas!R496="Dao B",606,IF(Atletas!R496="Jian B",607,IF(Atletas!R496="Bishou B",608,IF(Atletas!R496="Shanzi B",609,IF(Atletas!R496="Outra Arma Curta B",610,IF(Atletas!R496="Dao C",611,IF(Atletas!R496="Jian C",612,IF(Atletas!R496="Bishou C",613,IF(Atletas!R496="Shanzi C",614,IF(Atletas!R496="Outra Arma Curta C",615,IF(Atletas!R496="Dao D",616,IF(Atletas!R496="Jian D",617,IF(Atletas!R496="Bishou D",618,IF(Atletas!R496="Shanzi D",619,IF(Atletas!R496="Outra Arma Curta D",620,IF(Atletas!R496="Dao E",621,IF(Atletas!R496="Jian E",622,IF(Atletas!R496="Bishou E",623,IF(Atletas!R496="Shanzi E",624,IF(Atletas!R496="Outra Arma Curta E",625,IF(Atletas!R496="Dao F",626,IF(Atletas!R496="Jian F",627,IF(Atletas!R496="Bishou F",628,IF(Atletas!R496="Shanzi F",629,IF(Atletas!R496="Outra Arma Curta F",630, "")))))))))))))))))))))))))))))))</f>
        <v/>
      </c>
      <c r="CA505" s="50" t="str">
        <f>IF(Atletas!S496="","",IF(Atletas!X496&lt;&gt;"",10000,0)+IF(Atletas!B496="Feminino",1000,IF(Atletas!B496="Masculino",2000,""))+IF(Atletas!S496="Gun A",701,IF(Atletas!S496="Qiang A",702,IF(Atletas!S496="Pudao / Guandao A",703,IF(Atletas!S496="Outra Arma Longa A",704,IF(Atletas!S496="Gun B",705,IF(Atletas!S496="Qiang B",706,IF(Atletas!S496="Pudao / Guandao B",707,IF(Atletas!S496="Outra Arma Longa B",708,IF(Atletas!S496="Gun C",709,IF(Atletas!S496="Qiang C",710,IF(Atletas!S496="Pudao / Guandao C",711,IF(Atletas!S496="Outra Arma Longa C",712,IF(Atletas!S496="Gun D",713,IF(Atletas!S496="Qiang D",714,IF(Atletas!S496="Pudao / Guandao D",715,IF(Atletas!S496="Outra Arma Longa D",716,IF(Atletas!S496="Gun E",717,IF(Atletas!S496="Qiang E",718,IF(Atletas!S496="Pudao / Guandao E",719,IF(Atletas!S496="Outra Arma Longa E",720,IF(Atletas!S496="Gun F",721,IF(Atletas!S496="Qiang F",722,IF(Atletas!S496="Pudao / Guandao F",723,IF(Atletas!S496="Outra Arma Longa F",724,"")))))))))))))))))))))))))</f>
        <v/>
      </c>
      <c r="CB505" s="50" t="str">
        <f>IF(Atletas!T496="","",IF(Atletas!X496&lt;&gt;"",10000,0)+IF(Atletas!B496="Feminino",1000,IF(Atletas!B496="Masculino",2000,""))+IF(Atletas!T496="Outra Arma Dupla A",801,IF(Atletas!T496="Arma Maleável A",802,IF(Atletas!T496="Outra Arma Dupla B",803,IF(Atletas!T496="Arma Maleável B",804,IF(Atletas!T496="Outra Arma Dupla C",805,IF(Atletas!T496="Arma Maleável C",806,IF(Atletas!T496="Outra Arma Dupla D",807,IF(Atletas!T496="Arma Maleável D",808,IF(Atletas!T496="Outra Arma Dupla E",809,IF(Atletas!T496="Arma Maleável E",810,IF(Atletas!T496="Outra Arma Dupla F",811,IF(Atletas!T496="Arma Maleável F",812,IF(Atletas!T496="Shuangdao A",813,IF(Atletas!T496="Shuangdao B",814,IF(Atletas!T496="Shuangdao C",815,IF(Atletas!T496="Shuangdao D",816,IF(Atletas!T496="Shuangdao E",817,IF(Atletas!T496="Shuangdao F",818,"")))))))))))))))))))</f>
        <v/>
      </c>
      <c r="CC505" s="50" t="str">
        <f>IF(Atletas!U496="","",IF(Atletas!X496&lt;&gt;"",10000,0)+IF(Atletas!B496="Feminino",1000,IF(Atletas!B496="Masculino",2000,""))+IF(OR(Atletas!U496="Taijijian Yang A",Atletas!U496="Taijijian Yang Standard A"),901,IF(OR(Atletas!U496="Taijijian Chen A", Atletas!U496="Taijijian Chen Standard A"),902,IF(Atletas!U496="Taijijian Sun A",903,IF(Atletas!U496="Taijijian Wu A",904,IF(Atletas!U496="Taijijian Wu-Hao A",905,IF(OR(Atletas!U496="Taijijian 32 A",Atletas!U496="Taijijian 42 A"),906,IF(OR(Atletas!U496="Taijijian Yang B",Atletas!U496="Taijijian Yang Standard B"),907,IF(OR(Atletas!U496="Taijijian Chen B", Atletas!U496="Taijijian Chen Standard B"),908,IF(Atletas!U496="Taijijian Sun B",909,IF(Atletas!U496="Taijijian Wu B",910,IF(Atletas!U496="Taijijian Wu-Hao B",911,IF(OR(Atletas!U496="Taijijian 32 B",Atletas!U496="Taijijian 42 B"),912,IF(OR(Atletas!U496="Taijijian Yang C",Atletas!U496="Taijijian Yang Standard C"),913,IF(OR(Atletas!U496="Taijijian Chen C", Atletas!U496="Taijijian Chen Standard C"),914,IF(Atletas!U496="Taijijian Sun C",915,IF(Atletas!U496="Taijijian Wu C",916,IF(Atletas!U496="Taijijian Wu-Hao C",917,IF(OR(Atletas!U496="Taijijian 32 C",Atletas!U496="Taijijian 42 C"),918,IF(OR(Atletas!U496="Taijijian Yang D",Atletas!U496="Taijijian Yang Standard D"),919,IF(OR(Atletas!U496="Taijijian Chen D", Atletas!U496="Taijijian Chen Standard D"),920,IF(Atletas!U496="Taijijian Sun D",921,IF(Atletas!U496="Taijijian Wu D",922,IF(Atletas!U496="Taijijian Wu-Hao D",923,IF(OR(Atletas!U496="Taijijian 32 D",Atletas!U496="Taijijian 42 D"),924,IF(OR(Atletas!U496="Taijijian Yang E",Atletas!U496="Taijijian Yang Standard E"),925,IF(OR(Atletas!U496="Taijijian Chen E", Atletas!U496="Taijijian Chen Standard E"),926,IF(Atletas!U496="Taijijian Sun E",927,IF(Atletas!U496="Taijijian Wu E",928,IF(Atletas!U496="Taijijian Wu-Hao E",929,IF(OR(Atletas!U496="Taijijian 32 E",Atletas!U496="Taijijian 42 E"),930,IF(OR(Atletas!U496="Taijijian Yang F",Atletas!U496="Taijijian Yang Standard F"),931,IF(OR(Atletas!U496="Taijijian Chen F", Atletas!U496="Taijijian Chen Standard F"),932,IF(Atletas!U496="Taijijian Sun F",933,IF(Atletas!U496="Taijijian Wu F",934,IF(Atletas!U496="Taijijian Wu-Hao F",935,IF(OR(Atletas!U496="Taijijian 32 F",Atletas!U496="Taijijian 42 F"),936,"")))))))))))))))))))))))))))))))))))))</f>
        <v/>
      </c>
      <c r="CD505" s="50" t="str">
        <f>IF(Atletas!V496="","",IF(Atletas!X496&lt;&gt;"",10000,0)+IF(Atletas!B496="Feminino",1000,IF(Atletas!B496="Masculino",2000,""))+IF(Atletas!V496="Taijidao A",937,IF(Atletas!V496="TaijiShanzi A",938,IF(Atletas!V496="Taijiqiang A",939,IF(Atletas!V496="Bagua de Arma A",940,IF(Atletas!V496="Xingyi de Arma A",941,IF(Atletas!V496="Taijidao B",942,IF(Atletas!V496="TaijiShanzi B",943,IF(Atletas!V496="Taijiqiang B",944,IF(Atletas!V496="Bagua de Arma B",945,IF(Atletas!V496="Xingyi de Arma B",946,IF(Atletas!V496="Taijidao C",947,IF(Atletas!V496="TaijiShanzi C",948,IF(Atletas!V496="Taijiqiang C",949,IF(Atletas!V496="Bagua de Arma C",950,IF(Atletas!V496="Xingyi de Arma C",951,IF(Atletas!V496="Taijidao D",952,IF(Atletas!V496="TaijiShanzi D",953,IF(Atletas!V496="Taijiqiang D",954,IF(Atletas!V496="Bagua de Arma D",955,IF(Atletas!V496="Xingyi de Arma D",956,IF(Atletas!V496="Taijidao E",957,IF(Atletas!V496="TaijiShanzi E",958,IF(Atletas!V496="Taijiqiang E",959,IF(Atletas!V496="Bagua de Arma E",960,IF(Atletas!V496="Xingyi de Arma E",961,IF(Atletas!V496="Taijidao F",962,IF(Atletas!V496="TaijiShanzi F",963,IF(Atletas!V496="Taijiqiang F",964,IF(Atletas!V496="Bagua de Arma F",965,IF(Atletas!V496="Xingyi de Arma F",966,"")))))))))))))))))))))))))))))))</f>
        <v/>
      </c>
      <c r="CM505" s="50" t="str">
        <f xml:space="preserve"> IF(Atletas!W496="","",IF(Atletas!W496="Duilian de Mãos BC - Equipe 1",1,IF(Atletas!W496="Duilian de Mãos BC - Equipe 2",2,IF(Atletas!W496="Duilian de Armas BC - Equipe 1",3,IF(Atletas!W496="Duilian de Armas BC - Equipe 2",4,IF(Atletas!W496="Duilian de Mãos DE - Equipe 1",5,IF(Atletas!W496="Duilian de Mãos DE - Equipe 2",6,IF(Atletas!W496="Duilian de Armas DE - Equipe 1",7,IF(Atletas!W496="Duilian de Armas DE - Equipe 2",8,IF(Atletas!W496="Duilian de Tuishou - Equipe 1",9,IF(Atletas!W496="Duilian de Tuishou - Equipe 2",10,IF(Atletas!W496="Grupo Externo ABC - Equipe 1",11,IF(Atletas!W496="Grupo Externo ABC - Equipe 2",12,IF(Atletas!W496="Grupo Interno ABC - Equipe 1",13,IF(Atletas!W496="Grupo Interno ABC - Equipe 2",14,IF(Atletas!W496="Grupo Externo DEF - Equipe 1",15,IF(Atletas!W496="Grupo Externo DEF - Equipe 2",16,IF(Atletas!W496="Grupo Interno DEF - Equipe 1",17,IF(Atletas!W496="Grupo Interno DEF - Equipe 2",18,"")))))))))))))))))))</f>
        <v/>
      </c>
    </row>
    <row r="506" spans="40:91">
      <c r="AN506" s="52" t="str">
        <f>IF(Atletas!D497="","",IF(Atletas!B497="Feminino",100,IF(Atletas!B497="Masculino",200,""))+(IF(Atletas!D497="Kids 30kg",1,IF(Atletas!D497="Kids 32kg",2, IF(Atletas!D497="Kids 34kg",3,IF(Atletas!D497="Kids 36kg",4,IF(Atletas!D497="Kids 39kg",5,IF(Atletas!D497="Kids 42kg",6,IF(Atletas!D497="Kids 45kg",7, IF(Atletas!D497="Infantil 39kg",8,IF(Atletas!D497="Infantil 42kg",9,IF(Atletas!D497="Infantil 45kg",10,IF(Atletas!D497="Infantil 48kg",11,IF(Atletas!D497="Infantil 52kg",12,IF(Atletas!D497="Infantil 56kg",13,IF(Atletas!D497="Infantil 60kg",14,IF(Atletas!D497="Juvenil 48kg",15,IF(Atletas!D497="Juvenil 52kg",16,IF(Atletas!D497="Juvenil 56kg",17,IF(Atletas!D497="Juvenil 60kg",18,IF(Atletas!D497="Juvenil 65kg",19,IF(Atletas!D497="Juvenil 70kg",20,IF(Atletas!D497="Juvenil 75kg",21,IF(Atletas!D497="Juvenil 80kg",22, IF(Atletas!D497="Juvenil 85kg",23,IF(Atletas!D497="Adulto 48kg",24,IF(Atletas!D497="Adulto 52kg",25,IF(Atletas!D497="Adulto 56kg",26,IF(Atletas!D497="Adulto 60kg",27,IF(Atletas!D497="Adulto 65kg",28,IF(Atletas!D497="Adulto 70kg",29,IF(Atletas!D497="Adulto 75kg",30,IF(Atletas!D497="Adulto 80kg",31,IF(Atletas!D497="Adulto 85kg",32,IF(Atletas!D497="Adulto 90kg",33,IF(Atletas!D497="Adulto 100kg",34, IF(Atletas!D497="Adulto +100kg",35,"")))))))))))))))))))))))))))))))))))))</f>
        <v/>
      </c>
      <c r="AS506" s="6" t="str">
        <f>IF(Atletas!E497="","",IF(Atletas!B497="Feminino",100,IF(Atletas!B497="Masculino",200,""))+(IF(Atletas!E497="Juvenil 44kg",1,IF(Atletas!E497="Juvenil 48kg",2,IF(Atletas!E497="Juvenil 52kg",3,IF(Atletas!E497="Juvenil 56kg",4,IF(Atletas!E497="Juvenil 60kg",5,IF(Atletas!E497="Juvenil 65kg",6,IF(Atletas!E497="Juvenil 70kg",7,IF(Atletas!E497="Juvenil 75kg",8,IF(Atletas!E497="Juvenil 82kg",9,IF(Atletas!E497="Juvenil 90kg",10,IF(Atletas!E497="Juvenil 100kg",11,IF(Atletas!E497="Adulto 48kg",12,IF(Atletas!E497="Adulto 52kg",13,IF(Atletas!E497="Adulto 56kg",14,IF(Atletas!E497="Adulto 60kg",15,IF(Atletas!E497="Adulto 65kg",16,IF(Atletas!E497="Adulto 70kg",17,IF(Atletas!E497="Adulto 75kg",18,IF(Atletas!E497="Adulto 82kg",19,IF(Atletas!E497="Adulto 90kg",20,IF(Atletas!E497="Adulto 100kg",21,IF(Atletas!E497="Adulto +100kg",22,""))))))))))))))))))))))))</f>
        <v/>
      </c>
      <c r="AX506" s="6" t="str">
        <f>IF(Atletas!F497="","",IF(Atletas!B497="Feminino",100,IF(Atletas!B497="Masculino",200,""))+(IF(Atletas!F497="Adulto 48kg",1,IF(Atletas!F497="Adulto 56kg",2,IF(Atletas!F497="Adulto 65kg",3,IF(Atletas!F497="Adulto 75kg",4,IF(Atletas!F497="Adulto +75kg",5,IF(Atletas!F497="Adulto 52kg",6,IF(Atletas!F497="Adulto 60kg",7,IF(Atletas!F497="Adulto 70kg",8,IF(Atletas!F497="Adulto 80kg",9,IF(Atletas!F497="Adulto 90kg",10,IF(Atletas!F497="Adulto +90kg",11,"")))))))))))))</f>
        <v/>
      </c>
      <c r="BC506" s="6" t="str">
        <f>IF(Atletas!G497="","",IF(Atletas!B497="Feminino",10,IF(Atletas!B497="Masculino",20,""))+(IF(Atletas!G497="Baduanjin A",1,IF(Atletas!G497="Baduanjin B",2))))</f>
        <v/>
      </c>
      <c r="BF506" s="52" t="str">
        <f>IF(Atletas!H497="","",IF(Atletas!B497="Feminino",100,IF(Atletas!B497="Masculino",200,""))+(IF(Atletas!H497="Changquan Mirim",1,IF(Atletas!H497="Nanquan Mirim",2,IF(Atletas!H497="Taijiquan Mirim",3,IF(Atletas!H497="Changquan Grupo C",4,IF(Atletas!H497="Nanquan Grupo C",5,IF(Atletas!H497="Taijiquan Grupo C",6,IF(Atletas!H497="Changquan Grupo B",7,IF(Atletas!H497="Nanquan Grupo B",8,IF(Atletas!H497="Taijiquan Grupo B",9,IF(Atletas!H497="Changquan Grupo A",10,IF(Atletas!H497="Nanquan Grupo A",11,IF(Atletas!H497="Taijiquan Grupo A",12,IF(Atletas!H497="Changquan Opcional",13,IF(Atletas!H497="Nanquan Opcional",14,IF(Atletas!H497="Taijiquan Opcional",15,IF(Atletas!H497="Changquan Adulto",16,IF(Atletas!H497="Nanquan Adulto",17,IF(Atletas!H497="Taijiquan Adulto",18,""))))))))))))))))))))</f>
        <v/>
      </c>
      <c r="BG506" s="52" t="str">
        <f>IF(Atletas!I497="","",IF(Atletas!B497="Feminino",100,IF(Atletas!B497="Masculino",200,""))+(IF(Atletas!I497="Daoshu Mirim",19,IF(Atletas!I497="Jianshu Mirim",20,IF(Atletas!I497="Nandao Mirim",21,IF(Atletas!I497="Taijijian Mirim",22,IF(Atletas!I497="Daoshu Grupo C",23,IF(Atletas!I497="Jianshu Grupo C",24,IF(Atletas!I497="Nandao Grupo C",25,IF(Atletas!I497="Taijijian Grupo C",26,IF(Atletas!I497="Daoshu Grupo B",27,IF(Atletas!I497="Jianshu Grupo B",28,IF(Atletas!I497="Nandao Grupo B",29,IF(Atletas!I497="Taijijian Grupo B",30,IF(Atletas!I497="Daoshu Grupo A",31,IF(Atletas!I497="Jianshu Grupo A",32,IF(Atletas!I497="Nandao Grupo A",33,IF(Atletas!I497="Taijijian Grupo A",34,IF(Atletas!I497="Daoshu Opcional",35,IF(Atletas!I497="Jianshu Opcional",36,IF(Atletas!I497="Nandao Opcional",37,IF(Atletas!I497="Taijijian Opcional",38,IF(Atletas!I497="Daoshu Adulto",39,IF(Atletas!I497="Jianshu Adulto",40,IF(Atletas!I497="Nandao Adulto",41,IF(Atletas!I497="Taijijian Adulto",42,""))))))))))))))))))))))))))</f>
        <v/>
      </c>
      <c r="BH506" s="52" t="str">
        <f>IF(Atletas!J497="","",IF(Atletas!B497="Feminino",100,IF(Atletas!B497="Masculino",200,""))+(IF(Atletas!J497="Gunshu Mirim",43,IF(Atletas!J497="Qiangshu Mirim",44,IF(Atletas!J497="Nangun Mirim",45,IF(Atletas!J497="Gunshu Grupo C",46,IF(Atletas!J497="Qiangshu Grupo C",47,IF(Atletas!J497="Nangun Grupo C",48,IF(Atletas!J497="Gunshu Grupo B",49,IF(Atletas!J497="Qiangshu Grupo B",50,IF(Atletas!J497="Nangun Grupo B",51,IF(Atletas!J497="Gunshu Grupo A",52,IF(Atletas!J497="Qiangshu Grupo A",53,IF(Atletas!J497="Nangun Grupo A",54,IF(Atletas!J497="Gunshu Opcional",55,IF(Atletas!J497="Qiangshu Opcional",56,IF(Atletas!J497="Nangun Opcional",57,IF(Atletas!J497="Gunshu Adulto",58,IF(Atletas!J497="Qiangshu Adulto",59,IF(Atletas!J497="Nangun Adulto",60,IF(Atletas!J497="Taijishan Grupo B",61,IF(Atletas!J497="Taijishan Grupo A",62,""))))))))))))))))))))))</f>
        <v/>
      </c>
      <c r="BM506" s="50" t="str">
        <f>IF(Atletas!K497="","",IF(Atletas!B497="Feminino",100,IF(Atletas!B497="Masculino",200,""))+(IF(Atletas!K497="Equipe 1 Grupo B",1,IF(Atletas!K497="Equipe 2 Grupo B",2,IF(Atletas!K497="Equipe 1 Grupo A",3,IF(Atletas!K497="Equipe 2 Grupo A",4,IF(Atletas!K497="Equipe 1 Adulto",5,IF(Atletas!K497="Equipe 2 Adulto",6,""))))))))</f>
        <v/>
      </c>
      <c r="BR506" s="50" t="str">
        <f>IF(Atletas!L497="","",IF(Atletas!X497&lt;&gt;"",10000,0)+(IF(Atletas!B497="Feminino",1000,IF(Atletas!B497="Masculino",2000,""))+IF(Atletas!L497="Choylayfut A",1,IF(Atletas!L497="Hunggar A",2,IF(Atletas!L497="Wuzuquan A",3,IF(Atletas!L497="Wingchun A",4,IF(Atletas!L497="Outra Mão de Sul A",5,IF(Atletas!L497="Choylayfut B",6,IF(Atletas!L497="Hunggar B",7,IF(Atletas!L497="Wuzuquan B",8,IF(Atletas!L497="Wingchun B",9,IF(Atletas!L497="Outra Mão de Sul B",10,IF(Atletas!L497="Choylayfut C",11,IF(Atletas!L497="Hunggar C",12,IF(Atletas!L497="Wuzuquan C",13,IF(Atletas!L497="Wingchun C",14,IF(Atletas!L497="Outra Mão de Sul C",15,IF(Atletas!L497="Choylayfut D",16,IF(Atletas!L497="Hunggar D",17,IF(Atletas!L497="Wuzuquan D",18,IF(Atletas!L497="Wingchun D",19,IF(Atletas!L497="Outra Mão de Sul D",20,IF(Atletas!L497="Choylayfut E",21,IF(Atletas!L497="Hunggar E",22,IF(Atletas!L497="Wuzuquan E",23,IF(Atletas!L497="Wingchun E",24,IF(Atletas!L497="Outra Mão de Sul E",25,IF(Atletas!L497="Choylayfut F",26,IF(Atletas!L497="Hunggar F",27,IF(Atletas!L497="Wuzuquan F",28,IF(Atletas!L497="Wingchun F",29,IF(Atletas!L497="Outra Mão de Sul F",30,IF(Atletas!L497="Dishuquan A",31,IF(Atletas!L497="Dishuquan B",32,IF(Atletas!L497="Dishuquan C",33,IF(Atletas!L497="Dishuquan D",34,IF(Atletas!L497="Dishuquan E",35,IF(Atletas!L497="Dishuquan F",36,""))))))))))))))))))))))))))))))))))))))</f>
        <v/>
      </c>
      <c r="BS506" s="50" t="str">
        <f>IF(Atletas!M497="","",IF(Atletas!X497&lt;&gt;"",10000,0)+(IF(Atletas!B497="Feminino",1000,IF(Atletas!B497="Masculino",2000,""))+(IF(Atletas!M497="Chaquan A",101,IF(Atletas!M497="Emeiquan A",102,IF(Atletas!M497="Fanziquan A",103,IF(Atletas!M497="Huaquan A",104,IF(Atletas!M497="Hongquan A",105,IF(Atletas!M497="Paoquan A",106,IF(Atletas!M497="Piguaquan A",107,IF(Atletas!M497="Shaolinquan A",108,IF(Atletas!M497="Tanglangquan A",109,IF(Atletas!M497="Yingzhaoquan A",110,IF(Atletas!M497="Tongbeiquan A",111,IF(Atletas!M497="Wudangquan A",112,IF(Atletas!M497="Outros Estilos A",113,IF(Atletas!M497="Chaquan B",114,IF(Atletas!M497="Emeiquan B",115,IF(Atletas!M497="Fanziquan B",116,IF(Atletas!M497="Huaquan B",117,IF(Atletas!M497="Hongquan B",118,IF(Atletas!M497="Paoquan B",119,IF(Atletas!M497="Piguaquan B",120,IF(Atletas!M497="Shaolinquan B",121,IF(Atletas!M497="Tanglangquan B",122,IF(Atletas!M497="Yingzhaoquan B",123,IF(Atletas!M497="Tongbeiquan B",124,IF(Atletas!M497="Wudangquan B",125,IF(Atletas!M497="Outros Estilos B",126,IF(Atletas!M497="Chaquan C",127,IF(Atletas!M497="Emeiquan C",128,IF(Atletas!M497="Fanziquan C",129,IF(Atletas!M497="Huaquan C",130,IF(Atletas!M497="Hongquan C",131,IF(Atletas!M497="Paoquan C",132,IF(Atletas!M497="Piguaquan C",133,IF(Atletas!M497="Shaolinquan C",134,IF(Atletas!M497="Tanglangquan C",135,IF(Atletas!M497="Yingzhaoquan C",136,IF(Atletas!M497="Tongbeiquan C",137,IF(Atletas!M497="Wudangquan C",138,IF(Atletas!M497="Outros Estilos C",139,0))))))))))))))))))))))))))))))))))))))))))</f>
        <v/>
      </c>
      <c r="BT506" s="50" t="str">
        <f>IF(Atletas!M497="","",IF(Atletas!X497&lt;&gt;"",10000,0)+(IF(Atletas!B497="Feminino",1000,IF(Atletas!B497="Masculino",2000,""))+(IF(Atletas!M497="Chaquan D",140,IF(Atletas!M497="Emeiquan D",141,IF(Atletas!M497="Fanziquan D",142,IF(Atletas!M497="Huaquan D",143,IF(Atletas!M497="Hongquan D",144,IF(Atletas!M497="Paoquan D",145,IF(Atletas!M497="Piguaquan D",146,IF(Atletas!M497="Shaolinquan D",147,IF(Atletas!M497="Tanglangquan D",148,IF(Atletas!M497="Yingzhaoquan D",149,IF(Atletas!M497="Tongbeiquan D",150,IF(Atletas!M497="Wudangquan D",151,IF(Atletas!M497="Outros Estilos D",152,IF(Atletas!M497="Chaquan E",153,IF(Atletas!M497="Emeiquan E",154,IF(Atletas!M497="Fanziquan E",155,IF(Atletas!M497="Huaquan E",156,IF(Atletas!M497="Hongquan E",157,IF(Atletas!M497="Paoquan E",158,IF(Atletas!M497="Piguaquan E",159,IF(Atletas!M497="Shaolinquan E",160,IF(Atletas!M497="Tanglangquan E",161,IF(Atletas!M497="Yingzhaoquan E",162,IF(Atletas!M497="Tongbeiquan E",163,IF(Atletas!M497="Wudangquan E",164,IF(Atletas!M497="Outros Estilos E",165,IF(Atletas!M497="Chaquan F",166,IF(Atletas!M497="Emeiquan F",167,IF(Atletas!M497="Fanziquan F",168,IF(Atletas!M497="Huaquan F",169,IF(Atletas!M497="Hongquan F",170,IF(Atletas!M497="Paoquan F",171,IF(Atletas!M497="Piguaquan F",172,IF(Atletas!M497="Shaolinquan F",173,IF(Atletas!M497="Tanglangquan F",174,IF(Atletas!M497="Yingzhaoquan F",175,IF(Atletas!M497="Tongbeiquan F",176,IF(Atletas!M497="Wudangquan F",177,IF(Atletas!M497="Outros Estilos F",178,0))))))))))))))))))))))))))))))))))))))))))</f>
        <v/>
      </c>
      <c r="BU506" s="50" t="str">
        <f>IF(Atletas!N497="","",IF(Atletas!X497&lt;&gt;"",10000,0)+(IF(Atletas!B497="Feminino",1000,IF(Atletas!B497="Masculino",2000,""))+(IF(Atletas!N497="Ditangquan A",201,IF(Atletas!N497="Houquan A",202,IF(Atletas!N497="Zuiquan A",203,IF(Atletas!N497="Ditangquan B",204,IF(Atletas!N497="Houquan B",205,IF(Atletas!N497="Zuiquan B",206,IF(Atletas!N497="Ditangquan C",207,IF(Atletas!N497="Houquan C",208,IF(Atletas!N497="Zuiquan C",209,IF(Atletas!N497="Ditangquan D",210,IF(Atletas!N497="Houquan D",211,IF(Atletas!N497="Zuiquan D",212,IF(Atletas!N497="Ditangquan E",213,IF(Atletas!N497="Houquan E",214,IF(Atletas!N497="Zuiquan E",215,IF(Atletas!N497="Ditangquan F",216,IF(Atletas!N497="Houquan F",217,IF(Atletas!N497="Zuiquan F",218,"")))))))))))))))))))))</f>
        <v/>
      </c>
      <c r="BV506" s="50" t="str">
        <f>IF(Atletas!O497="","",IF(Atletas!X497&lt;&gt;"",10000,0)+IF(Atletas!B497="Feminino",1000,IF(Atletas!B497="Masculino",2000,""))+IF(Atletas!O497="Yang A",301,IF(Atletas!O497="Chen A",302,IF(Atletas!O497="Sun A",303,IF(Atletas!O497="Wu A",304,IF(Atletas!O497="Wu-Hao A",305,IF(Atletas!O497="Outro Taijiquan A",306,IF(Atletas!O497="Yang B",307,IF(Atletas!O497="Chen B",308,IF(Atletas!O497="Sun B",309,IF(Atletas!O497="Wu B",310,IF(Atletas!O497="Wu-Hao B",311,IF(Atletas!O497="Outro Taijiquan B",312,IF(Atletas!O497="Yang C",313,IF(Atletas!O497="Chen C",314,IF(Atletas!O497="Sun C",315,IF(Atletas!O497="Wu C",316,IF(Atletas!O497="Wu-Hao C",317,IF(Atletas!O497="Outro Taijiquan C",318,IF(Atletas!O497="Yang D",319,IF(Atletas!O497="Chen D",320,IF(Atletas!O497="Sun D",321,IF(Atletas!O497="Wu D",322,IF(Atletas!O497="Wu-Hao D",323,IF(Atletas!O497="Outro Taijiquan D",324,IF(Atletas!O497="Yang E",325,IF(Atletas!O497="Chen E",326,IF(Atletas!O497="Sun E",327,IF(Atletas!O497="Wu E",328,IF(Atletas!O497="Wu-Hao E",329,IF(Atletas!O497="Outro Taijiquan E",330,IF(Atletas!O497="Yang F",331,IF(Atletas!O497="Chen F",332,IF(Atletas!O497="Sun F",333,IF(Atletas!O497="Wu F",334,IF(Atletas!O497="Wu-Hao F",335,IF(Atletas!O497="Outro Taijiquan F",336,"")))))))))))))))))))))))))))))))))))))</f>
        <v/>
      </c>
      <c r="BW506" s="50" t="str">
        <f>IF(Atletas!P497="","",IF(Atletas!X497&lt;&gt;"",10000,0)+IF(Atletas!B497="Feminino",1000,IF(Atletas!B497="Masculino",2000,""))+IF(OR(Atletas!P497="Yang 26 A",Atletas!P497="Yang 40 A"),401,IF(OR(Atletas!P497="Chen 25 A",Atletas!P497="Chen 36 A",Atletas!P497="Chen 56 A"),402,IF(Atletas!P497="Sun 73 A",403,IF(Atletas!P497="Wu 45 A",404,IF(Atletas!P497="Wu-Hao 46 A",405,IF(OR(Atletas!P497="Taijiquan 16 A",Atletas!P497="Taijiquan 24 A",Atletas!P497="Taijiquan 32 A",Atletas!P497="Taijiquan 42 A"),406,IF(OR(Atletas!P497="Yang 26 B",Atletas!P497="Yang 40 B"),407,IF(OR(Atletas!P497="Chen 25 B",Atletas!P497="Chen 36 B",Atletas!P497="Chen 56 B"),408,IF(Atletas!P497="Sun 73 B",409,IF(Atletas!P497="Wu 45 B",410,IF(Atletas!P497="Wu-Hao 46 B",411,IF(OR(Atletas!P497="Taijiquan 16 B",Atletas!P497="Taijiquan 24 B",Atletas!P497="Taijiquan 32 B",Atletas!P497="Taijiquan 42 B"),412,IF(OR(Atletas!P497="Yang 26 C",Atletas!P497="Yang 40 C"),413,IF(OR(Atletas!P497="Chen 25 C",Atletas!P497="Chen 36 C",Atletas!P497="Chen 56 C"),414,IF(Atletas!P497="Sun 73 C",415,IF(Atletas!P497="Wu 45 C",416,IF(Atletas!P497="Wu-Hao 46 C",417,IF(OR(Atletas!P497="Taijiquan 16 C",Atletas!P497="Taijiquan 24 C",Atletas!P497="Taijiquan 32 C",Atletas!P497="Taijiquan 42 C"),418,0)))))))))))))))))))</f>
        <v/>
      </c>
      <c r="BX506" s="50" t="str">
        <f>IF(Atletas!P497="","",IF(Atletas!X497&lt;&gt;"",10000,0)+IF(Atletas!B497="Feminino",1000,IF(Atletas!B497="Masculino",2000,""))+IF(OR(Atletas!P497="Yang 26 D",Atletas!P497="Yang 40 D"),419,IF(OR(Atletas!P497="Chen 25 D",Atletas!P497="Chen 36 D",Atletas!P497="Chen 56 D"),420,IF(Atletas!P497="Sun 73 D",421,IF(Atletas!P497="Wu 45 D",422,IF(Atletas!P497="Wu-Hao 46 D",423,IF(OR(Atletas!P497="Taijiquan 16 D",Atletas!P497="Taijiquan 24 D",Atletas!P497="Taijiquan 32 D",Atletas!P497="Taijiquan 42 D"),424,IF(OR(Atletas!P497="Yang 26 E",Atletas!P497="Yang 40 E"),425,IF(OR(Atletas!P497="Chen 25 E",Atletas!P497="Chen 36 E",Atletas!P497="Chen 56 E"),426,IF(Atletas!P497="Sun 73 E",427,IF(Atletas!P497="Wu 45 E",428,IF(Atletas!P497="Wu-Hao 46 E",429,IF(OR(Atletas!P497="Taijiquan 16 E",Atletas!P497="Taijiquan 24 E",Atletas!P497="Taijiquan 32 E",Atletas!P497="Taijiquan 42 E"),430,IF(OR(Atletas!P497="Yang 26 F",Atletas!P497="Yang 40 F"),431,IF(OR(Atletas!P497="Chen 25 F",Atletas!P497="Chen 36 F",Atletas!P497="Chen 56 F"),432,IF(Atletas!P497="Sun 73 F",433,IF(Atletas!P497="Wu 45 F",434,IF(Atletas!P497="Wu-Hao 46 F",435,IF(OR(Atletas!P497="Taijiquan 16 F",Atletas!P497="Taijiquan 24 F",Atletas!P497="Taijiquan 32 F",Atletas!P497="Taijiquan 42 F"),436,0)))))))))))))))))))</f>
        <v/>
      </c>
      <c r="BY506" s="50" t="str">
        <f>IF(Atletas!Q497="","",IF(Atletas!X497&lt;&gt;"",10000,0)+IF(Atletas!B497="Feminino",1000,IF(Atletas!B497="Masculino",2000,""))+IF(Atletas!Q497="Xingyiquan A",501,IF(Atletas!Q497="Baguazhang A",502,IF(Atletas!Q497="Outro Estilo Interno A",503,IF(Atletas!Q497="Xingyiquan B",504,IF(Atletas!Q497="Baguazhang B",505,IF(Atletas!Q497="Outro Estilo Interno B",506,IF(Atletas!Q497="Xingyiquan C",507,IF(Atletas!Q497="Baguazhang C",508,IF(Atletas!Q497="Outro Estilo Interno C",509,IF(Atletas!Q497="Xingyiquan D",510,IF(Atletas!Q497="Baguazhang D",511,IF(Atletas!Q497="Outro Estilo Interno D",512,IF(Atletas!Q497="Xingyiquan E",513,IF(Atletas!Q497="Baguazhang E",514,IF(Atletas!Q497="Outro Estilo Interno E",515,IF(Atletas!Q497="Xingyiquan F",516,IF(Atletas!Q497="Baguazhang F",517,IF(Atletas!Q497="Outro Estilo Interno F",518, "")))))))))))))))))))</f>
        <v/>
      </c>
      <c r="BZ506" s="50" t="str">
        <f>IF(Atletas!R497="","",IF(Atletas!X497&lt;&gt;"",10000,0)+IF(Atletas!B497="Feminino",1000,IF(Atletas!B497="Masculino",2000,""))+IF(Atletas!R497="Dao A",601,IF(Atletas!R497="Jian A",602,IF(Atletas!R497="Bishou A",603,IF(Atletas!R497="Shanzi A",604,IF(Atletas!R497="Outra Arma Curta A",605,IF(Atletas!R497="Dao B",606,IF(Atletas!R497="Jian B",607,IF(Atletas!R497="Bishou B",608,IF(Atletas!R497="Shanzi B",609,IF(Atletas!R497="Outra Arma Curta B",610,IF(Atletas!R497="Dao C",611,IF(Atletas!R497="Jian C",612,IF(Atletas!R497="Bishou C",613,IF(Atletas!R497="Shanzi C",614,IF(Atletas!R497="Outra Arma Curta C",615,IF(Atletas!R497="Dao D",616,IF(Atletas!R497="Jian D",617,IF(Atletas!R497="Bishou D",618,IF(Atletas!R497="Shanzi D",619,IF(Atletas!R497="Outra Arma Curta D",620,IF(Atletas!R497="Dao E",621,IF(Atletas!R497="Jian E",622,IF(Atletas!R497="Bishou E",623,IF(Atletas!R497="Shanzi E",624,IF(Atletas!R497="Outra Arma Curta E",625,IF(Atletas!R497="Dao F",626,IF(Atletas!R497="Jian F",627,IF(Atletas!R497="Bishou F",628,IF(Atletas!R497="Shanzi F",629,IF(Atletas!R497="Outra Arma Curta F",630, "")))))))))))))))))))))))))))))))</f>
        <v/>
      </c>
      <c r="CA506" s="50" t="str">
        <f>IF(Atletas!S497="","",IF(Atletas!X497&lt;&gt;"",10000,0)+IF(Atletas!B497="Feminino",1000,IF(Atletas!B497="Masculino",2000,""))+IF(Atletas!S497="Gun A",701,IF(Atletas!S497="Qiang A",702,IF(Atletas!S497="Pudao / Guandao A",703,IF(Atletas!S497="Outra Arma Longa A",704,IF(Atletas!S497="Gun B",705,IF(Atletas!S497="Qiang B",706,IF(Atletas!S497="Pudao / Guandao B",707,IF(Atletas!S497="Outra Arma Longa B",708,IF(Atletas!S497="Gun C",709,IF(Atletas!S497="Qiang C",710,IF(Atletas!S497="Pudao / Guandao C",711,IF(Atletas!S497="Outra Arma Longa C",712,IF(Atletas!S497="Gun D",713,IF(Atletas!S497="Qiang D",714,IF(Atletas!S497="Pudao / Guandao D",715,IF(Atletas!S497="Outra Arma Longa D",716,IF(Atletas!S497="Gun E",717,IF(Atletas!S497="Qiang E",718,IF(Atletas!S497="Pudao / Guandao E",719,IF(Atletas!S497="Outra Arma Longa E",720,IF(Atletas!S497="Gun F",721,IF(Atletas!S497="Qiang F",722,IF(Atletas!S497="Pudao / Guandao F",723,IF(Atletas!S497="Outra Arma Longa F",724,"")))))))))))))))))))))))))</f>
        <v/>
      </c>
      <c r="CB506" s="50" t="str">
        <f>IF(Atletas!T497="","",IF(Atletas!X497&lt;&gt;"",10000,0)+IF(Atletas!B497="Feminino",1000,IF(Atletas!B497="Masculino",2000,""))+IF(Atletas!T497="Outra Arma Dupla A",801,IF(Atletas!T497="Arma Maleável A",802,IF(Atletas!T497="Outra Arma Dupla B",803,IF(Atletas!T497="Arma Maleável B",804,IF(Atletas!T497="Outra Arma Dupla C",805,IF(Atletas!T497="Arma Maleável C",806,IF(Atletas!T497="Outra Arma Dupla D",807,IF(Atletas!T497="Arma Maleável D",808,IF(Atletas!T497="Outra Arma Dupla E",809,IF(Atletas!T497="Arma Maleável E",810,IF(Atletas!T497="Outra Arma Dupla F",811,IF(Atletas!T497="Arma Maleável F",812,IF(Atletas!T497="Shuangdao A",813,IF(Atletas!T497="Shuangdao B",814,IF(Atletas!T497="Shuangdao C",815,IF(Atletas!T497="Shuangdao D",816,IF(Atletas!T497="Shuangdao E",817,IF(Atletas!T497="Shuangdao F",818,"")))))))))))))))))))</f>
        <v/>
      </c>
      <c r="CC506" s="50" t="str">
        <f>IF(Atletas!U497="","",IF(Atletas!X497&lt;&gt;"",10000,0)+IF(Atletas!B497="Feminino",1000,IF(Atletas!B497="Masculino",2000,""))+IF(OR(Atletas!U497="Taijijian Yang A",Atletas!U497="Taijijian Yang Standard A"),901,IF(OR(Atletas!U497="Taijijian Chen A", Atletas!U497="Taijijian Chen Standard A"),902,IF(Atletas!U497="Taijijian Sun A",903,IF(Atletas!U497="Taijijian Wu A",904,IF(Atletas!U497="Taijijian Wu-Hao A",905,IF(OR(Atletas!U497="Taijijian 32 A",Atletas!U497="Taijijian 42 A"),906,IF(OR(Atletas!U497="Taijijian Yang B",Atletas!U497="Taijijian Yang Standard B"),907,IF(OR(Atletas!U497="Taijijian Chen B", Atletas!U497="Taijijian Chen Standard B"),908,IF(Atletas!U497="Taijijian Sun B",909,IF(Atletas!U497="Taijijian Wu B",910,IF(Atletas!U497="Taijijian Wu-Hao B",911,IF(OR(Atletas!U497="Taijijian 32 B",Atletas!U497="Taijijian 42 B"),912,IF(OR(Atletas!U497="Taijijian Yang C",Atletas!U497="Taijijian Yang Standard C"),913,IF(OR(Atletas!U497="Taijijian Chen C", Atletas!U497="Taijijian Chen Standard C"),914,IF(Atletas!U497="Taijijian Sun C",915,IF(Atletas!U497="Taijijian Wu C",916,IF(Atletas!U497="Taijijian Wu-Hao C",917,IF(OR(Atletas!U497="Taijijian 32 C",Atletas!U497="Taijijian 42 C"),918,IF(OR(Atletas!U497="Taijijian Yang D",Atletas!U497="Taijijian Yang Standard D"),919,IF(OR(Atletas!U497="Taijijian Chen D", Atletas!U497="Taijijian Chen Standard D"),920,IF(Atletas!U497="Taijijian Sun D",921,IF(Atletas!U497="Taijijian Wu D",922,IF(Atletas!U497="Taijijian Wu-Hao D",923,IF(OR(Atletas!U497="Taijijian 32 D",Atletas!U497="Taijijian 42 D"),924,IF(OR(Atletas!U497="Taijijian Yang E",Atletas!U497="Taijijian Yang Standard E"),925,IF(OR(Atletas!U497="Taijijian Chen E", Atletas!U497="Taijijian Chen Standard E"),926,IF(Atletas!U497="Taijijian Sun E",927,IF(Atletas!U497="Taijijian Wu E",928,IF(Atletas!U497="Taijijian Wu-Hao E",929,IF(OR(Atletas!U497="Taijijian 32 E",Atletas!U497="Taijijian 42 E"),930,IF(OR(Atletas!U497="Taijijian Yang F",Atletas!U497="Taijijian Yang Standard F"),931,IF(OR(Atletas!U497="Taijijian Chen F", Atletas!U497="Taijijian Chen Standard F"),932,IF(Atletas!U497="Taijijian Sun F",933,IF(Atletas!U497="Taijijian Wu F",934,IF(Atletas!U497="Taijijian Wu-Hao F",935,IF(OR(Atletas!U497="Taijijian 32 F",Atletas!U497="Taijijian 42 F"),936,"")))))))))))))))))))))))))))))))))))))</f>
        <v/>
      </c>
      <c r="CD506" s="50" t="str">
        <f>IF(Atletas!V497="","",IF(Atletas!X497&lt;&gt;"",10000,0)+IF(Atletas!B497="Feminino",1000,IF(Atletas!B497="Masculino",2000,""))+IF(Atletas!V497="Taijidao A",937,IF(Atletas!V497="TaijiShanzi A",938,IF(Atletas!V497="Taijiqiang A",939,IF(Atletas!V497="Bagua de Arma A",940,IF(Atletas!V497="Xingyi de Arma A",941,IF(Atletas!V497="Taijidao B",942,IF(Atletas!V497="TaijiShanzi B",943,IF(Atletas!V497="Taijiqiang B",944,IF(Atletas!V497="Bagua de Arma B",945,IF(Atletas!V497="Xingyi de Arma B",946,IF(Atletas!V497="Taijidao C",947,IF(Atletas!V497="TaijiShanzi C",948,IF(Atletas!V497="Taijiqiang C",949,IF(Atletas!V497="Bagua de Arma C",950,IF(Atletas!V497="Xingyi de Arma C",951,IF(Atletas!V497="Taijidao D",952,IF(Atletas!V497="TaijiShanzi D",953,IF(Atletas!V497="Taijiqiang D",954,IF(Atletas!V497="Bagua de Arma D",955,IF(Atletas!V497="Xingyi de Arma D",956,IF(Atletas!V497="Taijidao E",957,IF(Atletas!V497="TaijiShanzi E",958,IF(Atletas!V497="Taijiqiang E",959,IF(Atletas!V497="Bagua de Arma E",960,IF(Atletas!V497="Xingyi de Arma E",961,IF(Atletas!V497="Taijidao F",962,IF(Atletas!V497="TaijiShanzi F",963,IF(Atletas!V497="Taijiqiang F",964,IF(Atletas!V497="Bagua de Arma F",965,IF(Atletas!V497="Xingyi de Arma F",966,"")))))))))))))))))))))))))))))))</f>
        <v/>
      </c>
      <c r="CM506" s="50" t="str">
        <f xml:space="preserve"> IF(Atletas!W497="","",IF(Atletas!W497="Duilian de Mãos BC - Equipe 1",1,IF(Atletas!W497="Duilian de Mãos BC - Equipe 2",2,IF(Atletas!W497="Duilian de Armas BC - Equipe 1",3,IF(Atletas!W497="Duilian de Armas BC - Equipe 2",4,IF(Atletas!W497="Duilian de Mãos DE - Equipe 1",5,IF(Atletas!W497="Duilian de Mãos DE - Equipe 2",6,IF(Atletas!W497="Duilian de Armas DE - Equipe 1",7,IF(Atletas!W497="Duilian de Armas DE - Equipe 2",8,IF(Atletas!W497="Duilian de Tuishou - Equipe 1",9,IF(Atletas!W497="Duilian de Tuishou - Equipe 2",10,IF(Atletas!W497="Grupo Externo ABC - Equipe 1",11,IF(Atletas!W497="Grupo Externo ABC - Equipe 2",12,IF(Atletas!W497="Grupo Interno ABC - Equipe 1",13,IF(Atletas!W497="Grupo Interno ABC - Equipe 2",14,IF(Atletas!W497="Grupo Externo DEF - Equipe 1",15,IF(Atletas!W497="Grupo Externo DEF - Equipe 2",16,IF(Atletas!W497="Grupo Interno DEF - Equipe 1",17,IF(Atletas!W497="Grupo Interno DEF - Equipe 2",18,"")))))))))))))))))))</f>
        <v/>
      </c>
    </row>
    <row r="507" spans="40:91">
      <c r="AN507" s="52" t="str">
        <f>IF(Atletas!D498="","",IF(Atletas!B498="Feminino",100,IF(Atletas!B498="Masculino",200,""))+(IF(Atletas!D498="Kids 30kg",1,IF(Atletas!D498="Kids 32kg",2, IF(Atletas!D498="Kids 34kg",3,IF(Atletas!D498="Kids 36kg",4,IF(Atletas!D498="Kids 39kg",5,IF(Atletas!D498="Kids 42kg",6,IF(Atletas!D498="Kids 45kg",7, IF(Atletas!D498="Infantil 39kg",8,IF(Atletas!D498="Infantil 42kg",9,IF(Atletas!D498="Infantil 45kg",10,IF(Atletas!D498="Infantil 48kg",11,IF(Atletas!D498="Infantil 52kg",12,IF(Atletas!D498="Infantil 56kg",13,IF(Atletas!D498="Infantil 60kg",14,IF(Atletas!D498="Juvenil 48kg",15,IF(Atletas!D498="Juvenil 52kg",16,IF(Atletas!D498="Juvenil 56kg",17,IF(Atletas!D498="Juvenil 60kg",18,IF(Atletas!D498="Juvenil 65kg",19,IF(Atletas!D498="Juvenil 70kg",20,IF(Atletas!D498="Juvenil 75kg",21,IF(Atletas!D498="Juvenil 80kg",22, IF(Atletas!D498="Juvenil 85kg",23,IF(Atletas!D498="Adulto 48kg",24,IF(Atletas!D498="Adulto 52kg",25,IF(Atletas!D498="Adulto 56kg",26,IF(Atletas!D498="Adulto 60kg",27,IF(Atletas!D498="Adulto 65kg",28,IF(Atletas!D498="Adulto 70kg",29,IF(Atletas!D498="Adulto 75kg",30,IF(Atletas!D498="Adulto 80kg",31,IF(Atletas!D498="Adulto 85kg",32,IF(Atletas!D498="Adulto 90kg",33,IF(Atletas!D498="Adulto 100kg",34, IF(Atletas!D498="Adulto +100kg",35,"")))))))))))))))))))))))))))))))))))))</f>
        <v/>
      </c>
      <c r="AS507" s="6" t="str">
        <f>IF(Atletas!E498="","",IF(Atletas!B498="Feminino",100,IF(Atletas!B498="Masculino",200,""))+(IF(Atletas!E498="Juvenil 44kg",1,IF(Atletas!E498="Juvenil 48kg",2,IF(Atletas!E498="Juvenil 52kg",3,IF(Atletas!E498="Juvenil 56kg",4,IF(Atletas!E498="Juvenil 60kg",5,IF(Atletas!E498="Juvenil 65kg",6,IF(Atletas!E498="Juvenil 70kg",7,IF(Atletas!E498="Juvenil 75kg",8,IF(Atletas!E498="Juvenil 82kg",9,IF(Atletas!E498="Juvenil 90kg",10,IF(Atletas!E498="Juvenil 100kg",11,IF(Atletas!E498="Adulto 48kg",12,IF(Atletas!E498="Adulto 52kg",13,IF(Atletas!E498="Adulto 56kg",14,IF(Atletas!E498="Adulto 60kg",15,IF(Atletas!E498="Adulto 65kg",16,IF(Atletas!E498="Adulto 70kg",17,IF(Atletas!E498="Adulto 75kg",18,IF(Atletas!E498="Adulto 82kg",19,IF(Atletas!E498="Adulto 90kg",20,IF(Atletas!E498="Adulto 100kg",21,IF(Atletas!E498="Adulto +100kg",22,""))))))))))))))))))))))))</f>
        <v/>
      </c>
      <c r="AX507" s="6" t="str">
        <f>IF(Atletas!F498="","",IF(Atletas!B498="Feminino",100,IF(Atletas!B498="Masculino",200,""))+(IF(Atletas!F498="Adulto 48kg",1,IF(Atletas!F498="Adulto 56kg",2,IF(Atletas!F498="Adulto 65kg",3,IF(Atletas!F498="Adulto 75kg",4,IF(Atletas!F498="Adulto +75kg",5,IF(Atletas!F498="Adulto 52kg",6,IF(Atletas!F498="Adulto 60kg",7,IF(Atletas!F498="Adulto 70kg",8,IF(Atletas!F498="Adulto 80kg",9,IF(Atletas!F498="Adulto 90kg",10,IF(Atletas!F498="Adulto +90kg",11,"")))))))))))))</f>
        <v/>
      </c>
      <c r="BC507" s="6" t="str">
        <f>IF(Atletas!G498="","",IF(Atletas!B498="Feminino",10,IF(Atletas!B498="Masculino",20,""))+(IF(Atletas!G498="Baduanjin A",1,IF(Atletas!G498="Baduanjin B",2))))</f>
        <v/>
      </c>
      <c r="BF507" s="52" t="str">
        <f>IF(Atletas!H498="","",IF(Atletas!B498="Feminino",100,IF(Atletas!B498="Masculino",200,""))+(IF(Atletas!H498="Changquan Mirim",1,IF(Atletas!H498="Nanquan Mirim",2,IF(Atletas!H498="Taijiquan Mirim",3,IF(Atletas!H498="Changquan Grupo C",4,IF(Atletas!H498="Nanquan Grupo C",5,IF(Atletas!H498="Taijiquan Grupo C",6,IF(Atletas!H498="Changquan Grupo B",7,IF(Atletas!H498="Nanquan Grupo B",8,IF(Atletas!H498="Taijiquan Grupo B",9,IF(Atletas!H498="Changquan Grupo A",10,IF(Atletas!H498="Nanquan Grupo A",11,IF(Atletas!H498="Taijiquan Grupo A",12,IF(Atletas!H498="Changquan Opcional",13,IF(Atletas!H498="Nanquan Opcional",14,IF(Atletas!H498="Taijiquan Opcional",15,IF(Atletas!H498="Changquan Adulto",16,IF(Atletas!H498="Nanquan Adulto",17,IF(Atletas!H498="Taijiquan Adulto",18,""))))))))))))))))))))</f>
        <v/>
      </c>
      <c r="BG507" s="52" t="str">
        <f>IF(Atletas!I498="","",IF(Atletas!B498="Feminino",100,IF(Atletas!B498="Masculino",200,""))+(IF(Atletas!I498="Daoshu Mirim",19,IF(Atletas!I498="Jianshu Mirim",20,IF(Atletas!I498="Nandao Mirim",21,IF(Atletas!I498="Taijijian Mirim",22,IF(Atletas!I498="Daoshu Grupo C",23,IF(Atletas!I498="Jianshu Grupo C",24,IF(Atletas!I498="Nandao Grupo C",25,IF(Atletas!I498="Taijijian Grupo C",26,IF(Atletas!I498="Daoshu Grupo B",27,IF(Atletas!I498="Jianshu Grupo B",28,IF(Atletas!I498="Nandao Grupo B",29,IF(Atletas!I498="Taijijian Grupo B",30,IF(Atletas!I498="Daoshu Grupo A",31,IF(Atletas!I498="Jianshu Grupo A",32,IF(Atletas!I498="Nandao Grupo A",33,IF(Atletas!I498="Taijijian Grupo A",34,IF(Atletas!I498="Daoshu Opcional",35,IF(Atletas!I498="Jianshu Opcional",36,IF(Atletas!I498="Nandao Opcional",37,IF(Atletas!I498="Taijijian Opcional",38,IF(Atletas!I498="Daoshu Adulto",39,IF(Atletas!I498="Jianshu Adulto",40,IF(Atletas!I498="Nandao Adulto",41,IF(Atletas!I498="Taijijian Adulto",42,""))))))))))))))))))))))))))</f>
        <v/>
      </c>
      <c r="BH507" s="52" t="str">
        <f>IF(Atletas!J498="","",IF(Atletas!B498="Feminino",100,IF(Atletas!B498="Masculino",200,""))+(IF(Atletas!J498="Gunshu Mirim",43,IF(Atletas!J498="Qiangshu Mirim",44,IF(Atletas!J498="Nangun Mirim",45,IF(Atletas!J498="Gunshu Grupo C",46,IF(Atletas!J498="Qiangshu Grupo C",47,IF(Atletas!J498="Nangun Grupo C",48,IF(Atletas!J498="Gunshu Grupo B",49,IF(Atletas!J498="Qiangshu Grupo B",50,IF(Atletas!J498="Nangun Grupo B",51,IF(Atletas!J498="Gunshu Grupo A",52,IF(Atletas!J498="Qiangshu Grupo A",53,IF(Atletas!J498="Nangun Grupo A",54,IF(Atletas!J498="Gunshu Opcional",55,IF(Atletas!J498="Qiangshu Opcional",56,IF(Atletas!J498="Nangun Opcional",57,IF(Atletas!J498="Gunshu Adulto",58,IF(Atletas!J498="Qiangshu Adulto",59,IF(Atletas!J498="Nangun Adulto",60,IF(Atletas!J498="Taijishan Grupo B",61,IF(Atletas!J498="Taijishan Grupo A",62,""))))))))))))))))))))))</f>
        <v/>
      </c>
      <c r="BM507" s="50" t="str">
        <f>IF(Atletas!K498="","",IF(Atletas!B498="Feminino",100,IF(Atletas!B498="Masculino",200,""))+(IF(Atletas!K498="Equipe 1 Grupo B",1,IF(Atletas!K498="Equipe 2 Grupo B",2,IF(Atletas!K498="Equipe 1 Grupo A",3,IF(Atletas!K498="Equipe 2 Grupo A",4,IF(Atletas!K498="Equipe 1 Adulto",5,IF(Atletas!K498="Equipe 2 Adulto",6,""))))))))</f>
        <v/>
      </c>
      <c r="BR507" s="50" t="str">
        <f>IF(Atletas!L498="","",IF(Atletas!X498&lt;&gt;"",10000,0)+(IF(Atletas!B498="Feminino",1000,IF(Atletas!B498="Masculino",2000,""))+IF(Atletas!L498="Choylayfut A",1,IF(Atletas!L498="Hunggar A",2,IF(Atletas!L498="Wuzuquan A",3,IF(Atletas!L498="Wingchun A",4,IF(Atletas!L498="Outra Mão de Sul A",5,IF(Atletas!L498="Choylayfut B",6,IF(Atletas!L498="Hunggar B",7,IF(Atletas!L498="Wuzuquan B",8,IF(Atletas!L498="Wingchun B",9,IF(Atletas!L498="Outra Mão de Sul B",10,IF(Atletas!L498="Choylayfut C",11,IF(Atletas!L498="Hunggar C",12,IF(Atletas!L498="Wuzuquan C",13,IF(Atletas!L498="Wingchun C",14,IF(Atletas!L498="Outra Mão de Sul C",15,IF(Atletas!L498="Choylayfut D",16,IF(Atletas!L498="Hunggar D",17,IF(Atletas!L498="Wuzuquan D",18,IF(Atletas!L498="Wingchun D",19,IF(Atletas!L498="Outra Mão de Sul D",20,IF(Atletas!L498="Choylayfut E",21,IF(Atletas!L498="Hunggar E",22,IF(Atletas!L498="Wuzuquan E",23,IF(Atletas!L498="Wingchun E",24,IF(Atletas!L498="Outra Mão de Sul E",25,IF(Atletas!L498="Choylayfut F",26,IF(Atletas!L498="Hunggar F",27,IF(Atletas!L498="Wuzuquan F",28,IF(Atletas!L498="Wingchun F",29,IF(Atletas!L498="Outra Mão de Sul F",30,IF(Atletas!L498="Dishuquan A",31,IF(Atletas!L498="Dishuquan B",32,IF(Atletas!L498="Dishuquan C",33,IF(Atletas!L498="Dishuquan D",34,IF(Atletas!L498="Dishuquan E",35,IF(Atletas!L498="Dishuquan F",36,""))))))))))))))))))))))))))))))))))))))</f>
        <v/>
      </c>
      <c r="BS507" s="50" t="str">
        <f>IF(Atletas!M498="","",IF(Atletas!X498&lt;&gt;"",10000,0)+(IF(Atletas!B498="Feminino",1000,IF(Atletas!B498="Masculino",2000,""))+(IF(Atletas!M498="Chaquan A",101,IF(Atletas!M498="Emeiquan A",102,IF(Atletas!M498="Fanziquan A",103,IF(Atletas!M498="Huaquan A",104,IF(Atletas!M498="Hongquan A",105,IF(Atletas!M498="Paoquan A",106,IF(Atletas!M498="Piguaquan A",107,IF(Atletas!M498="Shaolinquan A",108,IF(Atletas!M498="Tanglangquan A",109,IF(Atletas!M498="Yingzhaoquan A",110,IF(Atletas!M498="Tongbeiquan A",111,IF(Atletas!M498="Wudangquan A",112,IF(Atletas!M498="Outros Estilos A",113,IF(Atletas!M498="Chaquan B",114,IF(Atletas!M498="Emeiquan B",115,IF(Atletas!M498="Fanziquan B",116,IF(Atletas!M498="Huaquan B",117,IF(Atletas!M498="Hongquan B",118,IF(Atletas!M498="Paoquan B",119,IF(Atletas!M498="Piguaquan B",120,IF(Atletas!M498="Shaolinquan B",121,IF(Atletas!M498="Tanglangquan B",122,IF(Atletas!M498="Yingzhaoquan B",123,IF(Atletas!M498="Tongbeiquan B",124,IF(Atletas!M498="Wudangquan B",125,IF(Atletas!M498="Outros Estilos B",126,IF(Atletas!M498="Chaquan C",127,IF(Atletas!M498="Emeiquan C",128,IF(Atletas!M498="Fanziquan C",129,IF(Atletas!M498="Huaquan C",130,IF(Atletas!M498="Hongquan C",131,IF(Atletas!M498="Paoquan C",132,IF(Atletas!M498="Piguaquan C",133,IF(Atletas!M498="Shaolinquan C",134,IF(Atletas!M498="Tanglangquan C",135,IF(Atletas!M498="Yingzhaoquan C",136,IF(Atletas!M498="Tongbeiquan C",137,IF(Atletas!M498="Wudangquan C",138,IF(Atletas!M498="Outros Estilos C",139,0))))))))))))))))))))))))))))))))))))))))))</f>
        <v/>
      </c>
      <c r="BT507" s="50" t="str">
        <f>IF(Atletas!M498="","",IF(Atletas!X498&lt;&gt;"",10000,0)+(IF(Atletas!B498="Feminino",1000,IF(Atletas!B498="Masculino",2000,""))+(IF(Atletas!M498="Chaquan D",140,IF(Atletas!M498="Emeiquan D",141,IF(Atletas!M498="Fanziquan D",142,IF(Atletas!M498="Huaquan D",143,IF(Atletas!M498="Hongquan D",144,IF(Atletas!M498="Paoquan D",145,IF(Atletas!M498="Piguaquan D",146,IF(Atletas!M498="Shaolinquan D",147,IF(Atletas!M498="Tanglangquan D",148,IF(Atletas!M498="Yingzhaoquan D",149,IF(Atletas!M498="Tongbeiquan D",150,IF(Atletas!M498="Wudangquan D",151,IF(Atletas!M498="Outros Estilos D",152,IF(Atletas!M498="Chaquan E",153,IF(Atletas!M498="Emeiquan E",154,IF(Atletas!M498="Fanziquan E",155,IF(Atletas!M498="Huaquan E",156,IF(Atletas!M498="Hongquan E",157,IF(Atletas!M498="Paoquan E",158,IF(Atletas!M498="Piguaquan E",159,IF(Atletas!M498="Shaolinquan E",160,IF(Atletas!M498="Tanglangquan E",161,IF(Atletas!M498="Yingzhaoquan E",162,IF(Atletas!M498="Tongbeiquan E",163,IF(Atletas!M498="Wudangquan E",164,IF(Atletas!M498="Outros Estilos E",165,IF(Atletas!M498="Chaquan F",166,IF(Atletas!M498="Emeiquan F",167,IF(Atletas!M498="Fanziquan F",168,IF(Atletas!M498="Huaquan F",169,IF(Atletas!M498="Hongquan F",170,IF(Atletas!M498="Paoquan F",171,IF(Atletas!M498="Piguaquan F",172,IF(Atletas!M498="Shaolinquan F",173,IF(Atletas!M498="Tanglangquan F",174,IF(Atletas!M498="Yingzhaoquan F",175,IF(Atletas!M498="Tongbeiquan F",176,IF(Atletas!M498="Wudangquan F",177,IF(Atletas!M498="Outros Estilos F",178,0))))))))))))))))))))))))))))))))))))))))))</f>
        <v/>
      </c>
      <c r="BU507" s="50" t="str">
        <f>IF(Atletas!N498="","",IF(Atletas!X498&lt;&gt;"",10000,0)+(IF(Atletas!B498="Feminino",1000,IF(Atletas!B498="Masculino",2000,""))+(IF(Atletas!N498="Ditangquan A",201,IF(Atletas!N498="Houquan A",202,IF(Atletas!N498="Zuiquan A",203,IF(Atletas!N498="Ditangquan B",204,IF(Atletas!N498="Houquan B",205,IF(Atletas!N498="Zuiquan B",206,IF(Atletas!N498="Ditangquan C",207,IF(Atletas!N498="Houquan C",208,IF(Atletas!N498="Zuiquan C",209,IF(Atletas!N498="Ditangquan D",210,IF(Atletas!N498="Houquan D",211,IF(Atletas!N498="Zuiquan D",212,IF(Atletas!N498="Ditangquan E",213,IF(Atletas!N498="Houquan E",214,IF(Atletas!N498="Zuiquan E",215,IF(Atletas!N498="Ditangquan F",216,IF(Atletas!N498="Houquan F",217,IF(Atletas!N498="Zuiquan F",218,"")))))))))))))))))))))</f>
        <v/>
      </c>
      <c r="BV507" s="50" t="str">
        <f>IF(Atletas!O498="","",IF(Atletas!X498&lt;&gt;"",10000,0)+IF(Atletas!B498="Feminino",1000,IF(Atletas!B498="Masculino",2000,""))+IF(Atletas!O498="Yang A",301,IF(Atletas!O498="Chen A",302,IF(Atletas!O498="Sun A",303,IF(Atletas!O498="Wu A",304,IF(Atletas!O498="Wu-Hao A",305,IF(Atletas!O498="Outro Taijiquan A",306,IF(Atletas!O498="Yang B",307,IF(Atletas!O498="Chen B",308,IF(Atletas!O498="Sun B",309,IF(Atletas!O498="Wu B",310,IF(Atletas!O498="Wu-Hao B",311,IF(Atletas!O498="Outro Taijiquan B",312,IF(Atletas!O498="Yang C",313,IF(Atletas!O498="Chen C",314,IF(Atletas!O498="Sun C",315,IF(Atletas!O498="Wu C",316,IF(Atletas!O498="Wu-Hao C",317,IF(Atletas!O498="Outro Taijiquan C",318,IF(Atletas!O498="Yang D",319,IF(Atletas!O498="Chen D",320,IF(Atletas!O498="Sun D",321,IF(Atletas!O498="Wu D",322,IF(Atletas!O498="Wu-Hao D",323,IF(Atletas!O498="Outro Taijiquan D",324,IF(Atletas!O498="Yang E",325,IF(Atletas!O498="Chen E",326,IF(Atletas!O498="Sun E",327,IF(Atletas!O498="Wu E",328,IF(Atletas!O498="Wu-Hao E",329,IF(Atletas!O498="Outro Taijiquan E",330,IF(Atletas!O498="Yang F",331,IF(Atletas!O498="Chen F",332,IF(Atletas!O498="Sun F",333,IF(Atletas!O498="Wu F",334,IF(Atletas!O498="Wu-Hao F",335,IF(Atletas!O498="Outro Taijiquan F",336,"")))))))))))))))))))))))))))))))))))))</f>
        <v/>
      </c>
      <c r="BW507" s="50" t="str">
        <f>IF(Atletas!P498="","",IF(Atletas!X498&lt;&gt;"",10000,0)+IF(Atletas!B498="Feminino",1000,IF(Atletas!B498="Masculino",2000,""))+IF(OR(Atletas!P498="Yang 26 A",Atletas!P498="Yang 40 A"),401,IF(OR(Atletas!P498="Chen 25 A",Atletas!P498="Chen 36 A",Atletas!P498="Chen 56 A"),402,IF(Atletas!P498="Sun 73 A",403,IF(Atletas!P498="Wu 45 A",404,IF(Atletas!P498="Wu-Hao 46 A",405,IF(OR(Atletas!P498="Taijiquan 16 A",Atletas!P498="Taijiquan 24 A",Atletas!P498="Taijiquan 32 A",Atletas!P498="Taijiquan 42 A"),406,IF(OR(Atletas!P498="Yang 26 B",Atletas!P498="Yang 40 B"),407,IF(OR(Atletas!P498="Chen 25 B",Atletas!P498="Chen 36 B",Atletas!P498="Chen 56 B"),408,IF(Atletas!P498="Sun 73 B",409,IF(Atletas!P498="Wu 45 B",410,IF(Atletas!P498="Wu-Hao 46 B",411,IF(OR(Atletas!P498="Taijiquan 16 B",Atletas!P498="Taijiquan 24 B",Atletas!P498="Taijiquan 32 B",Atletas!P498="Taijiquan 42 B"),412,IF(OR(Atletas!P498="Yang 26 C",Atletas!P498="Yang 40 C"),413,IF(OR(Atletas!P498="Chen 25 C",Atletas!P498="Chen 36 C",Atletas!P498="Chen 56 C"),414,IF(Atletas!P498="Sun 73 C",415,IF(Atletas!P498="Wu 45 C",416,IF(Atletas!P498="Wu-Hao 46 C",417,IF(OR(Atletas!P498="Taijiquan 16 C",Atletas!P498="Taijiquan 24 C",Atletas!P498="Taijiquan 32 C",Atletas!P498="Taijiquan 42 C"),418,0)))))))))))))))))))</f>
        <v/>
      </c>
      <c r="BX507" s="50" t="str">
        <f>IF(Atletas!P498="","",IF(Atletas!X498&lt;&gt;"",10000,0)+IF(Atletas!B498="Feminino",1000,IF(Atletas!B498="Masculino",2000,""))+IF(OR(Atletas!P498="Yang 26 D",Atletas!P498="Yang 40 D"),419,IF(OR(Atletas!P498="Chen 25 D",Atletas!P498="Chen 36 D",Atletas!P498="Chen 56 D"),420,IF(Atletas!P498="Sun 73 D",421,IF(Atletas!P498="Wu 45 D",422,IF(Atletas!P498="Wu-Hao 46 D",423,IF(OR(Atletas!P498="Taijiquan 16 D",Atletas!P498="Taijiquan 24 D",Atletas!P498="Taijiquan 32 D",Atletas!P498="Taijiquan 42 D"),424,IF(OR(Atletas!P498="Yang 26 E",Atletas!P498="Yang 40 E"),425,IF(OR(Atletas!P498="Chen 25 E",Atletas!P498="Chen 36 E",Atletas!P498="Chen 56 E"),426,IF(Atletas!P498="Sun 73 E",427,IF(Atletas!P498="Wu 45 E",428,IF(Atletas!P498="Wu-Hao 46 E",429,IF(OR(Atletas!P498="Taijiquan 16 E",Atletas!P498="Taijiquan 24 E",Atletas!P498="Taijiquan 32 E",Atletas!P498="Taijiquan 42 E"),430,IF(OR(Atletas!P498="Yang 26 F",Atletas!P498="Yang 40 F"),431,IF(OR(Atletas!P498="Chen 25 F",Atletas!P498="Chen 36 F",Atletas!P498="Chen 56 F"),432,IF(Atletas!P498="Sun 73 F",433,IF(Atletas!P498="Wu 45 F",434,IF(Atletas!P498="Wu-Hao 46 F",435,IF(OR(Atletas!P498="Taijiquan 16 F",Atletas!P498="Taijiquan 24 F",Atletas!P498="Taijiquan 32 F",Atletas!P498="Taijiquan 42 F"),436,0)))))))))))))))))))</f>
        <v/>
      </c>
      <c r="BY507" s="50" t="str">
        <f>IF(Atletas!Q498="","",IF(Atletas!X498&lt;&gt;"",10000,0)+IF(Atletas!B498="Feminino",1000,IF(Atletas!B498="Masculino",2000,""))+IF(Atletas!Q498="Xingyiquan A",501,IF(Atletas!Q498="Baguazhang A",502,IF(Atletas!Q498="Outro Estilo Interno A",503,IF(Atletas!Q498="Xingyiquan B",504,IF(Atletas!Q498="Baguazhang B",505,IF(Atletas!Q498="Outro Estilo Interno B",506,IF(Atletas!Q498="Xingyiquan C",507,IF(Atletas!Q498="Baguazhang C",508,IF(Atletas!Q498="Outro Estilo Interno C",509,IF(Atletas!Q498="Xingyiquan D",510,IF(Atletas!Q498="Baguazhang D",511,IF(Atletas!Q498="Outro Estilo Interno D",512,IF(Atletas!Q498="Xingyiquan E",513,IF(Atletas!Q498="Baguazhang E",514,IF(Atletas!Q498="Outro Estilo Interno E",515,IF(Atletas!Q498="Xingyiquan F",516,IF(Atletas!Q498="Baguazhang F",517,IF(Atletas!Q498="Outro Estilo Interno F",518, "")))))))))))))))))))</f>
        <v/>
      </c>
      <c r="BZ507" s="50" t="str">
        <f>IF(Atletas!R498="","",IF(Atletas!X498&lt;&gt;"",10000,0)+IF(Atletas!B498="Feminino",1000,IF(Atletas!B498="Masculino",2000,""))+IF(Atletas!R498="Dao A",601,IF(Atletas!R498="Jian A",602,IF(Atletas!R498="Bishou A",603,IF(Atletas!R498="Shanzi A",604,IF(Atletas!R498="Outra Arma Curta A",605,IF(Atletas!R498="Dao B",606,IF(Atletas!R498="Jian B",607,IF(Atletas!R498="Bishou B",608,IF(Atletas!R498="Shanzi B",609,IF(Atletas!R498="Outra Arma Curta B",610,IF(Atletas!R498="Dao C",611,IF(Atletas!R498="Jian C",612,IF(Atletas!R498="Bishou C",613,IF(Atletas!R498="Shanzi C",614,IF(Atletas!R498="Outra Arma Curta C",615,IF(Atletas!R498="Dao D",616,IF(Atletas!R498="Jian D",617,IF(Atletas!R498="Bishou D",618,IF(Atletas!R498="Shanzi D",619,IF(Atletas!R498="Outra Arma Curta D",620,IF(Atletas!R498="Dao E",621,IF(Atletas!R498="Jian E",622,IF(Atletas!R498="Bishou E",623,IF(Atletas!R498="Shanzi E",624,IF(Atletas!R498="Outra Arma Curta E",625,IF(Atletas!R498="Dao F",626,IF(Atletas!R498="Jian F",627,IF(Atletas!R498="Bishou F",628,IF(Atletas!R498="Shanzi F",629,IF(Atletas!R498="Outra Arma Curta F",630, "")))))))))))))))))))))))))))))))</f>
        <v/>
      </c>
      <c r="CA507" s="50" t="str">
        <f>IF(Atletas!S498="","",IF(Atletas!X498&lt;&gt;"",10000,0)+IF(Atletas!B498="Feminino",1000,IF(Atletas!B498="Masculino",2000,""))+IF(Atletas!S498="Gun A",701,IF(Atletas!S498="Qiang A",702,IF(Atletas!S498="Pudao / Guandao A",703,IF(Atletas!S498="Outra Arma Longa A",704,IF(Atletas!S498="Gun B",705,IF(Atletas!S498="Qiang B",706,IF(Atletas!S498="Pudao / Guandao B",707,IF(Atletas!S498="Outra Arma Longa B",708,IF(Atletas!S498="Gun C",709,IF(Atletas!S498="Qiang C",710,IF(Atletas!S498="Pudao / Guandao C",711,IF(Atletas!S498="Outra Arma Longa C",712,IF(Atletas!S498="Gun D",713,IF(Atletas!S498="Qiang D",714,IF(Atletas!S498="Pudao / Guandao D",715,IF(Atletas!S498="Outra Arma Longa D",716,IF(Atletas!S498="Gun E",717,IF(Atletas!S498="Qiang E",718,IF(Atletas!S498="Pudao / Guandao E",719,IF(Atletas!S498="Outra Arma Longa E",720,IF(Atletas!S498="Gun F",721,IF(Atletas!S498="Qiang F",722,IF(Atletas!S498="Pudao / Guandao F",723,IF(Atletas!S498="Outra Arma Longa F",724,"")))))))))))))))))))))))))</f>
        <v/>
      </c>
      <c r="CB507" s="50" t="str">
        <f>IF(Atletas!T498="","",IF(Atletas!X498&lt;&gt;"",10000,0)+IF(Atletas!B498="Feminino",1000,IF(Atletas!B498="Masculino",2000,""))+IF(Atletas!T498="Outra Arma Dupla A",801,IF(Atletas!T498="Arma Maleável A",802,IF(Atletas!T498="Outra Arma Dupla B",803,IF(Atletas!T498="Arma Maleável B",804,IF(Atletas!T498="Outra Arma Dupla C",805,IF(Atletas!T498="Arma Maleável C",806,IF(Atletas!T498="Outra Arma Dupla D",807,IF(Atletas!T498="Arma Maleável D",808,IF(Atletas!T498="Outra Arma Dupla E",809,IF(Atletas!T498="Arma Maleável E",810,IF(Atletas!T498="Outra Arma Dupla F",811,IF(Atletas!T498="Arma Maleável F",812,IF(Atletas!T498="Shuangdao A",813,IF(Atletas!T498="Shuangdao B",814,IF(Atletas!T498="Shuangdao C",815,IF(Atletas!T498="Shuangdao D",816,IF(Atletas!T498="Shuangdao E",817,IF(Atletas!T498="Shuangdao F",818,"")))))))))))))))))))</f>
        <v/>
      </c>
      <c r="CC507" s="50" t="str">
        <f>IF(Atletas!U498="","",IF(Atletas!X498&lt;&gt;"",10000,0)+IF(Atletas!B498="Feminino",1000,IF(Atletas!B498="Masculino",2000,""))+IF(OR(Atletas!U498="Taijijian Yang A",Atletas!U498="Taijijian Yang Standard A"),901,IF(OR(Atletas!U498="Taijijian Chen A", Atletas!U498="Taijijian Chen Standard A"),902,IF(Atletas!U498="Taijijian Sun A",903,IF(Atletas!U498="Taijijian Wu A",904,IF(Atletas!U498="Taijijian Wu-Hao A",905,IF(OR(Atletas!U498="Taijijian 32 A",Atletas!U498="Taijijian 42 A"),906,IF(OR(Atletas!U498="Taijijian Yang B",Atletas!U498="Taijijian Yang Standard B"),907,IF(OR(Atletas!U498="Taijijian Chen B", Atletas!U498="Taijijian Chen Standard B"),908,IF(Atletas!U498="Taijijian Sun B",909,IF(Atletas!U498="Taijijian Wu B",910,IF(Atletas!U498="Taijijian Wu-Hao B",911,IF(OR(Atletas!U498="Taijijian 32 B",Atletas!U498="Taijijian 42 B"),912,IF(OR(Atletas!U498="Taijijian Yang C",Atletas!U498="Taijijian Yang Standard C"),913,IF(OR(Atletas!U498="Taijijian Chen C", Atletas!U498="Taijijian Chen Standard C"),914,IF(Atletas!U498="Taijijian Sun C",915,IF(Atletas!U498="Taijijian Wu C",916,IF(Atletas!U498="Taijijian Wu-Hao C",917,IF(OR(Atletas!U498="Taijijian 32 C",Atletas!U498="Taijijian 42 C"),918,IF(OR(Atletas!U498="Taijijian Yang D",Atletas!U498="Taijijian Yang Standard D"),919,IF(OR(Atletas!U498="Taijijian Chen D", Atletas!U498="Taijijian Chen Standard D"),920,IF(Atletas!U498="Taijijian Sun D",921,IF(Atletas!U498="Taijijian Wu D",922,IF(Atletas!U498="Taijijian Wu-Hao D",923,IF(OR(Atletas!U498="Taijijian 32 D",Atletas!U498="Taijijian 42 D"),924,IF(OR(Atletas!U498="Taijijian Yang E",Atletas!U498="Taijijian Yang Standard E"),925,IF(OR(Atletas!U498="Taijijian Chen E", Atletas!U498="Taijijian Chen Standard E"),926,IF(Atletas!U498="Taijijian Sun E",927,IF(Atletas!U498="Taijijian Wu E",928,IF(Atletas!U498="Taijijian Wu-Hao E",929,IF(OR(Atletas!U498="Taijijian 32 E",Atletas!U498="Taijijian 42 E"),930,IF(OR(Atletas!U498="Taijijian Yang F",Atletas!U498="Taijijian Yang Standard F"),931,IF(OR(Atletas!U498="Taijijian Chen F", Atletas!U498="Taijijian Chen Standard F"),932,IF(Atletas!U498="Taijijian Sun F",933,IF(Atletas!U498="Taijijian Wu F",934,IF(Atletas!U498="Taijijian Wu-Hao F",935,IF(OR(Atletas!U498="Taijijian 32 F",Atletas!U498="Taijijian 42 F"),936,"")))))))))))))))))))))))))))))))))))))</f>
        <v/>
      </c>
      <c r="CD507" s="50" t="str">
        <f>IF(Atletas!V498="","",IF(Atletas!X498&lt;&gt;"",10000,0)+IF(Atletas!B498="Feminino",1000,IF(Atletas!B498="Masculino",2000,""))+IF(Atletas!V498="Taijidao A",937,IF(Atletas!V498="TaijiShanzi A",938,IF(Atletas!V498="Taijiqiang A",939,IF(Atletas!V498="Bagua de Arma A",940,IF(Atletas!V498="Xingyi de Arma A",941,IF(Atletas!V498="Taijidao B",942,IF(Atletas!V498="TaijiShanzi B",943,IF(Atletas!V498="Taijiqiang B",944,IF(Atletas!V498="Bagua de Arma B",945,IF(Atletas!V498="Xingyi de Arma B",946,IF(Atletas!V498="Taijidao C",947,IF(Atletas!V498="TaijiShanzi C",948,IF(Atletas!V498="Taijiqiang C",949,IF(Atletas!V498="Bagua de Arma C",950,IF(Atletas!V498="Xingyi de Arma C",951,IF(Atletas!V498="Taijidao D",952,IF(Atletas!V498="TaijiShanzi D",953,IF(Atletas!V498="Taijiqiang D",954,IF(Atletas!V498="Bagua de Arma D",955,IF(Atletas!V498="Xingyi de Arma D",956,IF(Atletas!V498="Taijidao E",957,IF(Atletas!V498="TaijiShanzi E",958,IF(Atletas!V498="Taijiqiang E",959,IF(Atletas!V498="Bagua de Arma E",960,IF(Atletas!V498="Xingyi de Arma E",961,IF(Atletas!V498="Taijidao F",962,IF(Atletas!V498="TaijiShanzi F",963,IF(Atletas!V498="Taijiqiang F",964,IF(Atletas!V498="Bagua de Arma F",965,IF(Atletas!V498="Xingyi de Arma F",966,"")))))))))))))))))))))))))))))))</f>
        <v/>
      </c>
      <c r="CM507" s="50" t="str">
        <f xml:space="preserve"> IF(Atletas!W498="","",IF(Atletas!W498="Duilian de Mãos BC - Equipe 1",1,IF(Atletas!W498="Duilian de Mãos BC - Equipe 2",2,IF(Atletas!W498="Duilian de Armas BC - Equipe 1",3,IF(Atletas!W498="Duilian de Armas BC - Equipe 2",4,IF(Atletas!W498="Duilian de Mãos DE - Equipe 1",5,IF(Atletas!W498="Duilian de Mãos DE - Equipe 2",6,IF(Atletas!W498="Duilian de Armas DE - Equipe 1",7,IF(Atletas!W498="Duilian de Armas DE - Equipe 2",8,IF(Atletas!W498="Duilian de Tuishou - Equipe 1",9,IF(Atletas!W498="Duilian de Tuishou - Equipe 2",10,IF(Atletas!W498="Grupo Externo ABC - Equipe 1",11,IF(Atletas!W498="Grupo Externo ABC - Equipe 2",12,IF(Atletas!W498="Grupo Interno ABC - Equipe 1",13,IF(Atletas!W498="Grupo Interno ABC - Equipe 2",14,IF(Atletas!W498="Grupo Externo DEF - Equipe 1",15,IF(Atletas!W498="Grupo Externo DEF - Equipe 2",16,IF(Atletas!W498="Grupo Interno DEF - Equipe 1",17,IF(Atletas!W498="Grupo Interno DEF - Equipe 2",18,"")))))))))))))))))))</f>
        <v/>
      </c>
    </row>
    <row r="508" spans="40:91">
      <c r="AN508" s="52" t="str">
        <f>IF(Atletas!D499="","",IF(Atletas!B499="Feminino",100,IF(Atletas!B499="Masculino",200,""))+(IF(Atletas!D499="Kids 30kg",1,IF(Atletas!D499="Kids 32kg",2, IF(Atletas!D499="Kids 34kg",3,IF(Atletas!D499="Kids 36kg",4,IF(Atletas!D499="Kids 39kg",5,IF(Atletas!D499="Kids 42kg",6,IF(Atletas!D499="Kids 45kg",7, IF(Atletas!D499="Infantil 39kg",8,IF(Atletas!D499="Infantil 42kg",9,IF(Atletas!D499="Infantil 45kg",10,IF(Atletas!D499="Infantil 48kg",11,IF(Atletas!D499="Infantil 52kg",12,IF(Atletas!D499="Infantil 56kg",13,IF(Atletas!D499="Infantil 60kg",14,IF(Atletas!D499="Juvenil 48kg",15,IF(Atletas!D499="Juvenil 52kg",16,IF(Atletas!D499="Juvenil 56kg",17,IF(Atletas!D499="Juvenil 60kg",18,IF(Atletas!D499="Juvenil 65kg",19,IF(Atletas!D499="Juvenil 70kg",20,IF(Atletas!D499="Juvenil 75kg",21,IF(Atletas!D499="Juvenil 80kg",22, IF(Atletas!D499="Juvenil 85kg",23,IF(Atletas!D499="Adulto 48kg",24,IF(Atletas!D499="Adulto 52kg",25,IF(Atletas!D499="Adulto 56kg",26,IF(Atletas!D499="Adulto 60kg",27,IF(Atletas!D499="Adulto 65kg",28,IF(Atletas!D499="Adulto 70kg",29,IF(Atletas!D499="Adulto 75kg",30,IF(Atletas!D499="Adulto 80kg",31,IF(Atletas!D499="Adulto 85kg",32,IF(Atletas!D499="Adulto 90kg",33,IF(Atletas!D499="Adulto 100kg",34, IF(Atletas!D499="Adulto +100kg",35,"")))))))))))))))))))))))))))))))))))))</f>
        <v/>
      </c>
      <c r="AS508" s="6" t="str">
        <f>IF(Atletas!E499="","",IF(Atletas!B499="Feminino",100,IF(Atletas!B499="Masculino",200,""))+(IF(Atletas!E499="Juvenil 44kg",1,IF(Atletas!E499="Juvenil 48kg",2,IF(Atletas!E499="Juvenil 52kg",3,IF(Atletas!E499="Juvenil 56kg",4,IF(Atletas!E499="Juvenil 60kg",5,IF(Atletas!E499="Juvenil 65kg",6,IF(Atletas!E499="Juvenil 70kg",7,IF(Atletas!E499="Juvenil 75kg",8,IF(Atletas!E499="Juvenil 82kg",9,IF(Atletas!E499="Juvenil 90kg",10,IF(Atletas!E499="Juvenil 100kg",11,IF(Atletas!E499="Adulto 48kg",12,IF(Atletas!E499="Adulto 52kg",13,IF(Atletas!E499="Adulto 56kg",14,IF(Atletas!E499="Adulto 60kg",15,IF(Atletas!E499="Adulto 65kg",16,IF(Atletas!E499="Adulto 70kg",17,IF(Atletas!E499="Adulto 75kg",18,IF(Atletas!E499="Adulto 82kg",19,IF(Atletas!E499="Adulto 90kg",20,IF(Atletas!E499="Adulto 100kg",21,IF(Atletas!E499="Adulto +100kg",22,""))))))))))))))))))))))))</f>
        <v/>
      </c>
      <c r="AX508" s="6" t="str">
        <f>IF(Atletas!F499="","",IF(Atletas!B499="Feminino",100,IF(Atletas!B499="Masculino",200,""))+(IF(Atletas!F499="Adulto 48kg",1,IF(Atletas!F499="Adulto 56kg",2,IF(Atletas!F499="Adulto 65kg",3,IF(Atletas!F499="Adulto 75kg",4,IF(Atletas!F499="Adulto +75kg",5,IF(Atletas!F499="Adulto 52kg",6,IF(Atletas!F499="Adulto 60kg",7,IF(Atletas!F499="Adulto 70kg",8,IF(Atletas!F499="Adulto 80kg",9,IF(Atletas!F499="Adulto 90kg",10,IF(Atletas!F499="Adulto +90kg",11,"")))))))))))))</f>
        <v/>
      </c>
      <c r="BC508" s="6" t="str">
        <f>IF(Atletas!G499="","",IF(Atletas!B499="Feminino",10,IF(Atletas!B499="Masculino",20,""))+(IF(Atletas!G499="Baduanjin A",1,IF(Atletas!G499="Baduanjin B",2))))</f>
        <v/>
      </c>
      <c r="BF508" s="52" t="str">
        <f>IF(Atletas!H499="","",IF(Atletas!B499="Feminino",100,IF(Atletas!B499="Masculino",200,""))+(IF(Atletas!H499="Changquan Mirim",1,IF(Atletas!H499="Nanquan Mirim",2,IF(Atletas!H499="Taijiquan Mirim",3,IF(Atletas!H499="Changquan Grupo C",4,IF(Atletas!H499="Nanquan Grupo C",5,IF(Atletas!H499="Taijiquan Grupo C",6,IF(Atletas!H499="Changquan Grupo B",7,IF(Atletas!H499="Nanquan Grupo B",8,IF(Atletas!H499="Taijiquan Grupo B",9,IF(Atletas!H499="Changquan Grupo A",10,IF(Atletas!H499="Nanquan Grupo A",11,IF(Atletas!H499="Taijiquan Grupo A",12,IF(Atletas!H499="Changquan Opcional",13,IF(Atletas!H499="Nanquan Opcional",14,IF(Atletas!H499="Taijiquan Opcional",15,IF(Atletas!H499="Changquan Adulto",16,IF(Atletas!H499="Nanquan Adulto",17,IF(Atletas!H499="Taijiquan Adulto",18,""))))))))))))))))))))</f>
        <v/>
      </c>
      <c r="BG508" s="52" t="str">
        <f>IF(Atletas!I499="","",IF(Atletas!B499="Feminino",100,IF(Atletas!B499="Masculino",200,""))+(IF(Atletas!I499="Daoshu Mirim",19,IF(Atletas!I499="Jianshu Mirim",20,IF(Atletas!I499="Nandao Mirim",21,IF(Atletas!I499="Taijijian Mirim",22,IF(Atletas!I499="Daoshu Grupo C",23,IF(Atletas!I499="Jianshu Grupo C",24,IF(Atletas!I499="Nandao Grupo C",25,IF(Atletas!I499="Taijijian Grupo C",26,IF(Atletas!I499="Daoshu Grupo B",27,IF(Atletas!I499="Jianshu Grupo B",28,IF(Atletas!I499="Nandao Grupo B",29,IF(Atletas!I499="Taijijian Grupo B",30,IF(Atletas!I499="Daoshu Grupo A",31,IF(Atletas!I499="Jianshu Grupo A",32,IF(Atletas!I499="Nandao Grupo A",33,IF(Atletas!I499="Taijijian Grupo A",34,IF(Atletas!I499="Daoshu Opcional",35,IF(Atletas!I499="Jianshu Opcional",36,IF(Atletas!I499="Nandao Opcional",37,IF(Atletas!I499="Taijijian Opcional",38,IF(Atletas!I499="Daoshu Adulto",39,IF(Atletas!I499="Jianshu Adulto",40,IF(Atletas!I499="Nandao Adulto",41,IF(Atletas!I499="Taijijian Adulto",42,""))))))))))))))))))))))))))</f>
        <v/>
      </c>
      <c r="BH508" s="52" t="str">
        <f>IF(Atletas!J499="","",IF(Atletas!B499="Feminino",100,IF(Atletas!B499="Masculino",200,""))+(IF(Atletas!J499="Gunshu Mirim",43,IF(Atletas!J499="Qiangshu Mirim",44,IF(Atletas!J499="Nangun Mirim",45,IF(Atletas!J499="Gunshu Grupo C",46,IF(Atletas!J499="Qiangshu Grupo C",47,IF(Atletas!J499="Nangun Grupo C",48,IF(Atletas!J499="Gunshu Grupo B",49,IF(Atletas!J499="Qiangshu Grupo B",50,IF(Atletas!J499="Nangun Grupo B",51,IF(Atletas!J499="Gunshu Grupo A",52,IF(Atletas!J499="Qiangshu Grupo A",53,IF(Atletas!J499="Nangun Grupo A",54,IF(Atletas!J499="Gunshu Opcional",55,IF(Atletas!J499="Qiangshu Opcional",56,IF(Atletas!J499="Nangun Opcional",57,IF(Atletas!J499="Gunshu Adulto",58,IF(Atletas!J499="Qiangshu Adulto",59,IF(Atletas!J499="Nangun Adulto",60,IF(Atletas!J499="Taijishan Grupo B",61,IF(Atletas!J499="Taijishan Grupo A",62,""))))))))))))))))))))))</f>
        <v/>
      </c>
      <c r="BM508" s="50" t="str">
        <f>IF(Atletas!K499="","",IF(Atletas!B499="Feminino",100,IF(Atletas!B499="Masculino",200,""))+(IF(Atletas!K499="Equipe 1 Grupo B",1,IF(Atletas!K499="Equipe 2 Grupo B",2,IF(Atletas!K499="Equipe 1 Grupo A",3,IF(Atletas!K499="Equipe 2 Grupo A",4,IF(Atletas!K499="Equipe 1 Adulto",5,IF(Atletas!K499="Equipe 2 Adulto",6,""))))))))</f>
        <v/>
      </c>
      <c r="BR508" s="50" t="str">
        <f>IF(Atletas!L499="","",IF(Atletas!X499&lt;&gt;"",10000,0)+(IF(Atletas!B499="Feminino",1000,IF(Atletas!B499="Masculino",2000,""))+IF(Atletas!L499="Choylayfut A",1,IF(Atletas!L499="Hunggar A",2,IF(Atletas!L499="Wuzuquan A",3,IF(Atletas!L499="Wingchun A",4,IF(Atletas!L499="Outra Mão de Sul A",5,IF(Atletas!L499="Choylayfut B",6,IF(Atletas!L499="Hunggar B",7,IF(Atletas!L499="Wuzuquan B",8,IF(Atletas!L499="Wingchun B",9,IF(Atletas!L499="Outra Mão de Sul B",10,IF(Atletas!L499="Choylayfut C",11,IF(Atletas!L499="Hunggar C",12,IF(Atletas!L499="Wuzuquan C",13,IF(Atletas!L499="Wingchun C",14,IF(Atletas!L499="Outra Mão de Sul C",15,IF(Atletas!L499="Choylayfut D",16,IF(Atletas!L499="Hunggar D",17,IF(Atletas!L499="Wuzuquan D",18,IF(Atletas!L499="Wingchun D",19,IF(Atletas!L499="Outra Mão de Sul D",20,IF(Atletas!L499="Choylayfut E",21,IF(Atletas!L499="Hunggar E",22,IF(Atletas!L499="Wuzuquan E",23,IF(Atletas!L499="Wingchun E",24,IF(Atletas!L499="Outra Mão de Sul E",25,IF(Atletas!L499="Choylayfut F",26,IF(Atletas!L499="Hunggar F",27,IF(Atletas!L499="Wuzuquan F",28,IF(Atletas!L499="Wingchun F",29,IF(Atletas!L499="Outra Mão de Sul F",30,IF(Atletas!L499="Dishuquan A",31,IF(Atletas!L499="Dishuquan B",32,IF(Atletas!L499="Dishuquan C",33,IF(Atletas!L499="Dishuquan D",34,IF(Atletas!L499="Dishuquan E",35,IF(Atletas!L499="Dishuquan F",36,""))))))))))))))))))))))))))))))))))))))</f>
        <v/>
      </c>
      <c r="BS508" s="50" t="str">
        <f>IF(Atletas!M499="","",IF(Atletas!X499&lt;&gt;"",10000,0)+(IF(Atletas!B499="Feminino",1000,IF(Atletas!B499="Masculino",2000,""))+(IF(Atletas!M499="Chaquan A",101,IF(Atletas!M499="Emeiquan A",102,IF(Atletas!M499="Fanziquan A",103,IF(Atletas!M499="Huaquan A",104,IF(Atletas!M499="Hongquan A",105,IF(Atletas!M499="Paoquan A",106,IF(Atletas!M499="Piguaquan A",107,IF(Atletas!M499="Shaolinquan A",108,IF(Atletas!M499="Tanglangquan A",109,IF(Atletas!M499="Yingzhaoquan A",110,IF(Atletas!M499="Tongbeiquan A",111,IF(Atletas!M499="Wudangquan A",112,IF(Atletas!M499="Outros Estilos A",113,IF(Atletas!M499="Chaquan B",114,IF(Atletas!M499="Emeiquan B",115,IF(Atletas!M499="Fanziquan B",116,IF(Atletas!M499="Huaquan B",117,IF(Atletas!M499="Hongquan B",118,IF(Atletas!M499="Paoquan B",119,IF(Atletas!M499="Piguaquan B",120,IF(Atletas!M499="Shaolinquan B",121,IF(Atletas!M499="Tanglangquan B",122,IF(Atletas!M499="Yingzhaoquan B",123,IF(Atletas!M499="Tongbeiquan B",124,IF(Atletas!M499="Wudangquan B",125,IF(Atletas!M499="Outros Estilos B",126,IF(Atletas!M499="Chaquan C",127,IF(Atletas!M499="Emeiquan C",128,IF(Atletas!M499="Fanziquan C",129,IF(Atletas!M499="Huaquan C",130,IF(Atletas!M499="Hongquan C",131,IF(Atletas!M499="Paoquan C",132,IF(Atletas!M499="Piguaquan C",133,IF(Atletas!M499="Shaolinquan C",134,IF(Atletas!M499="Tanglangquan C",135,IF(Atletas!M499="Yingzhaoquan C",136,IF(Atletas!M499="Tongbeiquan C",137,IF(Atletas!M499="Wudangquan C",138,IF(Atletas!M499="Outros Estilos C",139,0))))))))))))))))))))))))))))))))))))))))))</f>
        <v/>
      </c>
      <c r="BT508" s="50" t="str">
        <f>IF(Atletas!M499="","",IF(Atletas!X499&lt;&gt;"",10000,0)+(IF(Atletas!B499="Feminino",1000,IF(Atletas!B499="Masculino",2000,""))+(IF(Atletas!M499="Chaquan D",140,IF(Atletas!M499="Emeiquan D",141,IF(Atletas!M499="Fanziquan D",142,IF(Atletas!M499="Huaquan D",143,IF(Atletas!M499="Hongquan D",144,IF(Atletas!M499="Paoquan D",145,IF(Atletas!M499="Piguaquan D",146,IF(Atletas!M499="Shaolinquan D",147,IF(Atletas!M499="Tanglangquan D",148,IF(Atletas!M499="Yingzhaoquan D",149,IF(Atletas!M499="Tongbeiquan D",150,IF(Atletas!M499="Wudangquan D",151,IF(Atletas!M499="Outros Estilos D",152,IF(Atletas!M499="Chaquan E",153,IF(Atletas!M499="Emeiquan E",154,IF(Atletas!M499="Fanziquan E",155,IF(Atletas!M499="Huaquan E",156,IF(Atletas!M499="Hongquan E",157,IF(Atletas!M499="Paoquan E",158,IF(Atletas!M499="Piguaquan E",159,IF(Atletas!M499="Shaolinquan E",160,IF(Atletas!M499="Tanglangquan E",161,IF(Atletas!M499="Yingzhaoquan E",162,IF(Atletas!M499="Tongbeiquan E",163,IF(Atletas!M499="Wudangquan E",164,IF(Atletas!M499="Outros Estilos E",165,IF(Atletas!M499="Chaquan F",166,IF(Atletas!M499="Emeiquan F",167,IF(Atletas!M499="Fanziquan F",168,IF(Atletas!M499="Huaquan F",169,IF(Atletas!M499="Hongquan F",170,IF(Atletas!M499="Paoquan F",171,IF(Atletas!M499="Piguaquan F",172,IF(Atletas!M499="Shaolinquan F",173,IF(Atletas!M499="Tanglangquan F",174,IF(Atletas!M499="Yingzhaoquan F",175,IF(Atletas!M499="Tongbeiquan F",176,IF(Atletas!M499="Wudangquan F",177,IF(Atletas!M499="Outros Estilos F",178,0))))))))))))))))))))))))))))))))))))))))))</f>
        <v/>
      </c>
      <c r="BU508" s="50" t="str">
        <f>IF(Atletas!N499="","",IF(Atletas!X499&lt;&gt;"",10000,0)+(IF(Atletas!B499="Feminino",1000,IF(Atletas!B499="Masculino",2000,""))+(IF(Atletas!N499="Ditangquan A",201,IF(Atletas!N499="Houquan A",202,IF(Atletas!N499="Zuiquan A",203,IF(Atletas!N499="Ditangquan B",204,IF(Atletas!N499="Houquan B",205,IF(Atletas!N499="Zuiquan B",206,IF(Atletas!N499="Ditangquan C",207,IF(Atletas!N499="Houquan C",208,IF(Atletas!N499="Zuiquan C",209,IF(Atletas!N499="Ditangquan D",210,IF(Atletas!N499="Houquan D",211,IF(Atletas!N499="Zuiquan D",212,IF(Atletas!N499="Ditangquan E",213,IF(Atletas!N499="Houquan E",214,IF(Atletas!N499="Zuiquan E",215,IF(Atletas!N499="Ditangquan F",216,IF(Atletas!N499="Houquan F",217,IF(Atletas!N499="Zuiquan F",218,"")))))))))))))))))))))</f>
        <v/>
      </c>
      <c r="BV508" s="50" t="str">
        <f>IF(Atletas!O499="","",IF(Atletas!X499&lt;&gt;"",10000,0)+IF(Atletas!B499="Feminino",1000,IF(Atletas!B499="Masculino",2000,""))+IF(Atletas!O499="Yang A",301,IF(Atletas!O499="Chen A",302,IF(Atletas!O499="Sun A",303,IF(Atletas!O499="Wu A",304,IF(Atletas!O499="Wu-Hao A",305,IF(Atletas!O499="Outro Taijiquan A",306,IF(Atletas!O499="Yang B",307,IF(Atletas!O499="Chen B",308,IF(Atletas!O499="Sun B",309,IF(Atletas!O499="Wu B",310,IF(Atletas!O499="Wu-Hao B",311,IF(Atletas!O499="Outro Taijiquan B",312,IF(Atletas!O499="Yang C",313,IF(Atletas!O499="Chen C",314,IF(Atletas!O499="Sun C",315,IF(Atletas!O499="Wu C",316,IF(Atletas!O499="Wu-Hao C",317,IF(Atletas!O499="Outro Taijiquan C",318,IF(Atletas!O499="Yang D",319,IF(Atletas!O499="Chen D",320,IF(Atletas!O499="Sun D",321,IF(Atletas!O499="Wu D",322,IF(Atletas!O499="Wu-Hao D",323,IF(Atletas!O499="Outro Taijiquan D",324,IF(Atletas!O499="Yang E",325,IF(Atletas!O499="Chen E",326,IF(Atletas!O499="Sun E",327,IF(Atletas!O499="Wu E",328,IF(Atletas!O499="Wu-Hao E",329,IF(Atletas!O499="Outro Taijiquan E",330,IF(Atletas!O499="Yang F",331,IF(Atletas!O499="Chen F",332,IF(Atletas!O499="Sun F",333,IF(Atletas!O499="Wu F",334,IF(Atletas!O499="Wu-Hao F",335,IF(Atletas!O499="Outro Taijiquan F",336,"")))))))))))))))))))))))))))))))))))))</f>
        <v/>
      </c>
      <c r="BW508" s="50" t="str">
        <f>IF(Atletas!P499="","",IF(Atletas!X499&lt;&gt;"",10000,0)+IF(Atletas!B499="Feminino",1000,IF(Atletas!B499="Masculino",2000,""))+IF(OR(Atletas!P499="Yang 26 A",Atletas!P499="Yang 40 A"),401,IF(OR(Atletas!P499="Chen 25 A",Atletas!P499="Chen 36 A",Atletas!P499="Chen 56 A"),402,IF(Atletas!P499="Sun 73 A",403,IF(Atletas!P499="Wu 45 A",404,IF(Atletas!P499="Wu-Hao 46 A",405,IF(OR(Atletas!P499="Taijiquan 16 A",Atletas!P499="Taijiquan 24 A",Atletas!P499="Taijiquan 32 A",Atletas!P499="Taijiquan 42 A"),406,IF(OR(Atletas!P499="Yang 26 B",Atletas!P499="Yang 40 B"),407,IF(OR(Atletas!P499="Chen 25 B",Atletas!P499="Chen 36 B",Atletas!P499="Chen 56 B"),408,IF(Atletas!P499="Sun 73 B",409,IF(Atletas!P499="Wu 45 B",410,IF(Atletas!P499="Wu-Hao 46 B",411,IF(OR(Atletas!P499="Taijiquan 16 B",Atletas!P499="Taijiquan 24 B",Atletas!P499="Taijiquan 32 B",Atletas!P499="Taijiquan 42 B"),412,IF(OR(Atletas!P499="Yang 26 C",Atletas!P499="Yang 40 C"),413,IF(OR(Atletas!P499="Chen 25 C",Atletas!P499="Chen 36 C",Atletas!P499="Chen 56 C"),414,IF(Atletas!P499="Sun 73 C",415,IF(Atletas!P499="Wu 45 C",416,IF(Atletas!P499="Wu-Hao 46 C",417,IF(OR(Atletas!P499="Taijiquan 16 C",Atletas!P499="Taijiquan 24 C",Atletas!P499="Taijiquan 32 C",Atletas!P499="Taijiquan 42 C"),418,0)))))))))))))))))))</f>
        <v/>
      </c>
      <c r="BX508" s="50" t="str">
        <f>IF(Atletas!P499="","",IF(Atletas!X499&lt;&gt;"",10000,0)+IF(Atletas!B499="Feminino",1000,IF(Atletas!B499="Masculino",2000,""))+IF(OR(Atletas!P499="Yang 26 D",Atletas!P499="Yang 40 D"),419,IF(OR(Atletas!P499="Chen 25 D",Atletas!P499="Chen 36 D",Atletas!P499="Chen 56 D"),420,IF(Atletas!P499="Sun 73 D",421,IF(Atletas!P499="Wu 45 D",422,IF(Atletas!P499="Wu-Hao 46 D",423,IF(OR(Atletas!P499="Taijiquan 16 D",Atletas!P499="Taijiquan 24 D",Atletas!P499="Taijiquan 32 D",Atletas!P499="Taijiquan 42 D"),424,IF(OR(Atletas!P499="Yang 26 E",Atletas!P499="Yang 40 E"),425,IF(OR(Atletas!P499="Chen 25 E",Atletas!P499="Chen 36 E",Atletas!P499="Chen 56 E"),426,IF(Atletas!P499="Sun 73 E",427,IF(Atletas!P499="Wu 45 E",428,IF(Atletas!P499="Wu-Hao 46 E",429,IF(OR(Atletas!P499="Taijiquan 16 E",Atletas!P499="Taijiquan 24 E",Atletas!P499="Taijiquan 32 E",Atletas!P499="Taijiquan 42 E"),430,IF(OR(Atletas!P499="Yang 26 F",Atletas!P499="Yang 40 F"),431,IF(OR(Atletas!P499="Chen 25 F",Atletas!P499="Chen 36 F",Atletas!P499="Chen 56 F"),432,IF(Atletas!P499="Sun 73 F",433,IF(Atletas!P499="Wu 45 F",434,IF(Atletas!P499="Wu-Hao 46 F",435,IF(OR(Atletas!P499="Taijiquan 16 F",Atletas!P499="Taijiquan 24 F",Atletas!P499="Taijiquan 32 F",Atletas!P499="Taijiquan 42 F"),436,0)))))))))))))))))))</f>
        <v/>
      </c>
      <c r="BY508" s="50" t="str">
        <f>IF(Atletas!Q499="","",IF(Atletas!X499&lt;&gt;"",10000,0)+IF(Atletas!B499="Feminino",1000,IF(Atletas!B499="Masculino",2000,""))+IF(Atletas!Q499="Xingyiquan A",501,IF(Atletas!Q499="Baguazhang A",502,IF(Atletas!Q499="Outro Estilo Interno A",503,IF(Atletas!Q499="Xingyiquan B",504,IF(Atletas!Q499="Baguazhang B",505,IF(Atletas!Q499="Outro Estilo Interno B",506,IF(Atletas!Q499="Xingyiquan C",507,IF(Atletas!Q499="Baguazhang C",508,IF(Atletas!Q499="Outro Estilo Interno C",509,IF(Atletas!Q499="Xingyiquan D",510,IF(Atletas!Q499="Baguazhang D",511,IF(Atletas!Q499="Outro Estilo Interno D",512,IF(Atletas!Q499="Xingyiquan E",513,IF(Atletas!Q499="Baguazhang E",514,IF(Atletas!Q499="Outro Estilo Interno E",515,IF(Atletas!Q499="Xingyiquan F",516,IF(Atletas!Q499="Baguazhang F",517,IF(Atletas!Q499="Outro Estilo Interno F",518, "")))))))))))))))))))</f>
        <v/>
      </c>
      <c r="BZ508" s="50" t="str">
        <f>IF(Atletas!R499="","",IF(Atletas!X499&lt;&gt;"",10000,0)+IF(Atletas!B499="Feminino",1000,IF(Atletas!B499="Masculino",2000,""))+IF(Atletas!R499="Dao A",601,IF(Atletas!R499="Jian A",602,IF(Atletas!R499="Bishou A",603,IF(Atletas!R499="Shanzi A",604,IF(Atletas!R499="Outra Arma Curta A",605,IF(Atletas!R499="Dao B",606,IF(Atletas!R499="Jian B",607,IF(Atletas!R499="Bishou B",608,IF(Atletas!R499="Shanzi B",609,IF(Atletas!R499="Outra Arma Curta B",610,IF(Atletas!R499="Dao C",611,IF(Atletas!R499="Jian C",612,IF(Atletas!R499="Bishou C",613,IF(Atletas!R499="Shanzi C",614,IF(Atletas!R499="Outra Arma Curta C",615,IF(Atletas!R499="Dao D",616,IF(Atletas!R499="Jian D",617,IF(Atletas!R499="Bishou D",618,IF(Atletas!R499="Shanzi D",619,IF(Atletas!R499="Outra Arma Curta D",620,IF(Atletas!R499="Dao E",621,IF(Atletas!R499="Jian E",622,IF(Atletas!R499="Bishou E",623,IF(Atletas!R499="Shanzi E",624,IF(Atletas!R499="Outra Arma Curta E",625,IF(Atletas!R499="Dao F",626,IF(Atletas!R499="Jian F",627,IF(Atletas!R499="Bishou F",628,IF(Atletas!R499="Shanzi F",629,IF(Atletas!R499="Outra Arma Curta F",630, "")))))))))))))))))))))))))))))))</f>
        <v/>
      </c>
      <c r="CA508" s="50" t="str">
        <f>IF(Atletas!S499="","",IF(Atletas!X499&lt;&gt;"",10000,0)+IF(Atletas!B499="Feminino",1000,IF(Atletas!B499="Masculino",2000,""))+IF(Atletas!S499="Gun A",701,IF(Atletas!S499="Qiang A",702,IF(Atletas!S499="Pudao / Guandao A",703,IF(Atletas!S499="Outra Arma Longa A",704,IF(Atletas!S499="Gun B",705,IF(Atletas!S499="Qiang B",706,IF(Atletas!S499="Pudao / Guandao B",707,IF(Atletas!S499="Outra Arma Longa B",708,IF(Atletas!S499="Gun C",709,IF(Atletas!S499="Qiang C",710,IF(Atletas!S499="Pudao / Guandao C",711,IF(Atletas!S499="Outra Arma Longa C",712,IF(Atletas!S499="Gun D",713,IF(Atletas!S499="Qiang D",714,IF(Atletas!S499="Pudao / Guandao D",715,IF(Atletas!S499="Outra Arma Longa D",716,IF(Atletas!S499="Gun E",717,IF(Atletas!S499="Qiang E",718,IF(Atletas!S499="Pudao / Guandao E",719,IF(Atletas!S499="Outra Arma Longa E",720,IF(Atletas!S499="Gun F",721,IF(Atletas!S499="Qiang F",722,IF(Atletas!S499="Pudao / Guandao F",723,IF(Atletas!S499="Outra Arma Longa F",724,"")))))))))))))))))))))))))</f>
        <v/>
      </c>
      <c r="CB508" s="50" t="str">
        <f>IF(Atletas!T499="","",IF(Atletas!X499&lt;&gt;"",10000,0)+IF(Atletas!B499="Feminino",1000,IF(Atletas!B499="Masculino",2000,""))+IF(Atletas!T499="Outra Arma Dupla A",801,IF(Atletas!T499="Arma Maleável A",802,IF(Atletas!T499="Outra Arma Dupla B",803,IF(Atletas!T499="Arma Maleável B",804,IF(Atletas!T499="Outra Arma Dupla C",805,IF(Atletas!T499="Arma Maleável C",806,IF(Atletas!T499="Outra Arma Dupla D",807,IF(Atletas!T499="Arma Maleável D",808,IF(Atletas!T499="Outra Arma Dupla E",809,IF(Atletas!T499="Arma Maleável E",810,IF(Atletas!T499="Outra Arma Dupla F",811,IF(Atletas!T499="Arma Maleável F",812,IF(Atletas!T499="Shuangdao A",813,IF(Atletas!T499="Shuangdao B",814,IF(Atletas!T499="Shuangdao C",815,IF(Atletas!T499="Shuangdao D",816,IF(Atletas!T499="Shuangdao E",817,IF(Atletas!T499="Shuangdao F",818,"")))))))))))))))))))</f>
        <v/>
      </c>
      <c r="CC508" s="50" t="str">
        <f>IF(Atletas!U499="","",IF(Atletas!X499&lt;&gt;"",10000,0)+IF(Atletas!B499="Feminino",1000,IF(Atletas!B499="Masculino",2000,""))+IF(OR(Atletas!U499="Taijijian Yang A",Atletas!U499="Taijijian Yang Standard A"),901,IF(OR(Atletas!U499="Taijijian Chen A", Atletas!U499="Taijijian Chen Standard A"),902,IF(Atletas!U499="Taijijian Sun A",903,IF(Atletas!U499="Taijijian Wu A",904,IF(Atletas!U499="Taijijian Wu-Hao A",905,IF(OR(Atletas!U499="Taijijian 32 A",Atletas!U499="Taijijian 42 A"),906,IF(OR(Atletas!U499="Taijijian Yang B",Atletas!U499="Taijijian Yang Standard B"),907,IF(OR(Atletas!U499="Taijijian Chen B", Atletas!U499="Taijijian Chen Standard B"),908,IF(Atletas!U499="Taijijian Sun B",909,IF(Atletas!U499="Taijijian Wu B",910,IF(Atletas!U499="Taijijian Wu-Hao B",911,IF(OR(Atletas!U499="Taijijian 32 B",Atletas!U499="Taijijian 42 B"),912,IF(OR(Atletas!U499="Taijijian Yang C",Atletas!U499="Taijijian Yang Standard C"),913,IF(OR(Atletas!U499="Taijijian Chen C", Atletas!U499="Taijijian Chen Standard C"),914,IF(Atletas!U499="Taijijian Sun C",915,IF(Atletas!U499="Taijijian Wu C",916,IF(Atletas!U499="Taijijian Wu-Hao C",917,IF(OR(Atletas!U499="Taijijian 32 C",Atletas!U499="Taijijian 42 C"),918,IF(OR(Atletas!U499="Taijijian Yang D",Atletas!U499="Taijijian Yang Standard D"),919,IF(OR(Atletas!U499="Taijijian Chen D", Atletas!U499="Taijijian Chen Standard D"),920,IF(Atletas!U499="Taijijian Sun D",921,IF(Atletas!U499="Taijijian Wu D",922,IF(Atletas!U499="Taijijian Wu-Hao D",923,IF(OR(Atletas!U499="Taijijian 32 D",Atletas!U499="Taijijian 42 D"),924,IF(OR(Atletas!U499="Taijijian Yang E",Atletas!U499="Taijijian Yang Standard E"),925,IF(OR(Atletas!U499="Taijijian Chen E", Atletas!U499="Taijijian Chen Standard E"),926,IF(Atletas!U499="Taijijian Sun E",927,IF(Atletas!U499="Taijijian Wu E",928,IF(Atletas!U499="Taijijian Wu-Hao E",929,IF(OR(Atletas!U499="Taijijian 32 E",Atletas!U499="Taijijian 42 E"),930,IF(OR(Atletas!U499="Taijijian Yang F",Atletas!U499="Taijijian Yang Standard F"),931,IF(OR(Atletas!U499="Taijijian Chen F", Atletas!U499="Taijijian Chen Standard F"),932,IF(Atletas!U499="Taijijian Sun F",933,IF(Atletas!U499="Taijijian Wu F",934,IF(Atletas!U499="Taijijian Wu-Hao F",935,IF(OR(Atletas!U499="Taijijian 32 F",Atletas!U499="Taijijian 42 F"),936,"")))))))))))))))))))))))))))))))))))))</f>
        <v/>
      </c>
      <c r="CD508" s="50" t="str">
        <f>IF(Atletas!V499="","",IF(Atletas!X499&lt;&gt;"",10000,0)+IF(Atletas!B499="Feminino",1000,IF(Atletas!B499="Masculino",2000,""))+IF(Atletas!V499="Taijidao A",937,IF(Atletas!V499="TaijiShanzi A",938,IF(Atletas!V499="Taijiqiang A",939,IF(Atletas!V499="Bagua de Arma A",940,IF(Atletas!V499="Xingyi de Arma A",941,IF(Atletas!V499="Taijidao B",942,IF(Atletas!V499="TaijiShanzi B",943,IF(Atletas!V499="Taijiqiang B",944,IF(Atletas!V499="Bagua de Arma B",945,IF(Atletas!V499="Xingyi de Arma B",946,IF(Atletas!V499="Taijidao C",947,IF(Atletas!V499="TaijiShanzi C",948,IF(Atletas!V499="Taijiqiang C",949,IF(Atletas!V499="Bagua de Arma C",950,IF(Atletas!V499="Xingyi de Arma C",951,IF(Atletas!V499="Taijidao D",952,IF(Atletas!V499="TaijiShanzi D",953,IF(Atletas!V499="Taijiqiang D",954,IF(Atletas!V499="Bagua de Arma D",955,IF(Atletas!V499="Xingyi de Arma D",956,IF(Atletas!V499="Taijidao E",957,IF(Atletas!V499="TaijiShanzi E",958,IF(Atletas!V499="Taijiqiang E",959,IF(Atletas!V499="Bagua de Arma E",960,IF(Atletas!V499="Xingyi de Arma E",961,IF(Atletas!V499="Taijidao F",962,IF(Atletas!V499="TaijiShanzi F",963,IF(Atletas!V499="Taijiqiang F",964,IF(Atletas!V499="Bagua de Arma F",965,IF(Atletas!V499="Xingyi de Arma F",966,"")))))))))))))))))))))))))))))))</f>
        <v/>
      </c>
      <c r="CM508" s="50" t="str">
        <f xml:space="preserve"> IF(Atletas!W499="","",IF(Atletas!W499="Duilian de Mãos BC - Equipe 1",1,IF(Atletas!W499="Duilian de Mãos BC - Equipe 2",2,IF(Atletas!W499="Duilian de Armas BC - Equipe 1",3,IF(Atletas!W499="Duilian de Armas BC - Equipe 2",4,IF(Atletas!W499="Duilian de Mãos DE - Equipe 1",5,IF(Atletas!W499="Duilian de Mãos DE - Equipe 2",6,IF(Atletas!W499="Duilian de Armas DE - Equipe 1",7,IF(Atletas!W499="Duilian de Armas DE - Equipe 2",8,IF(Atletas!W499="Duilian de Tuishou - Equipe 1",9,IF(Atletas!W499="Duilian de Tuishou - Equipe 2",10,IF(Atletas!W499="Grupo Externo ABC - Equipe 1",11,IF(Atletas!W499="Grupo Externo ABC - Equipe 2",12,IF(Atletas!W499="Grupo Interno ABC - Equipe 1",13,IF(Atletas!W499="Grupo Interno ABC - Equipe 2",14,IF(Atletas!W499="Grupo Externo DEF - Equipe 1",15,IF(Atletas!W499="Grupo Externo DEF - Equipe 2",16,IF(Atletas!W499="Grupo Interno DEF - Equipe 1",17,IF(Atletas!W499="Grupo Interno DEF - Equipe 2",18,"")))))))))))))))))))</f>
        <v/>
      </c>
    </row>
    <row r="509" spans="40:91">
      <c r="AN509" s="52" t="str">
        <f>IF(Atletas!D500="","",IF(Atletas!B500="Feminino",100,IF(Atletas!B500="Masculino",200,""))+(IF(Atletas!D500="Kids 30kg",1,IF(Atletas!D500="Kids 32kg",2, IF(Atletas!D500="Kids 34kg",3,IF(Atletas!D500="Kids 36kg",4,IF(Atletas!D500="Kids 39kg",5,IF(Atletas!D500="Kids 42kg",6,IF(Atletas!D500="Kids 45kg",7, IF(Atletas!D500="Infantil 39kg",8,IF(Atletas!D500="Infantil 42kg",9,IF(Atletas!D500="Infantil 45kg",10,IF(Atletas!D500="Infantil 48kg",11,IF(Atletas!D500="Infantil 52kg",12,IF(Atletas!D500="Infantil 56kg",13,IF(Atletas!D500="Infantil 60kg",14,IF(Atletas!D500="Juvenil 48kg",15,IF(Atletas!D500="Juvenil 52kg",16,IF(Atletas!D500="Juvenil 56kg",17,IF(Atletas!D500="Juvenil 60kg",18,IF(Atletas!D500="Juvenil 65kg",19,IF(Atletas!D500="Juvenil 70kg",20,IF(Atletas!D500="Juvenil 75kg",21,IF(Atletas!D500="Juvenil 80kg",22, IF(Atletas!D500="Juvenil 85kg",23,IF(Atletas!D500="Adulto 48kg",24,IF(Atletas!D500="Adulto 52kg",25,IF(Atletas!D500="Adulto 56kg",26,IF(Atletas!D500="Adulto 60kg",27,IF(Atletas!D500="Adulto 65kg",28,IF(Atletas!D500="Adulto 70kg",29,IF(Atletas!D500="Adulto 75kg",30,IF(Atletas!D500="Adulto 80kg",31,IF(Atletas!D500="Adulto 85kg",32,IF(Atletas!D500="Adulto 90kg",33,IF(Atletas!D500="Adulto 100kg",34, IF(Atletas!D500="Adulto +100kg",35,"")))))))))))))))))))))))))))))))))))))</f>
        <v/>
      </c>
      <c r="AS509" s="6" t="str">
        <f>IF(Atletas!E500="","",IF(Atletas!B500="Feminino",100,IF(Atletas!B500="Masculino",200,""))+(IF(Atletas!E500="Juvenil 44kg",1,IF(Atletas!E500="Juvenil 48kg",2,IF(Atletas!E500="Juvenil 52kg",3,IF(Atletas!E500="Juvenil 56kg",4,IF(Atletas!E500="Juvenil 60kg",5,IF(Atletas!E500="Juvenil 65kg",6,IF(Atletas!E500="Juvenil 70kg",7,IF(Atletas!E500="Juvenil 75kg",8,IF(Atletas!E500="Juvenil 82kg",9,IF(Atletas!E500="Juvenil 90kg",10,IF(Atletas!E500="Juvenil 100kg",11,IF(Atletas!E500="Adulto 48kg",12,IF(Atletas!E500="Adulto 52kg",13,IF(Atletas!E500="Adulto 56kg",14,IF(Atletas!E500="Adulto 60kg",15,IF(Atletas!E500="Adulto 65kg",16,IF(Atletas!E500="Adulto 70kg",17,IF(Atletas!E500="Adulto 75kg",18,IF(Atletas!E500="Adulto 82kg",19,IF(Atletas!E500="Adulto 90kg",20,IF(Atletas!E500="Adulto 100kg",21,IF(Atletas!E500="Adulto +100kg",22,""))))))))))))))))))))))))</f>
        <v/>
      </c>
      <c r="AX509" s="6" t="str">
        <f>IF(Atletas!F500="","",IF(Atletas!B500="Feminino",100,IF(Atletas!B500="Masculino",200,""))+(IF(Atletas!F500="Adulto 48kg",1,IF(Atletas!F500="Adulto 56kg",2,IF(Atletas!F500="Adulto 65kg",3,IF(Atletas!F500="Adulto 75kg",4,IF(Atletas!F500="Adulto +75kg",5,IF(Atletas!F500="Adulto 52kg",6,IF(Atletas!F500="Adulto 60kg",7,IF(Atletas!F500="Adulto 70kg",8,IF(Atletas!F500="Adulto 80kg",9,IF(Atletas!F500="Adulto 90kg",10,IF(Atletas!F500="Adulto +90kg",11,"")))))))))))))</f>
        <v/>
      </c>
      <c r="BC509" s="6" t="str">
        <f>IF(Atletas!G500="","",IF(Atletas!B500="Feminino",10,IF(Atletas!B500="Masculino",20,""))+(IF(Atletas!G500="Baduanjin A",1,IF(Atletas!G500="Baduanjin B",2))))</f>
        <v/>
      </c>
      <c r="BF509" s="52" t="str">
        <f>IF(Atletas!H500="","",IF(Atletas!B500="Feminino",100,IF(Atletas!B500="Masculino",200,""))+(IF(Atletas!H500="Changquan Mirim",1,IF(Atletas!H500="Nanquan Mirim",2,IF(Atletas!H500="Taijiquan Mirim",3,IF(Atletas!H500="Changquan Grupo C",4,IF(Atletas!H500="Nanquan Grupo C",5,IF(Atletas!H500="Taijiquan Grupo C",6,IF(Atletas!H500="Changquan Grupo B",7,IF(Atletas!H500="Nanquan Grupo B",8,IF(Atletas!H500="Taijiquan Grupo B",9,IF(Atletas!H500="Changquan Grupo A",10,IF(Atletas!H500="Nanquan Grupo A",11,IF(Atletas!H500="Taijiquan Grupo A",12,IF(Atletas!H500="Changquan Opcional",13,IF(Atletas!H500="Nanquan Opcional",14,IF(Atletas!H500="Taijiquan Opcional",15,IF(Atletas!H500="Changquan Adulto",16,IF(Atletas!H500="Nanquan Adulto",17,IF(Atletas!H500="Taijiquan Adulto",18,""))))))))))))))))))))</f>
        <v/>
      </c>
      <c r="BG509" s="52" t="str">
        <f>IF(Atletas!I500="","",IF(Atletas!B500="Feminino",100,IF(Atletas!B500="Masculino",200,""))+(IF(Atletas!I500="Daoshu Mirim",19,IF(Atletas!I500="Jianshu Mirim",20,IF(Atletas!I500="Nandao Mirim",21,IF(Atletas!I500="Taijijian Mirim",22,IF(Atletas!I500="Daoshu Grupo C",23,IF(Atletas!I500="Jianshu Grupo C",24,IF(Atletas!I500="Nandao Grupo C",25,IF(Atletas!I500="Taijijian Grupo C",26,IF(Atletas!I500="Daoshu Grupo B",27,IF(Atletas!I500="Jianshu Grupo B",28,IF(Atletas!I500="Nandao Grupo B",29,IF(Atletas!I500="Taijijian Grupo B",30,IF(Atletas!I500="Daoshu Grupo A",31,IF(Atletas!I500="Jianshu Grupo A",32,IF(Atletas!I500="Nandao Grupo A",33,IF(Atletas!I500="Taijijian Grupo A",34,IF(Atletas!I500="Daoshu Opcional",35,IF(Atletas!I500="Jianshu Opcional",36,IF(Atletas!I500="Nandao Opcional",37,IF(Atletas!I500="Taijijian Opcional",38,IF(Atletas!I500="Daoshu Adulto",39,IF(Atletas!I500="Jianshu Adulto",40,IF(Atletas!I500="Nandao Adulto",41,IF(Atletas!I500="Taijijian Adulto",42,""))))))))))))))))))))))))))</f>
        <v/>
      </c>
      <c r="BH509" s="52" t="str">
        <f>IF(Atletas!J500="","",IF(Atletas!B500="Feminino",100,IF(Atletas!B500="Masculino",200,""))+(IF(Atletas!J500="Gunshu Mirim",43,IF(Atletas!J500="Qiangshu Mirim",44,IF(Atletas!J500="Nangun Mirim",45,IF(Atletas!J500="Gunshu Grupo C",46,IF(Atletas!J500="Qiangshu Grupo C",47,IF(Atletas!J500="Nangun Grupo C",48,IF(Atletas!J500="Gunshu Grupo B",49,IF(Atletas!J500="Qiangshu Grupo B",50,IF(Atletas!J500="Nangun Grupo B",51,IF(Atletas!J500="Gunshu Grupo A",52,IF(Atletas!J500="Qiangshu Grupo A",53,IF(Atletas!J500="Nangun Grupo A",54,IF(Atletas!J500="Gunshu Opcional",55,IF(Atletas!J500="Qiangshu Opcional",56,IF(Atletas!J500="Nangun Opcional",57,IF(Atletas!J500="Gunshu Adulto",58,IF(Atletas!J500="Qiangshu Adulto",59,IF(Atletas!J500="Nangun Adulto",60,IF(Atletas!J500="Taijishan Grupo B",61,IF(Atletas!J500="Taijishan Grupo A",62,""))))))))))))))))))))))</f>
        <v/>
      </c>
      <c r="BM509" s="50" t="str">
        <f>IF(Atletas!K500="","",IF(Atletas!B500="Feminino",100,IF(Atletas!B500="Masculino",200,""))+(IF(Atletas!K500="Equipe 1 Grupo B",1,IF(Atletas!K500="Equipe 2 Grupo B",2,IF(Atletas!K500="Equipe 1 Grupo A",3,IF(Atletas!K500="Equipe 2 Grupo A",4,IF(Atletas!K500="Equipe 1 Adulto",5,IF(Atletas!K500="Equipe 2 Adulto",6,""))))))))</f>
        <v/>
      </c>
      <c r="BR509" s="50" t="str">
        <f>IF(Atletas!L500="","",IF(Atletas!X500&lt;&gt;"",10000,0)+(IF(Atletas!B500="Feminino",1000,IF(Atletas!B500="Masculino",2000,""))+IF(Atletas!L500="Choylayfut A",1,IF(Atletas!L500="Hunggar A",2,IF(Atletas!L500="Wuzuquan A",3,IF(Atletas!L500="Wingchun A",4,IF(Atletas!L500="Outra Mão de Sul A",5,IF(Atletas!L500="Choylayfut B",6,IF(Atletas!L500="Hunggar B",7,IF(Atletas!L500="Wuzuquan B",8,IF(Atletas!L500="Wingchun B",9,IF(Atletas!L500="Outra Mão de Sul B",10,IF(Atletas!L500="Choylayfut C",11,IF(Atletas!L500="Hunggar C",12,IF(Atletas!L500="Wuzuquan C",13,IF(Atletas!L500="Wingchun C",14,IF(Atletas!L500="Outra Mão de Sul C",15,IF(Atletas!L500="Choylayfut D",16,IF(Atletas!L500="Hunggar D",17,IF(Atletas!L500="Wuzuquan D",18,IF(Atletas!L500="Wingchun D",19,IF(Atletas!L500="Outra Mão de Sul D",20,IF(Atletas!L500="Choylayfut E",21,IF(Atletas!L500="Hunggar E",22,IF(Atletas!L500="Wuzuquan E",23,IF(Atletas!L500="Wingchun E",24,IF(Atletas!L500="Outra Mão de Sul E",25,IF(Atletas!L500="Choylayfut F",26,IF(Atletas!L500="Hunggar F",27,IF(Atletas!L500="Wuzuquan F",28,IF(Atletas!L500="Wingchun F",29,IF(Atletas!L500="Outra Mão de Sul F",30,IF(Atletas!L500="Dishuquan A",31,IF(Atletas!L500="Dishuquan B",32,IF(Atletas!L500="Dishuquan C",33,IF(Atletas!L500="Dishuquan D",34,IF(Atletas!L500="Dishuquan E",35,IF(Atletas!L500="Dishuquan F",36,""))))))))))))))))))))))))))))))))))))))</f>
        <v/>
      </c>
      <c r="BS509" s="50" t="str">
        <f>IF(Atletas!M500="","",IF(Atletas!X500&lt;&gt;"",10000,0)+(IF(Atletas!B500="Feminino",1000,IF(Atletas!B500="Masculino",2000,""))+(IF(Atletas!M500="Chaquan A",101,IF(Atletas!M500="Emeiquan A",102,IF(Atletas!M500="Fanziquan A",103,IF(Atletas!M500="Huaquan A",104,IF(Atletas!M500="Hongquan A",105,IF(Atletas!M500="Paoquan A",106,IF(Atletas!M500="Piguaquan A",107,IF(Atletas!M500="Shaolinquan A",108,IF(Atletas!M500="Tanglangquan A",109,IF(Atletas!M500="Yingzhaoquan A",110,IF(Atletas!M500="Tongbeiquan A",111,IF(Atletas!M500="Wudangquan A",112,IF(Atletas!M500="Outros Estilos A",113,IF(Atletas!M500="Chaquan B",114,IF(Atletas!M500="Emeiquan B",115,IF(Atletas!M500="Fanziquan B",116,IF(Atletas!M500="Huaquan B",117,IF(Atletas!M500="Hongquan B",118,IF(Atletas!M500="Paoquan B",119,IF(Atletas!M500="Piguaquan B",120,IF(Atletas!M500="Shaolinquan B",121,IF(Atletas!M500="Tanglangquan B",122,IF(Atletas!M500="Yingzhaoquan B",123,IF(Atletas!M500="Tongbeiquan B",124,IF(Atletas!M500="Wudangquan B",125,IF(Atletas!M500="Outros Estilos B",126,IF(Atletas!M500="Chaquan C",127,IF(Atletas!M500="Emeiquan C",128,IF(Atletas!M500="Fanziquan C",129,IF(Atletas!M500="Huaquan C",130,IF(Atletas!M500="Hongquan C",131,IF(Atletas!M500="Paoquan C",132,IF(Atletas!M500="Piguaquan C",133,IF(Atletas!M500="Shaolinquan C",134,IF(Atletas!M500="Tanglangquan C",135,IF(Atletas!M500="Yingzhaoquan C",136,IF(Atletas!M500="Tongbeiquan C",137,IF(Atletas!M500="Wudangquan C",138,IF(Atletas!M500="Outros Estilos C",139,0))))))))))))))))))))))))))))))))))))))))))</f>
        <v/>
      </c>
      <c r="BT509" s="50" t="str">
        <f>IF(Atletas!M500="","",IF(Atletas!X500&lt;&gt;"",10000,0)+(IF(Atletas!B500="Feminino",1000,IF(Atletas!B500="Masculino",2000,""))+(IF(Atletas!M500="Chaquan D",140,IF(Atletas!M500="Emeiquan D",141,IF(Atletas!M500="Fanziquan D",142,IF(Atletas!M500="Huaquan D",143,IF(Atletas!M500="Hongquan D",144,IF(Atletas!M500="Paoquan D",145,IF(Atletas!M500="Piguaquan D",146,IF(Atletas!M500="Shaolinquan D",147,IF(Atletas!M500="Tanglangquan D",148,IF(Atletas!M500="Yingzhaoquan D",149,IF(Atletas!M500="Tongbeiquan D",150,IF(Atletas!M500="Wudangquan D",151,IF(Atletas!M500="Outros Estilos D",152,IF(Atletas!M500="Chaquan E",153,IF(Atletas!M500="Emeiquan E",154,IF(Atletas!M500="Fanziquan E",155,IF(Atletas!M500="Huaquan E",156,IF(Atletas!M500="Hongquan E",157,IF(Atletas!M500="Paoquan E",158,IF(Atletas!M500="Piguaquan E",159,IF(Atletas!M500="Shaolinquan E",160,IF(Atletas!M500="Tanglangquan E",161,IF(Atletas!M500="Yingzhaoquan E",162,IF(Atletas!M500="Tongbeiquan E",163,IF(Atletas!M500="Wudangquan E",164,IF(Atletas!M500="Outros Estilos E",165,IF(Atletas!M500="Chaquan F",166,IF(Atletas!M500="Emeiquan F",167,IF(Atletas!M500="Fanziquan F",168,IF(Atletas!M500="Huaquan F",169,IF(Atletas!M500="Hongquan F",170,IF(Atletas!M500="Paoquan F",171,IF(Atletas!M500="Piguaquan F",172,IF(Atletas!M500="Shaolinquan F",173,IF(Atletas!M500="Tanglangquan F",174,IF(Atletas!M500="Yingzhaoquan F",175,IF(Atletas!M500="Tongbeiquan F",176,IF(Atletas!M500="Wudangquan F",177,IF(Atletas!M500="Outros Estilos F",178,0))))))))))))))))))))))))))))))))))))))))))</f>
        <v/>
      </c>
      <c r="BU509" s="50" t="str">
        <f>IF(Atletas!N500="","",IF(Atletas!X500&lt;&gt;"",10000,0)+(IF(Atletas!B500="Feminino",1000,IF(Atletas!B500="Masculino",2000,""))+(IF(Atletas!N500="Ditangquan A",201,IF(Atletas!N500="Houquan A",202,IF(Atletas!N500="Zuiquan A",203,IF(Atletas!N500="Ditangquan B",204,IF(Atletas!N500="Houquan B",205,IF(Atletas!N500="Zuiquan B",206,IF(Atletas!N500="Ditangquan C",207,IF(Atletas!N500="Houquan C",208,IF(Atletas!N500="Zuiquan C",209,IF(Atletas!N500="Ditangquan D",210,IF(Atletas!N500="Houquan D",211,IF(Atletas!N500="Zuiquan D",212,IF(Atletas!N500="Ditangquan E",213,IF(Atletas!N500="Houquan E",214,IF(Atletas!N500="Zuiquan E",215,IF(Atletas!N500="Ditangquan F",216,IF(Atletas!N500="Houquan F",217,IF(Atletas!N500="Zuiquan F",218,"")))))))))))))))))))))</f>
        <v/>
      </c>
      <c r="BV509" s="50" t="str">
        <f>IF(Atletas!O500="","",IF(Atletas!X500&lt;&gt;"",10000,0)+IF(Atletas!B500="Feminino",1000,IF(Atletas!B500="Masculino",2000,""))+IF(Atletas!O500="Yang A",301,IF(Atletas!O500="Chen A",302,IF(Atletas!O500="Sun A",303,IF(Atletas!O500="Wu A",304,IF(Atletas!O500="Wu-Hao A",305,IF(Atletas!O500="Outro Taijiquan A",306,IF(Atletas!O500="Yang B",307,IF(Atletas!O500="Chen B",308,IF(Atletas!O500="Sun B",309,IF(Atletas!O500="Wu B",310,IF(Atletas!O500="Wu-Hao B",311,IF(Atletas!O500="Outro Taijiquan B",312,IF(Atletas!O500="Yang C",313,IF(Atletas!O500="Chen C",314,IF(Atletas!O500="Sun C",315,IF(Atletas!O500="Wu C",316,IF(Atletas!O500="Wu-Hao C",317,IF(Atletas!O500="Outro Taijiquan C",318,IF(Atletas!O500="Yang D",319,IF(Atletas!O500="Chen D",320,IF(Atletas!O500="Sun D",321,IF(Atletas!O500="Wu D",322,IF(Atletas!O500="Wu-Hao D",323,IF(Atletas!O500="Outro Taijiquan D",324,IF(Atletas!O500="Yang E",325,IF(Atletas!O500="Chen E",326,IF(Atletas!O500="Sun E",327,IF(Atletas!O500="Wu E",328,IF(Atletas!O500="Wu-Hao E",329,IF(Atletas!O500="Outro Taijiquan E",330,IF(Atletas!O500="Yang F",331,IF(Atletas!O500="Chen F",332,IF(Atletas!O500="Sun F",333,IF(Atletas!O500="Wu F",334,IF(Atletas!O500="Wu-Hao F",335,IF(Atletas!O500="Outro Taijiquan F",336,"")))))))))))))))))))))))))))))))))))))</f>
        <v/>
      </c>
      <c r="BW509" s="50" t="str">
        <f>IF(Atletas!P500="","",IF(Atletas!X500&lt;&gt;"",10000,0)+IF(Atletas!B500="Feminino",1000,IF(Atletas!B500="Masculino",2000,""))+IF(OR(Atletas!P500="Yang 26 A",Atletas!P500="Yang 40 A"),401,IF(OR(Atletas!P500="Chen 25 A",Atletas!P500="Chen 36 A",Atletas!P500="Chen 56 A"),402,IF(Atletas!P500="Sun 73 A",403,IF(Atletas!P500="Wu 45 A",404,IF(Atletas!P500="Wu-Hao 46 A",405,IF(OR(Atletas!P500="Taijiquan 16 A",Atletas!P500="Taijiquan 24 A",Atletas!P500="Taijiquan 32 A",Atletas!P500="Taijiquan 42 A"),406,IF(OR(Atletas!P500="Yang 26 B",Atletas!P500="Yang 40 B"),407,IF(OR(Atletas!P500="Chen 25 B",Atletas!P500="Chen 36 B",Atletas!P500="Chen 56 B"),408,IF(Atletas!P500="Sun 73 B",409,IF(Atletas!P500="Wu 45 B",410,IF(Atletas!P500="Wu-Hao 46 B",411,IF(OR(Atletas!P500="Taijiquan 16 B",Atletas!P500="Taijiquan 24 B",Atletas!P500="Taijiquan 32 B",Atletas!P500="Taijiquan 42 B"),412,IF(OR(Atletas!P500="Yang 26 C",Atletas!P500="Yang 40 C"),413,IF(OR(Atletas!P500="Chen 25 C",Atletas!P500="Chen 36 C",Atletas!P500="Chen 56 C"),414,IF(Atletas!P500="Sun 73 C",415,IF(Atletas!P500="Wu 45 C",416,IF(Atletas!P500="Wu-Hao 46 C",417,IF(OR(Atletas!P500="Taijiquan 16 C",Atletas!P500="Taijiquan 24 C",Atletas!P500="Taijiquan 32 C",Atletas!P500="Taijiquan 42 C"),418,0)))))))))))))))))))</f>
        <v/>
      </c>
      <c r="BX509" s="50" t="str">
        <f>IF(Atletas!P500="","",IF(Atletas!X500&lt;&gt;"",10000,0)+IF(Atletas!B500="Feminino",1000,IF(Atletas!B500="Masculino",2000,""))+IF(OR(Atletas!P500="Yang 26 D",Atletas!P500="Yang 40 D"),419,IF(OR(Atletas!P500="Chen 25 D",Atletas!P500="Chen 36 D",Atletas!P500="Chen 56 D"),420,IF(Atletas!P500="Sun 73 D",421,IF(Atletas!P500="Wu 45 D",422,IF(Atletas!P500="Wu-Hao 46 D",423,IF(OR(Atletas!P500="Taijiquan 16 D",Atletas!P500="Taijiquan 24 D",Atletas!P500="Taijiquan 32 D",Atletas!P500="Taijiquan 42 D"),424,IF(OR(Atletas!P500="Yang 26 E",Atletas!P500="Yang 40 E"),425,IF(OR(Atletas!P500="Chen 25 E",Atletas!P500="Chen 36 E",Atletas!P500="Chen 56 E"),426,IF(Atletas!P500="Sun 73 E",427,IF(Atletas!P500="Wu 45 E",428,IF(Atletas!P500="Wu-Hao 46 E",429,IF(OR(Atletas!P500="Taijiquan 16 E",Atletas!P500="Taijiquan 24 E",Atletas!P500="Taijiquan 32 E",Atletas!P500="Taijiquan 42 E"),430,IF(OR(Atletas!P500="Yang 26 F",Atletas!P500="Yang 40 F"),431,IF(OR(Atletas!P500="Chen 25 F",Atletas!P500="Chen 36 F",Atletas!P500="Chen 56 F"),432,IF(Atletas!P500="Sun 73 F",433,IF(Atletas!P500="Wu 45 F",434,IF(Atletas!P500="Wu-Hao 46 F",435,IF(OR(Atletas!P500="Taijiquan 16 F",Atletas!P500="Taijiquan 24 F",Atletas!P500="Taijiquan 32 F",Atletas!P500="Taijiquan 42 F"),436,0)))))))))))))))))))</f>
        <v/>
      </c>
      <c r="BY509" s="50" t="str">
        <f>IF(Atletas!Q500="","",IF(Atletas!X500&lt;&gt;"",10000,0)+IF(Atletas!B500="Feminino",1000,IF(Atletas!B500="Masculino",2000,""))+IF(Atletas!Q500="Xingyiquan A",501,IF(Atletas!Q500="Baguazhang A",502,IF(Atletas!Q500="Outro Estilo Interno A",503,IF(Atletas!Q500="Xingyiquan B",504,IF(Atletas!Q500="Baguazhang B",505,IF(Atletas!Q500="Outro Estilo Interno B",506,IF(Atletas!Q500="Xingyiquan C",507,IF(Atletas!Q500="Baguazhang C",508,IF(Atletas!Q500="Outro Estilo Interno C",509,IF(Atletas!Q500="Xingyiquan D",510,IF(Atletas!Q500="Baguazhang D",511,IF(Atletas!Q500="Outro Estilo Interno D",512,IF(Atletas!Q500="Xingyiquan E",513,IF(Atletas!Q500="Baguazhang E",514,IF(Atletas!Q500="Outro Estilo Interno E",515,IF(Atletas!Q500="Xingyiquan F",516,IF(Atletas!Q500="Baguazhang F",517,IF(Atletas!Q500="Outro Estilo Interno F",518, "")))))))))))))))))))</f>
        <v/>
      </c>
      <c r="BZ509" s="50" t="str">
        <f>IF(Atletas!R500="","",IF(Atletas!X500&lt;&gt;"",10000,0)+IF(Atletas!B500="Feminino",1000,IF(Atletas!B500="Masculino",2000,""))+IF(Atletas!R500="Dao A",601,IF(Atletas!R500="Jian A",602,IF(Atletas!R500="Bishou A",603,IF(Atletas!R500="Shanzi A",604,IF(Atletas!R500="Outra Arma Curta A",605,IF(Atletas!R500="Dao B",606,IF(Atletas!R500="Jian B",607,IF(Atletas!R500="Bishou B",608,IF(Atletas!R500="Shanzi B",609,IF(Atletas!R500="Outra Arma Curta B",610,IF(Atletas!R500="Dao C",611,IF(Atletas!R500="Jian C",612,IF(Atletas!R500="Bishou C",613,IF(Atletas!R500="Shanzi C",614,IF(Atletas!R500="Outra Arma Curta C",615,IF(Atletas!R500="Dao D",616,IF(Atletas!R500="Jian D",617,IF(Atletas!R500="Bishou D",618,IF(Atletas!R500="Shanzi D",619,IF(Atletas!R500="Outra Arma Curta D",620,IF(Atletas!R500="Dao E",621,IF(Atletas!R500="Jian E",622,IF(Atletas!R500="Bishou E",623,IF(Atletas!R500="Shanzi E",624,IF(Atletas!R500="Outra Arma Curta E",625,IF(Atletas!R500="Dao F",626,IF(Atletas!R500="Jian F",627,IF(Atletas!R500="Bishou F",628,IF(Atletas!R500="Shanzi F",629,IF(Atletas!R500="Outra Arma Curta F",630, "")))))))))))))))))))))))))))))))</f>
        <v/>
      </c>
      <c r="CA509" s="50" t="str">
        <f>IF(Atletas!S500="","",IF(Atletas!X500&lt;&gt;"",10000,0)+IF(Atletas!B500="Feminino",1000,IF(Atletas!B500="Masculino",2000,""))+IF(Atletas!S500="Gun A",701,IF(Atletas!S500="Qiang A",702,IF(Atletas!S500="Pudao / Guandao A",703,IF(Atletas!S500="Outra Arma Longa A",704,IF(Atletas!S500="Gun B",705,IF(Atletas!S500="Qiang B",706,IF(Atletas!S500="Pudao / Guandao B",707,IF(Atletas!S500="Outra Arma Longa B",708,IF(Atletas!S500="Gun C",709,IF(Atletas!S500="Qiang C",710,IF(Atletas!S500="Pudao / Guandao C",711,IF(Atletas!S500="Outra Arma Longa C",712,IF(Atletas!S500="Gun D",713,IF(Atletas!S500="Qiang D",714,IF(Atletas!S500="Pudao / Guandao D",715,IF(Atletas!S500="Outra Arma Longa D",716,IF(Atletas!S500="Gun E",717,IF(Atletas!S500="Qiang E",718,IF(Atletas!S500="Pudao / Guandao E",719,IF(Atletas!S500="Outra Arma Longa E",720,IF(Atletas!S500="Gun F",721,IF(Atletas!S500="Qiang F",722,IF(Atletas!S500="Pudao / Guandao F",723,IF(Atletas!S500="Outra Arma Longa F",724,"")))))))))))))))))))))))))</f>
        <v/>
      </c>
      <c r="CB509" s="50" t="str">
        <f>IF(Atletas!T500="","",IF(Atletas!X500&lt;&gt;"",10000,0)+IF(Atletas!B500="Feminino",1000,IF(Atletas!B500="Masculino",2000,""))+IF(Atletas!T500="Outra Arma Dupla A",801,IF(Atletas!T500="Arma Maleável A",802,IF(Atletas!T500="Outra Arma Dupla B",803,IF(Atletas!T500="Arma Maleável B",804,IF(Atletas!T500="Outra Arma Dupla C",805,IF(Atletas!T500="Arma Maleável C",806,IF(Atletas!T500="Outra Arma Dupla D",807,IF(Atletas!T500="Arma Maleável D",808,IF(Atletas!T500="Outra Arma Dupla E",809,IF(Atletas!T500="Arma Maleável E",810,IF(Atletas!T500="Outra Arma Dupla F",811,IF(Atletas!T500="Arma Maleável F",812,IF(Atletas!T500="Shuangdao A",813,IF(Atletas!T500="Shuangdao B",814,IF(Atletas!T500="Shuangdao C",815,IF(Atletas!T500="Shuangdao D",816,IF(Atletas!T500="Shuangdao E",817,IF(Atletas!T500="Shuangdao F",818,"")))))))))))))))))))</f>
        <v/>
      </c>
      <c r="CC509" s="50" t="str">
        <f>IF(Atletas!U500="","",IF(Atletas!X500&lt;&gt;"",10000,0)+IF(Atletas!B500="Feminino",1000,IF(Atletas!B500="Masculino",2000,""))+IF(OR(Atletas!U500="Taijijian Yang A",Atletas!U500="Taijijian Yang Standard A"),901,IF(OR(Atletas!U500="Taijijian Chen A", Atletas!U500="Taijijian Chen Standard A"),902,IF(Atletas!U500="Taijijian Sun A",903,IF(Atletas!U500="Taijijian Wu A",904,IF(Atletas!U500="Taijijian Wu-Hao A",905,IF(OR(Atletas!U500="Taijijian 32 A",Atletas!U500="Taijijian 42 A"),906,IF(OR(Atletas!U500="Taijijian Yang B",Atletas!U500="Taijijian Yang Standard B"),907,IF(OR(Atletas!U500="Taijijian Chen B", Atletas!U500="Taijijian Chen Standard B"),908,IF(Atletas!U500="Taijijian Sun B",909,IF(Atletas!U500="Taijijian Wu B",910,IF(Atletas!U500="Taijijian Wu-Hao B",911,IF(OR(Atletas!U500="Taijijian 32 B",Atletas!U500="Taijijian 42 B"),912,IF(OR(Atletas!U500="Taijijian Yang C",Atletas!U500="Taijijian Yang Standard C"),913,IF(OR(Atletas!U500="Taijijian Chen C", Atletas!U500="Taijijian Chen Standard C"),914,IF(Atletas!U500="Taijijian Sun C",915,IF(Atletas!U500="Taijijian Wu C",916,IF(Atletas!U500="Taijijian Wu-Hao C",917,IF(OR(Atletas!U500="Taijijian 32 C",Atletas!U500="Taijijian 42 C"),918,IF(OR(Atletas!U500="Taijijian Yang D",Atletas!U500="Taijijian Yang Standard D"),919,IF(OR(Atletas!U500="Taijijian Chen D", Atletas!U500="Taijijian Chen Standard D"),920,IF(Atletas!U500="Taijijian Sun D",921,IF(Atletas!U500="Taijijian Wu D",922,IF(Atletas!U500="Taijijian Wu-Hao D",923,IF(OR(Atletas!U500="Taijijian 32 D",Atletas!U500="Taijijian 42 D"),924,IF(OR(Atletas!U500="Taijijian Yang E",Atletas!U500="Taijijian Yang Standard E"),925,IF(OR(Atletas!U500="Taijijian Chen E", Atletas!U500="Taijijian Chen Standard E"),926,IF(Atletas!U500="Taijijian Sun E",927,IF(Atletas!U500="Taijijian Wu E",928,IF(Atletas!U500="Taijijian Wu-Hao E",929,IF(OR(Atletas!U500="Taijijian 32 E",Atletas!U500="Taijijian 42 E"),930,IF(OR(Atletas!U500="Taijijian Yang F",Atletas!U500="Taijijian Yang Standard F"),931,IF(OR(Atletas!U500="Taijijian Chen F", Atletas!U500="Taijijian Chen Standard F"),932,IF(Atletas!U500="Taijijian Sun F",933,IF(Atletas!U500="Taijijian Wu F",934,IF(Atletas!U500="Taijijian Wu-Hao F",935,IF(OR(Atletas!U500="Taijijian 32 F",Atletas!U500="Taijijian 42 F"),936,"")))))))))))))))))))))))))))))))))))))</f>
        <v/>
      </c>
      <c r="CD509" s="50" t="str">
        <f>IF(Atletas!V500="","",IF(Atletas!X500&lt;&gt;"",10000,0)+IF(Atletas!B500="Feminino",1000,IF(Atletas!B500="Masculino",2000,""))+IF(Atletas!V500="Taijidao A",937,IF(Atletas!V500="TaijiShanzi A",938,IF(Atletas!V500="Taijiqiang A",939,IF(Atletas!V500="Bagua de Arma A",940,IF(Atletas!V500="Xingyi de Arma A",941,IF(Atletas!V500="Taijidao B",942,IF(Atletas!V500="TaijiShanzi B",943,IF(Atletas!V500="Taijiqiang B",944,IF(Atletas!V500="Bagua de Arma B",945,IF(Atletas!V500="Xingyi de Arma B",946,IF(Atletas!V500="Taijidao C",947,IF(Atletas!V500="TaijiShanzi C",948,IF(Atletas!V500="Taijiqiang C",949,IF(Atletas!V500="Bagua de Arma C",950,IF(Atletas!V500="Xingyi de Arma C",951,IF(Atletas!V500="Taijidao D",952,IF(Atletas!V500="TaijiShanzi D",953,IF(Atletas!V500="Taijiqiang D",954,IF(Atletas!V500="Bagua de Arma D",955,IF(Atletas!V500="Xingyi de Arma D",956,IF(Atletas!V500="Taijidao E",957,IF(Atletas!V500="TaijiShanzi E",958,IF(Atletas!V500="Taijiqiang E",959,IF(Atletas!V500="Bagua de Arma E",960,IF(Atletas!V500="Xingyi de Arma E",961,IF(Atletas!V500="Taijidao F",962,IF(Atletas!V500="TaijiShanzi F",963,IF(Atletas!V500="Taijiqiang F",964,IF(Atletas!V500="Bagua de Arma F",965,IF(Atletas!V500="Xingyi de Arma F",966,"")))))))))))))))))))))))))))))))</f>
        <v/>
      </c>
      <c r="CM509" s="50" t="str">
        <f xml:space="preserve"> IF(Atletas!W500="","",IF(Atletas!W500="Duilian de Mãos BC - Equipe 1",1,IF(Atletas!W500="Duilian de Mãos BC - Equipe 2",2,IF(Atletas!W500="Duilian de Armas BC - Equipe 1",3,IF(Atletas!W500="Duilian de Armas BC - Equipe 2",4,IF(Atletas!W500="Duilian de Mãos DE - Equipe 1",5,IF(Atletas!W500="Duilian de Mãos DE - Equipe 2",6,IF(Atletas!W500="Duilian de Armas DE - Equipe 1",7,IF(Atletas!W500="Duilian de Armas DE - Equipe 2",8,IF(Atletas!W500="Duilian de Tuishou - Equipe 1",9,IF(Atletas!W500="Duilian de Tuishou - Equipe 2",10,IF(Atletas!W500="Grupo Externo ABC - Equipe 1",11,IF(Atletas!W500="Grupo Externo ABC - Equipe 2",12,IF(Atletas!W500="Grupo Interno ABC - Equipe 1",13,IF(Atletas!W500="Grupo Interno ABC - Equipe 2",14,IF(Atletas!W500="Grupo Externo DEF - Equipe 1",15,IF(Atletas!W500="Grupo Externo DEF - Equipe 2",16,IF(Atletas!W500="Grupo Interno DEF - Equipe 1",17,IF(Atletas!W500="Grupo Interno DEF - Equipe 2",18,"")))))))))))))))))))</f>
        <v/>
      </c>
    </row>
    <row r="510" spans="40:91">
      <c r="AN510" s="52" t="str">
        <f>IF(Atletas!D501="","",IF(Atletas!B501="Feminino",100,IF(Atletas!B501="Masculino",200,""))+(IF(Atletas!D501="Kids 30kg",1,IF(Atletas!D501="Kids 32kg",2, IF(Atletas!D501="Kids 34kg",3,IF(Atletas!D501="Kids 36kg",4,IF(Atletas!D501="Kids 39kg",5,IF(Atletas!D501="Kids 42kg",6,IF(Atletas!D501="Kids 45kg",7, IF(Atletas!D501="Infantil 39kg",8,IF(Atletas!D501="Infantil 42kg",9,IF(Atletas!D501="Infantil 45kg",10,IF(Atletas!D501="Infantil 48kg",11,IF(Atletas!D501="Infantil 52kg",12,IF(Atletas!D501="Infantil 56kg",13,IF(Atletas!D501="Infantil 60kg",14,IF(Atletas!D501="Juvenil 48kg",15,IF(Atletas!D501="Juvenil 52kg",16,IF(Atletas!D501="Juvenil 56kg",17,IF(Atletas!D501="Juvenil 60kg",18,IF(Atletas!D501="Juvenil 65kg",19,IF(Atletas!D501="Juvenil 70kg",20,IF(Atletas!D501="Juvenil 75kg",21,IF(Atletas!D501="Juvenil 80kg",22, IF(Atletas!D501="Juvenil 85kg",23,IF(Atletas!D501="Adulto 48kg",24,IF(Atletas!D501="Adulto 52kg",25,IF(Atletas!D501="Adulto 56kg",26,IF(Atletas!D501="Adulto 60kg",27,IF(Atletas!D501="Adulto 65kg",28,IF(Atletas!D501="Adulto 70kg",29,IF(Atletas!D501="Adulto 75kg",30,IF(Atletas!D501="Adulto 80kg",31,IF(Atletas!D501="Adulto 85kg",32,IF(Atletas!D501="Adulto 90kg",33,IF(Atletas!D501="Adulto 100kg",34, IF(Atletas!D501="Adulto +100kg",35,"")))))))))))))))))))))))))))))))))))))</f>
        <v/>
      </c>
      <c r="AS510" s="6" t="str">
        <f>IF(Atletas!E501="","",IF(Atletas!B501="Feminino",100,IF(Atletas!B501="Masculino",200,""))+(IF(Atletas!E501="Juvenil 44kg",1,IF(Atletas!E501="Juvenil 48kg",2,IF(Atletas!E501="Juvenil 52kg",3,IF(Atletas!E501="Juvenil 56kg",4,IF(Atletas!E501="Juvenil 60kg",5,IF(Atletas!E501="Juvenil 65kg",6,IF(Atletas!E501="Juvenil 70kg",7,IF(Atletas!E501="Juvenil 75kg",8,IF(Atletas!E501="Juvenil 82kg",9,IF(Atletas!E501="Juvenil 90kg",10,IF(Atletas!E501="Juvenil 100kg",11,IF(Atletas!E501="Adulto 48kg",12,IF(Atletas!E501="Adulto 52kg",13,IF(Atletas!E501="Adulto 56kg",14,IF(Atletas!E501="Adulto 60kg",15,IF(Atletas!E501="Adulto 65kg",16,IF(Atletas!E501="Adulto 70kg",17,IF(Atletas!E501="Adulto 75kg",18,IF(Atletas!E501="Adulto 82kg",19,IF(Atletas!E501="Adulto 90kg",20,IF(Atletas!E501="Adulto 100kg",21,IF(Atletas!E501="Adulto +100kg",22,""))))))))))))))))))))))))</f>
        <v/>
      </c>
      <c r="AX510" s="6" t="str">
        <f>IF(Atletas!F501="","",IF(Atletas!B501="Feminino",100,IF(Atletas!B501="Masculino",200,""))+(IF(Atletas!F501="Adulto 48kg",1,IF(Atletas!F501="Adulto 56kg",2,IF(Atletas!F501="Adulto 65kg",3,IF(Atletas!F501="Adulto 75kg",4,IF(Atletas!F501="Adulto +75kg",5,IF(Atletas!F501="Adulto 52kg",6,IF(Atletas!F501="Adulto 60kg",7,IF(Atletas!F501="Adulto 70kg",8,IF(Atletas!F501="Adulto 80kg",9,IF(Atletas!F501="Adulto 90kg",10,IF(Atletas!F501="Adulto +90kg",11,"")))))))))))))</f>
        <v/>
      </c>
      <c r="BC510" s="6" t="str">
        <f>IF(Atletas!G501="","",IF(Atletas!B501="Feminino",10,IF(Atletas!B501="Masculino",20,""))+(IF(Atletas!G501="Baduanjin A",1,IF(Atletas!G501="Baduanjin B",2))))</f>
        <v/>
      </c>
      <c r="BF510" s="52" t="str">
        <f>IF(Atletas!H501="","",IF(Atletas!B501="Feminino",100,IF(Atletas!B501="Masculino",200,""))+(IF(Atletas!H501="Changquan Mirim",1,IF(Atletas!H501="Nanquan Mirim",2,IF(Atletas!H501="Taijiquan Mirim",3,IF(Atletas!H501="Changquan Grupo C",4,IF(Atletas!H501="Nanquan Grupo C",5,IF(Atletas!H501="Taijiquan Grupo C",6,IF(Atletas!H501="Changquan Grupo B",7,IF(Atletas!H501="Nanquan Grupo B",8,IF(Atletas!H501="Taijiquan Grupo B",9,IF(Atletas!H501="Changquan Grupo A",10,IF(Atletas!H501="Nanquan Grupo A",11,IF(Atletas!H501="Taijiquan Grupo A",12,IF(Atletas!H501="Changquan Opcional",13,IF(Atletas!H501="Nanquan Opcional",14,IF(Atletas!H501="Taijiquan Opcional",15,IF(Atletas!H501="Changquan Adulto",16,IF(Atletas!H501="Nanquan Adulto",17,IF(Atletas!H501="Taijiquan Adulto",18,""))))))))))))))))))))</f>
        <v/>
      </c>
      <c r="BG510" s="52" t="str">
        <f>IF(Atletas!I501="","",IF(Atletas!B501="Feminino",100,IF(Atletas!B501="Masculino",200,""))+(IF(Atletas!I501="Daoshu Mirim",19,IF(Atletas!I501="Jianshu Mirim",20,IF(Atletas!I501="Nandao Mirim",21,IF(Atletas!I501="Taijijian Mirim",22,IF(Atletas!I501="Daoshu Grupo C",23,IF(Atletas!I501="Jianshu Grupo C",24,IF(Atletas!I501="Nandao Grupo C",25,IF(Atletas!I501="Taijijian Grupo C",26,IF(Atletas!I501="Daoshu Grupo B",27,IF(Atletas!I501="Jianshu Grupo B",28,IF(Atletas!I501="Nandao Grupo B",29,IF(Atletas!I501="Taijijian Grupo B",30,IF(Atletas!I501="Daoshu Grupo A",31,IF(Atletas!I501="Jianshu Grupo A",32,IF(Atletas!I501="Nandao Grupo A",33,IF(Atletas!I501="Taijijian Grupo A",34,IF(Atletas!I501="Daoshu Opcional",35,IF(Atletas!I501="Jianshu Opcional",36,IF(Atletas!I501="Nandao Opcional",37,IF(Atletas!I501="Taijijian Opcional",38,IF(Atletas!I501="Daoshu Adulto",39,IF(Atletas!I501="Jianshu Adulto",40,IF(Atletas!I501="Nandao Adulto",41,IF(Atletas!I501="Taijijian Adulto",42,""))))))))))))))))))))))))))</f>
        <v/>
      </c>
      <c r="BH510" s="52" t="str">
        <f>IF(Atletas!J501="","",IF(Atletas!B501="Feminino",100,IF(Atletas!B501="Masculino",200,""))+(IF(Atletas!J501="Gunshu Mirim",43,IF(Atletas!J501="Qiangshu Mirim",44,IF(Atletas!J501="Nangun Mirim",45,IF(Atletas!J501="Gunshu Grupo C",46,IF(Atletas!J501="Qiangshu Grupo C",47,IF(Atletas!J501="Nangun Grupo C",48,IF(Atletas!J501="Gunshu Grupo B",49,IF(Atletas!J501="Qiangshu Grupo B",50,IF(Atletas!J501="Nangun Grupo B",51,IF(Atletas!J501="Gunshu Grupo A",52,IF(Atletas!J501="Qiangshu Grupo A",53,IF(Atletas!J501="Nangun Grupo A",54,IF(Atletas!J501="Gunshu Opcional",55,IF(Atletas!J501="Qiangshu Opcional",56,IF(Atletas!J501="Nangun Opcional",57,IF(Atletas!J501="Gunshu Adulto",58,IF(Atletas!J501="Qiangshu Adulto",59,IF(Atletas!J501="Nangun Adulto",60,IF(Atletas!J501="Taijishan Grupo B",61,IF(Atletas!J501="Taijishan Grupo A",62,""))))))))))))))))))))))</f>
        <v/>
      </c>
      <c r="BM510" s="50" t="str">
        <f>IF(Atletas!K501="","",IF(Atletas!B501="Feminino",100,IF(Atletas!B501="Masculino",200,""))+(IF(Atletas!K501="Equipe 1 Grupo B",1,IF(Atletas!K501="Equipe 2 Grupo B",2,IF(Atletas!K501="Equipe 1 Grupo A",3,IF(Atletas!K501="Equipe 2 Grupo A",4,IF(Atletas!K501="Equipe 1 Adulto",5,IF(Atletas!K501="Equipe 2 Adulto",6,""))))))))</f>
        <v/>
      </c>
      <c r="BR510" s="50" t="str">
        <f>IF(Atletas!L501="","",IF(Atletas!X501&lt;&gt;"",10000,0)+(IF(Atletas!B501="Feminino",1000,IF(Atletas!B501="Masculino",2000,""))+IF(Atletas!L501="Choylayfut A",1,IF(Atletas!L501="Hunggar A",2,IF(Atletas!L501="Wuzuquan A",3,IF(Atletas!L501="Wingchun A",4,IF(Atletas!L501="Outra Mão de Sul A",5,IF(Atletas!L501="Choylayfut B",6,IF(Atletas!L501="Hunggar B",7,IF(Atletas!L501="Wuzuquan B",8,IF(Atletas!L501="Wingchun B",9,IF(Atletas!L501="Outra Mão de Sul B",10,IF(Atletas!L501="Choylayfut C",11,IF(Atletas!L501="Hunggar C",12,IF(Atletas!L501="Wuzuquan C",13,IF(Atletas!L501="Wingchun C",14,IF(Atletas!L501="Outra Mão de Sul C",15,IF(Atletas!L501="Choylayfut D",16,IF(Atletas!L501="Hunggar D",17,IF(Atletas!L501="Wuzuquan D",18,IF(Atletas!L501="Wingchun D",19,IF(Atletas!L501="Outra Mão de Sul D",20,IF(Atletas!L501="Choylayfut E",21,IF(Atletas!L501="Hunggar E",22,IF(Atletas!L501="Wuzuquan E",23,IF(Atletas!L501="Wingchun E",24,IF(Atletas!L501="Outra Mão de Sul E",25,IF(Atletas!L501="Choylayfut F",26,IF(Atletas!L501="Hunggar F",27,IF(Atletas!L501="Wuzuquan F",28,IF(Atletas!L501="Wingchun F",29,IF(Atletas!L501="Outra Mão de Sul F",30,IF(Atletas!L501="Dishuquan A",31,IF(Atletas!L501="Dishuquan B",32,IF(Atletas!L501="Dishuquan C",33,IF(Atletas!L501="Dishuquan D",34,IF(Atletas!L501="Dishuquan E",35,IF(Atletas!L501="Dishuquan F",36,""))))))))))))))))))))))))))))))))))))))</f>
        <v/>
      </c>
      <c r="BS510" s="50" t="str">
        <f>IF(Atletas!M501="","",IF(Atletas!X501&lt;&gt;"",10000,0)+(IF(Atletas!B501="Feminino",1000,IF(Atletas!B501="Masculino",2000,""))+(IF(Atletas!M501="Chaquan A",101,IF(Atletas!M501="Emeiquan A",102,IF(Atletas!M501="Fanziquan A",103,IF(Atletas!M501="Huaquan A",104,IF(Atletas!M501="Hongquan A",105,IF(Atletas!M501="Paoquan A",106,IF(Atletas!M501="Piguaquan A",107,IF(Atletas!M501="Shaolinquan A",108,IF(Atletas!M501="Tanglangquan A",109,IF(Atletas!M501="Yingzhaoquan A",110,IF(Atletas!M501="Tongbeiquan A",111,IF(Atletas!M501="Wudangquan A",112,IF(Atletas!M501="Outros Estilos A",113,IF(Atletas!M501="Chaquan B",114,IF(Atletas!M501="Emeiquan B",115,IF(Atletas!M501="Fanziquan B",116,IF(Atletas!M501="Huaquan B",117,IF(Atletas!M501="Hongquan B",118,IF(Atletas!M501="Paoquan B",119,IF(Atletas!M501="Piguaquan B",120,IF(Atletas!M501="Shaolinquan B",121,IF(Atletas!M501="Tanglangquan B",122,IF(Atletas!M501="Yingzhaoquan B",123,IF(Atletas!M501="Tongbeiquan B",124,IF(Atletas!M501="Wudangquan B",125,IF(Atletas!M501="Outros Estilos B",126,IF(Atletas!M501="Chaquan C",127,IF(Atletas!M501="Emeiquan C",128,IF(Atletas!M501="Fanziquan C",129,IF(Atletas!M501="Huaquan C",130,IF(Atletas!M501="Hongquan C",131,IF(Atletas!M501="Paoquan C",132,IF(Atletas!M501="Piguaquan C",133,IF(Atletas!M501="Shaolinquan C",134,IF(Atletas!M501="Tanglangquan C",135,IF(Atletas!M501="Yingzhaoquan C",136,IF(Atletas!M501="Tongbeiquan C",137,IF(Atletas!M501="Wudangquan C",138,IF(Atletas!M501="Outros Estilos C",139,0))))))))))))))))))))))))))))))))))))))))))</f>
        <v/>
      </c>
      <c r="BT510" s="50" t="str">
        <f>IF(Atletas!M501="","",IF(Atletas!X501&lt;&gt;"",10000,0)+(IF(Atletas!B501="Feminino",1000,IF(Atletas!B501="Masculino",2000,""))+(IF(Atletas!M501="Chaquan D",140,IF(Atletas!M501="Emeiquan D",141,IF(Atletas!M501="Fanziquan D",142,IF(Atletas!M501="Huaquan D",143,IF(Atletas!M501="Hongquan D",144,IF(Atletas!M501="Paoquan D",145,IF(Atletas!M501="Piguaquan D",146,IF(Atletas!M501="Shaolinquan D",147,IF(Atletas!M501="Tanglangquan D",148,IF(Atletas!M501="Yingzhaoquan D",149,IF(Atletas!M501="Tongbeiquan D",150,IF(Atletas!M501="Wudangquan D",151,IF(Atletas!M501="Outros Estilos D",152,IF(Atletas!M501="Chaquan E",153,IF(Atletas!M501="Emeiquan E",154,IF(Atletas!M501="Fanziquan E",155,IF(Atletas!M501="Huaquan E",156,IF(Atletas!M501="Hongquan E",157,IF(Atletas!M501="Paoquan E",158,IF(Atletas!M501="Piguaquan E",159,IF(Atletas!M501="Shaolinquan E",160,IF(Atletas!M501="Tanglangquan E",161,IF(Atletas!M501="Yingzhaoquan E",162,IF(Atletas!M501="Tongbeiquan E",163,IF(Atletas!M501="Wudangquan E",164,IF(Atletas!M501="Outros Estilos E",165,IF(Atletas!M501="Chaquan F",166,IF(Atletas!M501="Emeiquan F",167,IF(Atletas!M501="Fanziquan F",168,IF(Atletas!M501="Huaquan F",169,IF(Atletas!M501="Hongquan F",170,IF(Atletas!M501="Paoquan F",171,IF(Atletas!M501="Piguaquan F",172,IF(Atletas!M501="Shaolinquan F",173,IF(Atletas!M501="Tanglangquan F",174,IF(Atletas!M501="Yingzhaoquan F",175,IF(Atletas!M501="Tongbeiquan F",176,IF(Atletas!M501="Wudangquan F",177,IF(Atletas!M501="Outros Estilos F",178,0))))))))))))))))))))))))))))))))))))))))))</f>
        <v/>
      </c>
      <c r="BU510" s="50" t="str">
        <f>IF(Atletas!N501="","",IF(Atletas!X501&lt;&gt;"",10000,0)+(IF(Atletas!B501="Feminino",1000,IF(Atletas!B501="Masculino",2000,""))+(IF(Atletas!N501="Ditangquan A",201,IF(Atletas!N501="Houquan A",202,IF(Atletas!N501="Zuiquan A",203,IF(Atletas!N501="Ditangquan B",204,IF(Atletas!N501="Houquan B",205,IF(Atletas!N501="Zuiquan B",206,IF(Atletas!N501="Ditangquan C",207,IF(Atletas!N501="Houquan C",208,IF(Atletas!N501="Zuiquan C",209,IF(Atletas!N501="Ditangquan D",210,IF(Atletas!N501="Houquan D",211,IF(Atletas!N501="Zuiquan D",212,IF(Atletas!N501="Ditangquan E",213,IF(Atletas!N501="Houquan E",214,IF(Atletas!N501="Zuiquan E",215,IF(Atletas!N501="Ditangquan F",216,IF(Atletas!N501="Houquan F",217,IF(Atletas!N501="Zuiquan F",218,"")))))))))))))))))))))</f>
        <v/>
      </c>
      <c r="BV510" s="50" t="str">
        <f>IF(Atletas!O501="","",IF(Atletas!X501&lt;&gt;"",10000,0)+IF(Atletas!B501="Feminino",1000,IF(Atletas!B501="Masculino",2000,""))+IF(Atletas!O501="Yang A",301,IF(Atletas!O501="Chen A",302,IF(Atletas!O501="Sun A",303,IF(Atletas!O501="Wu A",304,IF(Atletas!O501="Wu-Hao A",305,IF(Atletas!O501="Outro Taijiquan A",306,IF(Atletas!O501="Yang B",307,IF(Atletas!O501="Chen B",308,IF(Atletas!O501="Sun B",309,IF(Atletas!O501="Wu B",310,IF(Atletas!O501="Wu-Hao B",311,IF(Atletas!O501="Outro Taijiquan B",312,IF(Atletas!O501="Yang C",313,IF(Atletas!O501="Chen C",314,IF(Atletas!O501="Sun C",315,IF(Atletas!O501="Wu C",316,IF(Atletas!O501="Wu-Hao C",317,IF(Atletas!O501="Outro Taijiquan C",318,IF(Atletas!O501="Yang D",319,IF(Atletas!O501="Chen D",320,IF(Atletas!O501="Sun D",321,IF(Atletas!O501="Wu D",322,IF(Atletas!O501="Wu-Hao D",323,IF(Atletas!O501="Outro Taijiquan D",324,IF(Atletas!O501="Yang E",325,IF(Atletas!O501="Chen E",326,IF(Atletas!O501="Sun E",327,IF(Atletas!O501="Wu E",328,IF(Atletas!O501="Wu-Hao E",329,IF(Atletas!O501="Outro Taijiquan E",330,IF(Atletas!O501="Yang F",331,IF(Atletas!O501="Chen F",332,IF(Atletas!O501="Sun F",333,IF(Atletas!O501="Wu F",334,IF(Atletas!O501="Wu-Hao F",335,IF(Atletas!O501="Outro Taijiquan F",336,"")))))))))))))))))))))))))))))))))))))</f>
        <v/>
      </c>
      <c r="BW510" s="50" t="str">
        <f>IF(Atletas!P501="","",IF(Atletas!X501&lt;&gt;"",10000,0)+IF(Atletas!B501="Feminino",1000,IF(Atletas!B501="Masculino",2000,""))+IF(OR(Atletas!P501="Yang 26 A",Atletas!P501="Yang 40 A"),401,IF(OR(Atletas!P501="Chen 25 A",Atletas!P501="Chen 36 A",Atletas!P501="Chen 56 A"),402,IF(Atletas!P501="Sun 73 A",403,IF(Atletas!P501="Wu 45 A",404,IF(Atletas!P501="Wu-Hao 46 A",405,IF(OR(Atletas!P501="Taijiquan 16 A",Atletas!P501="Taijiquan 24 A",Atletas!P501="Taijiquan 32 A",Atletas!P501="Taijiquan 42 A"),406,IF(OR(Atletas!P501="Yang 26 B",Atletas!P501="Yang 40 B"),407,IF(OR(Atletas!P501="Chen 25 B",Atletas!P501="Chen 36 B",Atletas!P501="Chen 56 B"),408,IF(Atletas!P501="Sun 73 B",409,IF(Atletas!P501="Wu 45 B",410,IF(Atletas!P501="Wu-Hao 46 B",411,IF(OR(Atletas!P501="Taijiquan 16 B",Atletas!P501="Taijiquan 24 B",Atletas!P501="Taijiquan 32 B",Atletas!P501="Taijiquan 42 B"),412,IF(OR(Atletas!P501="Yang 26 C",Atletas!P501="Yang 40 C"),413,IF(OR(Atletas!P501="Chen 25 C",Atletas!P501="Chen 36 C",Atletas!P501="Chen 56 C"),414,IF(Atletas!P501="Sun 73 C",415,IF(Atletas!P501="Wu 45 C",416,IF(Atletas!P501="Wu-Hao 46 C",417,IF(OR(Atletas!P501="Taijiquan 16 C",Atletas!P501="Taijiquan 24 C",Atletas!P501="Taijiquan 32 C",Atletas!P501="Taijiquan 42 C"),418,0)))))))))))))))))))</f>
        <v/>
      </c>
      <c r="BX510" s="50" t="str">
        <f>IF(Atletas!P501="","",IF(Atletas!X501&lt;&gt;"",10000,0)+IF(Atletas!B501="Feminino",1000,IF(Atletas!B501="Masculino",2000,""))+IF(OR(Atletas!P501="Yang 26 D",Atletas!P501="Yang 40 D"),419,IF(OR(Atletas!P501="Chen 25 D",Atletas!P501="Chen 36 D",Atletas!P501="Chen 56 D"),420,IF(Atletas!P501="Sun 73 D",421,IF(Atletas!P501="Wu 45 D",422,IF(Atletas!P501="Wu-Hao 46 D",423,IF(OR(Atletas!P501="Taijiquan 16 D",Atletas!P501="Taijiquan 24 D",Atletas!P501="Taijiquan 32 D",Atletas!P501="Taijiquan 42 D"),424,IF(OR(Atletas!P501="Yang 26 E",Atletas!P501="Yang 40 E"),425,IF(OR(Atletas!P501="Chen 25 E",Atletas!P501="Chen 36 E",Atletas!P501="Chen 56 E"),426,IF(Atletas!P501="Sun 73 E",427,IF(Atletas!P501="Wu 45 E",428,IF(Atletas!P501="Wu-Hao 46 E",429,IF(OR(Atletas!P501="Taijiquan 16 E",Atletas!P501="Taijiquan 24 E",Atletas!P501="Taijiquan 32 E",Atletas!P501="Taijiquan 42 E"),430,IF(OR(Atletas!P501="Yang 26 F",Atletas!P501="Yang 40 F"),431,IF(OR(Atletas!P501="Chen 25 F",Atletas!P501="Chen 36 F",Atletas!P501="Chen 56 F"),432,IF(Atletas!P501="Sun 73 F",433,IF(Atletas!P501="Wu 45 F",434,IF(Atletas!P501="Wu-Hao 46 F",435,IF(OR(Atletas!P501="Taijiquan 16 F",Atletas!P501="Taijiquan 24 F",Atletas!P501="Taijiquan 32 F",Atletas!P501="Taijiquan 42 F"),436,0)))))))))))))))))))</f>
        <v/>
      </c>
      <c r="BY510" s="50" t="str">
        <f>IF(Atletas!Q501="","",IF(Atletas!X501&lt;&gt;"",10000,0)+IF(Atletas!B501="Feminino",1000,IF(Atletas!B501="Masculino",2000,""))+IF(Atletas!Q501="Xingyiquan A",501,IF(Atletas!Q501="Baguazhang A",502,IF(Atletas!Q501="Outro Estilo Interno A",503,IF(Atletas!Q501="Xingyiquan B",504,IF(Atletas!Q501="Baguazhang B",505,IF(Atletas!Q501="Outro Estilo Interno B",506,IF(Atletas!Q501="Xingyiquan C",507,IF(Atletas!Q501="Baguazhang C",508,IF(Atletas!Q501="Outro Estilo Interno C",509,IF(Atletas!Q501="Xingyiquan D",510,IF(Atletas!Q501="Baguazhang D",511,IF(Atletas!Q501="Outro Estilo Interno D",512,IF(Atletas!Q501="Xingyiquan E",513,IF(Atletas!Q501="Baguazhang E",514,IF(Atletas!Q501="Outro Estilo Interno E",515,IF(Atletas!Q501="Xingyiquan F",516,IF(Atletas!Q501="Baguazhang F",517,IF(Atletas!Q501="Outro Estilo Interno F",518, "")))))))))))))))))))</f>
        <v/>
      </c>
      <c r="BZ510" s="50" t="str">
        <f>IF(Atletas!R501="","",IF(Atletas!X501&lt;&gt;"",10000,0)+IF(Atletas!B501="Feminino",1000,IF(Atletas!B501="Masculino",2000,""))+IF(Atletas!R501="Dao A",601,IF(Atletas!R501="Jian A",602,IF(Atletas!R501="Bishou A",603,IF(Atletas!R501="Shanzi A",604,IF(Atletas!R501="Outra Arma Curta A",605,IF(Atletas!R501="Dao B",606,IF(Atletas!R501="Jian B",607,IF(Atletas!R501="Bishou B",608,IF(Atletas!R501="Shanzi B",609,IF(Atletas!R501="Outra Arma Curta B",610,IF(Atletas!R501="Dao C",611,IF(Atletas!R501="Jian C",612,IF(Atletas!R501="Bishou C",613,IF(Atletas!R501="Shanzi C",614,IF(Atletas!R501="Outra Arma Curta C",615,IF(Atletas!R501="Dao D",616,IF(Atletas!R501="Jian D",617,IF(Atletas!R501="Bishou D",618,IF(Atletas!R501="Shanzi D",619,IF(Atletas!R501="Outra Arma Curta D",620,IF(Atletas!R501="Dao E",621,IF(Atletas!R501="Jian E",622,IF(Atletas!R501="Bishou E",623,IF(Atletas!R501="Shanzi E",624,IF(Atletas!R501="Outra Arma Curta E",625,IF(Atletas!R501="Dao F",626,IF(Atletas!R501="Jian F",627,IF(Atletas!R501="Bishou F",628,IF(Atletas!R501="Shanzi F",629,IF(Atletas!R501="Outra Arma Curta F",630, "")))))))))))))))))))))))))))))))</f>
        <v/>
      </c>
      <c r="CA510" s="50" t="str">
        <f>IF(Atletas!S501="","",IF(Atletas!X501&lt;&gt;"",10000,0)+IF(Atletas!B501="Feminino",1000,IF(Atletas!B501="Masculino",2000,""))+IF(Atletas!S501="Gun A",701,IF(Atletas!S501="Qiang A",702,IF(Atletas!S501="Pudao / Guandao A",703,IF(Atletas!S501="Outra Arma Longa A",704,IF(Atletas!S501="Gun B",705,IF(Atletas!S501="Qiang B",706,IF(Atletas!S501="Pudao / Guandao B",707,IF(Atletas!S501="Outra Arma Longa B",708,IF(Atletas!S501="Gun C",709,IF(Atletas!S501="Qiang C",710,IF(Atletas!S501="Pudao / Guandao C",711,IF(Atletas!S501="Outra Arma Longa C",712,IF(Atletas!S501="Gun D",713,IF(Atletas!S501="Qiang D",714,IF(Atletas!S501="Pudao / Guandao D",715,IF(Atletas!S501="Outra Arma Longa D",716,IF(Atletas!S501="Gun E",717,IF(Atletas!S501="Qiang E",718,IF(Atletas!S501="Pudao / Guandao E",719,IF(Atletas!S501="Outra Arma Longa E",720,IF(Atletas!S501="Gun F",721,IF(Atletas!S501="Qiang F",722,IF(Atletas!S501="Pudao / Guandao F",723,IF(Atletas!S501="Outra Arma Longa F",724,"")))))))))))))))))))))))))</f>
        <v/>
      </c>
      <c r="CB510" s="50" t="str">
        <f>IF(Atletas!T501="","",IF(Atletas!X501&lt;&gt;"",10000,0)+IF(Atletas!B501="Feminino",1000,IF(Atletas!B501="Masculino",2000,""))+IF(Atletas!T501="Outra Arma Dupla A",801,IF(Atletas!T501="Arma Maleável A",802,IF(Atletas!T501="Outra Arma Dupla B",803,IF(Atletas!T501="Arma Maleável B",804,IF(Atletas!T501="Outra Arma Dupla C",805,IF(Atletas!T501="Arma Maleável C",806,IF(Atletas!T501="Outra Arma Dupla D",807,IF(Atletas!T501="Arma Maleável D",808,IF(Atletas!T501="Outra Arma Dupla E",809,IF(Atletas!T501="Arma Maleável E",810,IF(Atletas!T501="Outra Arma Dupla F",811,IF(Atletas!T501="Arma Maleável F",812,IF(Atletas!T501="Shuangdao A",813,IF(Atletas!T501="Shuangdao B",814,IF(Atletas!T501="Shuangdao C",815,IF(Atletas!T501="Shuangdao D",816,IF(Atletas!T501="Shuangdao E",817,IF(Atletas!T501="Shuangdao F",818,"")))))))))))))))))))</f>
        <v/>
      </c>
      <c r="CC510" s="50" t="str">
        <f>IF(Atletas!U501="","",IF(Atletas!X501&lt;&gt;"",10000,0)+IF(Atletas!B501="Feminino",1000,IF(Atletas!B501="Masculino",2000,""))+IF(OR(Atletas!U501="Taijijian Yang A",Atletas!U501="Taijijian Yang Standard A"),901,IF(OR(Atletas!U501="Taijijian Chen A", Atletas!U501="Taijijian Chen Standard A"),902,IF(Atletas!U501="Taijijian Sun A",903,IF(Atletas!U501="Taijijian Wu A",904,IF(Atletas!U501="Taijijian Wu-Hao A",905,IF(OR(Atletas!U501="Taijijian 32 A",Atletas!U501="Taijijian 42 A"),906,IF(OR(Atletas!U501="Taijijian Yang B",Atletas!U501="Taijijian Yang Standard B"),907,IF(OR(Atletas!U501="Taijijian Chen B", Atletas!U501="Taijijian Chen Standard B"),908,IF(Atletas!U501="Taijijian Sun B",909,IF(Atletas!U501="Taijijian Wu B",910,IF(Atletas!U501="Taijijian Wu-Hao B",911,IF(OR(Atletas!U501="Taijijian 32 B",Atletas!U501="Taijijian 42 B"),912,IF(OR(Atletas!U501="Taijijian Yang C",Atletas!U501="Taijijian Yang Standard C"),913,IF(OR(Atletas!U501="Taijijian Chen C", Atletas!U501="Taijijian Chen Standard C"),914,IF(Atletas!U501="Taijijian Sun C",915,IF(Atletas!U501="Taijijian Wu C",916,IF(Atletas!U501="Taijijian Wu-Hao C",917,IF(OR(Atletas!U501="Taijijian 32 C",Atletas!U501="Taijijian 42 C"),918,IF(OR(Atletas!U501="Taijijian Yang D",Atletas!U501="Taijijian Yang Standard D"),919,IF(OR(Atletas!U501="Taijijian Chen D", Atletas!U501="Taijijian Chen Standard D"),920,IF(Atletas!U501="Taijijian Sun D",921,IF(Atletas!U501="Taijijian Wu D",922,IF(Atletas!U501="Taijijian Wu-Hao D",923,IF(OR(Atletas!U501="Taijijian 32 D",Atletas!U501="Taijijian 42 D"),924,IF(OR(Atletas!U501="Taijijian Yang E",Atletas!U501="Taijijian Yang Standard E"),925,IF(OR(Atletas!U501="Taijijian Chen E", Atletas!U501="Taijijian Chen Standard E"),926,IF(Atletas!U501="Taijijian Sun E",927,IF(Atletas!U501="Taijijian Wu E",928,IF(Atletas!U501="Taijijian Wu-Hao E",929,IF(OR(Atletas!U501="Taijijian 32 E",Atletas!U501="Taijijian 42 E"),930,IF(OR(Atletas!U501="Taijijian Yang F",Atletas!U501="Taijijian Yang Standard F"),931,IF(OR(Atletas!U501="Taijijian Chen F", Atletas!U501="Taijijian Chen Standard F"),932,IF(Atletas!U501="Taijijian Sun F",933,IF(Atletas!U501="Taijijian Wu F",934,IF(Atletas!U501="Taijijian Wu-Hao F",935,IF(OR(Atletas!U501="Taijijian 32 F",Atletas!U501="Taijijian 42 F"),936,"")))))))))))))))))))))))))))))))))))))</f>
        <v/>
      </c>
      <c r="CD510" s="50" t="str">
        <f>IF(Atletas!V501="","",IF(Atletas!X501&lt;&gt;"",10000,0)+IF(Atletas!B501="Feminino",1000,IF(Atletas!B501="Masculino",2000,""))+IF(Atletas!V501="Taijidao A",937,IF(Atletas!V501="TaijiShanzi A",938,IF(Atletas!V501="Taijiqiang A",939,IF(Atletas!V501="Bagua de Arma A",940,IF(Atletas!V501="Xingyi de Arma A",941,IF(Atletas!V501="Taijidao B",942,IF(Atletas!V501="TaijiShanzi B",943,IF(Atletas!V501="Taijiqiang B",944,IF(Atletas!V501="Bagua de Arma B",945,IF(Atletas!V501="Xingyi de Arma B",946,IF(Atletas!V501="Taijidao C",947,IF(Atletas!V501="TaijiShanzi C",948,IF(Atletas!V501="Taijiqiang C",949,IF(Atletas!V501="Bagua de Arma C",950,IF(Atletas!V501="Xingyi de Arma C",951,IF(Atletas!V501="Taijidao D",952,IF(Atletas!V501="TaijiShanzi D",953,IF(Atletas!V501="Taijiqiang D",954,IF(Atletas!V501="Bagua de Arma D",955,IF(Atletas!V501="Xingyi de Arma D",956,IF(Atletas!V501="Taijidao E",957,IF(Atletas!V501="TaijiShanzi E",958,IF(Atletas!V501="Taijiqiang E",959,IF(Atletas!V501="Bagua de Arma E",960,IF(Atletas!V501="Xingyi de Arma E",961,IF(Atletas!V501="Taijidao F",962,IF(Atletas!V501="TaijiShanzi F",963,IF(Atletas!V501="Taijiqiang F",964,IF(Atletas!V501="Bagua de Arma F",965,IF(Atletas!V501="Xingyi de Arma F",966,"")))))))))))))))))))))))))))))))</f>
        <v/>
      </c>
      <c r="CM510" s="50" t="str">
        <f xml:space="preserve"> IF(Atletas!W501="","",IF(Atletas!W501="Duilian de Mãos BC - Equipe 1",1,IF(Atletas!W501="Duilian de Mãos BC - Equipe 2",2,IF(Atletas!W501="Duilian de Armas BC - Equipe 1",3,IF(Atletas!W501="Duilian de Armas BC - Equipe 2",4,IF(Atletas!W501="Duilian de Mãos DE - Equipe 1",5,IF(Atletas!W501="Duilian de Mãos DE - Equipe 2",6,IF(Atletas!W501="Duilian de Armas DE - Equipe 1",7,IF(Atletas!W501="Duilian de Armas DE - Equipe 2",8,IF(Atletas!W501="Duilian de Tuishou - Equipe 1",9,IF(Atletas!W501="Duilian de Tuishou - Equipe 2",10,IF(Atletas!W501="Grupo Externo ABC - Equipe 1",11,IF(Atletas!W501="Grupo Externo ABC - Equipe 2",12,IF(Atletas!W501="Grupo Interno ABC - Equipe 1",13,IF(Atletas!W501="Grupo Interno ABC - Equipe 2",14,IF(Atletas!W501="Grupo Externo DEF - Equipe 1",15,IF(Atletas!W501="Grupo Externo DEF - Equipe 2",16,IF(Atletas!W501="Grupo Interno DEF - Equipe 1",17,IF(Atletas!W501="Grupo Interno DEF - Equipe 2",18,"")))))))))))))))))))</f>
        <v/>
      </c>
    </row>
    <row r="511" spans="40:91">
      <c r="AN511" s="52" t="str">
        <f>IF(Atletas!D502="","",IF(Atletas!B502="Feminino",100,IF(Atletas!B502="Masculino",200,""))+(IF(Atletas!D502="Kids 30kg",1,IF(Atletas!D502="Kids 32kg",2, IF(Atletas!D502="Kids 34kg",3,IF(Atletas!D502="Kids 36kg",4,IF(Atletas!D502="Kids 39kg",5,IF(Atletas!D502="Kids 42kg",6,IF(Atletas!D502="Kids 45kg",7, IF(Atletas!D502="Infantil 39kg",8,IF(Atletas!D502="Infantil 42kg",9,IF(Atletas!D502="Infantil 45kg",10,IF(Atletas!D502="Infantil 48kg",11,IF(Atletas!D502="Infantil 52kg",12,IF(Atletas!D502="Infantil 56kg",13,IF(Atletas!D502="Infantil 60kg",14,IF(Atletas!D502="Juvenil 48kg",15,IF(Atletas!D502="Juvenil 52kg",16,IF(Atletas!D502="Juvenil 56kg",17,IF(Atletas!D502="Juvenil 60kg",18,IF(Atletas!D502="Juvenil 65kg",19,IF(Atletas!D502="Juvenil 70kg",20,IF(Atletas!D502="Juvenil 75kg",21,IF(Atletas!D502="Juvenil 80kg",22, IF(Atletas!D502="Juvenil 85kg",23,IF(Atletas!D502="Adulto 48kg",24,IF(Atletas!D502="Adulto 52kg",25,IF(Atletas!D502="Adulto 56kg",26,IF(Atletas!D502="Adulto 60kg",27,IF(Atletas!D502="Adulto 65kg",28,IF(Atletas!D502="Adulto 70kg",29,IF(Atletas!D502="Adulto 75kg",30,IF(Atletas!D502="Adulto 80kg",31,IF(Atletas!D502="Adulto 85kg",32,IF(Atletas!D502="Adulto 90kg",33,IF(Atletas!D502="Adulto 100kg",34, IF(Atletas!D502="Adulto +100kg",35,"")))))))))))))))))))))))))))))))))))))</f>
        <v/>
      </c>
      <c r="AS511" s="6" t="str">
        <f>IF(Atletas!E502="","",IF(Atletas!B502="Feminino",100,IF(Atletas!B502="Masculino",200,""))+(IF(Atletas!E502="Juvenil 44kg",1,IF(Atletas!E502="Juvenil 48kg",2,IF(Atletas!E502="Juvenil 52kg",3,IF(Atletas!E502="Juvenil 56kg",4,IF(Atletas!E502="Juvenil 60kg",5,IF(Atletas!E502="Juvenil 65kg",6,IF(Atletas!E502="Juvenil 70kg",7,IF(Atletas!E502="Juvenil 75kg",8,IF(Atletas!E502="Juvenil 82kg",9,IF(Atletas!E502="Juvenil 90kg",10,IF(Atletas!E502="Juvenil 100kg",11,IF(Atletas!E502="Adulto 48kg",12,IF(Atletas!E502="Adulto 52kg",13,IF(Atletas!E502="Adulto 56kg",14,IF(Atletas!E502="Adulto 60kg",15,IF(Atletas!E502="Adulto 65kg",16,IF(Atletas!E502="Adulto 70kg",17,IF(Atletas!E502="Adulto 75kg",18,IF(Atletas!E502="Adulto 82kg",19,IF(Atletas!E502="Adulto 90kg",20,IF(Atletas!E502="Adulto 100kg",21,IF(Atletas!E502="Adulto +100kg",22,""))))))))))))))))))))))))</f>
        <v/>
      </c>
      <c r="AX511" s="6" t="str">
        <f>IF(Atletas!F502="","",IF(Atletas!B502="Feminino",100,IF(Atletas!B502="Masculino",200,""))+(IF(Atletas!F502="Adulto 48kg",1,IF(Atletas!F502="Adulto 56kg",2,IF(Atletas!F502="Adulto 65kg",3,IF(Atletas!F502="Adulto 75kg",4,IF(Atletas!F502="Adulto +75kg",5,IF(Atletas!F502="Adulto 52kg",6,IF(Atletas!F502="Adulto 60kg",7,IF(Atletas!F502="Adulto 70kg",8,IF(Atletas!F502="Adulto 80kg",9,IF(Atletas!F502="Adulto 90kg",10,IF(Atletas!F502="Adulto +90kg",11,"")))))))))))))</f>
        <v/>
      </c>
      <c r="BC511" s="6" t="str">
        <f>IF(Atletas!G502="","",IF(Atletas!B502="Feminino",10,IF(Atletas!B502="Masculino",20,""))+(IF(Atletas!G502="Baduanjin A",1,IF(Atletas!G502="Baduanjin B",2))))</f>
        <v/>
      </c>
      <c r="BF511" s="52" t="str">
        <f>IF(Atletas!H502="","",IF(Atletas!B502="Feminino",100,IF(Atletas!B502="Masculino",200,""))+(IF(Atletas!H502="Changquan Mirim",1,IF(Atletas!H502="Nanquan Mirim",2,IF(Atletas!H502="Taijiquan Mirim",3,IF(Atletas!H502="Changquan Grupo C",4,IF(Atletas!H502="Nanquan Grupo C",5,IF(Atletas!H502="Taijiquan Grupo C",6,IF(Atletas!H502="Changquan Grupo B",7,IF(Atletas!H502="Nanquan Grupo B",8,IF(Atletas!H502="Taijiquan Grupo B",9,IF(Atletas!H502="Changquan Grupo A",10,IF(Atletas!H502="Nanquan Grupo A",11,IF(Atletas!H502="Taijiquan Grupo A",12,IF(Atletas!H502="Changquan Opcional",13,IF(Atletas!H502="Nanquan Opcional",14,IF(Atletas!H502="Taijiquan Opcional",15,IF(Atletas!H502="Changquan Adulto",16,IF(Atletas!H502="Nanquan Adulto",17,IF(Atletas!H502="Taijiquan Adulto",18,""))))))))))))))))))))</f>
        <v/>
      </c>
      <c r="BG511" s="52" t="str">
        <f>IF(Atletas!I502="","",IF(Atletas!B502="Feminino",100,IF(Atletas!B502="Masculino",200,""))+(IF(Atletas!I502="Daoshu Mirim",19,IF(Atletas!I502="Jianshu Mirim",20,IF(Atletas!I502="Nandao Mirim",21,IF(Atletas!I502="Taijijian Mirim",22,IF(Atletas!I502="Daoshu Grupo C",23,IF(Atletas!I502="Jianshu Grupo C",24,IF(Atletas!I502="Nandao Grupo C",25,IF(Atletas!I502="Taijijian Grupo C",26,IF(Atletas!I502="Daoshu Grupo B",27,IF(Atletas!I502="Jianshu Grupo B",28,IF(Atletas!I502="Nandao Grupo B",29,IF(Atletas!I502="Taijijian Grupo B",30,IF(Atletas!I502="Daoshu Grupo A",31,IF(Atletas!I502="Jianshu Grupo A",32,IF(Atletas!I502="Nandao Grupo A",33,IF(Atletas!I502="Taijijian Grupo A",34,IF(Atletas!I502="Daoshu Opcional",35,IF(Atletas!I502="Jianshu Opcional",36,IF(Atletas!I502="Nandao Opcional",37,IF(Atletas!I502="Taijijian Opcional",38,IF(Atletas!I502="Daoshu Adulto",39,IF(Atletas!I502="Jianshu Adulto",40,IF(Atletas!I502="Nandao Adulto",41,IF(Atletas!I502="Taijijian Adulto",42,""))))))))))))))))))))))))))</f>
        <v/>
      </c>
      <c r="BH511" s="52" t="str">
        <f>IF(Atletas!J502="","",IF(Atletas!B502="Feminino",100,IF(Atletas!B502="Masculino",200,""))+(IF(Atletas!J502="Gunshu Mirim",43,IF(Atletas!J502="Qiangshu Mirim",44,IF(Atletas!J502="Nangun Mirim",45,IF(Atletas!J502="Gunshu Grupo C",46,IF(Atletas!J502="Qiangshu Grupo C",47,IF(Atletas!J502="Nangun Grupo C",48,IF(Atletas!J502="Gunshu Grupo B",49,IF(Atletas!J502="Qiangshu Grupo B",50,IF(Atletas!J502="Nangun Grupo B",51,IF(Atletas!J502="Gunshu Grupo A",52,IF(Atletas!J502="Qiangshu Grupo A",53,IF(Atletas!J502="Nangun Grupo A",54,IF(Atletas!J502="Gunshu Opcional",55,IF(Atletas!J502="Qiangshu Opcional",56,IF(Atletas!J502="Nangun Opcional",57,IF(Atletas!J502="Gunshu Adulto",58,IF(Atletas!J502="Qiangshu Adulto",59,IF(Atletas!J502="Nangun Adulto",60,IF(Atletas!J502="Taijishan Grupo B",61,IF(Atletas!J502="Taijishan Grupo A",62,""))))))))))))))))))))))</f>
        <v/>
      </c>
      <c r="BM511" s="50" t="str">
        <f>IF(Atletas!K502="","",IF(Atletas!B502="Feminino",100,IF(Atletas!B502="Masculino",200,""))+(IF(Atletas!K502="Equipe 1 Grupo B",1,IF(Atletas!K502="Equipe 2 Grupo B",2,IF(Atletas!K502="Equipe 1 Grupo A",3,IF(Atletas!K502="Equipe 2 Grupo A",4,IF(Atletas!K502="Equipe 1 Adulto",5,IF(Atletas!K502="Equipe 2 Adulto",6,""))))))))</f>
        <v/>
      </c>
      <c r="BR511" s="50" t="str">
        <f>IF(Atletas!L502="","",IF(Atletas!X502&lt;&gt;"",10000,0)+(IF(Atletas!B502="Feminino",1000,IF(Atletas!B502="Masculino",2000,""))+IF(Atletas!L502="Choylayfut A",1,IF(Atletas!L502="Hunggar A",2,IF(Atletas!L502="Wuzuquan A",3,IF(Atletas!L502="Wingchun A",4,IF(Atletas!L502="Outra Mão de Sul A",5,IF(Atletas!L502="Choylayfut B",6,IF(Atletas!L502="Hunggar B",7,IF(Atletas!L502="Wuzuquan B",8,IF(Atletas!L502="Wingchun B",9,IF(Atletas!L502="Outra Mão de Sul B",10,IF(Atletas!L502="Choylayfut C",11,IF(Atletas!L502="Hunggar C",12,IF(Atletas!L502="Wuzuquan C",13,IF(Atletas!L502="Wingchun C",14,IF(Atletas!L502="Outra Mão de Sul C",15,IF(Atletas!L502="Choylayfut D",16,IF(Atletas!L502="Hunggar D",17,IF(Atletas!L502="Wuzuquan D",18,IF(Atletas!L502="Wingchun D",19,IF(Atletas!L502="Outra Mão de Sul D",20,IF(Atletas!L502="Choylayfut E",21,IF(Atletas!L502="Hunggar E",22,IF(Atletas!L502="Wuzuquan E",23,IF(Atletas!L502="Wingchun E",24,IF(Atletas!L502="Outra Mão de Sul E",25,IF(Atletas!L502="Choylayfut F",26,IF(Atletas!L502="Hunggar F",27,IF(Atletas!L502="Wuzuquan F",28,IF(Atletas!L502="Wingchun F",29,IF(Atletas!L502="Outra Mão de Sul F",30,IF(Atletas!L502="Dishuquan A",31,IF(Atletas!L502="Dishuquan B",32,IF(Atletas!L502="Dishuquan C",33,IF(Atletas!L502="Dishuquan D",34,IF(Atletas!L502="Dishuquan E",35,IF(Atletas!L502="Dishuquan F",36,""))))))))))))))))))))))))))))))))))))))</f>
        <v/>
      </c>
      <c r="BS511" s="50" t="str">
        <f>IF(Atletas!M502="","",IF(Atletas!X502&lt;&gt;"",10000,0)+(IF(Atletas!B502="Feminino",1000,IF(Atletas!B502="Masculino",2000,""))+(IF(Atletas!M502="Chaquan A",101,IF(Atletas!M502="Emeiquan A",102,IF(Atletas!M502="Fanziquan A",103,IF(Atletas!M502="Huaquan A",104,IF(Atletas!M502="Hongquan A",105,IF(Atletas!M502="Paoquan A",106,IF(Atletas!M502="Piguaquan A",107,IF(Atletas!M502="Shaolinquan A",108,IF(Atletas!M502="Tanglangquan A",109,IF(Atletas!M502="Yingzhaoquan A",110,IF(Atletas!M502="Tongbeiquan A",111,IF(Atletas!M502="Wudangquan A",112,IF(Atletas!M502="Outros Estilos A",113,IF(Atletas!M502="Chaquan B",114,IF(Atletas!M502="Emeiquan B",115,IF(Atletas!M502="Fanziquan B",116,IF(Atletas!M502="Huaquan B",117,IF(Atletas!M502="Hongquan B",118,IF(Atletas!M502="Paoquan B",119,IF(Atletas!M502="Piguaquan B",120,IF(Atletas!M502="Shaolinquan B",121,IF(Atletas!M502="Tanglangquan B",122,IF(Atletas!M502="Yingzhaoquan B",123,IF(Atletas!M502="Tongbeiquan B",124,IF(Atletas!M502="Wudangquan B",125,IF(Atletas!M502="Outros Estilos B",126,IF(Atletas!M502="Chaquan C",127,IF(Atletas!M502="Emeiquan C",128,IF(Atletas!M502="Fanziquan C",129,IF(Atletas!M502="Huaquan C",130,IF(Atletas!M502="Hongquan C",131,IF(Atletas!M502="Paoquan C",132,IF(Atletas!M502="Piguaquan C",133,IF(Atletas!M502="Shaolinquan C",134,IF(Atletas!M502="Tanglangquan C",135,IF(Atletas!M502="Yingzhaoquan C",136,IF(Atletas!M502="Tongbeiquan C",137,IF(Atletas!M502="Wudangquan C",138,IF(Atletas!M502="Outros Estilos C",139,0))))))))))))))))))))))))))))))))))))))))))</f>
        <v/>
      </c>
      <c r="BT511" s="50" t="str">
        <f>IF(Atletas!M502="","",IF(Atletas!X502&lt;&gt;"",10000,0)+(IF(Atletas!B502="Feminino",1000,IF(Atletas!B502="Masculino",2000,""))+(IF(Atletas!M502="Chaquan D",140,IF(Atletas!M502="Emeiquan D",141,IF(Atletas!M502="Fanziquan D",142,IF(Atletas!M502="Huaquan D",143,IF(Atletas!M502="Hongquan D",144,IF(Atletas!M502="Paoquan D",145,IF(Atletas!M502="Piguaquan D",146,IF(Atletas!M502="Shaolinquan D",147,IF(Atletas!M502="Tanglangquan D",148,IF(Atletas!M502="Yingzhaoquan D",149,IF(Atletas!M502="Tongbeiquan D",150,IF(Atletas!M502="Wudangquan D",151,IF(Atletas!M502="Outros Estilos D",152,IF(Atletas!M502="Chaquan E",153,IF(Atletas!M502="Emeiquan E",154,IF(Atletas!M502="Fanziquan E",155,IF(Atletas!M502="Huaquan E",156,IF(Atletas!M502="Hongquan E",157,IF(Atletas!M502="Paoquan E",158,IF(Atletas!M502="Piguaquan E",159,IF(Atletas!M502="Shaolinquan E",160,IF(Atletas!M502="Tanglangquan E",161,IF(Atletas!M502="Yingzhaoquan E",162,IF(Atletas!M502="Tongbeiquan E",163,IF(Atletas!M502="Wudangquan E",164,IF(Atletas!M502="Outros Estilos E",165,IF(Atletas!M502="Chaquan F",166,IF(Atletas!M502="Emeiquan F",167,IF(Atletas!M502="Fanziquan F",168,IF(Atletas!M502="Huaquan F",169,IF(Atletas!M502="Hongquan F",170,IF(Atletas!M502="Paoquan F",171,IF(Atletas!M502="Piguaquan F",172,IF(Atletas!M502="Shaolinquan F",173,IF(Atletas!M502="Tanglangquan F",174,IF(Atletas!M502="Yingzhaoquan F",175,IF(Atletas!M502="Tongbeiquan F",176,IF(Atletas!M502="Wudangquan F",177,IF(Atletas!M502="Outros Estilos F",178,0))))))))))))))))))))))))))))))))))))))))))</f>
        <v/>
      </c>
      <c r="BU511" s="50" t="str">
        <f>IF(Atletas!N502="","",IF(Atletas!X502&lt;&gt;"",10000,0)+(IF(Atletas!B502="Feminino",1000,IF(Atletas!B502="Masculino",2000,""))+(IF(Atletas!N502="Ditangquan A",201,IF(Atletas!N502="Houquan A",202,IF(Atletas!N502="Zuiquan A",203,IF(Atletas!N502="Ditangquan B",204,IF(Atletas!N502="Houquan B",205,IF(Atletas!N502="Zuiquan B",206,IF(Atletas!N502="Ditangquan C",207,IF(Atletas!N502="Houquan C",208,IF(Atletas!N502="Zuiquan C",209,IF(Atletas!N502="Ditangquan D",210,IF(Atletas!N502="Houquan D",211,IF(Atletas!N502="Zuiquan D",212,IF(Atletas!N502="Ditangquan E",213,IF(Atletas!N502="Houquan E",214,IF(Atletas!N502="Zuiquan E",215,IF(Atletas!N502="Ditangquan F",216,IF(Atletas!N502="Houquan F",217,IF(Atletas!N502="Zuiquan F",218,"")))))))))))))))))))))</f>
        <v/>
      </c>
      <c r="BV511" s="50" t="str">
        <f>IF(Atletas!O502="","",IF(Atletas!X502&lt;&gt;"",10000,0)+IF(Atletas!B502="Feminino",1000,IF(Atletas!B502="Masculino",2000,""))+IF(Atletas!O502="Yang A",301,IF(Atletas!O502="Chen A",302,IF(Atletas!O502="Sun A",303,IF(Atletas!O502="Wu A",304,IF(Atletas!O502="Wu-Hao A",305,IF(Atletas!O502="Outro Taijiquan A",306,IF(Atletas!O502="Yang B",307,IF(Atletas!O502="Chen B",308,IF(Atletas!O502="Sun B",309,IF(Atletas!O502="Wu B",310,IF(Atletas!O502="Wu-Hao B",311,IF(Atletas!O502="Outro Taijiquan B",312,IF(Atletas!O502="Yang C",313,IF(Atletas!O502="Chen C",314,IF(Atletas!O502="Sun C",315,IF(Atletas!O502="Wu C",316,IF(Atletas!O502="Wu-Hao C",317,IF(Atletas!O502="Outro Taijiquan C",318,IF(Atletas!O502="Yang D",319,IF(Atletas!O502="Chen D",320,IF(Atletas!O502="Sun D",321,IF(Atletas!O502="Wu D",322,IF(Atletas!O502="Wu-Hao D",323,IF(Atletas!O502="Outro Taijiquan D",324,IF(Atletas!O502="Yang E",325,IF(Atletas!O502="Chen E",326,IF(Atletas!O502="Sun E",327,IF(Atletas!O502="Wu E",328,IF(Atletas!O502="Wu-Hao E",329,IF(Atletas!O502="Outro Taijiquan E",330,IF(Atletas!O502="Yang F",331,IF(Atletas!O502="Chen F",332,IF(Atletas!O502="Sun F",333,IF(Atletas!O502="Wu F",334,IF(Atletas!O502="Wu-Hao F",335,IF(Atletas!O502="Outro Taijiquan F",336,"")))))))))))))))))))))))))))))))))))))</f>
        <v/>
      </c>
      <c r="BW511" s="50" t="str">
        <f>IF(Atletas!P502="","",IF(Atletas!X502&lt;&gt;"",10000,0)+IF(Atletas!B502="Feminino",1000,IF(Atletas!B502="Masculino",2000,""))+IF(OR(Atletas!P502="Yang 26 A",Atletas!P502="Yang 40 A"),401,IF(OR(Atletas!P502="Chen 25 A",Atletas!P502="Chen 36 A",Atletas!P502="Chen 56 A"),402,IF(Atletas!P502="Sun 73 A",403,IF(Atletas!P502="Wu 45 A",404,IF(Atletas!P502="Wu-Hao 46 A",405,IF(OR(Atletas!P502="Taijiquan 16 A",Atletas!P502="Taijiquan 24 A",Atletas!P502="Taijiquan 32 A",Atletas!P502="Taijiquan 42 A"),406,IF(OR(Atletas!P502="Yang 26 B",Atletas!P502="Yang 40 B"),407,IF(OR(Atletas!P502="Chen 25 B",Atletas!P502="Chen 36 B",Atletas!P502="Chen 56 B"),408,IF(Atletas!P502="Sun 73 B",409,IF(Atletas!P502="Wu 45 B",410,IF(Atletas!P502="Wu-Hao 46 B",411,IF(OR(Atletas!P502="Taijiquan 16 B",Atletas!P502="Taijiquan 24 B",Atletas!P502="Taijiquan 32 B",Atletas!P502="Taijiquan 42 B"),412,IF(OR(Atletas!P502="Yang 26 C",Atletas!P502="Yang 40 C"),413,IF(OR(Atletas!P502="Chen 25 C",Atletas!P502="Chen 36 C",Atletas!P502="Chen 56 C"),414,IF(Atletas!P502="Sun 73 C",415,IF(Atletas!P502="Wu 45 C",416,IF(Atletas!P502="Wu-Hao 46 C",417,IF(OR(Atletas!P502="Taijiquan 16 C",Atletas!P502="Taijiquan 24 C",Atletas!P502="Taijiquan 32 C",Atletas!P502="Taijiquan 42 C"),418,0)))))))))))))))))))</f>
        <v/>
      </c>
      <c r="BX511" s="50" t="str">
        <f>IF(Atletas!P502="","",IF(Atletas!X502&lt;&gt;"",10000,0)+IF(Atletas!B502="Feminino",1000,IF(Atletas!B502="Masculino",2000,""))+IF(OR(Atletas!P502="Yang 26 D",Atletas!P502="Yang 40 D"),419,IF(OR(Atletas!P502="Chen 25 D",Atletas!P502="Chen 36 D",Atletas!P502="Chen 56 D"),420,IF(Atletas!P502="Sun 73 D",421,IF(Atletas!P502="Wu 45 D",422,IF(Atletas!P502="Wu-Hao 46 D",423,IF(OR(Atletas!P502="Taijiquan 16 D",Atletas!P502="Taijiquan 24 D",Atletas!P502="Taijiquan 32 D",Atletas!P502="Taijiquan 42 D"),424,IF(OR(Atletas!P502="Yang 26 E",Atletas!P502="Yang 40 E"),425,IF(OR(Atletas!P502="Chen 25 E",Atletas!P502="Chen 36 E",Atletas!P502="Chen 56 E"),426,IF(Atletas!P502="Sun 73 E",427,IF(Atletas!P502="Wu 45 E",428,IF(Atletas!P502="Wu-Hao 46 E",429,IF(OR(Atletas!P502="Taijiquan 16 E",Atletas!P502="Taijiquan 24 E",Atletas!P502="Taijiquan 32 E",Atletas!P502="Taijiquan 42 E"),430,IF(OR(Atletas!P502="Yang 26 F",Atletas!P502="Yang 40 F"),431,IF(OR(Atletas!P502="Chen 25 F",Atletas!P502="Chen 36 F",Atletas!P502="Chen 56 F"),432,IF(Atletas!P502="Sun 73 F",433,IF(Atletas!P502="Wu 45 F",434,IF(Atletas!P502="Wu-Hao 46 F",435,IF(OR(Atletas!P502="Taijiquan 16 F",Atletas!P502="Taijiquan 24 F",Atletas!P502="Taijiquan 32 F",Atletas!P502="Taijiquan 42 F"),436,0)))))))))))))))))))</f>
        <v/>
      </c>
      <c r="BY511" s="50" t="str">
        <f>IF(Atletas!Q502="","",IF(Atletas!X502&lt;&gt;"",10000,0)+IF(Atletas!B502="Feminino",1000,IF(Atletas!B502="Masculino",2000,""))+IF(Atletas!Q502="Xingyiquan A",501,IF(Atletas!Q502="Baguazhang A",502,IF(Atletas!Q502="Outro Estilo Interno A",503,IF(Atletas!Q502="Xingyiquan B",504,IF(Atletas!Q502="Baguazhang B",505,IF(Atletas!Q502="Outro Estilo Interno B",506,IF(Atletas!Q502="Xingyiquan C",507,IF(Atletas!Q502="Baguazhang C",508,IF(Atletas!Q502="Outro Estilo Interno C",509,IF(Atletas!Q502="Xingyiquan D",510,IF(Atletas!Q502="Baguazhang D",511,IF(Atletas!Q502="Outro Estilo Interno D",512,IF(Atletas!Q502="Xingyiquan E",513,IF(Atletas!Q502="Baguazhang E",514,IF(Atletas!Q502="Outro Estilo Interno E",515,IF(Atletas!Q502="Xingyiquan F",516,IF(Atletas!Q502="Baguazhang F",517,IF(Atletas!Q502="Outro Estilo Interno F",518, "")))))))))))))))))))</f>
        <v/>
      </c>
      <c r="BZ511" s="50" t="str">
        <f>IF(Atletas!R502="","",IF(Atletas!X502&lt;&gt;"",10000,0)+IF(Atletas!B502="Feminino",1000,IF(Atletas!B502="Masculino",2000,""))+IF(Atletas!R502="Dao A",601,IF(Atletas!R502="Jian A",602,IF(Atletas!R502="Bishou A",603,IF(Atletas!R502="Shanzi A",604,IF(Atletas!R502="Outra Arma Curta A",605,IF(Atletas!R502="Dao B",606,IF(Atletas!R502="Jian B",607,IF(Atletas!R502="Bishou B",608,IF(Atletas!R502="Shanzi B",609,IF(Atletas!R502="Outra Arma Curta B",610,IF(Atletas!R502="Dao C",611,IF(Atletas!R502="Jian C",612,IF(Atletas!R502="Bishou C",613,IF(Atletas!R502="Shanzi C",614,IF(Atletas!R502="Outra Arma Curta C",615,IF(Atletas!R502="Dao D",616,IF(Atletas!R502="Jian D",617,IF(Atletas!R502="Bishou D",618,IF(Atletas!R502="Shanzi D",619,IF(Atletas!R502="Outra Arma Curta D",620,IF(Atletas!R502="Dao E",621,IF(Atletas!R502="Jian E",622,IF(Atletas!R502="Bishou E",623,IF(Atletas!R502="Shanzi E",624,IF(Atletas!R502="Outra Arma Curta E",625,IF(Atletas!R502="Dao F",626,IF(Atletas!R502="Jian F",627,IF(Atletas!R502="Bishou F",628,IF(Atletas!R502="Shanzi F",629,IF(Atletas!R502="Outra Arma Curta F",630, "")))))))))))))))))))))))))))))))</f>
        <v/>
      </c>
      <c r="CA511" s="50" t="str">
        <f>IF(Atletas!S502="","",IF(Atletas!X502&lt;&gt;"",10000,0)+IF(Atletas!B502="Feminino",1000,IF(Atletas!B502="Masculino",2000,""))+IF(Atletas!S502="Gun A",701,IF(Atletas!S502="Qiang A",702,IF(Atletas!S502="Pudao / Guandao A",703,IF(Atletas!S502="Outra Arma Longa A",704,IF(Atletas!S502="Gun B",705,IF(Atletas!S502="Qiang B",706,IF(Atletas!S502="Pudao / Guandao B",707,IF(Atletas!S502="Outra Arma Longa B",708,IF(Atletas!S502="Gun C",709,IF(Atletas!S502="Qiang C",710,IF(Atletas!S502="Pudao / Guandao C",711,IF(Atletas!S502="Outra Arma Longa C",712,IF(Atletas!S502="Gun D",713,IF(Atletas!S502="Qiang D",714,IF(Atletas!S502="Pudao / Guandao D",715,IF(Atletas!S502="Outra Arma Longa D",716,IF(Atletas!S502="Gun E",717,IF(Atletas!S502="Qiang E",718,IF(Atletas!S502="Pudao / Guandao E",719,IF(Atletas!S502="Outra Arma Longa E",720,IF(Atletas!S502="Gun F",721,IF(Atletas!S502="Qiang F",722,IF(Atletas!S502="Pudao / Guandao F",723,IF(Atletas!S502="Outra Arma Longa F",724,"")))))))))))))))))))))))))</f>
        <v/>
      </c>
      <c r="CB511" s="50" t="str">
        <f>IF(Atletas!T502="","",IF(Atletas!X502&lt;&gt;"",10000,0)+IF(Atletas!B502="Feminino",1000,IF(Atletas!B502="Masculino",2000,""))+IF(Atletas!T502="Outra Arma Dupla A",801,IF(Atletas!T502="Arma Maleável A",802,IF(Atletas!T502="Outra Arma Dupla B",803,IF(Atletas!T502="Arma Maleável B",804,IF(Atletas!T502="Outra Arma Dupla C",805,IF(Atletas!T502="Arma Maleável C",806,IF(Atletas!T502="Outra Arma Dupla D",807,IF(Atletas!T502="Arma Maleável D",808,IF(Atletas!T502="Outra Arma Dupla E",809,IF(Atletas!T502="Arma Maleável E",810,IF(Atletas!T502="Outra Arma Dupla F",811,IF(Atletas!T502="Arma Maleável F",812,IF(Atletas!T502="Shuangdao A",813,IF(Atletas!T502="Shuangdao B",814,IF(Atletas!T502="Shuangdao C",815,IF(Atletas!T502="Shuangdao D",816,IF(Atletas!T502="Shuangdao E",817,IF(Atletas!T502="Shuangdao F",818,"")))))))))))))))))))</f>
        <v/>
      </c>
      <c r="CC511" s="50" t="str">
        <f>IF(Atletas!U502="","",IF(Atletas!X502&lt;&gt;"",10000,0)+IF(Atletas!B502="Feminino",1000,IF(Atletas!B502="Masculino",2000,""))+IF(OR(Atletas!U502="Taijijian Yang A",Atletas!U502="Taijijian Yang Standard A"),901,IF(OR(Atletas!U502="Taijijian Chen A", Atletas!U502="Taijijian Chen Standard A"),902,IF(Atletas!U502="Taijijian Sun A",903,IF(Atletas!U502="Taijijian Wu A",904,IF(Atletas!U502="Taijijian Wu-Hao A",905,IF(OR(Atletas!U502="Taijijian 32 A",Atletas!U502="Taijijian 42 A"),906,IF(OR(Atletas!U502="Taijijian Yang B",Atletas!U502="Taijijian Yang Standard B"),907,IF(OR(Atletas!U502="Taijijian Chen B", Atletas!U502="Taijijian Chen Standard B"),908,IF(Atletas!U502="Taijijian Sun B",909,IF(Atletas!U502="Taijijian Wu B",910,IF(Atletas!U502="Taijijian Wu-Hao B",911,IF(OR(Atletas!U502="Taijijian 32 B",Atletas!U502="Taijijian 42 B"),912,IF(OR(Atletas!U502="Taijijian Yang C",Atletas!U502="Taijijian Yang Standard C"),913,IF(OR(Atletas!U502="Taijijian Chen C", Atletas!U502="Taijijian Chen Standard C"),914,IF(Atletas!U502="Taijijian Sun C",915,IF(Atletas!U502="Taijijian Wu C",916,IF(Atletas!U502="Taijijian Wu-Hao C",917,IF(OR(Atletas!U502="Taijijian 32 C",Atletas!U502="Taijijian 42 C"),918,IF(OR(Atletas!U502="Taijijian Yang D",Atletas!U502="Taijijian Yang Standard D"),919,IF(OR(Atletas!U502="Taijijian Chen D", Atletas!U502="Taijijian Chen Standard D"),920,IF(Atletas!U502="Taijijian Sun D",921,IF(Atletas!U502="Taijijian Wu D",922,IF(Atletas!U502="Taijijian Wu-Hao D",923,IF(OR(Atletas!U502="Taijijian 32 D",Atletas!U502="Taijijian 42 D"),924,IF(OR(Atletas!U502="Taijijian Yang E",Atletas!U502="Taijijian Yang Standard E"),925,IF(OR(Atletas!U502="Taijijian Chen E", Atletas!U502="Taijijian Chen Standard E"),926,IF(Atletas!U502="Taijijian Sun E",927,IF(Atletas!U502="Taijijian Wu E",928,IF(Atletas!U502="Taijijian Wu-Hao E",929,IF(OR(Atletas!U502="Taijijian 32 E",Atletas!U502="Taijijian 42 E"),930,IF(OR(Atletas!U502="Taijijian Yang F",Atletas!U502="Taijijian Yang Standard F"),931,IF(OR(Atletas!U502="Taijijian Chen F", Atletas!U502="Taijijian Chen Standard F"),932,IF(Atletas!U502="Taijijian Sun F",933,IF(Atletas!U502="Taijijian Wu F",934,IF(Atletas!U502="Taijijian Wu-Hao F",935,IF(OR(Atletas!U502="Taijijian 32 F",Atletas!U502="Taijijian 42 F"),936,"")))))))))))))))))))))))))))))))))))))</f>
        <v/>
      </c>
      <c r="CD511" s="50" t="str">
        <f>IF(Atletas!V502="","",IF(Atletas!X502&lt;&gt;"",10000,0)+IF(Atletas!B502="Feminino",1000,IF(Atletas!B502="Masculino",2000,""))+IF(Atletas!V502="Taijidao A",937,IF(Atletas!V502="TaijiShanzi A",938,IF(Atletas!V502="Taijiqiang A",939,IF(Atletas!V502="Bagua de Arma A",940,IF(Atletas!V502="Xingyi de Arma A",941,IF(Atletas!V502="Taijidao B",942,IF(Atletas!V502="TaijiShanzi B",943,IF(Atletas!V502="Taijiqiang B",944,IF(Atletas!V502="Bagua de Arma B",945,IF(Atletas!V502="Xingyi de Arma B",946,IF(Atletas!V502="Taijidao C",947,IF(Atletas!V502="TaijiShanzi C",948,IF(Atletas!V502="Taijiqiang C",949,IF(Atletas!V502="Bagua de Arma C",950,IF(Atletas!V502="Xingyi de Arma C",951,IF(Atletas!V502="Taijidao D",952,IF(Atletas!V502="TaijiShanzi D",953,IF(Atletas!V502="Taijiqiang D",954,IF(Atletas!V502="Bagua de Arma D",955,IF(Atletas!V502="Xingyi de Arma D",956,IF(Atletas!V502="Taijidao E",957,IF(Atletas!V502="TaijiShanzi E",958,IF(Atletas!V502="Taijiqiang E",959,IF(Atletas!V502="Bagua de Arma E",960,IF(Atletas!V502="Xingyi de Arma E",961,IF(Atletas!V502="Taijidao F",962,IF(Atletas!V502="TaijiShanzi F",963,IF(Atletas!V502="Taijiqiang F",964,IF(Atletas!V502="Bagua de Arma F",965,IF(Atletas!V502="Xingyi de Arma F",966,"")))))))))))))))))))))))))))))))</f>
        <v/>
      </c>
      <c r="CM511" s="50" t="str">
        <f xml:space="preserve"> IF(Atletas!W502="","",IF(Atletas!W502="Duilian de Mãos BC - Equipe 1",1,IF(Atletas!W502="Duilian de Mãos BC - Equipe 2",2,IF(Atletas!W502="Duilian de Armas BC - Equipe 1",3,IF(Atletas!W502="Duilian de Armas BC - Equipe 2",4,IF(Atletas!W502="Duilian de Mãos DE - Equipe 1",5,IF(Atletas!W502="Duilian de Mãos DE - Equipe 2",6,IF(Atletas!W502="Duilian de Armas DE - Equipe 1",7,IF(Atletas!W502="Duilian de Armas DE - Equipe 2",8,IF(Atletas!W502="Duilian de Tuishou - Equipe 1",9,IF(Atletas!W502="Duilian de Tuishou - Equipe 2",10,IF(Atletas!W502="Grupo Externo ABC - Equipe 1",11,IF(Atletas!W502="Grupo Externo ABC - Equipe 2",12,IF(Atletas!W502="Grupo Interno ABC - Equipe 1",13,IF(Atletas!W502="Grupo Interno ABC - Equipe 2",14,IF(Atletas!W502="Grupo Externo DEF - Equipe 1",15,IF(Atletas!W502="Grupo Externo DEF - Equipe 2",16,IF(Atletas!W502="Grupo Interno DEF - Equipe 1",17,IF(Atletas!W502="Grupo Interno DEF - Equipe 2",18,"")))))))))))))))))))</f>
        <v/>
      </c>
    </row>
    <row r="512" spans="40:91">
      <c r="AN512" s="52" t="str">
        <f>IF(Atletas!D503="","",IF(Atletas!B503="Feminino",100,IF(Atletas!B503="Masculino",200,""))+(IF(Atletas!D503="Kids 30kg",1,IF(Atletas!D503="Kids 32kg",2, IF(Atletas!D503="Kids 34kg",3,IF(Atletas!D503="Kids 36kg",4,IF(Atletas!D503="Kids 39kg",5,IF(Atletas!D503="Kids 42kg",6,IF(Atletas!D503="Kids 45kg",7, IF(Atletas!D503="Infantil 39kg",8,IF(Atletas!D503="Infantil 42kg",9,IF(Atletas!D503="Infantil 45kg",10,IF(Atletas!D503="Infantil 48kg",11,IF(Atletas!D503="Infantil 52kg",12,IF(Atletas!D503="Infantil 56kg",13,IF(Atletas!D503="Infantil 60kg",14,IF(Atletas!D503="Juvenil 48kg",15,IF(Atletas!D503="Juvenil 52kg",16,IF(Atletas!D503="Juvenil 56kg",17,IF(Atletas!D503="Juvenil 60kg",18,IF(Atletas!D503="Juvenil 65kg",19,IF(Atletas!D503="Juvenil 70kg",20,IF(Atletas!D503="Juvenil 75kg",21,IF(Atletas!D503="Juvenil 80kg",22, IF(Atletas!D503="Juvenil 85kg",23,IF(Atletas!D503="Adulto 48kg",24,IF(Atletas!D503="Adulto 52kg",25,IF(Atletas!D503="Adulto 56kg",26,IF(Atletas!D503="Adulto 60kg",27,IF(Atletas!D503="Adulto 65kg",28,IF(Atletas!D503="Adulto 70kg",29,IF(Atletas!D503="Adulto 75kg",30,IF(Atletas!D503="Adulto 80kg",31,IF(Atletas!D503="Adulto 85kg",32,IF(Atletas!D503="Adulto 90kg",33,IF(Atletas!D503="Adulto 100kg",34, IF(Atletas!D503="Adulto +100kg",35,"")))))))))))))))))))))))))))))))))))))</f>
        <v/>
      </c>
      <c r="AS512" s="6" t="str">
        <f>IF(Atletas!E503="","",IF(Atletas!B503="Feminino",100,IF(Atletas!B503="Masculino",200,""))+(IF(Atletas!E503="Juvenil 44kg",1,IF(Atletas!E503="Juvenil 48kg",2,IF(Atletas!E503="Juvenil 52kg",3,IF(Atletas!E503="Juvenil 56kg",4,IF(Atletas!E503="Juvenil 60kg",5,IF(Atletas!E503="Juvenil 65kg",6,IF(Atletas!E503="Juvenil 70kg",7,IF(Atletas!E503="Juvenil 75kg",8,IF(Atletas!E503="Juvenil 82kg",9,IF(Atletas!E503="Juvenil 90kg",10,IF(Atletas!E503="Juvenil 100kg",11,IF(Atletas!E503="Adulto 48kg",12,IF(Atletas!E503="Adulto 52kg",13,IF(Atletas!E503="Adulto 56kg",14,IF(Atletas!E503="Adulto 60kg",15,IF(Atletas!E503="Adulto 65kg",16,IF(Atletas!E503="Adulto 70kg",17,IF(Atletas!E503="Adulto 75kg",18,IF(Atletas!E503="Adulto 82kg",19,IF(Atletas!E503="Adulto 90kg",20,IF(Atletas!E503="Adulto 100kg",21,IF(Atletas!E503="Adulto +100kg",22,""))))))))))))))))))))))))</f>
        <v/>
      </c>
      <c r="AX512" s="6" t="str">
        <f>IF(Atletas!F503="","",IF(Atletas!B503="Feminino",100,IF(Atletas!B503="Masculino",200,""))+(IF(Atletas!F503="Adulto 48kg",1,IF(Atletas!F503="Adulto 56kg",2,IF(Atletas!F503="Adulto 65kg",3,IF(Atletas!F503="Adulto 75kg",4,IF(Atletas!F503="Adulto +75kg",5,IF(Atletas!F503="Adulto 52kg",6,IF(Atletas!F503="Adulto 60kg",7,IF(Atletas!F503="Adulto 70kg",8,IF(Atletas!F503="Adulto 80kg",9,IF(Atletas!F503="Adulto 90kg",10,IF(Atletas!F503="Adulto +90kg",11,"")))))))))))))</f>
        <v/>
      </c>
      <c r="BC512" s="6" t="str">
        <f>IF(Atletas!G503="","",IF(Atletas!B503="Feminino",10,IF(Atletas!B503="Masculino",20,""))+(IF(Atletas!G503="Baduanjin A",1,IF(Atletas!G503="Baduanjin B",2))))</f>
        <v/>
      </c>
      <c r="BF512" s="52" t="str">
        <f>IF(Atletas!H503="","",IF(Atletas!B503="Feminino",100,IF(Atletas!B503="Masculino",200,""))+(IF(Atletas!H503="Changquan Mirim",1,IF(Atletas!H503="Nanquan Mirim",2,IF(Atletas!H503="Taijiquan Mirim",3,IF(Atletas!H503="Changquan Grupo C",4,IF(Atletas!H503="Nanquan Grupo C",5,IF(Atletas!H503="Taijiquan Grupo C",6,IF(Atletas!H503="Changquan Grupo B",7,IF(Atletas!H503="Nanquan Grupo B",8,IF(Atletas!H503="Taijiquan Grupo B",9,IF(Atletas!H503="Changquan Grupo A",10,IF(Atletas!H503="Nanquan Grupo A",11,IF(Atletas!H503="Taijiquan Grupo A",12,IF(Atletas!H503="Changquan Opcional",13,IF(Atletas!H503="Nanquan Opcional",14,IF(Atletas!H503="Taijiquan Opcional",15,IF(Atletas!H503="Changquan Adulto",16,IF(Atletas!H503="Nanquan Adulto",17,IF(Atletas!H503="Taijiquan Adulto",18,""))))))))))))))))))))</f>
        <v/>
      </c>
      <c r="BG512" s="52" t="str">
        <f>IF(Atletas!I503="","",IF(Atletas!B503="Feminino",100,IF(Atletas!B503="Masculino",200,""))+(IF(Atletas!I503="Daoshu Mirim",19,IF(Atletas!I503="Jianshu Mirim",20,IF(Atletas!I503="Nandao Mirim",21,IF(Atletas!I503="Taijijian Mirim",22,IF(Atletas!I503="Daoshu Grupo C",23,IF(Atletas!I503="Jianshu Grupo C",24,IF(Atletas!I503="Nandao Grupo C",25,IF(Atletas!I503="Taijijian Grupo C",26,IF(Atletas!I503="Daoshu Grupo B",27,IF(Atletas!I503="Jianshu Grupo B",28,IF(Atletas!I503="Nandao Grupo B",29,IF(Atletas!I503="Taijijian Grupo B",30,IF(Atletas!I503="Daoshu Grupo A",31,IF(Atletas!I503="Jianshu Grupo A",32,IF(Atletas!I503="Nandao Grupo A",33,IF(Atletas!I503="Taijijian Grupo A",34,IF(Atletas!I503="Daoshu Opcional",35,IF(Atletas!I503="Jianshu Opcional",36,IF(Atletas!I503="Nandao Opcional",37,IF(Atletas!I503="Taijijian Opcional",38,IF(Atletas!I503="Daoshu Adulto",39,IF(Atletas!I503="Jianshu Adulto",40,IF(Atletas!I503="Nandao Adulto",41,IF(Atletas!I503="Taijijian Adulto",42,""))))))))))))))))))))))))))</f>
        <v/>
      </c>
      <c r="BH512" s="52" t="str">
        <f>IF(Atletas!J503="","",IF(Atletas!B503="Feminino",100,IF(Atletas!B503="Masculino",200,""))+(IF(Atletas!J503="Gunshu Mirim",43,IF(Atletas!J503="Qiangshu Mirim",44,IF(Atletas!J503="Nangun Mirim",45,IF(Atletas!J503="Gunshu Grupo C",46,IF(Atletas!J503="Qiangshu Grupo C",47,IF(Atletas!J503="Nangun Grupo C",48,IF(Atletas!J503="Gunshu Grupo B",49,IF(Atletas!J503="Qiangshu Grupo B",50,IF(Atletas!J503="Nangun Grupo B",51,IF(Atletas!J503="Gunshu Grupo A",52,IF(Atletas!J503="Qiangshu Grupo A",53,IF(Atletas!J503="Nangun Grupo A",54,IF(Atletas!J503="Gunshu Opcional",55,IF(Atletas!J503="Qiangshu Opcional",56,IF(Atletas!J503="Nangun Opcional",57,IF(Atletas!J503="Gunshu Adulto",58,IF(Atletas!J503="Qiangshu Adulto",59,IF(Atletas!J503="Nangun Adulto",60,IF(Atletas!J503="Taijishan Grupo B",61,IF(Atletas!J503="Taijishan Grupo A",62,""))))))))))))))))))))))</f>
        <v/>
      </c>
      <c r="BM512" s="50" t="str">
        <f>IF(Atletas!K503="","",IF(Atletas!B503="Feminino",100,IF(Atletas!B503="Masculino",200,""))+(IF(Atletas!K503="Equipe 1 Grupo B",1,IF(Atletas!K503="Equipe 2 Grupo B",2,IF(Atletas!K503="Equipe 1 Grupo A",3,IF(Atletas!K503="Equipe 2 Grupo A",4,IF(Atletas!K503="Equipe 1 Adulto",5,IF(Atletas!K503="Equipe 2 Adulto",6,""))))))))</f>
        <v/>
      </c>
      <c r="BR512" s="50" t="str">
        <f>IF(Atletas!L503="","",IF(Atletas!X503&lt;&gt;"",10000,0)+(IF(Atletas!B503="Feminino",1000,IF(Atletas!B503="Masculino",2000,""))+IF(Atletas!L503="Choylayfut A",1,IF(Atletas!L503="Hunggar A",2,IF(Atletas!L503="Wuzuquan A",3,IF(Atletas!L503="Wingchun A",4,IF(Atletas!L503="Outra Mão de Sul A",5,IF(Atletas!L503="Choylayfut B",6,IF(Atletas!L503="Hunggar B",7,IF(Atletas!L503="Wuzuquan B",8,IF(Atletas!L503="Wingchun B",9,IF(Atletas!L503="Outra Mão de Sul B",10,IF(Atletas!L503="Choylayfut C",11,IF(Atletas!L503="Hunggar C",12,IF(Atletas!L503="Wuzuquan C",13,IF(Atletas!L503="Wingchun C",14,IF(Atletas!L503="Outra Mão de Sul C",15,IF(Atletas!L503="Choylayfut D",16,IF(Atletas!L503="Hunggar D",17,IF(Atletas!L503="Wuzuquan D",18,IF(Atletas!L503="Wingchun D",19,IF(Atletas!L503="Outra Mão de Sul D",20,IF(Atletas!L503="Choylayfut E",21,IF(Atletas!L503="Hunggar E",22,IF(Atletas!L503="Wuzuquan E",23,IF(Atletas!L503="Wingchun E",24,IF(Atletas!L503="Outra Mão de Sul E",25,IF(Atletas!L503="Choylayfut F",26,IF(Atletas!L503="Hunggar F",27,IF(Atletas!L503="Wuzuquan F",28,IF(Atletas!L503="Wingchun F",29,IF(Atletas!L503="Outra Mão de Sul F",30,IF(Atletas!L503="Dishuquan A",31,IF(Atletas!L503="Dishuquan B",32,IF(Atletas!L503="Dishuquan C",33,IF(Atletas!L503="Dishuquan D",34,IF(Atletas!L503="Dishuquan E",35,IF(Atletas!L503="Dishuquan F",36,""))))))))))))))))))))))))))))))))))))))</f>
        <v/>
      </c>
      <c r="BS512" s="50" t="str">
        <f>IF(Atletas!M503="","",IF(Atletas!X503&lt;&gt;"",10000,0)+(IF(Atletas!B503="Feminino",1000,IF(Atletas!B503="Masculino",2000,""))+(IF(Atletas!M503="Chaquan A",101,IF(Atletas!M503="Emeiquan A",102,IF(Atletas!M503="Fanziquan A",103,IF(Atletas!M503="Huaquan A",104,IF(Atletas!M503="Hongquan A",105,IF(Atletas!M503="Paoquan A",106,IF(Atletas!M503="Piguaquan A",107,IF(Atletas!M503="Shaolinquan A",108,IF(Atletas!M503="Tanglangquan A",109,IF(Atletas!M503="Yingzhaoquan A",110,IF(Atletas!M503="Tongbeiquan A",111,IF(Atletas!M503="Wudangquan A",112,IF(Atletas!M503="Outros Estilos A",113,IF(Atletas!M503="Chaquan B",114,IF(Atletas!M503="Emeiquan B",115,IF(Atletas!M503="Fanziquan B",116,IF(Atletas!M503="Huaquan B",117,IF(Atletas!M503="Hongquan B",118,IF(Atletas!M503="Paoquan B",119,IF(Atletas!M503="Piguaquan B",120,IF(Atletas!M503="Shaolinquan B",121,IF(Atletas!M503="Tanglangquan B",122,IF(Atletas!M503="Yingzhaoquan B",123,IF(Atletas!M503="Tongbeiquan B",124,IF(Atletas!M503="Wudangquan B",125,IF(Atletas!M503="Outros Estilos B",126,IF(Atletas!M503="Chaquan C",127,IF(Atletas!M503="Emeiquan C",128,IF(Atletas!M503="Fanziquan C",129,IF(Atletas!M503="Huaquan C",130,IF(Atletas!M503="Hongquan C",131,IF(Atletas!M503="Paoquan C",132,IF(Atletas!M503="Piguaquan C",133,IF(Atletas!M503="Shaolinquan C",134,IF(Atletas!M503="Tanglangquan C",135,IF(Atletas!M503="Yingzhaoquan C",136,IF(Atletas!M503="Tongbeiquan C",137,IF(Atletas!M503="Wudangquan C",138,IF(Atletas!M503="Outros Estilos C",139,0))))))))))))))))))))))))))))))))))))))))))</f>
        <v/>
      </c>
      <c r="BT512" s="50" t="str">
        <f>IF(Atletas!M503="","",IF(Atletas!X503&lt;&gt;"",10000,0)+(IF(Atletas!B503="Feminino",1000,IF(Atletas!B503="Masculino",2000,""))+(IF(Atletas!M503="Chaquan D",140,IF(Atletas!M503="Emeiquan D",141,IF(Atletas!M503="Fanziquan D",142,IF(Atletas!M503="Huaquan D",143,IF(Atletas!M503="Hongquan D",144,IF(Atletas!M503="Paoquan D",145,IF(Atletas!M503="Piguaquan D",146,IF(Atletas!M503="Shaolinquan D",147,IF(Atletas!M503="Tanglangquan D",148,IF(Atletas!M503="Yingzhaoquan D",149,IF(Atletas!M503="Tongbeiquan D",150,IF(Atletas!M503="Wudangquan D",151,IF(Atletas!M503="Outros Estilos D",152,IF(Atletas!M503="Chaquan E",153,IF(Atletas!M503="Emeiquan E",154,IF(Atletas!M503="Fanziquan E",155,IF(Atletas!M503="Huaquan E",156,IF(Atletas!M503="Hongquan E",157,IF(Atletas!M503="Paoquan E",158,IF(Atletas!M503="Piguaquan E",159,IF(Atletas!M503="Shaolinquan E",160,IF(Atletas!M503="Tanglangquan E",161,IF(Atletas!M503="Yingzhaoquan E",162,IF(Atletas!M503="Tongbeiquan E",163,IF(Atletas!M503="Wudangquan E",164,IF(Atletas!M503="Outros Estilos E",165,IF(Atletas!M503="Chaquan F",166,IF(Atletas!M503="Emeiquan F",167,IF(Atletas!M503="Fanziquan F",168,IF(Atletas!M503="Huaquan F",169,IF(Atletas!M503="Hongquan F",170,IF(Atletas!M503="Paoquan F",171,IF(Atletas!M503="Piguaquan F",172,IF(Atletas!M503="Shaolinquan F",173,IF(Atletas!M503="Tanglangquan F",174,IF(Atletas!M503="Yingzhaoquan F",175,IF(Atletas!M503="Tongbeiquan F",176,IF(Atletas!M503="Wudangquan F",177,IF(Atletas!M503="Outros Estilos F",178,0))))))))))))))))))))))))))))))))))))))))))</f>
        <v/>
      </c>
      <c r="BU512" s="50" t="str">
        <f>IF(Atletas!N503="","",IF(Atletas!X503&lt;&gt;"",10000,0)+(IF(Atletas!B503="Feminino",1000,IF(Atletas!B503="Masculino",2000,""))+(IF(Atletas!N503="Ditangquan A",201,IF(Atletas!N503="Houquan A",202,IF(Atletas!N503="Zuiquan A",203,IF(Atletas!N503="Ditangquan B",204,IF(Atletas!N503="Houquan B",205,IF(Atletas!N503="Zuiquan B",206,IF(Atletas!N503="Ditangquan C",207,IF(Atletas!N503="Houquan C",208,IF(Atletas!N503="Zuiquan C",209,IF(Atletas!N503="Ditangquan D",210,IF(Atletas!N503="Houquan D",211,IF(Atletas!N503="Zuiquan D",212,IF(Atletas!N503="Ditangquan E",213,IF(Atletas!N503="Houquan E",214,IF(Atletas!N503="Zuiquan E",215,IF(Atletas!N503="Ditangquan F",216,IF(Atletas!N503="Houquan F",217,IF(Atletas!N503="Zuiquan F",218,"")))))))))))))))))))))</f>
        <v/>
      </c>
      <c r="BV512" s="50" t="str">
        <f>IF(Atletas!O503="","",IF(Atletas!X503&lt;&gt;"",10000,0)+IF(Atletas!B503="Feminino",1000,IF(Atletas!B503="Masculino",2000,""))+IF(Atletas!O503="Yang A",301,IF(Atletas!O503="Chen A",302,IF(Atletas!O503="Sun A",303,IF(Atletas!O503="Wu A",304,IF(Atletas!O503="Wu-Hao A",305,IF(Atletas!O503="Outro Taijiquan A",306,IF(Atletas!O503="Yang B",307,IF(Atletas!O503="Chen B",308,IF(Atletas!O503="Sun B",309,IF(Atletas!O503="Wu B",310,IF(Atletas!O503="Wu-Hao B",311,IF(Atletas!O503="Outro Taijiquan B",312,IF(Atletas!O503="Yang C",313,IF(Atletas!O503="Chen C",314,IF(Atletas!O503="Sun C",315,IF(Atletas!O503="Wu C",316,IF(Atletas!O503="Wu-Hao C",317,IF(Atletas!O503="Outro Taijiquan C",318,IF(Atletas!O503="Yang D",319,IF(Atletas!O503="Chen D",320,IF(Atletas!O503="Sun D",321,IF(Atletas!O503="Wu D",322,IF(Atletas!O503="Wu-Hao D",323,IF(Atletas!O503="Outro Taijiquan D",324,IF(Atletas!O503="Yang E",325,IF(Atletas!O503="Chen E",326,IF(Atletas!O503="Sun E",327,IF(Atletas!O503="Wu E",328,IF(Atletas!O503="Wu-Hao E",329,IF(Atletas!O503="Outro Taijiquan E",330,IF(Atletas!O503="Yang F",331,IF(Atletas!O503="Chen F",332,IF(Atletas!O503="Sun F",333,IF(Atletas!O503="Wu F",334,IF(Atletas!O503="Wu-Hao F",335,IF(Atletas!O503="Outro Taijiquan F",336,"")))))))))))))))))))))))))))))))))))))</f>
        <v/>
      </c>
      <c r="BW512" s="50" t="str">
        <f>IF(Atletas!P503="","",IF(Atletas!X503&lt;&gt;"",10000,0)+IF(Atletas!B503="Feminino",1000,IF(Atletas!B503="Masculino",2000,""))+IF(OR(Atletas!P503="Yang 26 A",Atletas!P503="Yang 40 A"),401,IF(OR(Atletas!P503="Chen 25 A",Atletas!P503="Chen 36 A",Atletas!P503="Chen 56 A"),402,IF(Atletas!P503="Sun 73 A",403,IF(Atletas!P503="Wu 45 A",404,IF(Atletas!P503="Wu-Hao 46 A",405,IF(OR(Atletas!P503="Taijiquan 16 A",Atletas!P503="Taijiquan 24 A",Atletas!P503="Taijiquan 32 A",Atletas!P503="Taijiquan 42 A"),406,IF(OR(Atletas!P503="Yang 26 B",Atletas!P503="Yang 40 B"),407,IF(OR(Atletas!P503="Chen 25 B",Atletas!P503="Chen 36 B",Atletas!P503="Chen 56 B"),408,IF(Atletas!P503="Sun 73 B",409,IF(Atletas!P503="Wu 45 B",410,IF(Atletas!P503="Wu-Hao 46 B",411,IF(OR(Atletas!P503="Taijiquan 16 B",Atletas!P503="Taijiquan 24 B",Atletas!P503="Taijiquan 32 B",Atletas!P503="Taijiquan 42 B"),412,IF(OR(Atletas!P503="Yang 26 C",Atletas!P503="Yang 40 C"),413,IF(OR(Atletas!P503="Chen 25 C",Atletas!P503="Chen 36 C",Atletas!P503="Chen 56 C"),414,IF(Atletas!P503="Sun 73 C",415,IF(Atletas!P503="Wu 45 C",416,IF(Atletas!P503="Wu-Hao 46 C",417,IF(OR(Atletas!P503="Taijiquan 16 C",Atletas!P503="Taijiquan 24 C",Atletas!P503="Taijiquan 32 C",Atletas!P503="Taijiquan 42 C"),418,0)))))))))))))))))))</f>
        <v/>
      </c>
      <c r="BX512" s="50" t="str">
        <f>IF(Atletas!P503="","",IF(Atletas!X503&lt;&gt;"",10000,0)+IF(Atletas!B503="Feminino",1000,IF(Atletas!B503="Masculino",2000,""))+IF(OR(Atletas!P503="Yang 26 D",Atletas!P503="Yang 40 D"),419,IF(OR(Atletas!P503="Chen 25 D",Atletas!P503="Chen 36 D",Atletas!P503="Chen 56 D"),420,IF(Atletas!P503="Sun 73 D",421,IF(Atletas!P503="Wu 45 D",422,IF(Atletas!P503="Wu-Hao 46 D",423,IF(OR(Atletas!P503="Taijiquan 16 D",Atletas!P503="Taijiquan 24 D",Atletas!P503="Taijiquan 32 D",Atletas!P503="Taijiquan 42 D"),424,IF(OR(Atletas!P503="Yang 26 E",Atletas!P503="Yang 40 E"),425,IF(OR(Atletas!P503="Chen 25 E",Atletas!P503="Chen 36 E",Atletas!P503="Chen 56 E"),426,IF(Atletas!P503="Sun 73 E",427,IF(Atletas!P503="Wu 45 E",428,IF(Atletas!P503="Wu-Hao 46 E",429,IF(OR(Atletas!P503="Taijiquan 16 E",Atletas!P503="Taijiquan 24 E",Atletas!P503="Taijiquan 32 E",Atletas!P503="Taijiquan 42 E"),430,IF(OR(Atletas!P503="Yang 26 F",Atletas!P503="Yang 40 F"),431,IF(OR(Atletas!P503="Chen 25 F",Atletas!P503="Chen 36 F",Atletas!P503="Chen 56 F"),432,IF(Atletas!P503="Sun 73 F",433,IF(Atletas!P503="Wu 45 F",434,IF(Atletas!P503="Wu-Hao 46 F",435,IF(OR(Atletas!P503="Taijiquan 16 F",Atletas!P503="Taijiquan 24 F",Atletas!P503="Taijiquan 32 F",Atletas!P503="Taijiquan 42 F"),436,0)))))))))))))))))))</f>
        <v/>
      </c>
      <c r="BY512" s="50" t="str">
        <f>IF(Atletas!Q503="","",IF(Atletas!X503&lt;&gt;"",10000,0)+IF(Atletas!B503="Feminino",1000,IF(Atletas!B503="Masculino",2000,""))+IF(Atletas!Q503="Xingyiquan A",501,IF(Atletas!Q503="Baguazhang A",502,IF(Atletas!Q503="Outro Estilo Interno A",503,IF(Atletas!Q503="Xingyiquan B",504,IF(Atletas!Q503="Baguazhang B",505,IF(Atletas!Q503="Outro Estilo Interno B",506,IF(Atletas!Q503="Xingyiquan C",507,IF(Atletas!Q503="Baguazhang C",508,IF(Atletas!Q503="Outro Estilo Interno C",509,IF(Atletas!Q503="Xingyiquan D",510,IF(Atletas!Q503="Baguazhang D",511,IF(Atletas!Q503="Outro Estilo Interno D",512,IF(Atletas!Q503="Xingyiquan E",513,IF(Atletas!Q503="Baguazhang E",514,IF(Atletas!Q503="Outro Estilo Interno E",515,IF(Atletas!Q503="Xingyiquan F",516,IF(Atletas!Q503="Baguazhang F",517,IF(Atletas!Q503="Outro Estilo Interno F",518, "")))))))))))))))))))</f>
        <v/>
      </c>
      <c r="BZ512" s="50" t="str">
        <f>IF(Atletas!R503="","",IF(Atletas!X503&lt;&gt;"",10000,0)+IF(Atletas!B503="Feminino",1000,IF(Atletas!B503="Masculino",2000,""))+IF(Atletas!R503="Dao A",601,IF(Atletas!R503="Jian A",602,IF(Atletas!R503="Bishou A",603,IF(Atletas!R503="Shanzi A",604,IF(Atletas!R503="Outra Arma Curta A",605,IF(Atletas!R503="Dao B",606,IF(Atletas!R503="Jian B",607,IF(Atletas!R503="Bishou B",608,IF(Atletas!R503="Shanzi B",609,IF(Atletas!R503="Outra Arma Curta B",610,IF(Atletas!R503="Dao C",611,IF(Atletas!R503="Jian C",612,IF(Atletas!R503="Bishou C",613,IF(Atletas!R503="Shanzi C",614,IF(Atletas!R503="Outra Arma Curta C",615,IF(Atletas!R503="Dao D",616,IF(Atletas!R503="Jian D",617,IF(Atletas!R503="Bishou D",618,IF(Atletas!R503="Shanzi D",619,IF(Atletas!R503="Outra Arma Curta D",620,IF(Atletas!R503="Dao E",621,IF(Atletas!R503="Jian E",622,IF(Atletas!R503="Bishou E",623,IF(Atletas!R503="Shanzi E",624,IF(Atletas!R503="Outra Arma Curta E",625,IF(Atletas!R503="Dao F",626,IF(Atletas!R503="Jian F",627,IF(Atletas!R503="Bishou F",628,IF(Atletas!R503="Shanzi F",629,IF(Atletas!R503="Outra Arma Curta F",630, "")))))))))))))))))))))))))))))))</f>
        <v/>
      </c>
      <c r="CA512" s="50" t="str">
        <f>IF(Atletas!S503="","",IF(Atletas!X503&lt;&gt;"",10000,0)+IF(Atletas!B503="Feminino",1000,IF(Atletas!B503="Masculino",2000,""))+IF(Atletas!S503="Gun A",701,IF(Atletas!S503="Qiang A",702,IF(Atletas!S503="Pudao / Guandao A",703,IF(Atletas!S503="Outra Arma Longa A",704,IF(Atletas!S503="Gun B",705,IF(Atletas!S503="Qiang B",706,IF(Atletas!S503="Pudao / Guandao B",707,IF(Atletas!S503="Outra Arma Longa B",708,IF(Atletas!S503="Gun C",709,IF(Atletas!S503="Qiang C",710,IF(Atletas!S503="Pudao / Guandao C",711,IF(Atletas!S503="Outra Arma Longa C",712,IF(Atletas!S503="Gun D",713,IF(Atletas!S503="Qiang D",714,IF(Atletas!S503="Pudao / Guandao D",715,IF(Atletas!S503="Outra Arma Longa D",716,IF(Atletas!S503="Gun E",717,IF(Atletas!S503="Qiang E",718,IF(Atletas!S503="Pudao / Guandao E",719,IF(Atletas!S503="Outra Arma Longa E",720,IF(Atletas!S503="Gun F",721,IF(Atletas!S503="Qiang F",722,IF(Atletas!S503="Pudao / Guandao F",723,IF(Atletas!S503="Outra Arma Longa F",724,"")))))))))))))))))))))))))</f>
        <v/>
      </c>
      <c r="CB512" s="50" t="str">
        <f>IF(Atletas!T503="","",IF(Atletas!X503&lt;&gt;"",10000,0)+IF(Atletas!B503="Feminino",1000,IF(Atletas!B503="Masculino",2000,""))+IF(Atletas!T503="Outra Arma Dupla A",801,IF(Atletas!T503="Arma Maleável A",802,IF(Atletas!T503="Outra Arma Dupla B",803,IF(Atletas!T503="Arma Maleável B",804,IF(Atletas!T503="Outra Arma Dupla C",805,IF(Atletas!T503="Arma Maleável C",806,IF(Atletas!T503="Outra Arma Dupla D",807,IF(Atletas!T503="Arma Maleável D",808,IF(Atletas!T503="Outra Arma Dupla E",809,IF(Atletas!T503="Arma Maleável E",810,IF(Atletas!T503="Outra Arma Dupla F",811,IF(Atletas!T503="Arma Maleável F",812,IF(Atletas!T503="Shuangdao A",813,IF(Atletas!T503="Shuangdao B",814,IF(Atletas!T503="Shuangdao C",815,IF(Atletas!T503="Shuangdao D",816,IF(Atletas!T503="Shuangdao E",817,IF(Atletas!T503="Shuangdao F",818,"")))))))))))))))))))</f>
        <v/>
      </c>
      <c r="CC512" s="50" t="str">
        <f>IF(Atletas!U503="","",IF(Atletas!X503&lt;&gt;"",10000,0)+IF(Atletas!B503="Feminino",1000,IF(Atletas!B503="Masculino",2000,""))+IF(OR(Atletas!U503="Taijijian Yang A",Atletas!U503="Taijijian Yang Standard A"),901,IF(OR(Atletas!U503="Taijijian Chen A", Atletas!U503="Taijijian Chen Standard A"),902,IF(Atletas!U503="Taijijian Sun A",903,IF(Atletas!U503="Taijijian Wu A",904,IF(Atletas!U503="Taijijian Wu-Hao A",905,IF(OR(Atletas!U503="Taijijian 32 A",Atletas!U503="Taijijian 42 A"),906,IF(OR(Atletas!U503="Taijijian Yang B",Atletas!U503="Taijijian Yang Standard B"),907,IF(OR(Atletas!U503="Taijijian Chen B", Atletas!U503="Taijijian Chen Standard B"),908,IF(Atletas!U503="Taijijian Sun B",909,IF(Atletas!U503="Taijijian Wu B",910,IF(Atletas!U503="Taijijian Wu-Hao B",911,IF(OR(Atletas!U503="Taijijian 32 B",Atletas!U503="Taijijian 42 B"),912,IF(OR(Atletas!U503="Taijijian Yang C",Atletas!U503="Taijijian Yang Standard C"),913,IF(OR(Atletas!U503="Taijijian Chen C", Atletas!U503="Taijijian Chen Standard C"),914,IF(Atletas!U503="Taijijian Sun C",915,IF(Atletas!U503="Taijijian Wu C",916,IF(Atletas!U503="Taijijian Wu-Hao C",917,IF(OR(Atletas!U503="Taijijian 32 C",Atletas!U503="Taijijian 42 C"),918,IF(OR(Atletas!U503="Taijijian Yang D",Atletas!U503="Taijijian Yang Standard D"),919,IF(OR(Atletas!U503="Taijijian Chen D", Atletas!U503="Taijijian Chen Standard D"),920,IF(Atletas!U503="Taijijian Sun D",921,IF(Atletas!U503="Taijijian Wu D",922,IF(Atletas!U503="Taijijian Wu-Hao D",923,IF(OR(Atletas!U503="Taijijian 32 D",Atletas!U503="Taijijian 42 D"),924,IF(OR(Atletas!U503="Taijijian Yang E",Atletas!U503="Taijijian Yang Standard E"),925,IF(OR(Atletas!U503="Taijijian Chen E", Atletas!U503="Taijijian Chen Standard E"),926,IF(Atletas!U503="Taijijian Sun E",927,IF(Atletas!U503="Taijijian Wu E",928,IF(Atletas!U503="Taijijian Wu-Hao E",929,IF(OR(Atletas!U503="Taijijian 32 E",Atletas!U503="Taijijian 42 E"),930,IF(OR(Atletas!U503="Taijijian Yang F",Atletas!U503="Taijijian Yang Standard F"),931,IF(OR(Atletas!U503="Taijijian Chen F", Atletas!U503="Taijijian Chen Standard F"),932,IF(Atletas!U503="Taijijian Sun F",933,IF(Atletas!U503="Taijijian Wu F",934,IF(Atletas!U503="Taijijian Wu-Hao F",935,IF(OR(Atletas!U503="Taijijian 32 F",Atletas!U503="Taijijian 42 F"),936,"")))))))))))))))))))))))))))))))))))))</f>
        <v/>
      </c>
      <c r="CD512" s="50" t="str">
        <f>IF(Atletas!V503="","",IF(Atletas!X503&lt;&gt;"",10000,0)+IF(Atletas!B503="Feminino",1000,IF(Atletas!B503="Masculino",2000,""))+IF(Atletas!V503="Taijidao A",937,IF(Atletas!V503="TaijiShanzi A",938,IF(Atletas!V503="Taijiqiang A",939,IF(Atletas!V503="Bagua de Arma A",940,IF(Atletas!V503="Xingyi de Arma A",941,IF(Atletas!V503="Taijidao B",942,IF(Atletas!V503="TaijiShanzi B",943,IF(Atletas!V503="Taijiqiang B",944,IF(Atletas!V503="Bagua de Arma B",945,IF(Atletas!V503="Xingyi de Arma B",946,IF(Atletas!V503="Taijidao C",947,IF(Atletas!V503="TaijiShanzi C",948,IF(Atletas!V503="Taijiqiang C",949,IF(Atletas!V503="Bagua de Arma C",950,IF(Atletas!V503="Xingyi de Arma C",951,IF(Atletas!V503="Taijidao D",952,IF(Atletas!V503="TaijiShanzi D",953,IF(Atletas!V503="Taijiqiang D",954,IF(Atletas!V503="Bagua de Arma D",955,IF(Atletas!V503="Xingyi de Arma D",956,IF(Atletas!V503="Taijidao E",957,IF(Atletas!V503="TaijiShanzi E",958,IF(Atletas!V503="Taijiqiang E",959,IF(Atletas!V503="Bagua de Arma E",960,IF(Atletas!V503="Xingyi de Arma E",961,IF(Atletas!V503="Taijidao F",962,IF(Atletas!V503="TaijiShanzi F",963,IF(Atletas!V503="Taijiqiang F",964,IF(Atletas!V503="Bagua de Arma F",965,IF(Atletas!V503="Xingyi de Arma F",966,"")))))))))))))))))))))))))))))))</f>
        <v/>
      </c>
      <c r="CM512" s="50" t="str">
        <f xml:space="preserve"> IF(Atletas!W503="","",IF(Atletas!W503="Duilian de Mãos BC - Equipe 1",1,IF(Atletas!W503="Duilian de Mãos BC - Equipe 2",2,IF(Atletas!W503="Duilian de Armas BC - Equipe 1",3,IF(Atletas!W503="Duilian de Armas BC - Equipe 2",4,IF(Atletas!W503="Duilian de Mãos DE - Equipe 1",5,IF(Atletas!W503="Duilian de Mãos DE - Equipe 2",6,IF(Atletas!W503="Duilian de Armas DE - Equipe 1",7,IF(Atletas!W503="Duilian de Armas DE - Equipe 2",8,IF(Atletas!W503="Duilian de Tuishou - Equipe 1",9,IF(Atletas!W503="Duilian de Tuishou - Equipe 2",10,IF(Atletas!W503="Grupo Externo ABC - Equipe 1",11,IF(Atletas!W503="Grupo Externo ABC - Equipe 2",12,IF(Atletas!W503="Grupo Interno ABC - Equipe 1",13,IF(Atletas!W503="Grupo Interno ABC - Equipe 2",14,IF(Atletas!W503="Grupo Externo DEF - Equipe 1",15,IF(Atletas!W503="Grupo Externo DEF - Equipe 2",16,IF(Atletas!W503="Grupo Interno DEF - Equipe 1",17,IF(Atletas!W503="Grupo Interno DEF - Equipe 2",18,"")))))))))))))))))))</f>
        <v/>
      </c>
    </row>
    <row r="513" spans="40:91">
      <c r="AN513" s="52" t="str">
        <f>IF(Atletas!D504="","",IF(Atletas!B504="Feminino",100,IF(Atletas!B504="Masculino",200,""))+(IF(Atletas!D504="Kids 30kg",1,IF(Atletas!D504="Kids 32kg",2, IF(Atletas!D504="Kids 34kg",3,IF(Atletas!D504="Kids 36kg",4,IF(Atletas!D504="Kids 39kg",5,IF(Atletas!D504="Kids 42kg",6,IF(Atletas!D504="Kids 45kg",7, IF(Atletas!D504="Infantil 39kg",8,IF(Atletas!D504="Infantil 42kg",9,IF(Atletas!D504="Infantil 45kg",10,IF(Atletas!D504="Infantil 48kg",11,IF(Atletas!D504="Infantil 52kg",12,IF(Atletas!D504="Infantil 56kg",13,IF(Atletas!D504="Infantil 60kg",14,IF(Atletas!D504="Juvenil 48kg",15,IF(Atletas!D504="Juvenil 52kg",16,IF(Atletas!D504="Juvenil 56kg",17,IF(Atletas!D504="Juvenil 60kg",18,IF(Atletas!D504="Juvenil 65kg",19,IF(Atletas!D504="Juvenil 70kg",20,IF(Atletas!D504="Juvenil 75kg",21,IF(Atletas!D504="Juvenil 80kg",22, IF(Atletas!D504="Juvenil 85kg",23,IF(Atletas!D504="Adulto 48kg",24,IF(Atletas!D504="Adulto 52kg",25,IF(Atletas!D504="Adulto 56kg",26,IF(Atletas!D504="Adulto 60kg",27,IF(Atletas!D504="Adulto 65kg",28,IF(Atletas!D504="Adulto 70kg",29,IF(Atletas!D504="Adulto 75kg",30,IF(Atletas!D504="Adulto 80kg",31,IF(Atletas!D504="Adulto 85kg",32,IF(Atletas!D504="Adulto 90kg",33,IF(Atletas!D504="Adulto 100kg",34, IF(Atletas!D504="Adulto +100kg",35,"")))))))))))))))))))))))))))))))))))))</f>
        <v/>
      </c>
      <c r="AS513" s="6" t="str">
        <f>IF(Atletas!E504="","",IF(Atletas!B504="Feminino",100,IF(Atletas!B504="Masculino",200,""))+(IF(Atletas!E504="Juvenil 44kg",1,IF(Atletas!E504="Juvenil 48kg",2,IF(Atletas!E504="Juvenil 52kg",3,IF(Atletas!E504="Juvenil 56kg",4,IF(Atletas!E504="Juvenil 60kg",5,IF(Atletas!E504="Juvenil 65kg",6,IF(Atletas!E504="Juvenil 70kg",7,IF(Atletas!E504="Juvenil 75kg",8,IF(Atletas!E504="Juvenil 82kg",9,IF(Atletas!E504="Juvenil 90kg",10,IF(Atletas!E504="Juvenil 100kg",11,IF(Atletas!E504="Adulto 48kg",12,IF(Atletas!E504="Adulto 52kg",13,IF(Atletas!E504="Adulto 56kg",14,IF(Atletas!E504="Adulto 60kg",15,IF(Atletas!E504="Adulto 65kg",16,IF(Atletas!E504="Adulto 70kg",17,IF(Atletas!E504="Adulto 75kg",18,IF(Atletas!E504="Adulto 82kg",19,IF(Atletas!E504="Adulto 90kg",20,IF(Atletas!E504="Adulto 100kg",21,IF(Atletas!E504="Adulto +100kg",22,""))))))))))))))))))))))))</f>
        <v/>
      </c>
      <c r="AX513" s="6" t="str">
        <f>IF(Atletas!F504="","",IF(Atletas!B504="Feminino",100,IF(Atletas!B504="Masculino",200,""))+(IF(Atletas!F504="Adulto 48kg",1,IF(Atletas!F504="Adulto 56kg",2,IF(Atletas!F504="Adulto 65kg",3,IF(Atletas!F504="Adulto 75kg",4,IF(Atletas!F504="Adulto +75kg",5,IF(Atletas!F504="Adulto 52kg",6,IF(Atletas!F504="Adulto 60kg",7,IF(Atletas!F504="Adulto 70kg",8,IF(Atletas!F504="Adulto 80kg",9,IF(Atletas!F504="Adulto 90kg",10,IF(Atletas!F504="Adulto +90kg",11,"")))))))))))))</f>
        <v/>
      </c>
      <c r="BC513" s="6" t="str">
        <f>IF(Atletas!G504="","",IF(Atletas!B504="Feminino",10,IF(Atletas!B504="Masculino",20,""))+(IF(Atletas!G504="Baduanjin A",1,IF(Atletas!G504="Baduanjin B",2))))</f>
        <v/>
      </c>
      <c r="BF513" s="52" t="str">
        <f>IF(Atletas!H504="","",IF(Atletas!B504="Feminino",100,IF(Atletas!B504="Masculino",200,""))+(IF(Atletas!H504="Changquan Mirim",1,IF(Atletas!H504="Nanquan Mirim",2,IF(Atletas!H504="Taijiquan Mirim",3,IF(Atletas!H504="Changquan Grupo C",4,IF(Atletas!H504="Nanquan Grupo C",5,IF(Atletas!H504="Taijiquan Grupo C",6,IF(Atletas!H504="Changquan Grupo B",7,IF(Atletas!H504="Nanquan Grupo B",8,IF(Atletas!H504="Taijiquan Grupo B",9,IF(Atletas!H504="Changquan Grupo A",10,IF(Atletas!H504="Nanquan Grupo A",11,IF(Atletas!H504="Taijiquan Grupo A",12,IF(Atletas!H504="Changquan Opcional",13,IF(Atletas!H504="Nanquan Opcional",14,IF(Atletas!H504="Taijiquan Opcional",15,IF(Atletas!H504="Changquan Adulto",16,IF(Atletas!H504="Nanquan Adulto",17,IF(Atletas!H504="Taijiquan Adulto",18,""))))))))))))))))))))</f>
        <v/>
      </c>
      <c r="BG513" s="52" t="str">
        <f>IF(Atletas!I504="","",IF(Atletas!B504="Feminino",100,IF(Atletas!B504="Masculino",200,""))+(IF(Atletas!I504="Daoshu Mirim",19,IF(Atletas!I504="Jianshu Mirim",20,IF(Atletas!I504="Nandao Mirim",21,IF(Atletas!I504="Taijijian Mirim",22,IF(Atletas!I504="Daoshu Grupo C",23,IF(Atletas!I504="Jianshu Grupo C",24,IF(Atletas!I504="Nandao Grupo C",25,IF(Atletas!I504="Taijijian Grupo C",26,IF(Atletas!I504="Daoshu Grupo B",27,IF(Atletas!I504="Jianshu Grupo B",28,IF(Atletas!I504="Nandao Grupo B",29,IF(Atletas!I504="Taijijian Grupo B",30,IF(Atletas!I504="Daoshu Grupo A",31,IF(Atletas!I504="Jianshu Grupo A",32,IF(Atletas!I504="Nandao Grupo A",33,IF(Atletas!I504="Taijijian Grupo A",34,IF(Atletas!I504="Daoshu Opcional",35,IF(Atletas!I504="Jianshu Opcional",36,IF(Atletas!I504="Nandao Opcional",37,IF(Atletas!I504="Taijijian Opcional",38,IF(Atletas!I504="Daoshu Adulto",39,IF(Atletas!I504="Jianshu Adulto",40,IF(Atletas!I504="Nandao Adulto",41,IF(Atletas!I504="Taijijian Adulto",42,""))))))))))))))))))))))))))</f>
        <v/>
      </c>
      <c r="BH513" s="52" t="str">
        <f>IF(Atletas!J504="","",IF(Atletas!B504="Feminino",100,IF(Atletas!B504="Masculino",200,""))+(IF(Atletas!J504="Gunshu Mirim",43,IF(Atletas!J504="Qiangshu Mirim",44,IF(Atletas!J504="Nangun Mirim",45,IF(Atletas!J504="Gunshu Grupo C",46,IF(Atletas!J504="Qiangshu Grupo C",47,IF(Atletas!J504="Nangun Grupo C",48,IF(Atletas!J504="Gunshu Grupo B",49,IF(Atletas!J504="Qiangshu Grupo B",50,IF(Atletas!J504="Nangun Grupo B",51,IF(Atletas!J504="Gunshu Grupo A",52,IF(Atletas!J504="Qiangshu Grupo A",53,IF(Atletas!J504="Nangun Grupo A",54,IF(Atletas!J504="Gunshu Opcional",55,IF(Atletas!J504="Qiangshu Opcional",56,IF(Atletas!J504="Nangun Opcional",57,IF(Atletas!J504="Gunshu Adulto",58,IF(Atletas!J504="Qiangshu Adulto",59,IF(Atletas!J504="Nangun Adulto",60,IF(Atletas!J504="Taijishan Grupo B",61,IF(Atletas!J504="Taijishan Grupo A",62,""))))))))))))))))))))))</f>
        <v/>
      </c>
      <c r="BM513" s="50" t="str">
        <f>IF(Atletas!K504="","",IF(Atletas!B504="Feminino",100,IF(Atletas!B504="Masculino",200,""))+(IF(Atletas!K504="Equipe 1 Grupo B",1,IF(Atletas!K504="Equipe 2 Grupo B",2,IF(Atletas!K504="Equipe 1 Grupo A",3,IF(Atletas!K504="Equipe 2 Grupo A",4,IF(Atletas!K504="Equipe 1 Adulto",5,IF(Atletas!K504="Equipe 2 Adulto",6,""))))))))</f>
        <v/>
      </c>
      <c r="BR513" s="50" t="str">
        <f>IF(Atletas!L504="","",IF(Atletas!X504&lt;&gt;"",10000,0)+(IF(Atletas!B504="Feminino",1000,IF(Atletas!B504="Masculino",2000,""))+IF(Atletas!L504="Choylayfut A",1,IF(Atletas!L504="Hunggar A",2,IF(Atletas!L504="Wuzuquan A",3,IF(Atletas!L504="Wingchun A",4,IF(Atletas!L504="Outra Mão de Sul A",5,IF(Atletas!L504="Choylayfut B",6,IF(Atletas!L504="Hunggar B",7,IF(Atletas!L504="Wuzuquan B",8,IF(Atletas!L504="Wingchun B",9,IF(Atletas!L504="Outra Mão de Sul B",10,IF(Atletas!L504="Choylayfut C",11,IF(Atletas!L504="Hunggar C",12,IF(Atletas!L504="Wuzuquan C",13,IF(Atletas!L504="Wingchun C",14,IF(Atletas!L504="Outra Mão de Sul C",15,IF(Atletas!L504="Choylayfut D",16,IF(Atletas!L504="Hunggar D",17,IF(Atletas!L504="Wuzuquan D",18,IF(Atletas!L504="Wingchun D",19,IF(Atletas!L504="Outra Mão de Sul D",20,IF(Atletas!L504="Choylayfut E",21,IF(Atletas!L504="Hunggar E",22,IF(Atletas!L504="Wuzuquan E",23,IF(Atletas!L504="Wingchun E",24,IF(Atletas!L504="Outra Mão de Sul E",25,IF(Atletas!L504="Choylayfut F",26,IF(Atletas!L504="Hunggar F",27,IF(Atletas!L504="Wuzuquan F",28,IF(Atletas!L504="Wingchun F",29,IF(Atletas!L504="Outra Mão de Sul F",30,IF(Atletas!L504="Dishuquan A",31,IF(Atletas!L504="Dishuquan B",32,IF(Atletas!L504="Dishuquan C",33,IF(Atletas!L504="Dishuquan D",34,IF(Atletas!L504="Dishuquan E",35,IF(Atletas!L504="Dishuquan F",36,""))))))))))))))))))))))))))))))))))))))</f>
        <v/>
      </c>
      <c r="BS513" s="50" t="str">
        <f>IF(Atletas!M504="","",IF(Atletas!X504&lt;&gt;"",10000,0)+(IF(Atletas!B504="Feminino",1000,IF(Atletas!B504="Masculino",2000,""))+(IF(Atletas!M504="Chaquan A",101,IF(Atletas!M504="Emeiquan A",102,IF(Atletas!M504="Fanziquan A",103,IF(Atletas!M504="Huaquan A",104,IF(Atletas!M504="Hongquan A",105,IF(Atletas!M504="Paoquan A",106,IF(Atletas!M504="Piguaquan A",107,IF(Atletas!M504="Shaolinquan A",108,IF(Atletas!M504="Tanglangquan A",109,IF(Atletas!M504="Yingzhaoquan A",110,IF(Atletas!M504="Tongbeiquan A",111,IF(Atletas!M504="Wudangquan A",112,IF(Atletas!M504="Outros Estilos A",113,IF(Atletas!M504="Chaquan B",114,IF(Atletas!M504="Emeiquan B",115,IF(Atletas!M504="Fanziquan B",116,IF(Atletas!M504="Huaquan B",117,IF(Atletas!M504="Hongquan B",118,IF(Atletas!M504="Paoquan B",119,IF(Atletas!M504="Piguaquan B",120,IF(Atletas!M504="Shaolinquan B",121,IF(Atletas!M504="Tanglangquan B",122,IF(Atletas!M504="Yingzhaoquan B",123,IF(Atletas!M504="Tongbeiquan B",124,IF(Atletas!M504="Wudangquan B",125,IF(Atletas!M504="Outros Estilos B",126,IF(Atletas!M504="Chaquan C",127,IF(Atletas!M504="Emeiquan C",128,IF(Atletas!M504="Fanziquan C",129,IF(Atletas!M504="Huaquan C",130,IF(Atletas!M504="Hongquan C",131,IF(Atletas!M504="Paoquan C",132,IF(Atletas!M504="Piguaquan C",133,IF(Atletas!M504="Shaolinquan C",134,IF(Atletas!M504="Tanglangquan C",135,IF(Atletas!M504="Yingzhaoquan C",136,IF(Atletas!M504="Tongbeiquan C",137,IF(Atletas!M504="Wudangquan C",138,IF(Atletas!M504="Outros Estilos C",139,0))))))))))))))))))))))))))))))))))))))))))</f>
        <v/>
      </c>
      <c r="BT513" s="50" t="str">
        <f>IF(Atletas!M504="","",IF(Atletas!X504&lt;&gt;"",10000,0)+(IF(Atletas!B504="Feminino",1000,IF(Atletas!B504="Masculino",2000,""))+(IF(Atletas!M504="Chaquan D",140,IF(Atletas!M504="Emeiquan D",141,IF(Atletas!M504="Fanziquan D",142,IF(Atletas!M504="Huaquan D",143,IF(Atletas!M504="Hongquan D",144,IF(Atletas!M504="Paoquan D",145,IF(Atletas!M504="Piguaquan D",146,IF(Atletas!M504="Shaolinquan D",147,IF(Atletas!M504="Tanglangquan D",148,IF(Atletas!M504="Yingzhaoquan D",149,IF(Atletas!M504="Tongbeiquan D",150,IF(Atletas!M504="Wudangquan D",151,IF(Atletas!M504="Outros Estilos D",152,IF(Atletas!M504="Chaquan E",153,IF(Atletas!M504="Emeiquan E",154,IF(Atletas!M504="Fanziquan E",155,IF(Atletas!M504="Huaquan E",156,IF(Atletas!M504="Hongquan E",157,IF(Atletas!M504="Paoquan E",158,IF(Atletas!M504="Piguaquan E",159,IF(Atletas!M504="Shaolinquan E",160,IF(Atletas!M504="Tanglangquan E",161,IF(Atletas!M504="Yingzhaoquan E",162,IF(Atletas!M504="Tongbeiquan E",163,IF(Atletas!M504="Wudangquan E",164,IF(Atletas!M504="Outros Estilos E",165,IF(Atletas!M504="Chaquan F",166,IF(Atletas!M504="Emeiquan F",167,IF(Atletas!M504="Fanziquan F",168,IF(Atletas!M504="Huaquan F",169,IF(Atletas!M504="Hongquan F",170,IF(Atletas!M504="Paoquan F",171,IF(Atletas!M504="Piguaquan F",172,IF(Atletas!M504="Shaolinquan F",173,IF(Atletas!M504="Tanglangquan F",174,IF(Atletas!M504="Yingzhaoquan F",175,IF(Atletas!M504="Tongbeiquan F",176,IF(Atletas!M504="Wudangquan F",177,IF(Atletas!M504="Outros Estilos F",178,0))))))))))))))))))))))))))))))))))))))))))</f>
        <v/>
      </c>
      <c r="BU513" s="50" t="str">
        <f>IF(Atletas!N504="","",IF(Atletas!X504&lt;&gt;"",10000,0)+(IF(Atletas!B504="Feminino",1000,IF(Atletas!B504="Masculino",2000,""))+(IF(Atletas!N504="Ditangquan A",201,IF(Atletas!N504="Houquan A",202,IF(Atletas!N504="Zuiquan A",203,IF(Atletas!N504="Ditangquan B",204,IF(Atletas!N504="Houquan B",205,IF(Atletas!N504="Zuiquan B",206,IF(Atletas!N504="Ditangquan C",207,IF(Atletas!N504="Houquan C",208,IF(Atletas!N504="Zuiquan C",209,IF(Atletas!N504="Ditangquan D",210,IF(Atletas!N504="Houquan D",211,IF(Atletas!N504="Zuiquan D",212,IF(Atletas!N504="Ditangquan E",213,IF(Atletas!N504="Houquan E",214,IF(Atletas!N504="Zuiquan E",215,IF(Atletas!N504="Ditangquan F",216,IF(Atletas!N504="Houquan F",217,IF(Atletas!N504="Zuiquan F",218,"")))))))))))))))))))))</f>
        <v/>
      </c>
      <c r="BV513" s="50" t="str">
        <f>IF(Atletas!O504="","",IF(Atletas!X504&lt;&gt;"",10000,0)+IF(Atletas!B504="Feminino",1000,IF(Atletas!B504="Masculino",2000,""))+IF(Atletas!O504="Yang A",301,IF(Atletas!O504="Chen A",302,IF(Atletas!O504="Sun A",303,IF(Atletas!O504="Wu A",304,IF(Atletas!O504="Wu-Hao A",305,IF(Atletas!O504="Outro Taijiquan A",306,IF(Atletas!O504="Yang B",307,IF(Atletas!O504="Chen B",308,IF(Atletas!O504="Sun B",309,IF(Atletas!O504="Wu B",310,IF(Atletas!O504="Wu-Hao B",311,IF(Atletas!O504="Outro Taijiquan B",312,IF(Atletas!O504="Yang C",313,IF(Atletas!O504="Chen C",314,IF(Atletas!O504="Sun C",315,IF(Atletas!O504="Wu C",316,IF(Atletas!O504="Wu-Hao C",317,IF(Atletas!O504="Outro Taijiquan C",318,IF(Atletas!O504="Yang D",319,IF(Atletas!O504="Chen D",320,IF(Atletas!O504="Sun D",321,IF(Atletas!O504="Wu D",322,IF(Atletas!O504="Wu-Hao D",323,IF(Atletas!O504="Outro Taijiquan D",324,IF(Atletas!O504="Yang E",325,IF(Atletas!O504="Chen E",326,IF(Atletas!O504="Sun E",327,IF(Atletas!O504="Wu E",328,IF(Atletas!O504="Wu-Hao E",329,IF(Atletas!O504="Outro Taijiquan E",330,IF(Atletas!O504="Yang F",331,IF(Atletas!O504="Chen F",332,IF(Atletas!O504="Sun F",333,IF(Atletas!O504="Wu F",334,IF(Atletas!O504="Wu-Hao F",335,IF(Atletas!O504="Outro Taijiquan F",336,"")))))))))))))))))))))))))))))))))))))</f>
        <v/>
      </c>
      <c r="BW513" s="50" t="str">
        <f>IF(Atletas!P504="","",IF(Atletas!X504&lt;&gt;"",10000,0)+IF(Atletas!B504="Feminino",1000,IF(Atletas!B504="Masculino",2000,""))+IF(OR(Atletas!P504="Yang 26 A",Atletas!P504="Yang 40 A"),401,IF(OR(Atletas!P504="Chen 25 A",Atletas!P504="Chen 36 A",Atletas!P504="Chen 56 A"),402,IF(Atletas!P504="Sun 73 A",403,IF(Atletas!P504="Wu 45 A",404,IF(Atletas!P504="Wu-Hao 46 A",405,IF(OR(Atletas!P504="Taijiquan 16 A",Atletas!P504="Taijiquan 24 A",Atletas!P504="Taijiquan 32 A",Atletas!P504="Taijiquan 42 A"),406,IF(OR(Atletas!P504="Yang 26 B",Atletas!P504="Yang 40 B"),407,IF(OR(Atletas!P504="Chen 25 B",Atletas!P504="Chen 36 B",Atletas!P504="Chen 56 B"),408,IF(Atletas!P504="Sun 73 B",409,IF(Atletas!P504="Wu 45 B",410,IF(Atletas!P504="Wu-Hao 46 B",411,IF(OR(Atletas!P504="Taijiquan 16 B",Atletas!P504="Taijiquan 24 B",Atletas!P504="Taijiquan 32 B",Atletas!P504="Taijiquan 42 B"),412,IF(OR(Atletas!P504="Yang 26 C",Atletas!P504="Yang 40 C"),413,IF(OR(Atletas!P504="Chen 25 C",Atletas!P504="Chen 36 C",Atletas!P504="Chen 56 C"),414,IF(Atletas!P504="Sun 73 C",415,IF(Atletas!P504="Wu 45 C",416,IF(Atletas!P504="Wu-Hao 46 C",417,IF(OR(Atletas!P504="Taijiquan 16 C",Atletas!P504="Taijiquan 24 C",Atletas!P504="Taijiquan 32 C",Atletas!P504="Taijiquan 42 C"),418,0)))))))))))))))))))</f>
        <v/>
      </c>
      <c r="BX513" s="50" t="str">
        <f>IF(Atletas!P504="","",IF(Atletas!X504&lt;&gt;"",10000,0)+IF(Atletas!B504="Feminino",1000,IF(Atletas!B504="Masculino",2000,""))+IF(OR(Atletas!P504="Yang 26 D",Atletas!P504="Yang 40 D"),419,IF(OR(Atletas!P504="Chen 25 D",Atletas!P504="Chen 36 D",Atletas!P504="Chen 56 D"),420,IF(Atletas!P504="Sun 73 D",421,IF(Atletas!P504="Wu 45 D",422,IF(Atletas!P504="Wu-Hao 46 D",423,IF(OR(Atletas!P504="Taijiquan 16 D",Atletas!P504="Taijiquan 24 D",Atletas!P504="Taijiquan 32 D",Atletas!P504="Taijiquan 42 D"),424,IF(OR(Atletas!P504="Yang 26 E",Atletas!P504="Yang 40 E"),425,IF(OR(Atletas!P504="Chen 25 E",Atletas!P504="Chen 36 E",Atletas!P504="Chen 56 E"),426,IF(Atletas!P504="Sun 73 E",427,IF(Atletas!P504="Wu 45 E",428,IF(Atletas!P504="Wu-Hao 46 E",429,IF(OR(Atletas!P504="Taijiquan 16 E",Atletas!P504="Taijiquan 24 E",Atletas!P504="Taijiquan 32 E",Atletas!P504="Taijiquan 42 E"),430,IF(OR(Atletas!P504="Yang 26 F",Atletas!P504="Yang 40 F"),431,IF(OR(Atletas!P504="Chen 25 F",Atletas!P504="Chen 36 F",Atletas!P504="Chen 56 F"),432,IF(Atletas!P504="Sun 73 F",433,IF(Atletas!P504="Wu 45 F",434,IF(Atletas!P504="Wu-Hao 46 F",435,IF(OR(Atletas!P504="Taijiquan 16 F",Atletas!P504="Taijiquan 24 F",Atletas!P504="Taijiquan 32 F",Atletas!P504="Taijiquan 42 F"),436,0)))))))))))))))))))</f>
        <v/>
      </c>
      <c r="BY513" s="50" t="str">
        <f>IF(Atletas!Q504="","",IF(Atletas!X504&lt;&gt;"",10000,0)+IF(Atletas!B504="Feminino",1000,IF(Atletas!B504="Masculino",2000,""))+IF(Atletas!Q504="Xingyiquan A",501,IF(Atletas!Q504="Baguazhang A",502,IF(Atletas!Q504="Outro Estilo Interno A",503,IF(Atletas!Q504="Xingyiquan B",504,IF(Atletas!Q504="Baguazhang B",505,IF(Atletas!Q504="Outro Estilo Interno B",506,IF(Atletas!Q504="Xingyiquan C",507,IF(Atletas!Q504="Baguazhang C",508,IF(Atletas!Q504="Outro Estilo Interno C",509,IF(Atletas!Q504="Xingyiquan D",510,IF(Atletas!Q504="Baguazhang D",511,IF(Atletas!Q504="Outro Estilo Interno D",512,IF(Atletas!Q504="Xingyiquan E",513,IF(Atletas!Q504="Baguazhang E",514,IF(Atletas!Q504="Outro Estilo Interno E",515,IF(Atletas!Q504="Xingyiquan F",516,IF(Atletas!Q504="Baguazhang F",517,IF(Atletas!Q504="Outro Estilo Interno F",518, "")))))))))))))))))))</f>
        <v/>
      </c>
      <c r="BZ513" s="50" t="str">
        <f>IF(Atletas!R504="","",IF(Atletas!X504&lt;&gt;"",10000,0)+IF(Atletas!B504="Feminino",1000,IF(Atletas!B504="Masculino",2000,""))+IF(Atletas!R504="Dao A",601,IF(Atletas!R504="Jian A",602,IF(Atletas!R504="Bishou A",603,IF(Atletas!R504="Shanzi A",604,IF(Atletas!R504="Outra Arma Curta A",605,IF(Atletas!R504="Dao B",606,IF(Atletas!R504="Jian B",607,IF(Atletas!R504="Bishou B",608,IF(Atletas!R504="Shanzi B",609,IF(Atletas!R504="Outra Arma Curta B",610,IF(Atletas!R504="Dao C",611,IF(Atletas!R504="Jian C",612,IF(Atletas!R504="Bishou C",613,IF(Atletas!R504="Shanzi C",614,IF(Atletas!R504="Outra Arma Curta C",615,IF(Atletas!R504="Dao D",616,IF(Atletas!R504="Jian D",617,IF(Atletas!R504="Bishou D",618,IF(Atletas!R504="Shanzi D",619,IF(Atletas!R504="Outra Arma Curta D",620,IF(Atletas!R504="Dao E",621,IF(Atletas!R504="Jian E",622,IF(Atletas!R504="Bishou E",623,IF(Atletas!R504="Shanzi E",624,IF(Atletas!R504="Outra Arma Curta E",625,IF(Atletas!R504="Dao F",626,IF(Atletas!R504="Jian F",627,IF(Atletas!R504="Bishou F",628,IF(Atletas!R504="Shanzi F",629,IF(Atletas!R504="Outra Arma Curta F",630, "")))))))))))))))))))))))))))))))</f>
        <v/>
      </c>
      <c r="CA513" s="50" t="str">
        <f>IF(Atletas!S504="","",IF(Atletas!X504&lt;&gt;"",10000,0)+IF(Atletas!B504="Feminino",1000,IF(Atletas!B504="Masculino",2000,""))+IF(Atletas!S504="Gun A",701,IF(Atletas!S504="Qiang A",702,IF(Atletas!S504="Pudao / Guandao A",703,IF(Atletas!S504="Outra Arma Longa A",704,IF(Atletas!S504="Gun B",705,IF(Atletas!S504="Qiang B",706,IF(Atletas!S504="Pudao / Guandao B",707,IF(Atletas!S504="Outra Arma Longa B",708,IF(Atletas!S504="Gun C",709,IF(Atletas!S504="Qiang C",710,IF(Atletas!S504="Pudao / Guandao C",711,IF(Atletas!S504="Outra Arma Longa C",712,IF(Atletas!S504="Gun D",713,IF(Atletas!S504="Qiang D",714,IF(Atletas!S504="Pudao / Guandao D",715,IF(Atletas!S504="Outra Arma Longa D",716,IF(Atletas!S504="Gun E",717,IF(Atletas!S504="Qiang E",718,IF(Atletas!S504="Pudao / Guandao E",719,IF(Atletas!S504="Outra Arma Longa E",720,IF(Atletas!S504="Gun F",721,IF(Atletas!S504="Qiang F",722,IF(Atletas!S504="Pudao / Guandao F",723,IF(Atletas!S504="Outra Arma Longa F",724,"")))))))))))))))))))))))))</f>
        <v/>
      </c>
      <c r="CB513" s="50" t="str">
        <f>IF(Atletas!T504="","",IF(Atletas!X504&lt;&gt;"",10000,0)+IF(Atletas!B504="Feminino",1000,IF(Atletas!B504="Masculino",2000,""))+IF(Atletas!T504="Outra Arma Dupla A",801,IF(Atletas!T504="Arma Maleável A",802,IF(Atletas!T504="Outra Arma Dupla B",803,IF(Atletas!T504="Arma Maleável B",804,IF(Atletas!T504="Outra Arma Dupla C",805,IF(Atletas!T504="Arma Maleável C",806,IF(Atletas!T504="Outra Arma Dupla D",807,IF(Atletas!T504="Arma Maleável D",808,IF(Atletas!T504="Outra Arma Dupla E",809,IF(Atletas!T504="Arma Maleável E",810,IF(Atletas!T504="Outra Arma Dupla F",811,IF(Atletas!T504="Arma Maleável F",812,IF(Atletas!T504="Shuangdao A",813,IF(Atletas!T504="Shuangdao B",814,IF(Atletas!T504="Shuangdao C",815,IF(Atletas!T504="Shuangdao D",816,IF(Atletas!T504="Shuangdao E",817,IF(Atletas!T504="Shuangdao F",818,"")))))))))))))))))))</f>
        <v/>
      </c>
      <c r="CC513" s="50" t="str">
        <f>IF(Atletas!U504="","",IF(Atletas!X504&lt;&gt;"",10000,0)+IF(Atletas!B504="Feminino",1000,IF(Atletas!B504="Masculino",2000,""))+IF(OR(Atletas!U504="Taijijian Yang A",Atletas!U504="Taijijian Yang Standard A"),901,IF(OR(Atletas!U504="Taijijian Chen A", Atletas!U504="Taijijian Chen Standard A"),902,IF(Atletas!U504="Taijijian Sun A",903,IF(Atletas!U504="Taijijian Wu A",904,IF(Atletas!U504="Taijijian Wu-Hao A",905,IF(OR(Atletas!U504="Taijijian 32 A",Atletas!U504="Taijijian 42 A"),906,IF(OR(Atletas!U504="Taijijian Yang B",Atletas!U504="Taijijian Yang Standard B"),907,IF(OR(Atletas!U504="Taijijian Chen B", Atletas!U504="Taijijian Chen Standard B"),908,IF(Atletas!U504="Taijijian Sun B",909,IF(Atletas!U504="Taijijian Wu B",910,IF(Atletas!U504="Taijijian Wu-Hao B",911,IF(OR(Atletas!U504="Taijijian 32 B",Atletas!U504="Taijijian 42 B"),912,IF(OR(Atletas!U504="Taijijian Yang C",Atletas!U504="Taijijian Yang Standard C"),913,IF(OR(Atletas!U504="Taijijian Chen C", Atletas!U504="Taijijian Chen Standard C"),914,IF(Atletas!U504="Taijijian Sun C",915,IF(Atletas!U504="Taijijian Wu C",916,IF(Atletas!U504="Taijijian Wu-Hao C",917,IF(OR(Atletas!U504="Taijijian 32 C",Atletas!U504="Taijijian 42 C"),918,IF(OR(Atletas!U504="Taijijian Yang D",Atletas!U504="Taijijian Yang Standard D"),919,IF(OR(Atletas!U504="Taijijian Chen D", Atletas!U504="Taijijian Chen Standard D"),920,IF(Atletas!U504="Taijijian Sun D",921,IF(Atletas!U504="Taijijian Wu D",922,IF(Atletas!U504="Taijijian Wu-Hao D",923,IF(OR(Atletas!U504="Taijijian 32 D",Atletas!U504="Taijijian 42 D"),924,IF(OR(Atletas!U504="Taijijian Yang E",Atletas!U504="Taijijian Yang Standard E"),925,IF(OR(Atletas!U504="Taijijian Chen E", Atletas!U504="Taijijian Chen Standard E"),926,IF(Atletas!U504="Taijijian Sun E",927,IF(Atletas!U504="Taijijian Wu E",928,IF(Atletas!U504="Taijijian Wu-Hao E",929,IF(OR(Atletas!U504="Taijijian 32 E",Atletas!U504="Taijijian 42 E"),930,IF(OR(Atletas!U504="Taijijian Yang F",Atletas!U504="Taijijian Yang Standard F"),931,IF(OR(Atletas!U504="Taijijian Chen F", Atletas!U504="Taijijian Chen Standard F"),932,IF(Atletas!U504="Taijijian Sun F",933,IF(Atletas!U504="Taijijian Wu F",934,IF(Atletas!U504="Taijijian Wu-Hao F",935,IF(OR(Atletas!U504="Taijijian 32 F",Atletas!U504="Taijijian 42 F"),936,"")))))))))))))))))))))))))))))))))))))</f>
        <v/>
      </c>
      <c r="CD513" s="50" t="str">
        <f>IF(Atletas!V504="","",IF(Atletas!X504&lt;&gt;"",10000,0)+IF(Atletas!B504="Feminino",1000,IF(Atletas!B504="Masculino",2000,""))+IF(Atletas!V504="Taijidao A",937,IF(Atletas!V504="TaijiShanzi A",938,IF(Atletas!V504="Taijiqiang A",939,IF(Atletas!V504="Bagua de Arma A",940,IF(Atletas!V504="Xingyi de Arma A",941,IF(Atletas!V504="Taijidao B",942,IF(Atletas!V504="TaijiShanzi B",943,IF(Atletas!V504="Taijiqiang B",944,IF(Atletas!V504="Bagua de Arma B",945,IF(Atletas!V504="Xingyi de Arma B",946,IF(Atletas!V504="Taijidao C",947,IF(Atletas!V504="TaijiShanzi C",948,IF(Atletas!V504="Taijiqiang C",949,IF(Atletas!V504="Bagua de Arma C",950,IF(Atletas!V504="Xingyi de Arma C",951,IF(Atletas!V504="Taijidao D",952,IF(Atletas!V504="TaijiShanzi D",953,IF(Atletas!V504="Taijiqiang D",954,IF(Atletas!V504="Bagua de Arma D",955,IF(Atletas!V504="Xingyi de Arma D",956,IF(Atletas!V504="Taijidao E",957,IF(Atletas!V504="TaijiShanzi E",958,IF(Atletas!V504="Taijiqiang E",959,IF(Atletas!V504="Bagua de Arma E",960,IF(Atletas!V504="Xingyi de Arma E",961,IF(Atletas!V504="Taijidao F",962,IF(Atletas!V504="TaijiShanzi F",963,IF(Atletas!V504="Taijiqiang F",964,IF(Atletas!V504="Bagua de Arma F",965,IF(Atletas!V504="Xingyi de Arma F",966,"")))))))))))))))))))))))))))))))</f>
        <v/>
      </c>
      <c r="CM513" s="50" t="str">
        <f xml:space="preserve"> IF(Atletas!W504="","",IF(Atletas!W504="Duilian de Mãos BC - Equipe 1",1,IF(Atletas!W504="Duilian de Mãos BC - Equipe 2",2,IF(Atletas!W504="Duilian de Armas BC - Equipe 1",3,IF(Atletas!W504="Duilian de Armas BC - Equipe 2",4,IF(Atletas!W504="Duilian de Mãos DE - Equipe 1",5,IF(Atletas!W504="Duilian de Mãos DE - Equipe 2",6,IF(Atletas!W504="Duilian de Armas DE - Equipe 1",7,IF(Atletas!W504="Duilian de Armas DE - Equipe 2",8,IF(Atletas!W504="Duilian de Tuishou - Equipe 1",9,IF(Atletas!W504="Duilian de Tuishou - Equipe 2",10,IF(Atletas!W504="Grupo Externo ABC - Equipe 1",11,IF(Atletas!W504="Grupo Externo ABC - Equipe 2",12,IF(Atletas!W504="Grupo Interno ABC - Equipe 1",13,IF(Atletas!W504="Grupo Interno ABC - Equipe 2",14,IF(Atletas!W504="Grupo Externo DEF - Equipe 1",15,IF(Atletas!W504="Grupo Externo DEF - Equipe 2",16,IF(Atletas!W504="Grupo Interno DEF - Equipe 1",17,IF(Atletas!W504="Grupo Interno DEF - Equipe 2",18,"")))))))))))))))))))</f>
        <v/>
      </c>
    </row>
    <row r="514" spans="40:91">
      <c r="AN514" s="52" t="str">
        <f>IF(Atletas!D505="","",IF(Atletas!B505="Feminino",100,IF(Atletas!B505="Masculino",200,""))+(IF(Atletas!D505="Kids 30kg",1,IF(Atletas!D505="Kids 32kg",2, IF(Atletas!D505="Kids 34kg",3,IF(Atletas!D505="Kids 36kg",4,IF(Atletas!D505="Kids 39kg",5,IF(Atletas!D505="Kids 42kg",6,IF(Atletas!D505="Kids 45kg",7, IF(Atletas!D505="Infantil 39kg",8,IF(Atletas!D505="Infantil 42kg",9,IF(Atletas!D505="Infantil 45kg",10,IF(Atletas!D505="Infantil 48kg",11,IF(Atletas!D505="Infantil 52kg",12,IF(Atletas!D505="Infantil 56kg",13,IF(Atletas!D505="Infantil 60kg",14,IF(Atletas!D505="Juvenil 48kg",15,IF(Atletas!D505="Juvenil 52kg",16,IF(Atletas!D505="Juvenil 56kg",17,IF(Atletas!D505="Juvenil 60kg",18,IF(Atletas!D505="Juvenil 65kg",19,IF(Atletas!D505="Juvenil 70kg",20,IF(Atletas!D505="Juvenil 75kg",21,IF(Atletas!D505="Juvenil 80kg",22, IF(Atletas!D505="Juvenil 85kg",23,IF(Atletas!D505="Adulto 48kg",24,IF(Atletas!D505="Adulto 52kg",25,IF(Atletas!D505="Adulto 56kg",26,IF(Atletas!D505="Adulto 60kg",27,IF(Atletas!D505="Adulto 65kg",28,IF(Atletas!D505="Adulto 70kg",29,IF(Atletas!D505="Adulto 75kg",30,IF(Atletas!D505="Adulto 80kg",31,IF(Atletas!D505="Adulto 85kg",32,IF(Atletas!D505="Adulto 90kg",33,IF(Atletas!D505="Adulto 100kg",34, IF(Atletas!D505="Adulto +100kg",35,"")))))))))))))))))))))))))))))))))))))</f>
        <v/>
      </c>
      <c r="AS514" s="6" t="str">
        <f>IF(Atletas!E505="","",IF(Atletas!B505="Feminino",100,IF(Atletas!B505="Masculino",200,""))+(IF(Atletas!E505="Juvenil 44kg",1,IF(Atletas!E505="Juvenil 48kg",2,IF(Atletas!E505="Juvenil 52kg",3,IF(Atletas!E505="Juvenil 56kg",4,IF(Atletas!E505="Juvenil 60kg",5,IF(Atletas!E505="Juvenil 65kg",6,IF(Atletas!E505="Juvenil 70kg",7,IF(Atletas!E505="Juvenil 75kg",8,IF(Atletas!E505="Juvenil 82kg",9,IF(Atletas!E505="Juvenil 90kg",10,IF(Atletas!E505="Juvenil 100kg",11,IF(Atletas!E505="Adulto 48kg",12,IF(Atletas!E505="Adulto 52kg",13,IF(Atletas!E505="Adulto 56kg",14,IF(Atletas!E505="Adulto 60kg",15,IF(Atletas!E505="Adulto 65kg",16,IF(Atletas!E505="Adulto 70kg",17,IF(Atletas!E505="Adulto 75kg",18,IF(Atletas!E505="Adulto 82kg",19,IF(Atletas!E505="Adulto 90kg",20,IF(Atletas!E505="Adulto 100kg",21,IF(Atletas!E505="Adulto +100kg",22,""))))))))))))))))))))))))</f>
        <v/>
      </c>
      <c r="AX514" s="6" t="str">
        <f>IF(Atletas!F505="","",IF(Atletas!B505="Feminino",100,IF(Atletas!B505="Masculino",200,""))+(IF(Atletas!F505="Adulto 48kg",1,IF(Atletas!F505="Adulto 56kg",2,IF(Atletas!F505="Adulto 65kg",3,IF(Atletas!F505="Adulto 75kg",4,IF(Atletas!F505="Adulto +75kg",5,IF(Atletas!F505="Adulto 52kg",6,IF(Atletas!F505="Adulto 60kg",7,IF(Atletas!F505="Adulto 70kg",8,IF(Atletas!F505="Adulto 80kg",9,IF(Atletas!F505="Adulto 90kg",10,IF(Atletas!F505="Adulto +90kg",11,"")))))))))))))</f>
        <v/>
      </c>
      <c r="BC514" s="6" t="str">
        <f>IF(Atletas!G505="","",IF(Atletas!B505="Feminino",10,IF(Atletas!B505="Masculino",20,""))+(IF(Atletas!G505="Baduanjin A",1,IF(Atletas!G505="Baduanjin B",2))))</f>
        <v/>
      </c>
      <c r="BF514" s="52" t="str">
        <f>IF(Atletas!H505="","",IF(Atletas!B505="Feminino",100,IF(Atletas!B505="Masculino",200,""))+(IF(Atletas!H505="Changquan Mirim",1,IF(Atletas!H505="Nanquan Mirim",2,IF(Atletas!H505="Taijiquan Mirim",3,IF(Atletas!H505="Changquan Grupo C",4,IF(Atletas!H505="Nanquan Grupo C",5,IF(Atletas!H505="Taijiquan Grupo C",6,IF(Atletas!H505="Changquan Grupo B",7,IF(Atletas!H505="Nanquan Grupo B",8,IF(Atletas!H505="Taijiquan Grupo B",9,IF(Atletas!H505="Changquan Grupo A",10,IF(Atletas!H505="Nanquan Grupo A",11,IF(Atletas!H505="Taijiquan Grupo A",12,IF(Atletas!H505="Changquan Opcional",13,IF(Atletas!H505="Nanquan Opcional",14,IF(Atletas!H505="Taijiquan Opcional",15,IF(Atletas!H505="Changquan Adulto",16,IF(Atletas!H505="Nanquan Adulto",17,IF(Atletas!H505="Taijiquan Adulto",18,""))))))))))))))))))))</f>
        <v/>
      </c>
      <c r="BG514" s="52" t="str">
        <f>IF(Atletas!I505="","",IF(Atletas!B505="Feminino",100,IF(Atletas!B505="Masculino",200,""))+(IF(Atletas!I505="Daoshu Mirim",19,IF(Atletas!I505="Jianshu Mirim",20,IF(Atletas!I505="Nandao Mirim",21,IF(Atletas!I505="Taijijian Mirim",22,IF(Atletas!I505="Daoshu Grupo C",23,IF(Atletas!I505="Jianshu Grupo C",24,IF(Atletas!I505="Nandao Grupo C",25,IF(Atletas!I505="Taijijian Grupo C",26,IF(Atletas!I505="Daoshu Grupo B",27,IF(Atletas!I505="Jianshu Grupo B",28,IF(Atletas!I505="Nandao Grupo B",29,IF(Atletas!I505="Taijijian Grupo B",30,IF(Atletas!I505="Daoshu Grupo A",31,IF(Atletas!I505="Jianshu Grupo A",32,IF(Atletas!I505="Nandao Grupo A",33,IF(Atletas!I505="Taijijian Grupo A",34,IF(Atletas!I505="Daoshu Opcional",35,IF(Atletas!I505="Jianshu Opcional",36,IF(Atletas!I505="Nandao Opcional",37,IF(Atletas!I505="Taijijian Opcional",38,IF(Atletas!I505="Daoshu Adulto",39,IF(Atletas!I505="Jianshu Adulto",40,IF(Atletas!I505="Nandao Adulto",41,IF(Atletas!I505="Taijijian Adulto",42,""))))))))))))))))))))))))))</f>
        <v/>
      </c>
      <c r="BH514" s="52" t="str">
        <f>IF(Atletas!J505="","",IF(Atletas!B505="Feminino",100,IF(Atletas!B505="Masculino",200,""))+(IF(Atletas!J505="Gunshu Mirim",43,IF(Atletas!J505="Qiangshu Mirim",44,IF(Atletas!J505="Nangun Mirim",45,IF(Atletas!J505="Gunshu Grupo C",46,IF(Atletas!J505="Qiangshu Grupo C",47,IF(Atletas!J505="Nangun Grupo C",48,IF(Atletas!J505="Gunshu Grupo B",49,IF(Atletas!J505="Qiangshu Grupo B",50,IF(Atletas!J505="Nangun Grupo B",51,IF(Atletas!J505="Gunshu Grupo A",52,IF(Atletas!J505="Qiangshu Grupo A",53,IF(Atletas!J505="Nangun Grupo A",54,IF(Atletas!J505="Gunshu Opcional",55,IF(Atletas!J505="Qiangshu Opcional",56,IF(Atletas!J505="Nangun Opcional",57,IF(Atletas!J505="Gunshu Adulto",58,IF(Atletas!J505="Qiangshu Adulto",59,IF(Atletas!J505="Nangun Adulto",60,IF(Atletas!J505="Taijishan Grupo B",61,IF(Atletas!J505="Taijishan Grupo A",62,""))))))))))))))))))))))</f>
        <v/>
      </c>
      <c r="BM514" s="50" t="str">
        <f>IF(Atletas!K505="","",IF(Atletas!B505="Feminino",100,IF(Atletas!B505="Masculino",200,""))+(IF(Atletas!K505="Equipe 1 Grupo B",1,IF(Atletas!K505="Equipe 2 Grupo B",2,IF(Atletas!K505="Equipe 1 Grupo A",3,IF(Atletas!K505="Equipe 2 Grupo A",4,IF(Atletas!K505="Equipe 1 Adulto",5,IF(Atletas!K505="Equipe 2 Adulto",6,""))))))))</f>
        <v/>
      </c>
      <c r="BR514" s="50" t="str">
        <f>IF(Atletas!L505="","",IF(Atletas!X505&lt;&gt;"",10000,0)+(IF(Atletas!B505="Feminino",1000,IF(Atletas!B505="Masculino",2000,""))+IF(Atletas!L505="Choylayfut A",1,IF(Atletas!L505="Hunggar A",2,IF(Atletas!L505="Wuzuquan A",3,IF(Atletas!L505="Wingchun A",4,IF(Atletas!L505="Outra Mão de Sul A",5,IF(Atletas!L505="Choylayfut B",6,IF(Atletas!L505="Hunggar B",7,IF(Atletas!L505="Wuzuquan B",8,IF(Atletas!L505="Wingchun B",9,IF(Atletas!L505="Outra Mão de Sul B",10,IF(Atletas!L505="Choylayfut C",11,IF(Atletas!L505="Hunggar C",12,IF(Atletas!L505="Wuzuquan C",13,IF(Atletas!L505="Wingchun C",14,IF(Atletas!L505="Outra Mão de Sul C",15,IF(Atletas!L505="Choylayfut D",16,IF(Atletas!L505="Hunggar D",17,IF(Atletas!L505="Wuzuquan D",18,IF(Atletas!L505="Wingchun D",19,IF(Atletas!L505="Outra Mão de Sul D",20,IF(Atletas!L505="Choylayfut E",21,IF(Atletas!L505="Hunggar E",22,IF(Atletas!L505="Wuzuquan E",23,IF(Atletas!L505="Wingchun E",24,IF(Atletas!L505="Outra Mão de Sul E",25,IF(Atletas!L505="Choylayfut F",26,IF(Atletas!L505="Hunggar F",27,IF(Atletas!L505="Wuzuquan F",28,IF(Atletas!L505="Wingchun F",29,IF(Atletas!L505="Outra Mão de Sul F",30,IF(Atletas!L505="Dishuquan A",31,IF(Atletas!L505="Dishuquan B",32,IF(Atletas!L505="Dishuquan C",33,IF(Atletas!L505="Dishuquan D",34,IF(Atletas!L505="Dishuquan E",35,IF(Atletas!L505="Dishuquan F",36,""))))))))))))))))))))))))))))))))))))))</f>
        <v/>
      </c>
      <c r="BS514" s="50" t="str">
        <f>IF(Atletas!M505="","",IF(Atletas!X505&lt;&gt;"",10000,0)+(IF(Atletas!B505="Feminino",1000,IF(Atletas!B505="Masculino",2000,""))+(IF(Atletas!M505="Chaquan A",101,IF(Atletas!M505="Emeiquan A",102,IF(Atletas!M505="Fanziquan A",103,IF(Atletas!M505="Huaquan A",104,IF(Atletas!M505="Hongquan A",105,IF(Atletas!M505="Paoquan A",106,IF(Atletas!M505="Piguaquan A",107,IF(Atletas!M505="Shaolinquan A",108,IF(Atletas!M505="Tanglangquan A",109,IF(Atletas!M505="Yingzhaoquan A",110,IF(Atletas!M505="Tongbeiquan A",111,IF(Atletas!M505="Wudangquan A",112,IF(Atletas!M505="Outros Estilos A",113,IF(Atletas!M505="Chaquan B",114,IF(Atletas!M505="Emeiquan B",115,IF(Atletas!M505="Fanziquan B",116,IF(Atletas!M505="Huaquan B",117,IF(Atletas!M505="Hongquan B",118,IF(Atletas!M505="Paoquan B",119,IF(Atletas!M505="Piguaquan B",120,IF(Atletas!M505="Shaolinquan B",121,IF(Atletas!M505="Tanglangquan B",122,IF(Atletas!M505="Yingzhaoquan B",123,IF(Atletas!M505="Tongbeiquan B",124,IF(Atletas!M505="Wudangquan B",125,IF(Atletas!M505="Outros Estilos B",126,IF(Atletas!M505="Chaquan C",127,IF(Atletas!M505="Emeiquan C",128,IF(Atletas!M505="Fanziquan C",129,IF(Atletas!M505="Huaquan C",130,IF(Atletas!M505="Hongquan C",131,IF(Atletas!M505="Paoquan C",132,IF(Atletas!M505="Piguaquan C",133,IF(Atletas!M505="Shaolinquan C",134,IF(Atletas!M505="Tanglangquan C",135,IF(Atletas!M505="Yingzhaoquan C",136,IF(Atletas!M505="Tongbeiquan C",137,IF(Atletas!M505="Wudangquan C",138,IF(Atletas!M505="Outros Estilos C",139,0))))))))))))))))))))))))))))))))))))))))))</f>
        <v/>
      </c>
      <c r="BT514" s="50" t="str">
        <f>IF(Atletas!M505="","",IF(Atletas!X505&lt;&gt;"",10000,0)+(IF(Atletas!B505="Feminino",1000,IF(Atletas!B505="Masculino",2000,""))+(IF(Atletas!M505="Chaquan D",140,IF(Atletas!M505="Emeiquan D",141,IF(Atletas!M505="Fanziquan D",142,IF(Atletas!M505="Huaquan D",143,IF(Atletas!M505="Hongquan D",144,IF(Atletas!M505="Paoquan D",145,IF(Atletas!M505="Piguaquan D",146,IF(Atletas!M505="Shaolinquan D",147,IF(Atletas!M505="Tanglangquan D",148,IF(Atletas!M505="Yingzhaoquan D",149,IF(Atletas!M505="Tongbeiquan D",150,IF(Atletas!M505="Wudangquan D",151,IF(Atletas!M505="Outros Estilos D",152,IF(Atletas!M505="Chaquan E",153,IF(Atletas!M505="Emeiquan E",154,IF(Atletas!M505="Fanziquan E",155,IF(Atletas!M505="Huaquan E",156,IF(Atletas!M505="Hongquan E",157,IF(Atletas!M505="Paoquan E",158,IF(Atletas!M505="Piguaquan E",159,IF(Atletas!M505="Shaolinquan E",160,IF(Atletas!M505="Tanglangquan E",161,IF(Atletas!M505="Yingzhaoquan E",162,IF(Atletas!M505="Tongbeiquan E",163,IF(Atletas!M505="Wudangquan E",164,IF(Atletas!M505="Outros Estilos E",165,IF(Atletas!M505="Chaquan F",166,IF(Atletas!M505="Emeiquan F",167,IF(Atletas!M505="Fanziquan F",168,IF(Atletas!M505="Huaquan F",169,IF(Atletas!M505="Hongquan F",170,IF(Atletas!M505="Paoquan F",171,IF(Atletas!M505="Piguaquan F",172,IF(Atletas!M505="Shaolinquan F",173,IF(Atletas!M505="Tanglangquan F",174,IF(Atletas!M505="Yingzhaoquan F",175,IF(Atletas!M505="Tongbeiquan F",176,IF(Atletas!M505="Wudangquan F",177,IF(Atletas!M505="Outros Estilos F",178,0))))))))))))))))))))))))))))))))))))))))))</f>
        <v/>
      </c>
      <c r="BU514" s="50" t="str">
        <f>IF(Atletas!N505="","",IF(Atletas!X505&lt;&gt;"",10000,0)+(IF(Atletas!B505="Feminino",1000,IF(Atletas!B505="Masculino",2000,""))+(IF(Atletas!N505="Ditangquan A",201,IF(Atletas!N505="Houquan A",202,IF(Atletas!N505="Zuiquan A",203,IF(Atletas!N505="Ditangquan B",204,IF(Atletas!N505="Houquan B",205,IF(Atletas!N505="Zuiquan B",206,IF(Atletas!N505="Ditangquan C",207,IF(Atletas!N505="Houquan C",208,IF(Atletas!N505="Zuiquan C",209,IF(Atletas!N505="Ditangquan D",210,IF(Atletas!N505="Houquan D",211,IF(Atletas!N505="Zuiquan D",212,IF(Atletas!N505="Ditangquan E",213,IF(Atletas!N505="Houquan E",214,IF(Atletas!N505="Zuiquan E",215,IF(Atletas!N505="Ditangquan F",216,IF(Atletas!N505="Houquan F",217,IF(Atletas!N505="Zuiquan F",218,"")))))))))))))))))))))</f>
        <v/>
      </c>
      <c r="BV514" s="50" t="str">
        <f>IF(Atletas!O505="","",IF(Atletas!X505&lt;&gt;"",10000,0)+IF(Atletas!B505="Feminino",1000,IF(Atletas!B505="Masculino",2000,""))+IF(Atletas!O505="Yang A",301,IF(Atletas!O505="Chen A",302,IF(Atletas!O505="Sun A",303,IF(Atletas!O505="Wu A",304,IF(Atletas!O505="Wu-Hao A",305,IF(Atletas!O505="Outro Taijiquan A",306,IF(Atletas!O505="Yang B",307,IF(Atletas!O505="Chen B",308,IF(Atletas!O505="Sun B",309,IF(Atletas!O505="Wu B",310,IF(Atletas!O505="Wu-Hao B",311,IF(Atletas!O505="Outro Taijiquan B",312,IF(Atletas!O505="Yang C",313,IF(Atletas!O505="Chen C",314,IF(Atletas!O505="Sun C",315,IF(Atletas!O505="Wu C",316,IF(Atletas!O505="Wu-Hao C",317,IF(Atletas!O505="Outro Taijiquan C",318,IF(Atletas!O505="Yang D",319,IF(Atletas!O505="Chen D",320,IF(Atletas!O505="Sun D",321,IF(Atletas!O505="Wu D",322,IF(Atletas!O505="Wu-Hao D",323,IF(Atletas!O505="Outro Taijiquan D",324,IF(Atletas!O505="Yang E",325,IF(Atletas!O505="Chen E",326,IF(Atletas!O505="Sun E",327,IF(Atletas!O505="Wu E",328,IF(Atletas!O505="Wu-Hao E",329,IF(Atletas!O505="Outro Taijiquan E",330,IF(Atletas!O505="Yang F",331,IF(Atletas!O505="Chen F",332,IF(Atletas!O505="Sun F",333,IF(Atletas!O505="Wu F",334,IF(Atletas!O505="Wu-Hao F",335,IF(Atletas!O505="Outro Taijiquan F",336,"")))))))))))))))))))))))))))))))))))))</f>
        <v/>
      </c>
      <c r="BW514" s="50" t="str">
        <f>IF(Atletas!P505="","",IF(Atletas!X505&lt;&gt;"",10000,0)+IF(Atletas!B505="Feminino",1000,IF(Atletas!B505="Masculino",2000,""))+IF(OR(Atletas!P505="Yang 26 A",Atletas!P505="Yang 40 A"),401,IF(OR(Atletas!P505="Chen 25 A",Atletas!P505="Chen 36 A",Atletas!P505="Chen 56 A"),402,IF(Atletas!P505="Sun 73 A",403,IF(Atletas!P505="Wu 45 A",404,IF(Atletas!P505="Wu-Hao 46 A",405,IF(OR(Atletas!P505="Taijiquan 16 A",Atletas!P505="Taijiquan 24 A",Atletas!P505="Taijiquan 32 A",Atletas!P505="Taijiquan 42 A"),406,IF(OR(Atletas!P505="Yang 26 B",Atletas!P505="Yang 40 B"),407,IF(OR(Atletas!P505="Chen 25 B",Atletas!P505="Chen 36 B",Atletas!P505="Chen 56 B"),408,IF(Atletas!P505="Sun 73 B",409,IF(Atletas!P505="Wu 45 B",410,IF(Atletas!P505="Wu-Hao 46 B",411,IF(OR(Atletas!P505="Taijiquan 16 B",Atletas!P505="Taijiquan 24 B",Atletas!P505="Taijiquan 32 B",Atletas!P505="Taijiquan 42 B"),412,IF(OR(Atletas!P505="Yang 26 C",Atletas!P505="Yang 40 C"),413,IF(OR(Atletas!P505="Chen 25 C",Atletas!P505="Chen 36 C",Atletas!P505="Chen 56 C"),414,IF(Atletas!P505="Sun 73 C",415,IF(Atletas!P505="Wu 45 C",416,IF(Atletas!P505="Wu-Hao 46 C",417,IF(OR(Atletas!P505="Taijiquan 16 C",Atletas!P505="Taijiquan 24 C",Atletas!P505="Taijiquan 32 C",Atletas!P505="Taijiquan 42 C"),418,0)))))))))))))))))))</f>
        <v/>
      </c>
      <c r="BX514" s="50" t="str">
        <f>IF(Atletas!P505="","",IF(Atletas!X505&lt;&gt;"",10000,0)+IF(Atletas!B505="Feminino",1000,IF(Atletas!B505="Masculino",2000,""))+IF(OR(Atletas!P505="Yang 26 D",Atletas!P505="Yang 40 D"),419,IF(OR(Atletas!P505="Chen 25 D",Atletas!P505="Chen 36 D",Atletas!P505="Chen 56 D"),420,IF(Atletas!P505="Sun 73 D",421,IF(Atletas!P505="Wu 45 D",422,IF(Atletas!P505="Wu-Hao 46 D",423,IF(OR(Atletas!P505="Taijiquan 16 D",Atletas!P505="Taijiquan 24 D",Atletas!P505="Taijiquan 32 D",Atletas!P505="Taijiquan 42 D"),424,IF(OR(Atletas!P505="Yang 26 E",Atletas!P505="Yang 40 E"),425,IF(OR(Atletas!P505="Chen 25 E",Atletas!P505="Chen 36 E",Atletas!P505="Chen 56 E"),426,IF(Atletas!P505="Sun 73 E",427,IF(Atletas!P505="Wu 45 E",428,IF(Atletas!P505="Wu-Hao 46 E",429,IF(OR(Atletas!P505="Taijiquan 16 E",Atletas!P505="Taijiquan 24 E",Atletas!P505="Taijiquan 32 E",Atletas!P505="Taijiquan 42 E"),430,IF(OR(Atletas!P505="Yang 26 F",Atletas!P505="Yang 40 F"),431,IF(OR(Atletas!P505="Chen 25 F",Atletas!P505="Chen 36 F",Atletas!P505="Chen 56 F"),432,IF(Atletas!P505="Sun 73 F",433,IF(Atletas!P505="Wu 45 F",434,IF(Atletas!P505="Wu-Hao 46 F",435,IF(OR(Atletas!P505="Taijiquan 16 F",Atletas!P505="Taijiquan 24 F",Atletas!P505="Taijiquan 32 F",Atletas!P505="Taijiquan 42 F"),436,0)))))))))))))))))))</f>
        <v/>
      </c>
      <c r="BY514" s="50" t="str">
        <f>IF(Atletas!Q505="","",IF(Atletas!X505&lt;&gt;"",10000,0)+IF(Atletas!B505="Feminino",1000,IF(Atletas!B505="Masculino",2000,""))+IF(Atletas!Q505="Xingyiquan A",501,IF(Atletas!Q505="Baguazhang A",502,IF(Atletas!Q505="Outro Estilo Interno A",503,IF(Atletas!Q505="Xingyiquan B",504,IF(Atletas!Q505="Baguazhang B",505,IF(Atletas!Q505="Outro Estilo Interno B",506,IF(Atletas!Q505="Xingyiquan C",507,IF(Atletas!Q505="Baguazhang C",508,IF(Atletas!Q505="Outro Estilo Interno C",509,IF(Atletas!Q505="Xingyiquan D",510,IF(Atletas!Q505="Baguazhang D",511,IF(Atletas!Q505="Outro Estilo Interno D",512,IF(Atletas!Q505="Xingyiquan E",513,IF(Atletas!Q505="Baguazhang E",514,IF(Atletas!Q505="Outro Estilo Interno E",515,IF(Atletas!Q505="Xingyiquan F",516,IF(Atletas!Q505="Baguazhang F",517,IF(Atletas!Q505="Outro Estilo Interno F",518, "")))))))))))))))))))</f>
        <v/>
      </c>
      <c r="BZ514" s="50" t="str">
        <f>IF(Atletas!R505="","",IF(Atletas!X505&lt;&gt;"",10000,0)+IF(Atletas!B505="Feminino",1000,IF(Atletas!B505="Masculino",2000,""))+IF(Atletas!R505="Dao A",601,IF(Atletas!R505="Jian A",602,IF(Atletas!R505="Bishou A",603,IF(Atletas!R505="Shanzi A",604,IF(Atletas!R505="Outra Arma Curta A",605,IF(Atletas!R505="Dao B",606,IF(Atletas!R505="Jian B",607,IF(Atletas!R505="Bishou B",608,IF(Atletas!R505="Shanzi B",609,IF(Atletas!R505="Outra Arma Curta B",610,IF(Atletas!R505="Dao C",611,IF(Atletas!R505="Jian C",612,IF(Atletas!R505="Bishou C",613,IF(Atletas!R505="Shanzi C",614,IF(Atletas!R505="Outra Arma Curta C",615,IF(Atletas!R505="Dao D",616,IF(Atletas!R505="Jian D",617,IF(Atletas!R505="Bishou D",618,IF(Atletas!R505="Shanzi D",619,IF(Atletas!R505="Outra Arma Curta D",620,IF(Atletas!R505="Dao E",621,IF(Atletas!R505="Jian E",622,IF(Atletas!R505="Bishou E",623,IF(Atletas!R505="Shanzi E",624,IF(Atletas!R505="Outra Arma Curta E",625,IF(Atletas!R505="Dao F",626,IF(Atletas!R505="Jian F",627,IF(Atletas!R505="Bishou F",628,IF(Atletas!R505="Shanzi F",629,IF(Atletas!R505="Outra Arma Curta F",630, "")))))))))))))))))))))))))))))))</f>
        <v/>
      </c>
      <c r="CA514" s="50" t="str">
        <f>IF(Atletas!S505="","",IF(Atletas!X505&lt;&gt;"",10000,0)+IF(Atletas!B505="Feminino",1000,IF(Atletas!B505="Masculino",2000,""))+IF(Atletas!S505="Gun A",701,IF(Atletas!S505="Qiang A",702,IF(Atletas!S505="Pudao / Guandao A",703,IF(Atletas!S505="Outra Arma Longa A",704,IF(Atletas!S505="Gun B",705,IF(Atletas!S505="Qiang B",706,IF(Atletas!S505="Pudao / Guandao B",707,IF(Atletas!S505="Outra Arma Longa B",708,IF(Atletas!S505="Gun C",709,IF(Atletas!S505="Qiang C",710,IF(Atletas!S505="Pudao / Guandao C",711,IF(Atletas!S505="Outra Arma Longa C",712,IF(Atletas!S505="Gun D",713,IF(Atletas!S505="Qiang D",714,IF(Atletas!S505="Pudao / Guandao D",715,IF(Atletas!S505="Outra Arma Longa D",716,IF(Atletas!S505="Gun E",717,IF(Atletas!S505="Qiang E",718,IF(Atletas!S505="Pudao / Guandao E",719,IF(Atletas!S505="Outra Arma Longa E",720,IF(Atletas!S505="Gun F",721,IF(Atletas!S505="Qiang F",722,IF(Atletas!S505="Pudao / Guandao F",723,IF(Atletas!S505="Outra Arma Longa F",724,"")))))))))))))))))))))))))</f>
        <v/>
      </c>
      <c r="CB514" s="50" t="str">
        <f>IF(Atletas!T505="","",IF(Atletas!X505&lt;&gt;"",10000,0)+IF(Atletas!B505="Feminino",1000,IF(Atletas!B505="Masculino",2000,""))+IF(Atletas!T505="Outra Arma Dupla A",801,IF(Atletas!T505="Arma Maleável A",802,IF(Atletas!T505="Outra Arma Dupla B",803,IF(Atletas!T505="Arma Maleável B",804,IF(Atletas!T505="Outra Arma Dupla C",805,IF(Atletas!T505="Arma Maleável C",806,IF(Atletas!T505="Outra Arma Dupla D",807,IF(Atletas!T505="Arma Maleável D",808,IF(Atletas!T505="Outra Arma Dupla E",809,IF(Atletas!T505="Arma Maleável E",810,IF(Atletas!T505="Outra Arma Dupla F",811,IF(Atletas!T505="Arma Maleável F",812,IF(Atletas!T505="Shuangdao A",813,IF(Atletas!T505="Shuangdao B",814,IF(Atletas!T505="Shuangdao C",815,IF(Atletas!T505="Shuangdao D",816,IF(Atletas!T505="Shuangdao E",817,IF(Atletas!T505="Shuangdao F",818,"")))))))))))))))))))</f>
        <v/>
      </c>
      <c r="CC514" s="50" t="str">
        <f>IF(Atletas!U505="","",IF(Atletas!X505&lt;&gt;"",10000,0)+IF(Atletas!B505="Feminino",1000,IF(Atletas!B505="Masculino",2000,""))+IF(OR(Atletas!U505="Taijijian Yang A",Atletas!U505="Taijijian Yang Standard A"),901,IF(OR(Atletas!U505="Taijijian Chen A", Atletas!U505="Taijijian Chen Standard A"),902,IF(Atletas!U505="Taijijian Sun A",903,IF(Atletas!U505="Taijijian Wu A",904,IF(Atletas!U505="Taijijian Wu-Hao A",905,IF(OR(Atletas!U505="Taijijian 32 A",Atletas!U505="Taijijian 42 A"),906,IF(OR(Atletas!U505="Taijijian Yang B",Atletas!U505="Taijijian Yang Standard B"),907,IF(OR(Atletas!U505="Taijijian Chen B", Atletas!U505="Taijijian Chen Standard B"),908,IF(Atletas!U505="Taijijian Sun B",909,IF(Atletas!U505="Taijijian Wu B",910,IF(Atletas!U505="Taijijian Wu-Hao B",911,IF(OR(Atletas!U505="Taijijian 32 B",Atletas!U505="Taijijian 42 B"),912,IF(OR(Atletas!U505="Taijijian Yang C",Atletas!U505="Taijijian Yang Standard C"),913,IF(OR(Atletas!U505="Taijijian Chen C", Atletas!U505="Taijijian Chen Standard C"),914,IF(Atletas!U505="Taijijian Sun C",915,IF(Atletas!U505="Taijijian Wu C",916,IF(Atletas!U505="Taijijian Wu-Hao C",917,IF(OR(Atletas!U505="Taijijian 32 C",Atletas!U505="Taijijian 42 C"),918,IF(OR(Atletas!U505="Taijijian Yang D",Atletas!U505="Taijijian Yang Standard D"),919,IF(OR(Atletas!U505="Taijijian Chen D", Atletas!U505="Taijijian Chen Standard D"),920,IF(Atletas!U505="Taijijian Sun D",921,IF(Atletas!U505="Taijijian Wu D",922,IF(Atletas!U505="Taijijian Wu-Hao D",923,IF(OR(Atletas!U505="Taijijian 32 D",Atletas!U505="Taijijian 42 D"),924,IF(OR(Atletas!U505="Taijijian Yang E",Atletas!U505="Taijijian Yang Standard E"),925,IF(OR(Atletas!U505="Taijijian Chen E", Atletas!U505="Taijijian Chen Standard E"),926,IF(Atletas!U505="Taijijian Sun E",927,IF(Atletas!U505="Taijijian Wu E",928,IF(Atletas!U505="Taijijian Wu-Hao E",929,IF(OR(Atletas!U505="Taijijian 32 E",Atletas!U505="Taijijian 42 E"),930,IF(OR(Atletas!U505="Taijijian Yang F",Atletas!U505="Taijijian Yang Standard F"),931,IF(OR(Atletas!U505="Taijijian Chen F", Atletas!U505="Taijijian Chen Standard F"),932,IF(Atletas!U505="Taijijian Sun F",933,IF(Atletas!U505="Taijijian Wu F",934,IF(Atletas!U505="Taijijian Wu-Hao F",935,IF(OR(Atletas!U505="Taijijian 32 F",Atletas!U505="Taijijian 42 F"),936,"")))))))))))))))))))))))))))))))))))))</f>
        <v/>
      </c>
      <c r="CD514" s="50" t="str">
        <f>IF(Atletas!V505="","",IF(Atletas!X505&lt;&gt;"",10000,0)+IF(Atletas!B505="Feminino",1000,IF(Atletas!B505="Masculino",2000,""))+IF(Atletas!V505="Taijidao A",937,IF(Atletas!V505="TaijiShanzi A",938,IF(Atletas!V505="Taijiqiang A",939,IF(Atletas!V505="Bagua de Arma A",940,IF(Atletas!V505="Xingyi de Arma A",941,IF(Atletas!V505="Taijidao B",942,IF(Atletas!V505="TaijiShanzi B",943,IF(Atletas!V505="Taijiqiang B",944,IF(Atletas!V505="Bagua de Arma B",945,IF(Atletas!V505="Xingyi de Arma B",946,IF(Atletas!V505="Taijidao C",947,IF(Atletas!V505="TaijiShanzi C",948,IF(Atletas!V505="Taijiqiang C",949,IF(Atletas!V505="Bagua de Arma C",950,IF(Atletas!V505="Xingyi de Arma C",951,IF(Atletas!V505="Taijidao D",952,IF(Atletas!V505="TaijiShanzi D",953,IF(Atletas!V505="Taijiqiang D",954,IF(Atletas!V505="Bagua de Arma D",955,IF(Atletas!V505="Xingyi de Arma D",956,IF(Atletas!V505="Taijidao E",957,IF(Atletas!V505="TaijiShanzi E",958,IF(Atletas!V505="Taijiqiang E",959,IF(Atletas!V505="Bagua de Arma E",960,IF(Atletas!V505="Xingyi de Arma E",961,IF(Atletas!V505="Taijidao F",962,IF(Atletas!V505="TaijiShanzi F",963,IF(Atletas!V505="Taijiqiang F",964,IF(Atletas!V505="Bagua de Arma F",965,IF(Atletas!V505="Xingyi de Arma F",966,"")))))))))))))))))))))))))))))))</f>
        <v/>
      </c>
      <c r="CM514" s="50" t="str">
        <f xml:space="preserve"> IF(Atletas!W505="","",IF(Atletas!W505="Duilian de Mãos BC - Equipe 1",1,IF(Atletas!W505="Duilian de Mãos BC - Equipe 2",2,IF(Atletas!W505="Duilian de Armas BC - Equipe 1",3,IF(Atletas!W505="Duilian de Armas BC - Equipe 2",4,IF(Atletas!W505="Duilian de Mãos DE - Equipe 1",5,IF(Atletas!W505="Duilian de Mãos DE - Equipe 2",6,IF(Atletas!W505="Duilian de Armas DE - Equipe 1",7,IF(Atletas!W505="Duilian de Armas DE - Equipe 2",8,IF(Atletas!W505="Duilian de Tuishou - Equipe 1",9,IF(Atletas!W505="Duilian de Tuishou - Equipe 2",10,IF(Atletas!W505="Grupo Externo ABC - Equipe 1",11,IF(Atletas!W505="Grupo Externo ABC - Equipe 2",12,IF(Atletas!W505="Grupo Interno ABC - Equipe 1",13,IF(Atletas!W505="Grupo Interno ABC - Equipe 2",14,IF(Atletas!W505="Grupo Externo DEF - Equipe 1",15,IF(Atletas!W505="Grupo Externo DEF - Equipe 2",16,IF(Atletas!W505="Grupo Interno DEF - Equipe 1",17,IF(Atletas!W505="Grupo Interno DEF - Equipe 2",18,"")))))))))))))))))))</f>
        <v/>
      </c>
    </row>
    <row r="515" spans="40:91">
      <c r="AN515" s="52" t="str">
        <f>IF(Atletas!D506="","",IF(Atletas!B506="Feminino",100,IF(Atletas!B506="Masculino",200,""))+(IF(Atletas!D506="Kids 30kg",1,IF(Atletas!D506="Kids 32kg",2, IF(Atletas!D506="Kids 34kg",3,IF(Atletas!D506="Kids 36kg",4,IF(Atletas!D506="Kids 39kg",5,IF(Atletas!D506="Kids 42kg",6,IF(Atletas!D506="Kids 45kg",7, IF(Atletas!D506="Infantil 39kg",8,IF(Atletas!D506="Infantil 42kg",9,IF(Atletas!D506="Infantil 45kg",10,IF(Atletas!D506="Infantil 48kg",11,IF(Atletas!D506="Infantil 52kg",12,IF(Atletas!D506="Infantil 56kg",13,IF(Atletas!D506="Infantil 60kg",14,IF(Atletas!D506="Juvenil 48kg",15,IF(Atletas!D506="Juvenil 52kg",16,IF(Atletas!D506="Juvenil 56kg",17,IF(Atletas!D506="Juvenil 60kg",18,IF(Atletas!D506="Juvenil 65kg",19,IF(Atletas!D506="Juvenil 70kg",20,IF(Atletas!D506="Juvenil 75kg",21,IF(Atletas!D506="Juvenil 80kg",22, IF(Atletas!D506="Juvenil 85kg",23,IF(Atletas!D506="Adulto 48kg",24,IF(Atletas!D506="Adulto 52kg",25,IF(Atletas!D506="Adulto 56kg",26,IF(Atletas!D506="Adulto 60kg",27,IF(Atletas!D506="Adulto 65kg",28,IF(Atletas!D506="Adulto 70kg",29,IF(Atletas!D506="Adulto 75kg",30,IF(Atletas!D506="Adulto 80kg",31,IF(Atletas!D506="Adulto 85kg",32,IF(Atletas!D506="Adulto 90kg",33,IF(Atletas!D506="Adulto 100kg",34, IF(Atletas!D506="Adulto +100kg",35,"")))))))))))))))))))))))))))))))))))))</f>
        <v/>
      </c>
      <c r="AS515" s="6" t="str">
        <f>IF(Atletas!E506="","",IF(Atletas!B506="Feminino",100,IF(Atletas!B506="Masculino",200,""))+(IF(Atletas!E506="Juvenil 44kg",1,IF(Atletas!E506="Juvenil 48kg",2,IF(Atletas!E506="Juvenil 52kg",3,IF(Atletas!E506="Juvenil 56kg",4,IF(Atletas!E506="Juvenil 60kg",5,IF(Atletas!E506="Juvenil 65kg",6,IF(Atletas!E506="Juvenil 70kg",7,IF(Atletas!E506="Juvenil 75kg",8,IF(Atletas!E506="Juvenil 82kg",9,IF(Atletas!E506="Juvenil 90kg",10,IF(Atletas!E506="Juvenil 100kg",11,IF(Atletas!E506="Adulto 48kg",12,IF(Atletas!E506="Adulto 52kg",13,IF(Atletas!E506="Adulto 56kg",14,IF(Atletas!E506="Adulto 60kg",15,IF(Atletas!E506="Adulto 65kg",16,IF(Atletas!E506="Adulto 70kg",17,IF(Atletas!E506="Adulto 75kg",18,IF(Atletas!E506="Adulto 82kg",19,IF(Atletas!E506="Adulto 90kg",20,IF(Atletas!E506="Adulto 100kg",21,IF(Atletas!E506="Adulto +100kg",22,""))))))))))))))))))))))))</f>
        <v/>
      </c>
      <c r="AX515" s="6" t="str">
        <f>IF(Atletas!F506="","",IF(Atletas!B506="Feminino",100,IF(Atletas!B506="Masculino",200,""))+(IF(Atletas!F506="Adulto 48kg",1,IF(Atletas!F506="Adulto 56kg",2,IF(Atletas!F506="Adulto 65kg",3,IF(Atletas!F506="Adulto 75kg",4,IF(Atletas!F506="Adulto +75kg",5,IF(Atletas!F506="Adulto 52kg",6,IF(Atletas!F506="Adulto 60kg",7,IF(Atletas!F506="Adulto 70kg",8,IF(Atletas!F506="Adulto 80kg",9,IF(Atletas!F506="Adulto 90kg",10,IF(Atletas!F506="Adulto +90kg",11,"")))))))))))))</f>
        <v/>
      </c>
      <c r="BC515" s="6" t="str">
        <f>IF(Atletas!G506="","",IF(Atletas!B506="Feminino",10,IF(Atletas!B506="Masculino",20,""))+(IF(Atletas!G506="Baduanjin A",1,IF(Atletas!G506="Baduanjin B",2))))</f>
        <v/>
      </c>
      <c r="BF515" s="52" t="str">
        <f>IF(Atletas!H506="","",IF(Atletas!B506="Feminino",100,IF(Atletas!B506="Masculino",200,""))+(IF(Atletas!H506="Changquan Mirim",1,IF(Atletas!H506="Nanquan Mirim",2,IF(Atletas!H506="Taijiquan Mirim",3,IF(Atletas!H506="Changquan Grupo C",4,IF(Atletas!H506="Nanquan Grupo C",5,IF(Atletas!H506="Taijiquan Grupo C",6,IF(Atletas!H506="Changquan Grupo B",7,IF(Atletas!H506="Nanquan Grupo B",8,IF(Atletas!H506="Taijiquan Grupo B",9,IF(Atletas!H506="Changquan Grupo A",10,IF(Atletas!H506="Nanquan Grupo A",11,IF(Atletas!H506="Taijiquan Grupo A",12,IF(Atletas!H506="Changquan Opcional",13,IF(Atletas!H506="Nanquan Opcional",14,IF(Atletas!H506="Taijiquan Opcional",15,IF(Atletas!H506="Changquan Adulto",16,IF(Atletas!H506="Nanquan Adulto",17,IF(Atletas!H506="Taijiquan Adulto",18,""))))))))))))))))))))</f>
        <v/>
      </c>
      <c r="BG515" s="52" t="str">
        <f>IF(Atletas!I506="","",IF(Atletas!B506="Feminino",100,IF(Atletas!B506="Masculino",200,""))+(IF(Atletas!I506="Daoshu Mirim",19,IF(Atletas!I506="Jianshu Mirim",20,IF(Atletas!I506="Nandao Mirim",21,IF(Atletas!I506="Taijijian Mirim",22,IF(Atletas!I506="Daoshu Grupo C",23,IF(Atletas!I506="Jianshu Grupo C",24,IF(Atletas!I506="Nandao Grupo C",25,IF(Atletas!I506="Taijijian Grupo C",26,IF(Atletas!I506="Daoshu Grupo B",27,IF(Atletas!I506="Jianshu Grupo B",28,IF(Atletas!I506="Nandao Grupo B",29,IF(Atletas!I506="Taijijian Grupo B",30,IF(Atletas!I506="Daoshu Grupo A",31,IF(Atletas!I506="Jianshu Grupo A",32,IF(Atletas!I506="Nandao Grupo A",33,IF(Atletas!I506="Taijijian Grupo A",34,IF(Atletas!I506="Daoshu Opcional",35,IF(Atletas!I506="Jianshu Opcional",36,IF(Atletas!I506="Nandao Opcional",37,IF(Atletas!I506="Taijijian Opcional",38,IF(Atletas!I506="Daoshu Adulto",39,IF(Atletas!I506="Jianshu Adulto",40,IF(Atletas!I506="Nandao Adulto",41,IF(Atletas!I506="Taijijian Adulto",42,""))))))))))))))))))))))))))</f>
        <v/>
      </c>
      <c r="BH515" s="52" t="str">
        <f>IF(Atletas!J506="","",IF(Atletas!B506="Feminino",100,IF(Atletas!B506="Masculino",200,""))+(IF(Atletas!J506="Gunshu Mirim",43,IF(Atletas!J506="Qiangshu Mirim",44,IF(Atletas!J506="Nangun Mirim",45,IF(Atletas!J506="Gunshu Grupo C",46,IF(Atletas!J506="Qiangshu Grupo C",47,IF(Atletas!J506="Nangun Grupo C",48,IF(Atletas!J506="Gunshu Grupo B",49,IF(Atletas!J506="Qiangshu Grupo B",50,IF(Atletas!J506="Nangun Grupo B",51,IF(Atletas!J506="Gunshu Grupo A",52,IF(Atletas!J506="Qiangshu Grupo A",53,IF(Atletas!J506="Nangun Grupo A",54,IF(Atletas!J506="Gunshu Opcional",55,IF(Atletas!J506="Qiangshu Opcional",56,IF(Atletas!J506="Nangun Opcional",57,IF(Atletas!J506="Gunshu Adulto",58,IF(Atletas!J506="Qiangshu Adulto",59,IF(Atletas!J506="Nangun Adulto",60,IF(Atletas!J506="Taijishan Grupo B",61,IF(Atletas!J506="Taijishan Grupo A",62,""))))))))))))))))))))))</f>
        <v/>
      </c>
      <c r="BM515" s="50" t="str">
        <f>IF(Atletas!K506="","",IF(Atletas!B506="Feminino",100,IF(Atletas!B506="Masculino",200,""))+(IF(Atletas!K506="Equipe 1 Grupo B",1,IF(Atletas!K506="Equipe 2 Grupo B",2,IF(Atletas!K506="Equipe 1 Grupo A",3,IF(Atletas!K506="Equipe 2 Grupo A",4,IF(Atletas!K506="Equipe 1 Adulto",5,IF(Atletas!K506="Equipe 2 Adulto",6,""))))))))</f>
        <v/>
      </c>
      <c r="BR515" s="50" t="str">
        <f>IF(Atletas!L506="","",IF(Atletas!X506&lt;&gt;"",10000,0)+(IF(Atletas!B506="Feminino",1000,IF(Atletas!B506="Masculino",2000,""))+IF(Atletas!L506="Choylayfut A",1,IF(Atletas!L506="Hunggar A",2,IF(Atletas!L506="Wuzuquan A",3,IF(Atletas!L506="Wingchun A",4,IF(Atletas!L506="Outra Mão de Sul A",5,IF(Atletas!L506="Choylayfut B",6,IF(Atletas!L506="Hunggar B",7,IF(Atletas!L506="Wuzuquan B",8,IF(Atletas!L506="Wingchun B",9,IF(Atletas!L506="Outra Mão de Sul B",10,IF(Atletas!L506="Choylayfut C",11,IF(Atletas!L506="Hunggar C",12,IF(Atletas!L506="Wuzuquan C",13,IF(Atletas!L506="Wingchun C",14,IF(Atletas!L506="Outra Mão de Sul C",15,IF(Atletas!L506="Choylayfut D",16,IF(Atletas!L506="Hunggar D",17,IF(Atletas!L506="Wuzuquan D",18,IF(Atletas!L506="Wingchun D",19,IF(Atletas!L506="Outra Mão de Sul D",20,IF(Atletas!L506="Choylayfut E",21,IF(Atletas!L506="Hunggar E",22,IF(Atletas!L506="Wuzuquan E",23,IF(Atletas!L506="Wingchun E",24,IF(Atletas!L506="Outra Mão de Sul E",25,IF(Atletas!L506="Choylayfut F",26,IF(Atletas!L506="Hunggar F",27,IF(Atletas!L506="Wuzuquan F",28,IF(Atletas!L506="Wingchun F",29,IF(Atletas!L506="Outra Mão de Sul F",30,IF(Atletas!L506="Dishuquan A",31,IF(Atletas!L506="Dishuquan B",32,IF(Atletas!L506="Dishuquan C",33,IF(Atletas!L506="Dishuquan D",34,IF(Atletas!L506="Dishuquan E",35,IF(Atletas!L506="Dishuquan F",36,""))))))))))))))))))))))))))))))))))))))</f>
        <v/>
      </c>
      <c r="BS515" s="50" t="str">
        <f>IF(Atletas!M506="","",IF(Atletas!X506&lt;&gt;"",10000,0)+(IF(Atletas!B506="Feminino",1000,IF(Atletas!B506="Masculino",2000,""))+(IF(Atletas!M506="Chaquan A",101,IF(Atletas!M506="Emeiquan A",102,IF(Atletas!M506="Fanziquan A",103,IF(Atletas!M506="Huaquan A",104,IF(Atletas!M506="Hongquan A",105,IF(Atletas!M506="Paoquan A",106,IF(Atletas!M506="Piguaquan A",107,IF(Atletas!M506="Shaolinquan A",108,IF(Atletas!M506="Tanglangquan A",109,IF(Atletas!M506="Yingzhaoquan A",110,IF(Atletas!M506="Tongbeiquan A",111,IF(Atletas!M506="Wudangquan A",112,IF(Atletas!M506="Outros Estilos A",113,IF(Atletas!M506="Chaquan B",114,IF(Atletas!M506="Emeiquan B",115,IF(Atletas!M506="Fanziquan B",116,IF(Atletas!M506="Huaquan B",117,IF(Atletas!M506="Hongquan B",118,IF(Atletas!M506="Paoquan B",119,IF(Atletas!M506="Piguaquan B",120,IF(Atletas!M506="Shaolinquan B",121,IF(Atletas!M506="Tanglangquan B",122,IF(Atletas!M506="Yingzhaoquan B",123,IF(Atletas!M506="Tongbeiquan B",124,IF(Atletas!M506="Wudangquan B",125,IF(Atletas!M506="Outros Estilos B",126,IF(Atletas!M506="Chaquan C",127,IF(Atletas!M506="Emeiquan C",128,IF(Atletas!M506="Fanziquan C",129,IF(Atletas!M506="Huaquan C",130,IF(Atletas!M506="Hongquan C",131,IF(Atletas!M506="Paoquan C",132,IF(Atletas!M506="Piguaquan C",133,IF(Atletas!M506="Shaolinquan C",134,IF(Atletas!M506="Tanglangquan C",135,IF(Atletas!M506="Yingzhaoquan C",136,IF(Atletas!M506="Tongbeiquan C",137,IF(Atletas!M506="Wudangquan C",138,IF(Atletas!M506="Outros Estilos C",139,0))))))))))))))))))))))))))))))))))))))))))</f>
        <v/>
      </c>
      <c r="BT515" s="50" t="str">
        <f>IF(Atletas!M506="","",IF(Atletas!X506&lt;&gt;"",10000,0)+(IF(Atletas!B506="Feminino",1000,IF(Atletas!B506="Masculino",2000,""))+(IF(Atletas!M506="Chaquan D",140,IF(Atletas!M506="Emeiquan D",141,IF(Atletas!M506="Fanziquan D",142,IF(Atletas!M506="Huaquan D",143,IF(Atletas!M506="Hongquan D",144,IF(Atletas!M506="Paoquan D",145,IF(Atletas!M506="Piguaquan D",146,IF(Atletas!M506="Shaolinquan D",147,IF(Atletas!M506="Tanglangquan D",148,IF(Atletas!M506="Yingzhaoquan D",149,IF(Atletas!M506="Tongbeiquan D",150,IF(Atletas!M506="Wudangquan D",151,IF(Atletas!M506="Outros Estilos D",152,IF(Atletas!M506="Chaquan E",153,IF(Atletas!M506="Emeiquan E",154,IF(Atletas!M506="Fanziquan E",155,IF(Atletas!M506="Huaquan E",156,IF(Atletas!M506="Hongquan E",157,IF(Atletas!M506="Paoquan E",158,IF(Atletas!M506="Piguaquan E",159,IF(Atletas!M506="Shaolinquan E",160,IF(Atletas!M506="Tanglangquan E",161,IF(Atletas!M506="Yingzhaoquan E",162,IF(Atletas!M506="Tongbeiquan E",163,IF(Atletas!M506="Wudangquan E",164,IF(Atletas!M506="Outros Estilos E",165,IF(Atletas!M506="Chaquan F",166,IF(Atletas!M506="Emeiquan F",167,IF(Atletas!M506="Fanziquan F",168,IF(Atletas!M506="Huaquan F",169,IF(Atletas!M506="Hongquan F",170,IF(Atletas!M506="Paoquan F",171,IF(Atletas!M506="Piguaquan F",172,IF(Atletas!M506="Shaolinquan F",173,IF(Atletas!M506="Tanglangquan F",174,IF(Atletas!M506="Yingzhaoquan F",175,IF(Atletas!M506="Tongbeiquan F",176,IF(Atletas!M506="Wudangquan F",177,IF(Atletas!M506="Outros Estilos F",178,0))))))))))))))))))))))))))))))))))))))))))</f>
        <v/>
      </c>
      <c r="BU515" s="50" t="str">
        <f>IF(Atletas!N506="","",IF(Atletas!X506&lt;&gt;"",10000,0)+(IF(Atletas!B506="Feminino",1000,IF(Atletas!B506="Masculino",2000,""))+(IF(Atletas!N506="Ditangquan A",201,IF(Atletas!N506="Houquan A",202,IF(Atletas!N506="Zuiquan A",203,IF(Atletas!N506="Ditangquan B",204,IF(Atletas!N506="Houquan B",205,IF(Atletas!N506="Zuiquan B",206,IF(Atletas!N506="Ditangquan C",207,IF(Atletas!N506="Houquan C",208,IF(Atletas!N506="Zuiquan C",209,IF(Atletas!N506="Ditangquan D",210,IF(Atletas!N506="Houquan D",211,IF(Atletas!N506="Zuiquan D",212,IF(Atletas!N506="Ditangquan E",213,IF(Atletas!N506="Houquan E",214,IF(Atletas!N506="Zuiquan E",215,IF(Atletas!N506="Ditangquan F",216,IF(Atletas!N506="Houquan F",217,IF(Atletas!N506="Zuiquan F",218,"")))))))))))))))))))))</f>
        <v/>
      </c>
      <c r="BV515" s="50" t="str">
        <f>IF(Atletas!O506="","",IF(Atletas!X506&lt;&gt;"",10000,0)+IF(Atletas!B506="Feminino",1000,IF(Atletas!B506="Masculino",2000,""))+IF(Atletas!O506="Yang A",301,IF(Atletas!O506="Chen A",302,IF(Atletas!O506="Sun A",303,IF(Atletas!O506="Wu A",304,IF(Atletas!O506="Wu-Hao A",305,IF(Atletas!O506="Outro Taijiquan A",306,IF(Atletas!O506="Yang B",307,IF(Atletas!O506="Chen B",308,IF(Atletas!O506="Sun B",309,IF(Atletas!O506="Wu B",310,IF(Atletas!O506="Wu-Hao B",311,IF(Atletas!O506="Outro Taijiquan B",312,IF(Atletas!O506="Yang C",313,IF(Atletas!O506="Chen C",314,IF(Atletas!O506="Sun C",315,IF(Atletas!O506="Wu C",316,IF(Atletas!O506="Wu-Hao C",317,IF(Atletas!O506="Outro Taijiquan C",318,IF(Atletas!O506="Yang D",319,IF(Atletas!O506="Chen D",320,IF(Atletas!O506="Sun D",321,IF(Atletas!O506="Wu D",322,IF(Atletas!O506="Wu-Hao D",323,IF(Atletas!O506="Outro Taijiquan D",324,IF(Atletas!O506="Yang E",325,IF(Atletas!O506="Chen E",326,IF(Atletas!O506="Sun E",327,IF(Atletas!O506="Wu E",328,IF(Atletas!O506="Wu-Hao E",329,IF(Atletas!O506="Outro Taijiquan E",330,IF(Atletas!O506="Yang F",331,IF(Atletas!O506="Chen F",332,IF(Atletas!O506="Sun F",333,IF(Atletas!O506="Wu F",334,IF(Atletas!O506="Wu-Hao F",335,IF(Atletas!O506="Outro Taijiquan F",336,"")))))))))))))))))))))))))))))))))))))</f>
        <v/>
      </c>
      <c r="BW515" s="50" t="str">
        <f>IF(Atletas!P506="","",IF(Atletas!X506&lt;&gt;"",10000,0)+IF(Atletas!B506="Feminino",1000,IF(Atletas!B506="Masculino",2000,""))+IF(OR(Atletas!P506="Yang 26 A",Atletas!P506="Yang 40 A"),401,IF(OR(Atletas!P506="Chen 25 A",Atletas!P506="Chen 36 A",Atletas!P506="Chen 56 A"),402,IF(Atletas!P506="Sun 73 A",403,IF(Atletas!P506="Wu 45 A",404,IF(Atletas!P506="Wu-Hao 46 A",405,IF(OR(Atletas!P506="Taijiquan 16 A",Atletas!P506="Taijiquan 24 A",Atletas!P506="Taijiquan 32 A",Atletas!P506="Taijiquan 42 A"),406,IF(OR(Atletas!P506="Yang 26 B",Atletas!P506="Yang 40 B"),407,IF(OR(Atletas!P506="Chen 25 B",Atletas!P506="Chen 36 B",Atletas!P506="Chen 56 B"),408,IF(Atletas!P506="Sun 73 B",409,IF(Atletas!P506="Wu 45 B",410,IF(Atletas!P506="Wu-Hao 46 B",411,IF(OR(Atletas!P506="Taijiquan 16 B",Atletas!P506="Taijiquan 24 B",Atletas!P506="Taijiquan 32 B",Atletas!P506="Taijiquan 42 B"),412,IF(OR(Atletas!P506="Yang 26 C",Atletas!P506="Yang 40 C"),413,IF(OR(Atletas!P506="Chen 25 C",Atletas!P506="Chen 36 C",Atletas!P506="Chen 56 C"),414,IF(Atletas!P506="Sun 73 C",415,IF(Atletas!P506="Wu 45 C",416,IF(Atletas!P506="Wu-Hao 46 C",417,IF(OR(Atletas!P506="Taijiquan 16 C",Atletas!P506="Taijiquan 24 C",Atletas!P506="Taijiquan 32 C",Atletas!P506="Taijiquan 42 C"),418,0)))))))))))))))))))</f>
        <v/>
      </c>
      <c r="BX515" s="50" t="str">
        <f>IF(Atletas!P506="","",IF(Atletas!X506&lt;&gt;"",10000,0)+IF(Atletas!B506="Feminino",1000,IF(Atletas!B506="Masculino",2000,""))+IF(OR(Atletas!P506="Yang 26 D",Atletas!P506="Yang 40 D"),419,IF(OR(Atletas!P506="Chen 25 D",Atletas!P506="Chen 36 D",Atletas!P506="Chen 56 D"),420,IF(Atletas!P506="Sun 73 D",421,IF(Atletas!P506="Wu 45 D",422,IF(Atletas!P506="Wu-Hao 46 D",423,IF(OR(Atletas!P506="Taijiquan 16 D",Atletas!P506="Taijiquan 24 D",Atletas!P506="Taijiquan 32 D",Atletas!P506="Taijiquan 42 D"),424,IF(OR(Atletas!P506="Yang 26 E",Atletas!P506="Yang 40 E"),425,IF(OR(Atletas!P506="Chen 25 E",Atletas!P506="Chen 36 E",Atletas!P506="Chen 56 E"),426,IF(Atletas!P506="Sun 73 E",427,IF(Atletas!P506="Wu 45 E",428,IF(Atletas!P506="Wu-Hao 46 E",429,IF(OR(Atletas!P506="Taijiquan 16 E",Atletas!P506="Taijiquan 24 E",Atletas!P506="Taijiquan 32 E",Atletas!P506="Taijiquan 42 E"),430,IF(OR(Atletas!P506="Yang 26 F",Atletas!P506="Yang 40 F"),431,IF(OR(Atletas!P506="Chen 25 F",Atletas!P506="Chen 36 F",Atletas!P506="Chen 56 F"),432,IF(Atletas!P506="Sun 73 F",433,IF(Atletas!P506="Wu 45 F",434,IF(Atletas!P506="Wu-Hao 46 F",435,IF(OR(Atletas!P506="Taijiquan 16 F",Atletas!P506="Taijiquan 24 F",Atletas!P506="Taijiquan 32 F",Atletas!P506="Taijiquan 42 F"),436,0)))))))))))))))))))</f>
        <v/>
      </c>
      <c r="BY515" s="50" t="str">
        <f>IF(Atletas!Q506="","",IF(Atletas!X506&lt;&gt;"",10000,0)+IF(Atletas!B506="Feminino",1000,IF(Atletas!B506="Masculino",2000,""))+IF(Atletas!Q506="Xingyiquan A",501,IF(Atletas!Q506="Baguazhang A",502,IF(Atletas!Q506="Outro Estilo Interno A",503,IF(Atletas!Q506="Xingyiquan B",504,IF(Atletas!Q506="Baguazhang B",505,IF(Atletas!Q506="Outro Estilo Interno B",506,IF(Atletas!Q506="Xingyiquan C",507,IF(Atletas!Q506="Baguazhang C",508,IF(Atletas!Q506="Outro Estilo Interno C",509,IF(Atletas!Q506="Xingyiquan D",510,IF(Atletas!Q506="Baguazhang D",511,IF(Atletas!Q506="Outro Estilo Interno D",512,IF(Atletas!Q506="Xingyiquan E",513,IF(Atletas!Q506="Baguazhang E",514,IF(Atletas!Q506="Outro Estilo Interno E",515,IF(Atletas!Q506="Xingyiquan F",516,IF(Atletas!Q506="Baguazhang F",517,IF(Atletas!Q506="Outro Estilo Interno F",518, "")))))))))))))))))))</f>
        <v/>
      </c>
      <c r="BZ515" s="50" t="str">
        <f>IF(Atletas!R506="","",IF(Atletas!X506&lt;&gt;"",10000,0)+IF(Atletas!B506="Feminino",1000,IF(Atletas!B506="Masculino",2000,""))+IF(Atletas!R506="Dao A",601,IF(Atletas!R506="Jian A",602,IF(Atletas!R506="Bishou A",603,IF(Atletas!R506="Shanzi A",604,IF(Atletas!R506="Outra Arma Curta A",605,IF(Atletas!R506="Dao B",606,IF(Atletas!R506="Jian B",607,IF(Atletas!R506="Bishou B",608,IF(Atletas!R506="Shanzi B",609,IF(Atletas!R506="Outra Arma Curta B",610,IF(Atletas!R506="Dao C",611,IF(Atletas!R506="Jian C",612,IF(Atletas!R506="Bishou C",613,IF(Atletas!R506="Shanzi C",614,IF(Atletas!R506="Outra Arma Curta C",615,IF(Atletas!R506="Dao D",616,IF(Atletas!R506="Jian D",617,IF(Atletas!R506="Bishou D",618,IF(Atletas!R506="Shanzi D",619,IF(Atletas!R506="Outra Arma Curta D",620,IF(Atletas!R506="Dao E",621,IF(Atletas!R506="Jian E",622,IF(Atletas!R506="Bishou E",623,IF(Atletas!R506="Shanzi E",624,IF(Atletas!R506="Outra Arma Curta E",625,IF(Atletas!R506="Dao F",626,IF(Atletas!R506="Jian F",627,IF(Atletas!R506="Bishou F",628,IF(Atletas!R506="Shanzi F",629,IF(Atletas!R506="Outra Arma Curta F",630, "")))))))))))))))))))))))))))))))</f>
        <v/>
      </c>
      <c r="CA515" s="50" t="str">
        <f>IF(Atletas!S506="","",IF(Atletas!X506&lt;&gt;"",10000,0)+IF(Atletas!B506="Feminino",1000,IF(Atletas!B506="Masculino",2000,""))+IF(Atletas!S506="Gun A",701,IF(Atletas!S506="Qiang A",702,IF(Atletas!S506="Pudao / Guandao A",703,IF(Atletas!S506="Outra Arma Longa A",704,IF(Atletas!S506="Gun B",705,IF(Atletas!S506="Qiang B",706,IF(Atletas!S506="Pudao / Guandao B",707,IF(Atletas!S506="Outra Arma Longa B",708,IF(Atletas!S506="Gun C",709,IF(Atletas!S506="Qiang C",710,IF(Atletas!S506="Pudao / Guandao C",711,IF(Atletas!S506="Outra Arma Longa C",712,IF(Atletas!S506="Gun D",713,IF(Atletas!S506="Qiang D",714,IF(Atletas!S506="Pudao / Guandao D",715,IF(Atletas!S506="Outra Arma Longa D",716,IF(Atletas!S506="Gun E",717,IF(Atletas!S506="Qiang E",718,IF(Atletas!S506="Pudao / Guandao E",719,IF(Atletas!S506="Outra Arma Longa E",720,IF(Atletas!S506="Gun F",721,IF(Atletas!S506="Qiang F",722,IF(Atletas!S506="Pudao / Guandao F",723,IF(Atletas!S506="Outra Arma Longa F",724,"")))))))))))))))))))))))))</f>
        <v/>
      </c>
      <c r="CB515" s="50" t="str">
        <f>IF(Atletas!T506="","",IF(Atletas!X506&lt;&gt;"",10000,0)+IF(Atletas!B506="Feminino",1000,IF(Atletas!B506="Masculino",2000,""))+IF(Atletas!T506="Outra Arma Dupla A",801,IF(Atletas!T506="Arma Maleável A",802,IF(Atletas!T506="Outra Arma Dupla B",803,IF(Atletas!T506="Arma Maleável B",804,IF(Atletas!T506="Outra Arma Dupla C",805,IF(Atletas!T506="Arma Maleável C",806,IF(Atletas!T506="Outra Arma Dupla D",807,IF(Atletas!T506="Arma Maleável D",808,IF(Atletas!T506="Outra Arma Dupla E",809,IF(Atletas!T506="Arma Maleável E",810,IF(Atletas!T506="Outra Arma Dupla F",811,IF(Atletas!T506="Arma Maleável F",812,IF(Atletas!T506="Shuangdao A",813,IF(Atletas!T506="Shuangdao B",814,IF(Atletas!T506="Shuangdao C",815,IF(Atletas!T506="Shuangdao D",816,IF(Atletas!T506="Shuangdao E",817,IF(Atletas!T506="Shuangdao F",818,"")))))))))))))))))))</f>
        <v/>
      </c>
      <c r="CC515" s="50" t="str">
        <f>IF(Atletas!U506="","",IF(Atletas!X506&lt;&gt;"",10000,0)+IF(Atletas!B506="Feminino",1000,IF(Atletas!B506="Masculino",2000,""))+IF(OR(Atletas!U506="Taijijian Yang A",Atletas!U506="Taijijian Yang Standard A"),901,IF(OR(Atletas!U506="Taijijian Chen A", Atletas!U506="Taijijian Chen Standard A"),902,IF(Atletas!U506="Taijijian Sun A",903,IF(Atletas!U506="Taijijian Wu A",904,IF(Atletas!U506="Taijijian Wu-Hao A",905,IF(OR(Atletas!U506="Taijijian 32 A",Atletas!U506="Taijijian 42 A"),906,IF(OR(Atletas!U506="Taijijian Yang B",Atletas!U506="Taijijian Yang Standard B"),907,IF(OR(Atletas!U506="Taijijian Chen B", Atletas!U506="Taijijian Chen Standard B"),908,IF(Atletas!U506="Taijijian Sun B",909,IF(Atletas!U506="Taijijian Wu B",910,IF(Atletas!U506="Taijijian Wu-Hao B",911,IF(OR(Atletas!U506="Taijijian 32 B",Atletas!U506="Taijijian 42 B"),912,IF(OR(Atletas!U506="Taijijian Yang C",Atletas!U506="Taijijian Yang Standard C"),913,IF(OR(Atletas!U506="Taijijian Chen C", Atletas!U506="Taijijian Chen Standard C"),914,IF(Atletas!U506="Taijijian Sun C",915,IF(Atletas!U506="Taijijian Wu C",916,IF(Atletas!U506="Taijijian Wu-Hao C",917,IF(OR(Atletas!U506="Taijijian 32 C",Atletas!U506="Taijijian 42 C"),918,IF(OR(Atletas!U506="Taijijian Yang D",Atletas!U506="Taijijian Yang Standard D"),919,IF(OR(Atletas!U506="Taijijian Chen D", Atletas!U506="Taijijian Chen Standard D"),920,IF(Atletas!U506="Taijijian Sun D",921,IF(Atletas!U506="Taijijian Wu D",922,IF(Atletas!U506="Taijijian Wu-Hao D",923,IF(OR(Atletas!U506="Taijijian 32 D",Atletas!U506="Taijijian 42 D"),924,IF(OR(Atletas!U506="Taijijian Yang E",Atletas!U506="Taijijian Yang Standard E"),925,IF(OR(Atletas!U506="Taijijian Chen E", Atletas!U506="Taijijian Chen Standard E"),926,IF(Atletas!U506="Taijijian Sun E",927,IF(Atletas!U506="Taijijian Wu E",928,IF(Atletas!U506="Taijijian Wu-Hao E",929,IF(OR(Atletas!U506="Taijijian 32 E",Atletas!U506="Taijijian 42 E"),930,IF(OR(Atletas!U506="Taijijian Yang F",Atletas!U506="Taijijian Yang Standard F"),931,IF(OR(Atletas!U506="Taijijian Chen F", Atletas!U506="Taijijian Chen Standard F"),932,IF(Atletas!U506="Taijijian Sun F",933,IF(Atletas!U506="Taijijian Wu F",934,IF(Atletas!U506="Taijijian Wu-Hao F",935,IF(OR(Atletas!U506="Taijijian 32 F",Atletas!U506="Taijijian 42 F"),936,"")))))))))))))))))))))))))))))))))))))</f>
        <v/>
      </c>
      <c r="CD515" s="50" t="str">
        <f>IF(Atletas!V506="","",IF(Atletas!X506&lt;&gt;"",10000,0)+IF(Atletas!B506="Feminino",1000,IF(Atletas!B506="Masculino",2000,""))+IF(Atletas!V506="Taijidao A",937,IF(Atletas!V506="TaijiShanzi A",938,IF(Atletas!V506="Taijiqiang A",939,IF(Atletas!V506="Bagua de Arma A",940,IF(Atletas!V506="Xingyi de Arma A",941,IF(Atletas!V506="Taijidao B",942,IF(Atletas!V506="TaijiShanzi B",943,IF(Atletas!V506="Taijiqiang B",944,IF(Atletas!V506="Bagua de Arma B",945,IF(Atletas!V506="Xingyi de Arma B",946,IF(Atletas!V506="Taijidao C",947,IF(Atletas!V506="TaijiShanzi C",948,IF(Atletas!V506="Taijiqiang C",949,IF(Atletas!V506="Bagua de Arma C",950,IF(Atletas!V506="Xingyi de Arma C",951,IF(Atletas!V506="Taijidao D",952,IF(Atletas!V506="TaijiShanzi D",953,IF(Atletas!V506="Taijiqiang D",954,IF(Atletas!V506="Bagua de Arma D",955,IF(Atletas!V506="Xingyi de Arma D",956,IF(Atletas!V506="Taijidao E",957,IF(Atletas!V506="TaijiShanzi E",958,IF(Atletas!V506="Taijiqiang E",959,IF(Atletas!V506="Bagua de Arma E",960,IF(Atletas!V506="Xingyi de Arma E",961,IF(Atletas!V506="Taijidao F",962,IF(Atletas!V506="TaijiShanzi F",963,IF(Atletas!V506="Taijiqiang F",964,IF(Atletas!V506="Bagua de Arma F",965,IF(Atletas!V506="Xingyi de Arma F",966,"")))))))))))))))))))))))))))))))</f>
        <v/>
      </c>
      <c r="CM515" s="50" t="str">
        <f xml:space="preserve"> IF(Atletas!W506="","",IF(Atletas!W506="Duilian de Mãos BC - Equipe 1",1,IF(Atletas!W506="Duilian de Mãos BC - Equipe 2",2,IF(Atletas!W506="Duilian de Armas BC - Equipe 1",3,IF(Atletas!W506="Duilian de Armas BC - Equipe 2",4,IF(Atletas!W506="Duilian de Mãos DE - Equipe 1",5,IF(Atletas!W506="Duilian de Mãos DE - Equipe 2",6,IF(Atletas!W506="Duilian de Armas DE - Equipe 1",7,IF(Atletas!W506="Duilian de Armas DE - Equipe 2",8,IF(Atletas!W506="Duilian de Tuishou - Equipe 1",9,IF(Atletas!W506="Duilian de Tuishou - Equipe 2",10,IF(Atletas!W506="Grupo Externo ABC - Equipe 1",11,IF(Atletas!W506="Grupo Externo ABC - Equipe 2",12,IF(Atletas!W506="Grupo Interno ABC - Equipe 1",13,IF(Atletas!W506="Grupo Interno ABC - Equipe 2",14,IF(Atletas!W506="Grupo Externo DEF - Equipe 1",15,IF(Atletas!W506="Grupo Externo DEF - Equipe 2",16,IF(Atletas!W506="Grupo Interno DEF - Equipe 1",17,IF(Atletas!W506="Grupo Interno DEF - Equipe 2",18,"")))))))))))))))))))</f>
        <v/>
      </c>
    </row>
    <row r="516" spans="40:91">
      <c r="AN516" s="52" t="str">
        <f>IF(Atletas!D507="","",IF(Atletas!B507="Feminino",100,IF(Atletas!B507="Masculino",200,""))+(IF(Atletas!D507="Kids 30kg",1,IF(Atletas!D507="Kids 32kg",2, IF(Atletas!D507="Kids 34kg",3,IF(Atletas!D507="Kids 36kg",4,IF(Atletas!D507="Kids 39kg",5,IF(Atletas!D507="Kids 42kg",6,IF(Atletas!D507="Kids 45kg",7, IF(Atletas!D507="Infantil 39kg",8,IF(Atletas!D507="Infantil 42kg",9,IF(Atletas!D507="Infantil 45kg",10,IF(Atletas!D507="Infantil 48kg",11,IF(Atletas!D507="Infantil 52kg",12,IF(Atletas!D507="Infantil 56kg",13,IF(Atletas!D507="Infantil 60kg",14,IF(Atletas!D507="Juvenil 48kg",15,IF(Atletas!D507="Juvenil 52kg",16,IF(Atletas!D507="Juvenil 56kg",17,IF(Atletas!D507="Juvenil 60kg",18,IF(Atletas!D507="Juvenil 65kg",19,IF(Atletas!D507="Juvenil 70kg",20,IF(Atletas!D507="Juvenil 75kg",21,IF(Atletas!D507="Juvenil 80kg",22, IF(Atletas!D507="Juvenil 85kg",23,IF(Atletas!D507="Adulto 48kg",24,IF(Atletas!D507="Adulto 52kg",25,IF(Atletas!D507="Adulto 56kg",26,IF(Atletas!D507="Adulto 60kg",27,IF(Atletas!D507="Adulto 65kg",28,IF(Atletas!D507="Adulto 70kg",29,IF(Atletas!D507="Adulto 75kg",30,IF(Atletas!D507="Adulto 80kg",31,IF(Atletas!D507="Adulto 85kg",32,IF(Atletas!D507="Adulto 90kg",33,IF(Atletas!D507="Adulto 100kg",34, IF(Atletas!D507="Adulto +100kg",35,"")))))))))))))))))))))))))))))))))))))</f>
        <v/>
      </c>
      <c r="AS516" s="6" t="str">
        <f>IF(Atletas!E507="","",IF(Atletas!B507="Feminino",100,IF(Atletas!B507="Masculino",200,""))+(IF(Atletas!E507="Juvenil 44kg",1,IF(Atletas!E507="Juvenil 48kg",2,IF(Atletas!E507="Juvenil 52kg",3,IF(Atletas!E507="Juvenil 56kg",4,IF(Atletas!E507="Juvenil 60kg",5,IF(Atletas!E507="Juvenil 65kg",6,IF(Atletas!E507="Juvenil 70kg",7,IF(Atletas!E507="Juvenil 75kg",8,IF(Atletas!E507="Juvenil 82kg",9,IF(Atletas!E507="Juvenil 90kg",10,IF(Atletas!E507="Juvenil 100kg",11,IF(Atletas!E507="Adulto 48kg",12,IF(Atletas!E507="Adulto 52kg",13,IF(Atletas!E507="Adulto 56kg",14,IF(Atletas!E507="Adulto 60kg",15,IF(Atletas!E507="Adulto 65kg",16,IF(Atletas!E507="Adulto 70kg",17,IF(Atletas!E507="Adulto 75kg",18,IF(Atletas!E507="Adulto 82kg",19,IF(Atletas!E507="Adulto 90kg",20,IF(Atletas!E507="Adulto 100kg",21,IF(Atletas!E507="Adulto +100kg",22,""))))))))))))))))))))))))</f>
        <v/>
      </c>
      <c r="AX516" s="6" t="str">
        <f>IF(Atletas!F507="","",IF(Atletas!B507="Feminino",100,IF(Atletas!B507="Masculino",200,""))+(IF(Atletas!F507="Adulto 48kg",1,IF(Atletas!F507="Adulto 56kg",2,IF(Atletas!F507="Adulto 65kg",3,IF(Atletas!F507="Adulto 75kg",4,IF(Atletas!F507="Adulto +75kg",5,IF(Atletas!F507="Adulto 52kg",6,IF(Atletas!F507="Adulto 60kg",7,IF(Atletas!F507="Adulto 70kg",8,IF(Atletas!F507="Adulto 80kg",9,IF(Atletas!F507="Adulto 90kg",10,IF(Atletas!F507="Adulto +90kg",11,"")))))))))))))</f>
        <v/>
      </c>
      <c r="BC516" s="6" t="str">
        <f>IF(Atletas!G507="","",IF(Atletas!B507="Feminino",10,IF(Atletas!B507="Masculino",20,""))+(IF(Atletas!G507="Baduanjin A",1,IF(Atletas!G507="Baduanjin B",2))))</f>
        <v/>
      </c>
      <c r="BF516" s="52" t="str">
        <f>IF(Atletas!H507="","",IF(Atletas!B507="Feminino",100,IF(Atletas!B507="Masculino",200,""))+(IF(Atletas!H507="Changquan Mirim",1,IF(Atletas!H507="Nanquan Mirim",2,IF(Atletas!H507="Taijiquan Mirim",3,IF(Atletas!H507="Changquan Grupo C",4,IF(Atletas!H507="Nanquan Grupo C",5,IF(Atletas!H507="Taijiquan Grupo C",6,IF(Atletas!H507="Changquan Grupo B",7,IF(Atletas!H507="Nanquan Grupo B",8,IF(Atletas!H507="Taijiquan Grupo B",9,IF(Atletas!H507="Changquan Grupo A",10,IF(Atletas!H507="Nanquan Grupo A",11,IF(Atletas!H507="Taijiquan Grupo A",12,IF(Atletas!H507="Changquan Opcional",13,IF(Atletas!H507="Nanquan Opcional",14,IF(Atletas!H507="Taijiquan Opcional",15,IF(Atletas!H507="Changquan Adulto",16,IF(Atletas!H507="Nanquan Adulto",17,IF(Atletas!H507="Taijiquan Adulto",18,""))))))))))))))))))))</f>
        <v/>
      </c>
      <c r="BG516" s="52" t="str">
        <f>IF(Atletas!I507="","",IF(Atletas!B507="Feminino",100,IF(Atletas!B507="Masculino",200,""))+(IF(Atletas!I507="Daoshu Mirim",19,IF(Atletas!I507="Jianshu Mirim",20,IF(Atletas!I507="Nandao Mirim",21,IF(Atletas!I507="Taijijian Mirim",22,IF(Atletas!I507="Daoshu Grupo C",23,IF(Atletas!I507="Jianshu Grupo C",24,IF(Atletas!I507="Nandao Grupo C",25,IF(Atletas!I507="Taijijian Grupo C",26,IF(Atletas!I507="Daoshu Grupo B",27,IF(Atletas!I507="Jianshu Grupo B",28,IF(Atletas!I507="Nandao Grupo B",29,IF(Atletas!I507="Taijijian Grupo B",30,IF(Atletas!I507="Daoshu Grupo A",31,IF(Atletas!I507="Jianshu Grupo A",32,IF(Atletas!I507="Nandao Grupo A",33,IF(Atletas!I507="Taijijian Grupo A",34,IF(Atletas!I507="Daoshu Opcional",35,IF(Atletas!I507="Jianshu Opcional",36,IF(Atletas!I507="Nandao Opcional",37,IF(Atletas!I507="Taijijian Opcional",38,IF(Atletas!I507="Daoshu Adulto",39,IF(Atletas!I507="Jianshu Adulto",40,IF(Atletas!I507="Nandao Adulto",41,IF(Atletas!I507="Taijijian Adulto",42,""))))))))))))))))))))))))))</f>
        <v/>
      </c>
      <c r="BH516" s="52" t="str">
        <f>IF(Atletas!J507="","",IF(Atletas!B507="Feminino",100,IF(Atletas!B507="Masculino",200,""))+(IF(Atletas!J507="Gunshu Mirim",43,IF(Atletas!J507="Qiangshu Mirim",44,IF(Atletas!J507="Nangun Mirim",45,IF(Atletas!J507="Gunshu Grupo C",46,IF(Atletas!J507="Qiangshu Grupo C",47,IF(Atletas!J507="Nangun Grupo C",48,IF(Atletas!J507="Gunshu Grupo B",49,IF(Atletas!J507="Qiangshu Grupo B",50,IF(Atletas!J507="Nangun Grupo B",51,IF(Atletas!J507="Gunshu Grupo A",52,IF(Atletas!J507="Qiangshu Grupo A",53,IF(Atletas!J507="Nangun Grupo A",54,IF(Atletas!J507="Gunshu Opcional",55,IF(Atletas!J507="Qiangshu Opcional",56,IF(Atletas!J507="Nangun Opcional",57,IF(Atletas!J507="Gunshu Adulto",58,IF(Atletas!J507="Qiangshu Adulto",59,IF(Atletas!J507="Nangun Adulto",60,IF(Atletas!J507="Taijishan Grupo B",61,IF(Atletas!J507="Taijishan Grupo A",62,""))))))))))))))))))))))</f>
        <v/>
      </c>
      <c r="BM516" s="50" t="str">
        <f>IF(Atletas!K507="","",IF(Atletas!B507="Feminino",100,IF(Atletas!B507="Masculino",200,""))+(IF(Atletas!K507="Equipe 1 Grupo B",1,IF(Atletas!K507="Equipe 2 Grupo B",2,IF(Atletas!K507="Equipe 1 Grupo A",3,IF(Atletas!K507="Equipe 2 Grupo A",4,IF(Atletas!K507="Equipe 1 Adulto",5,IF(Atletas!K507="Equipe 2 Adulto",6,""))))))))</f>
        <v/>
      </c>
      <c r="BR516" s="50" t="str">
        <f>IF(Atletas!L507="","",IF(Atletas!X507&lt;&gt;"",10000,0)+(IF(Atletas!B507="Feminino",1000,IF(Atletas!B507="Masculino",2000,""))+IF(Atletas!L507="Choylayfut A",1,IF(Atletas!L507="Hunggar A",2,IF(Atletas!L507="Wuzuquan A",3,IF(Atletas!L507="Wingchun A",4,IF(Atletas!L507="Outra Mão de Sul A",5,IF(Atletas!L507="Choylayfut B",6,IF(Atletas!L507="Hunggar B",7,IF(Atletas!L507="Wuzuquan B",8,IF(Atletas!L507="Wingchun B",9,IF(Atletas!L507="Outra Mão de Sul B",10,IF(Atletas!L507="Choylayfut C",11,IF(Atletas!L507="Hunggar C",12,IF(Atletas!L507="Wuzuquan C",13,IF(Atletas!L507="Wingchun C",14,IF(Atletas!L507="Outra Mão de Sul C",15,IF(Atletas!L507="Choylayfut D",16,IF(Atletas!L507="Hunggar D",17,IF(Atletas!L507="Wuzuquan D",18,IF(Atletas!L507="Wingchun D",19,IF(Atletas!L507="Outra Mão de Sul D",20,IF(Atletas!L507="Choylayfut E",21,IF(Atletas!L507="Hunggar E",22,IF(Atletas!L507="Wuzuquan E",23,IF(Atletas!L507="Wingchun E",24,IF(Atletas!L507="Outra Mão de Sul E",25,IF(Atletas!L507="Choylayfut F",26,IF(Atletas!L507="Hunggar F",27,IF(Atletas!L507="Wuzuquan F",28,IF(Atletas!L507="Wingchun F",29,IF(Atletas!L507="Outra Mão de Sul F",30,IF(Atletas!L507="Dishuquan A",31,IF(Atletas!L507="Dishuquan B",32,IF(Atletas!L507="Dishuquan C",33,IF(Atletas!L507="Dishuquan D",34,IF(Atletas!L507="Dishuquan E",35,IF(Atletas!L507="Dishuquan F",36,""))))))))))))))))))))))))))))))))))))))</f>
        <v/>
      </c>
      <c r="BS516" s="50" t="str">
        <f>IF(Atletas!M507="","",IF(Atletas!X507&lt;&gt;"",10000,0)+(IF(Atletas!B507="Feminino",1000,IF(Atletas!B507="Masculino",2000,""))+(IF(Atletas!M507="Chaquan A",101,IF(Atletas!M507="Emeiquan A",102,IF(Atletas!M507="Fanziquan A",103,IF(Atletas!M507="Huaquan A",104,IF(Atletas!M507="Hongquan A",105,IF(Atletas!M507="Paoquan A",106,IF(Atletas!M507="Piguaquan A",107,IF(Atletas!M507="Shaolinquan A",108,IF(Atletas!M507="Tanglangquan A",109,IF(Atletas!M507="Yingzhaoquan A",110,IF(Atletas!M507="Tongbeiquan A",111,IF(Atletas!M507="Wudangquan A",112,IF(Atletas!M507="Outros Estilos A",113,IF(Atletas!M507="Chaquan B",114,IF(Atletas!M507="Emeiquan B",115,IF(Atletas!M507="Fanziquan B",116,IF(Atletas!M507="Huaquan B",117,IF(Atletas!M507="Hongquan B",118,IF(Atletas!M507="Paoquan B",119,IF(Atletas!M507="Piguaquan B",120,IF(Atletas!M507="Shaolinquan B",121,IF(Atletas!M507="Tanglangquan B",122,IF(Atletas!M507="Yingzhaoquan B",123,IF(Atletas!M507="Tongbeiquan B",124,IF(Atletas!M507="Wudangquan B",125,IF(Atletas!M507="Outros Estilos B",126,IF(Atletas!M507="Chaquan C",127,IF(Atletas!M507="Emeiquan C",128,IF(Atletas!M507="Fanziquan C",129,IF(Atletas!M507="Huaquan C",130,IF(Atletas!M507="Hongquan C",131,IF(Atletas!M507="Paoquan C",132,IF(Atletas!M507="Piguaquan C",133,IF(Atletas!M507="Shaolinquan C",134,IF(Atletas!M507="Tanglangquan C",135,IF(Atletas!M507="Yingzhaoquan C",136,IF(Atletas!M507="Tongbeiquan C",137,IF(Atletas!M507="Wudangquan C",138,IF(Atletas!M507="Outros Estilos C",139,0))))))))))))))))))))))))))))))))))))))))))</f>
        <v/>
      </c>
      <c r="BT516" s="50" t="str">
        <f>IF(Atletas!M507="","",IF(Atletas!X507&lt;&gt;"",10000,0)+(IF(Atletas!B507="Feminino",1000,IF(Atletas!B507="Masculino",2000,""))+(IF(Atletas!M507="Chaquan D",140,IF(Atletas!M507="Emeiquan D",141,IF(Atletas!M507="Fanziquan D",142,IF(Atletas!M507="Huaquan D",143,IF(Atletas!M507="Hongquan D",144,IF(Atletas!M507="Paoquan D",145,IF(Atletas!M507="Piguaquan D",146,IF(Atletas!M507="Shaolinquan D",147,IF(Atletas!M507="Tanglangquan D",148,IF(Atletas!M507="Yingzhaoquan D",149,IF(Atletas!M507="Tongbeiquan D",150,IF(Atletas!M507="Wudangquan D",151,IF(Atletas!M507="Outros Estilos D",152,IF(Atletas!M507="Chaquan E",153,IF(Atletas!M507="Emeiquan E",154,IF(Atletas!M507="Fanziquan E",155,IF(Atletas!M507="Huaquan E",156,IF(Atletas!M507="Hongquan E",157,IF(Atletas!M507="Paoquan E",158,IF(Atletas!M507="Piguaquan E",159,IF(Atletas!M507="Shaolinquan E",160,IF(Atletas!M507="Tanglangquan E",161,IF(Atletas!M507="Yingzhaoquan E",162,IF(Atletas!M507="Tongbeiquan E",163,IF(Atletas!M507="Wudangquan E",164,IF(Atletas!M507="Outros Estilos E",165,IF(Atletas!M507="Chaquan F",166,IF(Atletas!M507="Emeiquan F",167,IF(Atletas!M507="Fanziquan F",168,IF(Atletas!M507="Huaquan F",169,IF(Atletas!M507="Hongquan F",170,IF(Atletas!M507="Paoquan F",171,IF(Atletas!M507="Piguaquan F",172,IF(Atletas!M507="Shaolinquan F",173,IF(Atletas!M507="Tanglangquan F",174,IF(Atletas!M507="Yingzhaoquan F",175,IF(Atletas!M507="Tongbeiquan F",176,IF(Atletas!M507="Wudangquan F",177,IF(Atletas!M507="Outros Estilos F",178,0))))))))))))))))))))))))))))))))))))))))))</f>
        <v/>
      </c>
      <c r="BU516" s="50" t="str">
        <f>IF(Atletas!N507="","",IF(Atletas!X507&lt;&gt;"",10000,0)+(IF(Atletas!B507="Feminino",1000,IF(Atletas!B507="Masculino",2000,""))+(IF(Atletas!N507="Ditangquan A",201,IF(Atletas!N507="Houquan A",202,IF(Atletas!N507="Zuiquan A",203,IF(Atletas!N507="Ditangquan B",204,IF(Atletas!N507="Houquan B",205,IF(Atletas!N507="Zuiquan B",206,IF(Atletas!N507="Ditangquan C",207,IF(Atletas!N507="Houquan C",208,IF(Atletas!N507="Zuiquan C",209,IF(Atletas!N507="Ditangquan D",210,IF(Atletas!N507="Houquan D",211,IF(Atletas!N507="Zuiquan D",212,IF(Atletas!N507="Ditangquan E",213,IF(Atletas!N507="Houquan E",214,IF(Atletas!N507="Zuiquan E",215,IF(Atletas!N507="Ditangquan F",216,IF(Atletas!N507="Houquan F",217,IF(Atletas!N507="Zuiquan F",218,"")))))))))))))))))))))</f>
        <v/>
      </c>
      <c r="BV516" s="50" t="str">
        <f>IF(Atletas!O507="","",IF(Atletas!X507&lt;&gt;"",10000,0)+IF(Atletas!B507="Feminino",1000,IF(Atletas!B507="Masculino",2000,""))+IF(Atletas!O507="Yang A",301,IF(Atletas!O507="Chen A",302,IF(Atletas!O507="Sun A",303,IF(Atletas!O507="Wu A",304,IF(Atletas!O507="Wu-Hao A",305,IF(Atletas!O507="Outro Taijiquan A",306,IF(Atletas!O507="Yang B",307,IF(Atletas!O507="Chen B",308,IF(Atletas!O507="Sun B",309,IF(Atletas!O507="Wu B",310,IF(Atletas!O507="Wu-Hao B",311,IF(Atletas!O507="Outro Taijiquan B",312,IF(Atletas!O507="Yang C",313,IF(Atletas!O507="Chen C",314,IF(Atletas!O507="Sun C",315,IF(Atletas!O507="Wu C",316,IF(Atletas!O507="Wu-Hao C",317,IF(Atletas!O507="Outro Taijiquan C",318,IF(Atletas!O507="Yang D",319,IF(Atletas!O507="Chen D",320,IF(Atletas!O507="Sun D",321,IF(Atletas!O507="Wu D",322,IF(Atletas!O507="Wu-Hao D",323,IF(Atletas!O507="Outro Taijiquan D",324,IF(Atletas!O507="Yang E",325,IF(Atletas!O507="Chen E",326,IF(Atletas!O507="Sun E",327,IF(Atletas!O507="Wu E",328,IF(Atletas!O507="Wu-Hao E",329,IF(Atletas!O507="Outro Taijiquan E",330,IF(Atletas!O507="Yang F",331,IF(Atletas!O507="Chen F",332,IF(Atletas!O507="Sun F",333,IF(Atletas!O507="Wu F",334,IF(Atletas!O507="Wu-Hao F",335,IF(Atletas!O507="Outro Taijiquan F",336,"")))))))))))))))))))))))))))))))))))))</f>
        <v/>
      </c>
      <c r="BW516" s="50" t="str">
        <f>IF(Atletas!P507="","",IF(Atletas!X507&lt;&gt;"",10000,0)+IF(Atletas!B507="Feminino",1000,IF(Atletas!B507="Masculino",2000,""))+IF(OR(Atletas!P507="Yang 26 A",Atletas!P507="Yang 40 A"),401,IF(OR(Atletas!P507="Chen 25 A",Atletas!P507="Chen 36 A",Atletas!P507="Chen 56 A"),402,IF(Atletas!P507="Sun 73 A",403,IF(Atletas!P507="Wu 45 A",404,IF(Atletas!P507="Wu-Hao 46 A",405,IF(OR(Atletas!P507="Taijiquan 16 A",Atletas!P507="Taijiquan 24 A",Atletas!P507="Taijiquan 32 A",Atletas!P507="Taijiquan 42 A"),406,IF(OR(Atletas!P507="Yang 26 B",Atletas!P507="Yang 40 B"),407,IF(OR(Atletas!P507="Chen 25 B",Atletas!P507="Chen 36 B",Atletas!P507="Chen 56 B"),408,IF(Atletas!P507="Sun 73 B",409,IF(Atletas!P507="Wu 45 B",410,IF(Atletas!P507="Wu-Hao 46 B",411,IF(OR(Atletas!P507="Taijiquan 16 B",Atletas!P507="Taijiquan 24 B",Atletas!P507="Taijiquan 32 B",Atletas!P507="Taijiquan 42 B"),412,IF(OR(Atletas!P507="Yang 26 C",Atletas!P507="Yang 40 C"),413,IF(OR(Atletas!P507="Chen 25 C",Atletas!P507="Chen 36 C",Atletas!P507="Chen 56 C"),414,IF(Atletas!P507="Sun 73 C",415,IF(Atletas!P507="Wu 45 C",416,IF(Atletas!P507="Wu-Hao 46 C",417,IF(OR(Atletas!P507="Taijiquan 16 C",Atletas!P507="Taijiquan 24 C",Atletas!P507="Taijiquan 32 C",Atletas!P507="Taijiquan 42 C"),418,0)))))))))))))))))))</f>
        <v/>
      </c>
      <c r="BX516" s="50" t="str">
        <f>IF(Atletas!P507="","",IF(Atletas!X507&lt;&gt;"",10000,0)+IF(Atletas!B507="Feminino",1000,IF(Atletas!B507="Masculino",2000,""))+IF(OR(Atletas!P507="Yang 26 D",Atletas!P507="Yang 40 D"),419,IF(OR(Atletas!P507="Chen 25 D",Atletas!P507="Chen 36 D",Atletas!P507="Chen 56 D"),420,IF(Atletas!P507="Sun 73 D",421,IF(Atletas!P507="Wu 45 D",422,IF(Atletas!P507="Wu-Hao 46 D",423,IF(OR(Atletas!P507="Taijiquan 16 D",Atletas!P507="Taijiquan 24 D",Atletas!P507="Taijiquan 32 D",Atletas!P507="Taijiquan 42 D"),424,IF(OR(Atletas!P507="Yang 26 E",Atletas!P507="Yang 40 E"),425,IF(OR(Atletas!P507="Chen 25 E",Atletas!P507="Chen 36 E",Atletas!P507="Chen 56 E"),426,IF(Atletas!P507="Sun 73 E",427,IF(Atletas!P507="Wu 45 E",428,IF(Atletas!P507="Wu-Hao 46 E",429,IF(OR(Atletas!P507="Taijiquan 16 E",Atletas!P507="Taijiquan 24 E",Atletas!P507="Taijiquan 32 E",Atletas!P507="Taijiquan 42 E"),430,IF(OR(Atletas!P507="Yang 26 F",Atletas!P507="Yang 40 F"),431,IF(OR(Atletas!P507="Chen 25 F",Atletas!P507="Chen 36 F",Atletas!P507="Chen 56 F"),432,IF(Atletas!P507="Sun 73 F",433,IF(Atletas!P507="Wu 45 F",434,IF(Atletas!P507="Wu-Hao 46 F",435,IF(OR(Atletas!P507="Taijiquan 16 F",Atletas!P507="Taijiquan 24 F",Atletas!P507="Taijiquan 32 F",Atletas!P507="Taijiquan 42 F"),436,0)))))))))))))))))))</f>
        <v/>
      </c>
      <c r="BY516" s="50" t="str">
        <f>IF(Atletas!Q507="","",IF(Atletas!X507&lt;&gt;"",10000,0)+IF(Atletas!B507="Feminino",1000,IF(Atletas!B507="Masculino",2000,""))+IF(Atletas!Q507="Xingyiquan A",501,IF(Atletas!Q507="Baguazhang A",502,IF(Atletas!Q507="Outro Estilo Interno A",503,IF(Atletas!Q507="Xingyiquan B",504,IF(Atletas!Q507="Baguazhang B",505,IF(Atletas!Q507="Outro Estilo Interno B",506,IF(Atletas!Q507="Xingyiquan C",507,IF(Atletas!Q507="Baguazhang C",508,IF(Atletas!Q507="Outro Estilo Interno C",509,IF(Atletas!Q507="Xingyiquan D",510,IF(Atletas!Q507="Baguazhang D",511,IF(Atletas!Q507="Outro Estilo Interno D",512,IF(Atletas!Q507="Xingyiquan E",513,IF(Atletas!Q507="Baguazhang E",514,IF(Atletas!Q507="Outro Estilo Interno E",515,IF(Atletas!Q507="Xingyiquan F",516,IF(Atletas!Q507="Baguazhang F",517,IF(Atletas!Q507="Outro Estilo Interno F",518, "")))))))))))))))))))</f>
        <v/>
      </c>
      <c r="BZ516" s="50" t="str">
        <f>IF(Atletas!R507="","",IF(Atletas!X507&lt;&gt;"",10000,0)+IF(Atletas!B507="Feminino",1000,IF(Atletas!B507="Masculino",2000,""))+IF(Atletas!R507="Dao A",601,IF(Atletas!R507="Jian A",602,IF(Atletas!R507="Bishou A",603,IF(Atletas!R507="Shanzi A",604,IF(Atletas!R507="Outra Arma Curta A",605,IF(Atletas!R507="Dao B",606,IF(Atletas!R507="Jian B",607,IF(Atletas!R507="Bishou B",608,IF(Atletas!R507="Shanzi B",609,IF(Atletas!R507="Outra Arma Curta B",610,IF(Atletas!R507="Dao C",611,IF(Atletas!R507="Jian C",612,IF(Atletas!R507="Bishou C",613,IF(Atletas!R507="Shanzi C",614,IF(Atletas!R507="Outra Arma Curta C",615,IF(Atletas!R507="Dao D",616,IF(Atletas!R507="Jian D",617,IF(Atletas!R507="Bishou D",618,IF(Atletas!R507="Shanzi D",619,IF(Atletas!R507="Outra Arma Curta D",620,IF(Atletas!R507="Dao E",621,IF(Atletas!R507="Jian E",622,IF(Atletas!R507="Bishou E",623,IF(Atletas!R507="Shanzi E",624,IF(Atletas!R507="Outra Arma Curta E",625,IF(Atletas!R507="Dao F",626,IF(Atletas!R507="Jian F",627,IF(Atletas!R507="Bishou F",628,IF(Atletas!R507="Shanzi F",629,IF(Atletas!R507="Outra Arma Curta F",630, "")))))))))))))))))))))))))))))))</f>
        <v/>
      </c>
      <c r="CA516" s="50" t="str">
        <f>IF(Atletas!S507="","",IF(Atletas!X507&lt;&gt;"",10000,0)+IF(Atletas!B507="Feminino",1000,IF(Atletas!B507="Masculino",2000,""))+IF(Atletas!S507="Gun A",701,IF(Atletas!S507="Qiang A",702,IF(Atletas!S507="Pudao / Guandao A",703,IF(Atletas!S507="Outra Arma Longa A",704,IF(Atletas!S507="Gun B",705,IF(Atletas!S507="Qiang B",706,IF(Atletas!S507="Pudao / Guandao B",707,IF(Atletas!S507="Outra Arma Longa B",708,IF(Atletas!S507="Gun C",709,IF(Atletas!S507="Qiang C",710,IF(Atletas!S507="Pudao / Guandao C",711,IF(Atletas!S507="Outra Arma Longa C",712,IF(Atletas!S507="Gun D",713,IF(Atletas!S507="Qiang D",714,IF(Atletas!S507="Pudao / Guandao D",715,IF(Atletas!S507="Outra Arma Longa D",716,IF(Atletas!S507="Gun E",717,IF(Atletas!S507="Qiang E",718,IF(Atletas!S507="Pudao / Guandao E",719,IF(Atletas!S507="Outra Arma Longa E",720,IF(Atletas!S507="Gun F",721,IF(Atletas!S507="Qiang F",722,IF(Atletas!S507="Pudao / Guandao F",723,IF(Atletas!S507="Outra Arma Longa F",724,"")))))))))))))))))))))))))</f>
        <v/>
      </c>
      <c r="CB516" s="50" t="str">
        <f>IF(Atletas!T507="","",IF(Atletas!X507&lt;&gt;"",10000,0)+IF(Atletas!B507="Feminino",1000,IF(Atletas!B507="Masculino",2000,""))+IF(Atletas!T507="Outra Arma Dupla A",801,IF(Atletas!T507="Arma Maleável A",802,IF(Atletas!T507="Outra Arma Dupla B",803,IF(Atletas!T507="Arma Maleável B",804,IF(Atletas!T507="Outra Arma Dupla C",805,IF(Atletas!T507="Arma Maleável C",806,IF(Atletas!T507="Outra Arma Dupla D",807,IF(Atletas!T507="Arma Maleável D",808,IF(Atletas!T507="Outra Arma Dupla E",809,IF(Atletas!T507="Arma Maleável E",810,IF(Atletas!T507="Outra Arma Dupla F",811,IF(Atletas!T507="Arma Maleável F",812,IF(Atletas!T507="Shuangdao A",813,IF(Atletas!T507="Shuangdao B",814,IF(Atletas!T507="Shuangdao C",815,IF(Atletas!T507="Shuangdao D",816,IF(Atletas!T507="Shuangdao E",817,IF(Atletas!T507="Shuangdao F",818,"")))))))))))))))))))</f>
        <v/>
      </c>
      <c r="CC516" s="50" t="str">
        <f>IF(Atletas!U507="","",IF(Atletas!X507&lt;&gt;"",10000,0)+IF(Atletas!B507="Feminino",1000,IF(Atletas!B507="Masculino",2000,""))+IF(OR(Atletas!U507="Taijijian Yang A",Atletas!U507="Taijijian Yang Standard A"),901,IF(OR(Atletas!U507="Taijijian Chen A", Atletas!U507="Taijijian Chen Standard A"),902,IF(Atletas!U507="Taijijian Sun A",903,IF(Atletas!U507="Taijijian Wu A",904,IF(Atletas!U507="Taijijian Wu-Hao A",905,IF(OR(Atletas!U507="Taijijian 32 A",Atletas!U507="Taijijian 42 A"),906,IF(OR(Atletas!U507="Taijijian Yang B",Atletas!U507="Taijijian Yang Standard B"),907,IF(OR(Atletas!U507="Taijijian Chen B", Atletas!U507="Taijijian Chen Standard B"),908,IF(Atletas!U507="Taijijian Sun B",909,IF(Atletas!U507="Taijijian Wu B",910,IF(Atletas!U507="Taijijian Wu-Hao B",911,IF(OR(Atletas!U507="Taijijian 32 B",Atletas!U507="Taijijian 42 B"),912,IF(OR(Atletas!U507="Taijijian Yang C",Atletas!U507="Taijijian Yang Standard C"),913,IF(OR(Atletas!U507="Taijijian Chen C", Atletas!U507="Taijijian Chen Standard C"),914,IF(Atletas!U507="Taijijian Sun C",915,IF(Atletas!U507="Taijijian Wu C",916,IF(Atletas!U507="Taijijian Wu-Hao C",917,IF(OR(Atletas!U507="Taijijian 32 C",Atletas!U507="Taijijian 42 C"),918,IF(OR(Atletas!U507="Taijijian Yang D",Atletas!U507="Taijijian Yang Standard D"),919,IF(OR(Atletas!U507="Taijijian Chen D", Atletas!U507="Taijijian Chen Standard D"),920,IF(Atletas!U507="Taijijian Sun D",921,IF(Atletas!U507="Taijijian Wu D",922,IF(Atletas!U507="Taijijian Wu-Hao D",923,IF(OR(Atletas!U507="Taijijian 32 D",Atletas!U507="Taijijian 42 D"),924,IF(OR(Atletas!U507="Taijijian Yang E",Atletas!U507="Taijijian Yang Standard E"),925,IF(OR(Atletas!U507="Taijijian Chen E", Atletas!U507="Taijijian Chen Standard E"),926,IF(Atletas!U507="Taijijian Sun E",927,IF(Atletas!U507="Taijijian Wu E",928,IF(Atletas!U507="Taijijian Wu-Hao E",929,IF(OR(Atletas!U507="Taijijian 32 E",Atletas!U507="Taijijian 42 E"),930,IF(OR(Atletas!U507="Taijijian Yang F",Atletas!U507="Taijijian Yang Standard F"),931,IF(OR(Atletas!U507="Taijijian Chen F", Atletas!U507="Taijijian Chen Standard F"),932,IF(Atletas!U507="Taijijian Sun F",933,IF(Atletas!U507="Taijijian Wu F",934,IF(Atletas!U507="Taijijian Wu-Hao F",935,IF(OR(Atletas!U507="Taijijian 32 F",Atletas!U507="Taijijian 42 F"),936,"")))))))))))))))))))))))))))))))))))))</f>
        <v/>
      </c>
      <c r="CD516" s="50" t="str">
        <f>IF(Atletas!V507="","",IF(Atletas!X507&lt;&gt;"",10000,0)+IF(Atletas!B507="Feminino",1000,IF(Atletas!B507="Masculino",2000,""))+IF(Atletas!V507="Taijidao A",937,IF(Atletas!V507="TaijiShanzi A",938,IF(Atletas!V507="Taijiqiang A",939,IF(Atletas!V507="Bagua de Arma A",940,IF(Atletas!V507="Xingyi de Arma A",941,IF(Atletas!V507="Taijidao B",942,IF(Atletas!V507="TaijiShanzi B",943,IF(Atletas!V507="Taijiqiang B",944,IF(Atletas!V507="Bagua de Arma B",945,IF(Atletas!V507="Xingyi de Arma B",946,IF(Atletas!V507="Taijidao C",947,IF(Atletas!V507="TaijiShanzi C",948,IF(Atletas!V507="Taijiqiang C",949,IF(Atletas!V507="Bagua de Arma C",950,IF(Atletas!V507="Xingyi de Arma C",951,IF(Atletas!V507="Taijidao D",952,IF(Atletas!V507="TaijiShanzi D",953,IF(Atletas!V507="Taijiqiang D",954,IF(Atletas!V507="Bagua de Arma D",955,IF(Atletas!V507="Xingyi de Arma D",956,IF(Atletas!V507="Taijidao E",957,IF(Atletas!V507="TaijiShanzi E",958,IF(Atletas!V507="Taijiqiang E",959,IF(Atletas!V507="Bagua de Arma E",960,IF(Atletas!V507="Xingyi de Arma E",961,IF(Atletas!V507="Taijidao F",962,IF(Atletas!V507="TaijiShanzi F",963,IF(Atletas!V507="Taijiqiang F",964,IF(Atletas!V507="Bagua de Arma F",965,IF(Atletas!V507="Xingyi de Arma F",966,"")))))))))))))))))))))))))))))))</f>
        <v/>
      </c>
      <c r="CM516" s="50" t="str">
        <f xml:space="preserve"> IF(Atletas!W507="","",IF(Atletas!W507="Duilian de Mãos BC - Equipe 1",1,IF(Atletas!W507="Duilian de Mãos BC - Equipe 2",2,IF(Atletas!W507="Duilian de Armas BC - Equipe 1",3,IF(Atletas!W507="Duilian de Armas BC - Equipe 2",4,IF(Atletas!W507="Duilian de Mãos DE - Equipe 1",5,IF(Atletas!W507="Duilian de Mãos DE - Equipe 2",6,IF(Atletas!W507="Duilian de Armas DE - Equipe 1",7,IF(Atletas!W507="Duilian de Armas DE - Equipe 2",8,IF(Atletas!W507="Duilian de Tuishou - Equipe 1",9,IF(Atletas!W507="Duilian de Tuishou - Equipe 2",10,IF(Atletas!W507="Grupo Externo ABC - Equipe 1",11,IF(Atletas!W507="Grupo Externo ABC - Equipe 2",12,IF(Atletas!W507="Grupo Interno ABC - Equipe 1",13,IF(Atletas!W507="Grupo Interno ABC - Equipe 2",14,IF(Atletas!W507="Grupo Externo DEF - Equipe 1",15,IF(Atletas!W507="Grupo Externo DEF - Equipe 2",16,IF(Atletas!W507="Grupo Interno DEF - Equipe 1",17,IF(Atletas!W507="Grupo Interno DEF - Equipe 2",18,"")))))))))))))))))))</f>
        <v/>
      </c>
    </row>
    <row r="517" spans="40:91">
      <c r="AN517" s="52" t="str">
        <f>IF(Atletas!D508="","",IF(Atletas!B508="Feminino",100,IF(Atletas!B508="Masculino",200,""))+(IF(Atletas!D508="Kids 30kg",1,IF(Atletas!D508="Kids 32kg",2, IF(Atletas!D508="Kids 34kg",3,IF(Atletas!D508="Kids 36kg",4,IF(Atletas!D508="Kids 39kg",5,IF(Atletas!D508="Kids 42kg",6,IF(Atletas!D508="Kids 45kg",7, IF(Atletas!D508="Infantil 39kg",8,IF(Atletas!D508="Infantil 42kg",9,IF(Atletas!D508="Infantil 45kg",10,IF(Atletas!D508="Infantil 48kg",11,IF(Atletas!D508="Infantil 52kg",12,IF(Atletas!D508="Infantil 56kg",13,IF(Atletas!D508="Infantil 60kg",14,IF(Atletas!D508="Juvenil 48kg",15,IF(Atletas!D508="Juvenil 52kg",16,IF(Atletas!D508="Juvenil 56kg",17,IF(Atletas!D508="Juvenil 60kg",18,IF(Atletas!D508="Juvenil 65kg",19,IF(Atletas!D508="Juvenil 70kg",20,IF(Atletas!D508="Juvenil 75kg",21,IF(Atletas!D508="Juvenil 80kg",22, IF(Atletas!D508="Juvenil 85kg",23,IF(Atletas!D508="Adulto 48kg",24,IF(Atletas!D508="Adulto 52kg",25,IF(Atletas!D508="Adulto 56kg",26,IF(Atletas!D508="Adulto 60kg",27,IF(Atletas!D508="Adulto 65kg",28,IF(Atletas!D508="Adulto 70kg",29,IF(Atletas!D508="Adulto 75kg",30,IF(Atletas!D508="Adulto 80kg",31,IF(Atletas!D508="Adulto 85kg",32,IF(Atletas!D508="Adulto 90kg",33,IF(Atletas!D508="Adulto 100kg",34, IF(Atletas!D508="Adulto +100kg",35,"")))))))))))))))))))))))))))))))))))))</f>
        <v/>
      </c>
      <c r="AS517" s="6" t="str">
        <f>IF(Atletas!E508="","",IF(Atletas!B508="Feminino",100,IF(Atletas!B508="Masculino",200,""))+(IF(Atletas!E508="Juvenil 44kg",1,IF(Atletas!E508="Juvenil 48kg",2,IF(Atletas!E508="Juvenil 52kg",3,IF(Atletas!E508="Juvenil 56kg",4,IF(Atletas!E508="Juvenil 60kg",5,IF(Atletas!E508="Juvenil 65kg",6,IF(Atletas!E508="Juvenil 70kg",7,IF(Atletas!E508="Juvenil 75kg",8,IF(Atletas!E508="Juvenil 82kg",9,IF(Atletas!E508="Juvenil 90kg",10,IF(Atletas!E508="Juvenil 100kg",11,IF(Atletas!E508="Adulto 48kg",12,IF(Atletas!E508="Adulto 52kg",13,IF(Atletas!E508="Adulto 56kg",14,IF(Atletas!E508="Adulto 60kg",15,IF(Atletas!E508="Adulto 65kg",16,IF(Atletas!E508="Adulto 70kg",17,IF(Atletas!E508="Adulto 75kg",18,IF(Atletas!E508="Adulto 82kg",19,IF(Atletas!E508="Adulto 90kg",20,IF(Atletas!E508="Adulto 100kg",21,IF(Atletas!E508="Adulto +100kg",22,""))))))))))))))))))))))))</f>
        <v/>
      </c>
      <c r="AX517" s="6" t="str">
        <f>IF(Atletas!F508="","",IF(Atletas!B508="Feminino",100,IF(Atletas!B508="Masculino",200,""))+(IF(Atletas!F508="Adulto 48kg",1,IF(Atletas!F508="Adulto 56kg",2,IF(Atletas!F508="Adulto 65kg",3,IF(Atletas!F508="Adulto 75kg",4,IF(Atletas!F508="Adulto +75kg",5,IF(Atletas!F508="Adulto 52kg",6,IF(Atletas!F508="Adulto 60kg",7,IF(Atletas!F508="Adulto 70kg",8,IF(Atletas!F508="Adulto 80kg",9,IF(Atletas!F508="Adulto 90kg",10,IF(Atletas!F508="Adulto +90kg",11,"")))))))))))))</f>
        <v/>
      </c>
      <c r="BC517" s="6" t="str">
        <f>IF(Atletas!G508="","",IF(Atletas!B508="Feminino",10,IF(Atletas!B508="Masculino",20,""))+(IF(Atletas!G508="Baduanjin A",1,IF(Atletas!G508="Baduanjin B",2))))</f>
        <v/>
      </c>
      <c r="BF517" s="52" t="str">
        <f>IF(Atletas!H508="","",IF(Atletas!B508="Feminino",100,IF(Atletas!B508="Masculino",200,""))+(IF(Atletas!H508="Changquan Mirim",1,IF(Atletas!H508="Nanquan Mirim",2,IF(Atletas!H508="Taijiquan Mirim",3,IF(Atletas!H508="Changquan Grupo C",4,IF(Atletas!H508="Nanquan Grupo C",5,IF(Atletas!H508="Taijiquan Grupo C",6,IF(Atletas!H508="Changquan Grupo B",7,IF(Atletas!H508="Nanquan Grupo B",8,IF(Atletas!H508="Taijiquan Grupo B",9,IF(Atletas!H508="Changquan Grupo A",10,IF(Atletas!H508="Nanquan Grupo A",11,IF(Atletas!H508="Taijiquan Grupo A",12,IF(Atletas!H508="Changquan Opcional",13,IF(Atletas!H508="Nanquan Opcional",14,IF(Atletas!H508="Taijiquan Opcional",15,IF(Atletas!H508="Changquan Adulto",16,IF(Atletas!H508="Nanquan Adulto",17,IF(Atletas!H508="Taijiquan Adulto",18,""))))))))))))))))))))</f>
        <v/>
      </c>
      <c r="BG517" s="52" t="str">
        <f>IF(Atletas!I508="","",IF(Atletas!B508="Feminino",100,IF(Atletas!B508="Masculino",200,""))+(IF(Atletas!I508="Daoshu Mirim",19,IF(Atletas!I508="Jianshu Mirim",20,IF(Atletas!I508="Nandao Mirim",21,IF(Atletas!I508="Taijijian Mirim",22,IF(Atletas!I508="Daoshu Grupo C",23,IF(Atletas!I508="Jianshu Grupo C",24,IF(Atletas!I508="Nandao Grupo C",25,IF(Atletas!I508="Taijijian Grupo C",26,IF(Atletas!I508="Daoshu Grupo B",27,IF(Atletas!I508="Jianshu Grupo B",28,IF(Atletas!I508="Nandao Grupo B",29,IF(Atletas!I508="Taijijian Grupo B",30,IF(Atletas!I508="Daoshu Grupo A",31,IF(Atletas!I508="Jianshu Grupo A",32,IF(Atletas!I508="Nandao Grupo A",33,IF(Atletas!I508="Taijijian Grupo A",34,IF(Atletas!I508="Daoshu Opcional",35,IF(Atletas!I508="Jianshu Opcional",36,IF(Atletas!I508="Nandao Opcional",37,IF(Atletas!I508="Taijijian Opcional",38,IF(Atletas!I508="Daoshu Adulto",39,IF(Atletas!I508="Jianshu Adulto",40,IF(Atletas!I508="Nandao Adulto",41,IF(Atletas!I508="Taijijian Adulto",42,""))))))))))))))))))))))))))</f>
        <v/>
      </c>
      <c r="BH517" s="52" t="str">
        <f>IF(Atletas!J508="","",IF(Atletas!B508="Feminino",100,IF(Atletas!B508="Masculino",200,""))+(IF(Atletas!J508="Gunshu Mirim",43,IF(Atletas!J508="Qiangshu Mirim",44,IF(Atletas!J508="Nangun Mirim",45,IF(Atletas!J508="Gunshu Grupo C",46,IF(Atletas!J508="Qiangshu Grupo C",47,IF(Atletas!J508="Nangun Grupo C",48,IF(Atletas!J508="Gunshu Grupo B",49,IF(Atletas!J508="Qiangshu Grupo B",50,IF(Atletas!J508="Nangun Grupo B",51,IF(Atletas!J508="Gunshu Grupo A",52,IF(Atletas!J508="Qiangshu Grupo A",53,IF(Atletas!J508="Nangun Grupo A",54,IF(Atletas!J508="Gunshu Opcional",55,IF(Atletas!J508="Qiangshu Opcional",56,IF(Atletas!J508="Nangun Opcional",57,IF(Atletas!J508="Gunshu Adulto",58,IF(Atletas!J508="Qiangshu Adulto",59,IF(Atletas!J508="Nangun Adulto",60,IF(Atletas!J508="Taijishan Grupo B",61,IF(Atletas!J508="Taijishan Grupo A",62,""))))))))))))))))))))))</f>
        <v/>
      </c>
      <c r="BM517" s="50" t="str">
        <f>IF(Atletas!K508="","",IF(Atletas!B508="Feminino",100,IF(Atletas!B508="Masculino",200,""))+(IF(Atletas!K508="Equipe 1 Grupo B",1,IF(Atletas!K508="Equipe 2 Grupo B",2,IF(Atletas!K508="Equipe 1 Grupo A",3,IF(Atletas!K508="Equipe 2 Grupo A",4,IF(Atletas!K508="Equipe 1 Adulto",5,IF(Atletas!K508="Equipe 2 Adulto",6,""))))))))</f>
        <v/>
      </c>
      <c r="BR517" s="50" t="str">
        <f>IF(Atletas!L508="","",IF(Atletas!X508&lt;&gt;"",10000,0)+(IF(Atletas!B508="Feminino",1000,IF(Atletas!B508="Masculino",2000,""))+IF(Atletas!L508="Choylayfut A",1,IF(Atletas!L508="Hunggar A",2,IF(Atletas!L508="Wuzuquan A",3,IF(Atletas!L508="Wingchun A",4,IF(Atletas!L508="Outra Mão de Sul A",5,IF(Atletas!L508="Choylayfut B",6,IF(Atletas!L508="Hunggar B",7,IF(Atletas!L508="Wuzuquan B",8,IF(Atletas!L508="Wingchun B",9,IF(Atletas!L508="Outra Mão de Sul B",10,IF(Atletas!L508="Choylayfut C",11,IF(Atletas!L508="Hunggar C",12,IF(Atletas!L508="Wuzuquan C",13,IF(Atletas!L508="Wingchun C",14,IF(Atletas!L508="Outra Mão de Sul C",15,IF(Atletas!L508="Choylayfut D",16,IF(Atletas!L508="Hunggar D",17,IF(Atletas!L508="Wuzuquan D",18,IF(Atletas!L508="Wingchun D",19,IF(Atletas!L508="Outra Mão de Sul D",20,IF(Atletas!L508="Choylayfut E",21,IF(Atletas!L508="Hunggar E",22,IF(Atletas!L508="Wuzuquan E",23,IF(Atletas!L508="Wingchun E",24,IF(Atletas!L508="Outra Mão de Sul E",25,IF(Atletas!L508="Choylayfut F",26,IF(Atletas!L508="Hunggar F",27,IF(Atletas!L508="Wuzuquan F",28,IF(Atletas!L508="Wingchun F",29,IF(Atletas!L508="Outra Mão de Sul F",30,IF(Atletas!L508="Dishuquan A",31,IF(Atletas!L508="Dishuquan B",32,IF(Atletas!L508="Dishuquan C",33,IF(Atletas!L508="Dishuquan D",34,IF(Atletas!L508="Dishuquan E",35,IF(Atletas!L508="Dishuquan F",36,""))))))))))))))))))))))))))))))))))))))</f>
        <v/>
      </c>
      <c r="BS517" s="50" t="str">
        <f>IF(Atletas!M508="","",IF(Atletas!X508&lt;&gt;"",10000,0)+(IF(Atletas!B508="Feminino",1000,IF(Atletas!B508="Masculino",2000,""))+(IF(Atletas!M508="Chaquan A",101,IF(Atletas!M508="Emeiquan A",102,IF(Atletas!M508="Fanziquan A",103,IF(Atletas!M508="Huaquan A",104,IF(Atletas!M508="Hongquan A",105,IF(Atletas!M508="Paoquan A",106,IF(Atletas!M508="Piguaquan A",107,IF(Atletas!M508="Shaolinquan A",108,IF(Atletas!M508="Tanglangquan A",109,IF(Atletas!M508="Yingzhaoquan A",110,IF(Atletas!M508="Tongbeiquan A",111,IF(Atletas!M508="Wudangquan A",112,IF(Atletas!M508="Outros Estilos A",113,IF(Atletas!M508="Chaquan B",114,IF(Atletas!M508="Emeiquan B",115,IF(Atletas!M508="Fanziquan B",116,IF(Atletas!M508="Huaquan B",117,IF(Atletas!M508="Hongquan B",118,IF(Atletas!M508="Paoquan B",119,IF(Atletas!M508="Piguaquan B",120,IF(Atletas!M508="Shaolinquan B",121,IF(Atletas!M508="Tanglangquan B",122,IF(Atletas!M508="Yingzhaoquan B",123,IF(Atletas!M508="Tongbeiquan B",124,IF(Atletas!M508="Wudangquan B",125,IF(Atletas!M508="Outros Estilos B",126,IF(Atletas!M508="Chaquan C",127,IF(Atletas!M508="Emeiquan C",128,IF(Atletas!M508="Fanziquan C",129,IF(Atletas!M508="Huaquan C",130,IF(Atletas!M508="Hongquan C",131,IF(Atletas!M508="Paoquan C",132,IF(Atletas!M508="Piguaquan C",133,IF(Atletas!M508="Shaolinquan C",134,IF(Atletas!M508="Tanglangquan C",135,IF(Atletas!M508="Yingzhaoquan C",136,IF(Atletas!M508="Tongbeiquan C",137,IF(Atletas!M508="Wudangquan C",138,IF(Atletas!M508="Outros Estilos C",139,0))))))))))))))))))))))))))))))))))))))))))</f>
        <v/>
      </c>
      <c r="BT517" s="50" t="str">
        <f>IF(Atletas!M508="","",IF(Atletas!X508&lt;&gt;"",10000,0)+(IF(Atletas!B508="Feminino",1000,IF(Atletas!B508="Masculino",2000,""))+(IF(Atletas!M508="Chaquan D",140,IF(Atletas!M508="Emeiquan D",141,IF(Atletas!M508="Fanziquan D",142,IF(Atletas!M508="Huaquan D",143,IF(Atletas!M508="Hongquan D",144,IF(Atletas!M508="Paoquan D",145,IF(Atletas!M508="Piguaquan D",146,IF(Atletas!M508="Shaolinquan D",147,IF(Atletas!M508="Tanglangquan D",148,IF(Atletas!M508="Yingzhaoquan D",149,IF(Atletas!M508="Tongbeiquan D",150,IF(Atletas!M508="Wudangquan D",151,IF(Atletas!M508="Outros Estilos D",152,IF(Atletas!M508="Chaquan E",153,IF(Atletas!M508="Emeiquan E",154,IF(Atletas!M508="Fanziquan E",155,IF(Atletas!M508="Huaquan E",156,IF(Atletas!M508="Hongquan E",157,IF(Atletas!M508="Paoquan E",158,IF(Atletas!M508="Piguaquan E",159,IF(Atletas!M508="Shaolinquan E",160,IF(Atletas!M508="Tanglangquan E",161,IF(Atletas!M508="Yingzhaoquan E",162,IF(Atletas!M508="Tongbeiquan E",163,IF(Atletas!M508="Wudangquan E",164,IF(Atletas!M508="Outros Estilos E",165,IF(Atletas!M508="Chaquan F",166,IF(Atletas!M508="Emeiquan F",167,IF(Atletas!M508="Fanziquan F",168,IF(Atletas!M508="Huaquan F",169,IF(Atletas!M508="Hongquan F",170,IF(Atletas!M508="Paoquan F",171,IF(Atletas!M508="Piguaquan F",172,IF(Atletas!M508="Shaolinquan F",173,IF(Atletas!M508="Tanglangquan F",174,IF(Atletas!M508="Yingzhaoquan F",175,IF(Atletas!M508="Tongbeiquan F",176,IF(Atletas!M508="Wudangquan F",177,IF(Atletas!M508="Outros Estilos F",178,0))))))))))))))))))))))))))))))))))))))))))</f>
        <v/>
      </c>
      <c r="BU517" s="50" t="str">
        <f>IF(Atletas!N508="","",IF(Atletas!X508&lt;&gt;"",10000,0)+(IF(Atletas!B508="Feminino",1000,IF(Atletas!B508="Masculino",2000,""))+(IF(Atletas!N508="Ditangquan A",201,IF(Atletas!N508="Houquan A",202,IF(Atletas!N508="Zuiquan A",203,IF(Atletas!N508="Ditangquan B",204,IF(Atletas!N508="Houquan B",205,IF(Atletas!N508="Zuiquan B",206,IF(Atletas!N508="Ditangquan C",207,IF(Atletas!N508="Houquan C",208,IF(Atletas!N508="Zuiquan C",209,IF(Atletas!N508="Ditangquan D",210,IF(Atletas!N508="Houquan D",211,IF(Atletas!N508="Zuiquan D",212,IF(Atletas!N508="Ditangquan E",213,IF(Atletas!N508="Houquan E",214,IF(Atletas!N508="Zuiquan E",215,IF(Atletas!N508="Ditangquan F",216,IF(Atletas!N508="Houquan F",217,IF(Atletas!N508="Zuiquan F",218,"")))))))))))))))))))))</f>
        <v/>
      </c>
      <c r="BV517" s="50" t="str">
        <f>IF(Atletas!O508="","",IF(Atletas!X508&lt;&gt;"",10000,0)+IF(Atletas!B508="Feminino",1000,IF(Atletas!B508="Masculino",2000,""))+IF(Atletas!O508="Yang A",301,IF(Atletas!O508="Chen A",302,IF(Atletas!O508="Sun A",303,IF(Atletas!O508="Wu A",304,IF(Atletas!O508="Wu-Hao A",305,IF(Atletas!O508="Outro Taijiquan A",306,IF(Atletas!O508="Yang B",307,IF(Atletas!O508="Chen B",308,IF(Atletas!O508="Sun B",309,IF(Atletas!O508="Wu B",310,IF(Atletas!O508="Wu-Hao B",311,IF(Atletas!O508="Outro Taijiquan B",312,IF(Atletas!O508="Yang C",313,IF(Atletas!O508="Chen C",314,IF(Atletas!O508="Sun C",315,IF(Atletas!O508="Wu C",316,IF(Atletas!O508="Wu-Hao C",317,IF(Atletas!O508="Outro Taijiquan C",318,IF(Atletas!O508="Yang D",319,IF(Atletas!O508="Chen D",320,IF(Atletas!O508="Sun D",321,IF(Atletas!O508="Wu D",322,IF(Atletas!O508="Wu-Hao D",323,IF(Atletas!O508="Outro Taijiquan D",324,IF(Atletas!O508="Yang E",325,IF(Atletas!O508="Chen E",326,IF(Atletas!O508="Sun E",327,IF(Atletas!O508="Wu E",328,IF(Atletas!O508="Wu-Hao E",329,IF(Atletas!O508="Outro Taijiquan E",330,IF(Atletas!O508="Yang F",331,IF(Atletas!O508="Chen F",332,IF(Atletas!O508="Sun F",333,IF(Atletas!O508="Wu F",334,IF(Atletas!O508="Wu-Hao F",335,IF(Atletas!O508="Outro Taijiquan F",336,"")))))))))))))))))))))))))))))))))))))</f>
        <v/>
      </c>
      <c r="BW517" s="50" t="str">
        <f>IF(Atletas!P508="","",IF(Atletas!X508&lt;&gt;"",10000,0)+IF(Atletas!B508="Feminino",1000,IF(Atletas!B508="Masculino",2000,""))+IF(OR(Atletas!P508="Yang 26 A",Atletas!P508="Yang 40 A"),401,IF(OR(Atletas!P508="Chen 25 A",Atletas!P508="Chen 36 A",Atletas!P508="Chen 56 A"),402,IF(Atletas!P508="Sun 73 A",403,IF(Atletas!P508="Wu 45 A",404,IF(Atletas!P508="Wu-Hao 46 A",405,IF(OR(Atletas!P508="Taijiquan 16 A",Atletas!P508="Taijiquan 24 A",Atletas!P508="Taijiquan 32 A",Atletas!P508="Taijiquan 42 A"),406,IF(OR(Atletas!P508="Yang 26 B",Atletas!P508="Yang 40 B"),407,IF(OR(Atletas!P508="Chen 25 B",Atletas!P508="Chen 36 B",Atletas!P508="Chen 56 B"),408,IF(Atletas!P508="Sun 73 B",409,IF(Atletas!P508="Wu 45 B",410,IF(Atletas!P508="Wu-Hao 46 B",411,IF(OR(Atletas!P508="Taijiquan 16 B",Atletas!P508="Taijiquan 24 B",Atletas!P508="Taijiquan 32 B",Atletas!P508="Taijiquan 42 B"),412,IF(OR(Atletas!P508="Yang 26 C",Atletas!P508="Yang 40 C"),413,IF(OR(Atletas!P508="Chen 25 C",Atletas!P508="Chen 36 C",Atletas!P508="Chen 56 C"),414,IF(Atletas!P508="Sun 73 C",415,IF(Atletas!P508="Wu 45 C",416,IF(Atletas!P508="Wu-Hao 46 C",417,IF(OR(Atletas!P508="Taijiquan 16 C",Atletas!P508="Taijiquan 24 C",Atletas!P508="Taijiquan 32 C",Atletas!P508="Taijiquan 42 C"),418,0)))))))))))))))))))</f>
        <v/>
      </c>
      <c r="BX517" s="50" t="str">
        <f>IF(Atletas!P508="","",IF(Atletas!X508&lt;&gt;"",10000,0)+IF(Atletas!B508="Feminino",1000,IF(Atletas!B508="Masculino",2000,""))+IF(OR(Atletas!P508="Yang 26 D",Atletas!P508="Yang 40 D"),419,IF(OR(Atletas!P508="Chen 25 D",Atletas!P508="Chen 36 D",Atletas!P508="Chen 56 D"),420,IF(Atletas!P508="Sun 73 D",421,IF(Atletas!P508="Wu 45 D",422,IF(Atletas!P508="Wu-Hao 46 D",423,IF(OR(Atletas!P508="Taijiquan 16 D",Atletas!P508="Taijiquan 24 D",Atletas!P508="Taijiquan 32 D",Atletas!P508="Taijiquan 42 D"),424,IF(OR(Atletas!P508="Yang 26 E",Atletas!P508="Yang 40 E"),425,IF(OR(Atletas!P508="Chen 25 E",Atletas!P508="Chen 36 E",Atletas!P508="Chen 56 E"),426,IF(Atletas!P508="Sun 73 E",427,IF(Atletas!P508="Wu 45 E",428,IF(Atletas!P508="Wu-Hao 46 E",429,IF(OR(Atletas!P508="Taijiquan 16 E",Atletas!P508="Taijiquan 24 E",Atletas!P508="Taijiquan 32 E",Atletas!P508="Taijiquan 42 E"),430,IF(OR(Atletas!P508="Yang 26 F",Atletas!P508="Yang 40 F"),431,IF(OR(Atletas!P508="Chen 25 F",Atletas!P508="Chen 36 F",Atletas!P508="Chen 56 F"),432,IF(Atletas!P508="Sun 73 F",433,IF(Atletas!P508="Wu 45 F",434,IF(Atletas!P508="Wu-Hao 46 F",435,IF(OR(Atletas!P508="Taijiquan 16 F",Atletas!P508="Taijiquan 24 F",Atletas!P508="Taijiquan 32 F",Atletas!P508="Taijiquan 42 F"),436,0)))))))))))))))))))</f>
        <v/>
      </c>
      <c r="BY517" s="50" t="str">
        <f>IF(Atletas!Q508="","",IF(Atletas!X508&lt;&gt;"",10000,0)+IF(Atletas!B508="Feminino",1000,IF(Atletas!B508="Masculino",2000,""))+IF(Atletas!Q508="Xingyiquan A",501,IF(Atletas!Q508="Baguazhang A",502,IF(Atletas!Q508="Outro Estilo Interno A",503,IF(Atletas!Q508="Xingyiquan B",504,IF(Atletas!Q508="Baguazhang B",505,IF(Atletas!Q508="Outro Estilo Interno B",506,IF(Atletas!Q508="Xingyiquan C",507,IF(Atletas!Q508="Baguazhang C",508,IF(Atletas!Q508="Outro Estilo Interno C",509,IF(Atletas!Q508="Xingyiquan D",510,IF(Atletas!Q508="Baguazhang D",511,IF(Atletas!Q508="Outro Estilo Interno D",512,IF(Atletas!Q508="Xingyiquan E",513,IF(Atletas!Q508="Baguazhang E",514,IF(Atletas!Q508="Outro Estilo Interno E",515,IF(Atletas!Q508="Xingyiquan F",516,IF(Atletas!Q508="Baguazhang F",517,IF(Atletas!Q508="Outro Estilo Interno F",518, "")))))))))))))))))))</f>
        <v/>
      </c>
      <c r="BZ517" s="50" t="str">
        <f>IF(Atletas!R508="","",IF(Atletas!X508&lt;&gt;"",10000,0)+IF(Atletas!B508="Feminino",1000,IF(Atletas!B508="Masculino",2000,""))+IF(Atletas!R508="Dao A",601,IF(Atletas!R508="Jian A",602,IF(Atletas!R508="Bishou A",603,IF(Atletas!R508="Shanzi A",604,IF(Atletas!R508="Outra Arma Curta A",605,IF(Atletas!R508="Dao B",606,IF(Atletas!R508="Jian B",607,IF(Atletas!R508="Bishou B",608,IF(Atletas!R508="Shanzi B",609,IF(Atletas!R508="Outra Arma Curta B",610,IF(Atletas!R508="Dao C",611,IF(Atletas!R508="Jian C",612,IF(Atletas!R508="Bishou C",613,IF(Atletas!R508="Shanzi C",614,IF(Atletas!R508="Outra Arma Curta C",615,IF(Atletas!R508="Dao D",616,IF(Atletas!R508="Jian D",617,IF(Atletas!R508="Bishou D",618,IF(Atletas!R508="Shanzi D",619,IF(Atletas!R508="Outra Arma Curta D",620,IF(Atletas!R508="Dao E",621,IF(Atletas!R508="Jian E",622,IF(Atletas!R508="Bishou E",623,IF(Atletas!R508="Shanzi E",624,IF(Atletas!R508="Outra Arma Curta E",625,IF(Atletas!R508="Dao F",626,IF(Atletas!R508="Jian F",627,IF(Atletas!R508="Bishou F",628,IF(Atletas!R508="Shanzi F",629,IF(Atletas!R508="Outra Arma Curta F",630, "")))))))))))))))))))))))))))))))</f>
        <v/>
      </c>
      <c r="CA517" s="50" t="str">
        <f>IF(Atletas!S508="","",IF(Atletas!X508&lt;&gt;"",10000,0)+IF(Atletas!B508="Feminino",1000,IF(Atletas!B508="Masculino",2000,""))+IF(Atletas!S508="Gun A",701,IF(Atletas!S508="Qiang A",702,IF(Atletas!S508="Pudao / Guandao A",703,IF(Atletas!S508="Outra Arma Longa A",704,IF(Atletas!S508="Gun B",705,IF(Atletas!S508="Qiang B",706,IF(Atletas!S508="Pudao / Guandao B",707,IF(Atletas!S508="Outra Arma Longa B",708,IF(Atletas!S508="Gun C",709,IF(Atletas!S508="Qiang C",710,IF(Atletas!S508="Pudao / Guandao C",711,IF(Atletas!S508="Outra Arma Longa C",712,IF(Atletas!S508="Gun D",713,IF(Atletas!S508="Qiang D",714,IF(Atletas!S508="Pudao / Guandao D",715,IF(Atletas!S508="Outra Arma Longa D",716,IF(Atletas!S508="Gun E",717,IF(Atletas!S508="Qiang E",718,IF(Atletas!S508="Pudao / Guandao E",719,IF(Atletas!S508="Outra Arma Longa E",720,IF(Atletas!S508="Gun F",721,IF(Atletas!S508="Qiang F",722,IF(Atletas!S508="Pudao / Guandao F",723,IF(Atletas!S508="Outra Arma Longa F",724,"")))))))))))))))))))))))))</f>
        <v/>
      </c>
      <c r="CB517" s="50" t="str">
        <f>IF(Atletas!T508="","",IF(Atletas!X508&lt;&gt;"",10000,0)+IF(Atletas!B508="Feminino",1000,IF(Atletas!B508="Masculino",2000,""))+IF(Atletas!T508="Outra Arma Dupla A",801,IF(Atletas!T508="Arma Maleável A",802,IF(Atletas!T508="Outra Arma Dupla B",803,IF(Atletas!T508="Arma Maleável B",804,IF(Atletas!T508="Outra Arma Dupla C",805,IF(Atletas!T508="Arma Maleável C",806,IF(Atletas!T508="Outra Arma Dupla D",807,IF(Atletas!T508="Arma Maleável D",808,IF(Atletas!T508="Outra Arma Dupla E",809,IF(Atletas!T508="Arma Maleável E",810,IF(Atletas!T508="Outra Arma Dupla F",811,IF(Atletas!T508="Arma Maleável F",812,IF(Atletas!T508="Shuangdao A",813,IF(Atletas!T508="Shuangdao B",814,IF(Atletas!T508="Shuangdao C",815,IF(Atletas!T508="Shuangdao D",816,IF(Atletas!T508="Shuangdao E",817,IF(Atletas!T508="Shuangdao F",818,"")))))))))))))))))))</f>
        <v/>
      </c>
      <c r="CC517" s="50" t="str">
        <f>IF(Atletas!U508="","",IF(Atletas!X508&lt;&gt;"",10000,0)+IF(Atletas!B508="Feminino",1000,IF(Atletas!B508="Masculino",2000,""))+IF(OR(Atletas!U508="Taijijian Yang A",Atletas!U508="Taijijian Yang Standard A"),901,IF(OR(Atletas!U508="Taijijian Chen A", Atletas!U508="Taijijian Chen Standard A"),902,IF(Atletas!U508="Taijijian Sun A",903,IF(Atletas!U508="Taijijian Wu A",904,IF(Atletas!U508="Taijijian Wu-Hao A",905,IF(OR(Atletas!U508="Taijijian 32 A",Atletas!U508="Taijijian 42 A"),906,IF(OR(Atletas!U508="Taijijian Yang B",Atletas!U508="Taijijian Yang Standard B"),907,IF(OR(Atletas!U508="Taijijian Chen B", Atletas!U508="Taijijian Chen Standard B"),908,IF(Atletas!U508="Taijijian Sun B",909,IF(Atletas!U508="Taijijian Wu B",910,IF(Atletas!U508="Taijijian Wu-Hao B",911,IF(OR(Atletas!U508="Taijijian 32 B",Atletas!U508="Taijijian 42 B"),912,IF(OR(Atletas!U508="Taijijian Yang C",Atletas!U508="Taijijian Yang Standard C"),913,IF(OR(Atletas!U508="Taijijian Chen C", Atletas!U508="Taijijian Chen Standard C"),914,IF(Atletas!U508="Taijijian Sun C",915,IF(Atletas!U508="Taijijian Wu C",916,IF(Atletas!U508="Taijijian Wu-Hao C",917,IF(OR(Atletas!U508="Taijijian 32 C",Atletas!U508="Taijijian 42 C"),918,IF(OR(Atletas!U508="Taijijian Yang D",Atletas!U508="Taijijian Yang Standard D"),919,IF(OR(Atletas!U508="Taijijian Chen D", Atletas!U508="Taijijian Chen Standard D"),920,IF(Atletas!U508="Taijijian Sun D",921,IF(Atletas!U508="Taijijian Wu D",922,IF(Atletas!U508="Taijijian Wu-Hao D",923,IF(OR(Atletas!U508="Taijijian 32 D",Atletas!U508="Taijijian 42 D"),924,IF(OR(Atletas!U508="Taijijian Yang E",Atletas!U508="Taijijian Yang Standard E"),925,IF(OR(Atletas!U508="Taijijian Chen E", Atletas!U508="Taijijian Chen Standard E"),926,IF(Atletas!U508="Taijijian Sun E",927,IF(Atletas!U508="Taijijian Wu E",928,IF(Atletas!U508="Taijijian Wu-Hao E",929,IF(OR(Atletas!U508="Taijijian 32 E",Atletas!U508="Taijijian 42 E"),930,IF(OR(Atletas!U508="Taijijian Yang F",Atletas!U508="Taijijian Yang Standard F"),931,IF(OR(Atletas!U508="Taijijian Chen F", Atletas!U508="Taijijian Chen Standard F"),932,IF(Atletas!U508="Taijijian Sun F",933,IF(Atletas!U508="Taijijian Wu F",934,IF(Atletas!U508="Taijijian Wu-Hao F",935,IF(OR(Atletas!U508="Taijijian 32 F",Atletas!U508="Taijijian 42 F"),936,"")))))))))))))))))))))))))))))))))))))</f>
        <v/>
      </c>
      <c r="CD517" s="50" t="str">
        <f>IF(Atletas!V508="","",IF(Atletas!X508&lt;&gt;"",10000,0)+IF(Atletas!B508="Feminino",1000,IF(Atletas!B508="Masculino",2000,""))+IF(Atletas!V508="Taijidao A",937,IF(Atletas!V508="TaijiShanzi A",938,IF(Atletas!V508="Taijiqiang A",939,IF(Atletas!V508="Bagua de Arma A",940,IF(Atletas!V508="Xingyi de Arma A",941,IF(Atletas!V508="Taijidao B",942,IF(Atletas!V508="TaijiShanzi B",943,IF(Atletas!V508="Taijiqiang B",944,IF(Atletas!V508="Bagua de Arma B",945,IF(Atletas!V508="Xingyi de Arma B",946,IF(Atletas!V508="Taijidao C",947,IF(Atletas!V508="TaijiShanzi C",948,IF(Atletas!V508="Taijiqiang C",949,IF(Atletas!V508="Bagua de Arma C",950,IF(Atletas!V508="Xingyi de Arma C",951,IF(Atletas!V508="Taijidao D",952,IF(Atletas!V508="TaijiShanzi D",953,IF(Atletas!V508="Taijiqiang D",954,IF(Atletas!V508="Bagua de Arma D",955,IF(Atletas!V508="Xingyi de Arma D",956,IF(Atletas!V508="Taijidao E",957,IF(Atletas!V508="TaijiShanzi E",958,IF(Atletas!V508="Taijiqiang E",959,IF(Atletas!V508="Bagua de Arma E",960,IF(Atletas!V508="Xingyi de Arma E",961,IF(Atletas!V508="Taijidao F",962,IF(Atletas!V508="TaijiShanzi F",963,IF(Atletas!V508="Taijiqiang F",964,IF(Atletas!V508="Bagua de Arma F",965,IF(Atletas!V508="Xingyi de Arma F",966,"")))))))))))))))))))))))))))))))</f>
        <v/>
      </c>
      <c r="CM517" s="50" t="str">
        <f xml:space="preserve"> IF(Atletas!W508="","",IF(Atletas!W508="Duilian de Mãos BC - Equipe 1",1,IF(Atletas!W508="Duilian de Mãos BC - Equipe 2",2,IF(Atletas!W508="Duilian de Armas BC - Equipe 1",3,IF(Atletas!W508="Duilian de Armas BC - Equipe 2",4,IF(Atletas!W508="Duilian de Mãos DE - Equipe 1",5,IF(Atletas!W508="Duilian de Mãos DE - Equipe 2",6,IF(Atletas!W508="Duilian de Armas DE - Equipe 1",7,IF(Atletas!W508="Duilian de Armas DE - Equipe 2",8,IF(Atletas!W508="Duilian de Tuishou - Equipe 1",9,IF(Atletas!W508="Duilian de Tuishou - Equipe 2",10,IF(Atletas!W508="Grupo Externo ABC - Equipe 1",11,IF(Atletas!W508="Grupo Externo ABC - Equipe 2",12,IF(Atletas!W508="Grupo Interno ABC - Equipe 1",13,IF(Atletas!W508="Grupo Interno ABC - Equipe 2",14,IF(Atletas!W508="Grupo Externo DEF - Equipe 1",15,IF(Atletas!W508="Grupo Externo DEF - Equipe 2",16,IF(Atletas!W508="Grupo Interno DEF - Equipe 1",17,IF(Atletas!W508="Grupo Interno DEF - Equipe 2",18,"")))))))))))))))))))</f>
        <v/>
      </c>
    </row>
    <row r="518" spans="40:91">
      <c r="AN518" s="52" t="str">
        <f>IF(Atletas!D509="","",IF(Atletas!B509="Feminino",100,IF(Atletas!B509="Masculino",200,""))+(IF(Atletas!D509="Kids 30kg",1,IF(Atletas!D509="Kids 32kg",2, IF(Atletas!D509="Kids 34kg",3,IF(Atletas!D509="Kids 36kg",4,IF(Atletas!D509="Kids 39kg",5,IF(Atletas!D509="Kids 42kg",6,IF(Atletas!D509="Kids 45kg",7, IF(Atletas!D509="Infantil 39kg",8,IF(Atletas!D509="Infantil 42kg",9,IF(Atletas!D509="Infantil 45kg",10,IF(Atletas!D509="Infantil 48kg",11,IF(Atletas!D509="Infantil 52kg",12,IF(Atletas!D509="Infantil 56kg",13,IF(Atletas!D509="Infantil 60kg",14,IF(Atletas!D509="Juvenil 48kg",15,IF(Atletas!D509="Juvenil 52kg",16,IF(Atletas!D509="Juvenil 56kg",17,IF(Atletas!D509="Juvenil 60kg",18,IF(Atletas!D509="Juvenil 65kg",19,IF(Atletas!D509="Juvenil 70kg",20,IF(Atletas!D509="Juvenil 75kg",21,IF(Atletas!D509="Juvenil 80kg",22, IF(Atletas!D509="Juvenil 85kg",23,IF(Atletas!D509="Adulto 48kg",24,IF(Atletas!D509="Adulto 52kg",25,IF(Atletas!D509="Adulto 56kg",26,IF(Atletas!D509="Adulto 60kg",27,IF(Atletas!D509="Adulto 65kg",28,IF(Atletas!D509="Adulto 70kg",29,IF(Atletas!D509="Adulto 75kg",30,IF(Atletas!D509="Adulto 80kg",31,IF(Atletas!D509="Adulto 85kg",32,IF(Atletas!D509="Adulto 90kg",33,IF(Atletas!D509="Adulto 100kg",34, IF(Atletas!D509="Adulto +100kg",35,"")))))))))))))))))))))))))))))))))))))</f>
        <v/>
      </c>
      <c r="AS518" s="6" t="str">
        <f>IF(Atletas!E509="","",IF(Atletas!B509="Feminino",100,IF(Atletas!B509="Masculino",200,""))+(IF(Atletas!E509="Juvenil 44kg",1,IF(Atletas!E509="Juvenil 48kg",2,IF(Atletas!E509="Juvenil 52kg",3,IF(Atletas!E509="Juvenil 56kg",4,IF(Atletas!E509="Juvenil 60kg",5,IF(Atletas!E509="Juvenil 65kg",6,IF(Atletas!E509="Juvenil 70kg",7,IF(Atletas!E509="Juvenil 75kg",8,IF(Atletas!E509="Juvenil 82kg",9,IF(Atletas!E509="Juvenil 90kg",10,IF(Atletas!E509="Juvenil 100kg",11,IF(Atletas!E509="Adulto 48kg",12,IF(Atletas!E509="Adulto 52kg",13,IF(Atletas!E509="Adulto 56kg",14,IF(Atletas!E509="Adulto 60kg",15,IF(Atletas!E509="Adulto 65kg",16,IF(Atletas!E509="Adulto 70kg",17,IF(Atletas!E509="Adulto 75kg",18,IF(Atletas!E509="Adulto 82kg",19,IF(Atletas!E509="Adulto 90kg",20,IF(Atletas!E509="Adulto 100kg",21,IF(Atletas!E509="Adulto +100kg",22,""))))))))))))))))))))))))</f>
        <v/>
      </c>
      <c r="AX518" s="6" t="str">
        <f>IF(Atletas!F509="","",IF(Atletas!B509="Feminino",100,IF(Atletas!B509="Masculino",200,""))+(IF(Atletas!F509="Adulto 48kg",1,IF(Atletas!F509="Adulto 56kg",2,IF(Atletas!F509="Adulto 65kg",3,IF(Atletas!F509="Adulto 75kg",4,IF(Atletas!F509="Adulto +75kg",5,IF(Atletas!F509="Adulto 52kg",6,IF(Atletas!F509="Adulto 60kg",7,IF(Atletas!F509="Adulto 70kg",8,IF(Atletas!F509="Adulto 80kg",9,IF(Atletas!F509="Adulto 90kg",10,IF(Atletas!F509="Adulto +90kg",11,"")))))))))))))</f>
        <v/>
      </c>
      <c r="BC518" s="6" t="str">
        <f>IF(Atletas!G509="","",IF(Atletas!B509="Feminino",10,IF(Atletas!B509="Masculino",20,""))+(IF(Atletas!G509="Baduanjin A",1,IF(Atletas!G509="Baduanjin B",2))))</f>
        <v/>
      </c>
      <c r="BF518" s="52" t="str">
        <f>IF(Atletas!H509="","",IF(Atletas!B509="Feminino",100,IF(Atletas!B509="Masculino",200,""))+(IF(Atletas!H509="Changquan Mirim",1,IF(Atletas!H509="Nanquan Mirim",2,IF(Atletas!H509="Taijiquan Mirim",3,IF(Atletas!H509="Changquan Grupo C",4,IF(Atletas!H509="Nanquan Grupo C",5,IF(Atletas!H509="Taijiquan Grupo C",6,IF(Atletas!H509="Changquan Grupo B",7,IF(Atletas!H509="Nanquan Grupo B",8,IF(Atletas!H509="Taijiquan Grupo B",9,IF(Atletas!H509="Changquan Grupo A",10,IF(Atletas!H509="Nanquan Grupo A",11,IF(Atletas!H509="Taijiquan Grupo A",12,IF(Atletas!H509="Changquan Opcional",13,IF(Atletas!H509="Nanquan Opcional",14,IF(Atletas!H509="Taijiquan Opcional",15,IF(Atletas!H509="Changquan Adulto",16,IF(Atletas!H509="Nanquan Adulto",17,IF(Atletas!H509="Taijiquan Adulto",18,""))))))))))))))))))))</f>
        <v/>
      </c>
      <c r="BG518" s="52" t="str">
        <f>IF(Atletas!I509="","",IF(Atletas!B509="Feminino",100,IF(Atletas!B509="Masculino",200,""))+(IF(Atletas!I509="Daoshu Mirim",19,IF(Atletas!I509="Jianshu Mirim",20,IF(Atletas!I509="Nandao Mirim",21,IF(Atletas!I509="Taijijian Mirim",22,IF(Atletas!I509="Daoshu Grupo C",23,IF(Atletas!I509="Jianshu Grupo C",24,IF(Atletas!I509="Nandao Grupo C",25,IF(Atletas!I509="Taijijian Grupo C",26,IF(Atletas!I509="Daoshu Grupo B",27,IF(Atletas!I509="Jianshu Grupo B",28,IF(Atletas!I509="Nandao Grupo B",29,IF(Atletas!I509="Taijijian Grupo B",30,IF(Atletas!I509="Daoshu Grupo A",31,IF(Atletas!I509="Jianshu Grupo A",32,IF(Atletas!I509="Nandao Grupo A",33,IF(Atletas!I509="Taijijian Grupo A",34,IF(Atletas!I509="Daoshu Opcional",35,IF(Atletas!I509="Jianshu Opcional",36,IF(Atletas!I509="Nandao Opcional",37,IF(Atletas!I509="Taijijian Opcional",38,IF(Atletas!I509="Daoshu Adulto",39,IF(Atletas!I509="Jianshu Adulto",40,IF(Atletas!I509="Nandao Adulto",41,IF(Atletas!I509="Taijijian Adulto",42,""))))))))))))))))))))))))))</f>
        <v/>
      </c>
      <c r="BH518" s="52" t="str">
        <f>IF(Atletas!J509="","",IF(Atletas!B509="Feminino",100,IF(Atletas!B509="Masculino",200,""))+(IF(Atletas!J509="Gunshu Mirim",43,IF(Atletas!J509="Qiangshu Mirim",44,IF(Atletas!J509="Nangun Mirim",45,IF(Atletas!J509="Gunshu Grupo C",46,IF(Atletas!J509="Qiangshu Grupo C",47,IF(Atletas!J509="Nangun Grupo C",48,IF(Atletas!J509="Gunshu Grupo B",49,IF(Atletas!J509="Qiangshu Grupo B",50,IF(Atletas!J509="Nangun Grupo B",51,IF(Atletas!J509="Gunshu Grupo A",52,IF(Atletas!J509="Qiangshu Grupo A",53,IF(Atletas!J509="Nangun Grupo A",54,IF(Atletas!J509="Gunshu Opcional",55,IF(Atletas!J509="Qiangshu Opcional",56,IF(Atletas!J509="Nangun Opcional",57,IF(Atletas!J509="Gunshu Adulto",58,IF(Atletas!J509="Qiangshu Adulto",59,IF(Atletas!J509="Nangun Adulto",60,IF(Atletas!J509="Taijishan Grupo B",61,IF(Atletas!J509="Taijishan Grupo A",62,""))))))))))))))))))))))</f>
        <v/>
      </c>
      <c r="BM518" s="50" t="str">
        <f>IF(Atletas!K509="","",IF(Atletas!B509="Feminino",100,IF(Atletas!B509="Masculino",200,""))+(IF(Atletas!K509="Equipe 1 Grupo B",1,IF(Atletas!K509="Equipe 2 Grupo B",2,IF(Atletas!K509="Equipe 1 Grupo A",3,IF(Atletas!K509="Equipe 2 Grupo A",4,IF(Atletas!K509="Equipe 1 Adulto",5,IF(Atletas!K509="Equipe 2 Adulto",6,""))))))))</f>
        <v/>
      </c>
      <c r="BR518" s="50" t="str">
        <f>IF(Atletas!L509="","",IF(Atletas!X509&lt;&gt;"",10000,0)+(IF(Atletas!B509="Feminino",1000,IF(Atletas!B509="Masculino",2000,""))+IF(Atletas!L509="Choylayfut A",1,IF(Atletas!L509="Hunggar A",2,IF(Atletas!L509="Wuzuquan A",3,IF(Atletas!L509="Wingchun A",4,IF(Atletas!L509="Outra Mão de Sul A",5,IF(Atletas!L509="Choylayfut B",6,IF(Atletas!L509="Hunggar B",7,IF(Atletas!L509="Wuzuquan B",8,IF(Atletas!L509="Wingchun B",9,IF(Atletas!L509="Outra Mão de Sul B",10,IF(Atletas!L509="Choylayfut C",11,IF(Atletas!L509="Hunggar C",12,IF(Atletas!L509="Wuzuquan C",13,IF(Atletas!L509="Wingchun C",14,IF(Atletas!L509="Outra Mão de Sul C",15,IF(Atletas!L509="Choylayfut D",16,IF(Atletas!L509="Hunggar D",17,IF(Atletas!L509="Wuzuquan D",18,IF(Atletas!L509="Wingchun D",19,IF(Atletas!L509="Outra Mão de Sul D",20,IF(Atletas!L509="Choylayfut E",21,IF(Atletas!L509="Hunggar E",22,IF(Atletas!L509="Wuzuquan E",23,IF(Atletas!L509="Wingchun E",24,IF(Atletas!L509="Outra Mão de Sul E",25,IF(Atletas!L509="Choylayfut F",26,IF(Atletas!L509="Hunggar F",27,IF(Atletas!L509="Wuzuquan F",28,IF(Atletas!L509="Wingchun F",29,IF(Atletas!L509="Outra Mão de Sul F",30,IF(Atletas!L509="Dishuquan A",31,IF(Atletas!L509="Dishuquan B",32,IF(Atletas!L509="Dishuquan C",33,IF(Atletas!L509="Dishuquan D",34,IF(Atletas!L509="Dishuquan E",35,IF(Atletas!L509="Dishuquan F",36,""))))))))))))))))))))))))))))))))))))))</f>
        <v/>
      </c>
      <c r="BS518" s="50" t="str">
        <f>IF(Atletas!M509="","",IF(Atletas!X509&lt;&gt;"",10000,0)+(IF(Atletas!B509="Feminino",1000,IF(Atletas!B509="Masculino",2000,""))+(IF(Atletas!M509="Chaquan A",101,IF(Atletas!M509="Emeiquan A",102,IF(Atletas!M509="Fanziquan A",103,IF(Atletas!M509="Huaquan A",104,IF(Atletas!M509="Hongquan A",105,IF(Atletas!M509="Paoquan A",106,IF(Atletas!M509="Piguaquan A",107,IF(Atletas!M509="Shaolinquan A",108,IF(Atletas!M509="Tanglangquan A",109,IF(Atletas!M509="Yingzhaoquan A",110,IF(Atletas!M509="Tongbeiquan A",111,IF(Atletas!M509="Wudangquan A",112,IF(Atletas!M509="Outros Estilos A",113,IF(Atletas!M509="Chaquan B",114,IF(Atletas!M509="Emeiquan B",115,IF(Atletas!M509="Fanziquan B",116,IF(Atletas!M509="Huaquan B",117,IF(Atletas!M509="Hongquan B",118,IF(Atletas!M509="Paoquan B",119,IF(Atletas!M509="Piguaquan B",120,IF(Atletas!M509="Shaolinquan B",121,IF(Atletas!M509="Tanglangquan B",122,IF(Atletas!M509="Yingzhaoquan B",123,IF(Atletas!M509="Tongbeiquan B",124,IF(Atletas!M509="Wudangquan B",125,IF(Atletas!M509="Outros Estilos B",126,IF(Atletas!M509="Chaquan C",127,IF(Atletas!M509="Emeiquan C",128,IF(Atletas!M509="Fanziquan C",129,IF(Atletas!M509="Huaquan C",130,IF(Atletas!M509="Hongquan C",131,IF(Atletas!M509="Paoquan C",132,IF(Atletas!M509="Piguaquan C",133,IF(Atletas!M509="Shaolinquan C",134,IF(Atletas!M509="Tanglangquan C",135,IF(Atletas!M509="Yingzhaoquan C",136,IF(Atletas!M509="Tongbeiquan C",137,IF(Atletas!M509="Wudangquan C",138,IF(Atletas!M509="Outros Estilos C",139,0))))))))))))))))))))))))))))))))))))))))))</f>
        <v/>
      </c>
      <c r="BT518" s="50" t="str">
        <f>IF(Atletas!M509="","",IF(Atletas!X509&lt;&gt;"",10000,0)+(IF(Atletas!B509="Feminino",1000,IF(Atletas!B509="Masculino",2000,""))+(IF(Atletas!M509="Chaquan D",140,IF(Atletas!M509="Emeiquan D",141,IF(Atletas!M509="Fanziquan D",142,IF(Atletas!M509="Huaquan D",143,IF(Atletas!M509="Hongquan D",144,IF(Atletas!M509="Paoquan D",145,IF(Atletas!M509="Piguaquan D",146,IF(Atletas!M509="Shaolinquan D",147,IF(Atletas!M509="Tanglangquan D",148,IF(Atletas!M509="Yingzhaoquan D",149,IF(Atletas!M509="Tongbeiquan D",150,IF(Atletas!M509="Wudangquan D",151,IF(Atletas!M509="Outros Estilos D",152,IF(Atletas!M509="Chaquan E",153,IF(Atletas!M509="Emeiquan E",154,IF(Atletas!M509="Fanziquan E",155,IF(Atletas!M509="Huaquan E",156,IF(Atletas!M509="Hongquan E",157,IF(Atletas!M509="Paoquan E",158,IF(Atletas!M509="Piguaquan E",159,IF(Atletas!M509="Shaolinquan E",160,IF(Atletas!M509="Tanglangquan E",161,IF(Atletas!M509="Yingzhaoquan E",162,IF(Atletas!M509="Tongbeiquan E",163,IF(Atletas!M509="Wudangquan E",164,IF(Atletas!M509="Outros Estilos E",165,IF(Atletas!M509="Chaquan F",166,IF(Atletas!M509="Emeiquan F",167,IF(Atletas!M509="Fanziquan F",168,IF(Atletas!M509="Huaquan F",169,IF(Atletas!M509="Hongquan F",170,IF(Atletas!M509="Paoquan F",171,IF(Atletas!M509="Piguaquan F",172,IF(Atletas!M509="Shaolinquan F",173,IF(Atletas!M509="Tanglangquan F",174,IF(Atletas!M509="Yingzhaoquan F",175,IF(Atletas!M509="Tongbeiquan F",176,IF(Atletas!M509="Wudangquan F",177,IF(Atletas!M509="Outros Estilos F",178,0))))))))))))))))))))))))))))))))))))))))))</f>
        <v/>
      </c>
      <c r="BU518" s="50" t="str">
        <f>IF(Atletas!N509="","",IF(Atletas!X509&lt;&gt;"",10000,0)+(IF(Atletas!B509="Feminino",1000,IF(Atletas!B509="Masculino",2000,""))+(IF(Atletas!N509="Ditangquan A",201,IF(Atletas!N509="Houquan A",202,IF(Atletas!N509="Zuiquan A",203,IF(Atletas!N509="Ditangquan B",204,IF(Atletas!N509="Houquan B",205,IF(Atletas!N509="Zuiquan B",206,IF(Atletas!N509="Ditangquan C",207,IF(Atletas!N509="Houquan C",208,IF(Atletas!N509="Zuiquan C",209,IF(Atletas!N509="Ditangquan D",210,IF(Atletas!N509="Houquan D",211,IF(Atletas!N509="Zuiquan D",212,IF(Atletas!N509="Ditangquan E",213,IF(Atletas!N509="Houquan E",214,IF(Atletas!N509="Zuiquan E",215,IF(Atletas!N509="Ditangquan F",216,IF(Atletas!N509="Houquan F",217,IF(Atletas!N509="Zuiquan F",218,"")))))))))))))))))))))</f>
        <v/>
      </c>
      <c r="BV518" s="50" t="str">
        <f>IF(Atletas!O509="","",IF(Atletas!X509&lt;&gt;"",10000,0)+IF(Atletas!B509="Feminino",1000,IF(Atletas!B509="Masculino",2000,""))+IF(Atletas!O509="Yang A",301,IF(Atletas!O509="Chen A",302,IF(Atletas!O509="Sun A",303,IF(Atletas!O509="Wu A",304,IF(Atletas!O509="Wu-Hao A",305,IF(Atletas!O509="Outro Taijiquan A",306,IF(Atletas!O509="Yang B",307,IF(Atletas!O509="Chen B",308,IF(Atletas!O509="Sun B",309,IF(Atletas!O509="Wu B",310,IF(Atletas!O509="Wu-Hao B",311,IF(Atletas!O509="Outro Taijiquan B",312,IF(Atletas!O509="Yang C",313,IF(Atletas!O509="Chen C",314,IF(Atletas!O509="Sun C",315,IF(Atletas!O509="Wu C",316,IF(Atletas!O509="Wu-Hao C",317,IF(Atletas!O509="Outro Taijiquan C",318,IF(Atletas!O509="Yang D",319,IF(Atletas!O509="Chen D",320,IF(Atletas!O509="Sun D",321,IF(Atletas!O509="Wu D",322,IF(Atletas!O509="Wu-Hao D",323,IF(Atletas!O509="Outro Taijiquan D",324,IF(Atletas!O509="Yang E",325,IF(Atletas!O509="Chen E",326,IF(Atletas!O509="Sun E",327,IF(Atletas!O509="Wu E",328,IF(Atletas!O509="Wu-Hao E",329,IF(Atletas!O509="Outro Taijiquan E",330,IF(Atletas!O509="Yang F",331,IF(Atletas!O509="Chen F",332,IF(Atletas!O509="Sun F",333,IF(Atletas!O509="Wu F",334,IF(Atletas!O509="Wu-Hao F",335,IF(Atletas!O509="Outro Taijiquan F",336,"")))))))))))))))))))))))))))))))))))))</f>
        <v/>
      </c>
      <c r="BW518" s="50" t="str">
        <f>IF(Atletas!P509="","",IF(Atletas!X509&lt;&gt;"",10000,0)+IF(Atletas!B509="Feminino",1000,IF(Atletas!B509="Masculino",2000,""))+IF(OR(Atletas!P509="Yang 26 A",Atletas!P509="Yang 40 A"),401,IF(OR(Atletas!P509="Chen 25 A",Atletas!P509="Chen 36 A",Atletas!P509="Chen 56 A"),402,IF(Atletas!P509="Sun 73 A",403,IF(Atletas!P509="Wu 45 A",404,IF(Atletas!P509="Wu-Hao 46 A",405,IF(OR(Atletas!P509="Taijiquan 16 A",Atletas!P509="Taijiquan 24 A",Atletas!P509="Taijiquan 32 A",Atletas!P509="Taijiquan 42 A"),406,IF(OR(Atletas!P509="Yang 26 B",Atletas!P509="Yang 40 B"),407,IF(OR(Atletas!P509="Chen 25 B",Atletas!P509="Chen 36 B",Atletas!P509="Chen 56 B"),408,IF(Atletas!P509="Sun 73 B",409,IF(Atletas!P509="Wu 45 B",410,IF(Atletas!P509="Wu-Hao 46 B",411,IF(OR(Atletas!P509="Taijiquan 16 B",Atletas!P509="Taijiquan 24 B",Atletas!P509="Taijiquan 32 B",Atletas!P509="Taijiquan 42 B"),412,IF(OR(Atletas!P509="Yang 26 C",Atletas!P509="Yang 40 C"),413,IF(OR(Atletas!P509="Chen 25 C",Atletas!P509="Chen 36 C",Atletas!P509="Chen 56 C"),414,IF(Atletas!P509="Sun 73 C",415,IF(Atletas!P509="Wu 45 C",416,IF(Atletas!P509="Wu-Hao 46 C",417,IF(OR(Atletas!P509="Taijiquan 16 C",Atletas!P509="Taijiquan 24 C",Atletas!P509="Taijiquan 32 C",Atletas!P509="Taijiquan 42 C"),418,0)))))))))))))))))))</f>
        <v/>
      </c>
      <c r="BX518" s="50" t="str">
        <f>IF(Atletas!P509="","",IF(Atletas!X509&lt;&gt;"",10000,0)+IF(Atletas!B509="Feminino",1000,IF(Atletas!B509="Masculino",2000,""))+IF(OR(Atletas!P509="Yang 26 D",Atletas!P509="Yang 40 D"),419,IF(OR(Atletas!P509="Chen 25 D",Atletas!P509="Chen 36 D",Atletas!P509="Chen 56 D"),420,IF(Atletas!P509="Sun 73 D",421,IF(Atletas!P509="Wu 45 D",422,IF(Atletas!P509="Wu-Hao 46 D",423,IF(OR(Atletas!P509="Taijiquan 16 D",Atletas!P509="Taijiquan 24 D",Atletas!P509="Taijiquan 32 D",Atletas!P509="Taijiquan 42 D"),424,IF(OR(Atletas!P509="Yang 26 E",Atletas!P509="Yang 40 E"),425,IF(OR(Atletas!P509="Chen 25 E",Atletas!P509="Chen 36 E",Atletas!P509="Chen 56 E"),426,IF(Atletas!P509="Sun 73 E",427,IF(Atletas!P509="Wu 45 E",428,IF(Atletas!P509="Wu-Hao 46 E",429,IF(OR(Atletas!P509="Taijiquan 16 E",Atletas!P509="Taijiquan 24 E",Atletas!P509="Taijiquan 32 E",Atletas!P509="Taijiquan 42 E"),430,IF(OR(Atletas!P509="Yang 26 F",Atletas!P509="Yang 40 F"),431,IF(OR(Atletas!P509="Chen 25 F",Atletas!P509="Chen 36 F",Atletas!P509="Chen 56 F"),432,IF(Atletas!P509="Sun 73 F",433,IF(Atletas!P509="Wu 45 F",434,IF(Atletas!P509="Wu-Hao 46 F",435,IF(OR(Atletas!P509="Taijiquan 16 F",Atletas!P509="Taijiquan 24 F",Atletas!P509="Taijiquan 32 F",Atletas!P509="Taijiquan 42 F"),436,0)))))))))))))))))))</f>
        <v/>
      </c>
      <c r="BY518" s="50" t="str">
        <f>IF(Atletas!Q509="","",IF(Atletas!X509&lt;&gt;"",10000,0)+IF(Atletas!B509="Feminino",1000,IF(Atletas!B509="Masculino",2000,""))+IF(Atletas!Q509="Xingyiquan A",501,IF(Atletas!Q509="Baguazhang A",502,IF(Atletas!Q509="Outro Estilo Interno A",503,IF(Atletas!Q509="Xingyiquan B",504,IF(Atletas!Q509="Baguazhang B",505,IF(Atletas!Q509="Outro Estilo Interno B",506,IF(Atletas!Q509="Xingyiquan C",507,IF(Atletas!Q509="Baguazhang C",508,IF(Atletas!Q509="Outro Estilo Interno C",509,IF(Atletas!Q509="Xingyiquan D",510,IF(Atletas!Q509="Baguazhang D",511,IF(Atletas!Q509="Outro Estilo Interno D",512,IF(Atletas!Q509="Xingyiquan E",513,IF(Atletas!Q509="Baguazhang E",514,IF(Atletas!Q509="Outro Estilo Interno E",515,IF(Atletas!Q509="Xingyiquan F",516,IF(Atletas!Q509="Baguazhang F",517,IF(Atletas!Q509="Outro Estilo Interno F",518, "")))))))))))))))))))</f>
        <v/>
      </c>
      <c r="BZ518" s="50" t="str">
        <f>IF(Atletas!R509="","",IF(Atletas!X509&lt;&gt;"",10000,0)+IF(Atletas!B509="Feminino",1000,IF(Atletas!B509="Masculino",2000,""))+IF(Atletas!R509="Dao A",601,IF(Atletas!R509="Jian A",602,IF(Atletas!R509="Bishou A",603,IF(Atletas!R509="Shanzi A",604,IF(Atletas!R509="Outra Arma Curta A",605,IF(Atletas!R509="Dao B",606,IF(Atletas!R509="Jian B",607,IF(Atletas!R509="Bishou B",608,IF(Atletas!R509="Shanzi B",609,IF(Atletas!R509="Outra Arma Curta B",610,IF(Atletas!R509="Dao C",611,IF(Atletas!R509="Jian C",612,IF(Atletas!R509="Bishou C",613,IF(Atletas!R509="Shanzi C",614,IF(Atletas!R509="Outra Arma Curta C",615,IF(Atletas!R509="Dao D",616,IF(Atletas!R509="Jian D",617,IF(Atletas!R509="Bishou D",618,IF(Atletas!R509="Shanzi D",619,IF(Atletas!R509="Outra Arma Curta D",620,IF(Atletas!R509="Dao E",621,IF(Atletas!R509="Jian E",622,IF(Atletas!R509="Bishou E",623,IF(Atletas!R509="Shanzi E",624,IF(Atletas!R509="Outra Arma Curta E",625,IF(Atletas!R509="Dao F",626,IF(Atletas!R509="Jian F",627,IF(Atletas!R509="Bishou F",628,IF(Atletas!R509="Shanzi F",629,IF(Atletas!R509="Outra Arma Curta F",630, "")))))))))))))))))))))))))))))))</f>
        <v/>
      </c>
      <c r="CA518" s="50" t="str">
        <f>IF(Atletas!S509="","",IF(Atletas!X509&lt;&gt;"",10000,0)+IF(Atletas!B509="Feminino",1000,IF(Atletas!B509="Masculino",2000,""))+IF(Atletas!S509="Gun A",701,IF(Atletas!S509="Qiang A",702,IF(Atletas!S509="Pudao / Guandao A",703,IF(Atletas!S509="Outra Arma Longa A",704,IF(Atletas!S509="Gun B",705,IF(Atletas!S509="Qiang B",706,IF(Atletas!S509="Pudao / Guandao B",707,IF(Atletas!S509="Outra Arma Longa B",708,IF(Atletas!S509="Gun C",709,IF(Atletas!S509="Qiang C",710,IF(Atletas!S509="Pudao / Guandao C",711,IF(Atletas!S509="Outra Arma Longa C",712,IF(Atletas!S509="Gun D",713,IF(Atletas!S509="Qiang D",714,IF(Atletas!S509="Pudao / Guandao D",715,IF(Atletas!S509="Outra Arma Longa D",716,IF(Atletas!S509="Gun E",717,IF(Atletas!S509="Qiang E",718,IF(Atletas!S509="Pudao / Guandao E",719,IF(Atletas!S509="Outra Arma Longa E",720,IF(Atletas!S509="Gun F",721,IF(Atletas!S509="Qiang F",722,IF(Atletas!S509="Pudao / Guandao F",723,IF(Atletas!S509="Outra Arma Longa F",724,"")))))))))))))))))))))))))</f>
        <v/>
      </c>
      <c r="CB518" s="50" t="str">
        <f>IF(Atletas!T509="","",IF(Atletas!X509&lt;&gt;"",10000,0)+IF(Atletas!B509="Feminino",1000,IF(Atletas!B509="Masculino",2000,""))+IF(Atletas!T509="Outra Arma Dupla A",801,IF(Atletas!T509="Arma Maleável A",802,IF(Atletas!T509="Outra Arma Dupla B",803,IF(Atletas!T509="Arma Maleável B",804,IF(Atletas!T509="Outra Arma Dupla C",805,IF(Atletas!T509="Arma Maleável C",806,IF(Atletas!T509="Outra Arma Dupla D",807,IF(Atletas!T509="Arma Maleável D",808,IF(Atletas!T509="Outra Arma Dupla E",809,IF(Atletas!T509="Arma Maleável E",810,IF(Atletas!T509="Outra Arma Dupla F",811,IF(Atletas!T509="Arma Maleável F",812,IF(Atletas!T509="Shuangdao A",813,IF(Atletas!T509="Shuangdao B",814,IF(Atletas!T509="Shuangdao C",815,IF(Atletas!T509="Shuangdao D",816,IF(Atletas!T509="Shuangdao E",817,IF(Atletas!T509="Shuangdao F",818,"")))))))))))))))))))</f>
        <v/>
      </c>
      <c r="CC518" s="50" t="str">
        <f>IF(Atletas!U509="","",IF(Atletas!X509&lt;&gt;"",10000,0)+IF(Atletas!B509="Feminino",1000,IF(Atletas!B509="Masculino",2000,""))+IF(OR(Atletas!U509="Taijijian Yang A",Atletas!U509="Taijijian Yang Standard A"),901,IF(OR(Atletas!U509="Taijijian Chen A", Atletas!U509="Taijijian Chen Standard A"),902,IF(Atletas!U509="Taijijian Sun A",903,IF(Atletas!U509="Taijijian Wu A",904,IF(Atletas!U509="Taijijian Wu-Hao A",905,IF(OR(Atletas!U509="Taijijian 32 A",Atletas!U509="Taijijian 42 A"),906,IF(OR(Atletas!U509="Taijijian Yang B",Atletas!U509="Taijijian Yang Standard B"),907,IF(OR(Atletas!U509="Taijijian Chen B", Atletas!U509="Taijijian Chen Standard B"),908,IF(Atletas!U509="Taijijian Sun B",909,IF(Atletas!U509="Taijijian Wu B",910,IF(Atletas!U509="Taijijian Wu-Hao B",911,IF(OR(Atletas!U509="Taijijian 32 B",Atletas!U509="Taijijian 42 B"),912,IF(OR(Atletas!U509="Taijijian Yang C",Atletas!U509="Taijijian Yang Standard C"),913,IF(OR(Atletas!U509="Taijijian Chen C", Atletas!U509="Taijijian Chen Standard C"),914,IF(Atletas!U509="Taijijian Sun C",915,IF(Atletas!U509="Taijijian Wu C",916,IF(Atletas!U509="Taijijian Wu-Hao C",917,IF(OR(Atletas!U509="Taijijian 32 C",Atletas!U509="Taijijian 42 C"),918,IF(OR(Atletas!U509="Taijijian Yang D",Atletas!U509="Taijijian Yang Standard D"),919,IF(OR(Atletas!U509="Taijijian Chen D", Atletas!U509="Taijijian Chen Standard D"),920,IF(Atletas!U509="Taijijian Sun D",921,IF(Atletas!U509="Taijijian Wu D",922,IF(Atletas!U509="Taijijian Wu-Hao D",923,IF(OR(Atletas!U509="Taijijian 32 D",Atletas!U509="Taijijian 42 D"),924,IF(OR(Atletas!U509="Taijijian Yang E",Atletas!U509="Taijijian Yang Standard E"),925,IF(OR(Atletas!U509="Taijijian Chen E", Atletas!U509="Taijijian Chen Standard E"),926,IF(Atletas!U509="Taijijian Sun E",927,IF(Atletas!U509="Taijijian Wu E",928,IF(Atletas!U509="Taijijian Wu-Hao E",929,IF(OR(Atletas!U509="Taijijian 32 E",Atletas!U509="Taijijian 42 E"),930,IF(OR(Atletas!U509="Taijijian Yang F",Atletas!U509="Taijijian Yang Standard F"),931,IF(OR(Atletas!U509="Taijijian Chen F", Atletas!U509="Taijijian Chen Standard F"),932,IF(Atletas!U509="Taijijian Sun F",933,IF(Atletas!U509="Taijijian Wu F",934,IF(Atletas!U509="Taijijian Wu-Hao F",935,IF(OR(Atletas!U509="Taijijian 32 F",Atletas!U509="Taijijian 42 F"),936,"")))))))))))))))))))))))))))))))))))))</f>
        <v/>
      </c>
      <c r="CD518" s="50" t="str">
        <f>IF(Atletas!V509="","",IF(Atletas!X509&lt;&gt;"",10000,0)+IF(Atletas!B509="Feminino",1000,IF(Atletas!B509="Masculino",2000,""))+IF(Atletas!V509="Taijidao A",937,IF(Atletas!V509="TaijiShanzi A",938,IF(Atletas!V509="Taijiqiang A",939,IF(Atletas!V509="Bagua de Arma A",940,IF(Atletas!V509="Xingyi de Arma A",941,IF(Atletas!V509="Taijidao B",942,IF(Atletas!V509="TaijiShanzi B",943,IF(Atletas!V509="Taijiqiang B",944,IF(Atletas!V509="Bagua de Arma B",945,IF(Atletas!V509="Xingyi de Arma B",946,IF(Atletas!V509="Taijidao C",947,IF(Atletas!V509="TaijiShanzi C",948,IF(Atletas!V509="Taijiqiang C",949,IF(Atletas!V509="Bagua de Arma C",950,IF(Atletas!V509="Xingyi de Arma C",951,IF(Atletas!V509="Taijidao D",952,IF(Atletas!V509="TaijiShanzi D",953,IF(Atletas!V509="Taijiqiang D",954,IF(Atletas!V509="Bagua de Arma D",955,IF(Atletas!V509="Xingyi de Arma D",956,IF(Atletas!V509="Taijidao E",957,IF(Atletas!V509="TaijiShanzi E",958,IF(Atletas!V509="Taijiqiang E",959,IF(Atletas!V509="Bagua de Arma E",960,IF(Atletas!V509="Xingyi de Arma E",961,IF(Atletas!V509="Taijidao F",962,IF(Atletas!V509="TaijiShanzi F",963,IF(Atletas!V509="Taijiqiang F",964,IF(Atletas!V509="Bagua de Arma F",965,IF(Atletas!V509="Xingyi de Arma F",966,"")))))))))))))))))))))))))))))))</f>
        <v/>
      </c>
      <c r="CM518" s="50" t="str">
        <f xml:space="preserve"> IF(Atletas!W509="","",IF(Atletas!W509="Duilian de Mãos BC - Equipe 1",1,IF(Atletas!W509="Duilian de Mãos BC - Equipe 2",2,IF(Atletas!W509="Duilian de Armas BC - Equipe 1",3,IF(Atletas!W509="Duilian de Armas BC - Equipe 2",4,IF(Atletas!W509="Duilian de Mãos DE - Equipe 1",5,IF(Atletas!W509="Duilian de Mãos DE - Equipe 2",6,IF(Atletas!W509="Duilian de Armas DE - Equipe 1",7,IF(Atletas!W509="Duilian de Armas DE - Equipe 2",8,IF(Atletas!W509="Duilian de Tuishou - Equipe 1",9,IF(Atletas!W509="Duilian de Tuishou - Equipe 2",10,IF(Atletas!W509="Grupo Externo ABC - Equipe 1",11,IF(Atletas!W509="Grupo Externo ABC - Equipe 2",12,IF(Atletas!W509="Grupo Interno ABC - Equipe 1",13,IF(Atletas!W509="Grupo Interno ABC - Equipe 2",14,IF(Atletas!W509="Grupo Externo DEF - Equipe 1",15,IF(Atletas!W509="Grupo Externo DEF - Equipe 2",16,IF(Atletas!W509="Grupo Interno DEF - Equipe 1",17,IF(Atletas!W509="Grupo Interno DEF - Equipe 2",18,"")))))))))))))))))))</f>
        <v/>
      </c>
    </row>
    <row r="519" spans="40:91">
      <c r="AN519" s="52" t="str">
        <f>IF(Atletas!D510="","",IF(Atletas!B510="Feminino",100,IF(Atletas!B510="Masculino",200,""))+(IF(Atletas!D510="Kids 30kg",1,IF(Atletas!D510="Kids 32kg",2, IF(Atletas!D510="Kids 34kg",3,IF(Atletas!D510="Kids 36kg",4,IF(Atletas!D510="Kids 39kg",5,IF(Atletas!D510="Kids 42kg",6,IF(Atletas!D510="Kids 45kg",7, IF(Atletas!D510="Infantil 39kg",8,IF(Atletas!D510="Infantil 42kg",9,IF(Atletas!D510="Infantil 45kg",10,IF(Atletas!D510="Infantil 48kg",11,IF(Atletas!D510="Infantil 52kg",12,IF(Atletas!D510="Infantil 56kg",13,IF(Atletas!D510="Infantil 60kg",14,IF(Atletas!D510="Juvenil 48kg",15,IF(Atletas!D510="Juvenil 52kg",16,IF(Atletas!D510="Juvenil 56kg",17,IF(Atletas!D510="Juvenil 60kg",18,IF(Atletas!D510="Juvenil 65kg",19,IF(Atletas!D510="Juvenil 70kg",20,IF(Atletas!D510="Juvenil 75kg",21,IF(Atletas!D510="Juvenil 80kg",22, IF(Atletas!D510="Juvenil 85kg",23,IF(Atletas!D510="Adulto 48kg",24,IF(Atletas!D510="Adulto 52kg",25,IF(Atletas!D510="Adulto 56kg",26,IF(Atletas!D510="Adulto 60kg",27,IF(Atletas!D510="Adulto 65kg",28,IF(Atletas!D510="Adulto 70kg",29,IF(Atletas!D510="Adulto 75kg",30,IF(Atletas!D510="Adulto 80kg",31,IF(Atletas!D510="Adulto 85kg",32,IF(Atletas!D510="Adulto 90kg",33,IF(Atletas!D510="Adulto 100kg",34, IF(Atletas!D510="Adulto +100kg",35,"")))))))))))))))))))))))))))))))))))))</f>
        <v/>
      </c>
      <c r="AS519" s="6" t="str">
        <f>IF(Atletas!E510="","",IF(Atletas!B510="Feminino",100,IF(Atletas!B510="Masculino",200,""))+(IF(Atletas!E510="Juvenil 44kg",1,IF(Atletas!E510="Juvenil 48kg",2,IF(Atletas!E510="Juvenil 52kg",3,IF(Atletas!E510="Juvenil 56kg",4,IF(Atletas!E510="Juvenil 60kg",5,IF(Atletas!E510="Juvenil 65kg",6,IF(Atletas!E510="Juvenil 70kg",7,IF(Atletas!E510="Juvenil 75kg",8,IF(Atletas!E510="Juvenil 82kg",9,IF(Atletas!E510="Juvenil 90kg",10,IF(Atletas!E510="Juvenil 100kg",11,IF(Atletas!E510="Adulto 48kg",12,IF(Atletas!E510="Adulto 52kg",13,IF(Atletas!E510="Adulto 56kg",14,IF(Atletas!E510="Adulto 60kg",15,IF(Atletas!E510="Adulto 65kg",16,IF(Atletas!E510="Adulto 70kg",17,IF(Atletas!E510="Adulto 75kg",18,IF(Atletas!E510="Adulto 82kg",19,IF(Atletas!E510="Adulto 90kg",20,IF(Atletas!E510="Adulto 100kg",21,IF(Atletas!E510="Adulto +100kg",22,""))))))))))))))))))))))))</f>
        <v/>
      </c>
      <c r="AX519" s="6" t="str">
        <f>IF(Atletas!F510="","",IF(Atletas!B510="Feminino",100,IF(Atletas!B510="Masculino",200,""))+(IF(Atletas!F510="Adulto 48kg",1,IF(Atletas!F510="Adulto 56kg",2,IF(Atletas!F510="Adulto 65kg",3,IF(Atletas!F510="Adulto 75kg",4,IF(Atletas!F510="Adulto +75kg",5,IF(Atletas!F510="Adulto 52kg",6,IF(Atletas!F510="Adulto 60kg",7,IF(Atletas!F510="Adulto 70kg",8,IF(Atletas!F510="Adulto 80kg",9,IF(Atletas!F510="Adulto 90kg",10,IF(Atletas!F510="Adulto +90kg",11,"")))))))))))))</f>
        <v/>
      </c>
      <c r="BC519" s="6" t="str">
        <f>IF(Atletas!G510="","",IF(Atletas!B510="Feminino",10,IF(Atletas!B510="Masculino",20,""))+(IF(Atletas!G510="Baduanjin A",1,IF(Atletas!G510="Baduanjin B",2))))</f>
        <v/>
      </c>
      <c r="BF519" s="52" t="str">
        <f>IF(Atletas!H510="","",IF(Atletas!B510="Feminino",100,IF(Atletas!B510="Masculino",200,""))+(IF(Atletas!H510="Changquan Mirim",1,IF(Atletas!H510="Nanquan Mirim",2,IF(Atletas!H510="Taijiquan Mirim",3,IF(Atletas!H510="Changquan Grupo C",4,IF(Atletas!H510="Nanquan Grupo C",5,IF(Atletas!H510="Taijiquan Grupo C",6,IF(Atletas!H510="Changquan Grupo B",7,IF(Atletas!H510="Nanquan Grupo B",8,IF(Atletas!H510="Taijiquan Grupo B",9,IF(Atletas!H510="Changquan Grupo A",10,IF(Atletas!H510="Nanquan Grupo A",11,IF(Atletas!H510="Taijiquan Grupo A",12,IF(Atletas!H510="Changquan Opcional",13,IF(Atletas!H510="Nanquan Opcional",14,IF(Atletas!H510="Taijiquan Opcional",15,IF(Atletas!H510="Changquan Adulto",16,IF(Atletas!H510="Nanquan Adulto",17,IF(Atletas!H510="Taijiquan Adulto",18,""))))))))))))))))))))</f>
        <v/>
      </c>
      <c r="BG519" s="52" t="str">
        <f>IF(Atletas!I510="","",IF(Atletas!B510="Feminino",100,IF(Atletas!B510="Masculino",200,""))+(IF(Atletas!I510="Daoshu Mirim",19,IF(Atletas!I510="Jianshu Mirim",20,IF(Atletas!I510="Nandao Mirim",21,IF(Atletas!I510="Taijijian Mirim",22,IF(Atletas!I510="Daoshu Grupo C",23,IF(Atletas!I510="Jianshu Grupo C",24,IF(Atletas!I510="Nandao Grupo C",25,IF(Atletas!I510="Taijijian Grupo C",26,IF(Atletas!I510="Daoshu Grupo B",27,IF(Atletas!I510="Jianshu Grupo B",28,IF(Atletas!I510="Nandao Grupo B",29,IF(Atletas!I510="Taijijian Grupo B",30,IF(Atletas!I510="Daoshu Grupo A",31,IF(Atletas!I510="Jianshu Grupo A",32,IF(Atletas!I510="Nandao Grupo A",33,IF(Atletas!I510="Taijijian Grupo A",34,IF(Atletas!I510="Daoshu Opcional",35,IF(Atletas!I510="Jianshu Opcional",36,IF(Atletas!I510="Nandao Opcional",37,IF(Atletas!I510="Taijijian Opcional",38,IF(Atletas!I510="Daoshu Adulto",39,IF(Atletas!I510="Jianshu Adulto",40,IF(Atletas!I510="Nandao Adulto",41,IF(Atletas!I510="Taijijian Adulto",42,""))))))))))))))))))))))))))</f>
        <v/>
      </c>
      <c r="BH519" s="52" t="str">
        <f>IF(Atletas!J510="","",IF(Atletas!B510="Feminino",100,IF(Atletas!B510="Masculino",200,""))+(IF(Atletas!J510="Gunshu Mirim",43,IF(Atletas!J510="Qiangshu Mirim",44,IF(Atletas!J510="Nangun Mirim",45,IF(Atletas!J510="Gunshu Grupo C",46,IF(Atletas!J510="Qiangshu Grupo C",47,IF(Atletas!J510="Nangun Grupo C",48,IF(Atletas!J510="Gunshu Grupo B",49,IF(Atletas!J510="Qiangshu Grupo B",50,IF(Atletas!J510="Nangun Grupo B",51,IF(Atletas!J510="Gunshu Grupo A",52,IF(Atletas!J510="Qiangshu Grupo A",53,IF(Atletas!J510="Nangun Grupo A",54,IF(Atletas!J510="Gunshu Opcional",55,IF(Atletas!J510="Qiangshu Opcional",56,IF(Atletas!J510="Nangun Opcional",57,IF(Atletas!J510="Gunshu Adulto",58,IF(Atletas!J510="Qiangshu Adulto",59,IF(Atletas!J510="Nangun Adulto",60,IF(Atletas!J510="Taijishan Grupo B",61,IF(Atletas!J510="Taijishan Grupo A",62,""))))))))))))))))))))))</f>
        <v/>
      </c>
      <c r="BM519" s="50" t="str">
        <f>IF(Atletas!K510="","",IF(Atletas!B510="Feminino",100,IF(Atletas!B510="Masculino",200,""))+(IF(Atletas!K510="Equipe 1 Grupo B",1,IF(Atletas!K510="Equipe 2 Grupo B",2,IF(Atletas!K510="Equipe 1 Grupo A",3,IF(Atletas!K510="Equipe 2 Grupo A",4,IF(Atletas!K510="Equipe 1 Adulto",5,IF(Atletas!K510="Equipe 2 Adulto",6,""))))))))</f>
        <v/>
      </c>
      <c r="BR519" s="50" t="str">
        <f>IF(Atletas!L510="","",IF(Atletas!X510&lt;&gt;"",10000,0)+(IF(Atletas!B510="Feminino",1000,IF(Atletas!B510="Masculino",2000,""))+IF(Atletas!L510="Choylayfut A",1,IF(Atletas!L510="Hunggar A",2,IF(Atletas!L510="Wuzuquan A",3,IF(Atletas!L510="Wingchun A",4,IF(Atletas!L510="Outra Mão de Sul A",5,IF(Atletas!L510="Choylayfut B",6,IF(Atletas!L510="Hunggar B",7,IF(Atletas!L510="Wuzuquan B",8,IF(Atletas!L510="Wingchun B",9,IF(Atletas!L510="Outra Mão de Sul B",10,IF(Atletas!L510="Choylayfut C",11,IF(Atletas!L510="Hunggar C",12,IF(Atletas!L510="Wuzuquan C",13,IF(Atletas!L510="Wingchun C",14,IF(Atletas!L510="Outra Mão de Sul C",15,IF(Atletas!L510="Choylayfut D",16,IF(Atletas!L510="Hunggar D",17,IF(Atletas!L510="Wuzuquan D",18,IF(Atletas!L510="Wingchun D",19,IF(Atletas!L510="Outra Mão de Sul D",20,IF(Atletas!L510="Choylayfut E",21,IF(Atletas!L510="Hunggar E",22,IF(Atletas!L510="Wuzuquan E",23,IF(Atletas!L510="Wingchun E",24,IF(Atletas!L510="Outra Mão de Sul E",25,IF(Atletas!L510="Choylayfut F",26,IF(Atletas!L510="Hunggar F",27,IF(Atletas!L510="Wuzuquan F",28,IF(Atletas!L510="Wingchun F",29,IF(Atletas!L510="Outra Mão de Sul F",30,IF(Atletas!L510="Dishuquan A",31,IF(Atletas!L510="Dishuquan B",32,IF(Atletas!L510="Dishuquan C",33,IF(Atletas!L510="Dishuquan D",34,IF(Atletas!L510="Dishuquan E",35,IF(Atletas!L510="Dishuquan F",36,""))))))))))))))))))))))))))))))))))))))</f>
        <v/>
      </c>
      <c r="BS519" s="50" t="str">
        <f>IF(Atletas!M510="","",IF(Atletas!X510&lt;&gt;"",10000,0)+(IF(Atletas!B510="Feminino",1000,IF(Atletas!B510="Masculino",2000,""))+(IF(Atletas!M510="Chaquan A",101,IF(Atletas!M510="Emeiquan A",102,IF(Atletas!M510="Fanziquan A",103,IF(Atletas!M510="Huaquan A",104,IF(Atletas!M510="Hongquan A",105,IF(Atletas!M510="Paoquan A",106,IF(Atletas!M510="Piguaquan A",107,IF(Atletas!M510="Shaolinquan A",108,IF(Atletas!M510="Tanglangquan A",109,IF(Atletas!M510="Yingzhaoquan A",110,IF(Atletas!M510="Tongbeiquan A",111,IF(Atletas!M510="Wudangquan A",112,IF(Atletas!M510="Outros Estilos A",113,IF(Atletas!M510="Chaquan B",114,IF(Atletas!M510="Emeiquan B",115,IF(Atletas!M510="Fanziquan B",116,IF(Atletas!M510="Huaquan B",117,IF(Atletas!M510="Hongquan B",118,IF(Atletas!M510="Paoquan B",119,IF(Atletas!M510="Piguaquan B",120,IF(Atletas!M510="Shaolinquan B",121,IF(Atletas!M510="Tanglangquan B",122,IF(Atletas!M510="Yingzhaoquan B",123,IF(Atletas!M510="Tongbeiquan B",124,IF(Atletas!M510="Wudangquan B",125,IF(Atletas!M510="Outros Estilos B",126,IF(Atletas!M510="Chaquan C",127,IF(Atletas!M510="Emeiquan C",128,IF(Atletas!M510="Fanziquan C",129,IF(Atletas!M510="Huaquan C",130,IF(Atletas!M510="Hongquan C",131,IF(Atletas!M510="Paoquan C",132,IF(Atletas!M510="Piguaquan C",133,IF(Atletas!M510="Shaolinquan C",134,IF(Atletas!M510="Tanglangquan C",135,IF(Atletas!M510="Yingzhaoquan C",136,IF(Atletas!M510="Tongbeiquan C",137,IF(Atletas!M510="Wudangquan C",138,IF(Atletas!M510="Outros Estilos C",139,0))))))))))))))))))))))))))))))))))))))))))</f>
        <v/>
      </c>
      <c r="BT519" s="50" t="str">
        <f>IF(Atletas!M510="","",IF(Atletas!X510&lt;&gt;"",10000,0)+(IF(Atletas!B510="Feminino",1000,IF(Atletas!B510="Masculino",2000,""))+(IF(Atletas!M510="Chaquan D",140,IF(Atletas!M510="Emeiquan D",141,IF(Atletas!M510="Fanziquan D",142,IF(Atletas!M510="Huaquan D",143,IF(Atletas!M510="Hongquan D",144,IF(Atletas!M510="Paoquan D",145,IF(Atletas!M510="Piguaquan D",146,IF(Atletas!M510="Shaolinquan D",147,IF(Atletas!M510="Tanglangquan D",148,IF(Atletas!M510="Yingzhaoquan D",149,IF(Atletas!M510="Tongbeiquan D",150,IF(Atletas!M510="Wudangquan D",151,IF(Atletas!M510="Outros Estilos D",152,IF(Atletas!M510="Chaquan E",153,IF(Atletas!M510="Emeiquan E",154,IF(Atletas!M510="Fanziquan E",155,IF(Atletas!M510="Huaquan E",156,IF(Atletas!M510="Hongquan E",157,IF(Atletas!M510="Paoquan E",158,IF(Atletas!M510="Piguaquan E",159,IF(Atletas!M510="Shaolinquan E",160,IF(Atletas!M510="Tanglangquan E",161,IF(Atletas!M510="Yingzhaoquan E",162,IF(Atletas!M510="Tongbeiquan E",163,IF(Atletas!M510="Wudangquan E",164,IF(Atletas!M510="Outros Estilos E",165,IF(Atletas!M510="Chaquan F",166,IF(Atletas!M510="Emeiquan F",167,IF(Atletas!M510="Fanziquan F",168,IF(Atletas!M510="Huaquan F",169,IF(Atletas!M510="Hongquan F",170,IF(Atletas!M510="Paoquan F",171,IF(Atletas!M510="Piguaquan F",172,IF(Atletas!M510="Shaolinquan F",173,IF(Atletas!M510="Tanglangquan F",174,IF(Atletas!M510="Yingzhaoquan F",175,IF(Atletas!M510="Tongbeiquan F",176,IF(Atletas!M510="Wudangquan F",177,IF(Atletas!M510="Outros Estilos F",178,0))))))))))))))))))))))))))))))))))))))))))</f>
        <v/>
      </c>
      <c r="BU519" s="50" t="str">
        <f>IF(Atletas!N510="","",IF(Atletas!X510&lt;&gt;"",10000,0)+(IF(Atletas!B510="Feminino",1000,IF(Atletas!B510="Masculino",2000,""))+(IF(Atletas!N510="Ditangquan A",201,IF(Atletas!N510="Houquan A",202,IF(Atletas!N510="Zuiquan A",203,IF(Atletas!N510="Ditangquan B",204,IF(Atletas!N510="Houquan B",205,IF(Atletas!N510="Zuiquan B",206,IF(Atletas!N510="Ditangquan C",207,IF(Atletas!N510="Houquan C",208,IF(Atletas!N510="Zuiquan C",209,IF(Atletas!N510="Ditangquan D",210,IF(Atletas!N510="Houquan D",211,IF(Atletas!N510="Zuiquan D",212,IF(Atletas!N510="Ditangquan E",213,IF(Atletas!N510="Houquan E",214,IF(Atletas!N510="Zuiquan E",215,IF(Atletas!N510="Ditangquan F",216,IF(Atletas!N510="Houquan F",217,IF(Atletas!N510="Zuiquan F",218,"")))))))))))))))))))))</f>
        <v/>
      </c>
      <c r="BV519" s="50" t="str">
        <f>IF(Atletas!O510="","",IF(Atletas!X510&lt;&gt;"",10000,0)+IF(Atletas!B510="Feminino",1000,IF(Atletas!B510="Masculino",2000,""))+IF(Atletas!O510="Yang A",301,IF(Atletas!O510="Chen A",302,IF(Atletas!O510="Sun A",303,IF(Atletas!O510="Wu A",304,IF(Atletas!O510="Wu-Hao A",305,IF(Atletas!O510="Outro Taijiquan A",306,IF(Atletas!O510="Yang B",307,IF(Atletas!O510="Chen B",308,IF(Atletas!O510="Sun B",309,IF(Atletas!O510="Wu B",310,IF(Atletas!O510="Wu-Hao B",311,IF(Atletas!O510="Outro Taijiquan B",312,IF(Atletas!O510="Yang C",313,IF(Atletas!O510="Chen C",314,IF(Atletas!O510="Sun C",315,IF(Atletas!O510="Wu C",316,IF(Atletas!O510="Wu-Hao C",317,IF(Atletas!O510="Outro Taijiquan C",318,IF(Atletas!O510="Yang D",319,IF(Atletas!O510="Chen D",320,IF(Atletas!O510="Sun D",321,IF(Atletas!O510="Wu D",322,IF(Atletas!O510="Wu-Hao D",323,IF(Atletas!O510="Outro Taijiquan D",324,IF(Atletas!O510="Yang E",325,IF(Atletas!O510="Chen E",326,IF(Atletas!O510="Sun E",327,IF(Atletas!O510="Wu E",328,IF(Atletas!O510="Wu-Hao E",329,IF(Atletas!O510="Outro Taijiquan E",330,IF(Atletas!O510="Yang F",331,IF(Atletas!O510="Chen F",332,IF(Atletas!O510="Sun F",333,IF(Atletas!O510="Wu F",334,IF(Atletas!O510="Wu-Hao F",335,IF(Atletas!O510="Outro Taijiquan F",336,"")))))))))))))))))))))))))))))))))))))</f>
        <v/>
      </c>
      <c r="BW519" s="50" t="str">
        <f>IF(Atletas!P510="","",IF(Atletas!X510&lt;&gt;"",10000,0)+IF(Atletas!B510="Feminino",1000,IF(Atletas!B510="Masculino",2000,""))+IF(OR(Atletas!P510="Yang 26 A",Atletas!P510="Yang 40 A"),401,IF(OR(Atletas!P510="Chen 25 A",Atletas!P510="Chen 36 A",Atletas!P510="Chen 56 A"),402,IF(Atletas!P510="Sun 73 A",403,IF(Atletas!P510="Wu 45 A",404,IF(Atletas!P510="Wu-Hao 46 A",405,IF(OR(Atletas!P510="Taijiquan 16 A",Atletas!P510="Taijiquan 24 A",Atletas!P510="Taijiquan 32 A",Atletas!P510="Taijiquan 42 A"),406,IF(OR(Atletas!P510="Yang 26 B",Atletas!P510="Yang 40 B"),407,IF(OR(Atletas!P510="Chen 25 B",Atletas!P510="Chen 36 B",Atletas!P510="Chen 56 B"),408,IF(Atletas!P510="Sun 73 B",409,IF(Atletas!P510="Wu 45 B",410,IF(Atletas!P510="Wu-Hao 46 B",411,IF(OR(Atletas!P510="Taijiquan 16 B",Atletas!P510="Taijiquan 24 B",Atletas!P510="Taijiquan 32 B",Atletas!P510="Taijiquan 42 B"),412,IF(OR(Atletas!P510="Yang 26 C",Atletas!P510="Yang 40 C"),413,IF(OR(Atletas!P510="Chen 25 C",Atletas!P510="Chen 36 C",Atletas!P510="Chen 56 C"),414,IF(Atletas!P510="Sun 73 C",415,IF(Atletas!P510="Wu 45 C",416,IF(Atletas!P510="Wu-Hao 46 C",417,IF(OR(Atletas!P510="Taijiquan 16 C",Atletas!P510="Taijiquan 24 C",Atletas!P510="Taijiquan 32 C",Atletas!P510="Taijiquan 42 C"),418,0)))))))))))))))))))</f>
        <v/>
      </c>
      <c r="BX519" s="50" t="str">
        <f>IF(Atletas!P510="","",IF(Atletas!X510&lt;&gt;"",10000,0)+IF(Atletas!B510="Feminino",1000,IF(Atletas!B510="Masculino",2000,""))+IF(OR(Atletas!P510="Yang 26 D",Atletas!P510="Yang 40 D"),419,IF(OR(Atletas!P510="Chen 25 D",Atletas!P510="Chen 36 D",Atletas!P510="Chen 56 D"),420,IF(Atletas!P510="Sun 73 D",421,IF(Atletas!P510="Wu 45 D",422,IF(Atletas!P510="Wu-Hao 46 D",423,IF(OR(Atletas!P510="Taijiquan 16 D",Atletas!P510="Taijiquan 24 D",Atletas!P510="Taijiquan 32 D",Atletas!P510="Taijiquan 42 D"),424,IF(OR(Atletas!P510="Yang 26 E",Atletas!P510="Yang 40 E"),425,IF(OR(Atletas!P510="Chen 25 E",Atletas!P510="Chen 36 E",Atletas!P510="Chen 56 E"),426,IF(Atletas!P510="Sun 73 E",427,IF(Atletas!P510="Wu 45 E",428,IF(Atletas!P510="Wu-Hao 46 E",429,IF(OR(Atletas!P510="Taijiquan 16 E",Atletas!P510="Taijiquan 24 E",Atletas!P510="Taijiquan 32 E",Atletas!P510="Taijiquan 42 E"),430,IF(OR(Atletas!P510="Yang 26 F",Atletas!P510="Yang 40 F"),431,IF(OR(Atletas!P510="Chen 25 F",Atletas!P510="Chen 36 F",Atletas!P510="Chen 56 F"),432,IF(Atletas!P510="Sun 73 F",433,IF(Atletas!P510="Wu 45 F",434,IF(Atletas!P510="Wu-Hao 46 F",435,IF(OR(Atletas!P510="Taijiquan 16 F",Atletas!P510="Taijiquan 24 F",Atletas!P510="Taijiquan 32 F",Atletas!P510="Taijiquan 42 F"),436,0)))))))))))))))))))</f>
        <v/>
      </c>
      <c r="BY519" s="50" t="str">
        <f>IF(Atletas!Q510="","",IF(Atletas!X510&lt;&gt;"",10000,0)+IF(Atletas!B510="Feminino",1000,IF(Atletas!B510="Masculino",2000,""))+IF(Atletas!Q510="Xingyiquan A",501,IF(Atletas!Q510="Baguazhang A",502,IF(Atletas!Q510="Outro Estilo Interno A",503,IF(Atletas!Q510="Xingyiquan B",504,IF(Atletas!Q510="Baguazhang B",505,IF(Atletas!Q510="Outro Estilo Interno B",506,IF(Atletas!Q510="Xingyiquan C",507,IF(Atletas!Q510="Baguazhang C",508,IF(Atletas!Q510="Outro Estilo Interno C",509,IF(Atletas!Q510="Xingyiquan D",510,IF(Atletas!Q510="Baguazhang D",511,IF(Atletas!Q510="Outro Estilo Interno D",512,IF(Atletas!Q510="Xingyiquan E",513,IF(Atletas!Q510="Baguazhang E",514,IF(Atletas!Q510="Outro Estilo Interno E",515,IF(Atletas!Q510="Xingyiquan F",516,IF(Atletas!Q510="Baguazhang F",517,IF(Atletas!Q510="Outro Estilo Interno F",518, "")))))))))))))))))))</f>
        <v/>
      </c>
      <c r="BZ519" s="50" t="str">
        <f>IF(Atletas!R510="","",IF(Atletas!X510&lt;&gt;"",10000,0)+IF(Atletas!B510="Feminino",1000,IF(Atletas!B510="Masculino",2000,""))+IF(Atletas!R510="Dao A",601,IF(Atletas!R510="Jian A",602,IF(Atletas!R510="Bishou A",603,IF(Atletas!R510="Shanzi A",604,IF(Atletas!R510="Outra Arma Curta A",605,IF(Atletas!R510="Dao B",606,IF(Atletas!R510="Jian B",607,IF(Atletas!R510="Bishou B",608,IF(Atletas!R510="Shanzi B",609,IF(Atletas!R510="Outra Arma Curta B",610,IF(Atletas!R510="Dao C",611,IF(Atletas!R510="Jian C",612,IF(Atletas!R510="Bishou C",613,IF(Atletas!R510="Shanzi C",614,IF(Atletas!R510="Outra Arma Curta C",615,IF(Atletas!R510="Dao D",616,IF(Atletas!R510="Jian D",617,IF(Atletas!R510="Bishou D",618,IF(Atletas!R510="Shanzi D",619,IF(Atletas!R510="Outra Arma Curta D",620,IF(Atletas!R510="Dao E",621,IF(Atletas!R510="Jian E",622,IF(Atletas!R510="Bishou E",623,IF(Atletas!R510="Shanzi E",624,IF(Atletas!R510="Outra Arma Curta E",625,IF(Atletas!R510="Dao F",626,IF(Atletas!R510="Jian F",627,IF(Atletas!R510="Bishou F",628,IF(Atletas!R510="Shanzi F",629,IF(Atletas!R510="Outra Arma Curta F",630, "")))))))))))))))))))))))))))))))</f>
        <v/>
      </c>
      <c r="CA519" s="50" t="str">
        <f>IF(Atletas!S510="","",IF(Atletas!X510&lt;&gt;"",10000,0)+IF(Atletas!B510="Feminino",1000,IF(Atletas!B510="Masculino",2000,""))+IF(Atletas!S510="Gun A",701,IF(Atletas!S510="Qiang A",702,IF(Atletas!S510="Pudao / Guandao A",703,IF(Atletas!S510="Outra Arma Longa A",704,IF(Atletas!S510="Gun B",705,IF(Atletas!S510="Qiang B",706,IF(Atletas!S510="Pudao / Guandao B",707,IF(Atletas!S510="Outra Arma Longa B",708,IF(Atletas!S510="Gun C",709,IF(Atletas!S510="Qiang C",710,IF(Atletas!S510="Pudao / Guandao C",711,IF(Atletas!S510="Outra Arma Longa C",712,IF(Atletas!S510="Gun D",713,IF(Atletas!S510="Qiang D",714,IF(Atletas!S510="Pudao / Guandao D",715,IF(Atletas!S510="Outra Arma Longa D",716,IF(Atletas!S510="Gun E",717,IF(Atletas!S510="Qiang E",718,IF(Atletas!S510="Pudao / Guandao E",719,IF(Atletas!S510="Outra Arma Longa E",720,IF(Atletas!S510="Gun F",721,IF(Atletas!S510="Qiang F",722,IF(Atletas!S510="Pudao / Guandao F",723,IF(Atletas!S510="Outra Arma Longa F",724,"")))))))))))))))))))))))))</f>
        <v/>
      </c>
      <c r="CB519" s="50" t="str">
        <f>IF(Atletas!T510="","",IF(Atletas!X510&lt;&gt;"",10000,0)+IF(Atletas!B510="Feminino",1000,IF(Atletas!B510="Masculino",2000,""))+IF(Atletas!T510="Outra Arma Dupla A",801,IF(Atletas!T510="Arma Maleável A",802,IF(Atletas!T510="Outra Arma Dupla B",803,IF(Atletas!T510="Arma Maleável B",804,IF(Atletas!T510="Outra Arma Dupla C",805,IF(Atletas!T510="Arma Maleável C",806,IF(Atletas!T510="Outra Arma Dupla D",807,IF(Atletas!T510="Arma Maleável D",808,IF(Atletas!T510="Outra Arma Dupla E",809,IF(Atletas!T510="Arma Maleável E",810,IF(Atletas!T510="Outra Arma Dupla F",811,IF(Atletas!T510="Arma Maleável F",812,IF(Atletas!T510="Shuangdao A",813,IF(Atletas!T510="Shuangdao B",814,IF(Atletas!T510="Shuangdao C",815,IF(Atletas!T510="Shuangdao D",816,IF(Atletas!T510="Shuangdao E",817,IF(Atletas!T510="Shuangdao F",818,"")))))))))))))))))))</f>
        <v/>
      </c>
      <c r="CC519" s="50" t="str">
        <f>IF(Atletas!U510="","",IF(Atletas!X510&lt;&gt;"",10000,0)+IF(Atletas!B510="Feminino",1000,IF(Atletas!B510="Masculino",2000,""))+IF(OR(Atletas!U510="Taijijian Yang A",Atletas!U510="Taijijian Yang Standard A"),901,IF(OR(Atletas!U510="Taijijian Chen A", Atletas!U510="Taijijian Chen Standard A"),902,IF(Atletas!U510="Taijijian Sun A",903,IF(Atletas!U510="Taijijian Wu A",904,IF(Atletas!U510="Taijijian Wu-Hao A",905,IF(OR(Atletas!U510="Taijijian 32 A",Atletas!U510="Taijijian 42 A"),906,IF(OR(Atletas!U510="Taijijian Yang B",Atletas!U510="Taijijian Yang Standard B"),907,IF(OR(Atletas!U510="Taijijian Chen B", Atletas!U510="Taijijian Chen Standard B"),908,IF(Atletas!U510="Taijijian Sun B",909,IF(Atletas!U510="Taijijian Wu B",910,IF(Atletas!U510="Taijijian Wu-Hao B",911,IF(OR(Atletas!U510="Taijijian 32 B",Atletas!U510="Taijijian 42 B"),912,IF(OR(Atletas!U510="Taijijian Yang C",Atletas!U510="Taijijian Yang Standard C"),913,IF(OR(Atletas!U510="Taijijian Chen C", Atletas!U510="Taijijian Chen Standard C"),914,IF(Atletas!U510="Taijijian Sun C",915,IF(Atletas!U510="Taijijian Wu C",916,IF(Atletas!U510="Taijijian Wu-Hao C",917,IF(OR(Atletas!U510="Taijijian 32 C",Atletas!U510="Taijijian 42 C"),918,IF(OR(Atletas!U510="Taijijian Yang D",Atletas!U510="Taijijian Yang Standard D"),919,IF(OR(Atletas!U510="Taijijian Chen D", Atletas!U510="Taijijian Chen Standard D"),920,IF(Atletas!U510="Taijijian Sun D",921,IF(Atletas!U510="Taijijian Wu D",922,IF(Atletas!U510="Taijijian Wu-Hao D",923,IF(OR(Atletas!U510="Taijijian 32 D",Atletas!U510="Taijijian 42 D"),924,IF(OR(Atletas!U510="Taijijian Yang E",Atletas!U510="Taijijian Yang Standard E"),925,IF(OR(Atletas!U510="Taijijian Chen E", Atletas!U510="Taijijian Chen Standard E"),926,IF(Atletas!U510="Taijijian Sun E",927,IF(Atletas!U510="Taijijian Wu E",928,IF(Atletas!U510="Taijijian Wu-Hao E",929,IF(OR(Atletas!U510="Taijijian 32 E",Atletas!U510="Taijijian 42 E"),930,IF(OR(Atletas!U510="Taijijian Yang F",Atletas!U510="Taijijian Yang Standard F"),931,IF(OR(Atletas!U510="Taijijian Chen F", Atletas!U510="Taijijian Chen Standard F"),932,IF(Atletas!U510="Taijijian Sun F",933,IF(Atletas!U510="Taijijian Wu F",934,IF(Atletas!U510="Taijijian Wu-Hao F",935,IF(OR(Atletas!U510="Taijijian 32 F",Atletas!U510="Taijijian 42 F"),936,"")))))))))))))))))))))))))))))))))))))</f>
        <v/>
      </c>
      <c r="CD519" s="50" t="str">
        <f>IF(Atletas!V510="","",IF(Atletas!X510&lt;&gt;"",10000,0)+IF(Atletas!B510="Feminino",1000,IF(Atletas!B510="Masculino",2000,""))+IF(Atletas!V510="Taijidao A",937,IF(Atletas!V510="TaijiShanzi A",938,IF(Atletas!V510="Taijiqiang A",939,IF(Atletas!V510="Bagua de Arma A",940,IF(Atletas!V510="Xingyi de Arma A",941,IF(Atletas!V510="Taijidao B",942,IF(Atletas!V510="TaijiShanzi B",943,IF(Atletas!V510="Taijiqiang B",944,IF(Atletas!V510="Bagua de Arma B",945,IF(Atletas!V510="Xingyi de Arma B",946,IF(Atletas!V510="Taijidao C",947,IF(Atletas!V510="TaijiShanzi C",948,IF(Atletas!V510="Taijiqiang C",949,IF(Atletas!V510="Bagua de Arma C",950,IF(Atletas!V510="Xingyi de Arma C",951,IF(Atletas!V510="Taijidao D",952,IF(Atletas!V510="TaijiShanzi D",953,IF(Atletas!V510="Taijiqiang D",954,IF(Atletas!V510="Bagua de Arma D",955,IF(Atletas!V510="Xingyi de Arma D",956,IF(Atletas!V510="Taijidao E",957,IF(Atletas!V510="TaijiShanzi E",958,IF(Atletas!V510="Taijiqiang E",959,IF(Atletas!V510="Bagua de Arma E",960,IF(Atletas!V510="Xingyi de Arma E",961,IF(Atletas!V510="Taijidao F",962,IF(Atletas!V510="TaijiShanzi F",963,IF(Atletas!V510="Taijiqiang F",964,IF(Atletas!V510="Bagua de Arma F",965,IF(Atletas!V510="Xingyi de Arma F",966,"")))))))))))))))))))))))))))))))</f>
        <v/>
      </c>
      <c r="CM519" s="50" t="str">
        <f xml:space="preserve"> IF(Atletas!W510="","",IF(Atletas!W510="Duilian de Mãos BC - Equipe 1",1,IF(Atletas!W510="Duilian de Mãos BC - Equipe 2",2,IF(Atletas!W510="Duilian de Armas BC - Equipe 1",3,IF(Atletas!W510="Duilian de Armas BC - Equipe 2",4,IF(Atletas!W510="Duilian de Mãos DE - Equipe 1",5,IF(Atletas!W510="Duilian de Mãos DE - Equipe 2",6,IF(Atletas!W510="Duilian de Armas DE - Equipe 1",7,IF(Atletas!W510="Duilian de Armas DE - Equipe 2",8,IF(Atletas!W510="Duilian de Tuishou - Equipe 1",9,IF(Atletas!W510="Duilian de Tuishou - Equipe 2",10,IF(Atletas!W510="Grupo Externo ABC - Equipe 1",11,IF(Atletas!W510="Grupo Externo ABC - Equipe 2",12,IF(Atletas!W510="Grupo Interno ABC - Equipe 1",13,IF(Atletas!W510="Grupo Interno ABC - Equipe 2",14,IF(Atletas!W510="Grupo Externo DEF - Equipe 1",15,IF(Atletas!W510="Grupo Externo DEF - Equipe 2",16,IF(Atletas!W510="Grupo Interno DEF - Equipe 1",17,IF(Atletas!W510="Grupo Interno DEF - Equipe 2",18,"")))))))))))))))))))</f>
        <v/>
      </c>
    </row>
    <row r="520" spans="40:91">
      <c r="AN520" s="52" t="str">
        <f>IF(Atletas!D511="","",IF(Atletas!B511="Feminino",100,IF(Atletas!B511="Masculino",200,""))+(IF(Atletas!D511="Kids 30kg",1,IF(Atletas!D511="Kids 32kg",2, IF(Atletas!D511="Kids 34kg",3,IF(Atletas!D511="Kids 36kg",4,IF(Atletas!D511="Kids 39kg",5,IF(Atletas!D511="Kids 42kg",6,IF(Atletas!D511="Kids 45kg",7, IF(Atletas!D511="Infantil 39kg",8,IF(Atletas!D511="Infantil 42kg",9,IF(Atletas!D511="Infantil 45kg",10,IF(Atletas!D511="Infantil 48kg",11,IF(Atletas!D511="Infantil 52kg",12,IF(Atletas!D511="Infantil 56kg",13,IF(Atletas!D511="Infantil 60kg",14,IF(Atletas!D511="Juvenil 48kg",15,IF(Atletas!D511="Juvenil 52kg",16,IF(Atletas!D511="Juvenil 56kg",17,IF(Atletas!D511="Juvenil 60kg",18,IF(Atletas!D511="Juvenil 65kg",19,IF(Atletas!D511="Juvenil 70kg",20,IF(Atletas!D511="Juvenil 75kg",21,IF(Atletas!D511="Juvenil 80kg",22, IF(Atletas!D511="Juvenil 85kg",23,IF(Atletas!D511="Adulto 48kg",24,IF(Atletas!D511="Adulto 52kg",25,IF(Atletas!D511="Adulto 56kg",26,IF(Atletas!D511="Adulto 60kg",27,IF(Atletas!D511="Adulto 65kg",28,IF(Atletas!D511="Adulto 70kg",29,IF(Atletas!D511="Adulto 75kg",30,IF(Atletas!D511="Adulto 80kg",31,IF(Atletas!D511="Adulto 85kg",32,IF(Atletas!D511="Adulto 90kg",33,IF(Atletas!D511="Adulto 100kg",34, IF(Atletas!D511="Adulto +100kg",35,"")))))))))))))))))))))))))))))))))))))</f>
        <v/>
      </c>
      <c r="AS520" s="6" t="str">
        <f>IF(Atletas!E511="","",IF(Atletas!B511="Feminino",100,IF(Atletas!B511="Masculino",200,""))+(IF(Atletas!E511="Juvenil 44kg",1,IF(Atletas!E511="Juvenil 48kg",2,IF(Atletas!E511="Juvenil 52kg",3,IF(Atletas!E511="Juvenil 56kg",4,IF(Atletas!E511="Juvenil 60kg",5,IF(Atletas!E511="Juvenil 65kg",6,IF(Atletas!E511="Juvenil 70kg",7,IF(Atletas!E511="Juvenil 75kg",8,IF(Atletas!E511="Juvenil 82kg",9,IF(Atletas!E511="Juvenil 90kg",10,IF(Atletas!E511="Juvenil 100kg",11,IF(Atletas!E511="Adulto 48kg",12,IF(Atletas!E511="Adulto 52kg",13,IF(Atletas!E511="Adulto 56kg",14,IF(Atletas!E511="Adulto 60kg",15,IF(Atletas!E511="Adulto 65kg",16,IF(Atletas!E511="Adulto 70kg",17,IF(Atletas!E511="Adulto 75kg",18,IF(Atletas!E511="Adulto 82kg",19,IF(Atletas!E511="Adulto 90kg",20,IF(Atletas!E511="Adulto 100kg",21,IF(Atletas!E511="Adulto +100kg",22,""))))))))))))))))))))))))</f>
        <v/>
      </c>
      <c r="AX520" s="6" t="str">
        <f>IF(Atletas!F511="","",IF(Atletas!B511="Feminino",100,IF(Atletas!B511="Masculino",200,""))+(IF(Atletas!F511="Adulto 48kg",1,IF(Atletas!F511="Adulto 56kg",2,IF(Atletas!F511="Adulto 65kg",3,IF(Atletas!F511="Adulto 75kg",4,IF(Atletas!F511="Adulto +75kg",5,IF(Atletas!F511="Adulto 52kg",6,IF(Atletas!F511="Adulto 60kg",7,IF(Atletas!F511="Adulto 70kg",8,IF(Atletas!F511="Adulto 80kg",9,IF(Atletas!F511="Adulto 90kg",10,IF(Atletas!F511="Adulto +90kg",11,"")))))))))))))</f>
        <v/>
      </c>
      <c r="BC520" s="6" t="str">
        <f>IF(Atletas!G511="","",IF(Atletas!B511="Feminino",10,IF(Atletas!B511="Masculino",20,""))+(IF(Atletas!G511="Baduanjin A",1,IF(Atletas!G511="Baduanjin B",2))))</f>
        <v/>
      </c>
      <c r="BF520" s="52" t="str">
        <f>IF(Atletas!H511="","",IF(Atletas!B511="Feminino",100,IF(Atletas!B511="Masculino",200,""))+(IF(Atletas!H511="Changquan Mirim",1,IF(Atletas!H511="Nanquan Mirim",2,IF(Atletas!H511="Taijiquan Mirim",3,IF(Atletas!H511="Changquan Grupo C",4,IF(Atletas!H511="Nanquan Grupo C",5,IF(Atletas!H511="Taijiquan Grupo C",6,IF(Atletas!H511="Changquan Grupo B",7,IF(Atletas!H511="Nanquan Grupo B",8,IF(Atletas!H511="Taijiquan Grupo B",9,IF(Atletas!H511="Changquan Grupo A",10,IF(Atletas!H511="Nanquan Grupo A",11,IF(Atletas!H511="Taijiquan Grupo A",12,IF(Atletas!H511="Changquan Opcional",13,IF(Atletas!H511="Nanquan Opcional",14,IF(Atletas!H511="Taijiquan Opcional",15,IF(Atletas!H511="Changquan Adulto",16,IF(Atletas!H511="Nanquan Adulto",17,IF(Atletas!H511="Taijiquan Adulto",18,""))))))))))))))))))))</f>
        <v/>
      </c>
      <c r="BG520" s="52" t="str">
        <f>IF(Atletas!I511="","",IF(Atletas!B511="Feminino",100,IF(Atletas!B511="Masculino",200,""))+(IF(Atletas!I511="Daoshu Mirim",19,IF(Atletas!I511="Jianshu Mirim",20,IF(Atletas!I511="Nandao Mirim",21,IF(Atletas!I511="Taijijian Mirim",22,IF(Atletas!I511="Daoshu Grupo C",23,IF(Atletas!I511="Jianshu Grupo C",24,IF(Atletas!I511="Nandao Grupo C",25,IF(Atletas!I511="Taijijian Grupo C",26,IF(Atletas!I511="Daoshu Grupo B",27,IF(Atletas!I511="Jianshu Grupo B",28,IF(Atletas!I511="Nandao Grupo B",29,IF(Atletas!I511="Taijijian Grupo B",30,IF(Atletas!I511="Daoshu Grupo A",31,IF(Atletas!I511="Jianshu Grupo A",32,IF(Atletas!I511="Nandao Grupo A",33,IF(Atletas!I511="Taijijian Grupo A",34,IF(Atletas!I511="Daoshu Opcional",35,IF(Atletas!I511="Jianshu Opcional",36,IF(Atletas!I511="Nandao Opcional",37,IF(Atletas!I511="Taijijian Opcional",38,IF(Atletas!I511="Daoshu Adulto",39,IF(Atletas!I511="Jianshu Adulto",40,IF(Atletas!I511="Nandao Adulto",41,IF(Atletas!I511="Taijijian Adulto",42,""))))))))))))))))))))))))))</f>
        <v/>
      </c>
      <c r="BH520" s="52" t="str">
        <f>IF(Atletas!J511="","",IF(Atletas!B511="Feminino",100,IF(Atletas!B511="Masculino",200,""))+(IF(Atletas!J511="Gunshu Mirim",43,IF(Atletas!J511="Qiangshu Mirim",44,IF(Atletas!J511="Nangun Mirim",45,IF(Atletas!J511="Gunshu Grupo C",46,IF(Atletas!J511="Qiangshu Grupo C",47,IF(Atletas!J511="Nangun Grupo C",48,IF(Atletas!J511="Gunshu Grupo B",49,IF(Atletas!J511="Qiangshu Grupo B",50,IF(Atletas!J511="Nangun Grupo B",51,IF(Atletas!J511="Gunshu Grupo A",52,IF(Atletas!J511="Qiangshu Grupo A",53,IF(Atletas!J511="Nangun Grupo A",54,IF(Atletas!J511="Gunshu Opcional",55,IF(Atletas!J511="Qiangshu Opcional",56,IF(Atletas!J511="Nangun Opcional",57,IF(Atletas!J511="Gunshu Adulto",58,IF(Atletas!J511="Qiangshu Adulto",59,IF(Atletas!J511="Nangun Adulto",60,IF(Atletas!J511="Taijishan Grupo B",61,IF(Atletas!J511="Taijishan Grupo A",62,""))))))))))))))))))))))</f>
        <v/>
      </c>
      <c r="BM520" s="50" t="str">
        <f>IF(Atletas!K511="","",IF(Atletas!B511="Feminino",100,IF(Atletas!B511="Masculino",200,""))+(IF(Atletas!K511="Equipe 1 Grupo B",1,IF(Atletas!K511="Equipe 2 Grupo B",2,IF(Atletas!K511="Equipe 1 Grupo A",3,IF(Atletas!K511="Equipe 2 Grupo A",4,IF(Atletas!K511="Equipe 1 Adulto",5,IF(Atletas!K511="Equipe 2 Adulto",6,""))))))))</f>
        <v/>
      </c>
      <c r="BR520" s="50" t="str">
        <f>IF(Atletas!L511="","",IF(Atletas!X511&lt;&gt;"",10000,0)+(IF(Atletas!B511="Feminino",1000,IF(Atletas!B511="Masculino",2000,""))+IF(Atletas!L511="Choylayfut A",1,IF(Atletas!L511="Hunggar A",2,IF(Atletas!L511="Wuzuquan A",3,IF(Atletas!L511="Wingchun A",4,IF(Atletas!L511="Outra Mão de Sul A",5,IF(Atletas!L511="Choylayfut B",6,IF(Atletas!L511="Hunggar B",7,IF(Atletas!L511="Wuzuquan B",8,IF(Atletas!L511="Wingchun B",9,IF(Atletas!L511="Outra Mão de Sul B",10,IF(Atletas!L511="Choylayfut C",11,IF(Atletas!L511="Hunggar C",12,IF(Atletas!L511="Wuzuquan C",13,IF(Atletas!L511="Wingchun C",14,IF(Atletas!L511="Outra Mão de Sul C",15,IF(Atletas!L511="Choylayfut D",16,IF(Atletas!L511="Hunggar D",17,IF(Atletas!L511="Wuzuquan D",18,IF(Atletas!L511="Wingchun D",19,IF(Atletas!L511="Outra Mão de Sul D",20,IF(Atletas!L511="Choylayfut E",21,IF(Atletas!L511="Hunggar E",22,IF(Atletas!L511="Wuzuquan E",23,IF(Atletas!L511="Wingchun E",24,IF(Atletas!L511="Outra Mão de Sul E",25,IF(Atletas!L511="Choylayfut F",26,IF(Atletas!L511="Hunggar F",27,IF(Atletas!L511="Wuzuquan F",28,IF(Atletas!L511="Wingchun F",29,IF(Atletas!L511="Outra Mão de Sul F",30,IF(Atletas!L511="Dishuquan A",31,IF(Atletas!L511="Dishuquan B",32,IF(Atletas!L511="Dishuquan C",33,IF(Atletas!L511="Dishuquan D",34,IF(Atletas!L511="Dishuquan E",35,IF(Atletas!L511="Dishuquan F",36,""))))))))))))))))))))))))))))))))))))))</f>
        <v/>
      </c>
      <c r="BS520" s="50" t="str">
        <f>IF(Atletas!M511="","",IF(Atletas!X511&lt;&gt;"",10000,0)+(IF(Atletas!B511="Feminino",1000,IF(Atletas!B511="Masculino",2000,""))+(IF(Atletas!M511="Chaquan A",101,IF(Atletas!M511="Emeiquan A",102,IF(Atletas!M511="Fanziquan A",103,IF(Atletas!M511="Huaquan A",104,IF(Atletas!M511="Hongquan A",105,IF(Atletas!M511="Paoquan A",106,IF(Atletas!M511="Piguaquan A",107,IF(Atletas!M511="Shaolinquan A",108,IF(Atletas!M511="Tanglangquan A",109,IF(Atletas!M511="Yingzhaoquan A",110,IF(Atletas!M511="Tongbeiquan A",111,IF(Atletas!M511="Wudangquan A",112,IF(Atletas!M511="Outros Estilos A",113,IF(Atletas!M511="Chaquan B",114,IF(Atletas!M511="Emeiquan B",115,IF(Atletas!M511="Fanziquan B",116,IF(Atletas!M511="Huaquan B",117,IF(Atletas!M511="Hongquan B",118,IF(Atletas!M511="Paoquan B",119,IF(Atletas!M511="Piguaquan B",120,IF(Atletas!M511="Shaolinquan B",121,IF(Atletas!M511="Tanglangquan B",122,IF(Atletas!M511="Yingzhaoquan B",123,IF(Atletas!M511="Tongbeiquan B",124,IF(Atletas!M511="Wudangquan B",125,IF(Atletas!M511="Outros Estilos B",126,IF(Atletas!M511="Chaquan C",127,IF(Atletas!M511="Emeiquan C",128,IF(Atletas!M511="Fanziquan C",129,IF(Atletas!M511="Huaquan C",130,IF(Atletas!M511="Hongquan C",131,IF(Atletas!M511="Paoquan C",132,IF(Atletas!M511="Piguaquan C",133,IF(Atletas!M511="Shaolinquan C",134,IF(Atletas!M511="Tanglangquan C",135,IF(Atletas!M511="Yingzhaoquan C",136,IF(Atletas!M511="Tongbeiquan C",137,IF(Atletas!M511="Wudangquan C",138,IF(Atletas!M511="Outros Estilos C",139,0))))))))))))))))))))))))))))))))))))))))))</f>
        <v/>
      </c>
      <c r="BT520" s="50" t="str">
        <f>IF(Atletas!M511="","",IF(Atletas!X511&lt;&gt;"",10000,0)+(IF(Atletas!B511="Feminino",1000,IF(Atletas!B511="Masculino",2000,""))+(IF(Atletas!M511="Chaquan D",140,IF(Atletas!M511="Emeiquan D",141,IF(Atletas!M511="Fanziquan D",142,IF(Atletas!M511="Huaquan D",143,IF(Atletas!M511="Hongquan D",144,IF(Atletas!M511="Paoquan D",145,IF(Atletas!M511="Piguaquan D",146,IF(Atletas!M511="Shaolinquan D",147,IF(Atletas!M511="Tanglangquan D",148,IF(Atletas!M511="Yingzhaoquan D",149,IF(Atletas!M511="Tongbeiquan D",150,IF(Atletas!M511="Wudangquan D",151,IF(Atletas!M511="Outros Estilos D",152,IF(Atletas!M511="Chaquan E",153,IF(Atletas!M511="Emeiquan E",154,IF(Atletas!M511="Fanziquan E",155,IF(Atletas!M511="Huaquan E",156,IF(Atletas!M511="Hongquan E",157,IF(Atletas!M511="Paoquan E",158,IF(Atletas!M511="Piguaquan E",159,IF(Atletas!M511="Shaolinquan E",160,IF(Atletas!M511="Tanglangquan E",161,IF(Atletas!M511="Yingzhaoquan E",162,IF(Atletas!M511="Tongbeiquan E",163,IF(Atletas!M511="Wudangquan E",164,IF(Atletas!M511="Outros Estilos E",165,IF(Atletas!M511="Chaquan F",166,IF(Atletas!M511="Emeiquan F",167,IF(Atletas!M511="Fanziquan F",168,IF(Atletas!M511="Huaquan F",169,IF(Atletas!M511="Hongquan F",170,IF(Atletas!M511="Paoquan F",171,IF(Atletas!M511="Piguaquan F",172,IF(Atletas!M511="Shaolinquan F",173,IF(Atletas!M511="Tanglangquan F",174,IF(Atletas!M511="Yingzhaoquan F",175,IF(Atletas!M511="Tongbeiquan F",176,IF(Atletas!M511="Wudangquan F",177,IF(Atletas!M511="Outros Estilos F",178,0))))))))))))))))))))))))))))))))))))))))))</f>
        <v/>
      </c>
      <c r="BU520" s="50" t="str">
        <f>IF(Atletas!N511="","",IF(Atletas!X511&lt;&gt;"",10000,0)+(IF(Atletas!B511="Feminino",1000,IF(Atletas!B511="Masculino",2000,""))+(IF(Atletas!N511="Ditangquan A",201,IF(Atletas!N511="Houquan A",202,IF(Atletas!N511="Zuiquan A",203,IF(Atletas!N511="Ditangquan B",204,IF(Atletas!N511="Houquan B",205,IF(Atletas!N511="Zuiquan B",206,IF(Atletas!N511="Ditangquan C",207,IF(Atletas!N511="Houquan C",208,IF(Atletas!N511="Zuiquan C",209,IF(Atletas!N511="Ditangquan D",210,IF(Atletas!N511="Houquan D",211,IF(Atletas!N511="Zuiquan D",212,IF(Atletas!N511="Ditangquan E",213,IF(Atletas!N511="Houquan E",214,IF(Atletas!N511="Zuiquan E",215,IF(Atletas!N511="Ditangquan F",216,IF(Atletas!N511="Houquan F",217,IF(Atletas!N511="Zuiquan F",218,"")))))))))))))))))))))</f>
        <v/>
      </c>
      <c r="BV520" s="50" t="str">
        <f>IF(Atletas!O511="","",IF(Atletas!X511&lt;&gt;"",10000,0)+IF(Atletas!B511="Feminino",1000,IF(Atletas!B511="Masculino",2000,""))+IF(Atletas!O511="Yang A",301,IF(Atletas!O511="Chen A",302,IF(Atletas!O511="Sun A",303,IF(Atletas!O511="Wu A",304,IF(Atletas!O511="Wu-Hao A",305,IF(Atletas!O511="Outro Taijiquan A",306,IF(Atletas!O511="Yang B",307,IF(Atletas!O511="Chen B",308,IF(Atletas!O511="Sun B",309,IF(Atletas!O511="Wu B",310,IF(Atletas!O511="Wu-Hao B",311,IF(Atletas!O511="Outro Taijiquan B",312,IF(Atletas!O511="Yang C",313,IF(Atletas!O511="Chen C",314,IF(Atletas!O511="Sun C",315,IF(Atletas!O511="Wu C",316,IF(Atletas!O511="Wu-Hao C",317,IF(Atletas!O511="Outro Taijiquan C",318,IF(Atletas!O511="Yang D",319,IF(Atletas!O511="Chen D",320,IF(Atletas!O511="Sun D",321,IF(Atletas!O511="Wu D",322,IF(Atletas!O511="Wu-Hao D",323,IF(Atletas!O511="Outro Taijiquan D",324,IF(Atletas!O511="Yang E",325,IF(Atletas!O511="Chen E",326,IF(Atletas!O511="Sun E",327,IF(Atletas!O511="Wu E",328,IF(Atletas!O511="Wu-Hao E",329,IF(Atletas!O511="Outro Taijiquan E",330,IF(Atletas!O511="Yang F",331,IF(Atletas!O511="Chen F",332,IF(Atletas!O511="Sun F",333,IF(Atletas!O511="Wu F",334,IF(Atletas!O511="Wu-Hao F",335,IF(Atletas!O511="Outro Taijiquan F",336,"")))))))))))))))))))))))))))))))))))))</f>
        <v/>
      </c>
      <c r="BW520" s="50" t="str">
        <f>IF(Atletas!P511="","",IF(Atletas!X511&lt;&gt;"",10000,0)+IF(Atletas!B511="Feminino",1000,IF(Atletas!B511="Masculino",2000,""))+IF(OR(Atletas!P511="Yang 26 A",Atletas!P511="Yang 40 A"),401,IF(OR(Atletas!P511="Chen 25 A",Atletas!P511="Chen 36 A",Atletas!P511="Chen 56 A"),402,IF(Atletas!P511="Sun 73 A",403,IF(Atletas!P511="Wu 45 A",404,IF(Atletas!P511="Wu-Hao 46 A",405,IF(OR(Atletas!P511="Taijiquan 16 A",Atletas!P511="Taijiquan 24 A",Atletas!P511="Taijiquan 32 A",Atletas!P511="Taijiquan 42 A"),406,IF(OR(Atletas!P511="Yang 26 B",Atletas!P511="Yang 40 B"),407,IF(OR(Atletas!P511="Chen 25 B",Atletas!P511="Chen 36 B",Atletas!P511="Chen 56 B"),408,IF(Atletas!P511="Sun 73 B",409,IF(Atletas!P511="Wu 45 B",410,IF(Atletas!P511="Wu-Hao 46 B",411,IF(OR(Atletas!P511="Taijiquan 16 B",Atletas!P511="Taijiquan 24 B",Atletas!P511="Taijiquan 32 B",Atletas!P511="Taijiquan 42 B"),412,IF(OR(Atletas!P511="Yang 26 C",Atletas!P511="Yang 40 C"),413,IF(OR(Atletas!P511="Chen 25 C",Atletas!P511="Chen 36 C",Atletas!P511="Chen 56 C"),414,IF(Atletas!P511="Sun 73 C",415,IF(Atletas!P511="Wu 45 C",416,IF(Atletas!P511="Wu-Hao 46 C",417,IF(OR(Atletas!P511="Taijiquan 16 C",Atletas!P511="Taijiquan 24 C",Atletas!P511="Taijiquan 32 C",Atletas!P511="Taijiquan 42 C"),418,0)))))))))))))))))))</f>
        <v/>
      </c>
      <c r="BX520" s="50" t="str">
        <f>IF(Atletas!P511="","",IF(Atletas!X511&lt;&gt;"",10000,0)+IF(Atletas!B511="Feminino",1000,IF(Atletas!B511="Masculino",2000,""))+IF(OR(Atletas!P511="Yang 26 D",Atletas!P511="Yang 40 D"),419,IF(OR(Atletas!P511="Chen 25 D",Atletas!P511="Chen 36 D",Atletas!P511="Chen 56 D"),420,IF(Atletas!P511="Sun 73 D",421,IF(Atletas!P511="Wu 45 D",422,IF(Atletas!P511="Wu-Hao 46 D",423,IF(OR(Atletas!P511="Taijiquan 16 D",Atletas!P511="Taijiquan 24 D",Atletas!P511="Taijiquan 32 D",Atletas!P511="Taijiquan 42 D"),424,IF(OR(Atletas!P511="Yang 26 E",Atletas!P511="Yang 40 E"),425,IF(OR(Atletas!P511="Chen 25 E",Atletas!P511="Chen 36 E",Atletas!P511="Chen 56 E"),426,IF(Atletas!P511="Sun 73 E",427,IF(Atletas!P511="Wu 45 E",428,IF(Atletas!P511="Wu-Hao 46 E",429,IF(OR(Atletas!P511="Taijiquan 16 E",Atletas!P511="Taijiquan 24 E",Atletas!P511="Taijiquan 32 E",Atletas!P511="Taijiquan 42 E"),430,IF(OR(Atletas!P511="Yang 26 F",Atletas!P511="Yang 40 F"),431,IF(OR(Atletas!P511="Chen 25 F",Atletas!P511="Chen 36 F",Atletas!P511="Chen 56 F"),432,IF(Atletas!P511="Sun 73 F",433,IF(Atletas!P511="Wu 45 F",434,IF(Atletas!P511="Wu-Hao 46 F",435,IF(OR(Atletas!P511="Taijiquan 16 F",Atletas!P511="Taijiquan 24 F",Atletas!P511="Taijiquan 32 F",Atletas!P511="Taijiquan 42 F"),436,0)))))))))))))))))))</f>
        <v/>
      </c>
      <c r="BY520" s="50" t="str">
        <f>IF(Atletas!Q511="","",IF(Atletas!X511&lt;&gt;"",10000,0)+IF(Atletas!B511="Feminino",1000,IF(Atletas!B511="Masculino",2000,""))+IF(Atletas!Q511="Xingyiquan A",501,IF(Atletas!Q511="Baguazhang A",502,IF(Atletas!Q511="Outro Estilo Interno A",503,IF(Atletas!Q511="Xingyiquan B",504,IF(Atletas!Q511="Baguazhang B",505,IF(Atletas!Q511="Outro Estilo Interno B",506,IF(Atletas!Q511="Xingyiquan C",507,IF(Atletas!Q511="Baguazhang C",508,IF(Atletas!Q511="Outro Estilo Interno C",509,IF(Atletas!Q511="Xingyiquan D",510,IF(Atletas!Q511="Baguazhang D",511,IF(Atletas!Q511="Outro Estilo Interno D",512,IF(Atletas!Q511="Xingyiquan E",513,IF(Atletas!Q511="Baguazhang E",514,IF(Atletas!Q511="Outro Estilo Interno E",515,IF(Atletas!Q511="Xingyiquan F",516,IF(Atletas!Q511="Baguazhang F",517,IF(Atletas!Q511="Outro Estilo Interno F",518, "")))))))))))))))))))</f>
        <v/>
      </c>
      <c r="BZ520" s="50" t="str">
        <f>IF(Atletas!R511="","",IF(Atletas!X511&lt;&gt;"",10000,0)+IF(Atletas!B511="Feminino",1000,IF(Atletas!B511="Masculino",2000,""))+IF(Atletas!R511="Dao A",601,IF(Atletas!R511="Jian A",602,IF(Atletas!R511="Bishou A",603,IF(Atletas!R511="Shanzi A",604,IF(Atletas!R511="Outra Arma Curta A",605,IF(Atletas!R511="Dao B",606,IF(Atletas!R511="Jian B",607,IF(Atletas!R511="Bishou B",608,IF(Atletas!R511="Shanzi B",609,IF(Atletas!R511="Outra Arma Curta B",610,IF(Atletas!R511="Dao C",611,IF(Atletas!R511="Jian C",612,IF(Atletas!R511="Bishou C",613,IF(Atletas!R511="Shanzi C",614,IF(Atletas!R511="Outra Arma Curta C",615,IF(Atletas!R511="Dao D",616,IF(Atletas!R511="Jian D",617,IF(Atletas!R511="Bishou D",618,IF(Atletas!R511="Shanzi D",619,IF(Atletas!R511="Outra Arma Curta D",620,IF(Atletas!R511="Dao E",621,IF(Atletas!R511="Jian E",622,IF(Atletas!R511="Bishou E",623,IF(Atletas!R511="Shanzi E",624,IF(Atletas!R511="Outra Arma Curta E",625,IF(Atletas!R511="Dao F",626,IF(Atletas!R511="Jian F",627,IF(Atletas!R511="Bishou F",628,IF(Atletas!R511="Shanzi F",629,IF(Atletas!R511="Outra Arma Curta F",630, "")))))))))))))))))))))))))))))))</f>
        <v/>
      </c>
      <c r="CA520" s="50" t="str">
        <f>IF(Atletas!S511="","",IF(Atletas!X511&lt;&gt;"",10000,0)+IF(Atletas!B511="Feminino",1000,IF(Atletas!B511="Masculino",2000,""))+IF(Atletas!S511="Gun A",701,IF(Atletas!S511="Qiang A",702,IF(Atletas!S511="Pudao / Guandao A",703,IF(Atletas!S511="Outra Arma Longa A",704,IF(Atletas!S511="Gun B",705,IF(Atletas!S511="Qiang B",706,IF(Atletas!S511="Pudao / Guandao B",707,IF(Atletas!S511="Outra Arma Longa B",708,IF(Atletas!S511="Gun C",709,IF(Atletas!S511="Qiang C",710,IF(Atletas!S511="Pudao / Guandao C",711,IF(Atletas!S511="Outra Arma Longa C",712,IF(Atletas!S511="Gun D",713,IF(Atletas!S511="Qiang D",714,IF(Atletas!S511="Pudao / Guandao D",715,IF(Atletas!S511="Outra Arma Longa D",716,IF(Atletas!S511="Gun E",717,IF(Atletas!S511="Qiang E",718,IF(Atletas!S511="Pudao / Guandao E",719,IF(Atletas!S511="Outra Arma Longa E",720,IF(Atletas!S511="Gun F",721,IF(Atletas!S511="Qiang F",722,IF(Atletas!S511="Pudao / Guandao F",723,IF(Atletas!S511="Outra Arma Longa F",724,"")))))))))))))))))))))))))</f>
        <v/>
      </c>
      <c r="CB520" s="50" t="str">
        <f>IF(Atletas!T511="","",IF(Atletas!X511&lt;&gt;"",10000,0)+IF(Atletas!B511="Feminino",1000,IF(Atletas!B511="Masculino",2000,""))+IF(Atletas!T511="Outra Arma Dupla A",801,IF(Atletas!T511="Arma Maleável A",802,IF(Atletas!T511="Outra Arma Dupla B",803,IF(Atletas!T511="Arma Maleável B",804,IF(Atletas!T511="Outra Arma Dupla C",805,IF(Atletas!T511="Arma Maleável C",806,IF(Atletas!T511="Outra Arma Dupla D",807,IF(Atletas!T511="Arma Maleável D",808,IF(Atletas!T511="Outra Arma Dupla E",809,IF(Atletas!T511="Arma Maleável E",810,IF(Atletas!T511="Outra Arma Dupla F",811,IF(Atletas!T511="Arma Maleável F",812,IF(Atletas!T511="Shuangdao A",813,IF(Atletas!T511="Shuangdao B",814,IF(Atletas!T511="Shuangdao C",815,IF(Atletas!T511="Shuangdao D",816,IF(Atletas!T511="Shuangdao E",817,IF(Atletas!T511="Shuangdao F",818,"")))))))))))))))))))</f>
        <v/>
      </c>
      <c r="CC520" s="50" t="str">
        <f>IF(Atletas!U511="","",IF(Atletas!X511&lt;&gt;"",10000,0)+IF(Atletas!B511="Feminino",1000,IF(Atletas!B511="Masculino",2000,""))+IF(OR(Atletas!U511="Taijijian Yang A",Atletas!U511="Taijijian Yang Standard A"),901,IF(OR(Atletas!U511="Taijijian Chen A", Atletas!U511="Taijijian Chen Standard A"),902,IF(Atletas!U511="Taijijian Sun A",903,IF(Atletas!U511="Taijijian Wu A",904,IF(Atletas!U511="Taijijian Wu-Hao A",905,IF(OR(Atletas!U511="Taijijian 32 A",Atletas!U511="Taijijian 42 A"),906,IF(OR(Atletas!U511="Taijijian Yang B",Atletas!U511="Taijijian Yang Standard B"),907,IF(OR(Atletas!U511="Taijijian Chen B", Atletas!U511="Taijijian Chen Standard B"),908,IF(Atletas!U511="Taijijian Sun B",909,IF(Atletas!U511="Taijijian Wu B",910,IF(Atletas!U511="Taijijian Wu-Hao B",911,IF(OR(Atletas!U511="Taijijian 32 B",Atletas!U511="Taijijian 42 B"),912,IF(OR(Atletas!U511="Taijijian Yang C",Atletas!U511="Taijijian Yang Standard C"),913,IF(OR(Atletas!U511="Taijijian Chen C", Atletas!U511="Taijijian Chen Standard C"),914,IF(Atletas!U511="Taijijian Sun C",915,IF(Atletas!U511="Taijijian Wu C",916,IF(Atletas!U511="Taijijian Wu-Hao C",917,IF(OR(Atletas!U511="Taijijian 32 C",Atletas!U511="Taijijian 42 C"),918,IF(OR(Atletas!U511="Taijijian Yang D",Atletas!U511="Taijijian Yang Standard D"),919,IF(OR(Atletas!U511="Taijijian Chen D", Atletas!U511="Taijijian Chen Standard D"),920,IF(Atletas!U511="Taijijian Sun D",921,IF(Atletas!U511="Taijijian Wu D",922,IF(Atletas!U511="Taijijian Wu-Hao D",923,IF(OR(Atletas!U511="Taijijian 32 D",Atletas!U511="Taijijian 42 D"),924,IF(OR(Atletas!U511="Taijijian Yang E",Atletas!U511="Taijijian Yang Standard E"),925,IF(OR(Atletas!U511="Taijijian Chen E", Atletas!U511="Taijijian Chen Standard E"),926,IF(Atletas!U511="Taijijian Sun E",927,IF(Atletas!U511="Taijijian Wu E",928,IF(Atletas!U511="Taijijian Wu-Hao E",929,IF(OR(Atletas!U511="Taijijian 32 E",Atletas!U511="Taijijian 42 E"),930,IF(OR(Atletas!U511="Taijijian Yang F",Atletas!U511="Taijijian Yang Standard F"),931,IF(OR(Atletas!U511="Taijijian Chen F", Atletas!U511="Taijijian Chen Standard F"),932,IF(Atletas!U511="Taijijian Sun F",933,IF(Atletas!U511="Taijijian Wu F",934,IF(Atletas!U511="Taijijian Wu-Hao F",935,IF(OR(Atletas!U511="Taijijian 32 F",Atletas!U511="Taijijian 42 F"),936,"")))))))))))))))))))))))))))))))))))))</f>
        <v/>
      </c>
      <c r="CD520" s="50" t="str">
        <f>IF(Atletas!V511="","",IF(Atletas!X511&lt;&gt;"",10000,0)+IF(Atletas!B511="Feminino",1000,IF(Atletas!B511="Masculino",2000,""))+IF(Atletas!V511="Taijidao A",937,IF(Atletas!V511="TaijiShanzi A",938,IF(Atletas!V511="Taijiqiang A",939,IF(Atletas!V511="Bagua de Arma A",940,IF(Atletas!V511="Xingyi de Arma A",941,IF(Atletas!V511="Taijidao B",942,IF(Atletas!V511="TaijiShanzi B",943,IF(Atletas!V511="Taijiqiang B",944,IF(Atletas!V511="Bagua de Arma B",945,IF(Atletas!V511="Xingyi de Arma B",946,IF(Atletas!V511="Taijidao C",947,IF(Atletas!V511="TaijiShanzi C",948,IF(Atletas!V511="Taijiqiang C",949,IF(Atletas!V511="Bagua de Arma C",950,IF(Atletas!V511="Xingyi de Arma C",951,IF(Atletas!V511="Taijidao D",952,IF(Atletas!V511="TaijiShanzi D",953,IF(Atletas!V511="Taijiqiang D",954,IF(Atletas!V511="Bagua de Arma D",955,IF(Atletas!V511="Xingyi de Arma D",956,IF(Atletas!V511="Taijidao E",957,IF(Atletas!V511="TaijiShanzi E",958,IF(Atletas!V511="Taijiqiang E",959,IF(Atletas!V511="Bagua de Arma E",960,IF(Atletas!V511="Xingyi de Arma E",961,IF(Atletas!V511="Taijidao F",962,IF(Atletas!V511="TaijiShanzi F",963,IF(Atletas!V511="Taijiqiang F",964,IF(Atletas!V511="Bagua de Arma F",965,IF(Atletas!V511="Xingyi de Arma F",966,"")))))))))))))))))))))))))))))))</f>
        <v/>
      </c>
      <c r="CM520" s="50" t="str">
        <f xml:space="preserve"> IF(Atletas!W511="","",IF(Atletas!W511="Duilian de Mãos BC - Equipe 1",1,IF(Atletas!W511="Duilian de Mãos BC - Equipe 2",2,IF(Atletas!W511="Duilian de Armas BC - Equipe 1",3,IF(Atletas!W511="Duilian de Armas BC - Equipe 2",4,IF(Atletas!W511="Duilian de Mãos DE - Equipe 1",5,IF(Atletas!W511="Duilian de Mãos DE - Equipe 2",6,IF(Atletas!W511="Duilian de Armas DE - Equipe 1",7,IF(Atletas!W511="Duilian de Armas DE - Equipe 2",8,IF(Atletas!W511="Duilian de Tuishou - Equipe 1",9,IF(Atletas!W511="Duilian de Tuishou - Equipe 2",10,IF(Atletas!W511="Grupo Externo ABC - Equipe 1",11,IF(Atletas!W511="Grupo Externo ABC - Equipe 2",12,IF(Atletas!W511="Grupo Interno ABC - Equipe 1",13,IF(Atletas!W511="Grupo Interno ABC - Equipe 2",14,IF(Atletas!W511="Grupo Externo DEF - Equipe 1",15,IF(Atletas!W511="Grupo Externo DEF - Equipe 2",16,IF(Atletas!W511="Grupo Interno DEF - Equipe 1",17,IF(Atletas!W511="Grupo Interno DEF - Equipe 2",18,"")))))))))))))))))))</f>
        <v/>
      </c>
    </row>
    <row r="521" spans="40:91">
      <c r="AN521" s="52" t="str">
        <f>IF(Atletas!D512="","",IF(Atletas!B512="Feminino",100,IF(Atletas!B512="Masculino",200,""))+(IF(Atletas!D512="Kids 30kg",1,IF(Atletas!D512="Kids 32kg",2, IF(Atletas!D512="Kids 34kg",3,IF(Atletas!D512="Kids 36kg",4,IF(Atletas!D512="Kids 39kg",5,IF(Atletas!D512="Kids 42kg",6,IF(Atletas!D512="Kids 45kg",7, IF(Atletas!D512="Infantil 39kg",8,IF(Atletas!D512="Infantil 42kg",9,IF(Atletas!D512="Infantil 45kg",10,IF(Atletas!D512="Infantil 48kg",11,IF(Atletas!D512="Infantil 52kg",12,IF(Atletas!D512="Infantil 56kg",13,IF(Atletas!D512="Infantil 60kg",14,IF(Atletas!D512="Juvenil 48kg",15,IF(Atletas!D512="Juvenil 52kg",16,IF(Atletas!D512="Juvenil 56kg",17,IF(Atletas!D512="Juvenil 60kg",18,IF(Atletas!D512="Juvenil 65kg",19,IF(Atletas!D512="Juvenil 70kg",20,IF(Atletas!D512="Juvenil 75kg",21,IF(Atletas!D512="Juvenil 80kg",22, IF(Atletas!D512="Juvenil 85kg",23,IF(Atletas!D512="Adulto 48kg",24,IF(Atletas!D512="Adulto 52kg",25,IF(Atletas!D512="Adulto 56kg",26,IF(Atletas!D512="Adulto 60kg",27,IF(Atletas!D512="Adulto 65kg",28,IF(Atletas!D512="Adulto 70kg",29,IF(Atletas!D512="Adulto 75kg",30,IF(Atletas!D512="Adulto 80kg",31,IF(Atletas!D512="Adulto 85kg",32,IF(Atletas!D512="Adulto 90kg",33,IF(Atletas!D512="Adulto 100kg",34, IF(Atletas!D512="Adulto +100kg",35,"")))))))))))))))))))))))))))))))))))))</f>
        <v/>
      </c>
      <c r="AS521" s="6" t="str">
        <f>IF(Atletas!E512="","",IF(Atletas!B512="Feminino",100,IF(Atletas!B512="Masculino",200,""))+(IF(Atletas!E512="Juvenil 44kg",1,IF(Atletas!E512="Juvenil 48kg",2,IF(Atletas!E512="Juvenil 52kg",3,IF(Atletas!E512="Juvenil 56kg",4,IF(Atletas!E512="Juvenil 60kg",5,IF(Atletas!E512="Juvenil 65kg",6,IF(Atletas!E512="Juvenil 70kg",7,IF(Atletas!E512="Juvenil 75kg",8,IF(Atletas!E512="Juvenil 82kg",9,IF(Atletas!E512="Juvenil 90kg",10,IF(Atletas!E512="Juvenil 100kg",11,IF(Atletas!E512="Adulto 48kg",12,IF(Atletas!E512="Adulto 52kg",13,IF(Atletas!E512="Adulto 56kg",14,IF(Atletas!E512="Adulto 60kg",15,IF(Atletas!E512="Adulto 65kg",16,IF(Atletas!E512="Adulto 70kg",17,IF(Atletas!E512="Adulto 75kg",18,IF(Atletas!E512="Adulto 82kg",19,IF(Atletas!E512="Adulto 90kg",20,IF(Atletas!E512="Adulto 100kg",21,IF(Atletas!E512="Adulto +100kg",22,""))))))))))))))))))))))))</f>
        <v/>
      </c>
      <c r="AX521" s="6" t="str">
        <f>IF(Atletas!F512="","",IF(Atletas!B512="Feminino",100,IF(Atletas!B512="Masculino",200,""))+(IF(Atletas!F512="Adulto 48kg",1,IF(Atletas!F512="Adulto 56kg",2,IF(Atletas!F512="Adulto 65kg",3,IF(Atletas!F512="Adulto 75kg",4,IF(Atletas!F512="Adulto +75kg",5,IF(Atletas!F512="Adulto 52kg",6,IF(Atletas!F512="Adulto 60kg",7,IF(Atletas!F512="Adulto 70kg",8,IF(Atletas!F512="Adulto 80kg",9,IF(Atletas!F512="Adulto 90kg",10,IF(Atletas!F512="Adulto +90kg",11,"")))))))))))))</f>
        <v/>
      </c>
      <c r="BC521" s="6" t="str">
        <f>IF(Atletas!G512="","",IF(Atletas!B512="Feminino",10,IF(Atletas!B512="Masculino",20,""))+(IF(Atletas!G512="Baduanjin A",1,IF(Atletas!G512="Baduanjin B",2))))</f>
        <v/>
      </c>
      <c r="BF521" s="52" t="str">
        <f>IF(Atletas!H512="","",IF(Atletas!B512="Feminino",100,IF(Atletas!B512="Masculino",200,""))+(IF(Atletas!H512="Changquan Mirim",1,IF(Atletas!H512="Nanquan Mirim",2,IF(Atletas!H512="Taijiquan Mirim",3,IF(Atletas!H512="Changquan Grupo C",4,IF(Atletas!H512="Nanquan Grupo C",5,IF(Atletas!H512="Taijiquan Grupo C",6,IF(Atletas!H512="Changquan Grupo B",7,IF(Atletas!H512="Nanquan Grupo B",8,IF(Atletas!H512="Taijiquan Grupo B",9,IF(Atletas!H512="Changquan Grupo A",10,IF(Atletas!H512="Nanquan Grupo A",11,IF(Atletas!H512="Taijiquan Grupo A",12,IF(Atletas!H512="Changquan Opcional",13,IF(Atletas!H512="Nanquan Opcional",14,IF(Atletas!H512="Taijiquan Opcional",15,IF(Atletas!H512="Changquan Adulto",16,IF(Atletas!H512="Nanquan Adulto",17,IF(Atletas!H512="Taijiquan Adulto",18,""))))))))))))))))))))</f>
        <v/>
      </c>
      <c r="BG521" s="52" t="str">
        <f>IF(Atletas!I512="","",IF(Atletas!B512="Feminino",100,IF(Atletas!B512="Masculino",200,""))+(IF(Atletas!I512="Daoshu Mirim",19,IF(Atletas!I512="Jianshu Mirim",20,IF(Atletas!I512="Nandao Mirim",21,IF(Atletas!I512="Taijijian Mirim",22,IF(Atletas!I512="Daoshu Grupo C",23,IF(Atletas!I512="Jianshu Grupo C",24,IF(Atletas!I512="Nandao Grupo C",25,IF(Atletas!I512="Taijijian Grupo C",26,IF(Atletas!I512="Daoshu Grupo B",27,IF(Atletas!I512="Jianshu Grupo B",28,IF(Atletas!I512="Nandao Grupo B",29,IF(Atletas!I512="Taijijian Grupo B",30,IF(Atletas!I512="Daoshu Grupo A",31,IF(Atletas!I512="Jianshu Grupo A",32,IF(Atletas!I512="Nandao Grupo A",33,IF(Atletas!I512="Taijijian Grupo A",34,IF(Atletas!I512="Daoshu Opcional",35,IF(Atletas!I512="Jianshu Opcional",36,IF(Atletas!I512="Nandao Opcional",37,IF(Atletas!I512="Taijijian Opcional",38,IF(Atletas!I512="Daoshu Adulto",39,IF(Atletas!I512="Jianshu Adulto",40,IF(Atletas!I512="Nandao Adulto",41,IF(Atletas!I512="Taijijian Adulto",42,""))))))))))))))))))))))))))</f>
        <v/>
      </c>
      <c r="BH521" s="52" t="str">
        <f>IF(Atletas!J512="","",IF(Atletas!B512="Feminino",100,IF(Atletas!B512="Masculino",200,""))+(IF(Atletas!J512="Gunshu Mirim",43,IF(Atletas!J512="Qiangshu Mirim",44,IF(Atletas!J512="Nangun Mirim",45,IF(Atletas!J512="Gunshu Grupo C",46,IF(Atletas!J512="Qiangshu Grupo C",47,IF(Atletas!J512="Nangun Grupo C",48,IF(Atletas!J512="Gunshu Grupo B",49,IF(Atletas!J512="Qiangshu Grupo B",50,IF(Atletas!J512="Nangun Grupo B",51,IF(Atletas!J512="Gunshu Grupo A",52,IF(Atletas!J512="Qiangshu Grupo A",53,IF(Atletas!J512="Nangun Grupo A",54,IF(Atletas!J512="Gunshu Opcional",55,IF(Atletas!J512="Qiangshu Opcional",56,IF(Atletas!J512="Nangun Opcional",57,IF(Atletas!J512="Gunshu Adulto",58,IF(Atletas!J512="Qiangshu Adulto",59,IF(Atletas!J512="Nangun Adulto",60,IF(Atletas!J512="Taijishan Grupo B",61,IF(Atletas!J512="Taijishan Grupo A",62,""))))))))))))))))))))))</f>
        <v/>
      </c>
      <c r="BM521" s="50" t="str">
        <f>IF(Atletas!K512="","",IF(Atletas!B512="Feminino",100,IF(Atletas!B512="Masculino",200,""))+(IF(Atletas!K512="Equipe 1 Grupo B",1,IF(Atletas!K512="Equipe 2 Grupo B",2,IF(Atletas!K512="Equipe 1 Grupo A",3,IF(Atletas!K512="Equipe 2 Grupo A",4,IF(Atletas!K512="Equipe 1 Adulto",5,IF(Atletas!K512="Equipe 2 Adulto",6,""))))))))</f>
        <v/>
      </c>
      <c r="BR521" s="50" t="str">
        <f>IF(Atletas!L512="","",IF(Atletas!X512&lt;&gt;"",10000,0)+(IF(Atletas!B512="Feminino",1000,IF(Atletas!B512="Masculino",2000,""))+IF(Atletas!L512="Choylayfut A",1,IF(Atletas!L512="Hunggar A",2,IF(Atletas!L512="Wuzuquan A",3,IF(Atletas!L512="Wingchun A",4,IF(Atletas!L512="Outra Mão de Sul A",5,IF(Atletas!L512="Choylayfut B",6,IF(Atletas!L512="Hunggar B",7,IF(Atletas!L512="Wuzuquan B",8,IF(Atletas!L512="Wingchun B",9,IF(Atletas!L512="Outra Mão de Sul B",10,IF(Atletas!L512="Choylayfut C",11,IF(Atletas!L512="Hunggar C",12,IF(Atletas!L512="Wuzuquan C",13,IF(Atletas!L512="Wingchun C",14,IF(Atletas!L512="Outra Mão de Sul C",15,IF(Atletas!L512="Choylayfut D",16,IF(Atletas!L512="Hunggar D",17,IF(Atletas!L512="Wuzuquan D",18,IF(Atletas!L512="Wingchun D",19,IF(Atletas!L512="Outra Mão de Sul D",20,IF(Atletas!L512="Choylayfut E",21,IF(Atletas!L512="Hunggar E",22,IF(Atletas!L512="Wuzuquan E",23,IF(Atletas!L512="Wingchun E",24,IF(Atletas!L512="Outra Mão de Sul E",25,IF(Atletas!L512="Choylayfut F",26,IF(Atletas!L512="Hunggar F",27,IF(Atletas!L512="Wuzuquan F",28,IF(Atletas!L512="Wingchun F",29,IF(Atletas!L512="Outra Mão de Sul F",30,IF(Atletas!L512="Dishuquan A",31,IF(Atletas!L512="Dishuquan B",32,IF(Atletas!L512="Dishuquan C",33,IF(Atletas!L512="Dishuquan D",34,IF(Atletas!L512="Dishuquan E",35,IF(Atletas!L512="Dishuquan F",36,""))))))))))))))))))))))))))))))))))))))</f>
        <v/>
      </c>
      <c r="BS521" s="50" t="str">
        <f>IF(Atletas!M512="","",IF(Atletas!X512&lt;&gt;"",10000,0)+(IF(Atletas!B512="Feminino",1000,IF(Atletas!B512="Masculino",2000,""))+(IF(Atletas!M512="Chaquan A",101,IF(Atletas!M512="Emeiquan A",102,IF(Atletas!M512="Fanziquan A",103,IF(Atletas!M512="Huaquan A",104,IF(Atletas!M512="Hongquan A",105,IF(Atletas!M512="Paoquan A",106,IF(Atletas!M512="Piguaquan A",107,IF(Atletas!M512="Shaolinquan A",108,IF(Atletas!M512="Tanglangquan A",109,IF(Atletas!M512="Yingzhaoquan A",110,IF(Atletas!M512="Tongbeiquan A",111,IF(Atletas!M512="Wudangquan A",112,IF(Atletas!M512="Outros Estilos A",113,IF(Atletas!M512="Chaquan B",114,IF(Atletas!M512="Emeiquan B",115,IF(Atletas!M512="Fanziquan B",116,IF(Atletas!M512="Huaquan B",117,IF(Atletas!M512="Hongquan B",118,IF(Atletas!M512="Paoquan B",119,IF(Atletas!M512="Piguaquan B",120,IF(Atletas!M512="Shaolinquan B",121,IF(Atletas!M512="Tanglangquan B",122,IF(Atletas!M512="Yingzhaoquan B",123,IF(Atletas!M512="Tongbeiquan B",124,IF(Atletas!M512="Wudangquan B",125,IF(Atletas!M512="Outros Estilos B",126,IF(Atletas!M512="Chaquan C",127,IF(Atletas!M512="Emeiquan C",128,IF(Atletas!M512="Fanziquan C",129,IF(Atletas!M512="Huaquan C",130,IF(Atletas!M512="Hongquan C",131,IF(Atletas!M512="Paoquan C",132,IF(Atletas!M512="Piguaquan C",133,IF(Atletas!M512="Shaolinquan C",134,IF(Atletas!M512="Tanglangquan C",135,IF(Atletas!M512="Yingzhaoquan C",136,IF(Atletas!M512="Tongbeiquan C",137,IF(Atletas!M512="Wudangquan C",138,IF(Atletas!M512="Outros Estilos C",139,0))))))))))))))))))))))))))))))))))))))))))</f>
        <v/>
      </c>
      <c r="BT521" s="50" t="str">
        <f>IF(Atletas!M512="","",IF(Atletas!X512&lt;&gt;"",10000,0)+(IF(Atletas!B512="Feminino",1000,IF(Atletas!B512="Masculino",2000,""))+(IF(Atletas!M512="Chaquan D",140,IF(Atletas!M512="Emeiquan D",141,IF(Atletas!M512="Fanziquan D",142,IF(Atletas!M512="Huaquan D",143,IF(Atletas!M512="Hongquan D",144,IF(Atletas!M512="Paoquan D",145,IF(Atletas!M512="Piguaquan D",146,IF(Atletas!M512="Shaolinquan D",147,IF(Atletas!M512="Tanglangquan D",148,IF(Atletas!M512="Yingzhaoquan D",149,IF(Atletas!M512="Tongbeiquan D",150,IF(Atletas!M512="Wudangquan D",151,IF(Atletas!M512="Outros Estilos D",152,IF(Atletas!M512="Chaquan E",153,IF(Atletas!M512="Emeiquan E",154,IF(Atletas!M512="Fanziquan E",155,IF(Atletas!M512="Huaquan E",156,IF(Atletas!M512="Hongquan E",157,IF(Atletas!M512="Paoquan E",158,IF(Atletas!M512="Piguaquan E",159,IF(Atletas!M512="Shaolinquan E",160,IF(Atletas!M512="Tanglangquan E",161,IF(Atletas!M512="Yingzhaoquan E",162,IF(Atletas!M512="Tongbeiquan E",163,IF(Atletas!M512="Wudangquan E",164,IF(Atletas!M512="Outros Estilos E",165,IF(Atletas!M512="Chaquan F",166,IF(Atletas!M512="Emeiquan F",167,IF(Atletas!M512="Fanziquan F",168,IF(Atletas!M512="Huaquan F",169,IF(Atletas!M512="Hongquan F",170,IF(Atletas!M512="Paoquan F",171,IF(Atletas!M512="Piguaquan F",172,IF(Atletas!M512="Shaolinquan F",173,IF(Atletas!M512="Tanglangquan F",174,IF(Atletas!M512="Yingzhaoquan F",175,IF(Atletas!M512="Tongbeiquan F",176,IF(Atletas!M512="Wudangquan F",177,IF(Atletas!M512="Outros Estilos F",178,0))))))))))))))))))))))))))))))))))))))))))</f>
        <v/>
      </c>
      <c r="BU521" s="50" t="str">
        <f>IF(Atletas!N512="","",IF(Atletas!X512&lt;&gt;"",10000,0)+(IF(Atletas!B512="Feminino",1000,IF(Atletas!B512="Masculino",2000,""))+(IF(Atletas!N512="Ditangquan A",201,IF(Atletas!N512="Houquan A",202,IF(Atletas!N512="Zuiquan A",203,IF(Atletas!N512="Ditangquan B",204,IF(Atletas!N512="Houquan B",205,IF(Atletas!N512="Zuiquan B",206,IF(Atletas!N512="Ditangquan C",207,IF(Atletas!N512="Houquan C",208,IF(Atletas!N512="Zuiquan C",209,IF(Atletas!N512="Ditangquan D",210,IF(Atletas!N512="Houquan D",211,IF(Atletas!N512="Zuiquan D",212,IF(Atletas!N512="Ditangquan E",213,IF(Atletas!N512="Houquan E",214,IF(Atletas!N512="Zuiquan E",215,IF(Atletas!N512="Ditangquan F",216,IF(Atletas!N512="Houquan F",217,IF(Atletas!N512="Zuiquan F",218,"")))))))))))))))))))))</f>
        <v/>
      </c>
      <c r="BV521" s="50" t="str">
        <f>IF(Atletas!O512="","",IF(Atletas!X512&lt;&gt;"",10000,0)+IF(Atletas!B512="Feminino",1000,IF(Atletas!B512="Masculino",2000,""))+IF(Atletas!O512="Yang A",301,IF(Atletas!O512="Chen A",302,IF(Atletas!O512="Sun A",303,IF(Atletas!O512="Wu A",304,IF(Atletas!O512="Wu-Hao A",305,IF(Atletas!O512="Outro Taijiquan A",306,IF(Atletas!O512="Yang B",307,IF(Atletas!O512="Chen B",308,IF(Atletas!O512="Sun B",309,IF(Atletas!O512="Wu B",310,IF(Atletas!O512="Wu-Hao B",311,IF(Atletas!O512="Outro Taijiquan B",312,IF(Atletas!O512="Yang C",313,IF(Atletas!O512="Chen C",314,IF(Atletas!O512="Sun C",315,IF(Atletas!O512="Wu C",316,IF(Atletas!O512="Wu-Hao C",317,IF(Atletas!O512="Outro Taijiquan C",318,IF(Atletas!O512="Yang D",319,IF(Atletas!O512="Chen D",320,IF(Atletas!O512="Sun D",321,IF(Atletas!O512="Wu D",322,IF(Atletas!O512="Wu-Hao D",323,IF(Atletas!O512="Outro Taijiquan D",324,IF(Atletas!O512="Yang E",325,IF(Atletas!O512="Chen E",326,IF(Atletas!O512="Sun E",327,IF(Atletas!O512="Wu E",328,IF(Atletas!O512="Wu-Hao E",329,IF(Atletas!O512="Outro Taijiquan E",330,IF(Atletas!O512="Yang F",331,IF(Atletas!O512="Chen F",332,IF(Atletas!O512="Sun F",333,IF(Atletas!O512="Wu F",334,IF(Atletas!O512="Wu-Hao F",335,IF(Atletas!O512="Outro Taijiquan F",336,"")))))))))))))))))))))))))))))))))))))</f>
        <v/>
      </c>
      <c r="BW521" s="50" t="str">
        <f>IF(Atletas!P512="","",IF(Atletas!X512&lt;&gt;"",10000,0)+IF(Atletas!B512="Feminino",1000,IF(Atletas!B512="Masculino",2000,""))+IF(OR(Atletas!P512="Yang 26 A",Atletas!P512="Yang 40 A"),401,IF(OR(Atletas!P512="Chen 25 A",Atletas!P512="Chen 36 A",Atletas!P512="Chen 56 A"),402,IF(Atletas!P512="Sun 73 A",403,IF(Atletas!P512="Wu 45 A",404,IF(Atletas!P512="Wu-Hao 46 A",405,IF(OR(Atletas!P512="Taijiquan 16 A",Atletas!P512="Taijiquan 24 A",Atletas!P512="Taijiquan 32 A",Atletas!P512="Taijiquan 42 A"),406,IF(OR(Atletas!P512="Yang 26 B",Atletas!P512="Yang 40 B"),407,IF(OR(Atletas!P512="Chen 25 B",Atletas!P512="Chen 36 B",Atletas!P512="Chen 56 B"),408,IF(Atletas!P512="Sun 73 B",409,IF(Atletas!P512="Wu 45 B",410,IF(Atletas!P512="Wu-Hao 46 B",411,IF(OR(Atletas!P512="Taijiquan 16 B",Atletas!P512="Taijiquan 24 B",Atletas!P512="Taijiquan 32 B",Atletas!P512="Taijiquan 42 B"),412,IF(OR(Atletas!P512="Yang 26 C",Atletas!P512="Yang 40 C"),413,IF(OR(Atletas!P512="Chen 25 C",Atletas!P512="Chen 36 C",Atletas!P512="Chen 56 C"),414,IF(Atletas!P512="Sun 73 C",415,IF(Atletas!P512="Wu 45 C",416,IF(Atletas!P512="Wu-Hao 46 C",417,IF(OR(Atletas!P512="Taijiquan 16 C",Atletas!P512="Taijiquan 24 C",Atletas!P512="Taijiquan 32 C",Atletas!P512="Taijiquan 42 C"),418,0)))))))))))))))))))</f>
        <v/>
      </c>
      <c r="BX521" s="50" t="str">
        <f>IF(Atletas!P512="","",IF(Atletas!X512&lt;&gt;"",10000,0)+IF(Atletas!B512="Feminino",1000,IF(Atletas!B512="Masculino",2000,""))+IF(OR(Atletas!P512="Yang 26 D",Atletas!P512="Yang 40 D"),419,IF(OR(Atletas!P512="Chen 25 D",Atletas!P512="Chen 36 D",Atletas!P512="Chen 56 D"),420,IF(Atletas!P512="Sun 73 D",421,IF(Atletas!P512="Wu 45 D",422,IF(Atletas!P512="Wu-Hao 46 D",423,IF(OR(Atletas!P512="Taijiquan 16 D",Atletas!P512="Taijiquan 24 D",Atletas!P512="Taijiquan 32 D",Atletas!P512="Taijiquan 42 D"),424,IF(OR(Atletas!P512="Yang 26 E",Atletas!P512="Yang 40 E"),425,IF(OR(Atletas!P512="Chen 25 E",Atletas!P512="Chen 36 E",Atletas!P512="Chen 56 E"),426,IF(Atletas!P512="Sun 73 E",427,IF(Atletas!P512="Wu 45 E",428,IF(Atletas!P512="Wu-Hao 46 E",429,IF(OR(Atletas!P512="Taijiquan 16 E",Atletas!P512="Taijiquan 24 E",Atletas!P512="Taijiquan 32 E",Atletas!P512="Taijiquan 42 E"),430,IF(OR(Atletas!P512="Yang 26 F",Atletas!P512="Yang 40 F"),431,IF(OR(Atletas!P512="Chen 25 F",Atletas!P512="Chen 36 F",Atletas!P512="Chen 56 F"),432,IF(Atletas!P512="Sun 73 F",433,IF(Atletas!P512="Wu 45 F",434,IF(Atletas!P512="Wu-Hao 46 F",435,IF(OR(Atletas!P512="Taijiquan 16 F",Atletas!P512="Taijiquan 24 F",Atletas!P512="Taijiquan 32 F",Atletas!P512="Taijiquan 42 F"),436,0)))))))))))))))))))</f>
        <v/>
      </c>
      <c r="BY521" s="50" t="str">
        <f>IF(Atletas!Q512="","",IF(Atletas!X512&lt;&gt;"",10000,0)+IF(Atletas!B512="Feminino",1000,IF(Atletas!B512="Masculino",2000,""))+IF(Atletas!Q512="Xingyiquan A",501,IF(Atletas!Q512="Baguazhang A",502,IF(Atletas!Q512="Outro Estilo Interno A",503,IF(Atletas!Q512="Xingyiquan B",504,IF(Atletas!Q512="Baguazhang B",505,IF(Atletas!Q512="Outro Estilo Interno B",506,IF(Atletas!Q512="Xingyiquan C",507,IF(Atletas!Q512="Baguazhang C",508,IF(Atletas!Q512="Outro Estilo Interno C",509,IF(Atletas!Q512="Xingyiquan D",510,IF(Atletas!Q512="Baguazhang D",511,IF(Atletas!Q512="Outro Estilo Interno D",512,IF(Atletas!Q512="Xingyiquan E",513,IF(Atletas!Q512="Baguazhang E",514,IF(Atletas!Q512="Outro Estilo Interno E",515,IF(Atletas!Q512="Xingyiquan F",516,IF(Atletas!Q512="Baguazhang F",517,IF(Atletas!Q512="Outro Estilo Interno F",518, "")))))))))))))))))))</f>
        <v/>
      </c>
      <c r="BZ521" s="50" t="str">
        <f>IF(Atletas!R512="","",IF(Atletas!X512&lt;&gt;"",10000,0)+IF(Atletas!B512="Feminino",1000,IF(Atletas!B512="Masculino",2000,""))+IF(Atletas!R512="Dao A",601,IF(Atletas!R512="Jian A",602,IF(Atletas!R512="Bishou A",603,IF(Atletas!R512="Shanzi A",604,IF(Atletas!R512="Outra Arma Curta A",605,IF(Atletas!R512="Dao B",606,IF(Atletas!R512="Jian B",607,IF(Atletas!R512="Bishou B",608,IF(Atletas!R512="Shanzi B",609,IF(Atletas!R512="Outra Arma Curta B",610,IF(Atletas!R512="Dao C",611,IF(Atletas!R512="Jian C",612,IF(Atletas!R512="Bishou C",613,IF(Atletas!R512="Shanzi C",614,IF(Atletas!R512="Outra Arma Curta C",615,IF(Atletas!R512="Dao D",616,IF(Atletas!R512="Jian D",617,IF(Atletas!R512="Bishou D",618,IF(Atletas!R512="Shanzi D",619,IF(Atletas!R512="Outra Arma Curta D",620,IF(Atletas!R512="Dao E",621,IF(Atletas!R512="Jian E",622,IF(Atletas!R512="Bishou E",623,IF(Atletas!R512="Shanzi E",624,IF(Atletas!R512="Outra Arma Curta E",625,IF(Atletas!R512="Dao F",626,IF(Atletas!R512="Jian F",627,IF(Atletas!R512="Bishou F",628,IF(Atletas!R512="Shanzi F",629,IF(Atletas!R512="Outra Arma Curta F",630, "")))))))))))))))))))))))))))))))</f>
        <v/>
      </c>
      <c r="CA521" s="50" t="str">
        <f>IF(Atletas!S512="","",IF(Atletas!X512&lt;&gt;"",10000,0)+IF(Atletas!B512="Feminino",1000,IF(Atletas!B512="Masculino",2000,""))+IF(Atletas!S512="Gun A",701,IF(Atletas!S512="Qiang A",702,IF(Atletas!S512="Pudao / Guandao A",703,IF(Atletas!S512="Outra Arma Longa A",704,IF(Atletas!S512="Gun B",705,IF(Atletas!S512="Qiang B",706,IF(Atletas!S512="Pudao / Guandao B",707,IF(Atletas!S512="Outra Arma Longa B",708,IF(Atletas!S512="Gun C",709,IF(Atletas!S512="Qiang C",710,IF(Atletas!S512="Pudao / Guandao C",711,IF(Atletas!S512="Outra Arma Longa C",712,IF(Atletas!S512="Gun D",713,IF(Atletas!S512="Qiang D",714,IF(Atletas!S512="Pudao / Guandao D",715,IF(Atletas!S512="Outra Arma Longa D",716,IF(Atletas!S512="Gun E",717,IF(Atletas!S512="Qiang E",718,IF(Atletas!S512="Pudao / Guandao E",719,IF(Atletas!S512="Outra Arma Longa E",720,IF(Atletas!S512="Gun F",721,IF(Atletas!S512="Qiang F",722,IF(Atletas!S512="Pudao / Guandao F",723,IF(Atletas!S512="Outra Arma Longa F",724,"")))))))))))))))))))))))))</f>
        <v/>
      </c>
      <c r="CB521" s="50" t="str">
        <f>IF(Atletas!T512="","",IF(Atletas!X512&lt;&gt;"",10000,0)+IF(Atletas!B512="Feminino",1000,IF(Atletas!B512="Masculino",2000,""))+IF(Atletas!T512="Outra Arma Dupla A",801,IF(Atletas!T512="Arma Maleável A",802,IF(Atletas!T512="Outra Arma Dupla B",803,IF(Atletas!T512="Arma Maleável B",804,IF(Atletas!T512="Outra Arma Dupla C",805,IF(Atletas!T512="Arma Maleável C",806,IF(Atletas!T512="Outra Arma Dupla D",807,IF(Atletas!T512="Arma Maleável D",808,IF(Atletas!T512="Outra Arma Dupla E",809,IF(Atletas!T512="Arma Maleável E",810,IF(Atletas!T512="Outra Arma Dupla F",811,IF(Atletas!T512="Arma Maleável F",812,IF(Atletas!T512="Shuangdao A",813,IF(Atletas!T512="Shuangdao B",814,IF(Atletas!T512="Shuangdao C",815,IF(Atletas!T512="Shuangdao D",816,IF(Atletas!T512="Shuangdao E",817,IF(Atletas!T512="Shuangdao F",818,"")))))))))))))))))))</f>
        <v/>
      </c>
      <c r="CC521" s="50" t="str">
        <f>IF(Atletas!U512="","",IF(Atletas!X512&lt;&gt;"",10000,0)+IF(Atletas!B512="Feminino",1000,IF(Atletas!B512="Masculino",2000,""))+IF(OR(Atletas!U512="Taijijian Yang A",Atletas!U512="Taijijian Yang Standard A"),901,IF(OR(Atletas!U512="Taijijian Chen A", Atletas!U512="Taijijian Chen Standard A"),902,IF(Atletas!U512="Taijijian Sun A",903,IF(Atletas!U512="Taijijian Wu A",904,IF(Atletas!U512="Taijijian Wu-Hao A",905,IF(OR(Atletas!U512="Taijijian 32 A",Atletas!U512="Taijijian 42 A"),906,IF(OR(Atletas!U512="Taijijian Yang B",Atletas!U512="Taijijian Yang Standard B"),907,IF(OR(Atletas!U512="Taijijian Chen B", Atletas!U512="Taijijian Chen Standard B"),908,IF(Atletas!U512="Taijijian Sun B",909,IF(Atletas!U512="Taijijian Wu B",910,IF(Atletas!U512="Taijijian Wu-Hao B",911,IF(OR(Atletas!U512="Taijijian 32 B",Atletas!U512="Taijijian 42 B"),912,IF(OR(Atletas!U512="Taijijian Yang C",Atletas!U512="Taijijian Yang Standard C"),913,IF(OR(Atletas!U512="Taijijian Chen C", Atletas!U512="Taijijian Chen Standard C"),914,IF(Atletas!U512="Taijijian Sun C",915,IF(Atletas!U512="Taijijian Wu C",916,IF(Atletas!U512="Taijijian Wu-Hao C",917,IF(OR(Atletas!U512="Taijijian 32 C",Atletas!U512="Taijijian 42 C"),918,IF(OR(Atletas!U512="Taijijian Yang D",Atletas!U512="Taijijian Yang Standard D"),919,IF(OR(Atletas!U512="Taijijian Chen D", Atletas!U512="Taijijian Chen Standard D"),920,IF(Atletas!U512="Taijijian Sun D",921,IF(Atletas!U512="Taijijian Wu D",922,IF(Atletas!U512="Taijijian Wu-Hao D",923,IF(OR(Atletas!U512="Taijijian 32 D",Atletas!U512="Taijijian 42 D"),924,IF(OR(Atletas!U512="Taijijian Yang E",Atletas!U512="Taijijian Yang Standard E"),925,IF(OR(Atletas!U512="Taijijian Chen E", Atletas!U512="Taijijian Chen Standard E"),926,IF(Atletas!U512="Taijijian Sun E",927,IF(Atletas!U512="Taijijian Wu E",928,IF(Atletas!U512="Taijijian Wu-Hao E",929,IF(OR(Atletas!U512="Taijijian 32 E",Atletas!U512="Taijijian 42 E"),930,IF(OR(Atletas!U512="Taijijian Yang F",Atletas!U512="Taijijian Yang Standard F"),931,IF(OR(Atletas!U512="Taijijian Chen F", Atletas!U512="Taijijian Chen Standard F"),932,IF(Atletas!U512="Taijijian Sun F",933,IF(Atletas!U512="Taijijian Wu F",934,IF(Atletas!U512="Taijijian Wu-Hao F",935,IF(OR(Atletas!U512="Taijijian 32 F",Atletas!U512="Taijijian 42 F"),936,"")))))))))))))))))))))))))))))))))))))</f>
        <v/>
      </c>
      <c r="CD521" s="50" t="str">
        <f>IF(Atletas!V512="","",IF(Atletas!X512&lt;&gt;"",10000,0)+IF(Atletas!B512="Feminino",1000,IF(Atletas!B512="Masculino",2000,""))+IF(Atletas!V512="Taijidao A",937,IF(Atletas!V512="TaijiShanzi A",938,IF(Atletas!V512="Taijiqiang A",939,IF(Atletas!V512="Bagua de Arma A",940,IF(Atletas!V512="Xingyi de Arma A",941,IF(Atletas!V512="Taijidao B",942,IF(Atletas!V512="TaijiShanzi B",943,IF(Atletas!V512="Taijiqiang B",944,IF(Atletas!V512="Bagua de Arma B",945,IF(Atletas!V512="Xingyi de Arma B",946,IF(Atletas!V512="Taijidao C",947,IF(Atletas!V512="TaijiShanzi C",948,IF(Atletas!V512="Taijiqiang C",949,IF(Atletas!V512="Bagua de Arma C",950,IF(Atletas!V512="Xingyi de Arma C",951,IF(Atletas!V512="Taijidao D",952,IF(Atletas!V512="TaijiShanzi D",953,IF(Atletas!V512="Taijiqiang D",954,IF(Atletas!V512="Bagua de Arma D",955,IF(Atletas!V512="Xingyi de Arma D",956,IF(Atletas!V512="Taijidao E",957,IF(Atletas!V512="TaijiShanzi E",958,IF(Atletas!V512="Taijiqiang E",959,IF(Atletas!V512="Bagua de Arma E",960,IF(Atletas!V512="Xingyi de Arma E",961,IF(Atletas!V512="Taijidao F",962,IF(Atletas!V512="TaijiShanzi F",963,IF(Atletas!V512="Taijiqiang F",964,IF(Atletas!V512="Bagua de Arma F",965,IF(Atletas!V512="Xingyi de Arma F",966,"")))))))))))))))))))))))))))))))</f>
        <v/>
      </c>
      <c r="CM521" s="50" t="str">
        <f xml:space="preserve"> IF(Atletas!W512="","",IF(Atletas!W512="Duilian de Mãos BC - Equipe 1",1,IF(Atletas!W512="Duilian de Mãos BC - Equipe 2",2,IF(Atletas!W512="Duilian de Armas BC - Equipe 1",3,IF(Atletas!W512="Duilian de Armas BC - Equipe 2",4,IF(Atletas!W512="Duilian de Mãos DE - Equipe 1",5,IF(Atletas!W512="Duilian de Mãos DE - Equipe 2",6,IF(Atletas!W512="Duilian de Armas DE - Equipe 1",7,IF(Atletas!W512="Duilian de Armas DE - Equipe 2",8,IF(Atletas!W512="Duilian de Tuishou - Equipe 1",9,IF(Atletas!W512="Duilian de Tuishou - Equipe 2",10,IF(Atletas!W512="Grupo Externo ABC - Equipe 1",11,IF(Atletas!W512="Grupo Externo ABC - Equipe 2",12,IF(Atletas!W512="Grupo Interno ABC - Equipe 1",13,IF(Atletas!W512="Grupo Interno ABC - Equipe 2",14,IF(Atletas!W512="Grupo Externo DEF - Equipe 1",15,IF(Atletas!W512="Grupo Externo DEF - Equipe 2",16,IF(Atletas!W512="Grupo Interno DEF - Equipe 1",17,IF(Atletas!W512="Grupo Interno DEF - Equipe 2",18,"")))))))))))))))))))</f>
        <v/>
      </c>
    </row>
    <row r="522" spans="40:91">
      <c r="AN522" s="52" t="str">
        <f>IF(Atletas!D513="","",IF(Atletas!B513="Feminino",100,IF(Atletas!B513="Masculino",200,""))+(IF(Atletas!D513="Kids 30kg",1,IF(Atletas!D513="Kids 32kg",2, IF(Atletas!D513="Kids 34kg",3,IF(Atletas!D513="Kids 36kg",4,IF(Atletas!D513="Kids 39kg",5,IF(Atletas!D513="Kids 42kg",6,IF(Atletas!D513="Kids 45kg",7, IF(Atletas!D513="Infantil 39kg",8,IF(Atletas!D513="Infantil 42kg",9,IF(Atletas!D513="Infantil 45kg",10,IF(Atletas!D513="Infantil 48kg",11,IF(Atletas!D513="Infantil 52kg",12,IF(Atletas!D513="Infantil 56kg",13,IF(Atletas!D513="Infantil 60kg",14,IF(Atletas!D513="Juvenil 48kg",15,IF(Atletas!D513="Juvenil 52kg",16,IF(Atletas!D513="Juvenil 56kg",17,IF(Atletas!D513="Juvenil 60kg",18,IF(Atletas!D513="Juvenil 65kg",19,IF(Atletas!D513="Juvenil 70kg",20,IF(Atletas!D513="Juvenil 75kg",21,IF(Atletas!D513="Juvenil 80kg",22, IF(Atletas!D513="Juvenil 85kg",23,IF(Atletas!D513="Adulto 48kg",24,IF(Atletas!D513="Adulto 52kg",25,IF(Atletas!D513="Adulto 56kg",26,IF(Atletas!D513="Adulto 60kg",27,IF(Atletas!D513="Adulto 65kg",28,IF(Atletas!D513="Adulto 70kg",29,IF(Atletas!D513="Adulto 75kg",30,IF(Atletas!D513="Adulto 80kg",31,IF(Atletas!D513="Adulto 85kg",32,IF(Atletas!D513="Adulto 90kg",33,IF(Atletas!D513="Adulto 100kg",34, IF(Atletas!D513="Adulto +100kg",35,"")))))))))))))))))))))))))))))))))))))</f>
        <v/>
      </c>
      <c r="AS522" s="6" t="str">
        <f>IF(Atletas!E513="","",IF(Atletas!B513="Feminino",100,IF(Atletas!B513="Masculino",200,""))+(IF(Atletas!E513="Juvenil 44kg",1,IF(Atletas!E513="Juvenil 48kg",2,IF(Atletas!E513="Juvenil 52kg",3,IF(Atletas!E513="Juvenil 56kg",4,IF(Atletas!E513="Juvenil 60kg",5,IF(Atletas!E513="Juvenil 65kg",6,IF(Atletas!E513="Juvenil 70kg",7,IF(Atletas!E513="Juvenil 75kg",8,IF(Atletas!E513="Juvenil 82kg",9,IF(Atletas!E513="Juvenil 90kg",10,IF(Atletas!E513="Juvenil 100kg",11,IF(Atletas!E513="Adulto 48kg",12,IF(Atletas!E513="Adulto 52kg",13,IF(Atletas!E513="Adulto 56kg",14,IF(Atletas!E513="Adulto 60kg",15,IF(Atletas!E513="Adulto 65kg",16,IF(Atletas!E513="Adulto 70kg",17,IF(Atletas!E513="Adulto 75kg",18,IF(Atletas!E513="Adulto 82kg",19,IF(Atletas!E513="Adulto 90kg",20,IF(Atletas!E513="Adulto 100kg",21,IF(Atletas!E513="Adulto +100kg",22,""))))))))))))))))))))))))</f>
        <v/>
      </c>
      <c r="AX522" s="6" t="str">
        <f>IF(Atletas!F513="","",IF(Atletas!B513="Feminino",100,IF(Atletas!B513="Masculino",200,""))+(IF(Atletas!F513="Adulto 48kg",1,IF(Atletas!F513="Adulto 56kg",2,IF(Atletas!F513="Adulto 65kg",3,IF(Atletas!F513="Adulto 75kg",4,IF(Atletas!F513="Adulto +75kg",5,IF(Atletas!F513="Adulto 52kg",6,IF(Atletas!F513="Adulto 60kg",7,IF(Atletas!F513="Adulto 70kg",8,IF(Atletas!F513="Adulto 80kg",9,IF(Atletas!F513="Adulto 90kg",10,IF(Atletas!F513="Adulto +90kg",11,"")))))))))))))</f>
        <v/>
      </c>
      <c r="BC522" s="6" t="str">
        <f>IF(Atletas!G513="","",IF(Atletas!B513="Feminino",10,IF(Atletas!B513="Masculino",20,""))+(IF(Atletas!G513="Baduanjin A",1,IF(Atletas!G513="Baduanjin B",2))))</f>
        <v/>
      </c>
      <c r="BF522" s="52" t="str">
        <f>IF(Atletas!H513="","",IF(Atletas!B513="Feminino",100,IF(Atletas!B513="Masculino",200,""))+(IF(Atletas!H513="Changquan Mirim",1,IF(Atletas!H513="Nanquan Mirim",2,IF(Atletas!H513="Taijiquan Mirim",3,IF(Atletas!H513="Changquan Grupo C",4,IF(Atletas!H513="Nanquan Grupo C",5,IF(Atletas!H513="Taijiquan Grupo C",6,IF(Atletas!H513="Changquan Grupo B",7,IF(Atletas!H513="Nanquan Grupo B",8,IF(Atletas!H513="Taijiquan Grupo B",9,IF(Atletas!H513="Changquan Grupo A",10,IF(Atletas!H513="Nanquan Grupo A",11,IF(Atletas!H513="Taijiquan Grupo A",12,IF(Atletas!H513="Changquan Opcional",13,IF(Atletas!H513="Nanquan Opcional",14,IF(Atletas!H513="Taijiquan Opcional",15,IF(Atletas!H513="Changquan Adulto",16,IF(Atletas!H513="Nanquan Adulto",17,IF(Atletas!H513="Taijiquan Adulto",18,""))))))))))))))))))))</f>
        <v/>
      </c>
      <c r="BG522" s="52" t="str">
        <f>IF(Atletas!I513="","",IF(Atletas!B513="Feminino",100,IF(Atletas!B513="Masculino",200,""))+(IF(Atletas!I513="Daoshu Mirim",19,IF(Atletas!I513="Jianshu Mirim",20,IF(Atletas!I513="Nandao Mirim",21,IF(Atletas!I513="Taijijian Mirim",22,IF(Atletas!I513="Daoshu Grupo C",23,IF(Atletas!I513="Jianshu Grupo C",24,IF(Atletas!I513="Nandao Grupo C",25,IF(Atletas!I513="Taijijian Grupo C",26,IF(Atletas!I513="Daoshu Grupo B",27,IF(Atletas!I513="Jianshu Grupo B",28,IF(Atletas!I513="Nandao Grupo B",29,IF(Atletas!I513="Taijijian Grupo B",30,IF(Atletas!I513="Daoshu Grupo A",31,IF(Atletas!I513="Jianshu Grupo A",32,IF(Atletas!I513="Nandao Grupo A",33,IF(Atletas!I513="Taijijian Grupo A",34,IF(Atletas!I513="Daoshu Opcional",35,IF(Atletas!I513="Jianshu Opcional",36,IF(Atletas!I513="Nandao Opcional",37,IF(Atletas!I513="Taijijian Opcional",38,IF(Atletas!I513="Daoshu Adulto",39,IF(Atletas!I513="Jianshu Adulto",40,IF(Atletas!I513="Nandao Adulto",41,IF(Atletas!I513="Taijijian Adulto",42,""))))))))))))))))))))))))))</f>
        <v/>
      </c>
      <c r="BH522" s="52" t="str">
        <f>IF(Atletas!J513="","",IF(Atletas!B513="Feminino",100,IF(Atletas!B513="Masculino",200,""))+(IF(Atletas!J513="Gunshu Mirim",43,IF(Atletas!J513="Qiangshu Mirim",44,IF(Atletas!J513="Nangun Mirim",45,IF(Atletas!J513="Gunshu Grupo C",46,IF(Atletas!J513="Qiangshu Grupo C",47,IF(Atletas!J513="Nangun Grupo C",48,IF(Atletas!J513="Gunshu Grupo B",49,IF(Atletas!J513="Qiangshu Grupo B",50,IF(Atletas!J513="Nangun Grupo B",51,IF(Atletas!J513="Gunshu Grupo A",52,IF(Atletas!J513="Qiangshu Grupo A",53,IF(Atletas!J513="Nangun Grupo A",54,IF(Atletas!J513="Gunshu Opcional",55,IF(Atletas!J513="Qiangshu Opcional",56,IF(Atletas!J513="Nangun Opcional",57,IF(Atletas!J513="Gunshu Adulto",58,IF(Atletas!J513="Qiangshu Adulto",59,IF(Atletas!J513="Nangun Adulto",60,IF(Atletas!J513="Taijishan Grupo B",61,IF(Atletas!J513="Taijishan Grupo A",62,""))))))))))))))))))))))</f>
        <v/>
      </c>
      <c r="BM522" s="50" t="str">
        <f>IF(Atletas!K513="","",IF(Atletas!B513="Feminino",100,IF(Atletas!B513="Masculino",200,""))+(IF(Atletas!K513="Equipe 1 Grupo B",1,IF(Atletas!K513="Equipe 2 Grupo B",2,IF(Atletas!K513="Equipe 1 Grupo A",3,IF(Atletas!K513="Equipe 2 Grupo A",4,IF(Atletas!K513="Equipe 1 Adulto",5,IF(Atletas!K513="Equipe 2 Adulto",6,""))))))))</f>
        <v/>
      </c>
      <c r="BR522" s="50" t="str">
        <f>IF(Atletas!L513="","",IF(Atletas!X513&lt;&gt;"",10000,0)+(IF(Atletas!B513="Feminino",1000,IF(Atletas!B513="Masculino",2000,""))+IF(Atletas!L513="Choylayfut A",1,IF(Atletas!L513="Hunggar A",2,IF(Atletas!L513="Wuzuquan A",3,IF(Atletas!L513="Wingchun A",4,IF(Atletas!L513="Outra Mão de Sul A",5,IF(Atletas!L513="Choylayfut B",6,IF(Atletas!L513="Hunggar B",7,IF(Atletas!L513="Wuzuquan B",8,IF(Atletas!L513="Wingchun B",9,IF(Atletas!L513="Outra Mão de Sul B",10,IF(Atletas!L513="Choylayfut C",11,IF(Atletas!L513="Hunggar C",12,IF(Atletas!L513="Wuzuquan C",13,IF(Atletas!L513="Wingchun C",14,IF(Atletas!L513="Outra Mão de Sul C",15,IF(Atletas!L513="Choylayfut D",16,IF(Atletas!L513="Hunggar D",17,IF(Atletas!L513="Wuzuquan D",18,IF(Atletas!L513="Wingchun D",19,IF(Atletas!L513="Outra Mão de Sul D",20,IF(Atletas!L513="Choylayfut E",21,IF(Atletas!L513="Hunggar E",22,IF(Atletas!L513="Wuzuquan E",23,IF(Atletas!L513="Wingchun E",24,IF(Atletas!L513="Outra Mão de Sul E",25,IF(Atletas!L513="Choylayfut F",26,IF(Atletas!L513="Hunggar F",27,IF(Atletas!L513="Wuzuquan F",28,IF(Atletas!L513="Wingchun F",29,IF(Atletas!L513="Outra Mão de Sul F",30,IF(Atletas!L513="Dishuquan A",31,IF(Atletas!L513="Dishuquan B",32,IF(Atletas!L513="Dishuquan C",33,IF(Atletas!L513="Dishuquan D",34,IF(Atletas!L513="Dishuquan E",35,IF(Atletas!L513="Dishuquan F",36,""))))))))))))))))))))))))))))))))))))))</f>
        <v/>
      </c>
      <c r="BS522" s="50" t="str">
        <f>IF(Atletas!M513="","",IF(Atletas!X513&lt;&gt;"",10000,0)+(IF(Atletas!B513="Feminino",1000,IF(Atletas!B513="Masculino",2000,""))+(IF(Atletas!M513="Chaquan A",101,IF(Atletas!M513="Emeiquan A",102,IF(Atletas!M513="Fanziquan A",103,IF(Atletas!M513="Huaquan A",104,IF(Atletas!M513="Hongquan A",105,IF(Atletas!M513="Paoquan A",106,IF(Atletas!M513="Piguaquan A",107,IF(Atletas!M513="Shaolinquan A",108,IF(Atletas!M513="Tanglangquan A",109,IF(Atletas!M513="Yingzhaoquan A",110,IF(Atletas!M513="Tongbeiquan A",111,IF(Atletas!M513="Wudangquan A",112,IF(Atletas!M513="Outros Estilos A",113,IF(Atletas!M513="Chaquan B",114,IF(Atletas!M513="Emeiquan B",115,IF(Atletas!M513="Fanziquan B",116,IF(Atletas!M513="Huaquan B",117,IF(Atletas!M513="Hongquan B",118,IF(Atletas!M513="Paoquan B",119,IF(Atletas!M513="Piguaquan B",120,IF(Atletas!M513="Shaolinquan B",121,IF(Atletas!M513="Tanglangquan B",122,IF(Atletas!M513="Yingzhaoquan B",123,IF(Atletas!M513="Tongbeiquan B",124,IF(Atletas!M513="Wudangquan B",125,IF(Atletas!M513="Outros Estilos B",126,IF(Atletas!M513="Chaquan C",127,IF(Atletas!M513="Emeiquan C",128,IF(Atletas!M513="Fanziquan C",129,IF(Atletas!M513="Huaquan C",130,IF(Atletas!M513="Hongquan C",131,IF(Atletas!M513="Paoquan C",132,IF(Atletas!M513="Piguaquan C",133,IF(Atletas!M513="Shaolinquan C",134,IF(Atletas!M513="Tanglangquan C",135,IF(Atletas!M513="Yingzhaoquan C",136,IF(Atletas!M513="Tongbeiquan C",137,IF(Atletas!M513="Wudangquan C",138,IF(Atletas!M513="Outros Estilos C",139,0))))))))))))))))))))))))))))))))))))))))))</f>
        <v/>
      </c>
      <c r="BT522" s="50" t="str">
        <f>IF(Atletas!M513="","",IF(Atletas!X513&lt;&gt;"",10000,0)+(IF(Atletas!B513="Feminino",1000,IF(Atletas!B513="Masculino",2000,""))+(IF(Atletas!M513="Chaquan D",140,IF(Atletas!M513="Emeiquan D",141,IF(Atletas!M513="Fanziquan D",142,IF(Atletas!M513="Huaquan D",143,IF(Atletas!M513="Hongquan D",144,IF(Atletas!M513="Paoquan D",145,IF(Atletas!M513="Piguaquan D",146,IF(Atletas!M513="Shaolinquan D",147,IF(Atletas!M513="Tanglangquan D",148,IF(Atletas!M513="Yingzhaoquan D",149,IF(Atletas!M513="Tongbeiquan D",150,IF(Atletas!M513="Wudangquan D",151,IF(Atletas!M513="Outros Estilos D",152,IF(Atletas!M513="Chaquan E",153,IF(Atletas!M513="Emeiquan E",154,IF(Atletas!M513="Fanziquan E",155,IF(Atletas!M513="Huaquan E",156,IF(Atletas!M513="Hongquan E",157,IF(Atletas!M513="Paoquan E",158,IF(Atletas!M513="Piguaquan E",159,IF(Atletas!M513="Shaolinquan E",160,IF(Atletas!M513="Tanglangquan E",161,IF(Atletas!M513="Yingzhaoquan E",162,IF(Atletas!M513="Tongbeiquan E",163,IF(Atletas!M513="Wudangquan E",164,IF(Atletas!M513="Outros Estilos E",165,IF(Atletas!M513="Chaquan F",166,IF(Atletas!M513="Emeiquan F",167,IF(Atletas!M513="Fanziquan F",168,IF(Atletas!M513="Huaquan F",169,IF(Atletas!M513="Hongquan F",170,IF(Atletas!M513="Paoquan F",171,IF(Atletas!M513="Piguaquan F",172,IF(Atletas!M513="Shaolinquan F",173,IF(Atletas!M513="Tanglangquan F",174,IF(Atletas!M513="Yingzhaoquan F",175,IF(Atletas!M513="Tongbeiquan F",176,IF(Atletas!M513="Wudangquan F",177,IF(Atletas!M513="Outros Estilos F",178,0))))))))))))))))))))))))))))))))))))))))))</f>
        <v/>
      </c>
      <c r="BU522" s="50" t="str">
        <f>IF(Atletas!N513="","",IF(Atletas!X513&lt;&gt;"",10000,0)+(IF(Atletas!B513="Feminino",1000,IF(Atletas!B513="Masculino",2000,""))+(IF(Atletas!N513="Ditangquan A",201,IF(Atletas!N513="Houquan A",202,IF(Atletas!N513="Zuiquan A",203,IF(Atletas!N513="Ditangquan B",204,IF(Atletas!N513="Houquan B",205,IF(Atletas!N513="Zuiquan B",206,IF(Atletas!N513="Ditangquan C",207,IF(Atletas!N513="Houquan C",208,IF(Atletas!N513="Zuiquan C",209,IF(Atletas!N513="Ditangquan D",210,IF(Atletas!N513="Houquan D",211,IF(Atletas!N513="Zuiquan D",212,IF(Atletas!N513="Ditangquan E",213,IF(Atletas!N513="Houquan E",214,IF(Atletas!N513="Zuiquan E",215,IF(Atletas!N513="Ditangquan F",216,IF(Atletas!N513="Houquan F",217,IF(Atletas!N513="Zuiquan F",218,"")))))))))))))))))))))</f>
        <v/>
      </c>
      <c r="BV522" s="50" t="str">
        <f>IF(Atletas!O513="","",IF(Atletas!X513&lt;&gt;"",10000,0)+IF(Atletas!B513="Feminino",1000,IF(Atletas!B513="Masculino",2000,""))+IF(Atletas!O513="Yang A",301,IF(Atletas!O513="Chen A",302,IF(Atletas!O513="Sun A",303,IF(Atletas!O513="Wu A",304,IF(Atletas!O513="Wu-Hao A",305,IF(Atletas!O513="Outro Taijiquan A",306,IF(Atletas!O513="Yang B",307,IF(Atletas!O513="Chen B",308,IF(Atletas!O513="Sun B",309,IF(Atletas!O513="Wu B",310,IF(Atletas!O513="Wu-Hao B",311,IF(Atletas!O513="Outro Taijiquan B",312,IF(Atletas!O513="Yang C",313,IF(Atletas!O513="Chen C",314,IF(Atletas!O513="Sun C",315,IF(Atletas!O513="Wu C",316,IF(Atletas!O513="Wu-Hao C",317,IF(Atletas!O513="Outro Taijiquan C",318,IF(Atletas!O513="Yang D",319,IF(Atletas!O513="Chen D",320,IF(Atletas!O513="Sun D",321,IF(Atletas!O513="Wu D",322,IF(Atletas!O513="Wu-Hao D",323,IF(Atletas!O513="Outro Taijiquan D",324,IF(Atletas!O513="Yang E",325,IF(Atletas!O513="Chen E",326,IF(Atletas!O513="Sun E",327,IF(Atletas!O513="Wu E",328,IF(Atletas!O513="Wu-Hao E",329,IF(Atletas!O513="Outro Taijiquan E",330,IF(Atletas!O513="Yang F",331,IF(Atletas!O513="Chen F",332,IF(Atletas!O513="Sun F",333,IF(Atletas!O513="Wu F",334,IF(Atletas!O513="Wu-Hao F",335,IF(Atletas!O513="Outro Taijiquan F",336,"")))))))))))))))))))))))))))))))))))))</f>
        <v/>
      </c>
      <c r="BW522" s="50" t="str">
        <f>IF(Atletas!P513="","",IF(Atletas!X513&lt;&gt;"",10000,0)+IF(Atletas!B513="Feminino",1000,IF(Atletas!B513="Masculino",2000,""))+IF(OR(Atletas!P513="Yang 26 A",Atletas!P513="Yang 40 A"),401,IF(OR(Atletas!P513="Chen 25 A",Atletas!P513="Chen 36 A",Atletas!P513="Chen 56 A"),402,IF(Atletas!P513="Sun 73 A",403,IF(Atletas!P513="Wu 45 A",404,IF(Atletas!P513="Wu-Hao 46 A",405,IF(OR(Atletas!P513="Taijiquan 16 A",Atletas!P513="Taijiquan 24 A",Atletas!P513="Taijiquan 32 A",Atletas!P513="Taijiquan 42 A"),406,IF(OR(Atletas!P513="Yang 26 B",Atletas!P513="Yang 40 B"),407,IF(OR(Atletas!P513="Chen 25 B",Atletas!P513="Chen 36 B",Atletas!P513="Chen 56 B"),408,IF(Atletas!P513="Sun 73 B",409,IF(Atletas!P513="Wu 45 B",410,IF(Atletas!P513="Wu-Hao 46 B",411,IF(OR(Atletas!P513="Taijiquan 16 B",Atletas!P513="Taijiquan 24 B",Atletas!P513="Taijiquan 32 B",Atletas!P513="Taijiquan 42 B"),412,IF(OR(Atletas!P513="Yang 26 C",Atletas!P513="Yang 40 C"),413,IF(OR(Atletas!P513="Chen 25 C",Atletas!P513="Chen 36 C",Atletas!P513="Chen 56 C"),414,IF(Atletas!P513="Sun 73 C",415,IF(Atletas!P513="Wu 45 C",416,IF(Atletas!P513="Wu-Hao 46 C",417,IF(OR(Atletas!P513="Taijiquan 16 C",Atletas!P513="Taijiquan 24 C",Atletas!P513="Taijiquan 32 C",Atletas!P513="Taijiquan 42 C"),418,0)))))))))))))))))))</f>
        <v/>
      </c>
      <c r="BX522" s="50" t="str">
        <f>IF(Atletas!P513="","",IF(Atletas!X513&lt;&gt;"",10000,0)+IF(Atletas!B513="Feminino",1000,IF(Atletas!B513="Masculino",2000,""))+IF(OR(Atletas!P513="Yang 26 D",Atletas!P513="Yang 40 D"),419,IF(OR(Atletas!P513="Chen 25 D",Atletas!P513="Chen 36 D",Atletas!P513="Chen 56 D"),420,IF(Atletas!P513="Sun 73 D",421,IF(Atletas!P513="Wu 45 D",422,IF(Atletas!P513="Wu-Hao 46 D",423,IF(OR(Atletas!P513="Taijiquan 16 D",Atletas!P513="Taijiquan 24 D",Atletas!P513="Taijiquan 32 D",Atletas!P513="Taijiquan 42 D"),424,IF(OR(Atletas!P513="Yang 26 E",Atletas!P513="Yang 40 E"),425,IF(OR(Atletas!P513="Chen 25 E",Atletas!P513="Chen 36 E",Atletas!P513="Chen 56 E"),426,IF(Atletas!P513="Sun 73 E",427,IF(Atletas!P513="Wu 45 E",428,IF(Atletas!P513="Wu-Hao 46 E",429,IF(OR(Atletas!P513="Taijiquan 16 E",Atletas!P513="Taijiquan 24 E",Atletas!P513="Taijiquan 32 E",Atletas!P513="Taijiquan 42 E"),430,IF(OR(Atletas!P513="Yang 26 F",Atletas!P513="Yang 40 F"),431,IF(OR(Atletas!P513="Chen 25 F",Atletas!P513="Chen 36 F",Atletas!P513="Chen 56 F"),432,IF(Atletas!P513="Sun 73 F",433,IF(Atletas!P513="Wu 45 F",434,IF(Atletas!P513="Wu-Hao 46 F",435,IF(OR(Atletas!P513="Taijiquan 16 F",Atletas!P513="Taijiquan 24 F",Atletas!P513="Taijiquan 32 F",Atletas!P513="Taijiquan 42 F"),436,0)))))))))))))))))))</f>
        <v/>
      </c>
      <c r="BY522" s="50" t="str">
        <f>IF(Atletas!Q513="","",IF(Atletas!X513&lt;&gt;"",10000,0)+IF(Atletas!B513="Feminino",1000,IF(Atletas!B513="Masculino",2000,""))+IF(Atletas!Q513="Xingyiquan A",501,IF(Atletas!Q513="Baguazhang A",502,IF(Atletas!Q513="Outro Estilo Interno A",503,IF(Atletas!Q513="Xingyiquan B",504,IF(Atletas!Q513="Baguazhang B",505,IF(Atletas!Q513="Outro Estilo Interno B",506,IF(Atletas!Q513="Xingyiquan C",507,IF(Atletas!Q513="Baguazhang C",508,IF(Atletas!Q513="Outro Estilo Interno C",509,IF(Atletas!Q513="Xingyiquan D",510,IF(Atletas!Q513="Baguazhang D",511,IF(Atletas!Q513="Outro Estilo Interno D",512,IF(Atletas!Q513="Xingyiquan E",513,IF(Atletas!Q513="Baguazhang E",514,IF(Atletas!Q513="Outro Estilo Interno E",515,IF(Atletas!Q513="Xingyiquan F",516,IF(Atletas!Q513="Baguazhang F",517,IF(Atletas!Q513="Outro Estilo Interno F",518, "")))))))))))))))))))</f>
        <v/>
      </c>
      <c r="BZ522" s="50" t="str">
        <f>IF(Atletas!R513="","",IF(Atletas!X513&lt;&gt;"",10000,0)+IF(Atletas!B513="Feminino",1000,IF(Atletas!B513="Masculino",2000,""))+IF(Atletas!R513="Dao A",601,IF(Atletas!R513="Jian A",602,IF(Atletas!R513="Bishou A",603,IF(Atletas!R513="Shanzi A",604,IF(Atletas!R513="Outra Arma Curta A",605,IF(Atletas!R513="Dao B",606,IF(Atletas!R513="Jian B",607,IF(Atletas!R513="Bishou B",608,IF(Atletas!R513="Shanzi B",609,IF(Atletas!R513="Outra Arma Curta B",610,IF(Atletas!R513="Dao C",611,IF(Atletas!R513="Jian C",612,IF(Atletas!R513="Bishou C",613,IF(Atletas!R513="Shanzi C",614,IF(Atletas!R513="Outra Arma Curta C",615,IF(Atletas!R513="Dao D",616,IF(Atletas!R513="Jian D",617,IF(Atletas!R513="Bishou D",618,IF(Atletas!R513="Shanzi D",619,IF(Atletas!R513="Outra Arma Curta D",620,IF(Atletas!R513="Dao E",621,IF(Atletas!R513="Jian E",622,IF(Atletas!R513="Bishou E",623,IF(Atletas!R513="Shanzi E",624,IF(Atletas!R513="Outra Arma Curta E",625,IF(Atletas!R513="Dao F",626,IF(Atletas!R513="Jian F",627,IF(Atletas!R513="Bishou F",628,IF(Atletas!R513="Shanzi F",629,IF(Atletas!R513="Outra Arma Curta F",630, "")))))))))))))))))))))))))))))))</f>
        <v/>
      </c>
      <c r="CA522" s="50" t="str">
        <f>IF(Atletas!S513="","",IF(Atletas!X513&lt;&gt;"",10000,0)+IF(Atletas!B513="Feminino",1000,IF(Atletas!B513="Masculino",2000,""))+IF(Atletas!S513="Gun A",701,IF(Atletas!S513="Qiang A",702,IF(Atletas!S513="Pudao / Guandao A",703,IF(Atletas!S513="Outra Arma Longa A",704,IF(Atletas!S513="Gun B",705,IF(Atletas!S513="Qiang B",706,IF(Atletas!S513="Pudao / Guandao B",707,IF(Atletas!S513="Outra Arma Longa B",708,IF(Atletas!S513="Gun C",709,IF(Atletas!S513="Qiang C",710,IF(Atletas!S513="Pudao / Guandao C",711,IF(Atletas!S513="Outra Arma Longa C",712,IF(Atletas!S513="Gun D",713,IF(Atletas!S513="Qiang D",714,IF(Atletas!S513="Pudao / Guandao D",715,IF(Atletas!S513="Outra Arma Longa D",716,IF(Atletas!S513="Gun E",717,IF(Atletas!S513="Qiang E",718,IF(Atletas!S513="Pudao / Guandao E",719,IF(Atletas!S513="Outra Arma Longa E",720,IF(Atletas!S513="Gun F",721,IF(Atletas!S513="Qiang F",722,IF(Atletas!S513="Pudao / Guandao F",723,IF(Atletas!S513="Outra Arma Longa F",724,"")))))))))))))))))))))))))</f>
        <v/>
      </c>
      <c r="CB522" s="50" t="str">
        <f>IF(Atletas!T513="","",IF(Atletas!X513&lt;&gt;"",10000,0)+IF(Atletas!B513="Feminino",1000,IF(Atletas!B513="Masculino",2000,""))+IF(Atletas!T513="Outra Arma Dupla A",801,IF(Atletas!T513="Arma Maleável A",802,IF(Atletas!T513="Outra Arma Dupla B",803,IF(Atletas!T513="Arma Maleável B",804,IF(Atletas!T513="Outra Arma Dupla C",805,IF(Atletas!T513="Arma Maleável C",806,IF(Atletas!T513="Outra Arma Dupla D",807,IF(Atletas!T513="Arma Maleável D",808,IF(Atletas!T513="Outra Arma Dupla E",809,IF(Atletas!T513="Arma Maleável E",810,IF(Atletas!T513="Outra Arma Dupla F",811,IF(Atletas!T513="Arma Maleável F",812,IF(Atletas!T513="Shuangdao A",813,IF(Atletas!T513="Shuangdao B",814,IF(Atletas!T513="Shuangdao C",815,IF(Atletas!T513="Shuangdao D",816,IF(Atletas!T513="Shuangdao E",817,IF(Atletas!T513="Shuangdao F",818,"")))))))))))))))))))</f>
        <v/>
      </c>
      <c r="CC522" s="50" t="str">
        <f>IF(Atletas!U513="","",IF(Atletas!X513&lt;&gt;"",10000,0)+IF(Atletas!B513="Feminino",1000,IF(Atletas!B513="Masculino",2000,""))+IF(OR(Atletas!U513="Taijijian Yang A",Atletas!U513="Taijijian Yang Standard A"),901,IF(OR(Atletas!U513="Taijijian Chen A", Atletas!U513="Taijijian Chen Standard A"),902,IF(Atletas!U513="Taijijian Sun A",903,IF(Atletas!U513="Taijijian Wu A",904,IF(Atletas!U513="Taijijian Wu-Hao A",905,IF(OR(Atletas!U513="Taijijian 32 A",Atletas!U513="Taijijian 42 A"),906,IF(OR(Atletas!U513="Taijijian Yang B",Atletas!U513="Taijijian Yang Standard B"),907,IF(OR(Atletas!U513="Taijijian Chen B", Atletas!U513="Taijijian Chen Standard B"),908,IF(Atletas!U513="Taijijian Sun B",909,IF(Atletas!U513="Taijijian Wu B",910,IF(Atletas!U513="Taijijian Wu-Hao B",911,IF(OR(Atletas!U513="Taijijian 32 B",Atletas!U513="Taijijian 42 B"),912,IF(OR(Atletas!U513="Taijijian Yang C",Atletas!U513="Taijijian Yang Standard C"),913,IF(OR(Atletas!U513="Taijijian Chen C", Atletas!U513="Taijijian Chen Standard C"),914,IF(Atletas!U513="Taijijian Sun C",915,IF(Atletas!U513="Taijijian Wu C",916,IF(Atletas!U513="Taijijian Wu-Hao C",917,IF(OR(Atletas!U513="Taijijian 32 C",Atletas!U513="Taijijian 42 C"),918,IF(OR(Atletas!U513="Taijijian Yang D",Atletas!U513="Taijijian Yang Standard D"),919,IF(OR(Atletas!U513="Taijijian Chen D", Atletas!U513="Taijijian Chen Standard D"),920,IF(Atletas!U513="Taijijian Sun D",921,IF(Atletas!U513="Taijijian Wu D",922,IF(Atletas!U513="Taijijian Wu-Hao D",923,IF(OR(Atletas!U513="Taijijian 32 D",Atletas!U513="Taijijian 42 D"),924,IF(OR(Atletas!U513="Taijijian Yang E",Atletas!U513="Taijijian Yang Standard E"),925,IF(OR(Atletas!U513="Taijijian Chen E", Atletas!U513="Taijijian Chen Standard E"),926,IF(Atletas!U513="Taijijian Sun E",927,IF(Atletas!U513="Taijijian Wu E",928,IF(Atletas!U513="Taijijian Wu-Hao E",929,IF(OR(Atletas!U513="Taijijian 32 E",Atletas!U513="Taijijian 42 E"),930,IF(OR(Atletas!U513="Taijijian Yang F",Atletas!U513="Taijijian Yang Standard F"),931,IF(OR(Atletas!U513="Taijijian Chen F", Atletas!U513="Taijijian Chen Standard F"),932,IF(Atletas!U513="Taijijian Sun F",933,IF(Atletas!U513="Taijijian Wu F",934,IF(Atletas!U513="Taijijian Wu-Hao F",935,IF(OR(Atletas!U513="Taijijian 32 F",Atletas!U513="Taijijian 42 F"),936,"")))))))))))))))))))))))))))))))))))))</f>
        <v/>
      </c>
      <c r="CD522" s="50" t="str">
        <f>IF(Atletas!V513="","",IF(Atletas!X513&lt;&gt;"",10000,0)+IF(Atletas!B513="Feminino",1000,IF(Atletas!B513="Masculino",2000,""))+IF(Atletas!V513="Taijidao A",937,IF(Atletas!V513="TaijiShanzi A",938,IF(Atletas!V513="Taijiqiang A",939,IF(Atletas!V513="Bagua de Arma A",940,IF(Atletas!V513="Xingyi de Arma A",941,IF(Atletas!V513="Taijidao B",942,IF(Atletas!V513="TaijiShanzi B",943,IF(Atletas!V513="Taijiqiang B",944,IF(Atletas!V513="Bagua de Arma B",945,IF(Atletas!V513="Xingyi de Arma B",946,IF(Atletas!V513="Taijidao C",947,IF(Atletas!V513="TaijiShanzi C",948,IF(Atletas!V513="Taijiqiang C",949,IF(Atletas!V513="Bagua de Arma C",950,IF(Atletas!V513="Xingyi de Arma C",951,IF(Atletas!V513="Taijidao D",952,IF(Atletas!V513="TaijiShanzi D",953,IF(Atletas!V513="Taijiqiang D",954,IF(Atletas!V513="Bagua de Arma D",955,IF(Atletas!V513="Xingyi de Arma D",956,IF(Atletas!V513="Taijidao E",957,IF(Atletas!V513="TaijiShanzi E",958,IF(Atletas!V513="Taijiqiang E",959,IF(Atletas!V513="Bagua de Arma E",960,IF(Atletas!V513="Xingyi de Arma E",961,IF(Atletas!V513="Taijidao F",962,IF(Atletas!V513="TaijiShanzi F",963,IF(Atletas!V513="Taijiqiang F",964,IF(Atletas!V513="Bagua de Arma F",965,IF(Atletas!V513="Xingyi de Arma F",966,"")))))))))))))))))))))))))))))))</f>
        <v/>
      </c>
      <c r="CM522" s="50" t="str">
        <f xml:space="preserve"> IF(Atletas!W513="","",IF(Atletas!W513="Duilian de Mãos BC - Equipe 1",1,IF(Atletas!W513="Duilian de Mãos BC - Equipe 2",2,IF(Atletas!W513="Duilian de Armas BC - Equipe 1",3,IF(Atletas!W513="Duilian de Armas BC - Equipe 2",4,IF(Atletas!W513="Duilian de Mãos DE - Equipe 1",5,IF(Atletas!W513="Duilian de Mãos DE - Equipe 2",6,IF(Atletas!W513="Duilian de Armas DE - Equipe 1",7,IF(Atletas!W513="Duilian de Armas DE - Equipe 2",8,IF(Atletas!W513="Duilian de Tuishou - Equipe 1",9,IF(Atletas!W513="Duilian de Tuishou - Equipe 2",10,IF(Atletas!W513="Grupo Externo ABC - Equipe 1",11,IF(Atletas!W513="Grupo Externo ABC - Equipe 2",12,IF(Atletas!W513="Grupo Interno ABC - Equipe 1",13,IF(Atletas!W513="Grupo Interno ABC - Equipe 2",14,IF(Atletas!W513="Grupo Externo DEF - Equipe 1",15,IF(Atletas!W513="Grupo Externo DEF - Equipe 2",16,IF(Atletas!W513="Grupo Interno DEF - Equipe 1",17,IF(Atletas!W513="Grupo Interno DEF - Equipe 2",18,"")))))))))))))))))))</f>
        <v/>
      </c>
    </row>
    <row r="523" spans="40:91">
      <c r="AN523" s="52" t="str">
        <f>IF(Atletas!D514="","",IF(Atletas!B514="Feminino",100,IF(Atletas!B514="Masculino",200,""))+(IF(Atletas!D514="Kids 30kg",1,IF(Atletas!D514="Kids 32kg",2, IF(Atletas!D514="Kids 34kg",3,IF(Atletas!D514="Kids 36kg",4,IF(Atletas!D514="Kids 39kg",5,IF(Atletas!D514="Kids 42kg",6,IF(Atletas!D514="Kids 45kg",7, IF(Atletas!D514="Infantil 39kg",8,IF(Atletas!D514="Infantil 42kg",9,IF(Atletas!D514="Infantil 45kg",10,IF(Atletas!D514="Infantil 48kg",11,IF(Atletas!D514="Infantil 52kg",12,IF(Atletas!D514="Infantil 56kg",13,IF(Atletas!D514="Infantil 60kg",14,IF(Atletas!D514="Juvenil 48kg",15,IF(Atletas!D514="Juvenil 52kg",16,IF(Atletas!D514="Juvenil 56kg",17,IF(Atletas!D514="Juvenil 60kg",18,IF(Atletas!D514="Juvenil 65kg",19,IF(Atletas!D514="Juvenil 70kg",20,IF(Atletas!D514="Juvenil 75kg",21,IF(Atletas!D514="Juvenil 80kg",22, IF(Atletas!D514="Juvenil 85kg",23,IF(Atletas!D514="Adulto 48kg",24,IF(Atletas!D514="Adulto 52kg",25,IF(Atletas!D514="Adulto 56kg",26,IF(Atletas!D514="Adulto 60kg",27,IF(Atletas!D514="Adulto 65kg",28,IF(Atletas!D514="Adulto 70kg",29,IF(Atletas!D514="Adulto 75kg",30,IF(Atletas!D514="Adulto 80kg",31,IF(Atletas!D514="Adulto 85kg",32,IF(Atletas!D514="Adulto 90kg",33,IF(Atletas!D514="Adulto 100kg",34, IF(Atletas!D514="Adulto +100kg",35,"")))))))))))))))))))))))))))))))))))))</f>
        <v/>
      </c>
      <c r="AS523" s="6" t="str">
        <f>IF(Atletas!E514="","",IF(Atletas!B514="Feminino",100,IF(Atletas!B514="Masculino",200,""))+(IF(Atletas!E514="Juvenil 44kg",1,IF(Atletas!E514="Juvenil 48kg",2,IF(Atletas!E514="Juvenil 52kg",3,IF(Atletas!E514="Juvenil 56kg",4,IF(Atletas!E514="Juvenil 60kg",5,IF(Atletas!E514="Juvenil 65kg",6,IF(Atletas!E514="Juvenil 70kg",7,IF(Atletas!E514="Juvenil 75kg",8,IF(Atletas!E514="Juvenil 82kg",9,IF(Atletas!E514="Juvenil 90kg",10,IF(Atletas!E514="Juvenil 100kg",11,IF(Atletas!E514="Adulto 48kg",12,IF(Atletas!E514="Adulto 52kg",13,IF(Atletas!E514="Adulto 56kg",14,IF(Atletas!E514="Adulto 60kg",15,IF(Atletas!E514="Adulto 65kg",16,IF(Atletas!E514="Adulto 70kg",17,IF(Atletas!E514="Adulto 75kg",18,IF(Atletas!E514="Adulto 82kg",19,IF(Atletas!E514="Adulto 90kg",20,IF(Atletas!E514="Adulto 100kg",21,IF(Atletas!E514="Adulto +100kg",22,""))))))))))))))))))))))))</f>
        <v/>
      </c>
      <c r="AX523" s="6" t="str">
        <f>IF(Atletas!F514="","",IF(Atletas!B514="Feminino",100,IF(Atletas!B514="Masculino",200,""))+(IF(Atletas!F514="Adulto 48kg",1,IF(Atletas!F514="Adulto 56kg",2,IF(Atletas!F514="Adulto 65kg",3,IF(Atletas!F514="Adulto 75kg",4,IF(Atletas!F514="Adulto +75kg",5,IF(Atletas!F514="Adulto 52kg",6,IF(Atletas!F514="Adulto 60kg",7,IF(Atletas!F514="Adulto 70kg",8,IF(Atletas!F514="Adulto 80kg",9,IF(Atletas!F514="Adulto 90kg",10,IF(Atletas!F514="Adulto +90kg",11,"")))))))))))))</f>
        <v/>
      </c>
      <c r="BC523" s="6" t="str">
        <f>IF(Atletas!G514="","",IF(Atletas!B514="Feminino",10,IF(Atletas!B514="Masculino",20,""))+(IF(Atletas!G514="Baduanjin A",1,IF(Atletas!G514="Baduanjin B",2))))</f>
        <v/>
      </c>
      <c r="BF523" s="52" t="str">
        <f>IF(Atletas!H514="","",IF(Atletas!B514="Feminino",100,IF(Atletas!B514="Masculino",200,""))+(IF(Atletas!H514="Changquan Mirim",1,IF(Atletas!H514="Nanquan Mirim",2,IF(Atletas!H514="Taijiquan Mirim",3,IF(Atletas!H514="Changquan Grupo C",4,IF(Atletas!H514="Nanquan Grupo C",5,IF(Atletas!H514="Taijiquan Grupo C",6,IF(Atletas!H514="Changquan Grupo B",7,IF(Atletas!H514="Nanquan Grupo B",8,IF(Atletas!H514="Taijiquan Grupo B",9,IF(Atletas!H514="Changquan Grupo A",10,IF(Atletas!H514="Nanquan Grupo A",11,IF(Atletas!H514="Taijiquan Grupo A",12,IF(Atletas!H514="Changquan Opcional",13,IF(Atletas!H514="Nanquan Opcional",14,IF(Atletas!H514="Taijiquan Opcional",15,IF(Atletas!H514="Changquan Adulto",16,IF(Atletas!H514="Nanquan Adulto",17,IF(Atletas!H514="Taijiquan Adulto",18,""))))))))))))))))))))</f>
        <v/>
      </c>
      <c r="BG523" s="52" t="str">
        <f>IF(Atletas!I514="","",IF(Atletas!B514="Feminino",100,IF(Atletas!B514="Masculino",200,""))+(IF(Atletas!I514="Daoshu Mirim",19,IF(Atletas!I514="Jianshu Mirim",20,IF(Atletas!I514="Nandao Mirim",21,IF(Atletas!I514="Taijijian Mirim",22,IF(Atletas!I514="Daoshu Grupo C",23,IF(Atletas!I514="Jianshu Grupo C",24,IF(Atletas!I514="Nandao Grupo C",25,IF(Atletas!I514="Taijijian Grupo C",26,IF(Atletas!I514="Daoshu Grupo B",27,IF(Atletas!I514="Jianshu Grupo B",28,IF(Atletas!I514="Nandao Grupo B",29,IF(Atletas!I514="Taijijian Grupo B",30,IF(Atletas!I514="Daoshu Grupo A",31,IF(Atletas!I514="Jianshu Grupo A",32,IF(Atletas!I514="Nandao Grupo A",33,IF(Atletas!I514="Taijijian Grupo A",34,IF(Atletas!I514="Daoshu Opcional",35,IF(Atletas!I514="Jianshu Opcional",36,IF(Atletas!I514="Nandao Opcional",37,IF(Atletas!I514="Taijijian Opcional",38,IF(Atletas!I514="Daoshu Adulto",39,IF(Atletas!I514="Jianshu Adulto",40,IF(Atletas!I514="Nandao Adulto",41,IF(Atletas!I514="Taijijian Adulto",42,""))))))))))))))))))))))))))</f>
        <v/>
      </c>
      <c r="BH523" s="52" t="str">
        <f>IF(Atletas!J514="","",IF(Atletas!B514="Feminino",100,IF(Atletas!B514="Masculino",200,""))+(IF(Atletas!J514="Gunshu Mirim",43,IF(Atletas!J514="Qiangshu Mirim",44,IF(Atletas!J514="Nangun Mirim",45,IF(Atletas!J514="Gunshu Grupo C",46,IF(Atletas!J514="Qiangshu Grupo C",47,IF(Atletas!J514="Nangun Grupo C",48,IF(Atletas!J514="Gunshu Grupo B",49,IF(Atletas!J514="Qiangshu Grupo B",50,IF(Atletas!J514="Nangun Grupo B",51,IF(Atletas!J514="Gunshu Grupo A",52,IF(Atletas!J514="Qiangshu Grupo A",53,IF(Atletas!J514="Nangun Grupo A",54,IF(Atletas!J514="Gunshu Opcional",55,IF(Atletas!J514="Qiangshu Opcional",56,IF(Atletas!J514="Nangun Opcional",57,IF(Atletas!J514="Gunshu Adulto",58,IF(Atletas!J514="Qiangshu Adulto",59,IF(Atletas!J514="Nangun Adulto",60,IF(Atletas!J514="Taijishan Grupo B",61,IF(Atletas!J514="Taijishan Grupo A",62,""))))))))))))))))))))))</f>
        <v/>
      </c>
      <c r="BM523" s="50" t="str">
        <f>IF(Atletas!K514="","",IF(Atletas!B514="Feminino",100,IF(Atletas!B514="Masculino",200,""))+(IF(Atletas!K514="Equipe 1 Grupo B",1,IF(Atletas!K514="Equipe 2 Grupo B",2,IF(Atletas!K514="Equipe 1 Grupo A",3,IF(Atletas!K514="Equipe 2 Grupo A",4,IF(Atletas!K514="Equipe 1 Adulto",5,IF(Atletas!K514="Equipe 2 Adulto",6,""))))))))</f>
        <v/>
      </c>
      <c r="BR523" s="50" t="str">
        <f>IF(Atletas!L514="","",IF(Atletas!X514&lt;&gt;"",10000,0)+(IF(Atletas!B514="Feminino",1000,IF(Atletas!B514="Masculino",2000,""))+IF(Atletas!L514="Choylayfut A",1,IF(Atletas!L514="Hunggar A",2,IF(Atletas!L514="Wuzuquan A",3,IF(Atletas!L514="Wingchun A",4,IF(Atletas!L514="Outra Mão de Sul A",5,IF(Atletas!L514="Choylayfut B",6,IF(Atletas!L514="Hunggar B",7,IF(Atletas!L514="Wuzuquan B",8,IF(Atletas!L514="Wingchun B",9,IF(Atletas!L514="Outra Mão de Sul B",10,IF(Atletas!L514="Choylayfut C",11,IF(Atletas!L514="Hunggar C",12,IF(Atletas!L514="Wuzuquan C",13,IF(Atletas!L514="Wingchun C",14,IF(Atletas!L514="Outra Mão de Sul C",15,IF(Atletas!L514="Choylayfut D",16,IF(Atletas!L514="Hunggar D",17,IF(Atletas!L514="Wuzuquan D",18,IF(Atletas!L514="Wingchun D",19,IF(Atletas!L514="Outra Mão de Sul D",20,IF(Atletas!L514="Choylayfut E",21,IF(Atletas!L514="Hunggar E",22,IF(Atletas!L514="Wuzuquan E",23,IF(Atletas!L514="Wingchun E",24,IF(Atletas!L514="Outra Mão de Sul E",25,IF(Atletas!L514="Choylayfut F",26,IF(Atletas!L514="Hunggar F",27,IF(Atletas!L514="Wuzuquan F",28,IF(Atletas!L514="Wingchun F",29,IF(Atletas!L514="Outra Mão de Sul F",30,IF(Atletas!L514="Dishuquan A",31,IF(Atletas!L514="Dishuquan B",32,IF(Atletas!L514="Dishuquan C",33,IF(Atletas!L514="Dishuquan D",34,IF(Atletas!L514="Dishuquan E",35,IF(Atletas!L514="Dishuquan F",36,""))))))))))))))))))))))))))))))))))))))</f>
        <v/>
      </c>
      <c r="BS523" s="50" t="str">
        <f>IF(Atletas!M514="","",IF(Atletas!X514&lt;&gt;"",10000,0)+(IF(Atletas!B514="Feminino",1000,IF(Atletas!B514="Masculino",2000,""))+(IF(Atletas!M514="Chaquan A",101,IF(Atletas!M514="Emeiquan A",102,IF(Atletas!M514="Fanziquan A",103,IF(Atletas!M514="Huaquan A",104,IF(Atletas!M514="Hongquan A",105,IF(Atletas!M514="Paoquan A",106,IF(Atletas!M514="Piguaquan A",107,IF(Atletas!M514="Shaolinquan A",108,IF(Atletas!M514="Tanglangquan A",109,IF(Atletas!M514="Yingzhaoquan A",110,IF(Atletas!M514="Tongbeiquan A",111,IF(Atletas!M514="Wudangquan A",112,IF(Atletas!M514="Outros Estilos A",113,IF(Atletas!M514="Chaquan B",114,IF(Atletas!M514="Emeiquan B",115,IF(Atletas!M514="Fanziquan B",116,IF(Atletas!M514="Huaquan B",117,IF(Atletas!M514="Hongquan B",118,IF(Atletas!M514="Paoquan B",119,IF(Atletas!M514="Piguaquan B",120,IF(Atletas!M514="Shaolinquan B",121,IF(Atletas!M514="Tanglangquan B",122,IF(Atletas!M514="Yingzhaoquan B",123,IF(Atletas!M514="Tongbeiquan B",124,IF(Atletas!M514="Wudangquan B",125,IF(Atletas!M514="Outros Estilos B",126,IF(Atletas!M514="Chaquan C",127,IF(Atletas!M514="Emeiquan C",128,IF(Atletas!M514="Fanziquan C",129,IF(Atletas!M514="Huaquan C",130,IF(Atletas!M514="Hongquan C",131,IF(Atletas!M514="Paoquan C",132,IF(Atletas!M514="Piguaquan C",133,IF(Atletas!M514="Shaolinquan C",134,IF(Atletas!M514="Tanglangquan C",135,IF(Atletas!M514="Yingzhaoquan C",136,IF(Atletas!M514="Tongbeiquan C",137,IF(Atletas!M514="Wudangquan C",138,IF(Atletas!M514="Outros Estilos C",139,0))))))))))))))))))))))))))))))))))))))))))</f>
        <v/>
      </c>
      <c r="BT523" s="50" t="str">
        <f>IF(Atletas!M514="","",IF(Atletas!X514&lt;&gt;"",10000,0)+(IF(Atletas!B514="Feminino",1000,IF(Atletas!B514="Masculino",2000,""))+(IF(Atletas!M514="Chaquan D",140,IF(Atletas!M514="Emeiquan D",141,IF(Atletas!M514="Fanziquan D",142,IF(Atletas!M514="Huaquan D",143,IF(Atletas!M514="Hongquan D",144,IF(Atletas!M514="Paoquan D",145,IF(Atletas!M514="Piguaquan D",146,IF(Atletas!M514="Shaolinquan D",147,IF(Atletas!M514="Tanglangquan D",148,IF(Atletas!M514="Yingzhaoquan D",149,IF(Atletas!M514="Tongbeiquan D",150,IF(Atletas!M514="Wudangquan D",151,IF(Atletas!M514="Outros Estilos D",152,IF(Atletas!M514="Chaquan E",153,IF(Atletas!M514="Emeiquan E",154,IF(Atletas!M514="Fanziquan E",155,IF(Atletas!M514="Huaquan E",156,IF(Atletas!M514="Hongquan E",157,IF(Atletas!M514="Paoquan E",158,IF(Atletas!M514="Piguaquan E",159,IF(Atletas!M514="Shaolinquan E",160,IF(Atletas!M514="Tanglangquan E",161,IF(Atletas!M514="Yingzhaoquan E",162,IF(Atletas!M514="Tongbeiquan E",163,IF(Atletas!M514="Wudangquan E",164,IF(Atletas!M514="Outros Estilos E",165,IF(Atletas!M514="Chaquan F",166,IF(Atletas!M514="Emeiquan F",167,IF(Atletas!M514="Fanziquan F",168,IF(Atletas!M514="Huaquan F",169,IF(Atletas!M514="Hongquan F",170,IF(Atletas!M514="Paoquan F",171,IF(Atletas!M514="Piguaquan F",172,IF(Atletas!M514="Shaolinquan F",173,IF(Atletas!M514="Tanglangquan F",174,IF(Atletas!M514="Yingzhaoquan F",175,IF(Atletas!M514="Tongbeiquan F",176,IF(Atletas!M514="Wudangquan F",177,IF(Atletas!M514="Outros Estilos F",178,0))))))))))))))))))))))))))))))))))))))))))</f>
        <v/>
      </c>
      <c r="BU523" s="50" t="str">
        <f>IF(Atletas!N514="","",IF(Atletas!X514&lt;&gt;"",10000,0)+(IF(Atletas!B514="Feminino",1000,IF(Atletas!B514="Masculino",2000,""))+(IF(Atletas!N514="Ditangquan A",201,IF(Atletas!N514="Houquan A",202,IF(Atletas!N514="Zuiquan A",203,IF(Atletas!N514="Ditangquan B",204,IF(Atletas!N514="Houquan B",205,IF(Atletas!N514="Zuiquan B",206,IF(Atletas!N514="Ditangquan C",207,IF(Atletas!N514="Houquan C",208,IF(Atletas!N514="Zuiquan C",209,IF(Atletas!N514="Ditangquan D",210,IF(Atletas!N514="Houquan D",211,IF(Atletas!N514="Zuiquan D",212,IF(Atletas!N514="Ditangquan E",213,IF(Atletas!N514="Houquan E",214,IF(Atletas!N514="Zuiquan E",215,IF(Atletas!N514="Ditangquan F",216,IF(Atletas!N514="Houquan F",217,IF(Atletas!N514="Zuiquan F",218,"")))))))))))))))))))))</f>
        <v/>
      </c>
      <c r="BV523" s="50" t="str">
        <f>IF(Atletas!O514="","",IF(Atletas!X514&lt;&gt;"",10000,0)+IF(Atletas!B514="Feminino",1000,IF(Atletas!B514="Masculino",2000,""))+IF(Atletas!O514="Yang A",301,IF(Atletas!O514="Chen A",302,IF(Atletas!O514="Sun A",303,IF(Atletas!O514="Wu A",304,IF(Atletas!O514="Wu-Hao A",305,IF(Atletas!O514="Outro Taijiquan A",306,IF(Atletas!O514="Yang B",307,IF(Atletas!O514="Chen B",308,IF(Atletas!O514="Sun B",309,IF(Atletas!O514="Wu B",310,IF(Atletas!O514="Wu-Hao B",311,IF(Atletas!O514="Outro Taijiquan B",312,IF(Atletas!O514="Yang C",313,IF(Atletas!O514="Chen C",314,IF(Atletas!O514="Sun C",315,IF(Atletas!O514="Wu C",316,IF(Atletas!O514="Wu-Hao C",317,IF(Atletas!O514="Outro Taijiquan C",318,IF(Atletas!O514="Yang D",319,IF(Atletas!O514="Chen D",320,IF(Atletas!O514="Sun D",321,IF(Atletas!O514="Wu D",322,IF(Atletas!O514="Wu-Hao D",323,IF(Atletas!O514="Outro Taijiquan D",324,IF(Atletas!O514="Yang E",325,IF(Atletas!O514="Chen E",326,IF(Atletas!O514="Sun E",327,IF(Atletas!O514="Wu E",328,IF(Atletas!O514="Wu-Hao E",329,IF(Atletas!O514="Outro Taijiquan E",330,IF(Atletas!O514="Yang F",331,IF(Atletas!O514="Chen F",332,IF(Atletas!O514="Sun F",333,IF(Atletas!O514="Wu F",334,IF(Atletas!O514="Wu-Hao F",335,IF(Atletas!O514="Outro Taijiquan F",336,"")))))))))))))))))))))))))))))))))))))</f>
        <v/>
      </c>
      <c r="BW523" s="50" t="str">
        <f>IF(Atletas!P514="","",IF(Atletas!X514&lt;&gt;"",10000,0)+IF(Atletas!B514="Feminino",1000,IF(Atletas!B514="Masculino",2000,""))+IF(OR(Atletas!P514="Yang 26 A",Atletas!P514="Yang 40 A"),401,IF(OR(Atletas!P514="Chen 25 A",Atletas!P514="Chen 36 A",Atletas!P514="Chen 56 A"),402,IF(Atletas!P514="Sun 73 A",403,IF(Atletas!P514="Wu 45 A",404,IF(Atletas!P514="Wu-Hao 46 A",405,IF(OR(Atletas!P514="Taijiquan 16 A",Atletas!P514="Taijiquan 24 A",Atletas!P514="Taijiquan 32 A",Atletas!P514="Taijiquan 42 A"),406,IF(OR(Atletas!P514="Yang 26 B",Atletas!P514="Yang 40 B"),407,IF(OR(Atletas!P514="Chen 25 B",Atletas!P514="Chen 36 B",Atletas!P514="Chen 56 B"),408,IF(Atletas!P514="Sun 73 B",409,IF(Atletas!P514="Wu 45 B",410,IF(Atletas!P514="Wu-Hao 46 B",411,IF(OR(Atletas!P514="Taijiquan 16 B",Atletas!P514="Taijiquan 24 B",Atletas!P514="Taijiquan 32 B",Atletas!P514="Taijiquan 42 B"),412,IF(OR(Atletas!P514="Yang 26 C",Atletas!P514="Yang 40 C"),413,IF(OR(Atletas!P514="Chen 25 C",Atletas!P514="Chen 36 C",Atletas!P514="Chen 56 C"),414,IF(Atletas!P514="Sun 73 C",415,IF(Atletas!P514="Wu 45 C",416,IF(Atletas!P514="Wu-Hao 46 C",417,IF(OR(Atletas!P514="Taijiquan 16 C",Atletas!P514="Taijiquan 24 C",Atletas!P514="Taijiquan 32 C",Atletas!P514="Taijiquan 42 C"),418,0)))))))))))))))))))</f>
        <v/>
      </c>
      <c r="BX523" s="50" t="str">
        <f>IF(Atletas!P514="","",IF(Atletas!X514&lt;&gt;"",10000,0)+IF(Atletas!B514="Feminino",1000,IF(Atletas!B514="Masculino",2000,""))+IF(OR(Atletas!P514="Yang 26 D",Atletas!P514="Yang 40 D"),419,IF(OR(Atletas!P514="Chen 25 D",Atletas!P514="Chen 36 D",Atletas!P514="Chen 56 D"),420,IF(Atletas!P514="Sun 73 D",421,IF(Atletas!P514="Wu 45 D",422,IF(Atletas!P514="Wu-Hao 46 D",423,IF(OR(Atletas!P514="Taijiquan 16 D",Atletas!P514="Taijiquan 24 D",Atletas!P514="Taijiquan 32 D",Atletas!P514="Taijiquan 42 D"),424,IF(OR(Atletas!P514="Yang 26 E",Atletas!P514="Yang 40 E"),425,IF(OR(Atletas!P514="Chen 25 E",Atletas!P514="Chen 36 E",Atletas!P514="Chen 56 E"),426,IF(Atletas!P514="Sun 73 E",427,IF(Atletas!P514="Wu 45 E",428,IF(Atletas!P514="Wu-Hao 46 E",429,IF(OR(Atletas!P514="Taijiquan 16 E",Atletas!P514="Taijiquan 24 E",Atletas!P514="Taijiquan 32 E",Atletas!P514="Taijiquan 42 E"),430,IF(OR(Atletas!P514="Yang 26 F",Atletas!P514="Yang 40 F"),431,IF(OR(Atletas!P514="Chen 25 F",Atletas!P514="Chen 36 F",Atletas!P514="Chen 56 F"),432,IF(Atletas!P514="Sun 73 F",433,IF(Atletas!P514="Wu 45 F",434,IF(Atletas!P514="Wu-Hao 46 F",435,IF(OR(Atletas!P514="Taijiquan 16 F",Atletas!P514="Taijiquan 24 F",Atletas!P514="Taijiquan 32 F",Atletas!P514="Taijiquan 42 F"),436,0)))))))))))))))))))</f>
        <v/>
      </c>
      <c r="BY523" s="50" t="str">
        <f>IF(Atletas!Q514="","",IF(Atletas!X514&lt;&gt;"",10000,0)+IF(Atletas!B514="Feminino",1000,IF(Atletas!B514="Masculino",2000,""))+IF(Atletas!Q514="Xingyiquan A",501,IF(Atletas!Q514="Baguazhang A",502,IF(Atletas!Q514="Outro Estilo Interno A",503,IF(Atletas!Q514="Xingyiquan B",504,IF(Atletas!Q514="Baguazhang B",505,IF(Atletas!Q514="Outro Estilo Interno B",506,IF(Atletas!Q514="Xingyiquan C",507,IF(Atletas!Q514="Baguazhang C",508,IF(Atletas!Q514="Outro Estilo Interno C",509,IF(Atletas!Q514="Xingyiquan D",510,IF(Atletas!Q514="Baguazhang D",511,IF(Atletas!Q514="Outro Estilo Interno D",512,IF(Atletas!Q514="Xingyiquan E",513,IF(Atletas!Q514="Baguazhang E",514,IF(Atletas!Q514="Outro Estilo Interno E",515,IF(Atletas!Q514="Xingyiquan F",516,IF(Atletas!Q514="Baguazhang F",517,IF(Atletas!Q514="Outro Estilo Interno F",518, "")))))))))))))))))))</f>
        <v/>
      </c>
      <c r="BZ523" s="50" t="str">
        <f>IF(Atletas!R514="","",IF(Atletas!X514&lt;&gt;"",10000,0)+IF(Atletas!B514="Feminino",1000,IF(Atletas!B514="Masculino",2000,""))+IF(Atletas!R514="Dao A",601,IF(Atletas!R514="Jian A",602,IF(Atletas!R514="Bishou A",603,IF(Atletas!R514="Shanzi A",604,IF(Atletas!R514="Outra Arma Curta A",605,IF(Atletas!R514="Dao B",606,IF(Atletas!R514="Jian B",607,IF(Atletas!R514="Bishou B",608,IF(Atletas!R514="Shanzi B",609,IF(Atletas!R514="Outra Arma Curta B",610,IF(Atletas!R514="Dao C",611,IF(Atletas!R514="Jian C",612,IF(Atletas!R514="Bishou C",613,IF(Atletas!R514="Shanzi C",614,IF(Atletas!R514="Outra Arma Curta C",615,IF(Atletas!R514="Dao D",616,IF(Atletas!R514="Jian D",617,IF(Atletas!R514="Bishou D",618,IF(Atletas!R514="Shanzi D",619,IF(Atletas!R514="Outra Arma Curta D",620,IF(Atletas!R514="Dao E",621,IF(Atletas!R514="Jian E",622,IF(Atletas!R514="Bishou E",623,IF(Atletas!R514="Shanzi E",624,IF(Atletas!R514="Outra Arma Curta E",625,IF(Atletas!R514="Dao F",626,IF(Atletas!R514="Jian F",627,IF(Atletas!R514="Bishou F",628,IF(Atletas!R514="Shanzi F",629,IF(Atletas!R514="Outra Arma Curta F",630, "")))))))))))))))))))))))))))))))</f>
        <v/>
      </c>
      <c r="CA523" s="50" t="str">
        <f>IF(Atletas!S514="","",IF(Atletas!X514&lt;&gt;"",10000,0)+IF(Atletas!B514="Feminino",1000,IF(Atletas!B514="Masculino",2000,""))+IF(Atletas!S514="Gun A",701,IF(Atletas!S514="Qiang A",702,IF(Atletas!S514="Pudao / Guandao A",703,IF(Atletas!S514="Outra Arma Longa A",704,IF(Atletas!S514="Gun B",705,IF(Atletas!S514="Qiang B",706,IF(Atletas!S514="Pudao / Guandao B",707,IF(Atletas!S514="Outra Arma Longa B",708,IF(Atletas!S514="Gun C",709,IF(Atletas!S514="Qiang C",710,IF(Atletas!S514="Pudao / Guandao C",711,IF(Atletas!S514="Outra Arma Longa C",712,IF(Atletas!S514="Gun D",713,IF(Atletas!S514="Qiang D",714,IF(Atletas!S514="Pudao / Guandao D",715,IF(Atletas!S514="Outra Arma Longa D",716,IF(Atletas!S514="Gun E",717,IF(Atletas!S514="Qiang E",718,IF(Atletas!S514="Pudao / Guandao E",719,IF(Atletas!S514="Outra Arma Longa E",720,IF(Atletas!S514="Gun F",721,IF(Atletas!S514="Qiang F",722,IF(Atletas!S514="Pudao / Guandao F",723,IF(Atletas!S514="Outra Arma Longa F",724,"")))))))))))))))))))))))))</f>
        <v/>
      </c>
      <c r="CB523" s="50" t="str">
        <f>IF(Atletas!T514="","",IF(Atletas!X514&lt;&gt;"",10000,0)+IF(Atletas!B514="Feminino",1000,IF(Atletas!B514="Masculino",2000,""))+IF(Atletas!T514="Outra Arma Dupla A",801,IF(Atletas!T514="Arma Maleável A",802,IF(Atletas!T514="Outra Arma Dupla B",803,IF(Atletas!T514="Arma Maleável B",804,IF(Atletas!T514="Outra Arma Dupla C",805,IF(Atletas!T514="Arma Maleável C",806,IF(Atletas!T514="Outra Arma Dupla D",807,IF(Atletas!T514="Arma Maleável D",808,IF(Atletas!T514="Outra Arma Dupla E",809,IF(Atletas!T514="Arma Maleável E",810,IF(Atletas!T514="Outra Arma Dupla F",811,IF(Atletas!T514="Arma Maleável F",812,IF(Atletas!T514="Shuangdao A",813,IF(Atletas!T514="Shuangdao B",814,IF(Atletas!T514="Shuangdao C",815,IF(Atletas!T514="Shuangdao D",816,IF(Atletas!T514="Shuangdao E",817,IF(Atletas!T514="Shuangdao F",818,"")))))))))))))))))))</f>
        <v/>
      </c>
      <c r="CC523" s="50" t="str">
        <f>IF(Atletas!U514="","",IF(Atletas!X514&lt;&gt;"",10000,0)+IF(Atletas!B514="Feminino",1000,IF(Atletas!B514="Masculino",2000,""))+IF(OR(Atletas!U514="Taijijian Yang A",Atletas!U514="Taijijian Yang Standard A"),901,IF(OR(Atletas!U514="Taijijian Chen A", Atletas!U514="Taijijian Chen Standard A"),902,IF(Atletas!U514="Taijijian Sun A",903,IF(Atletas!U514="Taijijian Wu A",904,IF(Atletas!U514="Taijijian Wu-Hao A",905,IF(OR(Atletas!U514="Taijijian 32 A",Atletas!U514="Taijijian 42 A"),906,IF(OR(Atletas!U514="Taijijian Yang B",Atletas!U514="Taijijian Yang Standard B"),907,IF(OR(Atletas!U514="Taijijian Chen B", Atletas!U514="Taijijian Chen Standard B"),908,IF(Atletas!U514="Taijijian Sun B",909,IF(Atletas!U514="Taijijian Wu B",910,IF(Atletas!U514="Taijijian Wu-Hao B",911,IF(OR(Atletas!U514="Taijijian 32 B",Atletas!U514="Taijijian 42 B"),912,IF(OR(Atletas!U514="Taijijian Yang C",Atletas!U514="Taijijian Yang Standard C"),913,IF(OR(Atletas!U514="Taijijian Chen C", Atletas!U514="Taijijian Chen Standard C"),914,IF(Atletas!U514="Taijijian Sun C",915,IF(Atletas!U514="Taijijian Wu C",916,IF(Atletas!U514="Taijijian Wu-Hao C",917,IF(OR(Atletas!U514="Taijijian 32 C",Atletas!U514="Taijijian 42 C"),918,IF(OR(Atletas!U514="Taijijian Yang D",Atletas!U514="Taijijian Yang Standard D"),919,IF(OR(Atletas!U514="Taijijian Chen D", Atletas!U514="Taijijian Chen Standard D"),920,IF(Atletas!U514="Taijijian Sun D",921,IF(Atletas!U514="Taijijian Wu D",922,IF(Atletas!U514="Taijijian Wu-Hao D",923,IF(OR(Atletas!U514="Taijijian 32 D",Atletas!U514="Taijijian 42 D"),924,IF(OR(Atletas!U514="Taijijian Yang E",Atletas!U514="Taijijian Yang Standard E"),925,IF(OR(Atletas!U514="Taijijian Chen E", Atletas!U514="Taijijian Chen Standard E"),926,IF(Atletas!U514="Taijijian Sun E",927,IF(Atletas!U514="Taijijian Wu E",928,IF(Atletas!U514="Taijijian Wu-Hao E",929,IF(OR(Atletas!U514="Taijijian 32 E",Atletas!U514="Taijijian 42 E"),930,IF(OR(Atletas!U514="Taijijian Yang F",Atletas!U514="Taijijian Yang Standard F"),931,IF(OR(Atletas!U514="Taijijian Chen F", Atletas!U514="Taijijian Chen Standard F"),932,IF(Atletas!U514="Taijijian Sun F",933,IF(Atletas!U514="Taijijian Wu F",934,IF(Atletas!U514="Taijijian Wu-Hao F",935,IF(OR(Atletas!U514="Taijijian 32 F",Atletas!U514="Taijijian 42 F"),936,"")))))))))))))))))))))))))))))))))))))</f>
        <v/>
      </c>
      <c r="CD523" s="50" t="str">
        <f>IF(Atletas!V514="","",IF(Atletas!X514&lt;&gt;"",10000,0)+IF(Atletas!B514="Feminino",1000,IF(Atletas!B514="Masculino",2000,""))+IF(Atletas!V514="Taijidao A",937,IF(Atletas!V514="TaijiShanzi A",938,IF(Atletas!V514="Taijiqiang A",939,IF(Atletas!V514="Bagua de Arma A",940,IF(Atletas!V514="Xingyi de Arma A",941,IF(Atletas!V514="Taijidao B",942,IF(Atletas!V514="TaijiShanzi B",943,IF(Atletas!V514="Taijiqiang B",944,IF(Atletas!V514="Bagua de Arma B",945,IF(Atletas!V514="Xingyi de Arma B",946,IF(Atletas!V514="Taijidao C",947,IF(Atletas!V514="TaijiShanzi C",948,IF(Atletas!V514="Taijiqiang C",949,IF(Atletas!V514="Bagua de Arma C",950,IF(Atletas!V514="Xingyi de Arma C",951,IF(Atletas!V514="Taijidao D",952,IF(Atletas!V514="TaijiShanzi D",953,IF(Atletas!V514="Taijiqiang D",954,IF(Atletas!V514="Bagua de Arma D",955,IF(Atletas!V514="Xingyi de Arma D",956,IF(Atletas!V514="Taijidao E",957,IF(Atletas!V514="TaijiShanzi E",958,IF(Atletas!V514="Taijiqiang E",959,IF(Atletas!V514="Bagua de Arma E",960,IF(Atletas!V514="Xingyi de Arma E",961,IF(Atletas!V514="Taijidao F",962,IF(Atletas!V514="TaijiShanzi F",963,IF(Atletas!V514="Taijiqiang F",964,IF(Atletas!V514="Bagua de Arma F",965,IF(Atletas!V514="Xingyi de Arma F",966,"")))))))))))))))))))))))))))))))</f>
        <v/>
      </c>
      <c r="CM523" s="50" t="str">
        <f xml:space="preserve"> IF(Atletas!W514="","",IF(Atletas!W514="Duilian de Mãos BC - Equipe 1",1,IF(Atletas!W514="Duilian de Mãos BC - Equipe 2",2,IF(Atletas!W514="Duilian de Armas BC - Equipe 1",3,IF(Atletas!W514="Duilian de Armas BC - Equipe 2",4,IF(Atletas!W514="Duilian de Mãos DE - Equipe 1",5,IF(Atletas!W514="Duilian de Mãos DE - Equipe 2",6,IF(Atletas!W514="Duilian de Armas DE - Equipe 1",7,IF(Atletas!W514="Duilian de Armas DE - Equipe 2",8,IF(Atletas!W514="Duilian de Tuishou - Equipe 1",9,IF(Atletas!W514="Duilian de Tuishou - Equipe 2",10,IF(Atletas!W514="Grupo Externo ABC - Equipe 1",11,IF(Atletas!W514="Grupo Externo ABC - Equipe 2",12,IF(Atletas!W514="Grupo Interno ABC - Equipe 1",13,IF(Atletas!W514="Grupo Interno ABC - Equipe 2",14,IF(Atletas!W514="Grupo Externo DEF - Equipe 1",15,IF(Atletas!W514="Grupo Externo DEF - Equipe 2",16,IF(Atletas!W514="Grupo Interno DEF - Equipe 1",17,IF(Atletas!W514="Grupo Interno DEF - Equipe 2",18,"")))))))))))))))))))</f>
        <v/>
      </c>
    </row>
    <row r="524" spans="40:91">
      <c r="AN524" s="52" t="str">
        <f>IF(Atletas!D515="","",IF(Atletas!B515="Feminino",100,IF(Atletas!B515="Masculino",200,""))+(IF(Atletas!D515="Kids 30kg",1,IF(Atletas!D515="Kids 32kg",2, IF(Atletas!D515="Kids 34kg",3,IF(Atletas!D515="Kids 36kg",4,IF(Atletas!D515="Kids 39kg",5,IF(Atletas!D515="Kids 42kg",6,IF(Atletas!D515="Kids 45kg",7, IF(Atletas!D515="Infantil 39kg",8,IF(Atletas!D515="Infantil 42kg",9,IF(Atletas!D515="Infantil 45kg",10,IF(Atletas!D515="Infantil 48kg",11,IF(Atletas!D515="Infantil 52kg",12,IF(Atletas!D515="Infantil 56kg",13,IF(Atletas!D515="Infantil 60kg",14,IF(Atletas!D515="Juvenil 48kg",15,IF(Atletas!D515="Juvenil 52kg",16,IF(Atletas!D515="Juvenil 56kg",17,IF(Atletas!D515="Juvenil 60kg",18,IF(Atletas!D515="Juvenil 65kg",19,IF(Atletas!D515="Juvenil 70kg",20,IF(Atletas!D515="Juvenil 75kg",21,IF(Atletas!D515="Juvenil 80kg",22, IF(Atletas!D515="Juvenil 85kg",23,IF(Atletas!D515="Adulto 48kg",24,IF(Atletas!D515="Adulto 52kg",25,IF(Atletas!D515="Adulto 56kg",26,IF(Atletas!D515="Adulto 60kg",27,IF(Atletas!D515="Adulto 65kg",28,IF(Atletas!D515="Adulto 70kg",29,IF(Atletas!D515="Adulto 75kg",30,IF(Atletas!D515="Adulto 80kg",31,IF(Atletas!D515="Adulto 85kg",32,IF(Atletas!D515="Adulto 90kg",33,IF(Atletas!D515="Adulto 100kg",34, IF(Atletas!D515="Adulto +100kg",35,"")))))))))))))))))))))))))))))))))))))</f>
        <v/>
      </c>
      <c r="AS524" s="6" t="str">
        <f>IF(Atletas!E515="","",IF(Atletas!B515="Feminino",100,IF(Atletas!B515="Masculino",200,""))+(IF(Atletas!E515="Juvenil 44kg",1,IF(Atletas!E515="Juvenil 48kg",2,IF(Atletas!E515="Juvenil 52kg",3,IF(Atletas!E515="Juvenil 56kg",4,IF(Atletas!E515="Juvenil 60kg",5,IF(Atletas!E515="Juvenil 65kg",6,IF(Atletas!E515="Juvenil 70kg",7,IF(Atletas!E515="Juvenil 75kg",8,IF(Atletas!E515="Juvenil 82kg",9,IF(Atletas!E515="Juvenil 90kg",10,IF(Atletas!E515="Juvenil 100kg",11,IF(Atletas!E515="Adulto 48kg",12,IF(Atletas!E515="Adulto 52kg",13,IF(Atletas!E515="Adulto 56kg",14,IF(Atletas!E515="Adulto 60kg",15,IF(Atletas!E515="Adulto 65kg",16,IF(Atletas!E515="Adulto 70kg",17,IF(Atletas!E515="Adulto 75kg",18,IF(Atletas!E515="Adulto 82kg",19,IF(Atletas!E515="Adulto 90kg",20,IF(Atletas!E515="Adulto 100kg",21,IF(Atletas!E515="Adulto +100kg",22,""))))))))))))))))))))))))</f>
        <v/>
      </c>
      <c r="AX524" s="6" t="str">
        <f>IF(Atletas!F515="","",IF(Atletas!B515="Feminino",100,IF(Atletas!B515="Masculino",200,""))+(IF(Atletas!F515="Adulto 48kg",1,IF(Atletas!F515="Adulto 56kg",2,IF(Atletas!F515="Adulto 65kg",3,IF(Atletas!F515="Adulto 75kg",4,IF(Atletas!F515="Adulto +75kg",5,IF(Atletas!F515="Adulto 52kg",6,IF(Atletas!F515="Adulto 60kg",7,IF(Atletas!F515="Adulto 70kg",8,IF(Atletas!F515="Adulto 80kg",9,IF(Atletas!F515="Adulto 90kg",10,IF(Atletas!F515="Adulto +90kg",11,"")))))))))))))</f>
        <v/>
      </c>
      <c r="BC524" s="6" t="str">
        <f>IF(Atletas!G515="","",IF(Atletas!B515="Feminino",10,IF(Atletas!B515="Masculino",20,""))+(IF(Atletas!G515="Baduanjin A",1,IF(Atletas!G515="Baduanjin B",2))))</f>
        <v/>
      </c>
      <c r="BF524" s="52" t="str">
        <f>IF(Atletas!H515="","",IF(Atletas!B515="Feminino",100,IF(Atletas!B515="Masculino",200,""))+(IF(Atletas!H515="Changquan Mirim",1,IF(Atletas!H515="Nanquan Mirim",2,IF(Atletas!H515="Taijiquan Mirim",3,IF(Atletas!H515="Changquan Grupo C",4,IF(Atletas!H515="Nanquan Grupo C",5,IF(Atletas!H515="Taijiquan Grupo C",6,IF(Atletas!H515="Changquan Grupo B",7,IF(Atletas!H515="Nanquan Grupo B",8,IF(Atletas!H515="Taijiquan Grupo B",9,IF(Atletas!H515="Changquan Grupo A",10,IF(Atletas!H515="Nanquan Grupo A",11,IF(Atletas!H515="Taijiquan Grupo A",12,IF(Atletas!H515="Changquan Opcional",13,IF(Atletas!H515="Nanquan Opcional",14,IF(Atletas!H515="Taijiquan Opcional",15,IF(Atletas!H515="Changquan Adulto",16,IF(Atletas!H515="Nanquan Adulto",17,IF(Atletas!H515="Taijiquan Adulto",18,""))))))))))))))))))))</f>
        <v/>
      </c>
      <c r="BG524" s="52" t="str">
        <f>IF(Atletas!I515="","",IF(Atletas!B515="Feminino",100,IF(Atletas!B515="Masculino",200,""))+(IF(Atletas!I515="Daoshu Mirim",19,IF(Atletas!I515="Jianshu Mirim",20,IF(Atletas!I515="Nandao Mirim",21,IF(Atletas!I515="Taijijian Mirim",22,IF(Atletas!I515="Daoshu Grupo C",23,IF(Atletas!I515="Jianshu Grupo C",24,IF(Atletas!I515="Nandao Grupo C",25,IF(Atletas!I515="Taijijian Grupo C",26,IF(Atletas!I515="Daoshu Grupo B",27,IF(Atletas!I515="Jianshu Grupo B",28,IF(Atletas!I515="Nandao Grupo B",29,IF(Atletas!I515="Taijijian Grupo B",30,IF(Atletas!I515="Daoshu Grupo A",31,IF(Atletas!I515="Jianshu Grupo A",32,IF(Atletas!I515="Nandao Grupo A",33,IF(Atletas!I515="Taijijian Grupo A",34,IF(Atletas!I515="Daoshu Opcional",35,IF(Atletas!I515="Jianshu Opcional",36,IF(Atletas!I515="Nandao Opcional",37,IF(Atletas!I515="Taijijian Opcional",38,IF(Atletas!I515="Daoshu Adulto",39,IF(Atletas!I515="Jianshu Adulto",40,IF(Atletas!I515="Nandao Adulto",41,IF(Atletas!I515="Taijijian Adulto",42,""))))))))))))))))))))))))))</f>
        <v/>
      </c>
      <c r="BH524" s="52" t="str">
        <f>IF(Atletas!J515="","",IF(Atletas!B515="Feminino",100,IF(Atletas!B515="Masculino",200,""))+(IF(Atletas!J515="Gunshu Mirim",43,IF(Atletas!J515="Qiangshu Mirim",44,IF(Atletas!J515="Nangun Mirim",45,IF(Atletas!J515="Gunshu Grupo C",46,IF(Atletas!J515="Qiangshu Grupo C",47,IF(Atletas!J515="Nangun Grupo C",48,IF(Atletas!J515="Gunshu Grupo B",49,IF(Atletas!J515="Qiangshu Grupo B",50,IF(Atletas!J515="Nangun Grupo B",51,IF(Atletas!J515="Gunshu Grupo A",52,IF(Atletas!J515="Qiangshu Grupo A",53,IF(Atletas!J515="Nangun Grupo A",54,IF(Atletas!J515="Gunshu Opcional",55,IF(Atletas!J515="Qiangshu Opcional",56,IF(Atletas!J515="Nangun Opcional",57,IF(Atletas!J515="Gunshu Adulto",58,IF(Atletas!J515="Qiangshu Adulto",59,IF(Atletas!J515="Nangun Adulto",60,IF(Atletas!J515="Taijishan Grupo B",61,IF(Atletas!J515="Taijishan Grupo A",62,""))))))))))))))))))))))</f>
        <v/>
      </c>
      <c r="BM524" s="50" t="str">
        <f>IF(Atletas!K515="","",IF(Atletas!B515="Feminino",100,IF(Atletas!B515="Masculino",200,""))+(IF(Atletas!K515="Equipe 1 Grupo B",1,IF(Atletas!K515="Equipe 2 Grupo B",2,IF(Atletas!K515="Equipe 1 Grupo A",3,IF(Atletas!K515="Equipe 2 Grupo A",4,IF(Atletas!K515="Equipe 1 Adulto",5,IF(Atletas!K515="Equipe 2 Adulto",6,""))))))))</f>
        <v/>
      </c>
      <c r="BR524" s="50" t="str">
        <f>IF(Atletas!L515="","",IF(Atletas!X515&lt;&gt;"",10000,0)+(IF(Atletas!B515="Feminino",1000,IF(Atletas!B515="Masculino",2000,""))+IF(Atletas!L515="Choylayfut A",1,IF(Atletas!L515="Hunggar A",2,IF(Atletas!L515="Wuzuquan A",3,IF(Atletas!L515="Wingchun A",4,IF(Atletas!L515="Outra Mão de Sul A",5,IF(Atletas!L515="Choylayfut B",6,IF(Atletas!L515="Hunggar B",7,IF(Atletas!L515="Wuzuquan B",8,IF(Atletas!L515="Wingchun B",9,IF(Atletas!L515="Outra Mão de Sul B",10,IF(Atletas!L515="Choylayfut C",11,IF(Atletas!L515="Hunggar C",12,IF(Atletas!L515="Wuzuquan C",13,IF(Atletas!L515="Wingchun C",14,IF(Atletas!L515="Outra Mão de Sul C",15,IF(Atletas!L515="Choylayfut D",16,IF(Atletas!L515="Hunggar D",17,IF(Atletas!L515="Wuzuquan D",18,IF(Atletas!L515="Wingchun D",19,IF(Atletas!L515="Outra Mão de Sul D",20,IF(Atletas!L515="Choylayfut E",21,IF(Atletas!L515="Hunggar E",22,IF(Atletas!L515="Wuzuquan E",23,IF(Atletas!L515="Wingchun E",24,IF(Atletas!L515="Outra Mão de Sul E",25,IF(Atletas!L515="Choylayfut F",26,IF(Atletas!L515="Hunggar F",27,IF(Atletas!L515="Wuzuquan F",28,IF(Atletas!L515="Wingchun F",29,IF(Atletas!L515="Outra Mão de Sul F",30,IF(Atletas!L515="Dishuquan A",31,IF(Atletas!L515="Dishuquan B",32,IF(Atletas!L515="Dishuquan C",33,IF(Atletas!L515="Dishuquan D",34,IF(Atletas!L515="Dishuquan E",35,IF(Atletas!L515="Dishuquan F",36,""))))))))))))))))))))))))))))))))))))))</f>
        <v/>
      </c>
      <c r="BS524" s="50" t="str">
        <f>IF(Atletas!M515="","",IF(Atletas!X515&lt;&gt;"",10000,0)+(IF(Atletas!B515="Feminino",1000,IF(Atletas!B515="Masculino",2000,""))+(IF(Atletas!M515="Chaquan A",101,IF(Atletas!M515="Emeiquan A",102,IF(Atletas!M515="Fanziquan A",103,IF(Atletas!M515="Huaquan A",104,IF(Atletas!M515="Hongquan A",105,IF(Atletas!M515="Paoquan A",106,IF(Atletas!M515="Piguaquan A",107,IF(Atletas!M515="Shaolinquan A",108,IF(Atletas!M515="Tanglangquan A",109,IF(Atletas!M515="Yingzhaoquan A",110,IF(Atletas!M515="Tongbeiquan A",111,IF(Atletas!M515="Wudangquan A",112,IF(Atletas!M515="Outros Estilos A",113,IF(Atletas!M515="Chaquan B",114,IF(Atletas!M515="Emeiquan B",115,IF(Atletas!M515="Fanziquan B",116,IF(Atletas!M515="Huaquan B",117,IF(Atletas!M515="Hongquan B",118,IF(Atletas!M515="Paoquan B",119,IF(Atletas!M515="Piguaquan B",120,IF(Atletas!M515="Shaolinquan B",121,IF(Atletas!M515="Tanglangquan B",122,IF(Atletas!M515="Yingzhaoquan B",123,IF(Atletas!M515="Tongbeiquan B",124,IF(Atletas!M515="Wudangquan B",125,IF(Atletas!M515="Outros Estilos B",126,IF(Atletas!M515="Chaquan C",127,IF(Atletas!M515="Emeiquan C",128,IF(Atletas!M515="Fanziquan C",129,IF(Atletas!M515="Huaquan C",130,IF(Atletas!M515="Hongquan C",131,IF(Atletas!M515="Paoquan C",132,IF(Atletas!M515="Piguaquan C",133,IF(Atletas!M515="Shaolinquan C",134,IF(Atletas!M515="Tanglangquan C",135,IF(Atletas!M515="Yingzhaoquan C",136,IF(Atletas!M515="Tongbeiquan C",137,IF(Atletas!M515="Wudangquan C",138,IF(Atletas!M515="Outros Estilos C",139,0))))))))))))))))))))))))))))))))))))))))))</f>
        <v/>
      </c>
      <c r="BT524" s="50" t="str">
        <f>IF(Atletas!M515="","",IF(Atletas!X515&lt;&gt;"",10000,0)+(IF(Atletas!B515="Feminino",1000,IF(Atletas!B515="Masculino",2000,""))+(IF(Atletas!M515="Chaquan D",140,IF(Atletas!M515="Emeiquan D",141,IF(Atletas!M515="Fanziquan D",142,IF(Atletas!M515="Huaquan D",143,IF(Atletas!M515="Hongquan D",144,IF(Atletas!M515="Paoquan D",145,IF(Atletas!M515="Piguaquan D",146,IF(Atletas!M515="Shaolinquan D",147,IF(Atletas!M515="Tanglangquan D",148,IF(Atletas!M515="Yingzhaoquan D",149,IF(Atletas!M515="Tongbeiquan D",150,IF(Atletas!M515="Wudangquan D",151,IF(Atletas!M515="Outros Estilos D",152,IF(Atletas!M515="Chaquan E",153,IF(Atletas!M515="Emeiquan E",154,IF(Atletas!M515="Fanziquan E",155,IF(Atletas!M515="Huaquan E",156,IF(Atletas!M515="Hongquan E",157,IF(Atletas!M515="Paoquan E",158,IF(Atletas!M515="Piguaquan E",159,IF(Atletas!M515="Shaolinquan E",160,IF(Atletas!M515="Tanglangquan E",161,IF(Atletas!M515="Yingzhaoquan E",162,IF(Atletas!M515="Tongbeiquan E",163,IF(Atletas!M515="Wudangquan E",164,IF(Atletas!M515="Outros Estilos E",165,IF(Atletas!M515="Chaquan F",166,IF(Atletas!M515="Emeiquan F",167,IF(Atletas!M515="Fanziquan F",168,IF(Atletas!M515="Huaquan F",169,IF(Atletas!M515="Hongquan F",170,IF(Atletas!M515="Paoquan F",171,IF(Atletas!M515="Piguaquan F",172,IF(Atletas!M515="Shaolinquan F",173,IF(Atletas!M515="Tanglangquan F",174,IF(Atletas!M515="Yingzhaoquan F",175,IF(Atletas!M515="Tongbeiquan F",176,IF(Atletas!M515="Wudangquan F",177,IF(Atletas!M515="Outros Estilos F",178,0))))))))))))))))))))))))))))))))))))))))))</f>
        <v/>
      </c>
      <c r="BU524" s="50" t="str">
        <f>IF(Atletas!N515="","",IF(Atletas!X515&lt;&gt;"",10000,0)+(IF(Atletas!B515="Feminino",1000,IF(Atletas!B515="Masculino",2000,""))+(IF(Atletas!N515="Ditangquan A",201,IF(Atletas!N515="Houquan A",202,IF(Atletas!N515="Zuiquan A",203,IF(Atletas!N515="Ditangquan B",204,IF(Atletas!N515="Houquan B",205,IF(Atletas!N515="Zuiquan B",206,IF(Atletas!N515="Ditangquan C",207,IF(Atletas!N515="Houquan C",208,IF(Atletas!N515="Zuiquan C",209,IF(Atletas!N515="Ditangquan D",210,IF(Atletas!N515="Houquan D",211,IF(Atletas!N515="Zuiquan D",212,IF(Atletas!N515="Ditangquan E",213,IF(Atletas!N515="Houquan E",214,IF(Atletas!N515="Zuiquan E",215,IF(Atletas!N515="Ditangquan F",216,IF(Atletas!N515="Houquan F",217,IF(Atletas!N515="Zuiquan F",218,"")))))))))))))))))))))</f>
        <v/>
      </c>
      <c r="BV524" s="50" t="str">
        <f>IF(Atletas!O515="","",IF(Atletas!X515&lt;&gt;"",10000,0)+IF(Atletas!B515="Feminino",1000,IF(Atletas!B515="Masculino",2000,""))+IF(Atletas!O515="Yang A",301,IF(Atletas!O515="Chen A",302,IF(Atletas!O515="Sun A",303,IF(Atletas!O515="Wu A",304,IF(Atletas!O515="Wu-Hao A",305,IF(Atletas!O515="Outro Taijiquan A",306,IF(Atletas!O515="Yang B",307,IF(Atletas!O515="Chen B",308,IF(Atletas!O515="Sun B",309,IF(Atletas!O515="Wu B",310,IF(Atletas!O515="Wu-Hao B",311,IF(Atletas!O515="Outro Taijiquan B",312,IF(Atletas!O515="Yang C",313,IF(Atletas!O515="Chen C",314,IF(Atletas!O515="Sun C",315,IF(Atletas!O515="Wu C",316,IF(Atletas!O515="Wu-Hao C",317,IF(Atletas!O515="Outro Taijiquan C",318,IF(Atletas!O515="Yang D",319,IF(Atletas!O515="Chen D",320,IF(Atletas!O515="Sun D",321,IF(Atletas!O515="Wu D",322,IF(Atletas!O515="Wu-Hao D",323,IF(Atletas!O515="Outro Taijiquan D",324,IF(Atletas!O515="Yang E",325,IF(Atletas!O515="Chen E",326,IF(Atletas!O515="Sun E",327,IF(Atletas!O515="Wu E",328,IF(Atletas!O515="Wu-Hao E",329,IF(Atletas!O515="Outro Taijiquan E",330,IF(Atletas!O515="Yang F",331,IF(Atletas!O515="Chen F",332,IF(Atletas!O515="Sun F",333,IF(Atletas!O515="Wu F",334,IF(Atletas!O515="Wu-Hao F",335,IF(Atletas!O515="Outro Taijiquan F",336,"")))))))))))))))))))))))))))))))))))))</f>
        <v/>
      </c>
      <c r="BW524" s="50" t="str">
        <f>IF(Atletas!P515="","",IF(Atletas!X515&lt;&gt;"",10000,0)+IF(Atletas!B515="Feminino",1000,IF(Atletas!B515="Masculino",2000,""))+IF(OR(Atletas!P515="Yang 26 A",Atletas!P515="Yang 40 A"),401,IF(OR(Atletas!P515="Chen 25 A",Atletas!P515="Chen 36 A",Atletas!P515="Chen 56 A"),402,IF(Atletas!P515="Sun 73 A",403,IF(Atletas!P515="Wu 45 A",404,IF(Atletas!P515="Wu-Hao 46 A",405,IF(OR(Atletas!P515="Taijiquan 16 A",Atletas!P515="Taijiquan 24 A",Atletas!P515="Taijiquan 32 A",Atletas!P515="Taijiquan 42 A"),406,IF(OR(Atletas!P515="Yang 26 B",Atletas!P515="Yang 40 B"),407,IF(OR(Atletas!P515="Chen 25 B",Atletas!P515="Chen 36 B",Atletas!P515="Chen 56 B"),408,IF(Atletas!P515="Sun 73 B",409,IF(Atletas!P515="Wu 45 B",410,IF(Atletas!P515="Wu-Hao 46 B",411,IF(OR(Atletas!P515="Taijiquan 16 B",Atletas!P515="Taijiquan 24 B",Atletas!P515="Taijiquan 32 B",Atletas!P515="Taijiquan 42 B"),412,IF(OR(Atletas!P515="Yang 26 C",Atletas!P515="Yang 40 C"),413,IF(OR(Atletas!P515="Chen 25 C",Atletas!P515="Chen 36 C",Atletas!P515="Chen 56 C"),414,IF(Atletas!P515="Sun 73 C",415,IF(Atletas!P515="Wu 45 C",416,IF(Atletas!P515="Wu-Hao 46 C",417,IF(OR(Atletas!P515="Taijiquan 16 C",Atletas!P515="Taijiquan 24 C",Atletas!P515="Taijiquan 32 C",Atletas!P515="Taijiquan 42 C"),418,0)))))))))))))))))))</f>
        <v/>
      </c>
      <c r="BX524" s="50" t="str">
        <f>IF(Atletas!P515="","",IF(Atletas!X515&lt;&gt;"",10000,0)+IF(Atletas!B515="Feminino",1000,IF(Atletas!B515="Masculino",2000,""))+IF(OR(Atletas!P515="Yang 26 D",Atletas!P515="Yang 40 D"),419,IF(OR(Atletas!P515="Chen 25 D",Atletas!P515="Chen 36 D",Atletas!P515="Chen 56 D"),420,IF(Atletas!P515="Sun 73 D",421,IF(Atletas!P515="Wu 45 D",422,IF(Atletas!P515="Wu-Hao 46 D",423,IF(OR(Atletas!P515="Taijiquan 16 D",Atletas!P515="Taijiquan 24 D",Atletas!P515="Taijiquan 32 D",Atletas!P515="Taijiquan 42 D"),424,IF(OR(Atletas!P515="Yang 26 E",Atletas!P515="Yang 40 E"),425,IF(OR(Atletas!P515="Chen 25 E",Atletas!P515="Chen 36 E",Atletas!P515="Chen 56 E"),426,IF(Atletas!P515="Sun 73 E",427,IF(Atletas!P515="Wu 45 E",428,IF(Atletas!P515="Wu-Hao 46 E",429,IF(OR(Atletas!P515="Taijiquan 16 E",Atletas!P515="Taijiquan 24 E",Atletas!P515="Taijiquan 32 E",Atletas!P515="Taijiquan 42 E"),430,IF(OR(Atletas!P515="Yang 26 F",Atletas!P515="Yang 40 F"),431,IF(OR(Atletas!P515="Chen 25 F",Atletas!P515="Chen 36 F",Atletas!P515="Chen 56 F"),432,IF(Atletas!P515="Sun 73 F",433,IF(Atletas!P515="Wu 45 F",434,IF(Atletas!P515="Wu-Hao 46 F",435,IF(OR(Atletas!P515="Taijiquan 16 F",Atletas!P515="Taijiquan 24 F",Atletas!P515="Taijiquan 32 F",Atletas!P515="Taijiquan 42 F"),436,0)))))))))))))))))))</f>
        <v/>
      </c>
      <c r="BY524" s="50" t="str">
        <f>IF(Atletas!Q515="","",IF(Atletas!X515&lt;&gt;"",10000,0)+IF(Atletas!B515="Feminino",1000,IF(Atletas!B515="Masculino",2000,""))+IF(Atletas!Q515="Xingyiquan A",501,IF(Atletas!Q515="Baguazhang A",502,IF(Atletas!Q515="Outro Estilo Interno A",503,IF(Atletas!Q515="Xingyiquan B",504,IF(Atletas!Q515="Baguazhang B",505,IF(Atletas!Q515="Outro Estilo Interno B",506,IF(Atletas!Q515="Xingyiquan C",507,IF(Atletas!Q515="Baguazhang C",508,IF(Atletas!Q515="Outro Estilo Interno C",509,IF(Atletas!Q515="Xingyiquan D",510,IF(Atletas!Q515="Baguazhang D",511,IF(Atletas!Q515="Outro Estilo Interno D",512,IF(Atletas!Q515="Xingyiquan E",513,IF(Atletas!Q515="Baguazhang E",514,IF(Atletas!Q515="Outro Estilo Interno E",515,IF(Atletas!Q515="Xingyiquan F",516,IF(Atletas!Q515="Baguazhang F",517,IF(Atletas!Q515="Outro Estilo Interno F",518, "")))))))))))))))))))</f>
        <v/>
      </c>
      <c r="BZ524" s="50" t="str">
        <f>IF(Atletas!R515="","",IF(Atletas!X515&lt;&gt;"",10000,0)+IF(Atletas!B515="Feminino",1000,IF(Atletas!B515="Masculino",2000,""))+IF(Atletas!R515="Dao A",601,IF(Atletas!R515="Jian A",602,IF(Atletas!R515="Bishou A",603,IF(Atletas!R515="Shanzi A",604,IF(Atletas!R515="Outra Arma Curta A",605,IF(Atletas!R515="Dao B",606,IF(Atletas!R515="Jian B",607,IF(Atletas!R515="Bishou B",608,IF(Atletas!R515="Shanzi B",609,IF(Atletas!R515="Outra Arma Curta B",610,IF(Atletas!R515="Dao C",611,IF(Atletas!R515="Jian C",612,IF(Atletas!R515="Bishou C",613,IF(Atletas!R515="Shanzi C",614,IF(Atletas!R515="Outra Arma Curta C",615,IF(Atletas!R515="Dao D",616,IF(Atletas!R515="Jian D",617,IF(Atletas!R515="Bishou D",618,IF(Atletas!R515="Shanzi D",619,IF(Atletas!R515="Outra Arma Curta D",620,IF(Atletas!R515="Dao E",621,IF(Atletas!R515="Jian E",622,IF(Atletas!R515="Bishou E",623,IF(Atletas!R515="Shanzi E",624,IF(Atletas!R515="Outra Arma Curta E",625,IF(Atletas!R515="Dao F",626,IF(Atletas!R515="Jian F",627,IF(Atletas!R515="Bishou F",628,IF(Atletas!R515="Shanzi F",629,IF(Atletas!R515="Outra Arma Curta F",630, "")))))))))))))))))))))))))))))))</f>
        <v/>
      </c>
      <c r="CA524" s="50" t="str">
        <f>IF(Atletas!S515="","",IF(Atletas!X515&lt;&gt;"",10000,0)+IF(Atletas!B515="Feminino",1000,IF(Atletas!B515="Masculino",2000,""))+IF(Atletas!S515="Gun A",701,IF(Atletas!S515="Qiang A",702,IF(Atletas!S515="Pudao / Guandao A",703,IF(Atletas!S515="Outra Arma Longa A",704,IF(Atletas!S515="Gun B",705,IF(Atletas!S515="Qiang B",706,IF(Atletas!S515="Pudao / Guandao B",707,IF(Atletas!S515="Outra Arma Longa B",708,IF(Atletas!S515="Gun C",709,IF(Atletas!S515="Qiang C",710,IF(Atletas!S515="Pudao / Guandao C",711,IF(Atletas!S515="Outra Arma Longa C",712,IF(Atletas!S515="Gun D",713,IF(Atletas!S515="Qiang D",714,IF(Atletas!S515="Pudao / Guandao D",715,IF(Atletas!S515="Outra Arma Longa D",716,IF(Atletas!S515="Gun E",717,IF(Atletas!S515="Qiang E",718,IF(Atletas!S515="Pudao / Guandao E",719,IF(Atletas!S515="Outra Arma Longa E",720,IF(Atletas!S515="Gun F",721,IF(Atletas!S515="Qiang F",722,IF(Atletas!S515="Pudao / Guandao F",723,IF(Atletas!S515="Outra Arma Longa F",724,"")))))))))))))))))))))))))</f>
        <v/>
      </c>
      <c r="CB524" s="50" t="str">
        <f>IF(Atletas!T515="","",IF(Atletas!X515&lt;&gt;"",10000,0)+IF(Atletas!B515="Feminino",1000,IF(Atletas!B515="Masculino",2000,""))+IF(Atletas!T515="Outra Arma Dupla A",801,IF(Atletas!T515="Arma Maleável A",802,IF(Atletas!T515="Outra Arma Dupla B",803,IF(Atletas!T515="Arma Maleável B",804,IF(Atletas!T515="Outra Arma Dupla C",805,IF(Atletas!T515="Arma Maleável C",806,IF(Atletas!T515="Outra Arma Dupla D",807,IF(Atletas!T515="Arma Maleável D",808,IF(Atletas!T515="Outra Arma Dupla E",809,IF(Atletas!T515="Arma Maleável E",810,IF(Atletas!T515="Outra Arma Dupla F",811,IF(Atletas!T515="Arma Maleável F",812,IF(Atletas!T515="Shuangdao A",813,IF(Atletas!T515="Shuangdao B",814,IF(Atletas!T515="Shuangdao C",815,IF(Atletas!T515="Shuangdao D",816,IF(Atletas!T515="Shuangdao E",817,IF(Atletas!T515="Shuangdao F",818,"")))))))))))))))))))</f>
        <v/>
      </c>
      <c r="CC524" s="50" t="str">
        <f>IF(Atletas!U515="","",IF(Atletas!X515&lt;&gt;"",10000,0)+IF(Atletas!B515="Feminino",1000,IF(Atletas!B515="Masculino",2000,""))+IF(OR(Atletas!U515="Taijijian Yang A",Atletas!U515="Taijijian Yang Standard A"),901,IF(OR(Atletas!U515="Taijijian Chen A", Atletas!U515="Taijijian Chen Standard A"),902,IF(Atletas!U515="Taijijian Sun A",903,IF(Atletas!U515="Taijijian Wu A",904,IF(Atletas!U515="Taijijian Wu-Hao A",905,IF(OR(Atletas!U515="Taijijian 32 A",Atletas!U515="Taijijian 42 A"),906,IF(OR(Atletas!U515="Taijijian Yang B",Atletas!U515="Taijijian Yang Standard B"),907,IF(OR(Atletas!U515="Taijijian Chen B", Atletas!U515="Taijijian Chen Standard B"),908,IF(Atletas!U515="Taijijian Sun B",909,IF(Atletas!U515="Taijijian Wu B",910,IF(Atletas!U515="Taijijian Wu-Hao B",911,IF(OR(Atletas!U515="Taijijian 32 B",Atletas!U515="Taijijian 42 B"),912,IF(OR(Atletas!U515="Taijijian Yang C",Atletas!U515="Taijijian Yang Standard C"),913,IF(OR(Atletas!U515="Taijijian Chen C", Atletas!U515="Taijijian Chen Standard C"),914,IF(Atletas!U515="Taijijian Sun C",915,IF(Atletas!U515="Taijijian Wu C",916,IF(Atletas!U515="Taijijian Wu-Hao C",917,IF(OR(Atletas!U515="Taijijian 32 C",Atletas!U515="Taijijian 42 C"),918,IF(OR(Atletas!U515="Taijijian Yang D",Atletas!U515="Taijijian Yang Standard D"),919,IF(OR(Atletas!U515="Taijijian Chen D", Atletas!U515="Taijijian Chen Standard D"),920,IF(Atletas!U515="Taijijian Sun D",921,IF(Atletas!U515="Taijijian Wu D",922,IF(Atletas!U515="Taijijian Wu-Hao D",923,IF(OR(Atletas!U515="Taijijian 32 D",Atletas!U515="Taijijian 42 D"),924,IF(OR(Atletas!U515="Taijijian Yang E",Atletas!U515="Taijijian Yang Standard E"),925,IF(OR(Atletas!U515="Taijijian Chen E", Atletas!U515="Taijijian Chen Standard E"),926,IF(Atletas!U515="Taijijian Sun E",927,IF(Atletas!U515="Taijijian Wu E",928,IF(Atletas!U515="Taijijian Wu-Hao E",929,IF(OR(Atletas!U515="Taijijian 32 E",Atletas!U515="Taijijian 42 E"),930,IF(OR(Atletas!U515="Taijijian Yang F",Atletas!U515="Taijijian Yang Standard F"),931,IF(OR(Atletas!U515="Taijijian Chen F", Atletas!U515="Taijijian Chen Standard F"),932,IF(Atletas!U515="Taijijian Sun F",933,IF(Atletas!U515="Taijijian Wu F",934,IF(Atletas!U515="Taijijian Wu-Hao F",935,IF(OR(Atletas!U515="Taijijian 32 F",Atletas!U515="Taijijian 42 F"),936,"")))))))))))))))))))))))))))))))))))))</f>
        <v/>
      </c>
      <c r="CD524" s="50" t="str">
        <f>IF(Atletas!V515="","",IF(Atletas!X515&lt;&gt;"",10000,0)+IF(Atletas!B515="Feminino",1000,IF(Atletas!B515="Masculino",2000,""))+IF(Atletas!V515="Taijidao A",937,IF(Atletas!V515="TaijiShanzi A",938,IF(Atletas!V515="Taijiqiang A",939,IF(Atletas!V515="Bagua de Arma A",940,IF(Atletas!V515="Xingyi de Arma A",941,IF(Atletas!V515="Taijidao B",942,IF(Atletas!V515="TaijiShanzi B",943,IF(Atletas!V515="Taijiqiang B",944,IF(Atletas!V515="Bagua de Arma B",945,IF(Atletas!V515="Xingyi de Arma B",946,IF(Atletas!V515="Taijidao C",947,IF(Atletas!V515="TaijiShanzi C",948,IF(Atletas!V515="Taijiqiang C",949,IF(Atletas!V515="Bagua de Arma C",950,IF(Atletas!V515="Xingyi de Arma C",951,IF(Atletas!V515="Taijidao D",952,IF(Atletas!V515="TaijiShanzi D",953,IF(Atletas!V515="Taijiqiang D",954,IF(Atletas!V515="Bagua de Arma D",955,IF(Atletas!V515="Xingyi de Arma D",956,IF(Atletas!V515="Taijidao E",957,IF(Atletas!V515="TaijiShanzi E",958,IF(Atletas!V515="Taijiqiang E",959,IF(Atletas!V515="Bagua de Arma E",960,IF(Atletas!V515="Xingyi de Arma E",961,IF(Atletas!V515="Taijidao F",962,IF(Atletas!V515="TaijiShanzi F",963,IF(Atletas!V515="Taijiqiang F",964,IF(Atletas!V515="Bagua de Arma F",965,IF(Atletas!V515="Xingyi de Arma F",966,"")))))))))))))))))))))))))))))))</f>
        <v/>
      </c>
      <c r="CM524" s="50" t="str">
        <f xml:space="preserve"> IF(Atletas!W515="","",IF(Atletas!W515="Duilian de Mãos BC - Equipe 1",1,IF(Atletas!W515="Duilian de Mãos BC - Equipe 2",2,IF(Atletas!W515="Duilian de Armas BC - Equipe 1",3,IF(Atletas!W515="Duilian de Armas BC - Equipe 2",4,IF(Atletas!W515="Duilian de Mãos DE - Equipe 1",5,IF(Atletas!W515="Duilian de Mãos DE - Equipe 2",6,IF(Atletas!W515="Duilian de Armas DE - Equipe 1",7,IF(Atletas!W515="Duilian de Armas DE - Equipe 2",8,IF(Atletas!W515="Duilian de Tuishou - Equipe 1",9,IF(Atletas!W515="Duilian de Tuishou - Equipe 2",10,IF(Atletas!W515="Grupo Externo ABC - Equipe 1",11,IF(Atletas!W515="Grupo Externo ABC - Equipe 2",12,IF(Atletas!W515="Grupo Interno ABC - Equipe 1",13,IF(Atletas!W515="Grupo Interno ABC - Equipe 2",14,IF(Atletas!W515="Grupo Externo DEF - Equipe 1",15,IF(Atletas!W515="Grupo Externo DEF - Equipe 2",16,IF(Atletas!W515="Grupo Interno DEF - Equipe 1",17,IF(Atletas!W515="Grupo Interno DEF - Equipe 2",18,"")))))))))))))))))))</f>
        <v/>
      </c>
    </row>
    <row r="525" spans="40:91">
      <c r="AN525" s="52" t="str">
        <f>IF(Atletas!D516="","",IF(Atletas!B516="Feminino",100,IF(Atletas!B516="Masculino",200,""))+(IF(Atletas!D516="Kids 30kg",1,IF(Atletas!D516="Kids 32kg",2, IF(Atletas!D516="Kids 34kg",3,IF(Atletas!D516="Kids 36kg",4,IF(Atletas!D516="Kids 39kg",5,IF(Atletas!D516="Kids 42kg",6,IF(Atletas!D516="Kids 45kg",7, IF(Atletas!D516="Infantil 39kg",8,IF(Atletas!D516="Infantil 42kg",9,IF(Atletas!D516="Infantil 45kg",10,IF(Atletas!D516="Infantil 48kg",11,IF(Atletas!D516="Infantil 52kg",12,IF(Atletas!D516="Infantil 56kg",13,IF(Atletas!D516="Infantil 60kg",14,IF(Atletas!D516="Juvenil 48kg",15,IF(Atletas!D516="Juvenil 52kg",16,IF(Atletas!D516="Juvenil 56kg",17,IF(Atletas!D516="Juvenil 60kg",18,IF(Atletas!D516="Juvenil 65kg",19,IF(Atletas!D516="Juvenil 70kg",20,IF(Atletas!D516="Juvenil 75kg",21,IF(Atletas!D516="Juvenil 80kg",22, IF(Atletas!D516="Juvenil 85kg",23,IF(Atletas!D516="Adulto 48kg",24,IF(Atletas!D516="Adulto 52kg",25,IF(Atletas!D516="Adulto 56kg",26,IF(Atletas!D516="Adulto 60kg",27,IF(Atletas!D516="Adulto 65kg",28,IF(Atletas!D516="Adulto 70kg",29,IF(Atletas!D516="Adulto 75kg",30,IF(Atletas!D516="Adulto 80kg",31,IF(Atletas!D516="Adulto 85kg",32,IF(Atletas!D516="Adulto 90kg",33,IF(Atletas!D516="Adulto 100kg",34, IF(Atletas!D516="Adulto +100kg",35,"")))))))))))))))))))))))))))))))))))))</f>
        <v/>
      </c>
      <c r="AS525" s="6" t="str">
        <f>IF(Atletas!E516="","",IF(Atletas!B516="Feminino",100,IF(Atletas!B516="Masculino",200,""))+(IF(Atletas!E516="Juvenil 44kg",1,IF(Atletas!E516="Juvenil 48kg",2,IF(Atletas!E516="Juvenil 52kg",3,IF(Atletas!E516="Juvenil 56kg",4,IF(Atletas!E516="Juvenil 60kg",5,IF(Atletas!E516="Juvenil 65kg",6,IF(Atletas!E516="Juvenil 70kg",7,IF(Atletas!E516="Juvenil 75kg",8,IF(Atletas!E516="Juvenil 82kg",9,IF(Atletas!E516="Juvenil 90kg",10,IF(Atletas!E516="Juvenil 100kg",11,IF(Atletas!E516="Adulto 48kg",12,IF(Atletas!E516="Adulto 52kg",13,IF(Atletas!E516="Adulto 56kg",14,IF(Atletas!E516="Adulto 60kg",15,IF(Atletas!E516="Adulto 65kg",16,IF(Atletas!E516="Adulto 70kg",17,IF(Atletas!E516="Adulto 75kg",18,IF(Atletas!E516="Adulto 82kg",19,IF(Atletas!E516="Adulto 90kg",20,IF(Atletas!E516="Adulto 100kg",21,IF(Atletas!E516="Adulto +100kg",22,""))))))))))))))))))))))))</f>
        <v/>
      </c>
      <c r="AX525" s="6" t="str">
        <f>IF(Atletas!F516="","",IF(Atletas!B516="Feminino",100,IF(Atletas!B516="Masculino",200,""))+(IF(Atletas!F516="Adulto 48kg",1,IF(Atletas!F516="Adulto 56kg",2,IF(Atletas!F516="Adulto 65kg",3,IF(Atletas!F516="Adulto 75kg",4,IF(Atletas!F516="Adulto +75kg",5,IF(Atletas!F516="Adulto 52kg",6,IF(Atletas!F516="Adulto 60kg",7,IF(Atletas!F516="Adulto 70kg",8,IF(Atletas!F516="Adulto 80kg",9,IF(Atletas!F516="Adulto 90kg",10,IF(Atletas!F516="Adulto +90kg",11,"")))))))))))))</f>
        <v/>
      </c>
      <c r="BC525" s="6" t="str">
        <f>IF(Atletas!G516="","",IF(Atletas!B516="Feminino",10,IF(Atletas!B516="Masculino",20,""))+(IF(Atletas!G516="Baduanjin A",1,IF(Atletas!G516="Baduanjin B",2))))</f>
        <v/>
      </c>
      <c r="BF525" s="52" t="str">
        <f>IF(Atletas!H516="","",IF(Atletas!B516="Feminino",100,IF(Atletas!B516="Masculino",200,""))+(IF(Atletas!H516="Changquan Mirim",1,IF(Atletas!H516="Nanquan Mirim",2,IF(Atletas!H516="Taijiquan Mirim",3,IF(Atletas!H516="Changquan Grupo C",4,IF(Atletas!H516="Nanquan Grupo C",5,IF(Atletas!H516="Taijiquan Grupo C",6,IF(Atletas!H516="Changquan Grupo B",7,IF(Atletas!H516="Nanquan Grupo B",8,IF(Atletas!H516="Taijiquan Grupo B",9,IF(Atletas!H516="Changquan Grupo A",10,IF(Atletas!H516="Nanquan Grupo A",11,IF(Atletas!H516="Taijiquan Grupo A",12,IF(Atletas!H516="Changquan Opcional",13,IF(Atletas!H516="Nanquan Opcional",14,IF(Atletas!H516="Taijiquan Opcional",15,IF(Atletas!H516="Changquan Adulto",16,IF(Atletas!H516="Nanquan Adulto",17,IF(Atletas!H516="Taijiquan Adulto",18,""))))))))))))))))))))</f>
        <v/>
      </c>
      <c r="BG525" s="52" t="str">
        <f>IF(Atletas!I516="","",IF(Atletas!B516="Feminino",100,IF(Atletas!B516="Masculino",200,""))+(IF(Atletas!I516="Daoshu Mirim",19,IF(Atletas!I516="Jianshu Mirim",20,IF(Atletas!I516="Nandao Mirim",21,IF(Atletas!I516="Taijijian Mirim",22,IF(Atletas!I516="Daoshu Grupo C",23,IF(Atletas!I516="Jianshu Grupo C",24,IF(Atletas!I516="Nandao Grupo C",25,IF(Atletas!I516="Taijijian Grupo C",26,IF(Atletas!I516="Daoshu Grupo B",27,IF(Atletas!I516="Jianshu Grupo B",28,IF(Atletas!I516="Nandao Grupo B",29,IF(Atletas!I516="Taijijian Grupo B",30,IF(Atletas!I516="Daoshu Grupo A",31,IF(Atletas!I516="Jianshu Grupo A",32,IF(Atletas!I516="Nandao Grupo A",33,IF(Atletas!I516="Taijijian Grupo A",34,IF(Atletas!I516="Daoshu Opcional",35,IF(Atletas!I516="Jianshu Opcional",36,IF(Atletas!I516="Nandao Opcional",37,IF(Atletas!I516="Taijijian Opcional",38,IF(Atletas!I516="Daoshu Adulto",39,IF(Atletas!I516="Jianshu Adulto",40,IF(Atletas!I516="Nandao Adulto",41,IF(Atletas!I516="Taijijian Adulto",42,""))))))))))))))))))))))))))</f>
        <v/>
      </c>
      <c r="BH525" s="52" t="str">
        <f>IF(Atletas!J516="","",IF(Atletas!B516="Feminino",100,IF(Atletas!B516="Masculino",200,""))+(IF(Atletas!J516="Gunshu Mirim",43,IF(Atletas!J516="Qiangshu Mirim",44,IF(Atletas!J516="Nangun Mirim",45,IF(Atletas!J516="Gunshu Grupo C",46,IF(Atletas!J516="Qiangshu Grupo C",47,IF(Atletas!J516="Nangun Grupo C",48,IF(Atletas!J516="Gunshu Grupo B",49,IF(Atletas!J516="Qiangshu Grupo B",50,IF(Atletas!J516="Nangun Grupo B",51,IF(Atletas!J516="Gunshu Grupo A",52,IF(Atletas!J516="Qiangshu Grupo A",53,IF(Atletas!J516="Nangun Grupo A",54,IF(Atletas!J516="Gunshu Opcional",55,IF(Atletas!J516="Qiangshu Opcional",56,IF(Atletas!J516="Nangun Opcional",57,IF(Atletas!J516="Gunshu Adulto",58,IF(Atletas!J516="Qiangshu Adulto",59,IF(Atletas!J516="Nangun Adulto",60,IF(Atletas!J516="Taijishan Grupo B",61,IF(Atletas!J516="Taijishan Grupo A",62,""))))))))))))))))))))))</f>
        <v/>
      </c>
      <c r="BM525" s="50" t="str">
        <f>IF(Atletas!K516="","",IF(Atletas!B516="Feminino",100,IF(Atletas!B516="Masculino",200,""))+(IF(Atletas!K516="Equipe 1 Grupo B",1,IF(Atletas!K516="Equipe 2 Grupo B",2,IF(Atletas!K516="Equipe 1 Grupo A",3,IF(Atletas!K516="Equipe 2 Grupo A",4,IF(Atletas!K516="Equipe 1 Adulto",5,IF(Atletas!K516="Equipe 2 Adulto",6,""))))))))</f>
        <v/>
      </c>
      <c r="BR525" s="50" t="str">
        <f>IF(Atletas!L516="","",IF(Atletas!X516&lt;&gt;"",10000,0)+(IF(Atletas!B516="Feminino",1000,IF(Atletas!B516="Masculino",2000,""))+IF(Atletas!L516="Choylayfut A",1,IF(Atletas!L516="Hunggar A",2,IF(Atletas!L516="Wuzuquan A",3,IF(Atletas!L516="Wingchun A",4,IF(Atletas!L516="Outra Mão de Sul A",5,IF(Atletas!L516="Choylayfut B",6,IF(Atletas!L516="Hunggar B",7,IF(Atletas!L516="Wuzuquan B",8,IF(Atletas!L516="Wingchun B",9,IF(Atletas!L516="Outra Mão de Sul B",10,IF(Atletas!L516="Choylayfut C",11,IF(Atletas!L516="Hunggar C",12,IF(Atletas!L516="Wuzuquan C",13,IF(Atletas!L516="Wingchun C",14,IF(Atletas!L516="Outra Mão de Sul C",15,IF(Atletas!L516="Choylayfut D",16,IF(Atletas!L516="Hunggar D",17,IF(Atletas!L516="Wuzuquan D",18,IF(Atletas!L516="Wingchun D",19,IF(Atletas!L516="Outra Mão de Sul D",20,IF(Atletas!L516="Choylayfut E",21,IF(Atletas!L516="Hunggar E",22,IF(Atletas!L516="Wuzuquan E",23,IF(Atletas!L516="Wingchun E",24,IF(Atletas!L516="Outra Mão de Sul E",25,IF(Atletas!L516="Choylayfut F",26,IF(Atletas!L516="Hunggar F",27,IF(Atletas!L516="Wuzuquan F",28,IF(Atletas!L516="Wingchun F",29,IF(Atletas!L516="Outra Mão de Sul F",30,IF(Atletas!L516="Dishuquan A",31,IF(Atletas!L516="Dishuquan B",32,IF(Atletas!L516="Dishuquan C",33,IF(Atletas!L516="Dishuquan D",34,IF(Atletas!L516="Dishuquan E",35,IF(Atletas!L516="Dishuquan F",36,""))))))))))))))))))))))))))))))))))))))</f>
        <v/>
      </c>
      <c r="BS525" s="50" t="str">
        <f>IF(Atletas!M516="","",IF(Atletas!X516&lt;&gt;"",10000,0)+(IF(Atletas!B516="Feminino",1000,IF(Atletas!B516="Masculino",2000,""))+(IF(Atletas!M516="Chaquan A",101,IF(Atletas!M516="Emeiquan A",102,IF(Atletas!M516="Fanziquan A",103,IF(Atletas!M516="Huaquan A",104,IF(Atletas!M516="Hongquan A",105,IF(Atletas!M516="Paoquan A",106,IF(Atletas!M516="Piguaquan A",107,IF(Atletas!M516="Shaolinquan A",108,IF(Atletas!M516="Tanglangquan A",109,IF(Atletas!M516="Yingzhaoquan A",110,IF(Atletas!M516="Tongbeiquan A",111,IF(Atletas!M516="Wudangquan A",112,IF(Atletas!M516="Outros Estilos A",113,IF(Atletas!M516="Chaquan B",114,IF(Atletas!M516="Emeiquan B",115,IF(Atletas!M516="Fanziquan B",116,IF(Atletas!M516="Huaquan B",117,IF(Atletas!M516="Hongquan B",118,IF(Atletas!M516="Paoquan B",119,IF(Atletas!M516="Piguaquan B",120,IF(Atletas!M516="Shaolinquan B",121,IF(Atletas!M516="Tanglangquan B",122,IF(Atletas!M516="Yingzhaoquan B",123,IF(Atletas!M516="Tongbeiquan B",124,IF(Atletas!M516="Wudangquan B",125,IF(Atletas!M516="Outros Estilos B",126,IF(Atletas!M516="Chaquan C",127,IF(Atletas!M516="Emeiquan C",128,IF(Atletas!M516="Fanziquan C",129,IF(Atletas!M516="Huaquan C",130,IF(Atletas!M516="Hongquan C",131,IF(Atletas!M516="Paoquan C",132,IF(Atletas!M516="Piguaquan C",133,IF(Atletas!M516="Shaolinquan C",134,IF(Atletas!M516="Tanglangquan C",135,IF(Atletas!M516="Yingzhaoquan C",136,IF(Atletas!M516="Tongbeiquan C",137,IF(Atletas!M516="Wudangquan C",138,IF(Atletas!M516="Outros Estilos C",139,0))))))))))))))))))))))))))))))))))))))))))</f>
        <v/>
      </c>
      <c r="BT525" s="50" t="str">
        <f>IF(Atletas!M516="","",IF(Atletas!X516&lt;&gt;"",10000,0)+(IF(Atletas!B516="Feminino",1000,IF(Atletas!B516="Masculino",2000,""))+(IF(Atletas!M516="Chaquan D",140,IF(Atletas!M516="Emeiquan D",141,IF(Atletas!M516="Fanziquan D",142,IF(Atletas!M516="Huaquan D",143,IF(Atletas!M516="Hongquan D",144,IF(Atletas!M516="Paoquan D",145,IF(Atletas!M516="Piguaquan D",146,IF(Atletas!M516="Shaolinquan D",147,IF(Atletas!M516="Tanglangquan D",148,IF(Atletas!M516="Yingzhaoquan D",149,IF(Atletas!M516="Tongbeiquan D",150,IF(Atletas!M516="Wudangquan D",151,IF(Atletas!M516="Outros Estilos D",152,IF(Atletas!M516="Chaquan E",153,IF(Atletas!M516="Emeiquan E",154,IF(Atletas!M516="Fanziquan E",155,IF(Atletas!M516="Huaquan E",156,IF(Atletas!M516="Hongquan E",157,IF(Atletas!M516="Paoquan E",158,IF(Atletas!M516="Piguaquan E",159,IF(Atletas!M516="Shaolinquan E",160,IF(Atletas!M516="Tanglangquan E",161,IF(Atletas!M516="Yingzhaoquan E",162,IF(Atletas!M516="Tongbeiquan E",163,IF(Atletas!M516="Wudangquan E",164,IF(Atletas!M516="Outros Estilos E",165,IF(Atletas!M516="Chaquan F",166,IF(Atletas!M516="Emeiquan F",167,IF(Atletas!M516="Fanziquan F",168,IF(Atletas!M516="Huaquan F",169,IF(Atletas!M516="Hongquan F",170,IF(Atletas!M516="Paoquan F",171,IF(Atletas!M516="Piguaquan F",172,IF(Atletas!M516="Shaolinquan F",173,IF(Atletas!M516="Tanglangquan F",174,IF(Atletas!M516="Yingzhaoquan F",175,IF(Atletas!M516="Tongbeiquan F",176,IF(Atletas!M516="Wudangquan F",177,IF(Atletas!M516="Outros Estilos F",178,0))))))))))))))))))))))))))))))))))))))))))</f>
        <v/>
      </c>
      <c r="BU525" s="50" t="str">
        <f>IF(Atletas!N516="","",IF(Atletas!X516&lt;&gt;"",10000,0)+(IF(Atletas!B516="Feminino",1000,IF(Atletas!B516="Masculino",2000,""))+(IF(Atletas!N516="Ditangquan A",201,IF(Atletas!N516="Houquan A",202,IF(Atletas!N516="Zuiquan A",203,IF(Atletas!N516="Ditangquan B",204,IF(Atletas!N516="Houquan B",205,IF(Atletas!N516="Zuiquan B",206,IF(Atletas!N516="Ditangquan C",207,IF(Atletas!N516="Houquan C",208,IF(Atletas!N516="Zuiquan C",209,IF(Atletas!N516="Ditangquan D",210,IF(Atletas!N516="Houquan D",211,IF(Atletas!N516="Zuiquan D",212,IF(Atletas!N516="Ditangquan E",213,IF(Atletas!N516="Houquan E",214,IF(Atletas!N516="Zuiquan E",215,IF(Atletas!N516="Ditangquan F",216,IF(Atletas!N516="Houquan F",217,IF(Atletas!N516="Zuiquan F",218,"")))))))))))))))))))))</f>
        <v/>
      </c>
      <c r="BV525" s="50" t="str">
        <f>IF(Atletas!O516="","",IF(Atletas!X516&lt;&gt;"",10000,0)+IF(Atletas!B516="Feminino",1000,IF(Atletas!B516="Masculino",2000,""))+IF(Atletas!O516="Yang A",301,IF(Atletas!O516="Chen A",302,IF(Atletas!O516="Sun A",303,IF(Atletas!O516="Wu A",304,IF(Atletas!O516="Wu-Hao A",305,IF(Atletas!O516="Outro Taijiquan A",306,IF(Atletas!O516="Yang B",307,IF(Atletas!O516="Chen B",308,IF(Atletas!O516="Sun B",309,IF(Atletas!O516="Wu B",310,IF(Atletas!O516="Wu-Hao B",311,IF(Atletas!O516="Outro Taijiquan B",312,IF(Atletas!O516="Yang C",313,IF(Atletas!O516="Chen C",314,IF(Atletas!O516="Sun C",315,IF(Atletas!O516="Wu C",316,IF(Atletas!O516="Wu-Hao C",317,IF(Atletas!O516="Outro Taijiquan C",318,IF(Atletas!O516="Yang D",319,IF(Atletas!O516="Chen D",320,IF(Atletas!O516="Sun D",321,IF(Atletas!O516="Wu D",322,IF(Atletas!O516="Wu-Hao D",323,IF(Atletas!O516="Outro Taijiquan D",324,IF(Atletas!O516="Yang E",325,IF(Atletas!O516="Chen E",326,IF(Atletas!O516="Sun E",327,IF(Atletas!O516="Wu E",328,IF(Atletas!O516="Wu-Hao E",329,IF(Atletas!O516="Outro Taijiquan E",330,IF(Atletas!O516="Yang F",331,IF(Atletas!O516="Chen F",332,IF(Atletas!O516="Sun F",333,IF(Atletas!O516="Wu F",334,IF(Atletas!O516="Wu-Hao F",335,IF(Atletas!O516="Outro Taijiquan F",336,"")))))))))))))))))))))))))))))))))))))</f>
        <v/>
      </c>
      <c r="BW525" s="50" t="str">
        <f>IF(Atletas!P516="","",IF(Atletas!X516&lt;&gt;"",10000,0)+IF(Atletas!B516="Feminino",1000,IF(Atletas!B516="Masculino",2000,""))+IF(OR(Atletas!P516="Yang 26 A",Atletas!P516="Yang 40 A"),401,IF(OR(Atletas!P516="Chen 25 A",Atletas!P516="Chen 36 A",Atletas!P516="Chen 56 A"),402,IF(Atletas!P516="Sun 73 A",403,IF(Atletas!P516="Wu 45 A",404,IF(Atletas!P516="Wu-Hao 46 A",405,IF(OR(Atletas!P516="Taijiquan 16 A",Atletas!P516="Taijiquan 24 A",Atletas!P516="Taijiquan 32 A",Atletas!P516="Taijiquan 42 A"),406,IF(OR(Atletas!P516="Yang 26 B",Atletas!P516="Yang 40 B"),407,IF(OR(Atletas!P516="Chen 25 B",Atletas!P516="Chen 36 B",Atletas!P516="Chen 56 B"),408,IF(Atletas!P516="Sun 73 B",409,IF(Atletas!P516="Wu 45 B",410,IF(Atletas!P516="Wu-Hao 46 B",411,IF(OR(Atletas!P516="Taijiquan 16 B",Atletas!P516="Taijiquan 24 B",Atletas!P516="Taijiquan 32 B",Atletas!P516="Taijiquan 42 B"),412,IF(OR(Atletas!P516="Yang 26 C",Atletas!P516="Yang 40 C"),413,IF(OR(Atletas!P516="Chen 25 C",Atletas!P516="Chen 36 C",Atletas!P516="Chen 56 C"),414,IF(Atletas!P516="Sun 73 C",415,IF(Atletas!P516="Wu 45 C",416,IF(Atletas!P516="Wu-Hao 46 C",417,IF(OR(Atletas!P516="Taijiquan 16 C",Atletas!P516="Taijiquan 24 C",Atletas!P516="Taijiquan 32 C",Atletas!P516="Taijiquan 42 C"),418,0)))))))))))))))))))</f>
        <v/>
      </c>
      <c r="BX525" s="50" t="str">
        <f>IF(Atletas!P516="","",IF(Atletas!X516&lt;&gt;"",10000,0)+IF(Atletas!B516="Feminino",1000,IF(Atletas!B516="Masculino",2000,""))+IF(OR(Atletas!P516="Yang 26 D",Atletas!P516="Yang 40 D"),419,IF(OR(Atletas!P516="Chen 25 D",Atletas!P516="Chen 36 D",Atletas!P516="Chen 56 D"),420,IF(Atletas!P516="Sun 73 D",421,IF(Atletas!P516="Wu 45 D",422,IF(Atletas!P516="Wu-Hao 46 D",423,IF(OR(Atletas!P516="Taijiquan 16 D",Atletas!P516="Taijiquan 24 D",Atletas!P516="Taijiquan 32 D",Atletas!P516="Taijiquan 42 D"),424,IF(OR(Atletas!P516="Yang 26 E",Atletas!P516="Yang 40 E"),425,IF(OR(Atletas!P516="Chen 25 E",Atletas!P516="Chen 36 E",Atletas!P516="Chen 56 E"),426,IF(Atletas!P516="Sun 73 E",427,IF(Atletas!P516="Wu 45 E",428,IF(Atletas!P516="Wu-Hao 46 E",429,IF(OR(Atletas!P516="Taijiquan 16 E",Atletas!P516="Taijiquan 24 E",Atletas!P516="Taijiquan 32 E",Atletas!P516="Taijiquan 42 E"),430,IF(OR(Atletas!P516="Yang 26 F",Atletas!P516="Yang 40 F"),431,IF(OR(Atletas!P516="Chen 25 F",Atletas!P516="Chen 36 F",Atletas!P516="Chen 56 F"),432,IF(Atletas!P516="Sun 73 F",433,IF(Atletas!P516="Wu 45 F",434,IF(Atletas!P516="Wu-Hao 46 F",435,IF(OR(Atletas!P516="Taijiquan 16 F",Atletas!P516="Taijiquan 24 F",Atletas!P516="Taijiquan 32 F",Atletas!P516="Taijiquan 42 F"),436,0)))))))))))))))))))</f>
        <v/>
      </c>
      <c r="BY525" s="50" t="str">
        <f>IF(Atletas!Q516="","",IF(Atletas!X516&lt;&gt;"",10000,0)+IF(Atletas!B516="Feminino",1000,IF(Atletas!B516="Masculino",2000,""))+IF(Atletas!Q516="Xingyiquan A",501,IF(Atletas!Q516="Baguazhang A",502,IF(Atletas!Q516="Outro Estilo Interno A",503,IF(Atletas!Q516="Xingyiquan B",504,IF(Atletas!Q516="Baguazhang B",505,IF(Atletas!Q516="Outro Estilo Interno B",506,IF(Atletas!Q516="Xingyiquan C",507,IF(Atletas!Q516="Baguazhang C",508,IF(Atletas!Q516="Outro Estilo Interno C",509,IF(Atletas!Q516="Xingyiquan D",510,IF(Atletas!Q516="Baguazhang D",511,IF(Atletas!Q516="Outro Estilo Interno D",512,IF(Atletas!Q516="Xingyiquan E",513,IF(Atletas!Q516="Baguazhang E",514,IF(Atletas!Q516="Outro Estilo Interno E",515,IF(Atletas!Q516="Xingyiquan F",516,IF(Atletas!Q516="Baguazhang F",517,IF(Atletas!Q516="Outro Estilo Interno F",518, "")))))))))))))))))))</f>
        <v/>
      </c>
      <c r="BZ525" s="50" t="str">
        <f>IF(Atletas!R516="","",IF(Atletas!X516&lt;&gt;"",10000,0)+IF(Atletas!B516="Feminino",1000,IF(Atletas!B516="Masculino",2000,""))+IF(Atletas!R516="Dao A",601,IF(Atletas!R516="Jian A",602,IF(Atletas!R516="Bishou A",603,IF(Atletas!R516="Shanzi A",604,IF(Atletas!R516="Outra Arma Curta A",605,IF(Atletas!R516="Dao B",606,IF(Atletas!R516="Jian B",607,IF(Atletas!R516="Bishou B",608,IF(Atletas!R516="Shanzi B",609,IF(Atletas!R516="Outra Arma Curta B",610,IF(Atletas!R516="Dao C",611,IF(Atletas!R516="Jian C",612,IF(Atletas!R516="Bishou C",613,IF(Atletas!R516="Shanzi C",614,IF(Atletas!R516="Outra Arma Curta C",615,IF(Atletas!R516="Dao D",616,IF(Atletas!R516="Jian D",617,IF(Atletas!R516="Bishou D",618,IF(Atletas!R516="Shanzi D",619,IF(Atletas!R516="Outra Arma Curta D",620,IF(Atletas!R516="Dao E",621,IF(Atletas!R516="Jian E",622,IF(Atletas!R516="Bishou E",623,IF(Atletas!R516="Shanzi E",624,IF(Atletas!R516="Outra Arma Curta E",625,IF(Atletas!R516="Dao F",626,IF(Atletas!R516="Jian F",627,IF(Atletas!R516="Bishou F",628,IF(Atletas!R516="Shanzi F",629,IF(Atletas!R516="Outra Arma Curta F",630, "")))))))))))))))))))))))))))))))</f>
        <v/>
      </c>
      <c r="CA525" s="50" t="str">
        <f>IF(Atletas!S516="","",IF(Atletas!X516&lt;&gt;"",10000,0)+IF(Atletas!B516="Feminino",1000,IF(Atletas!B516="Masculino",2000,""))+IF(Atletas!S516="Gun A",701,IF(Atletas!S516="Qiang A",702,IF(Atletas!S516="Pudao / Guandao A",703,IF(Atletas!S516="Outra Arma Longa A",704,IF(Atletas!S516="Gun B",705,IF(Atletas!S516="Qiang B",706,IF(Atletas!S516="Pudao / Guandao B",707,IF(Atletas!S516="Outra Arma Longa B",708,IF(Atletas!S516="Gun C",709,IF(Atletas!S516="Qiang C",710,IF(Atletas!S516="Pudao / Guandao C",711,IF(Atletas!S516="Outra Arma Longa C",712,IF(Atletas!S516="Gun D",713,IF(Atletas!S516="Qiang D",714,IF(Atletas!S516="Pudao / Guandao D",715,IF(Atletas!S516="Outra Arma Longa D",716,IF(Atletas!S516="Gun E",717,IF(Atletas!S516="Qiang E",718,IF(Atletas!S516="Pudao / Guandao E",719,IF(Atletas!S516="Outra Arma Longa E",720,IF(Atletas!S516="Gun F",721,IF(Atletas!S516="Qiang F",722,IF(Atletas!S516="Pudao / Guandao F",723,IF(Atletas!S516="Outra Arma Longa F",724,"")))))))))))))))))))))))))</f>
        <v/>
      </c>
      <c r="CB525" s="50" t="str">
        <f>IF(Atletas!T516="","",IF(Atletas!X516&lt;&gt;"",10000,0)+IF(Atletas!B516="Feminino",1000,IF(Atletas!B516="Masculino",2000,""))+IF(Atletas!T516="Outra Arma Dupla A",801,IF(Atletas!T516="Arma Maleável A",802,IF(Atletas!T516="Outra Arma Dupla B",803,IF(Atletas!T516="Arma Maleável B",804,IF(Atletas!T516="Outra Arma Dupla C",805,IF(Atletas!T516="Arma Maleável C",806,IF(Atletas!T516="Outra Arma Dupla D",807,IF(Atletas!T516="Arma Maleável D",808,IF(Atletas!T516="Outra Arma Dupla E",809,IF(Atletas!T516="Arma Maleável E",810,IF(Atletas!T516="Outra Arma Dupla F",811,IF(Atletas!T516="Arma Maleável F",812,IF(Atletas!T516="Shuangdao A",813,IF(Atletas!T516="Shuangdao B",814,IF(Atletas!T516="Shuangdao C",815,IF(Atletas!T516="Shuangdao D",816,IF(Atletas!T516="Shuangdao E",817,IF(Atletas!T516="Shuangdao F",818,"")))))))))))))))))))</f>
        <v/>
      </c>
      <c r="CC525" s="50" t="str">
        <f>IF(Atletas!U516="","",IF(Atletas!X516&lt;&gt;"",10000,0)+IF(Atletas!B516="Feminino",1000,IF(Atletas!B516="Masculino",2000,""))+IF(OR(Atletas!U516="Taijijian Yang A",Atletas!U516="Taijijian Yang Standard A"),901,IF(OR(Atletas!U516="Taijijian Chen A", Atletas!U516="Taijijian Chen Standard A"),902,IF(Atletas!U516="Taijijian Sun A",903,IF(Atletas!U516="Taijijian Wu A",904,IF(Atletas!U516="Taijijian Wu-Hao A",905,IF(OR(Atletas!U516="Taijijian 32 A",Atletas!U516="Taijijian 42 A"),906,IF(OR(Atletas!U516="Taijijian Yang B",Atletas!U516="Taijijian Yang Standard B"),907,IF(OR(Atletas!U516="Taijijian Chen B", Atletas!U516="Taijijian Chen Standard B"),908,IF(Atletas!U516="Taijijian Sun B",909,IF(Atletas!U516="Taijijian Wu B",910,IF(Atletas!U516="Taijijian Wu-Hao B",911,IF(OR(Atletas!U516="Taijijian 32 B",Atletas!U516="Taijijian 42 B"),912,IF(OR(Atletas!U516="Taijijian Yang C",Atletas!U516="Taijijian Yang Standard C"),913,IF(OR(Atletas!U516="Taijijian Chen C", Atletas!U516="Taijijian Chen Standard C"),914,IF(Atletas!U516="Taijijian Sun C",915,IF(Atletas!U516="Taijijian Wu C",916,IF(Atletas!U516="Taijijian Wu-Hao C",917,IF(OR(Atletas!U516="Taijijian 32 C",Atletas!U516="Taijijian 42 C"),918,IF(OR(Atletas!U516="Taijijian Yang D",Atletas!U516="Taijijian Yang Standard D"),919,IF(OR(Atletas!U516="Taijijian Chen D", Atletas!U516="Taijijian Chen Standard D"),920,IF(Atletas!U516="Taijijian Sun D",921,IF(Atletas!U516="Taijijian Wu D",922,IF(Atletas!U516="Taijijian Wu-Hao D",923,IF(OR(Atletas!U516="Taijijian 32 D",Atletas!U516="Taijijian 42 D"),924,IF(OR(Atletas!U516="Taijijian Yang E",Atletas!U516="Taijijian Yang Standard E"),925,IF(OR(Atletas!U516="Taijijian Chen E", Atletas!U516="Taijijian Chen Standard E"),926,IF(Atletas!U516="Taijijian Sun E",927,IF(Atletas!U516="Taijijian Wu E",928,IF(Atletas!U516="Taijijian Wu-Hao E",929,IF(OR(Atletas!U516="Taijijian 32 E",Atletas!U516="Taijijian 42 E"),930,IF(OR(Atletas!U516="Taijijian Yang F",Atletas!U516="Taijijian Yang Standard F"),931,IF(OR(Atletas!U516="Taijijian Chen F", Atletas!U516="Taijijian Chen Standard F"),932,IF(Atletas!U516="Taijijian Sun F",933,IF(Atletas!U516="Taijijian Wu F",934,IF(Atletas!U516="Taijijian Wu-Hao F",935,IF(OR(Atletas!U516="Taijijian 32 F",Atletas!U516="Taijijian 42 F"),936,"")))))))))))))))))))))))))))))))))))))</f>
        <v/>
      </c>
      <c r="CD525" s="50" t="str">
        <f>IF(Atletas!V516="","",IF(Atletas!X516&lt;&gt;"",10000,0)+IF(Atletas!B516="Feminino",1000,IF(Atletas!B516="Masculino",2000,""))+IF(Atletas!V516="Taijidao A",937,IF(Atletas!V516="TaijiShanzi A",938,IF(Atletas!V516="Taijiqiang A",939,IF(Atletas!V516="Bagua de Arma A",940,IF(Atletas!V516="Xingyi de Arma A",941,IF(Atletas!V516="Taijidao B",942,IF(Atletas!V516="TaijiShanzi B",943,IF(Atletas!V516="Taijiqiang B",944,IF(Atletas!V516="Bagua de Arma B",945,IF(Atletas!V516="Xingyi de Arma B",946,IF(Atletas!V516="Taijidao C",947,IF(Atletas!V516="TaijiShanzi C",948,IF(Atletas!V516="Taijiqiang C",949,IF(Atletas!V516="Bagua de Arma C",950,IF(Atletas!V516="Xingyi de Arma C",951,IF(Atletas!V516="Taijidao D",952,IF(Atletas!V516="TaijiShanzi D",953,IF(Atletas!V516="Taijiqiang D",954,IF(Atletas!V516="Bagua de Arma D",955,IF(Atletas!V516="Xingyi de Arma D",956,IF(Atletas!V516="Taijidao E",957,IF(Atletas!V516="TaijiShanzi E",958,IF(Atletas!V516="Taijiqiang E",959,IF(Atletas!V516="Bagua de Arma E",960,IF(Atletas!V516="Xingyi de Arma E",961,IF(Atletas!V516="Taijidao F",962,IF(Atletas!V516="TaijiShanzi F",963,IF(Atletas!V516="Taijiqiang F",964,IF(Atletas!V516="Bagua de Arma F",965,IF(Atletas!V516="Xingyi de Arma F",966,"")))))))))))))))))))))))))))))))</f>
        <v/>
      </c>
      <c r="CM525" s="50" t="str">
        <f xml:space="preserve"> IF(Atletas!W516="","",IF(Atletas!W516="Duilian de Mãos BC - Equipe 1",1,IF(Atletas!W516="Duilian de Mãos BC - Equipe 2",2,IF(Atletas!W516="Duilian de Armas BC - Equipe 1",3,IF(Atletas!W516="Duilian de Armas BC - Equipe 2",4,IF(Atletas!W516="Duilian de Mãos DE - Equipe 1",5,IF(Atletas!W516="Duilian de Mãos DE - Equipe 2",6,IF(Atletas!W516="Duilian de Armas DE - Equipe 1",7,IF(Atletas!W516="Duilian de Armas DE - Equipe 2",8,IF(Atletas!W516="Duilian de Tuishou - Equipe 1",9,IF(Atletas!W516="Duilian de Tuishou - Equipe 2",10,IF(Atletas!W516="Grupo Externo ABC - Equipe 1",11,IF(Atletas!W516="Grupo Externo ABC - Equipe 2",12,IF(Atletas!W516="Grupo Interno ABC - Equipe 1",13,IF(Atletas!W516="Grupo Interno ABC - Equipe 2",14,IF(Atletas!W516="Grupo Externo DEF - Equipe 1",15,IF(Atletas!W516="Grupo Externo DEF - Equipe 2",16,IF(Atletas!W516="Grupo Interno DEF - Equipe 1",17,IF(Atletas!W516="Grupo Interno DEF - Equipe 2",18,"")))))))))))))))))))</f>
        <v/>
      </c>
    </row>
    <row r="526" spans="40:91">
      <c r="AN526" s="52" t="str">
        <f>IF(Atletas!D517="","",IF(Atletas!B517="Feminino",100,IF(Atletas!B517="Masculino",200,""))+(IF(Atletas!D517="Kids 30kg",1,IF(Atletas!D517="Kids 32kg",2, IF(Atletas!D517="Kids 34kg",3,IF(Atletas!D517="Kids 36kg",4,IF(Atletas!D517="Kids 39kg",5,IF(Atletas!D517="Kids 42kg",6,IF(Atletas!D517="Kids 45kg",7, IF(Atletas!D517="Infantil 39kg",8,IF(Atletas!D517="Infantil 42kg",9,IF(Atletas!D517="Infantil 45kg",10,IF(Atletas!D517="Infantil 48kg",11,IF(Atletas!D517="Infantil 52kg",12,IF(Atletas!D517="Infantil 56kg",13,IF(Atletas!D517="Infantil 60kg",14,IF(Atletas!D517="Juvenil 48kg",15,IF(Atletas!D517="Juvenil 52kg",16,IF(Atletas!D517="Juvenil 56kg",17,IF(Atletas!D517="Juvenil 60kg",18,IF(Atletas!D517="Juvenil 65kg",19,IF(Atletas!D517="Juvenil 70kg",20,IF(Atletas!D517="Juvenil 75kg",21,IF(Atletas!D517="Juvenil 80kg",22, IF(Atletas!D517="Juvenil 85kg",23,IF(Atletas!D517="Adulto 48kg",24,IF(Atletas!D517="Adulto 52kg",25,IF(Atletas!D517="Adulto 56kg",26,IF(Atletas!D517="Adulto 60kg",27,IF(Atletas!D517="Adulto 65kg",28,IF(Atletas!D517="Adulto 70kg",29,IF(Atletas!D517="Adulto 75kg",30,IF(Atletas!D517="Adulto 80kg",31,IF(Atletas!D517="Adulto 85kg",32,IF(Atletas!D517="Adulto 90kg",33,IF(Atletas!D517="Adulto 100kg",34, IF(Atletas!D517="Adulto +100kg",35,"")))))))))))))))))))))))))))))))))))))</f>
        <v/>
      </c>
      <c r="AS526" s="6" t="str">
        <f>IF(Atletas!E517="","",IF(Atletas!B517="Feminino",100,IF(Atletas!B517="Masculino",200,""))+(IF(Atletas!E517="Juvenil 44kg",1,IF(Atletas!E517="Juvenil 48kg",2,IF(Atletas!E517="Juvenil 52kg",3,IF(Atletas!E517="Juvenil 56kg",4,IF(Atletas!E517="Juvenil 60kg",5,IF(Atletas!E517="Juvenil 65kg",6,IF(Atletas!E517="Juvenil 70kg",7,IF(Atletas!E517="Juvenil 75kg",8,IF(Atletas!E517="Juvenil 82kg",9,IF(Atletas!E517="Juvenil 90kg",10,IF(Atletas!E517="Juvenil 100kg",11,IF(Atletas!E517="Adulto 48kg",12,IF(Atletas!E517="Adulto 52kg",13,IF(Atletas!E517="Adulto 56kg",14,IF(Atletas!E517="Adulto 60kg",15,IF(Atletas!E517="Adulto 65kg",16,IF(Atletas!E517="Adulto 70kg",17,IF(Atletas!E517="Adulto 75kg",18,IF(Atletas!E517="Adulto 82kg",19,IF(Atletas!E517="Adulto 90kg",20,IF(Atletas!E517="Adulto 100kg",21,IF(Atletas!E517="Adulto +100kg",22,""))))))))))))))))))))))))</f>
        <v/>
      </c>
      <c r="AX526" s="6" t="str">
        <f>IF(Atletas!F517="","",IF(Atletas!B517="Feminino",100,IF(Atletas!B517="Masculino",200,""))+(IF(Atletas!F517="Adulto 48kg",1,IF(Atletas!F517="Adulto 56kg",2,IF(Atletas!F517="Adulto 65kg",3,IF(Atletas!F517="Adulto 75kg",4,IF(Atletas!F517="Adulto +75kg",5,IF(Atletas!F517="Adulto 52kg",6,IF(Atletas!F517="Adulto 60kg",7,IF(Atletas!F517="Adulto 70kg",8,IF(Atletas!F517="Adulto 80kg",9,IF(Atletas!F517="Adulto 90kg",10,IF(Atletas!F517="Adulto +90kg",11,"")))))))))))))</f>
        <v/>
      </c>
      <c r="BC526" s="6" t="str">
        <f>IF(Atletas!G517="","",IF(Atletas!B517="Feminino",10,IF(Atletas!B517="Masculino",20,""))+(IF(Atletas!G517="Baduanjin A",1,IF(Atletas!G517="Baduanjin B",2))))</f>
        <v/>
      </c>
      <c r="BF526" s="52" t="str">
        <f>IF(Atletas!H517="","",IF(Atletas!B517="Feminino",100,IF(Atletas!B517="Masculino",200,""))+(IF(Atletas!H517="Changquan Mirim",1,IF(Atletas!H517="Nanquan Mirim",2,IF(Atletas!H517="Taijiquan Mirim",3,IF(Atletas!H517="Changquan Grupo C",4,IF(Atletas!H517="Nanquan Grupo C",5,IF(Atletas!H517="Taijiquan Grupo C",6,IF(Atletas!H517="Changquan Grupo B",7,IF(Atletas!H517="Nanquan Grupo B",8,IF(Atletas!H517="Taijiquan Grupo B",9,IF(Atletas!H517="Changquan Grupo A",10,IF(Atletas!H517="Nanquan Grupo A",11,IF(Atletas!H517="Taijiquan Grupo A",12,IF(Atletas!H517="Changquan Opcional",13,IF(Atletas!H517="Nanquan Opcional",14,IF(Atletas!H517="Taijiquan Opcional",15,IF(Atletas!H517="Changquan Adulto",16,IF(Atletas!H517="Nanquan Adulto",17,IF(Atletas!H517="Taijiquan Adulto",18,""))))))))))))))))))))</f>
        <v/>
      </c>
      <c r="BG526" s="52" t="str">
        <f>IF(Atletas!I517="","",IF(Atletas!B517="Feminino",100,IF(Atletas!B517="Masculino",200,""))+(IF(Atletas!I517="Daoshu Mirim",19,IF(Atletas!I517="Jianshu Mirim",20,IF(Atletas!I517="Nandao Mirim",21,IF(Atletas!I517="Taijijian Mirim",22,IF(Atletas!I517="Daoshu Grupo C",23,IF(Atletas!I517="Jianshu Grupo C",24,IF(Atletas!I517="Nandao Grupo C",25,IF(Atletas!I517="Taijijian Grupo C",26,IF(Atletas!I517="Daoshu Grupo B",27,IF(Atletas!I517="Jianshu Grupo B",28,IF(Atletas!I517="Nandao Grupo B",29,IF(Atletas!I517="Taijijian Grupo B",30,IF(Atletas!I517="Daoshu Grupo A",31,IF(Atletas!I517="Jianshu Grupo A",32,IF(Atletas!I517="Nandao Grupo A",33,IF(Atletas!I517="Taijijian Grupo A",34,IF(Atletas!I517="Daoshu Opcional",35,IF(Atletas!I517="Jianshu Opcional",36,IF(Atletas!I517="Nandao Opcional",37,IF(Atletas!I517="Taijijian Opcional",38,IF(Atletas!I517="Daoshu Adulto",39,IF(Atletas!I517="Jianshu Adulto",40,IF(Atletas!I517="Nandao Adulto",41,IF(Atletas!I517="Taijijian Adulto",42,""))))))))))))))))))))))))))</f>
        <v/>
      </c>
      <c r="BH526" s="52" t="str">
        <f>IF(Atletas!J517="","",IF(Atletas!B517="Feminino",100,IF(Atletas!B517="Masculino",200,""))+(IF(Atletas!J517="Gunshu Mirim",43,IF(Atletas!J517="Qiangshu Mirim",44,IF(Atletas!J517="Nangun Mirim",45,IF(Atletas!J517="Gunshu Grupo C",46,IF(Atletas!J517="Qiangshu Grupo C",47,IF(Atletas!J517="Nangun Grupo C",48,IF(Atletas!J517="Gunshu Grupo B",49,IF(Atletas!J517="Qiangshu Grupo B",50,IF(Atletas!J517="Nangun Grupo B",51,IF(Atletas!J517="Gunshu Grupo A",52,IF(Atletas!J517="Qiangshu Grupo A",53,IF(Atletas!J517="Nangun Grupo A",54,IF(Atletas!J517="Gunshu Opcional",55,IF(Atletas!J517="Qiangshu Opcional",56,IF(Atletas!J517="Nangun Opcional",57,IF(Atletas!J517="Gunshu Adulto",58,IF(Atletas!J517="Qiangshu Adulto",59,IF(Atletas!J517="Nangun Adulto",60,IF(Atletas!J517="Taijishan Grupo B",61,IF(Atletas!J517="Taijishan Grupo A",62,""))))))))))))))))))))))</f>
        <v/>
      </c>
      <c r="BM526" s="50" t="str">
        <f>IF(Atletas!K517="","",IF(Atletas!B517="Feminino",100,IF(Atletas!B517="Masculino",200,""))+(IF(Atletas!K517="Equipe 1 Grupo B",1,IF(Atletas!K517="Equipe 2 Grupo B",2,IF(Atletas!K517="Equipe 1 Grupo A",3,IF(Atletas!K517="Equipe 2 Grupo A",4,IF(Atletas!K517="Equipe 1 Adulto",5,IF(Atletas!K517="Equipe 2 Adulto",6,""))))))))</f>
        <v/>
      </c>
      <c r="BR526" s="50" t="str">
        <f>IF(Atletas!L517="","",IF(Atletas!X517&lt;&gt;"",10000,0)+(IF(Atletas!B517="Feminino",1000,IF(Atletas!B517="Masculino",2000,""))+IF(Atletas!L517="Choylayfut A",1,IF(Atletas!L517="Hunggar A",2,IF(Atletas!L517="Wuzuquan A",3,IF(Atletas!L517="Wingchun A",4,IF(Atletas!L517="Outra Mão de Sul A",5,IF(Atletas!L517="Choylayfut B",6,IF(Atletas!L517="Hunggar B",7,IF(Atletas!L517="Wuzuquan B",8,IF(Atletas!L517="Wingchun B",9,IF(Atletas!L517="Outra Mão de Sul B",10,IF(Atletas!L517="Choylayfut C",11,IF(Atletas!L517="Hunggar C",12,IF(Atletas!L517="Wuzuquan C",13,IF(Atletas!L517="Wingchun C",14,IF(Atletas!L517="Outra Mão de Sul C",15,IF(Atletas!L517="Choylayfut D",16,IF(Atletas!L517="Hunggar D",17,IF(Atletas!L517="Wuzuquan D",18,IF(Atletas!L517="Wingchun D",19,IF(Atletas!L517="Outra Mão de Sul D",20,IF(Atletas!L517="Choylayfut E",21,IF(Atletas!L517="Hunggar E",22,IF(Atletas!L517="Wuzuquan E",23,IF(Atletas!L517="Wingchun E",24,IF(Atletas!L517="Outra Mão de Sul E",25,IF(Atletas!L517="Choylayfut F",26,IF(Atletas!L517="Hunggar F",27,IF(Atletas!L517="Wuzuquan F",28,IF(Atletas!L517="Wingchun F",29,IF(Atletas!L517="Outra Mão de Sul F",30,IF(Atletas!L517="Dishuquan A",31,IF(Atletas!L517="Dishuquan B",32,IF(Atletas!L517="Dishuquan C",33,IF(Atletas!L517="Dishuquan D",34,IF(Atletas!L517="Dishuquan E",35,IF(Atletas!L517="Dishuquan F",36,""))))))))))))))))))))))))))))))))))))))</f>
        <v/>
      </c>
      <c r="BS526" s="50" t="str">
        <f>IF(Atletas!M517="","",IF(Atletas!X517&lt;&gt;"",10000,0)+(IF(Atletas!B517="Feminino",1000,IF(Atletas!B517="Masculino",2000,""))+(IF(Atletas!M517="Chaquan A",101,IF(Atletas!M517="Emeiquan A",102,IF(Atletas!M517="Fanziquan A",103,IF(Atletas!M517="Huaquan A",104,IF(Atletas!M517="Hongquan A",105,IF(Atletas!M517="Paoquan A",106,IF(Atletas!M517="Piguaquan A",107,IF(Atletas!M517="Shaolinquan A",108,IF(Atletas!M517="Tanglangquan A",109,IF(Atletas!M517="Yingzhaoquan A",110,IF(Atletas!M517="Tongbeiquan A",111,IF(Atletas!M517="Wudangquan A",112,IF(Atletas!M517="Outros Estilos A",113,IF(Atletas!M517="Chaquan B",114,IF(Atletas!M517="Emeiquan B",115,IF(Atletas!M517="Fanziquan B",116,IF(Atletas!M517="Huaquan B",117,IF(Atletas!M517="Hongquan B",118,IF(Atletas!M517="Paoquan B",119,IF(Atletas!M517="Piguaquan B",120,IF(Atletas!M517="Shaolinquan B",121,IF(Atletas!M517="Tanglangquan B",122,IF(Atletas!M517="Yingzhaoquan B",123,IF(Atletas!M517="Tongbeiquan B",124,IF(Atletas!M517="Wudangquan B",125,IF(Atletas!M517="Outros Estilos B",126,IF(Atletas!M517="Chaquan C",127,IF(Atletas!M517="Emeiquan C",128,IF(Atletas!M517="Fanziquan C",129,IF(Atletas!M517="Huaquan C",130,IF(Atletas!M517="Hongquan C",131,IF(Atletas!M517="Paoquan C",132,IF(Atletas!M517="Piguaquan C",133,IF(Atletas!M517="Shaolinquan C",134,IF(Atletas!M517="Tanglangquan C",135,IF(Atletas!M517="Yingzhaoquan C",136,IF(Atletas!M517="Tongbeiquan C",137,IF(Atletas!M517="Wudangquan C",138,IF(Atletas!M517="Outros Estilos C",139,0))))))))))))))))))))))))))))))))))))))))))</f>
        <v/>
      </c>
      <c r="BT526" s="50" t="str">
        <f>IF(Atletas!M517="","",IF(Atletas!X517&lt;&gt;"",10000,0)+(IF(Atletas!B517="Feminino",1000,IF(Atletas!B517="Masculino",2000,""))+(IF(Atletas!M517="Chaquan D",140,IF(Atletas!M517="Emeiquan D",141,IF(Atletas!M517="Fanziquan D",142,IF(Atletas!M517="Huaquan D",143,IF(Atletas!M517="Hongquan D",144,IF(Atletas!M517="Paoquan D",145,IF(Atletas!M517="Piguaquan D",146,IF(Atletas!M517="Shaolinquan D",147,IF(Atletas!M517="Tanglangquan D",148,IF(Atletas!M517="Yingzhaoquan D",149,IF(Atletas!M517="Tongbeiquan D",150,IF(Atletas!M517="Wudangquan D",151,IF(Atletas!M517="Outros Estilos D",152,IF(Atletas!M517="Chaquan E",153,IF(Atletas!M517="Emeiquan E",154,IF(Atletas!M517="Fanziquan E",155,IF(Atletas!M517="Huaquan E",156,IF(Atletas!M517="Hongquan E",157,IF(Atletas!M517="Paoquan E",158,IF(Atletas!M517="Piguaquan E",159,IF(Atletas!M517="Shaolinquan E",160,IF(Atletas!M517="Tanglangquan E",161,IF(Atletas!M517="Yingzhaoquan E",162,IF(Atletas!M517="Tongbeiquan E",163,IF(Atletas!M517="Wudangquan E",164,IF(Atletas!M517="Outros Estilos E",165,IF(Atletas!M517="Chaquan F",166,IF(Atletas!M517="Emeiquan F",167,IF(Atletas!M517="Fanziquan F",168,IF(Atletas!M517="Huaquan F",169,IF(Atletas!M517="Hongquan F",170,IF(Atletas!M517="Paoquan F",171,IF(Atletas!M517="Piguaquan F",172,IF(Atletas!M517="Shaolinquan F",173,IF(Atletas!M517="Tanglangquan F",174,IF(Atletas!M517="Yingzhaoquan F",175,IF(Atletas!M517="Tongbeiquan F",176,IF(Atletas!M517="Wudangquan F",177,IF(Atletas!M517="Outros Estilos F",178,0))))))))))))))))))))))))))))))))))))))))))</f>
        <v/>
      </c>
      <c r="BU526" s="50" t="str">
        <f>IF(Atletas!N517="","",IF(Atletas!X517&lt;&gt;"",10000,0)+(IF(Atletas!B517="Feminino",1000,IF(Atletas!B517="Masculino",2000,""))+(IF(Atletas!N517="Ditangquan A",201,IF(Atletas!N517="Houquan A",202,IF(Atletas!N517="Zuiquan A",203,IF(Atletas!N517="Ditangquan B",204,IF(Atletas!N517="Houquan B",205,IF(Atletas!N517="Zuiquan B",206,IF(Atletas!N517="Ditangquan C",207,IF(Atletas!N517="Houquan C",208,IF(Atletas!N517="Zuiquan C",209,IF(Atletas!N517="Ditangquan D",210,IF(Atletas!N517="Houquan D",211,IF(Atletas!N517="Zuiquan D",212,IF(Atletas!N517="Ditangquan E",213,IF(Atletas!N517="Houquan E",214,IF(Atletas!N517="Zuiquan E",215,IF(Atletas!N517="Ditangquan F",216,IF(Atletas!N517="Houquan F",217,IF(Atletas!N517="Zuiquan F",218,"")))))))))))))))))))))</f>
        <v/>
      </c>
      <c r="BV526" s="50" t="str">
        <f>IF(Atletas!O517="","",IF(Atletas!X517&lt;&gt;"",10000,0)+IF(Atletas!B517="Feminino",1000,IF(Atletas!B517="Masculino",2000,""))+IF(Atletas!O517="Yang A",301,IF(Atletas!O517="Chen A",302,IF(Atletas!O517="Sun A",303,IF(Atletas!O517="Wu A",304,IF(Atletas!O517="Wu-Hao A",305,IF(Atletas!O517="Outro Taijiquan A",306,IF(Atletas!O517="Yang B",307,IF(Atletas!O517="Chen B",308,IF(Atletas!O517="Sun B",309,IF(Atletas!O517="Wu B",310,IF(Atletas!O517="Wu-Hao B",311,IF(Atletas!O517="Outro Taijiquan B",312,IF(Atletas!O517="Yang C",313,IF(Atletas!O517="Chen C",314,IF(Atletas!O517="Sun C",315,IF(Atletas!O517="Wu C",316,IF(Atletas!O517="Wu-Hao C",317,IF(Atletas!O517="Outro Taijiquan C",318,IF(Atletas!O517="Yang D",319,IF(Atletas!O517="Chen D",320,IF(Atletas!O517="Sun D",321,IF(Atletas!O517="Wu D",322,IF(Atletas!O517="Wu-Hao D",323,IF(Atletas!O517="Outro Taijiquan D",324,IF(Atletas!O517="Yang E",325,IF(Atletas!O517="Chen E",326,IF(Atletas!O517="Sun E",327,IF(Atletas!O517="Wu E",328,IF(Atletas!O517="Wu-Hao E",329,IF(Atletas!O517="Outro Taijiquan E",330,IF(Atletas!O517="Yang F",331,IF(Atletas!O517="Chen F",332,IF(Atletas!O517="Sun F",333,IF(Atletas!O517="Wu F",334,IF(Atletas!O517="Wu-Hao F",335,IF(Atletas!O517="Outro Taijiquan F",336,"")))))))))))))))))))))))))))))))))))))</f>
        <v/>
      </c>
      <c r="BW526" s="50" t="str">
        <f>IF(Atletas!P517="","",IF(Atletas!X517&lt;&gt;"",10000,0)+IF(Atletas!B517="Feminino",1000,IF(Atletas!B517="Masculino",2000,""))+IF(OR(Atletas!P517="Yang 26 A",Atletas!P517="Yang 40 A"),401,IF(OR(Atletas!P517="Chen 25 A",Atletas!P517="Chen 36 A",Atletas!P517="Chen 56 A"),402,IF(Atletas!P517="Sun 73 A",403,IF(Atletas!P517="Wu 45 A",404,IF(Atletas!P517="Wu-Hao 46 A",405,IF(OR(Atletas!P517="Taijiquan 16 A",Atletas!P517="Taijiquan 24 A",Atletas!P517="Taijiquan 32 A",Atletas!P517="Taijiquan 42 A"),406,IF(OR(Atletas!P517="Yang 26 B",Atletas!P517="Yang 40 B"),407,IF(OR(Atletas!P517="Chen 25 B",Atletas!P517="Chen 36 B",Atletas!P517="Chen 56 B"),408,IF(Atletas!P517="Sun 73 B",409,IF(Atletas!P517="Wu 45 B",410,IF(Atletas!P517="Wu-Hao 46 B",411,IF(OR(Atletas!P517="Taijiquan 16 B",Atletas!P517="Taijiquan 24 B",Atletas!P517="Taijiquan 32 B",Atletas!P517="Taijiquan 42 B"),412,IF(OR(Atletas!P517="Yang 26 C",Atletas!P517="Yang 40 C"),413,IF(OR(Atletas!P517="Chen 25 C",Atletas!P517="Chen 36 C",Atletas!P517="Chen 56 C"),414,IF(Atletas!P517="Sun 73 C",415,IF(Atletas!P517="Wu 45 C",416,IF(Atletas!P517="Wu-Hao 46 C",417,IF(OR(Atletas!P517="Taijiquan 16 C",Atletas!P517="Taijiquan 24 C",Atletas!P517="Taijiquan 32 C",Atletas!P517="Taijiquan 42 C"),418,0)))))))))))))))))))</f>
        <v/>
      </c>
      <c r="BX526" s="50" t="str">
        <f>IF(Atletas!P517="","",IF(Atletas!X517&lt;&gt;"",10000,0)+IF(Atletas!B517="Feminino",1000,IF(Atletas!B517="Masculino",2000,""))+IF(OR(Atletas!P517="Yang 26 D",Atletas!P517="Yang 40 D"),419,IF(OR(Atletas!P517="Chen 25 D",Atletas!P517="Chen 36 D",Atletas!P517="Chen 56 D"),420,IF(Atletas!P517="Sun 73 D",421,IF(Atletas!P517="Wu 45 D",422,IF(Atletas!P517="Wu-Hao 46 D",423,IF(OR(Atletas!P517="Taijiquan 16 D",Atletas!P517="Taijiquan 24 D",Atletas!P517="Taijiquan 32 D",Atletas!P517="Taijiquan 42 D"),424,IF(OR(Atletas!P517="Yang 26 E",Atletas!P517="Yang 40 E"),425,IF(OR(Atletas!P517="Chen 25 E",Atletas!P517="Chen 36 E",Atletas!P517="Chen 56 E"),426,IF(Atletas!P517="Sun 73 E",427,IF(Atletas!P517="Wu 45 E",428,IF(Atletas!P517="Wu-Hao 46 E",429,IF(OR(Atletas!P517="Taijiquan 16 E",Atletas!P517="Taijiquan 24 E",Atletas!P517="Taijiquan 32 E",Atletas!P517="Taijiquan 42 E"),430,IF(OR(Atletas!P517="Yang 26 F",Atletas!P517="Yang 40 F"),431,IF(OR(Atletas!P517="Chen 25 F",Atletas!P517="Chen 36 F",Atletas!P517="Chen 56 F"),432,IF(Atletas!P517="Sun 73 F",433,IF(Atletas!P517="Wu 45 F",434,IF(Atletas!P517="Wu-Hao 46 F",435,IF(OR(Atletas!P517="Taijiquan 16 F",Atletas!P517="Taijiquan 24 F",Atletas!P517="Taijiquan 32 F",Atletas!P517="Taijiquan 42 F"),436,0)))))))))))))))))))</f>
        <v/>
      </c>
      <c r="BY526" s="50" t="str">
        <f>IF(Atletas!Q517="","",IF(Atletas!X517&lt;&gt;"",10000,0)+IF(Atletas!B517="Feminino",1000,IF(Atletas!B517="Masculino",2000,""))+IF(Atletas!Q517="Xingyiquan A",501,IF(Atletas!Q517="Baguazhang A",502,IF(Atletas!Q517="Outro Estilo Interno A",503,IF(Atletas!Q517="Xingyiquan B",504,IF(Atletas!Q517="Baguazhang B",505,IF(Atletas!Q517="Outro Estilo Interno B",506,IF(Atletas!Q517="Xingyiquan C",507,IF(Atletas!Q517="Baguazhang C",508,IF(Atletas!Q517="Outro Estilo Interno C",509,IF(Atletas!Q517="Xingyiquan D",510,IF(Atletas!Q517="Baguazhang D",511,IF(Atletas!Q517="Outro Estilo Interno D",512,IF(Atletas!Q517="Xingyiquan E",513,IF(Atletas!Q517="Baguazhang E",514,IF(Atletas!Q517="Outro Estilo Interno E",515,IF(Atletas!Q517="Xingyiquan F",516,IF(Atletas!Q517="Baguazhang F",517,IF(Atletas!Q517="Outro Estilo Interno F",518, "")))))))))))))))))))</f>
        <v/>
      </c>
      <c r="BZ526" s="50" t="str">
        <f>IF(Atletas!R517="","",IF(Atletas!X517&lt;&gt;"",10000,0)+IF(Atletas!B517="Feminino",1000,IF(Atletas!B517="Masculino",2000,""))+IF(Atletas!R517="Dao A",601,IF(Atletas!R517="Jian A",602,IF(Atletas!R517="Bishou A",603,IF(Atletas!R517="Shanzi A",604,IF(Atletas!R517="Outra Arma Curta A",605,IF(Atletas!R517="Dao B",606,IF(Atletas!R517="Jian B",607,IF(Atletas!R517="Bishou B",608,IF(Atletas!R517="Shanzi B",609,IF(Atletas!R517="Outra Arma Curta B",610,IF(Atletas!R517="Dao C",611,IF(Atletas!R517="Jian C",612,IF(Atletas!R517="Bishou C",613,IF(Atletas!R517="Shanzi C",614,IF(Atletas!R517="Outra Arma Curta C",615,IF(Atletas!R517="Dao D",616,IF(Atletas!R517="Jian D",617,IF(Atletas!R517="Bishou D",618,IF(Atletas!R517="Shanzi D",619,IF(Atletas!R517="Outra Arma Curta D",620,IF(Atletas!R517="Dao E",621,IF(Atletas!R517="Jian E",622,IF(Atletas!R517="Bishou E",623,IF(Atletas!R517="Shanzi E",624,IF(Atletas!R517="Outra Arma Curta E",625,IF(Atletas!R517="Dao F",626,IF(Atletas!R517="Jian F",627,IF(Atletas!R517="Bishou F",628,IF(Atletas!R517="Shanzi F",629,IF(Atletas!R517="Outra Arma Curta F",630, "")))))))))))))))))))))))))))))))</f>
        <v/>
      </c>
      <c r="CA526" s="50" t="str">
        <f>IF(Atletas!S517="","",IF(Atletas!X517&lt;&gt;"",10000,0)+IF(Atletas!B517="Feminino",1000,IF(Atletas!B517="Masculino",2000,""))+IF(Atletas!S517="Gun A",701,IF(Atletas!S517="Qiang A",702,IF(Atletas!S517="Pudao / Guandao A",703,IF(Atletas!S517="Outra Arma Longa A",704,IF(Atletas!S517="Gun B",705,IF(Atletas!S517="Qiang B",706,IF(Atletas!S517="Pudao / Guandao B",707,IF(Atletas!S517="Outra Arma Longa B",708,IF(Atletas!S517="Gun C",709,IF(Atletas!S517="Qiang C",710,IF(Atletas!S517="Pudao / Guandao C",711,IF(Atletas!S517="Outra Arma Longa C",712,IF(Atletas!S517="Gun D",713,IF(Atletas!S517="Qiang D",714,IF(Atletas!S517="Pudao / Guandao D",715,IF(Atletas!S517="Outra Arma Longa D",716,IF(Atletas!S517="Gun E",717,IF(Atletas!S517="Qiang E",718,IF(Atletas!S517="Pudao / Guandao E",719,IF(Atletas!S517="Outra Arma Longa E",720,IF(Atletas!S517="Gun F",721,IF(Atletas!S517="Qiang F",722,IF(Atletas!S517="Pudao / Guandao F",723,IF(Atletas!S517="Outra Arma Longa F",724,"")))))))))))))))))))))))))</f>
        <v/>
      </c>
      <c r="CB526" s="50" t="str">
        <f>IF(Atletas!T517="","",IF(Atletas!X517&lt;&gt;"",10000,0)+IF(Atletas!B517="Feminino",1000,IF(Atletas!B517="Masculino",2000,""))+IF(Atletas!T517="Outra Arma Dupla A",801,IF(Atletas!T517="Arma Maleável A",802,IF(Atletas!T517="Outra Arma Dupla B",803,IF(Atletas!T517="Arma Maleável B",804,IF(Atletas!T517="Outra Arma Dupla C",805,IF(Atletas!T517="Arma Maleável C",806,IF(Atletas!T517="Outra Arma Dupla D",807,IF(Atletas!T517="Arma Maleável D",808,IF(Atletas!T517="Outra Arma Dupla E",809,IF(Atletas!T517="Arma Maleável E",810,IF(Atletas!T517="Outra Arma Dupla F",811,IF(Atletas!T517="Arma Maleável F",812,IF(Atletas!T517="Shuangdao A",813,IF(Atletas!T517="Shuangdao B",814,IF(Atletas!T517="Shuangdao C",815,IF(Atletas!T517="Shuangdao D",816,IF(Atletas!T517="Shuangdao E",817,IF(Atletas!T517="Shuangdao F",818,"")))))))))))))))))))</f>
        <v/>
      </c>
      <c r="CC526" s="50" t="str">
        <f>IF(Atletas!U517="","",IF(Atletas!X517&lt;&gt;"",10000,0)+IF(Atletas!B517="Feminino",1000,IF(Atletas!B517="Masculino",2000,""))+IF(OR(Atletas!U517="Taijijian Yang A",Atletas!U517="Taijijian Yang Standard A"),901,IF(OR(Atletas!U517="Taijijian Chen A", Atletas!U517="Taijijian Chen Standard A"),902,IF(Atletas!U517="Taijijian Sun A",903,IF(Atletas!U517="Taijijian Wu A",904,IF(Atletas!U517="Taijijian Wu-Hao A",905,IF(OR(Atletas!U517="Taijijian 32 A",Atletas!U517="Taijijian 42 A"),906,IF(OR(Atletas!U517="Taijijian Yang B",Atletas!U517="Taijijian Yang Standard B"),907,IF(OR(Atletas!U517="Taijijian Chen B", Atletas!U517="Taijijian Chen Standard B"),908,IF(Atletas!U517="Taijijian Sun B",909,IF(Atletas!U517="Taijijian Wu B",910,IF(Atletas!U517="Taijijian Wu-Hao B",911,IF(OR(Atletas!U517="Taijijian 32 B",Atletas!U517="Taijijian 42 B"),912,IF(OR(Atletas!U517="Taijijian Yang C",Atletas!U517="Taijijian Yang Standard C"),913,IF(OR(Atletas!U517="Taijijian Chen C", Atletas!U517="Taijijian Chen Standard C"),914,IF(Atletas!U517="Taijijian Sun C",915,IF(Atletas!U517="Taijijian Wu C",916,IF(Atletas!U517="Taijijian Wu-Hao C",917,IF(OR(Atletas!U517="Taijijian 32 C",Atletas!U517="Taijijian 42 C"),918,IF(OR(Atletas!U517="Taijijian Yang D",Atletas!U517="Taijijian Yang Standard D"),919,IF(OR(Atletas!U517="Taijijian Chen D", Atletas!U517="Taijijian Chen Standard D"),920,IF(Atletas!U517="Taijijian Sun D",921,IF(Atletas!U517="Taijijian Wu D",922,IF(Atletas!U517="Taijijian Wu-Hao D",923,IF(OR(Atletas!U517="Taijijian 32 D",Atletas!U517="Taijijian 42 D"),924,IF(OR(Atletas!U517="Taijijian Yang E",Atletas!U517="Taijijian Yang Standard E"),925,IF(OR(Atletas!U517="Taijijian Chen E", Atletas!U517="Taijijian Chen Standard E"),926,IF(Atletas!U517="Taijijian Sun E",927,IF(Atletas!U517="Taijijian Wu E",928,IF(Atletas!U517="Taijijian Wu-Hao E",929,IF(OR(Atletas!U517="Taijijian 32 E",Atletas!U517="Taijijian 42 E"),930,IF(OR(Atletas!U517="Taijijian Yang F",Atletas!U517="Taijijian Yang Standard F"),931,IF(OR(Atletas!U517="Taijijian Chen F", Atletas!U517="Taijijian Chen Standard F"),932,IF(Atletas!U517="Taijijian Sun F",933,IF(Atletas!U517="Taijijian Wu F",934,IF(Atletas!U517="Taijijian Wu-Hao F",935,IF(OR(Atletas!U517="Taijijian 32 F",Atletas!U517="Taijijian 42 F"),936,"")))))))))))))))))))))))))))))))))))))</f>
        <v/>
      </c>
      <c r="CD526" s="50" t="str">
        <f>IF(Atletas!V517="","",IF(Atletas!X517&lt;&gt;"",10000,0)+IF(Atletas!B517="Feminino",1000,IF(Atletas!B517="Masculino",2000,""))+IF(Atletas!V517="Taijidao A",937,IF(Atletas!V517="TaijiShanzi A",938,IF(Atletas!V517="Taijiqiang A",939,IF(Atletas!V517="Bagua de Arma A",940,IF(Atletas!V517="Xingyi de Arma A",941,IF(Atletas!V517="Taijidao B",942,IF(Atletas!V517="TaijiShanzi B",943,IF(Atletas!V517="Taijiqiang B",944,IF(Atletas!V517="Bagua de Arma B",945,IF(Atletas!V517="Xingyi de Arma B",946,IF(Atletas!V517="Taijidao C",947,IF(Atletas!V517="TaijiShanzi C",948,IF(Atletas!V517="Taijiqiang C",949,IF(Atletas!V517="Bagua de Arma C",950,IF(Atletas!V517="Xingyi de Arma C",951,IF(Atletas!V517="Taijidao D",952,IF(Atletas!V517="TaijiShanzi D",953,IF(Atletas!V517="Taijiqiang D",954,IF(Atletas!V517="Bagua de Arma D",955,IF(Atletas!V517="Xingyi de Arma D",956,IF(Atletas!V517="Taijidao E",957,IF(Atletas!V517="TaijiShanzi E",958,IF(Atletas!V517="Taijiqiang E",959,IF(Atletas!V517="Bagua de Arma E",960,IF(Atletas!V517="Xingyi de Arma E",961,IF(Atletas!V517="Taijidao F",962,IF(Atletas!V517="TaijiShanzi F",963,IF(Atletas!V517="Taijiqiang F",964,IF(Atletas!V517="Bagua de Arma F",965,IF(Atletas!V517="Xingyi de Arma F",966,"")))))))))))))))))))))))))))))))</f>
        <v/>
      </c>
      <c r="CM526" s="50" t="str">
        <f xml:space="preserve"> IF(Atletas!W517="","",IF(Atletas!W517="Duilian de Mãos BC - Equipe 1",1,IF(Atletas!W517="Duilian de Mãos BC - Equipe 2",2,IF(Atletas!W517="Duilian de Armas BC - Equipe 1",3,IF(Atletas!W517="Duilian de Armas BC - Equipe 2",4,IF(Atletas!W517="Duilian de Mãos DE - Equipe 1",5,IF(Atletas!W517="Duilian de Mãos DE - Equipe 2",6,IF(Atletas!W517="Duilian de Armas DE - Equipe 1",7,IF(Atletas!W517="Duilian de Armas DE - Equipe 2",8,IF(Atletas!W517="Duilian de Tuishou - Equipe 1",9,IF(Atletas!W517="Duilian de Tuishou - Equipe 2",10,IF(Atletas!W517="Grupo Externo ABC - Equipe 1",11,IF(Atletas!W517="Grupo Externo ABC - Equipe 2",12,IF(Atletas!W517="Grupo Interno ABC - Equipe 1",13,IF(Atletas!W517="Grupo Interno ABC - Equipe 2",14,IF(Atletas!W517="Grupo Externo DEF - Equipe 1",15,IF(Atletas!W517="Grupo Externo DEF - Equipe 2",16,IF(Atletas!W517="Grupo Interno DEF - Equipe 1",17,IF(Atletas!W517="Grupo Interno DEF - Equipe 2",18,"")))))))))))))))))))</f>
        <v/>
      </c>
    </row>
    <row r="527" spans="40:91">
      <c r="AN527" s="52" t="str">
        <f>IF(Atletas!D518="","",IF(Atletas!B518="Feminino",100,IF(Atletas!B518="Masculino",200,""))+(IF(Atletas!D518="Kids 30kg",1,IF(Atletas!D518="Kids 32kg",2, IF(Atletas!D518="Kids 34kg",3,IF(Atletas!D518="Kids 36kg",4,IF(Atletas!D518="Kids 39kg",5,IF(Atletas!D518="Kids 42kg",6,IF(Atletas!D518="Kids 45kg",7, IF(Atletas!D518="Infantil 39kg",8,IF(Atletas!D518="Infantil 42kg",9,IF(Atletas!D518="Infantil 45kg",10,IF(Atletas!D518="Infantil 48kg",11,IF(Atletas!D518="Infantil 52kg",12,IF(Atletas!D518="Infantil 56kg",13,IF(Atletas!D518="Infantil 60kg",14,IF(Atletas!D518="Juvenil 48kg",15,IF(Atletas!D518="Juvenil 52kg",16,IF(Atletas!D518="Juvenil 56kg",17,IF(Atletas!D518="Juvenil 60kg",18,IF(Atletas!D518="Juvenil 65kg",19,IF(Atletas!D518="Juvenil 70kg",20,IF(Atletas!D518="Juvenil 75kg",21,IF(Atletas!D518="Juvenil 80kg",22, IF(Atletas!D518="Juvenil 85kg",23,IF(Atletas!D518="Adulto 48kg",24,IF(Atletas!D518="Adulto 52kg",25,IF(Atletas!D518="Adulto 56kg",26,IF(Atletas!D518="Adulto 60kg",27,IF(Atletas!D518="Adulto 65kg",28,IF(Atletas!D518="Adulto 70kg",29,IF(Atletas!D518="Adulto 75kg",30,IF(Atletas!D518="Adulto 80kg",31,IF(Atletas!D518="Adulto 85kg",32,IF(Atletas!D518="Adulto 90kg",33,IF(Atletas!D518="Adulto 100kg",34, IF(Atletas!D518="Adulto +100kg",35,"")))))))))))))))))))))))))))))))))))))</f>
        <v/>
      </c>
      <c r="AS527" s="6" t="str">
        <f>IF(Atletas!E518="","",IF(Atletas!B518="Feminino",100,IF(Atletas!B518="Masculino",200,""))+(IF(Atletas!E518="Juvenil 44kg",1,IF(Atletas!E518="Juvenil 48kg",2,IF(Atletas!E518="Juvenil 52kg",3,IF(Atletas!E518="Juvenil 56kg",4,IF(Atletas!E518="Juvenil 60kg",5,IF(Atletas!E518="Juvenil 65kg",6,IF(Atletas!E518="Juvenil 70kg",7,IF(Atletas!E518="Juvenil 75kg",8,IF(Atletas!E518="Juvenil 82kg",9,IF(Atletas!E518="Juvenil 90kg",10,IF(Atletas!E518="Juvenil 100kg",11,IF(Atletas!E518="Adulto 48kg",12,IF(Atletas!E518="Adulto 52kg",13,IF(Atletas!E518="Adulto 56kg",14,IF(Atletas!E518="Adulto 60kg",15,IF(Atletas!E518="Adulto 65kg",16,IF(Atletas!E518="Adulto 70kg",17,IF(Atletas!E518="Adulto 75kg",18,IF(Atletas!E518="Adulto 82kg",19,IF(Atletas!E518="Adulto 90kg",20,IF(Atletas!E518="Adulto 100kg",21,IF(Atletas!E518="Adulto +100kg",22,""))))))))))))))))))))))))</f>
        <v/>
      </c>
      <c r="AX527" s="6" t="str">
        <f>IF(Atletas!F518="","",IF(Atletas!B518="Feminino",100,IF(Atletas!B518="Masculino",200,""))+(IF(Atletas!F518="Adulto 48kg",1,IF(Atletas!F518="Adulto 56kg",2,IF(Atletas!F518="Adulto 65kg",3,IF(Atletas!F518="Adulto 75kg",4,IF(Atletas!F518="Adulto +75kg",5,IF(Atletas!F518="Adulto 52kg",6,IF(Atletas!F518="Adulto 60kg",7,IF(Atletas!F518="Adulto 70kg",8,IF(Atletas!F518="Adulto 80kg",9,IF(Atletas!F518="Adulto 90kg",10,IF(Atletas!F518="Adulto +90kg",11,"")))))))))))))</f>
        <v/>
      </c>
      <c r="BC527" s="6" t="str">
        <f>IF(Atletas!G518="","",IF(Atletas!B518="Feminino",10,IF(Atletas!B518="Masculino",20,""))+(IF(Atletas!G518="Baduanjin A",1,IF(Atletas!G518="Baduanjin B",2))))</f>
        <v/>
      </c>
      <c r="BF527" s="52" t="str">
        <f>IF(Atletas!H518="","",IF(Atletas!B518="Feminino",100,IF(Atletas!B518="Masculino",200,""))+(IF(Atletas!H518="Changquan Mirim",1,IF(Atletas!H518="Nanquan Mirim",2,IF(Atletas!H518="Taijiquan Mirim",3,IF(Atletas!H518="Changquan Grupo C",4,IF(Atletas!H518="Nanquan Grupo C",5,IF(Atletas!H518="Taijiquan Grupo C",6,IF(Atletas!H518="Changquan Grupo B",7,IF(Atletas!H518="Nanquan Grupo B",8,IF(Atletas!H518="Taijiquan Grupo B",9,IF(Atletas!H518="Changquan Grupo A",10,IF(Atletas!H518="Nanquan Grupo A",11,IF(Atletas!H518="Taijiquan Grupo A",12,IF(Atletas!H518="Changquan Opcional",13,IF(Atletas!H518="Nanquan Opcional",14,IF(Atletas!H518="Taijiquan Opcional",15,IF(Atletas!H518="Changquan Adulto",16,IF(Atletas!H518="Nanquan Adulto",17,IF(Atletas!H518="Taijiquan Adulto",18,""))))))))))))))))))))</f>
        <v/>
      </c>
      <c r="BG527" s="52" t="str">
        <f>IF(Atletas!I518="","",IF(Atletas!B518="Feminino",100,IF(Atletas!B518="Masculino",200,""))+(IF(Atletas!I518="Daoshu Mirim",19,IF(Atletas!I518="Jianshu Mirim",20,IF(Atletas!I518="Nandao Mirim",21,IF(Atletas!I518="Taijijian Mirim",22,IF(Atletas!I518="Daoshu Grupo C",23,IF(Atletas!I518="Jianshu Grupo C",24,IF(Atletas!I518="Nandao Grupo C",25,IF(Atletas!I518="Taijijian Grupo C",26,IF(Atletas!I518="Daoshu Grupo B",27,IF(Atletas!I518="Jianshu Grupo B",28,IF(Atletas!I518="Nandao Grupo B",29,IF(Atletas!I518="Taijijian Grupo B",30,IF(Atletas!I518="Daoshu Grupo A",31,IF(Atletas!I518="Jianshu Grupo A",32,IF(Atletas!I518="Nandao Grupo A",33,IF(Atletas!I518="Taijijian Grupo A",34,IF(Atletas!I518="Daoshu Opcional",35,IF(Atletas!I518="Jianshu Opcional",36,IF(Atletas!I518="Nandao Opcional",37,IF(Atletas!I518="Taijijian Opcional",38,IF(Atletas!I518="Daoshu Adulto",39,IF(Atletas!I518="Jianshu Adulto",40,IF(Atletas!I518="Nandao Adulto",41,IF(Atletas!I518="Taijijian Adulto",42,""))))))))))))))))))))))))))</f>
        <v/>
      </c>
      <c r="BH527" s="52" t="str">
        <f>IF(Atletas!J518="","",IF(Atletas!B518="Feminino",100,IF(Atletas!B518="Masculino",200,""))+(IF(Atletas!J518="Gunshu Mirim",43,IF(Atletas!J518="Qiangshu Mirim",44,IF(Atletas!J518="Nangun Mirim",45,IF(Atletas!J518="Gunshu Grupo C",46,IF(Atletas!J518="Qiangshu Grupo C",47,IF(Atletas!J518="Nangun Grupo C",48,IF(Atletas!J518="Gunshu Grupo B",49,IF(Atletas!J518="Qiangshu Grupo B",50,IF(Atletas!J518="Nangun Grupo B",51,IF(Atletas!J518="Gunshu Grupo A",52,IF(Atletas!J518="Qiangshu Grupo A",53,IF(Atletas!J518="Nangun Grupo A",54,IF(Atletas!J518="Gunshu Opcional",55,IF(Atletas!J518="Qiangshu Opcional",56,IF(Atletas!J518="Nangun Opcional",57,IF(Atletas!J518="Gunshu Adulto",58,IF(Atletas!J518="Qiangshu Adulto",59,IF(Atletas!J518="Nangun Adulto",60,IF(Atletas!J518="Taijishan Grupo B",61,IF(Atletas!J518="Taijishan Grupo A",62,""))))))))))))))))))))))</f>
        <v/>
      </c>
      <c r="BM527" s="50" t="str">
        <f>IF(Atletas!K518="","",IF(Atletas!B518="Feminino",100,IF(Atletas!B518="Masculino",200,""))+(IF(Atletas!K518="Equipe 1 Grupo B",1,IF(Atletas!K518="Equipe 2 Grupo B",2,IF(Atletas!K518="Equipe 1 Grupo A",3,IF(Atletas!K518="Equipe 2 Grupo A",4,IF(Atletas!K518="Equipe 1 Adulto",5,IF(Atletas!K518="Equipe 2 Adulto",6,""))))))))</f>
        <v/>
      </c>
      <c r="BR527" s="50" t="str">
        <f>IF(Atletas!L518="","",IF(Atletas!X518&lt;&gt;"",10000,0)+(IF(Atletas!B518="Feminino",1000,IF(Atletas!B518="Masculino",2000,""))+IF(Atletas!L518="Choylayfut A",1,IF(Atletas!L518="Hunggar A",2,IF(Atletas!L518="Wuzuquan A",3,IF(Atletas!L518="Wingchun A",4,IF(Atletas!L518="Outra Mão de Sul A",5,IF(Atletas!L518="Choylayfut B",6,IF(Atletas!L518="Hunggar B",7,IF(Atletas!L518="Wuzuquan B",8,IF(Atletas!L518="Wingchun B",9,IF(Atletas!L518="Outra Mão de Sul B",10,IF(Atletas!L518="Choylayfut C",11,IF(Atletas!L518="Hunggar C",12,IF(Atletas!L518="Wuzuquan C",13,IF(Atletas!L518="Wingchun C",14,IF(Atletas!L518="Outra Mão de Sul C",15,IF(Atletas!L518="Choylayfut D",16,IF(Atletas!L518="Hunggar D",17,IF(Atletas!L518="Wuzuquan D",18,IF(Atletas!L518="Wingchun D",19,IF(Atletas!L518="Outra Mão de Sul D",20,IF(Atletas!L518="Choylayfut E",21,IF(Atletas!L518="Hunggar E",22,IF(Atletas!L518="Wuzuquan E",23,IF(Atletas!L518="Wingchun E",24,IF(Atletas!L518="Outra Mão de Sul E",25,IF(Atletas!L518="Choylayfut F",26,IF(Atletas!L518="Hunggar F",27,IF(Atletas!L518="Wuzuquan F",28,IF(Atletas!L518="Wingchun F",29,IF(Atletas!L518="Outra Mão de Sul F",30,IF(Atletas!L518="Dishuquan A",31,IF(Atletas!L518="Dishuquan B",32,IF(Atletas!L518="Dishuquan C",33,IF(Atletas!L518="Dishuquan D",34,IF(Atletas!L518="Dishuquan E",35,IF(Atletas!L518="Dishuquan F",36,""))))))))))))))))))))))))))))))))))))))</f>
        <v/>
      </c>
      <c r="BS527" s="50" t="str">
        <f>IF(Atletas!M518="","",IF(Atletas!X518&lt;&gt;"",10000,0)+(IF(Atletas!B518="Feminino",1000,IF(Atletas!B518="Masculino",2000,""))+(IF(Atletas!M518="Chaquan A",101,IF(Atletas!M518="Emeiquan A",102,IF(Atletas!M518="Fanziquan A",103,IF(Atletas!M518="Huaquan A",104,IF(Atletas!M518="Hongquan A",105,IF(Atletas!M518="Paoquan A",106,IF(Atletas!M518="Piguaquan A",107,IF(Atletas!M518="Shaolinquan A",108,IF(Atletas!M518="Tanglangquan A",109,IF(Atletas!M518="Yingzhaoquan A",110,IF(Atletas!M518="Tongbeiquan A",111,IF(Atletas!M518="Wudangquan A",112,IF(Atletas!M518="Outros Estilos A",113,IF(Atletas!M518="Chaquan B",114,IF(Atletas!M518="Emeiquan B",115,IF(Atletas!M518="Fanziquan B",116,IF(Atletas!M518="Huaquan B",117,IF(Atletas!M518="Hongquan B",118,IF(Atletas!M518="Paoquan B",119,IF(Atletas!M518="Piguaquan B",120,IF(Atletas!M518="Shaolinquan B",121,IF(Atletas!M518="Tanglangquan B",122,IF(Atletas!M518="Yingzhaoquan B",123,IF(Atletas!M518="Tongbeiquan B",124,IF(Atletas!M518="Wudangquan B",125,IF(Atletas!M518="Outros Estilos B",126,IF(Atletas!M518="Chaquan C",127,IF(Atletas!M518="Emeiquan C",128,IF(Atletas!M518="Fanziquan C",129,IF(Atletas!M518="Huaquan C",130,IF(Atletas!M518="Hongquan C",131,IF(Atletas!M518="Paoquan C",132,IF(Atletas!M518="Piguaquan C",133,IF(Atletas!M518="Shaolinquan C",134,IF(Atletas!M518="Tanglangquan C",135,IF(Atletas!M518="Yingzhaoquan C",136,IF(Atletas!M518="Tongbeiquan C",137,IF(Atletas!M518="Wudangquan C",138,IF(Atletas!M518="Outros Estilos C",139,0))))))))))))))))))))))))))))))))))))))))))</f>
        <v/>
      </c>
      <c r="BT527" s="50" t="str">
        <f>IF(Atletas!M518="","",IF(Atletas!X518&lt;&gt;"",10000,0)+(IF(Atletas!B518="Feminino",1000,IF(Atletas!B518="Masculino",2000,""))+(IF(Atletas!M518="Chaquan D",140,IF(Atletas!M518="Emeiquan D",141,IF(Atletas!M518="Fanziquan D",142,IF(Atletas!M518="Huaquan D",143,IF(Atletas!M518="Hongquan D",144,IF(Atletas!M518="Paoquan D",145,IF(Atletas!M518="Piguaquan D",146,IF(Atletas!M518="Shaolinquan D",147,IF(Atletas!M518="Tanglangquan D",148,IF(Atletas!M518="Yingzhaoquan D",149,IF(Atletas!M518="Tongbeiquan D",150,IF(Atletas!M518="Wudangquan D",151,IF(Atletas!M518="Outros Estilos D",152,IF(Atletas!M518="Chaquan E",153,IF(Atletas!M518="Emeiquan E",154,IF(Atletas!M518="Fanziquan E",155,IF(Atletas!M518="Huaquan E",156,IF(Atletas!M518="Hongquan E",157,IF(Atletas!M518="Paoquan E",158,IF(Atletas!M518="Piguaquan E",159,IF(Atletas!M518="Shaolinquan E",160,IF(Atletas!M518="Tanglangquan E",161,IF(Atletas!M518="Yingzhaoquan E",162,IF(Atletas!M518="Tongbeiquan E",163,IF(Atletas!M518="Wudangquan E",164,IF(Atletas!M518="Outros Estilos E",165,IF(Atletas!M518="Chaquan F",166,IF(Atletas!M518="Emeiquan F",167,IF(Atletas!M518="Fanziquan F",168,IF(Atletas!M518="Huaquan F",169,IF(Atletas!M518="Hongquan F",170,IF(Atletas!M518="Paoquan F",171,IF(Atletas!M518="Piguaquan F",172,IF(Atletas!M518="Shaolinquan F",173,IF(Atletas!M518="Tanglangquan F",174,IF(Atletas!M518="Yingzhaoquan F",175,IF(Atletas!M518="Tongbeiquan F",176,IF(Atletas!M518="Wudangquan F",177,IF(Atletas!M518="Outros Estilos F",178,0))))))))))))))))))))))))))))))))))))))))))</f>
        <v/>
      </c>
      <c r="BU527" s="50" t="str">
        <f>IF(Atletas!N518="","",IF(Atletas!X518&lt;&gt;"",10000,0)+(IF(Atletas!B518="Feminino",1000,IF(Atletas!B518="Masculino",2000,""))+(IF(Atletas!N518="Ditangquan A",201,IF(Atletas!N518="Houquan A",202,IF(Atletas!N518="Zuiquan A",203,IF(Atletas!N518="Ditangquan B",204,IF(Atletas!N518="Houquan B",205,IF(Atletas!N518="Zuiquan B",206,IF(Atletas!N518="Ditangquan C",207,IF(Atletas!N518="Houquan C",208,IF(Atletas!N518="Zuiquan C",209,IF(Atletas!N518="Ditangquan D",210,IF(Atletas!N518="Houquan D",211,IF(Atletas!N518="Zuiquan D",212,IF(Atletas!N518="Ditangquan E",213,IF(Atletas!N518="Houquan E",214,IF(Atletas!N518="Zuiquan E",215,IF(Atletas!N518="Ditangquan F",216,IF(Atletas!N518="Houquan F",217,IF(Atletas!N518="Zuiquan F",218,"")))))))))))))))))))))</f>
        <v/>
      </c>
      <c r="BV527" s="50" t="str">
        <f>IF(Atletas!O518="","",IF(Atletas!X518&lt;&gt;"",10000,0)+IF(Atletas!B518="Feminino",1000,IF(Atletas!B518="Masculino",2000,""))+IF(Atletas!O518="Yang A",301,IF(Atletas!O518="Chen A",302,IF(Atletas!O518="Sun A",303,IF(Atletas!O518="Wu A",304,IF(Atletas!O518="Wu-Hao A",305,IF(Atletas!O518="Outro Taijiquan A",306,IF(Atletas!O518="Yang B",307,IF(Atletas!O518="Chen B",308,IF(Atletas!O518="Sun B",309,IF(Atletas!O518="Wu B",310,IF(Atletas!O518="Wu-Hao B",311,IF(Atletas!O518="Outro Taijiquan B",312,IF(Atletas!O518="Yang C",313,IF(Atletas!O518="Chen C",314,IF(Atletas!O518="Sun C",315,IF(Atletas!O518="Wu C",316,IF(Atletas!O518="Wu-Hao C",317,IF(Atletas!O518="Outro Taijiquan C",318,IF(Atletas!O518="Yang D",319,IF(Atletas!O518="Chen D",320,IF(Atletas!O518="Sun D",321,IF(Atletas!O518="Wu D",322,IF(Atletas!O518="Wu-Hao D",323,IF(Atletas!O518="Outro Taijiquan D",324,IF(Atletas!O518="Yang E",325,IF(Atletas!O518="Chen E",326,IF(Atletas!O518="Sun E",327,IF(Atletas!O518="Wu E",328,IF(Atletas!O518="Wu-Hao E",329,IF(Atletas!O518="Outro Taijiquan E",330,IF(Atletas!O518="Yang F",331,IF(Atletas!O518="Chen F",332,IF(Atletas!O518="Sun F",333,IF(Atletas!O518="Wu F",334,IF(Atletas!O518="Wu-Hao F",335,IF(Atletas!O518="Outro Taijiquan F",336,"")))))))))))))))))))))))))))))))))))))</f>
        <v/>
      </c>
      <c r="BW527" s="50" t="str">
        <f>IF(Atletas!P518="","",IF(Atletas!X518&lt;&gt;"",10000,0)+IF(Atletas!B518="Feminino",1000,IF(Atletas!B518="Masculino",2000,""))+IF(OR(Atletas!P518="Yang 26 A",Atletas!P518="Yang 40 A"),401,IF(OR(Atletas!P518="Chen 25 A",Atletas!P518="Chen 36 A",Atletas!P518="Chen 56 A"),402,IF(Atletas!P518="Sun 73 A",403,IF(Atletas!P518="Wu 45 A",404,IF(Atletas!P518="Wu-Hao 46 A",405,IF(OR(Atletas!P518="Taijiquan 16 A",Atletas!P518="Taijiquan 24 A",Atletas!P518="Taijiquan 32 A",Atletas!P518="Taijiquan 42 A"),406,IF(OR(Atletas!P518="Yang 26 B",Atletas!P518="Yang 40 B"),407,IF(OR(Atletas!P518="Chen 25 B",Atletas!P518="Chen 36 B",Atletas!P518="Chen 56 B"),408,IF(Atletas!P518="Sun 73 B",409,IF(Atletas!P518="Wu 45 B",410,IF(Atletas!P518="Wu-Hao 46 B",411,IF(OR(Atletas!P518="Taijiquan 16 B",Atletas!P518="Taijiquan 24 B",Atletas!P518="Taijiquan 32 B",Atletas!P518="Taijiquan 42 B"),412,IF(OR(Atletas!P518="Yang 26 C",Atletas!P518="Yang 40 C"),413,IF(OR(Atletas!P518="Chen 25 C",Atletas!P518="Chen 36 C",Atletas!P518="Chen 56 C"),414,IF(Atletas!P518="Sun 73 C",415,IF(Atletas!P518="Wu 45 C",416,IF(Atletas!P518="Wu-Hao 46 C",417,IF(OR(Atletas!P518="Taijiquan 16 C",Atletas!P518="Taijiquan 24 C",Atletas!P518="Taijiquan 32 C",Atletas!P518="Taijiquan 42 C"),418,0)))))))))))))))))))</f>
        <v/>
      </c>
      <c r="BX527" s="50" t="str">
        <f>IF(Atletas!P518="","",IF(Atletas!X518&lt;&gt;"",10000,0)+IF(Atletas!B518="Feminino",1000,IF(Atletas!B518="Masculino",2000,""))+IF(OR(Atletas!P518="Yang 26 D",Atletas!P518="Yang 40 D"),419,IF(OR(Atletas!P518="Chen 25 D",Atletas!P518="Chen 36 D",Atletas!P518="Chen 56 D"),420,IF(Atletas!P518="Sun 73 D",421,IF(Atletas!P518="Wu 45 D",422,IF(Atletas!P518="Wu-Hao 46 D",423,IF(OR(Atletas!P518="Taijiquan 16 D",Atletas!P518="Taijiquan 24 D",Atletas!P518="Taijiquan 32 D",Atletas!P518="Taijiquan 42 D"),424,IF(OR(Atletas!P518="Yang 26 E",Atletas!P518="Yang 40 E"),425,IF(OR(Atletas!P518="Chen 25 E",Atletas!P518="Chen 36 E",Atletas!P518="Chen 56 E"),426,IF(Atletas!P518="Sun 73 E",427,IF(Atletas!P518="Wu 45 E",428,IF(Atletas!P518="Wu-Hao 46 E",429,IF(OR(Atletas!P518="Taijiquan 16 E",Atletas!P518="Taijiquan 24 E",Atletas!P518="Taijiquan 32 E",Atletas!P518="Taijiquan 42 E"),430,IF(OR(Atletas!P518="Yang 26 F",Atletas!P518="Yang 40 F"),431,IF(OR(Atletas!P518="Chen 25 F",Atletas!P518="Chen 36 F",Atletas!P518="Chen 56 F"),432,IF(Atletas!P518="Sun 73 F",433,IF(Atletas!P518="Wu 45 F",434,IF(Atletas!P518="Wu-Hao 46 F",435,IF(OR(Atletas!P518="Taijiquan 16 F",Atletas!P518="Taijiquan 24 F",Atletas!P518="Taijiquan 32 F",Atletas!P518="Taijiquan 42 F"),436,0)))))))))))))))))))</f>
        <v/>
      </c>
      <c r="BY527" s="50" t="str">
        <f>IF(Atletas!Q518="","",IF(Atletas!X518&lt;&gt;"",10000,0)+IF(Atletas!B518="Feminino",1000,IF(Atletas!B518="Masculino",2000,""))+IF(Atletas!Q518="Xingyiquan A",501,IF(Atletas!Q518="Baguazhang A",502,IF(Atletas!Q518="Outro Estilo Interno A",503,IF(Atletas!Q518="Xingyiquan B",504,IF(Atletas!Q518="Baguazhang B",505,IF(Atletas!Q518="Outro Estilo Interno B",506,IF(Atletas!Q518="Xingyiquan C",507,IF(Atletas!Q518="Baguazhang C",508,IF(Atletas!Q518="Outro Estilo Interno C",509,IF(Atletas!Q518="Xingyiquan D",510,IF(Atletas!Q518="Baguazhang D",511,IF(Atletas!Q518="Outro Estilo Interno D",512,IF(Atletas!Q518="Xingyiquan E",513,IF(Atletas!Q518="Baguazhang E",514,IF(Atletas!Q518="Outro Estilo Interno E",515,IF(Atletas!Q518="Xingyiquan F",516,IF(Atletas!Q518="Baguazhang F",517,IF(Atletas!Q518="Outro Estilo Interno F",518, "")))))))))))))))))))</f>
        <v/>
      </c>
      <c r="BZ527" s="50" t="str">
        <f>IF(Atletas!R518="","",IF(Atletas!X518&lt;&gt;"",10000,0)+IF(Atletas!B518="Feminino",1000,IF(Atletas!B518="Masculino",2000,""))+IF(Atletas!R518="Dao A",601,IF(Atletas!R518="Jian A",602,IF(Atletas!R518="Bishou A",603,IF(Atletas!R518="Shanzi A",604,IF(Atletas!R518="Outra Arma Curta A",605,IF(Atletas!R518="Dao B",606,IF(Atletas!R518="Jian B",607,IF(Atletas!R518="Bishou B",608,IF(Atletas!R518="Shanzi B",609,IF(Atletas!R518="Outra Arma Curta B",610,IF(Atletas!R518="Dao C",611,IF(Atletas!R518="Jian C",612,IF(Atletas!R518="Bishou C",613,IF(Atletas!R518="Shanzi C",614,IF(Atletas!R518="Outra Arma Curta C",615,IF(Atletas!R518="Dao D",616,IF(Atletas!R518="Jian D",617,IF(Atletas!R518="Bishou D",618,IF(Atletas!R518="Shanzi D",619,IF(Atletas!R518="Outra Arma Curta D",620,IF(Atletas!R518="Dao E",621,IF(Atletas!R518="Jian E",622,IF(Atletas!R518="Bishou E",623,IF(Atletas!R518="Shanzi E",624,IF(Atletas!R518="Outra Arma Curta E",625,IF(Atletas!R518="Dao F",626,IF(Atletas!R518="Jian F",627,IF(Atletas!R518="Bishou F",628,IF(Atletas!R518="Shanzi F",629,IF(Atletas!R518="Outra Arma Curta F",630, "")))))))))))))))))))))))))))))))</f>
        <v/>
      </c>
      <c r="CA527" s="50" t="str">
        <f>IF(Atletas!S518="","",IF(Atletas!X518&lt;&gt;"",10000,0)+IF(Atletas!B518="Feminino",1000,IF(Atletas!B518="Masculino",2000,""))+IF(Atletas!S518="Gun A",701,IF(Atletas!S518="Qiang A",702,IF(Atletas!S518="Pudao / Guandao A",703,IF(Atletas!S518="Outra Arma Longa A",704,IF(Atletas!S518="Gun B",705,IF(Atletas!S518="Qiang B",706,IF(Atletas!S518="Pudao / Guandao B",707,IF(Atletas!S518="Outra Arma Longa B",708,IF(Atletas!S518="Gun C",709,IF(Atletas!S518="Qiang C",710,IF(Atletas!S518="Pudao / Guandao C",711,IF(Atletas!S518="Outra Arma Longa C",712,IF(Atletas!S518="Gun D",713,IF(Atletas!S518="Qiang D",714,IF(Atletas!S518="Pudao / Guandao D",715,IF(Atletas!S518="Outra Arma Longa D",716,IF(Atletas!S518="Gun E",717,IF(Atletas!S518="Qiang E",718,IF(Atletas!S518="Pudao / Guandao E",719,IF(Atletas!S518="Outra Arma Longa E",720,IF(Atletas!S518="Gun F",721,IF(Atletas!S518="Qiang F",722,IF(Atletas!S518="Pudao / Guandao F",723,IF(Atletas!S518="Outra Arma Longa F",724,"")))))))))))))))))))))))))</f>
        <v/>
      </c>
      <c r="CB527" s="50" t="str">
        <f>IF(Atletas!T518="","",IF(Atletas!X518&lt;&gt;"",10000,0)+IF(Atletas!B518="Feminino",1000,IF(Atletas!B518="Masculino",2000,""))+IF(Atletas!T518="Outra Arma Dupla A",801,IF(Atletas!T518="Arma Maleável A",802,IF(Atletas!T518="Outra Arma Dupla B",803,IF(Atletas!T518="Arma Maleável B",804,IF(Atletas!T518="Outra Arma Dupla C",805,IF(Atletas!T518="Arma Maleável C",806,IF(Atletas!T518="Outra Arma Dupla D",807,IF(Atletas!T518="Arma Maleável D",808,IF(Atletas!T518="Outra Arma Dupla E",809,IF(Atletas!T518="Arma Maleável E",810,IF(Atletas!T518="Outra Arma Dupla F",811,IF(Atletas!T518="Arma Maleável F",812,IF(Atletas!T518="Shuangdao A",813,IF(Atletas!T518="Shuangdao B",814,IF(Atletas!T518="Shuangdao C",815,IF(Atletas!T518="Shuangdao D",816,IF(Atletas!T518="Shuangdao E",817,IF(Atletas!T518="Shuangdao F",818,"")))))))))))))))))))</f>
        <v/>
      </c>
      <c r="CC527" s="50" t="str">
        <f>IF(Atletas!U518="","",IF(Atletas!X518&lt;&gt;"",10000,0)+IF(Atletas!B518="Feminino",1000,IF(Atletas!B518="Masculino",2000,""))+IF(OR(Atletas!U518="Taijijian Yang A",Atletas!U518="Taijijian Yang Standard A"),901,IF(OR(Atletas!U518="Taijijian Chen A", Atletas!U518="Taijijian Chen Standard A"),902,IF(Atletas!U518="Taijijian Sun A",903,IF(Atletas!U518="Taijijian Wu A",904,IF(Atletas!U518="Taijijian Wu-Hao A",905,IF(OR(Atletas!U518="Taijijian 32 A",Atletas!U518="Taijijian 42 A"),906,IF(OR(Atletas!U518="Taijijian Yang B",Atletas!U518="Taijijian Yang Standard B"),907,IF(OR(Atletas!U518="Taijijian Chen B", Atletas!U518="Taijijian Chen Standard B"),908,IF(Atletas!U518="Taijijian Sun B",909,IF(Atletas!U518="Taijijian Wu B",910,IF(Atletas!U518="Taijijian Wu-Hao B",911,IF(OR(Atletas!U518="Taijijian 32 B",Atletas!U518="Taijijian 42 B"),912,IF(OR(Atletas!U518="Taijijian Yang C",Atletas!U518="Taijijian Yang Standard C"),913,IF(OR(Atletas!U518="Taijijian Chen C", Atletas!U518="Taijijian Chen Standard C"),914,IF(Atletas!U518="Taijijian Sun C",915,IF(Atletas!U518="Taijijian Wu C",916,IF(Atletas!U518="Taijijian Wu-Hao C",917,IF(OR(Atletas!U518="Taijijian 32 C",Atletas!U518="Taijijian 42 C"),918,IF(OR(Atletas!U518="Taijijian Yang D",Atletas!U518="Taijijian Yang Standard D"),919,IF(OR(Atletas!U518="Taijijian Chen D", Atletas!U518="Taijijian Chen Standard D"),920,IF(Atletas!U518="Taijijian Sun D",921,IF(Atletas!U518="Taijijian Wu D",922,IF(Atletas!U518="Taijijian Wu-Hao D",923,IF(OR(Atletas!U518="Taijijian 32 D",Atletas!U518="Taijijian 42 D"),924,IF(OR(Atletas!U518="Taijijian Yang E",Atletas!U518="Taijijian Yang Standard E"),925,IF(OR(Atletas!U518="Taijijian Chen E", Atletas!U518="Taijijian Chen Standard E"),926,IF(Atletas!U518="Taijijian Sun E",927,IF(Atletas!U518="Taijijian Wu E",928,IF(Atletas!U518="Taijijian Wu-Hao E",929,IF(OR(Atletas!U518="Taijijian 32 E",Atletas!U518="Taijijian 42 E"),930,IF(OR(Atletas!U518="Taijijian Yang F",Atletas!U518="Taijijian Yang Standard F"),931,IF(OR(Atletas!U518="Taijijian Chen F", Atletas!U518="Taijijian Chen Standard F"),932,IF(Atletas!U518="Taijijian Sun F",933,IF(Atletas!U518="Taijijian Wu F",934,IF(Atletas!U518="Taijijian Wu-Hao F",935,IF(OR(Atletas!U518="Taijijian 32 F",Atletas!U518="Taijijian 42 F"),936,"")))))))))))))))))))))))))))))))))))))</f>
        <v/>
      </c>
      <c r="CD527" s="50" t="str">
        <f>IF(Atletas!V518="","",IF(Atletas!X518&lt;&gt;"",10000,0)+IF(Atletas!B518="Feminino",1000,IF(Atletas!B518="Masculino",2000,""))+IF(Atletas!V518="Taijidao A",937,IF(Atletas!V518="TaijiShanzi A",938,IF(Atletas!V518="Taijiqiang A",939,IF(Atletas!V518="Bagua de Arma A",940,IF(Atletas!V518="Xingyi de Arma A",941,IF(Atletas!V518="Taijidao B",942,IF(Atletas!V518="TaijiShanzi B",943,IF(Atletas!V518="Taijiqiang B",944,IF(Atletas!V518="Bagua de Arma B",945,IF(Atletas!V518="Xingyi de Arma B",946,IF(Atletas!V518="Taijidao C",947,IF(Atletas!V518="TaijiShanzi C",948,IF(Atletas!V518="Taijiqiang C",949,IF(Atletas!V518="Bagua de Arma C",950,IF(Atletas!V518="Xingyi de Arma C",951,IF(Atletas!V518="Taijidao D",952,IF(Atletas!V518="TaijiShanzi D",953,IF(Atletas!V518="Taijiqiang D",954,IF(Atletas!V518="Bagua de Arma D",955,IF(Atletas!V518="Xingyi de Arma D",956,IF(Atletas!V518="Taijidao E",957,IF(Atletas!V518="TaijiShanzi E",958,IF(Atletas!V518="Taijiqiang E",959,IF(Atletas!V518="Bagua de Arma E",960,IF(Atletas!V518="Xingyi de Arma E",961,IF(Atletas!V518="Taijidao F",962,IF(Atletas!V518="TaijiShanzi F",963,IF(Atletas!V518="Taijiqiang F",964,IF(Atletas!V518="Bagua de Arma F",965,IF(Atletas!V518="Xingyi de Arma F",966,"")))))))))))))))))))))))))))))))</f>
        <v/>
      </c>
      <c r="CM527" s="50" t="str">
        <f xml:space="preserve"> IF(Atletas!W518="","",IF(Atletas!W518="Duilian de Mãos BC - Equipe 1",1,IF(Atletas!W518="Duilian de Mãos BC - Equipe 2",2,IF(Atletas!W518="Duilian de Armas BC - Equipe 1",3,IF(Atletas!W518="Duilian de Armas BC - Equipe 2",4,IF(Atletas!W518="Duilian de Mãos DE - Equipe 1",5,IF(Atletas!W518="Duilian de Mãos DE - Equipe 2",6,IF(Atletas!W518="Duilian de Armas DE - Equipe 1",7,IF(Atletas!W518="Duilian de Armas DE - Equipe 2",8,IF(Atletas!W518="Duilian de Tuishou - Equipe 1",9,IF(Atletas!W518="Duilian de Tuishou - Equipe 2",10,IF(Atletas!W518="Grupo Externo ABC - Equipe 1",11,IF(Atletas!W518="Grupo Externo ABC - Equipe 2",12,IF(Atletas!W518="Grupo Interno ABC - Equipe 1",13,IF(Atletas!W518="Grupo Interno ABC - Equipe 2",14,IF(Atletas!W518="Grupo Externo DEF - Equipe 1",15,IF(Atletas!W518="Grupo Externo DEF - Equipe 2",16,IF(Atletas!W518="Grupo Interno DEF - Equipe 1",17,IF(Atletas!W518="Grupo Interno DEF - Equipe 2",18,"")))))))))))))))))))</f>
        <v/>
      </c>
    </row>
    <row r="528" spans="40:91">
      <c r="AN528" s="52" t="str">
        <f>IF(Atletas!D519="","",IF(Atletas!B519="Feminino",100,IF(Atletas!B519="Masculino",200,""))+(IF(Atletas!D519="Kids 30kg",1,IF(Atletas!D519="Kids 32kg",2, IF(Atletas!D519="Kids 34kg",3,IF(Atletas!D519="Kids 36kg",4,IF(Atletas!D519="Kids 39kg",5,IF(Atletas!D519="Kids 42kg",6,IF(Atletas!D519="Kids 45kg",7, IF(Atletas!D519="Infantil 39kg",8,IF(Atletas!D519="Infantil 42kg",9,IF(Atletas!D519="Infantil 45kg",10,IF(Atletas!D519="Infantil 48kg",11,IF(Atletas!D519="Infantil 52kg",12,IF(Atletas!D519="Infantil 56kg",13,IF(Atletas!D519="Infantil 60kg",14,IF(Atletas!D519="Juvenil 48kg",15,IF(Atletas!D519="Juvenil 52kg",16,IF(Atletas!D519="Juvenil 56kg",17,IF(Atletas!D519="Juvenil 60kg",18,IF(Atletas!D519="Juvenil 65kg",19,IF(Atletas!D519="Juvenil 70kg",20,IF(Atletas!D519="Juvenil 75kg",21,IF(Atletas!D519="Juvenil 80kg",22, IF(Atletas!D519="Juvenil 85kg",23,IF(Atletas!D519="Adulto 48kg",24,IF(Atletas!D519="Adulto 52kg",25,IF(Atletas!D519="Adulto 56kg",26,IF(Atletas!D519="Adulto 60kg",27,IF(Atletas!D519="Adulto 65kg",28,IF(Atletas!D519="Adulto 70kg",29,IF(Atletas!D519="Adulto 75kg",30,IF(Atletas!D519="Adulto 80kg",31,IF(Atletas!D519="Adulto 85kg",32,IF(Atletas!D519="Adulto 90kg",33,IF(Atletas!D519="Adulto 100kg",34, IF(Atletas!D519="Adulto +100kg",35,"")))))))))))))))))))))))))))))))))))))</f>
        <v/>
      </c>
      <c r="AS528" s="6" t="str">
        <f>IF(Atletas!E519="","",IF(Atletas!B519="Feminino",100,IF(Atletas!B519="Masculino",200,""))+(IF(Atletas!E519="Juvenil 44kg",1,IF(Atletas!E519="Juvenil 48kg",2,IF(Atletas!E519="Juvenil 52kg",3,IF(Atletas!E519="Juvenil 56kg",4,IF(Atletas!E519="Juvenil 60kg",5,IF(Atletas!E519="Juvenil 65kg",6,IF(Atletas!E519="Juvenil 70kg",7,IF(Atletas!E519="Juvenil 75kg",8,IF(Atletas!E519="Juvenil 82kg",9,IF(Atletas!E519="Juvenil 90kg",10,IF(Atletas!E519="Juvenil 100kg",11,IF(Atletas!E519="Adulto 48kg",12,IF(Atletas!E519="Adulto 52kg",13,IF(Atletas!E519="Adulto 56kg",14,IF(Atletas!E519="Adulto 60kg",15,IF(Atletas!E519="Adulto 65kg",16,IF(Atletas!E519="Adulto 70kg",17,IF(Atletas!E519="Adulto 75kg",18,IF(Atletas!E519="Adulto 82kg",19,IF(Atletas!E519="Adulto 90kg",20,IF(Atletas!E519="Adulto 100kg",21,IF(Atletas!E519="Adulto +100kg",22,""))))))))))))))))))))))))</f>
        <v/>
      </c>
      <c r="AX528" s="6" t="str">
        <f>IF(Atletas!F519="","",IF(Atletas!B519="Feminino",100,IF(Atletas!B519="Masculino",200,""))+(IF(Atletas!F519="Adulto 48kg",1,IF(Atletas!F519="Adulto 56kg",2,IF(Atletas!F519="Adulto 65kg",3,IF(Atletas!F519="Adulto 75kg",4,IF(Atletas!F519="Adulto +75kg",5,IF(Atletas!F519="Adulto 52kg",6,IF(Atletas!F519="Adulto 60kg",7,IF(Atletas!F519="Adulto 70kg",8,IF(Atletas!F519="Adulto 80kg",9,IF(Atletas!F519="Adulto 90kg",10,IF(Atletas!F519="Adulto +90kg",11,"")))))))))))))</f>
        <v/>
      </c>
      <c r="BC528" s="6" t="str">
        <f>IF(Atletas!G519="","",IF(Atletas!B519="Feminino",10,IF(Atletas!B519="Masculino",20,""))+(IF(Atletas!G519="Baduanjin A",1,IF(Atletas!G519="Baduanjin B",2))))</f>
        <v/>
      </c>
      <c r="BF528" s="52" t="str">
        <f>IF(Atletas!H519="","",IF(Atletas!B519="Feminino",100,IF(Atletas!B519="Masculino",200,""))+(IF(Atletas!H519="Changquan Mirim",1,IF(Atletas!H519="Nanquan Mirim",2,IF(Atletas!H519="Taijiquan Mirim",3,IF(Atletas!H519="Changquan Grupo C",4,IF(Atletas!H519="Nanquan Grupo C",5,IF(Atletas!H519="Taijiquan Grupo C",6,IF(Atletas!H519="Changquan Grupo B",7,IF(Atletas!H519="Nanquan Grupo B",8,IF(Atletas!H519="Taijiquan Grupo B",9,IF(Atletas!H519="Changquan Grupo A",10,IF(Atletas!H519="Nanquan Grupo A",11,IF(Atletas!H519="Taijiquan Grupo A",12,IF(Atletas!H519="Changquan Opcional",13,IF(Atletas!H519="Nanquan Opcional",14,IF(Atletas!H519="Taijiquan Opcional",15,IF(Atletas!H519="Changquan Adulto",16,IF(Atletas!H519="Nanquan Adulto",17,IF(Atletas!H519="Taijiquan Adulto",18,""))))))))))))))))))))</f>
        <v/>
      </c>
      <c r="BG528" s="52" t="str">
        <f>IF(Atletas!I519="","",IF(Atletas!B519="Feminino",100,IF(Atletas!B519="Masculino",200,""))+(IF(Atletas!I519="Daoshu Mirim",19,IF(Atletas!I519="Jianshu Mirim",20,IF(Atletas!I519="Nandao Mirim",21,IF(Atletas!I519="Taijijian Mirim",22,IF(Atletas!I519="Daoshu Grupo C",23,IF(Atletas!I519="Jianshu Grupo C",24,IF(Atletas!I519="Nandao Grupo C",25,IF(Atletas!I519="Taijijian Grupo C",26,IF(Atletas!I519="Daoshu Grupo B",27,IF(Atletas!I519="Jianshu Grupo B",28,IF(Atletas!I519="Nandao Grupo B",29,IF(Atletas!I519="Taijijian Grupo B",30,IF(Atletas!I519="Daoshu Grupo A",31,IF(Atletas!I519="Jianshu Grupo A",32,IF(Atletas!I519="Nandao Grupo A",33,IF(Atletas!I519="Taijijian Grupo A",34,IF(Atletas!I519="Daoshu Opcional",35,IF(Atletas!I519="Jianshu Opcional",36,IF(Atletas!I519="Nandao Opcional",37,IF(Atletas!I519="Taijijian Opcional",38,IF(Atletas!I519="Daoshu Adulto",39,IF(Atletas!I519="Jianshu Adulto",40,IF(Atletas!I519="Nandao Adulto",41,IF(Atletas!I519="Taijijian Adulto",42,""))))))))))))))))))))))))))</f>
        <v/>
      </c>
      <c r="BH528" s="52" t="str">
        <f>IF(Atletas!J519="","",IF(Atletas!B519="Feminino",100,IF(Atletas!B519="Masculino",200,""))+(IF(Atletas!J519="Gunshu Mirim",43,IF(Atletas!J519="Qiangshu Mirim",44,IF(Atletas!J519="Nangun Mirim",45,IF(Atletas!J519="Gunshu Grupo C",46,IF(Atletas!J519="Qiangshu Grupo C",47,IF(Atletas!J519="Nangun Grupo C",48,IF(Atletas!J519="Gunshu Grupo B",49,IF(Atletas!J519="Qiangshu Grupo B",50,IF(Atletas!J519="Nangun Grupo B",51,IF(Atletas!J519="Gunshu Grupo A",52,IF(Atletas!J519="Qiangshu Grupo A",53,IF(Atletas!J519="Nangun Grupo A",54,IF(Atletas!J519="Gunshu Opcional",55,IF(Atletas!J519="Qiangshu Opcional",56,IF(Atletas!J519="Nangun Opcional",57,IF(Atletas!J519="Gunshu Adulto",58,IF(Atletas!J519="Qiangshu Adulto",59,IF(Atletas!J519="Nangun Adulto",60,IF(Atletas!J519="Taijishan Grupo B",61,IF(Atletas!J519="Taijishan Grupo A",62,""))))))))))))))))))))))</f>
        <v/>
      </c>
      <c r="BM528" s="50" t="str">
        <f>IF(Atletas!K519="","",IF(Atletas!B519="Feminino",100,IF(Atletas!B519="Masculino",200,""))+(IF(Atletas!K519="Equipe 1 Grupo B",1,IF(Atletas!K519="Equipe 2 Grupo B",2,IF(Atletas!K519="Equipe 1 Grupo A",3,IF(Atletas!K519="Equipe 2 Grupo A",4,IF(Atletas!K519="Equipe 1 Adulto",5,IF(Atletas!K519="Equipe 2 Adulto",6,""))))))))</f>
        <v/>
      </c>
      <c r="BR528" s="50" t="str">
        <f>IF(Atletas!L519="","",IF(Atletas!X519&lt;&gt;"",10000,0)+(IF(Atletas!B519="Feminino",1000,IF(Atletas!B519="Masculino",2000,""))+IF(Atletas!L519="Choylayfut A",1,IF(Atletas!L519="Hunggar A",2,IF(Atletas!L519="Wuzuquan A",3,IF(Atletas!L519="Wingchun A",4,IF(Atletas!L519="Outra Mão de Sul A",5,IF(Atletas!L519="Choylayfut B",6,IF(Atletas!L519="Hunggar B",7,IF(Atletas!L519="Wuzuquan B",8,IF(Atletas!L519="Wingchun B",9,IF(Atletas!L519="Outra Mão de Sul B",10,IF(Atletas!L519="Choylayfut C",11,IF(Atletas!L519="Hunggar C",12,IF(Atletas!L519="Wuzuquan C",13,IF(Atletas!L519="Wingchun C",14,IF(Atletas!L519="Outra Mão de Sul C",15,IF(Atletas!L519="Choylayfut D",16,IF(Atletas!L519="Hunggar D",17,IF(Atletas!L519="Wuzuquan D",18,IF(Atletas!L519="Wingchun D",19,IF(Atletas!L519="Outra Mão de Sul D",20,IF(Atletas!L519="Choylayfut E",21,IF(Atletas!L519="Hunggar E",22,IF(Atletas!L519="Wuzuquan E",23,IF(Atletas!L519="Wingchun E",24,IF(Atletas!L519="Outra Mão de Sul E",25,IF(Atletas!L519="Choylayfut F",26,IF(Atletas!L519="Hunggar F",27,IF(Atletas!L519="Wuzuquan F",28,IF(Atletas!L519="Wingchun F",29,IF(Atletas!L519="Outra Mão de Sul F",30,IF(Atletas!L519="Dishuquan A",31,IF(Atletas!L519="Dishuquan B",32,IF(Atletas!L519="Dishuquan C",33,IF(Atletas!L519="Dishuquan D",34,IF(Atletas!L519="Dishuquan E",35,IF(Atletas!L519="Dishuquan F",36,""))))))))))))))))))))))))))))))))))))))</f>
        <v/>
      </c>
      <c r="BS528" s="50" t="str">
        <f>IF(Atletas!M519="","",IF(Atletas!X519&lt;&gt;"",10000,0)+(IF(Atletas!B519="Feminino",1000,IF(Atletas!B519="Masculino",2000,""))+(IF(Atletas!M519="Chaquan A",101,IF(Atletas!M519="Emeiquan A",102,IF(Atletas!M519="Fanziquan A",103,IF(Atletas!M519="Huaquan A",104,IF(Atletas!M519="Hongquan A",105,IF(Atletas!M519="Paoquan A",106,IF(Atletas!M519="Piguaquan A",107,IF(Atletas!M519="Shaolinquan A",108,IF(Atletas!M519="Tanglangquan A",109,IF(Atletas!M519="Yingzhaoquan A",110,IF(Atletas!M519="Tongbeiquan A",111,IF(Atletas!M519="Wudangquan A",112,IF(Atletas!M519="Outros Estilos A",113,IF(Atletas!M519="Chaquan B",114,IF(Atletas!M519="Emeiquan B",115,IF(Atletas!M519="Fanziquan B",116,IF(Atletas!M519="Huaquan B",117,IF(Atletas!M519="Hongquan B",118,IF(Atletas!M519="Paoquan B",119,IF(Atletas!M519="Piguaquan B",120,IF(Atletas!M519="Shaolinquan B",121,IF(Atletas!M519="Tanglangquan B",122,IF(Atletas!M519="Yingzhaoquan B",123,IF(Atletas!M519="Tongbeiquan B",124,IF(Atletas!M519="Wudangquan B",125,IF(Atletas!M519="Outros Estilos B",126,IF(Atletas!M519="Chaquan C",127,IF(Atletas!M519="Emeiquan C",128,IF(Atletas!M519="Fanziquan C",129,IF(Atletas!M519="Huaquan C",130,IF(Atletas!M519="Hongquan C",131,IF(Atletas!M519="Paoquan C",132,IF(Atletas!M519="Piguaquan C",133,IF(Atletas!M519="Shaolinquan C",134,IF(Atletas!M519="Tanglangquan C",135,IF(Atletas!M519="Yingzhaoquan C",136,IF(Atletas!M519="Tongbeiquan C",137,IF(Atletas!M519="Wudangquan C",138,IF(Atletas!M519="Outros Estilos C",139,0))))))))))))))))))))))))))))))))))))))))))</f>
        <v/>
      </c>
      <c r="BT528" s="50" t="str">
        <f>IF(Atletas!M519="","",IF(Atletas!X519&lt;&gt;"",10000,0)+(IF(Atletas!B519="Feminino",1000,IF(Atletas!B519="Masculino",2000,""))+(IF(Atletas!M519="Chaquan D",140,IF(Atletas!M519="Emeiquan D",141,IF(Atletas!M519="Fanziquan D",142,IF(Atletas!M519="Huaquan D",143,IF(Atletas!M519="Hongquan D",144,IF(Atletas!M519="Paoquan D",145,IF(Atletas!M519="Piguaquan D",146,IF(Atletas!M519="Shaolinquan D",147,IF(Atletas!M519="Tanglangquan D",148,IF(Atletas!M519="Yingzhaoquan D",149,IF(Atletas!M519="Tongbeiquan D",150,IF(Atletas!M519="Wudangquan D",151,IF(Atletas!M519="Outros Estilos D",152,IF(Atletas!M519="Chaquan E",153,IF(Atletas!M519="Emeiquan E",154,IF(Atletas!M519="Fanziquan E",155,IF(Atletas!M519="Huaquan E",156,IF(Atletas!M519="Hongquan E",157,IF(Atletas!M519="Paoquan E",158,IF(Atletas!M519="Piguaquan E",159,IF(Atletas!M519="Shaolinquan E",160,IF(Atletas!M519="Tanglangquan E",161,IF(Atletas!M519="Yingzhaoquan E",162,IF(Atletas!M519="Tongbeiquan E",163,IF(Atletas!M519="Wudangquan E",164,IF(Atletas!M519="Outros Estilos E",165,IF(Atletas!M519="Chaquan F",166,IF(Atletas!M519="Emeiquan F",167,IF(Atletas!M519="Fanziquan F",168,IF(Atletas!M519="Huaquan F",169,IF(Atletas!M519="Hongquan F",170,IF(Atletas!M519="Paoquan F",171,IF(Atletas!M519="Piguaquan F",172,IF(Atletas!M519="Shaolinquan F",173,IF(Atletas!M519="Tanglangquan F",174,IF(Atletas!M519="Yingzhaoquan F",175,IF(Atletas!M519="Tongbeiquan F",176,IF(Atletas!M519="Wudangquan F",177,IF(Atletas!M519="Outros Estilos F",178,0))))))))))))))))))))))))))))))))))))))))))</f>
        <v/>
      </c>
      <c r="BU528" s="50" t="str">
        <f>IF(Atletas!N519="","",IF(Atletas!X519&lt;&gt;"",10000,0)+(IF(Atletas!B519="Feminino",1000,IF(Atletas!B519="Masculino",2000,""))+(IF(Atletas!N519="Ditangquan A",201,IF(Atletas!N519="Houquan A",202,IF(Atletas!N519="Zuiquan A",203,IF(Atletas!N519="Ditangquan B",204,IF(Atletas!N519="Houquan B",205,IF(Atletas!N519="Zuiquan B",206,IF(Atletas!N519="Ditangquan C",207,IF(Atletas!N519="Houquan C",208,IF(Atletas!N519="Zuiquan C",209,IF(Atletas!N519="Ditangquan D",210,IF(Atletas!N519="Houquan D",211,IF(Atletas!N519="Zuiquan D",212,IF(Atletas!N519="Ditangquan E",213,IF(Atletas!N519="Houquan E",214,IF(Atletas!N519="Zuiquan E",215,IF(Atletas!N519="Ditangquan F",216,IF(Atletas!N519="Houquan F",217,IF(Atletas!N519="Zuiquan F",218,"")))))))))))))))))))))</f>
        <v/>
      </c>
      <c r="BV528" s="50" t="str">
        <f>IF(Atletas!O519="","",IF(Atletas!X519&lt;&gt;"",10000,0)+IF(Atletas!B519="Feminino",1000,IF(Atletas!B519="Masculino",2000,""))+IF(Atletas!O519="Yang A",301,IF(Atletas!O519="Chen A",302,IF(Atletas!O519="Sun A",303,IF(Atletas!O519="Wu A",304,IF(Atletas!O519="Wu-Hao A",305,IF(Atletas!O519="Outro Taijiquan A",306,IF(Atletas!O519="Yang B",307,IF(Atletas!O519="Chen B",308,IF(Atletas!O519="Sun B",309,IF(Atletas!O519="Wu B",310,IF(Atletas!O519="Wu-Hao B",311,IF(Atletas!O519="Outro Taijiquan B",312,IF(Atletas!O519="Yang C",313,IF(Atletas!O519="Chen C",314,IF(Atletas!O519="Sun C",315,IF(Atletas!O519="Wu C",316,IF(Atletas!O519="Wu-Hao C",317,IF(Atletas!O519="Outro Taijiquan C",318,IF(Atletas!O519="Yang D",319,IF(Atletas!O519="Chen D",320,IF(Atletas!O519="Sun D",321,IF(Atletas!O519="Wu D",322,IF(Atletas!O519="Wu-Hao D",323,IF(Atletas!O519="Outro Taijiquan D",324,IF(Atletas!O519="Yang E",325,IF(Atletas!O519="Chen E",326,IF(Atletas!O519="Sun E",327,IF(Atletas!O519="Wu E",328,IF(Atletas!O519="Wu-Hao E",329,IF(Atletas!O519="Outro Taijiquan E",330,IF(Atletas!O519="Yang F",331,IF(Atletas!O519="Chen F",332,IF(Atletas!O519="Sun F",333,IF(Atletas!O519="Wu F",334,IF(Atletas!O519="Wu-Hao F",335,IF(Atletas!O519="Outro Taijiquan F",336,"")))))))))))))))))))))))))))))))))))))</f>
        <v/>
      </c>
      <c r="BW528" s="50" t="str">
        <f>IF(Atletas!P519="","",IF(Atletas!X519&lt;&gt;"",10000,0)+IF(Atletas!B519="Feminino",1000,IF(Atletas!B519="Masculino",2000,""))+IF(OR(Atletas!P519="Yang 26 A",Atletas!P519="Yang 40 A"),401,IF(OR(Atletas!P519="Chen 25 A",Atletas!P519="Chen 36 A",Atletas!P519="Chen 56 A"),402,IF(Atletas!P519="Sun 73 A",403,IF(Atletas!P519="Wu 45 A",404,IF(Atletas!P519="Wu-Hao 46 A",405,IF(OR(Atletas!P519="Taijiquan 16 A",Atletas!P519="Taijiquan 24 A",Atletas!P519="Taijiquan 32 A",Atletas!P519="Taijiquan 42 A"),406,IF(OR(Atletas!P519="Yang 26 B",Atletas!P519="Yang 40 B"),407,IF(OR(Atletas!P519="Chen 25 B",Atletas!P519="Chen 36 B",Atletas!P519="Chen 56 B"),408,IF(Atletas!P519="Sun 73 B",409,IF(Atletas!P519="Wu 45 B",410,IF(Atletas!P519="Wu-Hao 46 B",411,IF(OR(Atletas!P519="Taijiquan 16 B",Atletas!P519="Taijiquan 24 B",Atletas!P519="Taijiquan 32 B",Atletas!P519="Taijiquan 42 B"),412,IF(OR(Atletas!P519="Yang 26 C",Atletas!P519="Yang 40 C"),413,IF(OR(Atletas!P519="Chen 25 C",Atletas!P519="Chen 36 C",Atletas!P519="Chen 56 C"),414,IF(Atletas!P519="Sun 73 C",415,IF(Atletas!P519="Wu 45 C",416,IF(Atletas!P519="Wu-Hao 46 C",417,IF(OR(Atletas!P519="Taijiquan 16 C",Atletas!P519="Taijiquan 24 C",Atletas!P519="Taijiquan 32 C",Atletas!P519="Taijiquan 42 C"),418,0)))))))))))))))))))</f>
        <v/>
      </c>
      <c r="BX528" s="50" t="str">
        <f>IF(Atletas!P519="","",IF(Atletas!X519&lt;&gt;"",10000,0)+IF(Atletas!B519="Feminino",1000,IF(Atletas!B519="Masculino",2000,""))+IF(OR(Atletas!P519="Yang 26 D",Atletas!P519="Yang 40 D"),419,IF(OR(Atletas!P519="Chen 25 D",Atletas!P519="Chen 36 D",Atletas!P519="Chen 56 D"),420,IF(Atletas!P519="Sun 73 D",421,IF(Atletas!P519="Wu 45 D",422,IF(Atletas!P519="Wu-Hao 46 D",423,IF(OR(Atletas!P519="Taijiquan 16 D",Atletas!P519="Taijiquan 24 D",Atletas!P519="Taijiquan 32 D",Atletas!P519="Taijiquan 42 D"),424,IF(OR(Atletas!P519="Yang 26 E",Atletas!P519="Yang 40 E"),425,IF(OR(Atletas!P519="Chen 25 E",Atletas!P519="Chen 36 E",Atletas!P519="Chen 56 E"),426,IF(Atletas!P519="Sun 73 E",427,IF(Atletas!P519="Wu 45 E",428,IF(Atletas!P519="Wu-Hao 46 E",429,IF(OR(Atletas!P519="Taijiquan 16 E",Atletas!P519="Taijiquan 24 E",Atletas!P519="Taijiquan 32 E",Atletas!P519="Taijiquan 42 E"),430,IF(OR(Atletas!P519="Yang 26 F",Atletas!P519="Yang 40 F"),431,IF(OR(Atletas!P519="Chen 25 F",Atletas!P519="Chen 36 F",Atletas!P519="Chen 56 F"),432,IF(Atletas!P519="Sun 73 F",433,IF(Atletas!P519="Wu 45 F",434,IF(Atletas!P519="Wu-Hao 46 F",435,IF(OR(Atletas!P519="Taijiquan 16 F",Atletas!P519="Taijiquan 24 F",Atletas!P519="Taijiquan 32 F",Atletas!P519="Taijiquan 42 F"),436,0)))))))))))))))))))</f>
        <v/>
      </c>
      <c r="BY528" s="50" t="str">
        <f>IF(Atletas!Q519="","",IF(Atletas!X519&lt;&gt;"",10000,0)+IF(Atletas!B519="Feminino",1000,IF(Atletas!B519="Masculino",2000,""))+IF(Atletas!Q519="Xingyiquan A",501,IF(Atletas!Q519="Baguazhang A",502,IF(Atletas!Q519="Outro Estilo Interno A",503,IF(Atletas!Q519="Xingyiquan B",504,IF(Atletas!Q519="Baguazhang B",505,IF(Atletas!Q519="Outro Estilo Interno B",506,IF(Atletas!Q519="Xingyiquan C",507,IF(Atletas!Q519="Baguazhang C",508,IF(Atletas!Q519="Outro Estilo Interno C",509,IF(Atletas!Q519="Xingyiquan D",510,IF(Atletas!Q519="Baguazhang D",511,IF(Atletas!Q519="Outro Estilo Interno D",512,IF(Atletas!Q519="Xingyiquan E",513,IF(Atletas!Q519="Baguazhang E",514,IF(Atletas!Q519="Outro Estilo Interno E",515,IF(Atletas!Q519="Xingyiquan F",516,IF(Atletas!Q519="Baguazhang F",517,IF(Atletas!Q519="Outro Estilo Interno F",518, "")))))))))))))))))))</f>
        <v/>
      </c>
      <c r="BZ528" s="50" t="str">
        <f>IF(Atletas!R519="","",IF(Atletas!X519&lt;&gt;"",10000,0)+IF(Atletas!B519="Feminino",1000,IF(Atletas!B519="Masculino",2000,""))+IF(Atletas!R519="Dao A",601,IF(Atletas!R519="Jian A",602,IF(Atletas!R519="Bishou A",603,IF(Atletas!R519="Shanzi A",604,IF(Atletas!R519="Outra Arma Curta A",605,IF(Atletas!R519="Dao B",606,IF(Atletas!R519="Jian B",607,IF(Atletas!R519="Bishou B",608,IF(Atletas!R519="Shanzi B",609,IF(Atletas!R519="Outra Arma Curta B",610,IF(Atletas!R519="Dao C",611,IF(Atletas!R519="Jian C",612,IF(Atletas!R519="Bishou C",613,IF(Atletas!R519="Shanzi C",614,IF(Atletas!R519="Outra Arma Curta C",615,IF(Atletas!R519="Dao D",616,IF(Atletas!R519="Jian D",617,IF(Atletas!R519="Bishou D",618,IF(Atletas!R519="Shanzi D",619,IF(Atletas!R519="Outra Arma Curta D",620,IF(Atletas!R519="Dao E",621,IF(Atletas!R519="Jian E",622,IF(Atletas!R519="Bishou E",623,IF(Atletas!R519="Shanzi E",624,IF(Atletas!R519="Outra Arma Curta E",625,IF(Atletas!R519="Dao F",626,IF(Atletas!R519="Jian F",627,IF(Atletas!R519="Bishou F",628,IF(Atletas!R519="Shanzi F",629,IF(Atletas!R519="Outra Arma Curta F",630, "")))))))))))))))))))))))))))))))</f>
        <v/>
      </c>
      <c r="CA528" s="50" t="str">
        <f>IF(Atletas!S519="","",IF(Atletas!X519&lt;&gt;"",10000,0)+IF(Atletas!B519="Feminino",1000,IF(Atletas!B519="Masculino",2000,""))+IF(Atletas!S519="Gun A",701,IF(Atletas!S519="Qiang A",702,IF(Atletas!S519="Pudao / Guandao A",703,IF(Atletas!S519="Outra Arma Longa A",704,IF(Atletas!S519="Gun B",705,IF(Atletas!S519="Qiang B",706,IF(Atletas!S519="Pudao / Guandao B",707,IF(Atletas!S519="Outra Arma Longa B",708,IF(Atletas!S519="Gun C",709,IF(Atletas!S519="Qiang C",710,IF(Atletas!S519="Pudao / Guandao C",711,IF(Atletas!S519="Outra Arma Longa C",712,IF(Atletas!S519="Gun D",713,IF(Atletas!S519="Qiang D",714,IF(Atletas!S519="Pudao / Guandao D",715,IF(Atletas!S519="Outra Arma Longa D",716,IF(Atletas!S519="Gun E",717,IF(Atletas!S519="Qiang E",718,IF(Atletas!S519="Pudao / Guandao E",719,IF(Atletas!S519="Outra Arma Longa E",720,IF(Atletas!S519="Gun F",721,IF(Atletas!S519="Qiang F",722,IF(Atletas!S519="Pudao / Guandao F",723,IF(Atletas!S519="Outra Arma Longa F",724,"")))))))))))))))))))))))))</f>
        <v/>
      </c>
      <c r="CB528" s="50" t="str">
        <f>IF(Atletas!T519="","",IF(Atletas!X519&lt;&gt;"",10000,0)+IF(Atletas!B519="Feminino",1000,IF(Atletas!B519="Masculino",2000,""))+IF(Atletas!T519="Outra Arma Dupla A",801,IF(Atletas!T519="Arma Maleável A",802,IF(Atletas!T519="Outra Arma Dupla B",803,IF(Atletas!T519="Arma Maleável B",804,IF(Atletas!T519="Outra Arma Dupla C",805,IF(Atletas!T519="Arma Maleável C",806,IF(Atletas!T519="Outra Arma Dupla D",807,IF(Atletas!T519="Arma Maleável D",808,IF(Atletas!T519="Outra Arma Dupla E",809,IF(Atletas!T519="Arma Maleável E",810,IF(Atletas!T519="Outra Arma Dupla F",811,IF(Atletas!T519="Arma Maleável F",812,IF(Atletas!T519="Shuangdao A",813,IF(Atletas!T519="Shuangdao B",814,IF(Atletas!T519="Shuangdao C",815,IF(Atletas!T519="Shuangdao D",816,IF(Atletas!T519="Shuangdao E",817,IF(Atletas!T519="Shuangdao F",818,"")))))))))))))))))))</f>
        <v/>
      </c>
      <c r="CC528" s="50" t="str">
        <f>IF(Atletas!U519="","",IF(Atletas!X519&lt;&gt;"",10000,0)+IF(Atletas!B519="Feminino",1000,IF(Atletas!B519="Masculino",2000,""))+IF(OR(Atletas!U519="Taijijian Yang A",Atletas!U519="Taijijian Yang Standard A"),901,IF(OR(Atletas!U519="Taijijian Chen A", Atletas!U519="Taijijian Chen Standard A"),902,IF(Atletas!U519="Taijijian Sun A",903,IF(Atletas!U519="Taijijian Wu A",904,IF(Atletas!U519="Taijijian Wu-Hao A",905,IF(OR(Atletas!U519="Taijijian 32 A",Atletas!U519="Taijijian 42 A"),906,IF(OR(Atletas!U519="Taijijian Yang B",Atletas!U519="Taijijian Yang Standard B"),907,IF(OR(Atletas!U519="Taijijian Chen B", Atletas!U519="Taijijian Chen Standard B"),908,IF(Atletas!U519="Taijijian Sun B",909,IF(Atletas!U519="Taijijian Wu B",910,IF(Atletas!U519="Taijijian Wu-Hao B",911,IF(OR(Atletas!U519="Taijijian 32 B",Atletas!U519="Taijijian 42 B"),912,IF(OR(Atletas!U519="Taijijian Yang C",Atletas!U519="Taijijian Yang Standard C"),913,IF(OR(Atletas!U519="Taijijian Chen C", Atletas!U519="Taijijian Chen Standard C"),914,IF(Atletas!U519="Taijijian Sun C",915,IF(Atletas!U519="Taijijian Wu C",916,IF(Atletas!U519="Taijijian Wu-Hao C",917,IF(OR(Atletas!U519="Taijijian 32 C",Atletas!U519="Taijijian 42 C"),918,IF(OR(Atletas!U519="Taijijian Yang D",Atletas!U519="Taijijian Yang Standard D"),919,IF(OR(Atletas!U519="Taijijian Chen D", Atletas!U519="Taijijian Chen Standard D"),920,IF(Atletas!U519="Taijijian Sun D",921,IF(Atletas!U519="Taijijian Wu D",922,IF(Atletas!U519="Taijijian Wu-Hao D",923,IF(OR(Atletas!U519="Taijijian 32 D",Atletas!U519="Taijijian 42 D"),924,IF(OR(Atletas!U519="Taijijian Yang E",Atletas!U519="Taijijian Yang Standard E"),925,IF(OR(Atletas!U519="Taijijian Chen E", Atletas!U519="Taijijian Chen Standard E"),926,IF(Atletas!U519="Taijijian Sun E",927,IF(Atletas!U519="Taijijian Wu E",928,IF(Atletas!U519="Taijijian Wu-Hao E",929,IF(OR(Atletas!U519="Taijijian 32 E",Atletas!U519="Taijijian 42 E"),930,IF(OR(Atletas!U519="Taijijian Yang F",Atletas!U519="Taijijian Yang Standard F"),931,IF(OR(Atletas!U519="Taijijian Chen F", Atletas!U519="Taijijian Chen Standard F"),932,IF(Atletas!U519="Taijijian Sun F",933,IF(Atletas!U519="Taijijian Wu F",934,IF(Atletas!U519="Taijijian Wu-Hao F",935,IF(OR(Atletas!U519="Taijijian 32 F",Atletas!U519="Taijijian 42 F"),936,"")))))))))))))))))))))))))))))))))))))</f>
        <v/>
      </c>
      <c r="CD528" s="50" t="str">
        <f>IF(Atletas!V519="","",IF(Atletas!X519&lt;&gt;"",10000,0)+IF(Atletas!B519="Feminino",1000,IF(Atletas!B519="Masculino",2000,""))+IF(Atletas!V519="Taijidao A",937,IF(Atletas!V519="TaijiShanzi A",938,IF(Atletas!V519="Taijiqiang A",939,IF(Atletas!V519="Bagua de Arma A",940,IF(Atletas!V519="Xingyi de Arma A",941,IF(Atletas!V519="Taijidao B",942,IF(Atletas!V519="TaijiShanzi B",943,IF(Atletas!V519="Taijiqiang B",944,IF(Atletas!V519="Bagua de Arma B",945,IF(Atletas!V519="Xingyi de Arma B",946,IF(Atletas!V519="Taijidao C",947,IF(Atletas!V519="TaijiShanzi C",948,IF(Atletas!V519="Taijiqiang C",949,IF(Atletas!V519="Bagua de Arma C",950,IF(Atletas!V519="Xingyi de Arma C",951,IF(Atletas!V519="Taijidao D",952,IF(Atletas!V519="TaijiShanzi D",953,IF(Atletas!V519="Taijiqiang D",954,IF(Atletas!V519="Bagua de Arma D",955,IF(Atletas!V519="Xingyi de Arma D",956,IF(Atletas!V519="Taijidao E",957,IF(Atletas!V519="TaijiShanzi E",958,IF(Atletas!V519="Taijiqiang E",959,IF(Atletas!V519="Bagua de Arma E",960,IF(Atletas!V519="Xingyi de Arma E",961,IF(Atletas!V519="Taijidao F",962,IF(Atletas!V519="TaijiShanzi F",963,IF(Atletas!V519="Taijiqiang F",964,IF(Atletas!V519="Bagua de Arma F",965,IF(Atletas!V519="Xingyi de Arma F",966,"")))))))))))))))))))))))))))))))</f>
        <v/>
      </c>
      <c r="CM528" s="50" t="str">
        <f xml:space="preserve"> IF(Atletas!W519="","",IF(Atletas!W519="Duilian de Mãos BC - Equipe 1",1,IF(Atletas!W519="Duilian de Mãos BC - Equipe 2",2,IF(Atletas!W519="Duilian de Armas BC - Equipe 1",3,IF(Atletas!W519="Duilian de Armas BC - Equipe 2",4,IF(Atletas!W519="Duilian de Mãos DE - Equipe 1",5,IF(Atletas!W519="Duilian de Mãos DE - Equipe 2",6,IF(Atletas!W519="Duilian de Armas DE - Equipe 1",7,IF(Atletas!W519="Duilian de Armas DE - Equipe 2",8,IF(Atletas!W519="Duilian de Tuishou - Equipe 1",9,IF(Atletas!W519="Duilian de Tuishou - Equipe 2",10,IF(Atletas!W519="Grupo Externo ABC - Equipe 1",11,IF(Atletas!W519="Grupo Externo ABC - Equipe 2",12,IF(Atletas!W519="Grupo Interno ABC - Equipe 1",13,IF(Atletas!W519="Grupo Interno ABC - Equipe 2",14,IF(Atletas!W519="Grupo Externo DEF - Equipe 1",15,IF(Atletas!W519="Grupo Externo DEF - Equipe 2",16,IF(Atletas!W519="Grupo Interno DEF - Equipe 1",17,IF(Atletas!W519="Grupo Interno DEF - Equipe 2",18,"")))))))))))))))))))</f>
        <v/>
      </c>
    </row>
    <row r="529" spans="40:91">
      <c r="AN529" s="52" t="str">
        <f>IF(Atletas!D520="","",IF(Atletas!B520="Feminino",100,IF(Atletas!B520="Masculino",200,""))+(IF(Atletas!D520="Kids 30kg",1,IF(Atletas!D520="Kids 32kg",2, IF(Atletas!D520="Kids 34kg",3,IF(Atletas!D520="Kids 36kg",4,IF(Atletas!D520="Kids 39kg",5,IF(Atletas!D520="Kids 42kg",6,IF(Atletas!D520="Kids 45kg",7, IF(Atletas!D520="Infantil 39kg",8,IF(Atletas!D520="Infantil 42kg",9,IF(Atletas!D520="Infantil 45kg",10,IF(Atletas!D520="Infantil 48kg",11,IF(Atletas!D520="Infantil 52kg",12,IF(Atletas!D520="Infantil 56kg",13,IF(Atletas!D520="Infantil 60kg",14,IF(Atletas!D520="Juvenil 48kg",15,IF(Atletas!D520="Juvenil 52kg",16,IF(Atletas!D520="Juvenil 56kg",17,IF(Atletas!D520="Juvenil 60kg",18,IF(Atletas!D520="Juvenil 65kg",19,IF(Atletas!D520="Juvenil 70kg",20,IF(Atletas!D520="Juvenil 75kg",21,IF(Atletas!D520="Juvenil 80kg",22, IF(Atletas!D520="Juvenil 85kg",23,IF(Atletas!D520="Adulto 48kg",24,IF(Atletas!D520="Adulto 52kg",25,IF(Atletas!D520="Adulto 56kg",26,IF(Atletas!D520="Adulto 60kg",27,IF(Atletas!D520="Adulto 65kg",28,IF(Atletas!D520="Adulto 70kg",29,IF(Atletas!D520="Adulto 75kg",30,IF(Atletas!D520="Adulto 80kg",31,IF(Atletas!D520="Adulto 85kg",32,IF(Atletas!D520="Adulto 90kg",33,IF(Atletas!D520="Adulto 100kg",34, IF(Atletas!D520="Adulto +100kg",35,"")))))))))))))))))))))))))))))))))))))</f>
        <v/>
      </c>
      <c r="AS529" s="6" t="str">
        <f>IF(Atletas!E520="","",IF(Atletas!B520="Feminino",100,IF(Atletas!B520="Masculino",200,""))+(IF(Atletas!E520="Juvenil 44kg",1,IF(Atletas!E520="Juvenil 48kg",2,IF(Atletas!E520="Juvenil 52kg",3,IF(Atletas!E520="Juvenil 56kg",4,IF(Atletas!E520="Juvenil 60kg",5,IF(Atletas!E520="Juvenil 65kg",6,IF(Atletas!E520="Juvenil 70kg",7,IF(Atletas!E520="Juvenil 75kg",8,IF(Atletas!E520="Juvenil 82kg",9,IF(Atletas!E520="Juvenil 90kg",10,IF(Atletas!E520="Juvenil 100kg",11,IF(Atletas!E520="Adulto 48kg",12,IF(Atletas!E520="Adulto 52kg",13,IF(Atletas!E520="Adulto 56kg",14,IF(Atletas!E520="Adulto 60kg",15,IF(Atletas!E520="Adulto 65kg",16,IF(Atletas!E520="Adulto 70kg",17,IF(Atletas!E520="Adulto 75kg",18,IF(Atletas!E520="Adulto 82kg",19,IF(Atletas!E520="Adulto 90kg",20,IF(Atletas!E520="Adulto 100kg",21,IF(Atletas!E520="Adulto +100kg",22,""))))))))))))))))))))))))</f>
        <v/>
      </c>
      <c r="AX529" s="6" t="str">
        <f>IF(Atletas!F520="","",IF(Atletas!B520="Feminino",100,IF(Atletas!B520="Masculino",200,""))+(IF(Atletas!F520="Adulto 48kg",1,IF(Atletas!F520="Adulto 56kg",2,IF(Atletas!F520="Adulto 65kg",3,IF(Atletas!F520="Adulto 75kg",4,IF(Atletas!F520="Adulto +75kg",5,IF(Atletas!F520="Adulto 52kg",6,IF(Atletas!F520="Adulto 60kg",7,IF(Atletas!F520="Adulto 70kg",8,IF(Atletas!F520="Adulto 80kg",9,IF(Atletas!F520="Adulto 90kg",10,IF(Atletas!F520="Adulto +90kg",11,"")))))))))))))</f>
        <v/>
      </c>
      <c r="BC529" s="6" t="str">
        <f>IF(Atletas!G520="","",IF(Atletas!B520="Feminino",10,IF(Atletas!B520="Masculino",20,""))+(IF(Atletas!G520="Baduanjin A",1,IF(Atletas!G520="Baduanjin B",2))))</f>
        <v/>
      </c>
      <c r="BF529" s="52" t="str">
        <f>IF(Atletas!H520="","",IF(Atletas!B520="Feminino",100,IF(Atletas!B520="Masculino",200,""))+(IF(Atletas!H520="Changquan Mirim",1,IF(Atletas!H520="Nanquan Mirim",2,IF(Atletas!H520="Taijiquan Mirim",3,IF(Atletas!H520="Changquan Grupo C",4,IF(Atletas!H520="Nanquan Grupo C",5,IF(Atletas!H520="Taijiquan Grupo C",6,IF(Atletas!H520="Changquan Grupo B",7,IF(Atletas!H520="Nanquan Grupo B",8,IF(Atletas!H520="Taijiquan Grupo B",9,IF(Atletas!H520="Changquan Grupo A",10,IF(Atletas!H520="Nanquan Grupo A",11,IF(Atletas!H520="Taijiquan Grupo A",12,IF(Atletas!H520="Changquan Opcional",13,IF(Atletas!H520="Nanquan Opcional",14,IF(Atletas!H520="Taijiquan Opcional",15,IF(Atletas!H520="Changquan Adulto",16,IF(Atletas!H520="Nanquan Adulto",17,IF(Atletas!H520="Taijiquan Adulto",18,""))))))))))))))))))))</f>
        <v/>
      </c>
      <c r="BG529" s="52" t="str">
        <f>IF(Atletas!I520="","",IF(Atletas!B520="Feminino",100,IF(Atletas!B520="Masculino",200,""))+(IF(Atletas!I520="Daoshu Mirim",19,IF(Atletas!I520="Jianshu Mirim",20,IF(Atletas!I520="Nandao Mirim",21,IF(Atletas!I520="Taijijian Mirim",22,IF(Atletas!I520="Daoshu Grupo C",23,IF(Atletas!I520="Jianshu Grupo C",24,IF(Atletas!I520="Nandao Grupo C",25,IF(Atletas!I520="Taijijian Grupo C",26,IF(Atletas!I520="Daoshu Grupo B",27,IF(Atletas!I520="Jianshu Grupo B",28,IF(Atletas!I520="Nandao Grupo B",29,IF(Atletas!I520="Taijijian Grupo B",30,IF(Atletas!I520="Daoshu Grupo A",31,IF(Atletas!I520="Jianshu Grupo A",32,IF(Atletas!I520="Nandao Grupo A",33,IF(Atletas!I520="Taijijian Grupo A",34,IF(Atletas!I520="Daoshu Opcional",35,IF(Atletas!I520="Jianshu Opcional",36,IF(Atletas!I520="Nandao Opcional",37,IF(Atletas!I520="Taijijian Opcional",38,IF(Atletas!I520="Daoshu Adulto",39,IF(Atletas!I520="Jianshu Adulto",40,IF(Atletas!I520="Nandao Adulto",41,IF(Atletas!I520="Taijijian Adulto",42,""))))))))))))))))))))))))))</f>
        <v/>
      </c>
      <c r="BH529" s="52" t="str">
        <f>IF(Atletas!J520="","",IF(Atletas!B520="Feminino",100,IF(Atletas!B520="Masculino",200,""))+(IF(Atletas!J520="Gunshu Mirim",43,IF(Atletas!J520="Qiangshu Mirim",44,IF(Atletas!J520="Nangun Mirim",45,IF(Atletas!J520="Gunshu Grupo C",46,IF(Atletas!J520="Qiangshu Grupo C",47,IF(Atletas!J520="Nangun Grupo C",48,IF(Atletas!J520="Gunshu Grupo B",49,IF(Atletas!J520="Qiangshu Grupo B",50,IF(Atletas!J520="Nangun Grupo B",51,IF(Atletas!J520="Gunshu Grupo A",52,IF(Atletas!J520="Qiangshu Grupo A",53,IF(Atletas!J520="Nangun Grupo A",54,IF(Atletas!J520="Gunshu Opcional",55,IF(Atletas!J520="Qiangshu Opcional",56,IF(Atletas!J520="Nangun Opcional",57,IF(Atletas!J520="Gunshu Adulto",58,IF(Atletas!J520="Qiangshu Adulto",59,IF(Atletas!J520="Nangun Adulto",60,IF(Atletas!J520="Taijishan Grupo B",61,IF(Atletas!J520="Taijishan Grupo A",62,""))))))))))))))))))))))</f>
        <v/>
      </c>
      <c r="BM529" s="50" t="str">
        <f>IF(Atletas!K520="","",IF(Atletas!B520="Feminino",100,IF(Atletas!B520="Masculino",200,""))+(IF(Atletas!K520="Equipe 1 Grupo B",1,IF(Atletas!K520="Equipe 2 Grupo B",2,IF(Atletas!K520="Equipe 1 Grupo A",3,IF(Atletas!K520="Equipe 2 Grupo A",4,IF(Atletas!K520="Equipe 1 Adulto",5,IF(Atletas!K520="Equipe 2 Adulto",6,""))))))))</f>
        <v/>
      </c>
      <c r="BR529" s="50" t="str">
        <f>IF(Atletas!L520="","",IF(Atletas!X520&lt;&gt;"",10000,0)+(IF(Atletas!B520="Feminino",1000,IF(Atletas!B520="Masculino",2000,""))+IF(Atletas!L520="Choylayfut A",1,IF(Atletas!L520="Hunggar A",2,IF(Atletas!L520="Wuzuquan A",3,IF(Atletas!L520="Wingchun A",4,IF(Atletas!L520="Outra Mão de Sul A",5,IF(Atletas!L520="Choylayfut B",6,IF(Atletas!L520="Hunggar B",7,IF(Atletas!L520="Wuzuquan B",8,IF(Atletas!L520="Wingchun B",9,IF(Atletas!L520="Outra Mão de Sul B",10,IF(Atletas!L520="Choylayfut C",11,IF(Atletas!L520="Hunggar C",12,IF(Atletas!L520="Wuzuquan C",13,IF(Atletas!L520="Wingchun C",14,IF(Atletas!L520="Outra Mão de Sul C",15,IF(Atletas!L520="Choylayfut D",16,IF(Atletas!L520="Hunggar D",17,IF(Atletas!L520="Wuzuquan D",18,IF(Atletas!L520="Wingchun D",19,IF(Atletas!L520="Outra Mão de Sul D",20,IF(Atletas!L520="Choylayfut E",21,IF(Atletas!L520="Hunggar E",22,IF(Atletas!L520="Wuzuquan E",23,IF(Atletas!L520="Wingchun E",24,IF(Atletas!L520="Outra Mão de Sul E",25,IF(Atletas!L520="Choylayfut F",26,IF(Atletas!L520="Hunggar F",27,IF(Atletas!L520="Wuzuquan F",28,IF(Atletas!L520="Wingchun F",29,IF(Atletas!L520="Outra Mão de Sul F",30,IF(Atletas!L520="Dishuquan A",31,IF(Atletas!L520="Dishuquan B",32,IF(Atletas!L520="Dishuquan C",33,IF(Atletas!L520="Dishuquan D",34,IF(Atletas!L520="Dishuquan E",35,IF(Atletas!L520="Dishuquan F",36,""))))))))))))))))))))))))))))))))))))))</f>
        <v/>
      </c>
      <c r="BS529" s="50" t="str">
        <f>IF(Atletas!M520="","",IF(Atletas!X520&lt;&gt;"",10000,0)+(IF(Atletas!B520="Feminino",1000,IF(Atletas!B520="Masculino",2000,""))+(IF(Atletas!M520="Chaquan A",101,IF(Atletas!M520="Emeiquan A",102,IF(Atletas!M520="Fanziquan A",103,IF(Atletas!M520="Huaquan A",104,IF(Atletas!M520="Hongquan A",105,IF(Atletas!M520="Paoquan A",106,IF(Atletas!M520="Piguaquan A",107,IF(Atletas!M520="Shaolinquan A",108,IF(Atletas!M520="Tanglangquan A",109,IF(Atletas!M520="Yingzhaoquan A",110,IF(Atletas!M520="Tongbeiquan A",111,IF(Atletas!M520="Wudangquan A",112,IF(Atletas!M520="Outros Estilos A",113,IF(Atletas!M520="Chaquan B",114,IF(Atletas!M520="Emeiquan B",115,IF(Atletas!M520="Fanziquan B",116,IF(Atletas!M520="Huaquan B",117,IF(Atletas!M520="Hongquan B",118,IF(Atletas!M520="Paoquan B",119,IF(Atletas!M520="Piguaquan B",120,IF(Atletas!M520="Shaolinquan B",121,IF(Atletas!M520="Tanglangquan B",122,IF(Atletas!M520="Yingzhaoquan B",123,IF(Atletas!M520="Tongbeiquan B",124,IF(Atletas!M520="Wudangquan B",125,IF(Atletas!M520="Outros Estilos B",126,IF(Atletas!M520="Chaquan C",127,IF(Atletas!M520="Emeiquan C",128,IF(Atletas!M520="Fanziquan C",129,IF(Atletas!M520="Huaquan C",130,IF(Atletas!M520="Hongquan C",131,IF(Atletas!M520="Paoquan C",132,IF(Atletas!M520="Piguaquan C",133,IF(Atletas!M520="Shaolinquan C",134,IF(Atletas!M520="Tanglangquan C",135,IF(Atletas!M520="Yingzhaoquan C",136,IF(Atletas!M520="Tongbeiquan C",137,IF(Atletas!M520="Wudangquan C",138,IF(Atletas!M520="Outros Estilos C",139,0))))))))))))))))))))))))))))))))))))))))))</f>
        <v/>
      </c>
      <c r="BT529" s="50" t="str">
        <f>IF(Atletas!M520="","",IF(Atletas!X520&lt;&gt;"",10000,0)+(IF(Atletas!B520="Feminino",1000,IF(Atletas!B520="Masculino",2000,""))+(IF(Atletas!M520="Chaquan D",140,IF(Atletas!M520="Emeiquan D",141,IF(Atletas!M520="Fanziquan D",142,IF(Atletas!M520="Huaquan D",143,IF(Atletas!M520="Hongquan D",144,IF(Atletas!M520="Paoquan D",145,IF(Atletas!M520="Piguaquan D",146,IF(Atletas!M520="Shaolinquan D",147,IF(Atletas!M520="Tanglangquan D",148,IF(Atletas!M520="Yingzhaoquan D",149,IF(Atletas!M520="Tongbeiquan D",150,IF(Atletas!M520="Wudangquan D",151,IF(Atletas!M520="Outros Estilos D",152,IF(Atletas!M520="Chaquan E",153,IF(Atletas!M520="Emeiquan E",154,IF(Atletas!M520="Fanziquan E",155,IF(Atletas!M520="Huaquan E",156,IF(Atletas!M520="Hongquan E",157,IF(Atletas!M520="Paoquan E",158,IF(Atletas!M520="Piguaquan E",159,IF(Atletas!M520="Shaolinquan E",160,IF(Atletas!M520="Tanglangquan E",161,IF(Atletas!M520="Yingzhaoquan E",162,IF(Atletas!M520="Tongbeiquan E",163,IF(Atletas!M520="Wudangquan E",164,IF(Atletas!M520="Outros Estilos E",165,IF(Atletas!M520="Chaquan F",166,IF(Atletas!M520="Emeiquan F",167,IF(Atletas!M520="Fanziquan F",168,IF(Atletas!M520="Huaquan F",169,IF(Atletas!M520="Hongquan F",170,IF(Atletas!M520="Paoquan F",171,IF(Atletas!M520="Piguaquan F",172,IF(Atletas!M520="Shaolinquan F",173,IF(Atletas!M520="Tanglangquan F",174,IF(Atletas!M520="Yingzhaoquan F",175,IF(Atletas!M520="Tongbeiquan F",176,IF(Atletas!M520="Wudangquan F",177,IF(Atletas!M520="Outros Estilos F",178,0))))))))))))))))))))))))))))))))))))))))))</f>
        <v/>
      </c>
      <c r="BU529" s="50" t="str">
        <f>IF(Atletas!N520="","",IF(Atletas!X520&lt;&gt;"",10000,0)+(IF(Atletas!B520="Feminino",1000,IF(Atletas!B520="Masculino",2000,""))+(IF(Atletas!N520="Ditangquan A",201,IF(Atletas!N520="Houquan A",202,IF(Atletas!N520="Zuiquan A",203,IF(Atletas!N520="Ditangquan B",204,IF(Atletas!N520="Houquan B",205,IF(Atletas!N520="Zuiquan B",206,IF(Atletas!N520="Ditangquan C",207,IF(Atletas!N520="Houquan C",208,IF(Atletas!N520="Zuiquan C",209,IF(Atletas!N520="Ditangquan D",210,IF(Atletas!N520="Houquan D",211,IF(Atletas!N520="Zuiquan D",212,IF(Atletas!N520="Ditangquan E",213,IF(Atletas!N520="Houquan E",214,IF(Atletas!N520="Zuiquan E",215,IF(Atletas!N520="Ditangquan F",216,IF(Atletas!N520="Houquan F",217,IF(Atletas!N520="Zuiquan F",218,"")))))))))))))))))))))</f>
        <v/>
      </c>
      <c r="BV529" s="50" t="str">
        <f>IF(Atletas!O520="","",IF(Atletas!X520&lt;&gt;"",10000,0)+IF(Atletas!B520="Feminino",1000,IF(Atletas!B520="Masculino",2000,""))+IF(Atletas!O520="Yang A",301,IF(Atletas!O520="Chen A",302,IF(Atletas!O520="Sun A",303,IF(Atletas!O520="Wu A",304,IF(Atletas!O520="Wu-Hao A",305,IF(Atletas!O520="Outro Taijiquan A",306,IF(Atletas!O520="Yang B",307,IF(Atletas!O520="Chen B",308,IF(Atletas!O520="Sun B",309,IF(Atletas!O520="Wu B",310,IF(Atletas!O520="Wu-Hao B",311,IF(Atletas!O520="Outro Taijiquan B",312,IF(Atletas!O520="Yang C",313,IF(Atletas!O520="Chen C",314,IF(Atletas!O520="Sun C",315,IF(Atletas!O520="Wu C",316,IF(Atletas!O520="Wu-Hao C",317,IF(Atletas!O520="Outro Taijiquan C",318,IF(Atletas!O520="Yang D",319,IF(Atletas!O520="Chen D",320,IF(Atletas!O520="Sun D",321,IF(Atletas!O520="Wu D",322,IF(Atletas!O520="Wu-Hao D",323,IF(Atletas!O520="Outro Taijiquan D",324,IF(Atletas!O520="Yang E",325,IF(Atletas!O520="Chen E",326,IF(Atletas!O520="Sun E",327,IF(Atletas!O520="Wu E",328,IF(Atletas!O520="Wu-Hao E",329,IF(Atletas!O520="Outro Taijiquan E",330,IF(Atletas!O520="Yang F",331,IF(Atletas!O520="Chen F",332,IF(Atletas!O520="Sun F",333,IF(Atletas!O520="Wu F",334,IF(Atletas!O520="Wu-Hao F",335,IF(Atletas!O520="Outro Taijiquan F",336,"")))))))))))))))))))))))))))))))))))))</f>
        <v/>
      </c>
      <c r="BW529" s="50" t="str">
        <f>IF(Atletas!P520="","",IF(Atletas!X520&lt;&gt;"",10000,0)+IF(Atletas!B520="Feminino",1000,IF(Atletas!B520="Masculino",2000,""))+IF(OR(Atletas!P520="Yang 26 A",Atletas!P520="Yang 40 A"),401,IF(OR(Atletas!P520="Chen 25 A",Atletas!P520="Chen 36 A",Atletas!P520="Chen 56 A"),402,IF(Atletas!P520="Sun 73 A",403,IF(Atletas!P520="Wu 45 A",404,IF(Atletas!P520="Wu-Hao 46 A",405,IF(OR(Atletas!P520="Taijiquan 16 A",Atletas!P520="Taijiquan 24 A",Atletas!P520="Taijiquan 32 A",Atletas!P520="Taijiquan 42 A"),406,IF(OR(Atletas!P520="Yang 26 B",Atletas!P520="Yang 40 B"),407,IF(OR(Atletas!P520="Chen 25 B",Atletas!P520="Chen 36 B",Atletas!P520="Chen 56 B"),408,IF(Atletas!P520="Sun 73 B",409,IF(Atletas!P520="Wu 45 B",410,IF(Atletas!P520="Wu-Hao 46 B",411,IF(OR(Atletas!P520="Taijiquan 16 B",Atletas!P520="Taijiquan 24 B",Atletas!P520="Taijiquan 32 B",Atletas!P520="Taijiquan 42 B"),412,IF(OR(Atletas!P520="Yang 26 C",Atletas!P520="Yang 40 C"),413,IF(OR(Atletas!P520="Chen 25 C",Atletas!P520="Chen 36 C",Atletas!P520="Chen 56 C"),414,IF(Atletas!P520="Sun 73 C",415,IF(Atletas!P520="Wu 45 C",416,IF(Atletas!P520="Wu-Hao 46 C",417,IF(OR(Atletas!P520="Taijiquan 16 C",Atletas!P520="Taijiquan 24 C",Atletas!P520="Taijiquan 32 C",Atletas!P520="Taijiquan 42 C"),418,0)))))))))))))))))))</f>
        <v/>
      </c>
      <c r="BX529" s="50" t="str">
        <f>IF(Atletas!P520="","",IF(Atletas!X520&lt;&gt;"",10000,0)+IF(Atletas!B520="Feminino",1000,IF(Atletas!B520="Masculino",2000,""))+IF(OR(Atletas!P520="Yang 26 D",Atletas!P520="Yang 40 D"),419,IF(OR(Atletas!P520="Chen 25 D",Atletas!P520="Chen 36 D",Atletas!P520="Chen 56 D"),420,IF(Atletas!P520="Sun 73 D",421,IF(Atletas!P520="Wu 45 D",422,IF(Atletas!P520="Wu-Hao 46 D",423,IF(OR(Atletas!P520="Taijiquan 16 D",Atletas!P520="Taijiquan 24 D",Atletas!P520="Taijiquan 32 D",Atletas!P520="Taijiquan 42 D"),424,IF(OR(Atletas!P520="Yang 26 E",Atletas!P520="Yang 40 E"),425,IF(OR(Atletas!P520="Chen 25 E",Atletas!P520="Chen 36 E",Atletas!P520="Chen 56 E"),426,IF(Atletas!P520="Sun 73 E",427,IF(Atletas!P520="Wu 45 E",428,IF(Atletas!P520="Wu-Hao 46 E",429,IF(OR(Atletas!P520="Taijiquan 16 E",Atletas!P520="Taijiquan 24 E",Atletas!P520="Taijiquan 32 E",Atletas!P520="Taijiquan 42 E"),430,IF(OR(Atletas!P520="Yang 26 F",Atletas!P520="Yang 40 F"),431,IF(OR(Atletas!P520="Chen 25 F",Atletas!P520="Chen 36 F",Atletas!P520="Chen 56 F"),432,IF(Atletas!P520="Sun 73 F",433,IF(Atletas!P520="Wu 45 F",434,IF(Atletas!P520="Wu-Hao 46 F",435,IF(OR(Atletas!P520="Taijiquan 16 F",Atletas!P520="Taijiquan 24 F",Atletas!P520="Taijiquan 32 F",Atletas!P520="Taijiquan 42 F"),436,0)))))))))))))))))))</f>
        <v/>
      </c>
      <c r="BY529" s="50" t="str">
        <f>IF(Atletas!Q520="","",IF(Atletas!X520&lt;&gt;"",10000,0)+IF(Atletas!B520="Feminino",1000,IF(Atletas!B520="Masculino",2000,""))+IF(Atletas!Q520="Xingyiquan A",501,IF(Atletas!Q520="Baguazhang A",502,IF(Atletas!Q520="Outro Estilo Interno A",503,IF(Atletas!Q520="Xingyiquan B",504,IF(Atletas!Q520="Baguazhang B",505,IF(Atletas!Q520="Outro Estilo Interno B",506,IF(Atletas!Q520="Xingyiquan C",507,IF(Atletas!Q520="Baguazhang C",508,IF(Atletas!Q520="Outro Estilo Interno C",509,IF(Atletas!Q520="Xingyiquan D",510,IF(Atletas!Q520="Baguazhang D",511,IF(Atletas!Q520="Outro Estilo Interno D",512,IF(Atletas!Q520="Xingyiquan E",513,IF(Atletas!Q520="Baguazhang E",514,IF(Atletas!Q520="Outro Estilo Interno E",515,IF(Atletas!Q520="Xingyiquan F",516,IF(Atletas!Q520="Baguazhang F",517,IF(Atletas!Q520="Outro Estilo Interno F",518, "")))))))))))))))))))</f>
        <v/>
      </c>
      <c r="BZ529" s="50" t="str">
        <f>IF(Atletas!R520="","",IF(Atletas!X520&lt;&gt;"",10000,0)+IF(Atletas!B520="Feminino",1000,IF(Atletas!B520="Masculino",2000,""))+IF(Atletas!R520="Dao A",601,IF(Atletas!R520="Jian A",602,IF(Atletas!R520="Bishou A",603,IF(Atletas!R520="Shanzi A",604,IF(Atletas!R520="Outra Arma Curta A",605,IF(Atletas!R520="Dao B",606,IF(Atletas!R520="Jian B",607,IF(Atletas!R520="Bishou B",608,IF(Atletas!R520="Shanzi B",609,IF(Atletas!R520="Outra Arma Curta B",610,IF(Atletas!R520="Dao C",611,IF(Atletas!R520="Jian C",612,IF(Atletas!R520="Bishou C",613,IF(Atletas!R520="Shanzi C",614,IF(Atletas!R520="Outra Arma Curta C",615,IF(Atletas!R520="Dao D",616,IF(Atletas!R520="Jian D",617,IF(Atletas!R520="Bishou D",618,IF(Atletas!R520="Shanzi D",619,IF(Atletas!R520="Outra Arma Curta D",620,IF(Atletas!R520="Dao E",621,IF(Atletas!R520="Jian E",622,IF(Atletas!R520="Bishou E",623,IF(Atletas!R520="Shanzi E",624,IF(Atletas!R520="Outra Arma Curta E",625,IF(Atletas!R520="Dao F",626,IF(Atletas!R520="Jian F",627,IF(Atletas!R520="Bishou F",628,IF(Atletas!R520="Shanzi F",629,IF(Atletas!R520="Outra Arma Curta F",630, "")))))))))))))))))))))))))))))))</f>
        <v/>
      </c>
      <c r="CA529" s="50" t="str">
        <f>IF(Atletas!S520="","",IF(Atletas!X520&lt;&gt;"",10000,0)+IF(Atletas!B520="Feminino",1000,IF(Atletas!B520="Masculino",2000,""))+IF(Atletas!S520="Gun A",701,IF(Atletas!S520="Qiang A",702,IF(Atletas!S520="Pudao / Guandao A",703,IF(Atletas!S520="Outra Arma Longa A",704,IF(Atletas!S520="Gun B",705,IF(Atletas!S520="Qiang B",706,IF(Atletas!S520="Pudao / Guandao B",707,IF(Atletas!S520="Outra Arma Longa B",708,IF(Atletas!S520="Gun C",709,IF(Atletas!S520="Qiang C",710,IF(Atletas!S520="Pudao / Guandao C",711,IF(Atletas!S520="Outra Arma Longa C",712,IF(Atletas!S520="Gun D",713,IF(Atletas!S520="Qiang D",714,IF(Atletas!S520="Pudao / Guandao D",715,IF(Atletas!S520="Outra Arma Longa D",716,IF(Atletas!S520="Gun E",717,IF(Atletas!S520="Qiang E",718,IF(Atletas!S520="Pudao / Guandao E",719,IF(Atletas!S520="Outra Arma Longa E",720,IF(Atletas!S520="Gun F",721,IF(Atletas!S520="Qiang F",722,IF(Atletas!S520="Pudao / Guandao F",723,IF(Atletas!S520="Outra Arma Longa F",724,"")))))))))))))))))))))))))</f>
        <v/>
      </c>
      <c r="CB529" s="50" t="str">
        <f>IF(Atletas!T520="","",IF(Atletas!X520&lt;&gt;"",10000,0)+IF(Atletas!B520="Feminino",1000,IF(Atletas!B520="Masculino",2000,""))+IF(Atletas!T520="Outra Arma Dupla A",801,IF(Atletas!T520="Arma Maleável A",802,IF(Atletas!T520="Outra Arma Dupla B",803,IF(Atletas!T520="Arma Maleável B",804,IF(Atletas!T520="Outra Arma Dupla C",805,IF(Atletas!T520="Arma Maleável C",806,IF(Atletas!T520="Outra Arma Dupla D",807,IF(Atletas!T520="Arma Maleável D",808,IF(Atletas!T520="Outra Arma Dupla E",809,IF(Atletas!T520="Arma Maleável E",810,IF(Atletas!T520="Outra Arma Dupla F",811,IF(Atletas!T520="Arma Maleável F",812,IF(Atletas!T520="Shuangdao A",813,IF(Atletas!T520="Shuangdao B",814,IF(Atletas!T520="Shuangdao C",815,IF(Atletas!T520="Shuangdao D",816,IF(Atletas!T520="Shuangdao E",817,IF(Atletas!T520="Shuangdao F",818,"")))))))))))))))))))</f>
        <v/>
      </c>
      <c r="CC529" s="50" t="str">
        <f>IF(Atletas!U520="","",IF(Atletas!X520&lt;&gt;"",10000,0)+IF(Atletas!B520="Feminino",1000,IF(Atletas!B520="Masculino",2000,""))+IF(OR(Atletas!U520="Taijijian Yang A",Atletas!U520="Taijijian Yang Standard A"),901,IF(OR(Atletas!U520="Taijijian Chen A", Atletas!U520="Taijijian Chen Standard A"),902,IF(Atletas!U520="Taijijian Sun A",903,IF(Atletas!U520="Taijijian Wu A",904,IF(Atletas!U520="Taijijian Wu-Hao A",905,IF(OR(Atletas!U520="Taijijian 32 A",Atletas!U520="Taijijian 42 A"),906,IF(OR(Atletas!U520="Taijijian Yang B",Atletas!U520="Taijijian Yang Standard B"),907,IF(OR(Atletas!U520="Taijijian Chen B", Atletas!U520="Taijijian Chen Standard B"),908,IF(Atletas!U520="Taijijian Sun B",909,IF(Atletas!U520="Taijijian Wu B",910,IF(Atletas!U520="Taijijian Wu-Hao B",911,IF(OR(Atletas!U520="Taijijian 32 B",Atletas!U520="Taijijian 42 B"),912,IF(OR(Atletas!U520="Taijijian Yang C",Atletas!U520="Taijijian Yang Standard C"),913,IF(OR(Atletas!U520="Taijijian Chen C", Atletas!U520="Taijijian Chen Standard C"),914,IF(Atletas!U520="Taijijian Sun C",915,IF(Atletas!U520="Taijijian Wu C",916,IF(Atletas!U520="Taijijian Wu-Hao C",917,IF(OR(Atletas!U520="Taijijian 32 C",Atletas!U520="Taijijian 42 C"),918,IF(OR(Atletas!U520="Taijijian Yang D",Atletas!U520="Taijijian Yang Standard D"),919,IF(OR(Atletas!U520="Taijijian Chen D", Atletas!U520="Taijijian Chen Standard D"),920,IF(Atletas!U520="Taijijian Sun D",921,IF(Atletas!U520="Taijijian Wu D",922,IF(Atletas!U520="Taijijian Wu-Hao D",923,IF(OR(Atletas!U520="Taijijian 32 D",Atletas!U520="Taijijian 42 D"),924,IF(OR(Atletas!U520="Taijijian Yang E",Atletas!U520="Taijijian Yang Standard E"),925,IF(OR(Atletas!U520="Taijijian Chen E", Atletas!U520="Taijijian Chen Standard E"),926,IF(Atletas!U520="Taijijian Sun E",927,IF(Atletas!U520="Taijijian Wu E",928,IF(Atletas!U520="Taijijian Wu-Hao E",929,IF(OR(Atletas!U520="Taijijian 32 E",Atletas!U520="Taijijian 42 E"),930,IF(OR(Atletas!U520="Taijijian Yang F",Atletas!U520="Taijijian Yang Standard F"),931,IF(OR(Atletas!U520="Taijijian Chen F", Atletas!U520="Taijijian Chen Standard F"),932,IF(Atletas!U520="Taijijian Sun F",933,IF(Atletas!U520="Taijijian Wu F",934,IF(Atletas!U520="Taijijian Wu-Hao F",935,IF(OR(Atletas!U520="Taijijian 32 F",Atletas!U520="Taijijian 42 F"),936,"")))))))))))))))))))))))))))))))))))))</f>
        <v/>
      </c>
      <c r="CD529" s="50" t="str">
        <f>IF(Atletas!V520="","",IF(Atletas!X520&lt;&gt;"",10000,0)+IF(Atletas!B520="Feminino",1000,IF(Atletas!B520="Masculino",2000,""))+IF(Atletas!V520="Taijidao A",937,IF(Atletas!V520="TaijiShanzi A",938,IF(Atletas!V520="Taijiqiang A",939,IF(Atletas!V520="Bagua de Arma A",940,IF(Atletas!V520="Xingyi de Arma A",941,IF(Atletas!V520="Taijidao B",942,IF(Atletas!V520="TaijiShanzi B",943,IF(Atletas!V520="Taijiqiang B",944,IF(Atletas!V520="Bagua de Arma B",945,IF(Atletas!V520="Xingyi de Arma B",946,IF(Atletas!V520="Taijidao C",947,IF(Atletas!V520="TaijiShanzi C",948,IF(Atletas!V520="Taijiqiang C",949,IF(Atletas!V520="Bagua de Arma C",950,IF(Atletas!V520="Xingyi de Arma C",951,IF(Atletas!V520="Taijidao D",952,IF(Atletas!V520="TaijiShanzi D",953,IF(Atletas!V520="Taijiqiang D",954,IF(Atletas!V520="Bagua de Arma D",955,IF(Atletas!V520="Xingyi de Arma D",956,IF(Atletas!V520="Taijidao E",957,IF(Atletas!V520="TaijiShanzi E",958,IF(Atletas!V520="Taijiqiang E",959,IF(Atletas!V520="Bagua de Arma E",960,IF(Atletas!V520="Xingyi de Arma E",961,IF(Atletas!V520="Taijidao F",962,IF(Atletas!V520="TaijiShanzi F",963,IF(Atletas!V520="Taijiqiang F",964,IF(Atletas!V520="Bagua de Arma F",965,IF(Atletas!V520="Xingyi de Arma F",966,"")))))))))))))))))))))))))))))))</f>
        <v/>
      </c>
      <c r="CM529" s="50" t="str">
        <f xml:space="preserve"> IF(Atletas!W520="","",IF(Atletas!W520="Duilian de Mãos BC - Equipe 1",1,IF(Atletas!W520="Duilian de Mãos BC - Equipe 2",2,IF(Atletas!W520="Duilian de Armas BC - Equipe 1",3,IF(Atletas!W520="Duilian de Armas BC - Equipe 2",4,IF(Atletas!W520="Duilian de Mãos DE - Equipe 1",5,IF(Atletas!W520="Duilian de Mãos DE - Equipe 2",6,IF(Atletas!W520="Duilian de Armas DE - Equipe 1",7,IF(Atletas!W520="Duilian de Armas DE - Equipe 2",8,IF(Atletas!W520="Duilian de Tuishou - Equipe 1",9,IF(Atletas!W520="Duilian de Tuishou - Equipe 2",10,IF(Atletas!W520="Grupo Externo ABC - Equipe 1",11,IF(Atletas!W520="Grupo Externo ABC - Equipe 2",12,IF(Atletas!W520="Grupo Interno ABC - Equipe 1",13,IF(Atletas!W520="Grupo Interno ABC - Equipe 2",14,IF(Atletas!W520="Grupo Externo DEF - Equipe 1",15,IF(Atletas!W520="Grupo Externo DEF - Equipe 2",16,IF(Atletas!W520="Grupo Interno DEF - Equipe 1",17,IF(Atletas!W520="Grupo Interno DEF - Equipe 2",18,"")))))))))))))))))))</f>
        <v/>
      </c>
    </row>
    <row r="530" spans="40:91">
      <c r="AN530" s="52" t="str">
        <f>IF(Atletas!D521="","",IF(Atletas!B521="Feminino",100,IF(Atletas!B521="Masculino",200,""))+(IF(Atletas!D521="Kids 30kg",1,IF(Atletas!D521="Kids 32kg",2, IF(Atletas!D521="Kids 34kg",3,IF(Atletas!D521="Kids 36kg",4,IF(Atletas!D521="Kids 39kg",5,IF(Atletas!D521="Kids 42kg",6,IF(Atletas!D521="Kids 45kg",7, IF(Atletas!D521="Infantil 39kg",8,IF(Atletas!D521="Infantil 42kg",9,IF(Atletas!D521="Infantil 45kg",10,IF(Atletas!D521="Infantil 48kg",11,IF(Atletas!D521="Infantil 52kg",12,IF(Atletas!D521="Infantil 56kg",13,IF(Atletas!D521="Infantil 60kg",14,IF(Atletas!D521="Juvenil 48kg",15,IF(Atletas!D521="Juvenil 52kg",16,IF(Atletas!D521="Juvenil 56kg",17,IF(Atletas!D521="Juvenil 60kg",18,IF(Atletas!D521="Juvenil 65kg",19,IF(Atletas!D521="Juvenil 70kg",20,IF(Atletas!D521="Juvenil 75kg",21,IF(Atletas!D521="Juvenil 80kg",22, IF(Atletas!D521="Juvenil 85kg",23,IF(Atletas!D521="Adulto 48kg",24,IF(Atletas!D521="Adulto 52kg",25,IF(Atletas!D521="Adulto 56kg",26,IF(Atletas!D521="Adulto 60kg",27,IF(Atletas!D521="Adulto 65kg",28,IF(Atletas!D521="Adulto 70kg",29,IF(Atletas!D521="Adulto 75kg",30,IF(Atletas!D521="Adulto 80kg",31,IF(Atletas!D521="Adulto 85kg",32,IF(Atletas!D521="Adulto 90kg",33,IF(Atletas!D521="Adulto 100kg",34, IF(Atletas!D521="Adulto +100kg",35,"")))))))))))))))))))))))))))))))))))))</f>
        <v/>
      </c>
      <c r="AS530" s="6" t="str">
        <f>IF(Atletas!E521="","",IF(Atletas!B521="Feminino",100,IF(Atletas!B521="Masculino",200,""))+(IF(Atletas!E521="Juvenil 44kg",1,IF(Atletas!E521="Juvenil 48kg",2,IF(Atletas!E521="Juvenil 52kg",3,IF(Atletas!E521="Juvenil 56kg",4,IF(Atletas!E521="Juvenil 60kg",5,IF(Atletas!E521="Juvenil 65kg",6,IF(Atletas!E521="Juvenil 70kg",7,IF(Atletas!E521="Juvenil 75kg",8,IF(Atletas!E521="Juvenil 82kg",9,IF(Atletas!E521="Juvenil 90kg",10,IF(Atletas!E521="Juvenil 100kg",11,IF(Atletas!E521="Adulto 48kg",12,IF(Atletas!E521="Adulto 52kg",13,IF(Atletas!E521="Adulto 56kg",14,IF(Atletas!E521="Adulto 60kg",15,IF(Atletas!E521="Adulto 65kg",16,IF(Atletas!E521="Adulto 70kg",17,IF(Atletas!E521="Adulto 75kg",18,IF(Atletas!E521="Adulto 82kg",19,IF(Atletas!E521="Adulto 90kg",20,IF(Atletas!E521="Adulto 100kg",21,IF(Atletas!E521="Adulto +100kg",22,""))))))))))))))))))))))))</f>
        <v/>
      </c>
      <c r="AX530" s="6" t="str">
        <f>IF(Atletas!F521="","",IF(Atletas!B521="Feminino",100,IF(Atletas!B521="Masculino",200,""))+(IF(Atletas!F521="Adulto 48kg",1,IF(Atletas!F521="Adulto 56kg",2,IF(Atletas!F521="Adulto 65kg",3,IF(Atletas!F521="Adulto 75kg",4,IF(Atletas!F521="Adulto +75kg",5,IF(Atletas!F521="Adulto 52kg",6,IF(Atletas!F521="Adulto 60kg",7,IF(Atletas!F521="Adulto 70kg",8,IF(Atletas!F521="Adulto 80kg",9,IF(Atletas!F521="Adulto 90kg",10,IF(Atletas!F521="Adulto +90kg",11,"")))))))))))))</f>
        <v/>
      </c>
      <c r="BC530" s="6" t="str">
        <f>IF(Atletas!G521="","",IF(Atletas!B521="Feminino",10,IF(Atletas!B521="Masculino",20,""))+(IF(Atletas!G521="Baduanjin A",1,IF(Atletas!G521="Baduanjin B",2))))</f>
        <v/>
      </c>
      <c r="BF530" s="52" t="str">
        <f>IF(Atletas!H521="","",IF(Atletas!B521="Feminino",100,IF(Atletas!B521="Masculino",200,""))+(IF(Atletas!H521="Changquan Mirim",1,IF(Atletas!H521="Nanquan Mirim",2,IF(Atletas!H521="Taijiquan Mirim",3,IF(Atletas!H521="Changquan Grupo C",4,IF(Atletas!H521="Nanquan Grupo C",5,IF(Atletas!H521="Taijiquan Grupo C",6,IF(Atletas!H521="Changquan Grupo B",7,IF(Atletas!H521="Nanquan Grupo B",8,IF(Atletas!H521="Taijiquan Grupo B",9,IF(Atletas!H521="Changquan Grupo A",10,IF(Atletas!H521="Nanquan Grupo A",11,IF(Atletas!H521="Taijiquan Grupo A",12,IF(Atletas!H521="Changquan Opcional",13,IF(Atletas!H521="Nanquan Opcional",14,IF(Atletas!H521="Taijiquan Opcional",15,IF(Atletas!H521="Changquan Adulto",16,IF(Atletas!H521="Nanquan Adulto",17,IF(Atletas!H521="Taijiquan Adulto",18,""))))))))))))))))))))</f>
        <v/>
      </c>
      <c r="BG530" s="52" t="str">
        <f>IF(Atletas!I521="","",IF(Atletas!B521="Feminino",100,IF(Atletas!B521="Masculino",200,""))+(IF(Atletas!I521="Daoshu Mirim",19,IF(Atletas!I521="Jianshu Mirim",20,IF(Atletas!I521="Nandao Mirim",21,IF(Atletas!I521="Taijijian Mirim",22,IF(Atletas!I521="Daoshu Grupo C",23,IF(Atletas!I521="Jianshu Grupo C",24,IF(Atletas!I521="Nandao Grupo C",25,IF(Atletas!I521="Taijijian Grupo C",26,IF(Atletas!I521="Daoshu Grupo B",27,IF(Atletas!I521="Jianshu Grupo B",28,IF(Atletas!I521="Nandao Grupo B",29,IF(Atletas!I521="Taijijian Grupo B",30,IF(Atletas!I521="Daoshu Grupo A",31,IF(Atletas!I521="Jianshu Grupo A",32,IF(Atletas!I521="Nandao Grupo A",33,IF(Atletas!I521="Taijijian Grupo A",34,IF(Atletas!I521="Daoshu Opcional",35,IF(Atletas!I521="Jianshu Opcional",36,IF(Atletas!I521="Nandao Opcional",37,IF(Atletas!I521="Taijijian Opcional",38,IF(Atletas!I521="Daoshu Adulto",39,IF(Atletas!I521="Jianshu Adulto",40,IF(Atletas!I521="Nandao Adulto",41,IF(Atletas!I521="Taijijian Adulto",42,""))))))))))))))))))))))))))</f>
        <v/>
      </c>
      <c r="BH530" s="52" t="str">
        <f>IF(Atletas!J521="","",IF(Atletas!B521="Feminino",100,IF(Atletas!B521="Masculino",200,""))+(IF(Atletas!J521="Gunshu Mirim",43,IF(Atletas!J521="Qiangshu Mirim",44,IF(Atletas!J521="Nangun Mirim",45,IF(Atletas!J521="Gunshu Grupo C",46,IF(Atletas!J521="Qiangshu Grupo C",47,IF(Atletas!J521="Nangun Grupo C",48,IF(Atletas!J521="Gunshu Grupo B",49,IF(Atletas!J521="Qiangshu Grupo B",50,IF(Atletas!J521="Nangun Grupo B",51,IF(Atletas!J521="Gunshu Grupo A",52,IF(Atletas!J521="Qiangshu Grupo A",53,IF(Atletas!J521="Nangun Grupo A",54,IF(Atletas!J521="Gunshu Opcional",55,IF(Atletas!J521="Qiangshu Opcional",56,IF(Atletas!J521="Nangun Opcional",57,IF(Atletas!J521="Gunshu Adulto",58,IF(Atletas!J521="Qiangshu Adulto",59,IF(Atletas!J521="Nangun Adulto",60,IF(Atletas!J521="Taijishan Grupo B",61,IF(Atletas!J521="Taijishan Grupo A",62,""))))))))))))))))))))))</f>
        <v/>
      </c>
      <c r="BM530" s="50" t="str">
        <f>IF(Atletas!K521="","",IF(Atletas!B521="Feminino",100,IF(Atletas!B521="Masculino",200,""))+(IF(Atletas!K521="Equipe 1 Grupo B",1,IF(Atletas!K521="Equipe 2 Grupo B",2,IF(Atletas!K521="Equipe 1 Grupo A",3,IF(Atletas!K521="Equipe 2 Grupo A",4,IF(Atletas!K521="Equipe 1 Adulto",5,IF(Atletas!K521="Equipe 2 Adulto",6,""))))))))</f>
        <v/>
      </c>
      <c r="BR530" s="50" t="str">
        <f>IF(Atletas!L521="","",IF(Atletas!X521&lt;&gt;"",10000,0)+(IF(Atletas!B521="Feminino",1000,IF(Atletas!B521="Masculino",2000,""))+IF(Atletas!L521="Choylayfut A",1,IF(Atletas!L521="Hunggar A",2,IF(Atletas!L521="Wuzuquan A",3,IF(Atletas!L521="Wingchun A",4,IF(Atletas!L521="Outra Mão de Sul A",5,IF(Atletas!L521="Choylayfut B",6,IF(Atletas!L521="Hunggar B",7,IF(Atletas!L521="Wuzuquan B",8,IF(Atletas!L521="Wingchun B",9,IF(Atletas!L521="Outra Mão de Sul B",10,IF(Atletas!L521="Choylayfut C",11,IF(Atletas!L521="Hunggar C",12,IF(Atletas!L521="Wuzuquan C",13,IF(Atletas!L521="Wingchun C",14,IF(Atletas!L521="Outra Mão de Sul C",15,IF(Atletas!L521="Choylayfut D",16,IF(Atletas!L521="Hunggar D",17,IF(Atletas!L521="Wuzuquan D",18,IF(Atletas!L521="Wingchun D",19,IF(Atletas!L521="Outra Mão de Sul D",20,IF(Atletas!L521="Choylayfut E",21,IF(Atletas!L521="Hunggar E",22,IF(Atletas!L521="Wuzuquan E",23,IF(Atletas!L521="Wingchun E",24,IF(Atletas!L521="Outra Mão de Sul E",25,IF(Atletas!L521="Choylayfut F",26,IF(Atletas!L521="Hunggar F",27,IF(Atletas!L521="Wuzuquan F",28,IF(Atletas!L521="Wingchun F",29,IF(Atletas!L521="Outra Mão de Sul F",30,IF(Atletas!L521="Dishuquan A",31,IF(Atletas!L521="Dishuquan B",32,IF(Atletas!L521="Dishuquan C",33,IF(Atletas!L521="Dishuquan D",34,IF(Atletas!L521="Dishuquan E",35,IF(Atletas!L521="Dishuquan F",36,""))))))))))))))))))))))))))))))))))))))</f>
        <v/>
      </c>
      <c r="BS530" s="50" t="str">
        <f>IF(Atletas!M521="","",IF(Atletas!X521&lt;&gt;"",10000,0)+(IF(Atletas!B521="Feminino",1000,IF(Atletas!B521="Masculino",2000,""))+(IF(Atletas!M521="Chaquan A",101,IF(Atletas!M521="Emeiquan A",102,IF(Atletas!M521="Fanziquan A",103,IF(Atletas!M521="Huaquan A",104,IF(Atletas!M521="Hongquan A",105,IF(Atletas!M521="Paoquan A",106,IF(Atletas!M521="Piguaquan A",107,IF(Atletas!M521="Shaolinquan A",108,IF(Atletas!M521="Tanglangquan A",109,IF(Atletas!M521="Yingzhaoquan A",110,IF(Atletas!M521="Tongbeiquan A",111,IF(Atletas!M521="Wudangquan A",112,IF(Atletas!M521="Outros Estilos A",113,IF(Atletas!M521="Chaquan B",114,IF(Atletas!M521="Emeiquan B",115,IF(Atletas!M521="Fanziquan B",116,IF(Atletas!M521="Huaquan B",117,IF(Atletas!M521="Hongquan B",118,IF(Atletas!M521="Paoquan B",119,IF(Atletas!M521="Piguaquan B",120,IF(Atletas!M521="Shaolinquan B",121,IF(Atletas!M521="Tanglangquan B",122,IF(Atletas!M521="Yingzhaoquan B",123,IF(Atletas!M521="Tongbeiquan B",124,IF(Atletas!M521="Wudangquan B",125,IF(Atletas!M521="Outros Estilos B",126,IF(Atletas!M521="Chaquan C",127,IF(Atletas!M521="Emeiquan C",128,IF(Atletas!M521="Fanziquan C",129,IF(Atletas!M521="Huaquan C",130,IF(Atletas!M521="Hongquan C",131,IF(Atletas!M521="Paoquan C",132,IF(Atletas!M521="Piguaquan C",133,IF(Atletas!M521="Shaolinquan C",134,IF(Atletas!M521="Tanglangquan C",135,IF(Atletas!M521="Yingzhaoquan C",136,IF(Atletas!M521="Tongbeiquan C",137,IF(Atletas!M521="Wudangquan C",138,IF(Atletas!M521="Outros Estilos C",139,0))))))))))))))))))))))))))))))))))))))))))</f>
        <v/>
      </c>
      <c r="BT530" s="50" t="str">
        <f>IF(Atletas!M521="","",IF(Atletas!X521&lt;&gt;"",10000,0)+(IF(Atletas!B521="Feminino",1000,IF(Atletas!B521="Masculino",2000,""))+(IF(Atletas!M521="Chaquan D",140,IF(Atletas!M521="Emeiquan D",141,IF(Atletas!M521="Fanziquan D",142,IF(Atletas!M521="Huaquan D",143,IF(Atletas!M521="Hongquan D",144,IF(Atletas!M521="Paoquan D",145,IF(Atletas!M521="Piguaquan D",146,IF(Atletas!M521="Shaolinquan D",147,IF(Atletas!M521="Tanglangquan D",148,IF(Atletas!M521="Yingzhaoquan D",149,IF(Atletas!M521="Tongbeiquan D",150,IF(Atletas!M521="Wudangquan D",151,IF(Atletas!M521="Outros Estilos D",152,IF(Atletas!M521="Chaquan E",153,IF(Atletas!M521="Emeiquan E",154,IF(Atletas!M521="Fanziquan E",155,IF(Atletas!M521="Huaquan E",156,IF(Atletas!M521="Hongquan E",157,IF(Atletas!M521="Paoquan E",158,IF(Atletas!M521="Piguaquan E",159,IF(Atletas!M521="Shaolinquan E",160,IF(Atletas!M521="Tanglangquan E",161,IF(Atletas!M521="Yingzhaoquan E",162,IF(Atletas!M521="Tongbeiquan E",163,IF(Atletas!M521="Wudangquan E",164,IF(Atletas!M521="Outros Estilos E",165,IF(Atletas!M521="Chaquan F",166,IF(Atletas!M521="Emeiquan F",167,IF(Atletas!M521="Fanziquan F",168,IF(Atletas!M521="Huaquan F",169,IF(Atletas!M521="Hongquan F",170,IF(Atletas!M521="Paoquan F",171,IF(Atletas!M521="Piguaquan F",172,IF(Atletas!M521="Shaolinquan F",173,IF(Atletas!M521="Tanglangquan F",174,IF(Atletas!M521="Yingzhaoquan F",175,IF(Atletas!M521="Tongbeiquan F",176,IF(Atletas!M521="Wudangquan F",177,IF(Atletas!M521="Outros Estilos F",178,0))))))))))))))))))))))))))))))))))))))))))</f>
        <v/>
      </c>
      <c r="BU530" s="50" t="str">
        <f>IF(Atletas!N521="","",IF(Atletas!X521&lt;&gt;"",10000,0)+(IF(Atletas!B521="Feminino",1000,IF(Atletas!B521="Masculino",2000,""))+(IF(Atletas!N521="Ditangquan A",201,IF(Atletas!N521="Houquan A",202,IF(Atletas!N521="Zuiquan A",203,IF(Atletas!N521="Ditangquan B",204,IF(Atletas!N521="Houquan B",205,IF(Atletas!N521="Zuiquan B",206,IF(Atletas!N521="Ditangquan C",207,IF(Atletas!N521="Houquan C",208,IF(Atletas!N521="Zuiquan C",209,IF(Atletas!N521="Ditangquan D",210,IF(Atletas!N521="Houquan D",211,IF(Atletas!N521="Zuiquan D",212,IF(Atletas!N521="Ditangquan E",213,IF(Atletas!N521="Houquan E",214,IF(Atletas!N521="Zuiquan E",215,IF(Atletas!N521="Ditangquan F",216,IF(Atletas!N521="Houquan F",217,IF(Atletas!N521="Zuiquan F",218,"")))))))))))))))))))))</f>
        <v/>
      </c>
      <c r="BV530" s="50" t="str">
        <f>IF(Atletas!O521="","",IF(Atletas!X521&lt;&gt;"",10000,0)+IF(Atletas!B521="Feminino",1000,IF(Atletas!B521="Masculino",2000,""))+IF(Atletas!O521="Yang A",301,IF(Atletas!O521="Chen A",302,IF(Atletas!O521="Sun A",303,IF(Atletas!O521="Wu A",304,IF(Atletas!O521="Wu-Hao A",305,IF(Atletas!O521="Outro Taijiquan A",306,IF(Atletas!O521="Yang B",307,IF(Atletas!O521="Chen B",308,IF(Atletas!O521="Sun B",309,IF(Atletas!O521="Wu B",310,IF(Atletas!O521="Wu-Hao B",311,IF(Atletas!O521="Outro Taijiquan B",312,IF(Atletas!O521="Yang C",313,IF(Atletas!O521="Chen C",314,IF(Atletas!O521="Sun C",315,IF(Atletas!O521="Wu C",316,IF(Atletas!O521="Wu-Hao C",317,IF(Atletas!O521="Outro Taijiquan C",318,IF(Atletas!O521="Yang D",319,IF(Atletas!O521="Chen D",320,IF(Atletas!O521="Sun D",321,IF(Atletas!O521="Wu D",322,IF(Atletas!O521="Wu-Hao D",323,IF(Atletas!O521="Outro Taijiquan D",324,IF(Atletas!O521="Yang E",325,IF(Atletas!O521="Chen E",326,IF(Atletas!O521="Sun E",327,IF(Atletas!O521="Wu E",328,IF(Atletas!O521="Wu-Hao E",329,IF(Atletas!O521="Outro Taijiquan E",330,IF(Atletas!O521="Yang F",331,IF(Atletas!O521="Chen F",332,IF(Atletas!O521="Sun F",333,IF(Atletas!O521="Wu F",334,IF(Atletas!O521="Wu-Hao F",335,IF(Atletas!O521="Outro Taijiquan F",336,"")))))))))))))))))))))))))))))))))))))</f>
        <v/>
      </c>
      <c r="BW530" s="50" t="str">
        <f>IF(Atletas!P521="","",IF(Atletas!X521&lt;&gt;"",10000,0)+IF(Atletas!B521="Feminino",1000,IF(Atletas!B521="Masculino",2000,""))+IF(OR(Atletas!P521="Yang 26 A",Atletas!P521="Yang 40 A"),401,IF(OR(Atletas!P521="Chen 25 A",Atletas!P521="Chen 36 A",Atletas!P521="Chen 56 A"),402,IF(Atletas!P521="Sun 73 A",403,IF(Atletas!P521="Wu 45 A",404,IF(Atletas!P521="Wu-Hao 46 A",405,IF(OR(Atletas!P521="Taijiquan 16 A",Atletas!P521="Taijiquan 24 A",Atletas!P521="Taijiquan 32 A",Atletas!P521="Taijiquan 42 A"),406,IF(OR(Atletas!P521="Yang 26 B",Atletas!P521="Yang 40 B"),407,IF(OR(Atletas!P521="Chen 25 B",Atletas!P521="Chen 36 B",Atletas!P521="Chen 56 B"),408,IF(Atletas!P521="Sun 73 B",409,IF(Atletas!P521="Wu 45 B",410,IF(Atletas!P521="Wu-Hao 46 B",411,IF(OR(Atletas!P521="Taijiquan 16 B",Atletas!P521="Taijiquan 24 B",Atletas!P521="Taijiquan 32 B",Atletas!P521="Taijiquan 42 B"),412,IF(OR(Atletas!P521="Yang 26 C",Atletas!P521="Yang 40 C"),413,IF(OR(Atletas!P521="Chen 25 C",Atletas!P521="Chen 36 C",Atletas!P521="Chen 56 C"),414,IF(Atletas!P521="Sun 73 C",415,IF(Atletas!P521="Wu 45 C",416,IF(Atletas!P521="Wu-Hao 46 C",417,IF(OR(Atletas!P521="Taijiquan 16 C",Atletas!P521="Taijiquan 24 C",Atletas!P521="Taijiquan 32 C",Atletas!P521="Taijiquan 42 C"),418,0)))))))))))))))))))</f>
        <v/>
      </c>
      <c r="BX530" s="50" t="str">
        <f>IF(Atletas!P521="","",IF(Atletas!X521&lt;&gt;"",10000,0)+IF(Atletas!B521="Feminino",1000,IF(Atletas!B521="Masculino",2000,""))+IF(OR(Atletas!P521="Yang 26 D",Atletas!P521="Yang 40 D"),419,IF(OR(Atletas!P521="Chen 25 D",Atletas!P521="Chen 36 D",Atletas!P521="Chen 56 D"),420,IF(Atletas!P521="Sun 73 D",421,IF(Atletas!P521="Wu 45 D",422,IF(Atletas!P521="Wu-Hao 46 D",423,IF(OR(Atletas!P521="Taijiquan 16 D",Atletas!P521="Taijiquan 24 D",Atletas!P521="Taijiquan 32 D",Atletas!P521="Taijiquan 42 D"),424,IF(OR(Atletas!P521="Yang 26 E",Atletas!P521="Yang 40 E"),425,IF(OR(Atletas!P521="Chen 25 E",Atletas!P521="Chen 36 E",Atletas!P521="Chen 56 E"),426,IF(Atletas!P521="Sun 73 E",427,IF(Atletas!P521="Wu 45 E",428,IF(Atletas!P521="Wu-Hao 46 E",429,IF(OR(Atletas!P521="Taijiquan 16 E",Atletas!P521="Taijiquan 24 E",Atletas!P521="Taijiquan 32 E",Atletas!P521="Taijiquan 42 E"),430,IF(OR(Atletas!P521="Yang 26 F",Atletas!P521="Yang 40 F"),431,IF(OR(Atletas!P521="Chen 25 F",Atletas!P521="Chen 36 F",Atletas!P521="Chen 56 F"),432,IF(Atletas!P521="Sun 73 F",433,IF(Atletas!P521="Wu 45 F",434,IF(Atletas!P521="Wu-Hao 46 F",435,IF(OR(Atletas!P521="Taijiquan 16 F",Atletas!P521="Taijiquan 24 F",Atletas!P521="Taijiquan 32 F",Atletas!P521="Taijiquan 42 F"),436,0)))))))))))))))))))</f>
        <v/>
      </c>
      <c r="BY530" s="50" t="str">
        <f>IF(Atletas!Q521="","",IF(Atletas!X521&lt;&gt;"",10000,0)+IF(Atletas!B521="Feminino",1000,IF(Atletas!B521="Masculino",2000,""))+IF(Atletas!Q521="Xingyiquan A",501,IF(Atletas!Q521="Baguazhang A",502,IF(Atletas!Q521="Outro Estilo Interno A",503,IF(Atletas!Q521="Xingyiquan B",504,IF(Atletas!Q521="Baguazhang B",505,IF(Atletas!Q521="Outro Estilo Interno B",506,IF(Atletas!Q521="Xingyiquan C",507,IF(Atletas!Q521="Baguazhang C",508,IF(Atletas!Q521="Outro Estilo Interno C",509,IF(Atletas!Q521="Xingyiquan D",510,IF(Atletas!Q521="Baguazhang D",511,IF(Atletas!Q521="Outro Estilo Interno D",512,IF(Atletas!Q521="Xingyiquan E",513,IF(Atletas!Q521="Baguazhang E",514,IF(Atletas!Q521="Outro Estilo Interno E",515,IF(Atletas!Q521="Xingyiquan F",516,IF(Atletas!Q521="Baguazhang F",517,IF(Atletas!Q521="Outro Estilo Interno F",518, "")))))))))))))))))))</f>
        <v/>
      </c>
      <c r="BZ530" s="50" t="str">
        <f>IF(Atletas!R521="","",IF(Atletas!X521&lt;&gt;"",10000,0)+IF(Atletas!B521="Feminino",1000,IF(Atletas!B521="Masculino",2000,""))+IF(Atletas!R521="Dao A",601,IF(Atletas!R521="Jian A",602,IF(Atletas!R521="Bishou A",603,IF(Atletas!R521="Shanzi A",604,IF(Atletas!R521="Outra Arma Curta A",605,IF(Atletas!R521="Dao B",606,IF(Atletas!R521="Jian B",607,IF(Atletas!R521="Bishou B",608,IF(Atletas!R521="Shanzi B",609,IF(Atletas!R521="Outra Arma Curta B",610,IF(Atletas!R521="Dao C",611,IF(Atletas!R521="Jian C",612,IF(Atletas!R521="Bishou C",613,IF(Atletas!R521="Shanzi C",614,IF(Atletas!R521="Outra Arma Curta C",615,IF(Atletas!R521="Dao D",616,IF(Atletas!R521="Jian D",617,IF(Atletas!R521="Bishou D",618,IF(Atletas!R521="Shanzi D",619,IF(Atletas!R521="Outra Arma Curta D",620,IF(Atletas!R521="Dao E",621,IF(Atletas!R521="Jian E",622,IF(Atletas!R521="Bishou E",623,IF(Atletas!R521="Shanzi E",624,IF(Atletas!R521="Outra Arma Curta E",625,IF(Atletas!R521="Dao F",626,IF(Atletas!R521="Jian F",627,IF(Atletas!R521="Bishou F",628,IF(Atletas!R521="Shanzi F",629,IF(Atletas!R521="Outra Arma Curta F",630, "")))))))))))))))))))))))))))))))</f>
        <v/>
      </c>
      <c r="CA530" s="50" t="str">
        <f>IF(Atletas!S521="","",IF(Atletas!X521&lt;&gt;"",10000,0)+IF(Atletas!B521="Feminino",1000,IF(Atletas!B521="Masculino",2000,""))+IF(Atletas!S521="Gun A",701,IF(Atletas!S521="Qiang A",702,IF(Atletas!S521="Pudao / Guandao A",703,IF(Atletas!S521="Outra Arma Longa A",704,IF(Atletas!S521="Gun B",705,IF(Atletas!S521="Qiang B",706,IF(Atletas!S521="Pudao / Guandao B",707,IF(Atletas!S521="Outra Arma Longa B",708,IF(Atletas!S521="Gun C",709,IF(Atletas!S521="Qiang C",710,IF(Atletas!S521="Pudao / Guandao C",711,IF(Atletas!S521="Outra Arma Longa C",712,IF(Atletas!S521="Gun D",713,IF(Atletas!S521="Qiang D",714,IF(Atletas!S521="Pudao / Guandao D",715,IF(Atletas!S521="Outra Arma Longa D",716,IF(Atletas!S521="Gun E",717,IF(Atletas!S521="Qiang E",718,IF(Atletas!S521="Pudao / Guandao E",719,IF(Atletas!S521="Outra Arma Longa E",720,IF(Atletas!S521="Gun F",721,IF(Atletas!S521="Qiang F",722,IF(Atletas!S521="Pudao / Guandao F",723,IF(Atletas!S521="Outra Arma Longa F",724,"")))))))))))))))))))))))))</f>
        <v/>
      </c>
      <c r="CB530" s="50" t="str">
        <f>IF(Atletas!T521="","",IF(Atletas!X521&lt;&gt;"",10000,0)+IF(Atletas!B521="Feminino",1000,IF(Atletas!B521="Masculino",2000,""))+IF(Atletas!T521="Outra Arma Dupla A",801,IF(Atletas!T521="Arma Maleável A",802,IF(Atletas!T521="Outra Arma Dupla B",803,IF(Atletas!T521="Arma Maleável B",804,IF(Atletas!T521="Outra Arma Dupla C",805,IF(Atletas!T521="Arma Maleável C",806,IF(Atletas!T521="Outra Arma Dupla D",807,IF(Atletas!T521="Arma Maleável D",808,IF(Atletas!T521="Outra Arma Dupla E",809,IF(Atletas!T521="Arma Maleável E",810,IF(Atletas!T521="Outra Arma Dupla F",811,IF(Atletas!T521="Arma Maleável F",812,IF(Atletas!T521="Shuangdao A",813,IF(Atletas!T521="Shuangdao B",814,IF(Atletas!T521="Shuangdao C",815,IF(Atletas!T521="Shuangdao D",816,IF(Atletas!T521="Shuangdao E",817,IF(Atletas!T521="Shuangdao F",818,"")))))))))))))))))))</f>
        <v/>
      </c>
      <c r="CC530" s="50" t="str">
        <f>IF(Atletas!U521="","",IF(Atletas!X521&lt;&gt;"",10000,0)+IF(Atletas!B521="Feminino",1000,IF(Atletas!B521="Masculino",2000,""))+IF(OR(Atletas!U521="Taijijian Yang A",Atletas!U521="Taijijian Yang Standard A"),901,IF(OR(Atletas!U521="Taijijian Chen A", Atletas!U521="Taijijian Chen Standard A"),902,IF(Atletas!U521="Taijijian Sun A",903,IF(Atletas!U521="Taijijian Wu A",904,IF(Atletas!U521="Taijijian Wu-Hao A",905,IF(OR(Atletas!U521="Taijijian 32 A",Atletas!U521="Taijijian 42 A"),906,IF(OR(Atletas!U521="Taijijian Yang B",Atletas!U521="Taijijian Yang Standard B"),907,IF(OR(Atletas!U521="Taijijian Chen B", Atletas!U521="Taijijian Chen Standard B"),908,IF(Atletas!U521="Taijijian Sun B",909,IF(Atletas!U521="Taijijian Wu B",910,IF(Atletas!U521="Taijijian Wu-Hao B",911,IF(OR(Atletas!U521="Taijijian 32 B",Atletas!U521="Taijijian 42 B"),912,IF(OR(Atletas!U521="Taijijian Yang C",Atletas!U521="Taijijian Yang Standard C"),913,IF(OR(Atletas!U521="Taijijian Chen C", Atletas!U521="Taijijian Chen Standard C"),914,IF(Atletas!U521="Taijijian Sun C",915,IF(Atletas!U521="Taijijian Wu C",916,IF(Atletas!U521="Taijijian Wu-Hao C",917,IF(OR(Atletas!U521="Taijijian 32 C",Atletas!U521="Taijijian 42 C"),918,IF(OR(Atletas!U521="Taijijian Yang D",Atletas!U521="Taijijian Yang Standard D"),919,IF(OR(Atletas!U521="Taijijian Chen D", Atletas!U521="Taijijian Chen Standard D"),920,IF(Atletas!U521="Taijijian Sun D",921,IF(Atletas!U521="Taijijian Wu D",922,IF(Atletas!U521="Taijijian Wu-Hao D",923,IF(OR(Atletas!U521="Taijijian 32 D",Atletas!U521="Taijijian 42 D"),924,IF(OR(Atletas!U521="Taijijian Yang E",Atletas!U521="Taijijian Yang Standard E"),925,IF(OR(Atletas!U521="Taijijian Chen E", Atletas!U521="Taijijian Chen Standard E"),926,IF(Atletas!U521="Taijijian Sun E",927,IF(Atletas!U521="Taijijian Wu E",928,IF(Atletas!U521="Taijijian Wu-Hao E",929,IF(OR(Atletas!U521="Taijijian 32 E",Atletas!U521="Taijijian 42 E"),930,IF(OR(Atletas!U521="Taijijian Yang F",Atletas!U521="Taijijian Yang Standard F"),931,IF(OR(Atletas!U521="Taijijian Chen F", Atletas!U521="Taijijian Chen Standard F"),932,IF(Atletas!U521="Taijijian Sun F",933,IF(Atletas!U521="Taijijian Wu F",934,IF(Atletas!U521="Taijijian Wu-Hao F",935,IF(OR(Atletas!U521="Taijijian 32 F",Atletas!U521="Taijijian 42 F"),936,"")))))))))))))))))))))))))))))))))))))</f>
        <v/>
      </c>
      <c r="CD530" s="50" t="str">
        <f>IF(Atletas!V521="","",IF(Atletas!X521&lt;&gt;"",10000,0)+IF(Atletas!B521="Feminino",1000,IF(Atletas!B521="Masculino",2000,""))+IF(Atletas!V521="Taijidao A",937,IF(Atletas!V521="TaijiShanzi A",938,IF(Atletas!V521="Taijiqiang A",939,IF(Atletas!V521="Bagua de Arma A",940,IF(Atletas!V521="Xingyi de Arma A",941,IF(Atletas!V521="Taijidao B",942,IF(Atletas!V521="TaijiShanzi B",943,IF(Atletas!V521="Taijiqiang B",944,IF(Atletas!V521="Bagua de Arma B",945,IF(Atletas!V521="Xingyi de Arma B",946,IF(Atletas!V521="Taijidao C",947,IF(Atletas!V521="TaijiShanzi C",948,IF(Atletas!V521="Taijiqiang C",949,IF(Atletas!V521="Bagua de Arma C",950,IF(Atletas!V521="Xingyi de Arma C",951,IF(Atletas!V521="Taijidao D",952,IF(Atletas!V521="TaijiShanzi D",953,IF(Atletas!V521="Taijiqiang D",954,IF(Atletas!V521="Bagua de Arma D",955,IF(Atletas!V521="Xingyi de Arma D",956,IF(Atletas!V521="Taijidao E",957,IF(Atletas!V521="TaijiShanzi E",958,IF(Atletas!V521="Taijiqiang E",959,IF(Atletas!V521="Bagua de Arma E",960,IF(Atletas!V521="Xingyi de Arma E",961,IF(Atletas!V521="Taijidao F",962,IF(Atletas!V521="TaijiShanzi F",963,IF(Atletas!V521="Taijiqiang F",964,IF(Atletas!V521="Bagua de Arma F",965,IF(Atletas!V521="Xingyi de Arma F",966,"")))))))))))))))))))))))))))))))</f>
        <v/>
      </c>
      <c r="CM530" s="50" t="str">
        <f xml:space="preserve"> IF(Atletas!W521="","",IF(Atletas!W521="Duilian de Mãos BC - Equipe 1",1,IF(Atletas!W521="Duilian de Mãos BC - Equipe 2",2,IF(Atletas!W521="Duilian de Armas BC - Equipe 1",3,IF(Atletas!W521="Duilian de Armas BC - Equipe 2",4,IF(Atletas!W521="Duilian de Mãos DE - Equipe 1",5,IF(Atletas!W521="Duilian de Mãos DE - Equipe 2",6,IF(Atletas!W521="Duilian de Armas DE - Equipe 1",7,IF(Atletas!W521="Duilian de Armas DE - Equipe 2",8,IF(Atletas!W521="Duilian de Tuishou - Equipe 1",9,IF(Atletas!W521="Duilian de Tuishou - Equipe 2",10,IF(Atletas!W521="Grupo Externo ABC - Equipe 1",11,IF(Atletas!W521="Grupo Externo ABC - Equipe 2",12,IF(Atletas!W521="Grupo Interno ABC - Equipe 1",13,IF(Atletas!W521="Grupo Interno ABC - Equipe 2",14,IF(Atletas!W521="Grupo Externo DEF - Equipe 1",15,IF(Atletas!W521="Grupo Externo DEF - Equipe 2",16,IF(Atletas!W521="Grupo Interno DEF - Equipe 1",17,IF(Atletas!W521="Grupo Interno DEF - Equipe 2",18,"")))))))))))))))))))</f>
        <v/>
      </c>
    </row>
    <row r="531" spans="40:91">
      <c r="AN531" s="52" t="str">
        <f>IF(Atletas!D522="","",IF(Atletas!B522="Feminino",100,IF(Atletas!B522="Masculino",200,""))+(IF(Atletas!D522="Kids 30kg",1,IF(Atletas!D522="Kids 32kg",2, IF(Atletas!D522="Kids 34kg",3,IF(Atletas!D522="Kids 36kg",4,IF(Atletas!D522="Kids 39kg",5,IF(Atletas!D522="Kids 42kg",6,IF(Atletas!D522="Kids 45kg",7, IF(Atletas!D522="Infantil 39kg",8,IF(Atletas!D522="Infantil 42kg",9,IF(Atletas!D522="Infantil 45kg",10,IF(Atletas!D522="Infantil 48kg",11,IF(Atletas!D522="Infantil 52kg",12,IF(Atletas!D522="Infantil 56kg",13,IF(Atletas!D522="Infantil 60kg",14,IF(Atletas!D522="Juvenil 48kg",15,IF(Atletas!D522="Juvenil 52kg",16,IF(Atletas!D522="Juvenil 56kg",17,IF(Atletas!D522="Juvenil 60kg",18,IF(Atletas!D522="Juvenil 65kg",19,IF(Atletas!D522="Juvenil 70kg",20,IF(Atletas!D522="Juvenil 75kg",21,IF(Atletas!D522="Juvenil 80kg",22, IF(Atletas!D522="Juvenil 85kg",23,IF(Atletas!D522="Adulto 48kg",24,IF(Atletas!D522="Adulto 52kg",25,IF(Atletas!D522="Adulto 56kg",26,IF(Atletas!D522="Adulto 60kg",27,IF(Atletas!D522="Adulto 65kg",28,IF(Atletas!D522="Adulto 70kg",29,IF(Atletas!D522="Adulto 75kg",30,IF(Atletas!D522="Adulto 80kg",31,IF(Atletas!D522="Adulto 85kg",32,IF(Atletas!D522="Adulto 90kg",33,IF(Atletas!D522="Adulto 100kg",34, IF(Atletas!D522="Adulto +100kg",35,"")))))))))))))))))))))))))))))))))))))</f>
        <v/>
      </c>
      <c r="AS531" s="6" t="str">
        <f>IF(Atletas!E522="","",IF(Atletas!B522="Feminino",100,IF(Atletas!B522="Masculino",200,""))+(IF(Atletas!E522="Juvenil 44kg",1,IF(Atletas!E522="Juvenil 48kg",2,IF(Atletas!E522="Juvenil 52kg",3,IF(Atletas!E522="Juvenil 56kg",4,IF(Atletas!E522="Juvenil 60kg",5,IF(Atletas!E522="Juvenil 65kg",6,IF(Atletas!E522="Juvenil 70kg",7,IF(Atletas!E522="Juvenil 75kg",8,IF(Atletas!E522="Juvenil 82kg",9,IF(Atletas!E522="Juvenil 90kg",10,IF(Atletas!E522="Juvenil 100kg",11,IF(Atletas!E522="Adulto 48kg",12,IF(Atletas!E522="Adulto 52kg",13,IF(Atletas!E522="Adulto 56kg",14,IF(Atletas!E522="Adulto 60kg",15,IF(Atletas!E522="Adulto 65kg",16,IF(Atletas!E522="Adulto 70kg",17,IF(Atletas!E522="Adulto 75kg",18,IF(Atletas!E522="Adulto 82kg",19,IF(Atletas!E522="Adulto 90kg",20,IF(Atletas!E522="Adulto 100kg",21,IF(Atletas!E522="Adulto +100kg",22,""))))))))))))))))))))))))</f>
        <v/>
      </c>
      <c r="AX531" s="6" t="str">
        <f>IF(Atletas!F522="","",IF(Atletas!B522="Feminino",100,IF(Atletas!B522="Masculino",200,""))+(IF(Atletas!F522="Adulto 48kg",1,IF(Atletas!F522="Adulto 56kg",2,IF(Atletas!F522="Adulto 65kg",3,IF(Atletas!F522="Adulto 75kg",4,IF(Atletas!F522="Adulto +75kg",5,IF(Atletas!F522="Adulto 52kg",6,IF(Atletas!F522="Adulto 60kg",7,IF(Atletas!F522="Adulto 70kg",8,IF(Atletas!F522="Adulto 80kg",9,IF(Atletas!F522="Adulto 90kg",10,IF(Atletas!F522="Adulto +90kg",11,"")))))))))))))</f>
        <v/>
      </c>
      <c r="BC531" s="6" t="str">
        <f>IF(Atletas!G522="","",IF(Atletas!B522="Feminino",10,IF(Atletas!B522="Masculino",20,""))+(IF(Atletas!G522="Baduanjin A",1,IF(Atletas!G522="Baduanjin B",2))))</f>
        <v/>
      </c>
      <c r="BF531" s="52" t="str">
        <f>IF(Atletas!H522="","",IF(Atletas!B522="Feminino",100,IF(Atletas!B522="Masculino",200,""))+(IF(Atletas!H522="Changquan Mirim",1,IF(Atletas!H522="Nanquan Mirim",2,IF(Atletas!H522="Taijiquan Mirim",3,IF(Atletas!H522="Changquan Grupo C",4,IF(Atletas!H522="Nanquan Grupo C",5,IF(Atletas!H522="Taijiquan Grupo C",6,IF(Atletas!H522="Changquan Grupo B",7,IF(Atletas!H522="Nanquan Grupo B",8,IF(Atletas!H522="Taijiquan Grupo B",9,IF(Atletas!H522="Changquan Grupo A",10,IF(Atletas!H522="Nanquan Grupo A",11,IF(Atletas!H522="Taijiquan Grupo A",12,IF(Atletas!H522="Changquan Opcional",13,IF(Atletas!H522="Nanquan Opcional",14,IF(Atletas!H522="Taijiquan Opcional",15,IF(Atletas!H522="Changquan Adulto",16,IF(Atletas!H522="Nanquan Adulto",17,IF(Atletas!H522="Taijiquan Adulto",18,""))))))))))))))))))))</f>
        <v/>
      </c>
      <c r="BG531" s="52" t="str">
        <f>IF(Atletas!I522="","",IF(Atletas!B522="Feminino",100,IF(Atletas!B522="Masculino",200,""))+(IF(Atletas!I522="Daoshu Mirim",19,IF(Atletas!I522="Jianshu Mirim",20,IF(Atletas!I522="Nandao Mirim",21,IF(Atletas!I522="Taijijian Mirim",22,IF(Atletas!I522="Daoshu Grupo C",23,IF(Atletas!I522="Jianshu Grupo C",24,IF(Atletas!I522="Nandao Grupo C",25,IF(Atletas!I522="Taijijian Grupo C",26,IF(Atletas!I522="Daoshu Grupo B",27,IF(Atletas!I522="Jianshu Grupo B",28,IF(Atletas!I522="Nandao Grupo B",29,IF(Atletas!I522="Taijijian Grupo B",30,IF(Atletas!I522="Daoshu Grupo A",31,IF(Atletas!I522="Jianshu Grupo A",32,IF(Atletas!I522="Nandao Grupo A",33,IF(Atletas!I522="Taijijian Grupo A",34,IF(Atletas!I522="Daoshu Opcional",35,IF(Atletas!I522="Jianshu Opcional",36,IF(Atletas!I522="Nandao Opcional",37,IF(Atletas!I522="Taijijian Opcional",38,IF(Atletas!I522="Daoshu Adulto",39,IF(Atletas!I522="Jianshu Adulto",40,IF(Atletas!I522="Nandao Adulto",41,IF(Atletas!I522="Taijijian Adulto",42,""))))))))))))))))))))))))))</f>
        <v/>
      </c>
      <c r="BH531" s="52" t="str">
        <f>IF(Atletas!J522="","",IF(Atletas!B522="Feminino",100,IF(Atletas!B522="Masculino",200,""))+(IF(Atletas!J522="Gunshu Mirim",43,IF(Atletas!J522="Qiangshu Mirim",44,IF(Atletas!J522="Nangun Mirim",45,IF(Atletas!J522="Gunshu Grupo C",46,IF(Atletas!J522="Qiangshu Grupo C",47,IF(Atletas!J522="Nangun Grupo C",48,IF(Atletas!J522="Gunshu Grupo B",49,IF(Atletas!J522="Qiangshu Grupo B",50,IF(Atletas!J522="Nangun Grupo B",51,IF(Atletas!J522="Gunshu Grupo A",52,IF(Atletas!J522="Qiangshu Grupo A",53,IF(Atletas!J522="Nangun Grupo A",54,IF(Atletas!J522="Gunshu Opcional",55,IF(Atletas!J522="Qiangshu Opcional",56,IF(Atletas!J522="Nangun Opcional",57,IF(Atletas!J522="Gunshu Adulto",58,IF(Atletas!J522="Qiangshu Adulto",59,IF(Atletas!J522="Nangun Adulto",60,IF(Atletas!J522="Taijishan Grupo B",61,IF(Atletas!J522="Taijishan Grupo A",62,""))))))))))))))))))))))</f>
        <v/>
      </c>
      <c r="BM531" s="50" t="str">
        <f>IF(Atletas!K522="","",IF(Atletas!B522="Feminino",100,IF(Atletas!B522="Masculino",200,""))+(IF(Atletas!K522="Equipe 1 Grupo B",1,IF(Atletas!K522="Equipe 2 Grupo B",2,IF(Atletas!K522="Equipe 1 Grupo A",3,IF(Atletas!K522="Equipe 2 Grupo A",4,IF(Atletas!K522="Equipe 1 Adulto",5,IF(Atletas!K522="Equipe 2 Adulto",6,""))))))))</f>
        <v/>
      </c>
      <c r="BR531" s="50" t="str">
        <f>IF(Atletas!L522="","",IF(Atletas!X522&lt;&gt;"",10000,0)+(IF(Atletas!B522="Feminino",1000,IF(Atletas!B522="Masculino",2000,""))+IF(Atletas!L522="Choylayfut A",1,IF(Atletas!L522="Hunggar A",2,IF(Atletas!L522="Wuzuquan A",3,IF(Atletas!L522="Wingchun A",4,IF(Atletas!L522="Outra Mão de Sul A",5,IF(Atletas!L522="Choylayfut B",6,IF(Atletas!L522="Hunggar B",7,IF(Atletas!L522="Wuzuquan B",8,IF(Atletas!L522="Wingchun B",9,IF(Atletas!L522="Outra Mão de Sul B",10,IF(Atletas!L522="Choylayfut C",11,IF(Atletas!L522="Hunggar C",12,IF(Atletas!L522="Wuzuquan C",13,IF(Atletas!L522="Wingchun C",14,IF(Atletas!L522="Outra Mão de Sul C",15,IF(Atletas!L522="Choylayfut D",16,IF(Atletas!L522="Hunggar D",17,IF(Atletas!L522="Wuzuquan D",18,IF(Atletas!L522="Wingchun D",19,IF(Atletas!L522="Outra Mão de Sul D",20,IF(Atletas!L522="Choylayfut E",21,IF(Atletas!L522="Hunggar E",22,IF(Atletas!L522="Wuzuquan E",23,IF(Atletas!L522="Wingchun E",24,IF(Atletas!L522="Outra Mão de Sul E",25,IF(Atletas!L522="Choylayfut F",26,IF(Atletas!L522="Hunggar F",27,IF(Atletas!L522="Wuzuquan F",28,IF(Atletas!L522="Wingchun F",29,IF(Atletas!L522="Outra Mão de Sul F",30,IF(Atletas!L522="Dishuquan A",31,IF(Atletas!L522="Dishuquan B",32,IF(Atletas!L522="Dishuquan C",33,IF(Atletas!L522="Dishuquan D",34,IF(Atletas!L522="Dishuquan E",35,IF(Atletas!L522="Dishuquan F",36,""))))))))))))))))))))))))))))))))))))))</f>
        <v/>
      </c>
      <c r="BS531" s="50" t="str">
        <f>IF(Atletas!M522="","",IF(Atletas!X522&lt;&gt;"",10000,0)+(IF(Atletas!B522="Feminino",1000,IF(Atletas!B522="Masculino",2000,""))+(IF(Atletas!M522="Chaquan A",101,IF(Atletas!M522="Emeiquan A",102,IF(Atletas!M522="Fanziquan A",103,IF(Atletas!M522="Huaquan A",104,IF(Atletas!M522="Hongquan A",105,IF(Atletas!M522="Paoquan A",106,IF(Atletas!M522="Piguaquan A",107,IF(Atletas!M522="Shaolinquan A",108,IF(Atletas!M522="Tanglangquan A",109,IF(Atletas!M522="Yingzhaoquan A",110,IF(Atletas!M522="Tongbeiquan A",111,IF(Atletas!M522="Wudangquan A",112,IF(Atletas!M522="Outros Estilos A",113,IF(Atletas!M522="Chaquan B",114,IF(Atletas!M522="Emeiquan B",115,IF(Atletas!M522="Fanziquan B",116,IF(Atletas!M522="Huaquan B",117,IF(Atletas!M522="Hongquan B",118,IF(Atletas!M522="Paoquan B",119,IF(Atletas!M522="Piguaquan B",120,IF(Atletas!M522="Shaolinquan B",121,IF(Atletas!M522="Tanglangquan B",122,IF(Atletas!M522="Yingzhaoquan B",123,IF(Atletas!M522="Tongbeiquan B",124,IF(Atletas!M522="Wudangquan B",125,IF(Atletas!M522="Outros Estilos B",126,IF(Atletas!M522="Chaquan C",127,IF(Atletas!M522="Emeiquan C",128,IF(Atletas!M522="Fanziquan C",129,IF(Atletas!M522="Huaquan C",130,IF(Atletas!M522="Hongquan C",131,IF(Atletas!M522="Paoquan C",132,IF(Atletas!M522="Piguaquan C",133,IF(Atletas!M522="Shaolinquan C",134,IF(Atletas!M522="Tanglangquan C",135,IF(Atletas!M522="Yingzhaoquan C",136,IF(Atletas!M522="Tongbeiquan C",137,IF(Atletas!M522="Wudangquan C",138,IF(Atletas!M522="Outros Estilos C",139,0))))))))))))))))))))))))))))))))))))))))))</f>
        <v/>
      </c>
      <c r="BT531" s="50" t="str">
        <f>IF(Atletas!M522="","",IF(Atletas!X522&lt;&gt;"",10000,0)+(IF(Atletas!B522="Feminino",1000,IF(Atletas!B522="Masculino",2000,""))+(IF(Atletas!M522="Chaquan D",140,IF(Atletas!M522="Emeiquan D",141,IF(Atletas!M522="Fanziquan D",142,IF(Atletas!M522="Huaquan D",143,IF(Atletas!M522="Hongquan D",144,IF(Atletas!M522="Paoquan D",145,IF(Atletas!M522="Piguaquan D",146,IF(Atletas!M522="Shaolinquan D",147,IF(Atletas!M522="Tanglangquan D",148,IF(Atletas!M522="Yingzhaoquan D",149,IF(Atletas!M522="Tongbeiquan D",150,IF(Atletas!M522="Wudangquan D",151,IF(Atletas!M522="Outros Estilos D",152,IF(Atletas!M522="Chaquan E",153,IF(Atletas!M522="Emeiquan E",154,IF(Atletas!M522="Fanziquan E",155,IF(Atletas!M522="Huaquan E",156,IF(Atletas!M522="Hongquan E",157,IF(Atletas!M522="Paoquan E",158,IF(Atletas!M522="Piguaquan E",159,IF(Atletas!M522="Shaolinquan E",160,IF(Atletas!M522="Tanglangquan E",161,IF(Atletas!M522="Yingzhaoquan E",162,IF(Atletas!M522="Tongbeiquan E",163,IF(Atletas!M522="Wudangquan E",164,IF(Atletas!M522="Outros Estilos E",165,IF(Atletas!M522="Chaquan F",166,IF(Atletas!M522="Emeiquan F",167,IF(Atletas!M522="Fanziquan F",168,IF(Atletas!M522="Huaquan F",169,IF(Atletas!M522="Hongquan F",170,IF(Atletas!M522="Paoquan F",171,IF(Atletas!M522="Piguaquan F",172,IF(Atletas!M522="Shaolinquan F",173,IF(Atletas!M522="Tanglangquan F",174,IF(Atletas!M522="Yingzhaoquan F",175,IF(Atletas!M522="Tongbeiquan F",176,IF(Atletas!M522="Wudangquan F",177,IF(Atletas!M522="Outros Estilos F",178,0))))))))))))))))))))))))))))))))))))))))))</f>
        <v/>
      </c>
      <c r="BU531" s="50" t="str">
        <f>IF(Atletas!N522="","",IF(Atletas!X522&lt;&gt;"",10000,0)+(IF(Atletas!B522="Feminino",1000,IF(Atletas!B522="Masculino",2000,""))+(IF(Atletas!N522="Ditangquan A",201,IF(Atletas!N522="Houquan A",202,IF(Atletas!N522="Zuiquan A",203,IF(Atletas!N522="Ditangquan B",204,IF(Atletas!N522="Houquan B",205,IF(Atletas!N522="Zuiquan B",206,IF(Atletas!N522="Ditangquan C",207,IF(Atletas!N522="Houquan C",208,IF(Atletas!N522="Zuiquan C",209,IF(Atletas!N522="Ditangquan D",210,IF(Atletas!N522="Houquan D",211,IF(Atletas!N522="Zuiquan D",212,IF(Atletas!N522="Ditangquan E",213,IF(Atletas!N522="Houquan E",214,IF(Atletas!N522="Zuiquan E",215,IF(Atletas!N522="Ditangquan F",216,IF(Atletas!N522="Houquan F",217,IF(Atletas!N522="Zuiquan F",218,"")))))))))))))))))))))</f>
        <v/>
      </c>
      <c r="BV531" s="50" t="str">
        <f>IF(Atletas!O522="","",IF(Atletas!X522&lt;&gt;"",10000,0)+IF(Atletas!B522="Feminino",1000,IF(Atletas!B522="Masculino",2000,""))+IF(Atletas!O522="Yang A",301,IF(Atletas!O522="Chen A",302,IF(Atletas!O522="Sun A",303,IF(Atletas!O522="Wu A",304,IF(Atletas!O522="Wu-Hao A",305,IF(Atletas!O522="Outro Taijiquan A",306,IF(Atletas!O522="Yang B",307,IF(Atletas!O522="Chen B",308,IF(Atletas!O522="Sun B",309,IF(Atletas!O522="Wu B",310,IF(Atletas!O522="Wu-Hao B",311,IF(Atletas!O522="Outro Taijiquan B",312,IF(Atletas!O522="Yang C",313,IF(Atletas!O522="Chen C",314,IF(Atletas!O522="Sun C",315,IF(Atletas!O522="Wu C",316,IF(Atletas!O522="Wu-Hao C",317,IF(Atletas!O522="Outro Taijiquan C",318,IF(Atletas!O522="Yang D",319,IF(Atletas!O522="Chen D",320,IF(Atletas!O522="Sun D",321,IF(Atletas!O522="Wu D",322,IF(Atletas!O522="Wu-Hao D",323,IF(Atletas!O522="Outro Taijiquan D",324,IF(Atletas!O522="Yang E",325,IF(Atletas!O522="Chen E",326,IF(Atletas!O522="Sun E",327,IF(Atletas!O522="Wu E",328,IF(Atletas!O522="Wu-Hao E",329,IF(Atletas!O522="Outro Taijiquan E",330,IF(Atletas!O522="Yang F",331,IF(Atletas!O522="Chen F",332,IF(Atletas!O522="Sun F",333,IF(Atletas!O522="Wu F",334,IF(Atletas!O522="Wu-Hao F",335,IF(Atletas!O522="Outro Taijiquan F",336,"")))))))))))))))))))))))))))))))))))))</f>
        <v/>
      </c>
      <c r="BW531" s="50" t="str">
        <f>IF(Atletas!P522="","",IF(Atletas!X522&lt;&gt;"",10000,0)+IF(Atletas!B522="Feminino",1000,IF(Atletas!B522="Masculino",2000,""))+IF(OR(Atletas!P522="Yang 26 A",Atletas!P522="Yang 40 A"),401,IF(OR(Atletas!P522="Chen 25 A",Atletas!P522="Chen 36 A",Atletas!P522="Chen 56 A"),402,IF(Atletas!P522="Sun 73 A",403,IF(Atletas!P522="Wu 45 A",404,IF(Atletas!P522="Wu-Hao 46 A",405,IF(OR(Atletas!P522="Taijiquan 16 A",Atletas!P522="Taijiquan 24 A",Atletas!P522="Taijiquan 32 A",Atletas!P522="Taijiquan 42 A"),406,IF(OR(Atletas!P522="Yang 26 B",Atletas!P522="Yang 40 B"),407,IF(OR(Atletas!P522="Chen 25 B",Atletas!P522="Chen 36 B",Atletas!P522="Chen 56 B"),408,IF(Atletas!P522="Sun 73 B",409,IF(Atletas!P522="Wu 45 B",410,IF(Atletas!P522="Wu-Hao 46 B",411,IF(OR(Atletas!P522="Taijiquan 16 B",Atletas!P522="Taijiquan 24 B",Atletas!P522="Taijiquan 32 B",Atletas!P522="Taijiquan 42 B"),412,IF(OR(Atletas!P522="Yang 26 C",Atletas!P522="Yang 40 C"),413,IF(OR(Atletas!P522="Chen 25 C",Atletas!P522="Chen 36 C",Atletas!P522="Chen 56 C"),414,IF(Atletas!P522="Sun 73 C",415,IF(Atletas!P522="Wu 45 C",416,IF(Atletas!P522="Wu-Hao 46 C",417,IF(OR(Atletas!P522="Taijiquan 16 C",Atletas!P522="Taijiquan 24 C",Atletas!P522="Taijiquan 32 C",Atletas!P522="Taijiquan 42 C"),418,0)))))))))))))))))))</f>
        <v/>
      </c>
      <c r="BX531" s="50" t="str">
        <f>IF(Atletas!P522="","",IF(Atletas!X522&lt;&gt;"",10000,0)+IF(Atletas!B522="Feminino",1000,IF(Atletas!B522="Masculino",2000,""))+IF(OR(Atletas!P522="Yang 26 D",Atletas!P522="Yang 40 D"),419,IF(OR(Atletas!P522="Chen 25 D",Atletas!P522="Chen 36 D",Atletas!P522="Chen 56 D"),420,IF(Atletas!P522="Sun 73 D",421,IF(Atletas!P522="Wu 45 D",422,IF(Atletas!P522="Wu-Hao 46 D",423,IF(OR(Atletas!P522="Taijiquan 16 D",Atletas!P522="Taijiquan 24 D",Atletas!P522="Taijiquan 32 D",Atletas!P522="Taijiquan 42 D"),424,IF(OR(Atletas!P522="Yang 26 E",Atletas!P522="Yang 40 E"),425,IF(OR(Atletas!P522="Chen 25 E",Atletas!P522="Chen 36 E",Atletas!P522="Chen 56 E"),426,IF(Atletas!P522="Sun 73 E",427,IF(Atletas!P522="Wu 45 E",428,IF(Atletas!P522="Wu-Hao 46 E",429,IF(OR(Atletas!P522="Taijiquan 16 E",Atletas!P522="Taijiquan 24 E",Atletas!P522="Taijiquan 32 E",Atletas!P522="Taijiquan 42 E"),430,IF(OR(Atletas!P522="Yang 26 F",Atletas!P522="Yang 40 F"),431,IF(OR(Atletas!P522="Chen 25 F",Atletas!P522="Chen 36 F",Atletas!P522="Chen 56 F"),432,IF(Atletas!P522="Sun 73 F",433,IF(Atletas!P522="Wu 45 F",434,IF(Atletas!P522="Wu-Hao 46 F",435,IF(OR(Atletas!P522="Taijiquan 16 F",Atletas!P522="Taijiquan 24 F",Atletas!P522="Taijiquan 32 F",Atletas!P522="Taijiquan 42 F"),436,0)))))))))))))))))))</f>
        <v/>
      </c>
      <c r="BY531" s="50" t="str">
        <f>IF(Atletas!Q522="","",IF(Atletas!X522&lt;&gt;"",10000,0)+IF(Atletas!B522="Feminino",1000,IF(Atletas!B522="Masculino",2000,""))+IF(Atletas!Q522="Xingyiquan A",501,IF(Atletas!Q522="Baguazhang A",502,IF(Atletas!Q522="Outro Estilo Interno A",503,IF(Atletas!Q522="Xingyiquan B",504,IF(Atletas!Q522="Baguazhang B",505,IF(Atletas!Q522="Outro Estilo Interno B",506,IF(Atletas!Q522="Xingyiquan C",507,IF(Atletas!Q522="Baguazhang C",508,IF(Atletas!Q522="Outro Estilo Interno C",509,IF(Atletas!Q522="Xingyiquan D",510,IF(Atletas!Q522="Baguazhang D",511,IF(Atletas!Q522="Outro Estilo Interno D",512,IF(Atletas!Q522="Xingyiquan E",513,IF(Atletas!Q522="Baguazhang E",514,IF(Atletas!Q522="Outro Estilo Interno E",515,IF(Atletas!Q522="Xingyiquan F",516,IF(Atletas!Q522="Baguazhang F",517,IF(Atletas!Q522="Outro Estilo Interno F",518, "")))))))))))))))))))</f>
        <v/>
      </c>
      <c r="BZ531" s="50" t="str">
        <f>IF(Atletas!R522="","",IF(Atletas!X522&lt;&gt;"",10000,0)+IF(Atletas!B522="Feminino",1000,IF(Atletas!B522="Masculino",2000,""))+IF(Atletas!R522="Dao A",601,IF(Atletas!R522="Jian A",602,IF(Atletas!R522="Bishou A",603,IF(Atletas!R522="Shanzi A",604,IF(Atletas!R522="Outra Arma Curta A",605,IF(Atletas!R522="Dao B",606,IF(Atletas!R522="Jian B",607,IF(Atletas!R522="Bishou B",608,IF(Atletas!R522="Shanzi B",609,IF(Atletas!R522="Outra Arma Curta B",610,IF(Atletas!R522="Dao C",611,IF(Atletas!R522="Jian C",612,IF(Atletas!R522="Bishou C",613,IF(Atletas!R522="Shanzi C",614,IF(Atletas!R522="Outra Arma Curta C",615,IF(Atletas!R522="Dao D",616,IF(Atletas!R522="Jian D",617,IF(Atletas!R522="Bishou D",618,IF(Atletas!R522="Shanzi D",619,IF(Atletas!R522="Outra Arma Curta D",620,IF(Atletas!R522="Dao E",621,IF(Atletas!R522="Jian E",622,IF(Atletas!R522="Bishou E",623,IF(Atletas!R522="Shanzi E",624,IF(Atletas!R522="Outra Arma Curta E",625,IF(Atletas!R522="Dao F",626,IF(Atletas!R522="Jian F",627,IF(Atletas!R522="Bishou F",628,IF(Atletas!R522="Shanzi F",629,IF(Atletas!R522="Outra Arma Curta F",630, "")))))))))))))))))))))))))))))))</f>
        <v/>
      </c>
      <c r="CA531" s="50" t="str">
        <f>IF(Atletas!S522="","",IF(Atletas!X522&lt;&gt;"",10000,0)+IF(Atletas!B522="Feminino",1000,IF(Atletas!B522="Masculino",2000,""))+IF(Atletas!S522="Gun A",701,IF(Atletas!S522="Qiang A",702,IF(Atletas!S522="Pudao / Guandao A",703,IF(Atletas!S522="Outra Arma Longa A",704,IF(Atletas!S522="Gun B",705,IF(Atletas!S522="Qiang B",706,IF(Atletas!S522="Pudao / Guandao B",707,IF(Atletas!S522="Outra Arma Longa B",708,IF(Atletas!S522="Gun C",709,IF(Atletas!S522="Qiang C",710,IF(Atletas!S522="Pudao / Guandao C",711,IF(Atletas!S522="Outra Arma Longa C",712,IF(Atletas!S522="Gun D",713,IF(Atletas!S522="Qiang D",714,IF(Atletas!S522="Pudao / Guandao D",715,IF(Atletas!S522="Outra Arma Longa D",716,IF(Atletas!S522="Gun E",717,IF(Atletas!S522="Qiang E",718,IF(Atletas!S522="Pudao / Guandao E",719,IF(Atletas!S522="Outra Arma Longa E",720,IF(Atletas!S522="Gun F",721,IF(Atletas!S522="Qiang F",722,IF(Atletas!S522="Pudao / Guandao F",723,IF(Atletas!S522="Outra Arma Longa F",724,"")))))))))))))))))))))))))</f>
        <v/>
      </c>
      <c r="CB531" s="50" t="str">
        <f>IF(Atletas!T522="","",IF(Atletas!X522&lt;&gt;"",10000,0)+IF(Atletas!B522="Feminino",1000,IF(Atletas!B522="Masculino",2000,""))+IF(Atletas!T522="Outra Arma Dupla A",801,IF(Atletas!T522="Arma Maleável A",802,IF(Atletas!T522="Outra Arma Dupla B",803,IF(Atletas!T522="Arma Maleável B",804,IF(Atletas!T522="Outra Arma Dupla C",805,IF(Atletas!T522="Arma Maleável C",806,IF(Atletas!T522="Outra Arma Dupla D",807,IF(Atletas!T522="Arma Maleável D",808,IF(Atletas!T522="Outra Arma Dupla E",809,IF(Atletas!T522="Arma Maleável E",810,IF(Atletas!T522="Outra Arma Dupla F",811,IF(Atletas!T522="Arma Maleável F",812,IF(Atletas!T522="Shuangdao A",813,IF(Atletas!T522="Shuangdao B",814,IF(Atletas!T522="Shuangdao C",815,IF(Atletas!T522="Shuangdao D",816,IF(Atletas!T522="Shuangdao E",817,IF(Atletas!T522="Shuangdao F",818,"")))))))))))))))))))</f>
        <v/>
      </c>
      <c r="CC531" s="50" t="str">
        <f>IF(Atletas!U522="","",IF(Atletas!X522&lt;&gt;"",10000,0)+IF(Atletas!B522="Feminino",1000,IF(Atletas!B522="Masculino",2000,""))+IF(OR(Atletas!U522="Taijijian Yang A",Atletas!U522="Taijijian Yang Standard A"),901,IF(OR(Atletas!U522="Taijijian Chen A", Atletas!U522="Taijijian Chen Standard A"),902,IF(Atletas!U522="Taijijian Sun A",903,IF(Atletas!U522="Taijijian Wu A",904,IF(Atletas!U522="Taijijian Wu-Hao A",905,IF(OR(Atletas!U522="Taijijian 32 A",Atletas!U522="Taijijian 42 A"),906,IF(OR(Atletas!U522="Taijijian Yang B",Atletas!U522="Taijijian Yang Standard B"),907,IF(OR(Atletas!U522="Taijijian Chen B", Atletas!U522="Taijijian Chen Standard B"),908,IF(Atletas!U522="Taijijian Sun B",909,IF(Atletas!U522="Taijijian Wu B",910,IF(Atletas!U522="Taijijian Wu-Hao B",911,IF(OR(Atletas!U522="Taijijian 32 B",Atletas!U522="Taijijian 42 B"),912,IF(OR(Atletas!U522="Taijijian Yang C",Atletas!U522="Taijijian Yang Standard C"),913,IF(OR(Atletas!U522="Taijijian Chen C", Atletas!U522="Taijijian Chen Standard C"),914,IF(Atletas!U522="Taijijian Sun C",915,IF(Atletas!U522="Taijijian Wu C",916,IF(Atletas!U522="Taijijian Wu-Hao C",917,IF(OR(Atletas!U522="Taijijian 32 C",Atletas!U522="Taijijian 42 C"),918,IF(OR(Atletas!U522="Taijijian Yang D",Atletas!U522="Taijijian Yang Standard D"),919,IF(OR(Atletas!U522="Taijijian Chen D", Atletas!U522="Taijijian Chen Standard D"),920,IF(Atletas!U522="Taijijian Sun D",921,IF(Atletas!U522="Taijijian Wu D",922,IF(Atletas!U522="Taijijian Wu-Hao D",923,IF(OR(Atletas!U522="Taijijian 32 D",Atletas!U522="Taijijian 42 D"),924,IF(OR(Atletas!U522="Taijijian Yang E",Atletas!U522="Taijijian Yang Standard E"),925,IF(OR(Atletas!U522="Taijijian Chen E", Atletas!U522="Taijijian Chen Standard E"),926,IF(Atletas!U522="Taijijian Sun E",927,IF(Atletas!U522="Taijijian Wu E",928,IF(Atletas!U522="Taijijian Wu-Hao E",929,IF(OR(Atletas!U522="Taijijian 32 E",Atletas!U522="Taijijian 42 E"),930,IF(OR(Atletas!U522="Taijijian Yang F",Atletas!U522="Taijijian Yang Standard F"),931,IF(OR(Atletas!U522="Taijijian Chen F", Atletas!U522="Taijijian Chen Standard F"),932,IF(Atletas!U522="Taijijian Sun F",933,IF(Atletas!U522="Taijijian Wu F",934,IF(Atletas!U522="Taijijian Wu-Hao F",935,IF(OR(Atletas!U522="Taijijian 32 F",Atletas!U522="Taijijian 42 F"),936,"")))))))))))))))))))))))))))))))))))))</f>
        <v/>
      </c>
      <c r="CD531" s="50" t="str">
        <f>IF(Atletas!V522="","",IF(Atletas!X522&lt;&gt;"",10000,0)+IF(Atletas!B522="Feminino",1000,IF(Atletas!B522="Masculino",2000,""))+IF(Atletas!V522="Taijidao A",937,IF(Atletas!V522="TaijiShanzi A",938,IF(Atletas!V522="Taijiqiang A",939,IF(Atletas!V522="Bagua de Arma A",940,IF(Atletas!V522="Xingyi de Arma A",941,IF(Atletas!V522="Taijidao B",942,IF(Atletas!V522="TaijiShanzi B",943,IF(Atletas!V522="Taijiqiang B",944,IF(Atletas!V522="Bagua de Arma B",945,IF(Atletas!V522="Xingyi de Arma B",946,IF(Atletas!V522="Taijidao C",947,IF(Atletas!V522="TaijiShanzi C",948,IF(Atletas!V522="Taijiqiang C",949,IF(Atletas!V522="Bagua de Arma C",950,IF(Atletas!V522="Xingyi de Arma C",951,IF(Atletas!V522="Taijidao D",952,IF(Atletas!V522="TaijiShanzi D",953,IF(Atletas!V522="Taijiqiang D",954,IF(Atletas!V522="Bagua de Arma D",955,IF(Atletas!V522="Xingyi de Arma D",956,IF(Atletas!V522="Taijidao E",957,IF(Atletas!V522="TaijiShanzi E",958,IF(Atletas!V522="Taijiqiang E",959,IF(Atletas!V522="Bagua de Arma E",960,IF(Atletas!V522="Xingyi de Arma E",961,IF(Atletas!V522="Taijidao F",962,IF(Atletas!V522="TaijiShanzi F",963,IF(Atletas!V522="Taijiqiang F",964,IF(Atletas!V522="Bagua de Arma F",965,IF(Atletas!V522="Xingyi de Arma F",966,"")))))))))))))))))))))))))))))))</f>
        <v/>
      </c>
      <c r="CM531" s="50" t="str">
        <f xml:space="preserve"> IF(Atletas!W522="","",IF(Atletas!W522="Duilian de Mãos BC - Equipe 1",1,IF(Atletas!W522="Duilian de Mãos BC - Equipe 2",2,IF(Atletas!W522="Duilian de Armas BC - Equipe 1",3,IF(Atletas!W522="Duilian de Armas BC - Equipe 2",4,IF(Atletas!W522="Duilian de Mãos DE - Equipe 1",5,IF(Atletas!W522="Duilian de Mãos DE - Equipe 2",6,IF(Atletas!W522="Duilian de Armas DE - Equipe 1",7,IF(Atletas!W522="Duilian de Armas DE - Equipe 2",8,IF(Atletas!W522="Duilian de Tuishou - Equipe 1",9,IF(Atletas!W522="Duilian de Tuishou - Equipe 2",10,IF(Atletas!W522="Grupo Externo ABC - Equipe 1",11,IF(Atletas!W522="Grupo Externo ABC - Equipe 2",12,IF(Atletas!W522="Grupo Interno ABC - Equipe 1",13,IF(Atletas!W522="Grupo Interno ABC - Equipe 2",14,IF(Atletas!W522="Grupo Externo DEF - Equipe 1",15,IF(Atletas!W522="Grupo Externo DEF - Equipe 2",16,IF(Atletas!W522="Grupo Interno DEF - Equipe 1",17,IF(Atletas!W522="Grupo Interno DEF - Equipe 2",18,"")))))))))))))))))))</f>
        <v/>
      </c>
    </row>
    <row r="532" spans="40:91">
      <c r="AN532" s="52" t="str">
        <f>IF(Atletas!D523="","",IF(Atletas!B523="Feminino",100,IF(Atletas!B523="Masculino",200,""))+(IF(Atletas!D523="Kids 30kg",1,IF(Atletas!D523="Kids 32kg",2, IF(Atletas!D523="Kids 34kg",3,IF(Atletas!D523="Kids 36kg",4,IF(Atletas!D523="Kids 39kg",5,IF(Atletas!D523="Kids 42kg",6,IF(Atletas!D523="Kids 45kg",7, IF(Atletas!D523="Infantil 39kg",8,IF(Atletas!D523="Infantil 42kg",9,IF(Atletas!D523="Infantil 45kg",10,IF(Atletas!D523="Infantil 48kg",11,IF(Atletas!D523="Infantil 52kg",12,IF(Atletas!D523="Infantil 56kg",13,IF(Atletas!D523="Infantil 60kg",14,IF(Atletas!D523="Juvenil 48kg",15,IF(Atletas!D523="Juvenil 52kg",16,IF(Atletas!D523="Juvenil 56kg",17,IF(Atletas!D523="Juvenil 60kg",18,IF(Atletas!D523="Juvenil 65kg",19,IF(Atletas!D523="Juvenil 70kg",20,IF(Atletas!D523="Juvenil 75kg",21,IF(Atletas!D523="Juvenil 80kg",22, IF(Atletas!D523="Juvenil 85kg",23,IF(Atletas!D523="Adulto 48kg",24,IF(Atletas!D523="Adulto 52kg",25,IF(Atletas!D523="Adulto 56kg",26,IF(Atletas!D523="Adulto 60kg",27,IF(Atletas!D523="Adulto 65kg",28,IF(Atletas!D523="Adulto 70kg",29,IF(Atletas!D523="Adulto 75kg",30,IF(Atletas!D523="Adulto 80kg",31,IF(Atletas!D523="Adulto 85kg",32,IF(Atletas!D523="Adulto 90kg",33,IF(Atletas!D523="Adulto 100kg",34, IF(Atletas!D523="Adulto +100kg",35,"")))))))))))))))))))))))))))))))))))))</f>
        <v/>
      </c>
      <c r="AS532" s="6" t="str">
        <f>IF(Atletas!E523="","",IF(Atletas!B523="Feminino",100,IF(Atletas!B523="Masculino",200,""))+(IF(Atletas!E523="Juvenil 44kg",1,IF(Atletas!E523="Juvenil 48kg",2,IF(Atletas!E523="Juvenil 52kg",3,IF(Atletas!E523="Juvenil 56kg",4,IF(Atletas!E523="Juvenil 60kg",5,IF(Atletas!E523="Juvenil 65kg",6,IF(Atletas!E523="Juvenil 70kg",7,IF(Atletas!E523="Juvenil 75kg",8,IF(Atletas!E523="Juvenil 82kg",9,IF(Atletas!E523="Juvenil 90kg",10,IF(Atletas!E523="Juvenil 100kg",11,IF(Atletas!E523="Adulto 48kg",12,IF(Atletas!E523="Adulto 52kg",13,IF(Atletas!E523="Adulto 56kg",14,IF(Atletas!E523="Adulto 60kg",15,IF(Atletas!E523="Adulto 65kg",16,IF(Atletas!E523="Adulto 70kg",17,IF(Atletas!E523="Adulto 75kg",18,IF(Atletas!E523="Adulto 82kg",19,IF(Atletas!E523="Adulto 90kg",20,IF(Atletas!E523="Adulto 100kg",21,IF(Atletas!E523="Adulto +100kg",22,""))))))))))))))))))))))))</f>
        <v/>
      </c>
      <c r="AX532" s="6" t="str">
        <f>IF(Atletas!F523="","",IF(Atletas!B523="Feminino",100,IF(Atletas!B523="Masculino",200,""))+(IF(Atletas!F523="Adulto 48kg",1,IF(Atletas!F523="Adulto 56kg",2,IF(Atletas!F523="Adulto 65kg",3,IF(Atletas!F523="Adulto 75kg",4,IF(Atletas!F523="Adulto +75kg",5,IF(Atletas!F523="Adulto 52kg",6,IF(Atletas!F523="Adulto 60kg",7,IF(Atletas!F523="Adulto 70kg",8,IF(Atletas!F523="Adulto 80kg",9,IF(Atletas!F523="Adulto 90kg",10,IF(Atletas!F523="Adulto +90kg",11,"")))))))))))))</f>
        <v/>
      </c>
      <c r="BC532" s="6" t="str">
        <f>IF(Atletas!G523="","",IF(Atletas!B523="Feminino",10,IF(Atletas!B523="Masculino",20,""))+(IF(Atletas!G523="Baduanjin A",1,IF(Atletas!G523="Baduanjin B",2))))</f>
        <v/>
      </c>
      <c r="BF532" s="52" t="str">
        <f>IF(Atletas!H523="","",IF(Atletas!B523="Feminino",100,IF(Atletas!B523="Masculino",200,""))+(IF(Atletas!H523="Changquan Mirim",1,IF(Atletas!H523="Nanquan Mirim",2,IF(Atletas!H523="Taijiquan Mirim",3,IF(Atletas!H523="Changquan Grupo C",4,IF(Atletas!H523="Nanquan Grupo C",5,IF(Atletas!H523="Taijiquan Grupo C",6,IF(Atletas!H523="Changquan Grupo B",7,IF(Atletas!H523="Nanquan Grupo B",8,IF(Atletas!H523="Taijiquan Grupo B",9,IF(Atletas!H523="Changquan Grupo A",10,IF(Atletas!H523="Nanquan Grupo A",11,IF(Atletas!H523="Taijiquan Grupo A",12,IF(Atletas!H523="Changquan Opcional",13,IF(Atletas!H523="Nanquan Opcional",14,IF(Atletas!H523="Taijiquan Opcional",15,IF(Atletas!H523="Changquan Adulto",16,IF(Atletas!H523="Nanquan Adulto",17,IF(Atletas!H523="Taijiquan Adulto",18,""))))))))))))))))))))</f>
        <v/>
      </c>
      <c r="BG532" s="52" t="str">
        <f>IF(Atletas!I523="","",IF(Atletas!B523="Feminino",100,IF(Atletas!B523="Masculino",200,""))+(IF(Atletas!I523="Daoshu Mirim",19,IF(Atletas!I523="Jianshu Mirim",20,IF(Atletas!I523="Nandao Mirim",21,IF(Atletas!I523="Taijijian Mirim",22,IF(Atletas!I523="Daoshu Grupo C",23,IF(Atletas!I523="Jianshu Grupo C",24,IF(Atletas!I523="Nandao Grupo C",25,IF(Atletas!I523="Taijijian Grupo C",26,IF(Atletas!I523="Daoshu Grupo B",27,IF(Atletas!I523="Jianshu Grupo B",28,IF(Atletas!I523="Nandao Grupo B",29,IF(Atletas!I523="Taijijian Grupo B",30,IF(Atletas!I523="Daoshu Grupo A",31,IF(Atletas!I523="Jianshu Grupo A",32,IF(Atletas!I523="Nandao Grupo A",33,IF(Atletas!I523="Taijijian Grupo A",34,IF(Atletas!I523="Daoshu Opcional",35,IF(Atletas!I523="Jianshu Opcional",36,IF(Atletas!I523="Nandao Opcional",37,IF(Atletas!I523="Taijijian Opcional",38,IF(Atletas!I523="Daoshu Adulto",39,IF(Atletas!I523="Jianshu Adulto",40,IF(Atletas!I523="Nandao Adulto",41,IF(Atletas!I523="Taijijian Adulto",42,""))))))))))))))))))))))))))</f>
        <v/>
      </c>
      <c r="BH532" s="52" t="str">
        <f>IF(Atletas!J523="","",IF(Atletas!B523="Feminino",100,IF(Atletas!B523="Masculino",200,""))+(IF(Atletas!J523="Gunshu Mirim",43,IF(Atletas!J523="Qiangshu Mirim",44,IF(Atletas!J523="Nangun Mirim",45,IF(Atletas!J523="Gunshu Grupo C",46,IF(Atletas!J523="Qiangshu Grupo C",47,IF(Atletas!J523="Nangun Grupo C",48,IF(Atletas!J523="Gunshu Grupo B",49,IF(Atletas!J523="Qiangshu Grupo B",50,IF(Atletas!J523="Nangun Grupo B",51,IF(Atletas!J523="Gunshu Grupo A",52,IF(Atletas!J523="Qiangshu Grupo A",53,IF(Atletas!J523="Nangun Grupo A",54,IF(Atletas!J523="Gunshu Opcional",55,IF(Atletas!J523="Qiangshu Opcional",56,IF(Atletas!J523="Nangun Opcional",57,IF(Atletas!J523="Gunshu Adulto",58,IF(Atletas!J523="Qiangshu Adulto",59,IF(Atletas!J523="Nangun Adulto",60,IF(Atletas!J523="Taijishan Grupo B",61,IF(Atletas!J523="Taijishan Grupo A",62,""))))))))))))))))))))))</f>
        <v/>
      </c>
      <c r="BM532" s="50" t="str">
        <f>IF(Atletas!K523="","",IF(Atletas!B523="Feminino",100,IF(Atletas!B523="Masculino",200,""))+(IF(Atletas!K523="Equipe 1 Grupo B",1,IF(Atletas!K523="Equipe 2 Grupo B",2,IF(Atletas!K523="Equipe 1 Grupo A",3,IF(Atletas!K523="Equipe 2 Grupo A",4,IF(Atletas!K523="Equipe 1 Adulto",5,IF(Atletas!K523="Equipe 2 Adulto",6,""))))))))</f>
        <v/>
      </c>
      <c r="BR532" s="50" t="str">
        <f>IF(Atletas!L523="","",IF(Atletas!X523&lt;&gt;"",10000,0)+(IF(Atletas!B523="Feminino",1000,IF(Atletas!B523="Masculino",2000,""))+IF(Atletas!L523="Choylayfut A",1,IF(Atletas!L523="Hunggar A",2,IF(Atletas!L523="Wuzuquan A",3,IF(Atletas!L523="Wingchun A",4,IF(Atletas!L523="Outra Mão de Sul A",5,IF(Atletas!L523="Choylayfut B",6,IF(Atletas!L523="Hunggar B",7,IF(Atletas!L523="Wuzuquan B",8,IF(Atletas!L523="Wingchun B",9,IF(Atletas!L523="Outra Mão de Sul B",10,IF(Atletas!L523="Choylayfut C",11,IF(Atletas!L523="Hunggar C",12,IF(Atletas!L523="Wuzuquan C",13,IF(Atletas!L523="Wingchun C",14,IF(Atletas!L523="Outra Mão de Sul C",15,IF(Atletas!L523="Choylayfut D",16,IF(Atletas!L523="Hunggar D",17,IF(Atletas!L523="Wuzuquan D",18,IF(Atletas!L523="Wingchun D",19,IF(Atletas!L523="Outra Mão de Sul D",20,IF(Atletas!L523="Choylayfut E",21,IF(Atletas!L523="Hunggar E",22,IF(Atletas!L523="Wuzuquan E",23,IF(Atletas!L523="Wingchun E",24,IF(Atletas!L523="Outra Mão de Sul E",25,IF(Atletas!L523="Choylayfut F",26,IF(Atletas!L523="Hunggar F",27,IF(Atletas!L523="Wuzuquan F",28,IF(Atletas!L523="Wingchun F",29,IF(Atletas!L523="Outra Mão de Sul F",30,IF(Atletas!L523="Dishuquan A",31,IF(Atletas!L523="Dishuquan B",32,IF(Atletas!L523="Dishuquan C",33,IF(Atletas!L523="Dishuquan D",34,IF(Atletas!L523="Dishuquan E",35,IF(Atletas!L523="Dishuquan F",36,""))))))))))))))))))))))))))))))))))))))</f>
        <v/>
      </c>
      <c r="BS532" s="50" t="str">
        <f>IF(Atletas!M523="","",IF(Atletas!X523&lt;&gt;"",10000,0)+(IF(Atletas!B523="Feminino",1000,IF(Atletas!B523="Masculino",2000,""))+(IF(Atletas!M523="Chaquan A",101,IF(Atletas!M523="Emeiquan A",102,IF(Atletas!M523="Fanziquan A",103,IF(Atletas!M523="Huaquan A",104,IF(Atletas!M523="Hongquan A",105,IF(Atletas!M523="Paoquan A",106,IF(Atletas!M523="Piguaquan A",107,IF(Atletas!M523="Shaolinquan A",108,IF(Atletas!M523="Tanglangquan A",109,IF(Atletas!M523="Yingzhaoquan A",110,IF(Atletas!M523="Tongbeiquan A",111,IF(Atletas!M523="Wudangquan A",112,IF(Atletas!M523="Outros Estilos A",113,IF(Atletas!M523="Chaquan B",114,IF(Atletas!M523="Emeiquan B",115,IF(Atletas!M523="Fanziquan B",116,IF(Atletas!M523="Huaquan B",117,IF(Atletas!M523="Hongquan B",118,IF(Atletas!M523="Paoquan B",119,IF(Atletas!M523="Piguaquan B",120,IF(Atletas!M523="Shaolinquan B",121,IF(Atletas!M523="Tanglangquan B",122,IF(Atletas!M523="Yingzhaoquan B",123,IF(Atletas!M523="Tongbeiquan B",124,IF(Atletas!M523="Wudangquan B",125,IF(Atletas!M523="Outros Estilos B",126,IF(Atletas!M523="Chaquan C",127,IF(Atletas!M523="Emeiquan C",128,IF(Atletas!M523="Fanziquan C",129,IF(Atletas!M523="Huaquan C",130,IF(Atletas!M523="Hongquan C",131,IF(Atletas!M523="Paoquan C",132,IF(Atletas!M523="Piguaquan C",133,IF(Atletas!M523="Shaolinquan C",134,IF(Atletas!M523="Tanglangquan C",135,IF(Atletas!M523="Yingzhaoquan C",136,IF(Atletas!M523="Tongbeiquan C",137,IF(Atletas!M523="Wudangquan C",138,IF(Atletas!M523="Outros Estilos C",139,0))))))))))))))))))))))))))))))))))))))))))</f>
        <v/>
      </c>
      <c r="BT532" s="50" t="str">
        <f>IF(Atletas!M523="","",IF(Atletas!X523&lt;&gt;"",10000,0)+(IF(Atletas!B523="Feminino",1000,IF(Atletas!B523="Masculino",2000,""))+(IF(Atletas!M523="Chaquan D",140,IF(Atletas!M523="Emeiquan D",141,IF(Atletas!M523="Fanziquan D",142,IF(Atletas!M523="Huaquan D",143,IF(Atletas!M523="Hongquan D",144,IF(Atletas!M523="Paoquan D",145,IF(Atletas!M523="Piguaquan D",146,IF(Atletas!M523="Shaolinquan D",147,IF(Atletas!M523="Tanglangquan D",148,IF(Atletas!M523="Yingzhaoquan D",149,IF(Atletas!M523="Tongbeiquan D",150,IF(Atletas!M523="Wudangquan D",151,IF(Atletas!M523="Outros Estilos D",152,IF(Atletas!M523="Chaquan E",153,IF(Atletas!M523="Emeiquan E",154,IF(Atletas!M523="Fanziquan E",155,IF(Atletas!M523="Huaquan E",156,IF(Atletas!M523="Hongquan E",157,IF(Atletas!M523="Paoquan E",158,IF(Atletas!M523="Piguaquan E",159,IF(Atletas!M523="Shaolinquan E",160,IF(Atletas!M523="Tanglangquan E",161,IF(Atletas!M523="Yingzhaoquan E",162,IF(Atletas!M523="Tongbeiquan E",163,IF(Atletas!M523="Wudangquan E",164,IF(Atletas!M523="Outros Estilos E",165,IF(Atletas!M523="Chaquan F",166,IF(Atletas!M523="Emeiquan F",167,IF(Atletas!M523="Fanziquan F",168,IF(Atletas!M523="Huaquan F",169,IF(Atletas!M523="Hongquan F",170,IF(Atletas!M523="Paoquan F",171,IF(Atletas!M523="Piguaquan F",172,IF(Atletas!M523="Shaolinquan F",173,IF(Atletas!M523="Tanglangquan F",174,IF(Atletas!M523="Yingzhaoquan F",175,IF(Atletas!M523="Tongbeiquan F",176,IF(Atletas!M523="Wudangquan F",177,IF(Atletas!M523="Outros Estilos F",178,0))))))))))))))))))))))))))))))))))))))))))</f>
        <v/>
      </c>
      <c r="BU532" s="50" t="str">
        <f>IF(Atletas!N523="","",IF(Atletas!X523&lt;&gt;"",10000,0)+(IF(Atletas!B523="Feminino",1000,IF(Atletas!B523="Masculino",2000,""))+(IF(Atletas!N523="Ditangquan A",201,IF(Atletas!N523="Houquan A",202,IF(Atletas!N523="Zuiquan A",203,IF(Atletas!N523="Ditangquan B",204,IF(Atletas!N523="Houquan B",205,IF(Atletas!N523="Zuiquan B",206,IF(Atletas!N523="Ditangquan C",207,IF(Atletas!N523="Houquan C",208,IF(Atletas!N523="Zuiquan C",209,IF(Atletas!N523="Ditangquan D",210,IF(Atletas!N523="Houquan D",211,IF(Atletas!N523="Zuiquan D",212,IF(Atletas!N523="Ditangquan E",213,IF(Atletas!N523="Houquan E",214,IF(Atletas!N523="Zuiquan E",215,IF(Atletas!N523="Ditangquan F",216,IF(Atletas!N523="Houquan F",217,IF(Atletas!N523="Zuiquan F",218,"")))))))))))))))))))))</f>
        <v/>
      </c>
      <c r="BV532" s="50" t="str">
        <f>IF(Atletas!O523="","",IF(Atletas!X523&lt;&gt;"",10000,0)+IF(Atletas!B523="Feminino",1000,IF(Atletas!B523="Masculino",2000,""))+IF(Atletas!O523="Yang A",301,IF(Atletas!O523="Chen A",302,IF(Atletas!O523="Sun A",303,IF(Atletas!O523="Wu A",304,IF(Atletas!O523="Wu-Hao A",305,IF(Atletas!O523="Outro Taijiquan A",306,IF(Atletas!O523="Yang B",307,IF(Atletas!O523="Chen B",308,IF(Atletas!O523="Sun B",309,IF(Atletas!O523="Wu B",310,IF(Atletas!O523="Wu-Hao B",311,IF(Atletas!O523="Outro Taijiquan B",312,IF(Atletas!O523="Yang C",313,IF(Atletas!O523="Chen C",314,IF(Atletas!O523="Sun C",315,IF(Atletas!O523="Wu C",316,IF(Atletas!O523="Wu-Hao C",317,IF(Atletas!O523="Outro Taijiquan C",318,IF(Atletas!O523="Yang D",319,IF(Atletas!O523="Chen D",320,IF(Atletas!O523="Sun D",321,IF(Atletas!O523="Wu D",322,IF(Atletas!O523="Wu-Hao D",323,IF(Atletas!O523="Outro Taijiquan D",324,IF(Atletas!O523="Yang E",325,IF(Atletas!O523="Chen E",326,IF(Atletas!O523="Sun E",327,IF(Atletas!O523="Wu E",328,IF(Atletas!O523="Wu-Hao E",329,IF(Atletas!O523="Outro Taijiquan E",330,IF(Atletas!O523="Yang F",331,IF(Atletas!O523="Chen F",332,IF(Atletas!O523="Sun F",333,IF(Atletas!O523="Wu F",334,IF(Atletas!O523="Wu-Hao F",335,IF(Atletas!O523="Outro Taijiquan F",336,"")))))))))))))))))))))))))))))))))))))</f>
        <v/>
      </c>
      <c r="BW532" s="50" t="str">
        <f>IF(Atletas!P523="","",IF(Atletas!X523&lt;&gt;"",10000,0)+IF(Atletas!B523="Feminino",1000,IF(Atletas!B523="Masculino",2000,""))+IF(OR(Atletas!P523="Yang 26 A",Atletas!P523="Yang 40 A"),401,IF(OR(Atletas!P523="Chen 25 A",Atletas!P523="Chen 36 A",Atletas!P523="Chen 56 A"),402,IF(Atletas!P523="Sun 73 A",403,IF(Atletas!P523="Wu 45 A",404,IF(Atletas!P523="Wu-Hao 46 A",405,IF(OR(Atletas!P523="Taijiquan 16 A",Atletas!P523="Taijiquan 24 A",Atletas!P523="Taijiquan 32 A",Atletas!P523="Taijiquan 42 A"),406,IF(OR(Atletas!P523="Yang 26 B",Atletas!P523="Yang 40 B"),407,IF(OR(Atletas!P523="Chen 25 B",Atletas!P523="Chen 36 B",Atletas!P523="Chen 56 B"),408,IF(Atletas!P523="Sun 73 B",409,IF(Atletas!P523="Wu 45 B",410,IF(Atletas!P523="Wu-Hao 46 B",411,IF(OR(Atletas!P523="Taijiquan 16 B",Atletas!P523="Taijiquan 24 B",Atletas!P523="Taijiquan 32 B",Atletas!P523="Taijiquan 42 B"),412,IF(OR(Atletas!P523="Yang 26 C",Atletas!P523="Yang 40 C"),413,IF(OR(Atletas!P523="Chen 25 C",Atletas!P523="Chen 36 C",Atletas!P523="Chen 56 C"),414,IF(Atletas!P523="Sun 73 C",415,IF(Atletas!P523="Wu 45 C",416,IF(Atletas!P523="Wu-Hao 46 C",417,IF(OR(Atletas!P523="Taijiquan 16 C",Atletas!P523="Taijiquan 24 C",Atletas!P523="Taijiquan 32 C",Atletas!P523="Taijiquan 42 C"),418,0)))))))))))))))))))</f>
        <v/>
      </c>
      <c r="BX532" s="50" t="str">
        <f>IF(Atletas!P523="","",IF(Atletas!X523&lt;&gt;"",10000,0)+IF(Atletas!B523="Feminino",1000,IF(Atletas!B523="Masculino",2000,""))+IF(OR(Atletas!P523="Yang 26 D",Atletas!P523="Yang 40 D"),419,IF(OR(Atletas!P523="Chen 25 D",Atletas!P523="Chen 36 D",Atletas!P523="Chen 56 D"),420,IF(Atletas!P523="Sun 73 D",421,IF(Atletas!P523="Wu 45 D",422,IF(Atletas!P523="Wu-Hao 46 D",423,IF(OR(Atletas!P523="Taijiquan 16 D",Atletas!P523="Taijiquan 24 D",Atletas!P523="Taijiquan 32 D",Atletas!P523="Taijiquan 42 D"),424,IF(OR(Atletas!P523="Yang 26 E",Atletas!P523="Yang 40 E"),425,IF(OR(Atletas!P523="Chen 25 E",Atletas!P523="Chen 36 E",Atletas!P523="Chen 56 E"),426,IF(Atletas!P523="Sun 73 E",427,IF(Atletas!P523="Wu 45 E",428,IF(Atletas!P523="Wu-Hao 46 E",429,IF(OR(Atletas!P523="Taijiquan 16 E",Atletas!P523="Taijiquan 24 E",Atletas!P523="Taijiquan 32 E",Atletas!P523="Taijiquan 42 E"),430,IF(OR(Atletas!P523="Yang 26 F",Atletas!P523="Yang 40 F"),431,IF(OR(Atletas!P523="Chen 25 F",Atletas!P523="Chen 36 F",Atletas!P523="Chen 56 F"),432,IF(Atletas!P523="Sun 73 F",433,IF(Atletas!P523="Wu 45 F",434,IF(Atletas!P523="Wu-Hao 46 F",435,IF(OR(Atletas!P523="Taijiquan 16 F",Atletas!P523="Taijiquan 24 F",Atletas!P523="Taijiquan 32 F",Atletas!P523="Taijiquan 42 F"),436,0)))))))))))))))))))</f>
        <v/>
      </c>
      <c r="BY532" s="50" t="str">
        <f>IF(Atletas!Q523="","",IF(Atletas!X523&lt;&gt;"",10000,0)+IF(Atletas!B523="Feminino",1000,IF(Atletas!B523="Masculino",2000,""))+IF(Atletas!Q523="Xingyiquan A",501,IF(Atletas!Q523="Baguazhang A",502,IF(Atletas!Q523="Outro Estilo Interno A",503,IF(Atletas!Q523="Xingyiquan B",504,IF(Atletas!Q523="Baguazhang B",505,IF(Atletas!Q523="Outro Estilo Interno B",506,IF(Atletas!Q523="Xingyiquan C",507,IF(Atletas!Q523="Baguazhang C",508,IF(Atletas!Q523="Outro Estilo Interno C",509,IF(Atletas!Q523="Xingyiquan D",510,IF(Atletas!Q523="Baguazhang D",511,IF(Atletas!Q523="Outro Estilo Interno D",512,IF(Atletas!Q523="Xingyiquan E",513,IF(Atletas!Q523="Baguazhang E",514,IF(Atletas!Q523="Outro Estilo Interno E",515,IF(Atletas!Q523="Xingyiquan F",516,IF(Atletas!Q523="Baguazhang F",517,IF(Atletas!Q523="Outro Estilo Interno F",518, "")))))))))))))))))))</f>
        <v/>
      </c>
      <c r="BZ532" s="50" t="str">
        <f>IF(Atletas!R523="","",IF(Atletas!X523&lt;&gt;"",10000,0)+IF(Atletas!B523="Feminino",1000,IF(Atletas!B523="Masculino",2000,""))+IF(Atletas!R523="Dao A",601,IF(Atletas!R523="Jian A",602,IF(Atletas!R523="Bishou A",603,IF(Atletas!R523="Shanzi A",604,IF(Atletas!R523="Outra Arma Curta A",605,IF(Atletas!R523="Dao B",606,IF(Atletas!R523="Jian B",607,IF(Atletas!R523="Bishou B",608,IF(Atletas!R523="Shanzi B",609,IF(Atletas!R523="Outra Arma Curta B",610,IF(Atletas!R523="Dao C",611,IF(Atletas!R523="Jian C",612,IF(Atletas!R523="Bishou C",613,IF(Atletas!R523="Shanzi C",614,IF(Atletas!R523="Outra Arma Curta C",615,IF(Atletas!R523="Dao D",616,IF(Atletas!R523="Jian D",617,IF(Atletas!R523="Bishou D",618,IF(Atletas!R523="Shanzi D",619,IF(Atletas!R523="Outra Arma Curta D",620,IF(Atletas!R523="Dao E",621,IF(Atletas!R523="Jian E",622,IF(Atletas!R523="Bishou E",623,IF(Atletas!R523="Shanzi E",624,IF(Atletas!R523="Outra Arma Curta E",625,IF(Atletas!R523="Dao F",626,IF(Atletas!R523="Jian F",627,IF(Atletas!R523="Bishou F",628,IF(Atletas!R523="Shanzi F",629,IF(Atletas!R523="Outra Arma Curta F",630, "")))))))))))))))))))))))))))))))</f>
        <v/>
      </c>
      <c r="CA532" s="50" t="str">
        <f>IF(Atletas!S523="","",IF(Atletas!X523&lt;&gt;"",10000,0)+IF(Atletas!B523="Feminino",1000,IF(Atletas!B523="Masculino",2000,""))+IF(Atletas!S523="Gun A",701,IF(Atletas!S523="Qiang A",702,IF(Atletas!S523="Pudao / Guandao A",703,IF(Atletas!S523="Outra Arma Longa A",704,IF(Atletas!S523="Gun B",705,IF(Atletas!S523="Qiang B",706,IF(Atletas!S523="Pudao / Guandao B",707,IF(Atletas!S523="Outra Arma Longa B",708,IF(Atletas!S523="Gun C",709,IF(Atletas!S523="Qiang C",710,IF(Atletas!S523="Pudao / Guandao C",711,IF(Atletas!S523="Outra Arma Longa C",712,IF(Atletas!S523="Gun D",713,IF(Atletas!S523="Qiang D",714,IF(Atletas!S523="Pudao / Guandao D",715,IF(Atletas!S523="Outra Arma Longa D",716,IF(Atletas!S523="Gun E",717,IF(Atletas!S523="Qiang E",718,IF(Atletas!S523="Pudao / Guandao E",719,IF(Atletas!S523="Outra Arma Longa E",720,IF(Atletas!S523="Gun F",721,IF(Atletas!S523="Qiang F",722,IF(Atletas!S523="Pudao / Guandao F",723,IF(Atletas!S523="Outra Arma Longa F",724,"")))))))))))))))))))))))))</f>
        <v/>
      </c>
      <c r="CB532" s="50" t="str">
        <f>IF(Atletas!T523="","",IF(Atletas!X523&lt;&gt;"",10000,0)+IF(Atletas!B523="Feminino",1000,IF(Atletas!B523="Masculino",2000,""))+IF(Atletas!T523="Outra Arma Dupla A",801,IF(Atletas!T523="Arma Maleável A",802,IF(Atletas!T523="Outra Arma Dupla B",803,IF(Atletas!T523="Arma Maleável B",804,IF(Atletas!T523="Outra Arma Dupla C",805,IF(Atletas!T523="Arma Maleável C",806,IF(Atletas!T523="Outra Arma Dupla D",807,IF(Atletas!T523="Arma Maleável D",808,IF(Atletas!T523="Outra Arma Dupla E",809,IF(Atletas!T523="Arma Maleável E",810,IF(Atletas!T523="Outra Arma Dupla F",811,IF(Atletas!T523="Arma Maleável F",812,IF(Atletas!T523="Shuangdao A",813,IF(Atletas!T523="Shuangdao B",814,IF(Atletas!T523="Shuangdao C",815,IF(Atletas!T523="Shuangdao D",816,IF(Atletas!T523="Shuangdao E",817,IF(Atletas!T523="Shuangdao F",818,"")))))))))))))))))))</f>
        <v/>
      </c>
      <c r="CC532" s="50" t="str">
        <f>IF(Atletas!U523="","",IF(Atletas!X523&lt;&gt;"",10000,0)+IF(Atletas!B523="Feminino",1000,IF(Atletas!B523="Masculino",2000,""))+IF(OR(Atletas!U523="Taijijian Yang A",Atletas!U523="Taijijian Yang Standard A"),901,IF(OR(Atletas!U523="Taijijian Chen A", Atletas!U523="Taijijian Chen Standard A"),902,IF(Atletas!U523="Taijijian Sun A",903,IF(Atletas!U523="Taijijian Wu A",904,IF(Atletas!U523="Taijijian Wu-Hao A",905,IF(OR(Atletas!U523="Taijijian 32 A",Atletas!U523="Taijijian 42 A"),906,IF(OR(Atletas!U523="Taijijian Yang B",Atletas!U523="Taijijian Yang Standard B"),907,IF(OR(Atletas!U523="Taijijian Chen B", Atletas!U523="Taijijian Chen Standard B"),908,IF(Atletas!U523="Taijijian Sun B",909,IF(Atletas!U523="Taijijian Wu B",910,IF(Atletas!U523="Taijijian Wu-Hao B",911,IF(OR(Atletas!U523="Taijijian 32 B",Atletas!U523="Taijijian 42 B"),912,IF(OR(Atletas!U523="Taijijian Yang C",Atletas!U523="Taijijian Yang Standard C"),913,IF(OR(Atletas!U523="Taijijian Chen C", Atletas!U523="Taijijian Chen Standard C"),914,IF(Atletas!U523="Taijijian Sun C",915,IF(Atletas!U523="Taijijian Wu C",916,IF(Atletas!U523="Taijijian Wu-Hao C",917,IF(OR(Atletas!U523="Taijijian 32 C",Atletas!U523="Taijijian 42 C"),918,IF(OR(Atletas!U523="Taijijian Yang D",Atletas!U523="Taijijian Yang Standard D"),919,IF(OR(Atletas!U523="Taijijian Chen D", Atletas!U523="Taijijian Chen Standard D"),920,IF(Atletas!U523="Taijijian Sun D",921,IF(Atletas!U523="Taijijian Wu D",922,IF(Atletas!U523="Taijijian Wu-Hao D",923,IF(OR(Atletas!U523="Taijijian 32 D",Atletas!U523="Taijijian 42 D"),924,IF(OR(Atletas!U523="Taijijian Yang E",Atletas!U523="Taijijian Yang Standard E"),925,IF(OR(Atletas!U523="Taijijian Chen E", Atletas!U523="Taijijian Chen Standard E"),926,IF(Atletas!U523="Taijijian Sun E",927,IF(Atletas!U523="Taijijian Wu E",928,IF(Atletas!U523="Taijijian Wu-Hao E",929,IF(OR(Atletas!U523="Taijijian 32 E",Atletas!U523="Taijijian 42 E"),930,IF(OR(Atletas!U523="Taijijian Yang F",Atletas!U523="Taijijian Yang Standard F"),931,IF(OR(Atletas!U523="Taijijian Chen F", Atletas!U523="Taijijian Chen Standard F"),932,IF(Atletas!U523="Taijijian Sun F",933,IF(Atletas!U523="Taijijian Wu F",934,IF(Atletas!U523="Taijijian Wu-Hao F",935,IF(OR(Atletas!U523="Taijijian 32 F",Atletas!U523="Taijijian 42 F"),936,"")))))))))))))))))))))))))))))))))))))</f>
        <v/>
      </c>
      <c r="CD532" s="50" t="str">
        <f>IF(Atletas!V523="","",IF(Atletas!X523&lt;&gt;"",10000,0)+IF(Atletas!B523="Feminino",1000,IF(Atletas!B523="Masculino",2000,""))+IF(Atletas!V523="Taijidao A",937,IF(Atletas!V523="TaijiShanzi A",938,IF(Atletas!V523="Taijiqiang A",939,IF(Atletas!V523="Bagua de Arma A",940,IF(Atletas!V523="Xingyi de Arma A",941,IF(Atletas!V523="Taijidao B",942,IF(Atletas!V523="TaijiShanzi B",943,IF(Atletas!V523="Taijiqiang B",944,IF(Atletas!V523="Bagua de Arma B",945,IF(Atletas!V523="Xingyi de Arma B",946,IF(Atletas!V523="Taijidao C",947,IF(Atletas!V523="TaijiShanzi C",948,IF(Atletas!V523="Taijiqiang C",949,IF(Atletas!V523="Bagua de Arma C",950,IF(Atletas!V523="Xingyi de Arma C",951,IF(Atletas!V523="Taijidao D",952,IF(Atletas!V523="TaijiShanzi D",953,IF(Atletas!V523="Taijiqiang D",954,IF(Atletas!V523="Bagua de Arma D",955,IF(Atletas!V523="Xingyi de Arma D",956,IF(Atletas!V523="Taijidao E",957,IF(Atletas!V523="TaijiShanzi E",958,IF(Atletas!V523="Taijiqiang E",959,IF(Atletas!V523="Bagua de Arma E",960,IF(Atletas!V523="Xingyi de Arma E",961,IF(Atletas!V523="Taijidao F",962,IF(Atletas!V523="TaijiShanzi F",963,IF(Atletas!V523="Taijiqiang F",964,IF(Atletas!V523="Bagua de Arma F",965,IF(Atletas!V523="Xingyi de Arma F",966,"")))))))))))))))))))))))))))))))</f>
        <v/>
      </c>
      <c r="CM532" s="50" t="str">
        <f xml:space="preserve"> IF(Atletas!W523="","",IF(Atletas!W523="Duilian de Mãos BC - Equipe 1",1,IF(Atletas!W523="Duilian de Mãos BC - Equipe 2",2,IF(Atletas!W523="Duilian de Armas BC - Equipe 1",3,IF(Atletas!W523="Duilian de Armas BC - Equipe 2",4,IF(Atletas!W523="Duilian de Mãos DE - Equipe 1",5,IF(Atletas!W523="Duilian de Mãos DE - Equipe 2",6,IF(Atletas!W523="Duilian de Armas DE - Equipe 1",7,IF(Atletas!W523="Duilian de Armas DE - Equipe 2",8,IF(Atletas!W523="Duilian de Tuishou - Equipe 1",9,IF(Atletas!W523="Duilian de Tuishou - Equipe 2",10,IF(Atletas!W523="Grupo Externo ABC - Equipe 1",11,IF(Atletas!W523="Grupo Externo ABC - Equipe 2",12,IF(Atletas!W523="Grupo Interno ABC - Equipe 1",13,IF(Atletas!W523="Grupo Interno ABC - Equipe 2",14,IF(Atletas!W523="Grupo Externo DEF - Equipe 1",15,IF(Atletas!W523="Grupo Externo DEF - Equipe 2",16,IF(Atletas!W523="Grupo Interno DEF - Equipe 1",17,IF(Atletas!W523="Grupo Interno DEF - Equipe 2",18,"")))))))))))))))))))</f>
        <v/>
      </c>
    </row>
    <row r="533" spans="40:91">
      <c r="AN533" s="52" t="str">
        <f>IF(Atletas!D524="","",IF(Atletas!B524="Feminino",100,IF(Atletas!B524="Masculino",200,""))+(IF(Atletas!D524="Kids 30kg",1,IF(Atletas!D524="Kids 32kg",2, IF(Atletas!D524="Kids 34kg",3,IF(Atletas!D524="Kids 36kg",4,IF(Atletas!D524="Kids 39kg",5,IF(Atletas!D524="Kids 42kg",6,IF(Atletas!D524="Kids 45kg",7, IF(Atletas!D524="Infantil 39kg",8,IF(Atletas!D524="Infantil 42kg",9,IF(Atletas!D524="Infantil 45kg",10,IF(Atletas!D524="Infantil 48kg",11,IF(Atletas!D524="Infantil 52kg",12,IF(Atletas!D524="Infantil 56kg",13,IF(Atletas!D524="Infantil 60kg",14,IF(Atletas!D524="Juvenil 48kg",15,IF(Atletas!D524="Juvenil 52kg",16,IF(Atletas!D524="Juvenil 56kg",17,IF(Atletas!D524="Juvenil 60kg",18,IF(Atletas!D524="Juvenil 65kg",19,IF(Atletas!D524="Juvenil 70kg",20,IF(Atletas!D524="Juvenil 75kg",21,IF(Atletas!D524="Juvenil 80kg",22, IF(Atletas!D524="Juvenil 85kg",23,IF(Atletas!D524="Adulto 48kg",24,IF(Atletas!D524="Adulto 52kg",25,IF(Atletas!D524="Adulto 56kg",26,IF(Atletas!D524="Adulto 60kg",27,IF(Atletas!D524="Adulto 65kg",28,IF(Atletas!D524="Adulto 70kg",29,IF(Atletas!D524="Adulto 75kg",30,IF(Atletas!D524="Adulto 80kg",31,IF(Atletas!D524="Adulto 85kg",32,IF(Atletas!D524="Adulto 90kg",33,IF(Atletas!D524="Adulto 100kg",34, IF(Atletas!D524="Adulto +100kg",35,"")))))))))))))))))))))))))))))))))))))</f>
        <v/>
      </c>
      <c r="AS533" s="6" t="str">
        <f>IF(Atletas!E524="","",IF(Atletas!B524="Feminino",100,IF(Atletas!B524="Masculino",200,""))+(IF(Atletas!E524="Juvenil 44kg",1,IF(Atletas!E524="Juvenil 48kg",2,IF(Atletas!E524="Juvenil 52kg",3,IF(Atletas!E524="Juvenil 56kg",4,IF(Atletas!E524="Juvenil 60kg",5,IF(Atletas!E524="Juvenil 65kg",6,IF(Atletas!E524="Juvenil 70kg",7,IF(Atletas!E524="Juvenil 75kg",8,IF(Atletas!E524="Juvenil 82kg",9,IF(Atletas!E524="Juvenil 90kg",10,IF(Atletas!E524="Juvenil 100kg",11,IF(Atletas!E524="Adulto 48kg",12,IF(Atletas!E524="Adulto 52kg",13,IF(Atletas!E524="Adulto 56kg",14,IF(Atletas!E524="Adulto 60kg",15,IF(Atletas!E524="Adulto 65kg",16,IF(Atletas!E524="Adulto 70kg",17,IF(Atletas!E524="Adulto 75kg",18,IF(Atletas!E524="Adulto 82kg",19,IF(Atletas!E524="Adulto 90kg",20,IF(Atletas!E524="Adulto 100kg",21,IF(Atletas!E524="Adulto +100kg",22,""))))))))))))))))))))))))</f>
        <v/>
      </c>
      <c r="AX533" s="6" t="str">
        <f>IF(Atletas!F524="","",IF(Atletas!B524="Feminino",100,IF(Atletas!B524="Masculino",200,""))+(IF(Atletas!F524="Adulto 48kg",1,IF(Atletas!F524="Adulto 56kg",2,IF(Atletas!F524="Adulto 65kg",3,IF(Atletas!F524="Adulto 75kg",4,IF(Atletas!F524="Adulto +75kg",5,IF(Atletas!F524="Adulto 52kg",6,IF(Atletas!F524="Adulto 60kg",7,IF(Atletas!F524="Adulto 70kg",8,IF(Atletas!F524="Adulto 80kg",9,IF(Atletas!F524="Adulto 90kg",10,IF(Atletas!F524="Adulto +90kg",11,"")))))))))))))</f>
        <v/>
      </c>
      <c r="BC533" s="6" t="str">
        <f>IF(Atletas!G524="","",IF(Atletas!B524="Feminino",10,IF(Atletas!B524="Masculino",20,""))+(IF(Atletas!G524="Baduanjin A",1,IF(Atletas!G524="Baduanjin B",2))))</f>
        <v/>
      </c>
      <c r="BF533" s="52" t="str">
        <f>IF(Atletas!H524="","",IF(Atletas!B524="Feminino",100,IF(Atletas!B524="Masculino",200,""))+(IF(Atletas!H524="Changquan Mirim",1,IF(Atletas!H524="Nanquan Mirim",2,IF(Atletas!H524="Taijiquan Mirim",3,IF(Atletas!H524="Changquan Grupo C",4,IF(Atletas!H524="Nanquan Grupo C",5,IF(Atletas!H524="Taijiquan Grupo C",6,IF(Atletas!H524="Changquan Grupo B",7,IF(Atletas!H524="Nanquan Grupo B",8,IF(Atletas!H524="Taijiquan Grupo B",9,IF(Atletas!H524="Changquan Grupo A",10,IF(Atletas!H524="Nanquan Grupo A",11,IF(Atletas!H524="Taijiquan Grupo A",12,IF(Atletas!H524="Changquan Opcional",13,IF(Atletas!H524="Nanquan Opcional",14,IF(Atletas!H524="Taijiquan Opcional",15,IF(Atletas!H524="Changquan Adulto",16,IF(Atletas!H524="Nanquan Adulto",17,IF(Atletas!H524="Taijiquan Adulto",18,""))))))))))))))))))))</f>
        <v/>
      </c>
      <c r="BG533" s="52" t="str">
        <f>IF(Atletas!I524="","",IF(Atletas!B524="Feminino",100,IF(Atletas!B524="Masculino",200,""))+(IF(Atletas!I524="Daoshu Mirim",19,IF(Atletas!I524="Jianshu Mirim",20,IF(Atletas!I524="Nandao Mirim",21,IF(Atletas!I524="Taijijian Mirim",22,IF(Atletas!I524="Daoshu Grupo C",23,IF(Atletas!I524="Jianshu Grupo C",24,IF(Atletas!I524="Nandao Grupo C",25,IF(Atletas!I524="Taijijian Grupo C",26,IF(Atletas!I524="Daoshu Grupo B",27,IF(Atletas!I524="Jianshu Grupo B",28,IF(Atletas!I524="Nandao Grupo B",29,IF(Atletas!I524="Taijijian Grupo B",30,IF(Atletas!I524="Daoshu Grupo A",31,IF(Atletas!I524="Jianshu Grupo A",32,IF(Atletas!I524="Nandao Grupo A",33,IF(Atletas!I524="Taijijian Grupo A",34,IF(Atletas!I524="Daoshu Opcional",35,IF(Atletas!I524="Jianshu Opcional",36,IF(Atletas!I524="Nandao Opcional",37,IF(Atletas!I524="Taijijian Opcional",38,IF(Atletas!I524="Daoshu Adulto",39,IF(Atletas!I524="Jianshu Adulto",40,IF(Atletas!I524="Nandao Adulto",41,IF(Atletas!I524="Taijijian Adulto",42,""))))))))))))))))))))))))))</f>
        <v/>
      </c>
      <c r="BH533" s="52" t="str">
        <f>IF(Atletas!J524="","",IF(Atletas!B524="Feminino",100,IF(Atletas!B524="Masculino",200,""))+(IF(Atletas!J524="Gunshu Mirim",43,IF(Atletas!J524="Qiangshu Mirim",44,IF(Atletas!J524="Nangun Mirim",45,IF(Atletas!J524="Gunshu Grupo C",46,IF(Atletas!J524="Qiangshu Grupo C",47,IF(Atletas!J524="Nangun Grupo C",48,IF(Atletas!J524="Gunshu Grupo B",49,IF(Atletas!J524="Qiangshu Grupo B",50,IF(Atletas!J524="Nangun Grupo B",51,IF(Atletas!J524="Gunshu Grupo A",52,IF(Atletas!J524="Qiangshu Grupo A",53,IF(Atletas!J524="Nangun Grupo A",54,IF(Atletas!J524="Gunshu Opcional",55,IF(Atletas!J524="Qiangshu Opcional",56,IF(Atletas!J524="Nangun Opcional",57,IF(Atletas!J524="Gunshu Adulto",58,IF(Atletas!J524="Qiangshu Adulto",59,IF(Atletas!J524="Nangun Adulto",60,IF(Atletas!J524="Taijishan Grupo B",61,IF(Atletas!J524="Taijishan Grupo A",62,""))))))))))))))))))))))</f>
        <v/>
      </c>
      <c r="BM533" s="50" t="str">
        <f>IF(Atletas!K524="","",IF(Atletas!B524="Feminino",100,IF(Atletas!B524="Masculino",200,""))+(IF(Atletas!K524="Equipe 1 Grupo B",1,IF(Atletas!K524="Equipe 2 Grupo B",2,IF(Atletas!K524="Equipe 1 Grupo A",3,IF(Atletas!K524="Equipe 2 Grupo A",4,IF(Atletas!K524="Equipe 1 Adulto",5,IF(Atletas!K524="Equipe 2 Adulto",6,""))))))))</f>
        <v/>
      </c>
      <c r="BR533" s="50" t="str">
        <f>IF(Atletas!L524="","",IF(Atletas!X524&lt;&gt;"",10000,0)+(IF(Atletas!B524="Feminino",1000,IF(Atletas!B524="Masculino",2000,""))+IF(Atletas!L524="Choylayfut A",1,IF(Atletas!L524="Hunggar A",2,IF(Atletas!L524="Wuzuquan A",3,IF(Atletas!L524="Wingchun A",4,IF(Atletas!L524="Outra Mão de Sul A",5,IF(Atletas!L524="Choylayfut B",6,IF(Atletas!L524="Hunggar B",7,IF(Atletas!L524="Wuzuquan B",8,IF(Atletas!L524="Wingchun B",9,IF(Atletas!L524="Outra Mão de Sul B",10,IF(Atletas!L524="Choylayfut C",11,IF(Atletas!L524="Hunggar C",12,IF(Atletas!L524="Wuzuquan C",13,IF(Atletas!L524="Wingchun C",14,IF(Atletas!L524="Outra Mão de Sul C",15,IF(Atletas!L524="Choylayfut D",16,IF(Atletas!L524="Hunggar D",17,IF(Atletas!L524="Wuzuquan D",18,IF(Atletas!L524="Wingchun D",19,IF(Atletas!L524="Outra Mão de Sul D",20,IF(Atletas!L524="Choylayfut E",21,IF(Atletas!L524="Hunggar E",22,IF(Atletas!L524="Wuzuquan E",23,IF(Atletas!L524="Wingchun E",24,IF(Atletas!L524="Outra Mão de Sul E",25,IF(Atletas!L524="Choylayfut F",26,IF(Atletas!L524="Hunggar F",27,IF(Atletas!L524="Wuzuquan F",28,IF(Atletas!L524="Wingchun F",29,IF(Atletas!L524="Outra Mão de Sul F",30,IF(Atletas!L524="Dishuquan A",31,IF(Atletas!L524="Dishuquan B",32,IF(Atletas!L524="Dishuquan C",33,IF(Atletas!L524="Dishuquan D",34,IF(Atletas!L524="Dishuquan E",35,IF(Atletas!L524="Dishuquan F",36,""))))))))))))))))))))))))))))))))))))))</f>
        <v/>
      </c>
      <c r="BS533" s="50" t="str">
        <f>IF(Atletas!M524="","",IF(Atletas!X524&lt;&gt;"",10000,0)+(IF(Atletas!B524="Feminino",1000,IF(Atletas!B524="Masculino",2000,""))+(IF(Atletas!M524="Chaquan A",101,IF(Atletas!M524="Emeiquan A",102,IF(Atletas!M524="Fanziquan A",103,IF(Atletas!M524="Huaquan A",104,IF(Atletas!M524="Hongquan A",105,IF(Atletas!M524="Paoquan A",106,IF(Atletas!M524="Piguaquan A",107,IF(Atletas!M524="Shaolinquan A",108,IF(Atletas!M524="Tanglangquan A",109,IF(Atletas!M524="Yingzhaoquan A",110,IF(Atletas!M524="Tongbeiquan A",111,IF(Atletas!M524="Wudangquan A",112,IF(Atletas!M524="Outros Estilos A",113,IF(Atletas!M524="Chaquan B",114,IF(Atletas!M524="Emeiquan B",115,IF(Atletas!M524="Fanziquan B",116,IF(Atletas!M524="Huaquan B",117,IF(Atletas!M524="Hongquan B",118,IF(Atletas!M524="Paoquan B",119,IF(Atletas!M524="Piguaquan B",120,IF(Atletas!M524="Shaolinquan B",121,IF(Atletas!M524="Tanglangquan B",122,IF(Atletas!M524="Yingzhaoquan B",123,IF(Atletas!M524="Tongbeiquan B",124,IF(Atletas!M524="Wudangquan B",125,IF(Atletas!M524="Outros Estilos B",126,IF(Atletas!M524="Chaquan C",127,IF(Atletas!M524="Emeiquan C",128,IF(Atletas!M524="Fanziquan C",129,IF(Atletas!M524="Huaquan C",130,IF(Atletas!M524="Hongquan C",131,IF(Atletas!M524="Paoquan C",132,IF(Atletas!M524="Piguaquan C",133,IF(Atletas!M524="Shaolinquan C",134,IF(Atletas!M524="Tanglangquan C",135,IF(Atletas!M524="Yingzhaoquan C",136,IF(Atletas!M524="Tongbeiquan C",137,IF(Atletas!M524="Wudangquan C",138,IF(Atletas!M524="Outros Estilos C",139,0))))))))))))))))))))))))))))))))))))))))))</f>
        <v/>
      </c>
      <c r="BT533" s="50" t="str">
        <f>IF(Atletas!M524="","",IF(Atletas!X524&lt;&gt;"",10000,0)+(IF(Atletas!B524="Feminino",1000,IF(Atletas!B524="Masculino",2000,""))+(IF(Atletas!M524="Chaquan D",140,IF(Atletas!M524="Emeiquan D",141,IF(Atletas!M524="Fanziquan D",142,IF(Atletas!M524="Huaquan D",143,IF(Atletas!M524="Hongquan D",144,IF(Atletas!M524="Paoquan D",145,IF(Atletas!M524="Piguaquan D",146,IF(Atletas!M524="Shaolinquan D",147,IF(Atletas!M524="Tanglangquan D",148,IF(Atletas!M524="Yingzhaoquan D",149,IF(Atletas!M524="Tongbeiquan D",150,IF(Atletas!M524="Wudangquan D",151,IF(Atletas!M524="Outros Estilos D",152,IF(Atletas!M524="Chaquan E",153,IF(Atletas!M524="Emeiquan E",154,IF(Atletas!M524="Fanziquan E",155,IF(Atletas!M524="Huaquan E",156,IF(Atletas!M524="Hongquan E",157,IF(Atletas!M524="Paoquan E",158,IF(Atletas!M524="Piguaquan E",159,IF(Atletas!M524="Shaolinquan E",160,IF(Atletas!M524="Tanglangquan E",161,IF(Atletas!M524="Yingzhaoquan E",162,IF(Atletas!M524="Tongbeiquan E",163,IF(Atletas!M524="Wudangquan E",164,IF(Atletas!M524="Outros Estilos E",165,IF(Atletas!M524="Chaquan F",166,IF(Atletas!M524="Emeiquan F",167,IF(Atletas!M524="Fanziquan F",168,IF(Atletas!M524="Huaquan F",169,IF(Atletas!M524="Hongquan F",170,IF(Atletas!M524="Paoquan F",171,IF(Atletas!M524="Piguaquan F",172,IF(Atletas!M524="Shaolinquan F",173,IF(Atletas!M524="Tanglangquan F",174,IF(Atletas!M524="Yingzhaoquan F",175,IF(Atletas!M524="Tongbeiquan F",176,IF(Atletas!M524="Wudangquan F",177,IF(Atletas!M524="Outros Estilos F",178,0))))))))))))))))))))))))))))))))))))))))))</f>
        <v/>
      </c>
      <c r="BU533" s="50" t="str">
        <f>IF(Atletas!N524="","",IF(Atletas!X524&lt;&gt;"",10000,0)+(IF(Atletas!B524="Feminino",1000,IF(Atletas!B524="Masculino",2000,""))+(IF(Atletas!N524="Ditangquan A",201,IF(Atletas!N524="Houquan A",202,IF(Atletas!N524="Zuiquan A",203,IF(Atletas!N524="Ditangquan B",204,IF(Atletas!N524="Houquan B",205,IF(Atletas!N524="Zuiquan B",206,IF(Atletas!N524="Ditangquan C",207,IF(Atletas!N524="Houquan C",208,IF(Atletas!N524="Zuiquan C",209,IF(Atletas!N524="Ditangquan D",210,IF(Atletas!N524="Houquan D",211,IF(Atletas!N524="Zuiquan D",212,IF(Atletas!N524="Ditangquan E",213,IF(Atletas!N524="Houquan E",214,IF(Atletas!N524="Zuiquan E",215,IF(Atletas!N524="Ditangquan F",216,IF(Atletas!N524="Houquan F",217,IF(Atletas!N524="Zuiquan F",218,"")))))))))))))))))))))</f>
        <v/>
      </c>
      <c r="BV533" s="50" t="str">
        <f>IF(Atletas!O524="","",IF(Atletas!X524&lt;&gt;"",10000,0)+IF(Atletas!B524="Feminino",1000,IF(Atletas!B524="Masculino",2000,""))+IF(Atletas!O524="Yang A",301,IF(Atletas!O524="Chen A",302,IF(Atletas!O524="Sun A",303,IF(Atletas!O524="Wu A",304,IF(Atletas!O524="Wu-Hao A",305,IF(Atletas!O524="Outro Taijiquan A",306,IF(Atletas!O524="Yang B",307,IF(Atletas!O524="Chen B",308,IF(Atletas!O524="Sun B",309,IF(Atletas!O524="Wu B",310,IF(Atletas!O524="Wu-Hao B",311,IF(Atletas!O524="Outro Taijiquan B",312,IF(Atletas!O524="Yang C",313,IF(Atletas!O524="Chen C",314,IF(Atletas!O524="Sun C",315,IF(Atletas!O524="Wu C",316,IF(Atletas!O524="Wu-Hao C",317,IF(Atletas!O524="Outro Taijiquan C",318,IF(Atletas!O524="Yang D",319,IF(Atletas!O524="Chen D",320,IF(Atletas!O524="Sun D",321,IF(Atletas!O524="Wu D",322,IF(Atletas!O524="Wu-Hao D",323,IF(Atletas!O524="Outro Taijiquan D",324,IF(Atletas!O524="Yang E",325,IF(Atletas!O524="Chen E",326,IF(Atletas!O524="Sun E",327,IF(Atletas!O524="Wu E",328,IF(Atletas!O524="Wu-Hao E",329,IF(Atletas!O524="Outro Taijiquan E",330,IF(Atletas!O524="Yang F",331,IF(Atletas!O524="Chen F",332,IF(Atletas!O524="Sun F",333,IF(Atletas!O524="Wu F",334,IF(Atletas!O524="Wu-Hao F",335,IF(Atletas!O524="Outro Taijiquan F",336,"")))))))))))))))))))))))))))))))))))))</f>
        <v/>
      </c>
      <c r="BW533" s="50" t="str">
        <f>IF(Atletas!P524="","",IF(Atletas!X524&lt;&gt;"",10000,0)+IF(Atletas!B524="Feminino",1000,IF(Atletas!B524="Masculino",2000,""))+IF(OR(Atletas!P524="Yang 26 A",Atletas!P524="Yang 40 A"),401,IF(OR(Atletas!P524="Chen 25 A",Atletas!P524="Chen 36 A",Atletas!P524="Chen 56 A"),402,IF(Atletas!P524="Sun 73 A",403,IF(Atletas!P524="Wu 45 A",404,IF(Atletas!P524="Wu-Hao 46 A",405,IF(OR(Atletas!P524="Taijiquan 16 A",Atletas!P524="Taijiquan 24 A",Atletas!P524="Taijiquan 32 A",Atletas!P524="Taijiquan 42 A"),406,IF(OR(Atletas!P524="Yang 26 B",Atletas!P524="Yang 40 B"),407,IF(OR(Atletas!P524="Chen 25 B",Atletas!P524="Chen 36 B",Atletas!P524="Chen 56 B"),408,IF(Atletas!P524="Sun 73 B",409,IF(Atletas!P524="Wu 45 B",410,IF(Atletas!P524="Wu-Hao 46 B",411,IF(OR(Atletas!P524="Taijiquan 16 B",Atletas!P524="Taijiquan 24 B",Atletas!P524="Taijiquan 32 B",Atletas!P524="Taijiquan 42 B"),412,IF(OR(Atletas!P524="Yang 26 C",Atletas!P524="Yang 40 C"),413,IF(OR(Atletas!P524="Chen 25 C",Atletas!P524="Chen 36 C",Atletas!P524="Chen 56 C"),414,IF(Atletas!P524="Sun 73 C",415,IF(Atletas!P524="Wu 45 C",416,IF(Atletas!P524="Wu-Hao 46 C",417,IF(OR(Atletas!P524="Taijiquan 16 C",Atletas!P524="Taijiquan 24 C",Atletas!P524="Taijiquan 32 C",Atletas!P524="Taijiquan 42 C"),418,0)))))))))))))))))))</f>
        <v/>
      </c>
      <c r="BX533" s="50" t="str">
        <f>IF(Atletas!P524="","",IF(Atletas!X524&lt;&gt;"",10000,0)+IF(Atletas!B524="Feminino",1000,IF(Atletas!B524="Masculino",2000,""))+IF(OR(Atletas!P524="Yang 26 D",Atletas!P524="Yang 40 D"),419,IF(OR(Atletas!P524="Chen 25 D",Atletas!P524="Chen 36 D",Atletas!P524="Chen 56 D"),420,IF(Atletas!P524="Sun 73 D",421,IF(Atletas!P524="Wu 45 D",422,IF(Atletas!P524="Wu-Hao 46 D",423,IF(OR(Atletas!P524="Taijiquan 16 D",Atletas!P524="Taijiquan 24 D",Atletas!P524="Taijiquan 32 D",Atletas!P524="Taijiquan 42 D"),424,IF(OR(Atletas!P524="Yang 26 E",Atletas!P524="Yang 40 E"),425,IF(OR(Atletas!P524="Chen 25 E",Atletas!P524="Chen 36 E",Atletas!P524="Chen 56 E"),426,IF(Atletas!P524="Sun 73 E",427,IF(Atletas!P524="Wu 45 E",428,IF(Atletas!P524="Wu-Hao 46 E",429,IF(OR(Atletas!P524="Taijiquan 16 E",Atletas!P524="Taijiquan 24 E",Atletas!P524="Taijiquan 32 E",Atletas!P524="Taijiquan 42 E"),430,IF(OR(Atletas!P524="Yang 26 F",Atletas!P524="Yang 40 F"),431,IF(OR(Atletas!P524="Chen 25 F",Atletas!P524="Chen 36 F",Atletas!P524="Chen 56 F"),432,IF(Atletas!P524="Sun 73 F",433,IF(Atletas!P524="Wu 45 F",434,IF(Atletas!P524="Wu-Hao 46 F",435,IF(OR(Atletas!P524="Taijiquan 16 F",Atletas!P524="Taijiquan 24 F",Atletas!P524="Taijiquan 32 F",Atletas!P524="Taijiquan 42 F"),436,0)))))))))))))))))))</f>
        <v/>
      </c>
      <c r="BY533" s="50" t="str">
        <f>IF(Atletas!Q524="","",IF(Atletas!X524&lt;&gt;"",10000,0)+IF(Atletas!B524="Feminino",1000,IF(Atletas!B524="Masculino",2000,""))+IF(Atletas!Q524="Xingyiquan A",501,IF(Atletas!Q524="Baguazhang A",502,IF(Atletas!Q524="Outro Estilo Interno A",503,IF(Atletas!Q524="Xingyiquan B",504,IF(Atletas!Q524="Baguazhang B",505,IF(Atletas!Q524="Outro Estilo Interno B",506,IF(Atletas!Q524="Xingyiquan C",507,IF(Atletas!Q524="Baguazhang C",508,IF(Atletas!Q524="Outro Estilo Interno C",509,IF(Atletas!Q524="Xingyiquan D",510,IF(Atletas!Q524="Baguazhang D",511,IF(Atletas!Q524="Outro Estilo Interno D",512,IF(Atletas!Q524="Xingyiquan E",513,IF(Atletas!Q524="Baguazhang E",514,IF(Atletas!Q524="Outro Estilo Interno E",515,IF(Atletas!Q524="Xingyiquan F",516,IF(Atletas!Q524="Baguazhang F",517,IF(Atletas!Q524="Outro Estilo Interno F",518, "")))))))))))))))))))</f>
        <v/>
      </c>
      <c r="BZ533" s="50" t="str">
        <f>IF(Atletas!R524="","",IF(Atletas!X524&lt;&gt;"",10000,0)+IF(Atletas!B524="Feminino",1000,IF(Atletas!B524="Masculino",2000,""))+IF(Atletas!R524="Dao A",601,IF(Atletas!R524="Jian A",602,IF(Atletas!R524="Bishou A",603,IF(Atletas!R524="Shanzi A",604,IF(Atletas!R524="Outra Arma Curta A",605,IF(Atletas!R524="Dao B",606,IF(Atletas!R524="Jian B",607,IF(Atletas!R524="Bishou B",608,IF(Atletas!R524="Shanzi B",609,IF(Atletas!R524="Outra Arma Curta B",610,IF(Atletas!R524="Dao C",611,IF(Atletas!R524="Jian C",612,IF(Atletas!R524="Bishou C",613,IF(Atletas!R524="Shanzi C",614,IF(Atletas!R524="Outra Arma Curta C",615,IF(Atletas!R524="Dao D",616,IF(Atletas!R524="Jian D",617,IF(Atletas!R524="Bishou D",618,IF(Atletas!R524="Shanzi D",619,IF(Atletas!R524="Outra Arma Curta D",620,IF(Atletas!R524="Dao E",621,IF(Atletas!R524="Jian E",622,IF(Atletas!R524="Bishou E",623,IF(Atletas!R524="Shanzi E",624,IF(Atletas!R524="Outra Arma Curta E",625,IF(Atletas!R524="Dao F",626,IF(Atletas!R524="Jian F",627,IF(Atletas!R524="Bishou F",628,IF(Atletas!R524="Shanzi F",629,IF(Atletas!R524="Outra Arma Curta F",630, "")))))))))))))))))))))))))))))))</f>
        <v/>
      </c>
      <c r="CA533" s="50" t="str">
        <f>IF(Atletas!S524="","",IF(Atletas!X524&lt;&gt;"",10000,0)+IF(Atletas!B524="Feminino",1000,IF(Atletas!B524="Masculino",2000,""))+IF(Atletas!S524="Gun A",701,IF(Atletas!S524="Qiang A",702,IF(Atletas!S524="Pudao / Guandao A",703,IF(Atletas!S524="Outra Arma Longa A",704,IF(Atletas!S524="Gun B",705,IF(Atletas!S524="Qiang B",706,IF(Atletas!S524="Pudao / Guandao B",707,IF(Atletas!S524="Outra Arma Longa B",708,IF(Atletas!S524="Gun C",709,IF(Atletas!S524="Qiang C",710,IF(Atletas!S524="Pudao / Guandao C",711,IF(Atletas!S524="Outra Arma Longa C",712,IF(Atletas!S524="Gun D",713,IF(Atletas!S524="Qiang D",714,IF(Atletas!S524="Pudao / Guandao D",715,IF(Atletas!S524="Outra Arma Longa D",716,IF(Atletas!S524="Gun E",717,IF(Atletas!S524="Qiang E",718,IF(Atletas!S524="Pudao / Guandao E",719,IF(Atletas!S524="Outra Arma Longa E",720,IF(Atletas!S524="Gun F",721,IF(Atletas!S524="Qiang F",722,IF(Atletas!S524="Pudao / Guandao F",723,IF(Atletas!S524="Outra Arma Longa F",724,"")))))))))))))))))))))))))</f>
        <v/>
      </c>
      <c r="CB533" s="50" t="str">
        <f>IF(Atletas!T524="","",IF(Atletas!X524&lt;&gt;"",10000,0)+IF(Atletas!B524="Feminino",1000,IF(Atletas!B524="Masculino",2000,""))+IF(Atletas!T524="Outra Arma Dupla A",801,IF(Atletas!T524="Arma Maleável A",802,IF(Atletas!T524="Outra Arma Dupla B",803,IF(Atletas!T524="Arma Maleável B",804,IF(Atletas!T524="Outra Arma Dupla C",805,IF(Atletas!T524="Arma Maleável C",806,IF(Atletas!T524="Outra Arma Dupla D",807,IF(Atletas!T524="Arma Maleável D",808,IF(Atletas!T524="Outra Arma Dupla E",809,IF(Atletas!T524="Arma Maleável E",810,IF(Atletas!T524="Outra Arma Dupla F",811,IF(Atletas!T524="Arma Maleável F",812,IF(Atletas!T524="Shuangdao A",813,IF(Atletas!T524="Shuangdao B",814,IF(Atletas!T524="Shuangdao C",815,IF(Atletas!T524="Shuangdao D",816,IF(Atletas!T524="Shuangdao E",817,IF(Atletas!T524="Shuangdao F",818,"")))))))))))))))))))</f>
        <v/>
      </c>
      <c r="CC533" s="50" t="str">
        <f>IF(Atletas!U524="","",IF(Atletas!X524&lt;&gt;"",10000,0)+IF(Atletas!B524="Feminino",1000,IF(Atletas!B524="Masculino",2000,""))+IF(OR(Atletas!U524="Taijijian Yang A",Atletas!U524="Taijijian Yang Standard A"),901,IF(OR(Atletas!U524="Taijijian Chen A", Atletas!U524="Taijijian Chen Standard A"),902,IF(Atletas!U524="Taijijian Sun A",903,IF(Atletas!U524="Taijijian Wu A",904,IF(Atletas!U524="Taijijian Wu-Hao A",905,IF(OR(Atletas!U524="Taijijian 32 A",Atletas!U524="Taijijian 42 A"),906,IF(OR(Atletas!U524="Taijijian Yang B",Atletas!U524="Taijijian Yang Standard B"),907,IF(OR(Atletas!U524="Taijijian Chen B", Atletas!U524="Taijijian Chen Standard B"),908,IF(Atletas!U524="Taijijian Sun B",909,IF(Atletas!U524="Taijijian Wu B",910,IF(Atletas!U524="Taijijian Wu-Hao B",911,IF(OR(Atletas!U524="Taijijian 32 B",Atletas!U524="Taijijian 42 B"),912,IF(OR(Atletas!U524="Taijijian Yang C",Atletas!U524="Taijijian Yang Standard C"),913,IF(OR(Atletas!U524="Taijijian Chen C", Atletas!U524="Taijijian Chen Standard C"),914,IF(Atletas!U524="Taijijian Sun C",915,IF(Atletas!U524="Taijijian Wu C",916,IF(Atletas!U524="Taijijian Wu-Hao C",917,IF(OR(Atletas!U524="Taijijian 32 C",Atletas!U524="Taijijian 42 C"),918,IF(OR(Atletas!U524="Taijijian Yang D",Atletas!U524="Taijijian Yang Standard D"),919,IF(OR(Atletas!U524="Taijijian Chen D", Atletas!U524="Taijijian Chen Standard D"),920,IF(Atletas!U524="Taijijian Sun D",921,IF(Atletas!U524="Taijijian Wu D",922,IF(Atletas!U524="Taijijian Wu-Hao D",923,IF(OR(Atletas!U524="Taijijian 32 D",Atletas!U524="Taijijian 42 D"),924,IF(OR(Atletas!U524="Taijijian Yang E",Atletas!U524="Taijijian Yang Standard E"),925,IF(OR(Atletas!U524="Taijijian Chen E", Atletas!U524="Taijijian Chen Standard E"),926,IF(Atletas!U524="Taijijian Sun E",927,IF(Atletas!U524="Taijijian Wu E",928,IF(Atletas!U524="Taijijian Wu-Hao E",929,IF(OR(Atletas!U524="Taijijian 32 E",Atletas!U524="Taijijian 42 E"),930,IF(OR(Atletas!U524="Taijijian Yang F",Atletas!U524="Taijijian Yang Standard F"),931,IF(OR(Atletas!U524="Taijijian Chen F", Atletas!U524="Taijijian Chen Standard F"),932,IF(Atletas!U524="Taijijian Sun F",933,IF(Atletas!U524="Taijijian Wu F",934,IF(Atletas!U524="Taijijian Wu-Hao F",935,IF(OR(Atletas!U524="Taijijian 32 F",Atletas!U524="Taijijian 42 F"),936,"")))))))))))))))))))))))))))))))))))))</f>
        <v/>
      </c>
      <c r="CD533" s="50" t="str">
        <f>IF(Atletas!V524="","",IF(Atletas!X524&lt;&gt;"",10000,0)+IF(Atletas!B524="Feminino",1000,IF(Atletas!B524="Masculino",2000,""))+IF(Atletas!V524="Taijidao A",937,IF(Atletas!V524="TaijiShanzi A",938,IF(Atletas!V524="Taijiqiang A",939,IF(Atletas!V524="Bagua de Arma A",940,IF(Atletas!V524="Xingyi de Arma A",941,IF(Atletas!V524="Taijidao B",942,IF(Atletas!V524="TaijiShanzi B",943,IF(Atletas!V524="Taijiqiang B",944,IF(Atletas!V524="Bagua de Arma B",945,IF(Atletas!V524="Xingyi de Arma B",946,IF(Atletas!V524="Taijidao C",947,IF(Atletas!V524="TaijiShanzi C",948,IF(Atletas!V524="Taijiqiang C",949,IF(Atletas!V524="Bagua de Arma C",950,IF(Atletas!V524="Xingyi de Arma C",951,IF(Atletas!V524="Taijidao D",952,IF(Atletas!V524="TaijiShanzi D",953,IF(Atletas!V524="Taijiqiang D",954,IF(Atletas!V524="Bagua de Arma D",955,IF(Atletas!V524="Xingyi de Arma D",956,IF(Atletas!V524="Taijidao E",957,IF(Atletas!V524="TaijiShanzi E",958,IF(Atletas!V524="Taijiqiang E",959,IF(Atletas!V524="Bagua de Arma E",960,IF(Atletas!V524="Xingyi de Arma E",961,IF(Atletas!V524="Taijidao F",962,IF(Atletas!V524="TaijiShanzi F",963,IF(Atletas!V524="Taijiqiang F",964,IF(Atletas!V524="Bagua de Arma F",965,IF(Atletas!V524="Xingyi de Arma F",966,"")))))))))))))))))))))))))))))))</f>
        <v/>
      </c>
      <c r="CM533" s="50" t="str">
        <f xml:space="preserve"> IF(Atletas!W524="","",IF(Atletas!W524="Duilian de Mãos BC - Equipe 1",1,IF(Atletas!W524="Duilian de Mãos BC - Equipe 2",2,IF(Atletas!W524="Duilian de Armas BC - Equipe 1",3,IF(Atletas!W524="Duilian de Armas BC - Equipe 2",4,IF(Atletas!W524="Duilian de Mãos DE - Equipe 1",5,IF(Atletas!W524="Duilian de Mãos DE - Equipe 2",6,IF(Atletas!W524="Duilian de Armas DE - Equipe 1",7,IF(Atletas!W524="Duilian de Armas DE - Equipe 2",8,IF(Atletas!W524="Duilian de Tuishou - Equipe 1",9,IF(Atletas!W524="Duilian de Tuishou - Equipe 2",10,IF(Atletas!W524="Grupo Externo ABC - Equipe 1",11,IF(Atletas!W524="Grupo Externo ABC - Equipe 2",12,IF(Atletas!W524="Grupo Interno ABC - Equipe 1",13,IF(Atletas!W524="Grupo Interno ABC - Equipe 2",14,IF(Atletas!W524="Grupo Externo DEF - Equipe 1",15,IF(Atletas!W524="Grupo Externo DEF - Equipe 2",16,IF(Atletas!W524="Grupo Interno DEF - Equipe 1",17,IF(Atletas!W524="Grupo Interno DEF - Equipe 2",18,"")))))))))))))))))))</f>
        <v/>
      </c>
    </row>
    <row r="534" spans="40:91">
      <c r="AN534" s="52" t="str">
        <f>IF(Atletas!D525="","",IF(Atletas!B525="Feminino",100,IF(Atletas!B525="Masculino",200,""))+(IF(Atletas!D525="Kids 30kg",1,IF(Atletas!D525="Kids 32kg",2, IF(Atletas!D525="Kids 34kg",3,IF(Atletas!D525="Kids 36kg",4,IF(Atletas!D525="Kids 39kg",5,IF(Atletas!D525="Kids 42kg",6,IF(Atletas!D525="Kids 45kg",7, IF(Atletas!D525="Infantil 39kg",8,IF(Atletas!D525="Infantil 42kg",9,IF(Atletas!D525="Infantil 45kg",10,IF(Atletas!D525="Infantil 48kg",11,IF(Atletas!D525="Infantil 52kg",12,IF(Atletas!D525="Infantil 56kg",13,IF(Atletas!D525="Infantil 60kg",14,IF(Atletas!D525="Juvenil 48kg",15,IF(Atletas!D525="Juvenil 52kg",16,IF(Atletas!D525="Juvenil 56kg",17,IF(Atletas!D525="Juvenil 60kg",18,IF(Atletas!D525="Juvenil 65kg",19,IF(Atletas!D525="Juvenil 70kg",20,IF(Atletas!D525="Juvenil 75kg",21,IF(Atletas!D525="Juvenil 80kg",22, IF(Atletas!D525="Juvenil 85kg",23,IF(Atletas!D525="Adulto 48kg",24,IF(Atletas!D525="Adulto 52kg",25,IF(Atletas!D525="Adulto 56kg",26,IF(Atletas!D525="Adulto 60kg",27,IF(Atletas!D525="Adulto 65kg",28,IF(Atletas!D525="Adulto 70kg",29,IF(Atletas!D525="Adulto 75kg",30,IF(Atletas!D525="Adulto 80kg",31,IF(Atletas!D525="Adulto 85kg",32,IF(Atletas!D525="Adulto 90kg",33,IF(Atletas!D525="Adulto 100kg",34, IF(Atletas!D525="Adulto +100kg",35,"")))))))))))))))))))))))))))))))))))))</f>
        <v/>
      </c>
      <c r="AS534" s="6" t="str">
        <f>IF(Atletas!E525="","",IF(Atletas!B525="Feminino",100,IF(Atletas!B525="Masculino",200,""))+(IF(Atletas!E525="Juvenil 44kg",1,IF(Atletas!E525="Juvenil 48kg",2,IF(Atletas!E525="Juvenil 52kg",3,IF(Atletas!E525="Juvenil 56kg",4,IF(Atletas!E525="Juvenil 60kg",5,IF(Atletas!E525="Juvenil 65kg",6,IF(Atletas!E525="Juvenil 70kg",7,IF(Atletas!E525="Juvenil 75kg",8,IF(Atletas!E525="Juvenil 82kg",9,IF(Atletas!E525="Juvenil 90kg",10,IF(Atletas!E525="Juvenil 100kg",11,IF(Atletas!E525="Adulto 48kg",12,IF(Atletas!E525="Adulto 52kg",13,IF(Atletas!E525="Adulto 56kg",14,IF(Atletas!E525="Adulto 60kg",15,IF(Atletas!E525="Adulto 65kg",16,IF(Atletas!E525="Adulto 70kg",17,IF(Atletas!E525="Adulto 75kg",18,IF(Atletas!E525="Adulto 82kg",19,IF(Atletas!E525="Adulto 90kg",20,IF(Atletas!E525="Adulto 100kg",21,IF(Atletas!E525="Adulto +100kg",22,""))))))))))))))))))))))))</f>
        <v/>
      </c>
      <c r="AX534" s="6" t="str">
        <f>IF(Atletas!F525="","",IF(Atletas!B525="Feminino",100,IF(Atletas!B525="Masculino",200,""))+(IF(Atletas!F525="Adulto 48kg",1,IF(Atletas!F525="Adulto 56kg",2,IF(Atletas!F525="Adulto 65kg",3,IF(Atletas!F525="Adulto 75kg",4,IF(Atletas!F525="Adulto +75kg",5,IF(Atletas!F525="Adulto 52kg",6,IF(Atletas!F525="Adulto 60kg",7,IF(Atletas!F525="Adulto 70kg",8,IF(Atletas!F525="Adulto 80kg",9,IF(Atletas!F525="Adulto 90kg",10,IF(Atletas!F525="Adulto +90kg",11,"")))))))))))))</f>
        <v/>
      </c>
      <c r="BC534" s="6" t="str">
        <f>IF(Atletas!G525="","",IF(Atletas!B525="Feminino",10,IF(Atletas!B525="Masculino",20,""))+(IF(Atletas!G525="Baduanjin A",1,IF(Atletas!G525="Baduanjin B",2))))</f>
        <v/>
      </c>
      <c r="BF534" s="52" t="str">
        <f>IF(Atletas!H525="","",IF(Atletas!B525="Feminino",100,IF(Atletas!B525="Masculino",200,""))+(IF(Atletas!H525="Changquan Mirim",1,IF(Atletas!H525="Nanquan Mirim",2,IF(Atletas!H525="Taijiquan Mirim",3,IF(Atletas!H525="Changquan Grupo C",4,IF(Atletas!H525="Nanquan Grupo C",5,IF(Atletas!H525="Taijiquan Grupo C",6,IF(Atletas!H525="Changquan Grupo B",7,IF(Atletas!H525="Nanquan Grupo B",8,IF(Atletas!H525="Taijiquan Grupo B",9,IF(Atletas!H525="Changquan Grupo A",10,IF(Atletas!H525="Nanquan Grupo A",11,IF(Atletas!H525="Taijiquan Grupo A",12,IF(Atletas!H525="Changquan Opcional",13,IF(Atletas!H525="Nanquan Opcional",14,IF(Atletas!H525="Taijiquan Opcional",15,IF(Atletas!H525="Changquan Adulto",16,IF(Atletas!H525="Nanquan Adulto",17,IF(Atletas!H525="Taijiquan Adulto",18,""))))))))))))))))))))</f>
        <v/>
      </c>
      <c r="BG534" s="52" t="str">
        <f>IF(Atletas!I525="","",IF(Atletas!B525="Feminino",100,IF(Atletas!B525="Masculino",200,""))+(IF(Atletas!I525="Daoshu Mirim",19,IF(Atletas!I525="Jianshu Mirim",20,IF(Atletas!I525="Nandao Mirim",21,IF(Atletas!I525="Taijijian Mirim",22,IF(Atletas!I525="Daoshu Grupo C",23,IF(Atletas!I525="Jianshu Grupo C",24,IF(Atletas!I525="Nandao Grupo C",25,IF(Atletas!I525="Taijijian Grupo C",26,IF(Atletas!I525="Daoshu Grupo B",27,IF(Atletas!I525="Jianshu Grupo B",28,IF(Atletas!I525="Nandao Grupo B",29,IF(Atletas!I525="Taijijian Grupo B",30,IF(Atletas!I525="Daoshu Grupo A",31,IF(Atletas!I525="Jianshu Grupo A",32,IF(Atletas!I525="Nandao Grupo A",33,IF(Atletas!I525="Taijijian Grupo A",34,IF(Atletas!I525="Daoshu Opcional",35,IF(Atletas!I525="Jianshu Opcional",36,IF(Atletas!I525="Nandao Opcional",37,IF(Atletas!I525="Taijijian Opcional",38,IF(Atletas!I525="Daoshu Adulto",39,IF(Atletas!I525="Jianshu Adulto",40,IF(Atletas!I525="Nandao Adulto",41,IF(Atletas!I525="Taijijian Adulto",42,""))))))))))))))))))))))))))</f>
        <v/>
      </c>
      <c r="BH534" s="52" t="str">
        <f>IF(Atletas!J525="","",IF(Atletas!B525="Feminino",100,IF(Atletas!B525="Masculino",200,""))+(IF(Atletas!J525="Gunshu Mirim",43,IF(Atletas!J525="Qiangshu Mirim",44,IF(Atletas!J525="Nangun Mirim",45,IF(Atletas!J525="Gunshu Grupo C",46,IF(Atletas!J525="Qiangshu Grupo C",47,IF(Atletas!J525="Nangun Grupo C",48,IF(Atletas!J525="Gunshu Grupo B",49,IF(Atletas!J525="Qiangshu Grupo B",50,IF(Atletas!J525="Nangun Grupo B",51,IF(Atletas!J525="Gunshu Grupo A",52,IF(Atletas!J525="Qiangshu Grupo A",53,IF(Atletas!J525="Nangun Grupo A",54,IF(Atletas!J525="Gunshu Opcional",55,IF(Atletas!J525="Qiangshu Opcional",56,IF(Atletas!J525="Nangun Opcional",57,IF(Atletas!J525="Gunshu Adulto",58,IF(Atletas!J525="Qiangshu Adulto",59,IF(Atletas!J525="Nangun Adulto",60,IF(Atletas!J525="Taijishan Grupo B",61,IF(Atletas!J525="Taijishan Grupo A",62,""))))))))))))))))))))))</f>
        <v/>
      </c>
      <c r="BM534" s="50" t="str">
        <f>IF(Atletas!K525="","",IF(Atletas!B525="Feminino",100,IF(Atletas!B525="Masculino",200,""))+(IF(Atletas!K525="Equipe 1 Grupo B",1,IF(Atletas!K525="Equipe 2 Grupo B",2,IF(Atletas!K525="Equipe 1 Grupo A",3,IF(Atletas!K525="Equipe 2 Grupo A",4,IF(Atletas!K525="Equipe 1 Adulto",5,IF(Atletas!K525="Equipe 2 Adulto",6,""))))))))</f>
        <v/>
      </c>
      <c r="BR534" s="50" t="str">
        <f>IF(Atletas!L525="","",IF(Atletas!X525&lt;&gt;"",10000,0)+(IF(Atletas!B525="Feminino",1000,IF(Atletas!B525="Masculino",2000,""))+IF(Atletas!L525="Choylayfut A",1,IF(Atletas!L525="Hunggar A",2,IF(Atletas!L525="Wuzuquan A",3,IF(Atletas!L525="Wingchun A",4,IF(Atletas!L525="Outra Mão de Sul A",5,IF(Atletas!L525="Choylayfut B",6,IF(Atletas!L525="Hunggar B",7,IF(Atletas!L525="Wuzuquan B",8,IF(Atletas!L525="Wingchun B",9,IF(Atletas!L525="Outra Mão de Sul B",10,IF(Atletas!L525="Choylayfut C",11,IF(Atletas!L525="Hunggar C",12,IF(Atletas!L525="Wuzuquan C",13,IF(Atletas!L525="Wingchun C",14,IF(Atletas!L525="Outra Mão de Sul C",15,IF(Atletas!L525="Choylayfut D",16,IF(Atletas!L525="Hunggar D",17,IF(Atletas!L525="Wuzuquan D",18,IF(Atletas!L525="Wingchun D",19,IF(Atletas!L525="Outra Mão de Sul D",20,IF(Atletas!L525="Choylayfut E",21,IF(Atletas!L525="Hunggar E",22,IF(Atletas!L525="Wuzuquan E",23,IF(Atletas!L525="Wingchun E",24,IF(Atletas!L525="Outra Mão de Sul E",25,IF(Atletas!L525="Choylayfut F",26,IF(Atletas!L525="Hunggar F",27,IF(Atletas!L525="Wuzuquan F",28,IF(Atletas!L525="Wingchun F",29,IF(Atletas!L525="Outra Mão de Sul F",30,IF(Atletas!L525="Dishuquan A",31,IF(Atletas!L525="Dishuquan B",32,IF(Atletas!L525="Dishuquan C",33,IF(Atletas!L525="Dishuquan D",34,IF(Atletas!L525="Dishuquan E",35,IF(Atletas!L525="Dishuquan F",36,""))))))))))))))))))))))))))))))))))))))</f>
        <v/>
      </c>
      <c r="BS534" s="50" t="str">
        <f>IF(Atletas!M525="","",IF(Atletas!X525&lt;&gt;"",10000,0)+(IF(Atletas!B525="Feminino",1000,IF(Atletas!B525="Masculino",2000,""))+(IF(Atletas!M525="Chaquan A",101,IF(Atletas!M525="Emeiquan A",102,IF(Atletas!M525="Fanziquan A",103,IF(Atletas!M525="Huaquan A",104,IF(Atletas!M525="Hongquan A",105,IF(Atletas!M525="Paoquan A",106,IF(Atletas!M525="Piguaquan A",107,IF(Atletas!M525="Shaolinquan A",108,IF(Atletas!M525="Tanglangquan A",109,IF(Atletas!M525="Yingzhaoquan A",110,IF(Atletas!M525="Tongbeiquan A",111,IF(Atletas!M525="Wudangquan A",112,IF(Atletas!M525="Outros Estilos A",113,IF(Atletas!M525="Chaquan B",114,IF(Atletas!M525="Emeiquan B",115,IF(Atletas!M525="Fanziquan B",116,IF(Atletas!M525="Huaquan B",117,IF(Atletas!M525="Hongquan B",118,IF(Atletas!M525="Paoquan B",119,IF(Atletas!M525="Piguaquan B",120,IF(Atletas!M525="Shaolinquan B",121,IF(Atletas!M525="Tanglangquan B",122,IF(Atletas!M525="Yingzhaoquan B",123,IF(Atletas!M525="Tongbeiquan B",124,IF(Atletas!M525="Wudangquan B",125,IF(Atletas!M525="Outros Estilos B",126,IF(Atletas!M525="Chaquan C",127,IF(Atletas!M525="Emeiquan C",128,IF(Atletas!M525="Fanziquan C",129,IF(Atletas!M525="Huaquan C",130,IF(Atletas!M525="Hongquan C",131,IF(Atletas!M525="Paoquan C",132,IF(Atletas!M525="Piguaquan C",133,IF(Atletas!M525="Shaolinquan C",134,IF(Atletas!M525="Tanglangquan C",135,IF(Atletas!M525="Yingzhaoquan C",136,IF(Atletas!M525="Tongbeiquan C",137,IF(Atletas!M525="Wudangquan C",138,IF(Atletas!M525="Outros Estilos C",139,0))))))))))))))))))))))))))))))))))))))))))</f>
        <v/>
      </c>
      <c r="BT534" s="50" t="str">
        <f>IF(Atletas!M525="","",IF(Atletas!X525&lt;&gt;"",10000,0)+(IF(Atletas!B525="Feminino",1000,IF(Atletas!B525="Masculino",2000,""))+(IF(Atletas!M525="Chaquan D",140,IF(Atletas!M525="Emeiquan D",141,IF(Atletas!M525="Fanziquan D",142,IF(Atletas!M525="Huaquan D",143,IF(Atletas!M525="Hongquan D",144,IF(Atletas!M525="Paoquan D",145,IF(Atletas!M525="Piguaquan D",146,IF(Atletas!M525="Shaolinquan D",147,IF(Atletas!M525="Tanglangquan D",148,IF(Atletas!M525="Yingzhaoquan D",149,IF(Atletas!M525="Tongbeiquan D",150,IF(Atletas!M525="Wudangquan D",151,IF(Atletas!M525="Outros Estilos D",152,IF(Atletas!M525="Chaquan E",153,IF(Atletas!M525="Emeiquan E",154,IF(Atletas!M525="Fanziquan E",155,IF(Atletas!M525="Huaquan E",156,IF(Atletas!M525="Hongquan E",157,IF(Atletas!M525="Paoquan E",158,IF(Atletas!M525="Piguaquan E",159,IF(Atletas!M525="Shaolinquan E",160,IF(Atletas!M525="Tanglangquan E",161,IF(Atletas!M525="Yingzhaoquan E",162,IF(Atletas!M525="Tongbeiquan E",163,IF(Atletas!M525="Wudangquan E",164,IF(Atletas!M525="Outros Estilos E",165,IF(Atletas!M525="Chaquan F",166,IF(Atletas!M525="Emeiquan F",167,IF(Atletas!M525="Fanziquan F",168,IF(Atletas!M525="Huaquan F",169,IF(Atletas!M525="Hongquan F",170,IF(Atletas!M525="Paoquan F",171,IF(Atletas!M525="Piguaquan F",172,IF(Atletas!M525="Shaolinquan F",173,IF(Atletas!M525="Tanglangquan F",174,IF(Atletas!M525="Yingzhaoquan F",175,IF(Atletas!M525="Tongbeiquan F",176,IF(Atletas!M525="Wudangquan F",177,IF(Atletas!M525="Outros Estilos F",178,0))))))))))))))))))))))))))))))))))))))))))</f>
        <v/>
      </c>
      <c r="BU534" s="50" t="str">
        <f>IF(Atletas!N525="","",IF(Atletas!X525&lt;&gt;"",10000,0)+(IF(Atletas!B525="Feminino",1000,IF(Atletas!B525="Masculino",2000,""))+(IF(Atletas!N525="Ditangquan A",201,IF(Atletas!N525="Houquan A",202,IF(Atletas!N525="Zuiquan A",203,IF(Atletas!N525="Ditangquan B",204,IF(Atletas!N525="Houquan B",205,IF(Atletas!N525="Zuiquan B",206,IF(Atletas!N525="Ditangquan C",207,IF(Atletas!N525="Houquan C",208,IF(Atletas!N525="Zuiquan C",209,IF(Atletas!N525="Ditangquan D",210,IF(Atletas!N525="Houquan D",211,IF(Atletas!N525="Zuiquan D",212,IF(Atletas!N525="Ditangquan E",213,IF(Atletas!N525="Houquan E",214,IF(Atletas!N525="Zuiquan E",215,IF(Atletas!N525="Ditangquan F",216,IF(Atletas!N525="Houquan F",217,IF(Atletas!N525="Zuiquan F",218,"")))))))))))))))))))))</f>
        <v/>
      </c>
      <c r="BV534" s="50" t="str">
        <f>IF(Atletas!O525="","",IF(Atletas!X525&lt;&gt;"",10000,0)+IF(Atletas!B525="Feminino",1000,IF(Atletas!B525="Masculino",2000,""))+IF(Atletas!O525="Yang A",301,IF(Atletas!O525="Chen A",302,IF(Atletas!O525="Sun A",303,IF(Atletas!O525="Wu A",304,IF(Atletas!O525="Wu-Hao A",305,IF(Atletas!O525="Outro Taijiquan A",306,IF(Atletas!O525="Yang B",307,IF(Atletas!O525="Chen B",308,IF(Atletas!O525="Sun B",309,IF(Atletas!O525="Wu B",310,IF(Atletas!O525="Wu-Hao B",311,IF(Atletas!O525="Outro Taijiquan B",312,IF(Atletas!O525="Yang C",313,IF(Atletas!O525="Chen C",314,IF(Atletas!O525="Sun C",315,IF(Atletas!O525="Wu C",316,IF(Atletas!O525="Wu-Hao C",317,IF(Atletas!O525="Outro Taijiquan C",318,IF(Atletas!O525="Yang D",319,IF(Atletas!O525="Chen D",320,IF(Atletas!O525="Sun D",321,IF(Atletas!O525="Wu D",322,IF(Atletas!O525="Wu-Hao D",323,IF(Atletas!O525="Outro Taijiquan D",324,IF(Atletas!O525="Yang E",325,IF(Atletas!O525="Chen E",326,IF(Atletas!O525="Sun E",327,IF(Atletas!O525="Wu E",328,IF(Atletas!O525="Wu-Hao E",329,IF(Atletas!O525="Outro Taijiquan E",330,IF(Atletas!O525="Yang F",331,IF(Atletas!O525="Chen F",332,IF(Atletas!O525="Sun F",333,IF(Atletas!O525="Wu F",334,IF(Atletas!O525="Wu-Hao F",335,IF(Atletas!O525="Outro Taijiquan F",336,"")))))))))))))))))))))))))))))))))))))</f>
        <v/>
      </c>
      <c r="BW534" s="50" t="str">
        <f>IF(Atletas!P525="","",IF(Atletas!X525&lt;&gt;"",10000,0)+IF(Atletas!B525="Feminino",1000,IF(Atletas!B525="Masculino",2000,""))+IF(OR(Atletas!P525="Yang 26 A",Atletas!P525="Yang 40 A"),401,IF(OR(Atletas!P525="Chen 25 A",Atletas!P525="Chen 36 A",Atletas!P525="Chen 56 A"),402,IF(Atletas!P525="Sun 73 A",403,IF(Atletas!P525="Wu 45 A",404,IF(Atletas!P525="Wu-Hao 46 A",405,IF(OR(Atletas!P525="Taijiquan 16 A",Atletas!P525="Taijiquan 24 A",Atletas!P525="Taijiquan 32 A",Atletas!P525="Taijiquan 42 A"),406,IF(OR(Atletas!P525="Yang 26 B",Atletas!P525="Yang 40 B"),407,IF(OR(Atletas!P525="Chen 25 B",Atletas!P525="Chen 36 B",Atletas!P525="Chen 56 B"),408,IF(Atletas!P525="Sun 73 B",409,IF(Atletas!P525="Wu 45 B",410,IF(Atletas!P525="Wu-Hao 46 B",411,IF(OR(Atletas!P525="Taijiquan 16 B",Atletas!P525="Taijiquan 24 B",Atletas!P525="Taijiquan 32 B",Atletas!P525="Taijiquan 42 B"),412,IF(OR(Atletas!P525="Yang 26 C",Atletas!P525="Yang 40 C"),413,IF(OR(Atletas!P525="Chen 25 C",Atletas!P525="Chen 36 C",Atletas!P525="Chen 56 C"),414,IF(Atletas!P525="Sun 73 C",415,IF(Atletas!P525="Wu 45 C",416,IF(Atletas!P525="Wu-Hao 46 C",417,IF(OR(Atletas!P525="Taijiquan 16 C",Atletas!P525="Taijiquan 24 C",Atletas!P525="Taijiquan 32 C",Atletas!P525="Taijiquan 42 C"),418,0)))))))))))))))))))</f>
        <v/>
      </c>
      <c r="BX534" s="50" t="str">
        <f>IF(Atletas!P525="","",IF(Atletas!X525&lt;&gt;"",10000,0)+IF(Atletas!B525="Feminino",1000,IF(Atletas!B525="Masculino",2000,""))+IF(OR(Atletas!P525="Yang 26 D",Atletas!P525="Yang 40 D"),419,IF(OR(Atletas!P525="Chen 25 D",Atletas!P525="Chen 36 D",Atletas!P525="Chen 56 D"),420,IF(Atletas!P525="Sun 73 D",421,IF(Atletas!P525="Wu 45 D",422,IF(Atletas!P525="Wu-Hao 46 D",423,IF(OR(Atletas!P525="Taijiquan 16 D",Atletas!P525="Taijiquan 24 D",Atletas!P525="Taijiquan 32 D",Atletas!P525="Taijiquan 42 D"),424,IF(OR(Atletas!P525="Yang 26 E",Atletas!P525="Yang 40 E"),425,IF(OR(Atletas!P525="Chen 25 E",Atletas!P525="Chen 36 E",Atletas!P525="Chen 56 E"),426,IF(Atletas!P525="Sun 73 E",427,IF(Atletas!P525="Wu 45 E",428,IF(Atletas!P525="Wu-Hao 46 E",429,IF(OR(Atletas!P525="Taijiquan 16 E",Atletas!P525="Taijiquan 24 E",Atletas!P525="Taijiquan 32 E",Atletas!P525="Taijiquan 42 E"),430,IF(OR(Atletas!P525="Yang 26 F",Atletas!P525="Yang 40 F"),431,IF(OR(Atletas!P525="Chen 25 F",Atletas!P525="Chen 36 F",Atletas!P525="Chen 56 F"),432,IF(Atletas!P525="Sun 73 F",433,IF(Atletas!P525="Wu 45 F",434,IF(Atletas!P525="Wu-Hao 46 F",435,IF(OR(Atletas!P525="Taijiquan 16 F",Atletas!P525="Taijiquan 24 F",Atletas!P525="Taijiquan 32 F",Atletas!P525="Taijiquan 42 F"),436,0)))))))))))))))))))</f>
        <v/>
      </c>
      <c r="BY534" s="50" t="str">
        <f>IF(Atletas!Q525="","",IF(Atletas!X525&lt;&gt;"",10000,0)+IF(Atletas!B525="Feminino",1000,IF(Atletas!B525="Masculino",2000,""))+IF(Atletas!Q525="Xingyiquan A",501,IF(Atletas!Q525="Baguazhang A",502,IF(Atletas!Q525="Outro Estilo Interno A",503,IF(Atletas!Q525="Xingyiquan B",504,IF(Atletas!Q525="Baguazhang B",505,IF(Atletas!Q525="Outro Estilo Interno B",506,IF(Atletas!Q525="Xingyiquan C",507,IF(Atletas!Q525="Baguazhang C",508,IF(Atletas!Q525="Outro Estilo Interno C",509,IF(Atletas!Q525="Xingyiquan D",510,IF(Atletas!Q525="Baguazhang D",511,IF(Atletas!Q525="Outro Estilo Interno D",512,IF(Atletas!Q525="Xingyiquan E",513,IF(Atletas!Q525="Baguazhang E",514,IF(Atletas!Q525="Outro Estilo Interno E",515,IF(Atletas!Q525="Xingyiquan F",516,IF(Atletas!Q525="Baguazhang F",517,IF(Atletas!Q525="Outro Estilo Interno F",518, "")))))))))))))))))))</f>
        <v/>
      </c>
      <c r="BZ534" s="50" t="str">
        <f>IF(Atletas!R525="","",IF(Atletas!X525&lt;&gt;"",10000,0)+IF(Atletas!B525="Feminino",1000,IF(Atletas!B525="Masculino",2000,""))+IF(Atletas!R525="Dao A",601,IF(Atletas!R525="Jian A",602,IF(Atletas!R525="Bishou A",603,IF(Atletas!R525="Shanzi A",604,IF(Atletas!R525="Outra Arma Curta A",605,IF(Atletas!R525="Dao B",606,IF(Atletas!R525="Jian B",607,IF(Atletas!R525="Bishou B",608,IF(Atletas!R525="Shanzi B",609,IF(Atletas!R525="Outra Arma Curta B",610,IF(Atletas!R525="Dao C",611,IF(Atletas!R525="Jian C",612,IF(Atletas!R525="Bishou C",613,IF(Atletas!R525="Shanzi C",614,IF(Atletas!R525="Outra Arma Curta C",615,IF(Atletas!R525="Dao D",616,IF(Atletas!R525="Jian D",617,IF(Atletas!R525="Bishou D",618,IF(Atletas!R525="Shanzi D",619,IF(Atletas!R525="Outra Arma Curta D",620,IF(Atletas!R525="Dao E",621,IF(Atletas!R525="Jian E",622,IF(Atletas!R525="Bishou E",623,IF(Atletas!R525="Shanzi E",624,IF(Atletas!R525="Outra Arma Curta E",625,IF(Atletas!R525="Dao F",626,IF(Atletas!R525="Jian F",627,IF(Atletas!R525="Bishou F",628,IF(Atletas!R525="Shanzi F",629,IF(Atletas!R525="Outra Arma Curta F",630, "")))))))))))))))))))))))))))))))</f>
        <v/>
      </c>
      <c r="CA534" s="50" t="str">
        <f>IF(Atletas!S525="","",IF(Atletas!X525&lt;&gt;"",10000,0)+IF(Atletas!B525="Feminino",1000,IF(Atletas!B525="Masculino",2000,""))+IF(Atletas!S525="Gun A",701,IF(Atletas!S525="Qiang A",702,IF(Atletas!S525="Pudao / Guandao A",703,IF(Atletas!S525="Outra Arma Longa A",704,IF(Atletas!S525="Gun B",705,IF(Atletas!S525="Qiang B",706,IF(Atletas!S525="Pudao / Guandao B",707,IF(Atletas!S525="Outra Arma Longa B",708,IF(Atletas!S525="Gun C",709,IF(Atletas!S525="Qiang C",710,IF(Atletas!S525="Pudao / Guandao C",711,IF(Atletas!S525="Outra Arma Longa C",712,IF(Atletas!S525="Gun D",713,IF(Atletas!S525="Qiang D",714,IF(Atletas!S525="Pudao / Guandao D",715,IF(Atletas!S525="Outra Arma Longa D",716,IF(Atletas!S525="Gun E",717,IF(Atletas!S525="Qiang E",718,IF(Atletas!S525="Pudao / Guandao E",719,IF(Atletas!S525="Outra Arma Longa E",720,IF(Atletas!S525="Gun F",721,IF(Atletas!S525="Qiang F",722,IF(Atletas!S525="Pudao / Guandao F",723,IF(Atletas!S525="Outra Arma Longa F",724,"")))))))))))))))))))))))))</f>
        <v/>
      </c>
      <c r="CB534" s="50" t="str">
        <f>IF(Atletas!T525="","",IF(Atletas!X525&lt;&gt;"",10000,0)+IF(Atletas!B525="Feminino",1000,IF(Atletas!B525="Masculino",2000,""))+IF(Atletas!T525="Outra Arma Dupla A",801,IF(Atletas!T525="Arma Maleável A",802,IF(Atletas!T525="Outra Arma Dupla B",803,IF(Atletas!T525="Arma Maleável B",804,IF(Atletas!T525="Outra Arma Dupla C",805,IF(Atletas!T525="Arma Maleável C",806,IF(Atletas!T525="Outra Arma Dupla D",807,IF(Atletas!T525="Arma Maleável D",808,IF(Atletas!T525="Outra Arma Dupla E",809,IF(Atletas!T525="Arma Maleável E",810,IF(Atletas!T525="Outra Arma Dupla F",811,IF(Atletas!T525="Arma Maleável F",812,IF(Atletas!T525="Shuangdao A",813,IF(Atletas!T525="Shuangdao B",814,IF(Atletas!T525="Shuangdao C",815,IF(Atletas!T525="Shuangdao D",816,IF(Atletas!T525="Shuangdao E",817,IF(Atletas!T525="Shuangdao F",818,"")))))))))))))))))))</f>
        <v/>
      </c>
      <c r="CC534" s="50" t="str">
        <f>IF(Atletas!U525="","",IF(Atletas!X525&lt;&gt;"",10000,0)+IF(Atletas!B525="Feminino",1000,IF(Atletas!B525="Masculino",2000,""))+IF(OR(Atletas!U525="Taijijian Yang A",Atletas!U525="Taijijian Yang Standard A"),901,IF(OR(Atletas!U525="Taijijian Chen A", Atletas!U525="Taijijian Chen Standard A"),902,IF(Atletas!U525="Taijijian Sun A",903,IF(Atletas!U525="Taijijian Wu A",904,IF(Atletas!U525="Taijijian Wu-Hao A",905,IF(OR(Atletas!U525="Taijijian 32 A",Atletas!U525="Taijijian 42 A"),906,IF(OR(Atletas!U525="Taijijian Yang B",Atletas!U525="Taijijian Yang Standard B"),907,IF(OR(Atletas!U525="Taijijian Chen B", Atletas!U525="Taijijian Chen Standard B"),908,IF(Atletas!U525="Taijijian Sun B",909,IF(Atletas!U525="Taijijian Wu B",910,IF(Atletas!U525="Taijijian Wu-Hao B",911,IF(OR(Atletas!U525="Taijijian 32 B",Atletas!U525="Taijijian 42 B"),912,IF(OR(Atletas!U525="Taijijian Yang C",Atletas!U525="Taijijian Yang Standard C"),913,IF(OR(Atletas!U525="Taijijian Chen C", Atletas!U525="Taijijian Chen Standard C"),914,IF(Atletas!U525="Taijijian Sun C",915,IF(Atletas!U525="Taijijian Wu C",916,IF(Atletas!U525="Taijijian Wu-Hao C",917,IF(OR(Atletas!U525="Taijijian 32 C",Atletas!U525="Taijijian 42 C"),918,IF(OR(Atletas!U525="Taijijian Yang D",Atletas!U525="Taijijian Yang Standard D"),919,IF(OR(Atletas!U525="Taijijian Chen D", Atletas!U525="Taijijian Chen Standard D"),920,IF(Atletas!U525="Taijijian Sun D",921,IF(Atletas!U525="Taijijian Wu D",922,IF(Atletas!U525="Taijijian Wu-Hao D",923,IF(OR(Atletas!U525="Taijijian 32 D",Atletas!U525="Taijijian 42 D"),924,IF(OR(Atletas!U525="Taijijian Yang E",Atletas!U525="Taijijian Yang Standard E"),925,IF(OR(Atletas!U525="Taijijian Chen E", Atletas!U525="Taijijian Chen Standard E"),926,IF(Atletas!U525="Taijijian Sun E",927,IF(Atletas!U525="Taijijian Wu E",928,IF(Atletas!U525="Taijijian Wu-Hao E",929,IF(OR(Atletas!U525="Taijijian 32 E",Atletas!U525="Taijijian 42 E"),930,IF(OR(Atletas!U525="Taijijian Yang F",Atletas!U525="Taijijian Yang Standard F"),931,IF(OR(Atletas!U525="Taijijian Chen F", Atletas!U525="Taijijian Chen Standard F"),932,IF(Atletas!U525="Taijijian Sun F",933,IF(Atletas!U525="Taijijian Wu F",934,IF(Atletas!U525="Taijijian Wu-Hao F",935,IF(OR(Atletas!U525="Taijijian 32 F",Atletas!U525="Taijijian 42 F"),936,"")))))))))))))))))))))))))))))))))))))</f>
        <v/>
      </c>
      <c r="CD534" s="50" t="str">
        <f>IF(Atletas!V525="","",IF(Atletas!X525&lt;&gt;"",10000,0)+IF(Atletas!B525="Feminino",1000,IF(Atletas!B525="Masculino",2000,""))+IF(Atletas!V525="Taijidao A",937,IF(Atletas!V525="TaijiShanzi A",938,IF(Atletas!V525="Taijiqiang A",939,IF(Atletas!V525="Bagua de Arma A",940,IF(Atletas!V525="Xingyi de Arma A",941,IF(Atletas!V525="Taijidao B",942,IF(Atletas!V525="TaijiShanzi B",943,IF(Atletas!V525="Taijiqiang B",944,IF(Atletas!V525="Bagua de Arma B",945,IF(Atletas!V525="Xingyi de Arma B",946,IF(Atletas!V525="Taijidao C",947,IF(Atletas!V525="TaijiShanzi C",948,IF(Atletas!V525="Taijiqiang C",949,IF(Atletas!V525="Bagua de Arma C",950,IF(Atletas!V525="Xingyi de Arma C",951,IF(Atletas!V525="Taijidao D",952,IF(Atletas!V525="TaijiShanzi D",953,IF(Atletas!V525="Taijiqiang D",954,IF(Atletas!V525="Bagua de Arma D",955,IF(Atletas!V525="Xingyi de Arma D",956,IF(Atletas!V525="Taijidao E",957,IF(Atletas!V525="TaijiShanzi E",958,IF(Atletas!V525="Taijiqiang E",959,IF(Atletas!V525="Bagua de Arma E",960,IF(Atletas!V525="Xingyi de Arma E",961,IF(Atletas!V525="Taijidao F",962,IF(Atletas!V525="TaijiShanzi F",963,IF(Atletas!V525="Taijiqiang F",964,IF(Atletas!V525="Bagua de Arma F",965,IF(Atletas!V525="Xingyi de Arma F",966,"")))))))))))))))))))))))))))))))</f>
        <v/>
      </c>
      <c r="CM534" s="50" t="str">
        <f xml:space="preserve"> IF(Atletas!W525="","",IF(Atletas!W525="Duilian de Mãos BC - Equipe 1",1,IF(Atletas!W525="Duilian de Mãos BC - Equipe 2",2,IF(Atletas!W525="Duilian de Armas BC - Equipe 1",3,IF(Atletas!W525="Duilian de Armas BC - Equipe 2",4,IF(Atletas!W525="Duilian de Mãos DE - Equipe 1",5,IF(Atletas!W525="Duilian de Mãos DE - Equipe 2",6,IF(Atletas!W525="Duilian de Armas DE - Equipe 1",7,IF(Atletas!W525="Duilian de Armas DE - Equipe 2",8,IF(Atletas!W525="Duilian de Tuishou - Equipe 1",9,IF(Atletas!W525="Duilian de Tuishou - Equipe 2",10,IF(Atletas!W525="Grupo Externo ABC - Equipe 1",11,IF(Atletas!W525="Grupo Externo ABC - Equipe 2",12,IF(Atletas!W525="Grupo Interno ABC - Equipe 1",13,IF(Atletas!W525="Grupo Interno ABC - Equipe 2",14,IF(Atletas!W525="Grupo Externo DEF - Equipe 1",15,IF(Atletas!W525="Grupo Externo DEF - Equipe 2",16,IF(Atletas!W525="Grupo Interno DEF - Equipe 1",17,IF(Atletas!W525="Grupo Interno DEF - Equipe 2",18,"")))))))))))))))))))</f>
        <v/>
      </c>
    </row>
    <row r="535" spans="40:91">
      <c r="AN535" s="52" t="str">
        <f>IF(Atletas!D526="","",IF(Atletas!B526="Feminino",100,IF(Atletas!B526="Masculino",200,""))+(IF(Atletas!D526="Kids 30kg",1,IF(Atletas!D526="Kids 32kg",2, IF(Atletas!D526="Kids 34kg",3,IF(Atletas!D526="Kids 36kg",4,IF(Atletas!D526="Kids 39kg",5,IF(Atletas!D526="Kids 42kg",6,IF(Atletas!D526="Kids 45kg",7, IF(Atletas!D526="Infantil 39kg",8,IF(Atletas!D526="Infantil 42kg",9,IF(Atletas!D526="Infantil 45kg",10,IF(Atletas!D526="Infantil 48kg",11,IF(Atletas!D526="Infantil 52kg",12,IF(Atletas!D526="Infantil 56kg",13,IF(Atletas!D526="Infantil 60kg",14,IF(Atletas!D526="Juvenil 48kg",15,IF(Atletas!D526="Juvenil 52kg",16,IF(Atletas!D526="Juvenil 56kg",17,IF(Atletas!D526="Juvenil 60kg",18,IF(Atletas!D526="Juvenil 65kg",19,IF(Atletas!D526="Juvenil 70kg",20,IF(Atletas!D526="Juvenil 75kg",21,IF(Atletas!D526="Juvenil 80kg",22, IF(Atletas!D526="Juvenil 85kg",23,IF(Atletas!D526="Adulto 48kg",24,IF(Atletas!D526="Adulto 52kg",25,IF(Atletas!D526="Adulto 56kg",26,IF(Atletas!D526="Adulto 60kg",27,IF(Atletas!D526="Adulto 65kg",28,IF(Atletas!D526="Adulto 70kg",29,IF(Atletas!D526="Adulto 75kg",30,IF(Atletas!D526="Adulto 80kg",31,IF(Atletas!D526="Adulto 85kg",32,IF(Atletas!D526="Adulto 90kg",33,IF(Atletas!D526="Adulto 100kg",34, IF(Atletas!D526="Adulto +100kg",35,"")))))))))))))))))))))))))))))))))))))</f>
        <v/>
      </c>
      <c r="AS535" s="6" t="str">
        <f>IF(Atletas!E526="","",IF(Atletas!B526="Feminino",100,IF(Atletas!B526="Masculino",200,""))+(IF(Atletas!E526="Juvenil 44kg",1,IF(Atletas!E526="Juvenil 48kg",2,IF(Atletas!E526="Juvenil 52kg",3,IF(Atletas!E526="Juvenil 56kg",4,IF(Atletas!E526="Juvenil 60kg",5,IF(Atletas!E526="Juvenil 65kg",6,IF(Atletas!E526="Juvenil 70kg",7,IF(Atletas!E526="Juvenil 75kg",8,IF(Atletas!E526="Juvenil 82kg",9,IF(Atletas!E526="Juvenil 90kg",10,IF(Atletas!E526="Juvenil 100kg",11,IF(Atletas!E526="Adulto 48kg",12,IF(Atletas!E526="Adulto 52kg",13,IF(Atletas!E526="Adulto 56kg",14,IF(Atletas!E526="Adulto 60kg",15,IF(Atletas!E526="Adulto 65kg",16,IF(Atletas!E526="Adulto 70kg",17,IF(Atletas!E526="Adulto 75kg",18,IF(Atletas!E526="Adulto 82kg",19,IF(Atletas!E526="Adulto 90kg",20,IF(Atletas!E526="Adulto 100kg",21,IF(Atletas!E526="Adulto +100kg",22,""))))))))))))))))))))))))</f>
        <v/>
      </c>
      <c r="AX535" s="6" t="str">
        <f>IF(Atletas!F526="","",IF(Atletas!B526="Feminino",100,IF(Atletas!B526="Masculino",200,""))+(IF(Atletas!F526="Adulto 48kg",1,IF(Atletas!F526="Adulto 56kg",2,IF(Atletas!F526="Adulto 65kg",3,IF(Atletas!F526="Adulto 75kg",4,IF(Atletas!F526="Adulto +75kg",5,IF(Atletas!F526="Adulto 52kg",6,IF(Atletas!F526="Adulto 60kg",7,IF(Atletas!F526="Adulto 70kg",8,IF(Atletas!F526="Adulto 80kg",9,IF(Atletas!F526="Adulto 90kg",10,IF(Atletas!F526="Adulto +90kg",11,"")))))))))))))</f>
        <v/>
      </c>
      <c r="BC535" s="6" t="str">
        <f>IF(Atletas!G526="","",IF(Atletas!B526="Feminino",10,IF(Atletas!B526="Masculino",20,""))+(IF(Atletas!G526="Baduanjin A",1,IF(Atletas!G526="Baduanjin B",2))))</f>
        <v/>
      </c>
      <c r="BF535" s="52" t="str">
        <f>IF(Atletas!H526="","",IF(Atletas!B526="Feminino",100,IF(Atletas!B526="Masculino",200,""))+(IF(Atletas!H526="Changquan Mirim",1,IF(Atletas!H526="Nanquan Mirim",2,IF(Atletas!H526="Taijiquan Mirim",3,IF(Atletas!H526="Changquan Grupo C",4,IF(Atletas!H526="Nanquan Grupo C",5,IF(Atletas!H526="Taijiquan Grupo C",6,IF(Atletas!H526="Changquan Grupo B",7,IF(Atletas!H526="Nanquan Grupo B",8,IF(Atletas!H526="Taijiquan Grupo B",9,IF(Atletas!H526="Changquan Grupo A",10,IF(Atletas!H526="Nanquan Grupo A",11,IF(Atletas!H526="Taijiquan Grupo A",12,IF(Atletas!H526="Changquan Opcional",13,IF(Atletas!H526="Nanquan Opcional",14,IF(Atletas!H526="Taijiquan Opcional",15,IF(Atletas!H526="Changquan Adulto",16,IF(Atletas!H526="Nanquan Adulto",17,IF(Atletas!H526="Taijiquan Adulto",18,""))))))))))))))))))))</f>
        <v/>
      </c>
      <c r="BG535" s="52" t="str">
        <f>IF(Atletas!I526="","",IF(Atletas!B526="Feminino",100,IF(Atletas!B526="Masculino",200,""))+(IF(Atletas!I526="Daoshu Mirim",19,IF(Atletas!I526="Jianshu Mirim",20,IF(Atletas!I526="Nandao Mirim",21,IF(Atletas!I526="Taijijian Mirim",22,IF(Atletas!I526="Daoshu Grupo C",23,IF(Atletas!I526="Jianshu Grupo C",24,IF(Atletas!I526="Nandao Grupo C",25,IF(Atletas!I526="Taijijian Grupo C",26,IF(Atletas!I526="Daoshu Grupo B",27,IF(Atletas!I526="Jianshu Grupo B",28,IF(Atletas!I526="Nandao Grupo B",29,IF(Atletas!I526="Taijijian Grupo B",30,IF(Atletas!I526="Daoshu Grupo A",31,IF(Atletas!I526="Jianshu Grupo A",32,IF(Atletas!I526="Nandao Grupo A",33,IF(Atletas!I526="Taijijian Grupo A",34,IF(Atletas!I526="Daoshu Opcional",35,IF(Atletas!I526="Jianshu Opcional",36,IF(Atletas!I526="Nandao Opcional",37,IF(Atletas!I526="Taijijian Opcional",38,IF(Atletas!I526="Daoshu Adulto",39,IF(Atletas!I526="Jianshu Adulto",40,IF(Atletas!I526="Nandao Adulto",41,IF(Atletas!I526="Taijijian Adulto",42,""))))))))))))))))))))))))))</f>
        <v/>
      </c>
      <c r="BH535" s="52" t="str">
        <f>IF(Atletas!J526="","",IF(Atletas!B526="Feminino",100,IF(Atletas!B526="Masculino",200,""))+(IF(Atletas!J526="Gunshu Mirim",43,IF(Atletas!J526="Qiangshu Mirim",44,IF(Atletas!J526="Nangun Mirim",45,IF(Atletas!J526="Gunshu Grupo C",46,IF(Atletas!J526="Qiangshu Grupo C",47,IF(Atletas!J526="Nangun Grupo C",48,IF(Atletas!J526="Gunshu Grupo B",49,IF(Atletas!J526="Qiangshu Grupo B",50,IF(Atletas!J526="Nangun Grupo B",51,IF(Atletas!J526="Gunshu Grupo A",52,IF(Atletas!J526="Qiangshu Grupo A",53,IF(Atletas!J526="Nangun Grupo A",54,IF(Atletas!J526="Gunshu Opcional",55,IF(Atletas!J526="Qiangshu Opcional",56,IF(Atletas!J526="Nangun Opcional",57,IF(Atletas!J526="Gunshu Adulto",58,IF(Atletas!J526="Qiangshu Adulto",59,IF(Atletas!J526="Nangun Adulto",60,IF(Atletas!J526="Taijishan Grupo B",61,IF(Atletas!J526="Taijishan Grupo A",62,""))))))))))))))))))))))</f>
        <v/>
      </c>
      <c r="BM535" s="50" t="str">
        <f>IF(Atletas!K526="","",IF(Atletas!B526="Feminino",100,IF(Atletas!B526="Masculino",200,""))+(IF(Atletas!K526="Equipe 1 Grupo B",1,IF(Atletas!K526="Equipe 2 Grupo B",2,IF(Atletas!K526="Equipe 1 Grupo A",3,IF(Atletas!K526="Equipe 2 Grupo A",4,IF(Atletas!K526="Equipe 1 Adulto",5,IF(Atletas!K526="Equipe 2 Adulto",6,""))))))))</f>
        <v/>
      </c>
      <c r="BR535" s="50" t="str">
        <f>IF(Atletas!L526="","",IF(Atletas!X526&lt;&gt;"",10000,0)+(IF(Atletas!B526="Feminino",1000,IF(Atletas!B526="Masculino",2000,""))+IF(Atletas!L526="Choylayfut A",1,IF(Atletas!L526="Hunggar A",2,IF(Atletas!L526="Wuzuquan A",3,IF(Atletas!L526="Wingchun A",4,IF(Atletas!L526="Outra Mão de Sul A",5,IF(Atletas!L526="Choylayfut B",6,IF(Atletas!L526="Hunggar B",7,IF(Atletas!L526="Wuzuquan B",8,IF(Atletas!L526="Wingchun B",9,IF(Atletas!L526="Outra Mão de Sul B",10,IF(Atletas!L526="Choylayfut C",11,IF(Atletas!L526="Hunggar C",12,IF(Atletas!L526="Wuzuquan C",13,IF(Atletas!L526="Wingchun C",14,IF(Atletas!L526="Outra Mão de Sul C",15,IF(Atletas!L526="Choylayfut D",16,IF(Atletas!L526="Hunggar D",17,IF(Atletas!L526="Wuzuquan D",18,IF(Atletas!L526="Wingchun D",19,IF(Atletas!L526="Outra Mão de Sul D",20,IF(Atletas!L526="Choylayfut E",21,IF(Atletas!L526="Hunggar E",22,IF(Atletas!L526="Wuzuquan E",23,IF(Atletas!L526="Wingchun E",24,IF(Atletas!L526="Outra Mão de Sul E",25,IF(Atletas!L526="Choylayfut F",26,IF(Atletas!L526="Hunggar F",27,IF(Atletas!L526="Wuzuquan F",28,IF(Atletas!L526="Wingchun F",29,IF(Atletas!L526="Outra Mão de Sul F",30,IF(Atletas!L526="Dishuquan A",31,IF(Atletas!L526="Dishuquan B",32,IF(Atletas!L526="Dishuquan C",33,IF(Atletas!L526="Dishuquan D",34,IF(Atletas!L526="Dishuquan E",35,IF(Atletas!L526="Dishuquan F",36,""))))))))))))))))))))))))))))))))))))))</f>
        <v/>
      </c>
      <c r="BS535" s="50" t="str">
        <f>IF(Atletas!M526="","",IF(Atletas!X526&lt;&gt;"",10000,0)+(IF(Atletas!B526="Feminino",1000,IF(Atletas!B526="Masculino",2000,""))+(IF(Atletas!M526="Chaquan A",101,IF(Atletas!M526="Emeiquan A",102,IF(Atletas!M526="Fanziquan A",103,IF(Atletas!M526="Huaquan A",104,IF(Atletas!M526="Hongquan A",105,IF(Atletas!M526="Paoquan A",106,IF(Atletas!M526="Piguaquan A",107,IF(Atletas!M526="Shaolinquan A",108,IF(Atletas!M526="Tanglangquan A",109,IF(Atletas!M526="Yingzhaoquan A",110,IF(Atletas!M526="Tongbeiquan A",111,IF(Atletas!M526="Wudangquan A",112,IF(Atletas!M526="Outros Estilos A",113,IF(Atletas!M526="Chaquan B",114,IF(Atletas!M526="Emeiquan B",115,IF(Atletas!M526="Fanziquan B",116,IF(Atletas!M526="Huaquan B",117,IF(Atletas!M526="Hongquan B",118,IF(Atletas!M526="Paoquan B",119,IF(Atletas!M526="Piguaquan B",120,IF(Atletas!M526="Shaolinquan B",121,IF(Atletas!M526="Tanglangquan B",122,IF(Atletas!M526="Yingzhaoquan B",123,IF(Atletas!M526="Tongbeiquan B",124,IF(Atletas!M526="Wudangquan B",125,IF(Atletas!M526="Outros Estilos B",126,IF(Atletas!M526="Chaquan C",127,IF(Atletas!M526="Emeiquan C",128,IF(Atletas!M526="Fanziquan C",129,IF(Atletas!M526="Huaquan C",130,IF(Atletas!M526="Hongquan C",131,IF(Atletas!M526="Paoquan C",132,IF(Atletas!M526="Piguaquan C",133,IF(Atletas!M526="Shaolinquan C",134,IF(Atletas!M526="Tanglangquan C",135,IF(Atletas!M526="Yingzhaoquan C",136,IF(Atletas!M526="Tongbeiquan C",137,IF(Atletas!M526="Wudangquan C",138,IF(Atletas!M526="Outros Estilos C",139,0))))))))))))))))))))))))))))))))))))))))))</f>
        <v/>
      </c>
      <c r="BT535" s="50" t="str">
        <f>IF(Atletas!M526="","",IF(Atletas!X526&lt;&gt;"",10000,0)+(IF(Atletas!B526="Feminino",1000,IF(Atletas!B526="Masculino",2000,""))+(IF(Atletas!M526="Chaquan D",140,IF(Atletas!M526="Emeiquan D",141,IF(Atletas!M526="Fanziquan D",142,IF(Atletas!M526="Huaquan D",143,IF(Atletas!M526="Hongquan D",144,IF(Atletas!M526="Paoquan D",145,IF(Atletas!M526="Piguaquan D",146,IF(Atletas!M526="Shaolinquan D",147,IF(Atletas!M526="Tanglangquan D",148,IF(Atletas!M526="Yingzhaoquan D",149,IF(Atletas!M526="Tongbeiquan D",150,IF(Atletas!M526="Wudangquan D",151,IF(Atletas!M526="Outros Estilos D",152,IF(Atletas!M526="Chaquan E",153,IF(Atletas!M526="Emeiquan E",154,IF(Atletas!M526="Fanziquan E",155,IF(Atletas!M526="Huaquan E",156,IF(Atletas!M526="Hongquan E",157,IF(Atletas!M526="Paoquan E",158,IF(Atletas!M526="Piguaquan E",159,IF(Atletas!M526="Shaolinquan E",160,IF(Atletas!M526="Tanglangquan E",161,IF(Atletas!M526="Yingzhaoquan E",162,IF(Atletas!M526="Tongbeiquan E",163,IF(Atletas!M526="Wudangquan E",164,IF(Atletas!M526="Outros Estilos E",165,IF(Atletas!M526="Chaquan F",166,IF(Atletas!M526="Emeiquan F",167,IF(Atletas!M526="Fanziquan F",168,IF(Atletas!M526="Huaquan F",169,IF(Atletas!M526="Hongquan F",170,IF(Atletas!M526="Paoquan F",171,IF(Atletas!M526="Piguaquan F",172,IF(Atletas!M526="Shaolinquan F",173,IF(Atletas!M526="Tanglangquan F",174,IF(Atletas!M526="Yingzhaoquan F",175,IF(Atletas!M526="Tongbeiquan F",176,IF(Atletas!M526="Wudangquan F",177,IF(Atletas!M526="Outros Estilos F",178,0))))))))))))))))))))))))))))))))))))))))))</f>
        <v/>
      </c>
      <c r="BU535" s="50" t="str">
        <f>IF(Atletas!N526="","",IF(Atletas!X526&lt;&gt;"",10000,0)+(IF(Atletas!B526="Feminino",1000,IF(Atletas!B526="Masculino",2000,""))+(IF(Atletas!N526="Ditangquan A",201,IF(Atletas!N526="Houquan A",202,IF(Atletas!N526="Zuiquan A",203,IF(Atletas!N526="Ditangquan B",204,IF(Atletas!N526="Houquan B",205,IF(Atletas!N526="Zuiquan B",206,IF(Atletas!N526="Ditangquan C",207,IF(Atletas!N526="Houquan C",208,IF(Atletas!N526="Zuiquan C",209,IF(Atletas!N526="Ditangquan D",210,IF(Atletas!N526="Houquan D",211,IF(Atletas!N526="Zuiquan D",212,IF(Atletas!N526="Ditangquan E",213,IF(Atletas!N526="Houquan E",214,IF(Atletas!N526="Zuiquan E",215,IF(Atletas!N526="Ditangquan F",216,IF(Atletas!N526="Houquan F",217,IF(Atletas!N526="Zuiquan F",218,"")))))))))))))))))))))</f>
        <v/>
      </c>
      <c r="BV535" s="50" t="str">
        <f>IF(Atletas!O526="","",IF(Atletas!X526&lt;&gt;"",10000,0)+IF(Atletas!B526="Feminino",1000,IF(Atletas!B526="Masculino",2000,""))+IF(Atletas!O526="Yang A",301,IF(Atletas!O526="Chen A",302,IF(Atletas!O526="Sun A",303,IF(Atletas!O526="Wu A",304,IF(Atletas!O526="Wu-Hao A",305,IF(Atletas!O526="Outro Taijiquan A",306,IF(Atletas!O526="Yang B",307,IF(Atletas!O526="Chen B",308,IF(Atletas!O526="Sun B",309,IF(Atletas!O526="Wu B",310,IF(Atletas!O526="Wu-Hao B",311,IF(Atletas!O526="Outro Taijiquan B",312,IF(Atletas!O526="Yang C",313,IF(Atletas!O526="Chen C",314,IF(Atletas!O526="Sun C",315,IF(Atletas!O526="Wu C",316,IF(Atletas!O526="Wu-Hao C",317,IF(Atletas!O526="Outro Taijiquan C",318,IF(Atletas!O526="Yang D",319,IF(Atletas!O526="Chen D",320,IF(Atletas!O526="Sun D",321,IF(Atletas!O526="Wu D",322,IF(Atletas!O526="Wu-Hao D",323,IF(Atletas!O526="Outro Taijiquan D",324,IF(Atletas!O526="Yang E",325,IF(Atletas!O526="Chen E",326,IF(Atletas!O526="Sun E",327,IF(Atletas!O526="Wu E",328,IF(Atletas!O526="Wu-Hao E",329,IF(Atletas!O526="Outro Taijiquan E",330,IF(Atletas!O526="Yang F",331,IF(Atletas!O526="Chen F",332,IF(Atletas!O526="Sun F",333,IF(Atletas!O526="Wu F",334,IF(Atletas!O526="Wu-Hao F",335,IF(Atletas!O526="Outro Taijiquan F",336,"")))))))))))))))))))))))))))))))))))))</f>
        <v/>
      </c>
      <c r="BW535" s="50" t="str">
        <f>IF(Atletas!P526="","",IF(Atletas!X526&lt;&gt;"",10000,0)+IF(Atletas!B526="Feminino",1000,IF(Atletas!B526="Masculino",2000,""))+IF(OR(Atletas!P526="Yang 26 A",Atletas!P526="Yang 40 A"),401,IF(OR(Atletas!P526="Chen 25 A",Atletas!P526="Chen 36 A",Atletas!P526="Chen 56 A"),402,IF(Atletas!P526="Sun 73 A",403,IF(Atletas!P526="Wu 45 A",404,IF(Atletas!P526="Wu-Hao 46 A",405,IF(OR(Atletas!P526="Taijiquan 16 A",Atletas!P526="Taijiquan 24 A",Atletas!P526="Taijiquan 32 A",Atletas!P526="Taijiquan 42 A"),406,IF(OR(Atletas!P526="Yang 26 B",Atletas!P526="Yang 40 B"),407,IF(OR(Atletas!P526="Chen 25 B",Atletas!P526="Chen 36 B",Atletas!P526="Chen 56 B"),408,IF(Atletas!P526="Sun 73 B",409,IF(Atletas!P526="Wu 45 B",410,IF(Atletas!P526="Wu-Hao 46 B",411,IF(OR(Atletas!P526="Taijiquan 16 B",Atletas!P526="Taijiquan 24 B",Atletas!P526="Taijiquan 32 B",Atletas!P526="Taijiquan 42 B"),412,IF(OR(Atletas!P526="Yang 26 C",Atletas!P526="Yang 40 C"),413,IF(OR(Atletas!P526="Chen 25 C",Atletas!P526="Chen 36 C",Atletas!P526="Chen 56 C"),414,IF(Atletas!P526="Sun 73 C",415,IF(Atletas!P526="Wu 45 C",416,IF(Atletas!P526="Wu-Hao 46 C",417,IF(OR(Atletas!P526="Taijiquan 16 C",Atletas!P526="Taijiquan 24 C",Atletas!P526="Taijiquan 32 C",Atletas!P526="Taijiquan 42 C"),418,0)))))))))))))))))))</f>
        <v/>
      </c>
      <c r="BX535" s="50" t="str">
        <f>IF(Atletas!P526="","",IF(Atletas!X526&lt;&gt;"",10000,0)+IF(Atletas!B526="Feminino",1000,IF(Atletas!B526="Masculino",2000,""))+IF(OR(Atletas!P526="Yang 26 D",Atletas!P526="Yang 40 D"),419,IF(OR(Atletas!P526="Chen 25 D",Atletas!P526="Chen 36 D",Atletas!P526="Chen 56 D"),420,IF(Atletas!P526="Sun 73 D",421,IF(Atletas!P526="Wu 45 D",422,IF(Atletas!P526="Wu-Hao 46 D",423,IF(OR(Atletas!P526="Taijiquan 16 D",Atletas!P526="Taijiquan 24 D",Atletas!P526="Taijiquan 32 D",Atletas!P526="Taijiquan 42 D"),424,IF(OR(Atletas!P526="Yang 26 E",Atletas!P526="Yang 40 E"),425,IF(OR(Atletas!P526="Chen 25 E",Atletas!P526="Chen 36 E",Atletas!P526="Chen 56 E"),426,IF(Atletas!P526="Sun 73 E",427,IF(Atletas!P526="Wu 45 E",428,IF(Atletas!P526="Wu-Hao 46 E",429,IF(OR(Atletas!P526="Taijiquan 16 E",Atletas!P526="Taijiquan 24 E",Atletas!P526="Taijiquan 32 E",Atletas!P526="Taijiquan 42 E"),430,IF(OR(Atletas!P526="Yang 26 F",Atletas!P526="Yang 40 F"),431,IF(OR(Atletas!P526="Chen 25 F",Atletas!P526="Chen 36 F",Atletas!P526="Chen 56 F"),432,IF(Atletas!P526="Sun 73 F",433,IF(Atletas!P526="Wu 45 F",434,IF(Atletas!P526="Wu-Hao 46 F",435,IF(OR(Atletas!P526="Taijiquan 16 F",Atletas!P526="Taijiquan 24 F",Atletas!P526="Taijiquan 32 F",Atletas!P526="Taijiquan 42 F"),436,0)))))))))))))))))))</f>
        <v/>
      </c>
      <c r="BY535" s="50" t="str">
        <f>IF(Atletas!Q526="","",IF(Atletas!X526&lt;&gt;"",10000,0)+IF(Atletas!B526="Feminino",1000,IF(Atletas!B526="Masculino",2000,""))+IF(Atletas!Q526="Xingyiquan A",501,IF(Atletas!Q526="Baguazhang A",502,IF(Atletas!Q526="Outro Estilo Interno A",503,IF(Atletas!Q526="Xingyiquan B",504,IF(Atletas!Q526="Baguazhang B",505,IF(Atletas!Q526="Outro Estilo Interno B",506,IF(Atletas!Q526="Xingyiquan C",507,IF(Atletas!Q526="Baguazhang C",508,IF(Atletas!Q526="Outro Estilo Interno C",509,IF(Atletas!Q526="Xingyiquan D",510,IF(Atletas!Q526="Baguazhang D",511,IF(Atletas!Q526="Outro Estilo Interno D",512,IF(Atletas!Q526="Xingyiquan E",513,IF(Atletas!Q526="Baguazhang E",514,IF(Atletas!Q526="Outro Estilo Interno E",515,IF(Atletas!Q526="Xingyiquan F",516,IF(Atletas!Q526="Baguazhang F",517,IF(Atletas!Q526="Outro Estilo Interno F",518, "")))))))))))))))))))</f>
        <v/>
      </c>
      <c r="BZ535" s="50" t="str">
        <f>IF(Atletas!R526="","",IF(Atletas!X526&lt;&gt;"",10000,0)+IF(Atletas!B526="Feminino",1000,IF(Atletas!B526="Masculino",2000,""))+IF(Atletas!R526="Dao A",601,IF(Atletas!R526="Jian A",602,IF(Atletas!R526="Bishou A",603,IF(Atletas!R526="Shanzi A",604,IF(Atletas!R526="Outra Arma Curta A",605,IF(Atletas!R526="Dao B",606,IF(Atletas!R526="Jian B",607,IF(Atletas!R526="Bishou B",608,IF(Atletas!R526="Shanzi B",609,IF(Atletas!R526="Outra Arma Curta B",610,IF(Atletas!R526="Dao C",611,IF(Atletas!R526="Jian C",612,IF(Atletas!R526="Bishou C",613,IF(Atletas!R526="Shanzi C",614,IF(Atletas!R526="Outra Arma Curta C",615,IF(Atletas!R526="Dao D",616,IF(Atletas!R526="Jian D",617,IF(Atletas!R526="Bishou D",618,IF(Atletas!R526="Shanzi D",619,IF(Atletas!R526="Outra Arma Curta D",620,IF(Atletas!R526="Dao E",621,IF(Atletas!R526="Jian E",622,IF(Atletas!R526="Bishou E",623,IF(Atletas!R526="Shanzi E",624,IF(Atletas!R526="Outra Arma Curta E",625,IF(Atletas!R526="Dao F",626,IF(Atletas!R526="Jian F",627,IF(Atletas!R526="Bishou F",628,IF(Atletas!R526="Shanzi F",629,IF(Atletas!R526="Outra Arma Curta F",630, "")))))))))))))))))))))))))))))))</f>
        <v/>
      </c>
      <c r="CA535" s="50" t="str">
        <f>IF(Atletas!S526="","",IF(Atletas!X526&lt;&gt;"",10000,0)+IF(Atletas!B526="Feminino",1000,IF(Atletas!B526="Masculino",2000,""))+IF(Atletas!S526="Gun A",701,IF(Atletas!S526="Qiang A",702,IF(Atletas!S526="Pudao / Guandao A",703,IF(Atletas!S526="Outra Arma Longa A",704,IF(Atletas!S526="Gun B",705,IF(Atletas!S526="Qiang B",706,IF(Atletas!S526="Pudao / Guandao B",707,IF(Atletas!S526="Outra Arma Longa B",708,IF(Atletas!S526="Gun C",709,IF(Atletas!S526="Qiang C",710,IF(Atletas!S526="Pudao / Guandao C",711,IF(Atletas!S526="Outra Arma Longa C",712,IF(Atletas!S526="Gun D",713,IF(Atletas!S526="Qiang D",714,IF(Atletas!S526="Pudao / Guandao D",715,IF(Atletas!S526="Outra Arma Longa D",716,IF(Atletas!S526="Gun E",717,IF(Atletas!S526="Qiang E",718,IF(Atletas!S526="Pudao / Guandao E",719,IF(Atletas!S526="Outra Arma Longa E",720,IF(Atletas!S526="Gun F",721,IF(Atletas!S526="Qiang F",722,IF(Atletas!S526="Pudao / Guandao F",723,IF(Atletas!S526="Outra Arma Longa F",724,"")))))))))))))))))))))))))</f>
        <v/>
      </c>
      <c r="CB535" s="50" t="str">
        <f>IF(Atletas!T526="","",IF(Atletas!X526&lt;&gt;"",10000,0)+IF(Atletas!B526="Feminino",1000,IF(Atletas!B526="Masculino",2000,""))+IF(Atletas!T526="Outra Arma Dupla A",801,IF(Atletas!T526="Arma Maleável A",802,IF(Atletas!T526="Outra Arma Dupla B",803,IF(Atletas!T526="Arma Maleável B",804,IF(Atletas!T526="Outra Arma Dupla C",805,IF(Atletas!T526="Arma Maleável C",806,IF(Atletas!T526="Outra Arma Dupla D",807,IF(Atletas!T526="Arma Maleável D",808,IF(Atletas!T526="Outra Arma Dupla E",809,IF(Atletas!T526="Arma Maleável E",810,IF(Atletas!T526="Outra Arma Dupla F",811,IF(Atletas!T526="Arma Maleável F",812,IF(Atletas!T526="Shuangdao A",813,IF(Atletas!T526="Shuangdao B",814,IF(Atletas!T526="Shuangdao C",815,IF(Atletas!T526="Shuangdao D",816,IF(Atletas!T526="Shuangdao E",817,IF(Atletas!T526="Shuangdao F",818,"")))))))))))))))))))</f>
        <v/>
      </c>
      <c r="CC535" s="50" t="str">
        <f>IF(Atletas!U526="","",IF(Atletas!X526&lt;&gt;"",10000,0)+IF(Atletas!B526="Feminino",1000,IF(Atletas!B526="Masculino",2000,""))+IF(OR(Atletas!U526="Taijijian Yang A",Atletas!U526="Taijijian Yang Standard A"),901,IF(OR(Atletas!U526="Taijijian Chen A", Atletas!U526="Taijijian Chen Standard A"),902,IF(Atletas!U526="Taijijian Sun A",903,IF(Atletas!U526="Taijijian Wu A",904,IF(Atletas!U526="Taijijian Wu-Hao A",905,IF(OR(Atletas!U526="Taijijian 32 A",Atletas!U526="Taijijian 42 A"),906,IF(OR(Atletas!U526="Taijijian Yang B",Atletas!U526="Taijijian Yang Standard B"),907,IF(OR(Atletas!U526="Taijijian Chen B", Atletas!U526="Taijijian Chen Standard B"),908,IF(Atletas!U526="Taijijian Sun B",909,IF(Atletas!U526="Taijijian Wu B",910,IF(Atletas!U526="Taijijian Wu-Hao B",911,IF(OR(Atletas!U526="Taijijian 32 B",Atletas!U526="Taijijian 42 B"),912,IF(OR(Atletas!U526="Taijijian Yang C",Atletas!U526="Taijijian Yang Standard C"),913,IF(OR(Atletas!U526="Taijijian Chen C", Atletas!U526="Taijijian Chen Standard C"),914,IF(Atletas!U526="Taijijian Sun C",915,IF(Atletas!U526="Taijijian Wu C",916,IF(Atletas!U526="Taijijian Wu-Hao C",917,IF(OR(Atletas!U526="Taijijian 32 C",Atletas!U526="Taijijian 42 C"),918,IF(OR(Atletas!U526="Taijijian Yang D",Atletas!U526="Taijijian Yang Standard D"),919,IF(OR(Atletas!U526="Taijijian Chen D", Atletas!U526="Taijijian Chen Standard D"),920,IF(Atletas!U526="Taijijian Sun D",921,IF(Atletas!U526="Taijijian Wu D",922,IF(Atletas!U526="Taijijian Wu-Hao D",923,IF(OR(Atletas!U526="Taijijian 32 D",Atletas!U526="Taijijian 42 D"),924,IF(OR(Atletas!U526="Taijijian Yang E",Atletas!U526="Taijijian Yang Standard E"),925,IF(OR(Atletas!U526="Taijijian Chen E", Atletas!U526="Taijijian Chen Standard E"),926,IF(Atletas!U526="Taijijian Sun E",927,IF(Atletas!U526="Taijijian Wu E",928,IF(Atletas!U526="Taijijian Wu-Hao E",929,IF(OR(Atletas!U526="Taijijian 32 E",Atletas!U526="Taijijian 42 E"),930,IF(OR(Atletas!U526="Taijijian Yang F",Atletas!U526="Taijijian Yang Standard F"),931,IF(OR(Atletas!U526="Taijijian Chen F", Atletas!U526="Taijijian Chen Standard F"),932,IF(Atletas!U526="Taijijian Sun F",933,IF(Atletas!U526="Taijijian Wu F",934,IF(Atletas!U526="Taijijian Wu-Hao F",935,IF(OR(Atletas!U526="Taijijian 32 F",Atletas!U526="Taijijian 42 F"),936,"")))))))))))))))))))))))))))))))))))))</f>
        <v/>
      </c>
      <c r="CD535" s="50" t="str">
        <f>IF(Atletas!V526="","",IF(Atletas!X526&lt;&gt;"",10000,0)+IF(Atletas!B526="Feminino",1000,IF(Atletas!B526="Masculino",2000,""))+IF(Atletas!V526="Taijidao A",937,IF(Atletas!V526="TaijiShanzi A",938,IF(Atletas!V526="Taijiqiang A",939,IF(Atletas!V526="Bagua de Arma A",940,IF(Atletas!V526="Xingyi de Arma A",941,IF(Atletas!V526="Taijidao B",942,IF(Atletas!V526="TaijiShanzi B",943,IF(Atletas!V526="Taijiqiang B",944,IF(Atletas!V526="Bagua de Arma B",945,IF(Atletas!V526="Xingyi de Arma B",946,IF(Atletas!V526="Taijidao C",947,IF(Atletas!V526="TaijiShanzi C",948,IF(Atletas!V526="Taijiqiang C",949,IF(Atletas!V526="Bagua de Arma C",950,IF(Atletas!V526="Xingyi de Arma C",951,IF(Atletas!V526="Taijidao D",952,IF(Atletas!V526="TaijiShanzi D",953,IF(Atletas!V526="Taijiqiang D",954,IF(Atletas!V526="Bagua de Arma D",955,IF(Atletas!V526="Xingyi de Arma D",956,IF(Atletas!V526="Taijidao E",957,IF(Atletas!V526="TaijiShanzi E",958,IF(Atletas!V526="Taijiqiang E",959,IF(Atletas!V526="Bagua de Arma E",960,IF(Atletas!V526="Xingyi de Arma E",961,IF(Atletas!V526="Taijidao F",962,IF(Atletas!V526="TaijiShanzi F",963,IF(Atletas!V526="Taijiqiang F",964,IF(Atletas!V526="Bagua de Arma F",965,IF(Atletas!V526="Xingyi de Arma F",966,"")))))))))))))))))))))))))))))))</f>
        <v/>
      </c>
      <c r="CM535" s="50" t="str">
        <f xml:space="preserve"> IF(Atletas!W526="","",IF(Atletas!W526="Duilian de Mãos BC - Equipe 1",1,IF(Atletas!W526="Duilian de Mãos BC - Equipe 2",2,IF(Atletas!W526="Duilian de Armas BC - Equipe 1",3,IF(Atletas!W526="Duilian de Armas BC - Equipe 2",4,IF(Atletas!W526="Duilian de Mãos DE - Equipe 1",5,IF(Atletas!W526="Duilian de Mãos DE - Equipe 2",6,IF(Atletas!W526="Duilian de Armas DE - Equipe 1",7,IF(Atletas!W526="Duilian de Armas DE - Equipe 2",8,IF(Atletas!W526="Duilian de Tuishou - Equipe 1",9,IF(Atletas!W526="Duilian de Tuishou - Equipe 2",10,IF(Atletas!W526="Grupo Externo ABC - Equipe 1",11,IF(Atletas!W526="Grupo Externo ABC - Equipe 2",12,IF(Atletas!W526="Grupo Interno ABC - Equipe 1",13,IF(Atletas!W526="Grupo Interno ABC - Equipe 2",14,IF(Atletas!W526="Grupo Externo DEF - Equipe 1",15,IF(Atletas!W526="Grupo Externo DEF - Equipe 2",16,IF(Atletas!W526="Grupo Interno DEF - Equipe 1",17,IF(Atletas!W526="Grupo Interno DEF - Equipe 2",18,"")))))))))))))))))))</f>
        <v/>
      </c>
    </row>
    <row r="536" spans="40:91">
      <c r="AN536" s="52" t="str">
        <f>IF(Atletas!D527="","",IF(Atletas!B527="Feminino",100,IF(Atletas!B527="Masculino",200,""))+(IF(Atletas!D527="Kids 30kg",1,IF(Atletas!D527="Kids 32kg",2, IF(Atletas!D527="Kids 34kg",3,IF(Atletas!D527="Kids 36kg",4,IF(Atletas!D527="Kids 39kg",5,IF(Atletas!D527="Kids 42kg",6,IF(Atletas!D527="Kids 45kg",7, IF(Atletas!D527="Infantil 39kg",8,IF(Atletas!D527="Infantil 42kg",9,IF(Atletas!D527="Infantil 45kg",10,IF(Atletas!D527="Infantil 48kg",11,IF(Atletas!D527="Infantil 52kg",12,IF(Atletas!D527="Infantil 56kg",13,IF(Atletas!D527="Infantil 60kg",14,IF(Atletas!D527="Juvenil 48kg",15,IF(Atletas!D527="Juvenil 52kg",16,IF(Atletas!D527="Juvenil 56kg",17,IF(Atletas!D527="Juvenil 60kg",18,IF(Atletas!D527="Juvenil 65kg",19,IF(Atletas!D527="Juvenil 70kg",20,IF(Atletas!D527="Juvenil 75kg",21,IF(Atletas!D527="Juvenil 80kg",22, IF(Atletas!D527="Juvenil 85kg",23,IF(Atletas!D527="Adulto 48kg",24,IF(Atletas!D527="Adulto 52kg",25,IF(Atletas!D527="Adulto 56kg",26,IF(Atletas!D527="Adulto 60kg",27,IF(Atletas!D527="Adulto 65kg",28,IF(Atletas!D527="Adulto 70kg",29,IF(Atletas!D527="Adulto 75kg",30,IF(Atletas!D527="Adulto 80kg",31,IF(Atletas!D527="Adulto 85kg",32,IF(Atletas!D527="Adulto 90kg",33,IF(Atletas!D527="Adulto 100kg",34, IF(Atletas!D527="Adulto +100kg",35,"")))))))))))))))))))))))))))))))))))))</f>
        <v/>
      </c>
      <c r="AS536" s="6" t="str">
        <f>IF(Atletas!E527="","",IF(Atletas!B527="Feminino",100,IF(Atletas!B527="Masculino",200,""))+(IF(Atletas!E527="Juvenil 44kg",1,IF(Atletas!E527="Juvenil 48kg",2,IF(Atletas!E527="Juvenil 52kg",3,IF(Atletas!E527="Juvenil 56kg",4,IF(Atletas!E527="Juvenil 60kg",5,IF(Atletas!E527="Juvenil 65kg",6,IF(Atletas!E527="Juvenil 70kg",7,IF(Atletas!E527="Juvenil 75kg",8,IF(Atletas!E527="Juvenil 82kg",9,IF(Atletas!E527="Juvenil 90kg",10,IF(Atletas!E527="Juvenil 100kg",11,IF(Atletas!E527="Adulto 48kg",12,IF(Atletas!E527="Adulto 52kg",13,IF(Atletas!E527="Adulto 56kg",14,IF(Atletas!E527="Adulto 60kg",15,IF(Atletas!E527="Adulto 65kg",16,IF(Atletas!E527="Adulto 70kg",17,IF(Atletas!E527="Adulto 75kg",18,IF(Atletas!E527="Adulto 82kg",19,IF(Atletas!E527="Adulto 90kg",20,IF(Atletas!E527="Adulto 100kg",21,IF(Atletas!E527="Adulto +100kg",22,""))))))))))))))))))))))))</f>
        <v/>
      </c>
      <c r="AX536" s="6" t="str">
        <f>IF(Atletas!F527="","",IF(Atletas!B527="Feminino",100,IF(Atletas!B527="Masculino",200,""))+(IF(Atletas!F527="Adulto 48kg",1,IF(Atletas!F527="Adulto 56kg",2,IF(Atletas!F527="Adulto 65kg",3,IF(Atletas!F527="Adulto 75kg",4,IF(Atletas!F527="Adulto +75kg",5,IF(Atletas!F527="Adulto 52kg",6,IF(Atletas!F527="Adulto 60kg",7,IF(Atletas!F527="Adulto 70kg",8,IF(Atletas!F527="Adulto 80kg",9,IF(Atletas!F527="Adulto 90kg",10,IF(Atletas!F527="Adulto +90kg",11,"")))))))))))))</f>
        <v/>
      </c>
      <c r="BC536" s="6" t="str">
        <f>IF(Atletas!G527="","",IF(Atletas!B527="Feminino",10,IF(Atletas!B527="Masculino",20,""))+(IF(Atletas!G527="Baduanjin A",1,IF(Atletas!G527="Baduanjin B",2))))</f>
        <v/>
      </c>
      <c r="BF536" s="52" t="str">
        <f>IF(Atletas!H527="","",IF(Atletas!B527="Feminino",100,IF(Atletas!B527="Masculino",200,""))+(IF(Atletas!H527="Changquan Mirim",1,IF(Atletas!H527="Nanquan Mirim",2,IF(Atletas!H527="Taijiquan Mirim",3,IF(Atletas!H527="Changquan Grupo C",4,IF(Atletas!H527="Nanquan Grupo C",5,IF(Atletas!H527="Taijiquan Grupo C",6,IF(Atletas!H527="Changquan Grupo B",7,IF(Atletas!H527="Nanquan Grupo B",8,IF(Atletas!H527="Taijiquan Grupo B",9,IF(Atletas!H527="Changquan Grupo A",10,IF(Atletas!H527="Nanquan Grupo A",11,IF(Atletas!H527="Taijiquan Grupo A",12,IF(Atletas!H527="Changquan Opcional",13,IF(Atletas!H527="Nanquan Opcional",14,IF(Atletas!H527="Taijiquan Opcional",15,IF(Atletas!H527="Changquan Adulto",16,IF(Atletas!H527="Nanquan Adulto",17,IF(Atletas!H527="Taijiquan Adulto",18,""))))))))))))))))))))</f>
        <v/>
      </c>
      <c r="BG536" s="52" t="str">
        <f>IF(Atletas!I527="","",IF(Atletas!B527="Feminino",100,IF(Atletas!B527="Masculino",200,""))+(IF(Atletas!I527="Daoshu Mirim",19,IF(Atletas!I527="Jianshu Mirim",20,IF(Atletas!I527="Nandao Mirim",21,IF(Atletas!I527="Taijijian Mirim",22,IF(Atletas!I527="Daoshu Grupo C",23,IF(Atletas!I527="Jianshu Grupo C",24,IF(Atletas!I527="Nandao Grupo C",25,IF(Atletas!I527="Taijijian Grupo C",26,IF(Atletas!I527="Daoshu Grupo B",27,IF(Atletas!I527="Jianshu Grupo B",28,IF(Atletas!I527="Nandao Grupo B",29,IF(Atletas!I527="Taijijian Grupo B",30,IF(Atletas!I527="Daoshu Grupo A",31,IF(Atletas!I527="Jianshu Grupo A",32,IF(Atletas!I527="Nandao Grupo A",33,IF(Atletas!I527="Taijijian Grupo A",34,IF(Atletas!I527="Daoshu Opcional",35,IF(Atletas!I527="Jianshu Opcional",36,IF(Atletas!I527="Nandao Opcional",37,IF(Atletas!I527="Taijijian Opcional",38,IF(Atletas!I527="Daoshu Adulto",39,IF(Atletas!I527="Jianshu Adulto",40,IF(Atletas!I527="Nandao Adulto",41,IF(Atletas!I527="Taijijian Adulto",42,""))))))))))))))))))))))))))</f>
        <v/>
      </c>
      <c r="BH536" s="52" t="str">
        <f>IF(Atletas!J527="","",IF(Atletas!B527="Feminino",100,IF(Atletas!B527="Masculino",200,""))+(IF(Atletas!J527="Gunshu Mirim",43,IF(Atletas!J527="Qiangshu Mirim",44,IF(Atletas!J527="Nangun Mirim",45,IF(Atletas!J527="Gunshu Grupo C",46,IF(Atletas!J527="Qiangshu Grupo C",47,IF(Atletas!J527="Nangun Grupo C",48,IF(Atletas!J527="Gunshu Grupo B",49,IF(Atletas!J527="Qiangshu Grupo B",50,IF(Atletas!J527="Nangun Grupo B",51,IF(Atletas!J527="Gunshu Grupo A",52,IF(Atletas!J527="Qiangshu Grupo A",53,IF(Atletas!J527="Nangun Grupo A",54,IF(Atletas!J527="Gunshu Opcional",55,IF(Atletas!J527="Qiangshu Opcional",56,IF(Atletas!J527="Nangun Opcional",57,IF(Atletas!J527="Gunshu Adulto",58,IF(Atletas!J527="Qiangshu Adulto",59,IF(Atletas!J527="Nangun Adulto",60,IF(Atletas!J527="Taijishan Grupo B",61,IF(Atletas!J527="Taijishan Grupo A",62,""))))))))))))))))))))))</f>
        <v/>
      </c>
      <c r="BM536" s="50" t="str">
        <f>IF(Atletas!K527="","",IF(Atletas!B527="Feminino",100,IF(Atletas!B527="Masculino",200,""))+(IF(Atletas!K527="Equipe 1 Grupo B",1,IF(Atletas!K527="Equipe 2 Grupo B",2,IF(Atletas!K527="Equipe 1 Grupo A",3,IF(Atletas!K527="Equipe 2 Grupo A",4,IF(Atletas!K527="Equipe 1 Adulto",5,IF(Atletas!K527="Equipe 2 Adulto",6,""))))))))</f>
        <v/>
      </c>
      <c r="BR536" s="50" t="str">
        <f>IF(Atletas!L527="","",IF(Atletas!X527&lt;&gt;"",10000,0)+(IF(Atletas!B527="Feminino",1000,IF(Atletas!B527="Masculino",2000,""))+IF(Atletas!L527="Choylayfut A",1,IF(Atletas!L527="Hunggar A",2,IF(Atletas!L527="Wuzuquan A",3,IF(Atletas!L527="Wingchun A",4,IF(Atletas!L527="Outra Mão de Sul A",5,IF(Atletas!L527="Choylayfut B",6,IF(Atletas!L527="Hunggar B",7,IF(Atletas!L527="Wuzuquan B",8,IF(Atletas!L527="Wingchun B",9,IF(Atletas!L527="Outra Mão de Sul B",10,IF(Atletas!L527="Choylayfut C",11,IF(Atletas!L527="Hunggar C",12,IF(Atletas!L527="Wuzuquan C",13,IF(Atletas!L527="Wingchun C",14,IF(Atletas!L527="Outra Mão de Sul C",15,IF(Atletas!L527="Choylayfut D",16,IF(Atletas!L527="Hunggar D",17,IF(Atletas!L527="Wuzuquan D",18,IF(Atletas!L527="Wingchun D",19,IF(Atletas!L527="Outra Mão de Sul D",20,IF(Atletas!L527="Choylayfut E",21,IF(Atletas!L527="Hunggar E",22,IF(Atletas!L527="Wuzuquan E",23,IF(Atletas!L527="Wingchun E",24,IF(Atletas!L527="Outra Mão de Sul E",25,IF(Atletas!L527="Choylayfut F",26,IF(Atletas!L527="Hunggar F",27,IF(Atletas!L527="Wuzuquan F",28,IF(Atletas!L527="Wingchun F",29,IF(Atletas!L527="Outra Mão de Sul F",30,IF(Atletas!L527="Dishuquan A",31,IF(Atletas!L527="Dishuquan B",32,IF(Atletas!L527="Dishuquan C",33,IF(Atletas!L527="Dishuquan D",34,IF(Atletas!L527="Dishuquan E",35,IF(Atletas!L527="Dishuquan F",36,""))))))))))))))))))))))))))))))))))))))</f>
        <v/>
      </c>
      <c r="BS536" s="50" t="str">
        <f>IF(Atletas!M527="","",IF(Atletas!X527&lt;&gt;"",10000,0)+(IF(Atletas!B527="Feminino",1000,IF(Atletas!B527="Masculino",2000,""))+(IF(Atletas!M527="Chaquan A",101,IF(Atletas!M527="Emeiquan A",102,IF(Atletas!M527="Fanziquan A",103,IF(Atletas!M527="Huaquan A",104,IF(Atletas!M527="Hongquan A",105,IF(Atletas!M527="Paoquan A",106,IF(Atletas!M527="Piguaquan A",107,IF(Atletas!M527="Shaolinquan A",108,IF(Atletas!M527="Tanglangquan A",109,IF(Atletas!M527="Yingzhaoquan A",110,IF(Atletas!M527="Tongbeiquan A",111,IF(Atletas!M527="Wudangquan A",112,IF(Atletas!M527="Outros Estilos A",113,IF(Atletas!M527="Chaquan B",114,IF(Atletas!M527="Emeiquan B",115,IF(Atletas!M527="Fanziquan B",116,IF(Atletas!M527="Huaquan B",117,IF(Atletas!M527="Hongquan B",118,IF(Atletas!M527="Paoquan B",119,IF(Atletas!M527="Piguaquan B",120,IF(Atletas!M527="Shaolinquan B",121,IF(Atletas!M527="Tanglangquan B",122,IF(Atletas!M527="Yingzhaoquan B",123,IF(Atletas!M527="Tongbeiquan B",124,IF(Atletas!M527="Wudangquan B",125,IF(Atletas!M527="Outros Estilos B",126,IF(Atletas!M527="Chaquan C",127,IF(Atletas!M527="Emeiquan C",128,IF(Atletas!M527="Fanziquan C",129,IF(Atletas!M527="Huaquan C",130,IF(Atletas!M527="Hongquan C",131,IF(Atletas!M527="Paoquan C",132,IF(Atletas!M527="Piguaquan C",133,IF(Atletas!M527="Shaolinquan C",134,IF(Atletas!M527="Tanglangquan C",135,IF(Atletas!M527="Yingzhaoquan C",136,IF(Atletas!M527="Tongbeiquan C",137,IF(Atletas!M527="Wudangquan C",138,IF(Atletas!M527="Outros Estilos C",139,0))))))))))))))))))))))))))))))))))))))))))</f>
        <v/>
      </c>
      <c r="BT536" s="50" t="str">
        <f>IF(Atletas!M527="","",IF(Atletas!X527&lt;&gt;"",10000,0)+(IF(Atletas!B527="Feminino",1000,IF(Atletas!B527="Masculino",2000,""))+(IF(Atletas!M527="Chaquan D",140,IF(Atletas!M527="Emeiquan D",141,IF(Atletas!M527="Fanziquan D",142,IF(Atletas!M527="Huaquan D",143,IF(Atletas!M527="Hongquan D",144,IF(Atletas!M527="Paoquan D",145,IF(Atletas!M527="Piguaquan D",146,IF(Atletas!M527="Shaolinquan D",147,IF(Atletas!M527="Tanglangquan D",148,IF(Atletas!M527="Yingzhaoquan D",149,IF(Atletas!M527="Tongbeiquan D",150,IF(Atletas!M527="Wudangquan D",151,IF(Atletas!M527="Outros Estilos D",152,IF(Atletas!M527="Chaquan E",153,IF(Atletas!M527="Emeiquan E",154,IF(Atletas!M527="Fanziquan E",155,IF(Atletas!M527="Huaquan E",156,IF(Atletas!M527="Hongquan E",157,IF(Atletas!M527="Paoquan E",158,IF(Atletas!M527="Piguaquan E",159,IF(Atletas!M527="Shaolinquan E",160,IF(Atletas!M527="Tanglangquan E",161,IF(Atletas!M527="Yingzhaoquan E",162,IF(Atletas!M527="Tongbeiquan E",163,IF(Atletas!M527="Wudangquan E",164,IF(Atletas!M527="Outros Estilos E",165,IF(Atletas!M527="Chaquan F",166,IF(Atletas!M527="Emeiquan F",167,IF(Atletas!M527="Fanziquan F",168,IF(Atletas!M527="Huaquan F",169,IF(Atletas!M527="Hongquan F",170,IF(Atletas!M527="Paoquan F",171,IF(Atletas!M527="Piguaquan F",172,IF(Atletas!M527="Shaolinquan F",173,IF(Atletas!M527="Tanglangquan F",174,IF(Atletas!M527="Yingzhaoquan F",175,IF(Atletas!M527="Tongbeiquan F",176,IF(Atletas!M527="Wudangquan F",177,IF(Atletas!M527="Outros Estilos F",178,0))))))))))))))))))))))))))))))))))))))))))</f>
        <v/>
      </c>
      <c r="BU536" s="50" t="str">
        <f>IF(Atletas!N527="","",IF(Atletas!X527&lt;&gt;"",10000,0)+(IF(Atletas!B527="Feminino",1000,IF(Atletas!B527="Masculino",2000,""))+(IF(Atletas!N527="Ditangquan A",201,IF(Atletas!N527="Houquan A",202,IF(Atletas!N527="Zuiquan A",203,IF(Atletas!N527="Ditangquan B",204,IF(Atletas!N527="Houquan B",205,IF(Atletas!N527="Zuiquan B",206,IF(Atletas!N527="Ditangquan C",207,IF(Atletas!N527="Houquan C",208,IF(Atletas!N527="Zuiquan C",209,IF(Atletas!N527="Ditangquan D",210,IF(Atletas!N527="Houquan D",211,IF(Atletas!N527="Zuiquan D",212,IF(Atletas!N527="Ditangquan E",213,IF(Atletas!N527="Houquan E",214,IF(Atletas!N527="Zuiquan E",215,IF(Atletas!N527="Ditangquan F",216,IF(Atletas!N527="Houquan F",217,IF(Atletas!N527="Zuiquan F",218,"")))))))))))))))))))))</f>
        <v/>
      </c>
      <c r="BV536" s="50" t="str">
        <f>IF(Atletas!O527="","",IF(Atletas!X527&lt;&gt;"",10000,0)+IF(Atletas!B527="Feminino",1000,IF(Atletas!B527="Masculino",2000,""))+IF(Atletas!O527="Yang A",301,IF(Atletas!O527="Chen A",302,IF(Atletas!O527="Sun A",303,IF(Atletas!O527="Wu A",304,IF(Atletas!O527="Wu-Hao A",305,IF(Atletas!O527="Outro Taijiquan A",306,IF(Atletas!O527="Yang B",307,IF(Atletas!O527="Chen B",308,IF(Atletas!O527="Sun B",309,IF(Atletas!O527="Wu B",310,IF(Atletas!O527="Wu-Hao B",311,IF(Atletas!O527="Outro Taijiquan B",312,IF(Atletas!O527="Yang C",313,IF(Atletas!O527="Chen C",314,IF(Atletas!O527="Sun C",315,IF(Atletas!O527="Wu C",316,IF(Atletas!O527="Wu-Hao C",317,IF(Atletas!O527="Outro Taijiquan C",318,IF(Atletas!O527="Yang D",319,IF(Atletas!O527="Chen D",320,IF(Atletas!O527="Sun D",321,IF(Atletas!O527="Wu D",322,IF(Atletas!O527="Wu-Hao D",323,IF(Atletas!O527="Outro Taijiquan D",324,IF(Atletas!O527="Yang E",325,IF(Atletas!O527="Chen E",326,IF(Atletas!O527="Sun E",327,IF(Atletas!O527="Wu E",328,IF(Atletas!O527="Wu-Hao E",329,IF(Atletas!O527="Outro Taijiquan E",330,IF(Atletas!O527="Yang F",331,IF(Atletas!O527="Chen F",332,IF(Atletas!O527="Sun F",333,IF(Atletas!O527="Wu F",334,IF(Atletas!O527="Wu-Hao F",335,IF(Atletas!O527="Outro Taijiquan F",336,"")))))))))))))))))))))))))))))))))))))</f>
        <v/>
      </c>
      <c r="BW536" s="50" t="str">
        <f>IF(Atletas!P527="","",IF(Atletas!X527&lt;&gt;"",10000,0)+IF(Atletas!B527="Feminino",1000,IF(Atletas!B527="Masculino",2000,""))+IF(OR(Atletas!P527="Yang 26 A",Atletas!P527="Yang 40 A"),401,IF(OR(Atletas!P527="Chen 25 A",Atletas!P527="Chen 36 A",Atletas!P527="Chen 56 A"),402,IF(Atletas!P527="Sun 73 A",403,IF(Atletas!P527="Wu 45 A",404,IF(Atletas!P527="Wu-Hao 46 A",405,IF(OR(Atletas!P527="Taijiquan 16 A",Atletas!P527="Taijiquan 24 A",Atletas!P527="Taijiquan 32 A",Atletas!P527="Taijiquan 42 A"),406,IF(OR(Atletas!P527="Yang 26 B",Atletas!P527="Yang 40 B"),407,IF(OR(Atletas!P527="Chen 25 B",Atletas!P527="Chen 36 B",Atletas!P527="Chen 56 B"),408,IF(Atletas!P527="Sun 73 B",409,IF(Atletas!P527="Wu 45 B",410,IF(Atletas!P527="Wu-Hao 46 B",411,IF(OR(Atletas!P527="Taijiquan 16 B",Atletas!P527="Taijiquan 24 B",Atletas!P527="Taijiquan 32 B",Atletas!P527="Taijiquan 42 B"),412,IF(OR(Atletas!P527="Yang 26 C",Atletas!P527="Yang 40 C"),413,IF(OR(Atletas!P527="Chen 25 C",Atletas!P527="Chen 36 C",Atletas!P527="Chen 56 C"),414,IF(Atletas!P527="Sun 73 C",415,IF(Atletas!P527="Wu 45 C",416,IF(Atletas!P527="Wu-Hao 46 C",417,IF(OR(Atletas!P527="Taijiquan 16 C",Atletas!P527="Taijiquan 24 C",Atletas!P527="Taijiquan 32 C",Atletas!P527="Taijiquan 42 C"),418,0)))))))))))))))))))</f>
        <v/>
      </c>
      <c r="BX536" s="50" t="str">
        <f>IF(Atletas!P527="","",IF(Atletas!X527&lt;&gt;"",10000,0)+IF(Atletas!B527="Feminino",1000,IF(Atletas!B527="Masculino",2000,""))+IF(OR(Atletas!P527="Yang 26 D",Atletas!P527="Yang 40 D"),419,IF(OR(Atletas!P527="Chen 25 D",Atletas!P527="Chen 36 D",Atletas!P527="Chen 56 D"),420,IF(Atletas!P527="Sun 73 D",421,IF(Atletas!P527="Wu 45 D",422,IF(Atletas!P527="Wu-Hao 46 D",423,IF(OR(Atletas!P527="Taijiquan 16 D",Atletas!P527="Taijiquan 24 D",Atletas!P527="Taijiquan 32 D",Atletas!P527="Taijiquan 42 D"),424,IF(OR(Atletas!P527="Yang 26 E",Atletas!P527="Yang 40 E"),425,IF(OR(Atletas!P527="Chen 25 E",Atletas!P527="Chen 36 E",Atletas!P527="Chen 56 E"),426,IF(Atletas!P527="Sun 73 E",427,IF(Atletas!P527="Wu 45 E",428,IF(Atletas!P527="Wu-Hao 46 E",429,IF(OR(Atletas!P527="Taijiquan 16 E",Atletas!P527="Taijiquan 24 E",Atletas!P527="Taijiquan 32 E",Atletas!P527="Taijiquan 42 E"),430,IF(OR(Atletas!P527="Yang 26 F",Atletas!P527="Yang 40 F"),431,IF(OR(Atletas!P527="Chen 25 F",Atletas!P527="Chen 36 F",Atletas!P527="Chen 56 F"),432,IF(Atletas!P527="Sun 73 F",433,IF(Atletas!P527="Wu 45 F",434,IF(Atletas!P527="Wu-Hao 46 F",435,IF(OR(Atletas!P527="Taijiquan 16 F",Atletas!P527="Taijiquan 24 F",Atletas!P527="Taijiquan 32 F",Atletas!P527="Taijiquan 42 F"),436,0)))))))))))))))))))</f>
        <v/>
      </c>
      <c r="BY536" s="50" t="str">
        <f>IF(Atletas!Q527="","",IF(Atletas!X527&lt;&gt;"",10000,0)+IF(Atletas!B527="Feminino",1000,IF(Atletas!B527="Masculino",2000,""))+IF(Atletas!Q527="Xingyiquan A",501,IF(Atletas!Q527="Baguazhang A",502,IF(Atletas!Q527="Outro Estilo Interno A",503,IF(Atletas!Q527="Xingyiquan B",504,IF(Atletas!Q527="Baguazhang B",505,IF(Atletas!Q527="Outro Estilo Interno B",506,IF(Atletas!Q527="Xingyiquan C",507,IF(Atletas!Q527="Baguazhang C",508,IF(Atletas!Q527="Outro Estilo Interno C",509,IF(Atletas!Q527="Xingyiquan D",510,IF(Atletas!Q527="Baguazhang D",511,IF(Atletas!Q527="Outro Estilo Interno D",512,IF(Atletas!Q527="Xingyiquan E",513,IF(Atletas!Q527="Baguazhang E",514,IF(Atletas!Q527="Outro Estilo Interno E",515,IF(Atletas!Q527="Xingyiquan F",516,IF(Atletas!Q527="Baguazhang F",517,IF(Atletas!Q527="Outro Estilo Interno F",518, "")))))))))))))))))))</f>
        <v/>
      </c>
      <c r="BZ536" s="50" t="str">
        <f>IF(Atletas!R527="","",IF(Atletas!X527&lt;&gt;"",10000,0)+IF(Atletas!B527="Feminino",1000,IF(Atletas!B527="Masculino",2000,""))+IF(Atletas!R527="Dao A",601,IF(Atletas!R527="Jian A",602,IF(Atletas!R527="Bishou A",603,IF(Atletas!R527="Shanzi A",604,IF(Atletas!R527="Outra Arma Curta A",605,IF(Atletas!R527="Dao B",606,IF(Atletas!R527="Jian B",607,IF(Atletas!R527="Bishou B",608,IF(Atletas!R527="Shanzi B",609,IF(Atletas!R527="Outra Arma Curta B",610,IF(Atletas!R527="Dao C",611,IF(Atletas!R527="Jian C",612,IF(Atletas!R527="Bishou C",613,IF(Atletas!R527="Shanzi C",614,IF(Atletas!R527="Outra Arma Curta C",615,IF(Atletas!R527="Dao D",616,IF(Atletas!R527="Jian D",617,IF(Atletas!R527="Bishou D",618,IF(Atletas!R527="Shanzi D",619,IF(Atletas!R527="Outra Arma Curta D",620,IF(Atletas!R527="Dao E",621,IF(Atletas!R527="Jian E",622,IF(Atletas!R527="Bishou E",623,IF(Atletas!R527="Shanzi E",624,IF(Atletas!R527="Outra Arma Curta E",625,IF(Atletas!R527="Dao F",626,IF(Atletas!R527="Jian F",627,IF(Atletas!R527="Bishou F",628,IF(Atletas!R527="Shanzi F",629,IF(Atletas!R527="Outra Arma Curta F",630, "")))))))))))))))))))))))))))))))</f>
        <v/>
      </c>
      <c r="CA536" s="50" t="str">
        <f>IF(Atletas!S527="","",IF(Atletas!X527&lt;&gt;"",10000,0)+IF(Atletas!B527="Feminino",1000,IF(Atletas!B527="Masculino",2000,""))+IF(Atletas!S527="Gun A",701,IF(Atletas!S527="Qiang A",702,IF(Atletas!S527="Pudao / Guandao A",703,IF(Atletas!S527="Outra Arma Longa A",704,IF(Atletas!S527="Gun B",705,IF(Atletas!S527="Qiang B",706,IF(Atletas!S527="Pudao / Guandao B",707,IF(Atletas!S527="Outra Arma Longa B",708,IF(Atletas!S527="Gun C",709,IF(Atletas!S527="Qiang C",710,IF(Atletas!S527="Pudao / Guandao C",711,IF(Atletas!S527="Outra Arma Longa C",712,IF(Atletas!S527="Gun D",713,IF(Atletas!S527="Qiang D",714,IF(Atletas!S527="Pudao / Guandao D",715,IF(Atletas!S527="Outra Arma Longa D",716,IF(Atletas!S527="Gun E",717,IF(Atletas!S527="Qiang E",718,IF(Atletas!S527="Pudao / Guandao E",719,IF(Atletas!S527="Outra Arma Longa E",720,IF(Atletas!S527="Gun F",721,IF(Atletas!S527="Qiang F",722,IF(Atletas!S527="Pudao / Guandao F",723,IF(Atletas!S527="Outra Arma Longa F",724,"")))))))))))))))))))))))))</f>
        <v/>
      </c>
      <c r="CB536" s="50" t="str">
        <f>IF(Atletas!T527="","",IF(Atletas!X527&lt;&gt;"",10000,0)+IF(Atletas!B527="Feminino",1000,IF(Atletas!B527="Masculino",2000,""))+IF(Atletas!T527="Outra Arma Dupla A",801,IF(Atletas!T527="Arma Maleável A",802,IF(Atletas!T527="Outra Arma Dupla B",803,IF(Atletas!T527="Arma Maleável B",804,IF(Atletas!T527="Outra Arma Dupla C",805,IF(Atletas!T527="Arma Maleável C",806,IF(Atletas!T527="Outra Arma Dupla D",807,IF(Atletas!T527="Arma Maleável D",808,IF(Atletas!T527="Outra Arma Dupla E",809,IF(Atletas!T527="Arma Maleável E",810,IF(Atletas!T527="Outra Arma Dupla F",811,IF(Atletas!T527="Arma Maleável F",812,IF(Atletas!T527="Shuangdao A",813,IF(Atletas!T527="Shuangdao B",814,IF(Atletas!T527="Shuangdao C",815,IF(Atletas!T527="Shuangdao D",816,IF(Atletas!T527="Shuangdao E",817,IF(Atletas!T527="Shuangdao F",818,"")))))))))))))))))))</f>
        <v/>
      </c>
      <c r="CC536" s="50" t="str">
        <f>IF(Atletas!U527="","",IF(Atletas!X527&lt;&gt;"",10000,0)+IF(Atletas!B527="Feminino",1000,IF(Atletas!B527="Masculino",2000,""))+IF(OR(Atletas!U527="Taijijian Yang A",Atletas!U527="Taijijian Yang Standard A"),901,IF(OR(Atletas!U527="Taijijian Chen A", Atletas!U527="Taijijian Chen Standard A"),902,IF(Atletas!U527="Taijijian Sun A",903,IF(Atletas!U527="Taijijian Wu A",904,IF(Atletas!U527="Taijijian Wu-Hao A",905,IF(OR(Atletas!U527="Taijijian 32 A",Atletas!U527="Taijijian 42 A"),906,IF(OR(Atletas!U527="Taijijian Yang B",Atletas!U527="Taijijian Yang Standard B"),907,IF(OR(Atletas!U527="Taijijian Chen B", Atletas!U527="Taijijian Chen Standard B"),908,IF(Atletas!U527="Taijijian Sun B",909,IF(Atletas!U527="Taijijian Wu B",910,IF(Atletas!U527="Taijijian Wu-Hao B",911,IF(OR(Atletas!U527="Taijijian 32 B",Atletas!U527="Taijijian 42 B"),912,IF(OR(Atletas!U527="Taijijian Yang C",Atletas!U527="Taijijian Yang Standard C"),913,IF(OR(Atletas!U527="Taijijian Chen C", Atletas!U527="Taijijian Chen Standard C"),914,IF(Atletas!U527="Taijijian Sun C",915,IF(Atletas!U527="Taijijian Wu C",916,IF(Atletas!U527="Taijijian Wu-Hao C",917,IF(OR(Atletas!U527="Taijijian 32 C",Atletas!U527="Taijijian 42 C"),918,IF(OR(Atletas!U527="Taijijian Yang D",Atletas!U527="Taijijian Yang Standard D"),919,IF(OR(Atletas!U527="Taijijian Chen D", Atletas!U527="Taijijian Chen Standard D"),920,IF(Atletas!U527="Taijijian Sun D",921,IF(Atletas!U527="Taijijian Wu D",922,IF(Atletas!U527="Taijijian Wu-Hao D",923,IF(OR(Atletas!U527="Taijijian 32 D",Atletas!U527="Taijijian 42 D"),924,IF(OR(Atletas!U527="Taijijian Yang E",Atletas!U527="Taijijian Yang Standard E"),925,IF(OR(Atletas!U527="Taijijian Chen E", Atletas!U527="Taijijian Chen Standard E"),926,IF(Atletas!U527="Taijijian Sun E",927,IF(Atletas!U527="Taijijian Wu E",928,IF(Atletas!U527="Taijijian Wu-Hao E",929,IF(OR(Atletas!U527="Taijijian 32 E",Atletas!U527="Taijijian 42 E"),930,IF(OR(Atletas!U527="Taijijian Yang F",Atletas!U527="Taijijian Yang Standard F"),931,IF(OR(Atletas!U527="Taijijian Chen F", Atletas!U527="Taijijian Chen Standard F"),932,IF(Atletas!U527="Taijijian Sun F",933,IF(Atletas!U527="Taijijian Wu F",934,IF(Atletas!U527="Taijijian Wu-Hao F",935,IF(OR(Atletas!U527="Taijijian 32 F",Atletas!U527="Taijijian 42 F"),936,"")))))))))))))))))))))))))))))))))))))</f>
        <v/>
      </c>
      <c r="CD536" s="50" t="str">
        <f>IF(Atletas!V527="","",IF(Atletas!X527&lt;&gt;"",10000,0)+IF(Atletas!B527="Feminino",1000,IF(Atletas!B527="Masculino",2000,""))+IF(Atletas!V527="Taijidao A",937,IF(Atletas!V527="TaijiShanzi A",938,IF(Atletas!V527="Taijiqiang A",939,IF(Atletas!V527="Bagua de Arma A",940,IF(Atletas!V527="Xingyi de Arma A",941,IF(Atletas!V527="Taijidao B",942,IF(Atletas!V527="TaijiShanzi B",943,IF(Atletas!V527="Taijiqiang B",944,IF(Atletas!V527="Bagua de Arma B",945,IF(Atletas!V527="Xingyi de Arma B",946,IF(Atletas!V527="Taijidao C",947,IF(Atletas!V527="TaijiShanzi C",948,IF(Atletas!V527="Taijiqiang C",949,IF(Atletas!V527="Bagua de Arma C",950,IF(Atletas!V527="Xingyi de Arma C",951,IF(Atletas!V527="Taijidao D",952,IF(Atletas!V527="TaijiShanzi D",953,IF(Atletas!V527="Taijiqiang D",954,IF(Atletas!V527="Bagua de Arma D",955,IF(Atletas!V527="Xingyi de Arma D",956,IF(Atletas!V527="Taijidao E",957,IF(Atletas!V527="TaijiShanzi E",958,IF(Atletas!V527="Taijiqiang E",959,IF(Atletas!V527="Bagua de Arma E",960,IF(Atletas!V527="Xingyi de Arma E",961,IF(Atletas!V527="Taijidao F",962,IF(Atletas!V527="TaijiShanzi F",963,IF(Atletas!V527="Taijiqiang F",964,IF(Atletas!V527="Bagua de Arma F",965,IF(Atletas!V527="Xingyi de Arma F",966,"")))))))))))))))))))))))))))))))</f>
        <v/>
      </c>
      <c r="CM536" s="50" t="str">
        <f xml:space="preserve"> IF(Atletas!W527="","",IF(Atletas!W527="Duilian de Mãos BC - Equipe 1",1,IF(Atletas!W527="Duilian de Mãos BC - Equipe 2",2,IF(Atletas!W527="Duilian de Armas BC - Equipe 1",3,IF(Atletas!W527="Duilian de Armas BC - Equipe 2",4,IF(Atletas!W527="Duilian de Mãos DE - Equipe 1",5,IF(Atletas!W527="Duilian de Mãos DE - Equipe 2",6,IF(Atletas!W527="Duilian de Armas DE - Equipe 1",7,IF(Atletas!W527="Duilian de Armas DE - Equipe 2",8,IF(Atletas!W527="Duilian de Tuishou - Equipe 1",9,IF(Atletas!W527="Duilian de Tuishou - Equipe 2",10,IF(Atletas!W527="Grupo Externo ABC - Equipe 1",11,IF(Atletas!W527="Grupo Externo ABC - Equipe 2",12,IF(Atletas!W527="Grupo Interno ABC - Equipe 1",13,IF(Atletas!W527="Grupo Interno ABC - Equipe 2",14,IF(Atletas!W527="Grupo Externo DEF - Equipe 1",15,IF(Atletas!W527="Grupo Externo DEF - Equipe 2",16,IF(Atletas!W527="Grupo Interno DEF - Equipe 1",17,IF(Atletas!W527="Grupo Interno DEF - Equipe 2",18,"")))))))))))))))))))</f>
        <v/>
      </c>
    </row>
    <row r="537" spans="40:91">
      <c r="AN537" s="52" t="str">
        <f>IF(Atletas!D528="","",IF(Atletas!B528="Feminino",100,IF(Atletas!B528="Masculino",200,""))+(IF(Atletas!D528="Kids 30kg",1,IF(Atletas!D528="Kids 32kg",2, IF(Atletas!D528="Kids 34kg",3,IF(Atletas!D528="Kids 36kg",4,IF(Atletas!D528="Kids 39kg",5,IF(Atletas!D528="Kids 42kg",6,IF(Atletas!D528="Kids 45kg",7, IF(Atletas!D528="Infantil 39kg",8,IF(Atletas!D528="Infantil 42kg",9,IF(Atletas!D528="Infantil 45kg",10,IF(Atletas!D528="Infantil 48kg",11,IF(Atletas!D528="Infantil 52kg",12,IF(Atletas!D528="Infantil 56kg",13,IF(Atletas!D528="Infantil 60kg",14,IF(Atletas!D528="Juvenil 48kg",15,IF(Atletas!D528="Juvenil 52kg",16,IF(Atletas!D528="Juvenil 56kg",17,IF(Atletas!D528="Juvenil 60kg",18,IF(Atletas!D528="Juvenil 65kg",19,IF(Atletas!D528="Juvenil 70kg",20,IF(Atletas!D528="Juvenil 75kg",21,IF(Atletas!D528="Juvenil 80kg",22, IF(Atletas!D528="Juvenil 85kg",23,IF(Atletas!D528="Adulto 48kg",24,IF(Atletas!D528="Adulto 52kg",25,IF(Atletas!D528="Adulto 56kg",26,IF(Atletas!D528="Adulto 60kg",27,IF(Atletas!D528="Adulto 65kg",28,IF(Atletas!D528="Adulto 70kg",29,IF(Atletas!D528="Adulto 75kg",30,IF(Atletas!D528="Adulto 80kg",31,IF(Atletas!D528="Adulto 85kg",32,IF(Atletas!D528="Adulto 90kg",33,IF(Atletas!D528="Adulto 100kg",34, IF(Atletas!D528="Adulto +100kg",35,"")))))))))))))))))))))))))))))))))))))</f>
        <v/>
      </c>
      <c r="AS537" s="6" t="str">
        <f>IF(Atletas!E528="","",IF(Atletas!B528="Feminino",100,IF(Atletas!B528="Masculino",200,""))+(IF(Atletas!E528="Juvenil 44kg",1,IF(Atletas!E528="Juvenil 48kg",2,IF(Atletas!E528="Juvenil 52kg",3,IF(Atletas!E528="Juvenil 56kg",4,IF(Atletas!E528="Juvenil 60kg",5,IF(Atletas!E528="Juvenil 65kg",6,IF(Atletas!E528="Juvenil 70kg",7,IF(Atletas!E528="Juvenil 75kg",8,IF(Atletas!E528="Juvenil 82kg",9,IF(Atletas!E528="Juvenil 90kg",10,IF(Atletas!E528="Juvenil 100kg",11,IF(Atletas!E528="Adulto 48kg",12,IF(Atletas!E528="Adulto 52kg",13,IF(Atletas!E528="Adulto 56kg",14,IF(Atletas!E528="Adulto 60kg",15,IF(Atletas!E528="Adulto 65kg",16,IF(Atletas!E528="Adulto 70kg",17,IF(Atletas!E528="Adulto 75kg",18,IF(Atletas!E528="Adulto 82kg",19,IF(Atletas!E528="Adulto 90kg",20,IF(Atletas!E528="Adulto 100kg",21,IF(Atletas!E528="Adulto +100kg",22,""))))))))))))))))))))))))</f>
        <v/>
      </c>
      <c r="AX537" s="6" t="str">
        <f>IF(Atletas!F528="","",IF(Atletas!B528="Feminino",100,IF(Atletas!B528="Masculino",200,""))+(IF(Atletas!F528="Adulto 48kg",1,IF(Atletas!F528="Adulto 56kg",2,IF(Atletas!F528="Adulto 65kg",3,IF(Atletas!F528="Adulto 75kg",4,IF(Atletas!F528="Adulto +75kg",5,IF(Atletas!F528="Adulto 52kg",6,IF(Atletas!F528="Adulto 60kg",7,IF(Atletas!F528="Adulto 70kg",8,IF(Atletas!F528="Adulto 80kg",9,IF(Atletas!F528="Adulto 90kg",10,IF(Atletas!F528="Adulto +90kg",11,"")))))))))))))</f>
        <v/>
      </c>
      <c r="BC537" s="6" t="str">
        <f>IF(Atletas!G528="","",IF(Atletas!B528="Feminino",10,IF(Atletas!B528="Masculino",20,""))+(IF(Atletas!G528="Baduanjin A",1,IF(Atletas!G528="Baduanjin B",2))))</f>
        <v/>
      </c>
      <c r="BF537" s="52" t="str">
        <f>IF(Atletas!H528="","",IF(Atletas!B528="Feminino",100,IF(Atletas!B528="Masculino",200,""))+(IF(Atletas!H528="Changquan Mirim",1,IF(Atletas!H528="Nanquan Mirim",2,IF(Atletas!H528="Taijiquan Mirim",3,IF(Atletas!H528="Changquan Grupo C",4,IF(Atletas!H528="Nanquan Grupo C",5,IF(Atletas!H528="Taijiquan Grupo C",6,IF(Atletas!H528="Changquan Grupo B",7,IF(Atletas!H528="Nanquan Grupo B",8,IF(Atletas!H528="Taijiquan Grupo B",9,IF(Atletas!H528="Changquan Grupo A",10,IF(Atletas!H528="Nanquan Grupo A",11,IF(Atletas!H528="Taijiquan Grupo A",12,IF(Atletas!H528="Changquan Opcional",13,IF(Atletas!H528="Nanquan Opcional",14,IF(Atletas!H528="Taijiquan Opcional",15,IF(Atletas!H528="Changquan Adulto",16,IF(Atletas!H528="Nanquan Adulto",17,IF(Atletas!H528="Taijiquan Adulto",18,""))))))))))))))))))))</f>
        <v/>
      </c>
      <c r="BG537" s="52" t="str">
        <f>IF(Atletas!I528="","",IF(Atletas!B528="Feminino",100,IF(Atletas!B528="Masculino",200,""))+(IF(Atletas!I528="Daoshu Mirim",19,IF(Atletas!I528="Jianshu Mirim",20,IF(Atletas!I528="Nandao Mirim",21,IF(Atletas!I528="Taijijian Mirim",22,IF(Atletas!I528="Daoshu Grupo C",23,IF(Atletas!I528="Jianshu Grupo C",24,IF(Atletas!I528="Nandao Grupo C",25,IF(Atletas!I528="Taijijian Grupo C",26,IF(Atletas!I528="Daoshu Grupo B",27,IF(Atletas!I528="Jianshu Grupo B",28,IF(Atletas!I528="Nandao Grupo B",29,IF(Atletas!I528="Taijijian Grupo B",30,IF(Atletas!I528="Daoshu Grupo A",31,IF(Atletas!I528="Jianshu Grupo A",32,IF(Atletas!I528="Nandao Grupo A",33,IF(Atletas!I528="Taijijian Grupo A",34,IF(Atletas!I528="Daoshu Opcional",35,IF(Atletas!I528="Jianshu Opcional",36,IF(Atletas!I528="Nandao Opcional",37,IF(Atletas!I528="Taijijian Opcional",38,IF(Atletas!I528="Daoshu Adulto",39,IF(Atletas!I528="Jianshu Adulto",40,IF(Atletas!I528="Nandao Adulto",41,IF(Atletas!I528="Taijijian Adulto",42,""))))))))))))))))))))))))))</f>
        <v/>
      </c>
      <c r="BH537" s="52" t="str">
        <f>IF(Atletas!J528="","",IF(Atletas!B528="Feminino",100,IF(Atletas!B528="Masculino",200,""))+(IF(Atletas!J528="Gunshu Mirim",43,IF(Atletas!J528="Qiangshu Mirim",44,IF(Atletas!J528="Nangun Mirim",45,IF(Atletas!J528="Gunshu Grupo C",46,IF(Atletas!J528="Qiangshu Grupo C",47,IF(Atletas!J528="Nangun Grupo C",48,IF(Atletas!J528="Gunshu Grupo B",49,IF(Atletas!J528="Qiangshu Grupo B",50,IF(Atletas!J528="Nangun Grupo B",51,IF(Atletas!J528="Gunshu Grupo A",52,IF(Atletas!J528="Qiangshu Grupo A",53,IF(Atletas!J528="Nangun Grupo A",54,IF(Atletas!J528="Gunshu Opcional",55,IF(Atletas!J528="Qiangshu Opcional",56,IF(Atletas!J528="Nangun Opcional",57,IF(Atletas!J528="Gunshu Adulto",58,IF(Atletas!J528="Qiangshu Adulto",59,IF(Atletas!J528="Nangun Adulto",60,IF(Atletas!J528="Taijishan Grupo B",61,IF(Atletas!J528="Taijishan Grupo A",62,""))))))))))))))))))))))</f>
        <v/>
      </c>
      <c r="BM537" s="50" t="str">
        <f>IF(Atletas!K528="","",IF(Atletas!B528="Feminino",100,IF(Atletas!B528="Masculino",200,""))+(IF(Atletas!K528="Equipe 1 Grupo B",1,IF(Atletas!K528="Equipe 2 Grupo B",2,IF(Atletas!K528="Equipe 1 Grupo A",3,IF(Atletas!K528="Equipe 2 Grupo A",4,IF(Atletas!K528="Equipe 1 Adulto",5,IF(Atletas!K528="Equipe 2 Adulto",6,""))))))))</f>
        <v/>
      </c>
      <c r="BR537" s="50" t="str">
        <f>IF(Atletas!L528="","",IF(Atletas!X528&lt;&gt;"",10000,0)+(IF(Atletas!B528="Feminino",1000,IF(Atletas!B528="Masculino",2000,""))+IF(Atletas!L528="Choylayfut A",1,IF(Atletas!L528="Hunggar A",2,IF(Atletas!L528="Wuzuquan A",3,IF(Atletas!L528="Wingchun A",4,IF(Atletas!L528="Outra Mão de Sul A",5,IF(Atletas!L528="Choylayfut B",6,IF(Atletas!L528="Hunggar B",7,IF(Atletas!L528="Wuzuquan B",8,IF(Atletas!L528="Wingchun B",9,IF(Atletas!L528="Outra Mão de Sul B",10,IF(Atletas!L528="Choylayfut C",11,IF(Atletas!L528="Hunggar C",12,IF(Atletas!L528="Wuzuquan C",13,IF(Atletas!L528="Wingchun C",14,IF(Atletas!L528="Outra Mão de Sul C",15,IF(Atletas!L528="Choylayfut D",16,IF(Atletas!L528="Hunggar D",17,IF(Atletas!L528="Wuzuquan D",18,IF(Atletas!L528="Wingchun D",19,IF(Atletas!L528="Outra Mão de Sul D",20,IF(Atletas!L528="Choylayfut E",21,IF(Atletas!L528="Hunggar E",22,IF(Atletas!L528="Wuzuquan E",23,IF(Atletas!L528="Wingchun E",24,IF(Atletas!L528="Outra Mão de Sul E",25,IF(Atletas!L528="Choylayfut F",26,IF(Atletas!L528="Hunggar F",27,IF(Atletas!L528="Wuzuquan F",28,IF(Atletas!L528="Wingchun F",29,IF(Atletas!L528="Outra Mão de Sul F",30,IF(Atletas!L528="Dishuquan A",31,IF(Atletas!L528="Dishuquan B",32,IF(Atletas!L528="Dishuquan C",33,IF(Atletas!L528="Dishuquan D",34,IF(Atletas!L528="Dishuquan E",35,IF(Atletas!L528="Dishuquan F",36,""))))))))))))))))))))))))))))))))))))))</f>
        <v/>
      </c>
      <c r="BS537" s="50" t="str">
        <f>IF(Atletas!M528="","",IF(Atletas!X528&lt;&gt;"",10000,0)+(IF(Atletas!B528="Feminino",1000,IF(Atletas!B528="Masculino",2000,""))+(IF(Atletas!M528="Chaquan A",101,IF(Atletas!M528="Emeiquan A",102,IF(Atletas!M528="Fanziquan A",103,IF(Atletas!M528="Huaquan A",104,IF(Atletas!M528="Hongquan A",105,IF(Atletas!M528="Paoquan A",106,IF(Atletas!M528="Piguaquan A",107,IF(Atletas!M528="Shaolinquan A",108,IF(Atletas!M528="Tanglangquan A",109,IF(Atletas!M528="Yingzhaoquan A",110,IF(Atletas!M528="Tongbeiquan A",111,IF(Atletas!M528="Wudangquan A",112,IF(Atletas!M528="Outros Estilos A",113,IF(Atletas!M528="Chaquan B",114,IF(Atletas!M528="Emeiquan B",115,IF(Atletas!M528="Fanziquan B",116,IF(Atletas!M528="Huaquan B",117,IF(Atletas!M528="Hongquan B",118,IF(Atletas!M528="Paoquan B",119,IF(Atletas!M528="Piguaquan B",120,IF(Atletas!M528="Shaolinquan B",121,IF(Atletas!M528="Tanglangquan B",122,IF(Atletas!M528="Yingzhaoquan B",123,IF(Atletas!M528="Tongbeiquan B",124,IF(Atletas!M528="Wudangquan B",125,IF(Atletas!M528="Outros Estilos B",126,IF(Atletas!M528="Chaquan C",127,IF(Atletas!M528="Emeiquan C",128,IF(Atletas!M528="Fanziquan C",129,IF(Atletas!M528="Huaquan C",130,IF(Atletas!M528="Hongquan C",131,IF(Atletas!M528="Paoquan C",132,IF(Atletas!M528="Piguaquan C",133,IF(Atletas!M528="Shaolinquan C",134,IF(Atletas!M528="Tanglangquan C",135,IF(Atletas!M528="Yingzhaoquan C",136,IF(Atletas!M528="Tongbeiquan C",137,IF(Atletas!M528="Wudangquan C",138,IF(Atletas!M528="Outros Estilos C",139,0))))))))))))))))))))))))))))))))))))))))))</f>
        <v/>
      </c>
      <c r="BT537" s="50" t="str">
        <f>IF(Atletas!M528="","",IF(Atletas!X528&lt;&gt;"",10000,0)+(IF(Atletas!B528="Feminino",1000,IF(Atletas!B528="Masculino",2000,""))+(IF(Atletas!M528="Chaquan D",140,IF(Atletas!M528="Emeiquan D",141,IF(Atletas!M528="Fanziquan D",142,IF(Atletas!M528="Huaquan D",143,IF(Atletas!M528="Hongquan D",144,IF(Atletas!M528="Paoquan D",145,IF(Atletas!M528="Piguaquan D",146,IF(Atletas!M528="Shaolinquan D",147,IF(Atletas!M528="Tanglangquan D",148,IF(Atletas!M528="Yingzhaoquan D",149,IF(Atletas!M528="Tongbeiquan D",150,IF(Atletas!M528="Wudangquan D",151,IF(Atletas!M528="Outros Estilos D",152,IF(Atletas!M528="Chaquan E",153,IF(Atletas!M528="Emeiquan E",154,IF(Atletas!M528="Fanziquan E",155,IF(Atletas!M528="Huaquan E",156,IF(Atletas!M528="Hongquan E",157,IF(Atletas!M528="Paoquan E",158,IF(Atletas!M528="Piguaquan E",159,IF(Atletas!M528="Shaolinquan E",160,IF(Atletas!M528="Tanglangquan E",161,IF(Atletas!M528="Yingzhaoquan E",162,IF(Atletas!M528="Tongbeiquan E",163,IF(Atletas!M528="Wudangquan E",164,IF(Atletas!M528="Outros Estilos E",165,IF(Atletas!M528="Chaquan F",166,IF(Atletas!M528="Emeiquan F",167,IF(Atletas!M528="Fanziquan F",168,IF(Atletas!M528="Huaquan F",169,IF(Atletas!M528="Hongquan F",170,IF(Atletas!M528="Paoquan F",171,IF(Atletas!M528="Piguaquan F",172,IF(Atletas!M528="Shaolinquan F",173,IF(Atletas!M528="Tanglangquan F",174,IF(Atletas!M528="Yingzhaoquan F",175,IF(Atletas!M528="Tongbeiquan F",176,IF(Atletas!M528="Wudangquan F",177,IF(Atletas!M528="Outros Estilos F",178,0))))))))))))))))))))))))))))))))))))))))))</f>
        <v/>
      </c>
      <c r="BU537" s="50" t="str">
        <f>IF(Atletas!N528="","",IF(Atletas!X528&lt;&gt;"",10000,0)+(IF(Atletas!B528="Feminino",1000,IF(Atletas!B528="Masculino",2000,""))+(IF(Atletas!N528="Ditangquan A",201,IF(Atletas!N528="Houquan A",202,IF(Atletas!N528="Zuiquan A",203,IF(Atletas!N528="Ditangquan B",204,IF(Atletas!N528="Houquan B",205,IF(Atletas!N528="Zuiquan B",206,IF(Atletas!N528="Ditangquan C",207,IF(Atletas!N528="Houquan C",208,IF(Atletas!N528="Zuiquan C",209,IF(Atletas!N528="Ditangquan D",210,IF(Atletas!N528="Houquan D",211,IF(Atletas!N528="Zuiquan D",212,IF(Atletas!N528="Ditangquan E",213,IF(Atletas!N528="Houquan E",214,IF(Atletas!N528="Zuiquan E",215,IF(Atletas!N528="Ditangquan F",216,IF(Atletas!N528="Houquan F",217,IF(Atletas!N528="Zuiquan F",218,"")))))))))))))))))))))</f>
        <v/>
      </c>
      <c r="BV537" s="50" t="str">
        <f>IF(Atletas!O528="","",IF(Atletas!X528&lt;&gt;"",10000,0)+IF(Atletas!B528="Feminino",1000,IF(Atletas!B528="Masculino",2000,""))+IF(Atletas!O528="Yang A",301,IF(Atletas!O528="Chen A",302,IF(Atletas!O528="Sun A",303,IF(Atletas!O528="Wu A",304,IF(Atletas!O528="Wu-Hao A",305,IF(Atletas!O528="Outro Taijiquan A",306,IF(Atletas!O528="Yang B",307,IF(Atletas!O528="Chen B",308,IF(Atletas!O528="Sun B",309,IF(Atletas!O528="Wu B",310,IF(Atletas!O528="Wu-Hao B",311,IF(Atletas!O528="Outro Taijiquan B",312,IF(Atletas!O528="Yang C",313,IF(Atletas!O528="Chen C",314,IF(Atletas!O528="Sun C",315,IF(Atletas!O528="Wu C",316,IF(Atletas!O528="Wu-Hao C",317,IF(Atletas!O528="Outro Taijiquan C",318,IF(Atletas!O528="Yang D",319,IF(Atletas!O528="Chen D",320,IF(Atletas!O528="Sun D",321,IF(Atletas!O528="Wu D",322,IF(Atletas!O528="Wu-Hao D",323,IF(Atletas!O528="Outro Taijiquan D",324,IF(Atletas!O528="Yang E",325,IF(Atletas!O528="Chen E",326,IF(Atletas!O528="Sun E",327,IF(Atletas!O528="Wu E",328,IF(Atletas!O528="Wu-Hao E",329,IF(Atletas!O528="Outro Taijiquan E",330,IF(Atletas!O528="Yang F",331,IF(Atletas!O528="Chen F",332,IF(Atletas!O528="Sun F",333,IF(Atletas!O528="Wu F",334,IF(Atletas!O528="Wu-Hao F",335,IF(Atletas!O528="Outro Taijiquan F",336,"")))))))))))))))))))))))))))))))))))))</f>
        <v/>
      </c>
      <c r="BW537" s="50" t="str">
        <f>IF(Atletas!P528="","",IF(Atletas!X528&lt;&gt;"",10000,0)+IF(Atletas!B528="Feminino",1000,IF(Atletas!B528="Masculino",2000,""))+IF(OR(Atletas!P528="Yang 26 A",Atletas!P528="Yang 40 A"),401,IF(OR(Atletas!P528="Chen 25 A",Atletas!P528="Chen 36 A",Atletas!P528="Chen 56 A"),402,IF(Atletas!P528="Sun 73 A",403,IF(Atletas!P528="Wu 45 A",404,IF(Atletas!P528="Wu-Hao 46 A",405,IF(OR(Atletas!P528="Taijiquan 16 A",Atletas!P528="Taijiquan 24 A",Atletas!P528="Taijiquan 32 A",Atletas!P528="Taijiquan 42 A"),406,IF(OR(Atletas!P528="Yang 26 B",Atletas!P528="Yang 40 B"),407,IF(OR(Atletas!P528="Chen 25 B",Atletas!P528="Chen 36 B",Atletas!P528="Chen 56 B"),408,IF(Atletas!P528="Sun 73 B",409,IF(Atletas!P528="Wu 45 B",410,IF(Atletas!P528="Wu-Hao 46 B",411,IF(OR(Atletas!P528="Taijiquan 16 B",Atletas!P528="Taijiquan 24 B",Atletas!P528="Taijiquan 32 B",Atletas!P528="Taijiquan 42 B"),412,IF(OR(Atletas!P528="Yang 26 C",Atletas!P528="Yang 40 C"),413,IF(OR(Atletas!P528="Chen 25 C",Atletas!P528="Chen 36 C",Atletas!P528="Chen 56 C"),414,IF(Atletas!P528="Sun 73 C",415,IF(Atletas!P528="Wu 45 C",416,IF(Atletas!P528="Wu-Hao 46 C",417,IF(OR(Atletas!P528="Taijiquan 16 C",Atletas!P528="Taijiquan 24 C",Atletas!P528="Taijiquan 32 C",Atletas!P528="Taijiquan 42 C"),418,0)))))))))))))))))))</f>
        <v/>
      </c>
      <c r="BX537" s="50" t="str">
        <f>IF(Atletas!P528="","",IF(Atletas!X528&lt;&gt;"",10000,0)+IF(Atletas!B528="Feminino",1000,IF(Atletas!B528="Masculino",2000,""))+IF(OR(Atletas!P528="Yang 26 D",Atletas!P528="Yang 40 D"),419,IF(OR(Atletas!P528="Chen 25 D",Atletas!P528="Chen 36 D",Atletas!P528="Chen 56 D"),420,IF(Atletas!P528="Sun 73 D",421,IF(Atletas!P528="Wu 45 D",422,IF(Atletas!P528="Wu-Hao 46 D",423,IF(OR(Atletas!P528="Taijiquan 16 D",Atletas!P528="Taijiquan 24 D",Atletas!P528="Taijiquan 32 D",Atletas!P528="Taijiquan 42 D"),424,IF(OR(Atletas!P528="Yang 26 E",Atletas!P528="Yang 40 E"),425,IF(OR(Atletas!P528="Chen 25 E",Atletas!P528="Chen 36 E",Atletas!P528="Chen 56 E"),426,IF(Atletas!P528="Sun 73 E",427,IF(Atletas!P528="Wu 45 E",428,IF(Atletas!P528="Wu-Hao 46 E",429,IF(OR(Atletas!P528="Taijiquan 16 E",Atletas!P528="Taijiquan 24 E",Atletas!P528="Taijiquan 32 E",Atletas!P528="Taijiquan 42 E"),430,IF(OR(Atletas!P528="Yang 26 F",Atletas!P528="Yang 40 F"),431,IF(OR(Atletas!P528="Chen 25 F",Atletas!P528="Chen 36 F",Atletas!P528="Chen 56 F"),432,IF(Atletas!P528="Sun 73 F",433,IF(Atletas!P528="Wu 45 F",434,IF(Atletas!P528="Wu-Hao 46 F",435,IF(OR(Atletas!P528="Taijiquan 16 F",Atletas!P528="Taijiquan 24 F",Atletas!P528="Taijiquan 32 F",Atletas!P528="Taijiquan 42 F"),436,0)))))))))))))))))))</f>
        <v/>
      </c>
      <c r="BY537" s="50" t="str">
        <f>IF(Atletas!Q528="","",IF(Atletas!X528&lt;&gt;"",10000,0)+IF(Atletas!B528="Feminino",1000,IF(Atletas!B528="Masculino",2000,""))+IF(Atletas!Q528="Xingyiquan A",501,IF(Atletas!Q528="Baguazhang A",502,IF(Atletas!Q528="Outro Estilo Interno A",503,IF(Atletas!Q528="Xingyiquan B",504,IF(Atletas!Q528="Baguazhang B",505,IF(Atletas!Q528="Outro Estilo Interno B",506,IF(Atletas!Q528="Xingyiquan C",507,IF(Atletas!Q528="Baguazhang C",508,IF(Atletas!Q528="Outro Estilo Interno C",509,IF(Atletas!Q528="Xingyiquan D",510,IF(Atletas!Q528="Baguazhang D",511,IF(Atletas!Q528="Outro Estilo Interno D",512,IF(Atletas!Q528="Xingyiquan E",513,IF(Atletas!Q528="Baguazhang E",514,IF(Atletas!Q528="Outro Estilo Interno E",515,IF(Atletas!Q528="Xingyiquan F",516,IF(Atletas!Q528="Baguazhang F",517,IF(Atletas!Q528="Outro Estilo Interno F",518, "")))))))))))))))))))</f>
        <v/>
      </c>
      <c r="BZ537" s="50" t="str">
        <f>IF(Atletas!R528="","",IF(Atletas!X528&lt;&gt;"",10000,0)+IF(Atletas!B528="Feminino",1000,IF(Atletas!B528="Masculino",2000,""))+IF(Atletas!R528="Dao A",601,IF(Atletas!R528="Jian A",602,IF(Atletas!R528="Bishou A",603,IF(Atletas!R528="Shanzi A",604,IF(Atletas!R528="Outra Arma Curta A",605,IF(Atletas!R528="Dao B",606,IF(Atletas!R528="Jian B",607,IF(Atletas!R528="Bishou B",608,IF(Atletas!R528="Shanzi B",609,IF(Atletas!R528="Outra Arma Curta B",610,IF(Atletas!R528="Dao C",611,IF(Atletas!R528="Jian C",612,IF(Atletas!R528="Bishou C",613,IF(Atletas!R528="Shanzi C",614,IF(Atletas!R528="Outra Arma Curta C",615,IF(Atletas!R528="Dao D",616,IF(Atletas!R528="Jian D",617,IF(Atletas!R528="Bishou D",618,IF(Atletas!R528="Shanzi D",619,IF(Atletas!R528="Outra Arma Curta D",620,IF(Atletas!R528="Dao E",621,IF(Atletas!R528="Jian E",622,IF(Atletas!R528="Bishou E",623,IF(Atletas!R528="Shanzi E",624,IF(Atletas!R528="Outra Arma Curta E",625,IF(Atletas!R528="Dao F",626,IF(Atletas!R528="Jian F",627,IF(Atletas!R528="Bishou F",628,IF(Atletas!R528="Shanzi F",629,IF(Atletas!R528="Outra Arma Curta F",630, "")))))))))))))))))))))))))))))))</f>
        <v/>
      </c>
      <c r="CA537" s="50" t="str">
        <f>IF(Atletas!S528="","",IF(Atletas!X528&lt;&gt;"",10000,0)+IF(Atletas!B528="Feminino",1000,IF(Atletas!B528="Masculino",2000,""))+IF(Atletas!S528="Gun A",701,IF(Atletas!S528="Qiang A",702,IF(Atletas!S528="Pudao / Guandao A",703,IF(Atletas!S528="Outra Arma Longa A",704,IF(Atletas!S528="Gun B",705,IF(Atletas!S528="Qiang B",706,IF(Atletas!S528="Pudao / Guandao B",707,IF(Atletas!S528="Outra Arma Longa B",708,IF(Atletas!S528="Gun C",709,IF(Atletas!S528="Qiang C",710,IF(Atletas!S528="Pudao / Guandao C",711,IF(Atletas!S528="Outra Arma Longa C",712,IF(Atletas!S528="Gun D",713,IF(Atletas!S528="Qiang D",714,IF(Atletas!S528="Pudao / Guandao D",715,IF(Atletas!S528="Outra Arma Longa D",716,IF(Atletas!S528="Gun E",717,IF(Atletas!S528="Qiang E",718,IF(Atletas!S528="Pudao / Guandao E",719,IF(Atletas!S528="Outra Arma Longa E",720,IF(Atletas!S528="Gun F",721,IF(Atletas!S528="Qiang F",722,IF(Atletas!S528="Pudao / Guandao F",723,IF(Atletas!S528="Outra Arma Longa F",724,"")))))))))))))))))))))))))</f>
        <v/>
      </c>
      <c r="CB537" s="50" t="str">
        <f>IF(Atletas!T528="","",IF(Atletas!X528&lt;&gt;"",10000,0)+IF(Atletas!B528="Feminino",1000,IF(Atletas!B528="Masculino",2000,""))+IF(Atletas!T528="Outra Arma Dupla A",801,IF(Atletas!T528="Arma Maleável A",802,IF(Atletas!T528="Outra Arma Dupla B",803,IF(Atletas!T528="Arma Maleável B",804,IF(Atletas!T528="Outra Arma Dupla C",805,IF(Atletas!T528="Arma Maleável C",806,IF(Atletas!T528="Outra Arma Dupla D",807,IF(Atletas!T528="Arma Maleável D",808,IF(Atletas!T528="Outra Arma Dupla E",809,IF(Atletas!T528="Arma Maleável E",810,IF(Atletas!T528="Outra Arma Dupla F",811,IF(Atletas!T528="Arma Maleável F",812,IF(Atletas!T528="Shuangdao A",813,IF(Atletas!T528="Shuangdao B",814,IF(Atletas!T528="Shuangdao C",815,IF(Atletas!T528="Shuangdao D",816,IF(Atletas!T528="Shuangdao E",817,IF(Atletas!T528="Shuangdao F",818,"")))))))))))))))))))</f>
        <v/>
      </c>
      <c r="CC537" s="50" t="str">
        <f>IF(Atletas!U528="","",IF(Atletas!X528&lt;&gt;"",10000,0)+IF(Atletas!B528="Feminino",1000,IF(Atletas!B528="Masculino",2000,""))+IF(OR(Atletas!U528="Taijijian Yang A",Atletas!U528="Taijijian Yang Standard A"),901,IF(OR(Atletas!U528="Taijijian Chen A", Atletas!U528="Taijijian Chen Standard A"),902,IF(Atletas!U528="Taijijian Sun A",903,IF(Atletas!U528="Taijijian Wu A",904,IF(Atletas!U528="Taijijian Wu-Hao A",905,IF(OR(Atletas!U528="Taijijian 32 A",Atletas!U528="Taijijian 42 A"),906,IF(OR(Atletas!U528="Taijijian Yang B",Atletas!U528="Taijijian Yang Standard B"),907,IF(OR(Atletas!U528="Taijijian Chen B", Atletas!U528="Taijijian Chen Standard B"),908,IF(Atletas!U528="Taijijian Sun B",909,IF(Atletas!U528="Taijijian Wu B",910,IF(Atletas!U528="Taijijian Wu-Hao B",911,IF(OR(Atletas!U528="Taijijian 32 B",Atletas!U528="Taijijian 42 B"),912,IF(OR(Atletas!U528="Taijijian Yang C",Atletas!U528="Taijijian Yang Standard C"),913,IF(OR(Atletas!U528="Taijijian Chen C", Atletas!U528="Taijijian Chen Standard C"),914,IF(Atletas!U528="Taijijian Sun C",915,IF(Atletas!U528="Taijijian Wu C",916,IF(Atletas!U528="Taijijian Wu-Hao C",917,IF(OR(Atletas!U528="Taijijian 32 C",Atletas!U528="Taijijian 42 C"),918,IF(OR(Atletas!U528="Taijijian Yang D",Atletas!U528="Taijijian Yang Standard D"),919,IF(OR(Atletas!U528="Taijijian Chen D", Atletas!U528="Taijijian Chen Standard D"),920,IF(Atletas!U528="Taijijian Sun D",921,IF(Atletas!U528="Taijijian Wu D",922,IF(Atletas!U528="Taijijian Wu-Hao D",923,IF(OR(Atletas!U528="Taijijian 32 D",Atletas!U528="Taijijian 42 D"),924,IF(OR(Atletas!U528="Taijijian Yang E",Atletas!U528="Taijijian Yang Standard E"),925,IF(OR(Atletas!U528="Taijijian Chen E", Atletas!U528="Taijijian Chen Standard E"),926,IF(Atletas!U528="Taijijian Sun E",927,IF(Atletas!U528="Taijijian Wu E",928,IF(Atletas!U528="Taijijian Wu-Hao E",929,IF(OR(Atletas!U528="Taijijian 32 E",Atletas!U528="Taijijian 42 E"),930,IF(OR(Atletas!U528="Taijijian Yang F",Atletas!U528="Taijijian Yang Standard F"),931,IF(OR(Atletas!U528="Taijijian Chen F", Atletas!U528="Taijijian Chen Standard F"),932,IF(Atletas!U528="Taijijian Sun F",933,IF(Atletas!U528="Taijijian Wu F",934,IF(Atletas!U528="Taijijian Wu-Hao F",935,IF(OR(Atletas!U528="Taijijian 32 F",Atletas!U528="Taijijian 42 F"),936,"")))))))))))))))))))))))))))))))))))))</f>
        <v/>
      </c>
      <c r="CD537" s="50" t="str">
        <f>IF(Atletas!V528="","",IF(Atletas!X528&lt;&gt;"",10000,0)+IF(Atletas!B528="Feminino",1000,IF(Atletas!B528="Masculino",2000,""))+IF(Atletas!V528="Taijidao A",937,IF(Atletas!V528="TaijiShanzi A",938,IF(Atletas!V528="Taijiqiang A",939,IF(Atletas!V528="Bagua de Arma A",940,IF(Atletas!V528="Xingyi de Arma A",941,IF(Atletas!V528="Taijidao B",942,IF(Atletas!V528="TaijiShanzi B",943,IF(Atletas!V528="Taijiqiang B",944,IF(Atletas!V528="Bagua de Arma B",945,IF(Atletas!V528="Xingyi de Arma B",946,IF(Atletas!V528="Taijidao C",947,IF(Atletas!V528="TaijiShanzi C",948,IF(Atletas!V528="Taijiqiang C",949,IF(Atletas!V528="Bagua de Arma C",950,IF(Atletas!V528="Xingyi de Arma C",951,IF(Atletas!V528="Taijidao D",952,IF(Atletas!V528="TaijiShanzi D",953,IF(Atletas!V528="Taijiqiang D",954,IF(Atletas!V528="Bagua de Arma D",955,IF(Atletas!V528="Xingyi de Arma D",956,IF(Atletas!V528="Taijidao E",957,IF(Atletas!V528="TaijiShanzi E",958,IF(Atletas!V528="Taijiqiang E",959,IF(Atletas!V528="Bagua de Arma E",960,IF(Atletas!V528="Xingyi de Arma E",961,IF(Atletas!V528="Taijidao F",962,IF(Atletas!V528="TaijiShanzi F",963,IF(Atletas!V528="Taijiqiang F",964,IF(Atletas!V528="Bagua de Arma F",965,IF(Atletas!V528="Xingyi de Arma F",966,"")))))))))))))))))))))))))))))))</f>
        <v/>
      </c>
      <c r="CM537" s="50" t="str">
        <f xml:space="preserve"> IF(Atletas!W528="","",IF(Atletas!W528="Duilian de Mãos BC - Equipe 1",1,IF(Atletas!W528="Duilian de Mãos BC - Equipe 2",2,IF(Atletas!W528="Duilian de Armas BC - Equipe 1",3,IF(Atletas!W528="Duilian de Armas BC - Equipe 2",4,IF(Atletas!W528="Duilian de Mãos DE - Equipe 1",5,IF(Atletas!W528="Duilian de Mãos DE - Equipe 2",6,IF(Atletas!W528="Duilian de Armas DE - Equipe 1",7,IF(Atletas!W528="Duilian de Armas DE - Equipe 2",8,IF(Atletas!W528="Duilian de Tuishou - Equipe 1",9,IF(Atletas!W528="Duilian de Tuishou - Equipe 2",10,IF(Atletas!W528="Grupo Externo ABC - Equipe 1",11,IF(Atletas!W528="Grupo Externo ABC - Equipe 2",12,IF(Atletas!W528="Grupo Interno ABC - Equipe 1",13,IF(Atletas!W528="Grupo Interno ABC - Equipe 2",14,IF(Atletas!W528="Grupo Externo DEF - Equipe 1",15,IF(Atletas!W528="Grupo Externo DEF - Equipe 2",16,IF(Atletas!W528="Grupo Interno DEF - Equipe 1",17,IF(Atletas!W528="Grupo Interno DEF - Equipe 2",18,"")))))))))))))))))))</f>
        <v/>
      </c>
    </row>
    <row r="538" spans="40:91">
      <c r="AN538" s="52" t="str">
        <f>IF(Atletas!D529="","",IF(Atletas!B529="Feminino",100,IF(Atletas!B529="Masculino",200,""))+(IF(Atletas!D529="Kids 30kg",1,IF(Atletas!D529="Kids 32kg",2, IF(Atletas!D529="Kids 34kg",3,IF(Atletas!D529="Kids 36kg",4,IF(Atletas!D529="Kids 39kg",5,IF(Atletas!D529="Kids 42kg",6,IF(Atletas!D529="Kids 45kg",7, IF(Atletas!D529="Infantil 39kg",8,IF(Atletas!D529="Infantil 42kg",9,IF(Atletas!D529="Infantil 45kg",10,IF(Atletas!D529="Infantil 48kg",11,IF(Atletas!D529="Infantil 52kg",12,IF(Atletas!D529="Infantil 56kg",13,IF(Atletas!D529="Infantil 60kg",14,IF(Atletas!D529="Juvenil 48kg",15,IF(Atletas!D529="Juvenil 52kg",16,IF(Atletas!D529="Juvenil 56kg",17,IF(Atletas!D529="Juvenil 60kg",18,IF(Atletas!D529="Juvenil 65kg",19,IF(Atletas!D529="Juvenil 70kg",20,IF(Atletas!D529="Juvenil 75kg",21,IF(Atletas!D529="Juvenil 80kg",22, IF(Atletas!D529="Juvenil 85kg",23,IF(Atletas!D529="Adulto 48kg",24,IF(Atletas!D529="Adulto 52kg",25,IF(Atletas!D529="Adulto 56kg",26,IF(Atletas!D529="Adulto 60kg",27,IF(Atletas!D529="Adulto 65kg",28,IF(Atletas!D529="Adulto 70kg",29,IF(Atletas!D529="Adulto 75kg",30,IF(Atletas!D529="Adulto 80kg",31,IF(Atletas!D529="Adulto 85kg",32,IF(Atletas!D529="Adulto 90kg",33,IF(Atletas!D529="Adulto 100kg",34, IF(Atletas!D529="Adulto +100kg",35,"")))))))))))))))))))))))))))))))))))))</f>
        <v/>
      </c>
      <c r="AS538" s="6" t="str">
        <f>IF(Atletas!E529="","",IF(Atletas!B529="Feminino",100,IF(Atletas!B529="Masculino",200,""))+(IF(Atletas!E529="Juvenil 44kg",1,IF(Atletas!E529="Juvenil 48kg",2,IF(Atletas!E529="Juvenil 52kg",3,IF(Atletas!E529="Juvenil 56kg",4,IF(Atletas!E529="Juvenil 60kg",5,IF(Atletas!E529="Juvenil 65kg",6,IF(Atletas!E529="Juvenil 70kg",7,IF(Atletas!E529="Juvenil 75kg",8,IF(Atletas!E529="Juvenil 82kg",9,IF(Atletas!E529="Juvenil 90kg",10,IF(Atletas!E529="Juvenil 100kg",11,IF(Atletas!E529="Adulto 48kg",12,IF(Atletas!E529="Adulto 52kg",13,IF(Atletas!E529="Adulto 56kg",14,IF(Atletas!E529="Adulto 60kg",15,IF(Atletas!E529="Adulto 65kg",16,IF(Atletas!E529="Adulto 70kg",17,IF(Atletas!E529="Adulto 75kg",18,IF(Atletas!E529="Adulto 82kg",19,IF(Atletas!E529="Adulto 90kg",20,IF(Atletas!E529="Adulto 100kg",21,IF(Atletas!E529="Adulto +100kg",22,""))))))))))))))))))))))))</f>
        <v/>
      </c>
      <c r="AX538" s="6" t="str">
        <f>IF(Atletas!F529="","",IF(Atletas!B529="Feminino",100,IF(Atletas!B529="Masculino",200,""))+(IF(Atletas!F529="Adulto 48kg",1,IF(Atletas!F529="Adulto 56kg",2,IF(Atletas!F529="Adulto 65kg",3,IF(Atletas!F529="Adulto 75kg",4,IF(Atletas!F529="Adulto +75kg",5,IF(Atletas!F529="Adulto 52kg",6,IF(Atletas!F529="Adulto 60kg",7,IF(Atletas!F529="Adulto 70kg",8,IF(Atletas!F529="Adulto 80kg",9,IF(Atletas!F529="Adulto 90kg",10,IF(Atletas!F529="Adulto +90kg",11,"")))))))))))))</f>
        <v/>
      </c>
      <c r="BC538" s="6" t="str">
        <f>IF(Atletas!G529="","",IF(Atletas!B529="Feminino",10,IF(Atletas!B529="Masculino",20,""))+(IF(Atletas!G529="Baduanjin A",1,IF(Atletas!G529="Baduanjin B",2))))</f>
        <v/>
      </c>
      <c r="BF538" s="52" t="str">
        <f>IF(Atletas!H529="","",IF(Atletas!B529="Feminino",100,IF(Atletas!B529="Masculino",200,""))+(IF(Atletas!H529="Changquan Mirim",1,IF(Atletas!H529="Nanquan Mirim",2,IF(Atletas!H529="Taijiquan Mirim",3,IF(Atletas!H529="Changquan Grupo C",4,IF(Atletas!H529="Nanquan Grupo C",5,IF(Atletas!H529="Taijiquan Grupo C",6,IF(Atletas!H529="Changquan Grupo B",7,IF(Atletas!H529="Nanquan Grupo B",8,IF(Atletas!H529="Taijiquan Grupo B",9,IF(Atletas!H529="Changquan Grupo A",10,IF(Atletas!H529="Nanquan Grupo A",11,IF(Atletas!H529="Taijiquan Grupo A",12,IF(Atletas!H529="Changquan Opcional",13,IF(Atletas!H529="Nanquan Opcional",14,IF(Atletas!H529="Taijiquan Opcional",15,IF(Atletas!H529="Changquan Adulto",16,IF(Atletas!H529="Nanquan Adulto",17,IF(Atletas!H529="Taijiquan Adulto",18,""))))))))))))))))))))</f>
        <v/>
      </c>
      <c r="BG538" s="52" t="str">
        <f>IF(Atletas!I529="","",IF(Atletas!B529="Feminino",100,IF(Atletas!B529="Masculino",200,""))+(IF(Atletas!I529="Daoshu Mirim",19,IF(Atletas!I529="Jianshu Mirim",20,IF(Atletas!I529="Nandao Mirim",21,IF(Atletas!I529="Taijijian Mirim",22,IF(Atletas!I529="Daoshu Grupo C",23,IF(Atletas!I529="Jianshu Grupo C",24,IF(Atletas!I529="Nandao Grupo C",25,IF(Atletas!I529="Taijijian Grupo C",26,IF(Atletas!I529="Daoshu Grupo B",27,IF(Atletas!I529="Jianshu Grupo B",28,IF(Atletas!I529="Nandao Grupo B",29,IF(Atletas!I529="Taijijian Grupo B",30,IF(Atletas!I529="Daoshu Grupo A",31,IF(Atletas!I529="Jianshu Grupo A",32,IF(Atletas!I529="Nandao Grupo A",33,IF(Atletas!I529="Taijijian Grupo A",34,IF(Atletas!I529="Daoshu Opcional",35,IF(Atletas!I529="Jianshu Opcional",36,IF(Atletas!I529="Nandao Opcional",37,IF(Atletas!I529="Taijijian Opcional",38,IF(Atletas!I529="Daoshu Adulto",39,IF(Atletas!I529="Jianshu Adulto",40,IF(Atletas!I529="Nandao Adulto",41,IF(Atletas!I529="Taijijian Adulto",42,""))))))))))))))))))))))))))</f>
        <v/>
      </c>
      <c r="BH538" s="52" t="str">
        <f>IF(Atletas!J529="","",IF(Atletas!B529="Feminino",100,IF(Atletas!B529="Masculino",200,""))+(IF(Atletas!J529="Gunshu Mirim",43,IF(Atletas!J529="Qiangshu Mirim",44,IF(Atletas!J529="Nangun Mirim",45,IF(Atletas!J529="Gunshu Grupo C",46,IF(Atletas!J529="Qiangshu Grupo C",47,IF(Atletas!J529="Nangun Grupo C",48,IF(Atletas!J529="Gunshu Grupo B",49,IF(Atletas!J529="Qiangshu Grupo B",50,IF(Atletas!J529="Nangun Grupo B",51,IF(Atletas!J529="Gunshu Grupo A",52,IF(Atletas!J529="Qiangshu Grupo A",53,IF(Atletas!J529="Nangun Grupo A",54,IF(Atletas!J529="Gunshu Opcional",55,IF(Atletas!J529="Qiangshu Opcional",56,IF(Atletas!J529="Nangun Opcional",57,IF(Atletas!J529="Gunshu Adulto",58,IF(Atletas!J529="Qiangshu Adulto",59,IF(Atletas!J529="Nangun Adulto",60,IF(Atletas!J529="Taijishan Grupo B",61,IF(Atletas!J529="Taijishan Grupo A",62,""))))))))))))))))))))))</f>
        <v/>
      </c>
      <c r="BM538" s="50" t="str">
        <f>IF(Atletas!K529="","",IF(Atletas!B529="Feminino",100,IF(Atletas!B529="Masculino",200,""))+(IF(Atletas!K529="Equipe 1 Grupo B",1,IF(Atletas!K529="Equipe 2 Grupo B",2,IF(Atletas!K529="Equipe 1 Grupo A",3,IF(Atletas!K529="Equipe 2 Grupo A",4,IF(Atletas!K529="Equipe 1 Adulto",5,IF(Atletas!K529="Equipe 2 Adulto",6,""))))))))</f>
        <v/>
      </c>
      <c r="BR538" s="50" t="str">
        <f>IF(Atletas!L529="","",IF(Atletas!X529&lt;&gt;"",10000,0)+(IF(Atletas!B529="Feminino",1000,IF(Atletas!B529="Masculino",2000,""))+IF(Atletas!L529="Choylayfut A",1,IF(Atletas!L529="Hunggar A",2,IF(Atletas!L529="Wuzuquan A",3,IF(Atletas!L529="Wingchun A",4,IF(Atletas!L529="Outra Mão de Sul A",5,IF(Atletas!L529="Choylayfut B",6,IF(Atletas!L529="Hunggar B",7,IF(Atletas!L529="Wuzuquan B",8,IF(Atletas!L529="Wingchun B",9,IF(Atletas!L529="Outra Mão de Sul B",10,IF(Atletas!L529="Choylayfut C",11,IF(Atletas!L529="Hunggar C",12,IF(Atletas!L529="Wuzuquan C",13,IF(Atletas!L529="Wingchun C",14,IF(Atletas!L529="Outra Mão de Sul C",15,IF(Atletas!L529="Choylayfut D",16,IF(Atletas!L529="Hunggar D",17,IF(Atletas!L529="Wuzuquan D",18,IF(Atletas!L529="Wingchun D",19,IF(Atletas!L529="Outra Mão de Sul D",20,IF(Atletas!L529="Choylayfut E",21,IF(Atletas!L529="Hunggar E",22,IF(Atletas!L529="Wuzuquan E",23,IF(Atletas!L529="Wingchun E",24,IF(Atletas!L529="Outra Mão de Sul E",25,IF(Atletas!L529="Choylayfut F",26,IF(Atletas!L529="Hunggar F",27,IF(Atletas!L529="Wuzuquan F",28,IF(Atletas!L529="Wingchun F",29,IF(Atletas!L529="Outra Mão de Sul F",30,IF(Atletas!L529="Dishuquan A",31,IF(Atletas!L529="Dishuquan B",32,IF(Atletas!L529="Dishuquan C",33,IF(Atletas!L529="Dishuquan D",34,IF(Atletas!L529="Dishuquan E",35,IF(Atletas!L529="Dishuquan F",36,""))))))))))))))))))))))))))))))))))))))</f>
        <v/>
      </c>
      <c r="BS538" s="50" t="str">
        <f>IF(Atletas!M529="","",IF(Atletas!X529&lt;&gt;"",10000,0)+(IF(Atletas!B529="Feminino",1000,IF(Atletas!B529="Masculino",2000,""))+(IF(Atletas!M529="Chaquan A",101,IF(Atletas!M529="Emeiquan A",102,IF(Atletas!M529="Fanziquan A",103,IF(Atletas!M529="Huaquan A",104,IF(Atletas!M529="Hongquan A",105,IF(Atletas!M529="Paoquan A",106,IF(Atletas!M529="Piguaquan A",107,IF(Atletas!M529="Shaolinquan A",108,IF(Atletas!M529="Tanglangquan A",109,IF(Atletas!M529="Yingzhaoquan A",110,IF(Atletas!M529="Tongbeiquan A",111,IF(Atletas!M529="Wudangquan A",112,IF(Atletas!M529="Outros Estilos A",113,IF(Atletas!M529="Chaquan B",114,IF(Atletas!M529="Emeiquan B",115,IF(Atletas!M529="Fanziquan B",116,IF(Atletas!M529="Huaquan B",117,IF(Atletas!M529="Hongquan B",118,IF(Atletas!M529="Paoquan B",119,IF(Atletas!M529="Piguaquan B",120,IF(Atletas!M529="Shaolinquan B",121,IF(Atletas!M529="Tanglangquan B",122,IF(Atletas!M529="Yingzhaoquan B",123,IF(Atletas!M529="Tongbeiquan B",124,IF(Atletas!M529="Wudangquan B",125,IF(Atletas!M529="Outros Estilos B",126,IF(Atletas!M529="Chaquan C",127,IF(Atletas!M529="Emeiquan C",128,IF(Atletas!M529="Fanziquan C",129,IF(Atletas!M529="Huaquan C",130,IF(Atletas!M529="Hongquan C",131,IF(Atletas!M529="Paoquan C",132,IF(Atletas!M529="Piguaquan C",133,IF(Atletas!M529="Shaolinquan C",134,IF(Atletas!M529="Tanglangquan C",135,IF(Atletas!M529="Yingzhaoquan C",136,IF(Atletas!M529="Tongbeiquan C",137,IF(Atletas!M529="Wudangquan C",138,IF(Atletas!M529="Outros Estilos C",139,0))))))))))))))))))))))))))))))))))))))))))</f>
        <v/>
      </c>
      <c r="BT538" s="50" t="str">
        <f>IF(Atletas!M529="","",IF(Atletas!X529&lt;&gt;"",10000,0)+(IF(Atletas!B529="Feminino",1000,IF(Atletas!B529="Masculino",2000,""))+(IF(Atletas!M529="Chaquan D",140,IF(Atletas!M529="Emeiquan D",141,IF(Atletas!M529="Fanziquan D",142,IF(Atletas!M529="Huaquan D",143,IF(Atletas!M529="Hongquan D",144,IF(Atletas!M529="Paoquan D",145,IF(Atletas!M529="Piguaquan D",146,IF(Atletas!M529="Shaolinquan D",147,IF(Atletas!M529="Tanglangquan D",148,IF(Atletas!M529="Yingzhaoquan D",149,IF(Atletas!M529="Tongbeiquan D",150,IF(Atletas!M529="Wudangquan D",151,IF(Atletas!M529="Outros Estilos D",152,IF(Atletas!M529="Chaquan E",153,IF(Atletas!M529="Emeiquan E",154,IF(Atletas!M529="Fanziquan E",155,IF(Atletas!M529="Huaquan E",156,IF(Atletas!M529="Hongquan E",157,IF(Atletas!M529="Paoquan E",158,IF(Atletas!M529="Piguaquan E",159,IF(Atletas!M529="Shaolinquan E",160,IF(Atletas!M529="Tanglangquan E",161,IF(Atletas!M529="Yingzhaoquan E",162,IF(Atletas!M529="Tongbeiquan E",163,IF(Atletas!M529="Wudangquan E",164,IF(Atletas!M529="Outros Estilos E",165,IF(Atletas!M529="Chaquan F",166,IF(Atletas!M529="Emeiquan F",167,IF(Atletas!M529="Fanziquan F",168,IF(Atletas!M529="Huaquan F",169,IF(Atletas!M529="Hongquan F",170,IF(Atletas!M529="Paoquan F",171,IF(Atletas!M529="Piguaquan F",172,IF(Atletas!M529="Shaolinquan F",173,IF(Atletas!M529="Tanglangquan F",174,IF(Atletas!M529="Yingzhaoquan F",175,IF(Atletas!M529="Tongbeiquan F",176,IF(Atletas!M529="Wudangquan F",177,IF(Atletas!M529="Outros Estilos F",178,0))))))))))))))))))))))))))))))))))))))))))</f>
        <v/>
      </c>
      <c r="BU538" s="50" t="str">
        <f>IF(Atletas!N529="","",IF(Atletas!X529&lt;&gt;"",10000,0)+(IF(Atletas!B529="Feminino",1000,IF(Atletas!B529="Masculino",2000,""))+(IF(Atletas!N529="Ditangquan A",201,IF(Atletas!N529="Houquan A",202,IF(Atletas!N529="Zuiquan A",203,IF(Atletas!N529="Ditangquan B",204,IF(Atletas!N529="Houquan B",205,IF(Atletas!N529="Zuiquan B",206,IF(Atletas!N529="Ditangquan C",207,IF(Atletas!N529="Houquan C",208,IF(Atletas!N529="Zuiquan C",209,IF(Atletas!N529="Ditangquan D",210,IF(Atletas!N529="Houquan D",211,IF(Atletas!N529="Zuiquan D",212,IF(Atletas!N529="Ditangquan E",213,IF(Atletas!N529="Houquan E",214,IF(Atletas!N529="Zuiquan E",215,IF(Atletas!N529="Ditangquan F",216,IF(Atletas!N529="Houquan F",217,IF(Atletas!N529="Zuiquan F",218,"")))))))))))))))))))))</f>
        <v/>
      </c>
      <c r="BV538" s="50" t="str">
        <f>IF(Atletas!O529="","",IF(Atletas!X529&lt;&gt;"",10000,0)+IF(Atletas!B529="Feminino",1000,IF(Atletas!B529="Masculino",2000,""))+IF(Atletas!O529="Yang A",301,IF(Atletas!O529="Chen A",302,IF(Atletas!O529="Sun A",303,IF(Atletas!O529="Wu A",304,IF(Atletas!O529="Wu-Hao A",305,IF(Atletas!O529="Outro Taijiquan A",306,IF(Atletas!O529="Yang B",307,IF(Atletas!O529="Chen B",308,IF(Atletas!O529="Sun B",309,IF(Atletas!O529="Wu B",310,IF(Atletas!O529="Wu-Hao B",311,IF(Atletas!O529="Outro Taijiquan B",312,IF(Atletas!O529="Yang C",313,IF(Atletas!O529="Chen C",314,IF(Atletas!O529="Sun C",315,IF(Atletas!O529="Wu C",316,IF(Atletas!O529="Wu-Hao C",317,IF(Atletas!O529="Outro Taijiquan C",318,IF(Atletas!O529="Yang D",319,IF(Atletas!O529="Chen D",320,IF(Atletas!O529="Sun D",321,IF(Atletas!O529="Wu D",322,IF(Atletas!O529="Wu-Hao D",323,IF(Atletas!O529="Outro Taijiquan D",324,IF(Atletas!O529="Yang E",325,IF(Atletas!O529="Chen E",326,IF(Atletas!O529="Sun E",327,IF(Atletas!O529="Wu E",328,IF(Atletas!O529="Wu-Hao E",329,IF(Atletas!O529="Outro Taijiquan E",330,IF(Atletas!O529="Yang F",331,IF(Atletas!O529="Chen F",332,IF(Atletas!O529="Sun F",333,IF(Atletas!O529="Wu F",334,IF(Atletas!O529="Wu-Hao F",335,IF(Atletas!O529="Outro Taijiquan F",336,"")))))))))))))))))))))))))))))))))))))</f>
        <v/>
      </c>
      <c r="BW538" s="50" t="str">
        <f>IF(Atletas!P529="","",IF(Atletas!X529&lt;&gt;"",10000,0)+IF(Atletas!B529="Feminino",1000,IF(Atletas!B529="Masculino",2000,""))+IF(OR(Atletas!P529="Yang 26 A",Atletas!P529="Yang 40 A"),401,IF(OR(Atletas!P529="Chen 25 A",Atletas!P529="Chen 36 A",Atletas!P529="Chen 56 A"),402,IF(Atletas!P529="Sun 73 A",403,IF(Atletas!P529="Wu 45 A",404,IF(Atletas!P529="Wu-Hao 46 A",405,IF(OR(Atletas!P529="Taijiquan 16 A",Atletas!P529="Taijiquan 24 A",Atletas!P529="Taijiquan 32 A",Atletas!P529="Taijiquan 42 A"),406,IF(OR(Atletas!P529="Yang 26 B",Atletas!P529="Yang 40 B"),407,IF(OR(Atletas!P529="Chen 25 B",Atletas!P529="Chen 36 B",Atletas!P529="Chen 56 B"),408,IF(Atletas!P529="Sun 73 B",409,IF(Atletas!P529="Wu 45 B",410,IF(Atletas!P529="Wu-Hao 46 B",411,IF(OR(Atletas!P529="Taijiquan 16 B",Atletas!P529="Taijiquan 24 B",Atletas!P529="Taijiquan 32 B",Atletas!P529="Taijiquan 42 B"),412,IF(OR(Atletas!P529="Yang 26 C",Atletas!P529="Yang 40 C"),413,IF(OR(Atletas!P529="Chen 25 C",Atletas!P529="Chen 36 C",Atletas!P529="Chen 56 C"),414,IF(Atletas!P529="Sun 73 C",415,IF(Atletas!P529="Wu 45 C",416,IF(Atletas!P529="Wu-Hao 46 C",417,IF(OR(Atletas!P529="Taijiquan 16 C",Atletas!P529="Taijiquan 24 C",Atletas!P529="Taijiquan 32 C",Atletas!P529="Taijiquan 42 C"),418,0)))))))))))))))))))</f>
        <v/>
      </c>
      <c r="BX538" s="50" t="str">
        <f>IF(Atletas!P529="","",IF(Atletas!X529&lt;&gt;"",10000,0)+IF(Atletas!B529="Feminino",1000,IF(Atletas!B529="Masculino",2000,""))+IF(OR(Atletas!P529="Yang 26 D",Atletas!P529="Yang 40 D"),419,IF(OR(Atletas!P529="Chen 25 D",Atletas!P529="Chen 36 D",Atletas!P529="Chen 56 D"),420,IF(Atletas!P529="Sun 73 D",421,IF(Atletas!P529="Wu 45 D",422,IF(Atletas!P529="Wu-Hao 46 D",423,IF(OR(Atletas!P529="Taijiquan 16 D",Atletas!P529="Taijiquan 24 D",Atletas!P529="Taijiquan 32 D",Atletas!P529="Taijiquan 42 D"),424,IF(OR(Atletas!P529="Yang 26 E",Atletas!P529="Yang 40 E"),425,IF(OR(Atletas!P529="Chen 25 E",Atletas!P529="Chen 36 E",Atletas!P529="Chen 56 E"),426,IF(Atletas!P529="Sun 73 E",427,IF(Atletas!P529="Wu 45 E",428,IF(Atletas!P529="Wu-Hao 46 E",429,IF(OR(Atletas!P529="Taijiquan 16 E",Atletas!P529="Taijiquan 24 E",Atletas!P529="Taijiquan 32 E",Atletas!P529="Taijiquan 42 E"),430,IF(OR(Atletas!P529="Yang 26 F",Atletas!P529="Yang 40 F"),431,IF(OR(Atletas!P529="Chen 25 F",Atletas!P529="Chen 36 F",Atletas!P529="Chen 56 F"),432,IF(Atletas!P529="Sun 73 F",433,IF(Atletas!P529="Wu 45 F",434,IF(Atletas!P529="Wu-Hao 46 F",435,IF(OR(Atletas!P529="Taijiquan 16 F",Atletas!P529="Taijiquan 24 F",Atletas!P529="Taijiquan 32 F",Atletas!P529="Taijiquan 42 F"),436,0)))))))))))))))))))</f>
        <v/>
      </c>
      <c r="BY538" s="50" t="str">
        <f>IF(Atletas!Q529="","",IF(Atletas!X529&lt;&gt;"",10000,0)+IF(Atletas!B529="Feminino",1000,IF(Atletas!B529="Masculino",2000,""))+IF(Atletas!Q529="Xingyiquan A",501,IF(Atletas!Q529="Baguazhang A",502,IF(Atletas!Q529="Outro Estilo Interno A",503,IF(Atletas!Q529="Xingyiquan B",504,IF(Atletas!Q529="Baguazhang B",505,IF(Atletas!Q529="Outro Estilo Interno B",506,IF(Atletas!Q529="Xingyiquan C",507,IF(Atletas!Q529="Baguazhang C",508,IF(Atletas!Q529="Outro Estilo Interno C",509,IF(Atletas!Q529="Xingyiquan D",510,IF(Atletas!Q529="Baguazhang D",511,IF(Atletas!Q529="Outro Estilo Interno D",512,IF(Atletas!Q529="Xingyiquan E",513,IF(Atletas!Q529="Baguazhang E",514,IF(Atletas!Q529="Outro Estilo Interno E",515,IF(Atletas!Q529="Xingyiquan F",516,IF(Atletas!Q529="Baguazhang F",517,IF(Atletas!Q529="Outro Estilo Interno F",518, "")))))))))))))))))))</f>
        <v/>
      </c>
      <c r="BZ538" s="50" t="str">
        <f>IF(Atletas!R529="","",IF(Atletas!X529&lt;&gt;"",10000,0)+IF(Atletas!B529="Feminino",1000,IF(Atletas!B529="Masculino",2000,""))+IF(Atletas!R529="Dao A",601,IF(Atletas!R529="Jian A",602,IF(Atletas!R529="Bishou A",603,IF(Atletas!R529="Shanzi A",604,IF(Atletas!R529="Outra Arma Curta A",605,IF(Atletas!R529="Dao B",606,IF(Atletas!R529="Jian B",607,IF(Atletas!R529="Bishou B",608,IF(Atletas!R529="Shanzi B",609,IF(Atletas!R529="Outra Arma Curta B",610,IF(Atletas!R529="Dao C",611,IF(Atletas!R529="Jian C",612,IF(Atletas!R529="Bishou C",613,IF(Atletas!R529="Shanzi C",614,IF(Atletas!R529="Outra Arma Curta C",615,IF(Atletas!R529="Dao D",616,IF(Atletas!R529="Jian D",617,IF(Atletas!R529="Bishou D",618,IF(Atletas!R529="Shanzi D",619,IF(Atletas!R529="Outra Arma Curta D",620,IF(Atletas!R529="Dao E",621,IF(Atletas!R529="Jian E",622,IF(Atletas!R529="Bishou E",623,IF(Atletas!R529="Shanzi E",624,IF(Atletas!R529="Outra Arma Curta E",625,IF(Atletas!R529="Dao F",626,IF(Atletas!R529="Jian F",627,IF(Atletas!R529="Bishou F",628,IF(Atletas!R529="Shanzi F",629,IF(Atletas!R529="Outra Arma Curta F",630, "")))))))))))))))))))))))))))))))</f>
        <v/>
      </c>
      <c r="CA538" s="50" t="str">
        <f>IF(Atletas!S529="","",IF(Atletas!X529&lt;&gt;"",10000,0)+IF(Atletas!B529="Feminino",1000,IF(Atletas!B529="Masculino",2000,""))+IF(Atletas!S529="Gun A",701,IF(Atletas!S529="Qiang A",702,IF(Atletas!S529="Pudao / Guandao A",703,IF(Atletas!S529="Outra Arma Longa A",704,IF(Atletas!S529="Gun B",705,IF(Atletas!S529="Qiang B",706,IF(Atletas!S529="Pudao / Guandao B",707,IF(Atletas!S529="Outra Arma Longa B",708,IF(Atletas!S529="Gun C",709,IF(Atletas!S529="Qiang C",710,IF(Atletas!S529="Pudao / Guandao C",711,IF(Atletas!S529="Outra Arma Longa C",712,IF(Atletas!S529="Gun D",713,IF(Atletas!S529="Qiang D",714,IF(Atletas!S529="Pudao / Guandao D",715,IF(Atletas!S529="Outra Arma Longa D",716,IF(Atletas!S529="Gun E",717,IF(Atletas!S529="Qiang E",718,IF(Atletas!S529="Pudao / Guandao E",719,IF(Atletas!S529="Outra Arma Longa E",720,IF(Atletas!S529="Gun F",721,IF(Atletas!S529="Qiang F",722,IF(Atletas!S529="Pudao / Guandao F",723,IF(Atletas!S529="Outra Arma Longa F",724,"")))))))))))))))))))))))))</f>
        <v/>
      </c>
      <c r="CB538" s="50" t="str">
        <f>IF(Atletas!T529="","",IF(Atletas!X529&lt;&gt;"",10000,0)+IF(Atletas!B529="Feminino",1000,IF(Atletas!B529="Masculino",2000,""))+IF(Atletas!T529="Outra Arma Dupla A",801,IF(Atletas!T529="Arma Maleável A",802,IF(Atletas!T529="Outra Arma Dupla B",803,IF(Atletas!T529="Arma Maleável B",804,IF(Atletas!T529="Outra Arma Dupla C",805,IF(Atletas!T529="Arma Maleável C",806,IF(Atletas!T529="Outra Arma Dupla D",807,IF(Atletas!T529="Arma Maleável D",808,IF(Atletas!T529="Outra Arma Dupla E",809,IF(Atletas!T529="Arma Maleável E",810,IF(Atletas!T529="Outra Arma Dupla F",811,IF(Atletas!T529="Arma Maleável F",812,IF(Atletas!T529="Shuangdao A",813,IF(Atletas!T529="Shuangdao B",814,IF(Atletas!T529="Shuangdao C",815,IF(Atletas!T529="Shuangdao D",816,IF(Atletas!T529="Shuangdao E",817,IF(Atletas!T529="Shuangdao F",818,"")))))))))))))))))))</f>
        <v/>
      </c>
      <c r="CC538" s="50" t="str">
        <f>IF(Atletas!U529="","",IF(Atletas!X529&lt;&gt;"",10000,0)+IF(Atletas!B529="Feminino",1000,IF(Atletas!B529="Masculino",2000,""))+IF(OR(Atletas!U529="Taijijian Yang A",Atletas!U529="Taijijian Yang Standard A"),901,IF(OR(Atletas!U529="Taijijian Chen A", Atletas!U529="Taijijian Chen Standard A"),902,IF(Atletas!U529="Taijijian Sun A",903,IF(Atletas!U529="Taijijian Wu A",904,IF(Atletas!U529="Taijijian Wu-Hao A",905,IF(OR(Atletas!U529="Taijijian 32 A",Atletas!U529="Taijijian 42 A"),906,IF(OR(Atletas!U529="Taijijian Yang B",Atletas!U529="Taijijian Yang Standard B"),907,IF(OR(Atletas!U529="Taijijian Chen B", Atletas!U529="Taijijian Chen Standard B"),908,IF(Atletas!U529="Taijijian Sun B",909,IF(Atletas!U529="Taijijian Wu B",910,IF(Atletas!U529="Taijijian Wu-Hao B",911,IF(OR(Atletas!U529="Taijijian 32 B",Atletas!U529="Taijijian 42 B"),912,IF(OR(Atletas!U529="Taijijian Yang C",Atletas!U529="Taijijian Yang Standard C"),913,IF(OR(Atletas!U529="Taijijian Chen C", Atletas!U529="Taijijian Chen Standard C"),914,IF(Atletas!U529="Taijijian Sun C",915,IF(Atletas!U529="Taijijian Wu C",916,IF(Atletas!U529="Taijijian Wu-Hao C",917,IF(OR(Atletas!U529="Taijijian 32 C",Atletas!U529="Taijijian 42 C"),918,IF(OR(Atletas!U529="Taijijian Yang D",Atletas!U529="Taijijian Yang Standard D"),919,IF(OR(Atletas!U529="Taijijian Chen D", Atletas!U529="Taijijian Chen Standard D"),920,IF(Atletas!U529="Taijijian Sun D",921,IF(Atletas!U529="Taijijian Wu D",922,IF(Atletas!U529="Taijijian Wu-Hao D",923,IF(OR(Atletas!U529="Taijijian 32 D",Atletas!U529="Taijijian 42 D"),924,IF(OR(Atletas!U529="Taijijian Yang E",Atletas!U529="Taijijian Yang Standard E"),925,IF(OR(Atletas!U529="Taijijian Chen E", Atletas!U529="Taijijian Chen Standard E"),926,IF(Atletas!U529="Taijijian Sun E",927,IF(Atletas!U529="Taijijian Wu E",928,IF(Atletas!U529="Taijijian Wu-Hao E",929,IF(OR(Atletas!U529="Taijijian 32 E",Atletas!U529="Taijijian 42 E"),930,IF(OR(Atletas!U529="Taijijian Yang F",Atletas!U529="Taijijian Yang Standard F"),931,IF(OR(Atletas!U529="Taijijian Chen F", Atletas!U529="Taijijian Chen Standard F"),932,IF(Atletas!U529="Taijijian Sun F",933,IF(Atletas!U529="Taijijian Wu F",934,IF(Atletas!U529="Taijijian Wu-Hao F",935,IF(OR(Atletas!U529="Taijijian 32 F",Atletas!U529="Taijijian 42 F"),936,"")))))))))))))))))))))))))))))))))))))</f>
        <v/>
      </c>
      <c r="CD538" s="50" t="str">
        <f>IF(Atletas!V529="","",IF(Atletas!X529&lt;&gt;"",10000,0)+IF(Atletas!B529="Feminino",1000,IF(Atletas!B529="Masculino",2000,""))+IF(Atletas!V529="Taijidao A",937,IF(Atletas!V529="TaijiShanzi A",938,IF(Atletas!V529="Taijiqiang A",939,IF(Atletas!V529="Bagua de Arma A",940,IF(Atletas!V529="Xingyi de Arma A",941,IF(Atletas!V529="Taijidao B",942,IF(Atletas!V529="TaijiShanzi B",943,IF(Atletas!V529="Taijiqiang B",944,IF(Atletas!V529="Bagua de Arma B",945,IF(Atletas!V529="Xingyi de Arma B",946,IF(Atletas!V529="Taijidao C",947,IF(Atletas!V529="TaijiShanzi C",948,IF(Atletas!V529="Taijiqiang C",949,IF(Atletas!V529="Bagua de Arma C",950,IF(Atletas!V529="Xingyi de Arma C",951,IF(Atletas!V529="Taijidao D",952,IF(Atletas!V529="TaijiShanzi D",953,IF(Atletas!V529="Taijiqiang D",954,IF(Atletas!V529="Bagua de Arma D",955,IF(Atletas!V529="Xingyi de Arma D",956,IF(Atletas!V529="Taijidao E",957,IF(Atletas!V529="TaijiShanzi E",958,IF(Atletas!V529="Taijiqiang E",959,IF(Atletas!V529="Bagua de Arma E",960,IF(Atletas!V529="Xingyi de Arma E",961,IF(Atletas!V529="Taijidao F",962,IF(Atletas!V529="TaijiShanzi F",963,IF(Atletas!V529="Taijiqiang F",964,IF(Atletas!V529="Bagua de Arma F",965,IF(Atletas!V529="Xingyi de Arma F",966,"")))))))))))))))))))))))))))))))</f>
        <v/>
      </c>
      <c r="CM538" s="50" t="str">
        <f xml:space="preserve"> IF(Atletas!W529="","",IF(Atletas!W529="Duilian de Mãos BC - Equipe 1",1,IF(Atletas!W529="Duilian de Mãos BC - Equipe 2",2,IF(Atletas!W529="Duilian de Armas BC - Equipe 1",3,IF(Atletas!W529="Duilian de Armas BC - Equipe 2",4,IF(Atletas!W529="Duilian de Mãos DE - Equipe 1",5,IF(Atletas!W529="Duilian de Mãos DE - Equipe 2",6,IF(Atletas!W529="Duilian de Armas DE - Equipe 1",7,IF(Atletas!W529="Duilian de Armas DE - Equipe 2",8,IF(Atletas!W529="Duilian de Tuishou - Equipe 1",9,IF(Atletas!W529="Duilian de Tuishou - Equipe 2",10,IF(Atletas!W529="Grupo Externo ABC - Equipe 1",11,IF(Atletas!W529="Grupo Externo ABC - Equipe 2",12,IF(Atletas!W529="Grupo Interno ABC - Equipe 1",13,IF(Atletas!W529="Grupo Interno ABC - Equipe 2",14,IF(Atletas!W529="Grupo Externo DEF - Equipe 1",15,IF(Atletas!W529="Grupo Externo DEF - Equipe 2",16,IF(Atletas!W529="Grupo Interno DEF - Equipe 1",17,IF(Atletas!W529="Grupo Interno DEF - Equipe 2",18,"")))))))))))))))))))</f>
        <v/>
      </c>
    </row>
    <row r="539" spans="40:91">
      <c r="AN539" s="52" t="str">
        <f>IF(Atletas!D530="","",IF(Atletas!B530="Feminino",100,IF(Atletas!B530="Masculino",200,""))+(IF(Atletas!D530="Kids 30kg",1,IF(Atletas!D530="Kids 32kg",2, IF(Atletas!D530="Kids 34kg",3,IF(Atletas!D530="Kids 36kg",4,IF(Atletas!D530="Kids 39kg",5,IF(Atletas!D530="Kids 42kg",6,IF(Atletas!D530="Kids 45kg",7, IF(Atletas!D530="Infantil 39kg",8,IF(Atletas!D530="Infantil 42kg",9,IF(Atletas!D530="Infantil 45kg",10,IF(Atletas!D530="Infantil 48kg",11,IF(Atletas!D530="Infantil 52kg",12,IF(Atletas!D530="Infantil 56kg",13,IF(Atletas!D530="Infantil 60kg",14,IF(Atletas!D530="Juvenil 48kg",15,IF(Atletas!D530="Juvenil 52kg",16,IF(Atletas!D530="Juvenil 56kg",17,IF(Atletas!D530="Juvenil 60kg",18,IF(Atletas!D530="Juvenil 65kg",19,IF(Atletas!D530="Juvenil 70kg",20,IF(Atletas!D530="Juvenil 75kg",21,IF(Atletas!D530="Juvenil 80kg",22, IF(Atletas!D530="Juvenil 85kg",23,IF(Atletas!D530="Adulto 48kg",24,IF(Atletas!D530="Adulto 52kg",25,IF(Atletas!D530="Adulto 56kg",26,IF(Atletas!D530="Adulto 60kg",27,IF(Atletas!D530="Adulto 65kg",28,IF(Atletas!D530="Adulto 70kg",29,IF(Atletas!D530="Adulto 75kg",30,IF(Atletas!D530="Adulto 80kg",31,IF(Atletas!D530="Adulto 85kg",32,IF(Atletas!D530="Adulto 90kg",33,IF(Atletas!D530="Adulto 100kg",34, IF(Atletas!D530="Adulto +100kg",35,"")))))))))))))))))))))))))))))))))))))</f>
        <v/>
      </c>
      <c r="AS539" s="6" t="str">
        <f>IF(Atletas!E530="","",IF(Atletas!B530="Feminino",100,IF(Atletas!B530="Masculino",200,""))+(IF(Atletas!E530="Juvenil 44kg",1,IF(Atletas!E530="Juvenil 48kg",2,IF(Atletas!E530="Juvenil 52kg",3,IF(Atletas!E530="Juvenil 56kg",4,IF(Atletas!E530="Juvenil 60kg",5,IF(Atletas!E530="Juvenil 65kg",6,IF(Atletas!E530="Juvenil 70kg",7,IF(Atletas!E530="Juvenil 75kg",8,IF(Atletas!E530="Juvenil 82kg",9,IF(Atletas!E530="Juvenil 90kg",10,IF(Atletas!E530="Juvenil 100kg",11,IF(Atletas!E530="Adulto 48kg",12,IF(Atletas!E530="Adulto 52kg",13,IF(Atletas!E530="Adulto 56kg",14,IF(Atletas!E530="Adulto 60kg",15,IF(Atletas!E530="Adulto 65kg",16,IF(Atletas!E530="Adulto 70kg",17,IF(Atletas!E530="Adulto 75kg",18,IF(Atletas!E530="Adulto 82kg",19,IF(Atletas!E530="Adulto 90kg",20,IF(Atletas!E530="Adulto 100kg",21,IF(Atletas!E530="Adulto +100kg",22,""))))))))))))))))))))))))</f>
        <v/>
      </c>
      <c r="AX539" s="6" t="str">
        <f>IF(Atletas!F530="","",IF(Atletas!B530="Feminino",100,IF(Atletas!B530="Masculino",200,""))+(IF(Atletas!F530="Adulto 48kg",1,IF(Atletas!F530="Adulto 56kg",2,IF(Atletas!F530="Adulto 65kg",3,IF(Atletas!F530="Adulto 75kg",4,IF(Atletas!F530="Adulto +75kg",5,IF(Atletas!F530="Adulto 52kg",6,IF(Atletas!F530="Adulto 60kg",7,IF(Atletas!F530="Adulto 70kg",8,IF(Atletas!F530="Adulto 80kg",9,IF(Atletas!F530="Adulto 90kg",10,IF(Atletas!F530="Adulto +90kg",11,"")))))))))))))</f>
        <v/>
      </c>
      <c r="BC539" s="6" t="str">
        <f>IF(Atletas!G530="","",IF(Atletas!B530="Feminino",10,IF(Atletas!B530="Masculino",20,""))+(IF(Atletas!G530="Baduanjin A",1,IF(Atletas!G530="Baduanjin B",2))))</f>
        <v/>
      </c>
      <c r="BF539" s="52" t="str">
        <f>IF(Atletas!H530="","",IF(Atletas!B530="Feminino",100,IF(Atletas!B530="Masculino",200,""))+(IF(Atletas!H530="Changquan Mirim",1,IF(Atletas!H530="Nanquan Mirim",2,IF(Atletas!H530="Taijiquan Mirim",3,IF(Atletas!H530="Changquan Grupo C",4,IF(Atletas!H530="Nanquan Grupo C",5,IF(Atletas!H530="Taijiquan Grupo C",6,IF(Atletas!H530="Changquan Grupo B",7,IF(Atletas!H530="Nanquan Grupo B",8,IF(Atletas!H530="Taijiquan Grupo B",9,IF(Atletas!H530="Changquan Grupo A",10,IF(Atletas!H530="Nanquan Grupo A",11,IF(Atletas!H530="Taijiquan Grupo A",12,IF(Atletas!H530="Changquan Opcional",13,IF(Atletas!H530="Nanquan Opcional",14,IF(Atletas!H530="Taijiquan Opcional",15,IF(Atletas!H530="Changquan Adulto",16,IF(Atletas!H530="Nanquan Adulto",17,IF(Atletas!H530="Taijiquan Adulto",18,""))))))))))))))))))))</f>
        <v/>
      </c>
      <c r="BG539" s="52" t="str">
        <f>IF(Atletas!I530="","",IF(Atletas!B530="Feminino",100,IF(Atletas!B530="Masculino",200,""))+(IF(Atletas!I530="Daoshu Mirim",19,IF(Atletas!I530="Jianshu Mirim",20,IF(Atletas!I530="Nandao Mirim",21,IF(Atletas!I530="Taijijian Mirim",22,IF(Atletas!I530="Daoshu Grupo C",23,IF(Atletas!I530="Jianshu Grupo C",24,IF(Atletas!I530="Nandao Grupo C",25,IF(Atletas!I530="Taijijian Grupo C",26,IF(Atletas!I530="Daoshu Grupo B",27,IF(Atletas!I530="Jianshu Grupo B",28,IF(Atletas!I530="Nandao Grupo B",29,IF(Atletas!I530="Taijijian Grupo B",30,IF(Atletas!I530="Daoshu Grupo A",31,IF(Atletas!I530="Jianshu Grupo A",32,IF(Atletas!I530="Nandao Grupo A",33,IF(Atletas!I530="Taijijian Grupo A",34,IF(Atletas!I530="Daoshu Opcional",35,IF(Atletas!I530="Jianshu Opcional",36,IF(Atletas!I530="Nandao Opcional",37,IF(Atletas!I530="Taijijian Opcional",38,IF(Atletas!I530="Daoshu Adulto",39,IF(Atletas!I530="Jianshu Adulto",40,IF(Atletas!I530="Nandao Adulto",41,IF(Atletas!I530="Taijijian Adulto",42,""))))))))))))))))))))))))))</f>
        <v/>
      </c>
      <c r="BH539" s="52" t="str">
        <f>IF(Atletas!J530="","",IF(Atletas!B530="Feminino",100,IF(Atletas!B530="Masculino",200,""))+(IF(Atletas!J530="Gunshu Mirim",43,IF(Atletas!J530="Qiangshu Mirim",44,IF(Atletas!J530="Nangun Mirim",45,IF(Atletas!J530="Gunshu Grupo C",46,IF(Atletas!J530="Qiangshu Grupo C",47,IF(Atletas!J530="Nangun Grupo C",48,IF(Atletas!J530="Gunshu Grupo B",49,IF(Atletas!J530="Qiangshu Grupo B",50,IF(Atletas!J530="Nangun Grupo B",51,IF(Atletas!J530="Gunshu Grupo A",52,IF(Atletas!J530="Qiangshu Grupo A",53,IF(Atletas!J530="Nangun Grupo A",54,IF(Atletas!J530="Gunshu Opcional",55,IF(Atletas!J530="Qiangshu Opcional",56,IF(Atletas!J530="Nangun Opcional",57,IF(Atletas!J530="Gunshu Adulto",58,IF(Atletas!J530="Qiangshu Adulto",59,IF(Atletas!J530="Nangun Adulto",60,IF(Atletas!J530="Taijishan Grupo B",61,IF(Atletas!J530="Taijishan Grupo A",62,""))))))))))))))))))))))</f>
        <v/>
      </c>
      <c r="BM539" s="50" t="str">
        <f>IF(Atletas!K530="","",IF(Atletas!B530="Feminino",100,IF(Atletas!B530="Masculino",200,""))+(IF(Atletas!K530="Equipe 1 Grupo B",1,IF(Atletas!K530="Equipe 2 Grupo B",2,IF(Atletas!K530="Equipe 1 Grupo A",3,IF(Atletas!K530="Equipe 2 Grupo A",4,IF(Atletas!K530="Equipe 1 Adulto",5,IF(Atletas!K530="Equipe 2 Adulto",6,""))))))))</f>
        <v/>
      </c>
      <c r="BR539" s="50" t="str">
        <f>IF(Atletas!L530="","",IF(Atletas!X530&lt;&gt;"",10000,0)+(IF(Atletas!B530="Feminino",1000,IF(Atletas!B530="Masculino",2000,""))+IF(Atletas!L530="Choylayfut A",1,IF(Atletas!L530="Hunggar A",2,IF(Atletas!L530="Wuzuquan A",3,IF(Atletas!L530="Wingchun A",4,IF(Atletas!L530="Outra Mão de Sul A",5,IF(Atletas!L530="Choylayfut B",6,IF(Atletas!L530="Hunggar B",7,IF(Atletas!L530="Wuzuquan B",8,IF(Atletas!L530="Wingchun B",9,IF(Atletas!L530="Outra Mão de Sul B",10,IF(Atletas!L530="Choylayfut C",11,IF(Atletas!L530="Hunggar C",12,IF(Atletas!L530="Wuzuquan C",13,IF(Atletas!L530="Wingchun C",14,IF(Atletas!L530="Outra Mão de Sul C",15,IF(Atletas!L530="Choylayfut D",16,IF(Atletas!L530="Hunggar D",17,IF(Atletas!L530="Wuzuquan D",18,IF(Atletas!L530="Wingchun D",19,IF(Atletas!L530="Outra Mão de Sul D",20,IF(Atletas!L530="Choylayfut E",21,IF(Atletas!L530="Hunggar E",22,IF(Atletas!L530="Wuzuquan E",23,IF(Atletas!L530="Wingchun E",24,IF(Atletas!L530="Outra Mão de Sul E",25,IF(Atletas!L530="Choylayfut F",26,IF(Atletas!L530="Hunggar F",27,IF(Atletas!L530="Wuzuquan F",28,IF(Atletas!L530="Wingchun F",29,IF(Atletas!L530="Outra Mão de Sul F",30,IF(Atletas!L530="Dishuquan A",31,IF(Atletas!L530="Dishuquan B",32,IF(Atletas!L530="Dishuquan C",33,IF(Atletas!L530="Dishuquan D",34,IF(Atletas!L530="Dishuquan E",35,IF(Atletas!L530="Dishuquan F",36,""))))))))))))))))))))))))))))))))))))))</f>
        <v/>
      </c>
      <c r="BS539" s="50" t="str">
        <f>IF(Atletas!M530="","",IF(Atletas!X530&lt;&gt;"",10000,0)+(IF(Atletas!B530="Feminino",1000,IF(Atletas!B530="Masculino",2000,""))+(IF(Atletas!M530="Chaquan A",101,IF(Atletas!M530="Emeiquan A",102,IF(Atletas!M530="Fanziquan A",103,IF(Atletas!M530="Huaquan A",104,IF(Atletas!M530="Hongquan A",105,IF(Atletas!M530="Paoquan A",106,IF(Atletas!M530="Piguaquan A",107,IF(Atletas!M530="Shaolinquan A",108,IF(Atletas!M530="Tanglangquan A",109,IF(Atletas!M530="Yingzhaoquan A",110,IF(Atletas!M530="Tongbeiquan A",111,IF(Atletas!M530="Wudangquan A",112,IF(Atletas!M530="Outros Estilos A",113,IF(Atletas!M530="Chaquan B",114,IF(Atletas!M530="Emeiquan B",115,IF(Atletas!M530="Fanziquan B",116,IF(Atletas!M530="Huaquan B",117,IF(Atletas!M530="Hongquan B",118,IF(Atletas!M530="Paoquan B",119,IF(Atletas!M530="Piguaquan B",120,IF(Atletas!M530="Shaolinquan B",121,IF(Atletas!M530="Tanglangquan B",122,IF(Atletas!M530="Yingzhaoquan B",123,IF(Atletas!M530="Tongbeiquan B",124,IF(Atletas!M530="Wudangquan B",125,IF(Atletas!M530="Outros Estilos B",126,IF(Atletas!M530="Chaquan C",127,IF(Atletas!M530="Emeiquan C",128,IF(Atletas!M530="Fanziquan C",129,IF(Atletas!M530="Huaquan C",130,IF(Atletas!M530="Hongquan C",131,IF(Atletas!M530="Paoquan C",132,IF(Atletas!M530="Piguaquan C",133,IF(Atletas!M530="Shaolinquan C",134,IF(Atletas!M530="Tanglangquan C",135,IF(Atletas!M530="Yingzhaoquan C",136,IF(Atletas!M530="Tongbeiquan C",137,IF(Atletas!M530="Wudangquan C",138,IF(Atletas!M530="Outros Estilos C",139,0))))))))))))))))))))))))))))))))))))))))))</f>
        <v/>
      </c>
      <c r="BT539" s="50" t="str">
        <f>IF(Atletas!M530="","",IF(Atletas!X530&lt;&gt;"",10000,0)+(IF(Atletas!B530="Feminino",1000,IF(Atletas!B530="Masculino",2000,""))+(IF(Atletas!M530="Chaquan D",140,IF(Atletas!M530="Emeiquan D",141,IF(Atletas!M530="Fanziquan D",142,IF(Atletas!M530="Huaquan D",143,IF(Atletas!M530="Hongquan D",144,IF(Atletas!M530="Paoquan D",145,IF(Atletas!M530="Piguaquan D",146,IF(Atletas!M530="Shaolinquan D",147,IF(Atletas!M530="Tanglangquan D",148,IF(Atletas!M530="Yingzhaoquan D",149,IF(Atletas!M530="Tongbeiquan D",150,IF(Atletas!M530="Wudangquan D",151,IF(Atletas!M530="Outros Estilos D",152,IF(Atletas!M530="Chaquan E",153,IF(Atletas!M530="Emeiquan E",154,IF(Atletas!M530="Fanziquan E",155,IF(Atletas!M530="Huaquan E",156,IF(Atletas!M530="Hongquan E",157,IF(Atletas!M530="Paoquan E",158,IF(Atletas!M530="Piguaquan E",159,IF(Atletas!M530="Shaolinquan E",160,IF(Atletas!M530="Tanglangquan E",161,IF(Atletas!M530="Yingzhaoquan E",162,IF(Atletas!M530="Tongbeiquan E",163,IF(Atletas!M530="Wudangquan E",164,IF(Atletas!M530="Outros Estilos E",165,IF(Atletas!M530="Chaquan F",166,IF(Atletas!M530="Emeiquan F",167,IF(Atletas!M530="Fanziquan F",168,IF(Atletas!M530="Huaquan F",169,IF(Atletas!M530="Hongquan F",170,IF(Atletas!M530="Paoquan F",171,IF(Atletas!M530="Piguaquan F",172,IF(Atletas!M530="Shaolinquan F",173,IF(Atletas!M530="Tanglangquan F",174,IF(Atletas!M530="Yingzhaoquan F",175,IF(Atletas!M530="Tongbeiquan F",176,IF(Atletas!M530="Wudangquan F",177,IF(Atletas!M530="Outros Estilos F",178,0))))))))))))))))))))))))))))))))))))))))))</f>
        <v/>
      </c>
      <c r="BU539" s="50" t="str">
        <f>IF(Atletas!N530="","",IF(Atletas!X530&lt;&gt;"",10000,0)+(IF(Atletas!B530="Feminino",1000,IF(Atletas!B530="Masculino",2000,""))+(IF(Atletas!N530="Ditangquan A",201,IF(Atletas!N530="Houquan A",202,IF(Atletas!N530="Zuiquan A",203,IF(Atletas!N530="Ditangquan B",204,IF(Atletas!N530="Houquan B",205,IF(Atletas!N530="Zuiquan B",206,IF(Atletas!N530="Ditangquan C",207,IF(Atletas!N530="Houquan C",208,IF(Atletas!N530="Zuiquan C",209,IF(Atletas!N530="Ditangquan D",210,IF(Atletas!N530="Houquan D",211,IF(Atletas!N530="Zuiquan D",212,IF(Atletas!N530="Ditangquan E",213,IF(Atletas!N530="Houquan E",214,IF(Atletas!N530="Zuiquan E",215,IF(Atletas!N530="Ditangquan F",216,IF(Atletas!N530="Houquan F",217,IF(Atletas!N530="Zuiquan F",218,"")))))))))))))))))))))</f>
        <v/>
      </c>
      <c r="BV539" s="50" t="str">
        <f>IF(Atletas!O530="","",IF(Atletas!X530&lt;&gt;"",10000,0)+IF(Atletas!B530="Feminino",1000,IF(Atletas!B530="Masculino",2000,""))+IF(Atletas!O530="Yang A",301,IF(Atletas!O530="Chen A",302,IF(Atletas!O530="Sun A",303,IF(Atletas!O530="Wu A",304,IF(Atletas!O530="Wu-Hao A",305,IF(Atletas!O530="Outro Taijiquan A",306,IF(Atletas!O530="Yang B",307,IF(Atletas!O530="Chen B",308,IF(Atletas!O530="Sun B",309,IF(Atletas!O530="Wu B",310,IF(Atletas!O530="Wu-Hao B",311,IF(Atletas!O530="Outro Taijiquan B",312,IF(Atletas!O530="Yang C",313,IF(Atletas!O530="Chen C",314,IF(Atletas!O530="Sun C",315,IF(Atletas!O530="Wu C",316,IF(Atletas!O530="Wu-Hao C",317,IF(Atletas!O530="Outro Taijiquan C",318,IF(Atletas!O530="Yang D",319,IF(Atletas!O530="Chen D",320,IF(Atletas!O530="Sun D",321,IF(Atletas!O530="Wu D",322,IF(Atletas!O530="Wu-Hao D",323,IF(Atletas!O530="Outro Taijiquan D",324,IF(Atletas!O530="Yang E",325,IF(Atletas!O530="Chen E",326,IF(Atletas!O530="Sun E",327,IF(Atletas!O530="Wu E",328,IF(Atletas!O530="Wu-Hao E",329,IF(Atletas!O530="Outro Taijiquan E",330,IF(Atletas!O530="Yang F",331,IF(Atletas!O530="Chen F",332,IF(Atletas!O530="Sun F",333,IF(Atletas!O530="Wu F",334,IF(Atletas!O530="Wu-Hao F",335,IF(Atletas!O530="Outro Taijiquan F",336,"")))))))))))))))))))))))))))))))))))))</f>
        <v/>
      </c>
      <c r="BW539" s="50" t="str">
        <f>IF(Atletas!P530="","",IF(Atletas!X530&lt;&gt;"",10000,0)+IF(Atletas!B530="Feminino",1000,IF(Atletas!B530="Masculino",2000,""))+IF(OR(Atletas!P530="Yang 26 A",Atletas!P530="Yang 40 A"),401,IF(OR(Atletas!P530="Chen 25 A",Atletas!P530="Chen 36 A",Atletas!P530="Chen 56 A"),402,IF(Atletas!P530="Sun 73 A",403,IF(Atletas!P530="Wu 45 A",404,IF(Atletas!P530="Wu-Hao 46 A",405,IF(OR(Atletas!P530="Taijiquan 16 A",Atletas!P530="Taijiquan 24 A",Atletas!P530="Taijiquan 32 A",Atletas!P530="Taijiquan 42 A"),406,IF(OR(Atletas!P530="Yang 26 B",Atletas!P530="Yang 40 B"),407,IF(OR(Atletas!P530="Chen 25 B",Atletas!P530="Chen 36 B",Atletas!P530="Chen 56 B"),408,IF(Atletas!P530="Sun 73 B",409,IF(Atletas!P530="Wu 45 B",410,IF(Atletas!P530="Wu-Hao 46 B",411,IF(OR(Atletas!P530="Taijiquan 16 B",Atletas!P530="Taijiquan 24 B",Atletas!P530="Taijiquan 32 B",Atletas!P530="Taijiquan 42 B"),412,IF(OR(Atletas!P530="Yang 26 C",Atletas!P530="Yang 40 C"),413,IF(OR(Atletas!P530="Chen 25 C",Atletas!P530="Chen 36 C",Atletas!P530="Chen 56 C"),414,IF(Atletas!P530="Sun 73 C",415,IF(Atletas!P530="Wu 45 C",416,IF(Atletas!P530="Wu-Hao 46 C",417,IF(OR(Atletas!P530="Taijiquan 16 C",Atletas!P530="Taijiquan 24 C",Atletas!P530="Taijiquan 32 C",Atletas!P530="Taijiquan 42 C"),418,0)))))))))))))))))))</f>
        <v/>
      </c>
      <c r="BX539" s="50" t="str">
        <f>IF(Atletas!P530="","",IF(Atletas!X530&lt;&gt;"",10000,0)+IF(Atletas!B530="Feminino",1000,IF(Atletas!B530="Masculino",2000,""))+IF(OR(Atletas!P530="Yang 26 D",Atletas!P530="Yang 40 D"),419,IF(OR(Atletas!P530="Chen 25 D",Atletas!P530="Chen 36 D",Atletas!P530="Chen 56 D"),420,IF(Atletas!P530="Sun 73 D",421,IF(Atletas!P530="Wu 45 D",422,IF(Atletas!P530="Wu-Hao 46 D",423,IF(OR(Atletas!P530="Taijiquan 16 D",Atletas!P530="Taijiquan 24 D",Atletas!P530="Taijiquan 32 D",Atletas!P530="Taijiquan 42 D"),424,IF(OR(Atletas!P530="Yang 26 E",Atletas!P530="Yang 40 E"),425,IF(OR(Atletas!P530="Chen 25 E",Atletas!P530="Chen 36 E",Atletas!P530="Chen 56 E"),426,IF(Atletas!P530="Sun 73 E",427,IF(Atletas!P530="Wu 45 E",428,IF(Atletas!P530="Wu-Hao 46 E",429,IF(OR(Atletas!P530="Taijiquan 16 E",Atletas!P530="Taijiquan 24 E",Atletas!P530="Taijiquan 32 E",Atletas!P530="Taijiquan 42 E"),430,IF(OR(Atletas!P530="Yang 26 F",Atletas!P530="Yang 40 F"),431,IF(OR(Atletas!P530="Chen 25 F",Atletas!P530="Chen 36 F",Atletas!P530="Chen 56 F"),432,IF(Atletas!P530="Sun 73 F",433,IF(Atletas!P530="Wu 45 F",434,IF(Atletas!P530="Wu-Hao 46 F",435,IF(OR(Atletas!P530="Taijiquan 16 F",Atletas!P530="Taijiquan 24 F",Atletas!P530="Taijiquan 32 F",Atletas!P530="Taijiquan 42 F"),436,0)))))))))))))))))))</f>
        <v/>
      </c>
      <c r="BY539" s="50" t="str">
        <f>IF(Atletas!Q530="","",IF(Atletas!X530&lt;&gt;"",10000,0)+IF(Atletas!B530="Feminino",1000,IF(Atletas!B530="Masculino",2000,""))+IF(Atletas!Q530="Xingyiquan A",501,IF(Atletas!Q530="Baguazhang A",502,IF(Atletas!Q530="Outro Estilo Interno A",503,IF(Atletas!Q530="Xingyiquan B",504,IF(Atletas!Q530="Baguazhang B",505,IF(Atletas!Q530="Outro Estilo Interno B",506,IF(Atletas!Q530="Xingyiquan C",507,IF(Atletas!Q530="Baguazhang C",508,IF(Atletas!Q530="Outro Estilo Interno C",509,IF(Atletas!Q530="Xingyiquan D",510,IF(Atletas!Q530="Baguazhang D",511,IF(Atletas!Q530="Outro Estilo Interno D",512,IF(Atletas!Q530="Xingyiquan E",513,IF(Atletas!Q530="Baguazhang E",514,IF(Atletas!Q530="Outro Estilo Interno E",515,IF(Atletas!Q530="Xingyiquan F",516,IF(Atletas!Q530="Baguazhang F",517,IF(Atletas!Q530="Outro Estilo Interno F",518, "")))))))))))))))))))</f>
        <v/>
      </c>
      <c r="BZ539" s="50" t="str">
        <f>IF(Atletas!R530="","",IF(Atletas!X530&lt;&gt;"",10000,0)+IF(Atletas!B530="Feminino",1000,IF(Atletas!B530="Masculino",2000,""))+IF(Atletas!R530="Dao A",601,IF(Atletas!R530="Jian A",602,IF(Atletas!R530="Bishou A",603,IF(Atletas!R530="Shanzi A",604,IF(Atletas!R530="Outra Arma Curta A",605,IF(Atletas!R530="Dao B",606,IF(Atletas!R530="Jian B",607,IF(Atletas!R530="Bishou B",608,IF(Atletas!R530="Shanzi B",609,IF(Atletas!R530="Outra Arma Curta B",610,IF(Atletas!R530="Dao C",611,IF(Atletas!R530="Jian C",612,IF(Atletas!R530="Bishou C",613,IF(Atletas!R530="Shanzi C",614,IF(Atletas!R530="Outra Arma Curta C",615,IF(Atletas!R530="Dao D",616,IF(Atletas!R530="Jian D",617,IF(Atletas!R530="Bishou D",618,IF(Atletas!R530="Shanzi D",619,IF(Atletas!R530="Outra Arma Curta D",620,IF(Atletas!R530="Dao E",621,IF(Atletas!R530="Jian E",622,IF(Atletas!R530="Bishou E",623,IF(Atletas!R530="Shanzi E",624,IF(Atletas!R530="Outra Arma Curta E",625,IF(Atletas!R530="Dao F",626,IF(Atletas!R530="Jian F",627,IF(Atletas!R530="Bishou F",628,IF(Atletas!R530="Shanzi F",629,IF(Atletas!R530="Outra Arma Curta F",630, "")))))))))))))))))))))))))))))))</f>
        <v/>
      </c>
      <c r="CA539" s="50" t="str">
        <f>IF(Atletas!S530="","",IF(Atletas!X530&lt;&gt;"",10000,0)+IF(Atletas!B530="Feminino",1000,IF(Atletas!B530="Masculino",2000,""))+IF(Atletas!S530="Gun A",701,IF(Atletas!S530="Qiang A",702,IF(Atletas!S530="Pudao / Guandao A",703,IF(Atletas!S530="Outra Arma Longa A",704,IF(Atletas!S530="Gun B",705,IF(Atletas!S530="Qiang B",706,IF(Atletas!S530="Pudao / Guandao B",707,IF(Atletas!S530="Outra Arma Longa B",708,IF(Atletas!S530="Gun C",709,IF(Atletas!S530="Qiang C",710,IF(Atletas!S530="Pudao / Guandao C",711,IF(Atletas!S530="Outra Arma Longa C",712,IF(Atletas!S530="Gun D",713,IF(Atletas!S530="Qiang D",714,IF(Atletas!S530="Pudao / Guandao D",715,IF(Atletas!S530="Outra Arma Longa D",716,IF(Atletas!S530="Gun E",717,IF(Atletas!S530="Qiang E",718,IF(Atletas!S530="Pudao / Guandao E",719,IF(Atletas!S530="Outra Arma Longa E",720,IF(Atletas!S530="Gun F",721,IF(Atletas!S530="Qiang F",722,IF(Atletas!S530="Pudao / Guandao F",723,IF(Atletas!S530="Outra Arma Longa F",724,"")))))))))))))))))))))))))</f>
        <v/>
      </c>
      <c r="CB539" s="50" t="str">
        <f>IF(Atletas!T530="","",IF(Atletas!X530&lt;&gt;"",10000,0)+IF(Atletas!B530="Feminino",1000,IF(Atletas!B530="Masculino",2000,""))+IF(Atletas!T530="Outra Arma Dupla A",801,IF(Atletas!T530="Arma Maleável A",802,IF(Atletas!T530="Outra Arma Dupla B",803,IF(Atletas!T530="Arma Maleável B",804,IF(Atletas!T530="Outra Arma Dupla C",805,IF(Atletas!T530="Arma Maleável C",806,IF(Atletas!T530="Outra Arma Dupla D",807,IF(Atletas!T530="Arma Maleável D",808,IF(Atletas!T530="Outra Arma Dupla E",809,IF(Atletas!T530="Arma Maleável E",810,IF(Atletas!T530="Outra Arma Dupla F",811,IF(Atletas!T530="Arma Maleável F",812,IF(Atletas!T530="Shuangdao A",813,IF(Atletas!T530="Shuangdao B",814,IF(Atletas!T530="Shuangdao C",815,IF(Atletas!T530="Shuangdao D",816,IF(Atletas!T530="Shuangdao E",817,IF(Atletas!T530="Shuangdao F",818,"")))))))))))))))))))</f>
        <v/>
      </c>
      <c r="CC539" s="50" t="str">
        <f>IF(Atletas!U530="","",IF(Atletas!X530&lt;&gt;"",10000,0)+IF(Atletas!B530="Feminino",1000,IF(Atletas!B530="Masculino",2000,""))+IF(OR(Atletas!U530="Taijijian Yang A",Atletas!U530="Taijijian Yang Standard A"),901,IF(OR(Atletas!U530="Taijijian Chen A", Atletas!U530="Taijijian Chen Standard A"),902,IF(Atletas!U530="Taijijian Sun A",903,IF(Atletas!U530="Taijijian Wu A",904,IF(Atletas!U530="Taijijian Wu-Hao A",905,IF(OR(Atletas!U530="Taijijian 32 A",Atletas!U530="Taijijian 42 A"),906,IF(OR(Atletas!U530="Taijijian Yang B",Atletas!U530="Taijijian Yang Standard B"),907,IF(OR(Atletas!U530="Taijijian Chen B", Atletas!U530="Taijijian Chen Standard B"),908,IF(Atletas!U530="Taijijian Sun B",909,IF(Atletas!U530="Taijijian Wu B",910,IF(Atletas!U530="Taijijian Wu-Hao B",911,IF(OR(Atletas!U530="Taijijian 32 B",Atletas!U530="Taijijian 42 B"),912,IF(OR(Atletas!U530="Taijijian Yang C",Atletas!U530="Taijijian Yang Standard C"),913,IF(OR(Atletas!U530="Taijijian Chen C", Atletas!U530="Taijijian Chen Standard C"),914,IF(Atletas!U530="Taijijian Sun C",915,IF(Atletas!U530="Taijijian Wu C",916,IF(Atletas!U530="Taijijian Wu-Hao C",917,IF(OR(Atletas!U530="Taijijian 32 C",Atletas!U530="Taijijian 42 C"),918,IF(OR(Atletas!U530="Taijijian Yang D",Atletas!U530="Taijijian Yang Standard D"),919,IF(OR(Atletas!U530="Taijijian Chen D", Atletas!U530="Taijijian Chen Standard D"),920,IF(Atletas!U530="Taijijian Sun D",921,IF(Atletas!U530="Taijijian Wu D",922,IF(Atletas!U530="Taijijian Wu-Hao D",923,IF(OR(Atletas!U530="Taijijian 32 D",Atletas!U530="Taijijian 42 D"),924,IF(OR(Atletas!U530="Taijijian Yang E",Atletas!U530="Taijijian Yang Standard E"),925,IF(OR(Atletas!U530="Taijijian Chen E", Atletas!U530="Taijijian Chen Standard E"),926,IF(Atletas!U530="Taijijian Sun E",927,IF(Atletas!U530="Taijijian Wu E",928,IF(Atletas!U530="Taijijian Wu-Hao E",929,IF(OR(Atletas!U530="Taijijian 32 E",Atletas!U530="Taijijian 42 E"),930,IF(OR(Atletas!U530="Taijijian Yang F",Atletas!U530="Taijijian Yang Standard F"),931,IF(OR(Atletas!U530="Taijijian Chen F", Atletas!U530="Taijijian Chen Standard F"),932,IF(Atletas!U530="Taijijian Sun F",933,IF(Atletas!U530="Taijijian Wu F",934,IF(Atletas!U530="Taijijian Wu-Hao F",935,IF(OR(Atletas!U530="Taijijian 32 F",Atletas!U530="Taijijian 42 F"),936,"")))))))))))))))))))))))))))))))))))))</f>
        <v/>
      </c>
      <c r="CD539" s="50" t="str">
        <f>IF(Atletas!V530="","",IF(Atletas!X530&lt;&gt;"",10000,0)+IF(Atletas!B530="Feminino",1000,IF(Atletas!B530="Masculino",2000,""))+IF(Atletas!V530="Taijidao A",937,IF(Atletas!V530="TaijiShanzi A",938,IF(Atletas!V530="Taijiqiang A",939,IF(Atletas!V530="Bagua de Arma A",940,IF(Atletas!V530="Xingyi de Arma A",941,IF(Atletas!V530="Taijidao B",942,IF(Atletas!V530="TaijiShanzi B",943,IF(Atletas!V530="Taijiqiang B",944,IF(Atletas!V530="Bagua de Arma B",945,IF(Atletas!V530="Xingyi de Arma B",946,IF(Atletas!V530="Taijidao C",947,IF(Atletas!V530="TaijiShanzi C",948,IF(Atletas!V530="Taijiqiang C",949,IF(Atletas!V530="Bagua de Arma C",950,IF(Atletas!V530="Xingyi de Arma C",951,IF(Atletas!V530="Taijidao D",952,IF(Atletas!V530="TaijiShanzi D",953,IF(Atletas!V530="Taijiqiang D",954,IF(Atletas!V530="Bagua de Arma D",955,IF(Atletas!V530="Xingyi de Arma D",956,IF(Atletas!V530="Taijidao E",957,IF(Atletas!V530="TaijiShanzi E",958,IF(Atletas!V530="Taijiqiang E",959,IF(Atletas!V530="Bagua de Arma E",960,IF(Atletas!V530="Xingyi de Arma E",961,IF(Atletas!V530="Taijidao F",962,IF(Atletas!V530="TaijiShanzi F",963,IF(Atletas!V530="Taijiqiang F",964,IF(Atletas!V530="Bagua de Arma F",965,IF(Atletas!V530="Xingyi de Arma F",966,"")))))))))))))))))))))))))))))))</f>
        <v/>
      </c>
      <c r="CM539" s="50" t="str">
        <f xml:space="preserve"> IF(Atletas!W530="","",IF(Atletas!W530="Duilian de Mãos BC - Equipe 1",1,IF(Atletas!W530="Duilian de Mãos BC - Equipe 2",2,IF(Atletas!W530="Duilian de Armas BC - Equipe 1",3,IF(Atletas!W530="Duilian de Armas BC - Equipe 2",4,IF(Atletas!W530="Duilian de Mãos DE - Equipe 1",5,IF(Atletas!W530="Duilian de Mãos DE - Equipe 2",6,IF(Atletas!W530="Duilian de Armas DE - Equipe 1",7,IF(Atletas!W530="Duilian de Armas DE - Equipe 2",8,IF(Atletas!W530="Duilian de Tuishou - Equipe 1",9,IF(Atletas!W530="Duilian de Tuishou - Equipe 2",10,IF(Atletas!W530="Grupo Externo ABC - Equipe 1",11,IF(Atletas!W530="Grupo Externo ABC - Equipe 2",12,IF(Atletas!W530="Grupo Interno ABC - Equipe 1",13,IF(Atletas!W530="Grupo Interno ABC - Equipe 2",14,IF(Atletas!W530="Grupo Externo DEF - Equipe 1",15,IF(Atletas!W530="Grupo Externo DEF - Equipe 2",16,IF(Atletas!W530="Grupo Interno DEF - Equipe 1",17,IF(Atletas!W530="Grupo Interno DEF - Equipe 2",18,"")))))))))))))))))))</f>
        <v/>
      </c>
    </row>
    <row r="540" spans="40:91">
      <c r="AN540" s="52" t="str">
        <f>IF(Atletas!D531="","",IF(Atletas!B531="Feminino",100,IF(Atletas!B531="Masculino",200,""))+(IF(Atletas!D531="Kids 30kg",1,IF(Atletas!D531="Kids 32kg",2, IF(Atletas!D531="Kids 34kg",3,IF(Atletas!D531="Kids 36kg",4,IF(Atletas!D531="Kids 39kg",5,IF(Atletas!D531="Kids 42kg",6,IF(Atletas!D531="Kids 45kg",7, IF(Atletas!D531="Infantil 39kg",8,IF(Atletas!D531="Infantil 42kg",9,IF(Atletas!D531="Infantil 45kg",10,IF(Atletas!D531="Infantil 48kg",11,IF(Atletas!D531="Infantil 52kg",12,IF(Atletas!D531="Infantil 56kg",13,IF(Atletas!D531="Infantil 60kg",14,IF(Atletas!D531="Juvenil 48kg",15,IF(Atletas!D531="Juvenil 52kg",16,IF(Atletas!D531="Juvenil 56kg",17,IF(Atletas!D531="Juvenil 60kg",18,IF(Atletas!D531="Juvenil 65kg",19,IF(Atletas!D531="Juvenil 70kg",20,IF(Atletas!D531="Juvenil 75kg",21,IF(Atletas!D531="Juvenil 80kg",22, IF(Atletas!D531="Juvenil 85kg",23,IF(Atletas!D531="Adulto 48kg",24,IF(Atletas!D531="Adulto 52kg",25,IF(Atletas!D531="Adulto 56kg",26,IF(Atletas!D531="Adulto 60kg",27,IF(Atletas!D531="Adulto 65kg",28,IF(Atletas!D531="Adulto 70kg",29,IF(Atletas!D531="Adulto 75kg",30,IF(Atletas!D531="Adulto 80kg",31,IF(Atletas!D531="Adulto 85kg",32,IF(Atletas!D531="Adulto 90kg",33,IF(Atletas!D531="Adulto 100kg",34, IF(Atletas!D531="Adulto +100kg",35,"")))))))))))))))))))))))))))))))))))))</f>
        <v/>
      </c>
      <c r="AS540" s="6" t="str">
        <f>IF(Atletas!E531="","",IF(Atletas!B531="Feminino",100,IF(Atletas!B531="Masculino",200,""))+(IF(Atletas!E531="Juvenil 44kg",1,IF(Atletas!E531="Juvenil 48kg",2,IF(Atletas!E531="Juvenil 52kg",3,IF(Atletas!E531="Juvenil 56kg",4,IF(Atletas!E531="Juvenil 60kg",5,IF(Atletas!E531="Juvenil 65kg",6,IF(Atletas!E531="Juvenil 70kg",7,IF(Atletas!E531="Juvenil 75kg",8,IF(Atletas!E531="Juvenil 82kg",9,IF(Atletas!E531="Juvenil 90kg",10,IF(Atletas!E531="Juvenil 100kg",11,IF(Atletas!E531="Adulto 48kg",12,IF(Atletas!E531="Adulto 52kg",13,IF(Atletas!E531="Adulto 56kg",14,IF(Atletas!E531="Adulto 60kg",15,IF(Atletas!E531="Adulto 65kg",16,IF(Atletas!E531="Adulto 70kg",17,IF(Atletas!E531="Adulto 75kg",18,IF(Atletas!E531="Adulto 82kg",19,IF(Atletas!E531="Adulto 90kg",20,IF(Atletas!E531="Adulto 100kg",21,IF(Atletas!E531="Adulto +100kg",22,""))))))))))))))))))))))))</f>
        <v/>
      </c>
      <c r="AX540" s="6" t="str">
        <f>IF(Atletas!F531="","",IF(Atletas!B531="Feminino",100,IF(Atletas!B531="Masculino",200,""))+(IF(Atletas!F531="Adulto 48kg",1,IF(Atletas!F531="Adulto 56kg",2,IF(Atletas!F531="Adulto 65kg",3,IF(Atletas!F531="Adulto 75kg",4,IF(Atletas!F531="Adulto +75kg",5,IF(Atletas!F531="Adulto 52kg",6,IF(Atletas!F531="Adulto 60kg",7,IF(Atletas!F531="Adulto 70kg",8,IF(Atletas!F531="Adulto 80kg",9,IF(Atletas!F531="Adulto 90kg",10,IF(Atletas!F531="Adulto +90kg",11,"")))))))))))))</f>
        <v/>
      </c>
      <c r="BC540" s="6" t="str">
        <f>IF(Atletas!G531="","",IF(Atletas!B531="Feminino",10,IF(Atletas!B531="Masculino",20,""))+(IF(Atletas!G531="Baduanjin A",1,IF(Atletas!G531="Baduanjin B",2))))</f>
        <v/>
      </c>
      <c r="BF540" s="52" t="str">
        <f>IF(Atletas!H531="","",IF(Atletas!B531="Feminino",100,IF(Atletas!B531="Masculino",200,""))+(IF(Atletas!H531="Changquan Mirim",1,IF(Atletas!H531="Nanquan Mirim",2,IF(Atletas!H531="Taijiquan Mirim",3,IF(Atletas!H531="Changquan Grupo C",4,IF(Atletas!H531="Nanquan Grupo C",5,IF(Atletas!H531="Taijiquan Grupo C",6,IF(Atletas!H531="Changquan Grupo B",7,IF(Atletas!H531="Nanquan Grupo B",8,IF(Atletas!H531="Taijiquan Grupo B",9,IF(Atletas!H531="Changquan Grupo A",10,IF(Atletas!H531="Nanquan Grupo A",11,IF(Atletas!H531="Taijiquan Grupo A",12,IF(Atletas!H531="Changquan Opcional",13,IF(Atletas!H531="Nanquan Opcional",14,IF(Atletas!H531="Taijiquan Opcional",15,IF(Atletas!H531="Changquan Adulto",16,IF(Atletas!H531="Nanquan Adulto",17,IF(Atletas!H531="Taijiquan Adulto",18,""))))))))))))))))))))</f>
        <v/>
      </c>
      <c r="BG540" s="52" t="str">
        <f>IF(Atletas!I531="","",IF(Atletas!B531="Feminino",100,IF(Atletas!B531="Masculino",200,""))+(IF(Atletas!I531="Daoshu Mirim",19,IF(Atletas!I531="Jianshu Mirim",20,IF(Atletas!I531="Nandao Mirim",21,IF(Atletas!I531="Taijijian Mirim",22,IF(Atletas!I531="Daoshu Grupo C",23,IF(Atletas!I531="Jianshu Grupo C",24,IF(Atletas!I531="Nandao Grupo C",25,IF(Atletas!I531="Taijijian Grupo C",26,IF(Atletas!I531="Daoshu Grupo B",27,IF(Atletas!I531="Jianshu Grupo B",28,IF(Atletas!I531="Nandao Grupo B",29,IF(Atletas!I531="Taijijian Grupo B",30,IF(Atletas!I531="Daoshu Grupo A",31,IF(Atletas!I531="Jianshu Grupo A",32,IF(Atletas!I531="Nandao Grupo A",33,IF(Atletas!I531="Taijijian Grupo A",34,IF(Atletas!I531="Daoshu Opcional",35,IF(Atletas!I531="Jianshu Opcional",36,IF(Atletas!I531="Nandao Opcional",37,IF(Atletas!I531="Taijijian Opcional",38,IF(Atletas!I531="Daoshu Adulto",39,IF(Atletas!I531="Jianshu Adulto",40,IF(Atletas!I531="Nandao Adulto",41,IF(Atletas!I531="Taijijian Adulto",42,""))))))))))))))))))))))))))</f>
        <v/>
      </c>
      <c r="BH540" s="52" t="str">
        <f>IF(Atletas!J531="","",IF(Atletas!B531="Feminino",100,IF(Atletas!B531="Masculino",200,""))+(IF(Atletas!J531="Gunshu Mirim",43,IF(Atletas!J531="Qiangshu Mirim",44,IF(Atletas!J531="Nangun Mirim",45,IF(Atletas!J531="Gunshu Grupo C",46,IF(Atletas!J531="Qiangshu Grupo C",47,IF(Atletas!J531="Nangun Grupo C",48,IF(Atletas!J531="Gunshu Grupo B",49,IF(Atletas!J531="Qiangshu Grupo B",50,IF(Atletas!J531="Nangun Grupo B",51,IF(Atletas!J531="Gunshu Grupo A",52,IF(Atletas!J531="Qiangshu Grupo A",53,IF(Atletas!J531="Nangun Grupo A",54,IF(Atletas!J531="Gunshu Opcional",55,IF(Atletas!J531="Qiangshu Opcional",56,IF(Atletas!J531="Nangun Opcional",57,IF(Atletas!J531="Gunshu Adulto",58,IF(Atletas!J531="Qiangshu Adulto",59,IF(Atletas!J531="Nangun Adulto",60,IF(Atletas!J531="Taijishan Grupo B",61,IF(Atletas!J531="Taijishan Grupo A",62,""))))))))))))))))))))))</f>
        <v/>
      </c>
      <c r="BM540" s="50" t="str">
        <f>IF(Atletas!K531="","",IF(Atletas!B531="Feminino",100,IF(Atletas!B531="Masculino",200,""))+(IF(Atletas!K531="Equipe 1 Grupo B",1,IF(Atletas!K531="Equipe 2 Grupo B",2,IF(Atletas!K531="Equipe 1 Grupo A",3,IF(Atletas!K531="Equipe 2 Grupo A",4,IF(Atletas!K531="Equipe 1 Adulto",5,IF(Atletas!K531="Equipe 2 Adulto",6,""))))))))</f>
        <v/>
      </c>
      <c r="BR540" s="50" t="str">
        <f>IF(Atletas!L531="","",IF(Atletas!X531&lt;&gt;"",10000,0)+(IF(Atletas!B531="Feminino",1000,IF(Atletas!B531="Masculino",2000,""))+IF(Atletas!L531="Choylayfut A",1,IF(Atletas!L531="Hunggar A",2,IF(Atletas!L531="Wuzuquan A",3,IF(Atletas!L531="Wingchun A",4,IF(Atletas!L531="Outra Mão de Sul A",5,IF(Atletas!L531="Choylayfut B",6,IF(Atletas!L531="Hunggar B",7,IF(Atletas!L531="Wuzuquan B",8,IF(Atletas!L531="Wingchun B",9,IF(Atletas!L531="Outra Mão de Sul B",10,IF(Atletas!L531="Choylayfut C",11,IF(Atletas!L531="Hunggar C",12,IF(Atletas!L531="Wuzuquan C",13,IF(Atletas!L531="Wingchun C",14,IF(Atletas!L531="Outra Mão de Sul C",15,IF(Atletas!L531="Choylayfut D",16,IF(Atletas!L531="Hunggar D",17,IF(Atletas!L531="Wuzuquan D",18,IF(Atletas!L531="Wingchun D",19,IF(Atletas!L531="Outra Mão de Sul D",20,IF(Atletas!L531="Choylayfut E",21,IF(Atletas!L531="Hunggar E",22,IF(Atletas!L531="Wuzuquan E",23,IF(Atletas!L531="Wingchun E",24,IF(Atletas!L531="Outra Mão de Sul E",25,IF(Atletas!L531="Choylayfut F",26,IF(Atletas!L531="Hunggar F",27,IF(Atletas!L531="Wuzuquan F",28,IF(Atletas!L531="Wingchun F",29,IF(Atletas!L531="Outra Mão de Sul F",30,IF(Atletas!L531="Dishuquan A",31,IF(Atletas!L531="Dishuquan B",32,IF(Atletas!L531="Dishuquan C",33,IF(Atletas!L531="Dishuquan D",34,IF(Atletas!L531="Dishuquan E",35,IF(Atletas!L531="Dishuquan F",36,""))))))))))))))))))))))))))))))))))))))</f>
        <v/>
      </c>
      <c r="BS540" s="50" t="str">
        <f>IF(Atletas!M531="","",IF(Atletas!X531&lt;&gt;"",10000,0)+(IF(Atletas!B531="Feminino",1000,IF(Atletas!B531="Masculino",2000,""))+(IF(Atletas!M531="Chaquan A",101,IF(Atletas!M531="Emeiquan A",102,IF(Atletas!M531="Fanziquan A",103,IF(Atletas!M531="Huaquan A",104,IF(Atletas!M531="Hongquan A",105,IF(Atletas!M531="Paoquan A",106,IF(Atletas!M531="Piguaquan A",107,IF(Atletas!M531="Shaolinquan A",108,IF(Atletas!M531="Tanglangquan A",109,IF(Atletas!M531="Yingzhaoquan A",110,IF(Atletas!M531="Tongbeiquan A",111,IF(Atletas!M531="Wudangquan A",112,IF(Atletas!M531="Outros Estilos A",113,IF(Atletas!M531="Chaquan B",114,IF(Atletas!M531="Emeiquan B",115,IF(Atletas!M531="Fanziquan B",116,IF(Atletas!M531="Huaquan B",117,IF(Atletas!M531="Hongquan B",118,IF(Atletas!M531="Paoquan B",119,IF(Atletas!M531="Piguaquan B",120,IF(Atletas!M531="Shaolinquan B",121,IF(Atletas!M531="Tanglangquan B",122,IF(Atletas!M531="Yingzhaoquan B",123,IF(Atletas!M531="Tongbeiquan B",124,IF(Atletas!M531="Wudangquan B",125,IF(Atletas!M531="Outros Estilos B",126,IF(Atletas!M531="Chaquan C",127,IF(Atletas!M531="Emeiquan C",128,IF(Atletas!M531="Fanziquan C",129,IF(Atletas!M531="Huaquan C",130,IF(Atletas!M531="Hongquan C",131,IF(Atletas!M531="Paoquan C",132,IF(Atletas!M531="Piguaquan C",133,IF(Atletas!M531="Shaolinquan C",134,IF(Atletas!M531="Tanglangquan C",135,IF(Atletas!M531="Yingzhaoquan C",136,IF(Atletas!M531="Tongbeiquan C",137,IF(Atletas!M531="Wudangquan C",138,IF(Atletas!M531="Outros Estilos C",139,0))))))))))))))))))))))))))))))))))))))))))</f>
        <v/>
      </c>
      <c r="BT540" s="50" t="str">
        <f>IF(Atletas!M531="","",IF(Atletas!X531&lt;&gt;"",10000,0)+(IF(Atletas!B531="Feminino",1000,IF(Atletas!B531="Masculino",2000,""))+(IF(Atletas!M531="Chaquan D",140,IF(Atletas!M531="Emeiquan D",141,IF(Atletas!M531="Fanziquan D",142,IF(Atletas!M531="Huaquan D",143,IF(Atletas!M531="Hongquan D",144,IF(Atletas!M531="Paoquan D",145,IF(Atletas!M531="Piguaquan D",146,IF(Atletas!M531="Shaolinquan D",147,IF(Atletas!M531="Tanglangquan D",148,IF(Atletas!M531="Yingzhaoquan D",149,IF(Atletas!M531="Tongbeiquan D",150,IF(Atletas!M531="Wudangquan D",151,IF(Atletas!M531="Outros Estilos D",152,IF(Atletas!M531="Chaquan E",153,IF(Atletas!M531="Emeiquan E",154,IF(Atletas!M531="Fanziquan E",155,IF(Atletas!M531="Huaquan E",156,IF(Atletas!M531="Hongquan E",157,IF(Atletas!M531="Paoquan E",158,IF(Atletas!M531="Piguaquan E",159,IF(Atletas!M531="Shaolinquan E",160,IF(Atletas!M531="Tanglangquan E",161,IF(Atletas!M531="Yingzhaoquan E",162,IF(Atletas!M531="Tongbeiquan E",163,IF(Atletas!M531="Wudangquan E",164,IF(Atletas!M531="Outros Estilos E",165,IF(Atletas!M531="Chaquan F",166,IF(Atletas!M531="Emeiquan F",167,IF(Atletas!M531="Fanziquan F",168,IF(Atletas!M531="Huaquan F",169,IF(Atletas!M531="Hongquan F",170,IF(Atletas!M531="Paoquan F",171,IF(Atletas!M531="Piguaquan F",172,IF(Atletas!M531="Shaolinquan F",173,IF(Atletas!M531="Tanglangquan F",174,IF(Atletas!M531="Yingzhaoquan F",175,IF(Atletas!M531="Tongbeiquan F",176,IF(Atletas!M531="Wudangquan F",177,IF(Atletas!M531="Outros Estilos F",178,0))))))))))))))))))))))))))))))))))))))))))</f>
        <v/>
      </c>
      <c r="BU540" s="50" t="str">
        <f>IF(Atletas!N531="","",IF(Atletas!X531&lt;&gt;"",10000,0)+(IF(Atletas!B531="Feminino",1000,IF(Atletas!B531="Masculino",2000,""))+(IF(Atletas!N531="Ditangquan A",201,IF(Atletas!N531="Houquan A",202,IF(Atletas!N531="Zuiquan A",203,IF(Atletas!N531="Ditangquan B",204,IF(Atletas!N531="Houquan B",205,IF(Atletas!N531="Zuiquan B",206,IF(Atletas!N531="Ditangquan C",207,IF(Atletas!N531="Houquan C",208,IF(Atletas!N531="Zuiquan C",209,IF(Atletas!N531="Ditangquan D",210,IF(Atletas!N531="Houquan D",211,IF(Atletas!N531="Zuiquan D",212,IF(Atletas!N531="Ditangquan E",213,IF(Atletas!N531="Houquan E",214,IF(Atletas!N531="Zuiquan E",215,IF(Atletas!N531="Ditangquan F",216,IF(Atletas!N531="Houquan F",217,IF(Atletas!N531="Zuiquan F",218,"")))))))))))))))))))))</f>
        <v/>
      </c>
      <c r="BV540" s="50" t="str">
        <f>IF(Atletas!O531="","",IF(Atletas!X531&lt;&gt;"",10000,0)+IF(Atletas!B531="Feminino",1000,IF(Atletas!B531="Masculino",2000,""))+IF(Atletas!O531="Yang A",301,IF(Atletas!O531="Chen A",302,IF(Atletas!O531="Sun A",303,IF(Atletas!O531="Wu A",304,IF(Atletas!O531="Wu-Hao A",305,IF(Atletas!O531="Outro Taijiquan A",306,IF(Atletas!O531="Yang B",307,IF(Atletas!O531="Chen B",308,IF(Atletas!O531="Sun B",309,IF(Atletas!O531="Wu B",310,IF(Atletas!O531="Wu-Hao B",311,IF(Atletas!O531="Outro Taijiquan B",312,IF(Atletas!O531="Yang C",313,IF(Atletas!O531="Chen C",314,IF(Atletas!O531="Sun C",315,IF(Atletas!O531="Wu C",316,IF(Atletas!O531="Wu-Hao C",317,IF(Atletas!O531="Outro Taijiquan C",318,IF(Atletas!O531="Yang D",319,IF(Atletas!O531="Chen D",320,IF(Atletas!O531="Sun D",321,IF(Atletas!O531="Wu D",322,IF(Atletas!O531="Wu-Hao D",323,IF(Atletas!O531="Outro Taijiquan D",324,IF(Atletas!O531="Yang E",325,IF(Atletas!O531="Chen E",326,IF(Atletas!O531="Sun E",327,IF(Atletas!O531="Wu E",328,IF(Atletas!O531="Wu-Hao E",329,IF(Atletas!O531="Outro Taijiquan E",330,IF(Atletas!O531="Yang F",331,IF(Atletas!O531="Chen F",332,IF(Atletas!O531="Sun F",333,IF(Atletas!O531="Wu F",334,IF(Atletas!O531="Wu-Hao F",335,IF(Atletas!O531="Outro Taijiquan F",336,"")))))))))))))))))))))))))))))))))))))</f>
        <v/>
      </c>
      <c r="BW540" s="50" t="str">
        <f>IF(Atletas!P531="","",IF(Atletas!X531&lt;&gt;"",10000,0)+IF(Atletas!B531="Feminino",1000,IF(Atletas!B531="Masculino",2000,""))+IF(OR(Atletas!P531="Yang 26 A",Atletas!P531="Yang 40 A"),401,IF(OR(Atletas!P531="Chen 25 A",Atletas!P531="Chen 36 A",Atletas!P531="Chen 56 A"),402,IF(Atletas!P531="Sun 73 A",403,IF(Atletas!P531="Wu 45 A",404,IF(Atletas!P531="Wu-Hao 46 A",405,IF(OR(Atletas!P531="Taijiquan 16 A",Atletas!P531="Taijiquan 24 A",Atletas!P531="Taijiquan 32 A",Atletas!P531="Taijiquan 42 A"),406,IF(OR(Atletas!P531="Yang 26 B",Atletas!P531="Yang 40 B"),407,IF(OR(Atletas!P531="Chen 25 B",Atletas!P531="Chen 36 B",Atletas!P531="Chen 56 B"),408,IF(Atletas!P531="Sun 73 B",409,IF(Atletas!P531="Wu 45 B",410,IF(Atletas!P531="Wu-Hao 46 B",411,IF(OR(Atletas!P531="Taijiquan 16 B",Atletas!P531="Taijiquan 24 B",Atletas!P531="Taijiquan 32 B",Atletas!P531="Taijiquan 42 B"),412,IF(OR(Atletas!P531="Yang 26 C",Atletas!P531="Yang 40 C"),413,IF(OR(Atletas!P531="Chen 25 C",Atletas!P531="Chen 36 C",Atletas!P531="Chen 56 C"),414,IF(Atletas!P531="Sun 73 C",415,IF(Atletas!P531="Wu 45 C",416,IF(Atletas!P531="Wu-Hao 46 C",417,IF(OR(Atletas!P531="Taijiquan 16 C",Atletas!P531="Taijiquan 24 C",Atletas!P531="Taijiquan 32 C",Atletas!P531="Taijiquan 42 C"),418,0)))))))))))))))))))</f>
        <v/>
      </c>
      <c r="BX540" s="50" t="str">
        <f>IF(Atletas!P531="","",IF(Atletas!X531&lt;&gt;"",10000,0)+IF(Atletas!B531="Feminino",1000,IF(Atletas!B531="Masculino",2000,""))+IF(OR(Atletas!P531="Yang 26 D",Atletas!P531="Yang 40 D"),419,IF(OR(Atletas!P531="Chen 25 D",Atletas!P531="Chen 36 D",Atletas!P531="Chen 56 D"),420,IF(Atletas!P531="Sun 73 D",421,IF(Atletas!P531="Wu 45 D",422,IF(Atletas!P531="Wu-Hao 46 D",423,IF(OR(Atletas!P531="Taijiquan 16 D",Atletas!P531="Taijiquan 24 D",Atletas!P531="Taijiquan 32 D",Atletas!P531="Taijiquan 42 D"),424,IF(OR(Atletas!P531="Yang 26 E",Atletas!P531="Yang 40 E"),425,IF(OR(Atletas!P531="Chen 25 E",Atletas!P531="Chen 36 E",Atletas!P531="Chen 56 E"),426,IF(Atletas!P531="Sun 73 E",427,IF(Atletas!P531="Wu 45 E",428,IF(Atletas!P531="Wu-Hao 46 E",429,IF(OR(Atletas!P531="Taijiquan 16 E",Atletas!P531="Taijiquan 24 E",Atletas!P531="Taijiquan 32 E",Atletas!P531="Taijiquan 42 E"),430,IF(OR(Atletas!P531="Yang 26 F",Atletas!P531="Yang 40 F"),431,IF(OR(Atletas!P531="Chen 25 F",Atletas!P531="Chen 36 F",Atletas!P531="Chen 56 F"),432,IF(Atletas!P531="Sun 73 F",433,IF(Atletas!P531="Wu 45 F",434,IF(Atletas!P531="Wu-Hao 46 F",435,IF(OR(Atletas!P531="Taijiquan 16 F",Atletas!P531="Taijiquan 24 F",Atletas!P531="Taijiquan 32 F",Atletas!P531="Taijiquan 42 F"),436,0)))))))))))))))))))</f>
        <v/>
      </c>
      <c r="BY540" s="50" t="str">
        <f>IF(Atletas!Q531="","",IF(Atletas!X531&lt;&gt;"",10000,0)+IF(Atletas!B531="Feminino",1000,IF(Atletas!B531="Masculino",2000,""))+IF(Atletas!Q531="Xingyiquan A",501,IF(Atletas!Q531="Baguazhang A",502,IF(Atletas!Q531="Outro Estilo Interno A",503,IF(Atletas!Q531="Xingyiquan B",504,IF(Atletas!Q531="Baguazhang B",505,IF(Atletas!Q531="Outro Estilo Interno B",506,IF(Atletas!Q531="Xingyiquan C",507,IF(Atletas!Q531="Baguazhang C",508,IF(Atletas!Q531="Outro Estilo Interno C",509,IF(Atletas!Q531="Xingyiquan D",510,IF(Atletas!Q531="Baguazhang D",511,IF(Atletas!Q531="Outro Estilo Interno D",512,IF(Atletas!Q531="Xingyiquan E",513,IF(Atletas!Q531="Baguazhang E",514,IF(Atletas!Q531="Outro Estilo Interno E",515,IF(Atletas!Q531="Xingyiquan F",516,IF(Atletas!Q531="Baguazhang F",517,IF(Atletas!Q531="Outro Estilo Interno F",518, "")))))))))))))))))))</f>
        <v/>
      </c>
      <c r="BZ540" s="50" t="str">
        <f>IF(Atletas!R531="","",IF(Atletas!X531&lt;&gt;"",10000,0)+IF(Atletas!B531="Feminino",1000,IF(Atletas!B531="Masculino",2000,""))+IF(Atletas!R531="Dao A",601,IF(Atletas!R531="Jian A",602,IF(Atletas!R531="Bishou A",603,IF(Atletas!R531="Shanzi A",604,IF(Atletas!R531="Outra Arma Curta A",605,IF(Atletas!R531="Dao B",606,IF(Atletas!R531="Jian B",607,IF(Atletas!R531="Bishou B",608,IF(Atletas!R531="Shanzi B",609,IF(Atletas!R531="Outra Arma Curta B",610,IF(Atletas!R531="Dao C",611,IF(Atletas!R531="Jian C",612,IF(Atletas!R531="Bishou C",613,IF(Atletas!R531="Shanzi C",614,IF(Atletas!R531="Outra Arma Curta C",615,IF(Atletas!R531="Dao D",616,IF(Atletas!R531="Jian D",617,IF(Atletas!R531="Bishou D",618,IF(Atletas!R531="Shanzi D",619,IF(Atletas!R531="Outra Arma Curta D",620,IF(Atletas!R531="Dao E",621,IF(Atletas!R531="Jian E",622,IF(Atletas!R531="Bishou E",623,IF(Atletas!R531="Shanzi E",624,IF(Atletas!R531="Outra Arma Curta E",625,IF(Atletas!R531="Dao F",626,IF(Atletas!R531="Jian F",627,IF(Atletas!R531="Bishou F",628,IF(Atletas!R531="Shanzi F",629,IF(Atletas!R531="Outra Arma Curta F",630, "")))))))))))))))))))))))))))))))</f>
        <v/>
      </c>
      <c r="CA540" s="50" t="str">
        <f>IF(Atletas!S531="","",IF(Atletas!X531&lt;&gt;"",10000,0)+IF(Atletas!B531="Feminino",1000,IF(Atletas!B531="Masculino",2000,""))+IF(Atletas!S531="Gun A",701,IF(Atletas!S531="Qiang A",702,IF(Atletas!S531="Pudao / Guandao A",703,IF(Atletas!S531="Outra Arma Longa A",704,IF(Atletas!S531="Gun B",705,IF(Atletas!S531="Qiang B",706,IF(Atletas!S531="Pudao / Guandao B",707,IF(Atletas!S531="Outra Arma Longa B",708,IF(Atletas!S531="Gun C",709,IF(Atletas!S531="Qiang C",710,IF(Atletas!S531="Pudao / Guandao C",711,IF(Atletas!S531="Outra Arma Longa C",712,IF(Atletas!S531="Gun D",713,IF(Atletas!S531="Qiang D",714,IF(Atletas!S531="Pudao / Guandao D",715,IF(Atletas!S531="Outra Arma Longa D",716,IF(Atletas!S531="Gun E",717,IF(Atletas!S531="Qiang E",718,IF(Atletas!S531="Pudao / Guandao E",719,IF(Atletas!S531="Outra Arma Longa E",720,IF(Atletas!S531="Gun F",721,IF(Atletas!S531="Qiang F",722,IF(Atletas!S531="Pudao / Guandao F",723,IF(Atletas!S531="Outra Arma Longa F",724,"")))))))))))))))))))))))))</f>
        <v/>
      </c>
      <c r="CB540" s="50" t="str">
        <f>IF(Atletas!T531="","",IF(Atletas!X531&lt;&gt;"",10000,0)+IF(Atletas!B531="Feminino",1000,IF(Atletas!B531="Masculino",2000,""))+IF(Atletas!T531="Outra Arma Dupla A",801,IF(Atletas!T531="Arma Maleável A",802,IF(Atletas!T531="Outra Arma Dupla B",803,IF(Atletas!T531="Arma Maleável B",804,IF(Atletas!T531="Outra Arma Dupla C",805,IF(Atletas!T531="Arma Maleável C",806,IF(Atletas!T531="Outra Arma Dupla D",807,IF(Atletas!T531="Arma Maleável D",808,IF(Atletas!T531="Outra Arma Dupla E",809,IF(Atletas!T531="Arma Maleável E",810,IF(Atletas!T531="Outra Arma Dupla F",811,IF(Atletas!T531="Arma Maleável F",812,IF(Atletas!T531="Shuangdao A",813,IF(Atletas!T531="Shuangdao B",814,IF(Atletas!T531="Shuangdao C",815,IF(Atletas!T531="Shuangdao D",816,IF(Atletas!T531="Shuangdao E",817,IF(Atletas!T531="Shuangdao F",818,"")))))))))))))))))))</f>
        <v/>
      </c>
      <c r="CC540" s="50" t="str">
        <f>IF(Atletas!U531="","",IF(Atletas!X531&lt;&gt;"",10000,0)+IF(Atletas!B531="Feminino",1000,IF(Atletas!B531="Masculino",2000,""))+IF(OR(Atletas!U531="Taijijian Yang A",Atletas!U531="Taijijian Yang Standard A"),901,IF(OR(Atletas!U531="Taijijian Chen A", Atletas!U531="Taijijian Chen Standard A"),902,IF(Atletas!U531="Taijijian Sun A",903,IF(Atletas!U531="Taijijian Wu A",904,IF(Atletas!U531="Taijijian Wu-Hao A",905,IF(OR(Atletas!U531="Taijijian 32 A",Atletas!U531="Taijijian 42 A"),906,IF(OR(Atletas!U531="Taijijian Yang B",Atletas!U531="Taijijian Yang Standard B"),907,IF(OR(Atletas!U531="Taijijian Chen B", Atletas!U531="Taijijian Chen Standard B"),908,IF(Atletas!U531="Taijijian Sun B",909,IF(Atletas!U531="Taijijian Wu B",910,IF(Atletas!U531="Taijijian Wu-Hao B",911,IF(OR(Atletas!U531="Taijijian 32 B",Atletas!U531="Taijijian 42 B"),912,IF(OR(Atletas!U531="Taijijian Yang C",Atletas!U531="Taijijian Yang Standard C"),913,IF(OR(Atletas!U531="Taijijian Chen C", Atletas!U531="Taijijian Chen Standard C"),914,IF(Atletas!U531="Taijijian Sun C",915,IF(Atletas!U531="Taijijian Wu C",916,IF(Atletas!U531="Taijijian Wu-Hao C",917,IF(OR(Atletas!U531="Taijijian 32 C",Atletas!U531="Taijijian 42 C"),918,IF(OR(Atletas!U531="Taijijian Yang D",Atletas!U531="Taijijian Yang Standard D"),919,IF(OR(Atletas!U531="Taijijian Chen D", Atletas!U531="Taijijian Chen Standard D"),920,IF(Atletas!U531="Taijijian Sun D",921,IF(Atletas!U531="Taijijian Wu D",922,IF(Atletas!U531="Taijijian Wu-Hao D",923,IF(OR(Atletas!U531="Taijijian 32 D",Atletas!U531="Taijijian 42 D"),924,IF(OR(Atletas!U531="Taijijian Yang E",Atletas!U531="Taijijian Yang Standard E"),925,IF(OR(Atletas!U531="Taijijian Chen E", Atletas!U531="Taijijian Chen Standard E"),926,IF(Atletas!U531="Taijijian Sun E",927,IF(Atletas!U531="Taijijian Wu E",928,IF(Atletas!U531="Taijijian Wu-Hao E",929,IF(OR(Atletas!U531="Taijijian 32 E",Atletas!U531="Taijijian 42 E"),930,IF(OR(Atletas!U531="Taijijian Yang F",Atletas!U531="Taijijian Yang Standard F"),931,IF(OR(Atletas!U531="Taijijian Chen F", Atletas!U531="Taijijian Chen Standard F"),932,IF(Atletas!U531="Taijijian Sun F",933,IF(Atletas!U531="Taijijian Wu F",934,IF(Atletas!U531="Taijijian Wu-Hao F",935,IF(OR(Atletas!U531="Taijijian 32 F",Atletas!U531="Taijijian 42 F"),936,"")))))))))))))))))))))))))))))))))))))</f>
        <v/>
      </c>
      <c r="CD540" s="50" t="str">
        <f>IF(Atletas!V531="","",IF(Atletas!X531&lt;&gt;"",10000,0)+IF(Atletas!B531="Feminino",1000,IF(Atletas!B531="Masculino",2000,""))+IF(Atletas!V531="Taijidao A",937,IF(Atletas!V531="TaijiShanzi A",938,IF(Atletas!V531="Taijiqiang A",939,IF(Atletas!V531="Bagua de Arma A",940,IF(Atletas!V531="Xingyi de Arma A",941,IF(Atletas!V531="Taijidao B",942,IF(Atletas!V531="TaijiShanzi B",943,IF(Atletas!V531="Taijiqiang B",944,IF(Atletas!V531="Bagua de Arma B",945,IF(Atletas!V531="Xingyi de Arma B",946,IF(Atletas!V531="Taijidao C",947,IF(Atletas!V531="TaijiShanzi C",948,IF(Atletas!V531="Taijiqiang C",949,IF(Atletas!V531="Bagua de Arma C",950,IF(Atletas!V531="Xingyi de Arma C",951,IF(Atletas!V531="Taijidao D",952,IF(Atletas!V531="TaijiShanzi D",953,IF(Atletas!V531="Taijiqiang D",954,IF(Atletas!V531="Bagua de Arma D",955,IF(Atletas!V531="Xingyi de Arma D",956,IF(Atletas!V531="Taijidao E",957,IF(Atletas!V531="TaijiShanzi E",958,IF(Atletas!V531="Taijiqiang E",959,IF(Atletas!V531="Bagua de Arma E",960,IF(Atletas!V531="Xingyi de Arma E",961,IF(Atletas!V531="Taijidao F",962,IF(Atletas!V531="TaijiShanzi F",963,IF(Atletas!V531="Taijiqiang F",964,IF(Atletas!V531="Bagua de Arma F",965,IF(Atletas!V531="Xingyi de Arma F",966,"")))))))))))))))))))))))))))))))</f>
        <v/>
      </c>
      <c r="CM540" s="50" t="str">
        <f xml:space="preserve"> IF(Atletas!W531="","",IF(Atletas!W531="Duilian de Mãos BC - Equipe 1",1,IF(Atletas!W531="Duilian de Mãos BC - Equipe 2",2,IF(Atletas!W531="Duilian de Armas BC - Equipe 1",3,IF(Atletas!W531="Duilian de Armas BC - Equipe 2",4,IF(Atletas!W531="Duilian de Mãos DE - Equipe 1",5,IF(Atletas!W531="Duilian de Mãos DE - Equipe 2",6,IF(Atletas!W531="Duilian de Armas DE - Equipe 1",7,IF(Atletas!W531="Duilian de Armas DE - Equipe 2",8,IF(Atletas!W531="Duilian de Tuishou - Equipe 1",9,IF(Atletas!W531="Duilian de Tuishou - Equipe 2",10,IF(Atletas!W531="Grupo Externo ABC - Equipe 1",11,IF(Atletas!W531="Grupo Externo ABC - Equipe 2",12,IF(Atletas!W531="Grupo Interno ABC - Equipe 1",13,IF(Atletas!W531="Grupo Interno ABC - Equipe 2",14,IF(Atletas!W531="Grupo Externo DEF - Equipe 1",15,IF(Atletas!W531="Grupo Externo DEF - Equipe 2",16,IF(Atletas!W531="Grupo Interno DEF - Equipe 1",17,IF(Atletas!W531="Grupo Interno DEF - Equipe 2",18,"")))))))))))))))))))</f>
        <v/>
      </c>
    </row>
    <row r="541" spans="40:91">
      <c r="AN541" s="52" t="str">
        <f>IF(Atletas!D532="","",IF(Atletas!B532="Feminino",100,IF(Atletas!B532="Masculino",200,""))+(IF(Atletas!D532="Kids 30kg",1,IF(Atletas!D532="Kids 32kg",2, IF(Atletas!D532="Kids 34kg",3,IF(Atletas!D532="Kids 36kg",4,IF(Atletas!D532="Kids 39kg",5,IF(Atletas!D532="Kids 42kg",6,IF(Atletas!D532="Kids 45kg",7, IF(Atletas!D532="Infantil 39kg",8,IF(Atletas!D532="Infantil 42kg",9,IF(Atletas!D532="Infantil 45kg",10,IF(Atletas!D532="Infantil 48kg",11,IF(Atletas!D532="Infantil 52kg",12,IF(Atletas!D532="Infantil 56kg",13,IF(Atletas!D532="Infantil 60kg",14,IF(Atletas!D532="Juvenil 48kg",15,IF(Atletas!D532="Juvenil 52kg",16,IF(Atletas!D532="Juvenil 56kg",17,IF(Atletas!D532="Juvenil 60kg",18,IF(Atletas!D532="Juvenil 65kg",19,IF(Atletas!D532="Juvenil 70kg",20,IF(Atletas!D532="Juvenil 75kg",21,IF(Atletas!D532="Juvenil 80kg",22, IF(Atletas!D532="Juvenil 85kg",23,IF(Atletas!D532="Adulto 48kg",24,IF(Atletas!D532="Adulto 52kg",25,IF(Atletas!D532="Adulto 56kg",26,IF(Atletas!D532="Adulto 60kg",27,IF(Atletas!D532="Adulto 65kg",28,IF(Atletas!D532="Adulto 70kg",29,IF(Atletas!D532="Adulto 75kg",30,IF(Atletas!D532="Adulto 80kg",31,IF(Atletas!D532="Adulto 85kg",32,IF(Atletas!D532="Adulto 90kg",33,IF(Atletas!D532="Adulto 100kg",34, IF(Atletas!D532="Adulto +100kg",35,"")))))))))))))))))))))))))))))))))))))</f>
        <v/>
      </c>
      <c r="AS541" s="6" t="str">
        <f>IF(Atletas!E532="","",IF(Atletas!B532="Feminino",100,IF(Atletas!B532="Masculino",200,""))+(IF(Atletas!E532="Juvenil 44kg",1,IF(Atletas!E532="Juvenil 48kg",2,IF(Atletas!E532="Juvenil 52kg",3,IF(Atletas!E532="Juvenil 56kg",4,IF(Atletas!E532="Juvenil 60kg",5,IF(Atletas!E532="Juvenil 65kg",6,IF(Atletas!E532="Juvenil 70kg",7,IF(Atletas!E532="Juvenil 75kg",8,IF(Atletas!E532="Juvenil 82kg",9,IF(Atletas!E532="Juvenil 90kg",10,IF(Atletas!E532="Juvenil 100kg",11,IF(Atletas!E532="Adulto 48kg",12,IF(Atletas!E532="Adulto 52kg",13,IF(Atletas!E532="Adulto 56kg",14,IF(Atletas!E532="Adulto 60kg",15,IF(Atletas!E532="Adulto 65kg",16,IF(Atletas!E532="Adulto 70kg",17,IF(Atletas!E532="Adulto 75kg",18,IF(Atletas!E532="Adulto 82kg",19,IF(Atletas!E532="Adulto 90kg",20,IF(Atletas!E532="Adulto 100kg",21,IF(Atletas!E532="Adulto +100kg",22,""))))))))))))))))))))))))</f>
        <v/>
      </c>
      <c r="AX541" s="6" t="str">
        <f>IF(Atletas!F532="","",IF(Atletas!B532="Feminino",100,IF(Atletas!B532="Masculino",200,""))+(IF(Atletas!F532="Adulto 48kg",1,IF(Atletas!F532="Adulto 56kg",2,IF(Atletas!F532="Adulto 65kg",3,IF(Atletas!F532="Adulto 75kg",4,IF(Atletas!F532="Adulto +75kg",5,IF(Atletas!F532="Adulto 52kg",6,IF(Atletas!F532="Adulto 60kg",7,IF(Atletas!F532="Adulto 70kg",8,IF(Atletas!F532="Adulto 80kg",9,IF(Atletas!F532="Adulto 90kg",10,IF(Atletas!F532="Adulto +90kg",11,"")))))))))))))</f>
        <v/>
      </c>
      <c r="BC541" s="6" t="str">
        <f>IF(Atletas!G532="","",IF(Atletas!B532="Feminino",10,IF(Atletas!B532="Masculino",20,""))+(IF(Atletas!G532="Baduanjin A",1,IF(Atletas!G532="Baduanjin B",2))))</f>
        <v/>
      </c>
      <c r="BF541" s="52" t="str">
        <f>IF(Atletas!H532="","",IF(Atletas!B532="Feminino",100,IF(Atletas!B532="Masculino",200,""))+(IF(Atletas!H532="Changquan Mirim",1,IF(Atletas!H532="Nanquan Mirim",2,IF(Atletas!H532="Taijiquan Mirim",3,IF(Atletas!H532="Changquan Grupo C",4,IF(Atletas!H532="Nanquan Grupo C",5,IF(Atletas!H532="Taijiquan Grupo C",6,IF(Atletas!H532="Changquan Grupo B",7,IF(Atletas!H532="Nanquan Grupo B",8,IF(Atletas!H532="Taijiquan Grupo B",9,IF(Atletas!H532="Changquan Grupo A",10,IF(Atletas!H532="Nanquan Grupo A",11,IF(Atletas!H532="Taijiquan Grupo A",12,IF(Atletas!H532="Changquan Opcional",13,IF(Atletas!H532="Nanquan Opcional",14,IF(Atletas!H532="Taijiquan Opcional",15,IF(Atletas!H532="Changquan Adulto",16,IF(Atletas!H532="Nanquan Adulto",17,IF(Atletas!H532="Taijiquan Adulto",18,""))))))))))))))))))))</f>
        <v/>
      </c>
      <c r="BG541" s="52" t="str">
        <f>IF(Atletas!I532="","",IF(Atletas!B532="Feminino",100,IF(Atletas!B532="Masculino",200,""))+(IF(Atletas!I532="Daoshu Mirim",19,IF(Atletas!I532="Jianshu Mirim",20,IF(Atletas!I532="Nandao Mirim",21,IF(Atletas!I532="Taijijian Mirim",22,IF(Atletas!I532="Daoshu Grupo C",23,IF(Atletas!I532="Jianshu Grupo C",24,IF(Atletas!I532="Nandao Grupo C",25,IF(Atletas!I532="Taijijian Grupo C",26,IF(Atletas!I532="Daoshu Grupo B",27,IF(Atletas!I532="Jianshu Grupo B",28,IF(Atletas!I532="Nandao Grupo B",29,IF(Atletas!I532="Taijijian Grupo B",30,IF(Atletas!I532="Daoshu Grupo A",31,IF(Atletas!I532="Jianshu Grupo A",32,IF(Atletas!I532="Nandao Grupo A",33,IF(Atletas!I532="Taijijian Grupo A",34,IF(Atletas!I532="Daoshu Opcional",35,IF(Atletas!I532="Jianshu Opcional",36,IF(Atletas!I532="Nandao Opcional",37,IF(Atletas!I532="Taijijian Opcional",38,IF(Atletas!I532="Daoshu Adulto",39,IF(Atletas!I532="Jianshu Adulto",40,IF(Atletas!I532="Nandao Adulto",41,IF(Atletas!I532="Taijijian Adulto",42,""))))))))))))))))))))))))))</f>
        <v/>
      </c>
      <c r="BH541" s="52" t="str">
        <f>IF(Atletas!J532="","",IF(Atletas!B532="Feminino",100,IF(Atletas!B532="Masculino",200,""))+(IF(Atletas!J532="Gunshu Mirim",43,IF(Atletas!J532="Qiangshu Mirim",44,IF(Atletas!J532="Nangun Mirim",45,IF(Atletas!J532="Gunshu Grupo C",46,IF(Atletas!J532="Qiangshu Grupo C",47,IF(Atletas!J532="Nangun Grupo C",48,IF(Atletas!J532="Gunshu Grupo B",49,IF(Atletas!J532="Qiangshu Grupo B",50,IF(Atletas!J532="Nangun Grupo B",51,IF(Atletas!J532="Gunshu Grupo A",52,IF(Atletas!J532="Qiangshu Grupo A",53,IF(Atletas!J532="Nangun Grupo A",54,IF(Atletas!J532="Gunshu Opcional",55,IF(Atletas!J532="Qiangshu Opcional",56,IF(Atletas!J532="Nangun Opcional",57,IF(Atletas!J532="Gunshu Adulto",58,IF(Atletas!J532="Qiangshu Adulto",59,IF(Atletas!J532="Nangun Adulto",60,IF(Atletas!J532="Taijishan Grupo B",61,IF(Atletas!J532="Taijishan Grupo A",62,""))))))))))))))))))))))</f>
        <v/>
      </c>
      <c r="BM541" s="50" t="str">
        <f>IF(Atletas!K532="","",IF(Atletas!B532="Feminino",100,IF(Atletas!B532="Masculino",200,""))+(IF(Atletas!K532="Equipe 1 Grupo B",1,IF(Atletas!K532="Equipe 2 Grupo B",2,IF(Atletas!K532="Equipe 1 Grupo A",3,IF(Atletas!K532="Equipe 2 Grupo A",4,IF(Atletas!K532="Equipe 1 Adulto",5,IF(Atletas!K532="Equipe 2 Adulto",6,""))))))))</f>
        <v/>
      </c>
      <c r="BR541" s="50" t="str">
        <f>IF(Atletas!L532="","",IF(Atletas!X532&lt;&gt;"",10000,0)+(IF(Atletas!B532="Feminino",1000,IF(Atletas!B532="Masculino",2000,""))+IF(Atletas!L532="Choylayfut A",1,IF(Atletas!L532="Hunggar A",2,IF(Atletas!L532="Wuzuquan A",3,IF(Atletas!L532="Wingchun A",4,IF(Atletas!L532="Outra Mão de Sul A",5,IF(Atletas!L532="Choylayfut B",6,IF(Atletas!L532="Hunggar B",7,IF(Atletas!L532="Wuzuquan B",8,IF(Atletas!L532="Wingchun B",9,IF(Atletas!L532="Outra Mão de Sul B",10,IF(Atletas!L532="Choylayfut C",11,IF(Atletas!L532="Hunggar C",12,IF(Atletas!L532="Wuzuquan C",13,IF(Atletas!L532="Wingchun C",14,IF(Atletas!L532="Outra Mão de Sul C",15,IF(Atletas!L532="Choylayfut D",16,IF(Atletas!L532="Hunggar D",17,IF(Atletas!L532="Wuzuquan D",18,IF(Atletas!L532="Wingchun D",19,IF(Atletas!L532="Outra Mão de Sul D",20,IF(Atletas!L532="Choylayfut E",21,IF(Atletas!L532="Hunggar E",22,IF(Atletas!L532="Wuzuquan E",23,IF(Atletas!L532="Wingchun E",24,IF(Atletas!L532="Outra Mão de Sul E",25,IF(Atletas!L532="Choylayfut F",26,IF(Atletas!L532="Hunggar F",27,IF(Atletas!L532="Wuzuquan F",28,IF(Atletas!L532="Wingchun F",29,IF(Atletas!L532="Outra Mão de Sul F",30,IF(Atletas!L532="Dishuquan A",31,IF(Atletas!L532="Dishuquan B",32,IF(Atletas!L532="Dishuquan C",33,IF(Atletas!L532="Dishuquan D",34,IF(Atletas!L532="Dishuquan E",35,IF(Atletas!L532="Dishuquan F",36,""))))))))))))))))))))))))))))))))))))))</f>
        <v/>
      </c>
      <c r="BS541" s="50" t="str">
        <f>IF(Atletas!M532="","",IF(Atletas!X532&lt;&gt;"",10000,0)+(IF(Atletas!B532="Feminino",1000,IF(Atletas!B532="Masculino",2000,""))+(IF(Atletas!M532="Chaquan A",101,IF(Atletas!M532="Emeiquan A",102,IF(Atletas!M532="Fanziquan A",103,IF(Atletas!M532="Huaquan A",104,IF(Atletas!M532="Hongquan A",105,IF(Atletas!M532="Paoquan A",106,IF(Atletas!M532="Piguaquan A",107,IF(Atletas!M532="Shaolinquan A",108,IF(Atletas!M532="Tanglangquan A",109,IF(Atletas!M532="Yingzhaoquan A",110,IF(Atletas!M532="Tongbeiquan A",111,IF(Atletas!M532="Wudangquan A",112,IF(Atletas!M532="Outros Estilos A",113,IF(Atletas!M532="Chaquan B",114,IF(Atletas!M532="Emeiquan B",115,IF(Atletas!M532="Fanziquan B",116,IF(Atletas!M532="Huaquan B",117,IF(Atletas!M532="Hongquan B",118,IF(Atletas!M532="Paoquan B",119,IF(Atletas!M532="Piguaquan B",120,IF(Atletas!M532="Shaolinquan B",121,IF(Atletas!M532="Tanglangquan B",122,IF(Atletas!M532="Yingzhaoquan B",123,IF(Atletas!M532="Tongbeiquan B",124,IF(Atletas!M532="Wudangquan B",125,IF(Atletas!M532="Outros Estilos B",126,IF(Atletas!M532="Chaquan C",127,IF(Atletas!M532="Emeiquan C",128,IF(Atletas!M532="Fanziquan C",129,IF(Atletas!M532="Huaquan C",130,IF(Atletas!M532="Hongquan C",131,IF(Atletas!M532="Paoquan C",132,IF(Atletas!M532="Piguaquan C",133,IF(Atletas!M532="Shaolinquan C",134,IF(Atletas!M532="Tanglangquan C",135,IF(Atletas!M532="Yingzhaoquan C",136,IF(Atletas!M532="Tongbeiquan C",137,IF(Atletas!M532="Wudangquan C",138,IF(Atletas!M532="Outros Estilos C",139,0))))))))))))))))))))))))))))))))))))))))))</f>
        <v/>
      </c>
      <c r="BT541" s="50" t="str">
        <f>IF(Atletas!M532="","",IF(Atletas!X532&lt;&gt;"",10000,0)+(IF(Atletas!B532="Feminino",1000,IF(Atletas!B532="Masculino",2000,""))+(IF(Atletas!M532="Chaquan D",140,IF(Atletas!M532="Emeiquan D",141,IF(Atletas!M532="Fanziquan D",142,IF(Atletas!M532="Huaquan D",143,IF(Atletas!M532="Hongquan D",144,IF(Atletas!M532="Paoquan D",145,IF(Atletas!M532="Piguaquan D",146,IF(Atletas!M532="Shaolinquan D",147,IF(Atletas!M532="Tanglangquan D",148,IF(Atletas!M532="Yingzhaoquan D",149,IF(Atletas!M532="Tongbeiquan D",150,IF(Atletas!M532="Wudangquan D",151,IF(Atletas!M532="Outros Estilos D",152,IF(Atletas!M532="Chaquan E",153,IF(Atletas!M532="Emeiquan E",154,IF(Atletas!M532="Fanziquan E",155,IF(Atletas!M532="Huaquan E",156,IF(Atletas!M532="Hongquan E",157,IF(Atletas!M532="Paoquan E",158,IF(Atletas!M532="Piguaquan E",159,IF(Atletas!M532="Shaolinquan E",160,IF(Atletas!M532="Tanglangquan E",161,IF(Atletas!M532="Yingzhaoquan E",162,IF(Atletas!M532="Tongbeiquan E",163,IF(Atletas!M532="Wudangquan E",164,IF(Atletas!M532="Outros Estilos E",165,IF(Atletas!M532="Chaquan F",166,IF(Atletas!M532="Emeiquan F",167,IF(Atletas!M532="Fanziquan F",168,IF(Atletas!M532="Huaquan F",169,IF(Atletas!M532="Hongquan F",170,IF(Atletas!M532="Paoquan F",171,IF(Atletas!M532="Piguaquan F",172,IF(Atletas!M532="Shaolinquan F",173,IF(Atletas!M532="Tanglangquan F",174,IF(Atletas!M532="Yingzhaoquan F",175,IF(Atletas!M532="Tongbeiquan F",176,IF(Atletas!M532="Wudangquan F",177,IF(Atletas!M532="Outros Estilos F",178,0))))))))))))))))))))))))))))))))))))))))))</f>
        <v/>
      </c>
      <c r="BU541" s="50" t="str">
        <f>IF(Atletas!N532="","",IF(Atletas!X532&lt;&gt;"",10000,0)+(IF(Atletas!B532="Feminino",1000,IF(Atletas!B532="Masculino",2000,""))+(IF(Atletas!N532="Ditangquan A",201,IF(Atletas!N532="Houquan A",202,IF(Atletas!N532="Zuiquan A",203,IF(Atletas!N532="Ditangquan B",204,IF(Atletas!N532="Houquan B",205,IF(Atletas!N532="Zuiquan B",206,IF(Atletas!N532="Ditangquan C",207,IF(Atletas!N532="Houquan C",208,IF(Atletas!N532="Zuiquan C",209,IF(Atletas!N532="Ditangquan D",210,IF(Atletas!N532="Houquan D",211,IF(Atletas!N532="Zuiquan D",212,IF(Atletas!N532="Ditangquan E",213,IF(Atletas!N532="Houquan E",214,IF(Atletas!N532="Zuiquan E",215,IF(Atletas!N532="Ditangquan F",216,IF(Atletas!N532="Houquan F",217,IF(Atletas!N532="Zuiquan F",218,"")))))))))))))))))))))</f>
        <v/>
      </c>
      <c r="BV541" s="50" t="str">
        <f>IF(Atletas!O532="","",IF(Atletas!X532&lt;&gt;"",10000,0)+IF(Atletas!B532="Feminino",1000,IF(Atletas!B532="Masculino",2000,""))+IF(Atletas!O532="Yang A",301,IF(Atletas!O532="Chen A",302,IF(Atletas!O532="Sun A",303,IF(Atletas!O532="Wu A",304,IF(Atletas!O532="Wu-Hao A",305,IF(Atletas!O532="Outro Taijiquan A",306,IF(Atletas!O532="Yang B",307,IF(Atletas!O532="Chen B",308,IF(Atletas!O532="Sun B",309,IF(Atletas!O532="Wu B",310,IF(Atletas!O532="Wu-Hao B",311,IF(Atletas!O532="Outro Taijiquan B",312,IF(Atletas!O532="Yang C",313,IF(Atletas!O532="Chen C",314,IF(Atletas!O532="Sun C",315,IF(Atletas!O532="Wu C",316,IF(Atletas!O532="Wu-Hao C",317,IF(Atletas!O532="Outro Taijiquan C",318,IF(Atletas!O532="Yang D",319,IF(Atletas!O532="Chen D",320,IF(Atletas!O532="Sun D",321,IF(Atletas!O532="Wu D",322,IF(Atletas!O532="Wu-Hao D",323,IF(Atletas!O532="Outro Taijiquan D",324,IF(Atletas!O532="Yang E",325,IF(Atletas!O532="Chen E",326,IF(Atletas!O532="Sun E",327,IF(Atletas!O532="Wu E",328,IF(Atletas!O532="Wu-Hao E",329,IF(Atletas!O532="Outro Taijiquan E",330,IF(Atletas!O532="Yang F",331,IF(Atletas!O532="Chen F",332,IF(Atletas!O532="Sun F",333,IF(Atletas!O532="Wu F",334,IF(Atletas!O532="Wu-Hao F",335,IF(Atletas!O532="Outro Taijiquan F",336,"")))))))))))))))))))))))))))))))))))))</f>
        <v/>
      </c>
      <c r="BW541" s="50" t="str">
        <f>IF(Atletas!P532="","",IF(Atletas!X532&lt;&gt;"",10000,0)+IF(Atletas!B532="Feminino",1000,IF(Atletas!B532="Masculino",2000,""))+IF(OR(Atletas!P532="Yang 26 A",Atletas!P532="Yang 40 A"),401,IF(OR(Atletas!P532="Chen 25 A",Atletas!P532="Chen 36 A",Atletas!P532="Chen 56 A"),402,IF(Atletas!P532="Sun 73 A",403,IF(Atletas!P532="Wu 45 A",404,IF(Atletas!P532="Wu-Hao 46 A",405,IF(OR(Atletas!P532="Taijiquan 16 A",Atletas!P532="Taijiquan 24 A",Atletas!P532="Taijiquan 32 A",Atletas!P532="Taijiquan 42 A"),406,IF(OR(Atletas!P532="Yang 26 B",Atletas!P532="Yang 40 B"),407,IF(OR(Atletas!P532="Chen 25 B",Atletas!P532="Chen 36 B",Atletas!P532="Chen 56 B"),408,IF(Atletas!P532="Sun 73 B",409,IF(Atletas!P532="Wu 45 B",410,IF(Atletas!P532="Wu-Hao 46 B",411,IF(OR(Atletas!P532="Taijiquan 16 B",Atletas!P532="Taijiquan 24 B",Atletas!P532="Taijiquan 32 B",Atletas!P532="Taijiquan 42 B"),412,IF(OR(Atletas!P532="Yang 26 C",Atletas!P532="Yang 40 C"),413,IF(OR(Atletas!P532="Chen 25 C",Atletas!P532="Chen 36 C",Atletas!P532="Chen 56 C"),414,IF(Atletas!P532="Sun 73 C",415,IF(Atletas!P532="Wu 45 C",416,IF(Atletas!P532="Wu-Hao 46 C",417,IF(OR(Atletas!P532="Taijiquan 16 C",Atletas!P532="Taijiquan 24 C",Atletas!P532="Taijiquan 32 C",Atletas!P532="Taijiquan 42 C"),418,0)))))))))))))))))))</f>
        <v/>
      </c>
      <c r="BX541" s="50" t="str">
        <f>IF(Atletas!P532="","",IF(Atletas!X532&lt;&gt;"",10000,0)+IF(Atletas!B532="Feminino",1000,IF(Atletas!B532="Masculino",2000,""))+IF(OR(Atletas!P532="Yang 26 D",Atletas!P532="Yang 40 D"),419,IF(OR(Atletas!P532="Chen 25 D",Atletas!P532="Chen 36 D",Atletas!P532="Chen 56 D"),420,IF(Atletas!P532="Sun 73 D",421,IF(Atletas!P532="Wu 45 D",422,IF(Atletas!P532="Wu-Hao 46 D",423,IF(OR(Atletas!P532="Taijiquan 16 D",Atletas!P532="Taijiquan 24 D",Atletas!P532="Taijiquan 32 D",Atletas!P532="Taijiquan 42 D"),424,IF(OR(Atletas!P532="Yang 26 E",Atletas!P532="Yang 40 E"),425,IF(OR(Atletas!P532="Chen 25 E",Atletas!P532="Chen 36 E",Atletas!P532="Chen 56 E"),426,IF(Atletas!P532="Sun 73 E",427,IF(Atletas!P532="Wu 45 E",428,IF(Atletas!P532="Wu-Hao 46 E",429,IF(OR(Atletas!P532="Taijiquan 16 E",Atletas!P532="Taijiquan 24 E",Atletas!P532="Taijiquan 32 E",Atletas!P532="Taijiquan 42 E"),430,IF(OR(Atletas!P532="Yang 26 F",Atletas!P532="Yang 40 F"),431,IF(OR(Atletas!P532="Chen 25 F",Atletas!P532="Chen 36 F",Atletas!P532="Chen 56 F"),432,IF(Atletas!P532="Sun 73 F",433,IF(Atletas!P532="Wu 45 F",434,IF(Atletas!P532="Wu-Hao 46 F",435,IF(OR(Atletas!P532="Taijiquan 16 F",Atletas!P532="Taijiquan 24 F",Atletas!P532="Taijiquan 32 F",Atletas!P532="Taijiquan 42 F"),436,0)))))))))))))))))))</f>
        <v/>
      </c>
      <c r="BY541" s="50" t="str">
        <f>IF(Atletas!Q532="","",IF(Atletas!X532&lt;&gt;"",10000,0)+IF(Atletas!B532="Feminino",1000,IF(Atletas!B532="Masculino",2000,""))+IF(Atletas!Q532="Xingyiquan A",501,IF(Atletas!Q532="Baguazhang A",502,IF(Atletas!Q532="Outro Estilo Interno A",503,IF(Atletas!Q532="Xingyiquan B",504,IF(Atletas!Q532="Baguazhang B",505,IF(Atletas!Q532="Outro Estilo Interno B",506,IF(Atletas!Q532="Xingyiquan C",507,IF(Atletas!Q532="Baguazhang C",508,IF(Atletas!Q532="Outro Estilo Interno C",509,IF(Atletas!Q532="Xingyiquan D",510,IF(Atletas!Q532="Baguazhang D",511,IF(Atletas!Q532="Outro Estilo Interno D",512,IF(Atletas!Q532="Xingyiquan E",513,IF(Atletas!Q532="Baguazhang E",514,IF(Atletas!Q532="Outro Estilo Interno E",515,IF(Atletas!Q532="Xingyiquan F",516,IF(Atletas!Q532="Baguazhang F",517,IF(Atletas!Q532="Outro Estilo Interno F",518, "")))))))))))))))))))</f>
        <v/>
      </c>
      <c r="BZ541" s="50" t="str">
        <f>IF(Atletas!R532="","",IF(Atletas!X532&lt;&gt;"",10000,0)+IF(Atletas!B532="Feminino",1000,IF(Atletas!B532="Masculino",2000,""))+IF(Atletas!R532="Dao A",601,IF(Atletas!R532="Jian A",602,IF(Atletas!R532="Bishou A",603,IF(Atletas!R532="Shanzi A",604,IF(Atletas!R532="Outra Arma Curta A",605,IF(Atletas!R532="Dao B",606,IF(Atletas!R532="Jian B",607,IF(Atletas!R532="Bishou B",608,IF(Atletas!R532="Shanzi B",609,IF(Atletas!R532="Outra Arma Curta B",610,IF(Atletas!R532="Dao C",611,IF(Atletas!R532="Jian C",612,IF(Atletas!R532="Bishou C",613,IF(Atletas!R532="Shanzi C",614,IF(Atletas!R532="Outra Arma Curta C",615,IF(Atletas!R532="Dao D",616,IF(Atletas!R532="Jian D",617,IF(Atletas!R532="Bishou D",618,IF(Atletas!R532="Shanzi D",619,IF(Atletas!R532="Outra Arma Curta D",620,IF(Atletas!R532="Dao E",621,IF(Atletas!R532="Jian E",622,IF(Atletas!R532="Bishou E",623,IF(Atletas!R532="Shanzi E",624,IF(Atletas!R532="Outra Arma Curta E",625,IF(Atletas!R532="Dao F",626,IF(Atletas!R532="Jian F",627,IF(Atletas!R532="Bishou F",628,IF(Atletas!R532="Shanzi F",629,IF(Atletas!R532="Outra Arma Curta F",630, "")))))))))))))))))))))))))))))))</f>
        <v/>
      </c>
      <c r="CA541" s="50" t="str">
        <f>IF(Atletas!S532="","",IF(Atletas!X532&lt;&gt;"",10000,0)+IF(Atletas!B532="Feminino",1000,IF(Atletas!B532="Masculino",2000,""))+IF(Atletas!S532="Gun A",701,IF(Atletas!S532="Qiang A",702,IF(Atletas!S532="Pudao / Guandao A",703,IF(Atletas!S532="Outra Arma Longa A",704,IF(Atletas!S532="Gun B",705,IF(Atletas!S532="Qiang B",706,IF(Atletas!S532="Pudao / Guandao B",707,IF(Atletas!S532="Outra Arma Longa B",708,IF(Atletas!S532="Gun C",709,IF(Atletas!S532="Qiang C",710,IF(Atletas!S532="Pudao / Guandao C",711,IF(Atletas!S532="Outra Arma Longa C",712,IF(Atletas!S532="Gun D",713,IF(Atletas!S532="Qiang D",714,IF(Atletas!S532="Pudao / Guandao D",715,IF(Atletas!S532="Outra Arma Longa D",716,IF(Atletas!S532="Gun E",717,IF(Atletas!S532="Qiang E",718,IF(Atletas!S532="Pudao / Guandao E",719,IF(Atletas!S532="Outra Arma Longa E",720,IF(Atletas!S532="Gun F",721,IF(Atletas!S532="Qiang F",722,IF(Atletas!S532="Pudao / Guandao F",723,IF(Atletas!S532="Outra Arma Longa F",724,"")))))))))))))))))))))))))</f>
        <v/>
      </c>
      <c r="CB541" s="50" t="str">
        <f>IF(Atletas!T532="","",IF(Atletas!X532&lt;&gt;"",10000,0)+IF(Atletas!B532="Feminino",1000,IF(Atletas!B532="Masculino",2000,""))+IF(Atletas!T532="Outra Arma Dupla A",801,IF(Atletas!T532="Arma Maleável A",802,IF(Atletas!T532="Outra Arma Dupla B",803,IF(Atletas!T532="Arma Maleável B",804,IF(Atletas!T532="Outra Arma Dupla C",805,IF(Atletas!T532="Arma Maleável C",806,IF(Atletas!T532="Outra Arma Dupla D",807,IF(Atletas!T532="Arma Maleável D",808,IF(Atletas!T532="Outra Arma Dupla E",809,IF(Atletas!T532="Arma Maleável E",810,IF(Atletas!T532="Outra Arma Dupla F",811,IF(Atletas!T532="Arma Maleável F",812,IF(Atletas!T532="Shuangdao A",813,IF(Atletas!T532="Shuangdao B",814,IF(Atletas!T532="Shuangdao C",815,IF(Atletas!T532="Shuangdao D",816,IF(Atletas!T532="Shuangdao E",817,IF(Atletas!T532="Shuangdao F",818,"")))))))))))))))))))</f>
        <v/>
      </c>
      <c r="CC541" s="50" t="str">
        <f>IF(Atletas!U532="","",IF(Atletas!X532&lt;&gt;"",10000,0)+IF(Atletas!B532="Feminino",1000,IF(Atletas!B532="Masculino",2000,""))+IF(OR(Atletas!U532="Taijijian Yang A",Atletas!U532="Taijijian Yang Standard A"),901,IF(OR(Atletas!U532="Taijijian Chen A", Atletas!U532="Taijijian Chen Standard A"),902,IF(Atletas!U532="Taijijian Sun A",903,IF(Atletas!U532="Taijijian Wu A",904,IF(Atletas!U532="Taijijian Wu-Hao A",905,IF(OR(Atletas!U532="Taijijian 32 A",Atletas!U532="Taijijian 42 A"),906,IF(OR(Atletas!U532="Taijijian Yang B",Atletas!U532="Taijijian Yang Standard B"),907,IF(OR(Atletas!U532="Taijijian Chen B", Atletas!U532="Taijijian Chen Standard B"),908,IF(Atletas!U532="Taijijian Sun B",909,IF(Atletas!U532="Taijijian Wu B",910,IF(Atletas!U532="Taijijian Wu-Hao B",911,IF(OR(Atletas!U532="Taijijian 32 B",Atletas!U532="Taijijian 42 B"),912,IF(OR(Atletas!U532="Taijijian Yang C",Atletas!U532="Taijijian Yang Standard C"),913,IF(OR(Atletas!U532="Taijijian Chen C", Atletas!U532="Taijijian Chen Standard C"),914,IF(Atletas!U532="Taijijian Sun C",915,IF(Atletas!U532="Taijijian Wu C",916,IF(Atletas!U532="Taijijian Wu-Hao C",917,IF(OR(Atletas!U532="Taijijian 32 C",Atletas!U532="Taijijian 42 C"),918,IF(OR(Atletas!U532="Taijijian Yang D",Atletas!U532="Taijijian Yang Standard D"),919,IF(OR(Atletas!U532="Taijijian Chen D", Atletas!U532="Taijijian Chen Standard D"),920,IF(Atletas!U532="Taijijian Sun D",921,IF(Atletas!U532="Taijijian Wu D",922,IF(Atletas!U532="Taijijian Wu-Hao D",923,IF(OR(Atletas!U532="Taijijian 32 D",Atletas!U532="Taijijian 42 D"),924,IF(OR(Atletas!U532="Taijijian Yang E",Atletas!U532="Taijijian Yang Standard E"),925,IF(OR(Atletas!U532="Taijijian Chen E", Atletas!U532="Taijijian Chen Standard E"),926,IF(Atletas!U532="Taijijian Sun E",927,IF(Atletas!U532="Taijijian Wu E",928,IF(Atletas!U532="Taijijian Wu-Hao E",929,IF(OR(Atletas!U532="Taijijian 32 E",Atletas!U532="Taijijian 42 E"),930,IF(OR(Atletas!U532="Taijijian Yang F",Atletas!U532="Taijijian Yang Standard F"),931,IF(OR(Atletas!U532="Taijijian Chen F", Atletas!U532="Taijijian Chen Standard F"),932,IF(Atletas!U532="Taijijian Sun F",933,IF(Atletas!U532="Taijijian Wu F",934,IF(Atletas!U532="Taijijian Wu-Hao F",935,IF(OR(Atletas!U532="Taijijian 32 F",Atletas!U532="Taijijian 42 F"),936,"")))))))))))))))))))))))))))))))))))))</f>
        <v/>
      </c>
      <c r="CD541" s="50" t="str">
        <f>IF(Atletas!V532="","",IF(Atletas!X532&lt;&gt;"",10000,0)+IF(Atletas!B532="Feminino",1000,IF(Atletas!B532="Masculino",2000,""))+IF(Atletas!V532="Taijidao A",937,IF(Atletas!V532="TaijiShanzi A",938,IF(Atletas!V532="Taijiqiang A",939,IF(Atletas!V532="Bagua de Arma A",940,IF(Atletas!V532="Xingyi de Arma A",941,IF(Atletas!V532="Taijidao B",942,IF(Atletas!V532="TaijiShanzi B",943,IF(Atletas!V532="Taijiqiang B",944,IF(Atletas!V532="Bagua de Arma B",945,IF(Atletas!V532="Xingyi de Arma B",946,IF(Atletas!V532="Taijidao C",947,IF(Atletas!V532="TaijiShanzi C",948,IF(Atletas!V532="Taijiqiang C",949,IF(Atletas!V532="Bagua de Arma C",950,IF(Atletas!V532="Xingyi de Arma C",951,IF(Atletas!V532="Taijidao D",952,IF(Atletas!V532="TaijiShanzi D",953,IF(Atletas!V532="Taijiqiang D",954,IF(Atletas!V532="Bagua de Arma D",955,IF(Atletas!V532="Xingyi de Arma D",956,IF(Atletas!V532="Taijidao E",957,IF(Atletas!V532="TaijiShanzi E",958,IF(Atletas!V532="Taijiqiang E",959,IF(Atletas!V532="Bagua de Arma E",960,IF(Atletas!V532="Xingyi de Arma E",961,IF(Atletas!V532="Taijidao F",962,IF(Atletas!V532="TaijiShanzi F",963,IF(Atletas!V532="Taijiqiang F",964,IF(Atletas!V532="Bagua de Arma F",965,IF(Atletas!V532="Xingyi de Arma F",966,"")))))))))))))))))))))))))))))))</f>
        <v/>
      </c>
      <c r="CM541" s="50" t="str">
        <f xml:space="preserve"> IF(Atletas!W532="","",IF(Atletas!W532="Duilian de Mãos BC - Equipe 1",1,IF(Atletas!W532="Duilian de Mãos BC - Equipe 2",2,IF(Atletas!W532="Duilian de Armas BC - Equipe 1",3,IF(Atletas!W532="Duilian de Armas BC - Equipe 2",4,IF(Atletas!W532="Duilian de Mãos DE - Equipe 1",5,IF(Atletas!W532="Duilian de Mãos DE - Equipe 2",6,IF(Atletas!W532="Duilian de Armas DE - Equipe 1",7,IF(Atletas!W532="Duilian de Armas DE - Equipe 2",8,IF(Atletas!W532="Duilian de Tuishou - Equipe 1",9,IF(Atletas!W532="Duilian de Tuishou - Equipe 2",10,IF(Atletas!W532="Grupo Externo ABC - Equipe 1",11,IF(Atletas!W532="Grupo Externo ABC - Equipe 2",12,IF(Atletas!W532="Grupo Interno ABC - Equipe 1",13,IF(Atletas!W532="Grupo Interno ABC - Equipe 2",14,IF(Atletas!W532="Grupo Externo DEF - Equipe 1",15,IF(Atletas!W532="Grupo Externo DEF - Equipe 2",16,IF(Atletas!W532="Grupo Interno DEF - Equipe 1",17,IF(Atletas!W532="Grupo Interno DEF - Equipe 2",18,"")))))))))))))))))))</f>
        <v/>
      </c>
    </row>
    <row r="542" spans="40:91">
      <c r="AN542" s="52" t="str">
        <f>IF(Atletas!D533="","",IF(Atletas!B533="Feminino",100,IF(Atletas!B533="Masculino",200,""))+(IF(Atletas!D533="Kids 30kg",1,IF(Atletas!D533="Kids 32kg",2, IF(Atletas!D533="Kids 34kg",3,IF(Atletas!D533="Kids 36kg",4,IF(Atletas!D533="Kids 39kg",5,IF(Atletas!D533="Kids 42kg",6,IF(Atletas!D533="Kids 45kg",7, IF(Atletas!D533="Infantil 39kg",8,IF(Atletas!D533="Infantil 42kg",9,IF(Atletas!D533="Infantil 45kg",10,IF(Atletas!D533="Infantil 48kg",11,IF(Atletas!D533="Infantil 52kg",12,IF(Atletas!D533="Infantil 56kg",13,IF(Atletas!D533="Infantil 60kg",14,IF(Atletas!D533="Juvenil 48kg",15,IF(Atletas!D533="Juvenil 52kg",16,IF(Atletas!D533="Juvenil 56kg",17,IF(Atletas!D533="Juvenil 60kg",18,IF(Atletas!D533="Juvenil 65kg",19,IF(Atletas!D533="Juvenil 70kg",20,IF(Atletas!D533="Juvenil 75kg",21,IF(Atletas!D533="Juvenil 80kg",22, IF(Atletas!D533="Juvenil 85kg",23,IF(Atletas!D533="Adulto 48kg",24,IF(Atletas!D533="Adulto 52kg",25,IF(Atletas!D533="Adulto 56kg",26,IF(Atletas!D533="Adulto 60kg",27,IF(Atletas!D533="Adulto 65kg",28,IF(Atletas!D533="Adulto 70kg",29,IF(Atletas!D533="Adulto 75kg",30,IF(Atletas!D533="Adulto 80kg",31,IF(Atletas!D533="Adulto 85kg",32,IF(Atletas!D533="Adulto 90kg",33,IF(Atletas!D533="Adulto 100kg",34, IF(Atletas!D533="Adulto +100kg",35,"")))))))))))))))))))))))))))))))))))))</f>
        <v/>
      </c>
      <c r="AS542" s="6" t="str">
        <f>IF(Atletas!E533="","",IF(Atletas!B533="Feminino",100,IF(Atletas!B533="Masculino",200,""))+(IF(Atletas!E533="Juvenil 44kg",1,IF(Atletas!E533="Juvenil 48kg",2,IF(Atletas!E533="Juvenil 52kg",3,IF(Atletas!E533="Juvenil 56kg",4,IF(Atletas!E533="Juvenil 60kg",5,IF(Atletas!E533="Juvenil 65kg",6,IF(Atletas!E533="Juvenil 70kg",7,IF(Atletas!E533="Juvenil 75kg",8,IF(Atletas!E533="Juvenil 82kg",9,IF(Atletas!E533="Juvenil 90kg",10,IF(Atletas!E533="Juvenil 100kg",11,IF(Atletas!E533="Adulto 48kg",12,IF(Atletas!E533="Adulto 52kg",13,IF(Atletas!E533="Adulto 56kg",14,IF(Atletas!E533="Adulto 60kg",15,IF(Atletas!E533="Adulto 65kg",16,IF(Atletas!E533="Adulto 70kg",17,IF(Atletas!E533="Adulto 75kg",18,IF(Atletas!E533="Adulto 82kg",19,IF(Atletas!E533="Adulto 90kg",20,IF(Atletas!E533="Adulto 100kg",21,IF(Atletas!E533="Adulto +100kg",22,""))))))))))))))))))))))))</f>
        <v/>
      </c>
      <c r="AX542" s="6" t="str">
        <f>IF(Atletas!F533="","",IF(Atletas!B533="Feminino",100,IF(Atletas!B533="Masculino",200,""))+(IF(Atletas!F533="Adulto 48kg",1,IF(Atletas!F533="Adulto 56kg",2,IF(Atletas!F533="Adulto 65kg",3,IF(Atletas!F533="Adulto 75kg",4,IF(Atletas!F533="Adulto +75kg",5,IF(Atletas!F533="Adulto 52kg",6,IF(Atletas!F533="Adulto 60kg",7,IF(Atletas!F533="Adulto 70kg",8,IF(Atletas!F533="Adulto 80kg",9,IF(Atletas!F533="Adulto 90kg",10,IF(Atletas!F533="Adulto +90kg",11,"")))))))))))))</f>
        <v/>
      </c>
      <c r="BC542" s="6" t="str">
        <f>IF(Atletas!G533="","",IF(Atletas!B533="Feminino",10,IF(Atletas!B533="Masculino",20,""))+(IF(Atletas!G533="Baduanjin A",1,IF(Atletas!G533="Baduanjin B",2))))</f>
        <v/>
      </c>
      <c r="BF542" s="52" t="str">
        <f>IF(Atletas!H533="","",IF(Atletas!B533="Feminino",100,IF(Atletas!B533="Masculino",200,""))+(IF(Atletas!H533="Changquan Mirim",1,IF(Atletas!H533="Nanquan Mirim",2,IF(Atletas!H533="Taijiquan Mirim",3,IF(Atletas!H533="Changquan Grupo C",4,IF(Atletas!H533="Nanquan Grupo C",5,IF(Atletas!H533="Taijiquan Grupo C",6,IF(Atletas!H533="Changquan Grupo B",7,IF(Atletas!H533="Nanquan Grupo B",8,IF(Atletas!H533="Taijiquan Grupo B",9,IF(Atletas!H533="Changquan Grupo A",10,IF(Atletas!H533="Nanquan Grupo A",11,IF(Atletas!H533="Taijiquan Grupo A",12,IF(Atletas!H533="Changquan Opcional",13,IF(Atletas!H533="Nanquan Opcional",14,IF(Atletas!H533="Taijiquan Opcional",15,IF(Atletas!H533="Changquan Adulto",16,IF(Atletas!H533="Nanquan Adulto",17,IF(Atletas!H533="Taijiquan Adulto",18,""))))))))))))))))))))</f>
        <v/>
      </c>
      <c r="BG542" s="52" t="str">
        <f>IF(Atletas!I533="","",IF(Atletas!B533="Feminino",100,IF(Atletas!B533="Masculino",200,""))+(IF(Atletas!I533="Daoshu Mirim",19,IF(Atletas!I533="Jianshu Mirim",20,IF(Atletas!I533="Nandao Mirim",21,IF(Atletas!I533="Taijijian Mirim",22,IF(Atletas!I533="Daoshu Grupo C",23,IF(Atletas!I533="Jianshu Grupo C",24,IF(Atletas!I533="Nandao Grupo C",25,IF(Atletas!I533="Taijijian Grupo C",26,IF(Atletas!I533="Daoshu Grupo B",27,IF(Atletas!I533="Jianshu Grupo B",28,IF(Atletas!I533="Nandao Grupo B",29,IF(Atletas!I533="Taijijian Grupo B",30,IF(Atletas!I533="Daoshu Grupo A",31,IF(Atletas!I533="Jianshu Grupo A",32,IF(Atletas!I533="Nandao Grupo A",33,IF(Atletas!I533="Taijijian Grupo A",34,IF(Atletas!I533="Daoshu Opcional",35,IF(Atletas!I533="Jianshu Opcional",36,IF(Atletas!I533="Nandao Opcional",37,IF(Atletas!I533="Taijijian Opcional",38,IF(Atletas!I533="Daoshu Adulto",39,IF(Atletas!I533="Jianshu Adulto",40,IF(Atletas!I533="Nandao Adulto",41,IF(Atletas!I533="Taijijian Adulto",42,""))))))))))))))))))))))))))</f>
        <v/>
      </c>
      <c r="BH542" s="52" t="str">
        <f>IF(Atletas!J533="","",IF(Atletas!B533="Feminino",100,IF(Atletas!B533="Masculino",200,""))+(IF(Atletas!J533="Gunshu Mirim",43,IF(Atletas!J533="Qiangshu Mirim",44,IF(Atletas!J533="Nangun Mirim",45,IF(Atletas!J533="Gunshu Grupo C",46,IF(Atletas!J533="Qiangshu Grupo C",47,IF(Atletas!J533="Nangun Grupo C",48,IF(Atletas!J533="Gunshu Grupo B",49,IF(Atletas!J533="Qiangshu Grupo B",50,IF(Atletas!J533="Nangun Grupo B",51,IF(Atletas!J533="Gunshu Grupo A",52,IF(Atletas!J533="Qiangshu Grupo A",53,IF(Atletas!J533="Nangun Grupo A",54,IF(Atletas!J533="Gunshu Opcional",55,IF(Atletas!J533="Qiangshu Opcional",56,IF(Atletas!J533="Nangun Opcional",57,IF(Atletas!J533="Gunshu Adulto",58,IF(Atletas!J533="Qiangshu Adulto",59,IF(Atletas!J533="Nangun Adulto",60,IF(Atletas!J533="Taijishan Grupo B",61,IF(Atletas!J533="Taijishan Grupo A",62,""))))))))))))))))))))))</f>
        <v/>
      </c>
      <c r="BM542" s="50" t="str">
        <f>IF(Atletas!K533="","",IF(Atletas!B533="Feminino",100,IF(Atletas!B533="Masculino",200,""))+(IF(Atletas!K533="Equipe 1 Grupo B",1,IF(Atletas!K533="Equipe 2 Grupo B",2,IF(Atletas!K533="Equipe 1 Grupo A",3,IF(Atletas!K533="Equipe 2 Grupo A",4,IF(Atletas!K533="Equipe 1 Adulto",5,IF(Atletas!K533="Equipe 2 Adulto",6,""))))))))</f>
        <v/>
      </c>
      <c r="BR542" s="50" t="str">
        <f>IF(Atletas!L533="","",IF(Atletas!X533&lt;&gt;"",10000,0)+(IF(Atletas!B533="Feminino",1000,IF(Atletas!B533="Masculino",2000,""))+IF(Atletas!L533="Choylayfut A",1,IF(Atletas!L533="Hunggar A",2,IF(Atletas!L533="Wuzuquan A",3,IF(Atletas!L533="Wingchun A",4,IF(Atletas!L533="Outra Mão de Sul A",5,IF(Atletas!L533="Choylayfut B",6,IF(Atletas!L533="Hunggar B",7,IF(Atletas!L533="Wuzuquan B",8,IF(Atletas!L533="Wingchun B",9,IF(Atletas!L533="Outra Mão de Sul B",10,IF(Atletas!L533="Choylayfut C",11,IF(Atletas!L533="Hunggar C",12,IF(Atletas!L533="Wuzuquan C",13,IF(Atletas!L533="Wingchun C",14,IF(Atletas!L533="Outra Mão de Sul C",15,IF(Atletas!L533="Choylayfut D",16,IF(Atletas!L533="Hunggar D",17,IF(Atletas!L533="Wuzuquan D",18,IF(Atletas!L533="Wingchun D",19,IF(Atletas!L533="Outra Mão de Sul D",20,IF(Atletas!L533="Choylayfut E",21,IF(Atletas!L533="Hunggar E",22,IF(Atletas!L533="Wuzuquan E",23,IF(Atletas!L533="Wingchun E",24,IF(Atletas!L533="Outra Mão de Sul E",25,IF(Atletas!L533="Choylayfut F",26,IF(Atletas!L533="Hunggar F",27,IF(Atletas!L533="Wuzuquan F",28,IF(Atletas!L533="Wingchun F",29,IF(Atletas!L533="Outra Mão de Sul F",30,IF(Atletas!L533="Dishuquan A",31,IF(Atletas!L533="Dishuquan B",32,IF(Atletas!L533="Dishuquan C",33,IF(Atletas!L533="Dishuquan D",34,IF(Atletas!L533="Dishuquan E",35,IF(Atletas!L533="Dishuquan F",36,""))))))))))))))))))))))))))))))))))))))</f>
        <v/>
      </c>
      <c r="BS542" s="50" t="str">
        <f>IF(Atletas!M533="","",IF(Atletas!X533&lt;&gt;"",10000,0)+(IF(Atletas!B533="Feminino",1000,IF(Atletas!B533="Masculino",2000,""))+(IF(Atletas!M533="Chaquan A",101,IF(Atletas!M533="Emeiquan A",102,IF(Atletas!M533="Fanziquan A",103,IF(Atletas!M533="Huaquan A",104,IF(Atletas!M533="Hongquan A",105,IF(Atletas!M533="Paoquan A",106,IF(Atletas!M533="Piguaquan A",107,IF(Atletas!M533="Shaolinquan A",108,IF(Atletas!M533="Tanglangquan A",109,IF(Atletas!M533="Yingzhaoquan A",110,IF(Atletas!M533="Tongbeiquan A",111,IF(Atletas!M533="Wudangquan A",112,IF(Atletas!M533="Outros Estilos A",113,IF(Atletas!M533="Chaquan B",114,IF(Atletas!M533="Emeiquan B",115,IF(Atletas!M533="Fanziquan B",116,IF(Atletas!M533="Huaquan B",117,IF(Atletas!M533="Hongquan B",118,IF(Atletas!M533="Paoquan B",119,IF(Atletas!M533="Piguaquan B",120,IF(Atletas!M533="Shaolinquan B",121,IF(Atletas!M533="Tanglangquan B",122,IF(Atletas!M533="Yingzhaoquan B",123,IF(Atletas!M533="Tongbeiquan B",124,IF(Atletas!M533="Wudangquan B",125,IF(Atletas!M533="Outros Estilos B",126,IF(Atletas!M533="Chaquan C",127,IF(Atletas!M533="Emeiquan C",128,IF(Atletas!M533="Fanziquan C",129,IF(Atletas!M533="Huaquan C",130,IF(Atletas!M533="Hongquan C",131,IF(Atletas!M533="Paoquan C",132,IF(Atletas!M533="Piguaquan C",133,IF(Atletas!M533="Shaolinquan C",134,IF(Atletas!M533="Tanglangquan C",135,IF(Atletas!M533="Yingzhaoquan C",136,IF(Atletas!M533="Tongbeiquan C",137,IF(Atletas!M533="Wudangquan C",138,IF(Atletas!M533="Outros Estilos C",139,0))))))))))))))))))))))))))))))))))))))))))</f>
        <v/>
      </c>
      <c r="BT542" s="50" t="str">
        <f>IF(Atletas!M533="","",IF(Atletas!X533&lt;&gt;"",10000,0)+(IF(Atletas!B533="Feminino",1000,IF(Atletas!B533="Masculino",2000,""))+(IF(Atletas!M533="Chaquan D",140,IF(Atletas!M533="Emeiquan D",141,IF(Atletas!M533="Fanziquan D",142,IF(Atletas!M533="Huaquan D",143,IF(Atletas!M533="Hongquan D",144,IF(Atletas!M533="Paoquan D",145,IF(Atletas!M533="Piguaquan D",146,IF(Atletas!M533="Shaolinquan D",147,IF(Atletas!M533="Tanglangquan D",148,IF(Atletas!M533="Yingzhaoquan D",149,IF(Atletas!M533="Tongbeiquan D",150,IF(Atletas!M533="Wudangquan D",151,IF(Atletas!M533="Outros Estilos D",152,IF(Atletas!M533="Chaquan E",153,IF(Atletas!M533="Emeiquan E",154,IF(Atletas!M533="Fanziquan E",155,IF(Atletas!M533="Huaquan E",156,IF(Atletas!M533="Hongquan E",157,IF(Atletas!M533="Paoquan E",158,IF(Atletas!M533="Piguaquan E",159,IF(Atletas!M533="Shaolinquan E",160,IF(Atletas!M533="Tanglangquan E",161,IF(Atletas!M533="Yingzhaoquan E",162,IF(Atletas!M533="Tongbeiquan E",163,IF(Atletas!M533="Wudangquan E",164,IF(Atletas!M533="Outros Estilos E",165,IF(Atletas!M533="Chaquan F",166,IF(Atletas!M533="Emeiquan F",167,IF(Atletas!M533="Fanziquan F",168,IF(Atletas!M533="Huaquan F",169,IF(Atletas!M533="Hongquan F",170,IF(Atletas!M533="Paoquan F",171,IF(Atletas!M533="Piguaquan F",172,IF(Atletas!M533="Shaolinquan F",173,IF(Atletas!M533="Tanglangquan F",174,IF(Atletas!M533="Yingzhaoquan F",175,IF(Atletas!M533="Tongbeiquan F",176,IF(Atletas!M533="Wudangquan F",177,IF(Atletas!M533="Outros Estilos F",178,0))))))))))))))))))))))))))))))))))))))))))</f>
        <v/>
      </c>
      <c r="BU542" s="50" t="str">
        <f>IF(Atletas!N533="","",IF(Atletas!X533&lt;&gt;"",10000,0)+(IF(Atletas!B533="Feminino",1000,IF(Atletas!B533="Masculino",2000,""))+(IF(Atletas!N533="Ditangquan A",201,IF(Atletas!N533="Houquan A",202,IF(Atletas!N533="Zuiquan A",203,IF(Atletas!N533="Ditangquan B",204,IF(Atletas!N533="Houquan B",205,IF(Atletas!N533="Zuiquan B",206,IF(Atletas!N533="Ditangquan C",207,IF(Atletas!N533="Houquan C",208,IF(Atletas!N533="Zuiquan C",209,IF(Atletas!N533="Ditangquan D",210,IF(Atletas!N533="Houquan D",211,IF(Atletas!N533="Zuiquan D",212,IF(Atletas!N533="Ditangquan E",213,IF(Atletas!N533="Houquan E",214,IF(Atletas!N533="Zuiquan E",215,IF(Atletas!N533="Ditangquan F",216,IF(Atletas!N533="Houquan F",217,IF(Atletas!N533="Zuiquan F",218,"")))))))))))))))))))))</f>
        <v/>
      </c>
      <c r="BV542" s="50" t="str">
        <f>IF(Atletas!O533="","",IF(Atletas!X533&lt;&gt;"",10000,0)+IF(Atletas!B533="Feminino",1000,IF(Atletas!B533="Masculino",2000,""))+IF(Atletas!O533="Yang A",301,IF(Atletas!O533="Chen A",302,IF(Atletas!O533="Sun A",303,IF(Atletas!O533="Wu A",304,IF(Atletas!O533="Wu-Hao A",305,IF(Atletas!O533="Outro Taijiquan A",306,IF(Atletas!O533="Yang B",307,IF(Atletas!O533="Chen B",308,IF(Atletas!O533="Sun B",309,IF(Atletas!O533="Wu B",310,IF(Atletas!O533="Wu-Hao B",311,IF(Atletas!O533="Outro Taijiquan B",312,IF(Atletas!O533="Yang C",313,IF(Atletas!O533="Chen C",314,IF(Atletas!O533="Sun C",315,IF(Atletas!O533="Wu C",316,IF(Atletas!O533="Wu-Hao C",317,IF(Atletas!O533="Outro Taijiquan C",318,IF(Atletas!O533="Yang D",319,IF(Atletas!O533="Chen D",320,IF(Atletas!O533="Sun D",321,IF(Atletas!O533="Wu D",322,IF(Atletas!O533="Wu-Hao D",323,IF(Atletas!O533="Outro Taijiquan D",324,IF(Atletas!O533="Yang E",325,IF(Atletas!O533="Chen E",326,IF(Atletas!O533="Sun E",327,IF(Atletas!O533="Wu E",328,IF(Atletas!O533="Wu-Hao E",329,IF(Atletas!O533="Outro Taijiquan E",330,IF(Atletas!O533="Yang F",331,IF(Atletas!O533="Chen F",332,IF(Atletas!O533="Sun F",333,IF(Atletas!O533="Wu F",334,IF(Atletas!O533="Wu-Hao F",335,IF(Atletas!O533="Outro Taijiquan F",336,"")))))))))))))))))))))))))))))))))))))</f>
        <v/>
      </c>
      <c r="BW542" s="50" t="str">
        <f>IF(Atletas!P533="","",IF(Atletas!X533&lt;&gt;"",10000,0)+IF(Atletas!B533="Feminino",1000,IF(Atletas!B533="Masculino",2000,""))+IF(OR(Atletas!P533="Yang 26 A",Atletas!P533="Yang 40 A"),401,IF(OR(Atletas!P533="Chen 25 A",Atletas!P533="Chen 36 A",Atletas!P533="Chen 56 A"),402,IF(Atletas!P533="Sun 73 A",403,IF(Atletas!P533="Wu 45 A",404,IF(Atletas!P533="Wu-Hao 46 A",405,IF(OR(Atletas!P533="Taijiquan 16 A",Atletas!P533="Taijiquan 24 A",Atletas!P533="Taijiquan 32 A",Atletas!P533="Taijiquan 42 A"),406,IF(OR(Atletas!P533="Yang 26 B",Atletas!P533="Yang 40 B"),407,IF(OR(Atletas!P533="Chen 25 B",Atletas!P533="Chen 36 B",Atletas!P533="Chen 56 B"),408,IF(Atletas!P533="Sun 73 B",409,IF(Atletas!P533="Wu 45 B",410,IF(Atletas!P533="Wu-Hao 46 B",411,IF(OR(Atletas!P533="Taijiquan 16 B",Atletas!P533="Taijiquan 24 B",Atletas!P533="Taijiquan 32 B",Atletas!P533="Taijiquan 42 B"),412,IF(OR(Atletas!P533="Yang 26 C",Atletas!P533="Yang 40 C"),413,IF(OR(Atletas!P533="Chen 25 C",Atletas!P533="Chen 36 C",Atletas!P533="Chen 56 C"),414,IF(Atletas!P533="Sun 73 C",415,IF(Atletas!P533="Wu 45 C",416,IF(Atletas!P533="Wu-Hao 46 C",417,IF(OR(Atletas!P533="Taijiquan 16 C",Atletas!P533="Taijiquan 24 C",Atletas!P533="Taijiquan 32 C",Atletas!P533="Taijiquan 42 C"),418,0)))))))))))))))))))</f>
        <v/>
      </c>
      <c r="BX542" s="50" t="str">
        <f>IF(Atletas!P533="","",IF(Atletas!X533&lt;&gt;"",10000,0)+IF(Atletas!B533="Feminino",1000,IF(Atletas!B533="Masculino",2000,""))+IF(OR(Atletas!P533="Yang 26 D",Atletas!P533="Yang 40 D"),419,IF(OR(Atletas!P533="Chen 25 D",Atletas!P533="Chen 36 D",Atletas!P533="Chen 56 D"),420,IF(Atletas!P533="Sun 73 D",421,IF(Atletas!P533="Wu 45 D",422,IF(Atletas!P533="Wu-Hao 46 D",423,IF(OR(Atletas!P533="Taijiquan 16 D",Atletas!P533="Taijiquan 24 D",Atletas!P533="Taijiquan 32 D",Atletas!P533="Taijiquan 42 D"),424,IF(OR(Atletas!P533="Yang 26 E",Atletas!P533="Yang 40 E"),425,IF(OR(Atletas!P533="Chen 25 E",Atletas!P533="Chen 36 E",Atletas!P533="Chen 56 E"),426,IF(Atletas!P533="Sun 73 E",427,IF(Atletas!P533="Wu 45 E",428,IF(Atletas!P533="Wu-Hao 46 E",429,IF(OR(Atletas!P533="Taijiquan 16 E",Atletas!P533="Taijiquan 24 E",Atletas!P533="Taijiquan 32 E",Atletas!P533="Taijiquan 42 E"),430,IF(OR(Atletas!P533="Yang 26 F",Atletas!P533="Yang 40 F"),431,IF(OR(Atletas!P533="Chen 25 F",Atletas!P533="Chen 36 F",Atletas!P533="Chen 56 F"),432,IF(Atletas!P533="Sun 73 F",433,IF(Atletas!P533="Wu 45 F",434,IF(Atletas!P533="Wu-Hao 46 F",435,IF(OR(Atletas!P533="Taijiquan 16 F",Atletas!P533="Taijiquan 24 F",Atletas!P533="Taijiquan 32 F",Atletas!P533="Taijiquan 42 F"),436,0)))))))))))))))))))</f>
        <v/>
      </c>
      <c r="BY542" s="50" t="str">
        <f>IF(Atletas!Q533="","",IF(Atletas!X533&lt;&gt;"",10000,0)+IF(Atletas!B533="Feminino",1000,IF(Atletas!B533="Masculino",2000,""))+IF(Atletas!Q533="Xingyiquan A",501,IF(Atletas!Q533="Baguazhang A",502,IF(Atletas!Q533="Outro Estilo Interno A",503,IF(Atletas!Q533="Xingyiquan B",504,IF(Atletas!Q533="Baguazhang B",505,IF(Atletas!Q533="Outro Estilo Interno B",506,IF(Atletas!Q533="Xingyiquan C",507,IF(Atletas!Q533="Baguazhang C",508,IF(Atletas!Q533="Outro Estilo Interno C",509,IF(Atletas!Q533="Xingyiquan D",510,IF(Atletas!Q533="Baguazhang D",511,IF(Atletas!Q533="Outro Estilo Interno D",512,IF(Atletas!Q533="Xingyiquan E",513,IF(Atletas!Q533="Baguazhang E",514,IF(Atletas!Q533="Outro Estilo Interno E",515,IF(Atletas!Q533="Xingyiquan F",516,IF(Atletas!Q533="Baguazhang F",517,IF(Atletas!Q533="Outro Estilo Interno F",518, "")))))))))))))))))))</f>
        <v/>
      </c>
      <c r="BZ542" s="50" t="str">
        <f>IF(Atletas!R533="","",IF(Atletas!X533&lt;&gt;"",10000,0)+IF(Atletas!B533="Feminino",1000,IF(Atletas!B533="Masculino",2000,""))+IF(Atletas!R533="Dao A",601,IF(Atletas!R533="Jian A",602,IF(Atletas!R533="Bishou A",603,IF(Atletas!R533="Shanzi A",604,IF(Atletas!R533="Outra Arma Curta A",605,IF(Atletas!R533="Dao B",606,IF(Atletas!R533="Jian B",607,IF(Atletas!R533="Bishou B",608,IF(Atletas!R533="Shanzi B",609,IF(Atletas!R533="Outra Arma Curta B",610,IF(Atletas!R533="Dao C",611,IF(Atletas!R533="Jian C",612,IF(Atletas!R533="Bishou C",613,IF(Atletas!R533="Shanzi C",614,IF(Atletas!R533="Outra Arma Curta C",615,IF(Atletas!R533="Dao D",616,IF(Atletas!R533="Jian D",617,IF(Atletas!R533="Bishou D",618,IF(Atletas!R533="Shanzi D",619,IF(Atletas!R533="Outra Arma Curta D",620,IF(Atletas!R533="Dao E",621,IF(Atletas!R533="Jian E",622,IF(Atletas!R533="Bishou E",623,IF(Atletas!R533="Shanzi E",624,IF(Atletas!R533="Outra Arma Curta E",625,IF(Atletas!R533="Dao F",626,IF(Atletas!R533="Jian F",627,IF(Atletas!R533="Bishou F",628,IF(Atletas!R533="Shanzi F",629,IF(Atletas!R533="Outra Arma Curta F",630, "")))))))))))))))))))))))))))))))</f>
        <v/>
      </c>
      <c r="CA542" s="50" t="str">
        <f>IF(Atletas!S533="","",IF(Atletas!X533&lt;&gt;"",10000,0)+IF(Atletas!B533="Feminino",1000,IF(Atletas!B533="Masculino",2000,""))+IF(Atletas!S533="Gun A",701,IF(Atletas!S533="Qiang A",702,IF(Atletas!S533="Pudao / Guandao A",703,IF(Atletas!S533="Outra Arma Longa A",704,IF(Atletas!S533="Gun B",705,IF(Atletas!S533="Qiang B",706,IF(Atletas!S533="Pudao / Guandao B",707,IF(Atletas!S533="Outra Arma Longa B",708,IF(Atletas!S533="Gun C",709,IF(Atletas!S533="Qiang C",710,IF(Atletas!S533="Pudao / Guandao C",711,IF(Atletas!S533="Outra Arma Longa C",712,IF(Atletas!S533="Gun D",713,IF(Atletas!S533="Qiang D",714,IF(Atletas!S533="Pudao / Guandao D",715,IF(Atletas!S533="Outra Arma Longa D",716,IF(Atletas!S533="Gun E",717,IF(Atletas!S533="Qiang E",718,IF(Atletas!S533="Pudao / Guandao E",719,IF(Atletas!S533="Outra Arma Longa E",720,IF(Atletas!S533="Gun F",721,IF(Atletas!S533="Qiang F",722,IF(Atletas!S533="Pudao / Guandao F",723,IF(Atletas!S533="Outra Arma Longa F",724,"")))))))))))))))))))))))))</f>
        <v/>
      </c>
      <c r="CB542" s="50" t="str">
        <f>IF(Atletas!T533="","",IF(Atletas!X533&lt;&gt;"",10000,0)+IF(Atletas!B533="Feminino",1000,IF(Atletas!B533="Masculino",2000,""))+IF(Atletas!T533="Outra Arma Dupla A",801,IF(Atletas!T533="Arma Maleável A",802,IF(Atletas!T533="Outra Arma Dupla B",803,IF(Atletas!T533="Arma Maleável B",804,IF(Atletas!T533="Outra Arma Dupla C",805,IF(Atletas!T533="Arma Maleável C",806,IF(Atletas!T533="Outra Arma Dupla D",807,IF(Atletas!T533="Arma Maleável D",808,IF(Atletas!T533="Outra Arma Dupla E",809,IF(Atletas!T533="Arma Maleável E",810,IF(Atletas!T533="Outra Arma Dupla F",811,IF(Atletas!T533="Arma Maleável F",812,IF(Atletas!T533="Shuangdao A",813,IF(Atletas!T533="Shuangdao B",814,IF(Atletas!T533="Shuangdao C",815,IF(Atletas!T533="Shuangdao D",816,IF(Atletas!T533="Shuangdao E",817,IF(Atletas!T533="Shuangdao F",818,"")))))))))))))))))))</f>
        <v/>
      </c>
      <c r="CC542" s="50" t="str">
        <f>IF(Atletas!U533="","",IF(Atletas!X533&lt;&gt;"",10000,0)+IF(Atletas!B533="Feminino",1000,IF(Atletas!B533="Masculino",2000,""))+IF(OR(Atletas!U533="Taijijian Yang A",Atletas!U533="Taijijian Yang Standard A"),901,IF(OR(Atletas!U533="Taijijian Chen A", Atletas!U533="Taijijian Chen Standard A"),902,IF(Atletas!U533="Taijijian Sun A",903,IF(Atletas!U533="Taijijian Wu A",904,IF(Atletas!U533="Taijijian Wu-Hao A",905,IF(OR(Atletas!U533="Taijijian 32 A",Atletas!U533="Taijijian 42 A"),906,IF(OR(Atletas!U533="Taijijian Yang B",Atletas!U533="Taijijian Yang Standard B"),907,IF(OR(Atletas!U533="Taijijian Chen B", Atletas!U533="Taijijian Chen Standard B"),908,IF(Atletas!U533="Taijijian Sun B",909,IF(Atletas!U533="Taijijian Wu B",910,IF(Atletas!U533="Taijijian Wu-Hao B",911,IF(OR(Atletas!U533="Taijijian 32 B",Atletas!U533="Taijijian 42 B"),912,IF(OR(Atletas!U533="Taijijian Yang C",Atletas!U533="Taijijian Yang Standard C"),913,IF(OR(Atletas!U533="Taijijian Chen C", Atletas!U533="Taijijian Chen Standard C"),914,IF(Atletas!U533="Taijijian Sun C",915,IF(Atletas!U533="Taijijian Wu C",916,IF(Atletas!U533="Taijijian Wu-Hao C",917,IF(OR(Atletas!U533="Taijijian 32 C",Atletas!U533="Taijijian 42 C"),918,IF(OR(Atletas!U533="Taijijian Yang D",Atletas!U533="Taijijian Yang Standard D"),919,IF(OR(Atletas!U533="Taijijian Chen D", Atletas!U533="Taijijian Chen Standard D"),920,IF(Atletas!U533="Taijijian Sun D",921,IF(Atletas!U533="Taijijian Wu D",922,IF(Atletas!U533="Taijijian Wu-Hao D",923,IF(OR(Atletas!U533="Taijijian 32 D",Atletas!U533="Taijijian 42 D"),924,IF(OR(Atletas!U533="Taijijian Yang E",Atletas!U533="Taijijian Yang Standard E"),925,IF(OR(Atletas!U533="Taijijian Chen E", Atletas!U533="Taijijian Chen Standard E"),926,IF(Atletas!U533="Taijijian Sun E",927,IF(Atletas!U533="Taijijian Wu E",928,IF(Atletas!U533="Taijijian Wu-Hao E",929,IF(OR(Atletas!U533="Taijijian 32 E",Atletas!U533="Taijijian 42 E"),930,IF(OR(Atletas!U533="Taijijian Yang F",Atletas!U533="Taijijian Yang Standard F"),931,IF(OR(Atletas!U533="Taijijian Chen F", Atletas!U533="Taijijian Chen Standard F"),932,IF(Atletas!U533="Taijijian Sun F",933,IF(Atletas!U533="Taijijian Wu F",934,IF(Atletas!U533="Taijijian Wu-Hao F",935,IF(OR(Atletas!U533="Taijijian 32 F",Atletas!U533="Taijijian 42 F"),936,"")))))))))))))))))))))))))))))))))))))</f>
        <v/>
      </c>
      <c r="CD542" s="50" t="str">
        <f>IF(Atletas!V533="","",IF(Atletas!X533&lt;&gt;"",10000,0)+IF(Atletas!B533="Feminino",1000,IF(Atletas!B533="Masculino",2000,""))+IF(Atletas!V533="Taijidao A",937,IF(Atletas!V533="TaijiShanzi A",938,IF(Atletas!V533="Taijiqiang A",939,IF(Atletas!V533="Bagua de Arma A",940,IF(Atletas!V533="Xingyi de Arma A",941,IF(Atletas!V533="Taijidao B",942,IF(Atletas!V533="TaijiShanzi B",943,IF(Atletas!V533="Taijiqiang B",944,IF(Atletas!V533="Bagua de Arma B",945,IF(Atletas!V533="Xingyi de Arma B",946,IF(Atletas!V533="Taijidao C",947,IF(Atletas!V533="TaijiShanzi C",948,IF(Atletas!V533="Taijiqiang C",949,IF(Atletas!V533="Bagua de Arma C",950,IF(Atletas!V533="Xingyi de Arma C",951,IF(Atletas!V533="Taijidao D",952,IF(Atletas!V533="TaijiShanzi D",953,IF(Atletas!V533="Taijiqiang D",954,IF(Atletas!V533="Bagua de Arma D",955,IF(Atletas!V533="Xingyi de Arma D",956,IF(Atletas!V533="Taijidao E",957,IF(Atletas!V533="TaijiShanzi E",958,IF(Atletas!V533="Taijiqiang E",959,IF(Atletas!V533="Bagua de Arma E",960,IF(Atletas!V533="Xingyi de Arma E",961,IF(Atletas!V533="Taijidao F",962,IF(Atletas!V533="TaijiShanzi F",963,IF(Atletas!V533="Taijiqiang F",964,IF(Atletas!V533="Bagua de Arma F",965,IF(Atletas!V533="Xingyi de Arma F",966,"")))))))))))))))))))))))))))))))</f>
        <v/>
      </c>
      <c r="CM542" s="50" t="str">
        <f xml:space="preserve"> IF(Atletas!W533="","",IF(Atletas!W533="Duilian de Mãos BC - Equipe 1",1,IF(Atletas!W533="Duilian de Mãos BC - Equipe 2",2,IF(Atletas!W533="Duilian de Armas BC - Equipe 1",3,IF(Atletas!W533="Duilian de Armas BC - Equipe 2",4,IF(Atletas!W533="Duilian de Mãos DE - Equipe 1",5,IF(Atletas!W533="Duilian de Mãos DE - Equipe 2",6,IF(Atletas!W533="Duilian de Armas DE - Equipe 1",7,IF(Atletas!W533="Duilian de Armas DE - Equipe 2",8,IF(Atletas!W533="Duilian de Tuishou - Equipe 1",9,IF(Atletas!W533="Duilian de Tuishou - Equipe 2",10,IF(Atletas!W533="Grupo Externo ABC - Equipe 1",11,IF(Atletas!W533="Grupo Externo ABC - Equipe 2",12,IF(Atletas!W533="Grupo Interno ABC - Equipe 1",13,IF(Atletas!W533="Grupo Interno ABC - Equipe 2",14,IF(Atletas!W533="Grupo Externo DEF - Equipe 1",15,IF(Atletas!W533="Grupo Externo DEF - Equipe 2",16,IF(Atletas!W533="Grupo Interno DEF - Equipe 1",17,IF(Atletas!W533="Grupo Interno DEF - Equipe 2",18,"")))))))))))))))))))</f>
        <v/>
      </c>
    </row>
    <row r="543" spans="40:91">
      <c r="AN543" s="52" t="str">
        <f>IF(Atletas!D534="","",IF(Atletas!B534="Feminino",100,IF(Atletas!B534="Masculino",200,""))+(IF(Atletas!D534="Kids 30kg",1,IF(Atletas!D534="Kids 32kg",2, IF(Atletas!D534="Kids 34kg",3,IF(Atletas!D534="Kids 36kg",4,IF(Atletas!D534="Kids 39kg",5,IF(Atletas!D534="Kids 42kg",6,IF(Atletas!D534="Kids 45kg",7, IF(Atletas!D534="Infantil 39kg",8,IF(Atletas!D534="Infantil 42kg",9,IF(Atletas!D534="Infantil 45kg",10,IF(Atletas!D534="Infantil 48kg",11,IF(Atletas!D534="Infantil 52kg",12,IF(Atletas!D534="Infantil 56kg",13,IF(Atletas!D534="Infantil 60kg",14,IF(Atletas!D534="Juvenil 48kg",15,IF(Atletas!D534="Juvenil 52kg",16,IF(Atletas!D534="Juvenil 56kg",17,IF(Atletas!D534="Juvenil 60kg",18,IF(Atletas!D534="Juvenil 65kg",19,IF(Atletas!D534="Juvenil 70kg",20,IF(Atletas!D534="Juvenil 75kg",21,IF(Atletas!D534="Juvenil 80kg",22, IF(Atletas!D534="Juvenil 85kg",23,IF(Atletas!D534="Adulto 48kg",24,IF(Atletas!D534="Adulto 52kg",25,IF(Atletas!D534="Adulto 56kg",26,IF(Atletas!D534="Adulto 60kg",27,IF(Atletas!D534="Adulto 65kg",28,IF(Atletas!D534="Adulto 70kg",29,IF(Atletas!D534="Adulto 75kg",30,IF(Atletas!D534="Adulto 80kg",31,IF(Atletas!D534="Adulto 85kg",32,IF(Atletas!D534="Adulto 90kg",33,IF(Atletas!D534="Adulto 100kg",34, IF(Atletas!D534="Adulto +100kg",35,"")))))))))))))))))))))))))))))))))))))</f>
        <v/>
      </c>
      <c r="AS543" s="6" t="str">
        <f>IF(Atletas!E534="","",IF(Atletas!B534="Feminino",100,IF(Atletas!B534="Masculino",200,""))+(IF(Atletas!E534="Juvenil 44kg",1,IF(Atletas!E534="Juvenil 48kg",2,IF(Atletas!E534="Juvenil 52kg",3,IF(Atletas!E534="Juvenil 56kg",4,IF(Atletas!E534="Juvenil 60kg",5,IF(Atletas!E534="Juvenil 65kg",6,IF(Atletas!E534="Juvenil 70kg",7,IF(Atletas!E534="Juvenil 75kg",8,IF(Atletas!E534="Juvenil 82kg",9,IF(Atletas!E534="Juvenil 90kg",10,IF(Atletas!E534="Juvenil 100kg",11,IF(Atletas!E534="Adulto 48kg",12,IF(Atletas!E534="Adulto 52kg",13,IF(Atletas!E534="Adulto 56kg",14,IF(Atletas!E534="Adulto 60kg",15,IF(Atletas!E534="Adulto 65kg",16,IF(Atletas!E534="Adulto 70kg",17,IF(Atletas!E534="Adulto 75kg",18,IF(Atletas!E534="Adulto 82kg",19,IF(Atletas!E534="Adulto 90kg",20,IF(Atletas!E534="Adulto 100kg",21,IF(Atletas!E534="Adulto +100kg",22,""))))))))))))))))))))))))</f>
        <v/>
      </c>
      <c r="AX543" s="6" t="str">
        <f>IF(Atletas!F534="","",IF(Atletas!B534="Feminino",100,IF(Atletas!B534="Masculino",200,""))+(IF(Atletas!F534="Adulto 48kg",1,IF(Atletas!F534="Adulto 56kg",2,IF(Atletas!F534="Adulto 65kg",3,IF(Atletas!F534="Adulto 75kg",4,IF(Atletas!F534="Adulto +75kg",5,IF(Atletas!F534="Adulto 52kg",6,IF(Atletas!F534="Adulto 60kg",7,IF(Atletas!F534="Adulto 70kg",8,IF(Atletas!F534="Adulto 80kg",9,IF(Atletas!F534="Adulto 90kg",10,IF(Atletas!F534="Adulto +90kg",11,"")))))))))))))</f>
        <v/>
      </c>
      <c r="BC543" s="6" t="str">
        <f>IF(Atletas!G534="","",IF(Atletas!B534="Feminino",10,IF(Atletas!B534="Masculino",20,""))+(IF(Atletas!G534="Baduanjin A",1,IF(Atletas!G534="Baduanjin B",2))))</f>
        <v/>
      </c>
      <c r="BF543" s="52" t="str">
        <f>IF(Atletas!H534="","",IF(Atletas!B534="Feminino",100,IF(Atletas!B534="Masculino",200,""))+(IF(Atletas!H534="Changquan Mirim",1,IF(Atletas!H534="Nanquan Mirim",2,IF(Atletas!H534="Taijiquan Mirim",3,IF(Atletas!H534="Changquan Grupo C",4,IF(Atletas!H534="Nanquan Grupo C",5,IF(Atletas!H534="Taijiquan Grupo C",6,IF(Atletas!H534="Changquan Grupo B",7,IF(Atletas!H534="Nanquan Grupo B",8,IF(Atletas!H534="Taijiquan Grupo B",9,IF(Atletas!H534="Changquan Grupo A",10,IF(Atletas!H534="Nanquan Grupo A",11,IF(Atletas!H534="Taijiquan Grupo A",12,IF(Atletas!H534="Changquan Opcional",13,IF(Atletas!H534="Nanquan Opcional",14,IF(Atletas!H534="Taijiquan Opcional",15,IF(Atletas!H534="Changquan Adulto",16,IF(Atletas!H534="Nanquan Adulto",17,IF(Atletas!H534="Taijiquan Adulto",18,""))))))))))))))))))))</f>
        <v/>
      </c>
      <c r="BG543" s="52" t="str">
        <f>IF(Atletas!I534="","",IF(Atletas!B534="Feminino",100,IF(Atletas!B534="Masculino",200,""))+(IF(Atletas!I534="Daoshu Mirim",19,IF(Atletas!I534="Jianshu Mirim",20,IF(Atletas!I534="Nandao Mirim",21,IF(Atletas!I534="Taijijian Mirim",22,IF(Atletas!I534="Daoshu Grupo C",23,IF(Atletas!I534="Jianshu Grupo C",24,IF(Atletas!I534="Nandao Grupo C",25,IF(Atletas!I534="Taijijian Grupo C",26,IF(Atletas!I534="Daoshu Grupo B",27,IF(Atletas!I534="Jianshu Grupo B",28,IF(Atletas!I534="Nandao Grupo B",29,IF(Atletas!I534="Taijijian Grupo B",30,IF(Atletas!I534="Daoshu Grupo A",31,IF(Atletas!I534="Jianshu Grupo A",32,IF(Atletas!I534="Nandao Grupo A",33,IF(Atletas!I534="Taijijian Grupo A",34,IF(Atletas!I534="Daoshu Opcional",35,IF(Atletas!I534="Jianshu Opcional",36,IF(Atletas!I534="Nandao Opcional",37,IF(Atletas!I534="Taijijian Opcional",38,IF(Atletas!I534="Daoshu Adulto",39,IF(Atletas!I534="Jianshu Adulto",40,IF(Atletas!I534="Nandao Adulto",41,IF(Atletas!I534="Taijijian Adulto",42,""))))))))))))))))))))))))))</f>
        <v/>
      </c>
      <c r="BH543" s="52" t="str">
        <f>IF(Atletas!J534="","",IF(Atletas!B534="Feminino",100,IF(Atletas!B534="Masculino",200,""))+(IF(Atletas!J534="Gunshu Mirim",43,IF(Atletas!J534="Qiangshu Mirim",44,IF(Atletas!J534="Nangun Mirim",45,IF(Atletas!J534="Gunshu Grupo C",46,IF(Atletas!J534="Qiangshu Grupo C",47,IF(Atletas!J534="Nangun Grupo C",48,IF(Atletas!J534="Gunshu Grupo B",49,IF(Atletas!J534="Qiangshu Grupo B",50,IF(Atletas!J534="Nangun Grupo B",51,IF(Atletas!J534="Gunshu Grupo A",52,IF(Atletas!J534="Qiangshu Grupo A",53,IF(Atletas!J534="Nangun Grupo A",54,IF(Atletas!J534="Gunshu Opcional",55,IF(Atletas!J534="Qiangshu Opcional",56,IF(Atletas!J534="Nangun Opcional",57,IF(Atletas!J534="Gunshu Adulto",58,IF(Atletas!J534="Qiangshu Adulto",59,IF(Atletas!J534="Nangun Adulto",60,IF(Atletas!J534="Taijishan Grupo B",61,IF(Atletas!J534="Taijishan Grupo A",62,""))))))))))))))))))))))</f>
        <v/>
      </c>
      <c r="BM543" s="50" t="str">
        <f>IF(Atletas!K534="","",IF(Atletas!B534="Feminino",100,IF(Atletas!B534="Masculino",200,""))+(IF(Atletas!K534="Equipe 1 Grupo B",1,IF(Atletas!K534="Equipe 2 Grupo B",2,IF(Atletas!K534="Equipe 1 Grupo A",3,IF(Atletas!K534="Equipe 2 Grupo A",4,IF(Atletas!K534="Equipe 1 Adulto",5,IF(Atletas!K534="Equipe 2 Adulto",6,""))))))))</f>
        <v/>
      </c>
      <c r="BR543" s="50" t="str">
        <f>IF(Atletas!L534="","",IF(Atletas!X534&lt;&gt;"",10000,0)+(IF(Atletas!B534="Feminino",1000,IF(Atletas!B534="Masculino",2000,""))+IF(Atletas!L534="Choylayfut A",1,IF(Atletas!L534="Hunggar A",2,IF(Atletas!L534="Wuzuquan A",3,IF(Atletas!L534="Wingchun A",4,IF(Atletas!L534="Outra Mão de Sul A",5,IF(Atletas!L534="Choylayfut B",6,IF(Atletas!L534="Hunggar B",7,IF(Atletas!L534="Wuzuquan B",8,IF(Atletas!L534="Wingchun B",9,IF(Atletas!L534="Outra Mão de Sul B",10,IF(Atletas!L534="Choylayfut C",11,IF(Atletas!L534="Hunggar C",12,IF(Atletas!L534="Wuzuquan C",13,IF(Atletas!L534="Wingchun C",14,IF(Atletas!L534="Outra Mão de Sul C",15,IF(Atletas!L534="Choylayfut D",16,IF(Atletas!L534="Hunggar D",17,IF(Atletas!L534="Wuzuquan D",18,IF(Atletas!L534="Wingchun D",19,IF(Atletas!L534="Outra Mão de Sul D",20,IF(Atletas!L534="Choylayfut E",21,IF(Atletas!L534="Hunggar E",22,IF(Atletas!L534="Wuzuquan E",23,IF(Atletas!L534="Wingchun E",24,IF(Atletas!L534="Outra Mão de Sul E",25,IF(Atletas!L534="Choylayfut F",26,IF(Atletas!L534="Hunggar F",27,IF(Atletas!L534="Wuzuquan F",28,IF(Atletas!L534="Wingchun F",29,IF(Atletas!L534="Outra Mão de Sul F",30,IF(Atletas!L534="Dishuquan A",31,IF(Atletas!L534="Dishuquan B",32,IF(Atletas!L534="Dishuquan C",33,IF(Atletas!L534="Dishuquan D",34,IF(Atletas!L534="Dishuquan E",35,IF(Atletas!L534="Dishuquan F",36,""))))))))))))))))))))))))))))))))))))))</f>
        <v/>
      </c>
      <c r="BS543" s="50" t="str">
        <f>IF(Atletas!M534="","",IF(Atletas!X534&lt;&gt;"",10000,0)+(IF(Atletas!B534="Feminino",1000,IF(Atletas!B534="Masculino",2000,""))+(IF(Atletas!M534="Chaquan A",101,IF(Atletas!M534="Emeiquan A",102,IF(Atletas!M534="Fanziquan A",103,IF(Atletas!M534="Huaquan A",104,IF(Atletas!M534="Hongquan A",105,IF(Atletas!M534="Paoquan A",106,IF(Atletas!M534="Piguaquan A",107,IF(Atletas!M534="Shaolinquan A",108,IF(Atletas!M534="Tanglangquan A",109,IF(Atletas!M534="Yingzhaoquan A",110,IF(Atletas!M534="Tongbeiquan A",111,IF(Atletas!M534="Wudangquan A",112,IF(Atletas!M534="Outros Estilos A",113,IF(Atletas!M534="Chaquan B",114,IF(Atletas!M534="Emeiquan B",115,IF(Atletas!M534="Fanziquan B",116,IF(Atletas!M534="Huaquan B",117,IF(Atletas!M534="Hongquan B",118,IF(Atletas!M534="Paoquan B",119,IF(Atletas!M534="Piguaquan B",120,IF(Atletas!M534="Shaolinquan B",121,IF(Atletas!M534="Tanglangquan B",122,IF(Atletas!M534="Yingzhaoquan B",123,IF(Atletas!M534="Tongbeiquan B",124,IF(Atletas!M534="Wudangquan B",125,IF(Atletas!M534="Outros Estilos B",126,IF(Atletas!M534="Chaquan C",127,IF(Atletas!M534="Emeiquan C",128,IF(Atletas!M534="Fanziquan C",129,IF(Atletas!M534="Huaquan C",130,IF(Atletas!M534="Hongquan C",131,IF(Atletas!M534="Paoquan C",132,IF(Atletas!M534="Piguaquan C",133,IF(Atletas!M534="Shaolinquan C",134,IF(Atletas!M534="Tanglangquan C",135,IF(Atletas!M534="Yingzhaoquan C",136,IF(Atletas!M534="Tongbeiquan C",137,IF(Atletas!M534="Wudangquan C",138,IF(Atletas!M534="Outros Estilos C",139,0))))))))))))))))))))))))))))))))))))))))))</f>
        <v/>
      </c>
      <c r="BT543" s="50" t="str">
        <f>IF(Atletas!M534="","",IF(Atletas!X534&lt;&gt;"",10000,0)+(IF(Atletas!B534="Feminino",1000,IF(Atletas!B534="Masculino",2000,""))+(IF(Atletas!M534="Chaquan D",140,IF(Atletas!M534="Emeiquan D",141,IF(Atletas!M534="Fanziquan D",142,IF(Atletas!M534="Huaquan D",143,IF(Atletas!M534="Hongquan D",144,IF(Atletas!M534="Paoquan D",145,IF(Atletas!M534="Piguaquan D",146,IF(Atletas!M534="Shaolinquan D",147,IF(Atletas!M534="Tanglangquan D",148,IF(Atletas!M534="Yingzhaoquan D",149,IF(Atletas!M534="Tongbeiquan D",150,IF(Atletas!M534="Wudangquan D",151,IF(Atletas!M534="Outros Estilos D",152,IF(Atletas!M534="Chaquan E",153,IF(Atletas!M534="Emeiquan E",154,IF(Atletas!M534="Fanziquan E",155,IF(Atletas!M534="Huaquan E",156,IF(Atletas!M534="Hongquan E",157,IF(Atletas!M534="Paoquan E",158,IF(Atletas!M534="Piguaquan E",159,IF(Atletas!M534="Shaolinquan E",160,IF(Atletas!M534="Tanglangquan E",161,IF(Atletas!M534="Yingzhaoquan E",162,IF(Atletas!M534="Tongbeiquan E",163,IF(Atletas!M534="Wudangquan E",164,IF(Atletas!M534="Outros Estilos E",165,IF(Atletas!M534="Chaquan F",166,IF(Atletas!M534="Emeiquan F",167,IF(Atletas!M534="Fanziquan F",168,IF(Atletas!M534="Huaquan F",169,IF(Atletas!M534="Hongquan F",170,IF(Atletas!M534="Paoquan F",171,IF(Atletas!M534="Piguaquan F",172,IF(Atletas!M534="Shaolinquan F",173,IF(Atletas!M534="Tanglangquan F",174,IF(Atletas!M534="Yingzhaoquan F",175,IF(Atletas!M534="Tongbeiquan F",176,IF(Atletas!M534="Wudangquan F",177,IF(Atletas!M534="Outros Estilos F",178,0))))))))))))))))))))))))))))))))))))))))))</f>
        <v/>
      </c>
      <c r="BU543" s="50" t="str">
        <f>IF(Atletas!N534="","",IF(Atletas!X534&lt;&gt;"",10000,0)+(IF(Atletas!B534="Feminino",1000,IF(Atletas!B534="Masculino",2000,""))+(IF(Atletas!N534="Ditangquan A",201,IF(Atletas!N534="Houquan A",202,IF(Atletas!N534="Zuiquan A",203,IF(Atletas!N534="Ditangquan B",204,IF(Atletas!N534="Houquan B",205,IF(Atletas!N534="Zuiquan B",206,IF(Atletas!N534="Ditangquan C",207,IF(Atletas!N534="Houquan C",208,IF(Atletas!N534="Zuiquan C",209,IF(Atletas!N534="Ditangquan D",210,IF(Atletas!N534="Houquan D",211,IF(Atletas!N534="Zuiquan D",212,IF(Atletas!N534="Ditangquan E",213,IF(Atletas!N534="Houquan E",214,IF(Atletas!N534="Zuiquan E",215,IF(Atletas!N534="Ditangquan F",216,IF(Atletas!N534="Houquan F",217,IF(Atletas!N534="Zuiquan F",218,"")))))))))))))))))))))</f>
        <v/>
      </c>
      <c r="BV543" s="50" t="str">
        <f>IF(Atletas!O534="","",IF(Atletas!X534&lt;&gt;"",10000,0)+IF(Atletas!B534="Feminino",1000,IF(Atletas!B534="Masculino",2000,""))+IF(Atletas!O534="Yang A",301,IF(Atletas!O534="Chen A",302,IF(Atletas!O534="Sun A",303,IF(Atletas!O534="Wu A",304,IF(Atletas!O534="Wu-Hao A",305,IF(Atletas!O534="Outro Taijiquan A",306,IF(Atletas!O534="Yang B",307,IF(Atletas!O534="Chen B",308,IF(Atletas!O534="Sun B",309,IF(Atletas!O534="Wu B",310,IF(Atletas!O534="Wu-Hao B",311,IF(Atletas!O534="Outro Taijiquan B",312,IF(Atletas!O534="Yang C",313,IF(Atletas!O534="Chen C",314,IF(Atletas!O534="Sun C",315,IF(Atletas!O534="Wu C",316,IF(Atletas!O534="Wu-Hao C",317,IF(Atletas!O534="Outro Taijiquan C",318,IF(Atletas!O534="Yang D",319,IF(Atletas!O534="Chen D",320,IF(Atletas!O534="Sun D",321,IF(Atletas!O534="Wu D",322,IF(Atletas!O534="Wu-Hao D",323,IF(Atletas!O534="Outro Taijiquan D",324,IF(Atletas!O534="Yang E",325,IF(Atletas!O534="Chen E",326,IF(Atletas!O534="Sun E",327,IF(Atletas!O534="Wu E",328,IF(Atletas!O534="Wu-Hao E",329,IF(Atletas!O534="Outro Taijiquan E",330,IF(Atletas!O534="Yang F",331,IF(Atletas!O534="Chen F",332,IF(Atletas!O534="Sun F",333,IF(Atletas!O534="Wu F",334,IF(Atletas!O534="Wu-Hao F",335,IF(Atletas!O534="Outro Taijiquan F",336,"")))))))))))))))))))))))))))))))))))))</f>
        <v/>
      </c>
      <c r="BW543" s="50" t="str">
        <f>IF(Atletas!P534="","",IF(Atletas!X534&lt;&gt;"",10000,0)+IF(Atletas!B534="Feminino",1000,IF(Atletas!B534="Masculino",2000,""))+IF(OR(Atletas!P534="Yang 26 A",Atletas!P534="Yang 40 A"),401,IF(OR(Atletas!P534="Chen 25 A",Atletas!P534="Chen 36 A",Atletas!P534="Chen 56 A"),402,IF(Atletas!P534="Sun 73 A",403,IF(Atletas!P534="Wu 45 A",404,IF(Atletas!P534="Wu-Hao 46 A",405,IF(OR(Atletas!P534="Taijiquan 16 A",Atletas!P534="Taijiquan 24 A",Atletas!P534="Taijiquan 32 A",Atletas!P534="Taijiquan 42 A"),406,IF(OR(Atletas!P534="Yang 26 B",Atletas!P534="Yang 40 B"),407,IF(OR(Atletas!P534="Chen 25 B",Atletas!P534="Chen 36 B",Atletas!P534="Chen 56 B"),408,IF(Atletas!P534="Sun 73 B",409,IF(Atletas!P534="Wu 45 B",410,IF(Atletas!P534="Wu-Hao 46 B",411,IF(OR(Atletas!P534="Taijiquan 16 B",Atletas!P534="Taijiquan 24 B",Atletas!P534="Taijiquan 32 B",Atletas!P534="Taijiquan 42 B"),412,IF(OR(Atletas!P534="Yang 26 C",Atletas!P534="Yang 40 C"),413,IF(OR(Atletas!P534="Chen 25 C",Atletas!P534="Chen 36 C",Atletas!P534="Chen 56 C"),414,IF(Atletas!P534="Sun 73 C",415,IF(Atletas!P534="Wu 45 C",416,IF(Atletas!P534="Wu-Hao 46 C",417,IF(OR(Atletas!P534="Taijiquan 16 C",Atletas!P534="Taijiquan 24 C",Atletas!P534="Taijiquan 32 C",Atletas!P534="Taijiquan 42 C"),418,0)))))))))))))))))))</f>
        <v/>
      </c>
      <c r="BX543" s="50" t="str">
        <f>IF(Atletas!P534="","",IF(Atletas!X534&lt;&gt;"",10000,0)+IF(Atletas!B534="Feminino",1000,IF(Atletas!B534="Masculino",2000,""))+IF(OR(Atletas!P534="Yang 26 D",Atletas!P534="Yang 40 D"),419,IF(OR(Atletas!P534="Chen 25 D",Atletas!P534="Chen 36 D",Atletas!P534="Chen 56 D"),420,IF(Atletas!P534="Sun 73 D",421,IF(Atletas!P534="Wu 45 D",422,IF(Atletas!P534="Wu-Hao 46 D",423,IF(OR(Atletas!P534="Taijiquan 16 D",Atletas!P534="Taijiquan 24 D",Atletas!P534="Taijiquan 32 D",Atletas!P534="Taijiquan 42 D"),424,IF(OR(Atletas!P534="Yang 26 E",Atletas!P534="Yang 40 E"),425,IF(OR(Atletas!P534="Chen 25 E",Atletas!P534="Chen 36 E",Atletas!P534="Chen 56 E"),426,IF(Atletas!P534="Sun 73 E",427,IF(Atletas!P534="Wu 45 E",428,IF(Atletas!P534="Wu-Hao 46 E",429,IF(OR(Atletas!P534="Taijiquan 16 E",Atletas!P534="Taijiquan 24 E",Atletas!P534="Taijiquan 32 E",Atletas!P534="Taijiquan 42 E"),430,IF(OR(Atletas!P534="Yang 26 F",Atletas!P534="Yang 40 F"),431,IF(OR(Atletas!P534="Chen 25 F",Atletas!P534="Chen 36 F",Atletas!P534="Chen 56 F"),432,IF(Atletas!P534="Sun 73 F",433,IF(Atletas!P534="Wu 45 F",434,IF(Atletas!P534="Wu-Hao 46 F",435,IF(OR(Atletas!P534="Taijiquan 16 F",Atletas!P534="Taijiquan 24 F",Atletas!P534="Taijiquan 32 F",Atletas!P534="Taijiquan 42 F"),436,0)))))))))))))))))))</f>
        <v/>
      </c>
      <c r="BY543" s="50" t="str">
        <f>IF(Atletas!Q534="","",IF(Atletas!X534&lt;&gt;"",10000,0)+IF(Atletas!B534="Feminino",1000,IF(Atletas!B534="Masculino",2000,""))+IF(Atletas!Q534="Xingyiquan A",501,IF(Atletas!Q534="Baguazhang A",502,IF(Atletas!Q534="Outro Estilo Interno A",503,IF(Atletas!Q534="Xingyiquan B",504,IF(Atletas!Q534="Baguazhang B",505,IF(Atletas!Q534="Outro Estilo Interno B",506,IF(Atletas!Q534="Xingyiquan C",507,IF(Atletas!Q534="Baguazhang C",508,IF(Atletas!Q534="Outro Estilo Interno C",509,IF(Atletas!Q534="Xingyiquan D",510,IF(Atletas!Q534="Baguazhang D",511,IF(Atletas!Q534="Outro Estilo Interno D",512,IF(Atletas!Q534="Xingyiquan E",513,IF(Atletas!Q534="Baguazhang E",514,IF(Atletas!Q534="Outro Estilo Interno E",515,IF(Atletas!Q534="Xingyiquan F",516,IF(Atletas!Q534="Baguazhang F",517,IF(Atletas!Q534="Outro Estilo Interno F",518, "")))))))))))))))))))</f>
        <v/>
      </c>
      <c r="BZ543" s="50" t="str">
        <f>IF(Atletas!R534="","",IF(Atletas!X534&lt;&gt;"",10000,0)+IF(Atletas!B534="Feminino",1000,IF(Atletas!B534="Masculino",2000,""))+IF(Atletas!R534="Dao A",601,IF(Atletas!R534="Jian A",602,IF(Atletas!R534="Bishou A",603,IF(Atletas!R534="Shanzi A",604,IF(Atletas!R534="Outra Arma Curta A",605,IF(Atletas!R534="Dao B",606,IF(Atletas!R534="Jian B",607,IF(Atletas!R534="Bishou B",608,IF(Atletas!R534="Shanzi B",609,IF(Atletas!R534="Outra Arma Curta B",610,IF(Atletas!R534="Dao C",611,IF(Atletas!R534="Jian C",612,IF(Atletas!R534="Bishou C",613,IF(Atletas!R534="Shanzi C",614,IF(Atletas!R534="Outra Arma Curta C",615,IF(Atletas!R534="Dao D",616,IF(Atletas!R534="Jian D",617,IF(Atletas!R534="Bishou D",618,IF(Atletas!R534="Shanzi D",619,IF(Atletas!R534="Outra Arma Curta D",620,IF(Atletas!R534="Dao E",621,IF(Atletas!R534="Jian E",622,IF(Atletas!R534="Bishou E",623,IF(Atletas!R534="Shanzi E",624,IF(Atletas!R534="Outra Arma Curta E",625,IF(Atletas!R534="Dao F",626,IF(Atletas!R534="Jian F",627,IF(Atletas!R534="Bishou F",628,IF(Atletas!R534="Shanzi F",629,IF(Atletas!R534="Outra Arma Curta F",630, "")))))))))))))))))))))))))))))))</f>
        <v/>
      </c>
      <c r="CA543" s="50" t="str">
        <f>IF(Atletas!S534="","",IF(Atletas!X534&lt;&gt;"",10000,0)+IF(Atletas!B534="Feminino",1000,IF(Atletas!B534="Masculino",2000,""))+IF(Atletas!S534="Gun A",701,IF(Atletas!S534="Qiang A",702,IF(Atletas!S534="Pudao / Guandao A",703,IF(Atletas!S534="Outra Arma Longa A",704,IF(Atletas!S534="Gun B",705,IF(Atletas!S534="Qiang B",706,IF(Atletas!S534="Pudao / Guandao B",707,IF(Atletas!S534="Outra Arma Longa B",708,IF(Atletas!S534="Gun C",709,IF(Atletas!S534="Qiang C",710,IF(Atletas!S534="Pudao / Guandao C",711,IF(Atletas!S534="Outra Arma Longa C",712,IF(Atletas!S534="Gun D",713,IF(Atletas!S534="Qiang D",714,IF(Atletas!S534="Pudao / Guandao D",715,IF(Atletas!S534="Outra Arma Longa D",716,IF(Atletas!S534="Gun E",717,IF(Atletas!S534="Qiang E",718,IF(Atletas!S534="Pudao / Guandao E",719,IF(Atletas!S534="Outra Arma Longa E",720,IF(Atletas!S534="Gun F",721,IF(Atletas!S534="Qiang F",722,IF(Atletas!S534="Pudao / Guandao F",723,IF(Atletas!S534="Outra Arma Longa F",724,"")))))))))))))))))))))))))</f>
        <v/>
      </c>
      <c r="CB543" s="50" t="str">
        <f>IF(Atletas!T534="","",IF(Atletas!X534&lt;&gt;"",10000,0)+IF(Atletas!B534="Feminino",1000,IF(Atletas!B534="Masculino",2000,""))+IF(Atletas!T534="Outra Arma Dupla A",801,IF(Atletas!T534="Arma Maleável A",802,IF(Atletas!T534="Outra Arma Dupla B",803,IF(Atletas!T534="Arma Maleável B",804,IF(Atletas!T534="Outra Arma Dupla C",805,IF(Atletas!T534="Arma Maleável C",806,IF(Atletas!T534="Outra Arma Dupla D",807,IF(Atletas!T534="Arma Maleável D",808,IF(Atletas!T534="Outra Arma Dupla E",809,IF(Atletas!T534="Arma Maleável E",810,IF(Atletas!T534="Outra Arma Dupla F",811,IF(Atletas!T534="Arma Maleável F",812,IF(Atletas!T534="Shuangdao A",813,IF(Atletas!T534="Shuangdao B",814,IF(Atletas!T534="Shuangdao C",815,IF(Atletas!T534="Shuangdao D",816,IF(Atletas!T534="Shuangdao E",817,IF(Atletas!T534="Shuangdao F",818,"")))))))))))))))))))</f>
        <v/>
      </c>
      <c r="CC543" s="50" t="str">
        <f>IF(Atletas!U534="","",IF(Atletas!X534&lt;&gt;"",10000,0)+IF(Atletas!B534="Feminino",1000,IF(Atletas!B534="Masculino",2000,""))+IF(OR(Atletas!U534="Taijijian Yang A",Atletas!U534="Taijijian Yang Standard A"),901,IF(OR(Atletas!U534="Taijijian Chen A", Atletas!U534="Taijijian Chen Standard A"),902,IF(Atletas!U534="Taijijian Sun A",903,IF(Atletas!U534="Taijijian Wu A",904,IF(Atletas!U534="Taijijian Wu-Hao A",905,IF(OR(Atletas!U534="Taijijian 32 A",Atletas!U534="Taijijian 42 A"),906,IF(OR(Atletas!U534="Taijijian Yang B",Atletas!U534="Taijijian Yang Standard B"),907,IF(OR(Atletas!U534="Taijijian Chen B", Atletas!U534="Taijijian Chen Standard B"),908,IF(Atletas!U534="Taijijian Sun B",909,IF(Atletas!U534="Taijijian Wu B",910,IF(Atletas!U534="Taijijian Wu-Hao B",911,IF(OR(Atletas!U534="Taijijian 32 B",Atletas!U534="Taijijian 42 B"),912,IF(OR(Atletas!U534="Taijijian Yang C",Atletas!U534="Taijijian Yang Standard C"),913,IF(OR(Atletas!U534="Taijijian Chen C", Atletas!U534="Taijijian Chen Standard C"),914,IF(Atletas!U534="Taijijian Sun C",915,IF(Atletas!U534="Taijijian Wu C",916,IF(Atletas!U534="Taijijian Wu-Hao C",917,IF(OR(Atletas!U534="Taijijian 32 C",Atletas!U534="Taijijian 42 C"),918,IF(OR(Atletas!U534="Taijijian Yang D",Atletas!U534="Taijijian Yang Standard D"),919,IF(OR(Atletas!U534="Taijijian Chen D", Atletas!U534="Taijijian Chen Standard D"),920,IF(Atletas!U534="Taijijian Sun D",921,IF(Atletas!U534="Taijijian Wu D",922,IF(Atletas!U534="Taijijian Wu-Hao D",923,IF(OR(Atletas!U534="Taijijian 32 D",Atletas!U534="Taijijian 42 D"),924,IF(OR(Atletas!U534="Taijijian Yang E",Atletas!U534="Taijijian Yang Standard E"),925,IF(OR(Atletas!U534="Taijijian Chen E", Atletas!U534="Taijijian Chen Standard E"),926,IF(Atletas!U534="Taijijian Sun E",927,IF(Atletas!U534="Taijijian Wu E",928,IF(Atletas!U534="Taijijian Wu-Hao E",929,IF(OR(Atletas!U534="Taijijian 32 E",Atletas!U534="Taijijian 42 E"),930,IF(OR(Atletas!U534="Taijijian Yang F",Atletas!U534="Taijijian Yang Standard F"),931,IF(OR(Atletas!U534="Taijijian Chen F", Atletas!U534="Taijijian Chen Standard F"),932,IF(Atletas!U534="Taijijian Sun F",933,IF(Atletas!U534="Taijijian Wu F",934,IF(Atletas!U534="Taijijian Wu-Hao F",935,IF(OR(Atletas!U534="Taijijian 32 F",Atletas!U534="Taijijian 42 F"),936,"")))))))))))))))))))))))))))))))))))))</f>
        <v/>
      </c>
      <c r="CD543" s="50" t="str">
        <f>IF(Atletas!V534="","",IF(Atletas!X534&lt;&gt;"",10000,0)+IF(Atletas!B534="Feminino",1000,IF(Atletas!B534="Masculino",2000,""))+IF(Atletas!V534="Taijidao A",937,IF(Atletas!V534="TaijiShanzi A",938,IF(Atletas!V534="Taijiqiang A",939,IF(Atletas!V534="Bagua de Arma A",940,IF(Atletas!V534="Xingyi de Arma A",941,IF(Atletas!V534="Taijidao B",942,IF(Atletas!V534="TaijiShanzi B",943,IF(Atletas!V534="Taijiqiang B",944,IF(Atletas!V534="Bagua de Arma B",945,IF(Atletas!V534="Xingyi de Arma B",946,IF(Atletas!V534="Taijidao C",947,IF(Atletas!V534="TaijiShanzi C",948,IF(Atletas!V534="Taijiqiang C",949,IF(Atletas!V534="Bagua de Arma C",950,IF(Atletas!V534="Xingyi de Arma C",951,IF(Atletas!V534="Taijidao D",952,IF(Atletas!V534="TaijiShanzi D",953,IF(Atletas!V534="Taijiqiang D",954,IF(Atletas!V534="Bagua de Arma D",955,IF(Atletas!V534="Xingyi de Arma D",956,IF(Atletas!V534="Taijidao E",957,IF(Atletas!V534="TaijiShanzi E",958,IF(Atletas!V534="Taijiqiang E",959,IF(Atletas!V534="Bagua de Arma E",960,IF(Atletas!V534="Xingyi de Arma E",961,IF(Atletas!V534="Taijidao F",962,IF(Atletas!V534="TaijiShanzi F",963,IF(Atletas!V534="Taijiqiang F",964,IF(Atletas!V534="Bagua de Arma F",965,IF(Atletas!V534="Xingyi de Arma F",966,"")))))))))))))))))))))))))))))))</f>
        <v/>
      </c>
      <c r="CM543" s="50" t="str">
        <f xml:space="preserve"> IF(Atletas!W534="","",IF(Atletas!W534="Duilian de Mãos BC - Equipe 1",1,IF(Atletas!W534="Duilian de Mãos BC - Equipe 2",2,IF(Atletas!W534="Duilian de Armas BC - Equipe 1",3,IF(Atletas!W534="Duilian de Armas BC - Equipe 2",4,IF(Atletas!W534="Duilian de Mãos DE - Equipe 1",5,IF(Atletas!W534="Duilian de Mãos DE - Equipe 2",6,IF(Atletas!W534="Duilian de Armas DE - Equipe 1",7,IF(Atletas!W534="Duilian de Armas DE - Equipe 2",8,IF(Atletas!W534="Duilian de Tuishou - Equipe 1",9,IF(Atletas!W534="Duilian de Tuishou - Equipe 2",10,IF(Atletas!W534="Grupo Externo ABC - Equipe 1",11,IF(Atletas!W534="Grupo Externo ABC - Equipe 2",12,IF(Atletas!W534="Grupo Interno ABC - Equipe 1",13,IF(Atletas!W534="Grupo Interno ABC - Equipe 2",14,IF(Atletas!W534="Grupo Externo DEF - Equipe 1",15,IF(Atletas!W534="Grupo Externo DEF - Equipe 2",16,IF(Atletas!W534="Grupo Interno DEF - Equipe 1",17,IF(Atletas!W534="Grupo Interno DEF - Equipe 2",18,"")))))))))))))))))))</f>
        <v/>
      </c>
    </row>
    <row r="544" spans="40:91">
      <c r="AN544" s="52" t="str">
        <f>IF(Atletas!D535="","",IF(Atletas!B535="Feminino",100,IF(Atletas!B535="Masculino",200,""))+(IF(Atletas!D535="Kids 30kg",1,IF(Atletas!D535="Kids 32kg",2, IF(Atletas!D535="Kids 34kg",3,IF(Atletas!D535="Kids 36kg",4,IF(Atletas!D535="Kids 39kg",5,IF(Atletas!D535="Kids 42kg",6,IF(Atletas!D535="Kids 45kg",7, IF(Atletas!D535="Infantil 39kg",8,IF(Atletas!D535="Infantil 42kg",9,IF(Atletas!D535="Infantil 45kg",10,IF(Atletas!D535="Infantil 48kg",11,IF(Atletas!D535="Infantil 52kg",12,IF(Atletas!D535="Infantil 56kg",13,IF(Atletas!D535="Infantil 60kg",14,IF(Atletas!D535="Juvenil 48kg",15,IF(Atletas!D535="Juvenil 52kg",16,IF(Atletas!D535="Juvenil 56kg",17,IF(Atletas!D535="Juvenil 60kg",18,IF(Atletas!D535="Juvenil 65kg",19,IF(Atletas!D535="Juvenil 70kg",20,IF(Atletas!D535="Juvenil 75kg",21,IF(Atletas!D535="Juvenil 80kg",22, IF(Atletas!D535="Juvenil 85kg",23,IF(Atletas!D535="Adulto 48kg",24,IF(Atletas!D535="Adulto 52kg",25,IF(Atletas!D535="Adulto 56kg",26,IF(Atletas!D535="Adulto 60kg",27,IF(Atletas!D535="Adulto 65kg",28,IF(Atletas!D535="Adulto 70kg",29,IF(Atletas!D535="Adulto 75kg",30,IF(Atletas!D535="Adulto 80kg",31,IF(Atletas!D535="Adulto 85kg",32,IF(Atletas!D535="Adulto 90kg",33,IF(Atletas!D535="Adulto 100kg",34, IF(Atletas!D535="Adulto +100kg",35,"")))))))))))))))))))))))))))))))))))))</f>
        <v/>
      </c>
      <c r="AS544" s="6" t="str">
        <f>IF(Atletas!E535="","",IF(Atletas!B535="Feminino",100,IF(Atletas!B535="Masculino",200,""))+(IF(Atletas!E535="Juvenil 44kg",1,IF(Atletas!E535="Juvenil 48kg",2,IF(Atletas!E535="Juvenil 52kg",3,IF(Atletas!E535="Juvenil 56kg",4,IF(Atletas!E535="Juvenil 60kg",5,IF(Atletas!E535="Juvenil 65kg",6,IF(Atletas!E535="Juvenil 70kg",7,IF(Atletas!E535="Juvenil 75kg",8,IF(Atletas!E535="Juvenil 82kg",9,IF(Atletas!E535="Juvenil 90kg",10,IF(Atletas!E535="Juvenil 100kg",11,IF(Atletas!E535="Adulto 48kg",12,IF(Atletas!E535="Adulto 52kg",13,IF(Atletas!E535="Adulto 56kg",14,IF(Atletas!E535="Adulto 60kg",15,IF(Atletas!E535="Adulto 65kg",16,IF(Atletas!E535="Adulto 70kg",17,IF(Atletas!E535="Adulto 75kg",18,IF(Atletas!E535="Adulto 82kg",19,IF(Atletas!E535="Adulto 90kg",20,IF(Atletas!E535="Adulto 100kg",21,IF(Atletas!E535="Adulto +100kg",22,""))))))))))))))))))))))))</f>
        <v/>
      </c>
      <c r="AX544" s="6" t="str">
        <f>IF(Atletas!F535="","",IF(Atletas!B535="Feminino",100,IF(Atletas!B535="Masculino",200,""))+(IF(Atletas!F535="Adulto 48kg",1,IF(Atletas!F535="Adulto 56kg",2,IF(Atletas!F535="Adulto 65kg",3,IF(Atletas!F535="Adulto 75kg",4,IF(Atletas!F535="Adulto +75kg",5,IF(Atletas!F535="Adulto 52kg",6,IF(Atletas!F535="Adulto 60kg",7,IF(Atletas!F535="Adulto 70kg",8,IF(Atletas!F535="Adulto 80kg",9,IF(Atletas!F535="Adulto 90kg",10,IF(Atletas!F535="Adulto +90kg",11,"")))))))))))))</f>
        <v/>
      </c>
      <c r="BC544" s="6" t="str">
        <f>IF(Atletas!G535="","",IF(Atletas!B535="Feminino",10,IF(Atletas!B535="Masculino",20,""))+(IF(Atletas!G535="Baduanjin A",1,IF(Atletas!G535="Baduanjin B",2))))</f>
        <v/>
      </c>
      <c r="BF544" s="52" t="str">
        <f>IF(Atletas!H535="","",IF(Atletas!B535="Feminino",100,IF(Atletas!B535="Masculino",200,""))+(IF(Atletas!H535="Changquan Mirim",1,IF(Atletas!H535="Nanquan Mirim",2,IF(Atletas!H535="Taijiquan Mirim",3,IF(Atletas!H535="Changquan Grupo C",4,IF(Atletas!H535="Nanquan Grupo C",5,IF(Atletas!H535="Taijiquan Grupo C",6,IF(Atletas!H535="Changquan Grupo B",7,IF(Atletas!H535="Nanquan Grupo B",8,IF(Atletas!H535="Taijiquan Grupo B",9,IF(Atletas!H535="Changquan Grupo A",10,IF(Atletas!H535="Nanquan Grupo A",11,IF(Atletas!H535="Taijiquan Grupo A",12,IF(Atletas!H535="Changquan Opcional",13,IF(Atletas!H535="Nanquan Opcional",14,IF(Atletas!H535="Taijiquan Opcional",15,IF(Atletas!H535="Changquan Adulto",16,IF(Atletas!H535="Nanquan Adulto",17,IF(Atletas!H535="Taijiquan Adulto",18,""))))))))))))))))))))</f>
        <v/>
      </c>
      <c r="BG544" s="52" t="str">
        <f>IF(Atletas!I535="","",IF(Atletas!B535="Feminino",100,IF(Atletas!B535="Masculino",200,""))+(IF(Atletas!I535="Daoshu Mirim",19,IF(Atletas!I535="Jianshu Mirim",20,IF(Atletas!I535="Nandao Mirim",21,IF(Atletas!I535="Taijijian Mirim",22,IF(Atletas!I535="Daoshu Grupo C",23,IF(Atletas!I535="Jianshu Grupo C",24,IF(Atletas!I535="Nandao Grupo C",25,IF(Atletas!I535="Taijijian Grupo C",26,IF(Atletas!I535="Daoshu Grupo B",27,IF(Atletas!I535="Jianshu Grupo B",28,IF(Atletas!I535="Nandao Grupo B",29,IF(Atletas!I535="Taijijian Grupo B",30,IF(Atletas!I535="Daoshu Grupo A",31,IF(Atletas!I535="Jianshu Grupo A",32,IF(Atletas!I535="Nandao Grupo A",33,IF(Atletas!I535="Taijijian Grupo A",34,IF(Atletas!I535="Daoshu Opcional",35,IF(Atletas!I535="Jianshu Opcional",36,IF(Atletas!I535="Nandao Opcional",37,IF(Atletas!I535="Taijijian Opcional",38,IF(Atletas!I535="Daoshu Adulto",39,IF(Atletas!I535="Jianshu Adulto",40,IF(Atletas!I535="Nandao Adulto",41,IF(Atletas!I535="Taijijian Adulto",42,""))))))))))))))))))))))))))</f>
        <v/>
      </c>
      <c r="BH544" s="52" t="str">
        <f>IF(Atletas!J535="","",IF(Atletas!B535="Feminino",100,IF(Atletas!B535="Masculino",200,""))+(IF(Atletas!J535="Gunshu Mirim",43,IF(Atletas!J535="Qiangshu Mirim",44,IF(Atletas!J535="Nangun Mirim",45,IF(Atletas!J535="Gunshu Grupo C",46,IF(Atletas!J535="Qiangshu Grupo C",47,IF(Atletas!J535="Nangun Grupo C",48,IF(Atletas!J535="Gunshu Grupo B",49,IF(Atletas!J535="Qiangshu Grupo B",50,IF(Atletas!J535="Nangun Grupo B",51,IF(Atletas!J535="Gunshu Grupo A",52,IF(Atletas!J535="Qiangshu Grupo A",53,IF(Atletas!J535="Nangun Grupo A",54,IF(Atletas!J535="Gunshu Opcional",55,IF(Atletas!J535="Qiangshu Opcional",56,IF(Atletas!J535="Nangun Opcional",57,IF(Atletas!J535="Gunshu Adulto",58,IF(Atletas!J535="Qiangshu Adulto",59,IF(Atletas!J535="Nangun Adulto",60,IF(Atletas!J535="Taijishan Grupo B",61,IF(Atletas!J535="Taijishan Grupo A",62,""))))))))))))))))))))))</f>
        <v/>
      </c>
      <c r="BM544" s="50" t="str">
        <f>IF(Atletas!K535="","",IF(Atletas!B535="Feminino",100,IF(Atletas!B535="Masculino",200,""))+(IF(Atletas!K535="Equipe 1 Grupo B",1,IF(Atletas!K535="Equipe 2 Grupo B",2,IF(Atletas!K535="Equipe 1 Grupo A",3,IF(Atletas!K535="Equipe 2 Grupo A",4,IF(Atletas!K535="Equipe 1 Adulto",5,IF(Atletas!K535="Equipe 2 Adulto",6,""))))))))</f>
        <v/>
      </c>
      <c r="BR544" s="50" t="str">
        <f>IF(Atletas!L535="","",IF(Atletas!X535&lt;&gt;"",10000,0)+(IF(Atletas!B535="Feminino",1000,IF(Atletas!B535="Masculino",2000,""))+IF(Atletas!L535="Choylayfut A",1,IF(Atletas!L535="Hunggar A",2,IF(Atletas!L535="Wuzuquan A",3,IF(Atletas!L535="Wingchun A",4,IF(Atletas!L535="Outra Mão de Sul A",5,IF(Atletas!L535="Choylayfut B",6,IF(Atletas!L535="Hunggar B",7,IF(Atletas!L535="Wuzuquan B",8,IF(Atletas!L535="Wingchun B",9,IF(Atletas!L535="Outra Mão de Sul B",10,IF(Atletas!L535="Choylayfut C",11,IF(Atletas!L535="Hunggar C",12,IF(Atletas!L535="Wuzuquan C",13,IF(Atletas!L535="Wingchun C",14,IF(Atletas!L535="Outra Mão de Sul C",15,IF(Atletas!L535="Choylayfut D",16,IF(Atletas!L535="Hunggar D",17,IF(Atletas!L535="Wuzuquan D",18,IF(Atletas!L535="Wingchun D",19,IF(Atletas!L535="Outra Mão de Sul D",20,IF(Atletas!L535="Choylayfut E",21,IF(Atletas!L535="Hunggar E",22,IF(Atletas!L535="Wuzuquan E",23,IF(Atletas!L535="Wingchun E",24,IF(Atletas!L535="Outra Mão de Sul E",25,IF(Atletas!L535="Choylayfut F",26,IF(Atletas!L535="Hunggar F",27,IF(Atletas!L535="Wuzuquan F",28,IF(Atletas!L535="Wingchun F",29,IF(Atletas!L535="Outra Mão de Sul F",30,IF(Atletas!L535="Dishuquan A",31,IF(Atletas!L535="Dishuquan B",32,IF(Atletas!L535="Dishuquan C",33,IF(Atletas!L535="Dishuquan D",34,IF(Atletas!L535="Dishuquan E",35,IF(Atletas!L535="Dishuquan F",36,""))))))))))))))))))))))))))))))))))))))</f>
        <v/>
      </c>
      <c r="BS544" s="50" t="str">
        <f>IF(Atletas!M535="","",IF(Atletas!X535&lt;&gt;"",10000,0)+(IF(Atletas!B535="Feminino",1000,IF(Atletas!B535="Masculino",2000,""))+(IF(Atletas!M535="Chaquan A",101,IF(Atletas!M535="Emeiquan A",102,IF(Atletas!M535="Fanziquan A",103,IF(Atletas!M535="Huaquan A",104,IF(Atletas!M535="Hongquan A",105,IF(Atletas!M535="Paoquan A",106,IF(Atletas!M535="Piguaquan A",107,IF(Atletas!M535="Shaolinquan A",108,IF(Atletas!M535="Tanglangquan A",109,IF(Atletas!M535="Yingzhaoquan A",110,IF(Atletas!M535="Tongbeiquan A",111,IF(Atletas!M535="Wudangquan A",112,IF(Atletas!M535="Outros Estilos A",113,IF(Atletas!M535="Chaquan B",114,IF(Atletas!M535="Emeiquan B",115,IF(Atletas!M535="Fanziquan B",116,IF(Atletas!M535="Huaquan B",117,IF(Atletas!M535="Hongquan B",118,IF(Atletas!M535="Paoquan B",119,IF(Atletas!M535="Piguaquan B",120,IF(Atletas!M535="Shaolinquan B",121,IF(Atletas!M535="Tanglangquan B",122,IF(Atletas!M535="Yingzhaoquan B",123,IF(Atletas!M535="Tongbeiquan B",124,IF(Atletas!M535="Wudangquan B",125,IF(Atletas!M535="Outros Estilos B",126,IF(Atletas!M535="Chaquan C",127,IF(Atletas!M535="Emeiquan C",128,IF(Atletas!M535="Fanziquan C",129,IF(Atletas!M535="Huaquan C",130,IF(Atletas!M535="Hongquan C",131,IF(Atletas!M535="Paoquan C",132,IF(Atletas!M535="Piguaquan C",133,IF(Atletas!M535="Shaolinquan C",134,IF(Atletas!M535="Tanglangquan C",135,IF(Atletas!M535="Yingzhaoquan C",136,IF(Atletas!M535="Tongbeiquan C",137,IF(Atletas!M535="Wudangquan C",138,IF(Atletas!M535="Outros Estilos C",139,0))))))))))))))))))))))))))))))))))))))))))</f>
        <v/>
      </c>
      <c r="BT544" s="50" t="str">
        <f>IF(Atletas!M535="","",IF(Atletas!X535&lt;&gt;"",10000,0)+(IF(Atletas!B535="Feminino",1000,IF(Atletas!B535="Masculino",2000,""))+(IF(Atletas!M535="Chaquan D",140,IF(Atletas!M535="Emeiquan D",141,IF(Atletas!M535="Fanziquan D",142,IF(Atletas!M535="Huaquan D",143,IF(Atletas!M535="Hongquan D",144,IF(Atletas!M535="Paoquan D",145,IF(Atletas!M535="Piguaquan D",146,IF(Atletas!M535="Shaolinquan D",147,IF(Atletas!M535="Tanglangquan D",148,IF(Atletas!M535="Yingzhaoquan D",149,IF(Atletas!M535="Tongbeiquan D",150,IF(Atletas!M535="Wudangquan D",151,IF(Atletas!M535="Outros Estilos D",152,IF(Atletas!M535="Chaquan E",153,IF(Atletas!M535="Emeiquan E",154,IF(Atletas!M535="Fanziquan E",155,IF(Atletas!M535="Huaquan E",156,IF(Atletas!M535="Hongquan E",157,IF(Atletas!M535="Paoquan E",158,IF(Atletas!M535="Piguaquan E",159,IF(Atletas!M535="Shaolinquan E",160,IF(Atletas!M535="Tanglangquan E",161,IF(Atletas!M535="Yingzhaoquan E",162,IF(Atletas!M535="Tongbeiquan E",163,IF(Atletas!M535="Wudangquan E",164,IF(Atletas!M535="Outros Estilos E",165,IF(Atletas!M535="Chaquan F",166,IF(Atletas!M535="Emeiquan F",167,IF(Atletas!M535="Fanziquan F",168,IF(Atletas!M535="Huaquan F",169,IF(Atletas!M535="Hongquan F",170,IF(Atletas!M535="Paoquan F",171,IF(Atletas!M535="Piguaquan F",172,IF(Atletas!M535="Shaolinquan F",173,IF(Atletas!M535="Tanglangquan F",174,IF(Atletas!M535="Yingzhaoquan F",175,IF(Atletas!M535="Tongbeiquan F",176,IF(Atletas!M535="Wudangquan F",177,IF(Atletas!M535="Outros Estilos F",178,0))))))))))))))))))))))))))))))))))))))))))</f>
        <v/>
      </c>
      <c r="BU544" s="50" t="str">
        <f>IF(Atletas!N535="","",IF(Atletas!X535&lt;&gt;"",10000,0)+(IF(Atletas!B535="Feminino",1000,IF(Atletas!B535="Masculino",2000,""))+(IF(Atletas!N535="Ditangquan A",201,IF(Atletas!N535="Houquan A",202,IF(Atletas!N535="Zuiquan A",203,IF(Atletas!N535="Ditangquan B",204,IF(Atletas!N535="Houquan B",205,IF(Atletas!N535="Zuiquan B",206,IF(Atletas!N535="Ditangquan C",207,IF(Atletas!N535="Houquan C",208,IF(Atletas!N535="Zuiquan C",209,IF(Atletas!N535="Ditangquan D",210,IF(Atletas!N535="Houquan D",211,IF(Atletas!N535="Zuiquan D",212,IF(Atletas!N535="Ditangquan E",213,IF(Atletas!N535="Houquan E",214,IF(Atletas!N535="Zuiquan E",215,IF(Atletas!N535="Ditangquan F",216,IF(Atletas!N535="Houquan F",217,IF(Atletas!N535="Zuiquan F",218,"")))))))))))))))))))))</f>
        <v/>
      </c>
      <c r="BV544" s="50" t="str">
        <f>IF(Atletas!O535="","",IF(Atletas!X535&lt;&gt;"",10000,0)+IF(Atletas!B535="Feminino",1000,IF(Atletas!B535="Masculino",2000,""))+IF(Atletas!O535="Yang A",301,IF(Atletas!O535="Chen A",302,IF(Atletas!O535="Sun A",303,IF(Atletas!O535="Wu A",304,IF(Atletas!O535="Wu-Hao A",305,IF(Atletas!O535="Outro Taijiquan A",306,IF(Atletas!O535="Yang B",307,IF(Atletas!O535="Chen B",308,IF(Atletas!O535="Sun B",309,IF(Atletas!O535="Wu B",310,IF(Atletas!O535="Wu-Hao B",311,IF(Atletas!O535="Outro Taijiquan B",312,IF(Atletas!O535="Yang C",313,IF(Atletas!O535="Chen C",314,IF(Atletas!O535="Sun C",315,IF(Atletas!O535="Wu C",316,IF(Atletas!O535="Wu-Hao C",317,IF(Atletas!O535="Outro Taijiquan C",318,IF(Atletas!O535="Yang D",319,IF(Atletas!O535="Chen D",320,IF(Atletas!O535="Sun D",321,IF(Atletas!O535="Wu D",322,IF(Atletas!O535="Wu-Hao D",323,IF(Atletas!O535="Outro Taijiquan D",324,IF(Atletas!O535="Yang E",325,IF(Atletas!O535="Chen E",326,IF(Atletas!O535="Sun E",327,IF(Atletas!O535="Wu E",328,IF(Atletas!O535="Wu-Hao E",329,IF(Atletas!O535="Outro Taijiquan E",330,IF(Atletas!O535="Yang F",331,IF(Atletas!O535="Chen F",332,IF(Atletas!O535="Sun F",333,IF(Atletas!O535="Wu F",334,IF(Atletas!O535="Wu-Hao F",335,IF(Atletas!O535="Outro Taijiquan F",336,"")))))))))))))))))))))))))))))))))))))</f>
        <v/>
      </c>
      <c r="BW544" s="50" t="str">
        <f>IF(Atletas!P535="","",IF(Atletas!X535&lt;&gt;"",10000,0)+IF(Atletas!B535="Feminino",1000,IF(Atletas!B535="Masculino",2000,""))+IF(OR(Atletas!P535="Yang 26 A",Atletas!P535="Yang 40 A"),401,IF(OR(Atletas!P535="Chen 25 A",Atletas!P535="Chen 36 A",Atletas!P535="Chen 56 A"),402,IF(Atletas!P535="Sun 73 A",403,IF(Atletas!P535="Wu 45 A",404,IF(Atletas!P535="Wu-Hao 46 A",405,IF(OR(Atletas!P535="Taijiquan 16 A",Atletas!P535="Taijiquan 24 A",Atletas!P535="Taijiquan 32 A",Atletas!P535="Taijiquan 42 A"),406,IF(OR(Atletas!P535="Yang 26 B",Atletas!P535="Yang 40 B"),407,IF(OR(Atletas!P535="Chen 25 B",Atletas!P535="Chen 36 B",Atletas!P535="Chen 56 B"),408,IF(Atletas!P535="Sun 73 B",409,IF(Atletas!P535="Wu 45 B",410,IF(Atletas!P535="Wu-Hao 46 B",411,IF(OR(Atletas!P535="Taijiquan 16 B",Atletas!P535="Taijiquan 24 B",Atletas!P535="Taijiquan 32 B",Atletas!P535="Taijiquan 42 B"),412,IF(OR(Atletas!P535="Yang 26 C",Atletas!P535="Yang 40 C"),413,IF(OR(Atletas!P535="Chen 25 C",Atletas!P535="Chen 36 C",Atletas!P535="Chen 56 C"),414,IF(Atletas!P535="Sun 73 C",415,IF(Atletas!P535="Wu 45 C",416,IF(Atletas!P535="Wu-Hao 46 C",417,IF(OR(Atletas!P535="Taijiquan 16 C",Atletas!P535="Taijiquan 24 C",Atletas!P535="Taijiquan 32 C",Atletas!P535="Taijiquan 42 C"),418,0)))))))))))))))))))</f>
        <v/>
      </c>
      <c r="BX544" s="50" t="str">
        <f>IF(Atletas!P535="","",IF(Atletas!X535&lt;&gt;"",10000,0)+IF(Atletas!B535="Feminino",1000,IF(Atletas!B535="Masculino",2000,""))+IF(OR(Atletas!P535="Yang 26 D",Atletas!P535="Yang 40 D"),419,IF(OR(Atletas!P535="Chen 25 D",Atletas!P535="Chen 36 D",Atletas!P535="Chen 56 D"),420,IF(Atletas!P535="Sun 73 D",421,IF(Atletas!P535="Wu 45 D",422,IF(Atletas!P535="Wu-Hao 46 D",423,IF(OR(Atletas!P535="Taijiquan 16 D",Atletas!P535="Taijiquan 24 D",Atletas!P535="Taijiquan 32 D",Atletas!P535="Taijiquan 42 D"),424,IF(OR(Atletas!P535="Yang 26 E",Atletas!P535="Yang 40 E"),425,IF(OR(Atletas!P535="Chen 25 E",Atletas!P535="Chen 36 E",Atletas!P535="Chen 56 E"),426,IF(Atletas!P535="Sun 73 E",427,IF(Atletas!P535="Wu 45 E",428,IF(Atletas!P535="Wu-Hao 46 E",429,IF(OR(Atletas!P535="Taijiquan 16 E",Atletas!P535="Taijiquan 24 E",Atletas!P535="Taijiquan 32 E",Atletas!P535="Taijiquan 42 E"),430,IF(OR(Atletas!P535="Yang 26 F",Atletas!P535="Yang 40 F"),431,IF(OR(Atletas!P535="Chen 25 F",Atletas!P535="Chen 36 F",Atletas!P535="Chen 56 F"),432,IF(Atletas!P535="Sun 73 F",433,IF(Atletas!P535="Wu 45 F",434,IF(Atletas!P535="Wu-Hao 46 F",435,IF(OR(Atletas!P535="Taijiquan 16 F",Atletas!P535="Taijiquan 24 F",Atletas!P535="Taijiquan 32 F",Atletas!P535="Taijiquan 42 F"),436,0)))))))))))))))))))</f>
        <v/>
      </c>
      <c r="BY544" s="50" t="str">
        <f>IF(Atletas!Q535="","",IF(Atletas!X535&lt;&gt;"",10000,0)+IF(Atletas!B535="Feminino",1000,IF(Atletas!B535="Masculino",2000,""))+IF(Atletas!Q535="Xingyiquan A",501,IF(Atletas!Q535="Baguazhang A",502,IF(Atletas!Q535="Outro Estilo Interno A",503,IF(Atletas!Q535="Xingyiquan B",504,IF(Atletas!Q535="Baguazhang B",505,IF(Atletas!Q535="Outro Estilo Interno B",506,IF(Atletas!Q535="Xingyiquan C",507,IF(Atletas!Q535="Baguazhang C",508,IF(Atletas!Q535="Outro Estilo Interno C",509,IF(Atletas!Q535="Xingyiquan D",510,IF(Atletas!Q535="Baguazhang D",511,IF(Atletas!Q535="Outro Estilo Interno D",512,IF(Atletas!Q535="Xingyiquan E",513,IF(Atletas!Q535="Baguazhang E",514,IF(Atletas!Q535="Outro Estilo Interno E",515,IF(Atletas!Q535="Xingyiquan F",516,IF(Atletas!Q535="Baguazhang F",517,IF(Atletas!Q535="Outro Estilo Interno F",518, "")))))))))))))))))))</f>
        <v/>
      </c>
      <c r="BZ544" s="50" t="str">
        <f>IF(Atletas!R535="","",IF(Atletas!X535&lt;&gt;"",10000,0)+IF(Atletas!B535="Feminino",1000,IF(Atletas!B535="Masculino",2000,""))+IF(Atletas!R535="Dao A",601,IF(Atletas!R535="Jian A",602,IF(Atletas!R535="Bishou A",603,IF(Atletas!R535="Shanzi A",604,IF(Atletas!R535="Outra Arma Curta A",605,IF(Atletas!R535="Dao B",606,IF(Atletas!R535="Jian B",607,IF(Atletas!R535="Bishou B",608,IF(Atletas!R535="Shanzi B",609,IF(Atletas!R535="Outra Arma Curta B",610,IF(Atletas!R535="Dao C",611,IF(Atletas!R535="Jian C",612,IF(Atletas!R535="Bishou C",613,IF(Atletas!R535="Shanzi C",614,IF(Atletas!R535="Outra Arma Curta C",615,IF(Atletas!R535="Dao D",616,IF(Atletas!R535="Jian D",617,IF(Atletas!R535="Bishou D",618,IF(Atletas!R535="Shanzi D",619,IF(Atletas!R535="Outra Arma Curta D",620,IF(Atletas!R535="Dao E",621,IF(Atletas!R535="Jian E",622,IF(Atletas!R535="Bishou E",623,IF(Atletas!R535="Shanzi E",624,IF(Atletas!R535="Outra Arma Curta E",625,IF(Atletas!R535="Dao F",626,IF(Atletas!R535="Jian F",627,IF(Atletas!R535="Bishou F",628,IF(Atletas!R535="Shanzi F",629,IF(Atletas!R535="Outra Arma Curta F",630, "")))))))))))))))))))))))))))))))</f>
        <v/>
      </c>
      <c r="CA544" s="50" t="str">
        <f>IF(Atletas!S535="","",IF(Atletas!X535&lt;&gt;"",10000,0)+IF(Atletas!B535="Feminino",1000,IF(Atletas!B535="Masculino",2000,""))+IF(Atletas!S535="Gun A",701,IF(Atletas!S535="Qiang A",702,IF(Atletas!S535="Pudao / Guandao A",703,IF(Atletas!S535="Outra Arma Longa A",704,IF(Atletas!S535="Gun B",705,IF(Atletas!S535="Qiang B",706,IF(Atletas!S535="Pudao / Guandao B",707,IF(Atletas!S535="Outra Arma Longa B",708,IF(Atletas!S535="Gun C",709,IF(Atletas!S535="Qiang C",710,IF(Atletas!S535="Pudao / Guandao C",711,IF(Atletas!S535="Outra Arma Longa C",712,IF(Atletas!S535="Gun D",713,IF(Atletas!S535="Qiang D",714,IF(Atletas!S535="Pudao / Guandao D",715,IF(Atletas!S535="Outra Arma Longa D",716,IF(Atletas!S535="Gun E",717,IF(Atletas!S535="Qiang E",718,IF(Atletas!S535="Pudao / Guandao E",719,IF(Atletas!S535="Outra Arma Longa E",720,IF(Atletas!S535="Gun F",721,IF(Atletas!S535="Qiang F",722,IF(Atletas!S535="Pudao / Guandao F",723,IF(Atletas!S535="Outra Arma Longa F",724,"")))))))))))))))))))))))))</f>
        <v/>
      </c>
      <c r="CB544" s="50" t="str">
        <f>IF(Atletas!T535="","",IF(Atletas!X535&lt;&gt;"",10000,0)+IF(Atletas!B535="Feminino",1000,IF(Atletas!B535="Masculino",2000,""))+IF(Atletas!T535="Outra Arma Dupla A",801,IF(Atletas!T535="Arma Maleável A",802,IF(Atletas!T535="Outra Arma Dupla B",803,IF(Atletas!T535="Arma Maleável B",804,IF(Atletas!T535="Outra Arma Dupla C",805,IF(Atletas!T535="Arma Maleável C",806,IF(Atletas!T535="Outra Arma Dupla D",807,IF(Atletas!T535="Arma Maleável D",808,IF(Atletas!T535="Outra Arma Dupla E",809,IF(Atletas!T535="Arma Maleável E",810,IF(Atletas!T535="Outra Arma Dupla F",811,IF(Atletas!T535="Arma Maleável F",812,IF(Atletas!T535="Shuangdao A",813,IF(Atletas!T535="Shuangdao B",814,IF(Atletas!T535="Shuangdao C",815,IF(Atletas!T535="Shuangdao D",816,IF(Atletas!T535="Shuangdao E",817,IF(Atletas!T535="Shuangdao F",818,"")))))))))))))))))))</f>
        <v/>
      </c>
      <c r="CC544" s="50" t="str">
        <f>IF(Atletas!U535="","",IF(Atletas!X535&lt;&gt;"",10000,0)+IF(Atletas!B535="Feminino",1000,IF(Atletas!B535="Masculino",2000,""))+IF(OR(Atletas!U535="Taijijian Yang A",Atletas!U535="Taijijian Yang Standard A"),901,IF(OR(Atletas!U535="Taijijian Chen A", Atletas!U535="Taijijian Chen Standard A"),902,IF(Atletas!U535="Taijijian Sun A",903,IF(Atletas!U535="Taijijian Wu A",904,IF(Atletas!U535="Taijijian Wu-Hao A",905,IF(OR(Atletas!U535="Taijijian 32 A",Atletas!U535="Taijijian 42 A"),906,IF(OR(Atletas!U535="Taijijian Yang B",Atletas!U535="Taijijian Yang Standard B"),907,IF(OR(Atletas!U535="Taijijian Chen B", Atletas!U535="Taijijian Chen Standard B"),908,IF(Atletas!U535="Taijijian Sun B",909,IF(Atletas!U535="Taijijian Wu B",910,IF(Atletas!U535="Taijijian Wu-Hao B",911,IF(OR(Atletas!U535="Taijijian 32 B",Atletas!U535="Taijijian 42 B"),912,IF(OR(Atletas!U535="Taijijian Yang C",Atletas!U535="Taijijian Yang Standard C"),913,IF(OR(Atletas!U535="Taijijian Chen C", Atletas!U535="Taijijian Chen Standard C"),914,IF(Atletas!U535="Taijijian Sun C",915,IF(Atletas!U535="Taijijian Wu C",916,IF(Atletas!U535="Taijijian Wu-Hao C",917,IF(OR(Atletas!U535="Taijijian 32 C",Atletas!U535="Taijijian 42 C"),918,IF(OR(Atletas!U535="Taijijian Yang D",Atletas!U535="Taijijian Yang Standard D"),919,IF(OR(Atletas!U535="Taijijian Chen D", Atletas!U535="Taijijian Chen Standard D"),920,IF(Atletas!U535="Taijijian Sun D",921,IF(Atletas!U535="Taijijian Wu D",922,IF(Atletas!U535="Taijijian Wu-Hao D",923,IF(OR(Atletas!U535="Taijijian 32 D",Atletas!U535="Taijijian 42 D"),924,IF(OR(Atletas!U535="Taijijian Yang E",Atletas!U535="Taijijian Yang Standard E"),925,IF(OR(Atletas!U535="Taijijian Chen E", Atletas!U535="Taijijian Chen Standard E"),926,IF(Atletas!U535="Taijijian Sun E",927,IF(Atletas!U535="Taijijian Wu E",928,IF(Atletas!U535="Taijijian Wu-Hao E",929,IF(OR(Atletas!U535="Taijijian 32 E",Atletas!U535="Taijijian 42 E"),930,IF(OR(Atletas!U535="Taijijian Yang F",Atletas!U535="Taijijian Yang Standard F"),931,IF(OR(Atletas!U535="Taijijian Chen F", Atletas!U535="Taijijian Chen Standard F"),932,IF(Atletas!U535="Taijijian Sun F",933,IF(Atletas!U535="Taijijian Wu F",934,IF(Atletas!U535="Taijijian Wu-Hao F",935,IF(OR(Atletas!U535="Taijijian 32 F",Atletas!U535="Taijijian 42 F"),936,"")))))))))))))))))))))))))))))))))))))</f>
        <v/>
      </c>
      <c r="CD544" s="50" t="str">
        <f>IF(Atletas!V535="","",IF(Atletas!X535&lt;&gt;"",10000,0)+IF(Atletas!B535="Feminino",1000,IF(Atletas!B535="Masculino",2000,""))+IF(Atletas!V535="Taijidao A",937,IF(Atletas!V535="TaijiShanzi A",938,IF(Atletas!V535="Taijiqiang A",939,IF(Atletas!V535="Bagua de Arma A",940,IF(Atletas!V535="Xingyi de Arma A",941,IF(Atletas!V535="Taijidao B",942,IF(Atletas!V535="TaijiShanzi B",943,IF(Atletas!V535="Taijiqiang B",944,IF(Atletas!V535="Bagua de Arma B",945,IF(Atletas!V535="Xingyi de Arma B",946,IF(Atletas!V535="Taijidao C",947,IF(Atletas!V535="TaijiShanzi C",948,IF(Atletas!V535="Taijiqiang C",949,IF(Atletas!V535="Bagua de Arma C",950,IF(Atletas!V535="Xingyi de Arma C",951,IF(Atletas!V535="Taijidao D",952,IF(Atletas!V535="TaijiShanzi D",953,IF(Atletas!V535="Taijiqiang D",954,IF(Atletas!V535="Bagua de Arma D",955,IF(Atletas!V535="Xingyi de Arma D",956,IF(Atletas!V535="Taijidao E",957,IF(Atletas!V535="TaijiShanzi E",958,IF(Atletas!V535="Taijiqiang E",959,IF(Atletas!V535="Bagua de Arma E",960,IF(Atletas!V535="Xingyi de Arma E",961,IF(Atletas!V535="Taijidao F",962,IF(Atletas!V535="TaijiShanzi F",963,IF(Atletas!V535="Taijiqiang F",964,IF(Atletas!V535="Bagua de Arma F",965,IF(Atletas!V535="Xingyi de Arma F",966,"")))))))))))))))))))))))))))))))</f>
        <v/>
      </c>
      <c r="CM544" s="50" t="str">
        <f xml:space="preserve"> IF(Atletas!W535="","",IF(Atletas!W535="Duilian de Mãos BC - Equipe 1",1,IF(Atletas!W535="Duilian de Mãos BC - Equipe 2",2,IF(Atletas!W535="Duilian de Armas BC - Equipe 1",3,IF(Atletas!W535="Duilian de Armas BC - Equipe 2",4,IF(Atletas!W535="Duilian de Mãos DE - Equipe 1",5,IF(Atletas!W535="Duilian de Mãos DE - Equipe 2",6,IF(Atletas!W535="Duilian de Armas DE - Equipe 1",7,IF(Atletas!W535="Duilian de Armas DE - Equipe 2",8,IF(Atletas!W535="Duilian de Tuishou - Equipe 1",9,IF(Atletas!W535="Duilian de Tuishou - Equipe 2",10,IF(Atletas!W535="Grupo Externo ABC - Equipe 1",11,IF(Atletas!W535="Grupo Externo ABC - Equipe 2",12,IF(Atletas!W535="Grupo Interno ABC - Equipe 1",13,IF(Atletas!W535="Grupo Interno ABC - Equipe 2",14,IF(Atletas!W535="Grupo Externo DEF - Equipe 1",15,IF(Atletas!W535="Grupo Externo DEF - Equipe 2",16,IF(Atletas!W535="Grupo Interno DEF - Equipe 1",17,IF(Atletas!W535="Grupo Interno DEF - Equipe 2",18,"")))))))))))))))))))</f>
        <v/>
      </c>
    </row>
    <row r="545" spans="40:91">
      <c r="AN545" s="52" t="str">
        <f>IF(Atletas!D536="","",IF(Atletas!B536="Feminino",100,IF(Atletas!B536="Masculino",200,""))+(IF(Atletas!D536="Kids 30kg",1,IF(Atletas!D536="Kids 32kg",2, IF(Atletas!D536="Kids 34kg",3,IF(Atletas!D536="Kids 36kg",4,IF(Atletas!D536="Kids 39kg",5,IF(Atletas!D536="Kids 42kg",6,IF(Atletas!D536="Kids 45kg",7, IF(Atletas!D536="Infantil 39kg",8,IF(Atletas!D536="Infantil 42kg",9,IF(Atletas!D536="Infantil 45kg",10,IF(Atletas!D536="Infantil 48kg",11,IF(Atletas!D536="Infantil 52kg",12,IF(Atletas!D536="Infantil 56kg",13,IF(Atletas!D536="Infantil 60kg",14,IF(Atletas!D536="Juvenil 48kg",15,IF(Atletas!D536="Juvenil 52kg",16,IF(Atletas!D536="Juvenil 56kg",17,IF(Atletas!D536="Juvenil 60kg",18,IF(Atletas!D536="Juvenil 65kg",19,IF(Atletas!D536="Juvenil 70kg",20,IF(Atletas!D536="Juvenil 75kg",21,IF(Atletas!D536="Juvenil 80kg",22, IF(Atletas!D536="Juvenil 85kg",23,IF(Atletas!D536="Adulto 48kg",24,IF(Atletas!D536="Adulto 52kg",25,IF(Atletas!D536="Adulto 56kg",26,IF(Atletas!D536="Adulto 60kg",27,IF(Atletas!D536="Adulto 65kg",28,IF(Atletas!D536="Adulto 70kg",29,IF(Atletas!D536="Adulto 75kg",30,IF(Atletas!D536="Adulto 80kg",31,IF(Atletas!D536="Adulto 85kg",32,IF(Atletas!D536="Adulto 90kg",33,IF(Atletas!D536="Adulto 100kg",34, IF(Atletas!D536="Adulto +100kg",35,"")))))))))))))))))))))))))))))))))))))</f>
        <v/>
      </c>
      <c r="AS545" s="6" t="str">
        <f>IF(Atletas!E536="","",IF(Atletas!B536="Feminino",100,IF(Atletas!B536="Masculino",200,""))+(IF(Atletas!E536="Juvenil 44kg",1,IF(Atletas!E536="Juvenil 48kg",2,IF(Atletas!E536="Juvenil 52kg",3,IF(Atletas!E536="Juvenil 56kg",4,IF(Atletas!E536="Juvenil 60kg",5,IF(Atletas!E536="Juvenil 65kg",6,IF(Atletas!E536="Juvenil 70kg",7,IF(Atletas!E536="Juvenil 75kg",8,IF(Atletas!E536="Juvenil 82kg",9,IF(Atletas!E536="Juvenil 90kg",10,IF(Atletas!E536="Juvenil 100kg",11,IF(Atletas!E536="Adulto 48kg",12,IF(Atletas!E536="Adulto 52kg",13,IF(Atletas!E536="Adulto 56kg",14,IF(Atletas!E536="Adulto 60kg",15,IF(Atletas!E536="Adulto 65kg",16,IF(Atletas!E536="Adulto 70kg",17,IF(Atletas!E536="Adulto 75kg",18,IF(Atletas!E536="Adulto 82kg",19,IF(Atletas!E536="Adulto 90kg",20,IF(Atletas!E536="Adulto 100kg",21,IF(Atletas!E536="Adulto +100kg",22,""))))))))))))))))))))))))</f>
        <v/>
      </c>
      <c r="AX545" s="6" t="str">
        <f>IF(Atletas!F536="","",IF(Atletas!B536="Feminino",100,IF(Atletas!B536="Masculino",200,""))+(IF(Atletas!F536="Adulto 48kg",1,IF(Atletas!F536="Adulto 56kg",2,IF(Atletas!F536="Adulto 65kg",3,IF(Atletas!F536="Adulto 75kg",4,IF(Atletas!F536="Adulto +75kg",5,IF(Atletas!F536="Adulto 52kg",6,IF(Atletas!F536="Adulto 60kg",7,IF(Atletas!F536="Adulto 70kg",8,IF(Atletas!F536="Adulto 80kg",9,IF(Atletas!F536="Adulto 90kg",10,IF(Atletas!F536="Adulto +90kg",11,"")))))))))))))</f>
        <v/>
      </c>
      <c r="BC545" s="6" t="str">
        <f>IF(Atletas!G536="","",IF(Atletas!B536="Feminino",10,IF(Atletas!B536="Masculino",20,""))+(IF(Atletas!G536="Baduanjin A",1,IF(Atletas!G536="Baduanjin B",2))))</f>
        <v/>
      </c>
      <c r="BF545" s="52" t="str">
        <f>IF(Atletas!H536="","",IF(Atletas!B536="Feminino",100,IF(Atletas!B536="Masculino",200,""))+(IF(Atletas!H536="Changquan Mirim",1,IF(Atletas!H536="Nanquan Mirim",2,IF(Atletas!H536="Taijiquan Mirim",3,IF(Atletas!H536="Changquan Grupo C",4,IF(Atletas!H536="Nanquan Grupo C",5,IF(Atletas!H536="Taijiquan Grupo C",6,IF(Atletas!H536="Changquan Grupo B",7,IF(Atletas!H536="Nanquan Grupo B",8,IF(Atletas!H536="Taijiquan Grupo B",9,IF(Atletas!H536="Changquan Grupo A",10,IF(Atletas!H536="Nanquan Grupo A",11,IF(Atletas!H536="Taijiquan Grupo A",12,IF(Atletas!H536="Changquan Opcional",13,IF(Atletas!H536="Nanquan Opcional",14,IF(Atletas!H536="Taijiquan Opcional",15,IF(Atletas!H536="Changquan Adulto",16,IF(Atletas!H536="Nanquan Adulto",17,IF(Atletas!H536="Taijiquan Adulto",18,""))))))))))))))))))))</f>
        <v/>
      </c>
      <c r="BG545" s="52" t="str">
        <f>IF(Atletas!I536="","",IF(Atletas!B536="Feminino",100,IF(Atletas!B536="Masculino",200,""))+(IF(Atletas!I536="Daoshu Mirim",19,IF(Atletas!I536="Jianshu Mirim",20,IF(Atletas!I536="Nandao Mirim",21,IF(Atletas!I536="Taijijian Mirim",22,IF(Atletas!I536="Daoshu Grupo C",23,IF(Atletas!I536="Jianshu Grupo C",24,IF(Atletas!I536="Nandao Grupo C",25,IF(Atletas!I536="Taijijian Grupo C",26,IF(Atletas!I536="Daoshu Grupo B",27,IF(Atletas!I536="Jianshu Grupo B",28,IF(Atletas!I536="Nandao Grupo B",29,IF(Atletas!I536="Taijijian Grupo B",30,IF(Atletas!I536="Daoshu Grupo A",31,IF(Atletas!I536="Jianshu Grupo A",32,IF(Atletas!I536="Nandao Grupo A",33,IF(Atletas!I536="Taijijian Grupo A",34,IF(Atletas!I536="Daoshu Opcional",35,IF(Atletas!I536="Jianshu Opcional",36,IF(Atletas!I536="Nandao Opcional",37,IF(Atletas!I536="Taijijian Opcional",38,IF(Atletas!I536="Daoshu Adulto",39,IF(Atletas!I536="Jianshu Adulto",40,IF(Atletas!I536="Nandao Adulto",41,IF(Atletas!I536="Taijijian Adulto",42,""))))))))))))))))))))))))))</f>
        <v/>
      </c>
      <c r="BH545" s="52" t="str">
        <f>IF(Atletas!J536="","",IF(Atletas!B536="Feminino",100,IF(Atletas!B536="Masculino",200,""))+(IF(Atletas!J536="Gunshu Mirim",43,IF(Atletas!J536="Qiangshu Mirim",44,IF(Atletas!J536="Nangun Mirim",45,IF(Atletas!J536="Gunshu Grupo C",46,IF(Atletas!J536="Qiangshu Grupo C",47,IF(Atletas!J536="Nangun Grupo C",48,IF(Atletas!J536="Gunshu Grupo B",49,IF(Atletas!J536="Qiangshu Grupo B",50,IF(Atletas!J536="Nangun Grupo B",51,IF(Atletas!J536="Gunshu Grupo A",52,IF(Atletas!J536="Qiangshu Grupo A",53,IF(Atletas!J536="Nangun Grupo A",54,IF(Atletas!J536="Gunshu Opcional",55,IF(Atletas!J536="Qiangshu Opcional",56,IF(Atletas!J536="Nangun Opcional",57,IF(Atletas!J536="Gunshu Adulto",58,IF(Atletas!J536="Qiangshu Adulto",59,IF(Atletas!J536="Nangun Adulto",60,IF(Atletas!J536="Taijishan Grupo B",61,IF(Atletas!J536="Taijishan Grupo A",62,""))))))))))))))))))))))</f>
        <v/>
      </c>
      <c r="BM545" s="50" t="str">
        <f>IF(Atletas!K536="","",IF(Atletas!B536="Feminino",100,IF(Atletas!B536="Masculino",200,""))+(IF(Atletas!K536="Equipe 1 Grupo B",1,IF(Atletas!K536="Equipe 2 Grupo B",2,IF(Atletas!K536="Equipe 1 Grupo A",3,IF(Atletas!K536="Equipe 2 Grupo A",4,IF(Atletas!K536="Equipe 1 Adulto",5,IF(Atletas!K536="Equipe 2 Adulto",6,""))))))))</f>
        <v/>
      </c>
      <c r="BR545" s="50" t="str">
        <f>IF(Atletas!L536="","",IF(Atletas!X536&lt;&gt;"",10000,0)+(IF(Atletas!B536="Feminino",1000,IF(Atletas!B536="Masculino",2000,""))+IF(Atletas!L536="Choylayfut A",1,IF(Atletas!L536="Hunggar A",2,IF(Atletas!L536="Wuzuquan A",3,IF(Atletas!L536="Wingchun A",4,IF(Atletas!L536="Outra Mão de Sul A",5,IF(Atletas!L536="Choylayfut B",6,IF(Atletas!L536="Hunggar B",7,IF(Atletas!L536="Wuzuquan B",8,IF(Atletas!L536="Wingchun B",9,IF(Atletas!L536="Outra Mão de Sul B",10,IF(Atletas!L536="Choylayfut C",11,IF(Atletas!L536="Hunggar C",12,IF(Atletas!L536="Wuzuquan C",13,IF(Atletas!L536="Wingchun C",14,IF(Atletas!L536="Outra Mão de Sul C",15,IF(Atletas!L536="Choylayfut D",16,IF(Atletas!L536="Hunggar D",17,IF(Atletas!L536="Wuzuquan D",18,IF(Atletas!L536="Wingchun D",19,IF(Atletas!L536="Outra Mão de Sul D",20,IF(Atletas!L536="Choylayfut E",21,IF(Atletas!L536="Hunggar E",22,IF(Atletas!L536="Wuzuquan E",23,IF(Atletas!L536="Wingchun E",24,IF(Atletas!L536="Outra Mão de Sul E",25,IF(Atletas!L536="Choylayfut F",26,IF(Atletas!L536="Hunggar F",27,IF(Atletas!L536="Wuzuquan F",28,IF(Atletas!L536="Wingchun F",29,IF(Atletas!L536="Outra Mão de Sul F",30,IF(Atletas!L536="Dishuquan A",31,IF(Atletas!L536="Dishuquan B",32,IF(Atletas!L536="Dishuquan C",33,IF(Atletas!L536="Dishuquan D",34,IF(Atletas!L536="Dishuquan E",35,IF(Atletas!L536="Dishuquan F",36,""))))))))))))))))))))))))))))))))))))))</f>
        <v/>
      </c>
      <c r="BS545" s="50" t="str">
        <f>IF(Atletas!M536="","",IF(Atletas!X536&lt;&gt;"",10000,0)+(IF(Atletas!B536="Feminino",1000,IF(Atletas!B536="Masculino",2000,""))+(IF(Atletas!M536="Chaquan A",101,IF(Atletas!M536="Emeiquan A",102,IF(Atletas!M536="Fanziquan A",103,IF(Atletas!M536="Huaquan A",104,IF(Atletas!M536="Hongquan A",105,IF(Atletas!M536="Paoquan A",106,IF(Atletas!M536="Piguaquan A",107,IF(Atletas!M536="Shaolinquan A",108,IF(Atletas!M536="Tanglangquan A",109,IF(Atletas!M536="Yingzhaoquan A",110,IF(Atletas!M536="Tongbeiquan A",111,IF(Atletas!M536="Wudangquan A",112,IF(Atletas!M536="Outros Estilos A",113,IF(Atletas!M536="Chaquan B",114,IF(Atletas!M536="Emeiquan B",115,IF(Atletas!M536="Fanziquan B",116,IF(Atletas!M536="Huaquan B",117,IF(Atletas!M536="Hongquan B",118,IF(Atletas!M536="Paoquan B",119,IF(Atletas!M536="Piguaquan B",120,IF(Atletas!M536="Shaolinquan B",121,IF(Atletas!M536="Tanglangquan B",122,IF(Atletas!M536="Yingzhaoquan B",123,IF(Atletas!M536="Tongbeiquan B",124,IF(Atletas!M536="Wudangquan B",125,IF(Atletas!M536="Outros Estilos B",126,IF(Atletas!M536="Chaquan C",127,IF(Atletas!M536="Emeiquan C",128,IF(Atletas!M536="Fanziquan C",129,IF(Atletas!M536="Huaquan C",130,IF(Atletas!M536="Hongquan C",131,IF(Atletas!M536="Paoquan C",132,IF(Atletas!M536="Piguaquan C",133,IF(Atletas!M536="Shaolinquan C",134,IF(Atletas!M536="Tanglangquan C",135,IF(Atletas!M536="Yingzhaoquan C",136,IF(Atletas!M536="Tongbeiquan C",137,IF(Atletas!M536="Wudangquan C",138,IF(Atletas!M536="Outros Estilos C",139,0))))))))))))))))))))))))))))))))))))))))))</f>
        <v/>
      </c>
      <c r="BT545" s="50" t="str">
        <f>IF(Atletas!M536="","",IF(Atletas!X536&lt;&gt;"",10000,0)+(IF(Atletas!B536="Feminino",1000,IF(Atletas!B536="Masculino",2000,""))+(IF(Atletas!M536="Chaquan D",140,IF(Atletas!M536="Emeiquan D",141,IF(Atletas!M536="Fanziquan D",142,IF(Atletas!M536="Huaquan D",143,IF(Atletas!M536="Hongquan D",144,IF(Atletas!M536="Paoquan D",145,IF(Atletas!M536="Piguaquan D",146,IF(Atletas!M536="Shaolinquan D",147,IF(Atletas!M536="Tanglangquan D",148,IF(Atletas!M536="Yingzhaoquan D",149,IF(Atletas!M536="Tongbeiquan D",150,IF(Atletas!M536="Wudangquan D",151,IF(Atletas!M536="Outros Estilos D",152,IF(Atletas!M536="Chaquan E",153,IF(Atletas!M536="Emeiquan E",154,IF(Atletas!M536="Fanziquan E",155,IF(Atletas!M536="Huaquan E",156,IF(Atletas!M536="Hongquan E",157,IF(Atletas!M536="Paoquan E",158,IF(Atletas!M536="Piguaquan E",159,IF(Atletas!M536="Shaolinquan E",160,IF(Atletas!M536="Tanglangquan E",161,IF(Atletas!M536="Yingzhaoquan E",162,IF(Atletas!M536="Tongbeiquan E",163,IF(Atletas!M536="Wudangquan E",164,IF(Atletas!M536="Outros Estilos E",165,IF(Atletas!M536="Chaquan F",166,IF(Atletas!M536="Emeiquan F",167,IF(Atletas!M536="Fanziquan F",168,IF(Atletas!M536="Huaquan F",169,IF(Atletas!M536="Hongquan F",170,IF(Atletas!M536="Paoquan F",171,IF(Atletas!M536="Piguaquan F",172,IF(Atletas!M536="Shaolinquan F",173,IF(Atletas!M536="Tanglangquan F",174,IF(Atletas!M536="Yingzhaoquan F",175,IF(Atletas!M536="Tongbeiquan F",176,IF(Atletas!M536="Wudangquan F",177,IF(Atletas!M536="Outros Estilos F",178,0))))))))))))))))))))))))))))))))))))))))))</f>
        <v/>
      </c>
      <c r="BU545" s="50" t="str">
        <f>IF(Atletas!N536="","",IF(Atletas!X536&lt;&gt;"",10000,0)+(IF(Atletas!B536="Feminino",1000,IF(Atletas!B536="Masculino",2000,""))+(IF(Atletas!N536="Ditangquan A",201,IF(Atletas!N536="Houquan A",202,IF(Atletas!N536="Zuiquan A",203,IF(Atletas!N536="Ditangquan B",204,IF(Atletas!N536="Houquan B",205,IF(Atletas!N536="Zuiquan B",206,IF(Atletas!N536="Ditangquan C",207,IF(Atletas!N536="Houquan C",208,IF(Atletas!N536="Zuiquan C",209,IF(Atletas!N536="Ditangquan D",210,IF(Atletas!N536="Houquan D",211,IF(Atletas!N536="Zuiquan D",212,IF(Atletas!N536="Ditangquan E",213,IF(Atletas!N536="Houquan E",214,IF(Atletas!N536="Zuiquan E",215,IF(Atletas!N536="Ditangquan F",216,IF(Atletas!N536="Houquan F",217,IF(Atletas!N536="Zuiquan F",218,"")))))))))))))))))))))</f>
        <v/>
      </c>
      <c r="BV545" s="50" t="str">
        <f>IF(Atletas!O536="","",IF(Atletas!X536&lt;&gt;"",10000,0)+IF(Atletas!B536="Feminino",1000,IF(Atletas!B536="Masculino",2000,""))+IF(Atletas!O536="Yang A",301,IF(Atletas!O536="Chen A",302,IF(Atletas!O536="Sun A",303,IF(Atletas!O536="Wu A",304,IF(Atletas!O536="Wu-Hao A",305,IF(Atletas!O536="Outro Taijiquan A",306,IF(Atletas!O536="Yang B",307,IF(Atletas!O536="Chen B",308,IF(Atletas!O536="Sun B",309,IF(Atletas!O536="Wu B",310,IF(Atletas!O536="Wu-Hao B",311,IF(Atletas!O536="Outro Taijiquan B",312,IF(Atletas!O536="Yang C",313,IF(Atletas!O536="Chen C",314,IF(Atletas!O536="Sun C",315,IF(Atletas!O536="Wu C",316,IF(Atletas!O536="Wu-Hao C",317,IF(Atletas!O536="Outro Taijiquan C",318,IF(Atletas!O536="Yang D",319,IF(Atletas!O536="Chen D",320,IF(Atletas!O536="Sun D",321,IF(Atletas!O536="Wu D",322,IF(Atletas!O536="Wu-Hao D",323,IF(Atletas!O536="Outro Taijiquan D",324,IF(Atletas!O536="Yang E",325,IF(Atletas!O536="Chen E",326,IF(Atletas!O536="Sun E",327,IF(Atletas!O536="Wu E",328,IF(Atletas!O536="Wu-Hao E",329,IF(Atletas!O536="Outro Taijiquan E",330,IF(Atletas!O536="Yang F",331,IF(Atletas!O536="Chen F",332,IF(Atletas!O536="Sun F",333,IF(Atletas!O536="Wu F",334,IF(Atletas!O536="Wu-Hao F",335,IF(Atletas!O536="Outro Taijiquan F",336,"")))))))))))))))))))))))))))))))))))))</f>
        <v/>
      </c>
      <c r="BW545" s="50" t="str">
        <f>IF(Atletas!P536="","",IF(Atletas!X536&lt;&gt;"",10000,0)+IF(Atletas!B536="Feminino",1000,IF(Atletas!B536="Masculino",2000,""))+IF(OR(Atletas!P536="Yang 26 A",Atletas!P536="Yang 40 A"),401,IF(OR(Atletas!P536="Chen 25 A",Atletas!P536="Chen 36 A",Atletas!P536="Chen 56 A"),402,IF(Atletas!P536="Sun 73 A",403,IF(Atletas!P536="Wu 45 A",404,IF(Atletas!P536="Wu-Hao 46 A",405,IF(OR(Atletas!P536="Taijiquan 16 A",Atletas!P536="Taijiquan 24 A",Atletas!P536="Taijiquan 32 A",Atletas!P536="Taijiquan 42 A"),406,IF(OR(Atletas!P536="Yang 26 B",Atletas!P536="Yang 40 B"),407,IF(OR(Atletas!P536="Chen 25 B",Atletas!P536="Chen 36 B",Atletas!P536="Chen 56 B"),408,IF(Atletas!P536="Sun 73 B",409,IF(Atletas!P536="Wu 45 B",410,IF(Atletas!P536="Wu-Hao 46 B",411,IF(OR(Atletas!P536="Taijiquan 16 B",Atletas!P536="Taijiquan 24 B",Atletas!P536="Taijiquan 32 B",Atletas!P536="Taijiquan 42 B"),412,IF(OR(Atletas!P536="Yang 26 C",Atletas!P536="Yang 40 C"),413,IF(OR(Atletas!P536="Chen 25 C",Atletas!P536="Chen 36 C",Atletas!P536="Chen 56 C"),414,IF(Atletas!P536="Sun 73 C",415,IF(Atletas!P536="Wu 45 C",416,IF(Atletas!P536="Wu-Hao 46 C",417,IF(OR(Atletas!P536="Taijiquan 16 C",Atletas!P536="Taijiquan 24 C",Atletas!P536="Taijiquan 32 C",Atletas!P536="Taijiquan 42 C"),418,0)))))))))))))))))))</f>
        <v/>
      </c>
      <c r="BX545" s="50" t="str">
        <f>IF(Atletas!P536="","",IF(Atletas!X536&lt;&gt;"",10000,0)+IF(Atletas!B536="Feminino",1000,IF(Atletas!B536="Masculino",2000,""))+IF(OR(Atletas!P536="Yang 26 D",Atletas!P536="Yang 40 D"),419,IF(OR(Atletas!P536="Chen 25 D",Atletas!P536="Chen 36 D",Atletas!P536="Chen 56 D"),420,IF(Atletas!P536="Sun 73 D",421,IF(Atletas!P536="Wu 45 D",422,IF(Atletas!P536="Wu-Hao 46 D",423,IF(OR(Atletas!P536="Taijiquan 16 D",Atletas!P536="Taijiquan 24 D",Atletas!P536="Taijiquan 32 D",Atletas!P536="Taijiquan 42 D"),424,IF(OR(Atletas!P536="Yang 26 E",Atletas!P536="Yang 40 E"),425,IF(OR(Atletas!P536="Chen 25 E",Atletas!P536="Chen 36 E",Atletas!P536="Chen 56 E"),426,IF(Atletas!P536="Sun 73 E",427,IF(Atletas!P536="Wu 45 E",428,IF(Atletas!P536="Wu-Hao 46 E",429,IF(OR(Atletas!P536="Taijiquan 16 E",Atletas!P536="Taijiquan 24 E",Atletas!P536="Taijiquan 32 E",Atletas!P536="Taijiquan 42 E"),430,IF(OR(Atletas!P536="Yang 26 F",Atletas!P536="Yang 40 F"),431,IF(OR(Atletas!P536="Chen 25 F",Atletas!P536="Chen 36 F",Atletas!P536="Chen 56 F"),432,IF(Atletas!P536="Sun 73 F",433,IF(Atletas!P536="Wu 45 F",434,IF(Atletas!P536="Wu-Hao 46 F",435,IF(OR(Atletas!P536="Taijiquan 16 F",Atletas!P536="Taijiquan 24 F",Atletas!P536="Taijiquan 32 F",Atletas!P536="Taijiquan 42 F"),436,0)))))))))))))))))))</f>
        <v/>
      </c>
      <c r="BY545" s="50" t="str">
        <f>IF(Atletas!Q536="","",IF(Atletas!X536&lt;&gt;"",10000,0)+IF(Atletas!B536="Feminino",1000,IF(Atletas!B536="Masculino",2000,""))+IF(Atletas!Q536="Xingyiquan A",501,IF(Atletas!Q536="Baguazhang A",502,IF(Atletas!Q536="Outro Estilo Interno A",503,IF(Atletas!Q536="Xingyiquan B",504,IF(Atletas!Q536="Baguazhang B",505,IF(Atletas!Q536="Outro Estilo Interno B",506,IF(Atletas!Q536="Xingyiquan C",507,IF(Atletas!Q536="Baguazhang C",508,IF(Atletas!Q536="Outro Estilo Interno C",509,IF(Atletas!Q536="Xingyiquan D",510,IF(Atletas!Q536="Baguazhang D",511,IF(Atletas!Q536="Outro Estilo Interno D",512,IF(Atletas!Q536="Xingyiquan E",513,IF(Atletas!Q536="Baguazhang E",514,IF(Atletas!Q536="Outro Estilo Interno E",515,IF(Atletas!Q536="Xingyiquan F",516,IF(Atletas!Q536="Baguazhang F",517,IF(Atletas!Q536="Outro Estilo Interno F",518, "")))))))))))))))))))</f>
        <v/>
      </c>
      <c r="BZ545" s="50" t="str">
        <f>IF(Atletas!R536="","",IF(Atletas!X536&lt;&gt;"",10000,0)+IF(Atletas!B536="Feminino",1000,IF(Atletas!B536="Masculino",2000,""))+IF(Atletas!R536="Dao A",601,IF(Atletas!R536="Jian A",602,IF(Atletas!R536="Bishou A",603,IF(Atletas!R536="Shanzi A",604,IF(Atletas!R536="Outra Arma Curta A",605,IF(Atletas!R536="Dao B",606,IF(Atletas!R536="Jian B",607,IF(Atletas!R536="Bishou B",608,IF(Atletas!R536="Shanzi B",609,IF(Atletas!R536="Outra Arma Curta B",610,IF(Atletas!R536="Dao C",611,IF(Atletas!R536="Jian C",612,IF(Atletas!R536="Bishou C",613,IF(Atletas!R536="Shanzi C",614,IF(Atletas!R536="Outra Arma Curta C",615,IF(Atletas!R536="Dao D",616,IF(Atletas!R536="Jian D",617,IF(Atletas!R536="Bishou D",618,IF(Atletas!R536="Shanzi D",619,IF(Atletas!R536="Outra Arma Curta D",620,IF(Atletas!R536="Dao E",621,IF(Atletas!R536="Jian E",622,IF(Atletas!R536="Bishou E",623,IF(Atletas!R536="Shanzi E",624,IF(Atletas!R536="Outra Arma Curta E",625,IF(Atletas!R536="Dao F",626,IF(Atletas!R536="Jian F",627,IF(Atletas!R536="Bishou F",628,IF(Atletas!R536="Shanzi F",629,IF(Atletas!R536="Outra Arma Curta F",630, "")))))))))))))))))))))))))))))))</f>
        <v/>
      </c>
      <c r="CA545" s="50" t="str">
        <f>IF(Atletas!S536="","",IF(Atletas!X536&lt;&gt;"",10000,0)+IF(Atletas!B536="Feminino",1000,IF(Atletas!B536="Masculino",2000,""))+IF(Atletas!S536="Gun A",701,IF(Atletas!S536="Qiang A",702,IF(Atletas!S536="Pudao / Guandao A",703,IF(Atletas!S536="Outra Arma Longa A",704,IF(Atletas!S536="Gun B",705,IF(Atletas!S536="Qiang B",706,IF(Atletas!S536="Pudao / Guandao B",707,IF(Atletas!S536="Outra Arma Longa B",708,IF(Atletas!S536="Gun C",709,IF(Atletas!S536="Qiang C",710,IF(Atletas!S536="Pudao / Guandao C",711,IF(Atletas!S536="Outra Arma Longa C",712,IF(Atletas!S536="Gun D",713,IF(Atletas!S536="Qiang D",714,IF(Atletas!S536="Pudao / Guandao D",715,IF(Atletas!S536="Outra Arma Longa D",716,IF(Atletas!S536="Gun E",717,IF(Atletas!S536="Qiang E",718,IF(Atletas!S536="Pudao / Guandao E",719,IF(Atletas!S536="Outra Arma Longa E",720,IF(Atletas!S536="Gun F",721,IF(Atletas!S536="Qiang F",722,IF(Atletas!S536="Pudao / Guandao F",723,IF(Atletas!S536="Outra Arma Longa F",724,"")))))))))))))))))))))))))</f>
        <v/>
      </c>
      <c r="CB545" s="50" t="str">
        <f>IF(Atletas!T536="","",IF(Atletas!X536&lt;&gt;"",10000,0)+IF(Atletas!B536="Feminino",1000,IF(Atletas!B536="Masculino",2000,""))+IF(Atletas!T536="Outra Arma Dupla A",801,IF(Atletas!T536="Arma Maleável A",802,IF(Atletas!T536="Outra Arma Dupla B",803,IF(Atletas!T536="Arma Maleável B",804,IF(Atletas!T536="Outra Arma Dupla C",805,IF(Atletas!T536="Arma Maleável C",806,IF(Atletas!T536="Outra Arma Dupla D",807,IF(Atletas!T536="Arma Maleável D",808,IF(Atletas!T536="Outra Arma Dupla E",809,IF(Atletas!T536="Arma Maleável E",810,IF(Atletas!T536="Outra Arma Dupla F",811,IF(Atletas!T536="Arma Maleável F",812,IF(Atletas!T536="Shuangdao A",813,IF(Atletas!T536="Shuangdao B",814,IF(Atletas!T536="Shuangdao C",815,IF(Atletas!T536="Shuangdao D",816,IF(Atletas!T536="Shuangdao E",817,IF(Atletas!T536="Shuangdao F",818,"")))))))))))))))))))</f>
        <v/>
      </c>
      <c r="CC545" s="50" t="str">
        <f>IF(Atletas!U536="","",IF(Atletas!X536&lt;&gt;"",10000,0)+IF(Atletas!B536="Feminino",1000,IF(Atletas!B536="Masculino",2000,""))+IF(OR(Atletas!U536="Taijijian Yang A",Atletas!U536="Taijijian Yang Standard A"),901,IF(OR(Atletas!U536="Taijijian Chen A", Atletas!U536="Taijijian Chen Standard A"),902,IF(Atletas!U536="Taijijian Sun A",903,IF(Atletas!U536="Taijijian Wu A",904,IF(Atletas!U536="Taijijian Wu-Hao A",905,IF(OR(Atletas!U536="Taijijian 32 A",Atletas!U536="Taijijian 42 A"),906,IF(OR(Atletas!U536="Taijijian Yang B",Atletas!U536="Taijijian Yang Standard B"),907,IF(OR(Atletas!U536="Taijijian Chen B", Atletas!U536="Taijijian Chen Standard B"),908,IF(Atletas!U536="Taijijian Sun B",909,IF(Atletas!U536="Taijijian Wu B",910,IF(Atletas!U536="Taijijian Wu-Hao B",911,IF(OR(Atletas!U536="Taijijian 32 B",Atletas!U536="Taijijian 42 B"),912,IF(OR(Atletas!U536="Taijijian Yang C",Atletas!U536="Taijijian Yang Standard C"),913,IF(OR(Atletas!U536="Taijijian Chen C", Atletas!U536="Taijijian Chen Standard C"),914,IF(Atletas!U536="Taijijian Sun C",915,IF(Atletas!U536="Taijijian Wu C",916,IF(Atletas!U536="Taijijian Wu-Hao C",917,IF(OR(Atletas!U536="Taijijian 32 C",Atletas!U536="Taijijian 42 C"),918,IF(OR(Atletas!U536="Taijijian Yang D",Atletas!U536="Taijijian Yang Standard D"),919,IF(OR(Atletas!U536="Taijijian Chen D", Atletas!U536="Taijijian Chen Standard D"),920,IF(Atletas!U536="Taijijian Sun D",921,IF(Atletas!U536="Taijijian Wu D",922,IF(Atletas!U536="Taijijian Wu-Hao D",923,IF(OR(Atletas!U536="Taijijian 32 D",Atletas!U536="Taijijian 42 D"),924,IF(OR(Atletas!U536="Taijijian Yang E",Atletas!U536="Taijijian Yang Standard E"),925,IF(OR(Atletas!U536="Taijijian Chen E", Atletas!U536="Taijijian Chen Standard E"),926,IF(Atletas!U536="Taijijian Sun E",927,IF(Atletas!U536="Taijijian Wu E",928,IF(Atletas!U536="Taijijian Wu-Hao E",929,IF(OR(Atletas!U536="Taijijian 32 E",Atletas!U536="Taijijian 42 E"),930,IF(OR(Atletas!U536="Taijijian Yang F",Atletas!U536="Taijijian Yang Standard F"),931,IF(OR(Atletas!U536="Taijijian Chen F", Atletas!U536="Taijijian Chen Standard F"),932,IF(Atletas!U536="Taijijian Sun F",933,IF(Atletas!U536="Taijijian Wu F",934,IF(Atletas!U536="Taijijian Wu-Hao F",935,IF(OR(Atletas!U536="Taijijian 32 F",Atletas!U536="Taijijian 42 F"),936,"")))))))))))))))))))))))))))))))))))))</f>
        <v/>
      </c>
      <c r="CD545" s="50" t="str">
        <f>IF(Atletas!V536="","",IF(Atletas!X536&lt;&gt;"",10000,0)+IF(Atletas!B536="Feminino",1000,IF(Atletas!B536="Masculino",2000,""))+IF(Atletas!V536="Taijidao A",937,IF(Atletas!V536="TaijiShanzi A",938,IF(Atletas!V536="Taijiqiang A",939,IF(Atletas!V536="Bagua de Arma A",940,IF(Atletas!V536="Xingyi de Arma A",941,IF(Atletas!V536="Taijidao B",942,IF(Atletas!V536="TaijiShanzi B",943,IF(Atletas!V536="Taijiqiang B",944,IF(Atletas!V536="Bagua de Arma B",945,IF(Atletas!V536="Xingyi de Arma B",946,IF(Atletas!V536="Taijidao C",947,IF(Atletas!V536="TaijiShanzi C",948,IF(Atletas!V536="Taijiqiang C",949,IF(Atletas!V536="Bagua de Arma C",950,IF(Atletas!V536="Xingyi de Arma C",951,IF(Atletas!V536="Taijidao D",952,IF(Atletas!V536="TaijiShanzi D",953,IF(Atletas!V536="Taijiqiang D",954,IF(Atletas!V536="Bagua de Arma D",955,IF(Atletas!V536="Xingyi de Arma D",956,IF(Atletas!V536="Taijidao E",957,IF(Atletas!V536="TaijiShanzi E",958,IF(Atletas!V536="Taijiqiang E",959,IF(Atletas!V536="Bagua de Arma E",960,IF(Atletas!V536="Xingyi de Arma E",961,IF(Atletas!V536="Taijidao F",962,IF(Atletas!V536="TaijiShanzi F",963,IF(Atletas!V536="Taijiqiang F",964,IF(Atletas!V536="Bagua de Arma F",965,IF(Atletas!V536="Xingyi de Arma F",966,"")))))))))))))))))))))))))))))))</f>
        <v/>
      </c>
      <c r="CM545" s="50" t="str">
        <f xml:space="preserve"> IF(Atletas!W536="","",IF(Atletas!W536="Duilian de Mãos BC - Equipe 1",1,IF(Atletas!W536="Duilian de Mãos BC - Equipe 2",2,IF(Atletas!W536="Duilian de Armas BC - Equipe 1",3,IF(Atletas!W536="Duilian de Armas BC - Equipe 2",4,IF(Atletas!W536="Duilian de Mãos DE - Equipe 1",5,IF(Atletas!W536="Duilian de Mãos DE - Equipe 2",6,IF(Atletas!W536="Duilian de Armas DE - Equipe 1",7,IF(Atletas!W536="Duilian de Armas DE - Equipe 2",8,IF(Atletas!W536="Duilian de Tuishou - Equipe 1",9,IF(Atletas!W536="Duilian de Tuishou - Equipe 2",10,IF(Atletas!W536="Grupo Externo ABC - Equipe 1",11,IF(Atletas!W536="Grupo Externo ABC - Equipe 2",12,IF(Atletas!W536="Grupo Interno ABC - Equipe 1",13,IF(Atletas!W536="Grupo Interno ABC - Equipe 2",14,IF(Atletas!W536="Grupo Externo DEF - Equipe 1",15,IF(Atletas!W536="Grupo Externo DEF - Equipe 2",16,IF(Atletas!W536="Grupo Interno DEF - Equipe 1",17,IF(Atletas!W536="Grupo Interno DEF - Equipe 2",18,"")))))))))))))))))))</f>
        <v/>
      </c>
    </row>
    <row r="546" spans="40:91">
      <c r="AN546" s="52" t="str">
        <f>IF(Atletas!D537="","",IF(Atletas!B537="Feminino",100,IF(Atletas!B537="Masculino",200,""))+(IF(Atletas!D537="Kids 30kg",1,IF(Atletas!D537="Kids 32kg",2, IF(Atletas!D537="Kids 34kg",3,IF(Atletas!D537="Kids 36kg",4,IF(Atletas!D537="Kids 39kg",5,IF(Atletas!D537="Kids 42kg",6,IF(Atletas!D537="Kids 45kg",7, IF(Atletas!D537="Infantil 39kg",8,IF(Atletas!D537="Infantil 42kg",9,IF(Atletas!D537="Infantil 45kg",10,IF(Atletas!D537="Infantil 48kg",11,IF(Atletas!D537="Infantil 52kg",12,IF(Atletas!D537="Infantil 56kg",13,IF(Atletas!D537="Infantil 60kg",14,IF(Atletas!D537="Juvenil 48kg",15,IF(Atletas!D537="Juvenil 52kg",16,IF(Atletas!D537="Juvenil 56kg",17,IF(Atletas!D537="Juvenil 60kg",18,IF(Atletas!D537="Juvenil 65kg",19,IF(Atletas!D537="Juvenil 70kg",20,IF(Atletas!D537="Juvenil 75kg",21,IF(Atletas!D537="Juvenil 80kg",22, IF(Atletas!D537="Juvenil 85kg",23,IF(Atletas!D537="Adulto 48kg",24,IF(Atletas!D537="Adulto 52kg",25,IF(Atletas!D537="Adulto 56kg",26,IF(Atletas!D537="Adulto 60kg",27,IF(Atletas!D537="Adulto 65kg",28,IF(Atletas!D537="Adulto 70kg",29,IF(Atletas!D537="Adulto 75kg",30,IF(Atletas!D537="Adulto 80kg",31,IF(Atletas!D537="Adulto 85kg",32,IF(Atletas!D537="Adulto 90kg",33,IF(Atletas!D537="Adulto 100kg",34, IF(Atletas!D537="Adulto +100kg",35,"")))))))))))))))))))))))))))))))))))))</f>
        <v/>
      </c>
      <c r="AS546" s="6" t="str">
        <f>IF(Atletas!E537="","",IF(Atletas!B537="Feminino",100,IF(Atletas!B537="Masculino",200,""))+(IF(Atletas!E537="Juvenil 44kg",1,IF(Atletas!E537="Juvenil 48kg",2,IF(Atletas!E537="Juvenil 52kg",3,IF(Atletas!E537="Juvenil 56kg",4,IF(Atletas!E537="Juvenil 60kg",5,IF(Atletas!E537="Juvenil 65kg",6,IF(Atletas!E537="Juvenil 70kg",7,IF(Atletas!E537="Juvenil 75kg",8,IF(Atletas!E537="Juvenil 82kg",9,IF(Atletas!E537="Juvenil 90kg",10,IF(Atletas!E537="Juvenil 100kg",11,IF(Atletas!E537="Adulto 48kg",12,IF(Atletas!E537="Adulto 52kg",13,IF(Atletas!E537="Adulto 56kg",14,IF(Atletas!E537="Adulto 60kg",15,IF(Atletas!E537="Adulto 65kg",16,IF(Atletas!E537="Adulto 70kg",17,IF(Atletas!E537="Adulto 75kg",18,IF(Atletas!E537="Adulto 82kg",19,IF(Atletas!E537="Adulto 90kg",20,IF(Atletas!E537="Adulto 100kg",21,IF(Atletas!E537="Adulto +100kg",22,""))))))))))))))))))))))))</f>
        <v/>
      </c>
      <c r="AX546" s="6" t="str">
        <f>IF(Atletas!F537="","",IF(Atletas!B537="Feminino",100,IF(Atletas!B537="Masculino",200,""))+(IF(Atletas!F537="Adulto 48kg",1,IF(Atletas!F537="Adulto 56kg",2,IF(Atletas!F537="Adulto 65kg",3,IF(Atletas!F537="Adulto 75kg",4,IF(Atletas!F537="Adulto +75kg",5,IF(Atletas!F537="Adulto 52kg",6,IF(Atletas!F537="Adulto 60kg",7,IF(Atletas!F537="Adulto 70kg",8,IF(Atletas!F537="Adulto 80kg",9,IF(Atletas!F537="Adulto 90kg",10,IF(Atletas!F537="Adulto +90kg",11,"")))))))))))))</f>
        <v/>
      </c>
      <c r="BC546" s="6" t="str">
        <f>IF(Atletas!G537="","",IF(Atletas!B537="Feminino",10,IF(Atletas!B537="Masculino",20,""))+(IF(Atletas!G537="Baduanjin A",1,IF(Atletas!G537="Baduanjin B",2))))</f>
        <v/>
      </c>
      <c r="BF546" s="52" t="str">
        <f>IF(Atletas!H537="","",IF(Atletas!B537="Feminino",100,IF(Atletas!B537="Masculino",200,""))+(IF(Atletas!H537="Changquan Mirim",1,IF(Atletas!H537="Nanquan Mirim",2,IF(Atletas!H537="Taijiquan Mirim",3,IF(Atletas!H537="Changquan Grupo C",4,IF(Atletas!H537="Nanquan Grupo C",5,IF(Atletas!H537="Taijiquan Grupo C",6,IF(Atletas!H537="Changquan Grupo B",7,IF(Atletas!H537="Nanquan Grupo B",8,IF(Atletas!H537="Taijiquan Grupo B",9,IF(Atletas!H537="Changquan Grupo A",10,IF(Atletas!H537="Nanquan Grupo A",11,IF(Atletas!H537="Taijiquan Grupo A",12,IF(Atletas!H537="Changquan Opcional",13,IF(Atletas!H537="Nanquan Opcional",14,IF(Atletas!H537="Taijiquan Opcional",15,IF(Atletas!H537="Changquan Adulto",16,IF(Atletas!H537="Nanquan Adulto",17,IF(Atletas!H537="Taijiquan Adulto",18,""))))))))))))))))))))</f>
        <v/>
      </c>
      <c r="BG546" s="52" t="str">
        <f>IF(Atletas!I537="","",IF(Atletas!B537="Feminino",100,IF(Atletas!B537="Masculino",200,""))+(IF(Atletas!I537="Daoshu Mirim",19,IF(Atletas!I537="Jianshu Mirim",20,IF(Atletas!I537="Nandao Mirim",21,IF(Atletas!I537="Taijijian Mirim",22,IF(Atletas!I537="Daoshu Grupo C",23,IF(Atletas!I537="Jianshu Grupo C",24,IF(Atletas!I537="Nandao Grupo C",25,IF(Atletas!I537="Taijijian Grupo C",26,IF(Atletas!I537="Daoshu Grupo B",27,IF(Atletas!I537="Jianshu Grupo B",28,IF(Atletas!I537="Nandao Grupo B",29,IF(Atletas!I537="Taijijian Grupo B",30,IF(Atletas!I537="Daoshu Grupo A",31,IF(Atletas!I537="Jianshu Grupo A",32,IF(Atletas!I537="Nandao Grupo A",33,IF(Atletas!I537="Taijijian Grupo A",34,IF(Atletas!I537="Daoshu Opcional",35,IF(Atletas!I537="Jianshu Opcional",36,IF(Atletas!I537="Nandao Opcional",37,IF(Atletas!I537="Taijijian Opcional",38,IF(Atletas!I537="Daoshu Adulto",39,IF(Atletas!I537="Jianshu Adulto",40,IF(Atletas!I537="Nandao Adulto",41,IF(Atletas!I537="Taijijian Adulto",42,""))))))))))))))))))))))))))</f>
        <v/>
      </c>
      <c r="BH546" s="52" t="str">
        <f>IF(Atletas!J537="","",IF(Atletas!B537="Feminino",100,IF(Atletas!B537="Masculino",200,""))+(IF(Atletas!J537="Gunshu Mirim",43,IF(Atletas!J537="Qiangshu Mirim",44,IF(Atletas!J537="Nangun Mirim",45,IF(Atletas!J537="Gunshu Grupo C",46,IF(Atletas!J537="Qiangshu Grupo C",47,IF(Atletas!J537="Nangun Grupo C",48,IF(Atletas!J537="Gunshu Grupo B",49,IF(Atletas!J537="Qiangshu Grupo B",50,IF(Atletas!J537="Nangun Grupo B",51,IF(Atletas!J537="Gunshu Grupo A",52,IF(Atletas!J537="Qiangshu Grupo A",53,IF(Atletas!J537="Nangun Grupo A",54,IF(Atletas!J537="Gunshu Opcional",55,IF(Atletas!J537="Qiangshu Opcional",56,IF(Atletas!J537="Nangun Opcional",57,IF(Atletas!J537="Gunshu Adulto",58,IF(Atletas!J537="Qiangshu Adulto",59,IF(Atletas!J537="Nangun Adulto",60,IF(Atletas!J537="Taijishan Grupo B",61,IF(Atletas!J537="Taijishan Grupo A",62,""))))))))))))))))))))))</f>
        <v/>
      </c>
      <c r="BM546" s="50" t="str">
        <f>IF(Atletas!K537="","",IF(Atletas!B537="Feminino",100,IF(Atletas!B537="Masculino",200,""))+(IF(Atletas!K537="Equipe 1 Grupo B",1,IF(Atletas!K537="Equipe 2 Grupo B",2,IF(Atletas!K537="Equipe 1 Grupo A",3,IF(Atletas!K537="Equipe 2 Grupo A",4,IF(Atletas!K537="Equipe 1 Adulto",5,IF(Atletas!K537="Equipe 2 Adulto",6,""))))))))</f>
        <v/>
      </c>
      <c r="BR546" s="50" t="str">
        <f>IF(Atletas!L537="","",IF(Atletas!X537&lt;&gt;"",10000,0)+(IF(Atletas!B537="Feminino",1000,IF(Atletas!B537="Masculino",2000,""))+IF(Atletas!L537="Choylayfut A",1,IF(Atletas!L537="Hunggar A",2,IF(Atletas!L537="Wuzuquan A",3,IF(Atletas!L537="Wingchun A",4,IF(Atletas!L537="Outra Mão de Sul A",5,IF(Atletas!L537="Choylayfut B",6,IF(Atletas!L537="Hunggar B",7,IF(Atletas!L537="Wuzuquan B",8,IF(Atletas!L537="Wingchun B",9,IF(Atletas!L537="Outra Mão de Sul B",10,IF(Atletas!L537="Choylayfut C",11,IF(Atletas!L537="Hunggar C",12,IF(Atletas!L537="Wuzuquan C",13,IF(Atletas!L537="Wingchun C",14,IF(Atletas!L537="Outra Mão de Sul C",15,IF(Atletas!L537="Choylayfut D",16,IF(Atletas!L537="Hunggar D",17,IF(Atletas!L537="Wuzuquan D",18,IF(Atletas!L537="Wingchun D",19,IF(Atletas!L537="Outra Mão de Sul D",20,IF(Atletas!L537="Choylayfut E",21,IF(Atletas!L537="Hunggar E",22,IF(Atletas!L537="Wuzuquan E",23,IF(Atletas!L537="Wingchun E",24,IF(Atletas!L537="Outra Mão de Sul E",25,IF(Atletas!L537="Choylayfut F",26,IF(Atletas!L537="Hunggar F",27,IF(Atletas!L537="Wuzuquan F",28,IF(Atletas!L537="Wingchun F",29,IF(Atletas!L537="Outra Mão de Sul F",30,IF(Atletas!L537="Dishuquan A",31,IF(Atletas!L537="Dishuquan B",32,IF(Atletas!L537="Dishuquan C",33,IF(Atletas!L537="Dishuquan D",34,IF(Atletas!L537="Dishuquan E",35,IF(Atletas!L537="Dishuquan F",36,""))))))))))))))))))))))))))))))))))))))</f>
        <v/>
      </c>
      <c r="BS546" s="50" t="str">
        <f>IF(Atletas!M537="","",IF(Atletas!X537&lt;&gt;"",10000,0)+(IF(Atletas!B537="Feminino",1000,IF(Atletas!B537="Masculino",2000,""))+(IF(Atletas!M537="Chaquan A",101,IF(Atletas!M537="Emeiquan A",102,IF(Atletas!M537="Fanziquan A",103,IF(Atletas!M537="Huaquan A",104,IF(Atletas!M537="Hongquan A",105,IF(Atletas!M537="Paoquan A",106,IF(Atletas!M537="Piguaquan A",107,IF(Atletas!M537="Shaolinquan A",108,IF(Atletas!M537="Tanglangquan A",109,IF(Atletas!M537="Yingzhaoquan A",110,IF(Atletas!M537="Tongbeiquan A",111,IF(Atletas!M537="Wudangquan A",112,IF(Atletas!M537="Outros Estilos A",113,IF(Atletas!M537="Chaquan B",114,IF(Atletas!M537="Emeiquan B",115,IF(Atletas!M537="Fanziquan B",116,IF(Atletas!M537="Huaquan B",117,IF(Atletas!M537="Hongquan B",118,IF(Atletas!M537="Paoquan B",119,IF(Atletas!M537="Piguaquan B",120,IF(Atletas!M537="Shaolinquan B",121,IF(Atletas!M537="Tanglangquan B",122,IF(Atletas!M537="Yingzhaoquan B",123,IF(Atletas!M537="Tongbeiquan B",124,IF(Atletas!M537="Wudangquan B",125,IF(Atletas!M537="Outros Estilos B",126,IF(Atletas!M537="Chaquan C",127,IF(Atletas!M537="Emeiquan C",128,IF(Atletas!M537="Fanziquan C",129,IF(Atletas!M537="Huaquan C",130,IF(Atletas!M537="Hongquan C",131,IF(Atletas!M537="Paoquan C",132,IF(Atletas!M537="Piguaquan C",133,IF(Atletas!M537="Shaolinquan C",134,IF(Atletas!M537="Tanglangquan C",135,IF(Atletas!M537="Yingzhaoquan C",136,IF(Atletas!M537="Tongbeiquan C",137,IF(Atletas!M537="Wudangquan C",138,IF(Atletas!M537="Outros Estilos C",139,0))))))))))))))))))))))))))))))))))))))))))</f>
        <v/>
      </c>
      <c r="BT546" s="50" t="str">
        <f>IF(Atletas!M537="","",IF(Atletas!X537&lt;&gt;"",10000,0)+(IF(Atletas!B537="Feminino",1000,IF(Atletas!B537="Masculino",2000,""))+(IF(Atletas!M537="Chaquan D",140,IF(Atletas!M537="Emeiquan D",141,IF(Atletas!M537="Fanziquan D",142,IF(Atletas!M537="Huaquan D",143,IF(Atletas!M537="Hongquan D",144,IF(Atletas!M537="Paoquan D",145,IF(Atletas!M537="Piguaquan D",146,IF(Atletas!M537="Shaolinquan D",147,IF(Atletas!M537="Tanglangquan D",148,IF(Atletas!M537="Yingzhaoquan D",149,IF(Atletas!M537="Tongbeiquan D",150,IF(Atletas!M537="Wudangquan D",151,IF(Atletas!M537="Outros Estilos D",152,IF(Atletas!M537="Chaquan E",153,IF(Atletas!M537="Emeiquan E",154,IF(Atletas!M537="Fanziquan E",155,IF(Atletas!M537="Huaquan E",156,IF(Atletas!M537="Hongquan E",157,IF(Atletas!M537="Paoquan E",158,IF(Atletas!M537="Piguaquan E",159,IF(Atletas!M537="Shaolinquan E",160,IF(Atletas!M537="Tanglangquan E",161,IF(Atletas!M537="Yingzhaoquan E",162,IF(Atletas!M537="Tongbeiquan E",163,IF(Atletas!M537="Wudangquan E",164,IF(Atletas!M537="Outros Estilos E",165,IF(Atletas!M537="Chaquan F",166,IF(Atletas!M537="Emeiquan F",167,IF(Atletas!M537="Fanziquan F",168,IF(Atletas!M537="Huaquan F",169,IF(Atletas!M537="Hongquan F",170,IF(Atletas!M537="Paoquan F",171,IF(Atletas!M537="Piguaquan F",172,IF(Atletas!M537="Shaolinquan F",173,IF(Atletas!M537="Tanglangquan F",174,IF(Atletas!M537="Yingzhaoquan F",175,IF(Atletas!M537="Tongbeiquan F",176,IF(Atletas!M537="Wudangquan F",177,IF(Atletas!M537="Outros Estilos F",178,0))))))))))))))))))))))))))))))))))))))))))</f>
        <v/>
      </c>
      <c r="BU546" s="50" t="str">
        <f>IF(Atletas!N537="","",IF(Atletas!X537&lt;&gt;"",10000,0)+(IF(Atletas!B537="Feminino",1000,IF(Atletas!B537="Masculino",2000,""))+(IF(Atletas!N537="Ditangquan A",201,IF(Atletas!N537="Houquan A",202,IF(Atletas!N537="Zuiquan A",203,IF(Atletas!N537="Ditangquan B",204,IF(Atletas!N537="Houquan B",205,IF(Atletas!N537="Zuiquan B",206,IF(Atletas!N537="Ditangquan C",207,IF(Atletas!N537="Houquan C",208,IF(Atletas!N537="Zuiquan C",209,IF(Atletas!N537="Ditangquan D",210,IF(Atletas!N537="Houquan D",211,IF(Atletas!N537="Zuiquan D",212,IF(Atletas!N537="Ditangquan E",213,IF(Atletas!N537="Houquan E",214,IF(Atletas!N537="Zuiquan E",215,IF(Atletas!N537="Ditangquan F",216,IF(Atletas!N537="Houquan F",217,IF(Atletas!N537="Zuiquan F",218,"")))))))))))))))))))))</f>
        <v/>
      </c>
      <c r="BV546" s="50" t="str">
        <f>IF(Atletas!O537="","",IF(Atletas!X537&lt;&gt;"",10000,0)+IF(Atletas!B537="Feminino",1000,IF(Atletas!B537="Masculino",2000,""))+IF(Atletas!O537="Yang A",301,IF(Atletas!O537="Chen A",302,IF(Atletas!O537="Sun A",303,IF(Atletas!O537="Wu A",304,IF(Atletas!O537="Wu-Hao A",305,IF(Atletas!O537="Outro Taijiquan A",306,IF(Atletas!O537="Yang B",307,IF(Atletas!O537="Chen B",308,IF(Atletas!O537="Sun B",309,IF(Atletas!O537="Wu B",310,IF(Atletas!O537="Wu-Hao B",311,IF(Atletas!O537="Outro Taijiquan B",312,IF(Atletas!O537="Yang C",313,IF(Atletas!O537="Chen C",314,IF(Atletas!O537="Sun C",315,IF(Atletas!O537="Wu C",316,IF(Atletas!O537="Wu-Hao C",317,IF(Atletas!O537="Outro Taijiquan C",318,IF(Atletas!O537="Yang D",319,IF(Atletas!O537="Chen D",320,IF(Atletas!O537="Sun D",321,IF(Atletas!O537="Wu D",322,IF(Atletas!O537="Wu-Hao D",323,IF(Atletas!O537="Outro Taijiquan D",324,IF(Atletas!O537="Yang E",325,IF(Atletas!O537="Chen E",326,IF(Atletas!O537="Sun E",327,IF(Atletas!O537="Wu E",328,IF(Atletas!O537="Wu-Hao E",329,IF(Atletas!O537="Outro Taijiquan E",330,IF(Atletas!O537="Yang F",331,IF(Atletas!O537="Chen F",332,IF(Atletas!O537="Sun F",333,IF(Atletas!O537="Wu F",334,IF(Atletas!O537="Wu-Hao F",335,IF(Atletas!O537="Outro Taijiquan F",336,"")))))))))))))))))))))))))))))))))))))</f>
        <v/>
      </c>
      <c r="BW546" s="50" t="str">
        <f>IF(Atletas!P537="","",IF(Atletas!X537&lt;&gt;"",10000,0)+IF(Atletas!B537="Feminino",1000,IF(Atletas!B537="Masculino",2000,""))+IF(OR(Atletas!P537="Yang 26 A",Atletas!P537="Yang 40 A"),401,IF(OR(Atletas!P537="Chen 25 A",Atletas!P537="Chen 36 A",Atletas!P537="Chen 56 A"),402,IF(Atletas!P537="Sun 73 A",403,IF(Atletas!P537="Wu 45 A",404,IF(Atletas!P537="Wu-Hao 46 A",405,IF(OR(Atletas!P537="Taijiquan 16 A",Atletas!P537="Taijiquan 24 A",Atletas!P537="Taijiquan 32 A",Atletas!P537="Taijiquan 42 A"),406,IF(OR(Atletas!P537="Yang 26 B",Atletas!P537="Yang 40 B"),407,IF(OR(Atletas!P537="Chen 25 B",Atletas!P537="Chen 36 B",Atletas!P537="Chen 56 B"),408,IF(Atletas!P537="Sun 73 B",409,IF(Atletas!P537="Wu 45 B",410,IF(Atletas!P537="Wu-Hao 46 B",411,IF(OR(Atletas!P537="Taijiquan 16 B",Atletas!P537="Taijiquan 24 B",Atletas!P537="Taijiquan 32 B",Atletas!P537="Taijiquan 42 B"),412,IF(OR(Atletas!P537="Yang 26 C",Atletas!P537="Yang 40 C"),413,IF(OR(Atletas!P537="Chen 25 C",Atletas!P537="Chen 36 C",Atletas!P537="Chen 56 C"),414,IF(Atletas!P537="Sun 73 C",415,IF(Atletas!P537="Wu 45 C",416,IF(Atletas!P537="Wu-Hao 46 C",417,IF(OR(Atletas!P537="Taijiquan 16 C",Atletas!P537="Taijiquan 24 C",Atletas!P537="Taijiquan 32 C",Atletas!P537="Taijiquan 42 C"),418,0)))))))))))))))))))</f>
        <v/>
      </c>
      <c r="BX546" s="50" t="str">
        <f>IF(Atletas!P537="","",IF(Atletas!X537&lt;&gt;"",10000,0)+IF(Atletas!B537="Feminino",1000,IF(Atletas!B537="Masculino",2000,""))+IF(OR(Atletas!P537="Yang 26 D",Atletas!P537="Yang 40 D"),419,IF(OR(Atletas!P537="Chen 25 D",Atletas!P537="Chen 36 D",Atletas!P537="Chen 56 D"),420,IF(Atletas!P537="Sun 73 D",421,IF(Atletas!P537="Wu 45 D",422,IF(Atletas!P537="Wu-Hao 46 D",423,IF(OR(Atletas!P537="Taijiquan 16 D",Atletas!P537="Taijiquan 24 D",Atletas!P537="Taijiquan 32 D",Atletas!P537="Taijiquan 42 D"),424,IF(OR(Atletas!P537="Yang 26 E",Atletas!P537="Yang 40 E"),425,IF(OR(Atletas!P537="Chen 25 E",Atletas!P537="Chen 36 E",Atletas!P537="Chen 56 E"),426,IF(Atletas!P537="Sun 73 E",427,IF(Atletas!P537="Wu 45 E",428,IF(Atletas!P537="Wu-Hao 46 E",429,IF(OR(Atletas!P537="Taijiquan 16 E",Atletas!P537="Taijiquan 24 E",Atletas!P537="Taijiquan 32 E",Atletas!P537="Taijiquan 42 E"),430,IF(OR(Atletas!P537="Yang 26 F",Atletas!P537="Yang 40 F"),431,IF(OR(Atletas!P537="Chen 25 F",Atletas!P537="Chen 36 F",Atletas!P537="Chen 56 F"),432,IF(Atletas!P537="Sun 73 F",433,IF(Atletas!P537="Wu 45 F",434,IF(Atletas!P537="Wu-Hao 46 F",435,IF(OR(Atletas!P537="Taijiquan 16 F",Atletas!P537="Taijiquan 24 F",Atletas!P537="Taijiquan 32 F",Atletas!P537="Taijiquan 42 F"),436,0)))))))))))))))))))</f>
        <v/>
      </c>
      <c r="BY546" s="50" t="str">
        <f>IF(Atletas!Q537="","",IF(Atletas!X537&lt;&gt;"",10000,0)+IF(Atletas!B537="Feminino",1000,IF(Atletas!B537="Masculino",2000,""))+IF(Atletas!Q537="Xingyiquan A",501,IF(Atletas!Q537="Baguazhang A",502,IF(Atletas!Q537="Outro Estilo Interno A",503,IF(Atletas!Q537="Xingyiquan B",504,IF(Atletas!Q537="Baguazhang B",505,IF(Atletas!Q537="Outro Estilo Interno B",506,IF(Atletas!Q537="Xingyiquan C",507,IF(Atletas!Q537="Baguazhang C",508,IF(Atletas!Q537="Outro Estilo Interno C",509,IF(Atletas!Q537="Xingyiquan D",510,IF(Atletas!Q537="Baguazhang D",511,IF(Atletas!Q537="Outro Estilo Interno D",512,IF(Atletas!Q537="Xingyiquan E",513,IF(Atletas!Q537="Baguazhang E",514,IF(Atletas!Q537="Outro Estilo Interno E",515,IF(Atletas!Q537="Xingyiquan F",516,IF(Atletas!Q537="Baguazhang F",517,IF(Atletas!Q537="Outro Estilo Interno F",518, "")))))))))))))))))))</f>
        <v/>
      </c>
      <c r="BZ546" s="50" t="str">
        <f>IF(Atletas!R537="","",IF(Atletas!X537&lt;&gt;"",10000,0)+IF(Atletas!B537="Feminino",1000,IF(Atletas!B537="Masculino",2000,""))+IF(Atletas!R537="Dao A",601,IF(Atletas!R537="Jian A",602,IF(Atletas!R537="Bishou A",603,IF(Atletas!R537="Shanzi A",604,IF(Atletas!R537="Outra Arma Curta A",605,IF(Atletas!R537="Dao B",606,IF(Atletas!R537="Jian B",607,IF(Atletas!R537="Bishou B",608,IF(Atletas!R537="Shanzi B",609,IF(Atletas!R537="Outra Arma Curta B",610,IF(Atletas!R537="Dao C",611,IF(Atletas!R537="Jian C",612,IF(Atletas!R537="Bishou C",613,IF(Atletas!R537="Shanzi C",614,IF(Atletas!R537="Outra Arma Curta C",615,IF(Atletas!R537="Dao D",616,IF(Atletas!R537="Jian D",617,IF(Atletas!R537="Bishou D",618,IF(Atletas!R537="Shanzi D",619,IF(Atletas!R537="Outra Arma Curta D",620,IF(Atletas!R537="Dao E",621,IF(Atletas!R537="Jian E",622,IF(Atletas!R537="Bishou E",623,IF(Atletas!R537="Shanzi E",624,IF(Atletas!R537="Outra Arma Curta E",625,IF(Atletas!R537="Dao F",626,IF(Atletas!R537="Jian F",627,IF(Atletas!R537="Bishou F",628,IF(Atletas!R537="Shanzi F",629,IF(Atletas!R537="Outra Arma Curta F",630, "")))))))))))))))))))))))))))))))</f>
        <v/>
      </c>
      <c r="CA546" s="50" t="str">
        <f>IF(Atletas!S537="","",IF(Atletas!X537&lt;&gt;"",10000,0)+IF(Atletas!B537="Feminino",1000,IF(Atletas!B537="Masculino",2000,""))+IF(Atletas!S537="Gun A",701,IF(Atletas!S537="Qiang A",702,IF(Atletas!S537="Pudao / Guandao A",703,IF(Atletas!S537="Outra Arma Longa A",704,IF(Atletas!S537="Gun B",705,IF(Atletas!S537="Qiang B",706,IF(Atletas!S537="Pudao / Guandao B",707,IF(Atletas!S537="Outra Arma Longa B",708,IF(Atletas!S537="Gun C",709,IF(Atletas!S537="Qiang C",710,IF(Atletas!S537="Pudao / Guandao C",711,IF(Atletas!S537="Outra Arma Longa C",712,IF(Atletas!S537="Gun D",713,IF(Atletas!S537="Qiang D",714,IF(Atletas!S537="Pudao / Guandao D",715,IF(Atletas!S537="Outra Arma Longa D",716,IF(Atletas!S537="Gun E",717,IF(Atletas!S537="Qiang E",718,IF(Atletas!S537="Pudao / Guandao E",719,IF(Atletas!S537="Outra Arma Longa E",720,IF(Atletas!S537="Gun F",721,IF(Atletas!S537="Qiang F",722,IF(Atletas!S537="Pudao / Guandao F",723,IF(Atletas!S537="Outra Arma Longa F",724,"")))))))))))))))))))))))))</f>
        <v/>
      </c>
      <c r="CB546" s="50" t="str">
        <f>IF(Atletas!T537="","",IF(Atletas!X537&lt;&gt;"",10000,0)+IF(Atletas!B537="Feminino",1000,IF(Atletas!B537="Masculino",2000,""))+IF(Atletas!T537="Outra Arma Dupla A",801,IF(Atletas!T537="Arma Maleável A",802,IF(Atletas!T537="Outra Arma Dupla B",803,IF(Atletas!T537="Arma Maleável B",804,IF(Atletas!T537="Outra Arma Dupla C",805,IF(Atletas!T537="Arma Maleável C",806,IF(Atletas!T537="Outra Arma Dupla D",807,IF(Atletas!T537="Arma Maleável D",808,IF(Atletas!T537="Outra Arma Dupla E",809,IF(Atletas!T537="Arma Maleável E",810,IF(Atletas!T537="Outra Arma Dupla F",811,IF(Atletas!T537="Arma Maleável F",812,IF(Atletas!T537="Shuangdao A",813,IF(Atletas!T537="Shuangdao B",814,IF(Atletas!T537="Shuangdao C",815,IF(Atletas!T537="Shuangdao D",816,IF(Atletas!T537="Shuangdao E",817,IF(Atletas!T537="Shuangdao F",818,"")))))))))))))))))))</f>
        <v/>
      </c>
      <c r="CC546" s="50" t="str">
        <f>IF(Atletas!U537="","",IF(Atletas!X537&lt;&gt;"",10000,0)+IF(Atletas!B537="Feminino",1000,IF(Atletas!B537="Masculino",2000,""))+IF(OR(Atletas!U537="Taijijian Yang A",Atletas!U537="Taijijian Yang Standard A"),901,IF(OR(Atletas!U537="Taijijian Chen A", Atletas!U537="Taijijian Chen Standard A"),902,IF(Atletas!U537="Taijijian Sun A",903,IF(Atletas!U537="Taijijian Wu A",904,IF(Atletas!U537="Taijijian Wu-Hao A",905,IF(OR(Atletas!U537="Taijijian 32 A",Atletas!U537="Taijijian 42 A"),906,IF(OR(Atletas!U537="Taijijian Yang B",Atletas!U537="Taijijian Yang Standard B"),907,IF(OR(Atletas!U537="Taijijian Chen B", Atletas!U537="Taijijian Chen Standard B"),908,IF(Atletas!U537="Taijijian Sun B",909,IF(Atletas!U537="Taijijian Wu B",910,IF(Atletas!U537="Taijijian Wu-Hao B",911,IF(OR(Atletas!U537="Taijijian 32 B",Atletas!U537="Taijijian 42 B"),912,IF(OR(Atletas!U537="Taijijian Yang C",Atletas!U537="Taijijian Yang Standard C"),913,IF(OR(Atletas!U537="Taijijian Chen C", Atletas!U537="Taijijian Chen Standard C"),914,IF(Atletas!U537="Taijijian Sun C",915,IF(Atletas!U537="Taijijian Wu C",916,IF(Atletas!U537="Taijijian Wu-Hao C",917,IF(OR(Atletas!U537="Taijijian 32 C",Atletas!U537="Taijijian 42 C"),918,IF(OR(Atletas!U537="Taijijian Yang D",Atletas!U537="Taijijian Yang Standard D"),919,IF(OR(Atletas!U537="Taijijian Chen D", Atletas!U537="Taijijian Chen Standard D"),920,IF(Atletas!U537="Taijijian Sun D",921,IF(Atletas!U537="Taijijian Wu D",922,IF(Atletas!U537="Taijijian Wu-Hao D",923,IF(OR(Atletas!U537="Taijijian 32 D",Atletas!U537="Taijijian 42 D"),924,IF(OR(Atletas!U537="Taijijian Yang E",Atletas!U537="Taijijian Yang Standard E"),925,IF(OR(Atletas!U537="Taijijian Chen E", Atletas!U537="Taijijian Chen Standard E"),926,IF(Atletas!U537="Taijijian Sun E",927,IF(Atletas!U537="Taijijian Wu E",928,IF(Atletas!U537="Taijijian Wu-Hao E",929,IF(OR(Atletas!U537="Taijijian 32 E",Atletas!U537="Taijijian 42 E"),930,IF(OR(Atletas!U537="Taijijian Yang F",Atletas!U537="Taijijian Yang Standard F"),931,IF(OR(Atletas!U537="Taijijian Chen F", Atletas!U537="Taijijian Chen Standard F"),932,IF(Atletas!U537="Taijijian Sun F",933,IF(Atletas!U537="Taijijian Wu F",934,IF(Atletas!U537="Taijijian Wu-Hao F",935,IF(OR(Atletas!U537="Taijijian 32 F",Atletas!U537="Taijijian 42 F"),936,"")))))))))))))))))))))))))))))))))))))</f>
        <v/>
      </c>
      <c r="CD546" s="50" t="str">
        <f>IF(Atletas!V537="","",IF(Atletas!X537&lt;&gt;"",10000,0)+IF(Atletas!B537="Feminino",1000,IF(Atletas!B537="Masculino",2000,""))+IF(Atletas!V537="Taijidao A",937,IF(Atletas!V537="TaijiShanzi A",938,IF(Atletas!V537="Taijiqiang A",939,IF(Atletas!V537="Bagua de Arma A",940,IF(Atletas!V537="Xingyi de Arma A",941,IF(Atletas!V537="Taijidao B",942,IF(Atletas!V537="TaijiShanzi B",943,IF(Atletas!V537="Taijiqiang B",944,IF(Atletas!V537="Bagua de Arma B",945,IF(Atletas!V537="Xingyi de Arma B",946,IF(Atletas!V537="Taijidao C",947,IF(Atletas!V537="TaijiShanzi C",948,IF(Atletas!V537="Taijiqiang C",949,IF(Atletas!V537="Bagua de Arma C",950,IF(Atletas!V537="Xingyi de Arma C",951,IF(Atletas!V537="Taijidao D",952,IF(Atletas!V537="TaijiShanzi D",953,IF(Atletas!V537="Taijiqiang D",954,IF(Atletas!V537="Bagua de Arma D",955,IF(Atletas!V537="Xingyi de Arma D",956,IF(Atletas!V537="Taijidao E",957,IF(Atletas!V537="TaijiShanzi E",958,IF(Atletas!V537="Taijiqiang E",959,IF(Atletas!V537="Bagua de Arma E",960,IF(Atletas!V537="Xingyi de Arma E",961,IF(Atletas!V537="Taijidao F",962,IF(Atletas!V537="TaijiShanzi F",963,IF(Atletas!V537="Taijiqiang F",964,IF(Atletas!V537="Bagua de Arma F",965,IF(Atletas!V537="Xingyi de Arma F",966,"")))))))))))))))))))))))))))))))</f>
        <v/>
      </c>
      <c r="CM546" s="50" t="str">
        <f xml:space="preserve"> IF(Atletas!W537="","",IF(Atletas!W537="Duilian de Mãos BC - Equipe 1",1,IF(Atletas!W537="Duilian de Mãos BC - Equipe 2",2,IF(Atletas!W537="Duilian de Armas BC - Equipe 1",3,IF(Atletas!W537="Duilian de Armas BC - Equipe 2",4,IF(Atletas!W537="Duilian de Mãos DE - Equipe 1",5,IF(Atletas!W537="Duilian de Mãos DE - Equipe 2",6,IF(Atletas!W537="Duilian de Armas DE - Equipe 1",7,IF(Atletas!W537="Duilian de Armas DE - Equipe 2",8,IF(Atletas!W537="Duilian de Tuishou - Equipe 1",9,IF(Atletas!W537="Duilian de Tuishou - Equipe 2",10,IF(Atletas!W537="Grupo Externo ABC - Equipe 1",11,IF(Atletas!W537="Grupo Externo ABC - Equipe 2",12,IF(Atletas!W537="Grupo Interno ABC - Equipe 1",13,IF(Atletas!W537="Grupo Interno ABC - Equipe 2",14,IF(Atletas!W537="Grupo Externo DEF - Equipe 1",15,IF(Atletas!W537="Grupo Externo DEF - Equipe 2",16,IF(Atletas!W537="Grupo Interno DEF - Equipe 1",17,IF(Atletas!W537="Grupo Interno DEF - Equipe 2",18,"")))))))))))))))))))</f>
        <v/>
      </c>
    </row>
    <row r="547" spans="40:91">
      <c r="AN547" s="52" t="str">
        <f>IF(Atletas!D538="","",IF(Atletas!B538="Feminino",100,IF(Atletas!B538="Masculino",200,""))+(IF(Atletas!D538="Kids 30kg",1,IF(Atletas!D538="Kids 32kg",2, IF(Atletas!D538="Kids 34kg",3,IF(Atletas!D538="Kids 36kg",4,IF(Atletas!D538="Kids 39kg",5,IF(Atletas!D538="Kids 42kg",6,IF(Atletas!D538="Kids 45kg",7, IF(Atletas!D538="Infantil 39kg",8,IF(Atletas!D538="Infantil 42kg",9,IF(Atletas!D538="Infantil 45kg",10,IF(Atletas!D538="Infantil 48kg",11,IF(Atletas!D538="Infantil 52kg",12,IF(Atletas!D538="Infantil 56kg",13,IF(Atletas!D538="Infantil 60kg",14,IF(Atletas!D538="Juvenil 48kg",15,IF(Atletas!D538="Juvenil 52kg",16,IF(Atletas!D538="Juvenil 56kg",17,IF(Atletas!D538="Juvenil 60kg",18,IF(Atletas!D538="Juvenil 65kg",19,IF(Atletas!D538="Juvenil 70kg",20,IF(Atletas!D538="Juvenil 75kg",21,IF(Atletas!D538="Juvenil 80kg",22, IF(Atletas!D538="Juvenil 85kg",23,IF(Atletas!D538="Adulto 48kg",24,IF(Atletas!D538="Adulto 52kg",25,IF(Atletas!D538="Adulto 56kg",26,IF(Atletas!D538="Adulto 60kg",27,IF(Atletas!D538="Adulto 65kg",28,IF(Atletas!D538="Adulto 70kg",29,IF(Atletas!D538="Adulto 75kg",30,IF(Atletas!D538="Adulto 80kg",31,IF(Atletas!D538="Adulto 85kg",32,IF(Atletas!D538="Adulto 90kg",33,IF(Atletas!D538="Adulto 100kg",34, IF(Atletas!D538="Adulto +100kg",35,"")))))))))))))))))))))))))))))))))))))</f>
        <v/>
      </c>
      <c r="AS547" s="6" t="str">
        <f>IF(Atletas!E538="","",IF(Atletas!B538="Feminino",100,IF(Atletas!B538="Masculino",200,""))+(IF(Atletas!E538="Juvenil 44kg",1,IF(Atletas!E538="Juvenil 48kg",2,IF(Atletas!E538="Juvenil 52kg",3,IF(Atletas!E538="Juvenil 56kg",4,IF(Atletas!E538="Juvenil 60kg",5,IF(Atletas!E538="Juvenil 65kg",6,IF(Atletas!E538="Juvenil 70kg",7,IF(Atletas!E538="Juvenil 75kg",8,IF(Atletas!E538="Juvenil 82kg",9,IF(Atletas!E538="Juvenil 90kg",10,IF(Atletas!E538="Juvenil 100kg",11,IF(Atletas!E538="Adulto 48kg",12,IF(Atletas!E538="Adulto 52kg",13,IF(Atletas!E538="Adulto 56kg",14,IF(Atletas!E538="Adulto 60kg",15,IF(Atletas!E538="Adulto 65kg",16,IF(Atletas!E538="Adulto 70kg",17,IF(Atletas!E538="Adulto 75kg",18,IF(Atletas!E538="Adulto 82kg",19,IF(Atletas!E538="Adulto 90kg",20,IF(Atletas!E538="Adulto 100kg",21,IF(Atletas!E538="Adulto +100kg",22,""))))))))))))))))))))))))</f>
        <v/>
      </c>
      <c r="AX547" s="6" t="str">
        <f>IF(Atletas!F538="","",IF(Atletas!B538="Feminino",100,IF(Atletas!B538="Masculino",200,""))+(IF(Atletas!F538="Adulto 48kg",1,IF(Atletas!F538="Adulto 56kg",2,IF(Atletas!F538="Adulto 65kg",3,IF(Atletas!F538="Adulto 75kg",4,IF(Atletas!F538="Adulto +75kg",5,IF(Atletas!F538="Adulto 52kg",6,IF(Atletas!F538="Adulto 60kg",7,IF(Atletas!F538="Adulto 70kg",8,IF(Atletas!F538="Adulto 80kg",9,IF(Atletas!F538="Adulto 90kg",10,IF(Atletas!F538="Adulto +90kg",11,"")))))))))))))</f>
        <v/>
      </c>
      <c r="BC547" s="6" t="str">
        <f>IF(Atletas!G538="","",IF(Atletas!B538="Feminino",10,IF(Atletas!B538="Masculino",20,""))+(IF(Atletas!G538="Baduanjin A",1,IF(Atletas!G538="Baduanjin B",2))))</f>
        <v/>
      </c>
      <c r="BF547" s="52" t="str">
        <f>IF(Atletas!H538="","",IF(Atletas!B538="Feminino",100,IF(Atletas!B538="Masculino",200,""))+(IF(Atletas!H538="Changquan Mirim",1,IF(Atletas!H538="Nanquan Mirim",2,IF(Atletas!H538="Taijiquan Mirim",3,IF(Atletas!H538="Changquan Grupo C",4,IF(Atletas!H538="Nanquan Grupo C",5,IF(Atletas!H538="Taijiquan Grupo C",6,IF(Atletas!H538="Changquan Grupo B",7,IF(Atletas!H538="Nanquan Grupo B",8,IF(Atletas!H538="Taijiquan Grupo B",9,IF(Atletas!H538="Changquan Grupo A",10,IF(Atletas!H538="Nanquan Grupo A",11,IF(Atletas!H538="Taijiquan Grupo A",12,IF(Atletas!H538="Changquan Opcional",13,IF(Atletas!H538="Nanquan Opcional",14,IF(Atletas!H538="Taijiquan Opcional",15,IF(Atletas!H538="Changquan Adulto",16,IF(Atletas!H538="Nanquan Adulto",17,IF(Atletas!H538="Taijiquan Adulto",18,""))))))))))))))))))))</f>
        <v/>
      </c>
      <c r="BG547" s="52" t="str">
        <f>IF(Atletas!I538="","",IF(Atletas!B538="Feminino",100,IF(Atletas!B538="Masculino",200,""))+(IF(Atletas!I538="Daoshu Mirim",19,IF(Atletas!I538="Jianshu Mirim",20,IF(Atletas!I538="Nandao Mirim",21,IF(Atletas!I538="Taijijian Mirim",22,IF(Atletas!I538="Daoshu Grupo C",23,IF(Atletas!I538="Jianshu Grupo C",24,IF(Atletas!I538="Nandao Grupo C",25,IF(Atletas!I538="Taijijian Grupo C",26,IF(Atletas!I538="Daoshu Grupo B",27,IF(Atletas!I538="Jianshu Grupo B",28,IF(Atletas!I538="Nandao Grupo B",29,IF(Atletas!I538="Taijijian Grupo B",30,IF(Atletas!I538="Daoshu Grupo A",31,IF(Atletas!I538="Jianshu Grupo A",32,IF(Atletas!I538="Nandao Grupo A",33,IF(Atletas!I538="Taijijian Grupo A",34,IF(Atletas!I538="Daoshu Opcional",35,IF(Atletas!I538="Jianshu Opcional",36,IF(Atletas!I538="Nandao Opcional",37,IF(Atletas!I538="Taijijian Opcional",38,IF(Atletas!I538="Daoshu Adulto",39,IF(Atletas!I538="Jianshu Adulto",40,IF(Atletas!I538="Nandao Adulto",41,IF(Atletas!I538="Taijijian Adulto",42,""))))))))))))))))))))))))))</f>
        <v/>
      </c>
      <c r="BH547" s="52" t="str">
        <f>IF(Atletas!J538="","",IF(Atletas!B538="Feminino",100,IF(Atletas!B538="Masculino",200,""))+(IF(Atletas!J538="Gunshu Mirim",43,IF(Atletas!J538="Qiangshu Mirim",44,IF(Atletas!J538="Nangun Mirim",45,IF(Atletas!J538="Gunshu Grupo C",46,IF(Atletas!J538="Qiangshu Grupo C",47,IF(Atletas!J538="Nangun Grupo C",48,IF(Atletas!J538="Gunshu Grupo B",49,IF(Atletas!J538="Qiangshu Grupo B",50,IF(Atletas!J538="Nangun Grupo B",51,IF(Atletas!J538="Gunshu Grupo A",52,IF(Atletas!J538="Qiangshu Grupo A",53,IF(Atletas!J538="Nangun Grupo A",54,IF(Atletas!J538="Gunshu Opcional",55,IF(Atletas!J538="Qiangshu Opcional",56,IF(Atletas!J538="Nangun Opcional",57,IF(Atletas!J538="Gunshu Adulto",58,IF(Atletas!J538="Qiangshu Adulto",59,IF(Atletas!J538="Nangun Adulto",60,IF(Atletas!J538="Taijishan Grupo B",61,IF(Atletas!J538="Taijishan Grupo A",62,""))))))))))))))))))))))</f>
        <v/>
      </c>
      <c r="BM547" s="50" t="str">
        <f>IF(Atletas!K538="","",IF(Atletas!B538="Feminino",100,IF(Atletas!B538="Masculino",200,""))+(IF(Atletas!K538="Equipe 1 Grupo B",1,IF(Atletas!K538="Equipe 2 Grupo B",2,IF(Atletas!K538="Equipe 1 Grupo A",3,IF(Atletas!K538="Equipe 2 Grupo A",4,IF(Atletas!K538="Equipe 1 Adulto",5,IF(Atletas!K538="Equipe 2 Adulto",6,""))))))))</f>
        <v/>
      </c>
      <c r="BR547" s="50" t="str">
        <f>IF(Atletas!L538="","",IF(Atletas!X538&lt;&gt;"",10000,0)+(IF(Atletas!B538="Feminino",1000,IF(Atletas!B538="Masculino",2000,""))+IF(Atletas!L538="Choylayfut A",1,IF(Atletas!L538="Hunggar A",2,IF(Atletas!L538="Wuzuquan A",3,IF(Atletas!L538="Wingchun A",4,IF(Atletas!L538="Outra Mão de Sul A",5,IF(Atletas!L538="Choylayfut B",6,IF(Atletas!L538="Hunggar B",7,IF(Atletas!L538="Wuzuquan B",8,IF(Atletas!L538="Wingchun B",9,IF(Atletas!L538="Outra Mão de Sul B",10,IF(Atletas!L538="Choylayfut C",11,IF(Atletas!L538="Hunggar C",12,IF(Atletas!L538="Wuzuquan C",13,IF(Atletas!L538="Wingchun C",14,IF(Atletas!L538="Outra Mão de Sul C",15,IF(Atletas!L538="Choylayfut D",16,IF(Atletas!L538="Hunggar D",17,IF(Atletas!L538="Wuzuquan D",18,IF(Atletas!L538="Wingchun D",19,IF(Atletas!L538="Outra Mão de Sul D",20,IF(Atletas!L538="Choylayfut E",21,IF(Atletas!L538="Hunggar E",22,IF(Atletas!L538="Wuzuquan E",23,IF(Atletas!L538="Wingchun E",24,IF(Atletas!L538="Outra Mão de Sul E",25,IF(Atletas!L538="Choylayfut F",26,IF(Atletas!L538="Hunggar F",27,IF(Atletas!L538="Wuzuquan F",28,IF(Atletas!L538="Wingchun F",29,IF(Atletas!L538="Outra Mão de Sul F",30,IF(Atletas!L538="Dishuquan A",31,IF(Atletas!L538="Dishuquan B",32,IF(Atletas!L538="Dishuquan C",33,IF(Atletas!L538="Dishuquan D",34,IF(Atletas!L538="Dishuquan E",35,IF(Atletas!L538="Dishuquan F",36,""))))))))))))))))))))))))))))))))))))))</f>
        <v/>
      </c>
      <c r="BS547" s="50" t="str">
        <f>IF(Atletas!M538="","",IF(Atletas!X538&lt;&gt;"",10000,0)+(IF(Atletas!B538="Feminino",1000,IF(Atletas!B538="Masculino",2000,""))+(IF(Atletas!M538="Chaquan A",101,IF(Atletas!M538="Emeiquan A",102,IF(Atletas!M538="Fanziquan A",103,IF(Atletas!M538="Huaquan A",104,IF(Atletas!M538="Hongquan A",105,IF(Atletas!M538="Paoquan A",106,IF(Atletas!M538="Piguaquan A",107,IF(Atletas!M538="Shaolinquan A",108,IF(Atletas!M538="Tanglangquan A",109,IF(Atletas!M538="Yingzhaoquan A",110,IF(Atletas!M538="Tongbeiquan A",111,IF(Atletas!M538="Wudangquan A",112,IF(Atletas!M538="Outros Estilos A",113,IF(Atletas!M538="Chaquan B",114,IF(Atletas!M538="Emeiquan B",115,IF(Atletas!M538="Fanziquan B",116,IF(Atletas!M538="Huaquan B",117,IF(Atletas!M538="Hongquan B",118,IF(Atletas!M538="Paoquan B",119,IF(Atletas!M538="Piguaquan B",120,IF(Atletas!M538="Shaolinquan B",121,IF(Atletas!M538="Tanglangquan B",122,IF(Atletas!M538="Yingzhaoquan B",123,IF(Atletas!M538="Tongbeiquan B",124,IF(Atletas!M538="Wudangquan B",125,IF(Atletas!M538="Outros Estilos B",126,IF(Atletas!M538="Chaquan C",127,IF(Atletas!M538="Emeiquan C",128,IF(Atletas!M538="Fanziquan C",129,IF(Atletas!M538="Huaquan C",130,IF(Atletas!M538="Hongquan C",131,IF(Atletas!M538="Paoquan C",132,IF(Atletas!M538="Piguaquan C",133,IF(Atletas!M538="Shaolinquan C",134,IF(Atletas!M538="Tanglangquan C",135,IF(Atletas!M538="Yingzhaoquan C",136,IF(Atletas!M538="Tongbeiquan C",137,IF(Atletas!M538="Wudangquan C",138,IF(Atletas!M538="Outros Estilos C",139,0))))))))))))))))))))))))))))))))))))))))))</f>
        <v/>
      </c>
      <c r="BT547" s="50" t="str">
        <f>IF(Atletas!M538="","",IF(Atletas!X538&lt;&gt;"",10000,0)+(IF(Atletas!B538="Feminino",1000,IF(Atletas!B538="Masculino",2000,""))+(IF(Atletas!M538="Chaquan D",140,IF(Atletas!M538="Emeiquan D",141,IF(Atletas!M538="Fanziquan D",142,IF(Atletas!M538="Huaquan D",143,IF(Atletas!M538="Hongquan D",144,IF(Atletas!M538="Paoquan D",145,IF(Atletas!M538="Piguaquan D",146,IF(Atletas!M538="Shaolinquan D",147,IF(Atletas!M538="Tanglangquan D",148,IF(Atletas!M538="Yingzhaoquan D",149,IF(Atletas!M538="Tongbeiquan D",150,IF(Atletas!M538="Wudangquan D",151,IF(Atletas!M538="Outros Estilos D",152,IF(Atletas!M538="Chaquan E",153,IF(Atletas!M538="Emeiquan E",154,IF(Atletas!M538="Fanziquan E",155,IF(Atletas!M538="Huaquan E",156,IF(Atletas!M538="Hongquan E",157,IF(Atletas!M538="Paoquan E",158,IF(Atletas!M538="Piguaquan E",159,IF(Atletas!M538="Shaolinquan E",160,IF(Atletas!M538="Tanglangquan E",161,IF(Atletas!M538="Yingzhaoquan E",162,IF(Atletas!M538="Tongbeiquan E",163,IF(Atletas!M538="Wudangquan E",164,IF(Atletas!M538="Outros Estilos E",165,IF(Atletas!M538="Chaquan F",166,IF(Atletas!M538="Emeiquan F",167,IF(Atletas!M538="Fanziquan F",168,IF(Atletas!M538="Huaquan F",169,IF(Atletas!M538="Hongquan F",170,IF(Atletas!M538="Paoquan F",171,IF(Atletas!M538="Piguaquan F",172,IF(Atletas!M538="Shaolinquan F",173,IF(Atletas!M538="Tanglangquan F",174,IF(Atletas!M538="Yingzhaoquan F",175,IF(Atletas!M538="Tongbeiquan F",176,IF(Atletas!M538="Wudangquan F",177,IF(Atletas!M538="Outros Estilos F",178,0))))))))))))))))))))))))))))))))))))))))))</f>
        <v/>
      </c>
      <c r="BU547" s="50" t="str">
        <f>IF(Atletas!N538="","",IF(Atletas!X538&lt;&gt;"",10000,0)+(IF(Atletas!B538="Feminino",1000,IF(Atletas!B538="Masculino",2000,""))+(IF(Atletas!N538="Ditangquan A",201,IF(Atletas!N538="Houquan A",202,IF(Atletas!N538="Zuiquan A",203,IF(Atletas!N538="Ditangquan B",204,IF(Atletas!N538="Houquan B",205,IF(Atletas!N538="Zuiquan B",206,IF(Atletas!N538="Ditangquan C",207,IF(Atletas!N538="Houquan C",208,IF(Atletas!N538="Zuiquan C",209,IF(Atletas!N538="Ditangquan D",210,IF(Atletas!N538="Houquan D",211,IF(Atletas!N538="Zuiquan D",212,IF(Atletas!N538="Ditangquan E",213,IF(Atletas!N538="Houquan E",214,IF(Atletas!N538="Zuiquan E",215,IF(Atletas!N538="Ditangquan F",216,IF(Atletas!N538="Houquan F",217,IF(Atletas!N538="Zuiquan F",218,"")))))))))))))))))))))</f>
        <v/>
      </c>
      <c r="BV547" s="50" t="str">
        <f>IF(Atletas!O538="","",IF(Atletas!X538&lt;&gt;"",10000,0)+IF(Atletas!B538="Feminino",1000,IF(Atletas!B538="Masculino",2000,""))+IF(Atletas!O538="Yang A",301,IF(Atletas!O538="Chen A",302,IF(Atletas!O538="Sun A",303,IF(Atletas!O538="Wu A",304,IF(Atletas!O538="Wu-Hao A",305,IF(Atletas!O538="Outro Taijiquan A",306,IF(Atletas!O538="Yang B",307,IF(Atletas!O538="Chen B",308,IF(Atletas!O538="Sun B",309,IF(Atletas!O538="Wu B",310,IF(Atletas!O538="Wu-Hao B",311,IF(Atletas!O538="Outro Taijiquan B",312,IF(Atletas!O538="Yang C",313,IF(Atletas!O538="Chen C",314,IF(Atletas!O538="Sun C",315,IF(Atletas!O538="Wu C",316,IF(Atletas!O538="Wu-Hao C",317,IF(Atletas!O538="Outro Taijiquan C",318,IF(Atletas!O538="Yang D",319,IF(Atletas!O538="Chen D",320,IF(Atletas!O538="Sun D",321,IF(Atletas!O538="Wu D",322,IF(Atletas!O538="Wu-Hao D",323,IF(Atletas!O538="Outro Taijiquan D",324,IF(Atletas!O538="Yang E",325,IF(Atletas!O538="Chen E",326,IF(Atletas!O538="Sun E",327,IF(Atletas!O538="Wu E",328,IF(Atletas!O538="Wu-Hao E",329,IF(Atletas!O538="Outro Taijiquan E",330,IF(Atletas!O538="Yang F",331,IF(Atletas!O538="Chen F",332,IF(Atletas!O538="Sun F",333,IF(Atletas!O538="Wu F",334,IF(Atletas!O538="Wu-Hao F",335,IF(Atletas!O538="Outro Taijiquan F",336,"")))))))))))))))))))))))))))))))))))))</f>
        <v/>
      </c>
      <c r="BW547" s="50" t="str">
        <f>IF(Atletas!P538="","",IF(Atletas!X538&lt;&gt;"",10000,0)+IF(Atletas!B538="Feminino",1000,IF(Atletas!B538="Masculino",2000,""))+IF(OR(Atletas!P538="Yang 26 A",Atletas!P538="Yang 40 A"),401,IF(OR(Atletas!P538="Chen 25 A",Atletas!P538="Chen 36 A",Atletas!P538="Chen 56 A"),402,IF(Atletas!P538="Sun 73 A",403,IF(Atletas!P538="Wu 45 A",404,IF(Atletas!P538="Wu-Hao 46 A",405,IF(OR(Atletas!P538="Taijiquan 16 A",Atletas!P538="Taijiquan 24 A",Atletas!P538="Taijiquan 32 A",Atletas!P538="Taijiquan 42 A"),406,IF(OR(Atletas!P538="Yang 26 B",Atletas!P538="Yang 40 B"),407,IF(OR(Atletas!P538="Chen 25 B",Atletas!P538="Chen 36 B",Atletas!P538="Chen 56 B"),408,IF(Atletas!P538="Sun 73 B",409,IF(Atletas!P538="Wu 45 B",410,IF(Atletas!P538="Wu-Hao 46 B",411,IF(OR(Atletas!P538="Taijiquan 16 B",Atletas!P538="Taijiquan 24 B",Atletas!P538="Taijiquan 32 B",Atletas!P538="Taijiquan 42 B"),412,IF(OR(Atletas!P538="Yang 26 C",Atletas!P538="Yang 40 C"),413,IF(OR(Atletas!P538="Chen 25 C",Atletas!P538="Chen 36 C",Atletas!P538="Chen 56 C"),414,IF(Atletas!P538="Sun 73 C",415,IF(Atletas!P538="Wu 45 C",416,IF(Atletas!P538="Wu-Hao 46 C",417,IF(OR(Atletas!P538="Taijiquan 16 C",Atletas!P538="Taijiquan 24 C",Atletas!P538="Taijiquan 32 C",Atletas!P538="Taijiquan 42 C"),418,0)))))))))))))))))))</f>
        <v/>
      </c>
      <c r="BX547" s="50" t="str">
        <f>IF(Atletas!P538="","",IF(Atletas!X538&lt;&gt;"",10000,0)+IF(Atletas!B538="Feminino",1000,IF(Atletas!B538="Masculino",2000,""))+IF(OR(Atletas!P538="Yang 26 D",Atletas!P538="Yang 40 D"),419,IF(OR(Atletas!P538="Chen 25 D",Atletas!P538="Chen 36 D",Atletas!P538="Chen 56 D"),420,IF(Atletas!P538="Sun 73 D",421,IF(Atletas!P538="Wu 45 D",422,IF(Atletas!P538="Wu-Hao 46 D",423,IF(OR(Atletas!P538="Taijiquan 16 D",Atletas!P538="Taijiquan 24 D",Atletas!P538="Taijiquan 32 D",Atletas!P538="Taijiquan 42 D"),424,IF(OR(Atletas!P538="Yang 26 E",Atletas!P538="Yang 40 E"),425,IF(OR(Atletas!P538="Chen 25 E",Atletas!P538="Chen 36 E",Atletas!P538="Chen 56 E"),426,IF(Atletas!P538="Sun 73 E",427,IF(Atletas!P538="Wu 45 E",428,IF(Atletas!P538="Wu-Hao 46 E",429,IF(OR(Atletas!P538="Taijiquan 16 E",Atletas!P538="Taijiquan 24 E",Atletas!P538="Taijiquan 32 E",Atletas!P538="Taijiquan 42 E"),430,IF(OR(Atletas!P538="Yang 26 F",Atletas!P538="Yang 40 F"),431,IF(OR(Atletas!P538="Chen 25 F",Atletas!P538="Chen 36 F",Atletas!P538="Chen 56 F"),432,IF(Atletas!P538="Sun 73 F",433,IF(Atletas!P538="Wu 45 F",434,IF(Atletas!P538="Wu-Hao 46 F",435,IF(OR(Atletas!P538="Taijiquan 16 F",Atletas!P538="Taijiquan 24 F",Atletas!P538="Taijiquan 32 F",Atletas!P538="Taijiquan 42 F"),436,0)))))))))))))))))))</f>
        <v/>
      </c>
      <c r="BY547" s="50" t="str">
        <f>IF(Atletas!Q538="","",IF(Atletas!X538&lt;&gt;"",10000,0)+IF(Atletas!B538="Feminino",1000,IF(Atletas!B538="Masculino",2000,""))+IF(Atletas!Q538="Xingyiquan A",501,IF(Atletas!Q538="Baguazhang A",502,IF(Atletas!Q538="Outro Estilo Interno A",503,IF(Atletas!Q538="Xingyiquan B",504,IF(Atletas!Q538="Baguazhang B",505,IF(Atletas!Q538="Outro Estilo Interno B",506,IF(Atletas!Q538="Xingyiquan C",507,IF(Atletas!Q538="Baguazhang C",508,IF(Atletas!Q538="Outro Estilo Interno C",509,IF(Atletas!Q538="Xingyiquan D",510,IF(Atletas!Q538="Baguazhang D",511,IF(Atletas!Q538="Outro Estilo Interno D",512,IF(Atletas!Q538="Xingyiquan E",513,IF(Atletas!Q538="Baguazhang E",514,IF(Atletas!Q538="Outro Estilo Interno E",515,IF(Atletas!Q538="Xingyiquan F",516,IF(Atletas!Q538="Baguazhang F",517,IF(Atletas!Q538="Outro Estilo Interno F",518, "")))))))))))))))))))</f>
        <v/>
      </c>
      <c r="BZ547" s="50" t="str">
        <f>IF(Atletas!R538="","",IF(Atletas!X538&lt;&gt;"",10000,0)+IF(Atletas!B538="Feminino",1000,IF(Atletas!B538="Masculino",2000,""))+IF(Atletas!R538="Dao A",601,IF(Atletas!R538="Jian A",602,IF(Atletas!R538="Bishou A",603,IF(Atletas!R538="Shanzi A",604,IF(Atletas!R538="Outra Arma Curta A",605,IF(Atletas!R538="Dao B",606,IF(Atletas!R538="Jian B",607,IF(Atletas!R538="Bishou B",608,IF(Atletas!R538="Shanzi B",609,IF(Atletas!R538="Outra Arma Curta B",610,IF(Atletas!R538="Dao C",611,IF(Atletas!R538="Jian C",612,IF(Atletas!R538="Bishou C",613,IF(Atletas!R538="Shanzi C",614,IF(Atletas!R538="Outra Arma Curta C",615,IF(Atletas!R538="Dao D",616,IF(Atletas!R538="Jian D",617,IF(Atletas!R538="Bishou D",618,IF(Atletas!R538="Shanzi D",619,IF(Atletas!R538="Outra Arma Curta D",620,IF(Atletas!R538="Dao E",621,IF(Atletas!R538="Jian E",622,IF(Atletas!R538="Bishou E",623,IF(Atletas!R538="Shanzi E",624,IF(Atletas!R538="Outra Arma Curta E",625,IF(Atletas!R538="Dao F",626,IF(Atletas!R538="Jian F",627,IF(Atletas!R538="Bishou F",628,IF(Atletas!R538="Shanzi F",629,IF(Atletas!R538="Outra Arma Curta F",630, "")))))))))))))))))))))))))))))))</f>
        <v/>
      </c>
      <c r="CA547" s="50" t="str">
        <f>IF(Atletas!S538="","",IF(Atletas!X538&lt;&gt;"",10000,0)+IF(Atletas!B538="Feminino",1000,IF(Atletas!B538="Masculino",2000,""))+IF(Atletas!S538="Gun A",701,IF(Atletas!S538="Qiang A",702,IF(Atletas!S538="Pudao / Guandao A",703,IF(Atletas!S538="Outra Arma Longa A",704,IF(Atletas!S538="Gun B",705,IF(Atletas!S538="Qiang B",706,IF(Atletas!S538="Pudao / Guandao B",707,IF(Atletas!S538="Outra Arma Longa B",708,IF(Atletas!S538="Gun C",709,IF(Atletas!S538="Qiang C",710,IF(Atletas!S538="Pudao / Guandao C",711,IF(Atletas!S538="Outra Arma Longa C",712,IF(Atletas!S538="Gun D",713,IF(Atletas!S538="Qiang D",714,IF(Atletas!S538="Pudao / Guandao D",715,IF(Atletas!S538="Outra Arma Longa D",716,IF(Atletas!S538="Gun E",717,IF(Atletas!S538="Qiang E",718,IF(Atletas!S538="Pudao / Guandao E",719,IF(Atletas!S538="Outra Arma Longa E",720,IF(Atletas!S538="Gun F",721,IF(Atletas!S538="Qiang F",722,IF(Atletas!S538="Pudao / Guandao F",723,IF(Atletas!S538="Outra Arma Longa F",724,"")))))))))))))))))))))))))</f>
        <v/>
      </c>
      <c r="CB547" s="50" t="str">
        <f>IF(Atletas!T538="","",IF(Atletas!X538&lt;&gt;"",10000,0)+IF(Atletas!B538="Feminino",1000,IF(Atletas!B538="Masculino",2000,""))+IF(Atletas!T538="Outra Arma Dupla A",801,IF(Atletas!T538="Arma Maleável A",802,IF(Atletas!T538="Outra Arma Dupla B",803,IF(Atletas!T538="Arma Maleável B",804,IF(Atletas!T538="Outra Arma Dupla C",805,IF(Atletas!T538="Arma Maleável C",806,IF(Atletas!T538="Outra Arma Dupla D",807,IF(Atletas!T538="Arma Maleável D",808,IF(Atletas!T538="Outra Arma Dupla E",809,IF(Atletas!T538="Arma Maleável E",810,IF(Atletas!T538="Outra Arma Dupla F",811,IF(Atletas!T538="Arma Maleável F",812,IF(Atletas!T538="Shuangdao A",813,IF(Atletas!T538="Shuangdao B",814,IF(Atletas!T538="Shuangdao C",815,IF(Atletas!T538="Shuangdao D",816,IF(Atletas!T538="Shuangdao E",817,IF(Atletas!T538="Shuangdao F",818,"")))))))))))))))))))</f>
        <v/>
      </c>
      <c r="CC547" s="50" t="str">
        <f>IF(Atletas!U538="","",IF(Atletas!X538&lt;&gt;"",10000,0)+IF(Atletas!B538="Feminino",1000,IF(Atletas!B538="Masculino",2000,""))+IF(OR(Atletas!U538="Taijijian Yang A",Atletas!U538="Taijijian Yang Standard A"),901,IF(OR(Atletas!U538="Taijijian Chen A", Atletas!U538="Taijijian Chen Standard A"),902,IF(Atletas!U538="Taijijian Sun A",903,IF(Atletas!U538="Taijijian Wu A",904,IF(Atletas!U538="Taijijian Wu-Hao A",905,IF(OR(Atletas!U538="Taijijian 32 A",Atletas!U538="Taijijian 42 A"),906,IF(OR(Atletas!U538="Taijijian Yang B",Atletas!U538="Taijijian Yang Standard B"),907,IF(OR(Atletas!U538="Taijijian Chen B", Atletas!U538="Taijijian Chen Standard B"),908,IF(Atletas!U538="Taijijian Sun B",909,IF(Atletas!U538="Taijijian Wu B",910,IF(Atletas!U538="Taijijian Wu-Hao B",911,IF(OR(Atletas!U538="Taijijian 32 B",Atletas!U538="Taijijian 42 B"),912,IF(OR(Atletas!U538="Taijijian Yang C",Atletas!U538="Taijijian Yang Standard C"),913,IF(OR(Atletas!U538="Taijijian Chen C", Atletas!U538="Taijijian Chen Standard C"),914,IF(Atletas!U538="Taijijian Sun C",915,IF(Atletas!U538="Taijijian Wu C",916,IF(Atletas!U538="Taijijian Wu-Hao C",917,IF(OR(Atletas!U538="Taijijian 32 C",Atletas!U538="Taijijian 42 C"),918,IF(OR(Atletas!U538="Taijijian Yang D",Atletas!U538="Taijijian Yang Standard D"),919,IF(OR(Atletas!U538="Taijijian Chen D", Atletas!U538="Taijijian Chen Standard D"),920,IF(Atletas!U538="Taijijian Sun D",921,IF(Atletas!U538="Taijijian Wu D",922,IF(Atletas!U538="Taijijian Wu-Hao D",923,IF(OR(Atletas!U538="Taijijian 32 D",Atletas!U538="Taijijian 42 D"),924,IF(OR(Atletas!U538="Taijijian Yang E",Atletas!U538="Taijijian Yang Standard E"),925,IF(OR(Atletas!U538="Taijijian Chen E", Atletas!U538="Taijijian Chen Standard E"),926,IF(Atletas!U538="Taijijian Sun E",927,IF(Atletas!U538="Taijijian Wu E",928,IF(Atletas!U538="Taijijian Wu-Hao E",929,IF(OR(Atletas!U538="Taijijian 32 E",Atletas!U538="Taijijian 42 E"),930,IF(OR(Atletas!U538="Taijijian Yang F",Atletas!U538="Taijijian Yang Standard F"),931,IF(OR(Atletas!U538="Taijijian Chen F", Atletas!U538="Taijijian Chen Standard F"),932,IF(Atletas!U538="Taijijian Sun F",933,IF(Atletas!U538="Taijijian Wu F",934,IF(Atletas!U538="Taijijian Wu-Hao F",935,IF(OR(Atletas!U538="Taijijian 32 F",Atletas!U538="Taijijian 42 F"),936,"")))))))))))))))))))))))))))))))))))))</f>
        <v/>
      </c>
      <c r="CD547" s="50" t="str">
        <f>IF(Atletas!V538="","",IF(Atletas!X538&lt;&gt;"",10000,0)+IF(Atletas!B538="Feminino",1000,IF(Atletas!B538="Masculino",2000,""))+IF(Atletas!V538="Taijidao A",937,IF(Atletas!V538="TaijiShanzi A",938,IF(Atletas!V538="Taijiqiang A",939,IF(Atletas!V538="Bagua de Arma A",940,IF(Atletas!V538="Xingyi de Arma A",941,IF(Atletas!V538="Taijidao B",942,IF(Atletas!V538="TaijiShanzi B",943,IF(Atletas!V538="Taijiqiang B",944,IF(Atletas!V538="Bagua de Arma B",945,IF(Atletas!V538="Xingyi de Arma B",946,IF(Atletas!V538="Taijidao C",947,IF(Atletas!V538="TaijiShanzi C",948,IF(Atletas!V538="Taijiqiang C",949,IF(Atletas!V538="Bagua de Arma C",950,IF(Atletas!V538="Xingyi de Arma C",951,IF(Atletas!V538="Taijidao D",952,IF(Atletas!V538="TaijiShanzi D",953,IF(Atletas!V538="Taijiqiang D",954,IF(Atletas!V538="Bagua de Arma D",955,IF(Atletas!V538="Xingyi de Arma D",956,IF(Atletas!V538="Taijidao E",957,IF(Atletas!V538="TaijiShanzi E",958,IF(Atletas!V538="Taijiqiang E",959,IF(Atletas!V538="Bagua de Arma E",960,IF(Atletas!V538="Xingyi de Arma E",961,IF(Atletas!V538="Taijidao F",962,IF(Atletas!V538="TaijiShanzi F",963,IF(Atletas!V538="Taijiqiang F",964,IF(Atletas!V538="Bagua de Arma F",965,IF(Atletas!V538="Xingyi de Arma F",966,"")))))))))))))))))))))))))))))))</f>
        <v/>
      </c>
      <c r="CM547" s="50" t="str">
        <f xml:space="preserve"> IF(Atletas!W538="","",IF(Atletas!W538="Duilian de Mãos BC - Equipe 1",1,IF(Atletas!W538="Duilian de Mãos BC - Equipe 2",2,IF(Atletas!W538="Duilian de Armas BC - Equipe 1",3,IF(Atletas!W538="Duilian de Armas BC - Equipe 2",4,IF(Atletas!W538="Duilian de Mãos DE - Equipe 1",5,IF(Atletas!W538="Duilian de Mãos DE - Equipe 2",6,IF(Atletas!W538="Duilian de Armas DE - Equipe 1",7,IF(Atletas!W538="Duilian de Armas DE - Equipe 2",8,IF(Atletas!W538="Duilian de Tuishou - Equipe 1",9,IF(Atletas!W538="Duilian de Tuishou - Equipe 2",10,IF(Atletas!W538="Grupo Externo ABC - Equipe 1",11,IF(Atletas!W538="Grupo Externo ABC - Equipe 2",12,IF(Atletas!W538="Grupo Interno ABC - Equipe 1",13,IF(Atletas!W538="Grupo Interno ABC - Equipe 2",14,IF(Atletas!W538="Grupo Externo DEF - Equipe 1",15,IF(Atletas!W538="Grupo Externo DEF - Equipe 2",16,IF(Atletas!W538="Grupo Interno DEF - Equipe 1",17,IF(Atletas!W538="Grupo Interno DEF - Equipe 2",18,"")))))))))))))))))))</f>
        <v/>
      </c>
    </row>
    <row r="548" spans="40:91">
      <c r="AN548" s="52" t="str">
        <f>IF(Atletas!D539="","",IF(Atletas!B539="Feminino",100,IF(Atletas!B539="Masculino",200,""))+(IF(Atletas!D539="Kids 30kg",1,IF(Atletas!D539="Kids 32kg",2, IF(Atletas!D539="Kids 34kg",3,IF(Atletas!D539="Kids 36kg",4,IF(Atletas!D539="Kids 39kg",5,IF(Atletas!D539="Kids 42kg",6,IF(Atletas!D539="Kids 45kg",7, IF(Atletas!D539="Infantil 39kg",8,IF(Atletas!D539="Infantil 42kg",9,IF(Atletas!D539="Infantil 45kg",10,IF(Atletas!D539="Infantil 48kg",11,IF(Atletas!D539="Infantil 52kg",12,IF(Atletas!D539="Infantil 56kg",13,IF(Atletas!D539="Infantil 60kg",14,IF(Atletas!D539="Juvenil 48kg",15,IF(Atletas!D539="Juvenil 52kg",16,IF(Atletas!D539="Juvenil 56kg",17,IF(Atletas!D539="Juvenil 60kg",18,IF(Atletas!D539="Juvenil 65kg",19,IF(Atletas!D539="Juvenil 70kg",20,IF(Atletas!D539="Juvenil 75kg",21,IF(Atletas!D539="Juvenil 80kg",22, IF(Atletas!D539="Juvenil 85kg",23,IF(Atletas!D539="Adulto 48kg",24,IF(Atletas!D539="Adulto 52kg",25,IF(Atletas!D539="Adulto 56kg",26,IF(Atletas!D539="Adulto 60kg",27,IF(Atletas!D539="Adulto 65kg",28,IF(Atletas!D539="Adulto 70kg",29,IF(Atletas!D539="Adulto 75kg",30,IF(Atletas!D539="Adulto 80kg",31,IF(Atletas!D539="Adulto 85kg",32,IF(Atletas!D539="Adulto 90kg",33,IF(Atletas!D539="Adulto 100kg",34, IF(Atletas!D539="Adulto +100kg",35,"")))))))))))))))))))))))))))))))))))))</f>
        <v/>
      </c>
      <c r="AS548" s="6" t="str">
        <f>IF(Atletas!E539="","",IF(Atletas!B539="Feminino",100,IF(Atletas!B539="Masculino",200,""))+(IF(Atletas!E539="Juvenil 44kg",1,IF(Atletas!E539="Juvenil 48kg",2,IF(Atletas!E539="Juvenil 52kg",3,IF(Atletas!E539="Juvenil 56kg",4,IF(Atletas!E539="Juvenil 60kg",5,IF(Atletas!E539="Juvenil 65kg",6,IF(Atletas!E539="Juvenil 70kg",7,IF(Atletas!E539="Juvenil 75kg",8,IF(Atletas!E539="Juvenil 82kg",9,IF(Atletas!E539="Juvenil 90kg",10,IF(Atletas!E539="Juvenil 100kg",11,IF(Atletas!E539="Adulto 48kg",12,IF(Atletas!E539="Adulto 52kg",13,IF(Atletas!E539="Adulto 56kg",14,IF(Atletas!E539="Adulto 60kg",15,IF(Atletas!E539="Adulto 65kg",16,IF(Atletas!E539="Adulto 70kg",17,IF(Atletas!E539="Adulto 75kg",18,IF(Atletas!E539="Adulto 82kg",19,IF(Atletas!E539="Adulto 90kg",20,IF(Atletas!E539="Adulto 100kg",21,IF(Atletas!E539="Adulto +100kg",22,""))))))))))))))))))))))))</f>
        <v/>
      </c>
      <c r="AX548" s="6" t="str">
        <f>IF(Atletas!F539="","",IF(Atletas!B539="Feminino",100,IF(Atletas!B539="Masculino",200,""))+(IF(Atletas!F539="Adulto 48kg",1,IF(Atletas!F539="Adulto 56kg",2,IF(Atletas!F539="Adulto 65kg",3,IF(Atletas!F539="Adulto 75kg",4,IF(Atletas!F539="Adulto +75kg",5,IF(Atletas!F539="Adulto 52kg",6,IF(Atletas!F539="Adulto 60kg",7,IF(Atletas!F539="Adulto 70kg",8,IF(Atletas!F539="Adulto 80kg",9,IF(Atletas!F539="Adulto 90kg",10,IF(Atletas!F539="Adulto +90kg",11,"")))))))))))))</f>
        <v/>
      </c>
      <c r="BC548" s="6" t="str">
        <f>IF(Atletas!G539="","",IF(Atletas!B539="Feminino",10,IF(Atletas!B539="Masculino",20,""))+(IF(Atletas!G539="Baduanjin A",1,IF(Atletas!G539="Baduanjin B",2))))</f>
        <v/>
      </c>
      <c r="BF548" s="52" t="str">
        <f>IF(Atletas!H539="","",IF(Atletas!B539="Feminino",100,IF(Atletas!B539="Masculino",200,""))+(IF(Atletas!H539="Changquan Mirim",1,IF(Atletas!H539="Nanquan Mirim",2,IF(Atletas!H539="Taijiquan Mirim",3,IF(Atletas!H539="Changquan Grupo C",4,IF(Atletas!H539="Nanquan Grupo C",5,IF(Atletas!H539="Taijiquan Grupo C",6,IF(Atletas!H539="Changquan Grupo B",7,IF(Atletas!H539="Nanquan Grupo B",8,IF(Atletas!H539="Taijiquan Grupo B",9,IF(Atletas!H539="Changquan Grupo A",10,IF(Atletas!H539="Nanquan Grupo A",11,IF(Atletas!H539="Taijiquan Grupo A",12,IF(Atletas!H539="Changquan Opcional",13,IF(Atletas!H539="Nanquan Opcional",14,IF(Atletas!H539="Taijiquan Opcional",15,IF(Atletas!H539="Changquan Adulto",16,IF(Atletas!H539="Nanquan Adulto",17,IF(Atletas!H539="Taijiquan Adulto",18,""))))))))))))))))))))</f>
        <v/>
      </c>
      <c r="BG548" s="52" t="str">
        <f>IF(Atletas!I539="","",IF(Atletas!B539="Feminino",100,IF(Atletas!B539="Masculino",200,""))+(IF(Atletas!I539="Daoshu Mirim",19,IF(Atletas!I539="Jianshu Mirim",20,IF(Atletas!I539="Nandao Mirim",21,IF(Atletas!I539="Taijijian Mirim",22,IF(Atletas!I539="Daoshu Grupo C",23,IF(Atletas!I539="Jianshu Grupo C",24,IF(Atletas!I539="Nandao Grupo C",25,IF(Atletas!I539="Taijijian Grupo C",26,IF(Atletas!I539="Daoshu Grupo B",27,IF(Atletas!I539="Jianshu Grupo B",28,IF(Atletas!I539="Nandao Grupo B",29,IF(Atletas!I539="Taijijian Grupo B",30,IF(Atletas!I539="Daoshu Grupo A",31,IF(Atletas!I539="Jianshu Grupo A",32,IF(Atletas!I539="Nandao Grupo A",33,IF(Atletas!I539="Taijijian Grupo A",34,IF(Atletas!I539="Daoshu Opcional",35,IF(Atletas!I539="Jianshu Opcional",36,IF(Atletas!I539="Nandao Opcional",37,IF(Atletas!I539="Taijijian Opcional",38,IF(Atletas!I539="Daoshu Adulto",39,IF(Atletas!I539="Jianshu Adulto",40,IF(Atletas!I539="Nandao Adulto",41,IF(Atletas!I539="Taijijian Adulto",42,""))))))))))))))))))))))))))</f>
        <v/>
      </c>
      <c r="BH548" s="52" t="str">
        <f>IF(Atletas!J539="","",IF(Atletas!B539="Feminino",100,IF(Atletas!B539="Masculino",200,""))+(IF(Atletas!J539="Gunshu Mirim",43,IF(Atletas!J539="Qiangshu Mirim",44,IF(Atletas!J539="Nangun Mirim",45,IF(Atletas!J539="Gunshu Grupo C",46,IF(Atletas!J539="Qiangshu Grupo C",47,IF(Atletas!J539="Nangun Grupo C",48,IF(Atletas!J539="Gunshu Grupo B",49,IF(Atletas!J539="Qiangshu Grupo B",50,IF(Atletas!J539="Nangun Grupo B",51,IF(Atletas!J539="Gunshu Grupo A",52,IF(Atletas!J539="Qiangshu Grupo A",53,IF(Atletas!J539="Nangun Grupo A",54,IF(Atletas!J539="Gunshu Opcional",55,IF(Atletas!J539="Qiangshu Opcional",56,IF(Atletas!J539="Nangun Opcional",57,IF(Atletas!J539="Gunshu Adulto",58,IF(Atletas!J539="Qiangshu Adulto",59,IF(Atletas!J539="Nangun Adulto",60,IF(Atletas!J539="Taijishan Grupo B",61,IF(Atletas!J539="Taijishan Grupo A",62,""))))))))))))))))))))))</f>
        <v/>
      </c>
      <c r="BM548" s="50" t="str">
        <f>IF(Atletas!K539="","",IF(Atletas!B539="Feminino",100,IF(Atletas!B539="Masculino",200,""))+(IF(Atletas!K539="Equipe 1 Grupo B",1,IF(Atletas!K539="Equipe 2 Grupo B",2,IF(Atletas!K539="Equipe 1 Grupo A",3,IF(Atletas!K539="Equipe 2 Grupo A",4,IF(Atletas!K539="Equipe 1 Adulto",5,IF(Atletas!K539="Equipe 2 Adulto",6,""))))))))</f>
        <v/>
      </c>
      <c r="BR548" s="50" t="str">
        <f>IF(Atletas!L539="","",IF(Atletas!X539&lt;&gt;"",10000,0)+(IF(Atletas!B539="Feminino",1000,IF(Atletas!B539="Masculino",2000,""))+IF(Atletas!L539="Choylayfut A",1,IF(Atletas!L539="Hunggar A",2,IF(Atletas!L539="Wuzuquan A",3,IF(Atletas!L539="Wingchun A",4,IF(Atletas!L539="Outra Mão de Sul A",5,IF(Atletas!L539="Choylayfut B",6,IF(Atletas!L539="Hunggar B",7,IF(Atletas!L539="Wuzuquan B",8,IF(Atletas!L539="Wingchun B",9,IF(Atletas!L539="Outra Mão de Sul B",10,IF(Atletas!L539="Choylayfut C",11,IF(Atletas!L539="Hunggar C",12,IF(Atletas!L539="Wuzuquan C",13,IF(Atletas!L539="Wingchun C",14,IF(Atletas!L539="Outra Mão de Sul C",15,IF(Atletas!L539="Choylayfut D",16,IF(Atletas!L539="Hunggar D",17,IF(Atletas!L539="Wuzuquan D",18,IF(Atletas!L539="Wingchun D",19,IF(Atletas!L539="Outra Mão de Sul D",20,IF(Atletas!L539="Choylayfut E",21,IF(Atletas!L539="Hunggar E",22,IF(Atletas!L539="Wuzuquan E",23,IF(Atletas!L539="Wingchun E",24,IF(Atletas!L539="Outra Mão de Sul E",25,IF(Atletas!L539="Choylayfut F",26,IF(Atletas!L539="Hunggar F",27,IF(Atletas!L539="Wuzuquan F",28,IF(Atletas!L539="Wingchun F",29,IF(Atletas!L539="Outra Mão de Sul F",30,IF(Atletas!L539="Dishuquan A",31,IF(Atletas!L539="Dishuquan B",32,IF(Atletas!L539="Dishuquan C",33,IF(Atletas!L539="Dishuquan D",34,IF(Atletas!L539="Dishuquan E",35,IF(Atletas!L539="Dishuquan F",36,""))))))))))))))))))))))))))))))))))))))</f>
        <v/>
      </c>
      <c r="BS548" s="50" t="str">
        <f>IF(Atletas!M539="","",IF(Atletas!X539&lt;&gt;"",10000,0)+(IF(Atletas!B539="Feminino",1000,IF(Atletas!B539="Masculino",2000,""))+(IF(Atletas!M539="Chaquan A",101,IF(Atletas!M539="Emeiquan A",102,IF(Atletas!M539="Fanziquan A",103,IF(Atletas!M539="Huaquan A",104,IF(Atletas!M539="Hongquan A",105,IF(Atletas!M539="Paoquan A",106,IF(Atletas!M539="Piguaquan A",107,IF(Atletas!M539="Shaolinquan A",108,IF(Atletas!M539="Tanglangquan A",109,IF(Atletas!M539="Yingzhaoquan A",110,IF(Atletas!M539="Tongbeiquan A",111,IF(Atletas!M539="Wudangquan A",112,IF(Atletas!M539="Outros Estilos A",113,IF(Atletas!M539="Chaquan B",114,IF(Atletas!M539="Emeiquan B",115,IF(Atletas!M539="Fanziquan B",116,IF(Atletas!M539="Huaquan B",117,IF(Atletas!M539="Hongquan B",118,IF(Atletas!M539="Paoquan B",119,IF(Atletas!M539="Piguaquan B",120,IF(Atletas!M539="Shaolinquan B",121,IF(Atletas!M539="Tanglangquan B",122,IF(Atletas!M539="Yingzhaoquan B",123,IF(Atletas!M539="Tongbeiquan B",124,IF(Atletas!M539="Wudangquan B",125,IF(Atletas!M539="Outros Estilos B",126,IF(Atletas!M539="Chaquan C",127,IF(Atletas!M539="Emeiquan C",128,IF(Atletas!M539="Fanziquan C",129,IF(Atletas!M539="Huaquan C",130,IF(Atletas!M539="Hongquan C",131,IF(Atletas!M539="Paoquan C",132,IF(Atletas!M539="Piguaquan C",133,IF(Atletas!M539="Shaolinquan C",134,IF(Atletas!M539="Tanglangquan C",135,IF(Atletas!M539="Yingzhaoquan C",136,IF(Atletas!M539="Tongbeiquan C",137,IF(Atletas!M539="Wudangquan C",138,IF(Atletas!M539="Outros Estilos C",139,0))))))))))))))))))))))))))))))))))))))))))</f>
        <v/>
      </c>
      <c r="BT548" s="50" t="str">
        <f>IF(Atletas!M539="","",IF(Atletas!X539&lt;&gt;"",10000,0)+(IF(Atletas!B539="Feminino",1000,IF(Atletas!B539="Masculino",2000,""))+(IF(Atletas!M539="Chaquan D",140,IF(Atletas!M539="Emeiquan D",141,IF(Atletas!M539="Fanziquan D",142,IF(Atletas!M539="Huaquan D",143,IF(Atletas!M539="Hongquan D",144,IF(Atletas!M539="Paoquan D",145,IF(Atletas!M539="Piguaquan D",146,IF(Atletas!M539="Shaolinquan D",147,IF(Atletas!M539="Tanglangquan D",148,IF(Atletas!M539="Yingzhaoquan D",149,IF(Atletas!M539="Tongbeiquan D",150,IF(Atletas!M539="Wudangquan D",151,IF(Atletas!M539="Outros Estilos D",152,IF(Atletas!M539="Chaquan E",153,IF(Atletas!M539="Emeiquan E",154,IF(Atletas!M539="Fanziquan E",155,IF(Atletas!M539="Huaquan E",156,IF(Atletas!M539="Hongquan E",157,IF(Atletas!M539="Paoquan E",158,IF(Atletas!M539="Piguaquan E",159,IF(Atletas!M539="Shaolinquan E",160,IF(Atletas!M539="Tanglangquan E",161,IF(Atletas!M539="Yingzhaoquan E",162,IF(Atletas!M539="Tongbeiquan E",163,IF(Atletas!M539="Wudangquan E",164,IF(Atletas!M539="Outros Estilos E",165,IF(Atletas!M539="Chaquan F",166,IF(Atletas!M539="Emeiquan F",167,IF(Atletas!M539="Fanziquan F",168,IF(Atletas!M539="Huaquan F",169,IF(Atletas!M539="Hongquan F",170,IF(Atletas!M539="Paoquan F",171,IF(Atletas!M539="Piguaquan F",172,IF(Atletas!M539="Shaolinquan F",173,IF(Atletas!M539="Tanglangquan F",174,IF(Atletas!M539="Yingzhaoquan F",175,IF(Atletas!M539="Tongbeiquan F",176,IF(Atletas!M539="Wudangquan F",177,IF(Atletas!M539="Outros Estilos F",178,0))))))))))))))))))))))))))))))))))))))))))</f>
        <v/>
      </c>
      <c r="BU548" s="50" t="str">
        <f>IF(Atletas!N539="","",IF(Atletas!X539&lt;&gt;"",10000,0)+(IF(Atletas!B539="Feminino",1000,IF(Atletas!B539="Masculino",2000,""))+(IF(Atletas!N539="Ditangquan A",201,IF(Atletas!N539="Houquan A",202,IF(Atletas!N539="Zuiquan A",203,IF(Atletas!N539="Ditangquan B",204,IF(Atletas!N539="Houquan B",205,IF(Atletas!N539="Zuiquan B",206,IF(Atletas!N539="Ditangquan C",207,IF(Atletas!N539="Houquan C",208,IF(Atletas!N539="Zuiquan C",209,IF(Atletas!N539="Ditangquan D",210,IF(Atletas!N539="Houquan D",211,IF(Atletas!N539="Zuiquan D",212,IF(Atletas!N539="Ditangquan E",213,IF(Atletas!N539="Houquan E",214,IF(Atletas!N539="Zuiquan E",215,IF(Atletas!N539="Ditangquan F",216,IF(Atletas!N539="Houquan F",217,IF(Atletas!N539="Zuiquan F",218,"")))))))))))))))))))))</f>
        <v/>
      </c>
      <c r="BV548" s="50" t="str">
        <f>IF(Atletas!O539="","",IF(Atletas!X539&lt;&gt;"",10000,0)+IF(Atletas!B539="Feminino",1000,IF(Atletas!B539="Masculino",2000,""))+IF(Atletas!O539="Yang A",301,IF(Atletas!O539="Chen A",302,IF(Atletas!O539="Sun A",303,IF(Atletas!O539="Wu A",304,IF(Atletas!O539="Wu-Hao A",305,IF(Atletas!O539="Outro Taijiquan A",306,IF(Atletas!O539="Yang B",307,IF(Atletas!O539="Chen B",308,IF(Atletas!O539="Sun B",309,IF(Atletas!O539="Wu B",310,IF(Atletas!O539="Wu-Hao B",311,IF(Atletas!O539="Outro Taijiquan B",312,IF(Atletas!O539="Yang C",313,IF(Atletas!O539="Chen C",314,IF(Atletas!O539="Sun C",315,IF(Atletas!O539="Wu C",316,IF(Atletas!O539="Wu-Hao C",317,IF(Atletas!O539="Outro Taijiquan C",318,IF(Atletas!O539="Yang D",319,IF(Atletas!O539="Chen D",320,IF(Atletas!O539="Sun D",321,IF(Atletas!O539="Wu D",322,IF(Atletas!O539="Wu-Hao D",323,IF(Atletas!O539="Outro Taijiquan D",324,IF(Atletas!O539="Yang E",325,IF(Atletas!O539="Chen E",326,IF(Atletas!O539="Sun E",327,IF(Atletas!O539="Wu E",328,IF(Atletas!O539="Wu-Hao E",329,IF(Atletas!O539="Outro Taijiquan E",330,IF(Atletas!O539="Yang F",331,IF(Atletas!O539="Chen F",332,IF(Atletas!O539="Sun F",333,IF(Atletas!O539="Wu F",334,IF(Atletas!O539="Wu-Hao F",335,IF(Atletas!O539="Outro Taijiquan F",336,"")))))))))))))))))))))))))))))))))))))</f>
        <v/>
      </c>
      <c r="BW548" s="50" t="str">
        <f>IF(Atletas!P539="","",IF(Atletas!X539&lt;&gt;"",10000,0)+IF(Atletas!B539="Feminino",1000,IF(Atletas!B539="Masculino",2000,""))+IF(OR(Atletas!P539="Yang 26 A",Atletas!P539="Yang 40 A"),401,IF(OR(Atletas!P539="Chen 25 A",Atletas!P539="Chen 36 A",Atletas!P539="Chen 56 A"),402,IF(Atletas!P539="Sun 73 A",403,IF(Atletas!P539="Wu 45 A",404,IF(Atletas!P539="Wu-Hao 46 A",405,IF(OR(Atletas!P539="Taijiquan 16 A",Atletas!P539="Taijiquan 24 A",Atletas!P539="Taijiquan 32 A",Atletas!P539="Taijiquan 42 A"),406,IF(OR(Atletas!P539="Yang 26 B",Atletas!P539="Yang 40 B"),407,IF(OR(Atletas!P539="Chen 25 B",Atletas!P539="Chen 36 B",Atletas!P539="Chen 56 B"),408,IF(Atletas!P539="Sun 73 B",409,IF(Atletas!P539="Wu 45 B",410,IF(Atletas!P539="Wu-Hao 46 B",411,IF(OR(Atletas!P539="Taijiquan 16 B",Atletas!P539="Taijiquan 24 B",Atletas!P539="Taijiquan 32 B",Atletas!P539="Taijiquan 42 B"),412,IF(OR(Atletas!P539="Yang 26 C",Atletas!P539="Yang 40 C"),413,IF(OR(Atletas!P539="Chen 25 C",Atletas!P539="Chen 36 C",Atletas!P539="Chen 56 C"),414,IF(Atletas!P539="Sun 73 C",415,IF(Atletas!P539="Wu 45 C",416,IF(Atletas!P539="Wu-Hao 46 C",417,IF(OR(Atletas!P539="Taijiquan 16 C",Atletas!P539="Taijiquan 24 C",Atletas!P539="Taijiquan 32 C",Atletas!P539="Taijiquan 42 C"),418,0)))))))))))))))))))</f>
        <v/>
      </c>
      <c r="BX548" s="50" t="str">
        <f>IF(Atletas!P539="","",IF(Atletas!X539&lt;&gt;"",10000,0)+IF(Atletas!B539="Feminino",1000,IF(Atletas!B539="Masculino",2000,""))+IF(OR(Atletas!P539="Yang 26 D",Atletas!P539="Yang 40 D"),419,IF(OR(Atletas!P539="Chen 25 D",Atletas!P539="Chen 36 D",Atletas!P539="Chen 56 D"),420,IF(Atletas!P539="Sun 73 D",421,IF(Atletas!P539="Wu 45 D",422,IF(Atletas!P539="Wu-Hao 46 D",423,IF(OR(Atletas!P539="Taijiquan 16 D",Atletas!P539="Taijiquan 24 D",Atletas!P539="Taijiquan 32 D",Atletas!P539="Taijiquan 42 D"),424,IF(OR(Atletas!P539="Yang 26 E",Atletas!P539="Yang 40 E"),425,IF(OR(Atletas!P539="Chen 25 E",Atletas!P539="Chen 36 E",Atletas!P539="Chen 56 E"),426,IF(Atletas!P539="Sun 73 E",427,IF(Atletas!P539="Wu 45 E",428,IF(Atletas!P539="Wu-Hao 46 E",429,IF(OR(Atletas!P539="Taijiquan 16 E",Atletas!P539="Taijiquan 24 E",Atletas!P539="Taijiquan 32 E",Atletas!P539="Taijiquan 42 E"),430,IF(OR(Atletas!P539="Yang 26 F",Atletas!P539="Yang 40 F"),431,IF(OR(Atletas!P539="Chen 25 F",Atletas!P539="Chen 36 F",Atletas!P539="Chen 56 F"),432,IF(Atletas!P539="Sun 73 F",433,IF(Atletas!P539="Wu 45 F",434,IF(Atletas!P539="Wu-Hao 46 F",435,IF(OR(Atletas!P539="Taijiquan 16 F",Atletas!P539="Taijiquan 24 F",Atletas!P539="Taijiquan 32 F",Atletas!P539="Taijiquan 42 F"),436,0)))))))))))))))))))</f>
        <v/>
      </c>
      <c r="BY548" s="50" t="str">
        <f>IF(Atletas!Q539="","",IF(Atletas!X539&lt;&gt;"",10000,0)+IF(Atletas!B539="Feminino",1000,IF(Atletas!B539="Masculino",2000,""))+IF(Atletas!Q539="Xingyiquan A",501,IF(Atletas!Q539="Baguazhang A",502,IF(Atletas!Q539="Outro Estilo Interno A",503,IF(Atletas!Q539="Xingyiquan B",504,IF(Atletas!Q539="Baguazhang B",505,IF(Atletas!Q539="Outro Estilo Interno B",506,IF(Atletas!Q539="Xingyiquan C",507,IF(Atletas!Q539="Baguazhang C",508,IF(Atletas!Q539="Outro Estilo Interno C",509,IF(Atletas!Q539="Xingyiquan D",510,IF(Atletas!Q539="Baguazhang D",511,IF(Atletas!Q539="Outro Estilo Interno D",512,IF(Atletas!Q539="Xingyiquan E",513,IF(Atletas!Q539="Baguazhang E",514,IF(Atletas!Q539="Outro Estilo Interno E",515,IF(Atletas!Q539="Xingyiquan F",516,IF(Atletas!Q539="Baguazhang F",517,IF(Atletas!Q539="Outro Estilo Interno F",518, "")))))))))))))))))))</f>
        <v/>
      </c>
      <c r="BZ548" s="50" t="str">
        <f>IF(Atletas!R539="","",IF(Atletas!X539&lt;&gt;"",10000,0)+IF(Atletas!B539="Feminino",1000,IF(Atletas!B539="Masculino",2000,""))+IF(Atletas!R539="Dao A",601,IF(Atletas!R539="Jian A",602,IF(Atletas!R539="Bishou A",603,IF(Atletas!R539="Shanzi A",604,IF(Atletas!R539="Outra Arma Curta A",605,IF(Atletas!R539="Dao B",606,IF(Atletas!R539="Jian B",607,IF(Atletas!R539="Bishou B",608,IF(Atletas!R539="Shanzi B",609,IF(Atletas!R539="Outra Arma Curta B",610,IF(Atletas!R539="Dao C",611,IF(Atletas!R539="Jian C",612,IF(Atletas!R539="Bishou C",613,IF(Atletas!R539="Shanzi C",614,IF(Atletas!R539="Outra Arma Curta C",615,IF(Atletas!R539="Dao D",616,IF(Atletas!R539="Jian D",617,IF(Atletas!R539="Bishou D",618,IF(Atletas!R539="Shanzi D",619,IF(Atletas!R539="Outra Arma Curta D",620,IF(Atletas!R539="Dao E",621,IF(Atletas!R539="Jian E",622,IF(Atletas!R539="Bishou E",623,IF(Atletas!R539="Shanzi E",624,IF(Atletas!R539="Outra Arma Curta E",625,IF(Atletas!R539="Dao F",626,IF(Atletas!R539="Jian F",627,IF(Atletas!R539="Bishou F",628,IF(Atletas!R539="Shanzi F",629,IF(Atletas!R539="Outra Arma Curta F",630, "")))))))))))))))))))))))))))))))</f>
        <v/>
      </c>
      <c r="CA548" s="50" t="str">
        <f>IF(Atletas!S539="","",IF(Atletas!X539&lt;&gt;"",10000,0)+IF(Atletas!B539="Feminino",1000,IF(Atletas!B539="Masculino",2000,""))+IF(Atletas!S539="Gun A",701,IF(Atletas!S539="Qiang A",702,IF(Atletas!S539="Pudao / Guandao A",703,IF(Atletas!S539="Outra Arma Longa A",704,IF(Atletas!S539="Gun B",705,IF(Atletas!S539="Qiang B",706,IF(Atletas!S539="Pudao / Guandao B",707,IF(Atletas!S539="Outra Arma Longa B",708,IF(Atletas!S539="Gun C",709,IF(Atletas!S539="Qiang C",710,IF(Atletas!S539="Pudao / Guandao C",711,IF(Atletas!S539="Outra Arma Longa C",712,IF(Atletas!S539="Gun D",713,IF(Atletas!S539="Qiang D",714,IF(Atletas!S539="Pudao / Guandao D",715,IF(Atletas!S539="Outra Arma Longa D",716,IF(Atletas!S539="Gun E",717,IF(Atletas!S539="Qiang E",718,IF(Atletas!S539="Pudao / Guandao E",719,IF(Atletas!S539="Outra Arma Longa E",720,IF(Atletas!S539="Gun F",721,IF(Atletas!S539="Qiang F",722,IF(Atletas!S539="Pudao / Guandao F",723,IF(Atletas!S539="Outra Arma Longa F",724,"")))))))))))))))))))))))))</f>
        <v/>
      </c>
      <c r="CB548" s="50" t="str">
        <f>IF(Atletas!T539="","",IF(Atletas!X539&lt;&gt;"",10000,0)+IF(Atletas!B539="Feminino",1000,IF(Atletas!B539="Masculino",2000,""))+IF(Atletas!T539="Outra Arma Dupla A",801,IF(Atletas!T539="Arma Maleável A",802,IF(Atletas!T539="Outra Arma Dupla B",803,IF(Atletas!T539="Arma Maleável B",804,IF(Atletas!T539="Outra Arma Dupla C",805,IF(Atletas!T539="Arma Maleável C",806,IF(Atletas!T539="Outra Arma Dupla D",807,IF(Atletas!T539="Arma Maleável D",808,IF(Atletas!T539="Outra Arma Dupla E",809,IF(Atletas!T539="Arma Maleável E",810,IF(Atletas!T539="Outra Arma Dupla F",811,IF(Atletas!T539="Arma Maleável F",812,IF(Atletas!T539="Shuangdao A",813,IF(Atletas!T539="Shuangdao B",814,IF(Atletas!T539="Shuangdao C",815,IF(Atletas!T539="Shuangdao D",816,IF(Atletas!T539="Shuangdao E",817,IF(Atletas!T539="Shuangdao F",818,"")))))))))))))))))))</f>
        <v/>
      </c>
      <c r="CC548" s="50" t="str">
        <f>IF(Atletas!U539="","",IF(Atletas!X539&lt;&gt;"",10000,0)+IF(Atletas!B539="Feminino",1000,IF(Atletas!B539="Masculino",2000,""))+IF(OR(Atletas!U539="Taijijian Yang A",Atletas!U539="Taijijian Yang Standard A"),901,IF(OR(Atletas!U539="Taijijian Chen A", Atletas!U539="Taijijian Chen Standard A"),902,IF(Atletas!U539="Taijijian Sun A",903,IF(Atletas!U539="Taijijian Wu A",904,IF(Atletas!U539="Taijijian Wu-Hao A",905,IF(OR(Atletas!U539="Taijijian 32 A",Atletas!U539="Taijijian 42 A"),906,IF(OR(Atletas!U539="Taijijian Yang B",Atletas!U539="Taijijian Yang Standard B"),907,IF(OR(Atletas!U539="Taijijian Chen B", Atletas!U539="Taijijian Chen Standard B"),908,IF(Atletas!U539="Taijijian Sun B",909,IF(Atletas!U539="Taijijian Wu B",910,IF(Atletas!U539="Taijijian Wu-Hao B",911,IF(OR(Atletas!U539="Taijijian 32 B",Atletas!U539="Taijijian 42 B"),912,IF(OR(Atletas!U539="Taijijian Yang C",Atletas!U539="Taijijian Yang Standard C"),913,IF(OR(Atletas!U539="Taijijian Chen C", Atletas!U539="Taijijian Chen Standard C"),914,IF(Atletas!U539="Taijijian Sun C",915,IF(Atletas!U539="Taijijian Wu C",916,IF(Atletas!U539="Taijijian Wu-Hao C",917,IF(OR(Atletas!U539="Taijijian 32 C",Atletas!U539="Taijijian 42 C"),918,IF(OR(Atletas!U539="Taijijian Yang D",Atletas!U539="Taijijian Yang Standard D"),919,IF(OR(Atletas!U539="Taijijian Chen D", Atletas!U539="Taijijian Chen Standard D"),920,IF(Atletas!U539="Taijijian Sun D",921,IF(Atletas!U539="Taijijian Wu D",922,IF(Atletas!U539="Taijijian Wu-Hao D",923,IF(OR(Atletas!U539="Taijijian 32 D",Atletas!U539="Taijijian 42 D"),924,IF(OR(Atletas!U539="Taijijian Yang E",Atletas!U539="Taijijian Yang Standard E"),925,IF(OR(Atletas!U539="Taijijian Chen E", Atletas!U539="Taijijian Chen Standard E"),926,IF(Atletas!U539="Taijijian Sun E",927,IF(Atletas!U539="Taijijian Wu E",928,IF(Atletas!U539="Taijijian Wu-Hao E",929,IF(OR(Atletas!U539="Taijijian 32 E",Atletas!U539="Taijijian 42 E"),930,IF(OR(Atletas!U539="Taijijian Yang F",Atletas!U539="Taijijian Yang Standard F"),931,IF(OR(Atletas!U539="Taijijian Chen F", Atletas!U539="Taijijian Chen Standard F"),932,IF(Atletas!U539="Taijijian Sun F",933,IF(Atletas!U539="Taijijian Wu F",934,IF(Atletas!U539="Taijijian Wu-Hao F",935,IF(OR(Atletas!U539="Taijijian 32 F",Atletas!U539="Taijijian 42 F"),936,"")))))))))))))))))))))))))))))))))))))</f>
        <v/>
      </c>
      <c r="CD548" s="50" t="str">
        <f>IF(Atletas!V539="","",IF(Atletas!X539&lt;&gt;"",10000,0)+IF(Atletas!B539="Feminino",1000,IF(Atletas!B539="Masculino",2000,""))+IF(Atletas!V539="Taijidao A",937,IF(Atletas!V539="TaijiShanzi A",938,IF(Atletas!V539="Taijiqiang A",939,IF(Atletas!V539="Bagua de Arma A",940,IF(Atletas!V539="Xingyi de Arma A",941,IF(Atletas!V539="Taijidao B",942,IF(Atletas!V539="TaijiShanzi B",943,IF(Atletas!V539="Taijiqiang B",944,IF(Atletas!V539="Bagua de Arma B",945,IF(Atletas!V539="Xingyi de Arma B",946,IF(Atletas!V539="Taijidao C",947,IF(Atletas!V539="TaijiShanzi C",948,IF(Atletas!V539="Taijiqiang C",949,IF(Atletas!V539="Bagua de Arma C",950,IF(Atletas!V539="Xingyi de Arma C",951,IF(Atletas!V539="Taijidao D",952,IF(Atletas!V539="TaijiShanzi D",953,IF(Atletas!V539="Taijiqiang D",954,IF(Atletas!V539="Bagua de Arma D",955,IF(Atletas!V539="Xingyi de Arma D",956,IF(Atletas!V539="Taijidao E",957,IF(Atletas!V539="TaijiShanzi E",958,IF(Atletas!V539="Taijiqiang E",959,IF(Atletas!V539="Bagua de Arma E",960,IF(Atletas!V539="Xingyi de Arma E",961,IF(Atletas!V539="Taijidao F",962,IF(Atletas!V539="TaijiShanzi F",963,IF(Atletas!V539="Taijiqiang F",964,IF(Atletas!V539="Bagua de Arma F",965,IF(Atletas!V539="Xingyi de Arma F",966,"")))))))))))))))))))))))))))))))</f>
        <v/>
      </c>
      <c r="CM548" s="50" t="str">
        <f xml:space="preserve"> IF(Atletas!W539="","",IF(Atletas!W539="Duilian de Mãos BC - Equipe 1",1,IF(Atletas!W539="Duilian de Mãos BC - Equipe 2",2,IF(Atletas!W539="Duilian de Armas BC - Equipe 1",3,IF(Atletas!W539="Duilian de Armas BC - Equipe 2",4,IF(Atletas!W539="Duilian de Mãos DE - Equipe 1",5,IF(Atletas!W539="Duilian de Mãos DE - Equipe 2",6,IF(Atletas!W539="Duilian de Armas DE - Equipe 1",7,IF(Atletas!W539="Duilian de Armas DE - Equipe 2",8,IF(Atletas!W539="Duilian de Tuishou - Equipe 1",9,IF(Atletas!W539="Duilian de Tuishou - Equipe 2",10,IF(Atletas!W539="Grupo Externo ABC - Equipe 1",11,IF(Atletas!W539="Grupo Externo ABC - Equipe 2",12,IF(Atletas!W539="Grupo Interno ABC - Equipe 1",13,IF(Atletas!W539="Grupo Interno ABC - Equipe 2",14,IF(Atletas!W539="Grupo Externo DEF - Equipe 1",15,IF(Atletas!W539="Grupo Externo DEF - Equipe 2",16,IF(Atletas!W539="Grupo Interno DEF - Equipe 1",17,IF(Atletas!W539="Grupo Interno DEF - Equipe 2",18,"")))))))))))))))))))</f>
        <v/>
      </c>
    </row>
    <row r="549" spans="40:91">
      <c r="AN549" s="52" t="str">
        <f>IF(Atletas!D540="","",IF(Atletas!B540="Feminino",100,IF(Atletas!B540="Masculino",200,""))+(IF(Atletas!D540="Kids 30kg",1,IF(Atletas!D540="Kids 32kg",2, IF(Atletas!D540="Kids 34kg",3,IF(Atletas!D540="Kids 36kg",4,IF(Atletas!D540="Kids 39kg",5,IF(Atletas!D540="Kids 42kg",6,IF(Atletas!D540="Kids 45kg",7, IF(Atletas!D540="Infantil 39kg",8,IF(Atletas!D540="Infantil 42kg",9,IF(Atletas!D540="Infantil 45kg",10,IF(Atletas!D540="Infantil 48kg",11,IF(Atletas!D540="Infantil 52kg",12,IF(Atletas!D540="Infantil 56kg",13,IF(Atletas!D540="Infantil 60kg",14,IF(Atletas!D540="Juvenil 48kg",15,IF(Atletas!D540="Juvenil 52kg",16,IF(Atletas!D540="Juvenil 56kg",17,IF(Atletas!D540="Juvenil 60kg",18,IF(Atletas!D540="Juvenil 65kg",19,IF(Atletas!D540="Juvenil 70kg",20,IF(Atletas!D540="Juvenil 75kg",21,IF(Atletas!D540="Juvenil 80kg",22, IF(Atletas!D540="Juvenil 85kg",23,IF(Atletas!D540="Adulto 48kg",24,IF(Atletas!D540="Adulto 52kg",25,IF(Atletas!D540="Adulto 56kg",26,IF(Atletas!D540="Adulto 60kg",27,IF(Atletas!D540="Adulto 65kg",28,IF(Atletas!D540="Adulto 70kg",29,IF(Atletas!D540="Adulto 75kg",30,IF(Atletas!D540="Adulto 80kg",31,IF(Atletas!D540="Adulto 85kg",32,IF(Atletas!D540="Adulto 90kg",33,IF(Atletas!D540="Adulto 100kg",34, IF(Atletas!D540="Adulto +100kg",35,"")))))))))))))))))))))))))))))))))))))</f>
        <v/>
      </c>
      <c r="AS549" s="6" t="str">
        <f>IF(Atletas!E540="","",IF(Atletas!B540="Feminino",100,IF(Atletas!B540="Masculino",200,""))+(IF(Atletas!E540="Juvenil 44kg",1,IF(Atletas!E540="Juvenil 48kg",2,IF(Atletas!E540="Juvenil 52kg",3,IF(Atletas!E540="Juvenil 56kg",4,IF(Atletas!E540="Juvenil 60kg",5,IF(Atletas!E540="Juvenil 65kg",6,IF(Atletas!E540="Juvenil 70kg",7,IF(Atletas!E540="Juvenil 75kg",8,IF(Atletas!E540="Juvenil 82kg",9,IF(Atletas!E540="Juvenil 90kg",10,IF(Atletas!E540="Juvenil 100kg",11,IF(Atletas!E540="Adulto 48kg",12,IF(Atletas!E540="Adulto 52kg",13,IF(Atletas!E540="Adulto 56kg",14,IF(Atletas!E540="Adulto 60kg",15,IF(Atletas!E540="Adulto 65kg",16,IF(Atletas!E540="Adulto 70kg",17,IF(Atletas!E540="Adulto 75kg",18,IF(Atletas!E540="Adulto 82kg",19,IF(Atletas!E540="Adulto 90kg",20,IF(Atletas!E540="Adulto 100kg",21,IF(Atletas!E540="Adulto +100kg",22,""))))))))))))))))))))))))</f>
        <v/>
      </c>
      <c r="AX549" s="6" t="str">
        <f>IF(Atletas!F540="","",IF(Atletas!B540="Feminino",100,IF(Atletas!B540="Masculino",200,""))+(IF(Atletas!F540="Adulto 48kg",1,IF(Atletas!F540="Adulto 56kg",2,IF(Atletas!F540="Adulto 65kg",3,IF(Atletas!F540="Adulto 75kg",4,IF(Atletas!F540="Adulto +75kg",5,IF(Atletas!F540="Adulto 52kg",6,IF(Atletas!F540="Adulto 60kg",7,IF(Atletas!F540="Adulto 70kg",8,IF(Atletas!F540="Adulto 80kg",9,IF(Atletas!F540="Adulto 90kg",10,IF(Atletas!F540="Adulto +90kg",11,"")))))))))))))</f>
        <v/>
      </c>
      <c r="BC549" s="6" t="str">
        <f>IF(Atletas!G540="","",IF(Atletas!B540="Feminino",10,IF(Atletas!B540="Masculino",20,""))+(IF(Atletas!G540="Baduanjin A",1,IF(Atletas!G540="Baduanjin B",2))))</f>
        <v/>
      </c>
      <c r="BF549" s="52" t="str">
        <f>IF(Atletas!H540="","",IF(Atletas!B540="Feminino",100,IF(Atletas!B540="Masculino",200,""))+(IF(Atletas!H540="Changquan Mirim",1,IF(Atletas!H540="Nanquan Mirim",2,IF(Atletas!H540="Taijiquan Mirim",3,IF(Atletas!H540="Changquan Grupo C",4,IF(Atletas!H540="Nanquan Grupo C",5,IF(Atletas!H540="Taijiquan Grupo C",6,IF(Atletas!H540="Changquan Grupo B",7,IF(Atletas!H540="Nanquan Grupo B",8,IF(Atletas!H540="Taijiquan Grupo B",9,IF(Atletas!H540="Changquan Grupo A",10,IF(Atletas!H540="Nanquan Grupo A",11,IF(Atletas!H540="Taijiquan Grupo A",12,IF(Atletas!H540="Changquan Opcional",13,IF(Atletas!H540="Nanquan Opcional",14,IF(Atletas!H540="Taijiquan Opcional",15,IF(Atletas!H540="Changquan Adulto",16,IF(Atletas!H540="Nanquan Adulto",17,IF(Atletas!H540="Taijiquan Adulto",18,""))))))))))))))))))))</f>
        <v/>
      </c>
      <c r="BG549" s="52" t="str">
        <f>IF(Atletas!I540="","",IF(Atletas!B540="Feminino",100,IF(Atletas!B540="Masculino",200,""))+(IF(Atletas!I540="Daoshu Mirim",19,IF(Atletas!I540="Jianshu Mirim",20,IF(Atletas!I540="Nandao Mirim",21,IF(Atletas!I540="Taijijian Mirim",22,IF(Atletas!I540="Daoshu Grupo C",23,IF(Atletas!I540="Jianshu Grupo C",24,IF(Atletas!I540="Nandao Grupo C",25,IF(Atletas!I540="Taijijian Grupo C",26,IF(Atletas!I540="Daoshu Grupo B",27,IF(Atletas!I540="Jianshu Grupo B",28,IF(Atletas!I540="Nandao Grupo B",29,IF(Atletas!I540="Taijijian Grupo B",30,IF(Atletas!I540="Daoshu Grupo A",31,IF(Atletas!I540="Jianshu Grupo A",32,IF(Atletas!I540="Nandao Grupo A",33,IF(Atletas!I540="Taijijian Grupo A",34,IF(Atletas!I540="Daoshu Opcional",35,IF(Atletas!I540="Jianshu Opcional",36,IF(Atletas!I540="Nandao Opcional",37,IF(Atletas!I540="Taijijian Opcional",38,IF(Atletas!I540="Daoshu Adulto",39,IF(Atletas!I540="Jianshu Adulto",40,IF(Atletas!I540="Nandao Adulto",41,IF(Atletas!I540="Taijijian Adulto",42,""))))))))))))))))))))))))))</f>
        <v/>
      </c>
      <c r="BH549" s="52" t="str">
        <f>IF(Atletas!J540="","",IF(Atletas!B540="Feminino",100,IF(Atletas!B540="Masculino",200,""))+(IF(Atletas!J540="Gunshu Mirim",43,IF(Atletas!J540="Qiangshu Mirim",44,IF(Atletas!J540="Nangun Mirim",45,IF(Atletas!J540="Gunshu Grupo C",46,IF(Atletas!J540="Qiangshu Grupo C",47,IF(Atletas!J540="Nangun Grupo C",48,IF(Atletas!J540="Gunshu Grupo B",49,IF(Atletas!J540="Qiangshu Grupo B",50,IF(Atletas!J540="Nangun Grupo B",51,IF(Atletas!J540="Gunshu Grupo A",52,IF(Atletas!J540="Qiangshu Grupo A",53,IF(Atletas!J540="Nangun Grupo A",54,IF(Atletas!J540="Gunshu Opcional",55,IF(Atletas!J540="Qiangshu Opcional",56,IF(Atletas!J540="Nangun Opcional",57,IF(Atletas!J540="Gunshu Adulto",58,IF(Atletas!J540="Qiangshu Adulto",59,IF(Atletas!J540="Nangun Adulto",60,IF(Atletas!J540="Taijishan Grupo B",61,IF(Atletas!J540="Taijishan Grupo A",62,""))))))))))))))))))))))</f>
        <v/>
      </c>
      <c r="BM549" s="50" t="str">
        <f>IF(Atletas!K540="","",IF(Atletas!B540="Feminino",100,IF(Atletas!B540="Masculino",200,""))+(IF(Atletas!K540="Equipe 1 Grupo B",1,IF(Atletas!K540="Equipe 2 Grupo B",2,IF(Atletas!K540="Equipe 1 Grupo A",3,IF(Atletas!K540="Equipe 2 Grupo A",4,IF(Atletas!K540="Equipe 1 Adulto",5,IF(Atletas!K540="Equipe 2 Adulto",6,""))))))))</f>
        <v/>
      </c>
      <c r="BR549" s="50" t="str">
        <f>IF(Atletas!L540="","",IF(Atletas!X540&lt;&gt;"",10000,0)+(IF(Atletas!B540="Feminino",1000,IF(Atletas!B540="Masculino",2000,""))+IF(Atletas!L540="Choylayfut A",1,IF(Atletas!L540="Hunggar A",2,IF(Atletas!L540="Wuzuquan A",3,IF(Atletas!L540="Wingchun A",4,IF(Atletas!L540="Outra Mão de Sul A",5,IF(Atletas!L540="Choylayfut B",6,IF(Atletas!L540="Hunggar B",7,IF(Atletas!L540="Wuzuquan B",8,IF(Atletas!L540="Wingchun B",9,IF(Atletas!L540="Outra Mão de Sul B",10,IF(Atletas!L540="Choylayfut C",11,IF(Atletas!L540="Hunggar C",12,IF(Atletas!L540="Wuzuquan C",13,IF(Atletas!L540="Wingchun C",14,IF(Atletas!L540="Outra Mão de Sul C",15,IF(Atletas!L540="Choylayfut D",16,IF(Atletas!L540="Hunggar D",17,IF(Atletas!L540="Wuzuquan D",18,IF(Atletas!L540="Wingchun D",19,IF(Atletas!L540="Outra Mão de Sul D",20,IF(Atletas!L540="Choylayfut E",21,IF(Atletas!L540="Hunggar E",22,IF(Atletas!L540="Wuzuquan E",23,IF(Atletas!L540="Wingchun E",24,IF(Atletas!L540="Outra Mão de Sul E",25,IF(Atletas!L540="Choylayfut F",26,IF(Atletas!L540="Hunggar F",27,IF(Atletas!L540="Wuzuquan F",28,IF(Atletas!L540="Wingchun F",29,IF(Atletas!L540="Outra Mão de Sul F",30,IF(Atletas!L540="Dishuquan A",31,IF(Atletas!L540="Dishuquan B",32,IF(Atletas!L540="Dishuquan C",33,IF(Atletas!L540="Dishuquan D",34,IF(Atletas!L540="Dishuquan E",35,IF(Atletas!L540="Dishuquan F",36,""))))))))))))))))))))))))))))))))))))))</f>
        <v/>
      </c>
      <c r="BS549" s="50" t="str">
        <f>IF(Atletas!M540="","",IF(Atletas!X540&lt;&gt;"",10000,0)+(IF(Atletas!B540="Feminino",1000,IF(Atletas!B540="Masculino",2000,""))+(IF(Atletas!M540="Chaquan A",101,IF(Atletas!M540="Emeiquan A",102,IF(Atletas!M540="Fanziquan A",103,IF(Atletas!M540="Huaquan A",104,IF(Atletas!M540="Hongquan A",105,IF(Atletas!M540="Paoquan A",106,IF(Atletas!M540="Piguaquan A",107,IF(Atletas!M540="Shaolinquan A",108,IF(Atletas!M540="Tanglangquan A",109,IF(Atletas!M540="Yingzhaoquan A",110,IF(Atletas!M540="Tongbeiquan A",111,IF(Atletas!M540="Wudangquan A",112,IF(Atletas!M540="Outros Estilos A",113,IF(Atletas!M540="Chaquan B",114,IF(Atletas!M540="Emeiquan B",115,IF(Atletas!M540="Fanziquan B",116,IF(Atletas!M540="Huaquan B",117,IF(Atletas!M540="Hongquan B",118,IF(Atletas!M540="Paoquan B",119,IF(Atletas!M540="Piguaquan B",120,IF(Atletas!M540="Shaolinquan B",121,IF(Atletas!M540="Tanglangquan B",122,IF(Atletas!M540="Yingzhaoquan B",123,IF(Atletas!M540="Tongbeiquan B",124,IF(Atletas!M540="Wudangquan B",125,IF(Atletas!M540="Outros Estilos B",126,IF(Atletas!M540="Chaquan C",127,IF(Atletas!M540="Emeiquan C",128,IF(Atletas!M540="Fanziquan C",129,IF(Atletas!M540="Huaquan C",130,IF(Atletas!M540="Hongquan C",131,IF(Atletas!M540="Paoquan C",132,IF(Atletas!M540="Piguaquan C",133,IF(Atletas!M540="Shaolinquan C",134,IF(Atletas!M540="Tanglangquan C",135,IF(Atletas!M540="Yingzhaoquan C",136,IF(Atletas!M540="Tongbeiquan C",137,IF(Atletas!M540="Wudangquan C",138,IF(Atletas!M540="Outros Estilos C",139,0))))))))))))))))))))))))))))))))))))))))))</f>
        <v/>
      </c>
      <c r="BT549" s="50" t="str">
        <f>IF(Atletas!M540="","",IF(Atletas!X540&lt;&gt;"",10000,0)+(IF(Atletas!B540="Feminino",1000,IF(Atletas!B540="Masculino",2000,""))+(IF(Atletas!M540="Chaquan D",140,IF(Atletas!M540="Emeiquan D",141,IF(Atletas!M540="Fanziquan D",142,IF(Atletas!M540="Huaquan D",143,IF(Atletas!M540="Hongquan D",144,IF(Atletas!M540="Paoquan D",145,IF(Atletas!M540="Piguaquan D",146,IF(Atletas!M540="Shaolinquan D",147,IF(Atletas!M540="Tanglangquan D",148,IF(Atletas!M540="Yingzhaoquan D",149,IF(Atletas!M540="Tongbeiquan D",150,IF(Atletas!M540="Wudangquan D",151,IF(Atletas!M540="Outros Estilos D",152,IF(Atletas!M540="Chaquan E",153,IF(Atletas!M540="Emeiquan E",154,IF(Atletas!M540="Fanziquan E",155,IF(Atletas!M540="Huaquan E",156,IF(Atletas!M540="Hongquan E",157,IF(Atletas!M540="Paoquan E",158,IF(Atletas!M540="Piguaquan E",159,IF(Atletas!M540="Shaolinquan E",160,IF(Atletas!M540="Tanglangquan E",161,IF(Atletas!M540="Yingzhaoquan E",162,IF(Atletas!M540="Tongbeiquan E",163,IF(Atletas!M540="Wudangquan E",164,IF(Atletas!M540="Outros Estilos E",165,IF(Atletas!M540="Chaquan F",166,IF(Atletas!M540="Emeiquan F",167,IF(Atletas!M540="Fanziquan F",168,IF(Atletas!M540="Huaquan F",169,IF(Atletas!M540="Hongquan F",170,IF(Atletas!M540="Paoquan F",171,IF(Atletas!M540="Piguaquan F",172,IF(Atletas!M540="Shaolinquan F",173,IF(Atletas!M540="Tanglangquan F",174,IF(Atletas!M540="Yingzhaoquan F",175,IF(Atletas!M540="Tongbeiquan F",176,IF(Atletas!M540="Wudangquan F",177,IF(Atletas!M540="Outros Estilos F",178,0))))))))))))))))))))))))))))))))))))))))))</f>
        <v/>
      </c>
      <c r="BU549" s="50" t="str">
        <f>IF(Atletas!N540="","",IF(Atletas!X540&lt;&gt;"",10000,0)+(IF(Atletas!B540="Feminino",1000,IF(Atletas!B540="Masculino",2000,""))+(IF(Atletas!N540="Ditangquan A",201,IF(Atletas!N540="Houquan A",202,IF(Atletas!N540="Zuiquan A",203,IF(Atletas!N540="Ditangquan B",204,IF(Atletas!N540="Houquan B",205,IF(Atletas!N540="Zuiquan B",206,IF(Atletas!N540="Ditangquan C",207,IF(Atletas!N540="Houquan C",208,IF(Atletas!N540="Zuiquan C",209,IF(Atletas!N540="Ditangquan D",210,IF(Atletas!N540="Houquan D",211,IF(Atletas!N540="Zuiquan D",212,IF(Atletas!N540="Ditangquan E",213,IF(Atletas!N540="Houquan E",214,IF(Atletas!N540="Zuiquan E",215,IF(Atletas!N540="Ditangquan F",216,IF(Atletas!N540="Houquan F",217,IF(Atletas!N540="Zuiquan F",218,"")))))))))))))))))))))</f>
        <v/>
      </c>
      <c r="BV549" s="50" t="str">
        <f>IF(Atletas!O540="","",IF(Atletas!X540&lt;&gt;"",10000,0)+IF(Atletas!B540="Feminino",1000,IF(Atletas!B540="Masculino",2000,""))+IF(Atletas!O540="Yang A",301,IF(Atletas!O540="Chen A",302,IF(Atletas!O540="Sun A",303,IF(Atletas!O540="Wu A",304,IF(Atletas!O540="Wu-Hao A",305,IF(Atletas!O540="Outro Taijiquan A",306,IF(Atletas!O540="Yang B",307,IF(Atletas!O540="Chen B",308,IF(Atletas!O540="Sun B",309,IF(Atletas!O540="Wu B",310,IF(Atletas!O540="Wu-Hao B",311,IF(Atletas!O540="Outro Taijiquan B",312,IF(Atletas!O540="Yang C",313,IF(Atletas!O540="Chen C",314,IF(Atletas!O540="Sun C",315,IF(Atletas!O540="Wu C",316,IF(Atletas!O540="Wu-Hao C",317,IF(Atletas!O540="Outro Taijiquan C",318,IF(Atletas!O540="Yang D",319,IF(Atletas!O540="Chen D",320,IF(Atletas!O540="Sun D",321,IF(Atletas!O540="Wu D",322,IF(Atletas!O540="Wu-Hao D",323,IF(Atletas!O540="Outro Taijiquan D",324,IF(Atletas!O540="Yang E",325,IF(Atletas!O540="Chen E",326,IF(Atletas!O540="Sun E",327,IF(Atletas!O540="Wu E",328,IF(Atletas!O540="Wu-Hao E",329,IF(Atletas!O540="Outro Taijiquan E",330,IF(Atletas!O540="Yang F",331,IF(Atletas!O540="Chen F",332,IF(Atletas!O540="Sun F",333,IF(Atletas!O540="Wu F",334,IF(Atletas!O540="Wu-Hao F",335,IF(Atletas!O540="Outro Taijiquan F",336,"")))))))))))))))))))))))))))))))))))))</f>
        <v/>
      </c>
      <c r="BW549" s="50" t="str">
        <f>IF(Atletas!P540="","",IF(Atletas!X540&lt;&gt;"",10000,0)+IF(Atletas!B540="Feminino",1000,IF(Atletas!B540="Masculino",2000,""))+IF(OR(Atletas!P540="Yang 26 A",Atletas!P540="Yang 40 A"),401,IF(OR(Atletas!P540="Chen 25 A",Atletas!P540="Chen 36 A",Atletas!P540="Chen 56 A"),402,IF(Atletas!P540="Sun 73 A",403,IF(Atletas!P540="Wu 45 A",404,IF(Atletas!P540="Wu-Hao 46 A",405,IF(OR(Atletas!P540="Taijiquan 16 A",Atletas!P540="Taijiquan 24 A",Atletas!P540="Taijiquan 32 A",Atletas!P540="Taijiquan 42 A"),406,IF(OR(Atletas!P540="Yang 26 B",Atletas!P540="Yang 40 B"),407,IF(OR(Atletas!P540="Chen 25 B",Atletas!P540="Chen 36 B",Atletas!P540="Chen 56 B"),408,IF(Atletas!P540="Sun 73 B",409,IF(Atletas!P540="Wu 45 B",410,IF(Atletas!P540="Wu-Hao 46 B",411,IF(OR(Atletas!P540="Taijiquan 16 B",Atletas!P540="Taijiquan 24 B",Atletas!P540="Taijiquan 32 B",Atletas!P540="Taijiquan 42 B"),412,IF(OR(Atletas!P540="Yang 26 C",Atletas!P540="Yang 40 C"),413,IF(OR(Atletas!P540="Chen 25 C",Atletas!P540="Chen 36 C",Atletas!P540="Chen 56 C"),414,IF(Atletas!P540="Sun 73 C",415,IF(Atletas!P540="Wu 45 C",416,IF(Atletas!P540="Wu-Hao 46 C",417,IF(OR(Atletas!P540="Taijiquan 16 C",Atletas!P540="Taijiquan 24 C",Atletas!P540="Taijiquan 32 C",Atletas!P540="Taijiquan 42 C"),418,0)))))))))))))))))))</f>
        <v/>
      </c>
      <c r="BX549" s="50" t="str">
        <f>IF(Atletas!P540="","",IF(Atletas!X540&lt;&gt;"",10000,0)+IF(Atletas!B540="Feminino",1000,IF(Atletas!B540="Masculino",2000,""))+IF(OR(Atletas!P540="Yang 26 D",Atletas!P540="Yang 40 D"),419,IF(OR(Atletas!P540="Chen 25 D",Atletas!P540="Chen 36 D",Atletas!P540="Chen 56 D"),420,IF(Atletas!P540="Sun 73 D",421,IF(Atletas!P540="Wu 45 D",422,IF(Atletas!P540="Wu-Hao 46 D",423,IF(OR(Atletas!P540="Taijiquan 16 D",Atletas!P540="Taijiquan 24 D",Atletas!P540="Taijiquan 32 D",Atletas!P540="Taijiquan 42 D"),424,IF(OR(Atletas!P540="Yang 26 E",Atletas!P540="Yang 40 E"),425,IF(OR(Atletas!P540="Chen 25 E",Atletas!P540="Chen 36 E",Atletas!P540="Chen 56 E"),426,IF(Atletas!P540="Sun 73 E",427,IF(Atletas!P540="Wu 45 E",428,IF(Atletas!P540="Wu-Hao 46 E",429,IF(OR(Atletas!P540="Taijiquan 16 E",Atletas!P540="Taijiquan 24 E",Atletas!P540="Taijiquan 32 E",Atletas!P540="Taijiquan 42 E"),430,IF(OR(Atletas!P540="Yang 26 F",Atletas!P540="Yang 40 F"),431,IF(OR(Atletas!P540="Chen 25 F",Atletas!P540="Chen 36 F",Atletas!P540="Chen 56 F"),432,IF(Atletas!P540="Sun 73 F",433,IF(Atletas!P540="Wu 45 F",434,IF(Atletas!P540="Wu-Hao 46 F",435,IF(OR(Atletas!P540="Taijiquan 16 F",Atletas!P540="Taijiquan 24 F",Atletas!P540="Taijiquan 32 F",Atletas!P540="Taijiquan 42 F"),436,0)))))))))))))))))))</f>
        <v/>
      </c>
      <c r="BY549" s="50" t="str">
        <f>IF(Atletas!Q540="","",IF(Atletas!X540&lt;&gt;"",10000,0)+IF(Atletas!B540="Feminino",1000,IF(Atletas!B540="Masculino",2000,""))+IF(Atletas!Q540="Xingyiquan A",501,IF(Atletas!Q540="Baguazhang A",502,IF(Atletas!Q540="Outro Estilo Interno A",503,IF(Atletas!Q540="Xingyiquan B",504,IF(Atletas!Q540="Baguazhang B",505,IF(Atletas!Q540="Outro Estilo Interno B",506,IF(Atletas!Q540="Xingyiquan C",507,IF(Atletas!Q540="Baguazhang C",508,IF(Atletas!Q540="Outro Estilo Interno C",509,IF(Atletas!Q540="Xingyiquan D",510,IF(Atletas!Q540="Baguazhang D",511,IF(Atletas!Q540="Outro Estilo Interno D",512,IF(Atletas!Q540="Xingyiquan E",513,IF(Atletas!Q540="Baguazhang E",514,IF(Atletas!Q540="Outro Estilo Interno E",515,IF(Atletas!Q540="Xingyiquan F",516,IF(Atletas!Q540="Baguazhang F",517,IF(Atletas!Q540="Outro Estilo Interno F",518, "")))))))))))))))))))</f>
        <v/>
      </c>
      <c r="BZ549" s="50" t="str">
        <f>IF(Atletas!R540="","",IF(Atletas!X540&lt;&gt;"",10000,0)+IF(Atletas!B540="Feminino",1000,IF(Atletas!B540="Masculino",2000,""))+IF(Atletas!R540="Dao A",601,IF(Atletas!R540="Jian A",602,IF(Atletas!R540="Bishou A",603,IF(Atletas!R540="Shanzi A",604,IF(Atletas!R540="Outra Arma Curta A",605,IF(Atletas!R540="Dao B",606,IF(Atletas!R540="Jian B",607,IF(Atletas!R540="Bishou B",608,IF(Atletas!R540="Shanzi B",609,IF(Atletas!R540="Outra Arma Curta B",610,IF(Atletas!R540="Dao C",611,IF(Atletas!R540="Jian C",612,IF(Atletas!R540="Bishou C",613,IF(Atletas!R540="Shanzi C",614,IF(Atletas!R540="Outra Arma Curta C",615,IF(Atletas!R540="Dao D",616,IF(Atletas!R540="Jian D",617,IF(Atletas!R540="Bishou D",618,IF(Atletas!R540="Shanzi D",619,IF(Atletas!R540="Outra Arma Curta D",620,IF(Atletas!R540="Dao E",621,IF(Atletas!R540="Jian E",622,IF(Atletas!R540="Bishou E",623,IF(Atletas!R540="Shanzi E",624,IF(Atletas!R540="Outra Arma Curta E",625,IF(Atletas!R540="Dao F",626,IF(Atletas!R540="Jian F",627,IF(Atletas!R540="Bishou F",628,IF(Atletas!R540="Shanzi F",629,IF(Atletas!R540="Outra Arma Curta F",630, "")))))))))))))))))))))))))))))))</f>
        <v/>
      </c>
      <c r="CA549" s="50" t="str">
        <f>IF(Atletas!S540="","",IF(Atletas!X540&lt;&gt;"",10000,0)+IF(Atletas!B540="Feminino",1000,IF(Atletas!B540="Masculino",2000,""))+IF(Atletas!S540="Gun A",701,IF(Atletas!S540="Qiang A",702,IF(Atletas!S540="Pudao / Guandao A",703,IF(Atletas!S540="Outra Arma Longa A",704,IF(Atletas!S540="Gun B",705,IF(Atletas!S540="Qiang B",706,IF(Atletas!S540="Pudao / Guandao B",707,IF(Atletas!S540="Outra Arma Longa B",708,IF(Atletas!S540="Gun C",709,IF(Atletas!S540="Qiang C",710,IF(Atletas!S540="Pudao / Guandao C",711,IF(Atletas!S540="Outra Arma Longa C",712,IF(Atletas!S540="Gun D",713,IF(Atletas!S540="Qiang D",714,IF(Atletas!S540="Pudao / Guandao D",715,IF(Atletas!S540="Outra Arma Longa D",716,IF(Atletas!S540="Gun E",717,IF(Atletas!S540="Qiang E",718,IF(Atletas!S540="Pudao / Guandao E",719,IF(Atletas!S540="Outra Arma Longa E",720,IF(Atletas!S540="Gun F",721,IF(Atletas!S540="Qiang F",722,IF(Atletas!S540="Pudao / Guandao F",723,IF(Atletas!S540="Outra Arma Longa F",724,"")))))))))))))))))))))))))</f>
        <v/>
      </c>
      <c r="CB549" s="50" t="str">
        <f>IF(Atletas!T540="","",IF(Atletas!X540&lt;&gt;"",10000,0)+IF(Atletas!B540="Feminino",1000,IF(Atletas!B540="Masculino",2000,""))+IF(Atletas!T540="Outra Arma Dupla A",801,IF(Atletas!T540="Arma Maleável A",802,IF(Atletas!T540="Outra Arma Dupla B",803,IF(Atletas!T540="Arma Maleável B",804,IF(Atletas!T540="Outra Arma Dupla C",805,IF(Atletas!T540="Arma Maleável C",806,IF(Atletas!T540="Outra Arma Dupla D",807,IF(Atletas!T540="Arma Maleável D",808,IF(Atletas!T540="Outra Arma Dupla E",809,IF(Atletas!T540="Arma Maleável E",810,IF(Atletas!T540="Outra Arma Dupla F",811,IF(Atletas!T540="Arma Maleável F",812,IF(Atletas!T540="Shuangdao A",813,IF(Atletas!T540="Shuangdao B",814,IF(Atletas!T540="Shuangdao C",815,IF(Atletas!T540="Shuangdao D",816,IF(Atletas!T540="Shuangdao E",817,IF(Atletas!T540="Shuangdao F",818,"")))))))))))))))))))</f>
        <v/>
      </c>
      <c r="CC549" s="50" t="str">
        <f>IF(Atletas!U540="","",IF(Atletas!X540&lt;&gt;"",10000,0)+IF(Atletas!B540="Feminino",1000,IF(Atletas!B540="Masculino",2000,""))+IF(OR(Atletas!U540="Taijijian Yang A",Atletas!U540="Taijijian Yang Standard A"),901,IF(OR(Atletas!U540="Taijijian Chen A", Atletas!U540="Taijijian Chen Standard A"),902,IF(Atletas!U540="Taijijian Sun A",903,IF(Atletas!U540="Taijijian Wu A",904,IF(Atletas!U540="Taijijian Wu-Hao A",905,IF(OR(Atletas!U540="Taijijian 32 A",Atletas!U540="Taijijian 42 A"),906,IF(OR(Atletas!U540="Taijijian Yang B",Atletas!U540="Taijijian Yang Standard B"),907,IF(OR(Atletas!U540="Taijijian Chen B", Atletas!U540="Taijijian Chen Standard B"),908,IF(Atletas!U540="Taijijian Sun B",909,IF(Atletas!U540="Taijijian Wu B",910,IF(Atletas!U540="Taijijian Wu-Hao B",911,IF(OR(Atletas!U540="Taijijian 32 B",Atletas!U540="Taijijian 42 B"),912,IF(OR(Atletas!U540="Taijijian Yang C",Atletas!U540="Taijijian Yang Standard C"),913,IF(OR(Atletas!U540="Taijijian Chen C", Atletas!U540="Taijijian Chen Standard C"),914,IF(Atletas!U540="Taijijian Sun C",915,IF(Atletas!U540="Taijijian Wu C",916,IF(Atletas!U540="Taijijian Wu-Hao C",917,IF(OR(Atletas!U540="Taijijian 32 C",Atletas!U540="Taijijian 42 C"),918,IF(OR(Atletas!U540="Taijijian Yang D",Atletas!U540="Taijijian Yang Standard D"),919,IF(OR(Atletas!U540="Taijijian Chen D", Atletas!U540="Taijijian Chen Standard D"),920,IF(Atletas!U540="Taijijian Sun D",921,IF(Atletas!U540="Taijijian Wu D",922,IF(Atletas!U540="Taijijian Wu-Hao D",923,IF(OR(Atletas!U540="Taijijian 32 D",Atletas!U540="Taijijian 42 D"),924,IF(OR(Atletas!U540="Taijijian Yang E",Atletas!U540="Taijijian Yang Standard E"),925,IF(OR(Atletas!U540="Taijijian Chen E", Atletas!U540="Taijijian Chen Standard E"),926,IF(Atletas!U540="Taijijian Sun E",927,IF(Atletas!U540="Taijijian Wu E",928,IF(Atletas!U540="Taijijian Wu-Hao E",929,IF(OR(Atletas!U540="Taijijian 32 E",Atletas!U540="Taijijian 42 E"),930,IF(OR(Atletas!U540="Taijijian Yang F",Atletas!U540="Taijijian Yang Standard F"),931,IF(OR(Atletas!U540="Taijijian Chen F", Atletas!U540="Taijijian Chen Standard F"),932,IF(Atletas!U540="Taijijian Sun F",933,IF(Atletas!U540="Taijijian Wu F",934,IF(Atletas!U540="Taijijian Wu-Hao F",935,IF(OR(Atletas!U540="Taijijian 32 F",Atletas!U540="Taijijian 42 F"),936,"")))))))))))))))))))))))))))))))))))))</f>
        <v/>
      </c>
      <c r="CD549" s="50" t="str">
        <f>IF(Atletas!V540="","",IF(Atletas!X540&lt;&gt;"",10000,0)+IF(Atletas!B540="Feminino",1000,IF(Atletas!B540="Masculino",2000,""))+IF(Atletas!V540="Taijidao A",937,IF(Atletas!V540="TaijiShanzi A",938,IF(Atletas!V540="Taijiqiang A",939,IF(Atletas!V540="Bagua de Arma A",940,IF(Atletas!V540="Xingyi de Arma A",941,IF(Atletas!V540="Taijidao B",942,IF(Atletas!V540="TaijiShanzi B",943,IF(Atletas!V540="Taijiqiang B",944,IF(Atletas!V540="Bagua de Arma B",945,IF(Atletas!V540="Xingyi de Arma B",946,IF(Atletas!V540="Taijidao C",947,IF(Atletas!V540="TaijiShanzi C",948,IF(Atletas!V540="Taijiqiang C",949,IF(Atletas!V540="Bagua de Arma C",950,IF(Atletas!V540="Xingyi de Arma C",951,IF(Atletas!V540="Taijidao D",952,IF(Atletas!V540="TaijiShanzi D",953,IF(Atletas!V540="Taijiqiang D",954,IF(Atletas!V540="Bagua de Arma D",955,IF(Atletas!V540="Xingyi de Arma D",956,IF(Atletas!V540="Taijidao E",957,IF(Atletas!V540="TaijiShanzi E",958,IF(Atletas!V540="Taijiqiang E",959,IF(Atletas!V540="Bagua de Arma E",960,IF(Atletas!V540="Xingyi de Arma E",961,IF(Atletas!V540="Taijidao F",962,IF(Atletas!V540="TaijiShanzi F",963,IF(Atletas!V540="Taijiqiang F",964,IF(Atletas!V540="Bagua de Arma F",965,IF(Atletas!V540="Xingyi de Arma F",966,"")))))))))))))))))))))))))))))))</f>
        <v/>
      </c>
      <c r="CM549" s="50" t="str">
        <f xml:space="preserve"> IF(Atletas!W540="","",IF(Atletas!W540="Duilian de Mãos BC - Equipe 1",1,IF(Atletas!W540="Duilian de Mãos BC - Equipe 2",2,IF(Atletas!W540="Duilian de Armas BC - Equipe 1",3,IF(Atletas!W540="Duilian de Armas BC - Equipe 2",4,IF(Atletas!W540="Duilian de Mãos DE - Equipe 1",5,IF(Atletas!W540="Duilian de Mãos DE - Equipe 2",6,IF(Atletas!W540="Duilian de Armas DE - Equipe 1",7,IF(Atletas!W540="Duilian de Armas DE - Equipe 2",8,IF(Atletas!W540="Duilian de Tuishou - Equipe 1",9,IF(Atletas!W540="Duilian de Tuishou - Equipe 2",10,IF(Atletas!W540="Grupo Externo ABC - Equipe 1",11,IF(Atletas!W540="Grupo Externo ABC - Equipe 2",12,IF(Atletas!W540="Grupo Interno ABC - Equipe 1",13,IF(Atletas!W540="Grupo Interno ABC - Equipe 2",14,IF(Atletas!W540="Grupo Externo DEF - Equipe 1",15,IF(Atletas!W540="Grupo Externo DEF - Equipe 2",16,IF(Atletas!W540="Grupo Interno DEF - Equipe 1",17,IF(Atletas!W540="Grupo Interno DEF - Equipe 2",18,"")))))))))))))))))))</f>
        <v/>
      </c>
    </row>
    <row r="550" spans="40:91">
      <c r="AN550" s="52" t="str">
        <f>IF(Atletas!D541="","",IF(Atletas!B541="Feminino",100,IF(Atletas!B541="Masculino",200,""))+(IF(Atletas!D541="Kids 30kg",1,IF(Atletas!D541="Kids 32kg",2, IF(Atletas!D541="Kids 34kg",3,IF(Atletas!D541="Kids 36kg",4,IF(Atletas!D541="Kids 39kg",5,IF(Atletas!D541="Kids 42kg",6,IF(Atletas!D541="Kids 45kg",7, IF(Atletas!D541="Infantil 39kg",8,IF(Atletas!D541="Infantil 42kg",9,IF(Atletas!D541="Infantil 45kg",10,IF(Atletas!D541="Infantil 48kg",11,IF(Atletas!D541="Infantil 52kg",12,IF(Atletas!D541="Infantil 56kg",13,IF(Atletas!D541="Infantil 60kg",14,IF(Atletas!D541="Juvenil 48kg",15,IF(Atletas!D541="Juvenil 52kg",16,IF(Atletas!D541="Juvenil 56kg",17,IF(Atletas!D541="Juvenil 60kg",18,IF(Atletas!D541="Juvenil 65kg",19,IF(Atletas!D541="Juvenil 70kg",20,IF(Atletas!D541="Juvenil 75kg",21,IF(Atletas!D541="Juvenil 80kg",22, IF(Atletas!D541="Juvenil 85kg",23,IF(Atletas!D541="Adulto 48kg",24,IF(Atletas!D541="Adulto 52kg",25,IF(Atletas!D541="Adulto 56kg",26,IF(Atletas!D541="Adulto 60kg",27,IF(Atletas!D541="Adulto 65kg",28,IF(Atletas!D541="Adulto 70kg",29,IF(Atletas!D541="Adulto 75kg",30,IF(Atletas!D541="Adulto 80kg",31,IF(Atletas!D541="Adulto 85kg",32,IF(Atletas!D541="Adulto 90kg",33,IF(Atletas!D541="Adulto 100kg",34, IF(Atletas!D541="Adulto +100kg",35,"")))))))))))))))))))))))))))))))))))))</f>
        <v/>
      </c>
      <c r="AS550" s="6" t="str">
        <f>IF(Atletas!E541="","",IF(Atletas!B541="Feminino",100,IF(Atletas!B541="Masculino",200,""))+(IF(Atletas!E541="Juvenil 44kg",1,IF(Atletas!E541="Juvenil 48kg",2,IF(Atletas!E541="Juvenil 52kg",3,IF(Atletas!E541="Juvenil 56kg",4,IF(Atletas!E541="Juvenil 60kg",5,IF(Atletas!E541="Juvenil 65kg",6,IF(Atletas!E541="Juvenil 70kg",7,IF(Atletas!E541="Juvenil 75kg",8,IF(Atletas!E541="Juvenil 82kg",9,IF(Atletas!E541="Juvenil 90kg",10,IF(Atletas!E541="Juvenil 100kg",11,IF(Atletas!E541="Adulto 48kg",12,IF(Atletas!E541="Adulto 52kg",13,IF(Atletas!E541="Adulto 56kg",14,IF(Atletas!E541="Adulto 60kg",15,IF(Atletas!E541="Adulto 65kg",16,IF(Atletas!E541="Adulto 70kg",17,IF(Atletas!E541="Adulto 75kg",18,IF(Atletas!E541="Adulto 82kg",19,IF(Atletas!E541="Adulto 90kg",20,IF(Atletas!E541="Adulto 100kg",21,IF(Atletas!E541="Adulto +100kg",22,""))))))))))))))))))))))))</f>
        <v/>
      </c>
      <c r="AX550" s="6" t="str">
        <f>IF(Atletas!F541="","",IF(Atletas!B541="Feminino",100,IF(Atletas!B541="Masculino",200,""))+(IF(Atletas!F541="Adulto 48kg",1,IF(Atletas!F541="Adulto 56kg",2,IF(Atletas!F541="Adulto 65kg",3,IF(Atletas!F541="Adulto 75kg",4,IF(Atletas!F541="Adulto +75kg",5,IF(Atletas!F541="Adulto 52kg",6,IF(Atletas!F541="Adulto 60kg",7,IF(Atletas!F541="Adulto 70kg",8,IF(Atletas!F541="Adulto 80kg",9,IF(Atletas!F541="Adulto 90kg",10,IF(Atletas!F541="Adulto +90kg",11,"")))))))))))))</f>
        <v/>
      </c>
      <c r="BC550" s="6" t="str">
        <f>IF(Atletas!G541="","",IF(Atletas!B541="Feminino",10,IF(Atletas!B541="Masculino",20,""))+(IF(Atletas!G541="Baduanjin A",1,IF(Atletas!G541="Baduanjin B",2))))</f>
        <v/>
      </c>
      <c r="BF550" s="52" t="str">
        <f>IF(Atletas!H541="","",IF(Atletas!B541="Feminino",100,IF(Atletas!B541="Masculino",200,""))+(IF(Atletas!H541="Changquan Mirim",1,IF(Atletas!H541="Nanquan Mirim",2,IF(Atletas!H541="Taijiquan Mirim",3,IF(Atletas!H541="Changquan Grupo C",4,IF(Atletas!H541="Nanquan Grupo C",5,IF(Atletas!H541="Taijiquan Grupo C",6,IF(Atletas!H541="Changquan Grupo B",7,IF(Atletas!H541="Nanquan Grupo B",8,IF(Atletas!H541="Taijiquan Grupo B",9,IF(Atletas!H541="Changquan Grupo A",10,IF(Atletas!H541="Nanquan Grupo A",11,IF(Atletas!H541="Taijiquan Grupo A",12,IF(Atletas!H541="Changquan Opcional",13,IF(Atletas!H541="Nanquan Opcional",14,IF(Atletas!H541="Taijiquan Opcional",15,IF(Atletas!H541="Changquan Adulto",16,IF(Atletas!H541="Nanquan Adulto",17,IF(Atletas!H541="Taijiquan Adulto",18,""))))))))))))))))))))</f>
        <v/>
      </c>
      <c r="BG550" s="52" t="str">
        <f>IF(Atletas!I541="","",IF(Atletas!B541="Feminino",100,IF(Atletas!B541="Masculino",200,""))+(IF(Atletas!I541="Daoshu Mirim",19,IF(Atletas!I541="Jianshu Mirim",20,IF(Atletas!I541="Nandao Mirim",21,IF(Atletas!I541="Taijijian Mirim",22,IF(Atletas!I541="Daoshu Grupo C",23,IF(Atletas!I541="Jianshu Grupo C",24,IF(Atletas!I541="Nandao Grupo C",25,IF(Atletas!I541="Taijijian Grupo C",26,IF(Atletas!I541="Daoshu Grupo B",27,IF(Atletas!I541="Jianshu Grupo B",28,IF(Atletas!I541="Nandao Grupo B",29,IF(Atletas!I541="Taijijian Grupo B",30,IF(Atletas!I541="Daoshu Grupo A",31,IF(Atletas!I541="Jianshu Grupo A",32,IF(Atletas!I541="Nandao Grupo A",33,IF(Atletas!I541="Taijijian Grupo A",34,IF(Atletas!I541="Daoshu Opcional",35,IF(Atletas!I541="Jianshu Opcional",36,IF(Atletas!I541="Nandao Opcional",37,IF(Atletas!I541="Taijijian Opcional",38,IF(Atletas!I541="Daoshu Adulto",39,IF(Atletas!I541="Jianshu Adulto",40,IF(Atletas!I541="Nandao Adulto",41,IF(Atletas!I541="Taijijian Adulto",42,""))))))))))))))))))))))))))</f>
        <v/>
      </c>
      <c r="BH550" s="52" t="str">
        <f>IF(Atletas!J541="","",IF(Atletas!B541="Feminino",100,IF(Atletas!B541="Masculino",200,""))+(IF(Atletas!J541="Gunshu Mirim",43,IF(Atletas!J541="Qiangshu Mirim",44,IF(Atletas!J541="Nangun Mirim",45,IF(Atletas!J541="Gunshu Grupo C",46,IF(Atletas!J541="Qiangshu Grupo C",47,IF(Atletas!J541="Nangun Grupo C",48,IF(Atletas!J541="Gunshu Grupo B",49,IF(Atletas!J541="Qiangshu Grupo B",50,IF(Atletas!J541="Nangun Grupo B",51,IF(Atletas!J541="Gunshu Grupo A",52,IF(Atletas!J541="Qiangshu Grupo A",53,IF(Atletas!J541="Nangun Grupo A",54,IF(Atletas!J541="Gunshu Opcional",55,IF(Atletas!J541="Qiangshu Opcional",56,IF(Atletas!J541="Nangun Opcional",57,IF(Atletas!J541="Gunshu Adulto",58,IF(Atletas!J541="Qiangshu Adulto",59,IF(Atletas!J541="Nangun Adulto",60,IF(Atletas!J541="Taijishan Grupo B",61,IF(Atletas!J541="Taijishan Grupo A",62,""))))))))))))))))))))))</f>
        <v/>
      </c>
      <c r="BM550" s="50" t="str">
        <f>IF(Atletas!K541="","",IF(Atletas!B541="Feminino",100,IF(Atletas!B541="Masculino",200,""))+(IF(Atletas!K541="Equipe 1 Grupo B",1,IF(Atletas!K541="Equipe 2 Grupo B",2,IF(Atletas!K541="Equipe 1 Grupo A",3,IF(Atletas!K541="Equipe 2 Grupo A",4,IF(Atletas!K541="Equipe 1 Adulto",5,IF(Atletas!K541="Equipe 2 Adulto",6,""))))))))</f>
        <v/>
      </c>
      <c r="BR550" s="50" t="str">
        <f>IF(Atletas!L541="","",IF(Atletas!X541&lt;&gt;"",10000,0)+(IF(Atletas!B541="Feminino",1000,IF(Atletas!B541="Masculino",2000,""))+IF(Atletas!L541="Choylayfut A",1,IF(Atletas!L541="Hunggar A",2,IF(Atletas!L541="Wuzuquan A",3,IF(Atletas!L541="Wingchun A",4,IF(Atletas!L541="Outra Mão de Sul A",5,IF(Atletas!L541="Choylayfut B",6,IF(Atletas!L541="Hunggar B",7,IF(Atletas!L541="Wuzuquan B",8,IF(Atletas!L541="Wingchun B",9,IF(Atletas!L541="Outra Mão de Sul B",10,IF(Atletas!L541="Choylayfut C",11,IF(Atletas!L541="Hunggar C",12,IF(Atletas!L541="Wuzuquan C",13,IF(Atletas!L541="Wingchun C",14,IF(Atletas!L541="Outra Mão de Sul C",15,IF(Atletas!L541="Choylayfut D",16,IF(Atletas!L541="Hunggar D",17,IF(Atletas!L541="Wuzuquan D",18,IF(Atletas!L541="Wingchun D",19,IF(Atletas!L541="Outra Mão de Sul D",20,IF(Atletas!L541="Choylayfut E",21,IF(Atletas!L541="Hunggar E",22,IF(Atletas!L541="Wuzuquan E",23,IF(Atletas!L541="Wingchun E",24,IF(Atletas!L541="Outra Mão de Sul E",25,IF(Atletas!L541="Choylayfut F",26,IF(Atletas!L541="Hunggar F",27,IF(Atletas!L541="Wuzuquan F",28,IF(Atletas!L541="Wingchun F",29,IF(Atletas!L541="Outra Mão de Sul F",30,IF(Atletas!L541="Dishuquan A",31,IF(Atletas!L541="Dishuquan B",32,IF(Atletas!L541="Dishuquan C",33,IF(Atletas!L541="Dishuquan D",34,IF(Atletas!L541="Dishuquan E",35,IF(Atletas!L541="Dishuquan F",36,""))))))))))))))))))))))))))))))))))))))</f>
        <v/>
      </c>
      <c r="BS550" s="50" t="str">
        <f>IF(Atletas!M541="","",IF(Atletas!X541&lt;&gt;"",10000,0)+(IF(Atletas!B541="Feminino",1000,IF(Atletas!B541="Masculino",2000,""))+(IF(Atletas!M541="Chaquan A",101,IF(Atletas!M541="Emeiquan A",102,IF(Atletas!M541="Fanziquan A",103,IF(Atletas!M541="Huaquan A",104,IF(Atletas!M541="Hongquan A",105,IF(Atletas!M541="Paoquan A",106,IF(Atletas!M541="Piguaquan A",107,IF(Atletas!M541="Shaolinquan A",108,IF(Atletas!M541="Tanglangquan A",109,IF(Atletas!M541="Yingzhaoquan A",110,IF(Atletas!M541="Tongbeiquan A",111,IF(Atletas!M541="Wudangquan A",112,IF(Atletas!M541="Outros Estilos A",113,IF(Atletas!M541="Chaquan B",114,IF(Atletas!M541="Emeiquan B",115,IF(Atletas!M541="Fanziquan B",116,IF(Atletas!M541="Huaquan B",117,IF(Atletas!M541="Hongquan B",118,IF(Atletas!M541="Paoquan B",119,IF(Atletas!M541="Piguaquan B",120,IF(Atletas!M541="Shaolinquan B",121,IF(Atletas!M541="Tanglangquan B",122,IF(Atletas!M541="Yingzhaoquan B",123,IF(Atletas!M541="Tongbeiquan B",124,IF(Atletas!M541="Wudangquan B",125,IF(Atletas!M541="Outros Estilos B",126,IF(Atletas!M541="Chaquan C",127,IF(Atletas!M541="Emeiquan C",128,IF(Atletas!M541="Fanziquan C",129,IF(Atletas!M541="Huaquan C",130,IF(Atletas!M541="Hongquan C",131,IF(Atletas!M541="Paoquan C",132,IF(Atletas!M541="Piguaquan C",133,IF(Atletas!M541="Shaolinquan C",134,IF(Atletas!M541="Tanglangquan C",135,IF(Atletas!M541="Yingzhaoquan C",136,IF(Atletas!M541="Tongbeiquan C",137,IF(Atletas!M541="Wudangquan C",138,IF(Atletas!M541="Outros Estilos C",139,0))))))))))))))))))))))))))))))))))))))))))</f>
        <v/>
      </c>
      <c r="BT550" s="50" t="str">
        <f>IF(Atletas!M541="","",IF(Atletas!X541&lt;&gt;"",10000,0)+(IF(Atletas!B541="Feminino",1000,IF(Atletas!B541="Masculino",2000,""))+(IF(Atletas!M541="Chaquan D",140,IF(Atletas!M541="Emeiquan D",141,IF(Atletas!M541="Fanziquan D",142,IF(Atletas!M541="Huaquan D",143,IF(Atletas!M541="Hongquan D",144,IF(Atletas!M541="Paoquan D",145,IF(Atletas!M541="Piguaquan D",146,IF(Atletas!M541="Shaolinquan D",147,IF(Atletas!M541="Tanglangquan D",148,IF(Atletas!M541="Yingzhaoquan D",149,IF(Atletas!M541="Tongbeiquan D",150,IF(Atletas!M541="Wudangquan D",151,IF(Atletas!M541="Outros Estilos D",152,IF(Atletas!M541="Chaquan E",153,IF(Atletas!M541="Emeiquan E",154,IF(Atletas!M541="Fanziquan E",155,IF(Atletas!M541="Huaquan E",156,IF(Atletas!M541="Hongquan E",157,IF(Atletas!M541="Paoquan E",158,IF(Atletas!M541="Piguaquan E",159,IF(Atletas!M541="Shaolinquan E",160,IF(Atletas!M541="Tanglangquan E",161,IF(Atletas!M541="Yingzhaoquan E",162,IF(Atletas!M541="Tongbeiquan E",163,IF(Atletas!M541="Wudangquan E",164,IF(Atletas!M541="Outros Estilos E",165,IF(Atletas!M541="Chaquan F",166,IF(Atletas!M541="Emeiquan F",167,IF(Atletas!M541="Fanziquan F",168,IF(Atletas!M541="Huaquan F",169,IF(Atletas!M541="Hongquan F",170,IF(Atletas!M541="Paoquan F",171,IF(Atletas!M541="Piguaquan F",172,IF(Atletas!M541="Shaolinquan F",173,IF(Atletas!M541="Tanglangquan F",174,IF(Atletas!M541="Yingzhaoquan F",175,IF(Atletas!M541="Tongbeiquan F",176,IF(Atletas!M541="Wudangquan F",177,IF(Atletas!M541="Outros Estilos F",178,0))))))))))))))))))))))))))))))))))))))))))</f>
        <v/>
      </c>
      <c r="BU550" s="50" t="str">
        <f>IF(Atletas!N541="","",IF(Atletas!X541&lt;&gt;"",10000,0)+(IF(Atletas!B541="Feminino",1000,IF(Atletas!B541="Masculino",2000,""))+(IF(Atletas!N541="Ditangquan A",201,IF(Atletas!N541="Houquan A",202,IF(Atletas!N541="Zuiquan A",203,IF(Atletas!N541="Ditangquan B",204,IF(Atletas!N541="Houquan B",205,IF(Atletas!N541="Zuiquan B",206,IF(Atletas!N541="Ditangquan C",207,IF(Atletas!N541="Houquan C",208,IF(Atletas!N541="Zuiquan C",209,IF(Atletas!N541="Ditangquan D",210,IF(Atletas!N541="Houquan D",211,IF(Atletas!N541="Zuiquan D",212,IF(Atletas!N541="Ditangquan E",213,IF(Atletas!N541="Houquan E",214,IF(Atletas!N541="Zuiquan E",215,IF(Atletas!N541="Ditangquan F",216,IF(Atletas!N541="Houquan F",217,IF(Atletas!N541="Zuiquan F",218,"")))))))))))))))))))))</f>
        <v/>
      </c>
      <c r="BV550" s="50" t="str">
        <f>IF(Atletas!O541="","",IF(Atletas!X541&lt;&gt;"",10000,0)+IF(Atletas!B541="Feminino",1000,IF(Atletas!B541="Masculino",2000,""))+IF(Atletas!O541="Yang A",301,IF(Atletas!O541="Chen A",302,IF(Atletas!O541="Sun A",303,IF(Atletas!O541="Wu A",304,IF(Atletas!O541="Wu-Hao A",305,IF(Atletas!O541="Outro Taijiquan A",306,IF(Atletas!O541="Yang B",307,IF(Atletas!O541="Chen B",308,IF(Atletas!O541="Sun B",309,IF(Atletas!O541="Wu B",310,IF(Atletas!O541="Wu-Hao B",311,IF(Atletas!O541="Outro Taijiquan B",312,IF(Atletas!O541="Yang C",313,IF(Atletas!O541="Chen C",314,IF(Atletas!O541="Sun C",315,IF(Atletas!O541="Wu C",316,IF(Atletas!O541="Wu-Hao C",317,IF(Atletas!O541="Outro Taijiquan C",318,IF(Atletas!O541="Yang D",319,IF(Atletas!O541="Chen D",320,IF(Atletas!O541="Sun D",321,IF(Atletas!O541="Wu D",322,IF(Atletas!O541="Wu-Hao D",323,IF(Atletas!O541="Outro Taijiquan D",324,IF(Atletas!O541="Yang E",325,IF(Atletas!O541="Chen E",326,IF(Atletas!O541="Sun E",327,IF(Atletas!O541="Wu E",328,IF(Atletas!O541="Wu-Hao E",329,IF(Atletas!O541="Outro Taijiquan E",330,IF(Atletas!O541="Yang F",331,IF(Atletas!O541="Chen F",332,IF(Atletas!O541="Sun F",333,IF(Atletas!O541="Wu F",334,IF(Atletas!O541="Wu-Hao F",335,IF(Atletas!O541="Outro Taijiquan F",336,"")))))))))))))))))))))))))))))))))))))</f>
        <v/>
      </c>
      <c r="BW550" s="50" t="str">
        <f>IF(Atletas!P541="","",IF(Atletas!X541&lt;&gt;"",10000,0)+IF(Atletas!B541="Feminino",1000,IF(Atletas!B541="Masculino",2000,""))+IF(OR(Atletas!P541="Yang 26 A",Atletas!P541="Yang 40 A"),401,IF(OR(Atletas!P541="Chen 25 A",Atletas!P541="Chen 36 A",Atletas!P541="Chen 56 A"),402,IF(Atletas!P541="Sun 73 A",403,IF(Atletas!P541="Wu 45 A",404,IF(Atletas!P541="Wu-Hao 46 A",405,IF(OR(Atletas!P541="Taijiquan 16 A",Atletas!P541="Taijiquan 24 A",Atletas!P541="Taijiquan 32 A",Atletas!P541="Taijiquan 42 A"),406,IF(OR(Atletas!P541="Yang 26 B",Atletas!P541="Yang 40 B"),407,IF(OR(Atletas!P541="Chen 25 B",Atletas!P541="Chen 36 B",Atletas!P541="Chen 56 B"),408,IF(Atletas!P541="Sun 73 B",409,IF(Atletas!P541="Wu 45 B",410,IF(Atletas!P541="Wu-Hao 46 B",411,IF(OR(Atletas!P541="Taijiquan 16 B",Atletas!P541="Taijiquan 24 B",Atletas!P541="Taijiquan 32 B",Atletas!P541="Taijiquan 42 B"),412,IF(OR(Atletas!P541="Yang 26 C",Atletas!P541="Yang 40 C"),413,IF(OR(Atletas!P541="Chen 25 C",Atletas!P541="Chen 36 C",Atletas!P541="Chen 56 C"),414,IF(Atletas!P541="Sun 73 C",415,IF(Atletas!P541="Wu 45 C",416,IF(Atletas!P541="Wu-Hao 46 C",417,IF(OR(Atletas!P541="Taijiquan 16 C",Atletas!P541="Taijiquan 24 C",Atletas!P541="Taijiquan 32 C",Atletas!P541="Taijiquan 42 C"),418,0)))))))))))))))))))</f>
        <v/>
      </c>
      <c r="BX550" s="50" t="str">
        <f>IF(Atletas!P541="","",IF(Atletas!X541&lt;&gt;"",10000,0)+IF(Atletas!B541="Feminino",1000,IF(Atletas!B541="Masculino",2000,""))+IF(OR(Atletas!P541="Yang 26 D",Atletas!P541="Yang 40 D"),419,IF(OR(Atletas!P541="Chen 25 D",Atletas!P541="Chen 36 D",Atletas!P541="Chen 56 D"),420,IF(Atletas!P541="Sun 73 D",421,IF(Atletas!P541="Wu 45 D",422,IF(Atletas!P541="Wu-Hao 46 D",423,IF(OR(Atletas!P541="Taijiquan 16 D",Atletas!P541="Taijiquan 24 D",Atletas!P541="Taijiquan 32 D",Atletas!P541="Taijiquan 42 D"),424,IF(OR(Atletas!P541="Yang 26 E",Atletas!P541="Yang 40 E"),425,IF(OR(Atletas!P541="Chen 25 E",Atletas!P541="Chen 36 E",Atletas!P541="Chen 56 E"),426,IF(Atletas!P541="Sun 73 E",427,IF(Atletas!P541="Wu 45 E",428,IF(Atletas!P541="Wu-Hao 46 E",429,IF(OR(Atletas!P541="Taijiquan 16 E",Atletas!P541="Taijiquan 24 E",Atletas!P541="Taijiquan 32 E",Atletas!P541="Taijiquan 42 E"),430,IF(OR(Atletas!P541="Yang 26 F",Atletas!P541="Yang 40 F"),431,IF(OR(Atletas!P541="Chen 25 F",Atletas!P541="Chen 36 F",Atletas!P541="Chen 56 F"),432,IF(Atletas!P541="Sun 73 F",433,IF(Atletas!P541="Wu 45 F",434,IF(Atletas!P541="Wu-Hao 46 F",435,IF(OR(Atletas!P541="Taijiquan 16 F",Atletas!P541="Taijiquan 24 F",Atletas!P541="Taijiquan 32 F",Atletas!P541="Taijiquan 42 F"),436,0)))))))))))))))))))</f>
        <v/>
      </c>
      <c r="BY550" s="50" t="str">
        <f>IF(Atletas!Q541="","",IF(Atletas!X541&lt;&gt;"",10000,0)+IF(Atletas!B541="Feminino",1000,IF(Atletas!B541="Masculino",2000,""))+IF(Atletas!Q541="Xingyiquan A",501,IF(Atletas!Q541="Baguazhang A",502,IF(Atletas!Q541="Outro Estilo Interno A",503,IF(Atletas!Q541="Xingyiquan B",504,IF(Atletas!Q541="Baguazhang B",505,IF(Atletas!Q541="Outro Estilo Interno B",506,IF(Atletas!Q541="Xingyiquan C",507,IF(Atletas!Q541="Baguazhang C",508,IF(Atletas!Q541="Outro Estilo Interno C",509,IF(Atletas!Q541="Xingyiquan D",510,IF(Atletas!Q541="Baguazhang D",511,IF(Atletas!Q541="Outro Estilo Interno D",512,IF(Atletas!Q541="Xingyiquan E",513,IF(Atletas!Q541="Baguazhang E",514,IF(Atletas!Q541="Outro Estilo Interno E",515,IF(Atletas!Q541="Xingyiquan F",516,IF(Atletas!Q541="Baguazhang F",517,IF(Atletas!Q541="Outro Estilo Interno F",518, "")))))))))))))))))))</f>
        <v/>
      </c>
      <c r="BZ550" s="50" t="str">
        <f>IF(Atletas!R541="","",IF(Atletas!X541&lt;&gt;"",10000,0)+IF(Atletas!B541="Feminino",1000,IF(Atletas!B541="Masculino",2000,""))+IF(Atletas!R541="Dao A",601,IF(Atletas!R541="Jian A",602,IF(Atletas!R541="Bishou A",603,IF(Atletas!R541="Shanzi A",604,IF(Atletas!R541="Outra Arma Curta A",605,IF(Atletas!R541="Dao B",606,IF(Atletas!R541="Jian B",607,IF(Atletas!R541="Bishou B",608,IF(Atletas!R541="Shanzi B",609,IF(Atletas!R541="Outra Arma Curta B",610,IF(Atletas!R541="Dao C",611,IF(Atletas!R541="Jian C",612,IF(Atletas!R541="Bishou C",613,IF(Atletas!R541="Shanzi C",614,IF(Atletas!R541="Outra Arma Curta C",615,IF(Atletas!R541="Dao D",616,IF(Atletas!R541="Jian D",617,IF(Atletas!R541="Bishou D",618,IF(Atletas!R541="Shanzi D",619,IF(Atletas!R541="Outra Arma Curta D",620,IF(Atletas!R541="Dao E",621,IF(Atletas!R541="Jian E",622,IF(Atletas!R541="Bishou E",623,IF(Atletas!R541="Shanzi E",624,IF(Atletas!R541="Outra Arma Curta E",625,IF(Atletas!R541="Dao F",626,IF(Atletas!R541="Jian F",627,IF(Atletas!R541="Bishou F",628,IF(Atletas!R541="Shanzi F",629,IF(Atletas!R541="Outra Arma Curta F",630, "")))))))))))))))))))))))))))))))</f>
        <v/>
      </c>
      <c r="CA550" s="50" t="str">
        <f>IF(Atletas!S541="","",IF(Atletas!X541&lt;&gt;"",10000,0)+IF(Atletas!B541="Feminino",1000,IF(Atletas!B541="Masculino",2000,""))+IF(Atletas!S541="Gun A",701,IF(Atletas!S541="Qiang A",702,IF(Atletas!S541="Pudao / Guandao A",703,IF(Atletas!S541="Outra Arma Longa A",704,IF(Atletas!S541="Gun B",705,IF(Atletas!S541="Qiang B",706,IF(Atletas!S541="Pudao / Guandao B",707,IF(Atletas!S541="Outra Arma Longa B",708,IF(Atletas!S541="Gun C",709,IF(Atletas!S541="Qiang C",710,IF(Atletas!S541="Pudao / Guandao C",711,IF(Atletas!S541="Outra Arma Longa C",712,IF(Atletas!S541="Gun D",713,IF(Atletas!S541="Qiang D",714,IF(Atletas!S541="Pudao / Guandao D",715,IF(Atletas!S541="Outra Arma Longa D",716,IF(Atletas!S541="Gun E",717,IF(Atletas!S541="Qiang E",718,IF(Atletas!S541="Pudao / Guandao E",719,IF(Atletas!S541="Outra Arma Longa E",720,IF(Atletas!S541="Gun F",721,IF(Atletas!S541="Qiang F",722,IF(Atletas!S541="Pudao / Guandao F",723,IF(Atletas!S541="Outra Arma Longa F",724,"")))))))))))))))))))))))))</f>
        <v/>
      </c>
      <c r="CB550" s="50" t="str">
        <f>IF(Atletas!T541="","",IF(Atletas!X541&lt;&gt;"",10000,0)+IF(Atletas!B541="Feminino",1000,IF(Atletas!B541="Masculino",2000,""))+IF(Atletas!T541="Outra Arma Dupla A",801,IF(Atletas!T541="Arma Maleável A",802,IF(Atletas!T541="Outra Arma Dupla B",803,IF(Atletas!T541="Arma Maleável B",804,IF(Atletas!T541="Outra Arma Dupla C",805,IF(Atletas!T541="Arma Maleável C",806,IF(Atletas!T541="Outra Arma Dupla D",807,IF(Atletas!T541="Arma Maleável D",808,IF(Atletas!T541="Outra Arma Dupla E",809,IF(Atletas!T541="Arma Maleável E",810,IF(Atletas!T541="Outra Arma Dupla F",811,IF(Atletas!T541="Arma Maleável F",812,IF(Atletas!T541="Shuangdao A",813,IF(Atletas!T541="Shuangdao B",814,IF(Atletas!T541="Shuangdao C",815,IF(Atletas!T541="Shuangdao D",816,IF(Atletas!T541="Shuangdao E",817,IF(Atletas!T541="Shuangdao F",818,"")))))))))))))))))))</f>
        <v/>
      </c>
      <c r="CC550" s="50" t="str">
        <f>IF(Atletas!U541="","",IF(Atletas!X541&lt;&gt;"",10000,0)+IF(Atletas!B541="Feminino",1000,IF(Atletas!B541="Masculino",2000,""))+IF(OR(Atletas!U541="Taijijian Yang A",Atletas!U541="Taijijian Yang Standard A"),901,IF(OR(Atletas!U541="Taijijian Chen A", Atletas!U541="Taijijian Chen Standard A"),902,IF(Atletas!U541="Taijijian Sun A",903,IF(Atletas!U541="Taijijian Wu A",904,IF(Atletas!U541="Taijijian Wu-Hao A",905,IF(OR(Atletas!U541="Taijijian 32 A",Atletas!U541="Taijijian 42 A"),906,IF(OR(Atletas!U541="Taijijian Yang B",Atletas!U541="Taijijian Yang Standard B"),907,IF(OR(Atletas!U541="Taijijian Chen B", Atletas!U541="Taijijian Chen Standard B"),908,IF(Atletas!U541="Taijijian Sun B",909,IF(Atletas!U541="Taijijian Wu B",910,IF(Atletas!U541="Taijijian Wu-Hao B",911,IF(OR(Atletas!U541="Taijijian 32 B",Atletas!U541="Taijijian 42 B"),912,IF(OR(Atletas!U541="Taijijian Yang C",Atletas!U541="Taijijian Yang Standard C"),913,IF(OR(Atletas!U541="Taijijian Chen C", Atletas!U541="Taijijian Chen Standard C"),914,IF(Atletas!U541="Taijijian Sun C",915,IF(Atletas!U541="Taijijian Wu C",916,IF(Atletas!U541="Taijijian Wu-Hao C",917,IF(OR(Atletas!U541="Taijijian 32 C",Atletas!U541="Taijijian 42 C"),918,IF(OR(Atletas!U541="Taijijian Yang D",Atletas!U541="Taijijian Yang Standard D"),919,IF(OR(Atletas!U541="Taijijian Chen D", Atletas!U541="Taijijian Chen Standard D"),920,IF(Atletas!U541="Taijijian Sun D",921,IF(Atletas!U541="Taijijian Wu D",922,IF(Atletas!U541="Taijijian Wu-Hao D",923,IF(OR(Atletas!U541="Taijijian 32 D",Atletas!U541="Taijijian 42 D"),924,IF(OR(Atletas!U541="Taijijian Yang E",Atletas!U541="Taijijian Yang Standard E"),925,IF(OR(Atletas!U541="Taijijian Chen E", Atletas!U541="Taijijian Chen Standard E"),926,IF(Atletas!U541="Taijijian Sun E",927,IF(Atletas!U541="Taijijian Wu E",928,IF(Atletas!U541="Taijijian Wu-Hao E",929,IF(OR(Atletas!U541="Taijijian 32 E",Atletas!U541="Taijijian 42 E"),930,IF(OR(Atletas!U541="Taijijian Yang F",Atletas!U541="Taijijian Yang Standard F"),931,IF(OR(Atletas!U541="Taijijian Chen F", Atletas!U541="Taijijian Chen Standard F"),932,IF(Atletas!U541="Taijijian Sun F",933,IF(Atletas!U541="Taijijian Wu F",934,IF(Atletas!U541="Taijijian Wu-Hao F",935,IF(OR(Atletas!U541="Taijijian 32 F",Atletas!U541="Taijijian 42 F"),936,"")))))))))))))))))))))))))))))))))))))</f>
        <v/>
      </c>
      <c r="CD550" s="50" t="str">
        <f>IF(Atletas!V541="","",IF(Atletas!X541&lt;&gt;"",10000,0)+IF(Atletas!B541="Feminino",1000,IF(Atletas!B541="Masculino",2000,""))+IF(Atletas!V541="Taijidao A",937,IF(Atletas!V541="TaijiShanzi A",938,IF(Atletas!V541="Taijiqiang A",939,IF(Atletas!V541="Bagua de Arma A",940,IF(Atletas!V541="Xingyi de Arma A",941,IF(Atletas!V541="Taijidao B",942,IF(Atletas!V541="TaijiShanzi B",943,IF(Atletas!V541="Taijiqiang B",944,IF(Atletas!V541="Bagua de Arma B",945,IF(Atletas!V541="Xingyi de Arma B",946,IF(Atletas!V541="Taijidao C",947,IF(Atletas!V541="TaijiShanzi C",948,IF(Atletas!V541="Taijiqiang C",949,IF(Atletas!V541="Bagua de Arma C",950,IF(Atletas!V541="Xingyi de Arma C",951,IF(Atletas!V541="Taijidao D",952,IF(Atletas!V541="TaijiShanzi D",953,IF(Atletas!V541="Taijiqiang D",954,IF(Atletas!V541="Bagua de Arma D",955,IF(Atletas!V541="Xingyi de Arma D",956,IF(Atletas!V541="Taijidao E",957,IF(Atletas!V541="TaijiShanzi E",958,IF(Atletas!V541="Taijiqiang E",959,IF(Atletas!V541="Bagua de Arma E",960,IF(Atletas!V541="Xingyi de Arma E",961,IF(Atletas!V541="Taijidao F",962,IF(Atletas!V541="TaijiShanzi F",963,IF(Atletas!V541="Taijiqiang F",964,IF(Atletas!V541="Bagua de Arma F",965,IF(Atletas!V541="Xingyi de Arma F",966,"")))))))))))))))))))))))))))))))</f>
        <v/>
      </c>
      <c r="CM550" s="50" t="str">
        <f xml:space="preserve"> IF(Atletas!W541="","",IF(Atletas!W541="Duilian de Mãos BC - Equipe 1",1,IF(Atletas!W541="Duilian de Mãos BC - Equipe 2",2,IF(Atletas!W541="Duilian de Armas BC - Equipe 1",3,IF(Atletas!W541="Duilian de Armas BC - Equipe 2",4,IF(Atletas!W541="Duilian de Mãos DE - Equipe 1",5,IF(Atletas!W541="Duilian de Mãos DE - Equipe 2",6,IF(Atletas!W541="Duilian de Armas DE - Equipe 1",7,IF(Atletas!W541="Duilian de Armas DE - Equipe 2",8,IF(Atletas!W541="Duilian de Tuishou - Equipe 1",9,IF(Atletas!W541="Duilian de Tuishou - Equipe 2",10,IF(Atletas!W541="Grupo Externo ABC - Equipe 1",11,IF(Atletas!W541="Grupo Externo ABC - Equipe 2",12,IF(Atletas!W541="Grupo Interno ABC - Equipe 1",13,IF(Atletas!W541="Grupo Interno ABC - Equipe 2",14,IF(Atletas!W541="Grupo Externo DEF - Equipe 1",15,IF(Atletas!W541="Grupo Externo DEF - Equipe 2",16,IF(Atletas!W541="Grupo Interno DEF - Equipe 1",17,IF(Atletas!W541="Grupo Interno DEF - Equipe 2",18,"")))))))))))))))))))</f>
        <v/>
      </c>
    </row>
    <row r="551" spans="40:91">
      <c r="AN551" s="52" t="str">
        <f>IF(Atletas!D542="","",IF(Atletas!B542="Feminino",100,IF(Atletas!B542="Masculino",200,""))+(IF(Atletas!D542="Kids 30kg",1,IF(Atletas!D542="Kids 32kg",2, IF(Atletas!D542="Kids 34kg",3,IF(Atletas!D542="Kids 36kg",4,IF(Atletas!D542="Kids 39kg",5,IF(Atletas!D542="Kids 42kg",6,IF(Atletas!D542="Kids 45kg",7, IF(Atletas!D542="Infantil 39kg",8,IF(Atletas!D542="Infantil 42kg",9,IF(Atletas!D542="Infantil 45kg",10,IF(Atletas!D542="Infantil 48kg",11,IF(Atletas!D542="Infantil 52kg",12,IF(Atletas!D542="Infantil 56kg",13,IF(Atletas!D542="Infantil 60kg",14,IF(Atletas!D542="Juvenil 48kg",15,IF(Atletas!D542="Juvenil 52kg",16,IF(Atletas!D542="Juvenil 56kg",17,IF(Atletas!D542="Juvenil 60kg",18,IF(Atletas!D542="Juvenil 65kg",19,IF(Atletas!D542="Juvenil 70kg",20,IF(Atletas!D542="Juvenil 75kg",21,IF(Atletas!D542="Juvenil 80kg",22, IF(Atletas!D542="Juvenil 85kg",23,IF(Atletas!D542="Adulto 48kg",24,IF(Atletas!D542="Adulto 52kg",25,IF(Atletas!D542="Adulto 56kg",26,IF(Atletas!D542="Adulto 60kg",27,IF(Atletas!D542="Adulto 65kg",28,IF(Atletas!D542="Adulto 70kg",29,IF(Atletas!D542="Adulto 75kg",30,IF(Atletas!D542="Adulto 80kg",31,IF(Atletas!D542="Adulto 85kg",32,IF(Atletas!D542="Adulto 90kg",33,IF(Atletas!D542="Adulto 100kg",34, IF(Atletas!D542="Adulto +100kg",35,"")))))))))))))))))))))))))))))))))))))</f>
        <v/>
      </c>
      <c r="AS551" s="6" t="str">
        <f>IF(Atletas!E542="","",IF(Atletas!B542="Feminino",100,IF(Atletas!B542="Masculino",200,""))+(IF(Atletas!E542="Juvenil 44kg",1,IF(Atletas!E542="Juvenil 48kg",2,IF(Atletas!E542="Juvenil 52kg",3,IF(Atletas!E542="Juvenil 56kg",4,IF(Atletas!E542="Juvenil 60kg",5,IF(Atletas!E542="Juvenil 65kg",6,IF(Atletas!E542="Juvenil 70kg",7,IF(Atletas!E542="Juvenil 75kg",8,IF(Atletas!E542="Juvenil 82kg",9,IF(Atletas!E542="Juvenil 90kg",10,IF(Atletas!E542="Juvenil 100kg",11,IF(Atletas!E542="Adulto 48kg",12,IF(Atletas!E542="Adulto 52kg",13,IF(Atletas!E542="Adulto 56kg",14,IF(Atletas!E542="Adulto 60kg",15,IF(Atletas!E542="Adulto 65kg",16,IF(Atletas!E542="Adulto 70kg",17,IF(Atletas!E542="Adulto 75kg",18,IF(Atletas!E542="Adulto 82kg",19,IF(Atletas!E542="Adulto 90kg",20,IF(Atletas!E542="Adulto 100kg",21,IF(Atletas!E542="Adulto +100kg",22,""))))))))))))))))))))))))</f>
        <v/>
      </c>
      <c r="AX551" s="6" t="str">
        <f>IF(Atletas!F542="","",IF(Atletas!B542="Feminino",100,IF(Atletas!B542="Masculino",200,""))+(IF(Atletas!F542="Adulto 48kg",1,IF(Atletas!F542="Adulto 56kg",2,IF(Atletas!F542="Adulto 65kg",3,IF(Atletas!F542="Adulto 75kg",4,IF(Atletas!F542="Adulto +75kg",5,IF(Atletas!F542="Adulto 52kg",6,IF(Atletas!F542="Adulto 60kg",7,IF(Atletas!F542="Adulto 70kg",8,IF(Atletas!F542="Adulto 80kg",9,IF(Atletas!F542="Adulto 90kg",10,IF(Atletas!F542="Adulto +90kg",11,"")))))))))))))</f>
        <v/>
      </c>
      <c r="BC551" s="6" t="str">
        <f>IF(Atletas!G542="","",IF(Atletas!B542="Feminino",10,IF(Atletas!B542="Masculino",20,""))+(IF(Atletas!G542="Baduanjin A",1,IF(Atletas!G542="Baduanjin B",2))))</f>
        <v/>
      </c>
      <c r="BF551" s="52" t="str">
        <f>IF(Atletas!H542="","",IF(Atletas!B542="Feminino",100,IF(Atletas!B542="Masculino",200,""))+(IF(Atletas!H542="Changquan Mirim",1,IF(Atletas!H542="Nanquan Mirim",2,IF(Atletas!H542="Taijiquan Mirim",3,IF(Atletas!H542="Changquan Grupo C",4,IF(Atletas!H542="Nanquan Grupo C",5,IF(Atletas!H542="Taijiquan Grupo C",6,IF(Atletas!H542="Changquan Grupo B",7,IF(Atletas!H542="Nanquan Grupo B",8,IF(Atletas!H542="Taijiquan Grupo B",9,IF(Atletas!H542="Changquan Grupo A",10,IF(Atletas!H542="Nanquan Grupo A",11,IF(Atletas!H542="Taijiquan Grupo A",12,IF(Atletas!H542="Changquan Opcional",13,IF(Atletas!H542="Nanquan Opcional",14,IF(Atletas!H542="Taijiquan Opcional",15,IF(Atletas!H542="Changquan Adulto",16,IF(Atletas!H542="Nanquan Adulto",17,IF(Atletas!H542="Taijiquan Adulto",18,""))))))))))))))))))))</f>
        <v/>
      </c>
      <c r="BG551" s="52" t="str">
        <f>IF(Atletas!I542="","",IF(Atletas!B542="Feminino",100,IF(Atletas!B542="Masculino",200,""))+(IF(Atletas!I542="Daoshu Mirim",19,IF(Atletas!I542="Jianshu Mirim",20,IF(Atletas!I542="Nandao Mirim",21,IF(Atletas!I542="Taijijian Mirim",22,IF(Atletas!I542="Daoshu Grupo C",23,IF(Atletas!I542="Jianshu Grupo C",24,IF(Atletas!I542="Nandao Grupo C",25,IF(Atletas!I542="Taijijian Grupo C",26,IF(Atletas!I542="Daoshu Grupo B",27,IF(Atletas!I542="Jianshu Grupo B",28,IF(Atletas!I542="Nandao Grupo B",29,IF(Atletas!I542="Taijijian Grupo B",30,IF(Atletas!I542="Daoshu Grupo A",31,IF(Atletas!I542="Jianshu Grupo A",32,IF(Atletas!I542="Nandao Grupo A",33,IF(Atletas!I542="Taijijian Grupo A",34,IF(Atletas!I542="Daoshu Opcional",35,IF(Atletas!I542="Jianshu Opcional",36,IF(Atletas!I542="Nandao Opcional",37,IF(Atletas!I542="Taijijian Opcional",38,IF(Atletas!I542="Daoshu Adulto",39,IF(Atletas!I542="Jianshu Adulto",40,IF(Atletas!I542="Nandao Adulto",41,IF(Atletas!I542="Taijijian Adulto",42,""))))))))))))))))))))))))))</f>
        <v/>
      </c>
      <c r="BH551" s="52" t="str">
        <f>IF(Atletas!J542="","",IF(Atletas!B542="Feminino",100,IF(Atletas!B542="Masculino",200,""))+(IF(Atletas!J542="Gunshu Mirim",43,IF(Atletas!J542="Qiangshu Mirim",44,IF(Atletas!J542="Nangun Mirim",45,IF(Atletas!J542="Gunshu Grupo C",46,IF(Atletas!J542="Qiangshu Grupo C",47,IF(Atletas!J542="Nangun Grupo C",48,IF(Atletas!J542="Gunshu Grupo B",49,IF(Atletas!J542="Qiangshu Grupo B",50,IF(Atletas!J542="Nangun Grupo B",51,IF(Atletas!J542="Gunshu Grupo A",52,IF(Atletas!J542="Qiangshu Grupo A",53,IF(Atletas!J542="Nangun Grupo A",54,IF(Atletas!J542="Gunshu Opcional",55,IF(Atletas!J542="Qiangshu Opcional",56,IF(Atletas!J542="Nangun Opcional",57,IF(Atletas!J542="Gunshu Adulto",58,IF(Atletas!J542="Qiangshu Adulto",59,IF(Atletas!J542="Nangun Adulto",60,IF(Atletas!J542="Taijishan Grupo B",61,IF(Atletas!J542="Taijishan Grupo A",62,""))))))))))))))))))))))</f>
        <v/>
      </c>
      <c r="BM551" s="50" t="str">
        <f>IF(Atletas!K542="","",IF(Atletas!B542="Feminino",100,IF(Atletas!B542="Masculino",200,""))+(IF(Atletas!K542="Equipe 1 Grupo B",1,IF(Atletas!K542="Equipe 2 Grupo B",2,IF(Atletas!K542="Equipe 1 Grupo A",3,IF(Atletas!K542="Equipe 2 Grupo A",4,IF(Atletas!K542="Equipe 1 Adulto",5,IF(Atletas!K542="Equipe 2 Adulto",6,""))))))))</f>
        <v/>
      </c>
      <c r="BR551" s="50" t="str">
        <f>IF(Atletas!L542="","",IF(Atletas!X542&lt;&gt;"",10000,0)+(IF(Atletas!B542="Feminino",1000,IF(Atletas!B542="Masculino",2000,""))+IF(Atletas!L542="Choylayfut A",1,IF(Atletas!L542="Hunggar A",2,IF(Atletas!L542="Wuzuquan A",3,IF(Atletas!L542="Wingchun A",4,IF(Atletas!L542="Outra Mão de Sul A",5,IF(Atletas!L542="Choylayfut B",6,IF(Atletas!L542="Hunggar B",7,IF(Atletas!L542="Wuzuquan B",8,IF(Atletas!L542="Wingchun B",9,IF(Atletas!L542="Outra Mão de Sul B",10,IF(Atletas!L542="Choylayfut C",11,IF(Atletas!L542="Hunggar C",12,IF(Atletas!L542="Wuzuquan C",13,IF(Atletas!L542="Wingchun C",14,IF(Atletas!L542="Outra Mão de Sul C",15,IF(Atletas!L542="Choylayfut D",16,IF(Atletas!L542="Hunggar D",17,IF(Atletas!L542="Wuzuquan D",18,IF(Atletas!L542="Wingchun D",19,IF(Atletas!L542="Outra Mão de Sul D",20,IF(Atletas!L542="Choylayfut E",21,IF(Atletas!L542="Hunggar E",22,IF(Atletas!L542="Wuzuquan E",23,IF(Atletas!L542="Wingchun E",24,IF(Atletas!L542="Outra Mão de Sul E",25,IF(Atletas!L542="Choylayfut F",26,IF(Atletas!L542="Hunggar F",27,IF(Atletas!L542="Wuzuquan F",28,IF(Atletas!L542="Wingchun F",29,IF(Atletas!L542="Outra Mão de Sul F",30,IF(Atletas!L542="Dishuquan A",31,IF(Atletas!L542="Dishuquan B",32,IF(Atletas!L542="Dishuquan C",33,IF(Atletas!L542="Dishuquan D",34,IF(Atletas!L542="Dishuquan E",35,IF(Atletas!L542="Dishuquan F",36,""))))))))))))))))))))))))))))))))))))))</f>
        <v/>
      </c>
      <c r="BS551" s="50" t="str">
        <f>IF(Atletas!M542="","",IF(Atletas!X542&lt;&gt;"",10000,0)+(IF(Atletas!B542="Feminino",1000,IF(Atletas!B542="Masculino",2000,""))+(IF(Atletas!M542="Chaquan A",101,IF(Atletas!M542="Emeiquan A",102,IF(Atletas!M542="Fanziquan A",103,IF(Atletas!M542="Huaquan A",104,IF(Atletas!M542="Hongquan A",105,IF(Atletas!M542="Paoquan A",106,IF(Atletas!M542="Piguaquan A",107,IF(Atletas!M542="Shaolinquan A",108,IF(Atletas!M542="Tanglangquan A",109,IF(Atletas!M542="Yingzhaoquan A",110,IF(Atletas!M542="Tongbeiquan A",111,IF(Atletas!M542="Wudangquan A",112,IF(Atletas!M542="Outros Estilos A",113,IF(Atletas!M542="Chaquan B",114,IF(Atletas!M542="Emeiquan B",115,IF(Atletas!M542="Fanziquan B",116,IF(Atletas!M542="Huaquan B",117,IF(Atletas!M542="Hongquan B",118,IF(Atletas!M542="Paoquan B",119,IF(Atletas!M542="Piguaquan B",120,IF(Atletas!M542="Shaolinquan B",121,IF(Atletas!M542="Tanglangquan B",122,IF(Atletas!M542="Yingzhaoquan B",123,IF(Atletas!M542="Tongbeiquan B",124,IF(Atletas!M542="Wudangquan B",125,IF(Atletas!M542="Outros Estilos B",126,IF(Atletas!M542="Chaquan C",127,IF(Atletas!M542="Emeiquan C",128,IF(Atletas!M542="Fanziquan C",129,IF(Atletas!M542="Huaquan C",130,IF(Atletas!M542="Hongquan C",131,IF(Atletas!M542="Paoquan C",132,IF(Atletas!M542="Piguaquan C",133,IF(Atletas!M542="Shaolinquan C",134,IF(Atletas!M542="Tanglangquan C",135,IF(Atletas!M542="Yingzhaoquan C",136,IF(Atletas!M542="Tongbeiquan C",137,IF(Atletas!M542="Wudangquan C",138,IF(Atletas!M542="Outros Estilos C",139,0))))))))))))))))))))))))))))))))))))))))))</f>
        <v/>
      </c>
      <c r="BT551" s="50" t="str">
        <f>IF(Atletas!M542="","",IF(Atletas!X542&lt;&gt;"",10000,0)+(IF(Atletas!B542="Feminino",1000,IF(Atletas!B542="Masculino",2000,""))+(IF(Atletas!M542="Chaquan D",140,IF(Atletas!M542="Emeiquan D",141,IF(Atletas!M542="Fanziquan D",142,IF(Atletas!M542="Huaquan D",143,IF(Atletas!M542="Hongquan D",144,IF(Atletas!M542="Paoquan D",145,IF(Atletas!M542="Piguaquan D",146,IF(Atletas!M542="Shaolinquan D",147,IF(Atletas!M542="Tanglangquan D",148,IF(Atletas!M542="Yingzhaoquan D",149,IF(Atletas!M542="Tongbeiquan D",150,IF(Atletas!M542="Wudangquan D",151,IF(Atletas!M542="Outros Estilos D",152,IF(Atletas!M542="Chaquan E",153,IF(Atletas!M542="Emeiquan E",154,IF(Atletas!M542="Fanziquan E",155,IF(Atletas!M542="Huaquan E",156,IF(Atletas!M542="Hongquan E",157,IF(Atletas!M542="Paoquan E",158,IF(Atletas!M542="Piguaquan E",159,IF(Atletas!M542="Shaolinquan E",160,IF(Atletas!M542="Tanglangquan E",161,IF(Atletas!M542="Yingzhaoquan E",162,IF(Atletas!M542="Tongbeiquan E",163,IF(Atletas!M542="Wudangquan E",164,IF(Atletas!M542="Outros Estilos E",165,IF(Atletas!M542="Chaquan F",166,IF(Atletas!M542="Emeiquan F",167,IF(Atletas!M542="Fanziquan F",168,IF(Atletas!M542="Huaquan F",169,IF(Atletas!M542="Hongquan F",170,IF(Atletas!M542="Paoquan F",171,IF(Atletas!M542="Piguaquan F",172,IF(Atletas!M542="Shaolinquan F",173,IF(Atletas!M542="Tanglangquan F",174,IF(Atletas!M542="Yingzhaoquan F",175,IF(Atletas!M542="Tongbeiquan F",176,IF(Atletas!M542="Wudangquan F",177,IF(Atletas!M542="Outros Estilos F",178,0))))))))))))))))))))))))))))))))))))))))))</f>
        <v/>
      </c>
      <c r="BU551" s="50" t="str">
        <f>IF(Atletas!N542="","",IF(Atletas!X542&lt;&gt;"",10000,0)+(IF(Atletas!B542="Feminino",1000,IF(Atletas!B542="Masculino",2000,""))+(IF(Atletas!N542="Ditangquan A",201,IF(Atletas!N542="Houquan A",202,IF(Atletas!N542="Zuiquan A",203,IF(Atletas!N542="Ditangquan B",204,IF(Atletas!N542="Houquan B",205,IF(Atletas!N542="Zuiquan B",206,IF(Atletas!N542="Ditangquan C",207,IF(Atletas!N542="Houquan C",208,IF(Atletas!N542="Zuiquan C",209,IF(Atletas!N542="Ditangquan D",210,IF(Atletas!N542="Houquan D",211,IF(Atletas!N542="Zuiquan D",212,IF(Atletas!N542="Ditangquan E",213,IF(Atletas!N542="Houquan E",214,IF(Atletas!N542="Zuiquan E",215,IF(Atletas!N542="Ditangquan F",216,IF(Atletas!N542="Houquan F",217,IF(Atletas!N542="Zuiquan F",218,"")))))))))))))))))))))</f>
        <v/>
      </c>
      <c r="BV551" s="50" t="str">
        <f>IF(Atletas!O542="","",IF(Atletas!X542&lt;&gt;"",10000,0)+IF(Atletas!B542="Feminino",1000,IF(Atletas!B542="Masculino",2000,""))+IF(Atletas!O542="Yang A",301,IF(Atletas!O542="Chen A",302,IF(Atletas!O542="Sun A",303,IF(Atletas!O542="Wu A",304,IF(Atletas!O542="Wu-Hao A",305,IF(Atletas!O542="Outro Taijiquan A",306,IF(Atletas!O542="Yang B",307,IF(Atletas!O542="Chen B",308,IF(Atletas!O542="Sun B",309,IF(Atletas!O542="Wu B",310,IF(Atletas!O542="Wu-Hao B",311,IF(Atletas!O542="Outro Taijiquan B",312,IF(Atletas!O542="Yang C",313,IF(Atletas!O542="Chen C",314,IF(Atletas!O542="Sun C",315,IF(Atletas!O542="Wu C",316,IF(Atletas!O542="Wu-Hao C",317,IF(Atletas!O542="Outro Taijiquan C",318,IF(Atletas!O542="Yang D",319,IF(Atletas!O542="Chen D",320,IF(Atletas!O542="Sun D",321,IF(Atletas!O542="Wu D",322,IF(Atletas!O542="Wu-Hao D",323,IF(Atletas!O542="Outro Taijiquan D",324,IF(Atletas!O542="Yang E",325,IF(Atletas!O542="Chen E",326,IF(Atletas!O542="Sun E",327,IF(Atletas!O542="Wu E",328,IF(Atletas!O542="Wu-Hao E",329,IF(Atletas!O542="Outro Taijiquan E",330,IF(Atletas!O542="Yang F",331,IF(Atletas!O542="Chen F",332,IF(Atletas!O542="Sun F",333,IF(Atletas!O542="Wu F",334,IF(Atletas!O542="Wu-Hao F",335,IF(Atletas!O542="Outro Taijiquan F",336,"")))))))))))))))))))))))))))))))))))))</f>
        <v/>
      </c>
      <c r="BW551" s="50" t="str">
        <f>IF(Atletas!P542="","",IF(Atletas!X542&lt;&gt;"",10000,0)+IF(Atletas!B542="Feminino",1000,IF(Atletas!B542="Masculino",2000,""))+IF(OR(Atletas!P542="Yang 26 A",Atletas!P542="Yang 40 A"),401,IF(OR(Atletas!P542="Chen 25 A",Atletas!P542="Chen 36 A",Atletas!P542="Chen 56 A"),402,IF(Atletas!P542="Sun 73 A",403,IF(Atletas!P542="Wu 45 A",404,IF(Atletas!P542="Wu-Hao 46 A",405,IF(OR(Atletas!P542="Taijiquan 16 A",Atletas!P542="Taijiquan 24 A",Atletas!P542="Taijiquan 32 A",Atletas!P542="Taijiquan 42 A"),406,IF(OR(Atletas!P542="Yang 26 B",Atletas!P542="Yang 40 B"),407,IF(OR(Atletas!P542="Chen 25 B",Atletas!P542="Chen 36 B",Atletas!P542="Chen 56 B"),408,IF(Atletas!P542="Sun 73 B",409,IF(Atletas!P542="Wu 45 B",410,IF(Atletas!P542="Wu-Hao 46 B",411,IF(OR(Atletas!P542="Taijiquan 16 B",Atletas!P542="Taijiquan 24 B",Atletas!P542="Taijiquan 32 B",Atletas!P542="Taijiquan 42 B"),412,IF(OR(Atletas!P542="Yang 26 C",Atletas!P542="Yang 40 C"),413,IF(OR(Atletas!P542="Chen 25 C",Atletas!P542="Chen 36 C",Atletas!P542="Chen 56 C"),414,IF(Atletas!P542="Sun 73 C",415,IF(Atletas!P542="Wu 45 C",416,IF(Atletas!P542="Wu-Hao 46 C",417,IF(OR(Atletas!P542="Taijiquan 16 C",Atletas!P542="Taijiquan 24 C",Atletas!P542="Taijiquan 32 C",Atletas!P542="Taijiquan 42 C"),418,0)))))))))))))))))))</f>
        <v/>
      </c>
      <c r="BX551" s="50" t="str">
        <f>IF(Atletas!P542="","",IF(Atletas!X542&lt;&gt;"",10000,0)+IF(Atletas!B542="Feminino",1000,IF(Atletas!B542="Masculino",2000,""))+IF(OR(Atletas!P542="Yang 26 D",Atletas!P542="Yang 40 D"),419,IF(OR(Atletas!P542="Chen 25 D",Atletas!P542="Chen 36 D",Atletas!P542="Chen 56 D"),420,IF(Atletas!P542="Sun 73 D",421,IF(Atletas!P542="Wu 45 D",422,IF(Atletas!P542="Wu-Hao 46 D",423,IF(OR(Atletas!P542="Taijiquan 16 D",Atletas!P542="Taijiquan 24 D",Atletas!P542="Taijiquan 32 D",Atletas!P542="Taijiquan 42 D"),424,IF(OR(Atletas!P542="Yang 26 E",Atletas!P542="Yang 40 E"),425,IF(OR(Atletas!P542="Chen 25 E",Atletas!P542="Chen 36 E",Atletas!P542="Chen 56 E"),426,IF(Atletas!P542="Sun 73 E",427,IF(Atletas!P542="Wu 45 E",428,IF(Atletas!P542="Wu-Hao 46 E",429,IF(OR(Atletas!P542="Taijiquan 16 E",Atletas!P542="Taijiquan 24 E",Atletas!P542="Taijiquan 32 E",Atletas!P542="Taijiquan 42 E"),430,IF(OR(Atletas!P542="Yang 26 F",Atletas!P542="Yang 40 F"),431,IF(OR(Atletas!P542="Chen 25 F",Atletas!P542="Chen 36 F",Atletas!P542="Chen 56 F"),432,IF(Atletas!P542="Sun 73 F",433,IF(Atletas!P542="Wu 45 F",434,IF(Atletas!P542="Wu-Hao 46 F",435,IF(OR(Atletas!P542="Taijiquan 16 F",Atletas!P542="Taijiquan 24 F",Atletas!P542="Taijiquan 32 F",Atletas!P542="Taijiquan 42 F"),436,0)))))))))))))))))))</f>
        <v/>
      </c>
      <c r="BY551" s="50" t="str">
        <f>IF(Atletas!Q542="","",IF(Atletas!X542&lt;&gt;"",10000,0)+IF(Atletas!B542="Feminino",1000,IF(Atletas!B542="Masculino",2000,""))+IF(Atletas!Q542="Xingyiquan A",501,IF(Atletas!Q542="Baguazhang A",502,IF(Atletas!Q542="Outro Estilo Interno A",503,IF(Atletas!Q542="Xingyiquan B",504,IF(Atletas!Q542="Baguazhang B",505,IF(Atletas!Q542="Outro Estilo Interno B",506,IF(Atletas!Q542="Xingyiquan C",507,IF(Atletas!Q542="Baguazhang C",508,IF(Atletas!Q542="Outro Estilo Interno C",509,IF(Atletas!Q542="Xingyiquan D",510,IF(Atletas!Q542="Baguazhang D",511,IF(Atletas!Q542="Outro Estilo Interno D",512,IF(Atletas!Q542="Xingyiquan E",513,IF(Atletas!Q542="Baguazhang E",514,IF(Atletas!Q542="Outro Estilo Interno E",515,IF(Atletas!Q542="Xingyiquan F",516,IF(Atletas!Q542="Baguazhang F",517,IF(Atletas!Q542="Outro Estilo Interno F",518, "")))))))))))))))))))</f>
        <v/>
      </c>
      <c r="BZ551" s="50" t="str">
        <f>IF(Atletas!R542="","",IF(Atletas!X542&lt;&gt;"",10000,0)+IF(Atletas!B542="Feminino",1000,IF(Atletas!B542="Masculino",2000,""))+IF(Atletas!R542="Dao A",601,IF(Atletas!R542="Jian A",602,IF(Atletas!R542="Bishou A",603,IF(Atletas!R542="Shanzi A",604,IF(Atletas!R542="Outra Arma Curta A",605,IF(Atletas!R542="Dao B",606,IF(Atletas!R542="Jian B",607,IF(Atletas!R542="Bishou B",608,IF(Atletas!R542="Shanzi B",609,IF(Atletas!R542="Outra Arma Curta B",610,IF(Atletas!R542="Dao C",611,IF(Atletas!R542="Jian C",612,IF(Atletas!R542="Bishou C",613,IF(Atletas!R542="Shanzi C",614,IF(Atletas!R542="Outra Arma Curta C",615,IF(Atletas!R542="Dao D",616,IF(Atletas!R542="Jian D",617,IF(Atletas!R542="Bishou D",618,IF(Atletas!R542="Shanzi D",619,IF(Atletas!R542="Outra Arma Curta D",620,IF(Atletas!R542="Dao E",621,IF(Atletas!R542="Jian E",622,IF(Atletas!R542="Bishou E",623,IF(Atletas!R542="Shanzi E",624,IF(Atletas!R542="Outra Arma Curta E",625,IF(Atletas!R542="Dao F",626,IF(Atletas!R542="Jian F",627,IF(Atletas!R542="Bishou F",628,IF(Atletas!R542="Shanzi F",629,IF(Atletas!R542="Outra Arma Curta F",630, "")))))))))))))))))))))))))))))))</f>
        <v/>
      </c>
      <c r="CA551" s="50" t="str">
        <f>IF(Atletas!S542="","",IF(Atletas!X542&lt;&gt;"",10000,0)+IF(Atletas!B542="Feminino",1000,IF(Atletas!B542="Masculino",2000,""))+IF(Atletas!S542="Gun A",701,IF(Atletas!S542="Qiang A",702,IF(Atletas!S542="Pudao / Guandao A",703,IF(Atletas!S542="Outra Arma Longa A",704,IF(Atletas!S542="Gun B",705,IF(Atletas!S542="Qiang B",706,IF(Atletas!S542="Pudao / Guandao B",707,IF(Atletas!S542="Outra Arma Longa B",708,IF(Atletas!S542="Gun C",709,IF(Atletas!S542="Qiang C",710,IF(Atletas!S542="Pudao / Guandao C",711,IF(Atletas!S542="Outra Arma Longa C",712,IF(Atletas!S542="Gun D",713,IF(Atletas!S542="Qiang D",714,IF(Atletas!S542="Pudao / Guandao D",715,IF(Atletas!S542="Outra Arma Longa D",716,IF(Atletas!S542="Gun E",717,IF(Atletas!S542="Qiang E",718,IF(Atletas!S542="Pudao / Guandao E",719,IF(Atletas!S542="Outra Arma Longa E",720,IF(Atletas!S542="Gun F",721,IF(Atletas!S542="Qiang F",722,IF(Atletas!S542="Pudao / Guandao F",723,IF(Atletas!S542="Outra Arma Longa F",724,"")))))))))))))))))))))))))</f>
        <v/>
      </c>
      <c r="CB551" s="50" t="str">
        <f>IF(Atletas!T542="","",IF(Atletas!X542&lt;&gt;"",10000,0)+IF(Atletas!B542="Feminino",1000,IF(Atletas!B542="Masculino",2000,""))+IF(Atletas!T542="Outra Arma Dupla A",801,IF(Atletas!T542="Arma Maleável A",802,IF(Atletas!T542="Outra Arma Dupla B",803,IF(Atletas!T542="Arma Maleável B",804,IF(Atletas!T542="Outra Arma Dupla C",805,IF(Atletas!T542="Arma Maleável C",806,IF(Atletas!T542="Outra Arma Dupla D",807,IF(Atletas!T542="Arma Maleável D",808,IF(Atletas!T542="Outra Arma Dupla E",809,IF(Atletas!T542="Arma Maleável E",810,IF(Atletas!T542="Outra Arma Dupla F",811,IF(Atletas!T542="Arma Maleável F",812,IF(Atletas!T542="Shuangdao A",813,IF(Atletas!T542="Shuangdao B",814,IF(Atletas!T542="Shuangdao C",815,IF(Atletas!T542="Shuangdao D",816,IF(Atletas!T542="Shuangdao E",817,IF(Atletas!T542="Shuangdao F",818,"")))))))))))))))))))</f>
        <v/>
      </c>
      <c r="CC551" s="50" t="str">
        <f>IF(Atletas!U542="","",IF(Atletas!X542&lt;&gt;"",10000,0)+IF(Atletas!B542="Feminino",1000,IF(Atletas!B542="Masculino",2000,""))+IF(OR(Atletas!U542="Taijijian Yang A",Atletas!U542="Taijijian Yang Standard A"),901,IF(OR(Atletas!U542="Taijijian Chen A", Atletas!U542="Taijijian Chen Standard A"),902,IF(Atletas!U542="Taijijian Sun A",903,IF(Atletas!U542="Taijijian Wu A",904,IF(Atletas!U542="Taijijian Wu-Hao A",905,IF(OR(Atletas!U542="Taijijian 32 A",Atletas!U542="Taijijian 42 A"),906,IF(OR(Atletas!U542="Taijijian Yang B",Atletas!U542="Taijijian Yang Standard B"),907,IF(OR(Atletas!U542="Taijijian Chen B", Atletas!U542="Taijijian Chen Standard B"),908,IF(Atletas!U542="Taijijian Sun B",909,IF(Atletas!U542="Taijijian Wu B",910,IF(Atletas!U542="Taijijian Wu-Hao B",911,IF(OR(Atletas!U542="Taijijian 32 B",Atletas!U542="Taijijian 42 B"),912,IF(OR(Atletas!U542="Taijijian Yang C",Atletas!U542="Taijijian Yang Standard C"),913,IF(OR(Atletas!U542="Taijijian Chen C", Atletas!U542="Taijijian Chen Standard C"),914,IF(Atletas!U542="Taijijian Sun C",915,IF(Atletas!U542="Taijijian Wu C",916,IF(Atletas!U542="Taijijian Wu-Hao C",917,IF(OR(Atletas!U542="Taijijian 32 C",Atletas!U542="Taijijian 42 C"),918,IF(OR(Atletas!U542="Taijijian Yang D",Atletas!U542="Taijijian Yang Standard D"),919,IF(OR(Atletas!U542="Taijijian Chen D", Atletas!U542="Taijijian Chen Standard D"),920,IF(Atletas!U542="Taijijian Sun D",921,IF(Atletas!U542="Taijijian Wu D",922,IF(Atletas!U542="Taijijian Wu-Hao D",923,IF(OR(Atletas!U542="Taijijian 32 D",Atletas!U542="Taijijian 42 D"),924,IF(OR(Atletas!U542="Taijijian Yang E",Atletas!U542="Taijijian Yang Standard E"),925,IF(OR(Atletas!U542="Taijijian Chen E", Atletas!U542="Taijijian Chen Standard E"),926,IF(Atletas!U542="Taijijian Sun E",927,IF(Atletas!U542="Taijijian Wu E",928,IF(Atletas!U542="Taijijian Wu-Hao E",929,IF(OR(Atletas!U542="Taijijian 32 E",Atletas!U542="Taijijian 42 E"),930,IF(OR(Atletas!U542="Taijijian Yang F",Atletas!U542="Taijijian Yang Standard F"),931,IF(OR(Atletas!U542="Taijijian Chen F", Atletas!U542="Taijijian Chen Standard F"),932,IF(Atletas!U542="Taijijian Sun F",933,IF(Atletas!U542="Taijijian Wu F",934,IF(Atletas!U542="Taijijian Wu-Hao F",935,IF(OR(Atletas!U542="Taijijian 32 F",Atletas!U542="Taijijian 42 F"),936,"")))))))))))))))))))))))))))))))))))))</f>
        <v/>
      </c>
      <c r="CD551" s="50" t="str">
        <f>IF(Atletas!V542="","",IF(Atletas!X542&lt;&gt;"",10000,0)+IF(Atletas!B542="Feminino",1000,IF(Atletas!B542="Masculino",2000,""))+IF(Atletas!V542="Taijidao A",937,IF(Atletas!V542="TaijiShanzi A",938,IF(Atletas!V542="Taijiqiang A",939,IF(Atletas!V542="Bagua de Arma A",940,IF(Atletas!V542="Xingyi de Arma A",941,IF(Atletas!V542="Taijidao B",942,IF(Atletas!V542="TaijiShanzi B",943,IF(Atletas!V542="Taijiqiang B",944,IF(Atletas!V542="Bagua de Arma B",945,IF(Atletas!V542="Xingyi de Arma B",946,IF(Atletas!V542="Taijidao C",947,IF(Atletas!V542="TaijiShanzi C",948,IF(Atletas!V542="Taijiqiang C",949,IF(Atletas!V542="Bagua de Arma C",950,IF(Atletas!V542="Xingyi de Arma C",951,IF(Atletas!V542="Taijidao D",952,IF(Atletas!V542="TaijiShanzi D",953,IF(Atletas!V542="Taijiqiang D",954,IF(Atletas!V542="Bagua de Arma D",955,IF(Atletas!V542="Xingyi de Arma D",956,IF(Atletas!V542="Taijidao E",957,IF(Atletas!V542="TaijiShanzi E",958,IF(Atletas!V542="Taijiqiang E",959,IF(Atletas!V542="Bagua de Arma E",960,IF(Atletas!V542="Xingyi de Arma E",961,IF(Atletas!V542="Taijidao F",962,IF(Atletas!V542="TaijiShanzi F",963,IF(Atletas!V542="Taijiqiang F",964,IF(Atletas!V542="Bagua de Arma F",965,IF(Atletas!V542="Xingyi de Arma F",966,"")))))))))))))))))))))))))))))))</f>
        <v/>
      </c>
      <c r="CM551" s="50" t="str">
        <f xml:space="preserve"> IF(Atletas!W542="","",IF(Atletas!W542="Duilian de Mãos BC - Equipe 1",1,IF(Atletas!W542="Duilian de Mãos BC - Equipe 2",2,IF(Atletas!W542="Duilian de Armas BC - Equipe 1",3,IF(Atletas!W542="Duilian de Armas BC - Equipe 2",4,IF(Atletas!W542="Duilian de Mãos DE - Equipe 1",5,IF(Atletas!W542="Duilian de Mãos DE - Equipe 2",6,IF(Atletas!W542="Duilian de Armas DE - Equipe 1",7,IF(Atletas!W542="Duilian de Armas DE - Equipe 2",8,IF(Atletas!W542="Duilian de Tuishou - Equipe 1",9,IF(Atletas!W542="Duilian de Tuishou - Equipe 2",10,IF(Atletas!W542="Grupo Externo ABC - Equipe 1",11,IF(Atletas!W542="Grupo Externo ABC - Equipe 2",12,IF(Atletas!W542="Grupo Interno ABC - Equipe 1",13,IF(Atletas!W542="Grupo Interno ABC - Equipe 2",14,IF(Atletas!W542="Grupo Externo DEF - Equipe 1",15,IF(Atletas!W542="Grupo Externo DEF - Equipe 2",16,IF(Atletas!W542="Grupo Interno DEF - Equipe 1",17,IF(Atletas!W542="Grupo Interno DEF - Equipe 2",18,"")))))))))))))))))))</f>
        <v/>
      </c>
    </row>
    <row r="552" spans="40:91">
      <c r="AN552" s="52" t="str">
        <f>IF(Atletas!D543="","",IF(Atletas!B543="Feminino",100,IF(Atletas!B543="Masculino",200,""))+(IF(Atletas!D543="Kids 30kg",1,IF(Atletas!D543="Kids 32kg",2, IF(Atletas!D543="Kids 34kg",3,IF(Atletas!D543="Kids 36kg",4,IF(Atletas!D543="Kids 39kg",5,IF(Atletas!D543="Kids 42kg",6,IF(Atletas!D543="Kids 45kg",7, IF(Atletas!D543="Infantil 39kg",8,IF(Atletas!D543="Infantil 42kg",9,IF(Atletas!D543="Infantil 45kg",10,IF(Atletas!D543="Infantil 48kg",11,IF(Atletas!D543="Infantil 52kg",12,IF(Atletas!D543="Infantil 56kg",13,IF(Atletas!D543="Infantil 60kg",14,IF(Atletas!D543="Juvenil 48kg",15,IF(Atletas!D543="Juvenil 52kg",16,IF(Atletas!D543="Juvenil 56kg",17,IF(Atletas!D543="Juvenil 60kg",18,IF(Atletas!D543="Juvenil 65kg",19,IF(Atletas!D543="Juvenil 70kg",20,IF(Atletas!D543="Juvenil 75kg",21,IF(Atletas!D543="Juvenil 80kg",22, IF(Atletas!D543="Juvenil 85kg",23,IF(Atletas!D543="Adulto 48kg",24,IF(Atletas!D543="Adulto 52kg",25,IF(Atletas!D543="Adulto 56kg",26,IF(Atletas!D543="Adulto 60kg",27,IF(Atletas!D543="Adulto 65kg",28,IF(Atletas!D543="Adulto 70kg",29,IF(Atletas!D543="Adulto 75kg",30,IF(Atletas!D543="Adulto 80kg",31,IF(Atletas!D543="Adulto 85kg",32,IF(Atletas!D543="Adulto 90kg",33,IF(Atletas!D543="Adulto 100kg",34, IF(Atletas!D543="Adulto +100kg",35,"")))))))))))))))))))))))))))))))))))))</f>
        <v/>
      </c>
      <c r="AS552" s="6" t="str">
        <f>IF(Atletas!E543="","",IF(Atletas!B543="Feminino",100,IF(Atletas!B543="Masculino",200,""))+(IF(Atletas!E543="Juvenil 44kg",1,IF(Atletas!E543="Juvenil 48kg",2,IF(Atletas!E543="Juvenil 52kg",3,IF(Atletas!E543="Juvenil 56kg",4,IF(Atletas!E543="Juvenil 60kg",5,IF(Atletas!E543="Juvenil 65kg",6,IF(Atletas!E543="Juvenil 70kg",7,IF(Atletas!E543="Juvenil 75kg",8,IF(Atletas!E543="Juvenil 82kg",9,IF(Atletas!E543="Juvenil 90kg",10,IF(Atletas!E543="Juvenil 100kg",11,IF(Atletas!E543="Adulto 48kg",12,IF(Atletas!E543="Adulto 52kg",13,IF(Atletas!E543="Adulto 56kg",14,IF(Atletas!E543="Adulto 60kg",15,IF(Atletas!E543="Adulto 65kg",16,IF(Atletas!E543="Adulto 70kg",17,IF(Atletas!E543="Adulto 75kg",18,IF(Atletas!E543="Adulto 82kg",19,IF(Atletas!E543="Adulto 90kg",20,IF(Atletas!E543="Adulto 100kg",21,IF(Atletas!E543="Adulto +100kg",22,""))))))))))))))))))))))))</f>
        <v/>
      </c>
      <c r="AX552" s="6" t="str">
        <f>IF(Atletas!F543="","",IF(Atletas!B543="Feminino",100,IF(Atletas!B543="Masculino",200,""))+(IF(Atletas!F543="Adulto 48kg",1,IF(Atletas!F543="Adulto 56kg",2,IF(Atletas!F543="Adulto 65kg",3,IF(Atletas!F543="Adulto 75kg",4,IF(Atletas!F543="Adulto +75kg",5,IF(Atletas!F543="Adulto 52kg",6,IF(Atletas!F543="Adulto 60kg",7,IF(Atletas!F543="Adulto 70kg",8,IF(Atletas!F543="Adulto 80kg",9,IF(Atletas!F543="Adulto 90kg",10,IF(Atletas!F543="Adulto +90kg",11,"")))))))))))))</f>
        <v/>
      </c>
      <c r="BC552" s="6" t="str">
        <f>IF(Atletas!G543="","",IF(Atletas!B543="Feminino",10,IF(Atletas!B543="Masculino",20,""))+(IF(Atletas!G543="Baduanjin A",1,IF(Atletas!G543="Baduanjin B",2))))</f>
        <v/>
      </c>
      <c r="BF552" s="52" t="str">
        <f>IF(Atletas!H543="","",IF(Atletas!B543="Feminino",100,IF(Atletas!B543="Masculino",200,""))+(IF(Atletas!H543="Changquan Mirim",1,IF(Atletas!H543="Nanquan Mirim",2,IF(Atletas!H543="Taijiquan Mirim",3,IF(Atletas!H543="Changquan Grupo C",4,IF(Atletas!H543="Nanquan Grupo C",5,IF(Atletas!H543="Taijiquan Grupo C",6,IF(Atletas!H543="Changquan Grupo B",7,IF(Atletas!H543="Nanquan Grupo B",8,IF(Atletas!H543="Taijiquan Grupo B",9,IF(Atletas!H543="Changquan Grupo A",10,IF(Atletas!H543="Nanquan Grupo A",11,IF(Atletas!H543="Taijiquan Grupo A",12,IF(Atletas!H543="Changquan Opcional",13,IF(Atletas!H543="Nanquan Opcional",14,IF(Atletas!H543="Taijiquan Opcional",15,IF(Atletas!H543="Changquan Adulto",16,IF(Atletas!H543="Nanquan Adulto",17,IF(Atletas!H543="Taijiquan Adulto",18,""))))))))))))))))))))</f>
        <v/>
      </c>
      <c r="BG552" s="52" t="str">
        <f>IF(Atletas!I543="","",IF(Atletas!B543="Feminino",100,IF(Atletas!B543="Masculino",200,""))+(IF(Atletas!I543="Daoshu Mirim",19,IF(Atletas!I543="Jianshu Mirim",20,IF(Atletas!I543="Nandao Mirim",21,IF(Atletas!I543="Taijijian Mirim",22,IF(Atletas!I543="Daoshu Grupo C",23,IF(Atletas!I543="Jianshu Grupo C",24,IF(Atletas!I543="Nandao Grupo C",25,IF(Atletas!I543="Taijijian Grupo C",26,IF(Atletas!I543="Daoshu Grupo B",27,IF(Atletas!I543="Jianshu Grupo B",28,IF(Atletas!I543="Nandao Grupo B",29,IF(Atletas!I543="Taijijian Grupo B",30,IF(Atletas!I543="Daoshu Grupo A",31,IF(Atletas!I543="Jianshu Grupo A",32,IF(Atletas!I543="Nandao Grupo A",33,IF(Atletas!I543="Taijijian Grupo A",34,IF(Atletas!I543="Daoshu Opcional",35,IF(Atletas!I543="Jianshu Opcional",36,IF(Atletas!I543="Nandao Opcional",37,IF(Atletas!I543="Taijijian Opcional",38,IF(Atletas!I543="Daoshu Adulto",39,IF(Atletas!I543="Jianshu Adulto",40,IF(Atletas!I543="Nandao Adulto",41,IF(Atletas!I543="Taijijian Adulto",42,""))))))))))))))))))))))))))</f>
        <v/>
      </c>
      <c r="BH552" s="52" t="str">
        <f>IF(Atletas!J543="","",IF(Atletas!B543="Feminino",100,IF(Atletas!B543="Masculino",200,""))+(IF(Atletas!J543="Gunshu Mirim",43,IF(Atletas!J543="Qiangshu Mirim",44,IF(Atletas!J543="Nangun Mirim",45,IF(Atletas!J543="Gunshu Grupo C",46,IF(Atletas!J543="Qiangshu Grupo C",47,IF(Atletas!J543="Nangun Grupo C",48,IF(Atletas!J543="Gunshu Grupo B",49,IF(Atletas!J543="Qiangshu Grupo B",50,IF(Atletas!J543="Nangun Grupo B",51,IF(Atletas!J543="Gunshu Grupo A",52,IF(Atletas!J543="Qiangshu Grupo A",53,IF(Atletas!J543="Nangun Grupo A",54,IF(Atletas!J543="Gunshu Opcional",55,IF(Atletas!J543="Qiangshu Opcional",56,IF(Atletas!J543="Nangun Opcional",57,IF(Atletas!J543="Gunshu Adulto",58,IF(Atletas!J543="Qiangshu Adulto",59,IF(Atletas!J543="Nangun Adulto",60,IF(Atletas!J543="Taijishan Grupo B",61,IF(Atletas!J543="Taijishan Grupo A",62,""))))))))))))))))))))))</f>
        <v/>
      </c>
      <c r="BM552" s="50" t="str">
        <f>IF(Atletas!K543="","",IF(Atletas!B543="Feminino",100,IF(Atletas!B543="Masculino",200,""))+(IF(Atletas!K543="Equipe 1 Grupo B",1,IF(Atletas!K543="Equipe 2 Grupo B",2,IF(Atletas!K543="Equipe 1 Grupo A",3,IF(Atletas!K543="Equipe 2 Grupo A",4,IF(Atletas!K543="Equipe 1 Adulto",5,IF(Atletas!K543="Equipe 2 Adulto",6,""))))))))</f>
        <v/>
      </c>
      <c r="BR552" s="50" t="str">
        <f>IF(Atletas!L543="","",IF(Atletas!X543&lt;&gt;"",10000,0)+(IF(Atletas!B543="Feminino",1000,IF(Atletas!B543="Masculino",2000,""))+IF(Atletas!L543="Choylayfut A",1,IF(Atletas!L543="Hunggar A",2,IF(Atletas!L543="Wuzuquan A",3,IF(Atletas!L543="Wingchun A",4,IF(Atletas!L543="Outra Mão de Sul A",5,IF(Atletas!L543="Choylayfut B",6,IF(Atletas!L543="Hunggar B",7,IF(Atletas!L543="Wuzuquan B",8,IF(Atletas!L543="Wingchun B",9,IF(Atletas!L543="Outra Mão de Sul B",10,IF(Atletas!L543="Choylayfut C",11,IF(Atletas!L543="Hunggar C",12,IF(Atletas!L543="Wuzuquan C",13,IF(Atletas!L543="Wingchun C",14,IF(Atletas!L543="Outra Mão de Sul C",15,IF(Atletas!L543="Choylayfut D",16,IF(Atletas!L543="Hunggar D",17,IF(Atletas!L543="Wuzuquan D",18,IF(Atletas!L543="Wingchun D",19,IF(Atletas!L543="Outra Mão de Sul D",20,IF(Atletas!L543="Choylayfut E",21,IF(Atletas!L543="Hunggar E",22,IF(Atletas!L543="Wuzuquan E",23,IF(Atletas!L543="Wingchun E",24,IF(Atletas!L543="Outra Mão de Sul E",25,IF(Atletas!L543="Choylayfut F",26,IF(Atletas!L543="Hunggar F",27,IF(Atletas!L543="Wuzuquan F",28,IF(Atletas!L543="Wingchun F",29,IF(Atletas!L543="Outra Mão de Sul F",30,IF(Atletas!L543="Dishuquan A",31,IF(Atletas!L543="Dishuquan B",32,IF(Atletas!L543="Dishuquan C",33,IF(Atletas!L543="Dishuquan D",34,IF(Atletas!L543="Dishuquan E",35,IF(Atletas!L543="Dishuquan F",36,""))))))))))))))))))))))))))))))))))))))</f>
        <v/>
      </c>
      <c r="BS552" s="50" t="str">
        <f>IF(Atletas!M543="","",IF(Atletas!X543&lt;&gt;"",10000,0)+(IF(Atletas!B543="Feminino",1000,IF(Atletas!B543="Masculino",2000,""))+(IF(Atletas!M543="Chaquan A",101,IF(Atletas!M543="Emeiquan A",102,IF(Atletas!M543="Fanziquan A",103,IF(Atletas!M543="Huaquan A",104,IF(Atletas!M543="Hongquan A",105,IF(Atletas!M543="Paoquan A",106,IF(Atletas!M543="Piguaquan A",107,IF(Atletas!M543="Shaolinquan A",108,IF(Atletas!M543="Tanglangquan A",109,IF(Atletas!M543="Yingzhaoquan A",110,IF(Atletas!M543="Tongbeiquan A",111,IF(Atletas!M543="Wudangquan A",112,IF(Atletas!M543="Outros Estilos A",113,IF(Atletas!M543="Chaquan B",114,IF(Atletas!M543="Emeiquan B",115,IF(Atletas!M543="Fanziquan B",116,IF(Atletas!M543="Huaquan B",117,IF(Atletas!M543="Hongquan B",118,IF(Atletas!M543="Paoquan B",119,IF(Atletas!M543="Piguaquan B",120,IF(Atletas!M543="Shaolinquan B",121,IF(Atletas!M543="Tanglangquan B",122,IF(Atletas!M543="Yingzhaoquan B",123,IF(Atletas!M543="Tongbeiquan B",124,IF(Atletas!M543="Wudangquan B",125,IF(Atletas!M543="Outros Estilos B",126,IF(Atletas!M543="Chaquan C",127,IF(Atletas!M543="Emeiquan C",128,IF(Atletas!M543="Fanziquan C",129,IF(Atletas!M543="Huaquan C",130,IF(Atletas!M543="Hongquan C",131,IF(Atletas!M543="Paoquan C",132,IF(Atletas!M543="Piguaquan C",133,IF(Atletas!M543="Shaolinquan C",134,IF(Atletas!M543="Tanglangquan C",135,IF(Atletas!M543="Yingzhaoquan C",136,IF(Atletas!M543="Tongbeiquan C",137,IF(Atletas!M543="Wudangquan C",138,IF(Atletas!M543="Outros Estilos C",139,0))))))))))))))))))))))))))))))))))))))))))</f>
        <v/>
      </c>
      <c r="BT552" s="50" t="str">
        <f>IF(Atletas!M543="","",IF(Atletas!X543&lt;&gt;"",10000,0)+(IF(Atletas!B543="Feminino",1000,IF(Atletas!B543="Masculino",2000,""))+(IF(Atletas!M543="Chaquan D",140,IF(Atletas!M543="Emeiquan D",141,IF(Atletas!M543="Fanziquan D",142,IF(Atletas!M543="Huaquan D",143,IF(Atletas!M543="Hongquan D",144,IF(Atletas!M543="Paoquan D",145,IF(Atletas!M543="Piguaquan D",146,IF(Atletas!M543="Shaolinquan D",147,IF(Atletas!M543="Tanglangquan D",148,IF(Atletas!M543="Yingzhaoquan D",149,IF(Atletas!M543="Tongbeiquan D",150,IF(Atletas!M543="Wudangquan D",151,IF(Atletas!M543="Outros Estilos D",152,IF(Atletas!M543="Chaquan E",153,IF(Atletas!M543="Emeiquan E",154,IF(Atletas!M543="Fanziquan E",155,IF(Atletas!M543="Huaquan E",156,IF(Atletas!M543="Hongquan E",157,IF(Atletas!M543="Paoquan E",158,IF(Atletas!M543="Piguaquan E",159,IF(Atletas!M543="Shaolinquan E",160,IF(Atletas!M543="Tanglangquan E",161,IF(Atletas!M543="Yingzhaoquan E",162,IF(Atletas!M543="Tongbeiquan E",163,IF(Atletas!M543="Wudangquan E",164,IF(Atletas!M543="Outros Estilos E",165,IF(Atletas!M543="Chaquan F",166,IF(Atletas!M543="Emeiquan F",167,IF(Atletas!M543="Fanziquan F",168,IF(Atletas!M543="Huaquan F",169,IF(Atletas!M543="Hongquan F",170,IF(Atletas!M543="Paoquan F",171,IF(Atletas!M543="Piguaquan F",172,IF(Atletas!M543="Shaolinquan F",173,IF(Atletas!M543="Tanglangquan F",174,IF(Atletas!M543="Yingzhaoquan F",175,IF(Atletas!M543="Tongbeiquan F",176,IF(Atletas!M543="Wudangquan F",177,IF(Atletas!M543="Outros Estilos F",178,0))))))))))))))))))))))))))))))))))))))))))</f>
        <v/>
      </c>
      <c r="BU552" s="50" t="str">
        <f>IF(Atletas!N543="","",IF(Atletas!X543&lt;&gt;"",10000,0)+(IF(Atletas!B543="Feminino",1000,IF(Atletas!B543="Masculino",2000,""))+(IF(Atletas!N543="Ditangquan A",201,IF(Atletas!N543="Houquan A",202,IF(Atletas!N543="Zuiquan A",203,IF(Atletas!N543="Ditangquan B",204,IF(Atletas!N543="Houquan B",205,IF(Atletas!N543="Zuiquan B",206,IF(Atletas!N543="Ditangquan C",207,IF(Atletas!N543="Houquan C",208,IF(Atletas!N543="Zuiquan C",209,IF(Atletas!N543="Ditangquan D",210,IF(Atletas!N543="Houquan D",211,IF(Atletas!N543="Zuiquan D",212,IF(Atletas!N543="Ditangquan E",213,IF(Atletas!N543="Houquan E",214,IF(Atletas!N543="Zuiquan E",215,IF(Atletas!N543="Ditangquan F",216,IF(Atletas!N543="Houquan F",217,IF(Atletas!N543="Zuiquan F",218,"")))))))))))))))))))))</f>
        <v/>
      </c>
      <c r="BV552" s="50" t="str">
        <f>IF(Atletas!O543="","",IF(Atletas!X543&lt;&gt;"",10000,0)+IF(Atletas!B543="Feminino",1000,IF(Atletas!B543="Masculino",2000,""))+IF(Atletas!O543="Yang A",301,IF(Atletas!O543="Chen A",302,IF(Atletas!O543="Sun A",303,IF(Atletas!O543="Wu A",304,IF(Atletas!O543="Wu-Hao A",305,IF(Atletas!O543="Outro Taijiquan A",306,IF(Atletas!O543="Yang B",307,IF(Atletas!O543="Chen B",308,IF(Atletas!O543="Sun B",309,IF(Atletas!O543="Wu B",310,IF(Atletas!O543="Wu-Hao B",311,IF(Atletas!O543="Outro Taijiquan B",312,IF(Atletas!O543="Yang C",313,IF(Atletas!O543="Chen C",314,IF(Atletas!O543="Sun C",315,IF(Atletas!O543="Wu C",316,IF(Atletas!O543="Wu-Hao C",317,IF(Atletas!O543="Outro Taijiquan C",318,IF(Atletas!O543="Yang D",319,IF(Atletas!O543="Chen D",320,IF(Atletas!O543="Sun D",321,IF(Atletas!O543="Wu D",322,IF(Atletas!O543="Wu-Hao D",323,IF(Atletas!O543="Outro Taijiquan D",324,IF(Atletas!O543="Yang E",325,IF(Atletas!O543="Chen E",326,IF(Atletas!O543="Sun E",327,IF(Atletas!O543="Wu E",328,IF(Atletas!O543="Wu-Hao E",329,IF(Atletas!O543="Outro Taijiquan E",330,IF(Atletas!O543="Yang F",331,IF(Atletas!O543="Chen F",332,IF(Atletas!O543="Sun F",333,IF(Atletas!O543="Wu F",334,IF(Atletas!O543="Wu-Hao F",335,IF(Atletas!O543="Outro Taijiquan F",336,"")))))))))))))))))))))))))))))))))))))</f>
        <v/>
      </c>
      <c r="BW552" s="50" t="str">
        <f>IF(Atletas!P543="","",IF(Atletas!X543&lt;&gt;"",10000,0)+IF(Atletas!B543="Feminino",1000,IF(Atletas!B543="Masculino",2000,""))+IF(OR(Atletas!P543="Yang 26 A",Atletas!P543="Yang 40 A"),401,IF(OR(Atletas!P543="Chen 25 A",Atletas!P543="Chen 36 A",Atletas!P543="Chen 56 A"),402,IF(Atletas!P543="Sun 73 A",403,IF(Atletas!P543="Wu 45 A",404,IF(Atletas!P543="Wu-Hao 46 A",405,IF(OR(Atletas!P543="Taijiquan 16 A",Atletas!P543="Taijiquan 24 A",Atletas!P543="Taijiquan 32 A",Atletas!P543="Taijiquan 42 A"),406,IF(OR(Atletas!P543="Yang 26 B",Atletas!P543="Yang 40 B"),407,IF(OR(Atletas!P543="Chen 25 B",Atletas!P543="Chen 36 B",Atletas!P543="Chen 56 B"),408,IF(Atletas!P543="Sun 73 B",409,IF(Atletas!P543="Wu 45 B",410,IF(Atletas!P543="Wu-Hao 46 B",411,IF(OR(Atletas!P543="Taijiquan 16 B",Atletas!P543="Taijiquan 24 B",Atletas!P543="Taijiquan 32 B",Atletas!P543="Taijiquan 42 B"),412,IF(OR(Atletas!P543="Yang 26 C",Atletas!P543="Yang 40 C"),413,IF(OR(Atletas!P543="Chen 25 C",Atletas!P543="Chen 36 C",Atletas!P543="Chen 56 C"),414,IF(Atletas!P543="Sun 73 C",415,IF(Atletas!P543="Wu 45 C",416,IF(Atletas!P543="Wu-Hao 46 C",417,IF(OR(Atletas!P543="Taijiquan 16 C",Atletas!P543="Taijiquan 24 C",Atletas!P543="Taijiquan 32 C",Atletas!P543="Taijiquan 42 C"),418,0)))))))))))))))))))</f>
        <v/>
      </c>
      <c r="BX552" s="50" t="str">
        <f>IF(Atletas!P543="","",IF(Atletas!X543&lt;&gt;"",10000,0)+IF(Atletas!B543="Feminino",1000,IF(Atletas!B543="Masculino",2000,""))+IF(OR(Atletas!P543="Yang 26 D",Atletas!P543="Yang 40 D"),419,IF(OR(Atletas!P543="Chen 25 D",Atletas!P543="Chen 36 D",Atletas!P543="Chen 56 D"),420,IF(Atletas!P543="Sun 73 D",421,IF(Atletas!P543="Wu 45 D",422,IF(Atletas!P543="Wu-Hao 46 D",423,IF(OR(Atletas!P543="Taijiquan 16 D",Atletas!P543="Taijiquan 24 D",Atletas!P543="Taijiquan 32 D",Atletas!P543="Taijiquan 42 D"),424,IF(OR(Atletas!P543="Yang 26 E",Atletas!P543="Yang 40 E"),425,IF(OR(Atletas!P543="Chen 25 E",Atletas!P543="Chen 36 E",Atletas!P543="Chen 56 E"),426,IF(Atletas!P543="Sun 73 E",427,IF(Atletas!P543="Wu 45 E",428,IF(Atletas!P543="Wu-Hao 46 E",429,IF(OR(Atletas!P543="Taijiquan 16 E",Atletas!P543="Taijiquan 24 E",Atletas!P543="Taijiquan 32 E",Atletas!P543="Taijiquan 42 E"),430,IF(OR(Atletas!P543="Yang 26 F",Atletas!P543="Yang 40 F"),431,IF(OR(Atletas!P543="Chen 25 F",Atletas!P543="Chen 36 F",Atletas!P543="Chen 56 F"),432,IF(Atletas!P543="Sun 73 F",433,IF(Atletas!P543="Wu 45 F",434,IF(Atletas!P543="Wu-Hao 46 F",435,IF(OR(Atletas!P543="Taijiquan 16 F",Atletas!P543="Taijiquan 24 F",Atletas!P543="Taijiquan 32 F",Atletas!P543="Taijiquan 42 F"),436,0)))))))))))))))))))</f>
        <v/>
      </c>
      <c r="BY552" s="50" t="str">
        <f>IF(Atletas!Q543="","",IF(Atletas!X543&lt;&gt;"",10000,0)+IF(Atletas!B543="Feminino",1000,IF(Atletas!B543="Masculino",2000,""))+IF(Atletas!Q543="Xingyiquan A",501,IF(Atletas!Q543="Baguazhang A",502,IF(Atletas!Q543="Outro Estilo Interno A",503,IF(Atletas!Q543="Xingyiquan B",504,IF(Atletas!Q543="Baguazhang B",505,IF(Atletas!Q543="Outro Estilo Interno B",506,IF(Atletas!Q543="Xingyiquan C",507,IF(Atletas!Q543="Baguazhang C",508,IF(Atletas!Q543="Outro Estilo Interno C",509,IF(Atletas!Q543="Xingyiquan D",510,IF(Atletas!Q543="Baguazhang D",511,IF(Atletas!Q543="Outro Estilo Interno D",512,IF(Atletas!Q543="Xingyiquan E",513,IF(Atletas!Q543="Baguazhang E",514,IF(Atletas!Q543="Outro Estilo Interno E",515,IF(Atletas!Q543="Xingyiquan F",516,IF(Atletas!Q543="Baguazhang F",517,IF(Atletas!Q543="Outro Estilo Interno F",518, "")))))))))))))))))))</f>
        <v/>
      </c>
      <c r="BZ552" s="50" t="str">
        <f>IF(Atletas!R543="","",IF(Atletas!X543&lt;&gt;"",10000,0)+IF(Atletas!B543="Feminino",1000,IF(Atletas!B543="Masculino",2000,""))+IF(Atletas!R543="Dao A",601,IF(Atletas!R543="Jian A",602,IF(Atletas!R543="Bishou A",603,IF(Atletas!R543="Shanzi A",604,IF(Atletas!R543="Outra Arma Curta A",605,IF(Atletas!R543="Dao B",606,IF(Atletas!R543="Jian B",607,IF(Atletas!R543="Bishou B",608,IF(Atletas!R543="Shanzi B",609,IF(Atletas!R543="Outra Arma Curta B",610,IF(Atletas!R543="Dao C",611,IF(Atletas!R543="Jian C",612,IF(Atletas!R543="Bishou C",613,IF(Atletas!R543="Shanzi C",614,IF(Atletas!R543="Outra Arma Curta C",615,IF(Atletas!R543="Dao D",616,IF(Atletas!R543="Jian D",617,IF(Atletas!R543="Bishou D",618,IF(Atletas!R543="Shanzi D",619,IF(Atletas!R543="Outra Arma Curta D",620,IF(Atletas!R543="Dao E",621,IF(Atletas!R543="Jian E",622,IF(Atletas!R543="Bishou E",623,IF(Atletas!R543="Shanzi E",624,IF(Atletas!R543="Outra Arma Curta E",625,IF(Atletas!R543="Dao F",626,IF(Atletas!R543="Jian F",627,IF(Atletas!R543="Bishou F",628,IF(Atletas!R543="Shanzi F",629,IF(Atletas!R543="Outra Arma Curta F",630, "")))))))))))))))))))))))))))))))</f>
        <v/>
      </c>
      <c r="CA552" s="50" t="str">
        <f>IF(Atletas!S543="","",IF(Atletas!X543&lt;&gt;"",10000,0)+IF(Atletas!B543="Feminino",1000,IF(Atletas!B543="Masculino",2000,""))+IF(Atletas!S543="Gun A",701,IF(Atletas!S543="Qiang A",702,IF(Atletas!S543="Pudao / Guandao A",703,IF(Atletas!S543="Outra Arma Longa A",704,IF(Atletas!S543="Gun B",705,IF(Atletas!S543="Qiang B",706,IF(Atletas!S543="Pudao / Guandao B",707,IF(Atletas!S543="Outra Arma Longa B",708,IF(Atletas!S543="Gun C",709,IF(Atletas!S543="Qiang C",710,IF(Atletas!S543="Pudao / Guandao C",711,IF(Atletas!S543="Outra Arma Longa C",712,IF(Atletas!S543="Gun D",713,IF(Atletas!S543="Qiang D",714,IF(Atletas!S543="Pudao / Guandao D",715,IF(Atletas!S543="Outra Arma Longa D",716,IF(Atletas!S543="Gun E",717,IF(Atletas!S543="Qiang E",718,IF(Atletas!S543="Pudao / Guandao E",719,IF(Atletas!S543="Outra Arma Longa E",720,IF(Atletas!S543="Gun F",721,IF(Atletas!S543="Qiang F",722,IF(Atletas!S543="Pudao / Guandao F",723,IF(Atletas!S543="Outra Arma Longa F",724,"")))))))))))))))))))))))))</f>
        <v/>
      </c>
      <c r="CB552" s="50" t="str">
        <f>IF(Atletas!T543="","",IF(Atletas!X543&lt;&gt;"",10000,0)+IF(Atletas!B543="Feminino",1000,IF(Atletas!B543="Masculino",2000,""))+IF(Atletas!T543="Outra Arma Dupla A",801,IF(Atletas!T543="Arma Maleável A",802,IF(Atletas!T543="Outra Arma Dupla B",803,IF(Atletas!T543="Arma Maleável B",804,IF(Atletas!T543="Outra Arma Dupla C",805,IF(Atletas!T543="Arma Maleável C",806,IF(Atletas!T543="Outra Arma Dupla D",807,IF(Atletas!T543="Arma Maleável D",808,IF(Atletas!T543="Outra Arma Dupla E",809,IF(Atletas!T543="Arma Maleável E",810,IF(Atletas!T543="Outra Arma Dupla F",811,IF(Atletas!T543="Arma Maleável F",812,IF(Atletas!T543="Shuangdao A",813,IF(Atletas!T543="Shuangdao B",814,IF(Atletas!T543="Shuangdao C",815,IF(Atletas!T543="Shuangdao D",816,IF(Atletas!T543="Shuangdao E",817,IF(Atletas!T543="Shuangdao F",818,"")))))))))))))))))))</f>
        <v/>
      </c>
      <c r="CC552" s="50" t="str">
        <f>IF(Atletas!U543="","",IF(Atletas!X543&lt;&gt;"",10000,0)+IF(Atletas!B543="Feminino",1000,IF(Atletas!B543="Masculino",2000,""))+IF(OR(Atletas!U543="Taijijian Yang A",Atletas!U543="Taijijian Yang Standard A"),901,IF(OR(Atletas!U543="Taijijian Chen A", Atletas!U543="Taijijian Chen Standard A"),902,IF(Atletas!U543="Taijijian Sun A",903,IF(Atletas!U543="Taijijian Wu A",904,IF(Atletas!U543="Taijijian Wu-Hao A",905,IF(OR(Atletas!U543="Taijijian 32 A",Atletas!U543="Taijijian 42 A"),906,IF(OR(Atletas!U543="Taijijian Yang B",Atletas!U543="Taijijian Yang Standard B"),907,IF(OR(Atletas!U543="Taijijian Chen B", Atletas!U543="Taijijian Chen Standard B"),908,IF(Atletas!U543="Taijijian Sun B",909,IF(Atletas!U543="Taijijian Wu B",910,IF(Atletas!U543="Taijijian Wu-Hao B",911,IF(OR(Atletas!U543="Taijijian 32 B",Atletas!U543="Taijijian 42 B"),912,IF(OR(Atletas!U543="Taijijian Yang C",Atletas!U543="Taijijian Yang Standard C"),913,IF(OR(Atletas!U543="Taijijian Chen C", Atletas!U543="Taijijian Chen Standard C"),914,IF(Atletas!U543="Taijijian Sun C",915,IF(Atletas!U543="Taijijian Wu C",916,IF(Atletas!U543="Taijijian Wu-Hao C",917,IF(OR(Atletas!U543="Taijijian 32 C",Atletas!U543="Taijijian 42 C"),918,IF(OR(Atletas!U543="Taijijian Yang D",Atletas!U543="Taijijian Yang Standard D"),919,IF(OR(Atletas!U543="Taijijian Chen D", Atletas!U543="Taijijian Chen Standard D"),920,IF(Atletas!U543="Taijijian Sun D",921,IF(Atletas!U543="Taijijian Wu D",922,IF(Atletas!U543="Taijijian Wu-Hao D",923,IF(OR(Atletas!U543="Taijijian 32 D",Atletas!U543="Taijijian 42 D"),924,IF(OR(Atletas!U543="Taijijian Yang E",Atletas!U543="Taijijian Yang Standard E"),925,IF(OR(Atletas!U543="Taijijian Chen E", Atletas!U543="Taijijian Chen Standard E"),926,IF(Atletas!U543="Taijijian Sun E",927,IF(Atletas!U543="Taijijian Wu E",928,IF(Atletas!U543="Taijijian Wu-Hao E",929,IF(OR(Atletas!U543="Taijijian 32 E",Atletas!U543="Taijijian 42 E"),930,IF(OR(Atletas!U543="Taijijian Yang F",Atletas!U543="Taijijian Yang Standard F"),931,IF(OR(Atletas!U543="Taijijian Chen F", Atletas!U543="Taijijian Chen Standard F"),932,IF(Atletas!U543="Taijijian Sun F",933,IF(Atletas!U543="Taijijian Wu F",934,IF(Atletas!U543="Taijijian Wu-Hao F",935,IF(OR(Atletas!U543="Taijijian 32 F",Atletas!U543="Taijijian 42 F"),936,"")))))))))))))))))))))))))))))))))))))</f>
        <v/>
      </c>
      <c r="CD552" s="50" t="str">
        <f>IF(Atletas!V543="","",IF(Atletas!X543&lt;&gt;"",10000,0)+IF(Atletas!B543="Feminino",1000,IF(Atletas!B543="Masculino",2000,""))+IF(Atletas!V543="Taijidao A",937,IF(Atletas!V543="TaijiShanzi A",938,IF(Atletas!V543="Taijiqiang A",939,IF(Atletas!V543="Bagua de Arma A",940,IF(Atletas!V543="Xingyi de Arma A",941,IF(Atletas!V543="Taijidao B",942,IF(Atletas!V543="TaijiShanzi B",943,IF(Atletas!V543="Taijiqiang B",944,IF(Atletas!V543="Bagua de Arma B",945,IF(Atletas!V543="Xingyi de Arma B",946,IF(Atletas!V543="Taijidao C",947,IF(Atletas!V543="TaijiShanzi C",948,IF(Atletas!V543="Taijiqiang C",949,IF(Atletas!V543="Bagua de Arma C",950,IF(Atletas!V543="Xingyi de Arma C",951,IF(Atletas!V543="Taijidao D",952,IF(Atletas!V543="TaijiShanzi D",953,IF(Atletas!V543="Taijiqiang D",954,IF(Atletas!V543="Bagua de Arma D",955,IF(Atletas!V543="Xingyi de Arma D",956,IF(Atletas!V543="Taijidao E",957,IF(Atletas!V543="TaijiShanzi E",958,IF(Atletas!V543="Taijiqiang E",959,IF(Atletas!V543="Bagua de Arma E",960,IF(Atletas!V543="Xingyi de Arma E",961,IF(Atletas!V543="Taijidao F",962,IF(Atletas!V543="TaijiShanzi F",963,IF(Atletas!V543="Taijiqiang F",964,IF(Atletas!V543="Bagua de Arma F",965,IF(Atletas!V543="Xingyi de Arma F",966,"")))))))))))))))))))))))))))))))</f>
        <v/>
      </c>
      <c r="CM552" s="50" t="str">
        <f xml:space="preserve"> IF(Atletas!W543="","",IF(Atletas!W543="Duilian de Mãos BC - Equipe 1",1,IF(Atletas!W543="Duilian de Mãos BC - Equipe 2",2,IF(Atletas!W543="Duilian de Armas BC - Equipe 1",3,IF(Atletas!W543="Duilian de Armas BC - Equipe 2",4,IF(Atletas!W543="Duilian de Mãos DE - Equipe 1",5,IF(Atletas!W543="Duilian de Mãos DE - Equipe 2",6,IF(Atletas!W543="Duilian de Armas DE - Equipe 1",7,IF(Atletas!W543="Duilian de Armas DE - Equipe 2",8,IF(Atletas!W543="Duilian de Tuishou - Equipe 1",9,IF(Atletas!W543="Duilian de Tuishou - Equipe 2",10,IF(Atletas!W543="Grupo Externo ABC - Equipe 1",11,IF(Atletas!W543="Grupo Externo ABC - Equipe 2",12,IF(Atletas!W543="Grupo Interno ABC - Equipe 1",13,IF(Atletas!W543="Grupo Interno ABC - Equipe 2",14,IF(Atletas!W543="Grupo Externo DEF - Equipe 1",15,IF(Atletas!W543="Grupo Externo DEF - Equipe 2",16,IF(Atletas!W543="Grupo Interno DEF - Equipe 1",17,IF(Atletas!W543="Grupo Interno DEF - Equipe 2",18,"")))))))))))))))))))</f>
        <v/>
      </c>
    </row>
    <row r="553" spans="40:91">
      <c r="AN553" s="52" t="str">
        <f>IF(Atletas!D544="","",IF(Atletas!B544="Feminino",100,IF(Atletas!B544="Masculino",200,""))+(IF(Atletas!D544="Kids 30kg",1,IF(Atletas!D544="Kids 32kg",2, IF(Atletas!D544="Kids 34kg",3,IF(Atletas!D544="Kids 36kg",4,IF(Atletas!D544="Kids 39kg",5,IF(Atletas!D544="Kids 42kg",6,IF(Atletas!D544="Kids 45kg",7, IF(Atletas!D544="Infantil 39kg",8,IF(Atletas!D544="Infantil 42kg",9,IF(Atletas!D544="Infantil 45kg",10,IF(Atletas!D544="Infantil 48kg",11,IF(Atletas!D544="Infantil 52kg",12,IF(Atletas!D544="Infantil 56kg",13,IF(Atletas!D544="Infantil 60kg",14,IF(Atletas!D544="Juvenil 48kg",15,IF(Atletas!D544="Juvenil 52kg",16,IF(Atletas!D544="Juvenil 56kg",17,IF(Atletas!D544="Juvenil 60kg",18,IF(Atletas!D544="Juvenil 65kg",19,IF(Atletas!D544="Juvenil 70kg",20,IF(Atletas!D544="Juvenil 75kg",21,IF(Atletas!D544="Juvenil 80kg",22, IF(Atletas!D544="Juvenil 85kg",23,IF(Atletas!D544="Adulto 48kg",24,IF(Atletas!D544="Adulto 52kg",25,IF(Atletas!D544="Adulto 56kg",26,IF(Atletas!D544="Adulto 60kg",27,IF(Atletas!D544="Adulto 65kg",28,IF(Atletas!D544="Adulto 70kg",29,IF(Atletas!D544="Adulto 75kg",30,IF(Atletas!D544="Adulto 80kg",31,IF(Atletas!D544="Adulto 85kg",32,IF(Atletas!D544="Adulto 90kg",33,IF(Atletas!D544="Adulto 100kg",34, IF(Atletas!D544="Adulto +100kg",35,"")))))))))))))))))))))))))))))))))))))</f>
        <v/>
      </c>
      <c r="AS553" s="6" t="str">
        <f>IF(Atletas!E544="","",IF(Atletas!B544="Feminino",100,IF(Atletas!B544="Masculino",200,""))+(IF(Atletas!E544="Juvenil 44kg",1,IF(Atletas!E544="Juvenil 48kg",2,IF(Atletas!E544="Juvenil 52kg",3,IF(Atletas!E544="Juvenil 56kg",4,IF(Atletas!E544="Juvenil 60kg",5,IF(Atletas!E544="Juvenil 65kg",6,IF(Atletas!E544="Juvenil 70kg",7,IF(Atletas!E544="Juvenil 75kg",8,IF(Atletas!E544="Juvenil 82kg",9,IF(Atletas!E544="Juvenil 90kg",10,IF(Atletas!E544="Juvenil 100kg",11,IF(Atletas!E544="Adulto 48kg",12,IF(Atletas!E544="Adulto 52kg",13,IF(Atletas!E544="Adulto 56kg",14,IF(Atletas!E544="Adulto 60kg",15,IF(Atletas!E544="Adulto 65kg",16,IF(Atletas!E544="Adulto 70kg",17,IF(Atletas!E544="Adulto 75kg",18,IF(Atletas!E544="Adulto 82kg",19,IF(Atletas!E544="Adulto 90kg",20,IF(Atletas!E544="Adulto 100kg",21,IF(Atletas!E544="Adulto +100kg",22,""))))))))))))))))))))))))</f>
        <v/>
      </c>
      <c r="AX553" s="6" t="str">
        <f>IF(Atletas!F544="","",IF(Atletas!B544="Feminino",100,IF(Atletas!B544="Masculino",200,""))+(IF(Atletas!F544="Adulto 48kg",1,IF(Atletas!F544="Adulto 56kg",2,IF(Atletas!F544="Adulto 65kg",3,IF(Atletas!F544="Adulto 75kg",4,IF(Atletas!F544="Adulto +75kg",5,IF(Atletas!F544="Adulto 52kg",6,IF(Atletas!F544="Adulto 60kg",7,IF(Atletas!F544="Adulto 70kg",8,IF(Atletas!F544="Adulto 80kg",9,IF(Atletas!F544="Adulto 90kg",10,IF(Atletas!F544="Adulto +90kg",11,"")))))))))))))</f>
        <v/>
      </c>
      <c r="BC553" s="6" t="str">
        <f>IF(Atletas!G544="","",IF(Atletas!B544="Feminino",10,IF(Atletas!B544="Masculino",20,""))+(IF(Atletas!G544="Baduanjin A",1,IF(Atletas!G544="Baduanjin B",2))))</f>
        <v/>
      </c>
      <c r="BF553" s="52" t="str">
        <f>IF(Atletas!H544="","",IF(Atletas!B544="Feminino",100,IF(Atletas!B544="Masculino",200,""))+(IF(Atletas!H544="Changquan Mirim",1,IF(Atletas!H544="Nanquan Mirim",2,IF(Atletas!H544="Taijiquan Mirim",3,IF(Atletas!H544="Changquan Grupo C",4,IF(Atletas!H544="Nanquan Grupo C",5,IF(Atletas!H544="Taijiquan Grupo C",6,IF(Atletas!H544="Changquan Grupo B",7,IF(Atletas!H544="Nanquan Grupo B",8,IF(Atletas!H544="Taijiquan Grupo B",9,IF(Atletas!H544="Changquan Grupo A",10,IF(Atletas!H544="Nanquan Grupo A",11,IF(Atletas!H544="Taijiquan Grupo A",12,IF(Atletas!H544="Changquan Opcional",13,IF(Atletas!H544="Nanquan Opcional",14,IF(Atletas!H544="Taijiquan Opcional",15,IF(Atletas!H544="Changquan Adulto",16,IF(Atletas!H544="Nanquan Adulto",17,IF(Atletas!H544="Taijiquan Adulto",18,""))))))))))))))))))))</f>
        <v/>
      </c>
      <c r="BG553" s="52" t="str">
        <f>IF(Atletas!I544="","",IF(Atletas!B544="Feminino",100,IF(Atletas!B544="Masculino",200,""))+(IF(Atletas!I544="Daoshu Mirim",19,IF(Atletas!I544="Jianshu Mirim",20,IF(Atletas!I544="Nandao Mirim",21,IF(Atletas!I544="Taijijian Mirim",22,IF(Atletas!I544="Daoshu Grupo C",23,IF(Atletas!I544="Jianshu Grupo C",24,IF(Atletas!I544="Nandao Grupo C",25,IF(Atletas!I544="Taijijian Grupo C",26,IF(Atletas!I544="Daoshu Grupo B",27,IF(Atletas!I544="Jianshu Grupo B",28,IF(Atletas!I544="Nandao Grupo B",29,IF(Atletas!I544="Taijijian Grupo B",30,IF(Atletas!I544="Daoshu Grupo A",31,IF(Atletas!I544="Jianshu Grupo A",32,IF(Atletas!I544="Nandao Grupo A",33,IF(Atletas!I544="Taijijian Grupo A",34,IF(Atletas!I544="Daoshu Opcional",35,IF(Atletas!I544="Jianshu Opcional",36,IF(Atletas!I544="Nandao Opcional",37,IF(Atletas!I544="Taijijian Opcional",38,IF(Atletas!I544="Daoshu Adulto",39,IF(Atletas!I544="Jianshu Adulto",40,IF(Atletas!I544="Nandao Adulto",41,IF(Atletas!I544="Taijijian Adulto",42,""))))))))))))))))))))))))))</f>
        <v/>
      </c>
      <c r="BH553" s="52" t="str">
        <f>IF(Atletas!J544="","",IF(Atletas!B544="Feminino",100,IF(Atletas!B544="Masculino",200,""))+(IF(Atletas!J544="Gunshu Mirim",43,IF(Atletas!J544="Qiangshu Mirim",44,IF(Atletas!J544="Nangun Mirim",45,IF(Atletas!J544="Gunshu Grupo C",46,IF(Atletas!J544="Qiangshu Grupo C",47,IF(Atletas!J544="Nangun Grupo C",48,IF(Atletas!J544="Gunshu Grupo B",49,IF(Atletas!J544="Qiangshu Grupo B",50,IF(Atletas!J544="Nangun Grupo B",51,IF(Atletas!J544="Gunshu Grupo A",52,IF(Atletas!J544="Qiangshu Grupo A",53,IF(Atletas!J544="Nangun Grupo A",54,IF(Atletas!J544="Gunshu Opcional",55,IF(Atletas!J544="Qiangshu Opcional",56,IF(Atletas!J544="Nangun Opcional",57,IF(Atletas!J544="Gunshu Adulto",58,IF(Atletas!J544="Qiangshu Adulto",59,IF(Atletas!J544="Nangun Adulto",60,IF(Atletas!J544="Taijishan Grupo B",61,IF(Atletas!J544="Taijishan Grupo A",62,""))))))))))))))))))))))</f>
        <v/>
      </c>
      <c r="BM553" s="50" t="str">
        <f>IF(Atletas!K544="","",IF(Atletas!B544="Feminino",100,IF(Atletas!B544="Masculino",200,""))+(IF(Atletas!K544="Equipe 1 Grupo B",1,IF(Atletas!K544="Equipe 2 Grupo B",2,IF(Atletas!K544="Equipe 1 Grupo A",3,IF(Atletas!K544="Equipe 2 Grupo A",4,IF(Atletas!K544="Equipe 1 Adulto",5,IF(Atletas!K544="Equipe 2 Adulto",6,""))))))))</f>
        <v/>
      </c>
      <c r="BR553" s="50" t="str">
        <f>IF(Atletas!L544="","",IF(Atletas!X544&lt;&gt;"",10000,0)+(IF(Atletas!B544="Feminino",1000,IF(Atletas!B544="Masculino",2000,""))+IF(Atletas!L544="Choylayfut A",1,IF(Atletas!L544="Hunggar A",2,IF(Atletas!L544="Wuzuquan A",3,IF(Atletas!L544="Wingchun A",4,IF(Atletas!L544="Outra Mão de Sul A",5,IF(Atletas!L544="Choylayfut B",6,IF(Atletas!L544="Hunggar B",7,IF(Atletas!L544="Wuzuquan B",8,IF(Atletas!L544="Wingchun B",9,IF(Atletas!L544="Outra Mão de Sul B",10,IF(Atletas!L544="Choylayfut C",11,IF(Atletas!L544="Hunggar C",12,IF(Atletas!L544="Wuzuquan C",13,IF(Atletas!L544="Wingchun C",14,IF(Atletas!L544="Outra Mão de Sul C",15,IF(Atletas!L544="Choylayfut D",16,IF(Atletas!L544="Hunggar D",17,IF(Atletas!L544="Wuzuquan D",18,IF(Atletas!L544="Wingchun D",19,IF(Atletas!L544="Outra Mão de Sul D",20,IF(Atletas!L544="Choylayfut E",21,IF(Atletas!L544="Hunggar E",22,IF(Atletas!L544="Wuzuquan E",23,IF(Atletas!L544="Wingchun E",24,IF(Atletas!L544="Outra Mão de Sul E",25,IF(Atletas!L544="Choylayfut F",26,IF(Atletas!L544="Hunggar F",27,IF(Atletas!L544="Wuzuquan F",28,IF(Atletas!L544="Wingchun F",29,IF(Atletas!L544="Outra Mão de Sul F",30,IF(Atletas!L544="Dishuquan A",31,IF(Atletas!L544="Dishuquan B",32,IF(Atletas!L544="Dishuquan C",33,IF(Atletas!L544="Dishuquan D",34,IF(Atletas!L544="Dishuquan E",35,IF(Atletas!L544="Dishuquan F",36,""))))))))))))))))))))))))))))))))))))))</f>
        <v/>
      </c>
      <c r="BS553" s="50" t="str">
        <f>IF(Atletas!M544="","",IF(Atletas!X544&lt;&gt;"",10000,0)+(IF(Atletas!B544="Feminino",1000,IF(Atletas!B544="Masculino",2000,""))+(IF(Atletas!M544="Chaquan A",101,IF(Atletas!M544="Emeiquan A",102,IF(Atletas!M544="Fanziquan A",103,IF(Atletas!M544="Huaquan A",104,IF(Atletas!M544="Hongquan A",105,IF(Atletas!M544="Paoquan A",106,IF(Atletas!M544="Piguaquan A",107,IF(Atletas!M544="Shaolinquan A",108,IF(Atletas!M544="Tanglangquan A",109,IF(Atletas!M544="Yingzhaoquan A",110,IF(Atletas!M544="Tongbeiquan A",111,IF(Atletas!M544="Wudangquan A",112,IF(Atletas!M544="Outros Estilos A",113,IF(Atletas!M544="Chaquan B",114,IF(Atletas!M544="Emeiquan B",115,IF(Atletas!M544="Fanziquan B",116,IF(Atletas!M544="Huaquan B",117,IF(Atletas!M544="Hongquan B",118,IF(Atletas!M544="Paoquan B",119,IF(Atletas!M544="Piguaquan B",120,IF(Atletas!M544="Shaolinquan B",121,IF(Atletas!M544="Tanglangquan B",122,IF(Atletas!M544="Yingzhaoquan B",123,IF(Atletas!M544="Tongbeiquan B",124,IF(Atletas!M544="Wudangquan B",125,IF(Atletas!M544="Outros Estilos B",126,IF(Atletas!M544="Chaquan C",127,IF(Atletas!M544="Emeiquan C",128,IF(Atletas!M544="Fanziquan C",129,IF(Atletas!M544="Huaquan C",130,IF(Atletas!M544="Hongquan C",131,IF(Atletas!M544="Paoquan C",132,IF(Atletas!M544="Piguaquan C",133,IF(Atletas!M544="Shaolinquan C",134,IF(Atletas!M544="Tanglangquan C",135,IF(Atletas!M544="Yingzhaoquan C",136,IF(Atletas!M544="Tongbeiquan C",137,IF(Atletas!M544="Wudangquan C",138,IF(Atletas!M544="Outros Estilos C",139,0))))))))))))))))))))))))))))))))))))))))))</f>
        <v/>
      </c>
      <c r="BT553" s="50" t="str">
        <f>IF(Atletas!M544="","",IF(Atletas!X544&lt;&gt;"",10000,0)+(IF(Atletas!B544="Feminino",1000,IF(Atletas!B544="Masculino",2000,""))+(IF(Atletas!M544="Chaquan D",140,IF(Atletas!M544="Emeiquan D",141,IF(Atletas!M544="Fanziquan D",142,IF(Atletas!M544="Huaquan D",143,IF(Atletas!M544="Hongquan D",144,IF(Atletas!M544="Paoquan D",145,IF(Atletas!M544="Piguaquan D",146,IF(Atletas!M544="Shaolinquan D",147,IF(Atletas!M544="Tanglangquan D",148,IF(Atletas!M544="Yingzhaoquan D",149,IF(Atletas!M544="Tongbeiquan D",150,IF(Atletas!M544="Wudangquan D",151,IF(Atletas!M544="Outros Estilos D",152,IF(Atletas!M544="Chaquan E",153,IF(Atletas!M544="Emeiquan E",154,IF(Atletas!M544="Fanziquan E",155,IF(Atletas!M544="Huaquan E",156,IF(Atletas!M544="Hongquan E",157,IF(Atletas!M544="Paoquan E",158,IF(Atletas!M544="Piguaquan E",159,IF(Atletas!M544="Shaolinquan E",160,IF(Atletas!M544="Tanglangquan E",161,IF(Atletas!M544="Yingzhaoquan E",162,IF(Atletas!M544="Tongbeiquan E",163,IF(Atletas!M544="Wudangquan E",164,IF(Atletas!M544="Outros Estilos E",165,IF(Atletas!M544="Chaquan F",166,IF(Atletas!M544="Emeiquan F",167,IF(Atletas!M544="Fanziquan F",168,IF(Atletas!M544="Huaquan F",169,IF(Atletas!M544="Hongquan F",170,IF(Atletas!M544="Paoquan F",171,IF(Atletas!M544="Piguaquan F",172,IF(Atletas!M544="Shaolinquan F",173,IF(Atletas!M544="Tanglangquan F",174,IF(Atletas!M544="Yingzhaoquan F",175,IF(Atletas!M544="Tongbeiquan F",176,IF(Atletas!M544="Wudangquan F",177,IF(Atletas!M544="Outros Estilos F",178,0))))))))))))))))))))))))))))))))))))))))))</f>
        <v/>
      </c>
      <c r="BU553" s="50" t="str">
        <f>IF(Atletas!N544="","",IF(Atletas!X544&lt;&gt;"",10000,0)+(IF(Atletas!B544="Feminino",1000,IF(Atletas!B544="Masculino",2000,""))+(IF(Atletas!N544="Ditangquan A",201,IF(Atletas!N544="Houquan A",202,IF(Atletas!N544="Zuiquan A",203,IF(Atletas!N544="Ditangquan B",204,IF(Atletas!N544="Houquan B",205,IF(Atletas!N544="Zuiquan B",206,IF(Atletas!N544="Ditangquan C",207,IF(Atletas!N544="Houquan C",208,IF(Atletas!N544="Zuiquan C",209,IF(Atletas!N544="Ditangquan D",210,IF(Atletas!N544="Houquan D",211,IF(Atletas!N544="Zuiquan D",212,IF(Atletas!N544="Ditangquan E",213,IF(Atletas!N544="Houquan E",214,IF(Atletas!N544="Zuiquan E",215,IF(Atletas!N544="Ditangquan F",216,IF(Atletas!N544="Houquan F",217,IF(Atletas!N544="Zuiquan F",218,"")))))))))))))))))))))</f>
        <v/>
      </c>
      <c r="BV553" s="50" t="str">
        <f>IF(Atletas!O544="","",IF(Atletas!X544&lt;&gt;"",10000,0)+IF(Atletas!B544="Feminino",1000,IF(Atletas!B544="Masculino",2000,""))+IF(Atletas!O544="Yang A",301,IF(Atletas!O544="Chen A",302,IF(Atletas!O544="Sun A",303,IF(Atletas!O544="Wu A",304,IF(Atletas!O544="Wu-Hao A",305,IF(Atletas!O544="Outro Taijiquan A",306,IF(Atletas!O544="Yang B",307,IF(Atletas!O544="Chen B",308,IF(Atletas!O544="Sun B",309,IF(Atletas!O544="Wu B",310,IF(Atletas!O544="Wu-Hao B",311,IF(Atletas!O544="Outro Taijiquan B",312,IF(Atletas!O544="Yang C",313,IF(Atletas!O544="Chen C",314,IF(Atletas!O544="Sun C",315,IF(Atletas!O544="Wu C",316,IF(Atletas!O544="Wu-Hao C",317,IF(Atletas!O544="Outro Taijiquan C",318,IF(Atletas!O544="Yang D",319,IF(Atletas!O544="Chen D",320,IF(Atletas!O544="Sun D",321,IF(Atletas!O544="Wu D",322,IF(Atletas!O544="Wu-Hao D",323,IF(Atletas!O544="Outro Taijiquan D",324,IF(Atletas!O544="Yang E",325,IF(Atletas!O544="Chen E",326,IF(Atletas!O544="Sun E",327,IF(Atletas!O544="Wu E",328,IF(Atletas!O544="Wu-Hao E",329,IF(Atletas!O544="Outro Taijiquan E",330,IF(Atletas!O544="Yang F",331,IF(Atletas!O544="Chen F",332,IF(Atletas!O544="Sun F",333,IF(Atletas!O544="Wu F",334,IF(Atletas!O544="Wu-Hao F",335,IF(Atletas!O544="Outro Taijiquan F",336,"")))))))))))))))))))))))))))))))))))))</f>
        <v/>
      </c>
      <c r="BW553" s="50" t="str">
        <f>IF(Atletas!P544="","",IF(Atletas!X544&lt;&gt;"",10000,0)+IF(Atletas!B544="Feminino",1000,IF(Atletas!B544="Masculino",2000,""))+IF(OR(Atletas!P544="Yang 26 A",Atletas!P544="Yang 40 A"),401,IF(OR(Atletas!P544="Chen 25 A",Atletas!P544="Chen 36 A",Atletas!P544="Chen 56 A"),402,IF(Atletas!P544="Sun 73 A",403,IF(Atletas!P544="Wu 45 A",404,IF(Atletas!P544="Wu-Hao 46 A",405,IF(OR(Atletas!P544="Taijiquan 16 A",Atletas!P544="Taijiquan 24 A",Atletas!P544="Taijiquan 32 A",Atletas!P544="Taijiquan 42 A"),406,IF(OR(Atletas!P544="Yang 26 B",Atletas!P544="Yang 40 B"),407,IF(OR(Atletas!P544="Chen 25 B",Atletas!P544="Chen 36 B",Atletas!P544="Chen 56 B"),408,IF(Atletas!P544="Sun 73 B",409,IF(Atletas!P544="Wu 45 B",410,IF(Atletas!P544="Wu-Hao 46 B",411,IF(OR(Atletas!P544="Taijiquan 16 B",Atletas!P544="Taijiquan 24 B",Atletas!P544="Taijiquan 32 B",Atletas!P544="Taijiquan 42 B"),412,IF(OR(Atletas!P544="Yang 26 C",Atletas!P544="Yang 40 C"),413,IF(OR(Atletas!P544="Chen 25 C",Atletas!P544="Chen 36 C",Atletas!P544="Chen 56 C"),414,IF(Atletas!P544="Sun 73 C",415,IF(Atletas!P544="Wu 45 C",416,IF(Atletas!P544="Wu-Hao 46 C",417,IF(OR(Atletas!P544="Taijiquan 16 C",Atletas!P544="Taijiquan 24 C",Atletas!P544="Taijiquan 32 C",Atletas!P544="Taijiquan 42 C"),418,0)))))))))))))))))))</f>
        <v/>
      </c>
      <c r="BX553" s="50" t="str">
        <f>IF(Atletas!P544="","",IF(Atletas!X544&lt;&gt;"",10000,0)+IF(Atletas!B544="Feminino",1000,IF(Atletas!B544="Masculino",2000,""))+IF(OR(Atletas!P544="Yang 26 D",Atletas!P544="Yang 40 D"),419,IF(OR(Atletas!P544="Chen 25 D",Atletas!P544="Chen 36 D",Atletas!P544="Chen 56 D"),420,IF(Atletas!P544="Sun 73 D",421,IF(Atletas!P544="Wu 45 D",422,IF(Atletas!P544="Wu-Hao 46 D",423,IF(OR(Atletas!P544="Taijiquan 16 D",Atletas!P544="Taijiquan 24 D",Atletas!P544="Taijiquan 32 D",Atletas!P544="Taijiquan 42 D"),424,IF(OR(Atletas!P544="Yang 26 E",Atletas!P544="Yang 40 E"),425,IF(OR(Atletas!P544="Chen 25 E",Atletas!P544="Chen 36 E",Atletas!P544="Chen 56 E"),426,IF(Atletas!P544="Sun 73 E",427,IF(Atletas!P544="Wu 45 E",428,IF(Atletas!P544="Wu-Hao 46 E",429,IF(OR(Atletas!P544="Taijiquan 16 E",Atletas!P544="Taijiquan 24 E",Atletas!P544="Taijiquan 32 E",Atletas!P544="Taijiquan 42 E"),430,IF(OR(Atletas!P544="Yang 26 F",Atletas!P544="Yang 40 F"),431,IF(OR(Atletas!P544="Chen 25 F",Atletas!P544="Chen 36 F",Atletas!P544="Chen 56 F"),432,IF(Atletas!P544="Sun 73 F",433,IF(Atletas!P544="Wu 45 F",434,IF(Atletas!P544="Wu-Hao 46 F",435,IF(OR(Atletas!P544="Taijiquan 16 F",Atletas!P544="Taijiquan 24 F",Atletas!P544="Taijiquan 32 F",Atletas!P544="Taijiquan 42 F"),436,0)))))))))))))))))))</f>
        <v/>
      </c>
      <c r="BY553" s="50" t="str">
        <f>IF(Atletas!Q544="","",IF(Atletas!X544&lt;&gt;"",10000,0)+IF(Atletas!B544="Feminino",1000,IF(Atletas!B544="Masculino",2000,""))+IF(Atletas!Q544="Xingyiquan A",501,IF(Atletas!Q544="Baguazhang A",502,IF(Atletas!Q544="Outro Estilo Interno A",503,IF(Atletas!Q544="Xingyiquan B",504,IF(Atletas!Q544="Baguazhang B",505,IF(Atletas!Q544="Outro Estilo Interno B",506,IF(Atletas!Q544="Xingyiquan C",507,IF(Atletas!Q544="Baguazhang C",508,IF(Atletas!Q544="Outro Estilo Interno C",509,IF(Atletas!Q544="Xingyiquan D",510,IF(Atletas!Q544="Baguazhang D",511,IF(Atletas!Q544="Outro Estilo Interno D",512,IF(Atletas!Q544="Xingyiquan E",513,IF(Atletas!Q544="Baguazhang E",514,IF(Atletas!Q544="Outro Estilo Interno E",515,IF(Atletas!Q544="Xingyiquan F",516,IF(Atletas!Q544="Baguazhang F",517,IF(Atletas!Q544="Outro Estilo Interno F",518, "")))))))))))))))))))</f>
        <v/>
      </c>
      <c r="BZ553" s="50" t="str">
        <f>IF(Atletas!R544="","",IF(Atletas!X544&lt;&gt;"",10000,0)+IF(Atletas!B544="Feminino",1000,IF(Atletas!B544="Masculino",2000,""))+IF(Atletas!R544="Dao A",601,IF(Atletas!R544="Jian A",602,IF(Atletas!R544="Bishou A",603,IF(Atletas!R544="Shanzi A",604,IF(Atletas!R544="Outra Arma Curta A",605,IF(Atletas!R544="Dao B",606,IF(Atletas!R544="Jian B",607,IF(Atletas!R544="Bishou B",608,IF(Atletas!R544="Shanzi B",609,IF(Atletas!R544="Outra Arma Curta B",610,IF(Atletas!R544="Dao C",611,IF(Atletas!R544="Jian C",612,IF(Atletas!R544="Bishou C",613,IF(Atletas!R544="Shanzi C",614,IF(Atletas!R544="Outra Arma Curta C",615,IF(Atletas!R544="Dao D",616,IF(Atletas!R544="Jian D",617,IF(Atletas!R544="Bishou D",618,IF(Atletas!R544="Shanzi D",619,IF(Atletas!R544="Outra Arma Curta D",620,IF(Atletas!R544="Dao E",621,IF(Atletas!R544="Jian E",622,IF(Atletas!R544="Bishou E",623,IF(Atletas!R544="Shanzi E",624,IF(Atletas!R544="Outra Arma Curta E",625,IF(Atletas!R544="Dao F",626,IF(Atletas!R544="Jian F",627,IF(Atletas!R544="Bishou F",628,IF(Atletas!R544="Shanzi F",629,IF(Atletas!R544="Outra Arma Curta F",630, "")))))))))))))))))))))))))))))))</f>
        <v/>
      </c>
      <c r="CA553" s="50" t="str">
        <f>IF(Atletas!S544="","",IF(Atletas!X544&lt;&gt;"",10000,0)+IF(Atletas!B544="Feminino",1000,IF(Atletas!B544="Masculino",2000,""))+IF(Atletas!S544="Gun A",701,IF(Atletas!S544="Qiang A",702,IF(Atletas!S544="Pudao / Guandao A",703,IF(Atletas!S544="Outra Arma Longa A",704,IF(Atletas!S544="Gun B",705,IF(Atletas!S544="Qiang B",706,IF(Atletas!S544="Pudao / Guandao B",707,IF(Atletas!S544="Outra Arma Longa B",708,IF(Atletas!S544="Gun C",709,IF(Atletas!S544="Qiang C",710,IF(Atletas!S544="Pudao / Guandao C",711,IF(Atletas!S544="Outra Arma Longa C",712,IF(Atletas!S544="Gun D",713,IF(Atletas!S544="Qiang D",714,IF(Atletas!S544="Pudao / Guandao D",715,IF(Atletas!S544="Outra Arma Longa D",716,IF(Atletas!S544="Gun E",717,IF(Atletas!S544="Qiang E",718,IF(Atletas!S544="Pudao / Guandao E",719,IF(Atletas!S544="Outra Arma Longa E",720,IF(Atletas!S544="Gun F",721,IF(Atletas!S544="Qiang F",722,IF(Atletas!S544="Pudao / Guandao F",723,IF(Atletas!S544="Outra Arma Longa F",724,"")))))))))))))))))))))))))</f>
        <v/>
      </c>
      <c r="CB553" s="50" t="str">
        <f>IF(Atletas!T544="","",IF(Atletas!X544&lt;&gt;"",10000,0)+IF(Atletas!B544="Feminino",1000,IF(Atletas!B544="Masculino",2000,""))+IF(Atletas!T544="Outra Arma Dupla A",801,IF(Atletas!T544="Arma Maleável A",802,IF(Atletas!T544="Outra Arma Dupla B",803,IF(Atletas!T544="Arma Maleável B",804,IF(Atletas!T544="Outra Arma Dupla C",805,IF(Atletas!T544="Arma Maleável C",806,IF(Atletas!T544="Outra Arma Dupla D",807,IF(Atletas!T544="Arma Maleável D",808,IF(Atletas!T544="Outra Arma Dupla E",809,IF(Atletas!T544="Arma Maleável E",810,IF(Atletas!T544="Outra Arma Dupla F",811,IF(Atletas!T544="Arma Maleável F",812,IF(Atletas!T544="Shuangdao A",813,IF(Atletas!T544="Shuangdao B",814,IF(Atletas!T544="Shuangdao C",815,IF(Atletas!T544="Shuangdao D",816,IF(Atletas!T544="Shuangdao E",817,IF(Atletas!T544="Shuangdao F",818,"")))))))))))))))))))</f>
        <v/>
      </c>
      <c r="CC553" s="50" t="str">
        <f>IF(Atletas!U544="","",IF(Atletas!X544&lt;&gt;"",10000,0)+IF(Atletas!B544="Feminino",1000,IF(Atletas!B544="Masculino",2000,""))+IF(OR(Atletas!U544="Taijijian Yang A",Atletas!U544="Taijijian Yang Standard A"),901,IF(OR(Atletas!U544="Taijijian Chen A", Atletas!U544="Taijijian Chen Standard A"),902,IF(Atletas!U544="Taijijian Sun A",903,IF(Atletas!U544="Taijijian Wu A",904,IF(Atletas!U544="Taijijian Wu-Hao A",905,IF(OR(Atletas!U544="Taijijian 32 A",Atletas!U544="Taijijian 42 A"),906,IF(OR(Atletas!U544="Taijijian Yang B",Atletas!U544="Taijijian Yang Standard B"),907,IF(OR(Atletas!U544="Taijijian Chen B", Atletas!U544="Taijijian Chen Standard B"),908,IF(Atletas!U544="Taijijian Sun B",909,IF(Atletas!U544="Taijijian Wu B",910,IF(Atletas!U544="Taijijian Wu-Hao B",911,IF(OR(Atletas!U544="Taijijian 32 B",Atletas!U544="Taijijian 42 B"),912,IF(OR(Atletas!U544="Taijijian Yang C",Atletas!U544="Taijijian Yang Standard C"),913,IF(OR(Atletas!U544="Taijijian Chen C", Atletas!U544="Taijijian Chen Standard C"),914,IF(Atletas!U544="Taijijian Sun C",915,IF(Atletas!U544="Taijijian Wu C",916,IF(Atletas!U544="Taijijian Wu-Hao C",917,IF(OR(Atletas!U544="Taijijian 32 C",Atletas!U544="Taijijian 42 C"),918,IF(OR(Atletas!U544="Taijijian Yang D",Atletas!U544="Taijijian Yang Standard D"),919,IF(OR(Atletas!U544="Taijijian Chen D", Atletas!U544="Taijijian Chen Standard D"),920,IF(Atletas!U544="Taijijian Sun D",921,IF(Atletas!U544="Taijijian Wu D",922,IF(Atletas!U544="Taijijian Wu-Hao D",923,IF(OR(Atletas!U544="Taijijian 32 D",Atletas!U544="Taijijian 42 D"),924,IF(OR(Atletas!U544="Taijijian Yang E",Atletas!U544="Taijijian Yang Standard E"),925,IF(OR(Atletas!U544="Taijijian Chen E", Atletas!U544="Taijijian Chen Standard E"),926,IF(Atletas!U544="Taijijian Sun E",927,IF(Atletas!U544="Taijijian Wu E",928,IF(Atletas!U544="Taijijian Wu-Hao E",929,IF(OR(Atletas!U544="Taijijian 32 E",Atletas!U544="Taijijian 42 E"),930,IF(OR(Atletas!U544="Taijijian Yang F",Atletas!U544="Taijijian Yang Standard F"),931,IF(OR(Atletas!U544="Taijijian Chen F", Atletas!U544="Taijijian Chen Standard F"),932,IF(Atletas!U544="Taijijian Sun F",933,IF(Atletas!U544="Taijijian Wu F",934,IF(Atletas!U544="Taijijian Wu-Hao F",935,IF(OR(Atletas!U544="Taijijian 32 F",Atletas!U544="Taijijian 42 F"),936,"")))))))))))))))))))))))))))))))))))))</f>
        <v/>
      </c>
      <c r="CD553" s="50" t="str">
        <f>IF(Atletas!V544="","",IF(Atletas!X544&lt;&gt;"",10000,0)+IF(Atletas!B544="Feminino",1000,IF(Atletas!B544="Masculino",2000,""))+IF(Atletas!V544="Taijidao A",937,IF(Atletas!V544="TaijiShanzi A",938,IF(Atletas!V544="Taijiqiang A",939,IF(Atletas!V544="Bagua de Arma A",940,IF(Atletas!V544="Xingyi de Arma A",941,IF(Atletas!V544="Taijidao B",942,IF(Atletas!V544="TaijiShanzi B",943,IF(Atletas!V544="Taijiqiang B",944,IF(Atletas!V544="Bagua de Arma B",945,IF(Atletas!V544="Xingyi de Arma B",946,IF(Atletas!V544="Taijidao C",947,IF(Atletas!V544="TaijiShanzi C",948,IF(Atletas!V544="Taijiqiang C",949,IF(Atletas!V544="Bagua de Arma C",950,IF(Atletas!V544="Xingyi de Arma C",951,IF(Atletas!V544="Taijidao D",952,IF(Atletas!V544="TaijiShanzi D",953,IF(Atletas!V544="Taijiqiang D",954,IF(Atletas!V544="Bagua de Arma D",955,IF(Atletas!V544="Xingyi de Arma D",956,IF(Atletas!V544="Taijidao E",957,IF(Atletas!V544="TaijiShanzi E",958,IF(Atletas!V544="Taijiqiang E",959,IF(Atletas!V544="Bagua de Arma E",960,IF(Atletas!V544="Xingyi de Arma E",961,IF(Atletas!V544="Taijidao F",962,IF(Atletas!V544="TaijiShanzi F",963,IF(Atletas!V544="Taijiqiang F",964,IF(Atletas!V544="Bagua de Arma F",965,IF(Atletas!V544="Xingyi de Arma F",966,"")))))))))))))))))))))))))))))))</f>
        <v/>
      </c>
      <c r="CM553" s="50" t="str">
        <f xml:space="preserve"> IF(Atletas!W544="","",IF(Atletas!W544="Duilian de Mãos BC - Equipe 1",1,IF(Atletas!W544="Duilian de Mãos BC - Equipe 2",2,IF(Atletas!W544="Duilian de Armas BC - Equipe 1",3,IF(Atletas!W544="Duilian de Armas BC - Equipe 2",4,IF(Atletas!W544="Duilian de Mãos DE - Equipe 1",5,IF(Atletas!W544="Duilian de Mãos DE - Equipe 2",6,IF(Atletas!W544="Duilian de Armas DE - Equipe 1",7,IF(Atletas!W544="Duilian de Armas DE - Equipe 2",8,IF(Atletas!W544="Duilian de Tuishou - Equipe 1",9,IF(Atletas!W544="Duilian de Tuishou - Equipe 2",10,IF(Atletas!W544="Grupo Externo ABC - Equipe 1",11,IF(Atletas!W544="Grupo Externo ABC - Equipe 2",12,IF(Atletas!W544="Grupo Interno ABC - Equipe 1",13,IF(Atletas!W544="Grupo Interno ABC - Equipe 2",14,IF(Atletas!W544="Grupo Externo DEF - Equipe 1",15,IF(Atletas!W544="Grupo Externo DEF - Equipe 2",16,IF(Atletas!W544="Grupo Interno DEF - Equipe 1",17,IF(Atletas!W544="Grupo Interno DEF - Equipe 2",18,"")))))))))))))))))))</f>
        <v/>
      </c>
    </row>
    <row r="554" spans="40:91">
      <c r="AN554" s="52" t="str">
        <f>IF(Atletas!D545="","",IF(Atletas!B545="Feminino",100,IF(Atletas!B545="Masculino",200,""))+(IF(Atletas!D545="Kids 30kg",1,IF(Atletas!D545="Kids 32kg",2, IF(Atletas!D545="Kids 34kg",3,IF(Atletas!D545="Kids 36kg",4,IF(Atletas!D545="Kids 39kg",5,IF(Atletas!D545="Kids 42kg",6,IF(Atletas!D545="Kids 45kg",7, IF(Atletas!D545="Infantil 39kg",8,IF(Atletas!D545="Infantil 42kg",9,IF(Atletas!D545="Infantil 45kg",10,IF(Atletas!D545="Infantil 48kg",11,IF(Atletas!D545="Infantil 52kg",12,IF(Atletas!D545="Infantil 56kg",13,IF(Atletas!D545="Infantil 60kg",14,IF(Atletas!D545="Juvenil 48kg",15,IF(Atletas!D545="Juvenil 52kg",16,IF(Atletas!D545="Juvenil 56kg",17,IF(Atletas!D545="Juvenil 60kg",18,IF(Atletas!D545="Juvenil 65kg",19,IF(Atletas!D545="Juvenil 70kg",20,IF(Atletas!D545="Juvenil 75kg",21,IF(Atletas!D545="Juvenil 80kg",22, IF(Atletas!D545="Juvenil 85kg",23,IF(Atletas!D545="Adulto 48kg",24,IF(Atletas!D545="Adulto 52kg",25,IF(Atletas!D545="Adulto 56kg",26,IF(Atletas!D545="Adulto 60kg",27,IF(Atletas!D545="Adulto 65kg",28,IF(Atletas!D545="Adulto 70kg",29,IF(Atletas!D545="Adulto 75kg",30,IF(Atletas!D545="Adulto 80kg",31,IF(Atletas!D545="Adulto 85kg",32,IF(Atletas!D545="Adulto 90kg",33,IF(Atletas!D545="Adulto 100kg",34, IF(Atletas!D545="Adulto +100kg",35,"")))))))))))))))))))))))))))))))))))))</f>
        <v/>
      </c>
      <c r="AS554" s="6" t="str">
        <f>IF(Atletas!E545="","",IF(Atletas!B545="Feminino",100,IF(Atletas!B545="Masculino",200,""))+(IF(Atletas!E545="Juvenil 44kg",1,IF(Atletas!E545="Juvenil 48kg",2,IF(Atletas!E545="Juvenil 52kg",3,IF(Atletas!E545="Juvenil 56kg",4,IF(Atletas!E545="Juvenil 60kg",5,IF(Atletas!E545="Juvenil 65kg",6,IF(Atletas!E545="Juvenil 70kg",7,IF(Atletas!E545="Juvenil 75kg",8,IF(Atletas!E545="Juvenil 82kg",9,IF(Atletas!E545="Juvenil 90kg",10,IF(Atletas!E545="Juvenil 100kg",11,IF(Atletas!E545="Adulto 48kg",12,IF(Atletas!E545="Adulto 52kg",13,IF(Atletas!E545="Adulto 56kg",14,IF(Atletas!E545="Adulto 60kg",15,IF(Atletas!E545="Adulto 65kg",16,IF(Atletas!E545="Adulto 70kg",17,IF(Atletas!E545="Adulto 75kg",18,IF(Atletas!E545="Adulto 82kg",19,IF(Atletas!E545="Adulto 90kg",20,IF(Atletas!E545="Adulto 100kg",21,IF(Atletas!E545="Adulto +100kg",22,""))))))))))))))))))))))))</f>
        <v/>
      </c>
      <c r="AX554" s="6" t="str">
        <f>IF(Atletas!F545="","",IF(Atletas!B545="Feminino",100,IF(Atletas!B545="Masculino",200,""))+(IF(Atletas!F545="Adulto 48kg",1,IF(Atletas!F545="Adulto 56kg",2,IF(Atletas!F545="Adulto 65kg",3,IF(Atletas!F545="Adulto 75kg",4,IF(Atletas!F545="Adulto +75kg",5,IF(Atletas!F545="Adulto 52kg",6,IF(Atletas!F545="Adulto 60kg",7,IF(Atletas!F545="Adulto 70kg",8,IF(Atletas!F545="Adulto 80kg",9,IF(Atletas!F545="Adulto 90kg",10,IF(Atletas!F545="Adulto +90kg",11,"")))))))))))))</f>
        <v/>
      </c>
      <c r="BC554" s="6" t="str">
        <f>IF(Atletas!G545="","",IF(Atletas!B545="Feminino",10,IF(Atletas!B545="Masculino",20,""))+(IF(Atletas!G545="Baduanjin A",1,IF(Atletas!G545="Baduanjin B",2))))</f>
        <v/>
      </c>
      <c r="BF554" s="52" t="str">
        <f>IF(Atletas!H545="","",IF(Atletas!B545="Feminino",100,IF(Atletas!B545="Masculino",200,""))+(IF(Atletas!H545="Changquan Mirim",1,IF(Atletas!H545="Nanquan Mirim",2,IF(Atletas!H545="Taijiquan Mirim",3,IF(Atletas!H545="Changquan Grupo C",4,IF(Atletas!H545="Nanquan Grupo C",5,IF(Atletas!H545="Taijiquan Grupo C",6,IF(Atletas!H545="Changquan Grupo B",7,IF(Atletas!H545="Nanquan Grupo B",8,IF(Atletas!H545="Taijiquan Grupo B",9,IF(Atletas!H545="Changquan Grupo A",10,IF(Atletas!H545="Nanquan Grupo A",11,IF(Atletas!H545="Taijiquan Grupo A",12,IF(Atletas!H545="Changquan Opcional",13,IF(Atletas!H545="Nanquan Opcional",14,IF(Atletas!H545="Taijiquan Opcional",15,IF(Atletas!H545="Changquan Adulto",16,IF(Atletas!H545="Nanquan Adulto",17,IF(Atletas!H545="Taijiquan Adulto",18,""))))))))))))))))))))</f>
        <v/>
      </c>
      <c r="BG554" s="52" t="str">
        <f>IF(Atletas!I545="","",IF(Atletas!B545="Feminino",100,IF(Atletas!B545="Masculino",200,""))+(IF(Atletas!I545="Daoshu Mirim",19,IF(Atletas!I545="Jianshu Mirim",20,IF(Atletas!I545="Nandao Mirim",21,IF(Atletas!I545="Taijijian Mirim",22,IF(Atletas!I545="Daoshu Grupo C",23,IF(Atletas!I545="Jianshu Grupo C",24,IF(Atletas!I545="Nandao Grupo C",25,IF(Atletas!I545="Taijijian Grupo C",26,IF(Atletas!I545="Daoshu Grupo B",27,IF(Atletas!I545="Jianshu Grupo B",28,IF(Atletas!I545="Nandao Grupo B",29,IF(Atletas!I545="Taijijian Grupo B",30,IF(Atletas!I545="Daoshu Grupo A",31,IF(Atletas!I545="Jianshu Grupo A",32,IF(Atletas!I545="Nandao Grupo A",33,IF(Atletas!I545="Taijijian Grupo A",34,IF(Atletas!I545="Daoshu Opcional",35,IF(Atletas!I545="Jianshu Opcional",36,IF(Atletas!I545="Nandao Opcional",37,IF(Atletas!I545="Taijijian Opcional",38,IF(Atletas!I545="Daoshu Adulto",39,IF(Atletas!I545="Jianshu Adulto",40,IF(Atletas!I545="Nandao Adulto",41,IF(Atletas!I545="Taijijian Adulto",42,""))))))))))))))))))))))))))</f>
        <v/>
      </c>
      <c r="BH554" s="52" t="str">
        <f>IF(Atletas!J545="","",IF(Atletas!B545="Feminino",100,IF(Atletas!B545="Masculino",200,""))+(IF(Atletas!J545="Gunshu Mirim",43,IF(Atletas!J545="Qiangshu Mirim",44,IF(Atletas!J545="Nangun Mirim",45,IF(Atletas!J545="Gunshu Grupo C",46,IF(Atletas!J545="Qiangshu Grupo C",47,IF(Atletas!J545="Nangun Grupo C",48,IF(Atletas!J545="Gunshu Grupo B",49,IF(Atletas!J545="Qiangshu Grupo B",50,IF(Atletas!J545="Nangun Grupo B",51,IF(Atletas!J545="Gunshu Grupo A",52,IF(Atletas!J545="Qiangshu Grupo A",53,IF(Atletas!J545="Nangun Grupo A",54,IF(Atletas!J545="Gunshu Opcional",55,IF(Atletas!J545="Qiangshu Opcional",56,IF(Atletas!J545="Nangun Opcional",57,IF(Atletas!J545="Gunshu Adulto",58,IF(Atletas!J545="Qiangshu Adulto",59,IF(Atletas!J545="Nangun Adulto",60,IF(Atletas!J545="Taijishan Grupo B",61,IF(Atletas!J545="Taijishan Grupo A",62,""))))))))))))))))))))))</f>
        <v/>
      </c>
      <c r="BM554" s="50" t="str">
        <f>IF(Atletas!K545="","",IF(Atletas!B545="Feminino",100,IF(Atletas!B545="Masculino",200,""))+(IF(Atletas!K545="Equipe 1 Grupo B",1,IF(Atletas!K545="Equipe 2 Grupo B",2,IF(Atletas!K545="Equipe 1 Grupo A",3,IF(Atletas!K545="Equipe 2 Grupo A",4,IF(Atletas!K545="Equipe 1 Adulto",5,IF(Atletas!K545="Equipe 2 Adulto",6,""))))))))</f>
        <v/>
      </c>
      <c r="BR554" s="50" t="str">
        <f>IF(Atletas!L545="","",IF(Atletas!X545&lt;&gt;"",10000,0)+(IF(Atletas!B545="Feminino",1000,IF(Atletas!B545="Masculino",2000,""))+IF(Atletas!L545="Choylayfut A",1,IF(Atletas!L545="Hunggar A",2,IF(Atletas!L545="Wuzuquan A",3,IF(Atletas!L545="Wingchun A",4,IF(Atletas!L545="Outra Mão de Sul A",5,IF(Atletas!L545="Choylayfut B",6,IF(Atletas!L545="Hunggar B",7,IF(Atletas!L545="Wuzuquan B",8,IF(Atletas!L545="Wingchun B",9,IF(Atletas!L545="Outra Mão de Sul B",10,IF(Atletas!L545="Choylayfut C",11,IF(Atletas!L545="Hunggar C",12,IF(Atletas!L545="Wuzuquan C",13,IF(Atletas!L545="Wingchun C",14,IF(Atletas!L545="Outra Mão de Sul C",15,IF(Atletas!L545="Choylayfut D",16,IF(Atletas!L545="Hunggar D",17,IF(Atletas!L545="Wuzuquan D",18,IF(Atletas!L545="Wingchun D",19,IF(Atletas!L545="Outra Mão de Sul D",20,IF(Atletas!L545="Choylayfut E",21,IF(Atletas!L545="Hunggar E",22,IF(Atletas!L545="Wuzuquan E",23,IF(Atletas!L545="Wingchun E",24,IF(Atletas!L545="Outra Mão de Sul E",25,IF(Atletas!L545="Choylayfut F",26,IF(Atletas!L545="Hunggar F",27,IF(Atletas!L545="Wuzuquan F",28,IF(Atletas!L545="Wingchun F",29,IF(Atletas!L545="Outra Mão de Sul F",30,IF(Atletas!L545="Dishuquan A",31,IF(Atletas!L545="Dishuquan B",32,IF(Atletas!L545="Dishuquan C",33,IF(Atletas!L545="Dishuquan D",34,IF(Atletas!L545="Dishuquan E",35,IF(Atletas!L545="Dishuquan F",36,""))))))))))))))))))))))))))))))))))))))</f>
        <v/>
      </c>
      <c r="BS554" s="50" t="str">
        <f>IF(Atletas!M545="","",IF(Atletas!X545&lt;&gt;"",10000,0)+(IF(Atletas!B545="Feminino",1000,IF(Atletas!B545="Masculino",2000,""))+(IF(Atletas!M545="Chaquan A",101,IF(Atletas!M545="Emeiquan A",102,IF(Atletas!M545="Fanziquan A",103,IF(Atletas!M545="Huaquan A",104,IF(Atletas!M545="Hongquan A",105,IF(Atletas!M545="Paoquan A",106,IF(Atletas!M545="Piguaquan A",107,IF(Atletas!M545="Shaolinquan A",108,IF(Atletas!M545="Tanglangquan A",109,IF(Atletas!M545="Yingzhaoquan A",110,IF(Atletas!M545="Tongbeiquan A",111,IF(Atletas!M545="Wudangquan A",112,IF(Atletas!M545="Outros Estilos A",113,IF(Atletas!M545="Chaquan B",114,IF(Atletas!M545="Emeiquan B",115,IF(Atletas!M545="Fanziquan B",116,IF(Atletas!M545="Huaquan B",117,IF(Atletas!M545="Hongquan B",118,IF(Atletas!M545="Paoquan B",119,IF(Atletas!M545="Piguaquan B",120,IF(Atletas!M545="Shaolinquan B",121,IF(Atletas!M545="Tanglangquan B",122,IF(Atletas!M545="Yingzhaoquan B",123,IF(Atletas!M545="Tongbeiquan B",124,IF(Atletas!M545="Wudangquan B",125,IF(Atletas!M545="Outros Estilos B",126,IF(Atletas!M545="Chaquan C",127,IF(Atletas!M545="Emeiquan C",128,IF(Atletas!M545="Fanziquan C",129,IF(Atletas!M545="Huaquan C",130,IF(Atletas!M545="Hongquan C",131,IF(Atletas!M545="Paoquan C",132,IF(Atletas!M545="Piguaquan C",133,IF(Atletas!M545="Shaolinquan C",134,IF(Atletas!M545="Tanglangquan C",135,IF(Atletas!M545="Yingzhaoquan C",136,IF(Atletas!M545="Tongbeiquan C",137,IF(Atletas!M545="Wudangquan C",138,IF(Atletas!M545="Outros Estilos C",139,0))))))))))))))))))))))))))))))))))))))))))</f>
        <v/>
      </c>
      <c r="BT554" s="50" t="str">
        <f>IF(Atletas!M545="","",IF(Atletas!X545&lt;&gt;"",10000,0)+(IF(Atletas!B545="Feminino",1000,IF(Atletas!B545="Masculino",2000,""))+(IF(Atletas!M545="Chaquan D",140,IF(Atletas!M545="Emeiquan D",141,IF(Atletas!M545="Fanziquan D",142,IF(Atletas!M545="Huaquan D",143,IF(Atletas!M545="Hongquan D",144,IF(Atletas!M545="Paoquan D",145,IF(Atletas!M545="Piguaquan D",146,IF(Atletas!M545="Shaolinquan D",147,IF(Atletas!M545="Tanglangquan D",148,IF(Atletas!M545="Yingzhaoquan D",149,IF(Atletas!M545="Tongbeiquan D",150,IF(Atletas!M545="Wudangquan D",151,IF(Atletas!M545="Outros Estilos D",152,IF(Atletas!M545="Chaquan E",153,IF(Atletas!M545="Emeiquan E",154,IF(Atletas!M545="Fanziquan E",155,IF(Atletas!M545="Huaquan E",156,IF(Atletas!M545="Hongquan E",157,IF(Atletas!M545="Paoquan E",158,IF(Atletas!M545="Piguaquan E",159,IF(Atletas!M545="Shaolinquan E",160,IF(Atletas!M545="Tanglangquan E",161,IF(Atletas!M545="Yingzhaoquan E",162,IF(Atletas!M545="Tongbeiquan E",163,IF(Atletas!M545="Wudangquan E",164,IF(Atletas!M545="Outros Estilos E",165,IF(Atletas!M545="Chaquan F",166,IF(Atletas!M545="Emeiquan F",167,IF(Atletas!M545="Fanziquan F",168,IF(Atletas!M545="Huaquan F",169,IF(Atletas!M545="Hongquan F",170,IF(Atletas!M545="Paoquan F",171,IF(Atletas!M545="Piguaquan F",172,IF(Atletas!M545="Shaolinquan F",173,IF(Atletas!M545="Tanglangquan F",174,IF(Atletas!M545="Yingzhaoquan F",175,IF(Atletas!M545="Tongbeiquan F",176,IF(Atletas!M545="Wudangquan F",177,IF(Atletas!M545="Outros Estilos F",178,0))))))))))))))))))))))))))))))))))))))))))</f>
        <v/>
      </c>
      <c r="BU554" s="50" t="str">
        <f>IF(Atletas!N545="","",IF(Atletas!X545&lt;&gt;"",10000,0)+(IF(Atletas!B545="Feminino",1000,IF(Atletas!B545="Masculino",2000,""))+(IF(Atletas!N545="Ditangquan A",201,IF(Atletas!N545="Houquan A",202,IF(Atletas!N545="Zuiquan A",203,IF(Atletas!N545="Ditangquan B",204,IF(Atletas!N545="Houquan B",205,IF(Atletas!N545="Zuiquan B",206,IF(Atletas!N545="Ditangquan C",207,IF(Atletas!N545="Houquan C",208,IF(Atletas!N545="Zuiquan C",209,IF(Atletas!N545="Ditangquan D",210,IF(Atletas!N545="Houquan D",211,IF(Atletas!N545="Zuiquan D",212,IF(Atletas!N545="Ditangquan E",213,IF(Atletas!N545="Houquan E",214,IF(Atletas!N545="Zuiquan E",215,IF(Atletas!N545="Ditangquan F",216,IF(Atletas!N545="Houquan F",217,IF(Atletas!N545="Zuiquan F",218,"")))))))))))))))))))))</f>
        <v/>
      </c>
      <c r="BV554" s="50" t="str">
        <f>IF(Atletas!O545="","",IF(Atletas!X545&lt;&gt;"",10000,0)+IF(Atletas!B545="Feminino",1000,IF(Atletas!B545="Masculino",2000,""))+IF(Atletas!O545="Yang A",301,IF(Atletas!O545="Chen A",302,IF(Atletas!O545="Sun A",303,IF(Atletas!O545="Wu A",304,IF(Atletas!O545="Wu-Hao A",305,IF(Atletas!O545="Outro Taijiquan A",306,IF(Atletas!O545="Yang B",307,IF(Atletas!O545="Chen B",308,IF(Atletas!O545="Sun B",309,IF(Atletas!O545="Wu B",310,IF(Atletas!O545="Wu-Hao B",311,IF(Atletas!O545="Outro Taijiquan B",312,IF(Atletas!O545="Yang C",313,IF(Atletas!O545="Chen C",314,IF(Atletas!O545="Sun C",315,IF(Atletas!O545="Wu C",316,IF(Atletas!O545="Wu-Hao C",317,IF(Atletas!O545="Outro Taijiquan C",318,IF(Atletas!O545="Yang D",319,IF(Atletas!O545="Chen D",320,IF(Atletas!O545="Sun D",321,IF(Atletas!O545="Wu D",322,IF(Atletas!O545="Wu-Hao D",323,IF(Atletas!O545="Outro Taijiquan D",324,IF(Atletas!O545="Yang E",325,IF(Atletas!O545="Chen E",326,IF(Atletas!O545="Sun E",327,IF(Atletas!O545="Wu E",328,IF(Atletas!O545="Wu-Hao E",329,IF(Atletas!O545="Outro Taijiquan E",330,IF(Atletas!O545="Yang F",331,IF(Atletas!O545="Chen F",332,IF(Atletas!O545="Sun F",333,IF(Atletas!O545="Wu F",334,IF(Atletas!O545="Wu-Hao F",335,IF(Atletas!O545="Outro Taijiquan F",336,"")))))))))))))))))))))))))))))))))))))</f>
        <v/>
      </c>
      <c r="BW554" s="50" t="str">
        <f>IF(Atletas!P545="","",IF(Atletas!X545&lt;&gt;"",10000,0)+IF(Atletas!B545="Feminino",1000,IF(Atletas!B545="Masculino",2000,""))+IF(OR(Atletas!P545="Yang 26 A",Atletas!P545="Yang 40 A"),401,IF(OR(Atletas!P545="Chen 25 A",Atletas!P545="Chen 36 A",Atletas!P545="Chen 56 A"),402,IF(Atletas!P545="Sun 73 A",403,IF(Atletas!P545="Wu 45 A",404,IF(Atletas!P545="Wu-Hao 46 A",405,IF(OR(Atletas!P545="Taijiquan 16 A",Atletas!P545="Taijiquan 24 A",Atletas!P545="Taijiquan 32 A",Atletas!P545="Taijiquan 42 A"),406,IF(OR(Atletas!P545="Yang 26 B",Atletas!P545="Yang 40 B"),407,IF(OR(Atletas!P545="Chen 25 B",Atletas!P545="Chen 36 B",Atletas!P545="Chen 56 B"),408,IF(Atletas!P545="Sun 73 B",409,IF(Atletas!P545="Wu 45 B",410,IF(Atletas!P545="Wu-Hao 46 B",411,IF(OR(Atletas!P545="Taijiquan 16 B",Atletas!P545="Taijiquan 24 B",Atletas!P545="Taijiquan 32 B",Atletas!P545="Taijiquan 42 B"),412,IF(OR(Atletas!P545="Yang 26 C",Atletas!P545="Yang 40 C"),413,IF(OR(Atletas!P545="Chen 25 C",Atletas!P545="Chen 36 C",Atletas!P545="Chen 56 C"),414,IF(Atletas!P545="Sun 73 C",415,IF(Atletas!P545="Wu 45 C",416,IF(Atletas!P545="Wu-Hao 46 C",417,IF(OR(Atletas!P545="Taijiquan 16 C",Atletas!P545="Taijiquan 24 C",Atletas!P545="Taijiquan 32 C",Atletas!P545="Taijiquan 42 C"),418,0)))))))))))))))))))</f>
        <v/>
      </c>
      <c r="BX554" s="50" t="str">
        <f>IF(Atletas!P545="","",IF(Atletas!X545&lt;&gt;"",10000,0)+IF(Atletas!B545="Feminino",1000,IF(Atletas!B545="Masculino",2000,""))+IF(OR(Atletas!P545="Yang 26 D",Atletas!P545="Yang 40 D"),419,IF(OR(Atletas!P545="Chen 25 D",Atletas!P545="Chen 36 D",Atletas!P545="Chen 56 D"),420,IF(Atletas!P545="Sun 73 D",421,IF(Atletas!P545="Wu 45 D",422,IF(Atletas!P545="Wu-Hao 46 D",423,IF(OR(Atletas!P545="Taijiquan 16 D",Atletas!P545="Taijiquan 24 D",Atletas!P545="Taijiquan 32 D",Atletas!P545="Taijiquan 42 D"),424,IF(OR(Atletas!P545="Yang 26 E",Atletas!P545="Yang 40 E"),425,IF(OR(Atletas!P545="Chen 25 E",Atletas!P545="Chen 36 E",Atletas!P545="Chen 56 E"),426,IF(Atletas!P545="Sun 73 E",427,IF(Atletas!P545="Wu 45 E",428,IF(Atletas!P545="Wu-Hao 46 E",429,IF(OR(Atletas!P545="Taijiquan 16 E",Atletas!P545="Taijiquan 24 E",Atletas!P545="Taijiquan 32 E",Atletas!P545="Taijiquan 42 E"),430,IF(OR(Atletas!P545="Yang 26 F",Atletas!P545="Yang 40 F"),431,IF(OR(Atletas!P545="Chen 25 F",Atletas!P545="Chen 36 F",Atletas!P545="Chen 56 F"),432,IF(Atletas!P545="Sun 73 F",433,IF(Atletas!P545="Wu 45 F",434,IF(Atletas!P545="Wu-Hao 46 F",435,IF(OR(Atletas!P545="Taijiquan 16 F",Atletas!P545="Taijiquan 24 F",Atletas!P545="Taijiquan 32 F",Atletas!P545="Taijiquan 42 F"),436,0)))))))))))))))))))</f>
        <v/>
      </c>
      <c r="BY554" s="50" t="str">
        <f>IF(Atletas!Q545="","",IF(Atletas!X545&lt;&gt;"",10000,0)+IF(Atletas!B545="Feminino",1000,IF(Atletas!B545="Masculino",2000,""))+IF(Atletas!Q545="Xingyiquan A",501,IF(Atletas!Q545="Baguazhang A",502,IF(Atletas!Q545="Outro Estilo Interno A",503,IF(Atletas!Q545="Xingyiquan B",504,IF(Atletas!Q545="Baguazhang B",505,IF(Atletas!Q545="Outro Estilo Interno B",506,IF(Atletas!Q545="Xingyiquan C",507,IF(Atletas!Q545="Baguazhang C",508,IF(Atletas!Q545="Outro Estilo Interno C",509,IF(Atletas!Q545="Xingyiquan D",510,IF(Atletas!Q545="Baguazhang D",511,IF(Atletas!Q545="Outro Estilo Interno D",512,IF(Atletas!Q545="Xingyiquan E",513,IF(Atletas!Q545="Baguazhang E",514,IF(Atletas!Q545="Outro Estilo Interno E",515,IF(Atletas!Q545="Xingyiquan F",516,IF(Atletas!Q545="Baguazhang F",517,IF(Atletas!Q545="Outro Estilo Interno F",518, "")))))))))))))))))))</f>
        <v/>
      </c>
      <c r="BZ554" s="50" t="str">
        <f>IF(Atletas!R545="","",IF(Atletas!X545&lt;&gt;"",10000,0)+IF(Atletas!B545="Feminino",1000,IF(Atletas!B545="Masculino",2000,""))+IF(Atletas!R545="Dao A",601,IF(Atletas!R545="Jian A",602,IF(Atletas!R545="Bishou A",603,IF(Atletas!R545="Shanzi A",604,IF(Atletas!R545="Outra Arma Curta A",605,IF(Atletas!R545="Dao B",606,IF(Atletas!R545="Jian B",607,IF(Atletas!R545="Bishou B",608,IF(Atletas!R545="Shanzi B",609,IF(Atletas!R545="Outra Arma Curta B",610,IF(Atletas!R545="Dao C",611,IF(Atletas!R545="Jian C",612,IF(Atletas!R545="Bishou C",613,IF(Atletas!R545="Shanzi C",614,IF(Atletas!R545="Outra Arma Curta C",615,IF(Atletas!R545="Dao D",616,IF(Atletas!R545="Jian D",617,IF(Atletas!R545="Bishou D",618,IF(Atletas!R545="Shanzi D",619,IF(Atletas!R545="Outra Arma Curta D",620,IF(Atletas!R545="Dao E",621,IF(Atletas!R545="Jian E",622,IF(Atletas!R545="Bishou E",623,IF(Atletas!R545="Shanzi E",624,IF(Atletas!R545="Outra Arma Curta E",625,IF(Atletas!R545="Dao F",626,IF(Atletas!R545="Jian F",627,IF(Atletas!R545="Bishou F",628,IF(Atletas!R545="Shanzi F",629,IF(Atletas!R545="Outra Arma Curta F",630, "")))))))))))))))))))))))))))))))</f>
        <v/>
      </c>
      <c r="CA554" s="50" t="str">
        <f>IF(Atletas!S545="","",IF(Atletas!X545&lt;&gt;"",10000,0)+IF(Atletas!B545="Feminino",1000,IF(Atletas!B545="Masculino",2000,""))+IF(Atletas!S545="Gun A",701,IF(Atletas!S545="Qiang A",702,IF(Atletas!S545="Pudao / Guandao A",703,IF(Atletas!S545="Outra Arma Longa A",704,IF(Atletas!S545="Gun B",705,IF(Atletas!S545="Qiang B",706,IF(Atletas!S545="Pudao / Guandao B",707,IF(Atletas!S545="Outra Arma Longa B",708,IF(Atletas!S545="Gun C",709,IF(Atletas!S545="Qiang C",710,IF(Atletas!S545="Pudao / Guandao C",711,IF(Atletas!S545="Outra Arma Longa C",712,IF(Atletas!S545="Gun D",713,IF(Atletas!S545="Qiang D",714,IF(Atletas!S545="Pudao / Guandao D",715,IF(Atletas!S545="Outra Arma Longa D",716,IF(Atletas!S545="Gun E",717,IF(Atletas!S545="Qiang E",718,IF(Atletas!S545="Pudao / Guandao E",719,IF(Atletas!S545="Outra Arma Longa E",720,IF(Atletas!S545="Gun F",721,IF(Atletas!S545="Qiang F",722,IF(Atletas!S545="Pudao / Guandao F",723,IF(Atletas!S545="Outra Arma Longa F",724,"")))))))))))))))))))))))))</f>
        <v/>
      </c>
      <c r="CB554" s="50" t="str">
        <f>IF(Atletas!T545="","",IF(Atletas!X545&lt;&gt;"",10000,0)+IF(Atletas!B545="Feminino",1000,IF(Atletas!B545="Masculino",2000,""))+IF(Atletas!T545="Outra Arma Dupla A",801,IF(Atletas!T545="Arma Maleável A",802,IF(Atletas!T545="Outra Arma Dupla B",803,IF(Atletas!T545="Arma Maleável B",804,IF(Atletas!T545="Outra Arma Dupla C",805,IF(Atletas!T545="Arma Maleável C",806,IF(Atletas!T545="Outra Arma Dupla D",807,IF(Atletas!T545="Arma Maleável D",808,IF(Atletas!T545="Outra Arma Dupla E",809,IF(Atletas!T545="Arma Maleável E",810,IF(Atletas!T545="Outra Arma Dupla F",811,IF(Atletas!T545="Arma Maleável F",812,IF(Atletas!T545="Shuangdao A",813,IF(Atletas!T545="Shuangdao B",814,IF(Atletas!T545="Shuangdao C",815,IF(Atletas!T545="Shuangdao D",816,IF(Atletas!T545="Shuangdao E",817,IF(Atletas!T545="Shuangdao F",818,"")))))))))))))))))))</f>
        <v/>
      </c>
      <c r="CC554" s="50" t="str">
        <f>IF(Atletas!U545="","",IF(Atletas!X545&lt;&gt;"",10000,0)+IF(Atletas!B545="Feminino",1000,IF(Atletas!B545="Masculino",2000,""))+IF(OR(Atletas!U545="Taijijian Yang A",Atletas!U545="Taijijian Yang Standard A"),901,IF(OR(Atletas!U545="Taijijian Chen A", Atletas!U545="Taijijian Chen Standard A"),902,IF(Atletas!U545="Taijijian Sun A",903,IF(Atletas!U545="Taijijian Wu A",904,IF(Atletas!U545="Taijijian Wu-Hao A",905,IF(OR(Atletas!U545="Taijijian 32 A",Atletas!U545="Taijijian 42 A"),906,IF(OR(Atletas!U545="Taijijian Yang B",Atletas!U545="Taijijian Yang Standard B"),907,IF(OR(Atletas!U545="Taijijian Chen B", Atletas!U545="Taijijian Chen Standard B"),908,IF(Atletas!U545="Taijijian Sun B",909,IF(Atletas!U545="Taijijian Wu B",910,IF(Atletas!U545="Taijijian Wu-Hao B",911,IF(OR(Atletas!U545="Taijijian 32 B",Atletas!U545="Taijijian 42 B"),912,IF(OR(Atletas!U545="Taijijian Yang C",Atletas!U545="Taijijian Yang Standard C"),913,IF(OR(Atletas!U545="Taijijian Chen C", Atletas!U545="Taijijian Chen Standard C"),914,IF(Atletas!U545="Taijijian Sun C",915,IF(Atletas!U545="Taijijian Wu C",916,IF(Atletas!U545="Taijijian Wu-Hao C",917,IF(OR(Atletas!U545="Taijijian 32 C",Atletas!U545="Taijijian 42 C"),918,IF(OR(Atletas!U545="Taijijian Yang D",Atletas!U545="Taijijian Yang Standard D"),919,IF(OR(Atletas!U545="Taijijian Chen D", Atletas!U545="Taijijian Chen Standard D"),920,IF(Atletas!U545="Taijijian Sun D",921,IF(Atletas!U545="Taijijian Wu D",922,IF(Atletas!U545="Taijijian Wu-Hao D",923,IF(OR(Atletas!U545="Taijijian 32 D",Atletas!U545="Taijijian 42 D"),924,IF(OR(Atletas!U545="Taijijian Yang E",Atletas!U545="Taijijian Yang Standard E"),925,IF(OR(Atletas!U545="Taijijian Chen E", Atletas!U545="Taijijian Chen Standard E"),926,IF(Atletas!U545="Taijijian Sun E",927,IF(Atletas!U545="Taijijian Wu E",928,IF(Atletas!U545="Taijijian Wu-Hao E",929,IF(OR(Atletas!U545="Taijijian 32 E",Atletas!U545="Taijijian 42 E"),930,IF(OR(Atletas!U545="Taijijian Yang F",Atletas!U545="Taijijian Yang Standard F"),931,IF(OR(Atletas!U545="Taijijian Chen F", Atletas!U545="Taijijian Chen Standard F"),932,IF(Atletas!U545="Taijijian Sun F",933,IF(Atletas!U545="Taijijian Wu F",934,IF(Atletas!U545="Taijijian Wu-Hao F",935,IF(OR(Atletas!U545="Taijijian 32 F",Atletas!U545="Taijijian 42 F"),936,"")))))))))))))))))))))))))))))))))))))</f>
        <v/>
      </c>
      <c r="CD554" s="50" t="str">
        <f>IF(Atletas!V545="","",IF(Atletas!X545&lt;&gt;"",10000,0)+IF(Atletas!B545="Feminino",1000,IF(Atletas!B545="Masculino",2000,""))+IF(Atletas!V545="Taijidao A",937,IF(Atletas!V545="TaijiShanzi A",938,IF(Atletas!V545="Taijiqiang A",939,IF(Atletas!V545="Bagua de Arma A",940,IF(Atletas!V545="Xingyi de Arma A",941,IF(Atletas!V545="Taijidao B",942,IF(Atletas!V545="TaijiShanzi B",943,IF(Atletas!V545="Taijiqiang B",944,IF(Atletas!V545="Bagua de Arma B",945,IF(Atletas!V545="Xingyi de Arma B",946,IF(Atletas!V545="Taijidao C",947,IF(Atletas!V545="TaijiShanzi C",948,IF(Atletas!V545="Taijiqiang C",949,IF(Atletas!V545="Bagua de Arma C",950,IF(Atletas!V545="Xingyi de Arma C",951,IF(Atletas!V545="Taijidao D",952,IF(Atletas!V545="TaijiShanzi D",953,IF(Atletas!V545="Taijiqiang D",954,IF(Atletas!V545="Bagua de Arma D",955,IF(Atletas!V545="Xingyi de Arma D",956,IF(Atletas!V545="Taijidao E",957,IF(Atletas!V545="TaijiShanzi E",958,IF(Atletas!V545="Taijiqiang E",959,IF(Atletas!V545="Bagua de Arma E",960,IF(Atletas!V545="Xingyi de Arma E",961,IF(Atletas!V545="Taijidao F",962,IF(Atletas!V545="TaijiShanzi F",963,IF(Atletas!V545="Taijiqiang F",964,IF(Atletas!V545="Bagua de Arma F",965,IF(Atletas!V545="Xingyi de Arma F",966,"")))))))))))))))))))))))))))))))</f>
        <v/>
      </c>
      <c r="CM554" s="50" t="str">
        <f xml:space="preserve"> IF(Atletas!W545="","",IF(Atletas!W545="Duilian de Mãos BC - Equipe 1",1,IF(Atletas!W545="Duilian de Mãos BC - Equipe 2",2,IF(Atletas!W545="Duilian de Armas BC - Equipe 1",3,IF(Atletas!W545="Duilian de Armas BC - Equipe 2",4,IF(Atletas!W545="Duilian de Mãos DE - Equipe 1",5,IF(Atletas!W545="Duilian de Mãos DE - Equipe 2",6,IF(Atletas!W545="Duilian de Armas DE - Equipe 1",7,IF(Atletas!W545="Duilian de Armas DE - Equipe 2",8,IF(Atletas!W545="Duilian de Tuishou - Equipe 1",9,IF(Atletas!W545="Duilian de Tuishou - Equipe 2",10,IF(Atletas!W545="Grupo Externo ABC - Equipe 1",11,IF(Atletas!W545="Grupo Externo ABC - Equipe 2",12,IF(Atletas!W545="Grupo Interno ABC - Equipe 1",13,IF(Atletas!W545="Grupo Interno ABC - Equipe 2",14,IF(Atletas!W545="Grupo Externo DEF - Equipe 1",15,IF(Atletas!W545="Grupo Externo DEF - Equipe 2",16,IF(Atletas!W545="Grupo Interno DEF - Equipe 1",17,IF(Atletas!W545="Grupo Interno DEF - Equipe 2",18,"")))))))))))))))))))</f>
        <v/>
      </c>
    </row>
    <row r="555" spans="40:91">
      <c r="AN555" s="52" t="str">
        <f>IF(Atletas!D546="","",IF(Atletas!B546="Feminino",100,IF(Atletas!B546="Masculino",200,""))+(IF(Atletas!D546="Kids 30kg",1,IF(Atletas!D546="Kids 32kg",2, IF(Atletas!D546="Kids 34kg",3,IF(Atletas!D546="Kids 36kg",4,IF(Atletas!D546="Kids 39kg",5,IF(Atletas!D546="Kids 42kg",6,IF(Atletas!D546="Kids 45kg",7, IF(Atletas!D546="Infantil 39kg",8,IF(Atletas!D546="Infantil 42kg",9,IF(Atletas!D546="Infantil 45kg",10,IF(Atletas!D546="Infantil 48kg",11,IF(Atletas!D546="Infantil 52kg",12,IF(Atletas!D546="Infantil 56kg",13,IF(Atletas!D546="Infantil 60kg",14,IF(Atletas!D546="Juvenil 48kg",15,IF(Atletas!D546="Juvenil 52kg",16,IF(Atletas!D546="Juvenil 56kg",17,IF(Atletas!D546="Juvenil 60kg",18,IF(Atletas!D546="Juvenil 65kg",19,IF(Atletas!D546="Juvenil 70kg",20,IF(Atletas!D546="Juvenil 75kg",21,IF(Atletas!D546="Juvenil 80kg",22, IF(Atletas!D546="Juvenil 85kg",23,IF(Atletas!D546="Adulto 48kg",24,IF(Atletas!D546="Adulto 52kg",25,IF(Atletas!D546="Adulto 56kg",26,IF(Atletas!D546="Adulto 60kg",27,IF(Atletas!D546="Adulto 65kg",28,IF(Atletas!D546="Adulto 70kg",29,IF(Atletas!D546="Adulto 75kg",30,IF(Atletas!D546="Adulto 80kg",31,IF(Atletas!D546="Adulto 85kg",32,IF(Atletas!D546="Adulto 90kg",33,IF(Atletas!D546="Adulto 100kg",34, IF(Atletas!D546="Adulto +100kg",35,"")))))))))))))))))))))))))))))))))))))</f>
        <v/>
      </c>
      <c r="AS555" s="6" t="str">
        <f>IF(Atletas!E546="","",IF(Atletas!B546="Feminino",100,IF(Atletas!B546="Masculino",200,""))+(IF(Atletas!E546="Juvenil 44kg",1,IF(Atletas!E546="Juvenil 48kg",2,IF(Atletas!E546="Juvenil 52kg",3,IF(Atletas!E546="Juvenil 56kg",4,IF(Atletas!E546="Juvenil 60kg",5,IF(Atletas!E546="Juvenil 65kg",6,IF(Atletas!E546="Juvenil 70kg",7,IF(Atletas!E546="Juvenil 75kg",8,IF(Atletas!E546="Juvenil 82kg",9,IF(Atletas!E546="Juvenil 90kg",10,IF(Atletas!E546="Juvenil 100kg",11,IF(Atletas!E546="Adulto 48kg",12,IF(Atletas!E546="Adulto 52kg",13,IF(Atletas!E546="Adulto 56kg",14,IF(Atletas!E546="Adulto 60kg",15,IF(Atletas!E546="Adulto 65kg",16,IF(Atletas!E546="Adulto 70kg",17,IF(Atletas!E546="Adulto 75kg",18,IF(Atletas!E546="Adulto 82kg",19,IF(Atletas!E546="Adulto 90kg",20,IF(Atletas!E546="Adulto 100kg",21,IF(Atletas!E546="Adulto +100kg",22,""))))))))))))))))))))))))</f>
        <v/>
      </c>
      <c r="AX555" s="6" t="str">
        <f>IF(Atletas!F546="","",IF(Atletas!B546="Feminino",100,IF(Atletas!B546="Masculino",200,""))+(IF(Atletas!F546="Adulto 48kg",1,IF(Atletas!F546="Adulto 56kg",2,IF(Atletas!F546="Adulto 65kg",3,IF(Atletas!F546="Adulto 75kg",4,IF(Atletas!F546="Adulto +75kg",5,IF(Atletas!F546="Adulto 52kg",6,IF(Atletas!F546="Adulto 60kg",7,IF(Atletas!F546="Adulto 70kg",8,IF(Atletas!F546="Adulto 80kg",9,IF(Atletas!F546="Adulto 90kg",10,IF(Atletas!F546="Adulto +90kg",11,"")))))))))))))</f>
        <v/>
      </c>
      <c r="BC555" s="6" t="str">
        <f>IF(Atletas!G546="","",IF(Atletas!B546="Feminino",10,IF(Atletas!B546="Masculino",20,""))+(IF(Atletas!G546="Baduanjin A",1,IF(Atletas!G546="Baduanjin B",2))))</f>
        <v/>
      </c>
      <c r="BF555" s="52" t="str">
        <f>IF(Atletas!H546="","",IF(Atletas!B546="Feminino",100,IF(Atletas!B546="Masculino",200,""))+(IF(Atletas!H546="Changquan Mirim",1,IF(Atletas!H546="Nanquan Mirim",2,IF(Atletas!H546="Taijiquan Mirim",3,IF(Atletas!H546="Changquan Grupo C",4,IF(Atletas!H546="Nanquan Grupo C",5,IF(Atletas!H546="Taijiquan Grupo C",6,IF(Atletas!H546="Changquan Grupo B",7,IF(Atletas!H546="Nanquan Grupo B",8,IF(Atletas!H546="Taijiquan Grupo B",9,IF(Atletas!H546="Changquan Grupo A",10,IF(Atletas!H546="Nanquan Grupo A",11,IF(Atletas!H546="Taijiquan Grupo A",12,IF(Atletas!H546="Changquan Opcional",13,IF(Atletas!H546="Nanquan Opcional",14,IF(Atletas!H546="Taijiquan Opcional",15,IF(Atletas!H546="Changquan Adulto",16,IF(Atletas!H546="Nanquan Adulto",17,IF(Atletas!H546="Taijiquan Adulto",18,""))))))))))))))))))))</f>
        <v/>
      </c>
      <c r="BG555" s="52" t="str">
        <f>IF(Atletas!I546="","",IF(Atletas!B546="Feminino",100,IF(Atletas!B546="Masculino",200,""))+(IF(Atletas!I546="Daoshu Mirim",19,IF(Atletas!I546="Jianshu Mirim",20,IF(Atletas!I546="Nandao Mirim",21,IF(Atletas!I546="Taijijian Mirim",22,IF(Atletas!I546="Daoshu Grupo C",23,IF(Atletas!I546="Jianshu Grupo C",24,IF(Atletas!I546="Nandao Grupo C",25,IF(Atletas!I546="Taijijian Grupo C",26,IF(Atletas!I546="Daoshu Grupo B",27,IF(Atletas!I546="Jianshu Grupo B",28,IF(Atletas!I546="Nandao Grupo B",29,IF(Atletas!I546="Taijijian Grupo B",30,IF(Atletas!I546="Daoshu Grupo A",31,IF(Atletas!I546="Jianshu Grupo A",32,IF(Atletas!I546="Nandao Grupo A",33,IF(Atletas!I546="Taijijian Grupo A",34,IF(Atletas!I546="Daoshu Opcional",35,IF(Atletas!I546="Jianshu Opcional",36,IF(Atletas!I546="Nandao Opcional",37,IF(Atletas!I546="Taijijian Opcional",38,IF(Atletas!I546="Daoshu Adulto",39,IF(Atletas!I546="Jianshu Adulto",40,IF(Atletas!I546="Nandao Adulto",41,IF(Atletas!I546="Taijijian Adulto",42,""))))))))))))))))))))))))))</f>
        <v/>
      </c>
      <c r="BH555" s="52" t="str">
        <f>IF(Atletas!J546="","",IF(Atletas!B546="Feminino",100,IF(Atletas!B546="Masculino",200,""))+(IF(Atletas!J546="Gunshu Mirim",43,IF(Atletas!J546="Qiangshu Mirim",44,IF(Atletas!J546="Nangun Mirim",45,IF(Atletas!J546="Gunshu Grupo C",46,IF(Atletas!J546="Qiangshu Grupo C",47,IF(Atletas!J546="Nangun Grupo C",48,IF(Atletas!J546="Gunshu Grupo B",49,IF(Atletas!J546="Qiangshu Grupo B",50,IF(Atletas!J546="Nangun Grupo B",51,IF(Atletas!J546="Gunshu Grupo A",52,IF(Atletas!J546="Qiangshu Grupo A",53,IF(Atletas!J546="Nangun Grupo A",54,IF(Atletas!J546="Gunshu Opcional",55,IF(Atletas!J546="Qiangshu Opcional",56,IF(Atletas!J546="Nangun Opcional",57,IF(Atletas!J546="Gunshu Adulto",58,IF(Atletas!J546="Qiangshu Adulto",59,IF(Atletas!J546="Nangun Adulto",60,IF(Atletas!J546="Taijishan Grupo B",61,IF(Atletas!J546="Taijishan Grupo A",62,""))))))))))))))))))))))</f>
        <v/>
      </c>
      <c r="BM555" s="50" t="str">
        <f>IF(Atletas!K546="","",IF(Atletas!B546="Feminino",100,IF(Atletas!B546="Masculino",200,""))+(IF(Atletas!K546="Equipe 1 Grupo B",1,IF(Atletas!K546="Equipe 2 Grupo B",2,IF(Atletas!K546="Equipe 1 Grupo A",3,IF(Atletas!K546="Equipe 2 Grupo A",4,IF(Atletas!K546="Equipe 1 Adulto",5,IF(Atletas!K546="Equipe 2 Adulto",6,""))))))))</f>
        <v/>
      </c>
      <c r="BR555" s="50" t="str">
        <f>IF(Atletas!L546="","",IF(Atletas!X546&lt;&gt;"",10000,0)+(IF(Atletas!B546="Feminino",1000,IF(Atletas!B546="Masculino",2000,""))+IF(Atletas!L546="Choylayfut A",1,IF(Atletas!L546="Hunggar A",2,IF(Atletas!L546="Wuzuquan A",3,IF(Atletas!L546="Wingchun A",4,IF(Atletas!L546="Outra Mão de Sul A",5,IF(Atletas!L546="Choylayfut B",6,IF(Atletas!L546="Hunggar B",7,IF(Atletas!L546="Wuzuquan B",8,IF(Atletas!L546="Wingchun B",9,IF(Atletas!L546="Outra Mão de Sul B",10,IF(Atletas!L546="Choylayfut C",11,IF(Atletas!L546="Hunggar C",12,IF(Atletas!L546="Wuzuquan C",13,IF(Atletas!L546="Wingchun C",14,IF(Atletas!L546="Outra Mão de Sul C",15,IF(Atletas!L546="Choylayfut D",16,IF(Atletas!L546="Hunggar D",17,IF(Atletas!L546="Wuzuquan D",18,IF(Atletas!L546="Wingchun D",19,IF(Atletas!L546="Outra Mão de Sul D",20,IF(Atletas!L546="Choylayfut E",21,IF(Atletas!L546="Hunggar E",22,IF(Atletas!L546="Wuzuquan E",23,IF(Atletas!L546="Wingchun E",24,IF(Atletas!L546="Outra Mão de Sul E",25,IF(Atletas!L546="Choylayfut F",26,IF(Atletas!L546="Hunggar F",27,IF(Atletas!L546="Wuzuquan F",28,IF(Atletas!L546="Wingchun F",29,IF(Atletas!L546="Outra Mão de Sul F",30,IF(Atletas!L546="Dishuquan A",31,IF(Atletas!L546="Dishuquan B",32,IF(Atletas!L546="Dishuquan C",33,IF(Atletas!L546="Dishuquan D",34,IF(Atletas!L546="Dishuquan E",35,IF(Atletas!L546="Dishuquan F",36,""))))))))))))))))))))))))))))))))))))))</f>
        <v/>
      </c>
      <c r="BS555" s="50" t="str">
        <f>IF(Atletas!M546="","",IF(Atletas!X546&lt;&gt;"",10000,0)+(IF(Atletas!B546="Feminino",1000,IF(Atletas!B546="Masculino",2000,""))+(IF(Atletas!M546="Chaquan A",101,IF(Atletas!M546="Emeiquan A",102,IF(Atletas!M546="Fanziquan A",103,IF(Atletas!M546="Huaquan A",104,IF(Atletas!M546="Hongquan A",105,IF(Atletas!M546="Paoquan A",106,IF(Atletas!M546="Piguaquan A",107,IF(Atletas!M546="Shaolinquan A",108,IF(Atletas!M546="Tanglangquan A",109,IF(Atletas!M546="Yingzhaoquan A",110,IF(Atletas!M546="Tongbeiquan A",111,IF(Atletas!M546="Wudangquan A",112,IF(Atletas!M546="Outros Estilos A",113,IF(Atletas!M546="Chaquan B",114,IF(Atletas!M546="Emeiquan B",115,IF(Atletas!M546="Fanziquan B",116,IF(Atletas!M546="Huaquan B",117,IF(Atletas!M546="Hongquan B",118,IF(Atletas!M546="Paoquan B",119,IF(Atletas!M546="Piguaquan B",120,IF(Atletas!M546="Shaolinquan B",121,IF(Atletas!M546="Tanglangquan B",122,IF(Atletas!M546="Yingzhaoquan B",123,IF(Atletas!M546="Tongbeiquan B",124,IF(Atletas!M546="Wudangquan B",125,IF(Atletas!M546="Outros Estilos B",126,IF(Atletas!M546="Chaquan C",127,IF(Atletas!M546="Emeiquan C",128,IF(Atletas!M546="Fanziquan C",129,IF(Atletas!M546="Huaquan C",130,IF(Atletas!M546="Hongquan C",131,IF(Atletas!M546="Paoquan C",132,IF(Atletas!M546="Piguaquan C",133,IF(Atletas!M546="Shaolinquan C",134,IF(Atletas!M546="Tanglangquan C",135,IF(Atletas!M546="Yingzhaoquan C",136,IF(Atletas!M546="Tongbeiquan C",137,IF(Atletas!M546="Wudangquan C",138,IF(Atletas!M546="Outros Estilos C",139,0))))))))))))))))))))))))))))))))))))))))))</f>
        <v/>
      </c>
      <c r="BT555" s="50" t="str">
        <f>IF(Atletas!M546="","",IF(Atletas!X546&lt;&gt;"",10000,0)+(IF(Atletas!B546="Feminino",1000,IF(Atletas!B546="Masculino",2000,""))+(IF(Atletas!M546="Chaquan D",140,IF(Atletas!M546="Emeiquan D",141,IF(Atletas!M546="Fanziquan D",142,IF(Atletas!M546="Huaquan D",143,IF(Atletas!M546="Hongquan D",144,IF(Atletas!M546="Paoquan D",145,IF(Atletas!M546="Piguaquan D",146,IF(Atletas!M546="Shaolinquan D",147,IF(Atletas!M546="Tanglangquan D",148,IF(Atletas!M546="Yingzhaoquan D",149,IF(Atletas!M546="Tongbeiquan D",150,IF(Atletas!M546="Wudangquan D",151,IF(Atletas!M546="Outros Estilos D",152,IF(Atletas!M546="Chaquan E",153,IF(Atletas!M546="Emeiquan E",154,IF(Atletas!M546="Fanziquan E",155,IF(Atletas!M546="Huaquan E",156,IF(Atletas!M546="Hongquan E",157,IF(Atletas!M546="Paoquan E",158,IF(Atletas!M546="Piguaquan E",159,IF(Atletas!M546="Shaolinquan E",160,IF(Atletas!M546="Tanglangquan E",161,IF(Atletas!M546="Yingzhaoquan E",162,IF(Atletas!M546="Tongbeiquan E",163,IF(Atletas!M546="Wudangquan E",164,IF(Atletas!M546="Outros Estilos E",165,IF(Atletas!M546="Chaquan F",166,IF(Atletas!M546="Emeiquan F",167,IF(Atletas!M546="Fanziquan F",168,IF(Atletas!M546="Huaquan F",169,IF(Atletas!M546="Hongquan F",170,IF(Atletas!M546="Paoquan F",171,IF(Atletas!M546="Piguaquan F",172,IF(Atletas!M546="Shaolinquan F",173,IF(Atletas!M546="Tanglangquan F",174,IF(Atletas!M546="Yingzhaoquan F",175,IF(Atletas!M546="Tongbeiquan F",176,IF(Atletas!M546="Wudangquan F",177,IF(Atletas!M546="Outros Estilos F",178,0))))))))))))))))))))))))))))))))))))))))))</f>
        <v/>
      </c>
      <c r="BU555" s="50" t="str">
        <f>IF(Atletas!N546="","",IF(Atletas!X546&lt;&gt;"",10000,0)+(IF(Atletas!B546="Feminino",1000,IF(Atletas!B546="Masculino",2000,""))+(IF(Atletas!N546="Ditangquan A",201,IF(Atletas!N546="Houquan A",202,IF(Atletas!N546="Zuiquan A",203,IF(Atletas!N546="Ditangquan B",204,IF(Atletas!N546="Houquan B",205,IF(Atletas!N546="Zuiquan B",206,IF(Atletas!N546="Ditangquan C",207,IF(Atletas!N546="Houquan C",208,IF(Atletas!N546="Zuiquan C",209,IF(Atletas!N546="Ditangquan D",210,IF(Atletas!N546="Houquan D",211,IF(Atletas!N546="Zuiquan D",212,IF(Atletas!N546="Ditangquan E",213,IF(Atletas!N546="Houquan E",214,IF(Atletas!N546="Zuiquan E",215,IF(Atletas!N546="Ditangquan F",216,IF(Atletas!N546="Houquan F",217,IF(Atletas!N546="Zuiquan F",218,"")))))))))))))))))))))</f>
        <v/>
      </c>
      <c r="BV555" s="50" t="str">
        <f>IF(Atletas!O546="","",IF(Atletas!X546&lt;&gt;"",10000,0)+IF(Atletas!B546="Feminino",1000,IF(Atletas!B546="Masculino",2000,""))+IF(Atletas!O546="Yang A",301,IF(Atletas!O546="Chen A",302,IF(Atletas!O546="Sun A",303,IF(Atletas!O546="Wu A",304,IF(Atletas!O546="Wu-Hao A",305,IF(Atletas!O546="Outro Taijiquan A",306,IF(Atletas!O546="Yang B",307,IF(Atletas!O546="Chen B",308,IF(Atletas!O546="Sun B",309,IF(Atletas!O546="Wu B",310,IF(Atletas!O546="Wu-Hao B",311,IF(Atletas!O546="Outro Taijiquan B",312,IF(Atletas!O546="Yang C",313,IF(Atletas!O546="Chen C",314,IF(Atletas!O546="Sun C",315,IF(Atletas!O546="Wu C",316,IF(Atletas!O546="Wu-Hao C",317,IF(Atletas!O546="Outro Taijiquan C",318,IF(Atletas!O546="Yang D",319,IF(Atletas!O546="Chen D",320,IF(Atletas!O546="Sun D",321,IF(Atletas!O546="Wu D",322,IF(Atletas!O546="Wu-Hao D",323,IF(Atletas!O546="Outro Taijiquan D",324,IF(Atletas!O546="Yang E",325,IF(Atletas!O546="Chen E",326,IF(Atletas!O546="Sun E",327,IF(Atletas!O546="Wu E",328,IF(Atletas!O546="Wu-Hao E",329,IF(Atletas!O546="Outro Taijiquan E",330,IF(Atletas!O546="Yang F",331,IF(Atletas!O546="Chen F",332,IF(Atletas!O546="Sun F",333,IF(Atletas!O546="Wu F",334,IF(Atletas!O546="Wu-Hao F",335,IF(Atletas!O546="Outro Taijiquan F",336,"")))))))))))))))))))))))))))))))))))))</f>
        <v/>
      </c>
      <c r="BW555" s="50" t="str">
        <f>IF(Atletas!P546="","",IF(Atletas!X546&lt;&gt;"",10000,0)+IF(Atletas!B546="Feminino",1000,IF(Atletas!B546="Masculino",2000,""))+IF(OR(Atletas!P546="Yang 26 A",Atletas!P546="Yang 40 A"),401,IF(OR(Atletas!P546="Chen 25 A",Atletas!P546="Chen 36 A",Atletas!P546="Chen 56 A"),402,IF(Atletas!P546="Sun 73 A",403,IF(Atletas!P546="Wu 45 A",404,IF(Atletas!P546="Wu-Hao 46 A",405,IF(OR(Atletas!P546="Taijiquan 16 A",Atletas!P546="Taijiquan 24 A",Atletas!P546="Taijiquan 32 A",Atletas!P546="Taijiquan 42 A"),406,IF(OR(Atletas!P546="Yang 26 B",Atletas!P546="Yang 40 B"),407,IF(OR(Atletas!P546="Chen 25 B",Atletas!P546="Chen 36 B",Atletas!P546="Chen 56 B"),408,IF(Atletas!P546="Sun 73 B",409,IF(Atletas!P546="Wu 45 B",410,IF(Atletas!P546="Wu-Hao 46 B",411,IF(OR(Atletas!P546="Taijiquan 16 B",Atletas!P546="Taijiquan 24 B",Atletas!P546="Taijiquan 32 B",Atletas!P546="Taijiquan 42 B"),412,IF(OR(Atletas!P546="Yang 26 C",Atletas!P546="Yang 40 C"),413,IF(OR(Atletas!P546="Chen 25 C",Atletas!P546="Chen 36 C",Atletas!P546="Chen 56 C"),414,IF(Atletas!P546="Sun 73 C",415,IF(Atletas!P546="Wu 45 C",416,IF(Atletas!P546="Wu-Hao 46 C",417,IF(OR(Atletas!P546="Taijiquan 16 C",Atletas!P546="Taijiquan 24 C",Atletas!P546="Taijiquan 32 C",Atletas!P546="Taijiquan 42 C"),418,0)))))))))))))))))))</f>
        <v/>
      </c>
      <c r="BX555" s="50" t="str">
        <f>IF(Atletas!P546="","",IF(Atletas!X546&lt;&gt;"",10000,0)+IF(Atletas!B546="Feminino",1000,IF(Atletas!B546="Masculino",2000,""))+IF(OR(Atletas!P546="Yang 26 D",Atletas!P546="Yang 40 D"),419,IF(OR(Atletas!P546="Chen 25 D",Atletas!P546="Chen 36 D",Atletas!P546="Chen 56 D"),420,IF(Atletas!P546="Sun 73 D",421,IF(Atletas!P546="Wu 45 D",422,IF(Atletas!P546="Wu-Hao 46 D",423,IF(OR(Atletas!P546="Taijiquan 16 D",Atletas!P546="Taijiquan 24 D",Atletas!P546="Taijiquan 32 D",Atletas!P546="Taijiquan 42 D"),424,IF(OR(Atletas!P546="Yang 26 E",Atletas!P546="Yang 40 E"),425,IF(OR(Atletas!P546="Chen 25 E",Atletas!P546="Chen 36 E",Atletas!P546="Chen 56 E"),426,IF(Atletas!P546="Sun 73 E",427,IF(Atletas!P546="Wu 45 E",428,IF(Atletas!P546="Wu-Hao 46 E",429,IF(OR(Atletas!P546="Taijiquan 16 E",Atletas!P546="Taijiquan 24 E",Atletas!P546="Taijiquan 32 E",Atletas!P546="Taijiquan 42 E"),430,IF(OR(Atletas!P546="Yang 26 F",Atletas!P546="Yang 40 F"),431,IF(OR(Atletas!P546="Chen 25 F",Atletas!P546="Chen 36 F",Atletas!P546="Chen 56 F"),432,IF(Atletas!P546="Sun 73 F",433,IF(Atletas!P546="Wu 45 F",434,IF(Atletas!P546="Wu-Hao 46 F",435,IF(OR(Atletas!P546="Taijiquan 16 F",Atletas!P546="Taijiquan 24 F",Atletas!P546="Taijiquan 32 F",Atletas!P546="Taijiquan 42 F"),436,0)))))))))))))))))))</f>
        <v/>
      </c>
      <c r="BY555" s="50" t="str">
        <f>IF(Atletas!Q546="","",IF(Atletas!X546&lt;&gt;"",10000,0)+IF(Atletas!B546="Feminino",1000,IF(Atletas!B546="Masculino",2000,""))+IF(Atletas!Q546="Xingyiquan A",501,IF(Atletas!Q546="Baguazhang A",502,IF(Atletas!Q546="Outro Estilo Interno A",503,IF(Atletas!Q546="Xingyiquan B",504,IF(Atletas!Q546="Baguazhang B",505,IF(Atletas!Q546="Outro Estilo Interno B",506,IF(Atletas!Q546="Xingyiquan C",507,IF(Atletas!Q546="Baguazhang C",508,IF(Atletas!Q546="Outro Estilo Interno C",509,IF(Atletas!Q546="Xingyiquan D",510,IF(Atletas!Q546="Baguazhang D",511,IF(Atletas!Q546="Outro Estilo Interno D",512,IF(Atletas!Q546="Xingyiquan E",513,IF(Atletas!Q546="Baguazhang E",514,IF(Atletas!Q546="Outro Estilo Interno E",515,IF(Atletas!Q546="Xingyiquan F",516,IF(Atletas!Q546="Baguazhang F",517,IF(Atletas!Q546="Outro Estilo Interno F",518, "")))))))))))))))))))</f>
        <v/>
      </c>
      <c r="BZ555" s="50" t="str">
        <f>IF(Atletas!R546="","",IF(Atletas!X546&lt;&gt;"",10000,0)+IF(Atletas!B546="Feminino",1000,IF(Atletas!B546="Masculino",2000,""))+IF(Atletas!R546="Dao A",601,IF(Atletas!R546="Jian A",602,IF(Atletas!R546="Bishou A",603,IF(Atletas!R546="Shanzi A",604,IF(Atletas!R546="Outra Arma Curta A",605,IF(Atletas!R546="Dao B",606,IF(Atletas!R546="Jian B",607,IF(Atletas!R546="Bishou B",608,IF(Atletas!R546="Shanzi B",609,IF(Atletas!R546="Outra Arma Curta B",610,IF(Atletas!R546="Dao C",611,IF(Atletas!R546="Jian C",612,IF(Atletas!R546="Bishou C",613,IF(Atletas!R546="Shanzi C",614,IF(Atletas!R546="Outra Arma Curta C",615,IF(Atletas!R546="Dao D",616,IF(Atletas!R546="Jian D",617,IF(Atletas!R546="Bishou D",618,IF(Atletas!R546="Shanzi D",619,IF(Atletas!R546="Outra Arma Curta D",620,IF(Atletas!R546="Dao E",621,IF(Atletas!R546="Jian E",622,IF(Atletas!R546="Bishou E",623,IF(Atletas!R546="Shanzi E",624,IF(Atletas!R546="Outra Arma Curta E",625,IF(Atletas!R546="Dao F",626,IF(Atletas!R546="Jian F",627,IF(Atletas!R546="Bishou F",628,IF(Atletas!R546="Shanzi F",629,IF(Atletas!R546="Outra Arma Curta F",630, "")))))))))))))))))))))))))))))))</f>
        <v/>
      </c>
      <c r="CA555" s="50" t="str">
        <f>IF(Atletas!S546="","",IF(Atletas!X546&lt;&gt;"",10000,0)+IF(Atletas!B546="Feminino",1000,IF(Atletas!B546="Masculino",2000,""))+IF(Atletas!S546="Gun A",701,IF(Atletas!S546="Qiang A",702,IF(Atletas!S546="Pudao / Guandao A",703,IF(Atletas!S546="Outra Arma Longa A",704,IF(Atletas!S546="Gun B",705,IF(Atletas!S546="Qiang B",706,IF(Atletas!S546="Pudao / Guandao B",707,IF(Atletas!S546="Outra Arma Longa B",708,IF(Atletas!S546="Gun C",709,IF(Atletas!S546="Qiang C",710,IF(Atletas!S546="Pudao / Guandao C",711,IF(Atletas!S546="Outra Arma Longa C",712,IF(Atletas!S546="Gun D",713,IF(Atletas!S546="Qiang D",714,IF(Atletas!S546="Pudao / Guandao D",715,IF(Atletas!S546="Outra Arma Longa D",716,IF(Atletas!S546="Gun E",717,IF(Atletas!S546="Qiang E",718,IF(Atletas!S546="Pudao / Guandao E",719,IF(Atletas!S546="Outra Arma Longa E",720,IF(Atletas!S546="Gun F",721,IF(Atletas!S546="Qiang F",722,IF(Atletas!S546="Pudao / Guandao F",723,IF(Atletas!S546="Outra Arma Longa F",724,"")))))))))))))))))))))))))</f>
        <v/>
      </c>
      <c r="CB555" s="50" t="str">
        <f>IF(Atletas!T546="","",IF(Atletas!X546&lt;&gt;"",10000,0)+IF(Atletas!B546="Feminino",1000,IF(Atletas!B546="Masculino",2000,""))+IF(Atletas!T546="Outra Arma Dupla A",801,IF(Atletas!T546="Arma Maleável A",802,IF(Atletas!T546="Outra Arma Dupla B",803,IF(Atletas!T546="Arma Maleável B",804,IF(Atletas!T546="Outra Arma Dupla C",805,IF(Atletas!T546="Arma Maleável C",806,IF(Atletas!T546="Outra Arma Dupla D",807,IF(Atletas!T546="Arma Maleável D",808,IF(Atletas!T546="Outra Arma Dupla E",809,IF(Atletas!T546="Arma Maleável E",810,IF(Atletas!T546="Outra Arma Dupla F",811,IF(Atletas!T546="Arma Maleável F",812,IF(Atletas!T546="Shuangdao A",813,IF(Atletas!T546="Shuangdao B",814,IF(Atletas!T546="Shuangdao C",815,IF(Atletas!T546="Shuangdao D",816,IF(Atletas!T546="Shuangdao E",817,IF(Atletas!T546="Shuangdao F",818,"")))))))))))))))))))</f>
        <v/>
      </c>
      <c r="CC555" s="50" t="str">
        <f>IF(Atletas!U546="","",IF(Atletas!X546&lt;&gt;"",10000,0)+IF(Atletas!B546="Feminino",1000,IF(Atletas!B546="Masculino",2000,""))+IF(OR(Atletas!U546="Taijijian Yang A",Atletas!U546="Taijijian Yang Standard A"),901,IF(OR(Atletas!U546="Taijijian Chen A", Atletas!U546="Taijijian Chen Standard A"),902,IF(Atletas!U546="Taijijian Sun A",903,IF(Atletas!U546="Taijijian Wu A",904,IF(Atletas!U546="Taijijian Wu-Hao A",905,IF(OR(Atletas!U546="Taijijian 32 A",Atletas!U546="Taijijian 42 A"),906,IF(OR(Atletas!U546="Taijijian Yang B",Atletas!U546="Taijijian Yang Standard B"),907,IF(OR(Atletas!U546="Taijijian Chen B", Atletas!U546="Taijijian Chen Standard B"),908,IF(Atletas!U546="Taijijian Sun B",909,IF(Atletas!U546="Taijijian Wu B",910,IF(Atletas!U546="Taijijian Wu-Hao B",911,IF(OR(Atletas!U546="Taijijian 32 B",Atletas!U546="Taijijian 42 B"),912,IF(OR(Atletas!U546="Taijijian Yang C",Atletas!U546="Taijijian Yang Standard C"),913,IF(OR(Atletas!U546="Taijijian Chen C", Atletas!U546="Taijijian Chen Standard C"),914,IF(Atletas!U546="Taijijian Sun C",915,IF(Atletas!U546="Taijijian Wu C",916,IF(Atletas!U546="Taijijian Wu-Hao C",917,IF(OR(Atletas!U546="Taijijian 32 C",Atletas!U546="Taijijian 42 C"),918,IF(OR(Atletas!U546="Taijijian Yang D",Atletas!U546="Taijijian Yang Standard D"),919,IF(OR(Atletas!U546="Taijijian Chen D", Atletas!U546="Taijijian Chen Standard D"),920,IF(Atletas!U546="Taijijian Sun D",921,IF(Atletas!U546="Taijijian Wu D",922,IF(Atletas!U546="Taijijian Wu-Hao D",923,IF(OR(Atletas!U546="Taijijian 32 D",Atletas!U546="Taijijian 42 D"),924,IF(OR(Atletas!U546="Taijijian Yang E",Atletas!U546="Taijijian Yang Standard E"),925,IF(OR(Atletas!U546="Taijijian Chen E", Atletas!U546="Taijijian Chen Standard E"),926,IF(Atletas!U546="Taijijian Sun E",927,IF(Atletas!U546="Taijijian Wu E",928,IF(Atletas!U546="Taijijian Wu-Hao E",929,IF(OR(Atletas!U546="Taijijian 32 E",Atletas!U546="Taijijian 42 E"),930,IF(OR(Atletas!U546="Taijijian Yang F",Atletas!U546="Taijijian Yang Standard F"),931,IF(OR(Atletas!U546="Taijijian Chen F", Atletas!U546="Taijijian Chen Standard F"),932,IF(Atletas!U546="Taijijian Sun F",933,IF(Atletas!U546="Taijijian Wu F",934,IF(Atletas!U546="Taijijian Wu-Hao F",935,IF(OR(Atletas!U546="Taijijian 32 F",Atletas!U546="Taijijian 42 F"),936,"")))))))))))))))))))))))))))))))))))))</f>
        <v/>
      </c>
      <c r="CD555" s="50" t="str">
        <f>IF(Atletas!V546="","",IF(Atletas!X546&lt;&gt;"",10000,0)+IF(Atletas!B546="Feminino",1000,IF(Atletas!B546="Masculino",2000,""))+IF(Atletas!V546="Taijidao A",937,IF(Atletas!V546="TaijiShanzi A",938,IF(Atletas!V546="Taijiqiang A",939,IF(Atletas!V546="Bagua de Arma A",940,IF(Atletas!V546="Xingyi de Arma A",941,IF(Atletas!V546="Taijidao B",942,IF(Atletas!V546="TaijiShanzi B",943,IF(Atletas!V546="Taijiqiang B",944,IF(Atletas!V546="Bagua de Arma B",945,IF(Atletas!V546="Xingyi de Arma B",946,IF(Atletas!V546="Taijidao C",947,IF(Atletas!V546="TaijiShanzi C",948,IF(Atletas!V546="Taijiqiang C",949,IF(Atletas!V546="Bagua de Arma C",950,IF(Atletas!V546="Xingyi de Arma C",951,IF(Atletas!V546="Taijidao D",952,IF(Atletas!V546="TaijiShanzi D",953,IF(Atletas!V546="Taijiqiang D",954,IF(Atletas!V546="Bagua de Arma D",955,IF(Atletas!V546="Xingyi de Arma D",956,IF(Atletas!V546="Taijidao E",957,IF(Atletas!V546="TaijiShanzi E",958,IF(Atletas!V546="Taijiqiang E",959,IF(Atletas!V546="Bagua de Arma E",960,IF(Atletas!V546="Xingyi de Arma E",961,IF(Atletas!V546="Taijidao F",962,IF(Atletas!V546="TaijiShanzi F",963,IF(Atletas!V546="Taijiqiang F",964,IF(Atletas!V546="Bagua de Arma F",965,IF(Atletas!V546="Xingyi de Arma F",966,"")))))))))))))))))))))))))))))))</f>
        <v/>
      </c>
      <c r="CM555" s="50" t="str">
        <f xml:space="preserve"> IF(Atletas!W546="","",IF(Atletas!W546="Duilian de Mãos BC - Equipe 1",1,IF(Atletas!W546="Duilian de Mãos BC - Equipe 2",2,IF(Atletas!W546="Duilian de Armas BC - Equipe 1",3,IF(Atletas!W546="Duilian de Armas BC - Equipe 2",4,IF(Atletas!W546="Duilian de Mãos DE - Equipe 1",5,IF(Atletas!W546="Duilian de Mãos DE - Equipe 2",6,IF(Atletas!W546="Duilian de Armas DE - Equipe 1",7,IF(Atletas!W546="Duilian de Armas DE - Equipe 2",8,IF(Atletas!W546="Duilian de Tuishou - Equipe 1",9,IF(Atletas!W546="Duilian de Tuishou - Equipe 2",10,IF(Atletas!W546="Grupo Externo ABC - Equipe 1",11,IF(Atletas!W546="Grupo Externo ABC - Equipe 2",12,IF(Atletas!W546="Grupo Interno ABC - Equipe 1",13,IF(Atletas!W546="Grupo Interno ABC - Equipe 2",14,IF(Atletas!W546="Grupo Externo DEF - Equipe 1",15,IF(Atletas!W546="Grupo Externo DEF - Equipe 2",16,IF(Atletas!W546="Grupo Interno DEF - Equipe 1",17,IF(Atletas!W546="Grupo Interno DEF - Equipe 2",18,"")))))))))))))))))))</f>
        <v/>
      </c>
    </row>
    <row r="556" spans="40:91">
      <c r="AN556" s="52" t="str">
        <f>IF(Atletas!D547="","",IF(Atletas!B547="Feminino",100,IF(Atletas!B547="Masculino",200,""))+(IF(Atletas!D547="Kids 30kg",1,IF(Atletas!D547="Kids 32kg",2, IF(Atletas!D547="Kids 34kg",3,IF(Atletas!D547="Kids 36kg",4,IF(Atletas!D547="Kids 39kg",5,IF(Atletas!D547="Kids 42kg",6,IF(Atletas!D547="Kids 45kg",7, IF(Atletas!D547="Infantil 39kg",8,IF(Atletas!D547="Infantil 42kg",9,IF(Atletas!D547="Infantil 45kg",10,IF(Atletas!D547="Infantil 48kg",11,IF(Atletas!D547="Infantil 52kg",12,IF(Atletas!D547="Infantil 56kg",13,IF(Atletas!D547="Infantil 60kg",14,IF(Atletas!D547="Juvenil 48kg",15,IF(Atletas!D547="Juvenil 52kg",16,IF(Atletas!D547="Juvenil 56kg",17,IF(Atletas!D547="Juvenil 60kg",18,IF(Atletas!D547="Juvenil 65kg",19,IF(Atletas!D547="Juvenil 70kg",20,IF(Atletas!D547="Juvenil 75kg",21,IF(Atletas!D547="Juvenil 80kg",22, IF(Atletas!D547="Juvenil 85kg",23,IF(Atletas!D547="Adulto 48kg",24,IF(Atletas!D547="Adulto 52kg",25,IF(Atletas!D547="Adulto 56kg",26,IF(Atletas!D547="Adulto 60kg",27,IF(Atletas!D547="Adulto 65kg",28,IF(Atletas!D547="Adulto 70kg",29,IF(Atletas!D547="Adulto 75kg",30,IF(Atletas!D547="Adulto 80kg",31,IF(Atletas!D547="Adulto 85kg",32,IF(Atletas!D547="Adulto 90kg",33,IF(Atletas!D547="Adulto 100kg",34, IF(Atletas!D547="Adulto +100kg",35,"")))))))))))))))))))))))))))))))))))))</f>
        <v/>
      </c>
      <c r="AS556" s="6" t="str">
        <f>IF(Atletas!E547="","",IF(Atletas!B547="Feminino",100,IF(Atletas!B547="Masculino",200,""))+(IF(Atletas!E547="Juvenil 44kg",1,IF(Atletas!E547="Juvenil 48kg",2,IF(Atletas!E547="Juvenil 52kg",3,IF(Atletas!E547="Juvenil 56kg",4,IF(Atletas!E547="Juvenil 60kg",5,IF(Atletas!E547="Juvenil 65kg",6,IF(Atletas!E547="Juvenil 70kg",7,IF(Atletas!E547="Juvenil 75kg",8,IF(Atletas!E547="Juvenil 82kg",9,IF(Atletas!E547="Juvenil 90kg",10,IF(Atletas!E547="Juvenil 100kg",11,IF(Atletas!E547="Adulto 48kg",12,IF(Atletas!E547="Adulto 52kg",13,IF(Atletas!E547="Adulto 56kg",14,IF(Atletas!E547="Adulto 60kg",15,IF(Atletas!E547="Adulto 65kg",16,IF(Atletas!E547="Adulto 70kg",17,IF(Atletas!E547="Adulto 75kg",18,IF(Atletas!E547="Adulto 82kg",19,IF(Atletas!E547="Adulto 90kg",20,IF(Atletas!E547="Adulto 100kg",21,IF(Atletas!E547="Adulto +100kg",22,""))))))))))))))))))))))))</f>
        <v/>
      </c>
      <c r="AX556" s="6" t="str">
        <f>IF(Atletas!F547="","",IF(Atletas!B547="Feminino",100,IF(Atletas!B547="Masculino",200,""))+(IF(Atletas!F547="Adulto 48kg",1,IF(Atletas!F547="Adulto 56kg",2,IF(Atletas!F547="Adulto 65kg",3,IF(Atletas!F547="Adulto 75kg",4,IF(Atletas!F547="Adulto +75kg",5,IF(Atletas!F547="Adulto 52kg",6,IF(Atletas!F547="Adulto 60kg",7,IF(Atletas!F547="Adulto 70kg",8,IF(Atletas!F547="Adulto 80kg",9,IF(Atletas!F547="Adulto 90kg",10,IF(Atletas!F547="Adulto +90kg",11,"")))))))))))))</f>
        <v/>
      </c>
      <c r="BC556" s="6" t="str">
        <f>IF(Atletas!G547="","",IF(Atletas!B547="Feminino",10,IF(Atletas!B547="Masculino",20,""))+(IF(Atletas!G547="Baduanjin A",1,IF(Atletas!G547="Baduanjin B",2))))</f>
        <v/>
      </c>
      <c r="BF556" s="52" t="str">
        <f>IF(Atletas!H547="","",IF(Atletas!B547="Feminino",100,IF(Atletas!B547="Masculino",200,""))+(IF(Atletas!H547="Changquan Mirim",1,IF(Atletas!H547="Nanquan Mirim",2,IF(Atletas!H547="Taijiquan Mirim",3,IF(Atletas!H547="Changquan Grupo C",4,IF(Atletas!H547="Nanquan Grupo C",5,IF(Atletas!H547="Taijiquan Grupo C",6,IF(Atletas!H547="Changquan Grupo B",7,IF(Atletas!H547="Nanquan Grupo B",8,IF(Atletas!H547="Taijiquan Grupo B",9,IF(Atletas!H547="Changquan Grupo A",10,IF(Atletas!H547="Nanquan Grupo A",11,IF(Atletas!H547="Taijiquan Grupo A",12,IF(Atletas!H547="Changquan Opcional",13,IF(Atletas!H547="Nanquan Opcional",14,IF(Atletas!H547="Taijiquan Opcional",15,IF(Atletas!H547="Changquan Adulto",16,IF(Atletas!H547="Nanquan Adulto",17,IF(Atletas!H547="Taijiquan Adulto",18,""))))))))))))))))))))</f>
        <v/>
      </c>
      <c r="BG556" s="52" t="str">
        <f>IF(Atletas!I547="","",IF(Atletas!B547="Feminino",100,IF(Atletas!B547="Masculino",200,""))+(IF(Atletas!I547="Daoshu Mirim",19,IF(Atletas!I547="Jianshu Mirim",20,IF(Atletas!I547="Nandao Mirim",21,IF(Atletas!I547="Taijijian Mirim",22,IF(Atletas!I547="Daoshu Grupo C",23,IF(Atletas!I547="Jianshu Grupo C",24,IF(Atletas!I547="Nandao Grupo C",25,IF(Atletas!I547="Taijijian Grupo C",26,IF(Atletas!I547="Daoshu Grupo B",27,IF(Atletas!I547="Jianshu Grupo B",28,IF(Atletas!I547="Nandao Grupo B",29,IF(Atletas!I547="Taijijian Grupo B",30,IF(Atletas!I547="Daoshu Grupo A",31,IF(Atletas!I547="Jianshu Grupo A",32,IF(Atletas!I547="Nandao Grupo A",33,IF(Atletas!I547="Taijijian Grupo A",34,IF(Atletas!I547="Daoshu Opcional",35,IF(Atletas!I547="Jianshu Opcional",36,IF(Atletas!I547="Nandao Opcional",37,IF(Atletas!I547="Taijijian Opcional",38,IF(Atletas!I547="Daoshu Adulto",39,IF(Atletas!I547="Jianshu Adulto",40,IF(Atletas!I547="Nandao Adulto",41,IF(Atletas!I547="Taijijian Adulto",42,""))))))))))))))))))))))))))</f>
        <v/>
      </c>
      <c r="BH556" s="52" t="str">
        <f>IF(Atletas!J547="","",IF(Atletas!B547="Feminino",100,IF(Atletas!B547="Masculino",200,""))+(IF(Atletas!J547="Gunshu Mirim",43,IF(Atletas!J547="Qiangshu Mirim",44,IF(Atletas!J547="Nangun Mirim",45,IF(Atletas!J547="Gunshu Grupo C",46,IF(Atletas!J547="Qiangshu Grupo C",47,IF(Atletas!J547="Nangun Grupo C",48,IF(Atletas!J547="Gunshu Grupo B",49,IF(Atletas!J547="Qiangshu Grupo B",50,IF(Atletas!J547="Nangun Grupo B",51,IF(Atletas!J547="Gunshu Grupo A",52,IF(Atletas!J547="Qiangshu Grupo A",53,IF(Atletas!J547="Nangun Grupo A",54,IF(Atletas!J547="Gunshu Opcional",55,IF(Atletas!J547="Qiangshu Opcional",56,IF(Atletas!J547="Nangun Opcional",57,IF(Atletas!J547="Gunshu Adulto",58,IF(Atletas!J547="Qiangshu Adulto",59,IF(Atletas!J547="Nangun Adulto",60,IF(Atletas!J547="Taijishan Grupo B",61,IF(Atletas!J547="Taijishan Grupo A",62,""))))))))))))))))))))))</f>
        <v/>
      </c>
      <c r="BM556" s="50" t="str">
        <f>IF(Atletas!K547="","",IF(Atletas!B547="Feminino",100,IF(Atletas!B547="Masculino",200,""))+(IF(Atletas!K547="Equipe 1 Grupo B",1,IF(Atletas!K547="Equipe 2 Grupo B",2,IF(Atletas!K547="Equipe 1 Grupo A",3,IF(Atletas!K547="Equipe 2 Grupo A",4,IF(Atletas!K547="Equipe 1 Adulto",5,IF(Atletas!K547="Equipe 2 Adulto",6,""))))))))</f>
        <v/>
      </c>
      <c r="BR556" s="50" t="str">
        <f>IF(Atletas!L547="","",IF(Atletas!X547&lt;&gt;"",10000,0)+(IF(Atletas!B547="Feminino",1000,IF(Atletas!B547="Masculino",2000,""))+IF(Atletas!L547="Choylayfut A",1,IF(Atletas!L547="Hunggar A",2,IF(Atletas!L547="Wuzuquan A",3,IF(Atletas!L547="Wingchun A",4,IF(Atletas!L547="Outra Mão de Sul A",5,IF(Atletas!L547="Choylayfut B",6,IF(Atletas!L547="Hunggar B",7,IF(Atletas!L547="Wuzuquan B",8,IF(Atletas!L547="Wingchun B",9,IF(Atletas!L547="Outra Mão de Sul B",10,IF(Atletas!L547="Choylayfut C",11,IF(Atletas!L547="Hunggar C",12,IF(Atletas!L547="Wuzuquan C",13,IF(Atletas!L547="Wingchun C",14,IF(Atletas!L547="Outra Mão de Sul C",15,IF(Atletas!L547="Choylayfut D",16,IF(Atletas!L547="Hunggar D",17,IF(Atletas!L547="Wuzuquan D",18,IF(Atletas!L547="Wingchun D",19,IF(Atletas!L547="Outra Mão de Sul D",20,IF(Atletas!L547="Choylayfut E",21,IF(Atletas!L547="Hunggar E",22,IF(Atletas!L547="Wuzuquan E",23,IF(Atletas!L547="Wingchun E",24,IF(Atletas!L547="Outra Mão de Sul E",25,IF(Atletas!L547="Choylayfut F",26,IF(Atletas!L547="Hunggar F",27,IF(Atletas!L547="Wuzuquan F",28,IF(Atletas!L547="Wingchun F",29,IF(Atletas!L547="Outra Mão de Sul F",30,IF(Atletas!L547="Dishuquan A",31,IF(Atletas!L547="Dishuquan B",32,IF(Atletas!L547="Dishuquan C",33,IF(Atletas!L547="Dishuquan D",34,IF(Atletas!L547="Dishuquan E",35,IF(Atletas!L547="Dishuquan F",36,""))))))))))))))))))))))))))))))))))))))</f>
        <v/>
      </c>
      <c r="BS556" s="50" t="str">
        <f>IF(Atletas!M547="","",IF(Atletas!X547&lt;&gt;"",10000,0)+(IF(Atletas!B547="Feminino",1000,IF(Atletas!B547="Masculino",2000,""))+(IF(Atletas!M547="Chaquan A",101,IF(Atletas!M547="Emeiquan A",102,IF(Atletas!M547="Fanziquan A",103,IF(Atletas!M547="Huaquan A",104,IF(Atletas!M547="Hongquan A",105,IF(Atletas!M547="Paoquan A",106,IF(Atletas!M547="Piguaquan A",107,IF(Atletas!M547="Shaolinquan A",108,IF(Atletas!M547="Tanglangquan A",109,IF(Atletas!M547="Yingzhaoquan A",110,IF(Atletas!M547="Tongbeiquan A",111,IF(Atletas!M547="Wudangquan A",112,IF(Atletas!M547="Outros Estilos A",113,IF(Atletas!M547="Chaquan B",114,IF(Atletas!M547="Emeiquan B",115,IF(Atletas!M547="Fanziquan B",116,IF(Atletas!M547="Huaquan B",117,IF(Atletas!M547="Hongquan B",118,IF(Atletas!M547="Paoquan B",119,IF(Atletas!M547="Piguaquan B",120,IF(Atletas!M547="Shaolinquan B",121,IF(Atletas!M547="Tanglangquan B",122,IF(Atletas!M547="Yingzhaoquan B",123,IF(Atletas!M547="Tongbeiquan B",124,IF(Atletas!M547="Wudangquan B",125,IF(Atletas!M547="Outros Estilos B",126,IF(Atletas!M547="Chaquan C",127,IF(Atletas!M547="Emeiquan C",128,IF(Atletas!M547="Fanziquan C",129,IF(Atletas!M547="Huaquan C",130,IF(Atletas!M547="Hongquan C",131,IF(Atletas!M547="Paoquan C",132,IF(Atletas!M547="Piguaquan C",133,IF(Atletas!M547="Shaolinquan C",134,IF(Atletas!M547="Tanglangquan C",135,IF(Atletas!M547="Yingzhaoquan C",136,IF(Atletas!M547="Tongbeiquan C",137,IF(Atletas!M547="Wudangquan C",138,IF(Atletas!M547="Outros Estilos C",139,0))))))))))))))))))))))))))))))))))))))))))</f>
        <v/>
      </c>
      <c r="BT556" s="50" t="str">
        <f>IF(Atletas!M547="","",IF(Atletas!X547&lt;&gt;"",10000,0)+(IF(Atletas!B547="Feminino",1000,IF(Atletas!B547="Masculino",2000,""))+(IF(Atletas!M547="Chaquan D",140,IF(Atletas!M547="Emeiquan D",141,IF(Atletas!M547="Fanziquan D",142,IF(Atletas!M547="Huaquan D",143,IF(Atletas!M547="Hongquan D",144,IF(Atletas!M547="Paoquan D",145,IF(Atletas!M547="Piguaquan D",146,IF(Atletas!M547="Shaolinquan D",147,IF(Atletas!M547="Tanglangquan D",148,IF(Atletas!M547="Yingzhaoquan D",149,IF(Atletas!M547="Tongbeiquan D",150,IF(Atletas!M547="Wudangquan D",151,IF(Atletas!M547="Outros Estilos D",152,IF(Atletas!M547="Chaquan E",153,IF(Atletas!M547="Emeiquan E",154,IF(Atletas!M547="Fanziquan E",155,IF(Atletas!M547="Huaquan E",156,IF(Atletas!M547="Hongquan E",157,IF(Atletas!M547="Paoquan E",158,IF(Atletas!M547="Piguaquan E",159,IF(Atletas!M547="Shaolinquan E",160,IF(Atletas!M547="Tanglangquan E",161,IF(Atletas!M547="Yingzhaoquan E",162,IF(Atletas!M547="Tongbeiquan E",163,IF(Atletas!M547="Wudangquan E",164,IF(Atletas!M547="Outros Estilos E",165,IF(Atletas!M547="Chaquan F",166,IF(Atletas!M547="Emeiquan F",167,IF(Atletas!M547="Fanziquan F",168,IF(Atletas!M547="Huaquan F",169,IF(Atletas!M547="Hongquan F",170,IF(Atletas!M547="Paoquan F",171,IF(Atletas!M547="Piguaquan F",172,IF(Atletas!M547="Shaolinquan F",173,IF(Atletas!M547="Tanglangquan F",174,IF(Atletas!M547="Yingzhaoquan F",175,IF(Atletas!M547="Tongbeiquan F",176,IF(Atletas!M547="Wudangquan F",177,IF(Atletas!M547="Outros Estilos F",178,0))))))))))))))))))))))))))))))))))))))))))</f>
        <v/>
      </c>
      <c r="BU556" s="50" t="str">
        <f>IF(Atletas!N547="","",IF(Atletas!X547&lt;&gt;"",10000,0)+(IF(Atletas!B547="Feminino",1000,IF(Atletas!B547="Masculino",2000,""))+(IF(Atletas!N547="Ditangquan A",201,IF(Atletas!N547="Houquan A",202,IF(Atletas!N547="Zuiquan A",203,IF(Atletas!N547="Ditangquan B",204,IF(Atletas!N547="Houquan B",205,IF(Atletas!N547="Zuiquan B",206,IF(Atletas!N547="Ditangquan C",207,IF(Atletas!N547="Houquan C",208,IF(Atletas!N547="Zuiquan C",209,IF(Atletas!N547="Ditangquan D",210,IF(Atletas!N547="Houquan D",211,IF(Atletas!N547="Zuiquan D",212,IF(Atletas!N547="Ditangquan E",213,IF(Atletas!N547="Houquan E",214,IF(Atletas!N547="Zuiquan E",215,IF(Atletas!N547="Ditangquan F",216,IF(Atletas!N547="Houquan F",217,IF(Atletas!N547="Zuiquan F",218,"")))))))))))))))))))))</f>
        <v/>
      </c>
      <c r="BV556" s="50" t="str">
        <f>IF(Atletas!O547="","",IF(Atletas!X547&lt;&gt;"",10000,0)+IF(Atletas!B547="Feminino",1000,IF(Atletas!B547="Masculino",2000,""))+IF(Atletas!O547="Yang A",301,IF(Atletas!O547="Chen A",302,IF(Atletas!O547="Sun A",303,IF(Atletas!O547="Wu A",304,IF(Atletas!O547="Wu-Hao A",305,IF(Atletas!O547="Outro Taijiquan A",306,IF(Atletas!O547="Yang B",307,IF(Atletas!O547="Chen B",308,IF(Atletas!O547="Sun B",309,IF(Atletas!O547="Wu B",310,IF(Atletas!O547="Wu-Hao B",311,IF(Atletas!O547="Outro Taijiquan B",312,IF(Atletas!O547="Yang C",313,IF(Atletas!O547="Chen C",314,IF(Atletas!O547="Sun C",315,IF(Atletas!O547="Wu C",316,IF(Atletas!O547="Wu-Hao C",317,IF(Atletas!O547="Outro Taijiquan C",318,IF(Atletas!O547="Yang D",319,IF(Atletas!O547="Chen D",320,IF(Atletas!O547="Sun D",321,IF(Atletas!O547="Wu D",322,IF(Atletas!O547="Wu-Hao D",323,IF(Atletas!O547="Outro Taijiquan D",324,IF(Atletas!O547="Yang E",325,IF(Atletas!O547="Chen E",326,IF(Atletas!O547="Sun E",327,IF(Atletas!O547="Wu E",328,IF(Atletas!O547="Wu-Hao E",329,IF(Atletas!O547="Outro Taijiquan E",330,IF(Atletas!O547="Yang F",331,IF(Atletas!O547="Chen F",332,IF(Atletas!O547="Sun F",333,IF(Atletas!O547="Wu F",334,IF(Atletas!O547="Wu-Hao F",335,IF(Atletas!O547="Outro Taijiquan F",336,"")))))))))))))))))))))))))))))))))))))</f>
        <v/>
      </c>
      <c r="BW556" s="50" t="str">
        <f>IF(Atletas!P547="","",IF(Atletas!X547&lt;&gt;"",10000,0)+IF(Atletas!B547="Feminino",1000,IF(Atletas!B547="Masculino",2000,""))+IF(OR(Atletas!P547="Yang 26 A",Atletas!P547="Yang 40 A"),401,IF(OR(Atletas!P547="Chen 25 A",Atletas!P547="Chen 36 A",Atletas!P547="Chen 56 A"),402,IF(Atletas!P547="Sun 73 A",403,IF(Atletas!P547="Wu 45 A",404,IF(Atletas!P547="Wu-Hao 46 A",405,IF(OR(Atletas!P547="Taijiquan 16 A",Atletas!P547="Taijiquan 24 A",Atletas!P547="Taijiquan 32 A",Atletas!P547="Taijiquan 42 A"),406,IF(OR(Atletas!P547="Yang 26 B",Atletas!P547="Yang 40 B"),407,IF(OR(Atletas!P547="Chen 25 B",Atletas!P547="Chen 36 B",Atletas!P547="Chen 56 B"),408,IF(Atletas!P547="Sun 73 B",409,IF(Atletas!P547="Wu 45 B",410,IF(Atletas!P547="Wu-Hao 46 B",411,IF(OR(Atletas!P547="Taijiquan 16 B",Atletas!P547="Taijiquan 24 B",Atletas!P547="Taijiquan 32 B",Atletas!P547="Taijiquan 42 B"),412,IF(OR(Atletas!P547="Yang 26 C",Atletas!P547="Yang 40 C"),413,IF(OR(Atletas!P547="Chen 25 C",Atletas!P547="Chen 36 C",Atletas!P547="Chen 56 C"),414,IF(Atletas!P547="Sun 73 C",415,IF(Atletas!P547="Wu 45 C",416,IF(Atletas!P547="Wu-Hao 46 C",417,IF(OR(Atletas!P547="Taijiquan 16 C",Atletas!P547="Taijiquan 24 C",Atletas!P547="Taijiquan 32 C",Atletas!P547="Taijiquan 42 C"),418,0)))))))))))))))))))</f>
        <v/>
      </c>
      <c r="BX556" s="50" t="str">
        <f>IF(Atletas!P547="","",IF(Atletas!X547&lt;&gt;"",10000,0)+IF(Atletas!B547="Feminino",1000,IF(Atletas!B547="Masculino",2000,""))+IF(OR(Atletas!P547="Yang 26 D",Atletas!P547="Yang 40 D"),419,IF(OR(Atletas!P547="Chen 25 D",Atletas!P547="Chen 36 D",Atletas!P547="Chen 56 D"),420,IF(Atletas!P547="Sun 73 D",421,IF(Atletas!P547="Wu 45 D",422,IF(Atletas!P547="Wu-Hao 46 D",423,IF(OR(Atletas!P547="Taijiquan 16 D",Atletas!P547="Taijiquan 24 D",Atletas!P547="Taijiquan 32 D",Atletas!P547="Taijiquan 42 D"),424,IF(OR(Atletas!P547="Yang 26 E",Atletas!P547="Yang 40 E"),425,IF(OR(Atletas!P547="Chen 25 E",Atletas!P547="Chen 36 E",Atletas!P547="Chen 56 E"),426,IF(Atletas!P547="Sun 73 E",427,IF(Atletas!P547="Wu 45 E",428,IF(Atletas!P547="Wu-Hao 46 E",429,IF(OR(Atletas!P547="Taijiquan 16 E",Atletas!P547="Taijiquan 24 E",Atletas!P547="Taijiquan 32 E",Atletas!P547="Taijiquan 42 E"),430,IF(OR(Atletas!P547="Yang 26 F",Atletas!P547="Yang 40 F"),431,IF(OR(Atletas!P547="Chen 25 F",Atletas!P547="Chen 36 F",Atletas!P547="Chen 56 F"),432,IF(Atletas!P547="Sun 73 F",433,IF(Atletas!P547="Wu 45 F",434,IF(Atletas!P547="Wu-Hao 46 F",435,IF(OR(Atletas!P547="Taijiquan 16 F",Atletas!P547="Taijiquan 24 F",Atletas!P547="Taijiquan 32 F",Atletas!P547="Taijiquan 42 F"),436,0)))))))))))))))))))</f>
        <v/>
      </c>
      <c r="BY556" s="50" t="str">
        <f>IF(Atletas!Q547="","",IF(Atletas!X547&lt;&gt;"",10000,0)+IF(Atletas!B547="Feminino",1000,IF(Atletas!B547="Masculino",2000,""))+IF(Atletas!Q547="Xingyiquan A",501,IF(Atletas!Q547="Baguazhang A",502,IF(Atletas!Q547="Outro Estilo Interno A",503,IF(Atletas!Q547="Xingyiquan B",504,IF(Atletas!Q547="Baguazhang B",505,IF(Atletas!Q547="Outro Estilo Interno B",506,IF(Atletas!Q547="Xingyiquan C",507,IF(Atletas!Q547="Baguazhang C",508,IF(Atletas!Q547="Outro Estilo Interno C",509,IF(Atletas!Q547="Xingyiquan D",510,IF(Atletas!Q547="Baguazhang D",511,IF(Atletas!Q547="Outro Estilo Interno D",512,IF(Atletas!Q547="Xingyiquan E",513,IF(Atletas!Q547="Baguazhang E",514,IF(Atletas!Q547="Outro Estilo Interno E",515,IF(Atletas!Q547="Xingyiquan F",516,IF(Atletas!Q547="Baguazhang F",517,IF(Atletas!Q547="Outro Estilo Interno F",518, "")))))))))))))))))))</f>
        <v/>
      </c>
      <c r="BZ556" s="50" t="str">
        <f>IF(Atletas!R547="","",IF(Atletas!X547&lt;&gt;"",10000,0)+IF(Atletas!B547="Feminino",1000,IF(Atletas!B547="Masculino",2000,""))+IF(Atletas!R547="Dao A",601,IF(Atletas!R547="Jian A",602,IF(Atletas!R547="Bishou A",603,IF(Atletas!R547="Shanzi A",604,IF(Atletas!R547="Outra Arma Curta A",605,IF(Atletas!R547="Dao B",606,IF(Atletas!R547="Jian B",607,IF(Atletas!R547="Bishou B",608,IF(Atletas!R547="Shanzi B",609,IF(Atletas!R547="Outra Arma Curta B",610,IF(Atletas!R547="Dao C",611,IF(Atletas!R547="Jian C",612,IF(Atletas!R547="Bishou C",613,IF(Atletas!R547="Shanzi C",614,IF(Atletas!R547="Outra Arma Curta C",615,IF(Atletas!R547="Dao D",616,IF(Atletas!R547="Jian D",617,IF(Atletas!R547="Bishou D",618,IF(Atletas!R547="Shanzi D",619,IF(Atletas!R547="Outra Arma Curta D",620,IF(Atletas!R547="Dao E",621,IF(Atletas!R547="Jian E",622,IF(Atletas!R547="Bishou E",623,IF(Atletas!R547="Shanzi E",624,IF(Atletas!R547="Outra Arma Curta E",625,IF(Atletas!R547="Dao F",626,IF(Atletas!R547="Jian F",627,IF(Atletas!R547="Bishou F",628,IF(Atletas!R547="Shanzi F",629,IF(Atletas!R547="Outra Arma Curta F",630, "")))))))))))))))))))))))))))))))</f>
        <v/>
      </c>
      <c r="CA556" s="50" t="str">
        <f>IF(Atletas!S547="","",IF(Atletas!X547&lt;&gt;"",10000,0)+IF(Atletas!B547="Feminino",1000,IF(Atletas!B547="Masculino",2000,""))+IF(Atletas!S547="Gun A",701,IF(Atletas!S547="Qiang A",702,IF(Atletas!S547="Pudao / Guandao A",703,IF(Atletas!S547="Outra Arma Longa A",704,IF(Atletas!S547="Gun B",705,IF(Atletas!S547="Qiang B",706,IF(Atletas!S547="Pudao / Guandao B",707,IF(Atletas!S547="Outra Arma Longa B",708,IF(Atletas!S547="Gun C",709,IF(Atletas!S547="Qiang C",710,IF(Atletas!S547="Pudao / Guandao C",711,IF(Atletas!S547="Outra Arma Longa C",712,IF(Atletas!S547="Gun D",713,IF(Atletas!S547="Qiang D",714,IF(Atletas!S547="Pudao / Guandao D",715,IF(Atletas!S547="Outra Arma Longa D",716,IF(Atletas!S547="Gun E",717,IF(Atletas!S547="Qiang E",718,IF(Atletas!S547="Pudao / Guandao E",719,IF(Atletas!S547="Outra Arma Longa E",720,IF(Atletas!S547="Gun F",721,IF(Atletas!S547="Qiang F",722,IF(Atletas!S547="Pudao / Guandao F",723,IF(Atletas!S547="Outra Arma Longa F",724,"")))))))))))))))))))))))))</f>
        <v/>
      </c>
      <c r="CB556" s="50" t="str">
        <f>IF(Atletas!T547="","",IF(Atletas!X547&lt;&gt;"",10000,0)+IF(Atletas!B547="Feminino",1000,IF(Atletas!B547="Masculino",2000,""))+IF(Atletas!T547="Outra Arma Dupla A",801,IF(Atletas!T547="Arma Maleável A",802,IF(Atletas!T547="Outra Arma Dupla B",803,IF(Atletas!T547="Arma Maleável B",804,IF(Atletas!T547="Outra Arma Dupla C",805,IF(Atletas!T547="Arma Maleável C",806,IF(Atletas!T547="Outra Arma Dupla D",807,IF(Atletas!T547="Arma Maleável D",808,IF(Atletas!T547="Outra Arma Dupla E",809,IF(Atletas!T547="Arma Maleável E",810,IF(Atletas!T547="Outra Arma Dupla F",811,IF(Atletas!T547="Arma Maleável F",812,IF(Atletas!T547="Shuangdao A",813,IF(Atletas!T547="Shuangdao B",814,IF(Atletas!T547="Shuangdao C",815,IF(Atletas!T547="Shuangdao D",816,IF(Atletas!T547="Shuangdao E",817,IF(Atletas!T547="Shuangdao F",818,"")))))))))))))))))))</f>
        <v/>
      </c>
      <c r="CC556" s="50" t="str">
        <f>IF(Atletas!U547="","",IF(Atletas!X547&lt;&gt;"",10000,0)+IF(Atletas!B547="Feminino",1000,IF(Atletas!B547="Masculino",2000,""))+IF(OR(Atletas!U547="Taijijian Yang A",Atletas!U547="Taijijian Yang Standard A"),901,IF(OR(Atletas!U547="Taijijian Chen A", Atletas!U547="Taijijian Chen Standard A"),902,IF(Atletas!U547="Taijijian Sun A",903,IF(Atletas!U547="Taijijian Wu A",904,IF(Atletas!U547="Taijijian Wu-Hao A",905,IF(OR(Atletas!U547="Taijijian 32 A",Atletas!U547="Taijijian 42 A"),906,IF(OR(Atletas!U547="Taijijian Yang B",Atletas!U547="Taijijian Yang Standard B"),907,IF(OR(Atletas!U547="Taijijian Chen B", Atletas!U547="Taijijian Chen Standard B"),908,IF(Atletas!U547="Taijijian Sun B",909,IF(Atletas!U547="Taijijian Wu B",910,IF(Atletas!U547="Taijijian Wu-Hao B",911,IF(OR(Atletas!U547="Taijijian 32 B",Atletas!U547="Taijijian 42 B"),912,IF(OR(Atletas!U547="Taijijian Yang C",Atletas!U547="Taijijian Yang Standard C"),913,IF(OR(Atletas!U547="Taijijian Chen C", Atletas!U547="Taijijian Chen Standard C"),914,IF(Atletas!U547="Taijijian Sun C",915,IF(Atletas!U547="Taijijian Wu C",916,IF(Atletas!U547="Taijijian Wu-Hao C",917,IF(OR(Atletas!U547="Taijijian 32 C",Atletas!U547="Taijijian 42 C"),918,IF(OR(Atletas!U547="Taijijian Yang D",Atletas!U547="Taijijian Yang Standard D"),919,IF(OR(Atletas!U547="Taijijian Chen D", Atletas!U547="Taijijian Chen Standard D"),920,IF(Atletas!U547="Taijijian Sun D",921,IF(Atletas!U547="Taijijian Wu D",922,IF(Atletas!U547="Taijijian Wu-Hao D",923,IF(OR(Atletas!U547="Taijijian 32 D",Atletas!U547="Taijijian 42 D"),924,IF(OR(Atletas!U547="Taijijian Yang E",Atletas!U547="Taijijian Yang Standard E"),925,IF(OR(Atletas!U547="Taijijian Chen E", Atletas!U547="Taijijian Chen Standard E"),926,IF(Atletas!U547="Taijijian Sun E",927,IF(Atletas!U547="Taijijian Wu E",928,IF(Atletas!U547="Taijijian Wu-Hao E",929,IF(OR(Atletas!U547="Taijijian 32 E",Atletas!U547="Taijijian 42 E"),930,IF(OR(Atletas!U547="Taijijian Yang F",Atletas!U547="Taijijian Yang Standard F"),931,IF(OR(Atletas!U547="Taijijian Chen F", Atletas!U547="Taijijian Chen Standard F"),932,IF(Atletas!U547="Taijijian Sun F",933,IF(Atletas!U547="Taijijian Wu F",934,IF(Atletas!U547="Taijijian Wu-Hao F",935,IF(OR(Atletas!U547="Taijijian 32 F",Atletas!U547="Taijijian 42 F"),936,"")))))))))))))))))))))))))))))))))))))</f>
        <v/>
      </c>
      <c r="CD556" s="50" t="str">
        <f>IF(Atletas!V547="","",IF(Atletas!X547&lt;&gt;"",10000,0)+IF(Atletas!B547="Feminino",1000,IF(Atletas!B547="Masculino",2000,""))+IF(Atletas!V547="Taijidao A",937,IF(Atletas!V547="TaijiShanzi A",938,IF(Atletas!V547="Taijiqiang A",939,IF(Atletas!V547="Bagua de Arma A",940,IF(Atletas!V547="Xingyi de Arma A",941,IF(Atletas!V547="Taijidao B",942,IF(Atletas!V547="TaijiShanzi B",943,IF(Atletas!V547="Taijiqiang B",944,IF(Atletas!V547="Bagua de Arma B",945,IF(Atletas!V547="Xingyi de Arma B",946,IF(Atletas!V547="Taijidao C",947,IF(Atletas!V547="TaijiShanzi C",948,IF(Atletas!V547="Taijiqiang C",949,IF(Atletas!V547="Bagua de Arma C",950,IF(Atletas!V547="Xingyi de Arma C",951,IF(Atletas!V547="Taijidao D",952,IF(Atletas!V547="TaijiShanzi D",953,IF(Atletas!V547="Taijiqiang D",954,IF(Atletas!V547="Bagua de Arma D",955,IF(Atletas!V547="Xingyi de Arma D",956,IF(Atletas!V547="Taijidao E",957,IF(Atletas!V547="TaijiShanzi E",958,IF(Atletas!V547="Taijiqiang E",959,IF(Atletas!V547="Bagua de Arma E",960,IF(Atletas!V547="Xingyi de Arma E",961,IF(Atletas!V547="Taijidao F",962,IF(Atletas!V547="TaijiShanzi F",963,IF(Atletas!V547="Taijiqiang F",964,IF(Atletas!V547="Bagua de Arma F",965,IF(Atletas!V547="Xingyi de Arma F",966,"")))))))))))))))))))))))))))))))</f>
        <v/>
      </c>
      <c r="CM556" s="50" t="str">
        <f xml:space="preserve"> IF(Atletas!W547="","",IF(Atletas!W547="Duilian de Mãos BC - Equipe 1",1,IF(Atletas!W547="Duilian de Mãos BC - Equipe 2",2,IF(Atletas!W547="Duilian de Armas BC - Equipe 1",3,IF(Atletas!W547="Duilian de Armas BC - Equipe 2",4,IF(Atletas!W547="Duilian de Mãos DE - Equipe 1",5,IF(Atletas!W547="Duilian de Mãos DE - Equipe 2",6,IF(Atletas!W547="Duilian de Armas DE - Equipe 1",7,IF(Atletas!W547="Duilian de Armas DE - Equipe 2",8,IF(Atletas!W547="Duilian de Tuishou - Equipe 1",9,IF(Atletas!W547="Duilian de Tuishou - Equipe 2",10,IF(Atletas!W547="Grupo Externo ABC - Equipe 1",11,IF(Atletas!W547="Grupo Externo ABC - Equipe 2",12,IF(Atletas!W547="Grupo Interno ABC - Equipe 1",13,IF(Atletas!W547="Grupo Interno ABC - Equipe 2",14,IF(Atletas!W547="Grupo Externo DEF - Equipe 1",15,IF(Atletas!W547="Grupo Externo DEF - Equipe 2",16,IF(Atletas!W547="Grupo Interno DEF - Equipe 1",17,IF(Atletas!W547="Grupo Interno DEF - Equipe 2",18,"")))))))))))))))))))</f>
        <v/>
      </c>
    </row>
    <row r="557" spans="40:91">
      <c r="AN557" s="52" t="str">
        <f>IF(Atletas!D548="","",IF(Atletas!B548="Feminino",100,IF(Atletas!B548="Masculino",200,""))+(IF(Atletas!D548="Kids 30kg",1,IF(Atletas!D548="Kids 32kg",2, IF(Atletas!D548="Kids 34kg",3,IF(Atletas!D548="Kids 36kg",4,IF(Atletas!D548="Kids 39kg",5,IF(Atletas!D548="Kids 42kg",6,IF(Atletas!D548="Kids 45kg",7, IF(Atletas!D548="Infantil 39kg",8,IF(Atletas!D548="Infantil 42kg",9,IF(Atletas!D548="Infantil 45kg",10,IF(Atletas!D548="Infantil 48kg",11,IF(Atletas!D548="Infantil 52kg",12,IF(Atletas!D548="Infantil 56kg",13,IF(Atletas!D548="Infantil 60kg",14,IF(Atletas!D548="Juvenil 48kg",15,IF(Atletas!D548="Juvenil 52kg",16,IF(Atletas!D548="Juvenil 56kg",17,IF(Atletas!D548="Juvenil 60kg",18,IF(Atletas!D548="Juvenil 65kg",19,IF(Atletas!D548="Juvenil 70kg",20,IF(Atletas!D548="Juvenil 75kg",21,IF(Atletas!D548="Juvenil 80kg",22, IF(Atletas!D548="Juvenil 85kg",23,IF(Atletas!D548="Adulto 48kg",24,IF(Atletas!D548="Adulto 52kg",25,IF(Atletas!D548="Adulto 56kg",26,IF(Atletas!D548="Adulto 60kg",27,IF(Atletas!D548="Adulto 65kg",28,IF(Atletas!D548="Adulto 70kg",29,IF(Atletas!D548="Adulto 75kg",30,IF(Atletas!D548="Adulto 80kg",31,IF(Atletas!D548="Adulto 85kg",32,IF(Atletas!D548="Adulto 90kg",33,IF(Atletas!D548="Adulto 100kg",34, IF(Atletas!D548="Adulto +100kg",35,"")))))))))))))))))))))))))))))))))))))</f>
        <v/>
      </c>
      <c r="AS557" s="6" t="str">
        <f>IF(Atletas!E548="","",IF(Atletas!B548="Feminino",100,IF(Atletas!B548="Masculino",200,""))+(IF(Atletas!E548="Juvenil 44kg",1,IF(Atletas!E548="Juvenil 48kg",2,IF(Atletas!E548="Juvenil 52kg",3,IF(Atletas!E548="Juvenil 56kg",4,IF(Atletas!E548="Juvenil 60kg",5,IF(Atletas!E548="Juvenil 65kg",6,IF(Atletas!E548="Juvenil 70kg",7,IF(Atletas!E548="Juvenil 75kg",8,IF(Atletas!E548="Juvenil 82kg",9,IF(Atletas!E548="Juvenil 90kg",10,IF(Atletas!E548="Juvenil 100kg",11,IF(Atletas!E548="Adulto 48kg",12,IF(Atletas!E548="Adulto 52kg",13,IF(Atletas!E548="Adulto 56kg",14,IF(Atletas!E548="Adulto 60kg",15,IF(Atletas!E548="Adulto 65kg",16,IF(Atletas!E548="Adulto 70kg",17,IF(Atletas!E548="Adulto 75kg",18,IF(Atletas!E548="Adulto 82kg",19,IF(Atletas!E548="Adulto 90kg",20,IF(Atletas!E548="Adulto 100kg",21,IF(Atletas!E548="Adulto +100kg",22,""))))))))))))))))))))))))</f>
        <v/>
      </c>
      <c r="AX557" s="6" t="str">
        <f>IF(Atletas!F548="","",IF(Atletas!B548="Feminino",100,IF(Atletas!B548="Masculino",200,""))+(IF(Atletas!F548="Adulto 48kg",1,IF(Atletas!F548="Adulto 56kg",2,IF(Atletas!F548="Adulto 65kg",3,IF(Atletas!F548="Adulto 75kg",4,IF(Atletas!F548="Adulto +75kg",5,IF(Atletas!F548="Adulto 52kg",6,IF(Atletas!F548="Adulto 60kg",7,IF(Atletas!F548="Adulto 70kg",8,IF(Atletas!F548="Adulto 80kg",9,IF(Atletas!F548="Adulto 90kg",10,IF(Atletas!F548="Adulto +90kg",11,"")))))))))))))</f>
        <v/>
      </c>
      <c r="BC557" s="6" t="str">
        <f>IF(Atletas!G548="","",IF(Atletas!B548="Feminino",10,IF(Atletas!B548="Masculino",20,""))+(IF(Atletas!G548="Baduanjin A",1,IF(Atletas!G548="Baduanjin B",2))))</f>
        <v/>
      </c>
      <c r="BF557" s="52" t="str">
        <f>IF(Atletas!H548="","",IF(Atletas!B548="Feminino",100,IF(Atletas!B548="Masculino",200,""))+(IF(Atletas!H548="Changquan Mirim",1,IF(Atletas!H548="Nanquan Mirim",2,IF(Atletas!H548="Taijiquan Mirim",3,IF(Atletas!H548="Changquan Grupo C",4,IF(Atletas!H548="Nanquan Grupo C",5,IF(Atletas!H548="Taijiquan Grupo C",6,IF(Atletas!H548="Changquan Grupo B",7,IF(Atletas!H548="Nanquan Grupo B",8,IF(Atletas!H548="Taijiquan Grupo B",9,IF(Atletas!H548="Changquan Grupo A",10,IF(Atletas!H548="Nanquan Grupo A",11,IF(Atletas!H548="Taijiquan Grupo A",12,IF(Atletas!H548="Changquan Opcional",13,IF(Atletas!H548="Nanquan Opcional",14,IF(Atletas!H548="Taijiquan Opcional",15,IF(Atletas!H548="Changquan Adulto",16,IF(Atletas!H548="Nanquan Adulto",17,IF(Atletas!H548="Taijiquan Adulto",18,""))))))))))))))))))))</f>
        <v/>
      </c>
      <c r="BG557" s="52" t="str">
        <f>IF(Atletas!I548="","",IF(Atletas!B548="Feminino",100,IF(Atletas!B548="Masculino",200,""))+(IF(Atletas!I548="Daoshu Mirim",19,IF(Atletas!I548="Jianshu Mirim",20,IF(Atletas!I548="Nandao Mirim",21,IF(Atletas!I548="Taijijian Mirim",22,IF(Atletas!I548="Daoshu Grupo C",23,IF(Atletas!I548="Jianshu Grupo C",24,IF(Atletas!I548="Nandao Grupo C",25,IF(Atletas!I548="Taijijian Grupo C",26,IF(Atletas!I548="Daoshu Grupo B",27,IF(Atletas!I548="Jianshu Grupo B",28,IF(Atletas!I548="Nandao Grupo B",29,IF(Atletas!I548="Taijijian Grupo B",30,IF(Atletas!I548="Daoshu Grupo A",31,IF(Atletas!I548="Jianshu Grupo A",32,IF(Atletas!I548="Nandao Grupo A",33,IF(Atletas!I548="Taijijian Grupo A",34,IF(Atletas!I548="Daoshu Opcional",35,IF(Atletas!I548="Jianshu Opcional",36,IF(Atletas!I548="Nandao Opcional",37,IF(Atletas!I548="Taijijian Opcional",38,IF(Atletas!I548="Daoshu Adulto",39,IF(Atletas!I548="Jianshu Adulto",40,IF(Atletas!I548="Nandao Adulto",41,IF(Atletas!I548="Taijijian Adulto",42,""))))))))))))))))))))))))))</f>
        <v/>
      </c>
      <c r="BH557" s="52" t="str">
        <f>IF(Atletas!J548="","",IF(Atletas!B548="Feminino",100,IF(Atletas!B548="Masculino",200,""))+(IF(Atletas!J548="Gunshu Mirim",43,IF(Atletas!J548="Qiangshu Mirim",44,IF(Atletas!J548="Nangun Mirim",45,IF(Atletas!J548="Gunshu Grupo C",46,IF(Atletas!J548="Qiangshu Grupo C",47,IF(Atletas!J548="Nangun Grupo C",48,IF(Atletas!J548="Gunshu Grupo B",49,IF(Atletas!J548="Qiangshu Grupo B",50,IF(Atletas!J548="Nangun Grupo B",51,IF(Atletas!J548="Gunshu Grupo A",52,IF(Atletas!J548="Qiangshu Grupo A",53,IF(Atletas!J548="Nangun Grupo A",54,IF(Atletas!J548="Gunshu Opcional",55,IF(Atletas!J548="Qiangshu Opcional",56,IF(Atletas!J548="Nangun Opcional",57,IF(Atletas!J548="Gunshu Adulto",58,IF(Atletas!J548="Qiangshu Adulto",59,IF(Atletas!J548="Nangun Adulto",60,IF(Atletas!J548="Taijishan Grupo B",61,IF(Atletas!J548="Taijishan Grupo A",62,""))))))))))))))))))))))</f>
        <v/>
      </c>
      <c r="BM557" s="50" t="str">
        <f>IF(Atletas!K548="","",IF(Atletas!B548="Feminino",100,IF(Atletas!B548="Masculino",200,""))+(IF(Atletas!K548="Equipe 1 Grupo B",1,IF(Atletas!K548="Equipe 2 Grupo B",2,IF(Atletas!K548="Equipe 1 Grupo A",3,IF(Atletas!K548="Equipe 2 Grupo A",4,IF(Atletas!K548="Equipe 1 Adulto",5,IF(Atletas!K548="Equipe 2 Adulto",6,""))))))))</f>
        <v/>
      </c>
      <c r="BR557" s="50" t="str">
        <f>IF(Atletas!L548="","",IF(Atletas!X548&lt;&gt;"",10000,0)+(IF(Atletas!B548="Feminino",1000,IF(Atletas!B548="Masculino",2000,""))+IF(Atletas!L548="Choylayfut A",1,IF(Atletas!L548="Hunggar A",2,IF(Atletas!L548="Wuzuquan A",3,IF(Atletas!L548="Wingchun A",4,IF(Atletas!L548="Outra Mão de Sul A",5,IF(Atletas!L548="Choylayfut B",6,IF(Atletas!L548="Hunggar B",7,IF(Atletas!L548="Wuzuquan B",8,IF(Atletas!L548="Wingchun B",9,IF(Atletas!L548="Outra Mão de Sul B",10,IF(Atletas!L548="Choylayfut C",11,IF(Atletas!L548="Hunggar C",12,IF(Atletas!L548="Wuzuquan C",13,IF(Atletas!L548="Wingchun C",14,IF(Atletas!L548="Outra Mão de Sul C",15,IF(Atletas!L548="Choylayfut D",16,IF(Atletas!L548="Hunggar D",17,IF(Atletas!L548="Wuzuquan D",18,IF(Atletas!L548="Wingchun D",19,IF(Atletas!L548="Outra Mão de Sul D",20,IF(Atletas!L548="Choylayfut E",21,IF(Atletas!L548="Hunggar E",22,IF(Atletas!L548="Wuzuquan E",23,IF(Atletas!L548="Wingchun E",24,IF(Atletas!L548="Outra Mão de Sul E",25,IF(Atletas!L548="Choylayfut F",26,IF(Atletas!L548="Hunggar F",27,IF(Atletas!L548="Wuzuquan F",28,IF(Atletas!L548="Wingchun F",29,IF(Atletas!L548="Outra Mão de Sul F",30,IF(Atletas!L548="Dishuquan A",31,IF(Atletas!L548="Dishuquan B",32,IF(Atletas!L548="Dishuquan C",33,IF(Atletas!L548="Dishuquan D",34,IF(Atletas!L548="Dishuquan E",35,IF(Atletas!L548="Dishuquan F",36,""))))))))))))))))))))))))))))))))))))))</f>
        <v/>
      </c>
      <c r="BS557" s="50" t="str">
        <f>IF(Atletas!M548="","",IF(Atletas!X548&lt;&gt;"",10000,0)+(IF(Atletas!B548="Feminino",1000,IF(Atletas!B548="Masculino",2000,""))+(IF(Atletas!M548="Chaquan A",101,IF(Atletas!M548="Emeiquan A",102,IF(Atletas!M548="Fanziquan A",103,IF(Atletas!M548="Huaquan A",104,IF(Atletas!M548="Hongquan A",105,IF(Atletas!M548="Paoquan A",106,IF(Atletas!M548="Piguaquan A",107,IF(Atletas!M548="Shaolinquan A",108,IF(Atletas!M548="Tanglangquan A",109,IF(Atletas!M548="Yingzhaoquan A",110,IF(Atletas!M548="Tongbeiquan A",111,IF(Atletas!M548="Wudangquan A",112,IF(Atletas!M548="Outros Estilos A",113,IF(Atletas!M548="Chaquan B",114,IF(Atletas!M548="Emeiquan B",115,IF(Atletas!M548="Fanziquan B",116,IF(Atletas!M548="Huaquan B",117,IF(Atletas!M548="Hongquan B",118,IF(Atletas!M548="Paoquan B",119,IF(Atletas!M548="Piguaquan B",120,IF(Atletas!M548="Shaolinquan B",121,IF(Atletas!M548="Tanglangquan B",122,IF(Atletas!M548="Yingzhaoquan B",123,IF(Atletas!M548="Tongbeiquan B",124,IF(Atletas!M548="Wudangquan B",125,IF(Atletas!M548="Outros Estilos B",126,IF(Atletas!M548="Chaquan C",127,IF(Atletas!M548="Emeiquan C",128,IF(Atletas!M548="Fanziquan C",129,IF(Atletas!M548="Huaquan C",130,IF(Atletas!M548="Hongquan C",131,IF(Atletas!M548="Paoquan C",132,IF(Atletas!M548="Piguaquan C",133,IF(Atletas!M548="Shaolinquan C",134,IF(Atletas!M548="Tanglangquan C",135,IF(Atletas!M548="Yingzhaoquan C",136,IF(Atletas!M548="Tongbeiquan C",137,IF(Atletas!M548="Wudangquan C",138,IF(Atletas!M548="Outros Estilos C",139,0))))))))))))))))))))))))))))))))))))))))))</f>
        <v/>
      </c>
      <c r="BT557" s="50" t="str">
        <f>IF(Atletas!M548="","",IF(Atletas!X548&lt;&gt;"",10000,0)+(IF(Atletas!B548="Feminino",1000,IF(Atletas!B548="Masculino",2000,""))+(IF(Atletas!M548="Chaquan D",140,IF(Atletas!M548="Emeiquan D",141,IF(Atletas!M548="Fanziquan D",142,IF(Atletas!M548="Huaquan D",143,IF(Atletas!M548="Hongquan D",144,IF(Atletas!M548="Paoquan D",145,IF(Atletas!M548="Piguaquan D",146,IF(Atletas!M548="Shaolinquan D",147,IF(Atletas!M548="Tanglangquan D",148,IF(Atletas!M548="Yingzhaoquan D",149,IF(Atletas!M548="Tongbeiquan D",150,IF(Atletas!M548="Wudangquan D",151,IF(Atletas!M548="Outros Estilos D",152,IF(Atletas!M548="Chaquan E",153,IF(Atletas!M548="Emeiquan E",154,IF(Atletas!M548="Fanziquan E",155,IF(Atletas!M548="Huaquan E",156,IF(Atletas!M548="Hongquan E",157,IF(Atletas!M548="Paoquan E",158,IF(Atletas!M548="Piguaquan E",159,IF(Atletas!M548="Shaolinquan E",160,IF(Atletas!M548="Tanglangquan E",161,IF(Atletas!M548="Yingzhaoquan E",162,IF(Atletas!M548="Tongbeiquan E",163,IF(Atletas!M548="Wudangquan E",164,IF(Atletas!M548="Outros Estilos E",165,IF(Atletas!M548="Chaquan F",166,IF(Atletas!M548="Emeiquan F",167,IF(Atletas!M548="Fanziquan F",168,IF(Atletas!M548="Huaquan F",169,IF(Atletas!M548="Hongquan F",170,IF(Atletas!M548="Paoquan F",171,IF(Atletas!M548="Piguaquan F",172,IF(Atletas!M548="Shaolinquan F",173,IF(Atletas!M548="Tanglangquan F",174,IF(Atletas!M548="Yingzhaoquan F",175,IF(Atletas!M548="Tongbeiquan F",176,IF(Atletas!M548="Wudangquan F",177,IF(Atletas!M548="Outros Estilos F",178,0))))))))))))))))))))))))))))))))))))))))))</f>
        <v/>
      </c>
      <c r="BU557" s="50" t="str">
        <f>IF(Atletas!N548="","",IF(Atletas!X548&lt;&gt;"",10000,0)+(IF(Atletas!B548="Feminino",1000,IF(Atletas!B548="Masculino",2000,""))+(IF(Atletas!N548="Ditangquan A",201,IF(Atletas!N548="Houquan A",202,IF(Atletas!N548="Zuiquan A",203,IF(Atletas!N548="Ditangquan B",204,IF(Atletas!N548="Houquan B",205,IF(Atletas!N548="Zuiquan B",206,IF(Atletas!N548="Ditangquan C",207,IF(Atletas!N548="Houquan C",208,IF(Atletas!N548="Zuiquan C",209,IF(Atletas!N548="Ditangquan D",210,IF(Atletas!N548="Houquan D",211,IF(Atletas!N548="Zuiquan D",212,IF(Atletas!N548="Ditangquan E",213,IF(Atletas!N548="Houquan E",214,IF(Atletas!N548="Zuiquan E",215,IF(Atletas!N548="Ditangquan F",216,IF(Atletas!N548="Houquan F",217,IF(Atletas!N548="Zuiquan F",218,"")))))))))))))))))))))</f>
        <v/>
      </c>
      <c r="BV557" s="50" t="str">
        <f>IF(Atletas!O548="","",IF(Atletas!X548&lt;&gt;"",10000,0)+IF(Atletas!B548="Feminino",1000,IF(Atletas!B548="Masculino",2000,""))+IF(Atletas!O548="Yang A",301,IF(Atletas!O548="Chen A",302,IF(Atletas!O548="Sun A",303,IF(Atletas!O548="Wu A",304,IF(Atletas!O548="Wu-Hao A",305,IF(Atletas!O548="Outro Taijiquan A",306,IF(Atletas!O548="Yang B",307,IF(Atletas!O548="Chen B",308,IF(Atletas!O548="Sun B",309,IF(Atletas!O548="Wu B",310,IF(Atletas!O548="Wu-Hao B",311,IF(Atletas!O548="Outro Taijiquan B",312,IF(Atletas!O548="Yang C",313,IF(Atletas!O548="Chen C",314,IF(Atletas!O548="Sun C",315,IF(Atletas!O548="Wu C",316,IF(Atletas!O548="Wu-Hao C",317,IF(Atletas!O548="Outro Taijiquan C",318,IF(Atletas!O548="Yang D",319,IF(Atletas!O548="Chen D",320,IF(Atletas!O548="Sun D",321,IF(Atletas!O548="Wu D",322,IF(Atletas!O548="Wu-Hao D",323,IF(Atletas!O548="Outro Taijiquan D",324,IF(Atletas!O548="Yang E",325,IF(Atletas!O548="Chen E",326,IF(Atletas!O548="Sun E",327,IF(Atletas!O548="Wu E",328,IF(Atletas!O548="Wu-Hao E",329,IF(Atletas!O548="Outro Taijiquan E",330,IF(Atletas!O548="Yang F",331,IF(Atletas!O548="Chen F",332,IF(Atletas!O548="Sun F",333,IF(Atletas!O548="Wu F",334,IF(Atletas!O548="Wu-Hao F",335,IF(Atletas!O548="Outro Taijiquan F",336,"")))))))))))))))))))))))))))))))))))))</f>
        <v/>
      </c>
      <c r="BW557" s="50" t="str">
        <f>IF(Atletas!P548="","",IF(Atletas!X548&lt;&gt;"",10000,0)+IF(Atletas!B548="Feminino",1000,IF(Atletas!B548="Masculino",2000,""))+IF(OR(Atletas!P548="Yang 26 A",Atletas!P548="Yang 40 A"),401,IF(OR(Atletas!P548="Chen 25 A",Atletas!P548="Chen 36 A",Atletas!P548="Chen 56 A"),402,IF(Atletas!P548="Sun 73 A",403,IF(Atletas!P548="Wu 45 A",404,IF(Atletas!P548="Wu-Hao 46 A",405,IF(OR(Atletas!P548="Taijiquan 16 A",Atletas!P548="Taijiquan 24 A",Atletas!P548="Taijiquan 32 A",Atletas!P548="Taijiquan 42 A"),406,IF(OR(Atletas!P548="Yang 26 B",Atletas!P548="Yang 40 B"),407,IF(OR(Atletas!P548="Chen 25 B",Atletas!P548="Chen 36 B",Atletas!P548="Chen 56 B"),408,IF(Atletas!P548="Sun 73 B",409,IF(Atletas!P548="Wu 45 B",410,IF(Atletas!P548="Wu-Hao 46 B",411,IF(OR(Atletas!P548="Taijiquan 16 B",Atletas!P548="Taijiquan 24 B",Atletas!P548="Taijiquan 32 B",Atletas!P548="Taijiquan 42 B"),412,IF(OR(Atletas!P548="Yang 26 C",Atletas!P548="Yang 40 C"),413,IF(OR(Atletas!P548="Chen 25 C",Atletas!P548="Chen 36 C",Atletas!P548="Chen 56 C"),414,IF(Atletas!P548="Sun 73 C",415,IF(Atletas!P548="Wu 45 C",416,IF(Atletas!P548="Wu-Hao 46 C",417,IF(OR(Atletas!P548="Taijiquan 16 C",Atletas!P548="Taijiquan 24 C",Atletas!P548="Taijiquan 32 C",Atletas!P548="Taijiquan 42 C"),418,0)))))))))))))))))))</f>
        <v/>
      </c>
      <c r="BX557" s="50" t="str">
        <f>IF(Atletas!P548="","",IF(Atletas!X548&lt;&gt;"",10000,0)+IF(Atletas!B548="Feminino",1000,IF(Atletas!B548="Masculino",2000,""))+IF(OR(Atletas!P548="Yang 26 D",Atletas!P548="Yang 40 D"),419,IF(OR(Atletas!P548="Chen 25 D",Atletas!P548="Chen 36 D",Atletas!P548="Chen 56 D"),420,IF(Atletas!P548="Sun 73 D",421,IF(Atletas!P548="Wu 45 D",422,IF(Atletas!P548="Wu-Hao 46 D",423,IF(OR(Atletas!P548="Taijiquan 16 D",Atletas!P548="Taijiquan 24 D",Atletas!P548="Taijiquan 32 D",Atletas!P548="Taijiquan 42 D"),424,IF(OR(Atletas!P548="Yang 26 E",Atletas!P548="Yang 40 E"),425,IF(OR(Atletas!P548="Chen 25 E",Atletas!P548="Chen 36 E",Atletas!P548="Chen 56 E"),426,IF(Atletas!P548="Sun 73 E",427,IF(Atletas!P548="Wu 45 E",428,IF(Atletas!P548="Wu-Hao 46 E",429,IF(OR(Atletas!P548="Taijiquan 16 E",Atletas!P548="Taijiquan 24 E",Atletas!P548="Taijiquan 32 E",Atletas!P548="Taijiquan 42 E"),430,IF(OR(Atletas!P548="Yang 26 F",Atletas!P548="Yang 40 F"),431,IF(OR(Atletas!P548="Chen 25 F",Atletas!P548="Chen 36 F",Atletas!P548="Chen 56 F"),432,IF(Atletas!P548="Sun 73 F",433,IF(Atletas!P548="Wu 45 F",434,IF(Atletas!P548="Wu-Hao 46 F",435,IF(OR(Atletas!P548="Taijiquan 16 F",Atletas!P548="Taijiquan 24 F",Atletas!P548="Taijiquan 32 F",Atletas!P548="Taijiquan 42 F"),436,0)))))))))))))))))))</f>
        <v/>
      </c>
      <c r="BY557" s="50" t="str">
        <f>IF(Atletas!Q548="","",IF(Atletas!X548&lt;&gt;"",10000,0)+IF(Atletas!B548="Feminino",1000,IF(Atletas!B548="Masculino",2000,""))+IF(Atletas!Q548="Xingyiquan A",501,IF(Atletas!Q548="Baguazhang A",502,IF(Atletas!Q548="Outro Estilo Interno A",503,IF(Atletas!Q548="Xingyiquan B",504,IF(Atletas!Q548="Baguazhang B",505,IF(Atletas!Q548="Outro Estilo Interno B",506,IF(Atletas!Q548="Xingyiquan C",507,IF(Atletas!Q548="Baguazhang C",508,IF(Atletas!Q548="Outro Estilo Interno C",509,IF(Atletas!Q548="Xingyiquan D",510,IF(Atletas!Q548="Baguazhang D",511,IF(Atletas!Q548="Outro Estilo Interno D",512,IF(Atletas!Q548="Xingyiquan E",513,IF(Atletas!Q548="Baguazhang E",514,IF(Atletas!Q548="Outro Estilo Interno E",515,IF(Atletas!Q548="Xingyiquan F",516,IF(Atletas!Q548="Baguazhang F",517,IF(Atletas!Q548="Outro Estilo Interno F",518, "")))))))))))))))))))</f>
        <v/>
      </c>
      <c r="BZ557" s="50" t="str">
        <f>IF(Atletas!R548="","",IF(Atletas!X548&lt;&gt;"",10000,0)+IF(Atletas!B548="Feminino",1000,IF(Atletas!B548="Masculino",2000,""))+IF(Atletas!R548="Dao A",601,IF(Atletas!R548="Jian A",602,IF(Atletas!R548="Bishou A",603,IF(Atletas!R548="Shanzi A",604,IF(Atletas!R548="Outra Arma Curta A",605,IF(Atletas!R548="Dao B",606,IF(Atletas!R548="Jian B",607,IF(Atletas!R548="Bishou B",608,IF(Atletas!R548="Shanzi B",609,IF(Atletas!R548="Outra Arma Curta B",610,IF(Atletas!R548="Dao C",611,IF(Atletas!R548="Jian C",612,IF(Atletas!R548="Bishou C",613,IF(Atletas!R548="Shanzi C",614,IF(Atletas!R548="Outra Arma Curta C",615,IF(Atletas!R548="Dao D",616,IF(Atletas!R548="Jian D",617,IF(Atletas!R548="Bishou D",618,IF(Atletas!R548="Shanzi D",619,IF(Atletas!R548="Outra Arma Curta D",620,IF(Atletas!R548="Dao E",621,IF(Atletas!R548="Jian E",622,IF(Atletas!R548="Bishou E",623,IF(Atletas!R548="Shanzi E",624,IF(Atletas!R548="Outra Arma Curta E",625,IF(Atletas!R548="Dao F",626,IF(Atletas!R548="Jian F",627,IF(Atletas!R548="Bishou F",628,IF(Atletas!R548="Shanzi F",629,IF(Atletas!R548="Outra Arma Curta F",630, "")))))))))))))))))))))))))))))))</f>
        <v/>
      </c>
      <c r="CA557" s="50" t="str">
        <f>IF(Atletas!S548="","",IF(Atletas!X548&lt;&gt;"",10000,0)+IF(Atletas!B548="Feminino",1000,IF(Atletas!B548="Masculino",2000,""))+IF(Atletas!S548="Gun A",701,IF(Atletas!S548="Qiang A",702,IF(Atletas!S548="Pudao / Guandao A",703,IF(Atletas!S548="Outra Arma Longa A",704,IF(Atletas!S548="Gun B",705,IF(Atletas!S548="Qiang B",706,IF(Atletas!S548="Pudao / Guandao B",707,IF(Atletas!S548="Outra Arma Longa B",708,IF(Atletas!S548="Gun C",709,IF(Atletas!S548="Qiang C",710,IF(Atletas!S548="Pudao / Guandao C",711,IF(Atletas!S548="Outra Arma Longa C",712,IF(Atletas!S548="Gun D",713,IF(Atletas!S548="Qiang D",714,IF(Atletas!S548="Pudao / Guandao D",715,IF(Atletas!S548="Outra Arma Longa D",716,IF(Atletas!S548="Gun E",717,IF(Atletas!S548="Qiang E",718,IF(Atletas!S548="Pudao / Guandao E",719,IF(Atletas!S548="Outra Arma Longa E",720,IF(Atletas!S548="Gun F",721,IF(Atletas!S548="Qiang F",722,IF(Atletas!S548="Pudao / Guandao F",723,IF(Atletas!S548="Outra Arma Longa F",724,"")))))))))))))))))))))))))</f>
        <v/>
      </c>
      <c r="CB557" s="50" t="str">
        <f>IF(Atletas!T548="","",IF(Atletas!X548&lt;&gt;"",10000,0)+IF(Atletas!B548="Feminino",1000,IF(Atletas!B548="Masculino",2000,""))+IF(Atletas!T548="Outra Arma Dupla A",801,IF(Atletas!T548="Arma Maleável A",802,IF(Atletas!T548="Outra Arma Dupla B",803,IF(Atletas!T548="Arma Maleável B",804,IF(Atletas!T548="Outra Arma Dupla C",805,IF(Atletas!T548="Arma Maleável C",806,IF(Atletas!T548="Outra Arma Dupla D",807,IF(Atletas!T548="Arma Maleável D",808,IF(Atletas!T548="Outra Arma Dupla E",809,IF(Atletas!T548="Arma Maleável E",810,IF(Atletas!T548="Outra Arma Dupla F",811,IF(Atletas!T548="Arma Maleável F",812,IF(Atletas!T548="Shuangdao A",813,IF(Atletas!T548="Shuangdao B",814,IF(Atletas!T548="Shuangdao C",815,IF(Atletas!T548="Shuangdao D",816,IF(Atletas!T548="Shuangdao E",817,IF(Atletas!T548="Shuangdao F",818,"")))))))))))))))))))</f>
        <v/>
      </c>
      <c r="CC557" s="50" t="str">
        <f>IF(Atletas!U548="","",IF(Atletas!X548&lt;&gt;"",10000,0)+IF(Atletas!B548="Feminino",1000,IF(Atletas!B548="Masculino",2000,""))+IF(OR(Atletas!U548="Taijijian Yang A",Atletas!U548="Taijijian Yang Standard A"),901,IF(OR(Atletas!U548="Taijijian Chen A", Atletas!U548="Taijijian Chen Standard A"),902,IF(Atletas!U548="Taijijian Sun A",903,IF(Atletas!U548="Taijijian Wu A",904,IF(Atletas!U548="Taijijian Wu-Hao A",905,IF(OR(Atletas!U548="Taijijian 32 A",Atletas!U548="Taijijian 42 A"),906,IF(OR(Atletas!U548="Taijijian Yang B",Atletas!U548="Taijijian Yang Standard B"),907,IF(OR(Atletas!U548="Taijijian Chen B", Atletas!U548="Taijijian Chen Standard B"),908,IF(Atletas!U548="Taijijian Sun B",909,IF(Atletas!U548="Taijijian Wu B",910,IF(Atletas!U548="Taijijian Wu-Hao B",911,IF(OR(Atletas!U548="Taijijian 32 B",Atletas!U548="Taijijian 42 B"),912,IF(OR(Atletas!U548="Taijijian Yang C",Atletas!U548="Taijijian Yang Standard C"),913,IF(OR(Atletas!U548="Taijijian Chen C", Atletas!U548="Taijijian Chen Standard C"),914,IF(Atletas!U548="Taijijian Sun C",915,IF(Atletas!U548="Taijijian Wu C",916,IF(Atletas!U548="Taijijian Wu-Hao C",917,IF(OR(Atletas!U548="Taijijian 32 C",Atletas!U548="Taijijian 42 C"),918,IF(OR(Atletas!U548="Taijijian Yang D",Atletas!U548="Taijijian Yang Standard D"),919,IF(OR(Atletas!U548="Taijijian Chen D", Atletas!U548="Taijijian Chen Standard D"),920,IF(Atletas!U548="Taijijian Sun D",921,IF(Atletas!U548="Taijijian Wu D",922,IF(Atletas!U548="Taijijian Wu-Hao D",923,IF(OR(Atletas!U548="Taijijian 32 D",Atletas!U548="Taijijian 42 D"),924,IF(OR(Atletas!U548="Taijijian Yang E",Atletas!U548="Taijijian Yang Standard E"),925,IF(OR(Atletas!U548="Taijijian Chen E", Atletas!U548="Taijijian Chen Standard E"),926,IF(Atletas!U548="Taijijian Sun E",927,IF(Atletas!U548="Taijijian Wu E",928,IF(Atletas!U548="Taijijian Wu-Hao E",929,IF(OR(Atletas!U548="Taijijian 32 E",Atletas!U548="Taijijian 42 E"),930,IF(OR(Atletas!U548="Taijijian Yang F",Atletas!U548="Taijijian Yang Standard F"),931,IF(OR(Atletas!U548="Taijijian Chen F", Atletas!U548="Taijijian Chen Standard F"),932,IF(Atletas!U548="Taijijian Sun F",933,IF(Atletas!U548="Taijijian Wu F",934,IF(Atletas!U548="Taijijian Wu-Hao F",935,IF(OR(Atletas!U548="Taijijian 32 F",Atletas!U548="Taijijian 42 F"),936,"")))))))))))))))))))))))))))))))))))))</f>
        <v/>
      </c>
      <c r="CD557" s="50" t="str">
        <f>IF(Atletas!V548="","",IF(Atletas!X548&lt;&gt;"",10000,0)+IF(Atletas!B548="Feminino",1000,IF(Atletas!B548="Masculino",2000,""))+IF(Atletas!V548="Taijidao A",937,IF(Atletas!V548="TaijiShanzi A",938,IF(Atletas!V548="Taijiqiang A",939,IF(Atletas!V548="Bagua de Arma A",940,IF(Atletas!V548="Xingyi de Arma A",941,IF(Atletas!V548="Taijidao B",942,IF(Atletas!V548="TaijiShanzi B",943,IF(Atletas!V548="Taijiqiang B",944,IF(Atletas!V548="Bagua de Arma B",945,IF(Atletas!V548="Xingyi de Arma B",946,IF(Atletas!V548="Taijidao C",947,IF(Atletas!V548="TaijiShanzi C",948,IF(Atletas!V548="Taijiqiang C",949,IF(Atletas!V548="Bagua de Arma C",950,IF(Atletas!V548="Xingyi de Arma C",951,IF(Atletas!V548="Taijidao D",952,IF(Atletas!V548="TaijiShanzi D",953,IF(Atletas!V548="Taijiqiang D",954,IF(Atletas!V548="Bagua de Arma D",955,IF(Atletas!V548="Xingyi de Arma D",956,IF(Atletas!V548="Taijidao E",957,IF(Atletas!V548="TaijiShanzi E",958,IF(Atletas!V548="Taijiqiang E",959,IF(Atletas!V548="Bagua de Arma E",960,IF(Atletas!V548="Xingyi de Arma E",961,IF(Atletas!V548="Taijidao F",962,IF(Atletas!V548="TaijiShanzi F",963,IF(Atletas!V548="Taijiqiang F",964,IF(Atletas!V548="Bagua de Arma F",965,IF(Atletas!V548="Xingyi de Arma F",966,"")))))))))))))))))))))))))))))))</f>
        <v/>
      </c>
      <c r="CM557" s="50" t="str">
        <f xml:space="preserve"> IF(Atletas!W548="","",IF(Atletas!W548="Duilian de Mãos BC - Equipe 1",1,IF(Atletas!W548="Duilian de Mãos BC - Equipe 2",2,IF(Atletas!W548="Duilian de Armas BC - Equipe 1",3,IF(Atletas!W548="Duilian de Armas BC - Equipe 2",4,IF(Atletas!W548="Duilian de Mãos DE - Equipe 1",5,IF(Atletas!W548="Duilian de Mãos DE - Equipe 2",6,IF(Atletas!W548="Duilian de Armas DE - Equipe 1",7,IF(Atletas!W548="Duilian de Armas DE - Equipe 2",8,IF(Atletas!W548="Duilian de Tuishou - Equipe 1",9,IF(Atletas!W548="Duilian de Tuishou - Equipe 2",10,IF(Atletas!W548="Grupo Externo ABC - Equipe 1",11,IF(Atletas!W548="Grupo Externo ABC - Equipe 2",12,IF(Atletas!W548="Grupo Interno ABC - Equipe 1",13,IF(Atletas!W548="Grupo Interno ABC - Equipe 2",14,IF(Atletas!W548="Grupo Externo DEF - Equipe 1",15,IF(Atletas!W548="Grupo Externo DEF - Equipe 2",16,IF(Atletas!W548="Grupo Interno DEF - Equipe 1",17,IF(Atletas!W548="Grupo Interno DEF - Equipe 2",18,"")))))))))))))))))))</f>
        <v/>
      </c>
    </row>
    <row r="558" spans="40:91">
      <c r="AN558" s="52" t="str">
        <f>IF(Atletas!D549="","",IF(Atletas!B549="Feminino",100,IF(Atletas!B549="Masculino",200,""))+(IF(Atletas!D549="Kids 30kg",1,IF(Atletas!D549="Kids 32kg",2, IF(Atletas!D549="Kids 34kg",3,IF(Atletas!D549="Kids 36kg",4,IF(Atletas!D549="Kids 39kg",5,IF(Atletas!D549="Kids 42kg",6,IF(Atletas!D549="Kids 45kg",7, IF(Atletas!D549="Infantil 39kg",8,IF(Atletas!D549="Infantil 42kg",9,IF(Atletas!D549="Infantil 45kg",10,IF(Atletas!D549="Infantil 48kg",11,IF(Atletas!D549="Infantil 52kg",12,IF(Atletas!D549="Infantil 56kg",13,IF(Atletas!D549="Infantil 60kg",14,IF(Atletas!D549="Juvenil 48kg",15,IF(Atletas!D549="Juvenil 52kg",16,IF(Atletas!D549="Juvenil 56kg",17,IF(Atletas!D549="Juvenil 60kg",18,IF(Atletas!D549="Juvenil 65kg",19,IF(Atletas!D549="Juvenil 70kg",20,IF(Atletas!D549="Juvenil 75kg",21,IF(Atletas!D549="Juvenil 80kg",22, IF(Atletas!D549="Juvenil 85kg",23,IF(Atletas!D549="Adulto 48kg",24,IF(Atletas!D549="Adulto 52kg",25,IF(Atletas!D549="Adulto 56kg",26,IF(Atletas!D549="Adulto 60kg",27,IF(Atletas!D549="Adulto 65kg",28,IF(Atletas!D549="Adulto 70kg",29,IF(Atletas!D549="Adulto 75kg",30,IF(Atletas!D549="Adulto 80kg",31,IF(Atletas!D549="Adulto 85kg",32,IF(Atletas!D549="Adulto 90kg",33,IF(Atletas!D549="Adulto 100kg",34, IF(Atletas!D549="Adulto +100kg",35,"")))))))))))))))))))))))))))))))))))))</f>
        <v/>
      </c>
      <c r="AS558" s="6" t="str">
        <f>IF(Atletas!E549="","",IF(Atletas!B549="Feminino",100,IF(Atletas!B549="Masculino",200,""))+(IF(Atletas!E549="Juvenil 44kg",1,IF(Atletas!E549="Juvenil 48kg",2,IF(Atletas!E549="Juvenil 52kg",3,IF(Atletas!E549="Juvenil 56kg",4,IF(Atletas!E549="Juvenil 60kg",5,IF(Atletas!E549="Juvenil 65kg",6,IF(Atletas!E549="Juvenil 70kg",7,IF(Atletas!E549="Juvenil 75kg",8,IF(Atletas!E549="Juvenil 82kg",9,IF(Atletas!E549="Juvenil 90kg",10,IF(Atletas!E549="Juvenil 100kg",11,IF(Atletas!E549="Adulto 48kg",12,IF(Atletas!E549="Adulto 52kg",13,IF(Atletas!E549="Adulto 56kg",14,IF(Atletas!E549="Adulto 60kg",15,IF(Atletas!E549="Adulto 65kg",16,IF(Atletas!E549="Adulto 70kg",17,IF(Atletas!E549="Adulto 75kg",18,IF(Atletas!E549="Adulto 82kg",19,IF(Atletas!E549="Adulto 90kg",20,IF(Atletas!E549="Adulto 100kg",21,IF(Atletas!E549="Adulto +100kg",22,""))))))))))))))))))))))))</f>
        <v/>
      </c>
      <c r="AX558" s="6" t="str">
        <f>IF(Atletas!F549="","",IF(Atletas!B549="Feminino",100,IF(Atletas!B549="Masculino",200,""))+(IF(Atletas!F549="Adulto 48kg",1,IF(Atletas!F549="Adulto 56kg",2,IF(Atletas!F549="Adulto 65kg",3,IF(Atletas!F549="Adulto 75kg",4,IF(Atletas!F549="Adulto +75kg",5,IF(Atletas!F549="Adulto 52kg",6,IF(Atletas!F549="Adulto 60kg",7,IF(Atletas!F549="Adulto 70kg",8,IF(Atletas!F549="Adulto 80kg",9,IF(Atletas!F549="Adulto 90kg",10,IF(Atletas!F549="Adulto +90kg",11,"")))))))))))))</f>
        <v/>
      </c>
      <c r="BC558" s="6" t="str">
        <f>IF(Atletas!G549="","",IF(Atletas!B549="Feminino",10,IF(Atletas!B549="Masculino",20,""))+(IF(Atletas!G549="Baduanjin A",1,IF(Atletas!G549="Baduanjin B",2))))</f>
        <v/>
      </c>
      <c r="BF558" s="52" t="str">
        <f>IF(Atletas!H549="","",IF(Atletas!B549="Feminino",100,IF(Atletas!B549="Masculino",200,""))+(IF(Atletas!H549="Changquan Mirim",1,IF(Atletas!H549="Nanquan Mirim",2,IF(Atletas!H549="Taijiquan Mirim",3,IF(Atletas!H549="Changquan Grupo C",4,IF(Atletas!H549="Nanquan Grupo C",5,IF(Atletas!H549="Taijiquan Grupo C",6,IF(Atletas!H549="Changquan Grupo B",7,IF(Atletas!H549="Nanquan Grupo B",8,IF(Atletas!H549="Taijiquan Grupo B",9,IF(Atletas!H549="Changquan Grupo A",10,IF(Atletas!H549="Nanquan Grupo A",11,IF(Atletas!H549="Taijiquan Grupo A",12,IF(Atletas!H549="Changquan Opcional",13,IF(Atletas!H549="Nanquan Opcional",14,IF(Atletas!H549="Taijiquan Opcional",15,IF(Atletas!H549="Changquan Adulto",16,IF(Atletas!H549="Nanquan Adulto",17,IF(Atletas!H549="Taijiquan Adulto",18,""))))))))))))))))))))</f>
        <v/>
      </c>
      <c r="BG558" s="52" t="str">
        <f>IF(Atletas!I549="","",IF(Atletas!B549="Feminino",100,IF(Atletas!B549="Masculino",200,""))+(IF(Atletas!I549="Daoshu Mirim",19,IF(Atletas!I549="Jianshu Mirim",20,IF(Atletas!I549="Nandao Mirim",21,IF(Atletas!I549="Taijijian Mirim",22,IF(Atletas!I549="Daoshu Grupo C",23,IF(Atletas!I549="Jianshu Grupo C",24,IF(Atletas!I549="Nandao Grupo C",25,IF(Atletas!I549="Taijijian Grupo C",26,IF(Atletas!I549="Daoshu Grupo B",27,IF(Atletas!I549="Jianshu Grupo B",28,IF(Atletas!I549="Nandao Grupo B",29,IF(Atletas!I549="Taijijian Grupo B",30,IF(Atletas!I549="Daoshu Grupo A",31,IF(Atletas!I549="Jianshu Grupo A",32,IF(Atletas!I549="Nandao Grupo A",33,IF(Atletas!I549="Taijijian Grupo A",34,IF(Atletas!I549="Daoshu Opcional",35,IF(Atletas!I549="Jianshu Opcional",36,IF(Atletas!I549="Nandao Opcional",37,IF(Atletas!I549="Taijijian Opcional",38,IF(Atletas!I549="Daoshu Adulto",39,IF(Atletas!I549="Jianshu Adulto",40,IF(Atletas!I549="Nandao Adulto",41,IF(Atletas!I549="Taijijian Adulto",42,""))))))))))))))))))))))))))</f>
        <v/>
      </c>
      <c r="BH558" s="52" t="str">
        <f>IF(Atletas!J549="","",IF(Atletas!B549="Feminino",100,IF(Atletas!B549="Masculino",200,""))+(IF(Atletas!J549="Gunshu Mirim",43,IF(Atletas!J549="Qiangshu Mirim",44,IF(Atletas!J549="Nangun Mirim",45,IF(Atletas!J549="Gunshu Grupo C",46,IF(Atletas!J549="Qiangshu Grupo C",47,IF(Atletas!J549="Nangun Grupo C",48,IF(Atletas!J549="Gunshu Grupo B",49,IF(Atletas!J549="Qiangshu Grupo B",50,IF(Atletas!J549="Nangun Grupo B",51,IF(Atletas!J549="Gunshu Grupo A",52,IF(Atletas!J549="Qiangshu Grupo A",53,IF(Atletas!J549="Nangun Grupo A",54,IF(Atletas!J549="Gunshu Opcional",55,IF(Atletas!J549="Qiangshu Opcional",56,IF(Atletas!J549="Nangun Opcional",57,IF(Atletas!J549="Gunshu Adulto",58,IF(Atletas!J549="Qiangshu Adulto",59,IF(Atletas!J549="Nangun Adulto",60,IF(Atletas!J549="Taijishan Grupo B",61,IF(Atletas!J549="Taijishan Grupo A",62,""))))))))))))))))))))))</f>
        <v/>
      </c>
      <c r="BM558" s="50" t="str">
        <f>IF(Atletas!K549="","",IF(Atletas!B549="Feminino",100,IF(Atletas!B549="Masculino",200,""))+(IF(Atletas!K549="Equipe 1 Grupo B",1,IF(Atletas!K549="Equipe 2 Grupo B",2,IF(Atletas!K549="Equipe 1 Grupo A",3,IF(Atletas!K549="Equipe 2 Grupo A",4,IF(Atletas!K549="Equipe 1 Adulto",5,IF(Atletas!K549="Equipe 2 Adulto",6,""))))))))</f>
        <v/>
      </c>
      <c r="BR558" s="50" t="str">
        <f>IF(Atletas!L549="","",IF(Atletas!X549&lt;&gt;"",10000,0)+(IF(Atletas!B549="Feminino",1000,IF(Atletas!B549="Masculino",2000,""))+IF(Atletas!L549="Choylayfut A",1,IF(Atletas!L549="Hunggar A",2,IF(Atletas!L549="Wuzuquan A",3,IF(Atletas!L549="Wingchun A",4,IF(Atletas!L549="Outra Mão de Sul A",5,IF(Atletas!L549="Choylayfut B",6,IF(Atletas!L549="Hunggar B",7,IF(Atletas!L549="Wuzuquan B",8,IF(Atletas!L549="Wingchun B",9,IF(Atletas!L549="Outra Mão de Sul B",10,IF(Atletas!L549="Choylayfut C",11,IF(Atletas!L549="Hunggar C",12,IF(Atletas!L549="Wuzuquan C",13,IF(Atletas!L549="Wingchun C",14,IF(Atletas!L549="Outra Mão de Sul C",15,IF(Atletas!L549="Choylayfut D",16,IF(Atletas!L549="Hunggar D",17,IF(Atletas!L549="Wuzuquan D",18,IF(Atletas!L549="Wingchun D",19,IF(Atletas!L549="Outra Mão de Sul D",20,IF(Atletas!L549="Choylayfut E",21,IF(Atletas!L549="Hunggar E",22,IF(Atletas!L549="Wuzuquan E",23,IF(Atletas!L549="Wingchun E",24,IF(Atletas!L549="Outra Mão de Sul E",25,IF(Atletas!L549="Choylayfut F",26,IF(Atletas!L549="Hunggar F",27,IF(Atletas!L549="Wuzuquan F",28,IF(Atletas!L549="Wingchun F",29,IF(Atletas!L549="Outra Mão de Sul F",30,IF(Atletas!L549="Dishuquan A",31,IF(Atletas!L549="Dishuquan B",32,IF(Atletas!L549="Dishuquan C",33,IF(Atletas!L549="Dishuquan D",34,IF(Atletas!L549="Dishuquan E",35,IF(Atletas!L549="Dishuquan F",36,""))))))))))))))))))))))))))))))))))))))</f>
        <v/>
      </c>
      <c r="BS558" s="50" t="str">
        <f>IF(Atletas!M549="","",IF(Atletas!X549&lt;&gt;"",10000,0)+(IF(Atletas!B549="Feminino",1000,IF(Atletas!B549="Masculino",2000,""))+(IF(Atletas!M549="Chaquan A",101,IF(Atletas!M549="Emeiquan A",102,IF(Atletas!M549="Fanziquan A",103,IF(Atletas!M549="Huaquan A",104,IF(Atletas!M549="Hongquan A",105,IF(Atletas!M549="Paoquan A",106,IF(Atletas!M549="Piguaquan A",107,IF(Atletas!M549="Shaolinquan A",108,IF(Atletas!M549="Tanglangquan A",109,IF(Atletas!M549="Yingzhaoquan A",110,IF(Atletas!M549="Tongbeiquan A",111,IF(Atletas!M549="Wudangquan A",112,IF(Atletas!M549="Outros Estilos A",113,IF(Atletas!M549="Chaquan B",114,IF(Atletas!M549="Emeiquan B",115,IF(Atletas!M549="Fanziquan B",116,IF(Atletas!M549="Huaquan B",117,IF(Atletas!M549="Hongquan B",118,IF(Atletas!M549="Paoquan B",119,IF(Atletas!M549="Piguaquan B",120,IF(Atletas!M549="Shaolinquan B",121,IF(Atletas!M549="Tanglangquan B",122,IF(Atletas!M549="Yingzhaoquan B",123,IF(Atletas!M549="Tongbeiquan B",124,IF(Atletas!M549="Wudangquan B",125,IF(Atletas!M549="Outros Estilos B",126,IF(Atletas!M549="Chaquan C",127,IF(Atletas!M549="Emeiquan C",128,IF(Atletas!M549="Fanziquan C",129,IF(Atletas!M549="Huaquan C",130,IF(Atletas!M549="Hongquan C",131,IF(Atletas!M549="Paoquan C",132,IF(Atletas!M549="Piguaquan C",133,IF(Atletas!M549="Shaolinquan C",134,IF(Atletas!M549="Tanglangquan C",135,IF(Atletas!M549="Yingzhaoquan C",136,IF(Atletas!M549="Tongbeiquan C",137,IF(Atletas!M549="Wudangquan C",138,IF(Atletas!M549="Outros Estilos C",139,0))))))))))))))))))))))))))))))))))))))))))</f>
        <v/>
      </c>
      <c r="BT558" s="50" t="str">
        <f>IF(Atletas!M549="","",IF(Atletas!X549&lt;&gt;"",10000,0)+(IF(Atletas!B549="Feminino",1000,IF(Atletas!B549="Masculino",2000,""))+(IF(Atletas!M549="Chaquan D",140,IF(Atletas!M549="Emeiquan D",141,IF(Atletas!M549="Fanziquan D",142,IF(Atletas!M549="Huaquan D",143,IF(Atletas!M549="Hongquan D",144,IF(Atletas!M549="Paoquan D",145,IF(Atletas!M549="Piguaquan D",146,IF(Atletas!M549="Shaolinquan D",147,IF(Atletas!M549="Tanglangquan D",148,IF(Atletas!M549="Yingzhaoquan D",149,IF(Atletas!M549="Tongbeiquan D",150,IF(Atletas!M549="Wudangquan D",151,IF(Atletas!M549="Outros Estilos D",152,IF(Atletas!M549="Chaquan E",153,IF(Atletas!M549="Emeiquan E",154,IF(Atletas!M549="Fanziquan E",155,IF(Atletas!M549="Huaquan E",156,IF(Atletas!M549="Hongquan E",157,IF(Atletas!M549="Paoquan E",158,IF(Atletas!M549="Piguaquan E",159,IF(Atletas!M549="Shaolinquan E",160,IF(Atletas!M549="Tanglangquan E",161,IF(Atletas!M549="Yingzhaoquan E",162,IF(Atletas!M549="Tongbeiquan E",163,IF(Atletas!M549="Wudangquan E",164,IF(Atletas!M549="Outros Estilos E",165,IF(Atletas!M549="Chaquan F",166,IF(Atletas!M549="Emeiquan F",167,IF(Atletas!M549="Fanziquan F",168,IF(Atletas!M549="Huaquan F",169,IF(Atletas!M549="Hongquan F",170,IF(Atletas!M549="Paoquan F",171,IF(Atletas!M549="Piguaquan F",172,IF(Atletas!M549="Shaolinquan F",173,IF(Atletas!M549="Tanglangquan F",174,IF(Atletas!M549="Yingzhaoquan F",175,IF(Atletas!M549="Tongbeiquan F",176,IF(Atletas!M549="Wudangquan F",177,IF(Atletas!M549="Outros Estilos F",178,0))))))))))))))))))))))))))))))))))))))))))</f>
        <v/>
      </c>
      <c r="BU558" s="50" t="str">
        <f>IF(Atletas!N549="","",IF(Atletas!X549&lt;&gt;"",10000,0)+(IF(Atletas!B549="Feminino",1000,IF(Atletas!B549="Masculino",2000,""))+(IF(Atletas!N549="Ditangquan A",201,IF(Atletas!N549="Houquan A",202,IF(Atletas!N549="Zuiquan A",203,IF(Atletas!N549="Ditangquan B",204,IF(Atletas!N549="Houquan B",205,IF(Atletas!N549="Zuiquan B",206,IF(Atletas!N549="Ditangquan C",207,IF(Atletas!N549="Houquan C",208,IF(Atletas!N549="Zuiquan C",209,IF(Atletas!N549="Ditangquan D",210,IF(Atletas!N549="Houquan D",211,IF(Atletas!N549="Zuiquan D",212,IF(Atletas!N549="Ditangquan E",213,IF(Atletas!N549="Houquan E",214,IF(Atletas!N549="Zuiquan E",215,IF(Atletas!N549="Ditangquan F",216,IF(Atletas!N549="Houquan F",217,IF(Atletas!N549="Zuiquan F",218,"")))))))))))))))))))))</f>
        <v/>
      </c>
      <c r="BV558" s="50" t="str">
        <f>IF(Atletas!O549="","",IF(Atletas!X549&lt;&gt;"",10000,0)+IF(Atletas!B549="Feminino",1000,IF(Atletas!B549="Masculino",2000,""))+IF(Atletas!O549="Yang A",301,IF(Atletas!O549="Chen A",302,IF(Atletas!O549="Sun A",303,IF(Atletas!O549="Wu A",304,IF(Atletas!O549="Wu-Hao A",305,IF(Atletas!O549="Outro Taijiquan A",306,IF(Atletas!O549="Yang B",307,IF(Atletas!O549="Chen B",308,IF(Atletas!O549="Sun B",309,IF(Atletas!O549="Wu B",310,IF(Atletas!O549="Wu-Hao B",311,IF(Atletas!O549="Outro Taijiquan B",312,IF(Atletas!O549="Yang C",313,IF(Atletas!O549="Chen C",314,IF(Atletas!O549="Sun C",315,IF(Atletas!O549="Wu C",316,IF(Atletas!O549="Wu-Hao C",317,IF(Atletas!O549="Outro Taijiquan C",318,IF(Atletas!O549="Yang D",319,IF(Atletas!O549="Chen D",320,IF(Atletas!O549="Sun D",321,IF(Atletas!O549="Wu D",322,IF(Atletas!O549="Wu-Hao D",323,IF(Atletas!O549="Outro Taijiquan D",324,IF(Atletas!O549="Yang E",325,IF(Atletas!O549="Chen E",326,IF(Atletas!O549="Sun E",327,IF(Atletas!O549="Wu E",328,IF(Atletas!O549="Wu-Hao E",329,IF(Atletas!O549="Outro Taijiquan E",330,IF(Atletas!O549="Yang F",331,IF(Atletas!O549="Chen F",332,IF(Atletas!O549="Sun F",333,IF(Atletas!O549="Wu F",334,IF(Atletas!O549="Wu-Hao F",335,IF(Atletas!O549="Outro Taijiquan F",336,"")))))))))))))))))))))))))))))))))))))</f>
        <v/>
      </c>
      <c r="BW558" s="50" t="str">
        <f>IF(Atletas!P549="","",IF(Atletas!X549&lt;&gt;"",10000,0)+IF(Atletas!B549="Feminino",1000,IF(Atletas!B549="Masculino",2000,""))+IF(OR(Atletas!P549="Yang 26 A",Atletas!P549="Yang 40 A"),401,IF(OR(Atletas!P549="Chen 25 A",Atletas!P549="Chen 36 A",Atletas!P549="Chen 56 A"),402,IF(Atletas!P549="Sun 73 A",403,IF(Atletas!P549="Wu 45 A",404,IF(Atletas!P549="Wu-Hao 46 A",405,IF(OR(Atletas!P549="Taijiquan 16 A",Atletas!P549="Taijiquan 24 A",Atletas!P549="Taijiquan 32 A",Atletas!P549="Taijiquan 42 A"),406,IF(OR(Atletas!P549="Yang 26 B",Atletas!P549="Yang 40 B"),407,IF(OR(Atletas!P549="Chen 25 B",Atletas!P549="Chen 36 B",Atletas!P549="Chen 56 B"),408,IF(Atletas!P549="Sun 73 B",409,IF(Atletas!P549="Wu 45 B",410,IF(Atletas!P549="Wu-Hao 46 B",411,IF(OR(Atletas!P549="Taijiquan 16 B",Atletas!P549="Taijiquan 24 B",Atletas!P549="Taijiquan 32 B",Atletas!P549="Taijiquan 42 B"),412,IF(OR(Atletas!P549="Yang 26 C",Atletas!P549="Yang 40 C"),413,IF(OR(Atletas!P549="Chen 25 C",Atletas!P549="Chen 36 C",Atletas!P549="Chen 56 C"),414,IF(Atletas!P549="Sun 73 C",415,IF(Atletas!P549="Wu 45 C",416,IF(Atletas!P549="Wu-Hao 46 C",417,IF(OR(Atletas!P549="Taijiquan 16 C",Atletas!P549="Taijiquan 24 C",Atletas!P549="Taijiquan 32 C",Atletas!P549="Taijiquan 42 C"),418,0)))))))))))))))))))</f>
        <v/>
      </c>
      <c r="BX558" s="50" t="str">
        <f>IF(Atletas!P549="","",IF(Atletas!X549&lt;&gt;"",10000,0)+IF(Atletas!B549="Feminino",1000,IF(Atletas!B549="Masculino",2000,""))+IF(OR(Atletas!P549="Yang 26 D",Atletas!P549="Yang 40 D"),419,IF(OR(Atletas!P549="Chen 25 D",Atletas!P549="Chen 36 D",Atletas!P549="Chen 56 D"),420,IF(Atletas!P549="Sun 73 D",421,IF(Atletas!P549="Wu 45 D",422,IF(Atletas!P549="Wu-Hao 46 D",423,IF(OR(Atletas!P549="Taijiquan 16 D",Atletas!P549="Taijiquan 24 D",Atletas!P549="Taijiquan 32 D",Atletas!P549="Taijiquan 42 D"),424,IF(OR(Atletas!P549="Yang 26 E",Atletas!P549="Yang 40 E"),425,IF(OR(Atletas!P549="Chen 25 E",Atletas!P549="Chen 36 E",Atletas!P549="Chen 56 E"),426,IF(Atletas!P549="Sun 73 E",427,IF(Atletas!P549="Wu 45 E",428,IF(Atletas!P549="Wu-Hao 46 E",429,IF(OR(Atletas!P549="Taijiquan 16 E",Atletas!P549="Taijiquan 24 E",Atletas!P549="Taijiquan 32 E",Atletas!P549="Taijiquan 42 E"),430,IF(OR(Atletas!P549="Yang 26 F",Atletas!P549="Yang 40 F"),431,IF(OR(Atletas!P549="Chen 25 F",Atletas!P549="Chen 36 F",Atletas!P549="Chen 56 F"),432,IF(Atletas!P549="Sun 73 F",433,IF(Atletas!P549="Wu 45 F",434,IF(Atletas!P549="Wu-Hao 46 F",435,IF(OR(Atletas!P549="Taijiquan 16 F",Atletas!P549="Taijiquan 24 F",Atletas!P549="Taijiquan 32 F",Atletas!P549="Taijiquan 42 F"),436,0)))))))))))))))))))</f>
        <v/>
      </c>
      <c r="BY558" s="50" t="str">
        <f>IF(Atletas!Q549="","",IF(Atletas!X549&lt;&gt;"",10000,0)+IF(Atletas!B549="Feminino",1000,IF(Atletas!B549="Masculino",2000,""))+IF(Atletas!Q549="Xingyiquan A",501,IF(Atletas!Q549="Baguazhang A",502,IF(Atletas!Q549="Outro Estilo Interno A",503,IF(Atletas!Q549="Xingyiquan B",504,IF(Atletas!Q549="Baguazhang B",505,IF(Atletas!Q549="Outro Estilo Interno B",506,IF(Atletas!Q549="Xingyiquan C",507,IF(Atletas!Q549="Baguazhang C",508,IF(Atletas!Q549="Outro Estilo Interno C",509,IF(Atletas!Q549="Xingyiquan D",510,IF(Atletas!Q549="Baguazhang D",511,IF(Atletas!Q549="Outro Estilo Interno D",512,IF(Atletas!Q549="Xingyiquan E",513,IF(Atletas!Q549="Baguazhang E",514,IF(Atletas!Q549="Outro Estilo Interno E",515,IF(Atletas!Q549="Xingyiquan F",516,IF(Atletas!Q549="Baguazhang F",517,IF(Atletas!Q549="Outro Estilo Interno F",518, "")))))))))))))))))))</f>
        <v/>
      </c>
      <c r="BZ558" s="50" t="str">
        <f>IF(Atletas!R549="","",IF(Atletas!X549&lt;&gt;"",10000,0)+IF(Atletas!B549="Feminino",1000,IF(Atletas!B549="Masculino",2000,""))+IF(Atletas!R549="Dao A",601,IF(Atletas!R549="Jian A",602,IF(Atletas!R549="Bishou A",603,IF(Atletas!R549="Shanzi A",604,IF(Atletas!R549="Outra Arma Curta A",605,IF(Atletas!R549="Dao B",606,IF(Atletas!R549="Jian B",607,IF(Atletas!R549="Bishou B",608,IF(Atletas!R549="Shanzi B",609,IF(Atletas!R549="Outra Arma Curta B",610,IF(Atletas!R549="Dao C",611,IF(Atletas!R549="Jian C",612,IF(Atletas!R549="Bishou C",613,IF(Atletas!R549="Shanzi C",614,IF(Atletas!R549="Outra Arma Curta C",615,IF(Atletas!R549="Dao D",616,IF(Atletas!R549="Jian D",617,IF(Atletas!R549="Bishou D",618,IF(Atletas!R549="Shanzi D",619,IF(Atletas!R549="Outra Arma Curta D",620,IF(Atletas!R549="Dao E",621,IF(Atletas!R549="Jian E",622,IF(Atletas!R549="Bishou E",623,IF(Atletas!R549="Shanzi E",624,IF(Atletas!R549="Outra Arma Curta E",625,IF(Atletas!R549="Dao F",626,IF(Atletas!R549="Jian F",627,IF(Atletas!R549="Bishou F",628,IF(Atletas!R549="Shanzi F",629,IF(Atletas!R549="Outra Arma Curta F",630, "")))))))))))))))))))))))))))))))</f>
        <v/>
      </c>
      <c r="CA558" s="50" t="str">
        <f>IF(Atletas!S549="","",IF(Atletas!X549&lt;&gt;"",10000,0)+IF(Atletas!B549="Feminino",1000,IF(Atletas!B549="Masculino",2000,""))+IF(Atletas!S549="Gun A",701,IF(Atletas!S549="Qiang A",702,IF(Atletas!S549="Pudao / Guandao A",703,IF(Atletas!S549="Outra Arma Longa A",704,IF(Atletas!S549="Gun B",705,IF(Atletas!S549="Qiang B",706,IF(Atletas!S549="Pudao / Guandao B",707,IF(Atletas!S549="Outra Arma Longa B",708,IF(Atletas!S549="Gun C",709,IF(Atletas!S549="Qiang C",710,IF(Atletas!S549="Pudao / Guandao C",711,IF(Atletas!S549="Outra Arma Longa C",712,IF(Atletas!S549="Gun D",713,IF(Atletas!S549="Qiang D",714,IF(Atletas!S549="Pudao / Guandao D",715,IF(Atletas!S549="Outra Arma Longa D",716,IF(Atletas!S549="Gun E",717,IF(Atletas!S549="Qiang E",718,IF(Atletas!S549="Pudao / Guandao E",719,IF(Atletas!S549="Outra Arma Longa E",720,IF(Atletas!S549="Gun F",721,IF(Atletas!S549="Qiang F",722,IF(Atletas!S549="Pudao / Guandao F",723,IF(Atletas!S549="Outra Arma Longa F",724,"")))))))))))))))))))))))))</f>
        <v/>
      </c>
      <c r="CB558" s="50" t="str">
        <f>IF(Atletas!T549="","",IF(Atletas!X549&lt;&gt;"",10000,0)+IF(Atletas!B549="Feminino",1000,IF(Atletas!B549="Masculino",2000,""))+IF(Atletas!T549="Outra Arma Dupla A",801,IF(Atletas!T549="Arma Maleável A",802,IF(Atletas!T549="Outra Arma Dupla B",803,IF(Atletas!T549="Arma Maleável B",804,IF(Atletas!T549="Outra Arma Dupla C",805,IF(Atletas!T549="Arma Maleável C",806,IF(Atletas!T549="Outra Arma Dupla D",807,IF(Atletas!T549="Arma Maleável D",808,IF(Atletas!T549="Outra Arma Dupla E",809,IF(Atletas!T549="Arma Maleável E",810,IF(Atletas!T549="Outra Arma Dupla F",811,IF(Atletas!T549="Arma Maleável F",812,IF(Atletas!T549="Shuangdao A",813,IF(Atletas!T549="Shuangdao B",814,IF(Atletas!T549="Shuangdao C",815,IF(Atletas!T549="Shuangdao D",816,IF(Atletas!T549="Shuangdao E",817,IF(Atletas!T549="Shuangdao F",818,"")))))))))))))))))))</f>
        <v/>
      </c>
      <c r="CC558" s="50" t="str">
        <f>IF(Atletas!U549="","",IF(Atletas!X549&lt;&gt;"",10000,0)+IF(Atletas!B549="Feminino",1000,IF(Atletas!B549="Masculino",2000,""))+IF(OR(Atletas!U549="Taijijian Yang A",Atletas!U549="Taijijian Yang Standard A"),901,IF(OR(Atletas!U549="Taijijian Chen A", Atletas!U549="Taijijian Chen Standard A"),902,IF(Atletas!U549="Taijijian Sun A",903,IF(Atletas!U549="Taijijian Wu A",904,IF(Atletas!U549="Taijijian Wu-Hao A",905,IF(OR(Atletas!U549="Taijijian 32 A",Atletas!U549="Taijijian 42 A"),906,IF(OR(Atletas!U549="Taijijian Yang B",Atletas!U549="Taijijian Yang Standard B"),907,IF(OR(Atletas!U549="Taijijian Chen B", Atletas!U549="Taijijian Chen Standard B"),908,IF(Atletas!U549="Taijijian Sun B",909,IF(Atletas!U549="Taijijian Wu B",910,IF(Atletas!U549="Taijijian Wu-Hao B",911,IF(OR(Atletas!U549="Taijijian 32 B",Atletas!U549="Taijijian 42 B"),912,IF(OR(Atletas!U549="Taijijian Yang C",Atletas!U549="Taijijian Yang Standard C"),913,IF(OR(Atletas!U549="Taijijian Chen C", Atletas!U549="Taijijian Chen Standard C"),914,IF(Atletas!U549="Taijijian Sun C",915,IF(Atletas!U549="Taijijian Wu C",916,IF(Atletas!U549="Taijijian Wu-Hao C",917,IF(OR(Atletas!U549="Taijijian 32 C",Atletas!U549="Taijijian 42 C"),918,IF(OR(Atletas!U549="Taijijian Yang D",Atletas!U549="Taijijian Yang Standard D"),919,IF(OR(Atletas!U549="Taijijian Chen D", Atletas!U549="Taijijian Chen Standard D"),920,IF(Atletas!U549="Taijijian Sun D",921,IF(Atletas!U549="Taijijian Wu D",922,IF(Atletas!U549="Taijijian Wu-Hao D",923,IF(OR(Atletas!U549="Taijijian 32 D",Atletas!U549="Taijijian 42 D"),924,IF(OR(Atletas!U549="Taijijian Yang E",Atletas!U549="Taijijian Yang Standard E"),925,IF(OR(Atletas!U549="Taijijian Chen E", Atletas!U549="Taijijian Chen Standard E"),926,IF(Atletas!U549="Taijijian Sun E",927,IF(Atletas!U549="Taijijian Wu E",928,IF(Atletas!U549="Taijijian Wu-Hao E",929,IF(OR(Atletas!U549="Taijijian 32 E",Atletas!U549="Taijijian 42 E"),930,IF(OR(Atletas!U549="Taijijian Yang F",Atletas!U549="Taijijian Yang Standard F"),931,IF(OR(Atletas!U549="Taijijian Chen F", Atletas!U549="Taijijian Chen Standard F"),932,IF(Atletas!U549="Taijijian Sun F",933,IF(Atletas!U549="Taijijian Wu F",934,IF(Atletas!U549="Taijijian Wu-Hao F",935,IF(OR(Atletas!U549="Taijijian 32 F",Atletas!U549="Taijijian 42 F"),936,"")))))))))))))))))))))))))))))))))))))</f>
        <v/>
      </c>
      <c r="CD558" s="50" t="str">
        <f>IF(Atletas!V549="","",IF(Atletas!X549&lt;&gt;"",10000,0)+IF(Atletas!B549="Feminino",1000,IF(Atletas!B549="Masculino",2000,""))+IF(Atletas!V549="Taijidao A",937,IF(Atletas!V549="TaijiShanzi A",938,IF(Atletas!V549="Taijiqiang A",939,IF(Atletas!V549="Bagua de Arma A",940,IF(Atletas!V549="Xingyi de Arma A",941,IF(Atletas!V549="Taijidao B",942,IF(Atletas!V549="TaijiShanzi B",943,IF(Atletas!V549="Taijiqiang B",944,IF(Atletas!V549="Bagua de Arma B",945,IF(Atletas!V549="Xingyi de Arma B",946,IF(Atletas!V549="Taijidao C",947,IF(Atletas!V549="TaijiShanzi C",948,IF(Atletas!V549="Taijiqiang C",949,IF(Atletas!V549="Bagua de Arma C",950,IF(Atletas!V549="Xingyi de Arma C",951,IF(Atletas!V549="Taijidao D",952,IF(Atletas!V549="TaijiShanzi D",953,IF(Atletas!V549="Taijiqiang D",954,IF(Atletas!V549="Bagua de Arma D",955,IF(Atletas!V549="Xingyi de Arma D",956,IF(Atletas!V549="Taijidao E",957,IF(Atletas!V549="TaijiShanzi E",958,IF(Atletas!V549="Taijiqiang E",959,IF(Atletas!V549="Bagua de Arma E",960,IF(Atletas!V549="Xingyi de Arma E",961,IF(Atletas!V549="Taijidao F",962,IF(Atletas!V549="TaijiShanzi F",963,IF(Atletas!V549="Taijiqiang F",964,IF(Atletas!V549="Bagua de Arma F",965,IF(Atletas!V549="Xingyi de Arma F",966,"")))))))))))))))))))))))))))))))</f>
        <v/>
      </c>
      <c r="CM558" s="50" t="str">
        <f xml:space="preserve"> IF(Atletas!W549="","",IF(Atletas!W549="Duilian de Mãos BC - Equipe 1",1,IF(Atletas!W549="Duilian de Mãos BC - Equipe 2",2,IF(Atletas!W549="Duilian de Armas BC - Equipe 1",3,IF(Atletas!W549="Duilian de Armas BC - Equipe 2",4,IF(Atletas!W549="Duilian de Mãos DE - Equipe 1",5,IF(Atletas!W549="Duilian de Mãos DE - Equipe 2",6,IF(Atletas!W549="Duilian de Armas DE - Equipe 1",7,IF(Atletas!W549="Duilian de Armas DE - Equipe 2",8,IF(Atletas!W549="Duilian de Tuishou - Equipe 1",9,IF(Atletas!W549="Duilian de Tuishou - Equipe 2",10,IF(Atletas!W549="Grupo Externo ABC - Equipe 1",11,IF(Atletas!W549="Grupo Externo ABC - Equipe 2",12,IF(Atletas!W549="Grupo Interno ABC - Equipe 1",13,IF(Atletas!W549="Grupo Interno ABC - Equipe 2",14,IF(Atletas!W549="Grupo Externo DEF - Equipe 1",15,IF(Atletas!W549="Grupo Externo DEF - Equipe 2",16,IF(Atletas!W549="Grupo Interno DEF - Equipe 1",17,IF(Atletas!W549="Grupo Interno DEF - Equipe 2",18,"")))))))))))))))))))</f>
        <v/>
      </c>
    </row>
    <row r="559" spans="40:91">
      <c r="AN559" s="52" t="str">
        <f>IF(Atletas!D550="","",IF(Atletas!B550="Feminino",100,IF(Atletas!B550="Masculino",200,""))+(IF(Atletas!D550="Kids 30kg",1,IF(Atletas!D550="Kids 32kg",2, IF(Atletas!D550="Kids 34kg",3,IF(Atletas!D550="Kids 36kg",4,IF(Atletas!D550="Kids 39kg",5,IF(Atletas!D550="Kids 42kg",6,IF(Atletas!D550="Kids 45kg",7, IF(Atletas!D550="Infantil 39kg",8,IF(Atletas!D550="Infantil 42kg",9,IF(Atletas!D550="Infantil 45kg",10,IF(Atletas!D550="Infantil 48kg",11,IF(Atletas!D550="Infantil 52kg",12,IF(Atletas!D550="Infantil 56kg",13,IF(Atletas!D550="Infantil 60kg",14,IF(Atletas!D550="Juvenil 48kg",15,IF(Atletas!D550="Juvenil 52kg",16,IF(Atletas!D550="Juvenil 56kg",17,IF(Atletas!D550="Juvenil 60kg",18,IF(Atletas!D550="Juvenil 65kg",19,IF(Atletas!D550="Juvenil 70kg",20,IF(Atletas!D550="Juvenil 75kg",21,IF(Atletas!D550="Juvenil 80kg",22, IF(Atletas!D550="Juvenil 85kg",23,IF(Atletas!D550="Adulto 48kg",24,IF(Atletas!D550="Adulto 52kg",25,IF(Atletas!D550="Adulto 56kg",26,IF(Atletas!D550="Adulto 60kg",27,IF(Atletas!D550="Adulto 65kg",28,IF(Atletas!D550="Adulto 70kg",29,IF(Atletas!D550="Adulto 75kg",30,IF(Atletas!D550="Adulto 80kg",31,IF(Atletas!D550="Adulto 85kg",32,IF(Atletas!D550="Adulto 90kg",33,IF(Atletas!D550="Adulto 100kg",34, IF(Atletas!D550="Adulto +100kg",35,"")))))))))))))))))))))))))))))))))))))</f>
        <v/>
      </c>
      <c r="AS559" s="6" t="str">
        <f>IF(Atletas!E550="","",IF(Atletas!B550="Feminino",100,IF(Atletas!B550="Masculino",200,""))+(IF(Atletas!E550="Juvenil 44kg",1,IF(Atletas!E550="Juvenil 48kg",2,IF(Atletas!E550="Juvenil 52kg",3,IF(Atletas!E550="Juvenil 56kg",4,IF(Atletas!E550="Juvenil 60kg",5,IF(Atletas!E550="Juvenil 65kg",6,IF(Atletas!E550="Juvenil 70kg",7,IF(Atletas!E550="Juvenil 75kg",8,IF(Atletas!E550="Juvenil 82kg",9,IF(Atletas!E550="Juvenil 90kg",10,IF(Atletas!E550="Juvenil 100kg",11,IF(Atletas!E550="Adulto 48kg",12,IF(Atletas!E550="Adulto 52kg",13,IF(Atletas!E550="Adulto 56kg",14,IF(Atletas!E550="Adulto 60kg",15,IF(Atletas!E550="Adulto 65kg",16,IF(Atletas!E550="Adulto 70kg",17,IF(Atletas!E550="Adulto 75kg",18,IF(Atletas!E550="Adulto 82kg",19,IF(Atletas!E550="Adulto 90kg",20,IF(Atletas!E550="Adulto 100kg",21,IF(Atletas!E550="Adulto +100kg",22,""))))))))))))))))))))))))</f>
        <v/>
      </c>
      <c r="AX559" s="6" t="str">
        <f>IF(Atletas!F550="","",IF(Atletas!B550="Feminino",100,IF(Atletas!B550="Masculino",200,""))+(IF(Atletas!F550="Adulto 48kg",1,IF(Atletas!F550="Adulto 56kg",2,IF(Atletas!F550="Adulto 65kg",3,IF(Atletas!F550="Adulto 75kg",4,IF(Atletas!F550="Adulto +75kg",5,IF(Atletas!F550="Adulto 52kg",6,IF(Atletas!F550="Adulto 60kg",7,IF(Atletas!F550="Adulto 70kg",8,IF(Atletas!F550="Adulto 80kg",9,IF(Atletas!F550="Adulto 90kg",10,IF(Atletas!F550="Adulto +90kg",11,"")))))))))))))</f>
        <v/>
      </c>
      <c r="BC559" s="6" t="str">
        <f>IF(Atletas!G550="","",IF(Atletas!B550="Feminino",10,IF(Atletas!B550="Masculino",20,""))+(IF(Atletas!G550="Baduanjin A",1,IF(Atletas!G550="Baduanjin B",2))))</f>
        <v/>
      </c>
      <c r="BF559" s="52" t="str">
        <f>IF(Atletas!H550="","",IF(Atletas!B550="Feminino",100,IF(Atletas!B550="Masculino",200,""))+(IF(Atletas!H550="Changquan Mirim",1,IF(Atletas!H550="Nanquan Mirim",2,IF(Atletas!H550="Taijiquan Mirim",3,IF(Atletas!H550="Changquan Grupo C",4,IF(Atletas!H550="Nanquan Grupo C",5,IF(Atletas!H550="Taijiquan Grupo C",6,IF(Atletas!H550="Changquan Grupo B",7,IF(Atletas!H550="Nanquan Grupo B",8,IF(Atletas!H550="Taijiquan Grupo B",9,IF(Atletas!H550="Changquan Grupo A",10,IF(Atletas!H550="Nanquan Grupo A",11,IF(Atletas!H550="Taijiquan Grupo A",12,IF(Atletas!H550="Changquan Opcional",13,IF(Atletas!H550="Nanquan Opcional",14,IF(Atletas!H550="Taijiquan Opcional",15,IF(Atletas!H550="Changquan Adulto",16,IF(Atletas!H550="Nanquan Adulto",17,IF(Atletas!H550="Taijiquan Adulto",18,""))))))))))))))))))))</f>
        <v/>
      </c>
      <c r="BG559" s="52" t="str">
        <f>IF(Atletas!I550="","",IF(Atletas!B550="Feminino",100,IF(Atletas!B550="Masculino",200,""))+(IF(Atletas!I550="Daoshu Mirim",19,IF(Atletas!I550="Jianshu Mirim",20,IF(Atletas!I550="Nandao Mirim",21,IF(Atletas!I550="Taijijian Mirim",22,IF(Atletas!I550="Daoshu Grupo C",23,IF(Atletas!I550="Jianshu Grupo C",24,IF(Atletas!I550="Nandao Grupo C",25,IF(Atletas!I550="Taijijian Grupo C",26,IF(Atletas!I550="Daoshu Grupo B",27,IF(Atletas!I550="Jianshu Grupo B",28,IF(Atletas!I550="Nandao Grupo B",29,IF(Atletas!I550="Taijijian Grupo B",30,IF(Atletas!I550="Daoshu Grupo A",31,IF(Atletas!I550="Jianshu Grupo A",32,IF(Atletas!I550="Nandao Grupo A",33,IF(Atletas!I550="Taijijian Grupo A",34,IF(Atletas!I550="Daoshu Opcional",35,IF(Atletas!I550="Jianshu Opcional",36,IF(Atletas!I550="Nandao Opcional",37,IF(Atletas!I550="Taijijian Opcional",38,IF(Atletas!I550="Daoshu Adulto",39,IF(Atletas!I550="Jianshu Adulto",40,IF(Atletas!I550="Nandao Adulto",41,IF(Atletas!I550="Taijijian Adulto",42,""))))))))))))))))))))))))))</f>
        <v/>
      </c>
      <c r="BH559" s="52" t="str">
        <f>IF(Atletas!J550="","",IF(Atletas!B550="Feminino",100,IF(Atletas!B550="Masculino",200,""))+(IF(Atletas!J550="Gunshu Mirim",43,IF(Atletas!J550="Qiangshu Mirim",44,IF(Atletas!J550="Nangun Mirim",45,IF(Atletas!J550="Gunshu Grupo C",46,IF(Atletas!J550="Qiangshu Grupo C",47,IF(Atletas!J550="Nangun Grupo C",48,IF(Atletas!J550="Gunshu Grupo B",49,IF(Atletas!J550="Qiangshu Grupo B",50,IF(Atletas!J550="Nangun Grupo B",51,IF(Atletas!J550="Gunshu Grupo A",52,IF(Atletas!J550="Qiangshu Grupo A",53,IF(Atletas!J550="Nangun Grupo A",54,IF(Atletas!J550="Gunshu Opcional",55,IF(Atletas!J550="Qiangshu Opcional",56,IF(Atletas!J550="Nangun Opcional",57,IF(Atletas!J550="Gunshu Adulto",58,IF(Atletas!J550="Qiangshu Adulto",59,IF(Atletas!J550="Nangun Adulto",60,IF(Atletas!J550="Taijishan Grupo B",61,IF(Atletas!J550="Taijishan Grupo A",62,""))))))))))))))))))))))</f>
        <v/>
      </c>
      <c r="BM559" s="50" t="str">
        <f>IF(Atletas!K550="","",IF(Atletas!B550="Feminino",100,IF(Atletas!B550="Masculino",200,""))+(IF(Atletas!K550="Equipe 1 Grupo B",1,IF(Atletas!K550="Equipe 2 Grupo B",2,IF(Atletas!K550="Equipe 1 Grupo A",3,IF(Atletas!K550="Equipe 2 Grupo A",4,IF(Atletas!K550="Equipe 1 Adulto",5,IF(Atletas!K550="Equipe 2 Adulto",6,""))))))))</f>
        <v/>
      </c>
      <c r="BR559" s="50" t="str">
        <f>IF(Atletas!L550="","",IF(Atletas!X550&lt;&gt;"",10000,0)+(IF(Atletas!B550="Feminino",1000,IF(Atletas!B550="Masculino",2000,""))+IF(Atletas!L550="Choylayfut A",1,IF(Atletas!L550="Hunggar A",2,IF(Atletas!L550="Wuzuquan A",3,IF(Atletas!L550="Wingchun A",4,IF(Atletas!L550="Outra Mão de Sul A",5,IF(Atletas!L550="Choylayfut B",6,IF(Atletas!L550="Hunggar B",7,IF(Atletas!L550="Wuzuquan B",8,IF(Atletas!L550="Wingchun B",9,IF(Atletas!L550="Outra Mão de Sul B",10,IF(Atletas!L550="Choylayfut C",11,IF(Atletas!L550="Hunggar C",12,IF(Atletas!L550="Wuzuquan C",13,IF(Atletas!L550="Wingchun C",14,IF(Atletas!L550="Outra Mão de Sul C",15,IF(Atletas!L550="Choylayfut D",16,IF(Atletas!L550="Hunggar D",17,IF(Atletas!L550="Wuzuquan D",18,IF(Atletas!L550="Wingchun D",19,IF(Atletas!L550="Outra Mão de Sul D",20,IF(Atletas!L550="Choylayfut E",21,IF(Atletas!L550="Hunggar E",22,IF(Atletas!L550="Wuzuquan E",23,IF(Atletas!L550="Wingchun E",24,IF(Atletas!L550="Outra Mão de Sul E",25,IF(Atletas!L550="Choylayfut F",26,IF(Atletas!L550="Hunggar F",27,IF(Atletas!L550="Wuzuquan F",28,IF(Atletas!L550="Wingchun F",29,IF(Atletas!L550="Outra Mão de Sul F",30,IF(Atletas!L550="Dishuquan A",31,IF(Atletas!L550="Dishuquan B",32,IF(Atletas!L550="Dishuquan C",33,IF(Atletas!L550="Dishuquan D",34,IF(Atletas!L550="Dishuquan E",35,IF(Atletas!L550="Dishuquan F",36,""))))))))))))))))))))))))))))))))))))))</f>
        <v/>
      </c>
      <c r="BS559" s="50" t="str">
        <f>IF(Atletas!M550="","",IF(Atletas!X550&lt;&gt;"",10000,0)+(IF(Atletas!B550="Feminino",1000,IF(Atletas!B550="Masculino",2000,""))+(IF(Atletas!M550="Chaquan A",101,IF(Atletas!M550="Emeiquan A",102,IF(Atletas!M550="Fanziquan A",103,IF(Atletas!M550="Huaquan A",104,IF(Atletas!M550="Hongquan A",105,IF(Atletas!M550="Paoquan A",106,IF(Atletas!M550="Piguaquan A",107,IF(Atletas!M550="Shaolinquan A",108,IF(Atletas!M550="Tanglangquan A",109,IF(Atletas!M550="Yingzhaoquan A",110,IF(Atletas!M550="Tongbeiquan A",111,IF(Atletas!M550="Wudangquan A",112,IF(Atletas!M550="Outros Estilos A",113,IF(Atletas!M550="Chaquan B",114,IF(Atletas!M550="Emeiquan B",115,IF(Atletas!M550="Fanziquan B",116,IF(Atletas!M550="Huaquan B",117,IF(Atletas!M550="Hongquan B",118,IF(Atletas!M550="Paoquan B",119,IF(Atletas!M550="Piguaquan B",120,IF(Atletas!M550="Shaolinquan B",121,IF(Atletas!M550="Tanglangquan B",122,IF(Atletas!M550="Yingzhaoquan B",123,IF(Atletas!M550="Tongbeiquan B",124,IF(Atletas!M550="Wudangquan B",125,IF(Atletas!M550="Outros Estilos B",126,IF(Atletas!M550="Chaquan C",127,IF(Atletas!M550="Emeiquan C",128,IF(Atletas!M550="Fanziquan C",129,IF(Atletas!M550="Huaquan C",130,IF(Atletas!M550="Hongquan C",131,IF(Atletas!M550="Paoquan C",132,IF(Atletas!M550="Piguaquan C",133,IF(Atletas!M550="Shaolinquan C",134,IF(Atletas!M550="Tanglangquan C",135,IF(Atletas!M550="Yingzhaoquan C",136,IF(Atletas!M550="Tongbeiquan C",137,IF(Atletas!M550="Wudangquan C",138,IF(Atletas!M550="Outros Estilos C",139,0))))))))))))))))))))))))))))))))))))))))))</f>
        <v/>
      </c>
      <c r="BT559" s="50" t="str">
        <f>IF(Atletas!M550="","",IF(Atletas!X550&lt;&gt;"",10000,0)+(IF(Atletas!B550="Feminino",1000,IF(Atletas!B550="Masculino",2000,""))+(IF(Atletas!M550="Chaquan D",140,IF(Atletas!M550="Emeiquan D",141,IF(Atletas!M550="Fanziquan D",142,IF(Atletas!M550="Huaquan D",143,IF(Atletas!M550="Hongquan D",144,IF(Atletas!M550="Paoquan D",145,IF(Atletas!M550="Piguaquan D",146,IF(Atletas!M550="Shaolinquan D",147,IF(Atletas!M550="Tanglangquan D",148,IF(Atletas!M550="Yingzhaoquan D",149,IF(Atletas!M550="Tongbeiquan D",150,IF(Atletas!M550="Wudangquan D",151,IF(Atletas!M550="Outros Estilos D",152,IF(Atletas!M550="Chaquan E",153,IF(Atletas!M550="Emeiquan E",154,IF(Atletas!M550="Fanziquan E",155,IF(Atletas!M550="Huaquan E",156,IF(Atletas!M550="Hongquan E",157,IF(Atletas!M550="Paoquan E",158,IF(Atletas!M550="Piguaquan E",159,IF(Atletas!M550="Shaolinquan E",160,IF(Atletas!M550="Tanglangquan E",161,IF(Atletas!M550="Yingzhaoquan E",162,IF(Atletas!M550="Tongbeiquan E",163,IF(Atletas!M550="Wudangquan E",164,IF(Atletas!M550="Outros Estilos E",165,IF(Atletas!M550="Chaquan F",166,IF(Atletas!M550="Emeiquan F",167,IF(Atletas!M550="Fanziquan F",168,IF(Atletas!M550="Huaquan F",169,IF(Atletas!M550="Hongquan F",170,IF(Atletas!M550="Paoquan F",171,IF(Atletas!M550="Piguaquan F",172,IF(Atletas!M550="Shaolinquan F",173,IF(Atletas!M550="Tanglangquan F",174,IF(Atletas!M550="Yingzhaoquan F",175,IF(Atletas!M550="Tongbeiquan F",176,IF(Atletas!M550="Wudangquan F",177,IF(Atletas!M550="Outros Estilos F",178,0))))))))))))))))))))))))))))))))))))))))))</f>
        <v/>
      </c>
      <c r="BU559" s="50" t="str">
        <f>IF(Atletas!N550="","",IF(Atletas!X550&lt;&gt;"",10000,0)+(IF(Atletas!B550="Feminino",1000,IF(Atletas!B550="Masculino",2000,""))+(IF(Atletas!N550="Ditangquan A",201,IF(Atletas!N550="Houquan A",202,IF(Atletas!N550="Zuiquan A",203,IF(Atletas!N550="Ditangquan B",204,IF(Atletas!N550="Houquan B",205,IF(Atletas!N550="Zuiquan B",206,IF(Atletas!N550="Ditangquan C",207,IF(Atletas!N550="Houquan C",208,IF(Atletas!N550="Zuiquan C",209,IF(Atletas!N550="Ditangquan D",210,IF(Atletas!N550="Houquan D",211,IF(Atletas!N550="Zuiquan D",212,IF(Atletas!N550="Ditangquan E",213,IF(Atletas!N550="Houquan E",214,IF(Atletas!N550="Zuiquan E",215,IF(Atletas!N550="Ditangquan F",216,IF(Atletas!N550="Houquan F",217,IF(Atletas!N550="Zuiquan F",218,"")))))))))))))))))))))</f>
        <v/>
      </c>
      <c r="BV559" s="50" t="str">
        <f>IF(Atletas!O550="","",IF(Atletas!X550&lt;&gt;"",10000,0)+IF(Atletas!B550="Feminino",1000,IF(Atletas!B550="Masculino",2000,""))+IF(Atletas!O550="Yang A",301,IF(Atletas!O550="Chen A",302,IF(Atletas!O550="Sun A",303,IF(Atletas!O550="Wu A",304,IF(Atletas!O550="Wu-Hao A",305,IF(Atletas!O550="Outro Taijiquan A",306,IF(Atletas!O550="Yang B",307,IF(Atletas!O550="Chen B",308,IF(Atletas!O550="Sun B",309,IF(Atletas!O550="Wu B",310,IF(Atletas!O550="Wu-Hao B",311,IF(Atletas!O550="Outro Taijiquan B",312,IF(Atletas!O550="Yang C",313,IF(Atletas!O550="Chen C",314,IF(Atletas!O550="Sun C",315,IF(Atletas!O550="Wu C",316,IF(Atletas!O550="Wu-Hao C",317,IF(Atletas!O550="Outro Taijiquan C",318,IF(Atletas!O550="Yang D",319,IF(Atletas!O550="Chen D",320,IF(Atletas!O550="Sun D",321,IF(Atletas!O550="Wu D",322,IF(Atletas!O550="Wu-Hao D",323,IF(Atletas!O550="Outro Taijiquan D",324,IF(Atletas!O550="Yang E",325,IF(Atletas!O550="Chen E",326,IF(Atletas!O550="Sun E",327,IF(Atletas!O550="Wu E",328,IF(Atletas!O550="Wu-Hao E",329,IF(Atletas!O550="Outro Taijiquan E",330,IF(Atletas!O550="Yang F",331,IF(Atletas!O550="Chen F",332,IF(Atletas!O550="Sun F",333,IF(Atletas!O550="Wu F",334,IF(Atletas!O550="Wu-Hao F",335,IF(Atletas!O550="Outro Taijiquan F",336,"")))))))))))))))))))))))))))))))))))))</f>
        <v/>
      </c>
      <c r="BW559" s="50" t="str">
        <f>IF(Atletas!P550="","",IF(Atletas!X550&lt;&gt;"",10000,0)+IF(Atletas!B550="Feminino",1000,IF(Atletas!B550="Masculino",2000,""))+IF(OR(Atletas!P550="Yang 26 A",Atletas!P550="Yang 40 A"),401,IF(OR(Atletas!P550="Chen 25 A",Atletas!P550="Chen 36 A",Atletas!P550="Chen 56 A"),402,IF(Atletas!P550="Sun 73 A",403,IF(Atletas!P550="Wu 45 A",404,IF(Atletas!P550="Wu-Hao 46 A",405,IF(OR(Atletas!P550="Taijiquan 16 A",Atletas!P550="Taijiquan 24 A",Atletas!P550="Taijiquan 32 A",Atletas!P550="Taijiquan 42 A"),406,IF(OR(Atletas!P550="Yang 26 B",Atletas!P550="Yang 40 B"),407,IF(OR(Atletas!P550="Chen 25 B",Atletas!P550="Chen 36 B",Atletas!P550="Chen 56 B"),408,IF(Atletas!P550="Sun 73 B",409,IF(Atletas!P550="Wu 45 B",410,IF(Atletas!P550="Wu-Hao 46 B",411,IF(OR(Atletas!P550="Taijiquan 16 B",Atletas!P550="Taijiquan 24 B",Atletas!P550="Taijiquan 32 B",Atletas!P550="Taijiquan 42 B"),412,IF(OR(Atletas!P550="Yang 26 C",Atletas!P550="Yang 40 C"),413,IF(OR(Atletas!P550="Chen 25 C",Atletas!P550="Chen 36 C",Atletas!P550="Chen 56 C"),414,IF(Atletas!P550="Sun 73 C",415,IF(Atletas!P550="Wu 45 C",416,IF(Atletas!P550="Wu-Hao 46 C",417,IF(OR(Atletas!P550="Taijiquan 16 C",Atletas!P550="Taijiquan 24 C",Atletas!P550="Taijiquan 32 C",Atletas!P550="Taijiquan 42 C"),418,0)))))))))))))))))))</f>
        <v/>
      </c>
      <c r="BX559" s="50" t="str">
        <f>IF(Atletas!P550="","",IF(Atletas!X550&lt;&gt;"",10000,0)+IF(Atletas!B550="Feminino",1000,IF(Atletas!B550="Masculino",2000,""))+IF(OR(Atletas!P550="Yang 26 D",Atletas!P550="Yang 40 D"),419,IF(OR(Atletas!P550="Chen 25 D",Atletas!P550="Chen 36 D",Atletas!P550="Chen 56 D"),420,IF(Atletas!P550="Sun 73 D",421,IF(Atletas!P550="Wu 45 D",422,IF(Atletas!P550="Wu-Hao 46 D",423,IF(OR(Atletas!P550="Taijiquan 16 D",Atletas!P550="Taijiquan 24 D",Atletas!P550="Taijiquan 32 D",Atletas!P550="Taijiquan 42 D"),424,IF(OR(Atletas!P550="Yang 26 E",Atletas!P550="Yang 40 E"),425,IF(OR(Atletas!P550="Chen 25 E",Atletas!P550="Chen 36 E",Atletas!P550="Chen 56 E"),426,IF(Atletas!P550="Sun 73 E",427,IF(Atletas!P550="Wu 45 E",428,IF(Atletas!P550="Wu-Hao 46 E",429,IF(OR(Atletas!P550="Taijiquan 16 E",Atletas!P550="Taijiquan 24 E",Atletas!P550="Taijiquan 32 E",Atletas!P550="Taijiquan 42 E"),430,IF(OR(Atletas!P550="Yang 26 F",Atletas!P550="Yang 40 F"),431,IF(OR(Atletas!P550="Chen 25 F",Atletas!P550="Chen 36 F",Atletas!P550="Chen 56 F"),432,IF(Atletas!P550="Sun 73 F",433,IF(Atletas!P550="Wu 45 F",434,IF(Atletas!P550="Wu-Hao 46 F",435,IF(OR(Atletas!P550="Taijiquan 16 F",Atletas!P550="Taijiquan 24 F",Atletas!P550="Taijiquan 32 F",Atletas!P550="Taijiquan 42 F"),436,0)))))))))))))))))))</f>
        <v/>
      </c>
      <c r="BY559" s="50" t="str">
        <f>IF(Atletas!Q550="","",IF(Atletas!X550&lt;&gt;"",10000,0)+IF(Atletas!B550="Feminino",1000,IF(Atletas!B550="Masculino",2000,""))+IF(Atletas!Q550="Xingyiquan A",501,IF(Atletas!Q550="Baguazhang A",502,IF(Atletas!Q550="Outro Estilo Interno A",503,IF(Atletas!Q550="Xingyiquan B",504,IF(Atletas!Q550="Baguazhang B",505,IF(Atletas!Q550="Outro Estilo Interno B",506,IF(Atletas!Q550="Xingyiquan C",507,IF(Atletas!Q550="Baguazhang C",508,IF(Atletas!Q550="Outro Estilo Interno C",509,IF(Atletas!Q550="Xingyiquan D",510,IF(Atletas!Q550="Baguazhang D",511,IF(Atletas!Q550="Outro Estilo Interno D",512,IF(Atletas!Q550="Xingyiquan E",513,IF(Atletas!Q550="Baguazhang E",514,IF(Atletas!Q550="Outro Estilo Interno E",515,IF(Atletas!Q550="Xingyiquan F",516,IF(Atletas!Q550="Baguazhang F",517,IF(Atletas!Q550="Outro Estilo Interno F",518, "")))))))))))))))))))</f>
        <v/>
      </c>
      <c r="BZ559" s="50" t="str">
        <f>IF(Atletas!R550="","",IF(Atletas!X550&lt;&gt;"",10000,0)+IF(Atletas!B550="Feminino",1000,IF(Atletas!B550="Masculino",2000,""))+IF(Atletas!R550="Dao A",601,IF(Atletas!R550="Jian A",602,IF(Atletas!R550="Bishou A",603,IF(Atletas!R550="Shanzi A",604,IF(Atletas!R550="Outra Arma Curta A",605,IF(Atletas!R550="Dao B",606,IF(Atletas!R550="Jian B",607,IF(Atletas!R550="Bishou B",608,IF(Atletas!R550="Shanzi B",609,IF(Atletas!R550="Outra Arma Curta B",610,IF(Atletas!R550="Dao C",611,IF(Atletas!R550="Jian C",612,IF(Atletas!R550="Bishou C",613,IF(Atletas!R550="Shanzi C",614,IF(Atletas!R550="Outra Arma Curta C",615,IF(Atletas!R550="Dao D",616,IF(Atletas!R550="Jian D",617,IF(Atletas!R550="Bishou D",618,IF(Atletas!R550="Shanzi D",619,IF(Atletas!R550="Outra Arma Curta D",620,IF(Atletas!R550="Dao E",621,IF(Atletas!R550="Jian E",622,IF(Atletas!R550="Bishou E",623,IF(Atletas!R550="Shanzi E",624,IF(Atletas!R550="Outra Arma Curta E",625,IF(Atletas!R550="Dao F",626,IF(Atletas!R550="Jian F",627,IF(Atletas!R550="Bishou F",628,IF(Atletas!R550="Shanzi F",629,IF(Atletas!R550="Outra Arma Curta F",630, "")))))))))))))))))))))))))))))))</f>
        <v/>
      </c>
      <c r="CA559" s="50" t="str">
        <f>IF(Atletas!S550="","",IF(Atletas!X550&lt;&gt;"",10000,0)+IF(Atletas!B550="Feminino",1000,IF(Atletas!B550="Masculino",2000,""))+IF(Atletas!S550="Gun A",701,IF(Atletas!S550="Qiang A",702,IF(Atletas!S550="Pudao / Guandao A",703,IF(Atletas!S550="Outra Arma Longa A",704,IF(Atletas!S550="Gun B",705,IF(Atletas!S550="Qiang B",706,IF(Atletas!S550="Pudao / Guandao B",707,IF(Atletas!S550="Outra Arma Longa B",708,IF(Atletas!S550="Gun C",709,IF(Atletas!S550="Qiang C",710,IF(Atletas!S550="Pudao / Guandao C",711,IF(Atletas!S550="Outra Arma Longa C",712,IF(Atletas!S550="Gun D",713,IF(Atletas!S550="Qiang D",714,IF(Atletas!S550="Pudao / Guandao D",715,IF(Atletas!S550="Outra Arma Longa D",716,IF(Atletas!S550="Gun E",717,IF(Atletas!S550="Qiang E",718,IF(Atletas!S550="Pudao / Guandao E",719,IF(Atletas!S550="Outra Arma Longa E",720,IF(Atletas!S550="Gun F",721,IF(Atletas!S550="Qiang F",722,IF(Atletas!S550="Pudao / Guandao F",723,IF(Atletas!S550="Outra Arma Longa F",724,"")))))))))))))))))))))))))</f>
        <v/>
      </c>
      <c r="CB559" s="50" t="str">
        <f>IF(Atletas!T550="","",IF(Atletas!X550&lt;&gt;"",10000,0)+IF(Atletas!B550="Feminino",1000,IF(Atletas!B550="Masculino",2000,""))+IF(Atletas!T550="Outra Arma Dupla A",801,IF(Atletas!T550="Arma Maleável A",802,IF(Atletas!T550="Outra Arma Dupla B",803,IF(Atletas!T550="Arma Maleável B",804,IF(Atletas!T550="Outra Arma Dupla C",805,IF(Atletas!T550="Arma Maleável C",806,IF(Atletas!T550="Outra Arma Dupla D",807,IF(Atletas!T550="Arma Maleável D",808,IF(Atletas!T550="Outra Arma Dupla E",809,IF(Atletas!T550="Arma Maleável E",810,IF(Atletas!T550="Outra Arma Dupla F",811,IF(Atletas!T550="Arma Maleável F",812,IF(Atletas!T550="Shuangdao A",813,IF(Atletas!T550="Shuangdao B",814,IF(Atletas!T550="Shuangdao C",815,IF(Atletas!T550="Shuangdao D",816,IF(Atletas!T550="Shuangdao E",817,IF(Atletas!T550="Shuangdao F",818,"")))))))))))))))))))</f>
        <v/>
      </c>
      <c r="CC559" s="50" t="str">
        <f>IF(Atletas!U550="","",IF(Atletas!X550&lt;&gt;"",10000,0)+IF(Atletas!B550="Feminino",1000,IF(Atletas!B550="Masculino",2000,""))+IF(OR(Atletas!U550="Taijijian Yang A",Atletas!U550="Taijijian Yang Standard A"),901,IF(OR(Atletas!U550="Taijijian Chen A", Atletas!U550="Taijijian Chen Standard A"),902,IF(Atletas!U550="Taijijian Sun A",903,IF(Atletas!U550="Taijijian Wu A",904,IF(Atletas!U550="Taijijian Wu-Hao A",905,IF(OR(Atletas!U550="Taijijian 32 A",Atletas!U550="Taijijian 42 A"),906,IF(OR(Atletas!U550="Taijijian Yang B",Atletas!U550="Taijijian Yang Standard B"),907,IF(OR(Atletas!U550="Taijijian Chen B", Atletas!U550="Taijijian Chen Standard B"),908,IF(Atletas!U550="Taijijian Sun B",909,IF(Atletas!U550="Taijijian Wu B",910,IF(Atletas!U550="Taijijian Wu-Hao B",911,IF(OR(Atletas!U550="Taijijian 32 B",Atletas!U550="Taijijian 42 B"),912,IF(OR(Atletas!U550="Taijijian Yang C",Atletas!U550="Taijijian Yang Standard C"),913,IF(OR(Atletas!U550="Taijijian Chen C", Atletas!U550="Taijijian Chen Standard C"),914,IF(Atletas!U550="Taijijian Sun C",915,IF(Atletas!U550="Taijijian Wu C",916,IF(Atletas!U550="Taijijian Wu-Hao C",917,IF(OR(Atletas!U550="Taijijian 32 C",Atletas!U550="Taijijian 42 C"),918,IF(OR(Atletas!U550="Taijijian Yang D",Atletas!U550="Taijijian Yang Standard D"),919,IF(OR(Atletas!U550="Taijijian Chen D", Atletas!U550="Taijijian Chen Standard D"),920,IF(Atletas!U550="Taijijian Sun D",921,IF(Atletas!U550="Taijijian Wu D",922,IF(Atletas!U550="Taijijian Wu-Hao D",923,IF(OR(Atletas!U550="Taijijian 32 D",Atletas!U550="Taijijian 42 D"),924,IF(OR(Atletas!U550="Taijijian Yang E",Atletas!U550="Taijijian Yang Standard E"),925,IF(OR(Atletas!U550="Taijijian Chen E", Atletas!U550="Taijijian Chen Standard E"),926,IF(Atletas!U550="Taijijian Sun E",927,IF(Atletas!U550="Taijijian Wu E",928,IF(Atletas!U550="Taijijian Wu-Hao E",929,IF(OR(Atletas!U550="Taijijian 32 E",Atletas!U550="Taijijian 42 E"),930,IF(OR(Atletas!U550="Taijijian Yang F",Atletas!U550="Taijijian Yang Standard F"),931,IF(OR(Atletas!U550="Taijijian Chen F", Atletas!U550="Taijijian Chen Standard F"),932,IF(Atletas!U550="Taijijian Sun F",933,IF(Atletas!U550="Taijijian Wu F",934,IF(Atletas!U550="Taijijian Wu-Hao F",935,IF(OR(Atletas!U550="Taijijian 32 F",Atletas!U550="Taijijian 42 F"),936,"")))))))))))))))))))))))))))))))))))))</f>
        <v/>
      </c>
      <c r="CD559" s="50" t="str">
        <f>IF(Atletas!V550="","",IF(Atletas!X550&lt;&gt;"",10000,0)+IF(Atletas!B550="Feminino",1000,IF(Atletas!B550="Masculino",2000,""))+IF(Atletas!V550="Taijidao A",937,IF(Atletas!V550="TaijiShanzi A",938,IF(Atletas!V550="Taijiqiang A",939,IF(Atletas!V550="Bagua de Arma A",940,IF(Atletas!V550="Xingyi de Arma A",941,IF(Atletas!V550="Taijidao B",942,IF(Atletas!V550="TaijiShanzi B",943,IF(Atletas!V550="Taijiqiang B",944,IF(Atletas!V550="Bagua de Arma B",945,IF(Atletas!V550="Xingyi de Arma B",946,IF(Atletas!V550="Taijidao C",947,IF(Atletas!V550="TaijiShanzi C",948,IF(Atletas!V550="Taijiqiang C",949,IF(Atletas!V550="Bagua de Arma C",950,IF(Atletas!V550="Xingyi de Arma C",951,IF(Atletas!V550="Taijidao D",952,IF(Atletas!V550="TaijiShanzi D",953,IF(Atletas!V550="Taijiqiang D",954,IF(Atletas!V550="Bagua de Arma D",955,IF(Atletas!V550="Xingyi de Arma D",956,IF(Atletas!V550="Taijidao E",957,IF(Atletas!V550="TaijiShanzi E",958,IF(Atletas!V550="Taijiqiang E",959,IF(Atletas!V550="Bagua de Arma E",960,IF(Atletas!V550="Xingyi de Arma E",961,IF(Atletas!V550="Taijidao F",962,IF(Atletas!V550="TaijiShanzi F",963,IF(Atletas!V550="Taijiqiang F",964,IF(Atletas!V550="Bagua de Arma F",965,IF(Atletas!V550="Xingyi de Arma F",966,"")))))))))))))))))))))))))))))))</f>
        <v/>
      </c>
      <c r="CM559" s="50" t="str">
        <f xml:space="preserve"> IF(Atletas!W550="","",IF(Atletas!W550="Duilian de Mãos BC - Equipe 1",1,IF(Atletas!W550="Duilian de Mãos BC - Equipe 2",2,IF(Atletas!W550="Duilian de Armas BC - Equipe 1",3,IF(Atletas!W550="Duilian de Armas BC - Equipe 2",4,IF(Atletas!W550="Duilian de Mãos DE - Equipe 1",5,IF(Atletas!W550="Duilian de Mãos DE - Equipe 2",6,IF(Atletas!W550="Duilian de Armas DE - Equipe 1",7,IF(Atletas!W550="Duilian de Armas DE - Equipe 2",8,IF(Atletas!W550="Duilian de Tuishou - Equipe 1",9,IF(Atletas!W550="Duilian de Tuishou - Equipe 2",10,IF(Atletas!W550="Grupo Externo ABC - Equipe 1",11,IF(Atletas!W550="Grupo Externo ABC - Equipe 2",12,IF(Atletas!W550="Grupo Interno ABC - Equipe 1",13,IF(Atletas!W550="Grupo Interno ABC - Equipe 2",14,IF(Atletas!W550="Grupo Externo DEF - Equipe 1",15,IF(Atletas!W550="Grupo Externo DEF - Equipe 2",16,IF(Atletas!W550="Grupo Interno DEF - Equipe 1",17,IF(Atletas!W550="Grupo Interno DEF - Equipe 2",18,"")))))))))))))))))))</f>
        <v/>
      </c>
    </row>
    <row r="560" spans="40:91">
      <c r="AN560" s="52" t="str">
        <f>IF(Atletas!D551="","",IF(Atletas!B551="Feminino",100,IF(Atletas!B551="Masculino",200,""))+(IF(Atletas!D551="Kids 30kg",1,IF(Atletas!D551="Kids 32kg",2, IF(Atletas!D551="Kids 34kg",3,IF(Atletas!D551="Kids 36kg",4,IF(Atletas!D551="Kids 39kg",5,IF(Atletas!D551="Kids 42kg",6,IF(Atletas!D551="Kids 45kg",7, IF(Atletas!D551="Infantil 39kg",8,IF(Atletas!D551="Infantil 42kg",9,IF(Atletas!D551="Infantil 45kg",10,IF(Atletas!D551="Infantil 48kg",11,IF(Atletas!D551="Infantil 52kg",12,IF(Atletas!D551="Infantil 56kg",13,IF(Atletas!D551="Infantil 60kg",14,IF(Atletas!D551="Juvenil 48kg",15,IF(Atletas!D551="Juvenil 52kg",16,IF(Atletas!D551="Juvenil 56kg",17,IF(Atletas!D551="Juvenil 60kg",18,IF(Atletas!D551="Juvenil 65kg",19,IF(Atletas!D551="Juvenil 70kg",20,IF(Atletas!D551="Juvenil 75kg",21,IF(Atletas!D551="Juvenil 80kg",22, IF(Atletas!D551="Juvenil 85kg",23,IF(Atletas!D551="Adulto 48kg",24,IF(Atletas!D551="Adulto 52kg",25,IF(Atletas!D551="Adulto 56kg",26,IF(Atletas!D551="Adulto 60kg",27,IF(Atletas!D551="Adulto 65kg",28,IF(Atletas!D551="Adulto 70kg",29,IF(Atletas!D551="Adulto 75kg",30,IF(Atletas!D551="Adulto 80kg",31,IF(Atletas!D551="Adulto 85kg",32,IF(Atletas!D551="Adulto 90kg",33,IF(Atletas!D551="Adulto 100kg",34, IF(Atletas!D551="Adulto +100kg",35,"")))))))))))))))))))))))))))))))))))))</f>
        <v/>
      </c>
      <c r="AS560" s="6" t="str">
        <f>IF(Atletas!E551="","",IF(Atletas!B551="Feminino",100,IF(Atletas!B551="Masculino",200,""))+(IF(Atletas!E551="Juvenil 44kg",1,IF(Atletas!E551="Juvenil 48kg",2,IF(Atletas!E551="Juvenil 52kg",3,IF(Atletas!E551="Juvenil 56kg",4,IF(Atletas!E551="Juvenil 60kg",5,IF(Atletas!E551="Juvenil 65kg",6,IF(Atletas!E551="Juvenil 70kg",7,IF(Atletas!E551="Juvenil 75kg",8,IF(Atletas!E551="Juvenil 82kg",9,IF(Atletas!E551="Juvenil 90kg",10,IF(Atletas!E551="Juvenil 100kg",11,IF(Atletas!E551="Adulto 48kg",12,IF(Atletas!E551="Adulto 52kg",13,IF(Atletas!E551="Adulto 56kg",14,IF(Atletas!E551="Adulto 60kg",15,IF(Atletas!E551="Adulto 65kg",16,IF(Atletas!E551="Adulto 70kg",17,IF(Atletas!E551="Adulto 75kg",18,IF(Atletas!E551="Adulto 82kg",19,IF(Atletas!E551="Adulto 90kg",20,IF(Atletas!E551="Adulto 100kg",21,IF(Atletas!E551="Adulto +100kg",22,""))))))))))))))))))))))))</f>
        <v/>
      </c>
      <c r="AX560" s="6" t="str">
        <f>IF(Atletas!F551="","",IF(Atletas!B551="Feminino",100,IF(Atletas!B551="Masculino",200,""))+(IF(Atletas!F551="Adulto 48kg",1,IF(Atletas!F551="Adulto 56kg",2,IF(Atletas!F551="Adulto 65kg",3,IF(Atletas!F551="Adulto 75kg",4,IF(Atletas!F551="Adulto +75kg",5,IF(Atletas!F551="Adulto 52kg",6,IF(Atletas!F551="Adulto 60kg",7,IF(Atletas!F551="Adulto 70kg",8,IF(Atletas!F551="Adulto 80kg",9,IF(Atletas!F551="Adulto 90kg",10,IF(Atletas!F551="Adulto +90kg",11,"")))))))))))))</f>
        <v/>
      </c>
      <c r="BC560" s="6" t="str">
        <f>IF(Atletas!G551="","",IF(Atletas!B551="Feminino",10,IF(Atletas!B551="Masculino",20,""))+(IF(Atletas!G551="Baduanjin A",1,IF(Atletas!G551="Baduanjin B",2))))</f>
        <v/>
      </c>
      <c r="BF560" s="52" t="str">
        <f>IF(Atletas!H551="","",IF(Atletas!B551="Feminino",100,IF(Atletas!B551="Masculino",200,""))+(IF(Atletas!H551="Changquan Mirim",1,IF(Atletas!H551="Nanquan Mirim",2,IF(Atletas!H551="Taijiquan Mirim",3,IF(Atletas!H551="Changquan Grupo C",4,IF(Atletas!H551="Nanquan Grupo C",5,IF(Atletas!H551="Taijiquan Grupo C",6,IF(Atletas!H551="Changquan Grupo B",7,IF(Atletas!H551="Nanquan Grupo B",8,IF(Atletas!H551="Taijiquan Grupo B",9,IF(Atletas!H551="Changquan Grupo A",10,IF(Atletas!H551="Nanquan Grupo A",11,IF(Atletas!H551="Taijiquan Grupo A",12,IF(Atletas!H551="Changquan Opcional",13,IF(Atletas!H551="Nanquan Opcional",14,IF(Atletas!H551="Taijiquan Opcional",15,IF(Atletas!H551="Changquan Adulto",16,IF(Atletas!H551="Nanquan Adulto",17,IF(Atletas!H551="Taijiquan Adulto",18,""))))))))))))))))))))</f>
        <v/>
      </c>
      <c r="BG560" s="52" t="str">
        <f>IF(Atletas!I551="","",IF(Atletas!B551="Feminino",100,IF(Atletas!B551="Masculino",200,""))+(IF(Atletas!I551="Daoshu Mirim",19,IF(Atletas!I551="Jianshu Mirim",20,IF(Atletas!I551="Nandao Mirim",21,IF(Atletas!I551="Taijijian Mirim",22,IF(Atletas!I551="Daoshu Grupo C",23,IF(Atletas!I551="Jianshu Grupo C",24,IF(Atletas!I551="Nandao Grupo C",25,IF(Atletas!I551="Taijijian Grupo C",26,IF(Atletas!I551="Daoshu Grupo B",27,IF(Atletas!I551="Jianshu Grupo B",28,IF(Atletas!I551="Nandao Grupo B",29,IF(Atletas!I551="Taijijian Grupo B",30,IF(Atletas!I551="Daoshu Grupo A",31,IF(Atletas!I551="Jianshu Grupo A",32,IF(Atletas!I551="Nandao Grupo A",33,IF(Atletas!I551="Taijijian Grupo A",34,IF(Atletas!I551="Daoshu Opcional",35,IF(Atletas!I551="Jianshu Opcional",36,IF(Atletas!I551="Nandao Opcional",37,IF(Atletas!I551="Taijijian Opcional",38,IF(Atletas!I551="Daoshu Adulto",39,IF(Atletas!I551="Jianshu Adulto",40,IF(Atletas!I551="Nandao Adulto",41,IF(Atletas!I551="Taijijian Adulto",42,""))))))))))))))))))))))))))</f>
        <v/>
      </c>
      <c r="BH560" s="52" t="str">
        <f>IF(Atletas!J551="","",IF(Atletas!B551="Feminino",100,IF(Atletas!B551="Masculino",200,""))+(IF(Atletas!J551="Gunshu Mirim",43,IF(Atletas!J551="Qiangshu Mirim",44,IF(Atletas!J551="Nangun Mirim",45,IF(Atletas!J551="Gunshu Grupo C",46,IF(Atletas!J551="Qiangshu Grupo C",47,IF(Atletas!J551="Nangun Grupo C",48,IF(Atletas!J551="Gunshu Grupo B",49,IF(Atletas!J551="Qiangshu Grupo B",50,IF(Atletas!J551="Nangun Grupo B",51,IF(Atletas!J551="Gunshu Grupo A",52,IF(Atletas!J551="Qiangshu Grupo A",53,IF(Atletas!J551="Nangun Grupo A",54,IF(Atletas!J551="Gunshu Opcional",55,IF(Atletas!J551="Qiangshu Opcional",56,IF(Atletas!J551="Nangun Opcional",57,IF(Atletas!J551="Gunshu Adulto",58,IF(Atletas!J551="Qiangshu Adulto",59,IF(Atletas!J551="Nangun Adulto",60,IF(Atletas!J551="Taijishan Grupo B",61,IF(Atletas!J551="Taijishan Grupo A",62,""))))))))))))))))))))))</f>
        <v/>
      </c>
      <c r="BM560" s="50" t="str">
        <f>IF(Atletas!K551="","",IF(Atletas!B551="Feminino",100,IF(Atletas!B551="Masculino",200,""))+(IF(Atletas!K551="Equipe 1 Grupo B",1,IF(Atletas!K551="Equipe 2 Grupo B",2,IF(Atletas!K551="Equipe 1 Grupo A",3,IF(Atletas!K551="Equipe 2 Grupo A",4,IF(Atletas!K551="Equipe 1 Adulto",5,IF(Atletas!K551="Equipe 2 Adulto",6,""))))))))</f>
        <v/>
      </c>
      <c r="BR560" s="50" t="str">
        <f>IF(Atletas!L551="","",IF(Atletas!X551&lt;&gt;"",10000,0)+(IF(Atletas!B551="Feminino",1000,IF(Atletas!B551="Masculino",2000,""))+IF(Atletas!L551="Choylayfut A",1,IF(Atletas!L551="Hunggar A",2,IF(Atletas!L551="Wuzuquan A",3,IF(Atletas!L551="Wingchun A",4,IF(Atletas!L551="Outra Mão de Sul A",5,IF(Atletas!L551="Choylayfut B",6,IF(Atletas!L551="Hunggar B",7,IF(Atletas!L551="Wuzuquan B",8,IF(Atletas!L551="Wingchun B",9,IF(Atletas!L551="Outra Mão de Sul B",10,IF(Atletas!L551="Choylayfut C",11,IF(Atletas!L551="Hunggar C",12,IF(Atletas!L551="Wuzuquan C",13,IF(Atletas!L551="Wingchun C",14,IF(Atletas!L551="Outra Mão de Sul C",15,IF(Atletas!L551="Choylayfut D",16,IF(Atletas!L551="Hunggar D",17,IF(Atletas!L551="Wuzuquan D",18,IF(Atletas!L551="Wingchun D",19,IF(Atletas!L551="Outra Mão de Sul D",20,IF(Atletas!L551="Choylayfut E",21,IF(Atletas!L551="Hunggar E",22,IF(Atletas!L551="Wuzuquan E",23,IF(Atletas!L551="Wingchun E",24,IF(Atletas!L551="Outra Mão de Sul E",25,IF(Atletas!L551="Choylayfut F",26,IF(Atletas!L551="Hunggar F",27,IF(Atletas!L551="Wuzuquan F",28,IF(Atletas!L551="Wingchun F",29,IF(Atletas!L551="Outra Mão de Sul F",30,IF(Atletas!L551="Dishuquan A",31,IF(Atletas!L551="Dishuquan B",32,IF(Atletas!L551="Dishuquan C",33,IF(Atletas!L551="Dishuquan D",34,IF(Atletas!L551="Dishuquan E",35,IF(Atletas!L551="Dishuquan F",36,""))))))))))))))))))))))))))))))))))))))</f>
        <v/>
      </c>
      <c r="BS560" s="50" t="str">
        <f>IF(Atletas!M551="","",IF(Atletas!X551&lt;&gt;"",10000,0)+(IF(Atletas!B551="Feminino",1000,IF(Atletas!B551="Masculino",2000,""))+(IF(Atletas!M551="Chaquan A",101,IF(Atletas!M551="Emeiquan A",102,IF(Atletas!M551="Fanziquan A",103,IF(Atletas!M551="Huaquan A",104,IF(Atletas!M551="Hongquan A",105,IF(Atletas!M551="Paoquan A",106,IF(Atletas!M551="Piguaquan A",107,IF(Atletas!M551="Shaolinquan A",108,IF(Atletas!M551="Tanglangquan A",109,IF(Atletas!M551="Yingzhaoquan A",110,IF(Atletas!M551="Tongbeiquan A",111,IF(Atletas!M551="Wudangquan A",112,IF(Atletas!M551="Outros Estilos A",113,IF(Atletas!M551="Chaquan B",114,IF(Atletas!M551="Emeiquan B",115,IF(Atletas!M551="Fanziquan B",116,IF(Atletas!M551="Huaquan B",117,IF(Atletas!M551="Hongquan B",118,IF(Atletas!M551="Paoquan B",119,IF(Atletas!M551="Piguaquan B",120,IF(Atletas!M551="Shaolinquan B",121,IF(Atletas!M551="Tanglangquan B",122,IF(Atletas!M551="Yingzhaoquan B",123,IF(Atletas!M551="Tongbeiquan B",124,IF(Atletas!M551="Wudangquan B",125,IF(Atletas!M551="Outros Estilos B",126,IF(Atletas!M551="Chaquan C",127,IF(Atletas!M551="Emeiquan C",128,IF(Atletas!M551="Fanziquan C",129,IF(Atletas!M551="Huaquan C",130,IF(Atletas!M551="Hongquan C",131,IF(Atletas!M551="Paoquan C",132,IF(Atletas!M551="Piguaquan C",133,IF(Atletas!M551="Shaolinquan C",134,IF(Atletas!M551="Tanglangquan C",135,IF(Atletas!M551="Yingzhaoquan C",136,IF(Atletas!M551="Tongbeiquan C",137,IF(Atletas!M551="Wudangquan C",138,IF(Atletas!M551="Outros Estilos C",139,0))))))))))))))))))))))))))))))))))))))))))</f>
        <v/>
      </c>
      <c r="BT560" s="50" t="str">
        <f>IF(Atletas!M551="","",IF(Atletas!X551&lt;&gt;"",10000,0)+(IF(Atletas!B551="Feminino",1000,IF(Atletas!B551="Masculino",2000,""))+(IF(Atletas!M551="Chaquan D",140,IF(Atletas!M551="Emeiquan D",141,IF(Atletas!M551="Fanziquan D",142,IF(Atletas!M551="Huaquan D",143,IF(Atletas!M551="Hongquan D",144,IF(Atletas!M551="Paoquan D",145,IF(Atletas!M551="Piguaquan D",146,IF(Atletas!M551="Shaolinquan D",147,IF(Atletas!M551="Tanglangquan D",148,IF(Atletas!M551="Yingzhaoquan D",149,IF(Atletas!M551="Tongbeiquan D",150,IF(Atletas!M551="Wudangquan D",151,IF(Atletas!M551="Outros Estilos D",152,IF(Atletas!M551="Chaquan E",153,IF(Atletas!M551="Emeiquan E",154,IF(Atletas!M551="Fanziquan E",155,IF(Atletas!M551="Huaquan E",156,IF(Atletas!M551="Hongquan E",157,IF(Atletas!M551="Paoquan E",158,IF(Atletas!M551="Piguaquan E",159,IF(Atletas!M551="Shaolinquan E",160,IF(Atletas!M551="Tanglangquan E",161,IF(Atletas!M551="Yingzhaoquan E",162,IF(Atletas!M551="Tongbeiquan E",163,IF(Atletas!M551="Wudangquan E",164,IF(Atletas!M551="Outros Estilos E",165,IF(Atletas!M551="Chaquan F",166,IF(Atletas!M551="Emeiquan F",167,IF(Atletas!M551="Fanziquan F",168,IF(Atletas!M551="Huaquan F",169,IF(Atletas!M551="Hongquan F",170,IF(Atletas!M551="Paoquan F",171,IF(Atletas!M551="Piguaquan F",172,IF(Atletas!M551="Shaolinquan F",173,IF(Atletas!M551="Tanglangquan F",174,IF(Atletas!M551="Yingzhaoquan F",175,IF(Atletas!M551="Tongbeiquan F",176,IF(Atletas!M551="Wudangquan F",177,IF(Atletas!M551="Outros Estilos F",178,0))))))))))))))))))))))))))))))))))))))))))</f>
        <v/>
      </c>
      <c r="BU560" s="50" t="str">
        <f>IF(Atletas!N551="","",IF(Atletas!X551&lt;&gt;"",10000,0)+(IF(Atletas!B551="Feminino",1000,IF(Atletas!B551="Masculino",2000,""))+(IF(Atletas!N551="Ditangquan A",201,IF(Atletas!N551="Houquan A",202,IF(Atletas!N551="Zuiquan A",203,IF(Atletas!N551="Ditangquan B",204,IF(Atletas!N551="Houquan B",205,IF(Atletas!N551="Zuiquan B",206,IF(Atletas!N551="Ditangquan C",207,IF(Atletas!N551="Houquan C",208,IF(Atletas!N551="Zuiquan C",209,IF(Atletas!N551="Ditangquan D",210,IF(Atletas!N551="Houquan D",211,IF(Atletas!N551="Zuiquan D",212,IF(Atletas!N551="Ditangquan E",213,IF(Atletas!N551="Houquan E",214,IF(Atletas!N551="Zuiquan E",215,IF(Atletas!N551="Ditangquan F",216,IF(Atletas!N551="Houquan F",217,IF(Atletas!N551="Zuiquan F",218,"")))))))))))))))))))))</f>
        <v/>
      </c>
      <c r="BV560" s="50" t="str">
        <f>IF(Atletas!O551="","",IF(Atletas!X551&lt;&gt;"",10000,0)+IF(Atletas!B551="Feminino",1000,IF(Atletas!B551="Masculino",2000,""))+IF(Atletas!O551="Yang A",301,IF(Atletas!O551="Chen A",302,IF(Atletas!O551="Sun A",303,IF(Atletas!O551="Wu A",304,IF(Atletas!O551="Wu-Hao A",305,IF(Atletas!O551="Outro Taijiquan A",306,IF(Atletas!O551="Yang B",307,IF(Atletas!O551="Chen B",308,IF(Atletas!O551="Sun B",309,IF(Atletas!O551="Wu B",310,IF(Atletas!O551="Wu-Hao B",311,IF(Atletas!O551="Outro Taijiquan B",312,IF(Atletas!O551="Yang C",313,IF(Atletas!O551="Chen C",314,IF(Atletas!O551="Sun C",315,IF(Atletas!O551="Wu C",316,IF(Atletas!O551="Wu-Hao C",317,IF(Atletas!O551="Outro Taijiquan C",318,IF(Atletas!O551="Yang D",319,IF(Atletas!O551="Chen D",320,IF(Atletas!O551="Sun D",321,IF(Atletas!O551="Wu D",322,IF(Atletas!O551="Wu-Hao D",323,IF(Atletas!O551="Outro Taijiquan D",324,IF(Atletas!O551="Yang E",325,IF(Atletas!O551="Chen E",326,IF(Atletas!O551="Sun E",327,IF(Atletas!O551="Wu E",328,IF(Atletas!O551="Wu-Hao E",329,IF(Atletas!O551="Outro Taijiquan E",330,IF(Atletas!O551="Yang F",331,IF(Atletas!O551="Chen F",332,IF(Atletas!O551="Sun F",333,IF(Atletas!O551="Wu F",334,IF(Atletas!O551="Wu-Hao F",335,IF(Atletas!O551="Outro Taijiquan F",336,"")))))))))))))))))))))))))))))))))))))</f>
        <v/>
      </c>
      <c r="BW560" s="50" t="str">
        <f>IF(Atletas!P551="","",IF(Atletas!X551&lt;&gt;"",10000,0)+IF(Atletas!B551="Feminino",1000,IF(Atletas!B551="Masculino",2000,""))+IF(OR(Atletas!P551="Yang 26 A",Atletas!P551="Yang 40 A"),401,IF(OR(Atletas!P551="Chen 25 A",Atletas!P551="Chen 36 A",Atletas!P551="Chen 56 A"),402,IF(Atletas!P551="Sun 73 A",403,IF(Atletas!P551="Wu 45 A",404,IF(Atletas!P551="Wu-Hao 46 A",405,IF(OR(Atletas!P551="Taijiquan 16 A",Atletas!P551="Taijiquan 24 A",Atletas!P551="Taijiquan 32 A",Atletas!P551="Taijiquan 42 A"),406,IF(OR(Atletas!P551="Yang 26 B",Atletas!P551="Yang 40 B"),407,IF(OR(Atletas!P551="Chen 25 B",Atletas!P551="Chen 36 B",Atletas!P551="Chen 56 B"),408,IF(Atletas!P551="Sun 73 B",409,IF(Atletas!P551="Wu 45 B",410,IF(Atletas!P551="Wu-Hao 46 B",411,IF(OR(Atletas!P551="Taijiquan 16 B",Atletas!P551="Taijiquan 24 B",Atletas!P551="Taijiquan 32 B",Atletas!P551="Taijiquan 42 B"),412,IF(OR(Atletas!P551="Yang 26 C",Atletas!P551="Yang 40 C"),413,IF(OR(Atletas!P551="Chen 25 C",Atletas!P551="Chen 36 C",Atletas!P551="Chen 56 C"),414,IF(Atletas!P551="Sun 73 C",415,IF(Atletas!P551="Wu 45 C",416,IF(Atletas!P551="Wu-Hao 46 C",417,IF(OR(Atletas!P551="Taijiquan 16 C",Atletas!P551="Taijiquan 24 C",Atletas!P551="Taijiquan 32 C",Atletas!P551="Taijiquan 42 C"),418,0)))))))))))))))))))</f>
        <v/>
      </c>
      <c r="BX560" s="50" t="str">
        <f>IF(Atletas!P551="","",IF(Atletas!X551&lt;&gt;"",10000,0)+IF(Atletas!B551="Feminino",1000,IF(Atletas!B551="Masculino",2000,""))+IF(OR(Atletas!P551="Yang 26 D",Atletas!P551="Yang 40 D"),419,IF(OR(Atletas!P551="Chen 25 D",Atletas!P551="Chen 36 D",Atletas!P551="Chen 56 D"),420,IF(Atletas!P551="Sun 73 D",421,IF(Atletas!P551="Wu 45 D",422,IF(Atletas!P551="Wu-Hao 46 D",423,IF(OR(Atletas!P551="Taijiquan 16 D",Atletas!P551="Taijiquan 24 D",Atletas!P551="Taijiquan 32 D",Atletas!P551="Taijiquan 42 D"),424,IF(OR(Atletas!P551="Yang 26 E",Atletas!P551="Yang 40 E"),425,IF(OR(Atletas!P551="Chen 25 E",Atletas!P551="Chen 36 E",Atletas!P551="Chen 56 E"),426,IF(Atletas!P551="Sun 73 E",427,IF(Atletas!P551="Wu 45 E",428,IF(Atletas!P551="Wu-Hao 46 E",429,IF(OR(Atletas!P551="Taijiquan 16 E",Atletas!P551="Taijiquan 24 E",Atletas!P551="Taijiquan 32 E",Atletas!P551="Taijiquan 42 E"),430,IF(OR(Atletas!P551="Yang 26 F",Atletas!P551="Yang 40 F"),431,IF(OR(Atletas!P551="Chen 25 F",Atletas!P551="Chen 36 F",Atletas!P551="Chen 56 F"),432,IF(Atletas!P551="Sun 73 F",433,IF(Atletas!P551="Wu 45 F",434,IF(Atletas!P551="Wu-Hao 46 F",435,IF(OR(Atletas!P551="Taijiquan 16 F",Atletas!P551="Taijiquan 24 F",Atletas!P551="Taijiquan 32 F",Atletas!P551="Taijiquan 42 F"),436,0)))))))))))))))))))</f>
        <v/>
      </c>
      <c r="BY560" s="50" t="str">
        <f>IF(Atletas!Q551="","",IF(Atletas!X551&lt;&gt;"",10000,0)+IF(Atletas!B551="Feminino",1000,IF(Atletas!B551="Masculino",2000,""))+IF(Atletas!Q551="Xingyiquan A",501,IF(Atletas!Q551="Baguazhang A",502,IF(Atletas!Q551="Outro Estilo Interno A",503,IF(Atletas!Q551="Xingyiquan B",504,IF(Atletas!Q551="Baguazhang B",505,IF(Atletas!Q551="Outro Estilo Interno B",506,IF(Atletas!Q551="Xingyiquan C",507,IF(Atletas!Q551="Baguazhang C",508,IF(Atletas!Q551="Outro Estilo Interno C",509,IF(Atletas!Q551="Xingyiquan D",510,IF(Atletas!Q551="Baguazhang D",511,IF(Atletas!Q551="Outro Estilo Interno D",512,IF(Atletas!Q551="Xingyiquan E",513,IF(Atletas!Q551="Baguazhang E",514,IF(Atletas!Q551="Outro Estilo Interno E",515,IF(Atletas!Q551="Xingyiquan F",516,IF(Atletas!Q551="Baguazhang F",517,IF(Atletas!Q551="Outro Estilo Interno F",518, "")))))))))))))))))))</f>
        <v/>
      </c>
      <c r="BZ560" s="50" t="str">
        <f>IF(Atletas!R551="","",IF(Atletas!X551&lt;&gt;"",10000,0)+IF(Atletas!B551="Feminino",1000,IF(Atletas!B551="Masculino",2000,""))+IF(Atletas!R551="Dao A",601,IF(Atletas!R551="Jian A",602,IF(Atletas!R551="Bishou A",603,IF(Atletas!R551="Shanzi A",604,IF(Atletas!R551="Outra Arma Curta A",605,IF(Atletas!R551="Dao B",606,IF(Atletas!R551="Jian B",607,IF(Atletas!R551="Bishou B",608,IF(Atletas!R551="Shanzi B",609,IF(Atletas!R551="Outra Arma Curta B",610,IF(Atletas!R551="Dao C",611,IF(Atletas!R551="Jian C",612,IF(Atletas!R551="Bishou C",613,IF(Atletas!R551="Shanzi C",614,IF(Atletas!R551="Outra Arma Curta C",615,IF(Atletas!R551="Dao D",616,IF(Atletas!R551="Jian D",617,IF(Atletas!R551="Bishou D",618,IF(Atletas!R551="Shanzi D",619,IF(Atletas!R551="Outra Arma Curta D",620,IF(Atletas!R551="Dao E",621,IF(Atletas!R551="Jian E",622,IF(Atletas!R551="Bishou E",623,IF(Atletas!R551="Shanzi E",624,IF(Atletas!R551="Outra Arma Curta E",625,IF(Atletas!R551="Dao F",626,IF(Atletas!R551="Jian F",627,IF(Atletas!R551="Bishou F",628,IF(Atletas!R551="Shanzi F",629,IF(Atletas!R551="Outra Arma Curta F",630, "")))))))))))))))))))))))))))))))</f>
        <v/>
      </c>
      <c r="CA560" s="50" t="str">
        <f>IF(Atletas!S551="","",IF(Atletas!X551&lt;&gt;"",10000,0)+IF(Atletas!B551="Feminino",1000,IF(Atletas!B551="Masculino",2000,""))+IF(Atletas!S551="Gun A",701,IF(Atletas!S551="Qiang A",702,IF(Atletas!S551="Pudao / Guandao A",703,IF(Atletas!S551="Outra Arma Longa A",704,IF(Atletas!S551="Gun B",705,IF(Atletas!S551="Qiang B",706,IF(Atletas!S551="Pudao / Guandao B",707,IF(Atletas!S551="Outra Arma Longa B",708,IF(Atletas!S551="Gun C",709,IF(Atletas!S551="Qiang C",710,IF(Atletas!S551="Pudao / Guandao C",711,IF(Atletas!S551="Outra Arma Longa C",712,IF(Atletas!S551="Gun D",713,IF(Atletas!S551="Qiang D",714,IF(Atletas!S551="Pudao / Guandao D",715,IF(Atletas!S551="Outra Arma Longa D",716,IF(Atletas!S551="Gun E",717,IF(Atletas!S551="Qiang E",718,IF(Atletas!S551="Pudao / Guandao E",719,IF(Atletas!S551="Outra Arma Longa E",720,IF(Atletas!S551="Gun F",721,IF(Atletas!S551="Qiang F",722,IF(Atletas!S551="Pudao / Guandao F",723,IF(Atletas!S551="Outra Arma Longa F",724,"")))))))))))))))))))))))))</f>
        <v/>
      </c>
      <c r="CB560" s="50" t="str">
        <f>IF(Atletas!T551="","",IF(Atletas!X551&lt;&gt;"",10000,0)+IF(Atletas!B551="Feminino",1000,IF(Atletas!B551="Masculino",2000,""))+IF(Atletas!T551="Outra Arma Dupla A",801,IF(Atletas!T551="Arma Maleável A",802,IF(Atletas!T551="Outra Arma Dupla B",803,IF(Atletas!T551="Arma Maleável B",804,IF(Atletas!T551="Outra Arma Dupla C",805,IF(Atletas!T551="Arma Maleável C",806,IF(Atletas!T551="Outra Arma Dupla D",807,IF(Atletas!T551="Arma Maleável D",808,IF(Atletas!T551="Outra Arma Dupla E",809,IF(Atletas!T551="Arma Maleável E",810,IF(Atletas!T551="Outra Arma Dupla F",811,IF(Atletas!T551="Arma Maleável F",812,IF(Atletas!T551="Shuangdao A",813,IF(Atletas!T551="Shuangdao B",814,IF(Atletas!T551="Shuangdao C",815,IF(Atletas!T551="Shuangdao D",816,IF(Atletas!T551="Shuangdao E",817,IF(Atletas!T551="Shuangdao F",818,"")))))))))))))))))))</f>
        <v/>
      </c>
      <c r="CC560" s="50" t="str">
        <f>IF(Atletas!U551="","",IF(Atletas!X551&lt;&gt;"",10000,0)+IF(Atletas!B551="Feminino",1000,IF(Atletas!B551="Masculino",2000,""))+IF(OR(Atletas!U551="Taijijian Yang A",Atletas!U551="Taijijian Yang Standard A"),901,IF(OR(Atletas!U551="Taijijian Chen A", Atletas!U551="Taijijian Chen Standard A"),902,IF(Atletas!U551="Taijijian Sun A",903,IF(Atletas!U551="Taijijian Wu A",904,IF(Atletas!U551="Taijijian Wu-Hao A",905,IF(OR(Atletas!U551="Taijijian 32 A",Atletas!U551="Taijijian 42 A"),906,IF(OR(Atletas!U551="Taijijian Yang B",Atletas!U551="Taijijian Yang Standard B"),907,IF(OR(Atletas!U551="Taijijian Chen B", Atletas!U551="Taijijian Chen Standard B"),908,IF(Atletas!U551="Taijijian Sun B",909,IF(Atletas!U551="Taijijian Wu B",910,IF(Atletas!U551="Taijijian Wu-Hao B",911,IF(OR(Atletas!U551="Taijijian 32 B",Atletas!U551="Taijijian 42 B"),912,IF(OR(Atletas!U551="Taijijian Yang C",Atletas!U551="Taijijian Yang Standard C"),913,IF(OR(Atletas!U551="Taijijian Chen C", Atletas!U551="Taijijian Chen Standard C"),914,IF(Atletas!U551="Taijijian Sun C",915,IF(Atletas!U551="Taijijian Wu C",916,IF(Atletas!U551="Taijijian Wu-Hao C",917,IF(OR(Atletas!U551="Taijijian 32 C",Atletas!U551="Taijijian 42 C"),918,IF(OR(Atletas!U551="Taijijian Yang D",Atletas!U551="Taijijian Yang Standard D"),919,IF(OR(Atletas!U551="Taijijian Chen D", Atletas!U551="Taijijian Chen Standard D"),920,IF(Atletas!U551="Taijijian Sun D",921,IF(Atletas!U551="Taijijian Wu D",922,IF(Atletas!U551="Taijijian Wu-Hao D",923,IF(OR(Atletas!U551="Taijijian 32 D",Atletas!U551="Taijijian 42 D"),924,IF(OR(Atletas!U551="Taijijian Yang E",Atletas!U551="Taijijian Yang Standard E"),925,IF(OR(Atletas!U551="Taijijian Chen E", Atletas!U551="Taijijian Chen Standard E"),926,IF(Atletas!U551="Taijijian Sun E",927,IF(Atletas!U551="Taijijian Wu E",928,IF(Atletas!U551="Taijijian Wu-Hao E",929,IF(OR(Atletas!U551="Taijijian 32 E",Atletas!U551="Taijijian 42 E"),930,IF(OR(Atletas!U551="Taijijian Yang F",Atletas!U551="Taijijian Yang Standard F"),931,IF(OR(Atletas!U551="Taijijian Chen F", Atletas!U551="Taijijian Chen Standard F"),932,IF(Atletas!U551="Taijijian Sun F",933,IF(Atletas!U551="Taijijian Wu F",934,IF(Atletas!U551="Taijijian Wu-Hao F",935,IF(OR(Atletas!U551="Taijijian 32 F",Atletas!U551="Taijijian 42 F"),936,"")))))))))))))))))))))))))))))))))))))</f>
        <v/>
      </c>
      <c r="CD560" s="50" t="str">
        <f>IF(Atletas!V551="","",IF(Atletas!X551&lt;&gt;"",10000,0)+IF(Atletas!B551="Feminino",1000,IF(Atletas!B551="Masculino",2000,""))+IF(Atletas!V551="Taijidao A",937,IF(Atletas!V551="TaijiShanzi A",938,IF(Atletas!V551="Taijiqiang A",939,IF(Atletas!V551="Bagua de Arma A",940,IF(Atletas!V551="Xingyi de Arma A",941,IF(Atletas!V551="Taijidao B",942,IF(Atletas!V551="TaijiShanzi B",943,IF(Atletas!V551="Taijiqiang B",944,IF(Atletas!V551="Bagua de Arma B",945,IF(Atletas!V551="Xingyi de Arma B",946,IF(Atletas!V551="Taijidao C",947,IF(Atletas!V551="TaijiShanzi C",948,IF(Atletas!V551="Taijiqiang C",949,IF(Atletas!V551="Bagua de Arma C",950,IF(Atletas!V551="Xingyi de Arma C",951,IF(Atletas!V551="Taijidao D",952,IF(Atletas!V551="TaijiShanzi D",953,IF(Atletas!V551="Taijiqiang D",954,IF(Atletas!V551="Bagua de Arma D",955,IF(Atletas!V551="Xingyi de Arma D",956,IF(Atletas!V551="Taijidao E",957,IF(Atletas!V551="TaijiShanzi E",958,IF(Atletas!V551="Taijiqiang E",959,IF(Atletas!V551="Bagua de Arma E",960,IF(Atletas!V551="Xingyi de Arma E",961,IF(Atletas!V551="Taijidao F",962,IF(Atletas!V551="TaijiShanzi F",963,IF(Atletas!V551="Taijiqiang F",964,IF(Atletas!V551="Bagua de Arma F",965,IF(Atletas!V551="Xingyi de Arma F",966,"")))))))))))))))))))))))))))))))</f>
        <v/>
      </c>
      <c r="CM560" s="50" t="str">
        <f xml:space="preserve"> IF(Atletas!W551="","",IF(Atletas!W551="Duilian de Mãos BC - Equipe 1",1,IF(Atletas!W551="Duilian de Mãos BC - Equipe 2",2,IF(Atletas!W551="Duilian de Armas BC - Equipe 1",3,IF(Atletas!W551="Duilian de Armas BC - Equipe 2",4,IF(Atletas!W551="Duilian de Mãos DE - Equipe 1",5,IF(Atletas!W551="Duilian de Mãos DE - Equipe 2",6,IF(Atletas!W551="Duilian de Armas DE - Equipe 1",7,IF(Atletas!W551="Duilian de Armas DE - Equipe 2",8,IF(Atletas!W551="Duilian de Tuishou - Equipe 1",9,IF(Atletas!W551="Duilian de Tuishou - Equipe 2",10,IF(Atletas!W551="Grupo Externo ABC - Equipe 1",11,IF(Atletas!W551="Grupo Externo ABC - Equipe 2",12,IF(Atletas!W551="Grupo Interno ABC - Equipe 1",13,IF(Atletas!W551="Grupo Interno ABC - Equipe 2",14,IF(Atletas!W551="Grupo Externo DEF - Equipe 1",15,IF(Atletas!W551="Grupo Externo DEF - Equipe 2",16,IF(Atletas!W551="Grupo Interno DEF - Equipe 1",17,IF(Atletas!W551="Grupo Interno DEF - Equipe 2",18,"")))))))))))))))))))</f>
        <v/>
      </c>
    </row>
    <row r="561" spans="40:91">
      <c r="AN561" s="52" t="str">
        <f>IF(Atletas!D552="","",IF(Atletas!B552="Feminino",100,IF(Atletas!B552="Masculino",200,""))+(IF(Atletas!D552="Kids 30kg",1,IF(Atletas!D552="Kids 32kg",2, IF(Atletas!D552="Kids 34kg",3,IF(Atletas!D552="Kids 36kg",4,IF(Atletas!D552="Kids 39kg",5,IF(Atletas!D552="Kids 42kg",6,IF(Atletas!D552="Kids 45kg",7, IF(Atletas!D552="Infantil 39kg",8,IF(Atletas!D552="Infantil 42kg",9,IF(Atletas!D552="Infantil 45kg",10,IF(Atletas!D552="Infantil 48kg",11,IF(Atletas!D552="Infantil 52kg",12,IF(Atletas!D552="Infantil 56kg",13,IF(Atletas!D552="Infantil 60kg",14,IF(Atletas!D552="Juvenil 48kg",15,IF(Atletas!D552="Juvenil 52kg",16,IF(Atletas!D552="Juvenil 56kg",17,IF(Atletas!D552="Juvenil 60kg",18,IF(Atletas!D552="Juvenil 65kg",19,IF(Atletas!D552="Juvenil 70kg",20,IF(Atletas!D552="Juvenil 75kg",21,IF(Atletas!D552="Juvenil 80kg",22, IF(Atletas!D552="Juvenil 85kg",23,IF(Atletas!D552="Adulto 48kg",24,IF(Atletas!D552="Adulto 52kg",25,IF(Atletas!D552="Adulto 56kg",26,IF(Atletas!D552="Adulto 60kg",27,IF(Atletas!D552="Adulto 65kg",28,IF(Atletas!D552="Adulto 70kg",29,IF(Atletas!D552="Adulto 75kg",30,IF(Atletas!D552="Adulto 80kg",31,IF(Atletas!D552="Adulto 85kg",32,IF(Atletas!D552="Adulto 90kg",33,IF(Atletas!D552="Adulto 100kg",34, IF(Atletas!D552="Adulto +100kg",35,"")))))))))))))))))))))))))))))))))))))</f>
        <v/>
      </c>
      <c r="AS561" s="6" t="str">
        <f>IF(Atletas!E552="","",IF(Atletas!B552="Feminino",100,IF(Atletas!B552="Masculino",200,""))+(IF(Atletas!E552="Juvenil 44kg",1,IF(Atletas!E552="Juvenil 48kg",2,IF(Atletas!E552="Juvenil 52kg",3,IF(Atletas!E552="Juvenil 56kg",4,IF(Atletas!E552="Juvenil 60kg",5,IF(Atletas!E552="Juvenil 65kg",6,IF(Atletas!E552="Juvenil 70kg",7,IF(Atletas!E552="Juvenil 75kg",8,IF(Atletas!E552="Juvenil 82kg",9,IF(Atletas!E552="Juvenil 90kg",10,IF(Atletas!E552="Juvenil 100kg",11,IF(Atletas!E552="Adulto 48kg",12,IF(Atletas!E552="Adulto 52kg",13,IF(Atletas!E552="Adulto 56kg",14,IF(Atletas!E552="Adulto 60kg",15,IF(Atletas!E552="Adulto 65kg",16,IF(Atletas!E552="Adulto 70kg",17,IF(Atletas!E552="Adulto 75kg",18,IF(Atletas!E552="Adulto 82kg",19,IF(Atletas!E552="Adulto 90kg",20,IF(Atletas!E552="Adulto 100kg",21,IF(Atletas!E552="Adulto +100kg",22,""))))))))))))))))))))))))</f>
        <v/>
      </c>
      <c r="AX561" s="6" t="str">
        <f>IF(Atletas!F552="","",IF(Atletas!B552="Feminino",100,IF(Atletas!B552="Masculino",200,""))+(IF(Atletas!F552="Adulto 48kg",1,IF(Atletas!F552="Adulto 56kg",2,IF(Atletas!F552="Adulto 65kg",3,IF(Atletas!F552="Adulto 75kg",4,IF(Atletas!F552="Adulto +75kg",5,IF(Atletas!F552="Adulto 52kg",6,IF(Atletas!F552="Adulto 60kg",7,IF(Atletas!F552="Adulto 70kg",8,IF(Atletas!F552="Adulto 80kg",9,IF(Atletas!F552="Adulto 90kg",10,IF(Atletas!F552="Adulto +90kg",11,"")))))))))))))</f>
        <v/>
      </c>
      <c r="BC561" s="6" t="str">
        <f>IF(Atletas!G552="","",IF(Atletas!B552="Feminino",10,IF(Atletas!B552="Masculino",20,""))+(IF(Atletas!G552="Baduanjin A",1,IF(Atletas!G552="Baduanjin B",2))))</f>
        <v/>
      </c>
      <c r="BF561" s="52" t="str">
        <f>IF(Atletas!H552="","",IF(Atletas!B552="Feminino",100,IF(Atletas!B552="Masculino",200,""))+(IF(Atletas!H552="Changquan Mirim",1,IF(Atletas!H552="Nanquan Mirim",2,IF(Atletas!H552="Taijiquan Mirim",3,IF(Atletas!H552="Changquan Grupo C",4,IF(Atletas!H552="Nanquan Grupo C",5,IF(Atletas!H552="Taijiquan Grupo C",6,IF(Atletas!H552="Changquan Grupo B",7,IF(Atletas!H552="Nanquan Grupo B",8,IF(Atletas!H552="Taijiquan Grupo B",9,IF(Atletas!H552="Changquan Grupo A",10,IF(Atletas!H552="Nanquan Grupo A",11,IF(Atletas!H552="Taijiquan Grupo A",12,IF(Atletas!H552="Changquan Opcional",13,IF(Atletas!H552="Nanquan Opcional",14,IF(Atletas!H552="Taijiquan Opcional",15,IF(Atletas!H552="Changquan Adulto",16,IF(Atletas!H552="Nanquan Adulto",17,IF(Atletas!H552="Taijiquan Adulto",18,""))))))))))))))))))))</f>
        <v/>
      </c>
      <c r="BG561" s="52" t="str">
        <f>IF(Atletas!I552="","",IF(Atletas!B552="Feminino",100,IF(Atletas!B552="Masculino",200,""))+(IF(Atletas!I552="Daoshu Mirim",19,IF(Atletas!I552="Jianshu Mirim",20,IF(Atletas!I552="Nandao Mirim",21,IF(Atletas!I552="Taijijian Mirim",22,IF(Atletas!I552="Daoshu Grupo C",23,IF(Atletas!I552="Jianshu Grupo C",24,IF(Atletas!I552="Nandao Grupo C",25,IF(Atletas!I552="Taijijian Grupo C",26,IF(Atletas!I552="Daoshu Grupo B",27,IF(Atletas!I552="Jianshu Grupo B",28,IF(Atletas!I552="Nandao Grupo B",29,IF(Atletas!I552="Taijijian Grupo B",30,IF(Atletas!I552="Daoshu Grupo A",31,IF(Atletas!I552="Jianshu Grupo A",32,IF(Atletas!I552="Nandao Grupo A",33,IF(Atletas!I552="Taijijian Grupo A",34,IF(Atletas!I552="Daoshu Opcional",35,IF(Atletas!I552="Jianshu Opcional",36,IF(Atletas!I552="Nandao Opcional",37,IF(Atletas!I552="Taijijian Opcional",38,IF(Atletas!I552="Daoshu Adulto",39,IF(Atletas!I552="Jianshu Adulto",40,IF(Atletas!I552="Nandao Adulto",41,IF(Atletas!I552="Taijijian Adulto",42,""))))))))))))))))))))))))))</f>
        <v/>
      </c>
      <c r="BH561" s="52" t="str">
        <f>IF(Atletas!J552="","",IF(Atletas!B552="Feminino",100,IF(Atletas!B552="Masculino",200,""))+(IF(Atletas!J552="Gunshu Mirim",43,IF(Atletas!J552="Qiangshu Mirim",44,IF(Atletas!J552="Nangun Mirim",45,IF(Atletas!J552="Gunshu Grupo C",46,IF(Atletas!J552="Qiangshu Grupo C",47,IF(Atletas!J552="Nangun Grupo C",48,IF(Atletas!J552="Gunshu Grupo B",49,IF(Atletas!J552="Qiangshu Grupo B",50,IF(Atletas!J552="Nangun Grupo B",51,IF(Atletas!J552="Gunshu Grupo A",52,IF(Atletas!J552="Qiangshu Grupo A",53,IF(Atletas!J552="Nangun Grupo A",54,IF(Atletas!J552="Gunshu Opcional",55,IF(Atletas!J552="Qiangshu Opcional",56,IF(Atletas!J552="Nangun Opcional",57,IF(Atletas!J552="Gunshu Adulto",58,IF(Atletas!J552="Qiangshu Adulto",59,IF(Atletas!J552="Nangun Adulto",60,IF(Atletas!J552="Taijishan Grupo B",61,IF(Atletas!J552="Taijishan Grupo A",62,""))))))))))))))))))))))</f>
        <v/>
      </c>
      <c r="BM561" s="50" t="str">
        <f>IF(Atletas!K552="","",IF(Atletas!B552="Feminino",100,IF(Atletas!B552="Masculino",200,""))+(IF(Atletas!K552="Equipe 1 Grupo B",1,IF(Atletas!K552="Equipe 2 Grupo B",2,IF(Atletas!K552="Equipe 1 Grupo A",3,IF(Atletas!K552="Equipe 2 Grupo A",4,IF(Atletas!K552="Equipe 1 Adulto",5,IF(Atletas!K552="Equipe 2 Adulto",6,""))))))))</f>
        <v/>
      </c>
      <c r="BR561" s="50" t="str">
        <f>IF(Atletas!L552="","",IF(Atletas!X552&lt;&gt;"",10000,0)+(IF(Atletas!B552="Feminino",1000,IF(Atletas!B552="Masculino",2000,""))+IF(Atletas!L552="Choylayfut A",1,IF(Atletas!L552="Hunggar A",2,IF(Atletas!L552="Wuzuquan A",3,IF(Atletas!L552="Wingchun A",4,IF(Atletas!L552="Outra Mão de Sul A",5,IF(Atletas!L552="Choylayfut B",6,IF(Atletas!L552="Hunggar B",7,IF(Atletas!L552="Wuzuquan B",8,IF(Atletas!L552="Wingchun B",9,IF(Atletas!L552="Outra Mão de Sul B",10,IF(Atletas!L552="Choylayfut C",11,IF(Atletas!L552="Hunggar C",12,IF(Atletas!L552="Wuzuquan C",13,IF(Atletas!L552="Wingchun C",14,IF(Atletas!L552="Outra Mão de Sul C",15,IF(Atletas!L552="Choylayfut D",16,IF(Atletas!L552="Hunggar D",17,IF(Atletas!L552="Wuzuquan D",18,IF(Atletas!L552="Wingchun D",19,IF(Atletas!L552="Outra Mão de Sul D",20,IF(Atletas!L552="Choylayfut E",21,IF(Atletas!L552="Hunggar E",22,IF(Atletas!L552="Wuzuquan E",23,IF(Atletas!L552="Wingchun E",24,IF(Atletas!L552="Outra Mão de Sul E",25,IF(Atletas!L552="Choylayfut F",26,IF(Atletas!L552="Hunggar F",27,IF(Atletas!L552="Wuzuquan F",28,IF(Atletas!L552="Wingchun F",29,IF(Atletas!L552="Outra Mão de Sul F",30,IF(Atletas!L552="Dishuquan A",31,IF(Atletas!L552="Dishuquan B",32,IF(Atletas!L552="Dishuquan C",33,IF(Atletas!L552="Dishuquan D",34,IF(Atletas!L552="Dishuquan E",35,IF(Atletas!L552="Dishuquan F",36,""))))))))))))))))))))))))))))))))))))))</f>
        <v/>
      </c>
      <c r="BS561" s="50" t="str">
        <f>IF(Atletas!M552="","",IF(Atletas!X552&lt;&gt;"",10000,0)+(IF(Atletas!B552="Feminino",1000,IF(Atletas!B552="Masculino",2000,""))+(IF(Atletas!M552="Chaquan A",101,IF(Atletas!M552="Emeiquan A",102,IF(Atletas!M552="Fanziquan A",103,IF(Atletas!M552="Huaquan A",104,IF(Atletas!M552="Hongquan A",105,IF(Atletas!M552="Paoquan A",106,IF(Atletas!M552="Piguaquan A",107,IF(Atletas!M552="Shaolinquan A",108,IF(Atletas!M552="Tanglangquan A",109,IF(Atletas!M552="Yingzhaoquan A",110,IF(Atletas!M552="Tongbeiquan A",111,IF(Atletas!M552="Wudangquan A",112,IF(Atletas!M552="Outros Estilos A",113,IF(Atletas!M552="Chaquan B",114,IF(Atletas!M552="Emeiquan B",115,IF(Atletas!M552="Fanziquan B",116,IF(Atletas!M552="Huaquan B",117,IF(Atletas!M552="Hongquan B",118,IF(Atletas!M552="Paoquan B",119,IF(Atletas!M552="Piguaquan B",120,IF(Atletas!M552="Shaolinquan B",121,IF(Atletas!M552="Tanglangquan B",122,IF(Atletas!M552="Yingzhaoquan B",123,IF(Atletas!M552="Tongbeiquan B",124,IF(Atletas!M552="Wudangquan B",125,IF(Atletas!M552="Outros Estilos B",126,IF(Atletas!M552="Chaquan C",127,IF(Atletas!M552="Emeiquan C",128,IF(Atletas!M552="Fanziquan C",129,IF(Atletas!M552="Huaquan C",130,IF(Atletas!M552="Hongquan C",131,IF(Atletas!M552="Paoquan C",132,IF(Atletas!M552="Piguaquan C",133,IF(Atletas!M552="Shaolinquan C",134,IF(Atletas!M552="Tanglangquan C",135,IF(Atletas!M552="Yingzhaoquan C",136,IF(Atletas!M552="Tongbeiquan C",137,IF(Atletas!M552="Wudangquan C",138,IF(Atletas!M552="Outros Estilos C",139,0))))))))))))))))))))))))))))))))))))))))))</f>
        <v/>
      </c>
      <c r="BT561" s="50" t="str">
        <f>IF(Atletas!M552="","",IF(Atletas!X552&lt;&gt;"",10000,0)+(IF(Atletas!B552="Feminino",1000,IF(Atletas!B552="Masculino",2000,""))+(IF(Atletas!M552="Chaquan D",140,IF(Atletas!M552="Emeiquan D",141,IF(Atletas!M552="Fanziquan D",142,IF(Atletas!M552="Huaquan D",143,IF(Atletas!M552="Hongquan D",144,IF(Atletas!M552="Paoquan D",145,IF(Atletas!M552="Piguaquan D",146,IF(Atletas!M552="Shaolinquan D",147,IF(Atletas!M552="Tanglangquan D",148,IF(Atletas!M552="Yingzhaoquan D",149,IF(Atletas!M552="Tongbeiquan D",150,IF(Atletas!M552="Wudangquan D",151,IF(Atletas!M552="Outros Estilos D",152,IF(Atletas!M552="Chaquan E",153,IF(Atletas!M552="Emeiquan E",154,IF(Atletas!M552="Fanziquan E",155,IF(Atletas!M552="Huaquan E",156,IF(Atletas!M552="Hongquan E",157,IF(Atletas!M552="Paoquan E",158,IF(Atletas!M552="Piguaquan E",159,IF(Atletas!M552="Shaolinquan E",160,IF(Atletas!M552="Tanglangquan E",161,IF(Atletas!M552="Yingzhaoquan E",162,IF(Atletas!M552="Tongbeiquan E",163,IF(Atletas!M552="Wudangquan E",164,IF(Atletas!M552="Outros Estilos E",165,IF(Atletas!M552="Chaquan F",166,IF(Atletas!M552="Emeiquan F",167,IF(Atletas!M552="Fanziquan F",168,IF(Atletas!M552="Huaquan F",169,IF(Atletas!M552="Hongquan F",170,IF(Atletas!M552="Paoquan F",171,IF(Atletas!M552="Piguaquan F",172,IF(Atletas!M552="Shaolinquan F",173,IF(Atletas!M552="Tanglangquan F",174,IF(Atletas!M552="Yingzhaoquan F",175,IF(Atletas!M552="Tongbeiquan F",176,IF(Atletas!M552="Wudangquan F",177,IF(Atletas!M552="Outros Estilos F",178,0))))))))))))))))))))))))))))))))))))))))))</f>
        <v/>
      </c>
      <c r="BU561" s="50" t="str">
        <f>IF(Atletas!N552="","",IF(Atletas!X552&lt;&gt;"",10000,0)+(IF(Atletas!B552="Feminino",1000,IF(Atletas!B552="Masculino",2000,""))+(IF(Atletas!N552="Ditangquan A",201,IF(Atletas!N552="Houquan A",202,IF(Atletas!N552="Zuiquan A",203,IF(Atletas!N552="Ditangquan B",204,IF(Atletas!N552="Houquan B",205,IF(Atletas!N552="Zuiquan B",206,IF(Atletas!N552="Ditangquan C",207,IF(Atletas!N552="Houquan C",208,IF(Atletas!N552="Zuiquan C",209,IF(Atletas!N552="Ditangquan D",210,IF(Atletas!N552="Houquan D",211,IF(Atletas!N552="Zuiquan D",212,IF(Atletas!N552="Ditangquan E",213,IF(Atletas!N552="Houquan E",214,IF(Atletas!N552="Zuiquan E",215,IF(Atletas!N552="Ditangquan F",216,IF(Atletas!N552="Houquan F",217,IF(Atletas!N552="Zuiquan F",218,"")))))))))))))))))))))</f>
        <v/>
      </c>
      <c r="BV561" s="50" t="str">
        <f>IF(Atletas!O552="","",IF(Atletas!X552&lt;&gt;"",10000,0)+IF(Atletas!B552="Feminino",1000,IF(Atletas!B552="Masculino",2000,""))+IF(Atletas!O552="Yang A",301,IF(Atletas!O552="Chen A",302,IF(Atletas!O552="Sun A",303,IF(Atletas!O552="Wu A",304,IF(Atletas!O552="Wu-Hao A",305,IF(Atletas!O552="Outro Taijiquan A",306,IF(Atletas!O552="Yang B",307,IF(Atletas!O552="Chen B",308,IF(Atletas!O552="Sun B",309,IF(Atletas!O552="Wu B",310,IF(Atletas!O552="Wu-Hao B",311,IF(Atletas!O552="Outro Taijiquan B",312,IF(Atletas!O552="Yang C",313,IF(Atletas!O552="Chen C",314,IF(Atletas!O552="Sun C",315,IF(Atletas!O552="Wu C",316,IF(Atletas!O552="Wu-Hao C",317,IF(Atletas!O552="Outro Taijiquan C",318,IF(Atletas!O552="Yang D",319,IF(Atletas!O552="Chen D",320,IF(Atletas!O552="Sun D",321,IF(Atletas!O552="Wu D",322,IF(Atletas!O552="Wu-Hao D",323,IF(Atletas!O552="Outro Taijiquan D",324,IF(Atletas!O552="Yang E",325,IF(Atletas!O552="Chen E",326,IF(Atletas!O552="Sun E",327,IF(Atletas!O552="Wu E",328,IF(Atletas!O552="Wu-Hao E",329,IF(Atletas!O552="Outro Taijiquan E",330,IF(Atletas!O552="Yang F",331,IF(Atletas!O552="Chen F",332,IF(Atletas!O552="Sun F",333,IF(Atletas!O552="Wu F",334,IF(Atletas!O552="Wu-Hao F",335,IF(Atletas!O552="Outro Taijiquan F",336,"")))))))))))))))))))))))))))))))))))))</f>
        <v/>
      </c>
      <c r="BW561" s="50" t="str">
        <f>IF(Atletas!P552="","",IF(Atletas!X552&lt;&gt;"",10000,0)+IF(Atletas!B552="Feminino",1000,IF(Atletas!B552="Masculino",2000,""))+IF(OR(Atletas!P552="Yang 26 A",Atletas!P552="Yang 40 A"),401,IF(OR(Atletas!P552="Chen 25 A",Atletas!P552="Chen 36 A",Atletas!P552="Chen 56 A"),402,IF(Atletas!P552="Sun 73 A",403,IF(Atletas!P552="Wu 45 A",404,IF(Atletas!P552="Wu-Hao 46 A",405,IF(OR(Atletas!P552="Taijiquan 16 A",Atletas!P552="Taijiquan 24 A",Atletas!P552="Taijiquan 32 A",Atletas!P552="Taijiquan 42 A"),406,IF(OR(Atletas!P552="Yang 26 B",Atletas!P552="Yang 40 B"),407,IF(OR(Atletas!P552="Chen 25 B",Atletas!P552="Chen 36 B",Atletas!P552="Chen 56 B"),408,IF(Atletas!P552="Sun 73 B",409,IF(Atletas!P552="Wu 45 B",410,IF(Atletas!P552="Wu-Hao 46 B",411,IF(OR(Atletas!P552="Taijiquan 16 B",Atletas!P552="Taijiquan 24 B",Atletas!P552="Taijiquan 32 B",Atletas!P552="Taijiquan 42 B"),412,IF(OR(Atletas!P552="Yang 26 C",Atletas!P552="Yang 40 C"),413,IF(OR(Atletas!P552="Chen 25 C",Atletas!P552="Chen 36 C",Atletas!P552="Chen 56 C"),414,IF(Atletas!P552="Sun 73 C",415,IF(Atletas!P552="Wu 45 C",416,IF(Atletas!P552="Wu-Hao 46 C",417,IF(OR(Atletas!P552="Taijiquan 16 C",Atletas!P552="Taijiquan 24 C",Atletas!P552="Taijiquan 32 C",Atletas!P552="Taijiquan 42 C"),418,0)))))))))))))))))))</f>
        <v/>
      </c>
      <c r="BX561" s="50" t="str">
        <f>IF(Atletas!P552="","",IF(Atletas!X552&lt;&gt;"",10000,0)+IF(Atletas!B552="Feminino",1000,IF(Atletas!B552="Masculino",2000,""))+IF(OR(Atletas!P552="Yang 26 D",Atletas!P552="Yang 40 D"),419,IF(OR(Atletas!P552="Chen 25 D",Atletas!P552="Chen 36 D",Atletas!P552="Chen 56 D"),420,IF(Atletas!P552="Sun 73 D",421,IF(Atletas!P552="Wu 45 D",422,IF(Atletas!P552="Wu-Hao 46 D",423,IF(OR(Atletas!P552="Taijiquan 16 D",Atletas!P552="Taijiquan 24 D",Atletas!P552="Taijiquan 32 D",Atletas!P552="Taijiquan 42 D"),424,IF(OR(Atletas!P552="Yang 26 E",Atletas!P552="Yang 40 E"),425,IF(OR(Atletas!P552="Chen 25 E",Atletas!P552="Chen 36 E",Atletas!P552="Chen 56 E"),426,IF(Atletas!P552="Sun 73 E",427,IF(Atletas!P552="Wu 45 E",428,IF(Atletas!P552="Wu-Hao 46 E",429,IF(OR(Atletas!P552="Taijiquan 16 E",Atletas!P552="Taijiquan 24 E",Atletas!P552="Taijiquan 32 E",Atletas!P552="Taijiquan 42 E"),430,IF(OR(Atletas!P552="Yang 26 F",Atletas!P552="Yang 40 F"),431,IF(OR(Atletas!P552="Chen 25 F",Atletas!P552="Chen 36 F",Atletas!P552="Chen 56 F"),432,IF(Atletas!P552="Sun 73 F",433,IF(Atletas!P552="Wu 45 F",434,IF(Atletas!P552="Wu-Hao 46 F",435,IF(OR(Atletas!P552="Taijiquan 16 F",Atletas!P552="Taijiquan 24 F",Atletas!P552="Taijiquan 32 F",Atletas!P552="Taijiquan 42 F"),436,0)))))))))))))))))))</f>
        <v/>
      </c>
      <c r="BY561" s="50" t="str">
        <f>IF(Atletas!Q552="","",IF(Atletas!X552&lt;&gt;"",10000,0)+IF(Atletas!B552="Feminino",1000,IF(Atletas!B552="Masculino",2000,""))+IF(Atletas!Q552="Xingyiquan A",501,IF(Atletas!Q552="Baguazhang A",502,IF(Atletas!Q552="Outro Estilo Interno A",503,IF(Atletas!Q552="Xingyiquan B",504,IF(Atletas!Q552="Baguazhang B",505,IF(Atletas!Q552="Outro Estilo Interno B",506,IF(Atletas!Q552="Xingyiquan C",507,IF(Atletas!Q552="Baguazhang C",508,IF(Atletas!Q552="Outro Estilo Interno C",509,IF(Atletas!Q552="Xingyiquan D",510,IF(Atletas!Q552="Baguazhang D",511,IF(Atletas!Q552="Outro Estilo Interno D",512,IF(Atletas!Q552="Xingyiquan E",513,IF(Atletas!Q552="Baguazhang E",514,IF(Atletas!Q552="Outro Estilo Interno E",515,IF(Atletas!Q552="Xingyiquan F",516,IF(Atletas!Q552="Baguazhang F",517,IF(Atletas!Q552="Outro Estilo Interno F",518, "")))))))))))))))))))</f>
        <v/>
      </c>
      <c r="BZ561" s="50" t="str">
        <f>IF(Atletas!R552="","",IF(Atletas!X552&lt;&gt;"",10000,0)+IF(Atletas!B552="Feminino",1000,IF(Atletas!B552="Masculino",2000,""))+IF(Atletas!R552="Dao A",601,IF(Atletas!R552="Jian A",602,IF(Atletas!R552="Bishou A",603,IF(Atletas!R552="Shanzi A",604,IF(Atletas!R552="Outra Arma Curta A",605,IF(Atletas!R552="Dao B",606,IF(Atletas!R552="Jian B",607,IF(Atletas!R552="Bishou B",608,IF(Atletas!R552="Shanzi B",609,IF(Atletas!R552="Outra Arma Curta B",610,IF(Atletas!R552="Dao C",611,IF(Atletas!R552="Jian C",612,IF(Atletas!R552="Bishou C",613,IF(Atletas!R552="Shanzi C",614,IF(Atletas!R552="Outra Arma Curta C",615,IF(Atletas!R552="Dao D",616,IF(Atletas!R552="Jian D",617,IF(Atletas!R552="Bishou D",618,IF(Atletas!R552="Shanzi D",619,IF(Atletas!R552="Outra Arma Curta D",620,IF(Atletas!R552="Dao E",621,IF(Atletas!R552="Jian E",622,IF(Atletas!R552="Bishou E",623,IF(Atletas!R552="Shanzi E",624,IF(Atletas!R552="Outra Arma Curta E",625,IF(Atletas!R552="Dao F",626,IF(Atletas!R552="Jian F",627,IF(Atletas!R552="Bishou F",628,IF(Atletas!R552="Shanzi F",629,IF(Atletas!R552="Outra Arma Curta F",630, "")))))))))))))))))))))))))))))))</f>
        <v/>
      </c>
      <c r="CA561" s="50" t="str">
        <f>IF(Atletas!S552="","",IF(Atletas!X552&lt;&gt;"",10000,0)+IF(Atletas!B552="Feminino",1000,IF(Atletas!B552="Masculino",2000,""))+IF(Atletas!S552="Gun A",701,IF(Atletas!S552="Qiang A",702,IF(Atletas!S552="Pudao / Guandao A",703,IF(Atletas!S552="Outra Arma Longa A",704,IF(Atletas!S552="Gun B",705,IF(Atletas!S552="Qiang B",706,IF(Atletas!S552="Pudao / Guandao B",707,IF(Atletas!S552="Outra Arma Longa B",708,IF(Atletas!S552="Gun C",709,IF(Atletas!S552="Qiang C",710,IF(Atletas!S552="Pudao / Guandao C",711,IF(Atletas!S552="Outra Arma Longa C",712,IF(Atletas!S552="Gun D",713,IF(Atletas!S552="Qiang D",714,IF(Atletas!S552="Pudao / Guandao D",715,IF(Atletas!S552="Outra Arma Longa D",716,IF(Atletas!S552="Gun E",717,IF(Atletas!S552="Qiang E",718,IF(Atletas!S552="Pudao / Guandao E",719,IF(Atletas!S552="Outra Arma Longa E",720,IF(Atletas!S552="Gun F",721,IF(Atletas!S552="Qiang F",722,IF(Atletas!S552="Pudao / Guandao F",723,IF(Atletas!S552="Outra Arma Longa F",724,"")))))))))))))))))))))))))</f>
        <v/>
      </c>
      <c r="CB561" s="50" t="str">
        <f>IF(Atletas!T552="","",IF(Atletas!X552&lt;&gt;"",10000,0)+IF(Atletas!B552="Feminino",1000,IF(Atletas!B552="Masculino",2000,""))+IF(Atletas!T552="Outra Arma Dupla A",801,IF(Atletas!T552="Arma Maleável A",802,IF(Atletas!T552="Outra Arma Dupla B",803,IF(Atletas!T552="Arma Maleável B",804,IF(Atletas!T552="Outra Arma Dupla C",805,IF(Atletas!T552="Arma Maleável C",806,IF(Atletas!T552="Outra Arma Dupla D",807,IF(Atletas!T552="Arma Maleável D",808,IF(Atletas!T552="Outra Arma Dupla E",809,IF(Atletas!T552="Arma Maleável E",810,IF(Atletas!T552="Outra Arma Dupla F",811,IF(Atletas!T552="Arma Maleável F",812,IF(Atletas!T552="Shuangdao A",813,IF(Atletas!T552="Shuangdao B",814,IF(Atletas!T552="Shuangdao C",815,IF(Atletas!T552="Shuangdao D",816,IF(Atletas!T552="Shuangdao E",817,IF(Atletas!T552="Shuangdao F",818,"")))))))))))))))))))</f>
        <v/>
      </c>
      <c r="CC561" s="50" t="str">
        <f>IF(Atletas!U552="","",IF(Atletas!X552&lt;&gt;"",10000,0)+IF(Atletas!B552="Feminino",1000,IF(Atletas!B552="Masculino",2000,""))+IF(OR(Atletas!U552="Taijijian Yang A",Atletas!U552="Taijijian Yang Standard A"),901,IF(OR(Atletas!U552="Taijijian Chen A", Atletas!U552="Taijijian Chen Standard A"),902,IF(Atletas!U552="Taijijian Sun A",903,IF(Atletas!U552="Taijijian Wu A",904,IF(Atletas!U552="Taijijian Wu-Hao A",905,IF(OR(Atletas!U552="Taijijian 32 A",Atletas!U552="Taijijian 42 A"),906,IF(OR(Atletas!U552="Taijijian Yang B",Atletas!U552="Taijijian Yang Standard B"),907,IF(OR(Atletas!U552="Taijijian Chen B", Atletas!U552="Taijijian Chen Standard B"),908,IF(Atletas!U552="Taijijian Sun B",909,IF(Atletas!U552="Taijijian Wu B",910,IF(Atletas!U552="Taijijian Wu-Hao B",911,IF(OR(Atletas!U552="Taijijian 32 B",Atletas!U552="Taijijian 42 B"),912,IF(OR(Atletas!U552="Taijijian Yang C",Atletas!U552="Taijijian Yang Standard C"),913,IF(OR(Atletas!U552="Taijijian Chen C", Atletas!U552="Taijijian Chen Standard C"),914,IF(Atletas!U552="Taijijian Sun C",915,IF(Atletas!U552="Taijijian Wu C",916,IF(Atletas!U552="Taijijian Wu-Hao C",917,IF(OR(Atletas!U552="Taijijian 32 C",Atletas!U552="Taijijian 42 C"),918,IF(OR(Atletas!U552="Taijijian Yang D",Atletas!U552="Taijijian Yang Standard D"),919,IF(OR(Atletas!U552="Taijijian Chen D", Atletas!U552="Taijijian Chen Standard D"),920,IF(Atletas!U552="Taijijian Sun D",921,IF(Atletas!U552="Taijijian Wu D",922,IF(Atletas!U552="Taijijian Wu-Hao D",923,IF(OR(Atletas!U552="Taijijian 32 D",Atletas!U552="Taijijian 42 D"),924,IF(OR(Atletas!U552="Taijijian Yang E",Atletas!U552="Taijijian Yang Standard E"),925,IF(OR(Atletas!U552="Taijijian Chen E", Atletas!U552="Taijijian Chen Standard E"),926,IF(Atletas!U552="Taijijian Sun E",927,IF(Atletas!U552="Taijijian Wu E",928,IF(Atletas!U552="Taijijian Wu-Hao E",929,IF(OR(Atletas!U552="Taijijian 32 E",Atletas!U552="Taijijian 42 E"),930,IF(OR(Atletas!U552="Taijijian Yang F",Atletas!U552="Taijijian Yang Standard F"),931,IF(OR(Atletas!U552="Taijijian Chen F", Atletas!U552="Taijijian Chen Standard F"),932,IF(Atletas!U552="Taijijian Sun F",933,IF(Atletas!U552="Taijijian Wu F",934,IF(Atletas!U552="Taijijian Wu-Hao F",935,IF(OR(Atletas!U552="Taijijian 32 F",Atletas!U552="Taijijian 42 F"),936,"")))))))))))))))))))))))))))))))))))))</f>
        <v/>
      </c>
      <c r="CD561" s="50" t="str">
        <f>IF(Atletas!V552="","",IF(Atletas!X552&lt;&gt;"",10000,0)+IF(Atletas!B552="Feminino",1000,IF(Atletas!B552="Masculino",2000,""))+IF(Atletas!V552="Taijidao A",937,IF(Atletas!V552="TaijiShanzi A",938,IF(Atletas!V552="Taijiqiang A",939,IF(Atletas!V552="Bagua de Arma A",940,IF(Atletas!V552="Xingyi de Arma A",941,IF(Atletas!V552="Taijidao B",942,IF(Atletas!V552="TaijiShanzi B",943,IF(Atletas!V552="Taijiqiang B",944,IF(Atletas!V552="Bagua de Arma B",945,IF(Atletas!V552="Xingyi de Arma B",946,IF(Atletas!V552="Taijidao C",947,IF(Atletas!V552="TaijiShanzi C",948,IF(Atletas!V552="Taijiqiang C",949,IF(Atletas!V552="Bagua de Arma C",950,IF(Atletas!V552="Xingyi de Arma C",951,IF(Atletas!V552="Taijidao D",952,IF(Atletas!V552="TaijiShanzi D",953,IF(Atletas!V552="Taijiqiang D",954,IF(Atletas!V552="Bagua de Arma D",955,IF(Atletas!V552="Xingyi de Arma D",956,IF(Atletas!V552="Taijidao E",957,IF(Atletas!V552="TaijiShanzi E",958,IF(Atletas!V552="Taijiqiang E",959,IF(Atletas!V552="Bagua de Arma E",960,IF(Atletas!V552="Xingyi de Arma E",961,IF(Atletas!V552="Taijidao F",962,IF(Atletas!V552="TaijiShanzi F",963,IF(Atletas!V552="Taijiqiang F",964,IF(Atletas!V552="Bagua de Arma F",965,IF(Atletas!V552="Xingyi de Arma F",966,"")))))))))))))))))))))))))))))))</f>
        <v/>
      </c>
      <c r="CM561" s="50" t="str">
        <f xml:space="preserve"> IF(Atletas!W552="","",IF(Atletas!W552="Duilian de Mãos BC - Equipe 1",1,IF(Atletas!W552="Duilian de Mãos BC - Equipe 2",2,IF(Atletas!W552="Duilian de Armas BC - Equipe 1",3,IF(Atletas!W552="Duilian de Armas BC - Equipe 2",4,IF(Atletas!W552="Duilian de Mãos DE - Equipe 1",5,IF(Atletas!W552="Duilian de Mãos DE - Equipe 2",6,IF(Atletas!W552="Duilian de Armas DE - Equipe 1",7,IF(Atletas!W552="Duilian de Armas DE - Equipe 2",8,IF(Atletas!W552="Duilian de Tuishou - Equipe 1",9,IF(Atletas!W552="Duilian de Tuishou - Equipe 2",10,IF(Atletas!W552="Grupo Externo ABC - Equipe 1",11,IF(Atletas!W552="Grupo Externo ABC - Equipe 2",12,IF(Atletas!W552="Grupo Interno ABC - Equipe 1",13,IF(Atletas!W552="Grupo Interno ABC - Equipe 2",14,IF(Atletas!W552="Grupo Externo DEF - Equipe 1",15,IF(Atletas!W552="Grupo Externo DEF - Equipe 2",16,IF(Atletas!W552="Grupo Interno DEF - Equipe 1",17,IF(Atletas!W552="Grupo Interno DEF - Equipe 2",18,"")))))))))))))))))))</f>
        <v/>
      </c>
    </row>
    <row r="562" spans="40:91">
      <c r="AN562" s="52" t="str">
        <f>IF(Atletas!D553="","",IF(Atletas!B553="Feminino",100,IF(Atletas!B553="Masculino",200,""))+(IF(Atletas!D553="Kids 30kg",1,IF(Atletas!D553="Kids 32kg",2, IF(Atletas!D553="Kids 34kg",3,IF(Atletas!D553="Kids 36kg",4,IF(Atletas!D553="Kids 39kg",5,IF(Atletas!D553="Kids 42kg",6,IF(Atletas!D553="Kids 45kg",7, IF(Atletas!D553="Infantil 39kg",8,IF(Atletas!D553="Infantil 42kg",9,IF(Atletas!D553="Infantil 45kg",10,IF(Atletas!D553="Infantil 48kg",11,IF(Atletas!D553="Infantil 52kg",12,IF(Atletas!D553="Infantil 56kg",13,IF(Atletas!D553="Infantil 60kg",14,IF(Atletas!D553="Juvenil 48kg",15,IF(Atletas!D553="Juvenil 52kg",16,IF(Atletas!D553="Juvenil 56kg",17,IF(Atletas!D553="Juvenil 60kg",18,IF(Atletas!D553="Juvenil 65kg",19,IF(Atletas!D553="Juvenil 70kg",20,IF(Atletas!D553="Juvenil 75kg",21,IF(Atletas!D553="Juvenil 80kg",22, IF(Atletas!D553="Juvenil 85kg",23,IF(Atletas!D553="Adulto 48kg",24,IF(Atletas!D553="Adulto 52kg",25,IF(Atletas!D553="Adulto 56kg",26,IF(Atletas!D553="Adulto 60kg",27,IF(Atletas!D553="Adulto 65kg",28,IF(Atletas!D553="Adulto 70kg",29,IF(Atletas!D553="Adulto 75kg",30,IF(Atletas!D553="Adulto 80kg",31,IF(Atletas!D553="Adulto 85kg",32,IF(Atletas!D553="Adulto 90kg",33,IF(Atletas!D553="Adulto 100kg",34, IF(Atletas!D553="Adulto +100kg",35,"")))))))))))))))))))))))))))))))))))))</f>
        <v/>
      </c>
      <c r="AS562" s="6" t="str">
        <f>IF(Atletas!E553="","",IF(Atletas!B553="Feminino",100,IF(Atletas!B553="Masculino",200,""))+(IF(Atletas!E553="Juvenil 44kg",1,IF(Atletas!E553="Juvenil 48kg",2,IF(Atletas!E553="Juvenil 52kg",3,IF(Atletas!E553="Juvenil 56kg",4,IF(Atletas!E553="Juvenil 60kg",5,IF(Atletas!E553="Juvenil 65kg",6,IF(Atletas!E553="Juvenil 70kg",7,IF(Atletas!E553="Juvenil 75kg",8,IF(Atletas!E553="Juvenil 82kg",9,IF(Atletas!E553="Juvenil 90kg",10,IF(Atletas!E553="Juvenil 100kg",11,IF(Atletas!E553="Adulto 48kg",12,IF(Atletas!E553="Adulto 52kg",13,IF(Atletas!E553="Adulto 56kg",14,IF(Atletas!E553="Adulto 60kg",15,IF(Atletas!E553="Adulto 65kg",16,IF(Atletas!E553="Adulto 70kg",17,IF(Atletas!E553="Adulto 75kg",18,IF(Atletas!E553="Adulto 82kg",19,IF(Atletas!E553="Adulto 90kg",20,IF(Atletas!E553="Adulto 100kg",21,IF(Atletas!E553="Adulto +100kg",22,""))))))))))))))))))))))))</f>
        <v/>
      </c>
      <c r="AX562" s="6" t="str">
        <f>IF(Atletas!F553="","",IF(Atletas!B553="Feminino",100,IF(Atletas!B553="Masculino",200,""))+(IF(Atletas!F553="Adulto 48kg",1,IF(Atletas!F553="Adulto 56kg",2,IF(Atletas!F553="Adulto 65kg",3,IF(Atletas!F553="Adulto 75kg",4,IF(Atletas!F553="Adulto +75kg",5,IF(Atletas!F553="Adulto 52kg",6,IF(Atletas!F553="Adulto 60kg",7,IF(Atletas!F553="Adulto 70kg",8,IF(Atletas!F553="Adulto 80kg",9,IF(Atletas!F553="Adulto 90kg",10,IF(Atletas!F553="Adulto +90kg",11,"")))))))))))))</f>
        <v/>
      </c>
      <c r="BC562" s="6" t="str">
        <f>IF(Atletas!G553="","",IF(Atletas!B553="Feminino",10,IF(Atletas!B553="Masculino",20,""))+(IF(Atletas!G553="Baduanjin A",1,IF(Atletas!G553="Baduanjin B",2))))</f>
        <v/>
      </c>
      <c r="BF562" s="52" t="str">
        <f>IF(Atletas!H553="","",IF(Atletas!B553="Feminino",100,IF(Atletas!B553="Masculino",200,""))+(IF(Atletas!H553="Changquan Mirim",1,IF(Atletas!H553="Nanquan Mirim",2,IF(Atletas!H553="Taijiquan Mirim",3,IF(Atletas!H553="Changquan Grupo C",4,IF(Atletas!H553="Nanquan Grupo C",5,IF(Atletas!H553="Taijiquan Grupo C",6,IF(Atletas!H553="Changquan Grupo B",7,IF(Atletas!H553="Nanquan Grupo B",8,IF(Atletas!H553="Taijiquan Grupo B",9,IF(Atletas!H553="Changquan Grupo A",10,IF(Atletas!H553="Nanquan Grupo A",11,IF(Atletas!H553="Taijiquan Grupo A",12,IF(Atletas!H553="Changquan Opcional",13,IF(Atletas!H553="Nanquan Opcional",14,IF(Atletas!H553="Taijiquan Opcional",15,IF(Atletas!H553="Changquan Adulto",16,IF(Atletas!H553="Nanquan Adulto",17,IF(Atletas!H553="Taijiquan Adulto",18,""))))))))))))))))))))</f>
        <v/>
      </c>
      <c r="BG562" s="52" t="str">
        <f>IF(Atletas!I553="","",IF(Atletas!B553="Feminino",100,IF(Atletas!B553="Masculino",200,""))+(IF(Atletas!I553="Daoshu Mirim",19,IF(Atletas!I553="Jianshu Mirim",20,IF(Atletas!I553="Nandao Mirim",21,IF(Atletas!I553="Taijijian Mirim",22,IF(Atletas!I553="Daoshu Grupo C",23,IF(Atletas!I553="Jianshu Grupo C",24,IF(Atletas!I553="Nandao Grupo C",25,IF(Atletas!I553="Taijijian Grupo C",26,IF(Atletas!I553="Daoshu Grupo B",27,IF(Atletas!I553="Jianshu Grupo B",28,IF(Atletas!I553="Nandao Grupo B",29,IF(Atletas!I553="Taijijian Grupo B",30,IF(Atletas!I553="Daoshu Grupo A",31,IF(Atletas!I553="Jianshu Grupo A",32,IF(Atletas!I553="Nandao Grupo A",33,IF(Atletas!I553="Taijijian Grupo A",34,IF(Atletas!I553="Daoshu Opcional",35,IF(Atletas!I553="Jianshu Opcional",36,IF(Atletas!I553="Nandao Opcional",37,IF(Atletas!I553="Taijijian Opcional",38,IF(Atletas!I553="Daoshu Adulto",39,IF(Atletas!I553="Jianshu Adulto",40,IF(Atletas!I553="Nandao Adulto",41,IF(Atletas!I553="Taijijian Adulto",42,""))))))))))))))))))))))))))</f>
        <v/>
      </c>
      <c r="BH562" s="52" t="str">
        <f>IF(Atletas!J553="","",IF(Atletas!B553="Feminino",100,IF(Atletas!B553="Masculino",200,""))+(IF(Atletas!J553="Gunshu Mirim",43,IF(Atletas!J553="Qiangshu Mirim",44,IF(Atletas!J553="Nangun Mirim",45,IF(Atletas!J553="Gunshu Grupo C",46,IF(Atletas!J553="Qiangshu Grupo C",47,IF(Atletas!J553="Nangun Grupo C",48,IF(Atletas!J553="Gunshu Grupo B",49,IF(Atletas!J553="Qiangshu Grupo B",50,IF(Atletas!J553="Nangun Grupo B",51,IF(Atletas!J553="Gunshu Grupo A",52,IF(Atletas!J553="Qiangshu Grupo A",53,IF(Atletas!J553="Nangun Grupo A",54,IF(Atletas!J553="Gunshu Opcional",55,IF(Atletas!J553="Qiangshu Opcional",56,IF(Atletas!J553="Nangun Opcional",57,IF(Atletas!J553="Gunshu Adulto",58,IF(Atletas!J553="Qiangshu Adulto",59,IF(Atletas!J553="Nangun Adulto",60,IF(Atletas!J553="Taijishan Grupo B",61,IF(Atletas!J553="Taijishan Grupo A",62,""))))))))))))))))))))))</f>
        <v/>
      </c>
      <c r="BM562" s="50" t="str">
        <f>IF(Atletas!K553="","",IF(Atletas!B553="Feminino",100,IF(Atletas!B553="Masculino",200,""))+(IF(Atletas!K553="Equipe 1 Grupo B",1,IF(Atletas!K553="Equipe 2 Grupo B",2,IF(Atletas!K553="Equipe 1 Grupo A",3,IF(Atletas!K553="Equipe 2 Grupo A",4,IF(Atletas!K553="Equipe 1 Adulto",5,IF(Atletas!K553="Equipe 2 Adulto",6,""))))))))</f>
        <v/>
      </c>
      <c r="BR562" s="50" t="str">
        <f>IF(Atletas!L553="","",IF(Atletas!X553&lt;&gt;"",10000,0)+(IF(Atletas!B553="Feminino",1000,IF(Atletas!B553="Masculino",2000,""))+IF(Atletas!L553="Choylayfut A",1,IF(Atletas!L553="Hunggar A",2,IF(Atletas!L553="Wuzuquan A",3,IF(Atletas!L553="Wingchun A",4,IF(Atletas!L553="Outra Mão de Sul A",5,IF(Atletas!L553="Choylayfut B",6,IF(Atletas!L553="Hunggar B",7,IF(Atletas!L553="Wuzuquan B",8,IF(Atletas!L553="Wingchun B",9,IF(Atletas!L553="Outra Mão de Sul B",10,IF(Atletas!L553="Choylayfut C",11,IF(Atletas!L553="Hunggar C",12,IF(Atletas!L553="Wuzuquan C",13,IF(Atletas!L553="Wingchun C",14,IF(Atletas!L553="Outra Mão de Sul C",15,IF(Atletas!L553="Choylayfut D",16,IF(Atletas!L553="Hunggar D",17,IF(Atletas!L553="Wuzuquan D",18,IF(Atletas!L553="Wingchun D",19,IF(Atletas!L553="Outra Mão de Sul D",20,IF(Atletas!L553="Choylayfut E",21,IF(Atletas!L553="Hunggar E",22,IF(Atletas!L553="Wuzuquan E",23,IF(Atletas!L553="Wingchun E",24,IF(Atletas!L553="Outra Mão de Sul E",25,IF(Atletas!L553="Choylayfut F",26,IF(Atletas!L553="Hunggar F",27,IF(Atletas!L553="Wuzuquan F",28,IF(Atletas!L553="Wingchun F",29,IF(Atletas!L553="Outra Mão de Sul F",30,IF(Atletas!L553="Dishuquan A",31,IF(Atletas!L553="Dishuquan B",32,IF(Atletas!L553="Dishuquan C",33,IF(Atletas!L553="Dishuquan D",34,IF(Atletas!L553="Dishuquan E",35,IF(Atletas!L553="Dishuquan F",36,""))))))))))))))))))))))))))))))))))))))</f>
        <v/>
      </c>
      <c r="BS562" s="50" t="str">
        <f>IF(Atletas!M553="","",IF(Atletas!X553&lt;&gt;"",10000,0)+(IF(Atletas!B553="Feminino",1000,IF(Atletas!B553="Masculino",2000,""))+(IF(Atletas!M553="Chaquan A",101,IF(Atletas!M553="Emeiquan A",102,IF(Atletas!M553="Fanziquan A",103,IF(Atletas!M553="Huaquan A",104,IF(Atletas!M553="Hongquan A",105,IF(Atletas!M553="Paoquan A",106,IF(Atletas!M553="Piguaquan A",107,IF(Atletas!M553="Shaolinquan A",108,IF(Atletas!M553="Tanglangquan A",109,IF(Atletas!M553="Yingzhaoquan A",110,IF(Atletas!M553="Tongbeiquan A",111,IF(Atletas!M553="Wudangquan A",112,IF(Atletas!M553="Outros Estilos A",113,IF(Atletas!M553="Chaquan B",114,IF(Atletas!M553="Emeiquan B",115,IF(Atletas!M553="Fanziquan B",116,IF(Atletas!M553="Huaquan B",117,IF(Atletas!M553="Hongquan B",118,IF(Atletas!M553="Paoquan B",119,IF(Atletas!M553="Piguaquan B",120,IF(Atletas!M553="Shaolinquan B",121,IF(Atletas!M553="Tanglangquan B",122,IF(Atletas!M553="Yingzhaoquan B",123,IF(Atletas!M553="Tongbeiquan B",124,IF(Atletas!M553="Wudangquan B",125,IF(Atletas!M553="Outros Estilos B",126,IF(Atletas!M553="Chaquan C",127,IF(Atletas!M553="Emeiquan C",128,IF(Atletas!M553="Fanziquan C",129,IF(Atletas!M553="Huaquan C",130,IF(Atletas!M553="Hongquan C",131,IF(Atletas!M553="Paoquan C",132,IF(Atletas!M553="Piguaquan C",133,IF(Atletas!M553="Shaolinquan C",134,IF(Atletas!M553="Tanglangquan C",135,IF(Atletas!M553="Yingzhaoquan C",136,IF(Atletas!M553="Tongbeiquan C",137,IF(Atletas!M553="Wudangquan C",138,IF(Atletas!M553="Outros Estilos C",139,0))))))))))))))))))))))))))))))))))))))))))</f>
        <v/>
      </c>
      <c r="BT562" s="50" t="str">
        <f>IF(Atletas!M553="","",IF(Atletas!X553&lt;&gt;"",10000,0)+(IF(Atletas!B553="Feminino",1000,IF(Atletas!B553="Masculino",2000,""))+(IF(Atletas!M553="Chaquan D",140,IF(Atletas!M553="Emeiquan D",141,IF(Atletas!M553="Fanziquan D",142,IF(Atletas!M553="Huaquan D",143,IF(Atletas!M553="Hongquan D",144,IF(Atletas!M553="Paoquan D",145,IF(Atletas!M553="Piguaquan D",146,IF(Atletas!M553="Shaolinquan D",147,IF(Atletas!M553="Tanglangquan D",148,IF(Atletas!M553="Yingzhaoquan D",149,IF(Atletas!M553="Tongbeiquan D",150,IF(Atletas!M553="Wudangquan D",151,IF(Atletas!M553="Outros Estilos D",152,IF(Atletas!M553="Chaquan E",153,IF(Atletas!M553="Emeiquan E",154,IF(Atletas!M553="Fanziquan E",155,IF(Atletas!M553="Huaquan E",156,IF(Atletas!M553="Hongquan E",157,IF(Atletas!M553="Paoquan E",158,IF(Atletas!M553="Piguaquan E",159,IF(Atletas!M553="Shaolinquan E",160,IF(Atletas!M553="Tanglangquan E",161,IF(Atletas!M553="Yingzhaoquan E",162,IF(Atletas!M553="Tongbeiquan E",163,IF(Atletas!M553="Wudangquan E",164,IF(Atletas!M553="Outros Estilos E",165,IF(Atletas!M553="Chaquan F",166,IF(Atletas!M553="Emeiquan F",167,IF(Atletas!M553="Fanziquan F",168,IF(Atletas!M553="Huaquan F",169,IF(Atletas!M553="Hongquan F",170,IF(Atletas!M553="Paoquan F",171,IF(Atletas!M553="Piguaquan F",172,IF(Atletas!M553="Shaolinquan F",173,IF(Atletas!M553="Tanglangquan F",174,IF(Atletas!M553="Yingzhaoquan F",175,IF(Atletas!M553="Tongbeiquan F",176,IF(Atletas!M553="Wudangquan F",177,IF(Atletas!M553="Outros Estilos F",178,0))))))))))))))))))))))))))))))))))))))))))</f>
        <v/>
      </c>
      <c r="BU562" s="50" t="str">
        <f>IF(Atletas!N553="","",IF(Atletas!X553&lt;&gt;"",10000,0)+(IF(Atletas!B553="Feminino",1000,IF(Atletas!B553="Masculino",2000,""))+(IF(Atletas!N553="Ditangquan A",201,IF(Atletas!N553="Houquan A",202,IF(Atletas!N553="Zuiquan A",203,IF(Atletas!N553="Ditangquan B",204,IF(Atletas!N553="Houquan B",205,IF(Atletas!N553="Zuiquan B",206,IF(Atletas!N553="Ditangquan C",207,IF(Atletas!N553="Houquan C",208,IF(Atletas!N553="Zuiquan C",209,IF(Atletas!N553="Ditangquan D",210,IF(Atletas!N553="Houquan D",211,IF(Atletas!N553="Zuiquan D",212,IF(Atletas!N553="Ditangquan E",213,IF(Atletas!N553="Houquan E",214,IF(Atletas!N553="Zuiquan E",215,IF(Atletas!N553="Ditangquan F",216,IF(Atletas!N553="Houquan F",217,IF(Atletas!N553="Zuiquan F",218,"")))))))))))))))))))))</f>
        <v/>
      </c>
      <c r="BV562" s="50" t="str">
        <f>IF(Atletas!O553="","",IF(Atletas!X553&lt;&gt;"",10000,0)+IF(Atletas!B553="Feminino",1000,IF(Atletas!B553="Masculino",2000,""))+IF(Atletas!O553="Yang A",301,IF(Atletas!O553="Chen A",302,IF(Atletas!O553="Sun A",303,IF(Atletas!O553="Wu A",304,IF(Atletas!O553="Wu-Hao A",305,IF(Atletas!O553="Outro Taijiquan A",306,IF(Atletas!O553="Yang B",307,IF(Atletas!O553="Chen B",308,IF(Atletas!O553="Sun B",309,IF(Atletas!O553="Wu B",310,IF(Atletas!O553="Wu-Hao B",311,IF(Atletas!O553="Outro Taijiquan B",312,IF(Atletas!O553="Yang C",313,IF(Atletas!O553="Chen C",314,IF(Atletas!O553="Sun C",315,IF(Atletas!O553="Wu C",316,IF(Atletas!O553="Wu-Hao C",317,IF(Atletas!O553="Outro Taijiquan C",318,IF(Atletas!O553="Yang D",319,IF(Atletas!O553="Chen D",320,IF(Atletas!O553="Sun D",321,IF(Atletas!O553="Wu D",322,IF(Atletas!O553="Wu-Hao D",323,IF(Atletas!O553="Outro Taijiquan D",324,IF(Atletas!O553="Yang E",325,IF(Atletas!O553="Chen E",326,IF(Atletas!O553="Sun E",327,IF(Atletas!O553="Wu E",328,IF(Atletas!O553="Wu-Hao E",329,IF(Atletas!O553="Outro Taijiquan E",330,IF(Atletas!O553="Yang F",331,IF(Atletas!O553="Chen F",332,IF(Atletas!O553="Sun F",333,IF(Atletas!O553="Wu F",334,IF(Atletas!O553="Wu-Hao F",335,IF(Atletas!O553="Outro Taijiquan F",336,"")))))))))))))))))))))))))))))))))))))</f>
        <v/>
      </c>
      <c r="BW562" s="50" t="str">
        <f>IF(Atletas!P553="","",IF(Atletas!X553&lt;&gt;"",10000,0)+IF(Atletas!B553="Feminino",1000,IF(Atletas!B553="Masculino",2000,""))+IF(OR(Atletas!P553="Yang 26 A",Atletas!P553="Yang 40 A"),401,IF(OR(Atletas!P553="Chen 25 A",Atletas!P553="Chen 36 A",Atletas!P553="Chen 56 A"),402,IF(Atletas!P553="Sun 73 A",403,IF(Atletas!P553="Wu 45 A",404,IF(Atletas!P553="Wu-Hao 46 A",405,IF(OR(Atletas!P553="Taijiquan 16 A",Atletas!P553="Taijiquan 24 A",Atletas!P553="Taijiquan 32 A",Atletas!P553="Taijiquan 42 A"),406,IF(OR(Atletas!P553="Yang 26 B",Atletas!P553="Yang 40 B"),407,IF(OR(Atletas!P553="Chen 25 B",Atletas!P553="Chen 36 B",Atletas!P553="Chen 56 B"),408,IF(Atletas!P553="Sun 73 B",409,IF(Atletas!P553="Wu 45 B",410,IF(Atletas!P553="Wu-Hao 46 B",411,IF(OR(Atletas!P553="Taijiquan 16 B",Atletas!P553="Taijiquan 24 B",Atletas!P553="Taijiquan 32 B",Atletas!P553="Taijiquan 42 B"),412,IF(OR(Atletas!P553="Yang 26 C",Atletas!P553="Yang 40 C"),413,IF(OR(Atletas!P553="Chen 25 C",Atletas!P553="Chen 36 C",Atletas!P553="Chen 56 C"),414,IF(Atletas!P553="Sun 73 C",415,IF(Atletas!P553="Wu 45 C",416,IF(Atletas!P553="Wu-Hao 46 C",417,IF(OR(Atletas!P553="Taijiquan 16 C",Atletas!P553="Taijiquan 24 C",Atletas!P553="Taijiquan 32 C",Atletas!P553="Taijiquan 42 C"),418,0)))))))))))))))))))</f>
        <v/>
      </c>
      <c r="BX562" s="50" t="str">
        <f>IF(Atletas!P553="","",IF(Atletas!X553&lt;&gt;"",10000,0)+IF(Atletas!B553="Feminino",1000,IF(Atletas!B553="Masculino",2000,""))+IF(OR(Atletas!P553="Yang 26 D",Atletas!P553="Yang 40 D"),419,IF(OR(Atletas!P553="Chen 25 D",Atletas!P553="Chen 36 D",Atletas!P553="Chen 56 D"),420,IF(Atletas!P553="Sun 73 D",421,IF(Atletas!P553="Wu 45 D",422,IF(Atletas!P553="Wu-Hao 46 D",423,IF(OR(Atletas!P553="Taijiquan 16 D",Atletas!P553="Taijiquan 24 D",Atletas!P553="Taijiquan 32 D",Atletas!P553="Taijiquan 42 D"),424,IF(OR(Atletas!P553="Yang 26 E",Atletas!P553="Yang 40 E"),425,IF(OR(Atletas!P553="Chen 25 E",Atletas!P553="Chen 36 E",Atletas!P553="Chen 56 E"),426,IF(Atletas!P553="Sun 73 E",427,IF(Atletas!P553="Wu 45 E",428,IF(Atletas!P553="Wu-Hao 46 E",429,IF(OR(Atletas!P553="Taijiquan 16 E",Atletas!P553="Taijiquan 24 E",Atletas!P553="Taijiquan 32 E",Atletas!P553="Taijiquan 42 E"),430,IF(OR(Atletas!P553="Yang 26 F",Atletas!P553="Yang 40 F"),431,IF(OR(Atletas!P553="Chen 25 F",Atletas!P553="Chen 36 F",Atletas!P553="Chen 56 F"),432,IF(Atletas!P553="Sun 73 F",433,IF(Atletas!P553="Wu 45 F",434,IF(Atletas!P553="Wu-Hao 46 F",435,IF(OR(Atletas!P553="Taijiquan 16 F",Atletas!P553="Taijiquan 24 F",Atletas!P553="Taijiquan 32 F",Atletas!P553="Taijiquan 42 F"),436,0)))))))))))))))))))</f>
        <v/>
      </c>
      <c r="BY562" s="50" t="str">
        <f>IF(Atletas!Q553="","",IF(Atletas!X553&lt;&gt;"",10000,0)+IF(Atletas!B553="Feminino",1000,IF(Atletas!B553="Masculino",2000,""))+IF(Atletas!Q553="Xingyiquan A",501,IF(Atletas!Q553="Baguazhang A",502,IF(Atletas!Q553="Outro Estilo Interno A",503,IF(Atletas!Q553="Xingyiquan B",504,IF(Atletas!Q553="Baguazhang B",505,IF(Atletas!Q553="Outro Estilo Interno B",506,IF(Atletas!Q553="Xingyiquan C",507,IF(Atletas!Q553="Baguazhang C",508,IF(Atletas!Q553="Outro Estilo Interno C",509,IF(Atletas!Q553="Xingyiquan D",510,IF(Atletas!Q553="Baguazhang D",511,IF(Atletas!Q553="Outro Estilo Interno D",512,IF(Atletas!Q553="Xingyiquan E",513,IF(Atletas!Q553="Baguazhang E",514,IF(Atletas!Q553="Outro Estilo Interno E",515,IF(Atletas!Q553="Xingyiquan F",516,IF(Atletas!Q553="Baguazhang F",517,IF(Atletas!Q553="Outro Estilo Interno F",518, "")))))))))))))))))))</f>
        <v/>
      </c>
      <c r="BZ562" s="50" t="str">
        <f>IF(Atletas!R553="","",IF(Atletas!X553&lt;&gt;"",10000,0)+IF(Atletas!B553="Feminino",1000,IF(Atletas!B553="Masculino",2000,""))+IF(Atletas!R553="Dao A",601,IF(Atletas!R553="Jian A",602,IF(Atletas!R553="Bishou A",603,IF(Atletas!R553="Shanzi A",604,IF(Atletas!R553="Outra Arma Curta A",605,IF(Atletas!R553="Dao B",606,IF(Atletas!R553="Jian B",607,IF(Atletas!R553="Bishou B",608,IF(Atletas!R553="Shanzi B",609,IF(Atletas!R553="Outra Arma Curta B",610,IF(Atletas!R553="Dao C",611,IF(Atletas!R553="Jian C",612,IF(Atletas!R553="Bishou C",613,IF(Atletas!R553="Shanzi C",614,IF(Atletas!R553="Outra Arma Curta C",615,IF(Atletas!R553="Dao D",616,IF(Atletas!R553="Jian D",617,IF(Atletas!R553="Bishou D",618,IF(Atletas!R553="Shanzi D",619,IF(Atletas!R553="Outra Arma Curta D",620,IF(Atletas!R553="Dao E",621,IF(Atletas!R553="Jian E",622,IF(Atletas!R553="Bishou E",623,IF(Atletas!R553="Shanzi E",624,IF(Atletas!R553="Outra Arma Curta E",625,IF(Atletas!R553="Dao F",626,IF(Atletas!R553="Jian F",627,IF(Atletas!R553="Bishou F",628,IF(Atletas!R553="Shanzi F",629,IF(Atletas!R553="Outra Arma Curta F",630, "")))))))))))))))))))))))))))))))</f>
        <v/>
      </c>
      <c r="CA562" s="50" t="str">
        <f>IF(Atletas!S553="","",IF(Atletas!X553&lt;&gt;"",10000,0)+IF(Atletas!B553="Feminino",1000,IF(Atletas!B553="Masculino",2000,""))+IF(Atletas!S553="Gun A",701,IF(Atletas!S553="Qiang A",702,IF(Atletas!S553="Pudao / Guandao A",703,IF(Atletas!S553="Outra Arma Longa A",704,IF(Atletas!S553="Gun B",705,IF(Atletas!S553="Qiang B",706,IF(Atletas!S553="Pudao / Guandao B",707,IF(Atletas!S553="Outra Arma Longa B",708,IF(Atletas!S553="Gun C",709,IF(Atletas!S553="Qiang C",710,IF(Atletas!S553="Pudao / Guandao C",711,IF(Atletas!S553="Outra Arma Longa C",712,IF(Atletas!S553="Gun D",713,IF(Atletas!S553="Qiang D",714,IF(Atletas!S553="Pudao / Guandao D",715,IF(Atletas!S553="Outra Arma Longa D",716,IF(Atletas!S553="Gun E",717,IF(Atletas!S553="Qiang E",718,IF(Atletas!S553="Pudao / Guandao E",719,IF(Atletas!S553="Outra Arma Longa E",720,IF(Atletas!S553="Gun F",721,IF(Atletas!S553="Qiang F",722,IF(Atletas!S553="Pudao / Guandao F",723,IF(Atletas!S553="Outra Arma Longa F",724,"")))))))))))))))))))))))))</f>
        <v/>
      </c>
      <c r="CB562" s="50" t="str">
        <f>IF(Atletas!T553="","",IF(Atletas!X553&lt;&gt;"",10000,0)+IF(Atletas!B553="Feminino",1000,IF(Atletas!B553="Masculino",2000,""))+IF(Atletas!T553="Outra Arma Dupla A",801,IF(Atletas!T553="Arma Maleável A",802,IF(Atletas!T553="Outra Arma Dupla B",803,IF(Atletas!T553="Arma Maleável B",804,IF(Atletas!T553="Outra Arma Dupla C",805,IF(Atletas!T553="Arma Maleável C",806,IF(Atletas!T553="Outra Arma Dupla D",807,IF(Atletas!T553="Arma Maleável D",808,IF(Atletas!T553="Outra Arma Dupla E",809,IF(Atletas!T553="Arma Maleável E",810,IF(Atletas!T553="Outra Arma Dupla F",811,IF(Atletas!T553="Arma Maleável F",812,IF(Atletas!T553="Shuangdao A",813,IF(Atletas!T553="Shuangdao B",814,IF(Atletas!T553="Shuangdao C",815,IF(Atletas!T553="Shuangdao D",816,IF(Atletas!T553="Shuangdao E",817,IF(Atletas!T553="Shuangdao F",818,"")))))))))))))))))))</f>
        <v/>
      </c>
      <c r="CC562" s="50" t="str">
        <f>IF(Atletas!U553="","",IF(Atletas!X553&lt;&gt;"",10000,0)+IF(Atletas!B553="Feminino",1000,IF(Atletas!B553="Masculino",2000,""))+IF(OR(Atletas!U553="Taijijian Yang A",Atletas!U553="Taijijian Yang Standard A"),901,IF(OR(Atletas!U553="Taijijian Chen A", Atletas!U553="Taijijian Chen Standard A"),902,IF(Atletas!U553="Taijijian Sun A",903,IF(Atletas!U553="Taijijian Wu A",904,IF(Atletas!U553="Taijijian Wu-Hao A",905,IF(OR(Atletas!U553="Taijijian 32 A",Atletas!U553="Taijijian 42 A"),906,IF(OR(Atletas!U553="Taijijian Yang B",Atletas!U553="Taijijian Yang Standard B"),907,IF(OR(Atletas!U553="Taijijian Chen B", Atletas!U553="Taijijian Chen Standard B"),908,IF(Atletas!U553="Taijijian Sun B",909,IF(Atletas!U553="Taijijian Wu B",910,IF(Atletas!U553="Taijijian Wu-Hao B",911,IF(OR(Atletas!U553="Taijijian 32 B",Atletas!U553="Taijijian 42 B"),912,IF(OR(Atletas!U553="Taijijian Yang C",Atletas!U553="Taijijian Yang Standard C"),913,IF(OR(Atletas!U553="Taijijian Chen C", Atletas!U553="Taijijian Chen Standard C"),914,IF(Atletas!U553="Taijijian Sun C",915,IF(Atletas!U553="Taijijian Wu C",916,IF(Atletas!U553="Taijijian Wu-Hao C",917,IF(OR(Atletas!U553="Taijijian 32 C",Atletas!U553="Taijijian 42 C"),918,IF(OR(Atletas!U553="Taijijian Yang D",Atletas!U553="Taijijian Yang Standard D"),919,IF(OR(Atletas!U553="Taijijian Chen D", Atletas!U553="Taijijian Chen Standard D"),920,IF(Atletas!U553="Taijijian Sun D",921,IF(Atletas!U553="Taijijian Wu D",922,IF(Atletas!U553="Taijijian Wu-Hao D",923,IF(OR(Atletas!U553="Taijijian 32 D",Atletas!U553="Taijijian 42 D"),924,IF(OR(Atletas!U553="Taijijian Yang E",Atletas!U553="Taijijian Yang Standard E"),925,IF(OR(Atletas!U553="Taijijian Chen E", Atletas!U553="Taijijian Chen Standard E"),926,IF(Atletas!U553="Taijijian Sun E",927,IF(Atletas!U553="Taijijian Wu E",928,IF(Atletas!U553="Taijijian Wu-Hao E",929,IF(OR(Atletas!U553="Taijijian 32 E",Atletas!U553="Taijijian 42 E"),930,IF(OR(Atletas!U553="Taijijian Yang F",Atletas!U553="Taijijian Yang Standard F"),931,IF(OR(Atletas!U553="Taijijian Chen F", Atletas!U553="Taijijian Chen Standard F"),932,IF(Atletas!U553="Taijijian Sun F",933,IF(Atletas!U553="Taijijian Wu F",934,IF(Atletas!U553="Taijijian Wu-Hao F",935,IF(OR(Atletas!U553="Taijijian 32 F",Atletas!U553="Taijijian 42 F"),936,"")))))))))))))))))))))))))))))))))))))</f>
        <v/>
      </c>
      <c r="CD562" s="50" t="str">
        <f>IF(Atletas!V553="","",IF(Atletas!X553&lt;&gt;"",10000,0)+IF(Atletas!B553="Feminino",1000,IF(Atletas!B553="Masculino",2000,""))+IF(Atletas!V553="Taijidao A",937,IF(Atletas!V553="TaijiShanzi A",938,IF(Atletas!V553="Taijiqiang A",939,IF(Atletas!V553="Bagua de Arma A",940,IF(Atletas!V553="Xingyi de Arma A",941,IF(Atletas!V553="Taijidao B",942,IF(Atletas!V553="TaijiShanzi B",943,IF(Atletas!V553="Taijiqiang B",944,IF(Atletas!V553="Bagua de Arma B",945,IF(Atletas!V553="Xingyi de Arma B",946,IF(Atletas!V553="Taijidao C",947,IF(Atletas!V553="TaijiShanzi C",948,IF(Atletas!V553="Taijiqiang C",949,IF(Atletas!V553="Bagua de Arma C",950,IF(Atletas!V553="Xingyi de Arma C",951,IF(Atletas!V553="Taijidao D",952,IF(Atletas!V553="TaijiShanzi D",953,IF(Atletas!V553="Taijiqiang D",954,IF(Atletas!V553="Bagua de Arma D",955,IF(Atletas!V553="Xingyi de Arma D",956,IF(Atletas!V553="Taijidao E",957,IF(Atletas!V553="TaijiShanzi E",958,IF(Atletas!V553="Taijiqiang E",959,IF(Atletas!V553="Bagua de Arma E",960,IF(Atletas!V553="Xingyi de Arma E",961,IF(Atletas!V553="Taijidao F",962,IF(Atletas!V553="TaijiShanzi F",963,IF(Atletas!V553="Taijiqiang F",964,IF(Atletas!V553="Bagua de Arma F",965,IF(Atletas!V553="Xingyi de Arma F",966,"")))))))))))))))))))))))))))))))</f>
        <v/>
      </c>
      <c r="CM562" s="50" t="str">
        <f xml:space="preserve"> IF(Atletas!W553="","",IF(Atletas!W553="Duilian de Mãos BC - Equipe 1",1,IF(Atletas!W553="Duilian de Mãos BC - Equipe 2",2,IF(Atletas!W553="Duilian de Armas BC - Equipe 1",3,IF(Atletas!W553="Duilian de Armas BC - Equipe 2",4,IF(Atletas!W553="Duilian de Mãos DE - Equipe 1",5,IF(Atletas!W553="Duilian de Mãos DE - Equipe 2",6,IF(Atletas!W553="Duilian de Armas DE - Equipe 1",7,IF(Atletas!W553="Duilian de Armas DE - Equipe 2",8,IF(Atletas!W553="Duilian de Tuishou - Equipe 1",9,IF(Atletas!W553="Duilian de Tuishou - Equipe 2",10,IF(Atletas!W553="Grupo Externo ABC - Equipe 1",11,IF(Atletas!W553="Grupo Externo ABC - Equipe 2",12,IF(Atletas!W553="Grupo Interno ABC - Equipe 1",13,IF(Atletas!W553="Grupo Interno ABC - Equipe 2",14,IF(Atletas!W553="Grupo Externo DEF - Equipe 1",15,IF(Atletas!W553="Grupo Externo DEF - Equipe 2",16,IF(Atletas!W553="Grupo Interno DEF - Equipe 1",17,IF(Atletas!W553="Grupo Interno DEF - Equipe 2",18,"")))))))))))))))))))</f>
        <v/>
      </c>
    </row>
    <row r="563" spans="40:91">
      <c r="AN563" s="52" t="str">
        <f>IF(Atletas!D554="","",IF(Atletas!B554="Feminino",100,IF(Atletas!B554="Masculino",200,""))+(IF(Atletas!D554="Kids 30kg",1,IF(Atletas!D554="Kids 32kg",2, IF(Atletas!D554="Kids 34kg",3,IF(Atletas!D554="Kids 36kg",4,IF(Atletas!D554="Kids 39kg",5,IF(Atletas!D554="Kids 42kg",6,IF(Atletas!D554="Kids 45kg",7, IF(Atletas!D554="Infantil 39kg",8,IF(Atletas!D554="Infantil 42kg",9,IF(Atletas!D554="Infantil 45kg",10,IF(Atletas!D554="Infantil 48kg",11,IF(Atletas!D554="Infantil 52kg",12,IF(Atletas!D554="Infantil 56kg",13,IF(Atletas!D554="Infantil 60kg",14,IF(Atletas!D554="Juvenil 48kg",15,IF(Atletas!D554="Juvenil 52kg",16,IF(Atletas!D554="Juvenil 56kg",17,IF(Atletas!D554="Juvenil 60kg",18,IF(Atletas!D554="Juvenil 65kg",19,IF(Atletas!D554="Juvenil 70kg",20,IF(Atletas!D554="Juvenil 75kg",21,IF(Atletas!D554="Juvenil 80kg",22, IF(Atletas!D554="Juvenil 85kg",23,IF(Atletas!D554="Adulto 48kg",24,IF(Atletas!D554="Adulto 52kg",25,IF(Atletas!D554="Adulto 56kg",26,IF(Atletas!D554="Adulto 60kg",27,IF(Atletas!D554="Adulto 65kg",28,IF(Atletas!D554="Adulto 70kg",29,IF(Atletas!D554="Adulto 75kg",30,IF(Atletas!D554="Adulto 80kg",31,IF(Atletas!D554="Adulto 85kg",32,IF(Atletas!D554="Adulto 90kg",33,IF(Atletas!D554="Adulto 100kg",34, IF(Atletas!D554="Adulto +100kg",35,"")))))))))))))))))))))))))))))))))))))</f>
        <v/>
      </c>
      <c r="AS563" s="6" t="str">
        <f>IF(Atletas!E554="","",IF(Atletas!B554="Feminino",100,IF(Atletas!B554="Masculino",200,""))+(IF(Atletas!E554="Juvenil 44kg",1,IF(Atletas!E554="Juvenil 48kg",2,IF(Atletas!E554="Juvenil 52kg",3,IF(Atletas!E554="Juvenil 56kg",4,IF(Atletas!E554="Juvenil 60kg",5,IF(Atletas!E554="Juvenil 65kg",6,IF(Atletas!E554="Juvenil 70kg",7,IF(Atletas!E554="Juvenil 75kg",8,IF(Atletas!E554="Juvenil 82kg",9,IF(Atletas!E554="Juvenil 90kg",10,IF(Atletas!E554="Juvenil 100kg",11,IF(Atletas!E554="Adulto 48kg",12,IF(Atletas!E554="Adulto 52kg",13,IF(Atletas!E554="Adulto 56kg",14,IF(Atletas!E554="Adulto 60kg",15,IF(Atletas!E554="Adulto 65kg",16,IF(Atletas!E554="Adulto 70kg",17,IF(Atletas!E554="Adulto 75kg",18,IF(Atletas!E554="Adulto 82kg",19,IF(Atletas!E554="Adulto 90kg",20,IF(Atletas!E554="Adulto 100kg",21,IF(Atletas!E554="Adulto +100kg",22,""))))))))))))))))))))))))</f>
        <v/>
      </c>
      <c r="AX563" s="6" t="str">
        <f>IF(Atletas!F554="","",IF(Atletas!B554="Feminino",100,IF(Atletas!B554="Masculino",200,""))+(IF(Atletas!F554="Adulto 48kg",1,IF(Atletas!F554="Adulto 56kg",2,IF(Atletas!F554="Adulto 65kg",3,IF(Atletas!F554="Adulto 75kg",4,IF(Atletas!F554="Adulto +75kg",5,IF(Atletas!F554="Adulto 52kg",6,IF(Atletas!F554="Adulto 60kg",7,IF(Atletas!F554="Adulto 70kg",8,IF(Atletas!F554="Adulto 80kg",9,IF(Atletas!F554="Adulto 90kg",10,IF(Atletas!F554="Adulto +90kg",11,"")))))))))))))</f>
        <v/>
      </c>
      <c r="BC563" s="6" t="str">
        <f>IF(Atletas!G554="","",IF(Atletas!B554="Feminino",10,IF(Atletas!B554="Masculino",20,""))+(IF(Atletas!G554="Baduanjin A",1,IF(Atletas!G554="Baduanjin B",2))))</f>
        <v/>
      </c>
      <c r="BF563" s="52" t="str">
        <f>IF(Atletas!H554="","",IF(Atletas!B554="Feminino",100,IF(Atletas!B554="Masculino",200,""))+(IF(Atletas!H554="Changquan Mirim",1,IF(Atletas!H554="Nanquan Mirim",2,IF(Atletas!H554="Taijiquan Mirim",3,IF(Atletas!H554="Changquan Grupo C",4,IF(Atletas!H554="Nanquan Grupo C",5,IF(Atletas!H554="Taijiquan Grupo C",6,IF(Atletas!H554="Changquan Grupo B",7,IF(Atletas!H554="Nanquan Grupo B",8,IF(Atletas!H554="Taijiquan Grupo B",9,IF(Atletas!H554="Changquan Grupo A",10,IF(Atletas!H554="Nanquan Grupo A",11,IF(Atletas!H554="Taijiquan Grupo A",12,IF(Atletas!H554="Changquan Opcional",13,IF(Atletas!H554="Nanquan Opcional",14,IF(Atletas!H554="Taijiquan Opcional",15,IF(Atletas!H554="Changquan Adulto",16,IF(Atletas!H554="Nanquan Adulto",17,IF(Atletas!H554="Taijiquan Adulto",18,""))))))))))))))))))))</f>
        <v/>
      </c>
      <c r="BG563" s="52" t="str">
        <f>IF(Atletas!I554="","",IF(Atletas!B554="Feminino",100,IF(Atletas!B554="Masculino",200,""))+(IF(Atletas!I554="Daoshu Mirim",19,IF(Atletas!I554="Jianshu Mirim",20,IF(Atletas!I554="Nandao Mirim",21,IF(Atletas!I554="Taijijian Mirim",22,IF(Atletas!I554="Daoshu Grupo C",23,IF(Atletas!I554="Jianshu Grupo C",24,IF(Atletas!I554="Nandao Grupo C",25,IF(Atletas!I554="Taijijian Grupo C",26,IF(Atletas!I554="Daoshu Grupo B",27,IF(Atletas!I554="Jianshu Grupo B",28,IF(Atletas!I554="Nandao Grupo B",29,IF(Atletas!I554="Taijijian Grupo B",30,IF(Atletas!I554="Daoshu Grupo A",31,IF(Atletas!I554="Jianshu Grupo A",32,IF(Atletas!I554="Nandao Grupo A",33,IF(Atletas!I554="Taijijian Grupo A",34,IF(Atletas!I554="Daoshu Opcional",35,IF(Atletas!I554="Jianshu Opcional",36,IF(Atletas!I554="Nandao Opcional",37,IF(Atletas!I554="Taijijian Opcional",38,IF(Atletas!I554="Daoshu Adulto",39,IF(Atletas!I554="Jianshu Adulto",40,IF(Atletas!I554="Nandao Adulto",41,IF(Atletas!I554="Taijijian Adulto",42,""))))))))))))))))))))))))))</f>
        <v/>
      </c>
      <c r="BH563" s="52" t="str">
        <f>IF(Atletas!J554="","",IF(Atletas!B554="Feminino",100,IF(Atletas!B554="Masculino",200,""))+(IF(Atletas!J554="Gunshu Mirim",43,IF(Atletas!J554="Qiangshu Mirim",44,IF(Atletas!J554="Nangun Mirim",45,IF(Atletas!J554="Gunshu Grupo C",46,IF(Atletas!J554="Qiangshu Grupo C",47,IF(Atletas!J554="Nangun Grupo C",48,IF(Atletas!J554="Gunshu Grupo B",49,IF(Atletas!J554="Qiangshu Grupo B",50,IF(Atletas!J554="Nangun Grupo B",51,IF(Atletas!J554="Gunshu Grupo A",52,IF(Atletas!J554="Qiangshu Grupo A",53,IF(Atletas!J554="Nangun Grupo A",54,IF(Atletas!J554="Gunshu Opcional",55,IF(Atletas!J554="Qiangshu Opcional",56,IF(Atletas!J554="Nangun Opcional",57,IF(Atletas!J554="Gunshu Adulto",58,IF(Atletas!J554="Qiangshu Adulto",59,IF(Atletas!J554="Nangun Adulto",60,IF(Atletas!J554="Taijishan Grupo B",61,IF(Atletas!J554="Taijishan Grupo A",62,""))))))))))))))))))))))</f>
        <v/>
      </c>
      <c r="BM563" s="50" t="str">
        <f>IF(Atletas!K554="","",IF(Atletas!B554="Feminino",100,IF(Atletas!B554="Masculino",200,""))+(IF(Atletas!K554="Equipe 1 Grupo B",1,IF(Atletas!K554="Equipe 2 Grupo B",2,IF(Atletas!K554="Equipe 1 Grupo A",3,IF(Atletas!K554="Equipe 2 Grupo A",4,IF(Atletas!K554="Equipe 1 Adulto",5,IF(Atletas!K554="Equipe 2 Adulto",6,""))))))))</f>
        <v/>
      </c>
      <c r="BR563" s="50" t="str">
        <f>IF(Atletas!L554="","",IF(Atletas!X554&lt;&gt;"",10000,0)+(IF(Atletas!B554="Feminino",1000,IF(Atletas!B554="Masculino",2000,""))+IF(Atletas!L554="Choylayfut A",1,IF(Atletas!L554="Hunggar A",2,IF(Atletas!L554="Wuzuquan A",3,IF(Atletas!L554="Wingchun A",4,IF(Atletas!L554="Outra Mão de Sul A",5,IF(Atletas!L554="Choylayfut B",6,IF(Atletas!L554="Hunggar B",7,IF(Atletas!L554="Wuzuquan B",8,IF(Atletas!L554="Wingchun B",9,IF(Atletas!L554="Outra Mão de Sul B",10,IF(Atletas!L554="Choylayfut C",11,IF(Atletas!L554="Hunggar C",12,IF(Atletas!L554="Wuzuquan C",13,IF(Atletas!L554="Wingchun C",14,IF(Atletas!L554="Outra Mão de Sul C",15,IF(Atletas!L554="Choylayfut D",16,IF(Atletas!L554="Hunggar D",17,IF(Atletas!L554="Wuzuquan D",18,IF(Atletas!L554="Wingchun D",19,IF(Atletas!L554="Outra Mão de Sul D",20,IF(Atletas!L554="Choylayfut E",21,IF(Atletas!L554="Hunggar E",22,IF(Atletas!L554="Wuzuquan E",23,IF(Atletas!L554="Wingchun E",24,IF(Atletas!L554="Outra Mão de Sul E",25,IF(Atletas!L554="Choylayfut F",26,IF(Atletas!L554="Hunggar F",27,IF(Atletas!L554="Wuzuquan F",28,IF(Atletas!L554="Wingchun F",29,IF(Atletas!L554="Outra Mão de Sul F",30,IF(Atletas!L554="Dishuquan A",31,IF(Atletas!L554="Dishuquan B",32,IF(Atletas!L554="Dishuquan C",33,IF(Atletas!L554="Dishuquan D",34,IF(Atletas!L554="Dishuquan E",35,IF(Atletas!L554="Dishuquan F",36,""))))))))))))))))))))))))))))))))))))))</f>
        <v/>
      </c>
      <c r="BS563" s="50" t="str">
        <f>IF(Atletas!M554="","",IF(Atletas!X554&lt;&gt;"",10000,0)+(IF(Atletas!B554="Feminino",1000,IF(Atletas!B554="Masculino",2000,""))+(IF(Atletas!M554="Chaquan A",101,IF(Atletas!M554="Emeiquan A",102,IF(Atletas!M554="Fanziquan A",103,IF(Atletas!M554="Huaquan A",104,IF(Atletas!M554="Hongquan A",105,IF(Atletas!M554="Paoquan A",106,IF(Atletas!M554="Piguaquan A",107,IF(Atletas!M554="Shaolinquan A",108,IF(Atletas!M554="Tanglangquan A",109,IF(Atletas!M554="Yingzhaoquan A",110,IF(Atletas!M554="Tongbeiquan A",111,IF(Atletas!M554="Wudangquan A",112,IF(Atletas!M554="Outros Estilos A",113,IF(Atletas!M554="Chaquan B",114,IF(Atletas!M554="Emeiquan B",115,IF(Atletas!M554="Fanziquan B",116,IF(Atletas!M554="Huaquan B",117,IF(Atletas!M554="Hongquan B",118,IF(Atletas!M554="Paoquan B",119,IF(Atletas!M554="Piguaquan B",120,IF(Atletas!M554="Shaolinquan B",121,IF(Atletas!M554="Tanglangquan B",122,IF(Atletas!M554="Yingzhaoquan B",123,IF(Atletas!M554="Tongbeiquan B",124,IF(Atletas!M554="Wudangquan B",125,IF(Atletas!M554="Outros Estilos B",126,IF(Atletas!M554="Chaquan C",127,IF(Atletas!M554="Emeiquan C",128,IF(Atletas!M554="Fanziquan C",129,IF(Atletas!M554="Huaquan C",130,IF(Atletas!M554="Hongquan C",131,IF(Atletas!M554="Paoquan C",132,IF(Atletas!M554="Piguaquan C",133,IF(Atletas!M554="Shaolinquan C",134,IF(Atletas!M554="Tanglangquan C",135,IF(Atletas!M554="Yingzhaoquan C",136,IF(Atletas!M554="Tongbeiquan C",137,IF(Atletas!M554="Wudangquan C",138,IF(Atletas!M554="Outros Estilos C",139,0))))))))))))))))))))))))))))))))))))))))))</f>
        <v/>
      </c>
      <c r="BT563" s="50" t="str">
        <f>IF(Atletas!M554="","",IF(Atletas!X554&lt;&gt;"",10000,0)+(IF(Atletas!B554="Feminino",1000,IF(Atletas!B554="Masculino",2000,""))+(IF(Atletas!M554="Chaquan D",140,IF(Atletas!M554="Emeiquan D",141,IF(Atletas!M554="Fanziquan D",142,IF(Atletas!M554="Huaquan D",143,IF(Atletas!M554="Hongquan D",144,IF(Atletas!M554="Paoquan D",145,IF(Atletas!M554="Piguaquan D",146,IF(Atletas!M554="Shaolinquan D",147,IF(Atletas!M554="Tanglangquan D",148,IF(Atletas!M554="Yingzhaoquan D",149,IF(Atletas!M554="Tongbeiquan D",150,IF(Atletas!M554="Wudangquan D",151,IF(Atletas!M554="Outros Estilos D",152,IF(Atletas!M554="Chaquan E",153,IF(Atletas!M554="Emeiquan E",154,IF(Atletas!M554="Fanziquan E",155,IF(Atletas!M554="Huaquan E",156,IF(Atletas!M554="Hongquan E",157,IF(Atletas!M554="Paoquan E",158,IF(Atletas!M554="Piguaquan E",159,IF(Atletas!M554="Shaolinquan E",160,IF(Atletas!M554="Tanglangquan E",161,IF(Atletas!M554="Yingzhaoquan E",162,IF(Atletas!M554="Tongbeiquan E",163,IF(Atletas!M554="Wudangquan E",164,IF(Atletas!M554="Outros Estilos E",165,IF(Atletas!M554="Chaquan F",166,IF(Atletas!M554="Emeiquan F",167,IF(Atletas!M554="Fanziquan F",168,IF(Atletas!M554="Huaquan F",169,IF(Atletas!M554="Hongquan F",170,IF(Atletas!M554="Paoquan F",171,IF(Atletas!M554="Piguaquan F",172,IF(Atletas!M554="Shaolinquan F",173,IF(Atletas!M554="Tanglangquan F",174,IF(Atletas!M554="Yingzhaoquan F",175,IF(Atletas!M554="Tongbeiquan F",176,IF(Atletas!M554="Wudangquan F",177,IF(Atletas!M554="Outros Estilos F",178,0))))))))))))))))))))))))))))))))))))))))))</f>
        <v/>
      </c>
      <c r="BU563" s="50" t="str">
        <f>IF(Atletas!N554="","",IF(Atletas!X554&lt;&gt;"",10000,0)+(IF(Atletas!B554="Feminino",1000,IF(Atletas!B554="Masculino",2000,""))+(IF(Atletas!N554="Ditangquan A",201,IF(Atletas!N554="Houquan A",202,IF(Atletas!N554="Zuiquan A",203,IF(Atletas!N554="Ditangquan B",204,IF(Atletas!N554="Houquan B",205,IF(Atletas!N554="Zuiquan B",206,IF(Atletas!N554="Ditangquan C",207,IF(Atletas!N554="Houquan C",208,IF(Atletas!N554="Zuiquan C",209,IF(Atletas!N554="Ditangquan D",210,IF(Atletas!N554="Houquan D",211,IF(Atletas!N554="Zuiquan D",212,IF(Atletas!N554="Ditangquan E",213,IF(Atletas!N554="Houquan E",214,IF(Atletas!N554="Zuiquan E",215,IF(Atletas!N554="Ditangquan F",216,IF(Atletas!N554="Houquan F",217,IF(Atletas!N554="Zuiquan F",218,"")))))))))))))))))))))</f>
        <v/>
      </c>
      <c r="BV563" s="50" t="str">
        <f>IF(Atletas!O554="","",IF(Atletas!X554&lt;&gt;"",10000,0)+IF(Atletas!B554="Feminino",1000,IF(Atletas!B554="Masculino",2000,""))+IF(Atletas!O554="Yang A",301,IF(Atletas!O554="Chen A",302,IF(Atletas!O554="Sun A",303,IF(Atletas!O554="Wu A",304,IF(Atletas!O554="Wu-Hao A",305,IF(Atletas!O554="Outro Taijiquan A",306,IF(Atletas!O554="Yang B",307,IF(Atletas!O554="Chen B",308,IF(Atletas!O554="Sun B",309,IF(Atletas!O554="Wu B",310,IF(Atletas!O554="Wu-Hao B",311,IF(Atletas!O554="Outro Taijiquan B",312,IF(Atletas!O554="Yang C",313,IF(Atletas!O554="Chen C",314,IF(Atletas!O554="Sun C",315,IF(Atletas!O554="Wu C",316,IF(Atletas!O554="Wu-Hao C",317,IF(Atletas!O554="Outro Taijiquan C",318,IF(Atletas!O554="Yang D",319,IF(Atletas!O554="Chen D",320,IF(Atletas!O554="Sun D",321,IF(Atletas!O554="Wu D",322,IF(Atletas!O554="Wu-Hao D",323,IF(Atletas!O554="Outro Taijiquan D",324,IF(Atletas!O554="Yang E",325,IF(Atletas!O554="Chen E",326,IF(Atletas!O554="Sun E",327,IF(Atletas!O554="Wu E",328,IF(Atletas!O554="Wu-Hao E",329,IF(Atletas!O554="Outro Taijiquan E",330,IF(Atletas!O554="Yang F",331,IF(Atletas!O554="Chen F",332,IF(Atletas!O554="Sun F",333,IF(Atletas!O554="Wu F",334,IF(Atletas!O554="Wu-Hao F",335,IF(Atletas!O554="Outro Taijiquan F",336,"")))))))))))))))))))))))))))))))))))))</f>
        <v/>
      </c>
      <c r="BW563" s="50" t="str">
        <f>IF(Atletas!P554="","",IF(Atletas!X554&lt;&gt;"",10000,0)+IF(Atletas!B554="Feminino",1000,IF(Atletas!B554="Masculino",2000,""))+IF(OR(Atletas!P554="Yang 26 A",Atletas!P554="Yang 40 A"),401,IF(OR(Atletas!P554="Chen 25 A",Atletas!P554="Chen 36 A",Atletas!P554="Chen 56 A"),402,IF(Atletas!P554="Sun 73 A",403,IF(Atletas!P554="Wu 45 A",404,IF(Atletas!P554="Wu-Hao 46 A",405,IF(OR(Atletas!P554="Taijiquan 16 A",Atletas!P554="Taijiquan 24 A",Atletas!P554="Taijiquan 32 A",Atletas!P554="Taijiquan 42 A"),406,IF(OR(Atletas!P554="Yang 26 B",Atletas!P554="Yang 40 B"),407,IF(OR(Atletas!P554="Chen 25 B",Atletas!P554="Chen 36 B",Atletas!P554="Chen 56 B"),408,IF(Atletas!P554="Sun 73 B",409,IF(Atletas!P554="Wu 45 B",410,IF(Atletas!P554="Wu-Hao 46 B",411,IF(OR(Atletas!P554="Taijiquan 16 B",Atletas!P554="Taijiquan 24 B",Atletas!P554="Taijiquan 32 B",Atletas!P554="Taijiquan 42 B"),412,IF(OR(Atletas!P554="Yang 26 C",Atletas!P554="Yang 40 C"),413,IF(OR(Atletas!P554="Chen 25 C",Atletas!P554="Chen 36 C",Atletas!P554="Chen 56 C"),414,IF(Atletas!P554="Sun 73 C",415,IF(Atletas!P554="Wu 45 C",416,IF(Atletas!P554="Wu-Hao 46 C",417,IF(OR(Atletas!P554="Taijiquan 16 C",Atletas!P554="Taijiquan 24 C",Atletas!P554="Taijiquan 32 C",Atletas!P554="Taijiquan 42 C"),418,0)))))))))))))))))))</f>
        <v/>
      </c>
      <c r="BX563" s="50" t="str">
        <f>IF(Atletas!P554="","",IF(Atletas!X554&lt;&gt;"",10000,0)+IF(Atletas!B554="Feminino",1000,IF(Atletas!B554="Masculino",2000,""))+IF(OR(Atletas!P554="Yang 26 D",Atletas!P554="Yang 40 D"),419,IF(OR(Atletas!P554="Chen 25 D",Atletas!P554="Chen 36 D",Atletas!P554="Chen 56 D"),420,IF(Atletas!P554="Sun 73 D",421,IF(Atletas!P554="Wu 45 D",422,IF(Atletas!P554="Wu-Hao 46 D",423,IF(OR(Atletas!P554="Taijiquan 16 D",Atletas!P554="Taijiquan 24 D",Atletas!P554="Taijiquan 32 D",Atletas!P554="Taijiquan 42 D"),424,IF(OR(Atletas!P554="Yang 26 E",Atletas!P554="Yang 40 E"),425,IF(OR(Atletas!P554="Chen 25 E",Atletas!P554="Chen 36 E",Atletas!P554="Chen 56 E"),426,IF(Atletas!P554="Sun 73 E",427,IF(Atletas!P554="Wu 45 E",428,IF(Atletas!P554="Wu-Hao 46 E",429,IF(OR(Atletas!P554="Taijiquan 16 E",Atletas!P554="Taijiquan 24 E",Atletas!P554="Taijiquan 32 E",Atletas!P554="Taijiquan 42 E"),430,IF(OR(Atletas!P554="Yang 26 F",Atletas!P554="Yang 40 F"),431,IF(OR(Atletas!P554="Chen 25 F",Atletas!P554="Chen 36 F",Atletas!P554="Chen 56 F"),432,IF(Atletas!P554="Sun 73 F",433,IF(Atletas!P554="Wu 45 F",434,IF(Atletas!P554="Wu-Hao 46 F",435,IF(OR(Atletas!P554="Taijiquan 16 F",Atletas!P554="Taijiquan 24 F",Atletas!P554="Taijiquan 32 F",Atletas!P554="Taijiquan 42 F"),436,0)))))))))))))))))))</f>
        <v/>
      </c>
      <c r="BY563" s="50" t="str">
        <f>IF(Atletas!Q554="","",IF(Atletas!X554&lt;&gt;"",10000,0)+IF(Atletas!B554="Feminino",1000,IF(Atletas!B554="Masculino",2000,""))+IF(Atletas!Q554="Xingyiquan A",501,IF(Atletas!Q554="Baguazhang A",502,IF(Atletas!Q554="Outro Estilo Interno A",503,IF(Atletas!Q554="Xingyiquan B",504,IF(Atletas!Q554="Baguazhang B",505,IF(Atletas!Q554="Outro Estilo Interno B",506,IF(Atletas!Q554="Xingyiquan C",507,IF(Atletas!Q554="Baguazhang C",508,IF(Atletas!Q554="Outro Estilo Interno C",509,IF(Atletas!Q554="Xingyiquan D",510,IF(Atletas!Q554="Baguazhang D",511,IF(Atletas!Q554="Outro Estilo Interno D",512,IF(Atletas!Q554="Xingyiquan E",513,IF(Atletas!Q554="Baguazhang E",514,IF(Atletas!Q554="Outro Estilo Interno E",515,IF(Atletas!Q554="Xingyiquan F",516,IF(Atletas!Q554="Baguazhang F",517,IF(Atletas!Q554="Outro Estilo Interno F",518, "")))))))))))))))))))</f>
        <v/>
      </c>
      <c r="BZ563" s="50" t="str">
        <f>IF(Atletas!R554="","",IF(Atletas!X554&lt;&gt;"",10000,0)+IF(Atletas!B554="Feminino",1000,IF(Atletas!B554="Masculino",2000,""))+IF(Atletas!R554="Dao A",601,IF(Atletas!R554="Jian A",602,IF(Atletas!R554="Bishou A",603,IF(Atletas!R554="Shanzi A",604,IF(Atletas!R554="Outra Arma Curta A",605,IF(Atletas!R554="Dao B",606,IF(Atletas!R554="Jian B",607,IF(Atletas!R554="Bishou B",608,IF(Atletas!R554="Shanzi B",609,IF(Atletas!R554="Outra Arma Curta B",610,IF(Atletas!R554="Dao C",611,IF(Atletas!R554="Jian C",612,IF(Atletas!R554="Bishou C",613,IF(Atletas!R554="Shanzi C",614,IF(Atletas!R554="Outra Arma Curta C",615,IF(Atletas!R554="Dao D",616,IF(Atletas!R554="Jian D",617,IF(Atletas!R554="Bishou D",618,IF(Atletas!R554="Shanzi D",619,IF(Atletas!R554="Outra Arma Curta D",620,IF(Atletas!R554="Dao E",621,IF(Atletas!R554="Jian E",622,IF(Atletas!R554="Bishou E",623,IF(Atletas!R554="Shanzi E",624,IF(Atletas!R554="Outra Arma Curta E",625,IF(Atletas!R554="Dao F",626,IF(Atletas!R554="Jian F",627,IF(Atletas!R554="Bishou F",628,IF(Atletas!R554="Shanzi F",629,IF(Atletas!R554="Outra Arma Curta F",630, "")))))))))))))))))))))))))))))))</f>
        <v/>
      </c>
      <c r="CA563" s="50" t="str">
        <f>IF(Atletas!S554="","",IF(Atletas!X554&lt;&gt;"",10000,0)+IF(Atletas!B554="Feminino",1000,IF(Atletas!B554="Masculino",2000,""))+IF(Atletas!S554="Gun A",701,IF(Atletas!S554="Qiang A",702,IF(Atletas!S554="Pudao / Guandao A",703,IF(Atletas!S554="Outra Arma Longa A",704,IF(Atletas!S554="Gun B",705,IF(Atletas!S554="Qiang B",706,IF(Atletas!S554="Pudao / Guandao B",707,IF(Atletas!S554="Outra Arma Longa B",708,IF(Atletas!S554="Gun C",709,IF(Atletas!S554="Qiang C",710,IF(Atletas!S554="Pudao / Guandao C",711,IF(Atletas!S554="Outra Arma Longa C",712,IF(Atletas!S554="Gun D",713,IF(Atletas!S554="Qiang D",714,IF(Atletas!S554="Pudao / Guandao D",715,IF(Atletas!S554="Outra Arma Longa D",716,IF(Atletas!S554="Gun E",717,IF(Atletas!S554="Qiang E",718,IF(Atletas!S554="Pudao / Guandao E",719,IF(Atletas!S554="Outra Arma Longa E",720,IF(Atletas!S554="Gun F",721,IF(Atletas!S554="Qiang F",722,IF(Atletas!S554="Pudao / Guandao F",723,IF(Atletas!S554="Outra Arma Longa F",724,"")))))))))))))))))))))))))</f>
        <v/>
      </c>
      <c r="CB563" s="50" t="str">
        <f>IF(Atletas!T554="","",IF(Atletas!X554&lt;&gt;"",10000,0)+IF(Atletas!B554="Feminino",1000,IF(Atletas!B554="Masculino",2000,""))+IF(Atletas!T554="Outra Arma Dupla A",801,IF(Atletas!T554="Arma Maleável A",802,IF(Atletas!T554="Outra Arma Dupla B",803,IF(Atletas!T554="Arma Maleável B",804,IF(Atletas!T554="Outra Arma Dupla C",805,IF(Atletas!T554="Arma Maleável C",806,IF(Atletas!T554="Outra Arma Dupla D",807,IF(Atletas!T554="Arma Maleável D",808,IF(Atletas!T554="Outra Arma Dupla E",809,IF(Atletas!T554="Arma Maleável E",810,IF(Atletas!T554="Outra Arma Dupla F",811,IF(Atletas!T554="Arma Maleável F",812,IF(Atletas!T554="Shuangdao A",813,IF(Atletas!T554="Shuangdao B",814,IF(Atletas!T554="Shuangdao C",815,IF(Atletas!T554="Shuangdao D",816,IF(Atletas!T554="Shuangdao E",817,IF(Atletas!T554="Shuangdao F",818,"")))))))))))))))))))</f>
        <v/>
      </c>
      <c r="CC563" s="50" t="str">
        <f>IF(Atletas!U554="","",IF(Atletas!X554&lt;&gt;"",10000,0)+IF(Atletas!B554="Feminino",1000,IF(Atletas!B554="Masculino",2000,""))+IF(OR(Atletas!U554="Taijijian Yang A",Atletas!U554="Taijijian Yang Standard A"),901,IF(OR(Atletas!U554="Taijijian Chen A", Atletas!U554="Taijijian Chen Standard A"),902,IF(Atletas!U554="Taijijian Sun A",903,IF(Atletas!U554="Taijijian Wu A",904,IF(Atletas!U554="Taijijian Wu-Hao A",905,IF(OR(Atletas!U554="Taijijian 32 A",Atletas!U554="Taijijian 42 A"),906,IF(OR(Atletas!U554="Taijijian Yang B",Atletas!U554="Taijijian Yang Standard B"),907,IF(OR(Atletas!U554="Taijijian Chen B", Atletas!U554="Taijijian Chen Standard B"),908,IF(Atletas!U554="Taijijian Sun B",909,IF(Atletas!U554="Taijijian Wu B",910,IF(Atletas!U554="Taijijian Wu-Hao B",911,IF(OR(Atletas!U554="Taijijian 32 B",Atletas!U554="Taijijian 42 B"),912,IF(OR(Atletas!U554="Taijijian Yang C",Atletas!U554="Taijijian Yang Standard C"),913,IF(OR(Atletas!U554="Taijijian Chen C", Atletas!U554="Taijijian Chen Standard C"),914,IF(Atletas!U554="Taijijian Sun C",915,IF(Atletas!U554="Taijijian Wu C",916,IF(Atletas!U554="Taijijian Wu-Hao C",917,IF(OR(Atletas!U554="Taijijian 32 C",Atletas!U554="Taijijian 42 C"),918,IF(OR(Atletas!U554="Taijijian Yang D",Atletas!U554="Taijijian Yang Standard D"),919,IF(OR(Atletas!U554="Taijijian Chen D", Atletas!U554="Taijijian Chen Standard D"),920,IF(Atletas!U554="Taijijian Sun D",921,IF(Atletas!U554="Taijijian Wu D",922,IF(Atletas!U554="Taijijian Wu-Hao D",923,IF(OR(Atletas!U554="Taijijian 32 D",Atletas!U554="Taijijian 42 D"),924,IF(OR(Atletas!U554="Taijijian Yang E",Atletas!U554="Taijijian Yang Standard E"),925,IF(OR(Atletas!U554="Taijijian Chen E", Atletas!U554="Taijijian Chen Standard E"),926,IF(Atletas!U554="Taijijian Sun E",927,IF(Atletas!U554="Taijijian Wu E",928,IF(Atletas!U554="Taijijian Wu-Hao E",929,IF(OR(Atletas!U554="Taijijian 32 E",Atletas!U554="Taijijian 42 E"),930,IF(OR(Atletas!U554="Taijijian Yang F",Atletas!U554="Taijijian Yang Standard F"),931,IF(OR(Atletas!U554="Taijijian Chen F", Atletas!U554="Taijijian Chen Standard F"),932,IF(Atletas!U554="Taijijian Sun F",933,IF(Atletas!U554="Taijijian Wu F",934,IF(Atletas!U554="Taijijian Wu-Hao F",935,IF(OR(Atletas!U554="Taijijian 32 F",Atletas!U554="Taijijian 42 F"),936,"")))))))))))))))))))))))))))))))))))))</f>
        <v/>
      </c>
      <c r="CD563" s="50" t="str">
        <f>IF(Atletas!V554="","",IF(Atletas!X554&lt;&gt;"",10000,0)+IF(Atletas!B554="Feminino",1000,IF(Atletas!B554="Masculino",2000,""))+IF(Atletas!V554="Taijidao A",937,IF(Atletas!V554="TaijiShanzi A",938,IF(Atletas!V554="Taijiqiang A",939,IF(Atletas!V554="Bagua de Arma A",940,IF(Atletas!V554="Xingyi de Arma A",941,IF(Atletas!V554="Taijidao B",942,IF(Atletas!V554="TaijiShanzi B",943,IF(Atletas!V554="Taijiqiang B",944,IF(Atletas!V554="Bagua de Arma B",945,IF(Atletas!V554="Xingyi de Arma B",946,IF(Atletas!V554="Taijidao C",947,IF(Atletas!V554="TaijiShanzi C",948,IF(Atletas!V554="Taijiqiang C",949,IF(Atletas!V554="Bagua de Arma C",950,IF(Atletas!V554="Xingyi de Arma C",951,IF(Atletas!V554="Taijidao D",952,IF(Atletas!V554="TaijiShanzi D",953,IF(Atletas!V554="Taijiqiang D",954,IF(Atletas!V554="Bagua de Arma D",955,IF(Atletas!V554="Xingyi de Arma D",956,IF(Atletas!V554="Taijidao E",957,IF(Atletas!V554="TaijiShanzi E",958,IF(Atletas!V554="Taijiqiang E",959,IF(Atletas!V554="Bagua de Arma E",960,IF(Atletas!V554="Xingyi de Arma E",961,IF(Atletas!V554="Taijidao F",962,IF(Atletas!V554="TaijiShanzi F",963,IF(Atletas!V554="Taijiqiang F",964,IF(Atletas!V554="Bagua de Arma F",965,IF(Atletas!V554="Xingyi de Arma F",966,"")))))))))))))))))))))))))))))))</f>
        <v/>
      </c>
      <c r="CM563" s="50" t="str">
        <f xml:space="preserve"> IF(Atletas!W554="","",IF(Atletas!W554="Duilian de Mãos BC - Equipe 1",1,IF(Atletas!W554="Duilian de Mãos BC - Equipe 2",2,IF(Atletas!W554="Duilian de Armas BC - Equipe 1",3,IF(Atletas!W554="Duilian de Armas BC - Equipe 2",4,IF(Atletas!W554="Duilian de Mãos DE - Equipe 1",5,IF(Atletas!W554="Duilian de Mãos DE - Equipe 2",6,IF(Atletas!W554="Duilian de Armas DE - Equipe 1",7,IF(Atletas!W554="Duilian de Armas DE - Equipe 2",8,IF(Atletas!W554="Duilian de Tuishou - Equipe 1",9,IF(Atletas!W554="Duilian de Tuishou - Equipe 2",10,IF(Atletas!W554="Grupo Externo ABC - Equipe 1",11,IF(Atletas!W554="Grupo Externo ABC - Equipe 2",12,IF(Atletas!W554="Grupo Interno ABC - Equipe 1",13,IF(Atletas!W554="Grupo Interno ABC - Equipe 2",14,IF(Atletas!W554="Grupo Externo DEF - Equipe 1",15,IF(Atletas!W554="Grupo Externo DEF - Equipe 2",16,IF(Atletas!W554="Grupo Interno DEF - Equipe 1",17,IF(Atletas!W554="Grupo Interno DEF - Equipe 2",18,"")))))))))))))))))))</f>
        <v/>
      </c>
    </row>
    <row r="564" spans="40:91">
      <c r="AN564" s="52" t="str">
        <f>IF(Atletas!D555="","",IF(Atletas!B555="Feminino",100,IF(Atletas!B555="Masculino",200,""))+(IF(Atletas!D555="Kids 30kg",1,IF(Atletas!D555="Kids 32kg",2, IF(Atletas!D555="Kids 34kg",3,IF(Atletas!D555="Kids 36kg",4,IF(Atletas!D555="Kids 39kg",5,IF(Atletas!D555="Kids 42kg",6,IF(Atletas!D555="Kids 45kg",7, IF(Atletas!D555="Infantil 39kg",8,IF(Atletas!D555="Infantil 42kg",9,IF(Atletas!D555="Infantil 45kg",10,IF(Atletas!D555="Infantil 48kg",11,IF(Atletas!D555="Infantil 52kg",12,IF(Atletas!D555="Infantil 56kg",13,IF(Atletas!D555="Infantil 60kg",14,IF(Atletas!D555="Juvenil 48kg",15,IF(Atletas!D555="Juvenil 52kg",16,IF(Atletas!D555="Juvenil 56kg",17,IF(Atletas!D555="Juvenil 60kg",18,IF(Atletas!D555="Juvenil 65kg",19,IF(Atletas!D555="Juvenil 70kg",20,IF(Atletas!D555="Juvenil 75kg",21,IF(Atletas!D555="Juvenil 80kg",22, IF(Atletas!D555="Juvenil 85kg",23,IF(Atletas!D555="Adulto 48kg",24,IF(Atletas!D555="Adulto 52kg",25,IF(Atletas!D555="Adulto 56kg",26,IF(Atletas!D555="Adulto 60kg",27,IF(Atletas!D555="Adulto 65kg",28,IF(Atletas!D555="Adulto 70kg",29,IF(Atletas!D555="Adulto 75kg",30,IF(Atletas!D555="Adulto 80kg",31,IF(Atletas!D555="Adulto 85kg",32,IF(Atletas!D555="Adulto 90kg",33,IF(Atletas!D555="Adulto 100kg",34, IF(Atletas!D555="Adulto +100kg",35,"")))))))))))))))))))))))))))))))))))))</f>
        <v/>
      </c>
      <c r="AS564" s="6" t="str">
        <f>IF(Atletas!E555="","",IF(Atletas!B555="Feminino",100,IF(Atletas!B555="Masculino",200,""))+(IF(Atletas!E555="Juvenil 44kg",1,IF(Atletas!E555="Juvenil 48kg",2,IF(Atletas!E555="Juvenil 52kg",3,IF(Atletas!E555="Juvenil 56kg",4,IF(Atletas!E555="Juvenil 60kg",5,IF(Atletas!E555="Juvenil 65kg",6,IF(Atletas!E555="Juvenil 70kg",7,IF(Atletas!E555="Juvenil 75kg",8,IF(Atletas!E555="Juvenil 82kg",9,IF(Atletas!E555="Juvenil 90kg",10,IF(Atletas!E555="Juvenil 100kg",11,IF(Atletas!E555="Adulto 48kg",12,IF(Atletas!E555="Adulto 52kg",13,IF(Atletas!E555="Adulto 56kg",14,IF(Atletas!E555="Adulto 60kg",15,IF(Atletas!E555="Adulto 65kg",16,IF(Atletas!E555="Adulto 70kg",17,IF(Atletas!E555="Adulto 75kg",18,IF(Atletas!E555="Adulto 82kg",19,IF(Atletas!E555="Adulto 90kg",20,IF(Atletas!E555="Adulto 100kg",21,IF(Atletas!E555="Adulto +100kg",22,""))))))))))))))))))))))))</f>
        <v/>
      </c>
      <c r="AX564" s="6" t="str">
        <f>IF(Atletas!F555="","",IF(Atletas!B555="Feminino",100,IF(Atletas!B555="Masculino",200,""))+(IF(Atletas!F555="Adulto 48kg",1,IF(Atletas!F555="Adulto 56kg",2,IF(Atletas!F555="Adulto 65kg",3,IF(Atletas!F555="Adulto 75kg",4,IF(Atletas!F555="Adulto +75kg",5,IF(Atletas!F555="Adulto 52kg",6,IF(Atletas!F555="Adulto 60kg",7,IF(Atletas!F555="Adulto 70kg",8,IF(Atletas!F555="Adulto 80kg",9,IF(Atletas!F555="Adulto 90kg",10,IF(Atletas!F555="Adulto +90kg",11,"")))))))))))))</f>
        <v/>
      </c>
      <c r="BC564" s="6" t="str">
        <f>IF(Atletas!G555="","",IF(Atletas!B555="Feminino",10,IF(Atletas!B555="Masculino",20,""))+(IF(Atletas!G555="Baduanjin A",1,IF(Atletas!G555="Baduanjin B",2))))</f>
        <v/>
      </c>
      <c r="BF564" s="52" t="str">
        <f>IF(Atletas!H555="","",IF(Atletas!B555="Feminino",100,IF(Atletas!B555="Masculino",200,""))+(IF(Atletas!H555="Changquan Mirim",1,IF(Atletas!H555="Nanquan Mirim",2,IF(Atletas!H555="Taijiquan Mirim",3,IF(Atletas!H555="Changquan Grupo C",4,IF(Atletas!H555="Nanquan Grupo C",5,IF(Atletas!H555="Taijiquan Grupo C",6,IF(Atletas!H555="Changquan Grupo B",7,IF(Atletas!H555="Nanquan Grupo B",8,IF(Atletas!H555="Taijiquan Grupo B",9,IF(Atletas!H555="Changquan Grupo A",10,IF(Atletas!H555="Nanquan Grupo A",11,IF(Atletas!H555="Taijiquan Grupo A",12,IF(Atletas!H555="Changquan Opcional",13,IF(Atletas!H555="Nanquan Opcional",14,IF(Atletas!H555="Taijiquan Opcional",15,IF(Atletas!H555="Changquan Adulto",16,IF(Atletas!H555="Nanquan Adulto",17,IF(Atletas!H555="Taijiquan Adulto",18,""))))))))))))))))))))</f>
        <v/>
      </c>
      <c r="BG564" s="52" t="str">
        <f>IF(Atletas!I555="","",IF(Atletas!B555="Feminino",100,IF(Atletas!B555="Masculino",200,""))+(IF(Atletas!I555="Daoshu Mirim",19,IF(Atletas!I555="Jianshu Mirim",20,IF(Atletas!I555="Nandao Mirim",21,IF(Atletas!I555="Taijijian Mirim",22,IF(Atletas!I555="Daoshu Grupo C",23,IF(Atletas!I555="Jianshu Grupo C",24,IF(Atletas!I555="Nandao Grupo C",25,IF(Atletas!I555="Taijijian Grupo C",26,IF(Atletas!I555="Daoshu Grupo B",27,IF(Atletas!I555="Jianshu Grupo B",28,IF(Atletas!I555="Nandao Grupo B",29,IF(Atletas!I555="Taijijian Grupo B",30,IF(Atletas!I555="Daoshu Grupo A",31,IF(Atletas!I555="Jianshu Grupo A",32,IF(Atletas!I555="Nandao Grupo A",33,IF(Atletas!I555="Taijijian Grupo A",34,IF(Atletas!I555="Daoshu Opcional",35,IF(Atletas!I555="Jianshu Opcional",36,IF(Atletas!I555="Nandao Opcional",37,IF(Atletas!I555="Taijijian Opcional",38,IF(Atletas!I555="Daoshu Adulto",39,IF(Atletas!I555="Jianshu Adulto",40,IF(Atletas!I555="Nandao Adulto",41,IF(Atletas!I555="Taijijian Adulto",42,""))))))))))))))))))))))))))</f>
        <v/>
      </c>
      <c r="BH564" s="52" t="str">
        <f>IF(Atletas!J555="","",IF(Atletas!B555="Feminino",100,IF(Atletas!B555="Masculino",200,""))+(IF(Atletas!J555="Gunshu Mirim",43,IF(Atletas!J555="Qiangshu Mirim",44,IF(Atletas!J555="Nangun Mirim",45,IF(Atletas!J555="Gunshu Grupo C",46,IF(Atletas!J555="Qiangshu Grupo C",47,IF(Atletas!J555="Nangun Grupo C",48,IF(Atletas!J555="Gunshu Grupo B",49,IF(Atletas!J555="Qiangshu Grupo B",50,IF(Atletas!J555="Nangun Grupo B",51,IF(Atletas!J555="Gunshu Grupo A",52,IF(Atletas!J555="Qiangshu Grupo A",53,IF(Atletas!J555="Nangun Grupo A",54,IF(Atletas!J555="Gunshu Opcional",55,IF(Atletas!J555="Qiangshu Opcional",56,IF(Atletas!J555="Nangun Opcional",57,IF(Atletas!J555="Gunshu Adulto",58,IF(Atletas!J555="Qiangshu Adulto",59,IF(Atletas!J555="Nangun Adulto",60,IF(Atletas!J555="Taijishan Grupo B",61,IF(Atletas!J555="Taijishan Grupo A",62,""))))))))))))))))))))))</f>
        <v/>
      </c>
      <c r="BM564" s="50" t="str">
        <f>IF(Atletas!K555="","",IF(Atletas!B555="Feminino",100,IF(Atletas!B555="Masculino",200,""))+(IF(Atletas!K555="Equipe 1 Grupo B",1,IF(Atletas!K555="Equipe 2 Grupo B",2,IF(Atletas!K555="Equipe 1 Grupo A",3,IF(Atletas!K555="Equipe 2 Grupo A",4,IF(Atletas!K555="Equipe 1 Adulto",5,IF(Atletas!K555="Equipe 2 Adulto",6,""))))))))</f>
        <v/>
      </c>
      <c r="BR564" s="50" t="str">
        <f>IF(Atletas!L555="","",IF(Atletas!X555&lt;&gt;"",10000,0)+(IF(Atletas!B555="Feminino",1000,IF(Atletas!B555="Masculino",2000,""))+IF(Atletas!L555="Choylayfut A",1,IF(Atletas!L555="Hunggar A",2,IF(Atletas!L555="Wuzuquan A",3,IF(Atletas!L555="Wingchun A",4,IF(Atletas!L555="Outra Mão de Sul A",5,IF(Atletas!L555="Choylayfut B",6,IF(Atletas!L555="Hunggar B",7,IF(Atletas!L555="Wuzuquan B",8,IF(Atletas!L555="Wingchun B",9,IF(Atletas!L555="Outra Mão de Sul B",10,IF(Atletas!L555="Choylayfut C",11,IF(Atletas!L555="Hunggar C",12,IF(Atletas!L555="Wuzuquan C",13,IF(Atletas!L555="Wingchun C",14,IF(Atletas!L555="Outra Mão de Sul C",15,IF(Atletas!L555="Choylayfut D",16,IF(Atletas!L555="Hunggar D",17,IF(Atletas!L555="Wuzuquan D",18,IF(Atletas!L555="Wingchun D",19,IF(Atletas!L555="Outra Mão de Sul D",20,IF(Atletas!L555="Choylayfut E",21,IF(Atletas!L555="Hunggar E",22,IF(Atletas!L555="Wuzuquan E",23,IF(Atletas!L555="Wingchun E",24,IF(Atletas!L555="Outra Mão de Sul E",25,IF(Atletas!L555="Choylayfut F",26,IF(Atletas!L555="Hunggar F",27,IF(Atletas!L555="Wuzuquan F",28,IF(Atletas!L555="Wingchun F",29,IF(Atletas!L555="Outra Mão de Sul F",30,IF(Atletas!L555="Dishuquan A",31,IF(Atletas!L555="Dishuquan B",32,IF(Atletas!L555="Dishuquan C",33,IF(Atletas!L555="Dishuquan D",34,IF(Atletas!L555="Dishuquan E",35,IF(Atletas!L555="Dishuquan F",36,""))))))))))))))))))))))))))))))))))))))</f>
        <v/>
      </c>
      <c r="BS564" s="50" t="str">
        <f>IF(Atletas!M555="","",IF(Atletas!X555&lt;&gt;"",10000,0)+(IF(Atletas!B555="Feminino",1000,IF(Atletas!B555="Masculino",2000,""))+(IF(Atletas!M555="Chaquan A",101,IF(Atletas!M555="Emeiquan A",102,IF(Atletas!M555="Fanziquan A",103,IF(Atletas!M555="Huaquan A",104,IF(Atletas!M555="Hongquan A",105,IF(Atletas!M555="Paoquan A",106,IF(Atletas!M555="Piguaquan A",107,IF(Atletas!M555="Shaolinquan A",108,IF(Atletas!M555="Tanglangquan A",109,IF(Atletas!M555="Yingzhaoquan A",110,IF(Atletas!M555="Tongbeiquan A",111,IF(Atletas!M555="Wudangquan A",112,IF(Atletas!M555="Outros Estilos A",113,IF(Atletas!M555="Chaquan B",114,IF(Atletas!M555="Emeiquan B",115,IF(Atletas!M555="Fanziquan B",116,IF(Atletas!M555="Huaquan B",117,IF(Atletas!M555="Hongquan B",118,IF(Atletas!M555="Paoquan B",119,IF(Atletas!M555="Piguaquan B",120,IF(Atletas!M555="Shaolinquan B",121,IF(Atletas!M555="Tanglangquan B",122,IF(Atletas!M555="Yingzhaoquan B",123,IF(Atletas!M555="Tongbeiquan B",124,IF(Atletas!M555="Wudangquan B",125,IF(Atletas!M555="Outros Estilos B",126,IF(Atletas!M555="Chaquan C",127,IF(Atletas!M555="Emeiquan C",128,IF(Atletas!M555="Fanziquan C",129,IF(Atletas!M555="Huaquan C",130,IF(Atletas!M555="Hongquan C",131,IF(Atletas!M555="Paoquan C",132,IF(Atletas!M555="Piguaquan C",133,IF(Atletas!M555="Shaolinquan C",134,IF(Atletas!M555="Tanglangquan C",135,IF(Atletas!M555="Yingzhaoquan C",136,IF(Atletas!M555="Tongbeiquan C",137,IF(Atletas!M555="Wudangquan C",138,IF(Atletas!M555="Outros Estilos C",139,0))))))))))))))))))))))))))))))))))))))))))</f>
        <v/>
      </c>
      <c r="BT564" s="50" t="str">
        <f>IF(Atletas!M555="","",IF(Atletas!X555&lt;&gt;"",10000,0)+(IF(Atletas!B555="Feminino",1000,IF(Atletas!B555="Masculino",2000,""))+(IF(Atletas!M555="Chaquan D",140,IF(Atletas!M555="Emeiquan D",141,IF(Atletas!M555="Fanziquan D",142,IF(Atletas!M555="Huaquan D",143,IF(Atletas!M555="Hongquan D",144,IF(Atletas!M555="Paoquan D",145,IF(Atletas!M555="Piguaquan D",146,IF(Atletas!M555="Shaolinquan D",147,IF(Atletas!M555="Tanglangquan D",148,IF(Atletas!M555="Yingzhaoquan D",149,IF(Atletas!M555="Tongbeiquan D",150,IF(Atletas!M555="Wudangquan D",151,IF(Atletas!M555="Outros Estilos D",152,IF(Atletas!M555="Chaquan E",153,IF(Atletas!M555="Emeiquan E",154,IF(Atletas!M555="Fanziquan E",155,IF(Atletas!M555="Huaquan E",156,IF(Atletas!M555="Hongquan E",157,IF(Atletas!M555="Paoquan E",158,IF(Atletas!M555="Piguaquan E",159,IF(Atletas!M555="Shaolinquan E",160,IF(Atletas!M555="Tanglangquan E",161,IF(Atletas!M555="Yingzhaoquan E",162,IF(Atletas!M555="Tongbeiquan E",163,IF(Atletas!M555="Wudangquan E",164,IF(Atletas!M555="Outros Estilos E",165,IF(Atletas!M555="Chaquan F",166,IF(Atletas!M555="Emeiquan F",167,IF(Atletas!M555="Fanziquan F",168,IF(Atletas!M555="Huaquan F",169,IF(Atletas!M555="Hongquan F",170,IF(Atletas!M555="Paoquan F",171,IF(Atletas!M555="Piguaquan F",172,IF(Atletas!M555="Shaolinquan F",173,IF(Atletas!M555="Tanglangquan F",174,IF(Atletas!M555="Yingzhaoquan F",175,IF(Atletas!M555="Tongbeiquan F",176,IF(Atletas!M555="Wudangquan F",177,IF(Atletas!M555="Outros Estilos F",178,0))))))))))))))))))))))))))))))))))))))))))</f>
        <v/>
      </c>
      <c r="BU564" s="50" t="str">
        <f>IF(Atletas!N555="","",IF(Atletas!X555&lt;&gt;"",10000,0)+(IF(Atletas!B555="Feminino",1000,IF(Atletas!B555="Masculino",2000,""))+(IF(Atletas!N555="Ditangquan A",201,IF(Atletas!N555="Houquan A",202,IF(Atletas!N555="Zuiquan A",203,IF(Atletas!N555="Ditangquan B",204,IF(Atletas!N555="Houquan B",205,IF(Atletas!N555="Zuiquan B",206,IF(Atletas!N555="Ditangquan C",207,IF(Atletas!N555="Houquan C",208,IF(Atletas!N555="Zuiquan C",209,IF(Atletas!N555="Ditangquan D",210,IF(Atletas!N555="Houquan D",211,IF(Atletas!N555="Zuiquan D",212,IF(Atletas!N555="Ditangquan E",213,IF(Atletas!N555="Houquan E",214,IF(Atletas!N555="Zuiquan E",215,IF(Atletas!N555="Ditangquan F",216,IF(Atletas!N555="Houquan F",217,IF(Atletas!N555="Zuiquan F",218,"")))))))))))))))))))))</f>
        <v/>
      </c>
      <c r="BV564" s="50" t="str">
        <f>IF(Atletas!O555="","",IF(Atletas!X555&lt;&gt;"",10000,0)+IF(Atletas!B555="Feminino",1000,IF(Atletas!B555="Masculino",2000,""))+IF(Atletas!O555="Yang A",301,IF(Atletas!O555="Chen A",302,IF(Atletas!O555="Sun A",303,IF(Atletas!O555="Wu A",304,IF(Atletas!O555="Wu-Hao A",305,IF(Atletas!O555="Outro Taijiquan A",306,IF(Atletas!O555="Yang B",307,IF(Atletas!O555="Chen B",308,IF(Atletas!O555="Sun B",309,IF(Atletas!O555="Wu B",310,IF(Atletas!O555="Wu-Hao B",311,IF(Atletas!O555="Outro Taijiquan B",312,IF(Atletas!O555="Yang C",313,IF(Atletas!O555="Chen C",314,IF(Atletas!O555="Sun C",315,IF(Atletas!O555="Wu C",316,IF(Atletas!O555="Wu-Hao C",317,IF(Atletas!O555="Outro Taijiquan C",318,IF(Atletas!O555="Yang D",319,IF(Atletas!O555="Chen D",320,IF(Atletas!O555="Sun D",321,IF(Atletas!O555="Wu D",322,IF(Atletas!O555="Wu-Hao D",323,IF(Atletas!O555="Outro Taijiquan D",324,IF(Atletas!O555="Yang E",325,IF(Atletas!O555="Chen E",326,IF(Atletas!O555="Sun E",327,IF(Atletas!O555="Wu E",328,IF(Atletas!O555="Wu-Hao E",329,IF(Atletas!O555="Outro Taijiquan E",330,IF(Atletas!O555="Yang F",331,IF(Atletas!O555="Chen F",332,IF(Atletas!O555="Sun F",333,IF(Atletas!O555="Wu F",334,IF(Atletas!O555="Wu-Hao F",335,IF(Atletas!O555="Outro Taijiquan F",336,"")))))))))))))))))))))))))))))))))))))</f>
        <v/>
      </c>
      <c r="BW564" s="50" t="str">
        <f>IF(Atletas!P555="","",IF(Atletas!X555&lt;&gt;"",10000,0)+IF(Atletas!B555="Feminino",1000,IF(Atletas!B555="Masculino",2000,""))+IF(OR(Atletas!P555="Yang 26 A",Atletas!P555="Yang 40 A"),401,IF(OR(Atletas!P555="Chen 25 A",Atletas!P555="Chen 36 A",Atletas!P555="Chen 56 A"),402,IF(Atletas!P555="Sun 73 A",403,IF(Atletas!P555="Wu 45 A",404,IF(Atletas!P555="Wu-Hao 46 A",405,IF(OR(Atletas!P555="Taijiquan 16 A",Atletas!P555="Taijiquan 24 A",Atletas!P555="Taijiquan 32 A",Atletas!P555="Taijiquan 42 A"),406,IF(OR(Atletas!P555="Yang 26 B",Atletas!P555="Yang 40 B"),407,IF(OR(Atletas!P555="Chen 25 B",Atletas!P555="Chen 36 B",Atletas!P555="Chen 56 B"),408,IF(Atletas!P555="Sun 73 B",409,IF(Atletas!P555="Wu 45 B",410,IF(Atletas!P555="Wu-Hao 46 B",411,IF(OR(Atletas!P555="Taijiquan 16 B",Atletas!P555="Taijiquan 24 B",Atletas!P555="Taijiquan 32 B",Atletas!P555="Taijiquan 42 B"),412,IF(OR(Atletas!P555="Yang 26 C",Atletas!P555="Yang 40 C"),413,IF(OR(Atletas!P555="Chen 25 C",Atletas!P555="Chen 36 C",Atletas!P555="Chen 56 C"),414,IF(Atletas!P555="Sun 73 C",415,IF(Atletas!P555="Wu 45 C",416,IF(Atletas!P555="Wu-Hao 46 C",417,IF(OR(Atletas!P555="Taijiquan 16 C",Atletas!P555="Taijiquan 24 C",Atletas!P555="Taijiquan 32 C",Atletas!P555="Taijiquan 42 C"),418,0)))))))))))))))))))</f>
        <v/>
      </c>
      <c r="BX564" s="50" t="str">
        <f>IF(Atletas!P555="","",IF(Atletas!X555&lt;&gt;"",10000,0)+IF(Atletas!B555="Feminino",1000,IF(Atletas!B555="Masculino",2000,""))+IF(OR(Atletas!P555="Yang 26 D",Atletas!P555="Yang 40 D"),419,IF(OR(Atletas!P555="Chen 25 D",Atletas!P555="Chen 36 D",Atletas!P555="Chen 56 D"),420,IF(Atletas!P555="Sun 73 D",421,IF(Atletas!P555="Wu 45 D",422,IF(Atletas!P555="Wu-Hao 46 D",423,IF(OR(Atletas!P555="Taijiquan 16 D",Atletas!P555="Taijiquan 24 D",Atletas!P555="Taijiquan 32 D",Atletas!P555="Taijiquan 42 D"),424,IF(OR(Atletas!P555="Yang 26 E",Atletas!P555="Yang 40 E"),425,IF(OR(Atletas!P555="Chen 25 E",Atletas!P555="Chen 36 E",Atletas!P555="Chen 56 E"),426,IF(Atletas!P555="Sun 73 E",427,IF(Atletas!P555="Wu 45 E",428,IF(Atletas!P555="Wu-Hao 46 E",429,IF(OR(Atletas!P555="Taijiquan 16 E",Atletas!P555="Taijiquan 24 E",Atletas!P555="Taijiquan 32 E",Atletas!P555="Taijiquan 42 E"),430,IF(OR(Atletas!P555="Yang 26 F",Atletas!P555="Yang 40 F"),431,IF(OR(Atletas!P555="Chen 25 F",Atletas!P555="Chen 36 F",Atletas!P555="Chen 56 F"),432,IF(Atletas!P555="Sun 73 F",433,IF(Atletas!P555="Wu 45 F",434,IF(Atletas!P555="Wu-Hao 46 F",435,IF(OR(Atletas!P555="Taijiquan 16 F",Atletas!P555="Taijiquan 24 F",Atletas!P555="Taijiquan 32 F",Atletas!P555="Taijiquan 42 F"),436,0)))))))))))))))))))</f>
        <v/>
      </c>
      <c r="BY564" s="50" t="str">
        <f>IF(Atletas!Q555="","",IF(Atletas!X555&lt;&gt;"",10000,0)+IF(Atletas!B555="Feminino",1000,IF(Atletas!B555="Masculino",2000,""))+IF(Atletas!Q555="Xingyiquan A",501,IF(Atletas!Q555="Baguazhang A",502,IF(Atletas!Q555="Outro Estilo Interno A",503,IF(Atletas!Q555="Xingyiquan B",504,IF(Atletas!Q555="Baguazhang B",505,IF(Atletas!Q555="Outro Estilo Interno B",506,IF(Atletas!Q555="Xingyiquan C",507,IF(Atletas!Q555="Baguazhang C",508,IF(Atletas!Q555="Outro Estilo Interno C",509,IF(Atletas!Q555="Xingyiquan D",510,IF(Atletas!Q555="Baguazhang D",511,IF(Atletas!Q555="Outro Estilo Interno D",512,IF(Atletas!Q555="Xingyiquan E",513,IF(Atletas!Q555="Baguazhang E",514,IF(Atletas!Q555="Outro Estilo Interno E",515,IF(Atletas!Q555="Xingyiquan F",516,IF(Atletas!Q555="Baguazhang F",517,IF(Atletas!Q555="Outro Estilo Interno F",518, "")))))))))))))))))))</f>
        <v/>
      </c>
      <c r="BZ564" s="50" t="str">
        <f>IF(Atletas!R555="","",IF(Atletas!X555&lt;&gt;"",10000,0)+IF(Atletas!B555="Feminino",1000,IF(Atletas!B555="Masculino",2000,""))+IF(Atletas!R555="Dao A",601,IF(Atletas!R555="Jian A",602,IF(Atletas!R555="Bishou A",603,IF(Atletas!R555="Shanzi A",604,IF(Atletas!R555="Outra Arma Curta A",605,IF(Atletas!R555="Dao B",606,IF(Atletas!R555="Jian B",607,IF(Atletas!R555="Bishou B",608,IF(Atletas!R555="Shanzi B",609,IF(Atletas!R555="Outra Arma Curta B",610,IF(Atletas!R555="Dao C",611,IF(Atletas!R555="Jian C",612,IF(Atletas!R555="Bishou C",613,IF(Atletas!R555="Shanzi C",614,IF(Atletas!R555="Outra Arma Curta C",615,IF(Atletas!R555="Dao D",616,IF(Atletas!R555="Jian D",617,IF(Atletas!R555="Bishou D",618,IF(Atletas!R555="Shanzi D",619,IF(Atletas!R555="Outra Arma Curta D",620,IF(Atletas!R555="Dao E",621,IF(Atletas!R555="Jian E",622,IF(Atletas!R555="Bishou E",623,IF(Atletas!R555="Shanzi E",624,IF(Atletas!R555="Outra Arma Curta E",625,IF(Atletas!R555="Dao F",626,IF(Atletas!R555="Jian F",627,IF(Atletas!R555="Bishou F",628,IF(Atletas!R555="Shanzi F",629,IF(Atletas!R555="Outra Arma Curta F",630, "")))))))))))))))))))))))))))))))</f>
        <v/>
      </c>
      <c r="CA564" s="50" t="str">
        <f>IF(Atletas!S555="","",IF(Atletas!X555&lt;&gt;"",10000,0)+IF(Atletas!B555="Feminino",1000,IF(Atletas!B555="Masculino",2000,""))+IF(Atletas!S555="Gun A",701,IF(Atletas!S555="Qiang A",702,IF(Atletas!S555="Pudao / Guandao A",703,IF(Atletas!S555="Outra Arma Longa A",704,IF(Atletas!S555="Gun B",705,IF(Atletas!S555="Qiang B",706,IF(Atletas!S555="Pudao / Guandao B",707,IF(Atletas!S555="Outra Arma Longa B",708,IF(Atletas!S555="Gun C",709,IF(Atletas!S555="Qiang C",710,IF(Atletas!S555="Pudao / Guandao C",711,IF(Atletas!S555="Outra Arma Longa C",712,IF(Atletas!S555="Gun D",713,IF(Atletas!S555="Qiang D",714,IF(Atletas!S555="Pudao / Guandao D",715,IF(Atletas!S555="Outra Arma Longa D",716,IF(Atletas!S555="Gun E",717,IF(Atletas!S555="Qiang E",718,IF(Atletas!S555="Pudao / Guandao E",719,IF(Atletas!S555="Outra Arma Longa E",720,IF(Atletas!S555="Gun F",721,IF(Atletas!S555="Qiang F",722,IF(Atletas!S555="Pudao / Guandao F",723,IF(Atletas!S555="Outra Arma Longa F",724,"")))))))))))))))))))))))))</f>
        <v/>
      </c>
      <c r="CB564" s="50" t="str">
        <f>IF(Atletas!T555="","",IF(Atletas!X555&lt;&gt;"",10000,0)+IF(Atletas!B555="Feminino",1000,IF(Atletas!B555="Masculino",2000,""))+IF(Atletas!T555="Outra Arma Dupla A",801,IF(Atletas!T555="Arma Maleável A",802,IF(Atletas!T555="Outra Arma Dupla B",803,IF(Atletas!T555="Arma Maleável B",804,IF(Atletas!T555="Outra Arma Dupla C",805,IF(Atletas!T555="Arma Maleável C",806,IF(Atletas!T555="Outra Arma Dupla D",807,IF(Atletas!T555="Arma Maleável D",808,IF(Atletas!T555="Outra Arma Dupla E",809,IF(Atletas!T555="Arma Maleável E",810,IF(Atletas!T555="Outra Arma Dupla F",811,IF(Atletas!T555="Arma Maleável F",812,IF(Atletas!T555="Shuangdao A",813,IF(Atletas!T555="Shuangdao B",814,IF(Atletas!T555="Shuangdao C",815,IF(Atletas!T555="Shuangdao D",816,IF(Atletas!T555="Shuangdao E",817,IF(Atletas!T555="Shuangdao F",818,"")))))))))))))))))))</f>
        <v/>
      </c>
      <c r="CC564" s="50" t="str">
        <f>IF(Atletas!U555="","",IF(Atletas!X555&lt;&gt;"",10000,0)+IF(Atletas!B555="Feminino",1000,IF(Atletas!B555="Masculino",2000,""))+IF(OR(Atletas!U555="Taijijian Yang A",Atletas!U555="Taijijian Yang Standard A"),901,IF(OR(Atletas!U555="Taijijian Chen A", Atletas!U555="Taijijian Chen Standard A"),902,IF(Atletas!U555="Taijijian Sun A",903,IF(Atletas!U555="Taijijian Wu A",904,IF(Atletas!U555="Taijijian Wu-Hao A",905,IF(OR(Atletas!U555="Taijijian 32 A",Atletas!U555="Taijijian 42 A"),906,IF(OR(Atletas!U555="Taijijian Yang B",Atletas!U555="Taijijian Yang Standard B"),907,IF(OR(Atletas!U555="Taijijian Chen B", Atletas!U555="Taijijian Chen Standard B"),908,IF(Atletas!U555="Taijijian Sun B",909,IF(Atletas!U555="Taijijian Wu B",910,IF(Atletas!U555="Taijijian Wu-Hao B",911,IF(OR(Atletas!U555="Taijijian 32 B",Atletas!U555="Taijijian 42 B"),912,IF(OR(Atletas!U555="Taijijian Yang C",Atletas!U555="Taijijian Yang Standard C"),913,IF(OR(Atletas!U555="Taijijian Chen C", Atletas!U555="Taijijian Chen Standard C"),914,IF(Atletas!U555="Taijijian Sun C",915,IF(Atletas!U555="Taijijian Wu C",916,IF(Atletas!U555="Taijijian Wu-Hao C",917,IF(OR(Atletas!U555="Taijijian 32 C",Atletas!U555="Taijijian 42 C"),918,IF(OR(Atletas!U555="Taijijian Yang D",Atletas!U555="Taijijian Yang Standard D"),919,IF(OR(Atletas!U555="Taijijian Chen D", Atletas!U555="Taijijian Chen Standard D"),920,IF(Atletas!U555="Taijijian Sun D",921,IF(Atletas!U555="Taijijian Wu D",922,IF(Atletas!U555="Taijijian Wu-Hao D",923,IF(OR(Atletas!U555="Taijijian 32 D",Atletas!U555="Taijijian 42 D"),924,IF(OR(Atletas!U555="Taijijian Yang E",Atletas!U555="Taijijian Yang Standard E"),925,IF(OR(Atletas!U555="Taijijian Chen E", Atletas!U555="Taijijian Chen Standard E"),926,IF(Atletas!U555="Taijijian Sun E",927,IF(Atletas!U555="Taijijian Wu E",928,IF(Atletas!U555="Taijijian Wu-Hao E",929,IF(OR(Atletas!U555="Taijijian 32 E",Atletas!U555="Taijijian 42 E"),930,IF(OR(Atletas!U555="Taijijian Yang F",Atletas!U555="Taijijian Yang Standard F"),931,IF(OR(Atletas!U555="Taijijian Chen F", Atletas!U555="Taijijian Chen Standard F"),932,IF(Atletas!U555="Taijijian Sun F",933,IF(Atletas!U555="Taijijian Wu F",934,IF(Atletas!U555="Taijijian Wu-Hao F",935,IF(OR(Atletas!U555="Taijijian 32 F",Atletas!U555="Taijijian 42 F"),936,"")))))))))))))))))))))))))))))))))))))</f>
        <v/>
      </c>
      <c r="CD564" s="50" t="str">
        <f>IF(Atletas!V555="","",IF(Atletas!X555&lt;&gt;"",10000,0)+IF(Atletas!B555="Feminino",1000,IF(Atletas!B555="Masculino",2000,""))+IF(Atletas!V555="Taijidao A",937,IF(Atletas!V555="TaijiShanzi A",938,IF(Atletas!V555="Taijiqiang A",939,IF(Atletas!V555="Bagua de Arma A",940,IF(Atletas!V555="Xingyi de Arma A",941,IF(Atletas!V555="Taijidao B",942,IF(Atletas!V555="TaijiShanzi B",943,IF(Atletas!V555="Taijiqiang B",944,IF(Atletas!V555="Bagua de Arma B",945,IF(Atletas!V555="Xingyi de Arma B",946,IF(Atletas!V555="Taijidao C",947,IF(Atletas!V555="TaijiShanzi C",948,IF(Atletas!V555="Taijiqiang C",949,IF(Atletas!V555="Bagua de Arma C",950,IF(Atletas!V555="Xingyi de Arma C",951,IF(Atletas!V555="Taijidao D",952,IF(Atletas!V555="TaijiShanzi D",953,IF(Atletas!V555="Taijiqiang D",954,IF(Atletas!V555="Bagua de Arma D",955,IF(Atletas!V555="Xingyi de Arma D",956,IF(Atletas!V555="Taijidao E",957,IF(Atletas!V555="TaijiShanzi E",958,IF(Atletas!V555="Taijiqiang E",959,IF(Atletas!V555="Bagua de Arma E",960,IF(Atletas!V555="Xingyi de Arma E",961,IF(Atletas!V555="Taijidao F",962,IF(Atletas!V555="TaijiShanzi F",963,IF(Atletas!V555="Taijiqiang F",964,IF(Atletas!V555="Bagua de Arma F",965,IF(Atletas!V555="Xingyi de Arma F",966,"")))))))))))))))))))))))))))))))</f>
        <v/>
      </c>
      <c r="CM564" s="50" t="str">
        <f xml:space="preserve"> IF(Atletas!W555="","",IF(Atletas!W555="Duilian de Mãos BC - Equipe 1",1,IF(Atletas!W555="Duilian de Mãos BC - Equipe 2",2,IF(Atletas!W555="Duilian de Armas BC - Equipe 1",3,IF(Atletas!W555="Duilian de Armas BC - Equipe 2",4,IF(Atletas!W555="Duilian de Mãos DE - Equipe 1",5,IF(Atletas!W555="Duilian de Mãos DE - Equipe 2",6,IF(Atletas!W555="Duilian de Armas DE - Equipe 1",7,IF(Atletas!W555="Duilian de Armas DE - Equipe 2",8,IF(Atletas!W555="Duilian de Tuishou - Equipe 1",9,IF(Atletas!W555="Duilian de Tuishou - Equipe 2",10,IF(Atletas!W555="Grupo Externo ABC - Equipe 1",11,IF(Atletas!W555="Grupo Externo ABC - Equipe 2",12,IF(Atletas!W555="Grupo Interno ABC - Equipe 1",13,IF(Atletas!W555="Grupo Interno ABC - Equipe 2",14,IF(Atletas!W555="Grupo Externo DEF - Equipe 1",15,IF(Atletas!W555="Grupo Externo DEF - Equipe 2",16,IF(Atletas!W555="Grupo Interno DEF - Equipe 1",17,IF(Atletas!W555="Grupo Interno DEF - Equipe 2",18,"")))))))))))))))))))</f>
        <v/>
      </c>
    </row>
    <row r="565" spans="40:91">
      <c r="AN565" s="52" t="str">
        <f>IF(Atletas!D556="","",IF(Atletas!B556="Feminino",100,IF(Atletas!B556="Masculino",200,""))+(IF(Atletas!D556="Kids 30kg",1,IF(Atletas!D556="Kids 32kg",2, IF(Atletas!D556="Kids 34kg",3,IF(Atletas!D556="Kids 36kg",4,IF(Atletas!D556="Kids 39kg",5,IF(Atletas!D556="Kids 42kg",6,IF(Atletas!D556="Kids 45kg",7, IF(Atletas!D556="Infantil 39kg",8,IF(Atletas!D556="Infantil 42kg",9,IF(Atletas!D556="Infantil 45kg",10,IF(Atletas!D556="Infantil 48kg",11,IF(Atletas!D556="Infantil 52kg",12,IF(Atletas!D556="Infantil 56kg",13,IF(Atletas!D556="Infantil 60kg",14,IF(Atletas!D556="Juvenil 48kg",15,IF(Atletas!D556="Juvenil 52kg",16,IF(Atletas!D556="Juvenil 56kg",17,IF(Atletas!D556="Juvenil 60kg",18,IF(Atletas!D556="Juvenil 65kg",19,IF(Atletas!D556="Juvenil 70kg",20,IF(Atletas!D556="Juvenil 75kg",21,IF(Atletas!D556="Juvenil 80kg",22, IF(Atletas!D556="Juvenil 85kg",23,IF(Atletas!D556="Adulto 48kg",24,IF(Atletas!D556="Adulto 52kg",25,IF(Atletas!D556="Adulto 56kg",26,IF(Atletas!D556="Adulto 60kg",27,IF(Atletas!D556="Adulto 65kg",28,IF(Atletas!D556="Adulto 70kg",29,IF(Atletas!D556="Adulto 75kg",30,IF(Atletas!D556="Adulto 80kg",31,IF(Atletas!D556="Adulto 85kg",32,IF(Atletas!D556="Adulto 90kg",33,IF(Atletas!D556="Adulto 100kg",34, IF(Atletas!D556="Adulto +100kg",35,"")))))))))))))))))))))))))))))))))))))</f>
        <v/>
      </c>
      <c r="AS565" s="6" t="str">
        <f>IF(Atletas!E556="","",IF(Atletas!B556="Feminino",100,IF(Atletas!B556="Masculino",200,""))+(IF(Atletas!E556="Juvenil 44kg",1,IF(Atletas!E556="Juvenil 48kg",2,IF(Atletas!E556="Juvenil 52kg",3,IF(Atletas!E556="Juvenil 56kg",4,IF(Atletas!E556="Juvenil 60kg",5,IF(Atletas!E556="Juvenil 65kg",6,IF(Atletas!E556="Juvenil 70kg",7,IF(Atletas!E556="Juvenil 75kg",8,IF(Atletas!E556="Juvenil 82kg",9,IF(Atletas!E556="Juvenil 90kg",10,IF(Atletas!E556="Juvenil 100kg",11,IF(Atletas!E556="Adulto 48kg",12,IF(Atletas!E556="Adulto 52kg",13,IF(Atletas!E556="Adulto 56kg",14,IF(Atletas!E556="Adulto 60kg",15,IF(Atletas!E556="Adulto 65kg",16,IF(Atletas!E556="Adulto 70kg",17,IF(Atletas!E556="Adulto 75kg",18,IF(Atletas!E556="Adulto 82kg",19,IF(Atletas!E556="Adulto 90kg",20,IF(Atletas!E556="Adulto 100kg",21,IF(Atletas!E556="Adulto +100kg",22,""))))))))))))))))))))))))</f>
        <v/>
      </c>
      <c r="AX565" s="6" t="str">
        <f>IF(Atletas!F556="","",IF(Atletas!B556="Feminino",100,IF(Atletas!B556="Masculino",200,""))+(IF(Atletas!F556="Adulto 48kg",1,IF(Atletas!F556="Adulto 56kg",2,IF(Atletas!F556="Adulto 65kg",3,IF(Atletas!F556="Adulto 75kg",4,IF(Atletas!F556="Adulto +75kg",5,IF(Atletas!F556="Adulto 52kg",6,IF(Atletas!F556="Adulto 60kg",7,IF(Atletas!F556="Adulto 70kg",8,IF(Atletas!F556="Adulto 80kg",9,IF(Atletas!F556="Adulto 90kg",10,IF(Atletas!F556="Adulto +90kg",11,"")))))))))))))</f>
        <v/>
      </c>
      <c r="BC565" s="6" t="str">
        <f>IF(Atletas!G556="","",IF(Atletas!B556="Feminino",10,IF(Atletas!B556="Masculino",20,""))+(IF(Atletas!G556="Baduanjin A",1,IF(Atletas!G556="Baduanjin B",2))))</f>
        <v/>
      </c>
      <c r="BF565" s="52" t="str">
        <f>IF(Atletas!H556="","",IF(Atletas!B556="Feminino",100,IF(Atletas!B556="Masculino",200,""))+(IF(Atletas!H556="Changquan Mirim",1,IF(Atletas!H556="Nanquan Mirim",2,IF(Atletas!H556="Taijiquan Mirim",3,IF(Atletas!H556="Changquan Grupo C",4,IF(Atletas!H556="Nanquan Grupo C",5,IF(Atletas!H556="Taijiquan Grupo C",6,IF(Atletas!H556="Changquan Grupo B",7,IF(Atletas!H556="Nanquan Grupo B",8,IF(Atletas!H556="Taijiquan Grupo B",9,IF(Atletas!H556="Changquan Grupo A",10,IF(Atletas!H556="Nanquan Grupo A",11,IF(Atletas!H556="Taijiquan Grupo A",12,IF(Atletas!H556="Changquan Opcional",13,IF(Atletas!H556="Nanquan Opcional",14,IF(Atletas!H556="Taijiquan Opcional",15,IF(Atletas!H556="Changquan Adulto",16,IF(Atletas!H556="Nanquan Adulto",17,IF(Atletas!H556="Taijiquan Adulto",18,""))))))))))))))))))))</f>
        <v/>
      </c>
      <c r="BG565" s="52" t="str">
        <f>IF(Atletas!I556="","",IF(Atletas!B556="Feminino",100,IF(Atletas!B556="Masculino",200,""))+(IF(Atletas!I556="Daoshu Mirim",19,IF(Atletas!I556="Jianshu Mirim",20,IF(Atletas!I556="Nandao Mirim",21,IF(Atletas!I556="Taijijian Mirim",22,IF(Atletas!I556="Daoshu Grupo C",23,IF(Atletas!I556="Jianshu Grupo C",24,IF(Atletas!I556="Nandao Grupo C",25,IF(Atletas!I556="Taijijian Grupo C",26,IF(Atletas!I556="Daoshu Grupo B",27,IF(Atletas!I556="Jianshu Grupo B",28,IF(Atletas!I556="Nandao Grupo B",29,IF(Atletas!I556="Taijijian Grupo B",30,IF(Atletas!I556="Daoshu Grupo A",31,IF(Atletas!I556="Jianshu Grupo A",32,IF(Atletas!I556="Nandao Grupo A",33,IF(Atletas!I556="Taijijian Grupo A",34,IF(Atletas!I556="Daoshu Opcional",35,IF(Atletas!I556="Jianshu Opcional",36,IF(Atletas!I556="Nandao Opcional",37,IF(Atletas!I556="Taijijian Opcional",38,IF(Atletas!I556="Daoshu Adulto",39,IF(Atletas!I556="Jianshu Adulto",40,IF(Atletas!I556="Nandao Adulto",41,IF(Atletas!I556="Taijijian Adulto",42,""))))))))))))))))))))))))))</f>
        <v/>
      </c>
      <c r="BH565" s="52" t="str">
        <f>IF(Atletas!J556="","",IF(Atletas!B556="Feminino",100,IF(Atletas!B556="Masculino",200,""))+(IF(Atletas!J556="Gunshu Mirim",43,IF(Atletas!J556="Qiangshu Mirim",44,IF(Atletas!J556="Nangun Mirim",45,IF(Atletas!J556="Gunshu Grupo C",46,IF(Atletas!J556="Qiangshu Grupo C",47,IF(Atletas!J556="Nangun Grupo C",48,IF(Atletas!J556="Gunshu Grupo B",49,IF(Atletas!J556="Qiangshu Grupo B",50,IF(Atletas!J556="Nangun Grupo B",51,IF(Atletas!J556="Gunshu Grupo A",52,IF(Atletas!J556="Qiangshu Grupo A",53,IF(Atletas!J556="Nangun Grupo A",54,IF(Atletas!J556="Gunshu Opcional",55,IF(Atletas!J556="Qiangshu Opcional",56,IF(Atletas!J556="Nangun Opcional",57,IF(Atletas!J556="Gunshu Adulto",58,IF(Atletas!J556="Qiangshu Adulto",59,IF(Atletas!J556="Nangun Adulto",60,IF(Atletas!J556="Taijishan Grupo B",61,IF(Atletas!J556="Taijishan Grupo A",62,""))))))))))))))))))))))</f>
        <v/>
      </c>
      <c r="BM565" s="50" t="str">
        <f>IF(Atletas!K556="","",IF(Atletas!B556="Feminino",100,IF(Atletas!B556="Masculino",200,""))+(IF(Atletas!K556="Equipe 1 Grupo B",1,IF(Atletas!K556="Equipe 2 Grupo B",2,IF(Atletas!K556="Equipe 1 Grupo A",3,IF(Atletas!K556="Equipe 2 Grupo A",4,IF(Atletas!K556="Equipe 1 Adulto",5,IF(Atletas!K556="Equipe 2 Adulto",6,""))))))))</f>
        <v/>
      </c>
      <c r="BR565" s="50" t="str">
        <f>IF(Atletas!L556="","",IF(Atletas!X556&lt;&gt;"",10000,0)+(IF(Atletas!B556="Feminino",1000,IF(Atletas!B556="Masculino",2000,""))+IF(Atletas!L556="Choylayfut A",1,IF(Atletas!L556="Hunggar A",2,IF(Atletas!L556="Wuzuquan A",3,IF(Atletas!L556="Wingchun A",4,IF(Atletas!L556="Outra Mão de Sul A",5,IF(Atletas!L556="Choylayfut B",6,IF(Atletas!L556="Hunggar B",7,IF(Atletas!L556="Wuzuquan B",8,IF(Atletas!L556="Wingchun B",9,IF(Atletas!L556="Outra Mão de Sul B",10,IF(Atletas!L556="Choylayfut C",11,IF(Atletas!L556="Hunggar C",12,IF(Atletas!L556="Wuzuquan C",13,IF(Atletas!L556="Wingchun C",14,IF(Atletas!L556="Outra Mão de Sul C",15,IF(Atletas!L556="Choylayfut D",16,IF(Atletas!L556="Hunggar D",17,IF(Atletas!L556="Wuzuquan D",18,IF(Atletas!L556="Wingchun D",19,IF(Atletas!L556="Outra Mão de Sul D",20,IF(Atletas!L556="Choylayfut E",21,IF(Atletas!L556="Hunggar E",22,IF(Atletas!L556="Wuzuquan E",23,IF(Atletas!L556="Wingchun E",24,IF(Atletas!L556="Outra Mão de Sul E",25,IF(Atletas!L556="Choylayfut F",26,IF(Atletas!L556="Hunggar F",27,IF(Atletas!L556="Wuzuquan F",28,IF(Atletas!L556="Wingchun F",29,IF(Atletas!L556="Outra Mão de Sul F",30,IF(Atletas!L556="Dishuquan A",31,IF(Atletas!L556="Dishuquan B",32,IF(Atletas!L556="Dishuquan C",33,IF(Atletas!L556="Dishuquan D",34,IF(Atletas!L556="Dishuquan E",35,IF(Atletas!L556="Dishuquan F",36,""))))))))))))))))))))))))))))))))))))))</f>
        <v/>
      </c>
      <c r="BS565" s="50" t="str">
        <f>IF(Atletas!M556="","",IF(Atletas!X556&lt;&gt;"",10000,0)+(IF(Atletas!B556="Feminino",1000,IF(Atletas!B556="Masculino",2000,""))+(IF(Atletas!M556="Chaquan A",101,IF(Atletas!M556="Emeiquan A",102,IF(Atletas!M556="Fanziquan A",103,IF(Atletas!M556="Huaquan A",104,IF(Atletas!M556="Hongquan A",105,IF(Atletas!M556="Paoquan A",106,IF(Atletas!M556="Piguaquan A",107,IF(Atletas!M556="Shaolinquan A",108,IF(Atletas!M556="Tanglangquan A",109,IF(Atletas!M556="Yingzhaoquan A",110,IF(Atletas!M556="Tongbeiquan A",111,IF(Atletas!M556="Wudangquan A",112,IF(Atletas!M556="Outros Estilos A",113,IF(Atletas!M556="Chaquan B",114,IF(Atletas!M556="Emeiquan B",115,IF(Atletas!M556="Fanziquan B",116,IF(Atletas!M556="Huaquan B",117,IF(Atletas!M556="Hongquan B",118,IF(Atletas!M556="Paoquan B",119,IF(Atletas!M556="Piguaquan B",120,IF(Atletas!M556="Shaolinquan B",121,IF(Atletas!M556="Tanglangquan B",122,IF(Atletas!M556="Yingzhaoquan B",123,IF(Atletas!M556="Tongbeiquan B",124,IF(Atletas!M556="Wudangquan B",125,IF(Atletas!M556="Outros Estilos B",126,IF(Atletas!M556="Chaquan C",127,IF(Atletas!M556="Emeiquan C",128,IF(Atletas!M556="Fanziquan C",129,IF(Atletas!M556="Huaquan C",130,IF(Atletas!M556="Hongquan C",131,IF(Atletas!M556="Paoquan C",132,IF(Atletas!M556="Piguaquan C",133,IF(Atletas!M556="Shaolinquan C",134,IF(Atletas!M556="Tanglangquan C",135,IF(Atletas!M556="Yingzhaoquan C",136,IF(Atletas!M556="Tongbeiquan C",137,IF(Atletas!M556="Wudangquan C",138,IF(Atletas!M556="Outros Estilos C",139,0))))))))))))))))))))))))))))))))))))))))))</f>
        <v/>
      </c>
      <c r="BT565" s="50" t="str">
        <f>IF(Atletas!M556="","",IF(Atletas!X556&lt;&gt;"",10000,0)+(IF(Atletas!B556="Feminino",1000,IF(Atletas!B556="Masculino",2000,""))+(IF(Atletas!M556="Chaquan D",140,IF(Atletas!M556="Emeiquan D",141,IF(Atletas!M556="Fanziquan D",142,IF(Atletas!M556="Huaquan D",143,IF(Atletas!M556="Hongquan D",144,IF(Atletas!M556="Paoquan D",145,IF(Atletas!M556="Piguaquan D",146,IF(Atletas!M556="Shaolinquan D",147,IF(Atletas!M556="Tanglangquan D",148,IF(Atletas!M556="Yingzhaoquan D",149,IF(Atletas!M556="Tongbeiquan D",150,IF(Atletas!M556="Wudangquan D",151,IF(Atletas!M556="Outros Estilos D",152,IF(Atletas!M556="Chaquan E",153,IF(Atletas!M556="Emeiquan E",154,IF(Atletas!M556="Fanziquan E",155,IF(Atletas!M556="Huaquan E",156,IF(Atletas!M556="Hongquan E",157,IF(Atletas!M556="Paoquan E",158,IF(Atletas!M556="Piguaquan E",159,IF(Atletas!M556="Shaolinquan E",160,IF(Atletas!M556="Tanglangquan E",161,IF(Atletas!M556="Yingzhaoquan E",162,IF(Atletas!M556="Tongbeiquan E",163,IF(Atletas!M556="Wudangquan E",164,IF(Atletas!M556="Outros Estilos E",165,IF(Atletas!M556="Chaquan F",166,IF(Atletas!M556="Emeiquan F",167,IF(Atletas!M556="Fanziquan F",168,IF(Atletas!M556="Huaquan F",169,IF(Atletas!M556="Hongquan F",170,IF(Atletas!M556="Paoquan F",171,IF(Atletas!M556="Piguaquan F",172,IF(Atletas!M556="Shaolinquan F",173,IF(Atletas!M556="Tanglangquan F",174,IF(Atletas!M556="Yingzhaoquan F",175,IF(Atletas!M556="Tongbeiquan F",176,IF(Atletas!M556="Wudangquan F",177,IF(Atletas!M556="Outros Estilos F",178,0))))))))))))))))))))))))))))))))))))))))))</f>
        <v/>
      </c>
      <c r="BU565" s="50" t="str">
        <f>IF(Atletas!N556="","",IF(Atletas!X556&lt;&gt;"",10000,0)+(IF(Atletas!B556="Feminino",1000,IF(Atletas!B556="Masculino",2000,""))+(IF(Atletas!N556="Ditangquan A",201,IF(Atletas!N556="Houquan A",202,IF(Atletas!N556="Zuiquan A",203,IF(Atletas!N556="Ditangquan B",204,IF(Atletas!N556="Houquan B",205,IF(Atletas!N556="Zuiquan B",206,IF(Atletas!N556="Ditangquan C",207,IF(Atletas!N556="Houquan C",208,IF(Atletas!N556="Zuiquan C",209,IF(Atletas!N556="Ditangquan D",210,IF(Atletas!N556="Houquan D",211,IF(Atletas!N556="Zuiquan D",212,IF(Atletas!N556="Ditangquan E",213,IF(Atletas!N556="Houquan E",214,IF(Atletas!N556="Zuiquan E",215,IF(Atletas!N556="Ditangquan F",216,IF(Atletas!N556="Houquan F",217,IF(Atletas!N556="Zuiquan F",218,"")))))))))))))))))))))</f>
        <v/>
      </c>
      <c r="BV565" s="50" t="str">
        <f>IF(Atletas!O556="","",IF(Atletas!X556&lt;&gt;"",10000,0)+IF(Atletas!B556="Feminino",1000,IF(Atletas!B556="Masculino",2000,""))+IF(Atletas!O556="Yang A",301,IF(Atletas!O556="Chen A",302,IF(Atletas!O556="Sun A",303,IF(Atletas!O556="Wu A",304,IF(Atletas!O556="Wu-Hao A",305,IF(Atletas!O556="Outro Taijiquan A",306,IF(Atletas!O556="Yang B",307,IF(Atletas!O556="Chen B",308,IF(Atletas!O556="Sun B",309,IF(Atletas!O556="Wu B",310,IF(Atletas!O556="Wu-Hao B",311,IF(Atletas!O556="Outro Taijiquan B",312,IF(Atletas!O556="Yang C",313,IF(Atletas!O556="Chen C",314,IF(Atletas!O556="Sun C",315,IF(Atletas!O556="Wu C",316,IF(Atletas!O556="Wu-Hao C",317,IF(Atletas!O556="Outro Taijiquan C",318,IF(Atletas!O556="Yang D",319,IF(Atletas!O556="Chen D",320,IF(Atletas!O556="Sun D",321,IF(Atletas!O556="Wu D",322,IF(Atletas!O556="Wu-Hao D",323,IF(Atletas!O556="Outro Taijiquan D",324,IF(Atletas!O556="Yang E",325,IF(Atletas!O556="Chen E",326,IF(Atletas!O556="Sun E",327,IF(Atletas!O556="Wu E",328,IF(Atletas!O556="Wu-Hao E",329,IF(Atletas!O556="Outro Taijiquan E",330,IF(Atletas!O556="Yang F",331,IF(Atletas!O556="Chen F",332,IF(Atletas!O556="Sun F",333,IF(Atletas!O556="Wu F",334,IF(Atletas!O556="Wu-Hao F",335,IF(Atletas!O556="Outro Taijiquan F",336,"")))))))))))))))))))))))))))))))))))))</f>
        <v/>
      </c>
      <c r="BW565" s="50" t="str">
        <f>IF(Atletas!P556="","",IF(Atletas!X556&lt;&gt;"",10000,0)+IF(Atletas!B556="Feminino",1000,IF(Atletas!B556="Masculino",2000,""))+IF(OR(Atletas!P556="Yang 26 A",Atletas!P556="Yang 40 A"),401,IF(OR(Atletas!P556="Chen 25 A",Atletas!P556="Chen 36 A",Atletas!P556="Chen 56 A"),402,IF(Atletas!P556="Sun 73 A",403,IF(Atletas!P556="Wu 45 A",404,IF(Atletas!P556="Wu-Hao 46 A",405,IF(OR(Atletas!P556="Taijiquan 16 A",Atletas!P556="Taijiquan 24 A",Atletas!P556="Taijiquan 32 A",Atletas!P556="Taijiquan 42 A"),406,IF(OR(Atletas!P556="Yang 26 B",Atletas!P556="Yang 40 B"),407,IF(OR(Atletas!P556="Chen 25 B",Atletas!P556="Chen 36 B",Atletas!P556="Chen 56 B"),408,IF(Atletas!P556="Sun 73 B",409,IF(Atletas!P556="Wu 45 B",410,IF(Atletas!P556="Wu-Hao 46 B",411,IF(OR(Atletas!P556="Taijiquan 16 B",Atletas!P556="Taijiquan 24 B",Atletas!P556="Taijiquan 32 B",Atletas!P556="Taijiquan 42 B"),412,IF(OR(Atletas!P556="Yang 26 C",Atletas!P556="Yang 40 C"),413,IF(OR(Atletas!P556="Chen 25 C",Atletas!P556="Chen 36 C",Atletas!P556="Chen 56 C"),414,IF(Atletas!P556="Sun 73 C",415,IF(Atletas!P556="Wu 45 C",416,IF(Atletas!P556="Wu-Hao 46 C",417,IF(OR(Atletas!P556="Taijiquan 16 C",Atletas!P556="Taijiquan 24 C",Atletas!P556="Taijiquan 32 C",Atletas!P556="Taijiquan 42 C"),418,0)))))))))))))))))))</f>
        <v/>
      </c>
      <c r="BX565" s="50" t="str">
        <f>IF(Atletas!P556="","",IF(Atletas!X556&lt;&gt;"",10000,0)+IF(Atletas!B556="Feminino",1000,IF(Atletas!B556="Masculino",2000,""))+IF(OR(Atletas!P556="Yang 26 D",Atletas!P556="Yang 40 D"),419,IF(OR(Atletas!P556="Chen 25 D",Atletas!P556="Chen 36 D",Atletas!P556="Chen 56 D"),420,IF(Atletas!P556="Sun 73 D",421,IF(Atletas!P556="Wu 45 D",422,IF(Atletas!P556="Wu-Hao 46 D",423,IF(OR(Atletas!P556="Taijiquan 16 D",Atletas!P556="Taijiquan 24 D",Atletas!P556="Taijiquan 32 D",Atletas!P556="Taijiquan 42 D"),424,IF(OR(Atletas!P556="Yang 26 E",Atletas!P556="Yang 40 E"),425,IF(OR(Atletas!P556="Chen 25 E",Atletas!P556="Chen 36 E",Atletas!P556="Chen 56 E"),426,IF(Atletas!P556="Sun 73 E",427,IF(Atletas!P556="Wu 45 E",428,IF(Atletas!P556="Wu-Hao 46 E",429,IF(OR(Atletas!P556="Taijiquan 16 E",Atletas!P556="Taijiquan 24 E",Atletas!P556="Taijiquan 32 E",Atletas!P556="Taijiquan 42 E"),430,IF(OR(Atletas!P556="Yang 26 F",Atletas!P556="Yang 40 F"),431,IF(OR(Atletas!P556="Chen 25 F",Atletas!P556="Chen 36 F",Atletas!P556="Chen 56 F"),432,IF(Atletas!P556="Sun 73 F",433,IF(Atletas!P556="Wu 45 F",434,IF(Atletas!P556="Wu-Hao 46 F",435,IF(OR(Atletas!P556="Taijiquan 16 F",Atletas!P556="Taijiquan 24 F",Atletas!P556="Taijiquan 32 F",Atletas!P556="Taijiquan 42 F"),436,0)))))))))))))))))))</f>
        <v/>
      </c>
      <c r="BY565" s="50" t="str">
        <f>IF(Atletas!Q556="","",IF(Atletas!X556&lt;&gt;"",10000,0)+IF(Atletas!B556="Feminino",1000,IF(Atletas!B556="Masculino",2000,""))+IF(Atletas!Q556="Xingyiquan A",501,IF(Atletas!Q556="Baguazhang A",502,IF(Atletas!Q556="Outro Estilo Interno A",503,IF(Atletas!Q556="Xingyiquan B",504,IF(Atletas!Q556="Baguazhang B",505,IF(Atletas!Q556="Outro Estilo Interno B",506,IF(Atletas!Q556="Xingyiquan C",507,IF(Atletas!Q556="Baguazhang C",508,IF(Atletas!Q556="Outro Estilo Interno C",509,IF(Atletas!Q556="Xingyiquan D",510,IF(Atletas!Q556="Baguazhang D",511,IF(Atletas!Q556="Outro Estilo Interno D",512,IF(Atletas!Q556="Xingyiquan E",513,IF(Atletas!Q556="Baguazhang E",514,IF(Atletas!Q556="Outro Estilo Interno E",515,IF(Atletas!Q556="Xingyiquan F",516,IF(Atletas!Q556="Baguazhang F",517,IF(Atletas!Q556="Outro Estilo Interno F",518, "")))))))))))))))))))</f>
        <v/>
      </c>
      <c r="BZ565" s="50" t="str">
        <f>IF(Atletas!R556="","",IF(Atletas!X556&lt;&gt;"",10000,0)+IF(Atletas!B556="Feminino",1000,IF(Atletas!B556="Masculino",2000,""))+IF(Atletas!R556="Dao A",601,IF(Atletas!R556="Jian A",602,IF(Atletas!R556="Bishou A",603,IF(Atletas!R556="Shanzi A",604,IF(Atletas!R556="Outra Arma Curta A",605,IF(Atletas!R556="Dao B",606,IF(Atletas!R556="Jian B",607,IF(Atletas!R556="Bishou B",608,IF(Atletas!R556="Shanzi B",609,IF(Atletas!R556="Outra Arma Curta B",610,IF(Atletas!R556="Dao C",611,IF(Atletas!R556="Jian C",612,IF(Atletas!R556="Bishou C",613,IF(Atletas!R556="Shanzi C",614,IF(Atletas!R556="Outra Arma Curta C",615,IF(Atletas!R556="Dao D",616,IF(Atletas!R556="Jian D",617,IF(Atletas!R556="Bishou D",618,IF(Atletas!R556="Shanzi D",619,IF(Atletas!R556="Outra Arma Curta D",620,IF(Atletas!R556="Dao E",621,IF(Atletas!R556="Jian E",622,IF(Atletas!R556="Bishou E",623,IF(Atletas!R556="Shanzi E",624,IF(Atletas!R556="Outra Arma Curta E",625,IF(Atletas!R556="Dao F",626,IF(Atletas!R556="Jian F",627,IF(Atletas!R556="Bishou F",628,IF(Atletas!R556="Shanzi F",629,IF(Atletas!R556="Outra Arma Curta F",630, "")))))))))))))))))))))))))))))))</f>
        <v/>
      </c>
      <c r="CA565" s="50" t="str">
        <f>IF(Atletas!S556="","",IF(Atletas!X556&lt;&gt;"",10000,0)+IF(Atletas!B556="Feminino",1000,IF(Atletas!B556="Masculino",2000,""))+IF(Atletas!S556="Gun A",701,IF(Atletas!S556="Qiang A",702,IF(Atletas!S556="Pudao / Guandao A",703,IF(Atletas!S556="Outra Arma Longa A",704,IF(Atletas!S556="Gun B",705,IF(Atletas!S556="Qiang B",706,IF(Atletas!S556="Pudao / Guandao B",707,IF(Atletas!S556="Outra Arma Longa B",708,IF(Atletas!S556="Gun C",709,IF(Atletas!S556="Qiang C",710,IF(Atletas!S556="Pudao / Guandao C",711,IF(Atletas!S556="Outra Arma Longa C",712,IF(Atletas!S556="Gun D",713,IF(Atletas!S556="Qiang D",714,IF(Atletas!S556="Pudao / Guandao D",715,IF(Atletas!S556="Outra Arma Longa D",716,IF(Atletas!S556="Gun E",717,IF(Atletas!S556="Qiang E",718,IF(Atletas!S556="Pudao / Guandao E",719,IF(Atletas!S556="Outra Arma Longa E",720,IF(Atletas!S556="Gun F",721,IF(Atletas!S556="Qiang F",722,IF(Atletas!S556="Pudao / Guandao F",723,IF(Atletas!S556="Outra Arma Longa F",724,"")))))))))))))))))))))))))</f>
        <v/>
      </c>
      <c r="CB565" s="50" t="str">
        <f>IF(Atletas!T556="","",IF(Atletas!X556&lt;&gt;"",10000,0)+IF(Atletas!B556="Feminino",1000,IF(Atletas!B556="Masculino",2000,""))+IF(Atletas!T556="Outra Arma Dupla A",801,IF(Atletas!T556="Arma Maleável A",802,IF(Atletas!T556="Outra Arma Dupla B",803,IF(Atletas!T556="Arma Maleável B",804,IF(Atletas!T556="Outra Arma Dupla C",805,IF(Atletas!T556="Arma Maleável C",806,IF(Atletas!T556="Outra Arma Dupla D",807,IF(Atletas!T556="Arma Maleável D",808,IF(Atletas!T556="Outra Arma Dupla E",809,IF(Atletas!T556="Arma Maleável E",810,IF(Atletas!T556="Outra Arma Dupla F",811,IF(Atletas!T556="Arma Maleável F",812,IF(Atletas!T556="Shuangdao A",813,IF(Atletas!T556="Shuangdao B",814,IF(Atletas!T556="Shuangdao C",815,IF(Atletas!T556="Shuangdao D",816,IF(Atletas!T556="Shuangdao E",817,IF(Atletas!T556="Shuangdao F",818,"")))))))))))))))))))</f>
        <v/>
      </c>
      <c r="CC565" s="50" t="str">
        <f>IF(Atletas!U556="","",IF(Atletas!X556&lt;&gt;"",10000,0)+IF(Atletas!B556="Feminino",1000,IF(Atletas!B556="Masculino",2000,""))+IF(OR(Atletas!U556="Taijijian Yang A",Atletas!U556="Taijijian Yang Standard A"),901,IF(OR(Atletas!U556="Taijijian Chen A", Atletas!U556="Taijijian Chen Standard A"),902,IF(Atletas!U556="Taijijian Sun A",903,IF(Atletas!U556="Taijijian Wu A",904,IF(Atletas!U556="Taijijian Wu-Hao A",905,IF(OR(Atletas!U556="Taijijian 32 A",Atletas!U556="Taijijian 42 A"),906,IF(OR(Atletas!U556="Taijijian Yang B",Atletas!U556="Taijijian Yang Standard B"),907,IF(OR(Atletas!U556="Taijijian Chen B", Atletas!U556="Taijijian Chen Standard B"),908,IF(Atletas!U556="Taijijian Sun B",909,IF(Atletas!U556="Taijijian Wu B",910,IF(Atletas!U556="Taijijian Wu-Hao B",911,IF(OR(Atletas!U556="Taijijian 32 B",Atletas!U556="Taijijian 42 B"),912,IF(OR(Atletas!U556="Taijijian Yang C",Atletas!U556="Taijijian Yang Standard C"),913,IF(OR(Atletas!U556="Taijijian Chen C", Atletas!U556="Taijijian Chen Standard C"),914,IF(Atletas!U556="Taijijian Sun C",915,IF(Atletas!U556="Taijijian Wu C",916,IF(Atletas!U556="Taijijian Wu-Hao C",917,IF(OR(Atletas!U556="Taijijian 32 C",Atletas!U556="Taijijian 42 C"),918,IF(OR(Atletas!U556="Taijijian Yang D",Atletas!U556="Taijijian Yang Standard D"),919,IF(OR(Atletas!U556="Taijijian Chen D", Atletas!U556="Taijijian Chen Standard D"),920,IF(Atletas!U556="Taijijian Sun D",921,IF(Atletas!U556="Taijijian Wu D",922,IF(Atletas!U556="Taijijian Wu-Hao D",923,IF(OR(Atletas!U556="Taijijian 32 D",Atletas!U556="Taijijian 42 D"),924,IF(OR(Atletas!U556="Taijijian Yang E",Atletas!U556="Taijijian Yang Standard E"),925,IF(OR(Atletas!U556="Taijijian Chen E", Atletas!U556="Taijijian Chen Standard E"),926,IF(Atletas!U556="Taijijian Sun E",927,IF(Atletas!U556="Taijijian Wu E",928,IF(Atletas!U556="Taijijian Wu-Hao E",929,IF(OR(Atletas!U556="Taijijian 32 E",Atletas!U556="Taijijian 42 E"),930,IF(OR(Atletas!U556="Taijijian Yang F",Atletas!U556="Taijijian Yang Standard F"),931,IF(OR(Atletas!U556="Taijijian Chen F", Atletas!U556="Taijijian Chen Standard F"),932,IF(Atletas!U556="Taijijian Sun F",933,IF(Atletas!U556="Taijijian Wu F",934,IF(Atletas!U556="Taijijian Wu-Hao F",935,IF(OR(Atletas!U556="Taijijian 32 F",Atletas!U556="Taijijian 42 F"),936,"")))))))))))))))))))))))))))))))))))))</f>
        <v/>
      </c>
      <c r="CD565" s="50" t="str">
        <f>IF(Atletas!V556="","",IF(Atletas!X556&lt;&gt;"",10000,0)+IF(Atletas!B556="Feminino",1000,IF(Atletas!B556="Masculino",2000,""))+IF(Atletas!V556="Taijidao A",937,IF(Atletas!V556="TaijiShanzi A",938,IF(Atletas!V556="Taijiqiang A",939,IF(Atletas!V556="Bagua de Arma A",940,IF(Atletas!V556="Xingyi de Arma A",941,IF(Atletas!V556="Taijidao B",942,IF(Atletas!V556="TaijiShanzi B",943,IF(Atletas!V556="Taijiqiang B",944,IF(Atletas!V556="Bagua de Arma B",945,IF(Atletas!V556="Xingyi de Arma B",946,IF(Atletas!V556="Taijidao C",947,IF(Atletas!V556="TaijiShanzi C",948,IF(Atletas!V556="Taijiqiang C",949,IF(Atletas!V556="Bagua de Arma C",950,IF(Atletas!V556="Xingyi de Arma C",951,IF(Atletas!V556="Taijidao D",952,IF(Atletas!V556="TaijiShanzi D",953,IF(Atletas!V556="Taijiqiang D",954,IF(Atletas!V556="Bagua de Arma D",955,IF(Atletas!V556="Xingyi de Arma D",956,IF(Atletas!V556="Taijidao E",957,IF(Atletas!V556="TaijiShanzi E",958,IF(Atletas!V556="Taijiqiang E",959,IF(Atletas!V556="Bagua de Arma E",960,IF(Atletas!V556="Xingyi de Arma E",961,IF(Atletas!V556="Taijidao F",962,IF(Atletas!V556="TaijiShanzi F",963,IF(Atletas!V556="Taijiqiang F",964,IF(Atletas!V556="Bagua de Arma F",965,IF(Atletas!V556="Xingyi de Arma F",966,"")))))))))))))))))))))))))))))))</f>
        <v/>
      </c>
      <c r="CM565" s="50" t="str">
        <f xml:space="preserve"> IF(Atletas!W556="","",IF(Atletas!W556="Duilian de Mãos BC - Equipe 1",1,IF(Atletas!W556="Duilian de Mãos BC - Equipe 2",2,IF(Atletas!W556="Duilian de Armas BC - Equipe 1",3,IF(Atletas!W556="Duilian de Armas BC - Equipe 2",4,IF(Atletas!W556="Duilian de Mãos DE - Equipe 1",5,IF(Atletas!W556="Duilian de Mãos DE - Equipe 2",6,IF(Atletas!W556="Duilian de Armas DE - Equipe 1",7,IF(Atletas!W556="Duilian de Armas DE - Equipe 2",8,IF(Atletas!W556="Duilian de Tuishou - Equipe 1",9,IF(Atletas!W556="Duilian de Tuishou - Equipe 2",10,IF(Atletas!W556="Grupo Externo ABC - Equipe 1",11,IF(Atletas!W556="Grupo Externo ABC - Equipe 2",12,IF(Atletas!W556="Grupo Interno ABC - Equipe 1",13,IF(Atletas!W556="Grupo Interno ABC - Equipe 2",14,IF(Atletas!W556="Grupo Externo DEF - Equipe 1",15,IF(Atletas!W556="Grupo Externo DEF - Equipe 2",16,IF(Atletas!W556="Grupo Interno DEF - Equipe 1",17,IF(Atletas!W556="Grupo Interno DEF - Equipe 2",18,"")))))))))))))))))))</f>
        <v/>
      </c>
    </row>
    <row r="566" spans="40:91">
      <c r="AN566" s="52" t="str">
        <f>IF(Atletas!D557="","",IF(Atletas!B557="Feminino",100,IF(Atletas!B557="Masculino",200,""))+(IF(Atletas!D557="Kids 30kg",1,IF(Atletas!D557="Kids 32kg",2, IF(Atletas!D557="Kids 34kg",3,IF(Atletas!D557="Kids 36kg",4,IF(Atletas!D557="Kids 39kg",5,IF(Atletas!D557="Kids 42kg",6,IF(Atletas!D557="Kids 45kg",7, IF(Atletas!D557="Infantil 39kg",8,IF(Atletas!D557="Infantil 42kg",9,IF(Atletas!D557="Infantil 45kg",10,IF(Atletas!D557="Infantil 48kg",11,IF(Atletas!D557="Infantil 52kg",12,IF(Atletas!D557="Infantil 56kg",13,IF(Atletas!D557="Infantil 60kg",14,IF(Atletas!D557="Juvenil 48kg",15,IF(Atletas!D557="Juvenil 52kg",16,IF(Atletas!D557="Juvenil 56kg",17,IF(Atletas!D557="Juvenil 60kg",18,IF(Atletas!D557="Juvenil 65kg",19,IF(Atletas!D557="Juvenil 70kg",20,IF(Atletas!D557="Juvenil 75kg",21,IF(Atletas!D557="Juvenil 80kg",22, IF(Atletas!D557="Juvenil 85kg",23,IF(Atletas!D557="Adulto 48kg",24,IF(Atletas!D557="Adulto 52kg",25,IF(Atletas!D557="Adulto 56kg",26,IF(Atletas!D557="Adulto 60kg",27,IF(Atletas!D557="Adulto 65kg",28,IF(Atletas!D557="Adulto 70kg",29,IF(Atletas!D557="Adulto 75kg",30,IF(Atletas!D557="Adulto 80kg",31,IF(Atletas!D557="Adulto 85kg",32,IF(Atletas!D557="Adulto 90kg",33,IF(Atletas!D557="Adulto 100kg",34, IF(Atletas!D557="Adulto +100kg",35,"")))))))))))))))))))))))))))))))))))))</f>
        <v/>
      </c>
      <c r="AS566" s="6" t="str">
        <f>IF(Atletas!E557="","",IF(Atletas!B557="Feminino",100,IF(Atletas!B557="Masculino",200,""))+(IF(Atletas!E557="Juvenil 44kg",1,IF(Atletas!E557="Juvenil 48kg",2,IF(Atletas!E557="Juvenil 52kg",3,IF(Atletas!E557="Juvenil 56kg",4,IF(Atletas!E557="Juvenil 60kg",5,IF(Atletas!E557="Juvenil 65kg",6,IF(Atletas!E557="Juvenil 70kg",7,IF(Atletas!E557="Juvenil 75kg",8,IF(Atletas!E557="Juvenil 82kg",9,IF(Atletas!E557="Juvenil 90kg",10,IF(Atletas!E557="Juvenil 100kg",11,IF(Atletas!E557="Adulto 48kg",12,IF(Atletas!E557="Adulto 52kg",13,IF(Atletas!E557="Adulto 56kg",14,IF(Atletas!E557="Adulto 60kg",15,IF(Atletas!E557="Adulto 65kg",16,IF(Atletas!E557="Adulto 70kg",17,IF(Atletas!E557="Adulto 75kg",18,IF(Atletas!E557="Adulto 82kg",19,IF(Atletas!E557="Adulto 90kg",20,IF(Atletas!E557="Adulto 100kg",21,IF(Atletas!E557="Adulto +100kg",22,""))))))))))))))))))))))))</f>
        <v/>
      </c>
      <c r="AX566" s="6" t="str">
        <f>IF(Atletas!F557="","",IF(Atletas!B557="Feminino",100,IF(Atletas!B557="Masculino",200,""))+(IF(Atletas!F557="Adulto 48kg",1,IF(Atletas!F557="Adulto 56kg",2,IF(Atletas!F557="Adulto 65kg",3,IF(Atletas!F557="Adulto 75kg",4,IF(Atletas!F557="Adulto +75kg",5,IF(Atletas!F557="Adulto 52kg",6,IF(Atletas!F557="Adulto 60kg",7,IF(Atletas!F557="Adulto 70kg",8,IF(Atletas!F557="Adulto 80kg",9,IF(Atletas!F557="Adulto 90kg",10,IF(Atletas!F557="Adulto +90kg",11,"")))))))))))))</f>
        <v/>
      </c>
      <c r="BC566" s="6" t="str">
        <f>IF(Atletas!G557="","",IF(Atletas!B557="Feminino",10,IF(Atletas!B557="Masculino",20,""))+(IF(Atletas!G557="Baduanjin A",1,IF(Atletas!G557="Baduanjin B",2))))</f>
        <v/>
      </c>
      <c r="BF566" s="52" t="str">
        <f>IF(Atletas!H557="","",IF(Atletas!B557="Feminino",100,IF(Atletas!B557="Masculino",200,""))+(IF(Atletas!H557="Changquan Mirim",1,IF(Atletas!H557="Nanquan Mirim",2,IF(Atletas!H557="Taijiquan Mirim",3,IF(Atletas!H557="Changquan Grupo C",4,IF(Atletas!H557="Nanquan Grupo C",5,IF(Atletas!H557="Taijiquan Grupo C",6,IF(Atletas!H557="Changquan Grupo B",7,IF(Atletas!H557="Nanquan Grupo B",8,IF(Atletas!H557="Taijiquan Grupo B",9,IF(Atletas!H557="Changquan Grupo A",10,IF(Atletas!H557="Nanquan Grupo A",11,IF(Atletas!H557="Taijiquan Grupo A",12,IF(Atletas!H557="Changquan Opcional",13,IF(Atletas!H557="Nanquan Opcional",14,IF(Atletas!H557="Taijiquan Opcional",15,IF(Atletas!H557="Changquan Adulto",16,IF(Atletas!H557="Nanquan Adulto",17,IF(Atletas!H557="Taijiquan Adulto",18,""))))))))))))))))))))</f>
        <v/>
      </c>
      <c r="BG566" s="52" t="str">
        <f>IF(Atletas!I557="","",IF(Atletas!B557="Feminino",100,IF(Atletas!B557="Masculino",200,""))+(IF(Atletas!I557="Daoshu Mirim",19,IF(Atletas!I557="Jianshu Mirim",20,IF(Atletas!I557="Nandao Mirim",21,IF(Atletas!I557="Taijijian Mirim",22,IF(Atletas!I557="Daoshu Grupo C",23,IF(Atletas!I557="Jianshu Grupo C",24,IF(Atletas!I557="Nandao Grupo C",25,IF(Atletas!I557="Taijijian Grupo C",26,IF(Atletas!I557="Daoshu Grupo B",27,IF(Atletas!I557="Jianshu Grupo B",28,IF(Atletas!I557="Nandao Grupo B",29,IF(Atletas!I557="Taijijian Grupo B",30,IF(Atletas!I557="Daoshu Grupo A",31,IF(Atletas!I557="Jianshu Grupo A",32,IF(Atletas!I557="Nandao Grupo A",33,IF(Atletas!I557="Taijijian Grupo A",34,IF(Atletas!I557="Daoshu Opcional",35,IF(Atletas!I557="Jianshu Opcional",36,IF(Atletas!I557="Nandao Opcional",37,IF(Atletas!I557="Taijijian Opcional",38,IF(Atletas!I557="Daoshu Adulto",39,IF(Atletas!I557="Jianshu Adulto",40,IF(Atletas!I557="Nandao Adulto",41,IF(Atletas!I557="Taijijian Adulto",42,""))))))))))))))))))))))))))</f>
        <v/>
      </c>
      <c r="BH566" s="52" t="str">
        <f>IF(Atletas!J557="","",IF(Atletas!B557="Feminino",100,IF(Atletas!B557="Masculino",200,""))+(IF(Atletas!J557="Gunshu Mirim",43,IF(Atletas!J557="Qiangshu Mirim",44,IF(Atletas!J557="Nangun Mirim",45,IF(Atletas!J557="Gunshu Grupo C",46,IF(Atletas!J557="Qiangshu Grupo C",47,IF(Atletas!J557="Nangun Grupo C",48,IF(Atletas!J557="Gunshu Grupo B",49,IF(Atletas!J557="Qiangshu Grupo B",50,IF(Atletas!J557="Nangun Grupo B",51,IF(Atletas!J557="Gunshu Grupo A",52,IF(Atletas!J557="Qiangshu Grupo A",53,IF(Atletas!J557="Nangun Grupo A",54,IF(Atletas!J557="Gunshu Opcional",55,IF(Atletas!J557="Qiangshu Opcional",56,IF(Atletas!J557="Nangun Opcional",57,IF(Atletas!J557="Gunshu Adulto",58,IF(Atletas!J557="Qiangshu Adulto",59,IF(Atletas!J557="Nangun Adulto",60,IF(Atletas!J557="Taijishan Grupo B",61,IF(Atletas!J557="Taijishan Grupo A",62,""))))))))))))))))))))))</f>
        <v/>
      </c>
      <c r="BM566" s="50" t="str">
        <f>IF(Atletas!K557="","",IF(Atletas!B557="Feminino",100,IF(Atletas!B557="Masculino",200,""))+(IF(Atletas!K557="Equipe 1 Grupo B",1,IF(Atletas!K557="Equipe 2 Grupo B",2,IF(Atletas!K557="Equipe 1 Grupo A",3,IF(Atletas!K557="Equipe 2 Grupo A",4,IF(Atletas!K557="Equipe 1 Adulto",5,IF(Atletas!K557="Equipe 2 Adulto",6,""))))))))</f>
        <v/>
      </c>
      <c r="BR566" s="50" t="str">
        <f>IF(Atletas!L557="","",IF(Atletas!X557&lt;&gt;"",10000,0)+(IF(Atletas!B557="Feminino",1000,IF(Atletas!B557="Masculino",2000,""))+IF(Atletas!L557="Choylayfut A",1,IF(Atletas!L557="Hunggar A",2,IF(Atletas!L557="Wuzuquan A",3,IF(Atletas!L557="Wingchun A",4,IF(Atletas!L557="Outra Mão de Sul A",5,IF(Atletas!L557="Choylayfut B",6,IF(Atletas!L557="Hunggar B",7,IF(Atletas!L557="Wuzuquan B",8,IF(Atletas!L557="Wingchun B",9,IF(Atletas!L557="Outra Mão de Sul B",10,IF(Atletas!L557="Choylayfut C",11,IF(Atletas!L557="Hunggar C",12,IF(Atletas!L557="Wuzuquan C",13,IF(Atletas!L557="Wingchun C",14,IF(Atletas!L557="Outra Mão de Sul C",15,IF(Atletas!L557="Choylayfut D",16,IF(Atletas!L557="Hunggar D",17,IF(Atletas!L557="Wuzuquan D",18,IF(Atletas!L557="Wingchun D",19,IF(Atletas!L557="Outra Mão de Sul D",20,IF(Atletas!L557="Choylayfut E",21,IF(Atletas!L557="Hunggar E",22,IF(Atletas!L557="Wuzuquan E",23,IF(Atletas!L557="Wingchun E",24,IF(Atletas!L557="Outra Mão de Sul E",25,IF(Atletas!L557="Choylayfut F",26,IF(Atletas!L557="Hunggar F",27,IF(Atletas!L557="Wuzuquan F",28,IF(Atletas!L557="Wingchun F",29,IF(Atletas!L557="Outra Mão de Sul F",30,IF(Atletas!L557="Dishuquan A",31,IF(Atletas!L557="Dishuquan B",32,IF(Atletas!L557="Dishuquan C",33,IF(Atletas!L557="Dishuquan D",34,IF(Atletas!L557="Dishuquan E",35,IF(Atletas!L557="Dishuquan F",36,""))))))))))))))))))))))))))))))))))))))</f>
        <v/>
      </c>
      <c r="BS566" s="50" t="str">
        <f>IF(Atletas!M557="","",IF(Atletas!X557&lt;&gt;"",10000,0)+(IF(Atletas!B557="Feminino",1000,IF(Atletas!B557="Masculino",2000,""))+(IF(Atletas!M557="Chaquan A",101,IF(Atletas!M557="Emeiquan A",102,IF(Atletas!M557="Fanziquan A",103,IF(Atletas!M557="Huaquan A",104,IF(Atletas!M557="Hongquan A",105,IF(Atletas!M557="Paoquan A",106,IF(Atletas!M557="Piguaquan A",107,IF(Atletas!M557="Shaolinquan A",108,IF(Atletas!M557="Tanglangquan A",109,IF(Atletas!M557="Yingzhaoquan A",110,IF(Atletas!M557="Tongbeiquan A",111,IF(Atletas!M557="Wudangquan A",112,IF(Atletas!M557="Outros Estilos A",113,IF(Atletas!M557="Chaquan B",114,IF(Atletas!M557="Emeiquan B",115,IF(Atletas!M557="Fanziquan B",116,IF(Atletas!M557="Huaquan B",117,IF(Atletas!M557="Hongquan B",118,IF(Atletas!M557="Paoquan B",119,IF(Atletas!M557="Piguaquan B",120,IF(Atletas!M557="Shaolinquan B",121,IF(Atletas!M557="Tanglangquan B",122,IF(Atletas!M557="Yingzhaoquan B",123,IF(Atletas!M557="Tongbeiquan B",124,IF(Atletas!M557="Wudangquan B",125,IF(Atletas!M557="Outros Estilos B",126,IF(Atletas!M557="Chaquan C",127,IF(Atletas!M557="Emeiquan C",128,IF(Atletas!M557="Fanziquan C",129,IF(Atletas!M557="Huaquan C",130,IF(Atletas!M557="Hongquan C",131,IF(Atletas!M557="Paoquan C",132,IF(Atletas!M557="Piguaquan C",133,IF(Atletas!M557="Shaolinquan C",134,IF(Atletas!M557="Tanglangquan C",135,IF(Atletas!M557="Yingzhaoquan C",136,IF(Atletas!M557="Tongbeiquan C",137,IF(Atletas!M557="Wudangquan C",138,IF(Atletas!M557="Outros Estilos C",139,0))))))))))))))))))))))))))))))))))))))))))</f>
        <v/>
      </c>
      <c r="BT566" s="50" t="str">
        <f>IF(Atletas!M557="","",IF(Atletas!X557&lt;&gt;"",10000,0)+(IF(Atletas!B557="Feminino",1000,IF(Atletas!B557="Masculino",2000,""))+(IF(Atletas!M557="Chaquan D",140,IF(Atletas!M557="Emeiquan D",141,IF(Atletas!M557="Fanziquan D",142,IF(Atletas!M557="Huaquan D",143,IF(Atletas!M557="Hongquan D",144,IF(Atletas!M557="Paoquan D",145,IF(Atletas!M557="Piguaquan D",146,IF(Atletas!M557="Shaolinquan D",147,IF(Atletas!M557="Tanglangquan D",148,IF(Atletas!M557="Yingzhaoquan D",149,IF(Atletas!M557="Tongbeiquan D",150,IF(Atletas!M557="Wudangquan D",151,IF(Atletas!M557="Outros Estilos D",152,IF(Atletas!M557="Chaquan E",153,IF(Atletas!M557="Emeiquan E",154,IF(Atletas!M557="Fanziquan E",155,IF(Atletas!M557="Huaquan E",156,IF(Atletas!M557="Hongquan E",157,IF(Atletas!M557="Paoquan E",158,IF(Atletas!M557="Piguaquan E",159,IF(Atletas!M557="Shaolinquan E",160,IF(Atletas!M557="Tanglangquan E",161,IF(Atletas!M557="Yingzhaoquan E",162,IF(Atletas!M557="Tongbeiquan E",163,IF(Atletas!M557="Wudangquan E",164,IF(Atletas!M557="Outros Estilos E",165,IF(Atletas!M557="Chaquan F",166,IF(Atletas!M557="Emeiquan F",167,IF(Atletas!M557="Fanziquan F",168,IF(Atletas!M557="Huaquan F",169,IF(Atletas!M557="Hongquan F",170,IF(Atletas!M557="Paoquan F",171,IF(Atletas!M557="Piguaquan F",172,IF(Atletas!M557="Shaolinquan F",173,IF(Atletas!M557="Tanglangquan F",174,IF(Atletas!M557="Yingzhaoquan F",175,IF(Atletas!M557="Tongbeiquan F",176,IF(Atletas!M557="Wudangquan F",177,IF(Atletas!M557="Outros Estilos F",178,0))))))))))))))))))))))))))))))))))))))))))</f>
        <v/>
      </c>
      <c r="BU566" s="50" t="str">
        <f>IF(Atletas!N557="","",IF(Atletas!X557&lt;&gt;"",10000,0)+(IF(Atletas!B557="Feminino",1000,IF(Atletas!B557="Masculino",2000,""))+(IF(Atletas!N557="Ditangquan A",201,IF(Atletas!N557="Houquan A",202,IF(Atletas!N557="Zuiquan A",203,IF(Atletas!N557="Ditangquan B",204,IF(Atletas!N557="Houquan B",205,IF(Atletas!N557="Zuiquan B",206,IF(Atletas!N557="Ditangquan C",207,IF(Atletas!N557="Houquan C",208,IF(Atletas!N557="Zuiquan C",209,IF(Atletas!N557="Ditangquan D",210,IF(Atletas!N557="Houquan D",211,IF(Atletas!N557="Zuiquan D",212,IF(Atletas!N557="Ditangquan E",213,IF(Atletas!N557="Houquan E",214,IF(Atletas!N557="Zuiquan E",215,IF(Atletas!N557="Ditangquan F",216,IF(Atletas!N557="Houquan F",217,IF(Atletas!N557="Zuiquan F",218,"")))))))))))))))))))))</f>
        <v/>
      </c>
      <c r="BV566" s="50" t="str">
        <f>IF(Atletas!O557="","",IF(Atletas!X557&lt;&gt;"",10000,0)+IF(Atletas!B557="Feminino",1000,IF(Atletas!B557="Masculino",2000,""))+IF(Atletas!O557="Yang A",301,IF(Atletas!O557="Chen A",302,IF(Atletas!O557="Sun A",303,IF(Atletas!O557="Wu A",304,IF(Atletas!O557="Wu-Hao A",305,IF(Atletas!O557="Outro Taijiquan A",306,IF(Atletas!O557="Yang B",307,IF(Atletas!O557="Chen B",308,IF(Atletas!O557="Sun B",309,IF(Atletas!O557="Wu B",310,IF(Atletas!O557="Wu-Hao B",311,IF(Atletas!O557="Outro Taijiquan B",312,IF(Atletas!O557="Yang C",313,IF(Atletas!O557="Chen C",314,IF(Atletas!O557="Sun C",315,IF(Atletas!O557="Wu C",316,IF(Atletas!O557="Wu-Hao C",317,IF(Atletas!O557="Outro Taijiquan C",318,IF(Atletas!O557="Yang D",319,IF(Atletas!O557="Chen D",320,IF(Atletas!O557="Sun D",321,IF(Atletas!O557="Wu D",322,IF(Atletas!O557="Wu-Hao D",323,IF(Atletas!O557="Outro Taijiquan D",324,IF(Atletas!O557="Yang E",325,IF(Atletas!O557="Chen E",326,IF(Atletas!O557="Sun E",327,IF(Atletas!O557="Wu E",328,IF(Atletas!O557="Wu-Hao E",329,IF(Atletas!O557="Outro Taijiquan E",330,IF(Atletas!O557="Yang F",331,IF(Atletas!O557="Chen F",332,IF(Atletas!O557="Sun F",333,IF(Atletas!O557="Wu F",334,IF(Atletas!O557="Wu-Hao F",335,IF(Atletas!O557="Outro Taijiquan F",336,"")))))))))))))))))))))))))))))))))))))</f>
        <v/>
      </c>
      <c r="BW566" s="50" t="str">
        <f>IF(Atletas!P557="","",IF(Atletas!X557&lt;&gt;"",10000,0)+IF(Atletas!B557="Feminino",1000,IF(Atletas!B557="Masculino",2000,""))+IF(OR(Atletas!P557="Yang 26 A",Atletas!P557="Yang 40 A"),401,IF(OR(Atletas!P557="Chen 25 A",Atletas!P557="Chen 36 A",Atletas!P557="Chen 56 A"),402,IF(Atletas!P557="Sun 73 A",403,IF(Atletas!P557="Wu 45 A",404,IF(Atletas!P557="Wu-Hao 46 A",405,IF(OR(Atletas!P557="Taijiquan 16 A",Atletas!P557="Taijiquan 24 A",Atletas!P557="Taijiquan 32 A",Atletas!P557="Taijiquan 42 A"),406,IF(OR(Atletas!P557="Yang 26 B",Atletas!P557="Yang 40 B"),407,IF(OR(Atletas!P557="Chen 25 B",Atletas!P557="Chen 36 B",Atletas!P557="Chen 56 B"),408,IF(Atletas!P557="Sun 73 B",409,IF(Atletas!P557="Wu 45 B",410,IF(Atletas!P557="Wu-Hao 46 B",411,IF(OR(Atletas!P557="Taijiquan 16 B",Atletas!P557="Taijiquan 24 B",Atletas!P557="Taijiquan 32 B",Atletas!P557="Taijiquan 42 B"),412,IF(OR(Atletas!P557="Yang 26 C",Atletas!P557="Yang 40 C"),413,IF(OR(Atletas!P557="Chen 25 C",Atletas!P557="Chen 36 C",Atletas!P557="Chen 56 C"),414,IF(Atletas!P557="Sun 73 C",415,IF(Atletas!P557="Wu 45 C",416,IF(Atletas!P557="Wu-Hao 46 C",417,IF(OR(Atletas!P557="Taijiquan 16 C",Atletas!P557="Taijiquan 24 C",Atletas!P557="Taijiquan 32 C",Atletas!P557="Taijiquan 42 C"),418,0)))))))))))))))))))</f>
        <v/>
      </c>
      <c r="BX566" s="50" t="str">
        <f>IF(Atletas!P557="","",IF(Atletas!X557&lt;&gt;"",10000,0)+IF(Atletas!B557="Feminino",1000,IF(Atletas!B557="Masculino",2000,""))+IF(OR(Atletas!P557="Yang 26 D",Atletas!P557="Yang 40 D"),419,IF(OR(Atletas!P557="Chen 25 D",Atletas!P557="Chen 36 D",Atletas!P557="Chen 56 D"),420,IF(Atletas!P557="Sun 73 D",421,IF(Atletas!P557="Wu 45 D",422,IF(Atletas!P557="Wu-Hao 46 D",423,IF(OR(Atletas!P557="Taijiquan 16 D",Atletas!P557="Taijiquan 24 D",Atletas!P557="Taijiquan 32 D",Atletas!P557="Taijiquan 42 D"),424,IF(OR(Atletas!P557="Yang 26 E",Atletas!P557="Yang 40 E"),425,IF(OR(Atletas!P557="Chen 25 E",Atletas!P557="Chen 36 E",Atletas!P557="Chen 56 E"),426,IF(Atletas!P557="Sun 73 E",427,IF(Atletas!P557="Wu 45 E",428,IF(Atletas!P557="Wu-Hao 46 E",429,IF(OR(Atletas!P557="Taijiquan 16 E",Atletas!P557="Taijiquan 24 E",Atletas!P557="Taijiquan 32 E",Atletas!P557="Taijiquan 42 E"),430,IF(OR(Atletas!P557="Yang 26 F",Atletas!P557="Yang 40 F"),431,IF(OR(Atletas!P557="Chen 25 F",Atletas!P557="Chen 36 F",Atletas!P557="Chen 56 F"),432,IF(Atletas!P557="Sun 73 F",433,IF(Atletas!P557="Wu 45 F",434,IF(Atletas!P557="Wu-Hao 46 F",435,IF(OR(Atletas!P557="Taijiquan 16 F",Atletas!P557="Taijiquan 24 F",Atletas!P557="Taijiquan 32 F",Atletas!P557="Taijiquan 42 F"),436,0)))))))))))))))))))</f>
        <v/>
      </c>
      <c r="BY566" s="50" t="str">
        <f>IF(Atletas!Q557="","",IF(Atletas!X557&lt;&gt;"",10000,0)+IF(Atletas!B557="Feminino",1000,IF(Atletas!B557="Masculino",2000,""))+IF(Atletas!Q557="Xingyiquan A",501,IF(Atletas!Q557="Baguazhang A",502,IF(Atletas!Q557="Outro Estilo Interno A",503,IF(Atletas!Q557="Xingyiquan B",504,IF(Atletas!Q557="Baguazhang B",505,IF(Atletas!Q557="Outro Estilo Interno B",506,IF(Atletas!Q557="Xingyiquan C",507,IF(Atletas!Q557="Baguazhang C",508,IF(Atletas!Q557="Outro Estilo Interno C",509,IF(Atletas!Q557="Xingyiquan D",510,IF(Atletas!Q557="Baguazhang D",511,IF(Atletas!Q557="Outro Estilo Interno D",512,IF(Atletas!Q557="Xingyiquan E",513,IF(Atletas!Q557="Baguazhang E",514,IF(Atletas!Q557="Outro Estilo Interno E",515,IF(Atletas!Q557="Xingyiquan F",516,IF(Atletas!Q557="Baguazhang F",517,IF(Atletas!Q557="Outro Estilo Interno F",518, "")))))))))))))))))))</f>
        <v/>
      </c>
      <c r="BZ566" s="50" t="str">
        <f>IF(Atletas!R557="","",IF(Atletas!X557&lt;&gt;"",10000,0)+IF(Atletas!B557="Feminino",1000,IF(Atletas!B557="Masculino",2000,""))+IF(Atletas!R557="Dao A",601,IF(Atletas!R557="Jian A",602,IF(Atletas!R557="Bishou A",603,IF(Atletas!R557="Shanzi A",604,IF(Atletas!R557="Outra Arma Curta A",605,IF(Atletas!R557="Dao B",606,IF(Atletas!R557="Jian B",607,IF(Atletas!R557="Bishou B",608,IF(Atletas!R557="Shanzi B",609,IF(Atletas!R557="Outra Arma Curta B",610,IF(Atletas!R557="Dao C",611,IF(Atletas!R557="Jian C",612,IF(Atletas!R557="Bishou C",613,IF(Atletas!R557="Shanzi C",614,IF(Atletas!R557="Outra Arma Curta C",615,IF(Atletas!R557="Dao D",616,IF(Atletas!R557="Jian D",617,IF(Atletas!R557="Bishou D",618,IF(Atletas!R557="Shanzi D",619,IF(Atletas!R557="Outra Arma Curta D",620,IF(Atletas!R557="Dao E",621,IF(Atletas!R557="Jian E",622,IF(Atletas!R557="Bishou E",623,IF(Atletas!R557="Shanzi E",624,IF(Atletas!R557="Outra Arma Curta E",625,IF(Atletas!R557="Dao F",626,IF(Atletas!R557="Jian F",627,IF(Atletas!R557="Bishou F",628,IF(Atletas!R557="Shanzi F",629,IF(Atletas!R557="Outra Arma Curta F",630, "")))))))))))))))))))))))))))))))</f>
        <v/>
      </c>
      <c r="CA566" s="50" t="str">
        <f>IF(Atletas!S557="","",IF(Atletas!X557&lt;&gt;"",10000,0)+IF(Atletas!B557="Feminino",1000,IF(Atletas!B557="Masculino",2000,""))+IF(Atletas!S557="Gun A",701,IF(Atletas!S557="Qiang A",702,IF(Atletas!S557="Pudao / Guandao A",703,IF(Atletas!S557="Outra Arma Longa A",704,IF(Atletas!S557="Gun B",705,IF(Atletas!S557="Qiang B",706,IF(Atletas!S557="Pudao / Guandao B",707,IF(Atletas!S557="Outra Arma Longa B",708,IF(Atletas!S557="Gun C",709,IF(Atletas!S557="Qiang C",710,IF(Atletas!S557="Pudao / Guandao C",711,IF(Atletas!S557="Outra Arma Longa C",712,IF(Atletas!S557="Gun D",713,IF(Atletas!S557="Qiang D",714,IF(Atletas!S557="Pudao / Guandao D",715,IF(Atletas!S557="Outra Arma Longa D",716,IF(Atletas!S557="Gun E",717,IF(Atletas!S557="Qiang E",718,IF(Atletas!S557="Pudao / Guandao E",719,IF(Atletas!S557="Outra Arma Longa E",720,IF(Atletas!S557="Gun F",721,IF(Atletas!S557="Qiang F",722,IF(Atletas!S557="Pudao / Guandao F",723,IF(Atletas!S557="Outra Arma Longa F",724,"")))))))))))))))))))))))))</f>
        <v/>
      </c>
      <c r="CB566" s="50" t="str">
        <f>IF(Atletas!T557="","",IF(Atletas!X557&lt;&gt;"",10000,0)+IF(Atletas!B557="Feminino",1000,IF(Atletas!B557="Masculino",2000,""))+IF(Atletas!T557="Outra Arma Dupla A",801,IF(Atletas!T557="Arma Maleável A",802,IF(Atletas!T557="Outra Arma Dupla B",803,IF(Atletas!T557="Arma Maleável B",804,IF(Atletas!T557="Outra Arma Dupla C",805,IF(Atletas!T557="Arma Maleável C",806,IF(Atletas!T557="Outra Arma Dupla D",807,IF(Atletas!T557="Arma Maleável D",808,IF(Atletas!T557="Outra Arma Dupla E",809,IF(Atletas!T557="Arma Maleável E",810,IF(Atletas!T557="Outra Arma Dupla F",811,IF(Atletas!T557="Arma Maleável F",812,IF(Atletas!T557="Shuangdao A",813,IF(Atletas!T557="Shuangdao B",814,IF(Atletas!T557="Shuangdao C",815,IF(Atletas!T557="Shuangdao D",816,IF(Atletas!T557="Shuangdao E",817,IF(Atletas!T557="Shuangdao F",818,"")))))))))))))))))))</f>
        <v/>
      </c>
      <c r="CC566" s="50" t="str">
        <f>IF(Atletas!U557="","",IF(Atletas!X557&lt;&gt;"",10000,0)+IF(Atletas!B557="Feminino",1000,IF(Atletas!B557="Masculino",2000,""))+IF(OR(Atletas!U557="Taijijian Yang A",Atletas!U557="Taijijian Yang Standard A"),901,IF(OR(Atletas!U557="Taijijian Chen A", Atletas!U557="Taijijian Chen Standard A"),902,IF(Atletas!U557="Taijijian Sun A",903,IF(Atletas!U557="Taijijian Wu A",904,IF(Atletas!U557="Taijijian Wu-Hao A",905,IF(OR(Atletas!U557="Taijijian 32 A",Atletas!U557="Taijijian 42 A"),906,IF(OR(Atletas!U557="Taijijian Yang B",Atletas!U557="Taijijian Yang Standard B"),907,IF(OR(Atletas!U557="Taijijian Chen B", Atletas!U557="Taijijian Chen Standard B"),908,IF(Atletas!U557="Taijijian Sun B",909,IF(Atletas!U557="Taijijian Wu B",910,IF(Atletas!U557="Taijijian Wu-Hao B",911,IF(OR(Atletas!U557="Taijijian 32 B",Atletas!U557="Taijijian 42 B"),912,IF(OR(Atletas!U557="Taijijian Yang C",Atletas!U557="Taijijian Yang Standard C"),913,IF(OR(Atletas!U557="Taijijian Chen C", Atletas!U557="Taijijian Chen Standard C"),914,IF(Atletas!U557="Taijijian Sun C",915,IF(Atletas!U557="Taijijian Wu C",916,IF(Atletas!U557="Taijijian Wu-Hao C",917,IF(OR(Atletas!U557="Taijijian 32 C",Atletas!U557="Taijijian 42 C"),918,IF(OR(Atletas!U557="Taijijian Yang D",Atletas!U557="Taijijian Yang Standard D"),919,IF(OR(Atletas!U557="Taijijian Chen D", Atletas!U557="Taijijian Chen Standard D"),920,IF(Atletas!U557="Taijijian Sun D",921,IF(Atletas!U557="Taijijian Wu D",922,IF(Atletas!U557="Taijijian Wu-Hao D",923,IF(OR(Atletas!U557="Taijijian 32 D",Atletas!U557="Taijijian 42 D"),924,IF(OR(Atletas!U557="Taijijian Yang E",Atletas!U557="Taijijian Yang Standard E"),925,IF(OR(Atletas!U557="Taijijian Chen E", Atletas!U557="Taijijian Chen Standard E"),926,IF(Atletas!U557="Taijijian Sun E",927,IF(Atletas!U557="Taijijian Wu E",928,IF(Atletas!U557="Taijijian Wu-Hao E",929,IF(OR(Atletas!U557="Taijijian 32 E",Atletas!U557="Taijijian 42 E"),930,IF(OR(Atletas!U557="Taijijian Yang F",Atletas!U557="Taijijian Yang Standard F"),931,IF(OR(Atletas!U557="Taijijian Chen F", Atletas!U557="Taijijian Chen Standard F"),932,IF(Atletas!U557="Taijijian Sun F",933,IF(Atletas!U557="Taijijian Wu F",934,IF(Atletas!U557="Taijijian Wu-Hao F",935,IF(OR(Atletas!U557="Taijijian 32 F",Atletas!U557="Taijijian 42 F"),936,"")))))))))))))))))))))))))))))))))))))</f>
        <v/>
      </c>
      <c r="CD566" s="50" t="str">
        <f>IF(Atletas!V557="","",IF(Atletas!X557&lt;&gt;"",10000,0)+IF(Atletas!B557="Feminino",1000,IF(Atletas!B557="Masculino",2000,""))+IF(Atletas!V557="Taijidao A",937,IF(Atletas!V557="TaijiShanzi A",938,IF(Atletas!V557="Taijiqiang A",939,IF(Atletas!V557="Bagua de Arma A",940,IF(Atletas!V557="Xingyi de Arma A",941,IF(Atletas!V557="Taijidao B",942,IF(Atletas!V557="TaijiShanzi B",943,IF(Atletas!V557="Taijiqiang B",944,IF(Atletas!V557="Bagua de Arma B",945,IF(Atletas!V557="Xingyi de Arma B",946,IF(Atletas!V557="Taijidao C",947,IF(Atletas!V557="TaijiShanzi C",948,IF(Atletas!V557="Taijiqiang C",949,IF(Atletas!V557="Bagua de Arma C",950,IF(Atletas!V557="Xingyi de Arma C",951,IF(Atletas!V557="Taijidao D",952,IF(Atletas!V557="TaijiShanzi D",953,IF(Atletas!V557="Taijiqiang D",954,IF(Atletas!V557="Bagua de Arma D",955,IF(Atletas!V557="Xingyi de Arma D",956,IF(Atletas!V557="Taijidao E",957,IF(Atletas!V557="TaijiShanzi E",958,IF(Atletas!V557="Taijiqiang E",959,IF(Atletas!V557="Bagua de Arma E",960,IF(Atletas!V557="Xingyi de Arma E",961,IF(Atletas!V557="Taijidao F",962,IF(Atletas!V557="TaijiShanzi F",963,IF(Atletas!V557="Taijiqiang F",964,IF(Atletas!V557="Bagua de Arma F",965,IF(Atletas!V557="Xingyi de Arma F",966,"")))))))))))))))))))))))))))))))</f>
        <v/>
      </c>
      <c r="CM566" s="50" t="str">
        <f xml:space="preserve"> IF(Atletas!W557="","",IF(Atletas!W557="Duilian de Mãos BC - Equipe 1",1,IF(Atletas!W557="Duilian de Mãos BC - Equipe 2",2,IF(Atletas!W557="Duilian de Armas BC - Equipe 1",3,IF(Atletas!W557="Duilian de Armas BC - Equipe 2",4,IF(Atletas!W557="Duilian de Mãos DE - Equipe 1",5,IF(Atletas!W557="Duilian de Mãos DE - Equipe 2",6,IF(Atletas!W557="Duilian de Armas DE - Equipe 1",7,IF(Atletas!W557="Duilian de Armas DE - Equipe 2",8,IF(Atletas!W557="Duilian de Tuishou - Equipe 1",9,IF(Atletas!W557="Duilian de Tuishou - Equipe 2",10,IF(Atletas!W557="Grupo Externo ABC - Equipe 1",11,IF(Atletas!W557="Grupo Externo ABC - Equipe 2",12,IF(Atletas!W557="Grupo Interno ABC - Equipe 1",13,IF(Atletas!W557="Grupo Interno ABC - Equipe 2",14,IF(Atletas!W557="Grupo Externo DEF - Equipe 1",15,IF(Atletas!W557="Grupo Externo DEF - Equipe 2",16,IF(Atletas!W557="Grupo Interno DEF - Equipe 1",17,IF(Atletas!W557="Grupo Interno DEF - Equipe 2",18,"")))))))))))))))))))</f>
        <v/>
      </c>
    </row>
    <row r="567" spans="40:91">
      <c r="AN567" s="52" t="str">
        <f>IF(Atletas!D558="","",IF(Atletas!B558="Feminino",100,IF(Atletas!B558="Masculino",200,""))+(IF(Atletas!D558="Kids 30kg",1,IF(Atletas!D558="Kids 32kg",2, IF(Atletas!D558="Kids 34kg",3,IF(Atletas!D558="Kids 36kg",4,IF(Atletas!D558="Kids 39kg",5,IF(Atletas!D558="Kids 42kg",6,IF(Atletas!D558="Kids 45kg",7, IF(Atletas!D558="Infantil 39kg",8,IF(Atletas!D558="Infantil 42kg",9,IF(Atletas!D558="Infantil 45kg",10,IF(Atletas!D558="Infantil 48kg",11,IF(Atletas!D558="Infantil 52kg",12,IF(Atletas!D558="Infantil 56kg",13,IF(Atletas!D558="Infantil 60kg",14,IF(Atletas!D558="Juvenil 48kg",15,IF(Atletas!D558="Juvenil 52kg",16,IF(Atletas!D558="Juvenil 56kg",17,IF(Atletas!D558="Juvenil 60kg",18,IF(Atletas!D558="Juvenil 65kg",19,IF(Atletas!D558="Juvenil 70kg",20,IF(Atletas!D558="Juvenil 75kg",21,IF(Atletas!D558="Juvenil 80kg",22, IF(Atletas!D558="Juvenil 85kg",23,IF(Atletas!D558="Adulto 48kg",24,IF(Atletas!D558="Adulto 52kg",25,IF(Atletas!D558="Adulto 56kg",26,IF(Atletas!D558="Adulto 60kg",27,IF(Atletas!D558="Adulto 65kg",28,IF(Atletas!D558="Adulto 70kg",29,IF(Atletas!D558="Adulto 75kg",30,IF(Atletas!D558="Adulto 80kg",31,IF(Atletas!D558="Adulto 85kg",32,IF(Atletas!D558="Adulto 90kg",33,IF(Atletas!D558="Adulto 100kg",34, IF(Atletas!D558="Adulto +100kg",35,"")))))))))))))))))))))))))))))))))))))</f>
        <v/>
      </c>
      <c r="AS567" s="6" t="str">
        <f>IF(Atletas!E558="","",IF(Atletas!B558="Feminino",100,IF(Atletas!B558="Masculino",200,""))+(IF(Atletas!E558="Juvenil 44kg",1,IF(Atletas!E558="Juvenil 48kg",2,IF(Atletas!E558="Juvenil 52kg",3,IF(Atletas!E558="Juvenil 56kg",4,IF(Atletas!E558="Juvenil 60kg",5,IF(Atletas!E558="Juvenil 65kg",6,IF(Atletas!E558="Juvenil 70kg",7,IF(Atletas!E558="Juvenil 75kg",8,IF(Atletas!E558="Juvenil 82kg",9,IF(Atletas!E558="Juvenil 90kg",10,IF(Atletas!E558="Juvenil 100kg",11,IF(Atletas!E558="Adulto 48kg",12,IF(Atletas!E558="Adulto 52kg",13,IF(Atletas!E558="Adulto 56kg",14,IF(Atletas!E558="Adulto 60kg",15,IF(Atletas!E558="Adulto 65kg",16,IF(Atletas!E558="Adulto 70kg",17,IF(Atletas!E558="Adulto 75kg",18,IF(Atletas!E558="Adulto 82kg",19,IF(Atletas!E558="Adulto 90kg",20,IF(Atletas!E558="Adulto 100kg",21,IF(Atletas!E558="Adulto +100kg",22,""))))))))))))))))))))))))</f>
        <v/>
      </c>
      <c r="AX567" s="6" t="str">
        <f>IF(Atletas!F558="","",IF(Atletas!B558="Feminino",100,IF(Atletas!B558="Masculino",200,""))+(IF(Atletas!F558="Adulto 48kg",1,IF(Atletas!F558="Adulto 56kg",2,IF(Atletas!F558="Adulto 65kg",3,IF(Atletas!F558="Adulto 75kg",4,IF(Atletas!F558="Adulto +75kg",5,IF(Atletas!F558="Adulto 52kg",6,IF(Atletas!F558="Adulto 60kg",7,IF(Atletas!F558="Adulto 70kg",8,IF(Atletas!F558="Adulto 80kg",9,IF(Atletas!F558="Adulto 90kg",10,IF(Atletas!F558="Adulto +90kg",11,"")))))))))))))</f>
        <v/>
      </c>
      <c r="BC567" s="6" t="str">
        <f>IF(Atletas!G558="","",IF(Atletas!B558="Feminino",10,IF(Atletas!B558="Masculino",20,""))+(IF(Atletas!G558="Baduanjin A",1,IF(Atletas!G558="Baduanjin B",2))))</f>
        <v/>
      </c>
      <c r="BF567" s="52" t="str">
        <f>IF(Atletas!H558="","",IF(Atletas!B558="Feminino",100,IF(Atletas!B558="Masculino",200,""))+(IF(Atletas!H558="Changquan Mirim",1,IF(Atletas!H558="Nanquan Mirim",2,IF(Atletas!H558="Taijiquan Mirim",3,IF(Atletas!H558="Changquan Grupo C",4,IF(Atletas!H558="Nanquan Grupo C",5,IF(Atletas!H558="Taijiquan Grupo C",6,IF(Atletas!H558="Changquan Grupo B",7,IF(Atletas!H558="Nanquan Grupo B",8,IF(Atletas!H558="Taijiquan Grupo B",9,IF(Atletas!H558="Changquan Grupo A",10,IF(Atletas!H558="Nanquan Grupo A",11,IF(Atletas!H558="Taijiquan Grupo A",12,IF(Atletas!H558="Changquan Opcional",13,IF(Atletas!H558="Nanquan Opcional",14,IF(Atletas!H558="Taijiquan Opcional",15,IF(Atletas!H558="Changquan Adulto",16,IF(Atletas!H558="Nanquan Adulto",17,IF(Atletas!H558="Taijiquan Adulto",18,""))))))))))))))))))))</f>
        <v/>
      </c>
      <c r="BG567" s="52" t="str">
        <f>IF(Atletas!I558="","",IF(Atletas!B558="Feminino",100,IF(Atletas!B558="Masculino",200,""))+(IF(Atletas!I558="Daoshu Mirim",19,IF(Atletas!I558="Jianshu Mirim",20,IF(Atletas!I558="Nandao Mirim",21,IF(Atletas!I558="Taijijian Mirim",22,IF(Atletas!I558="Daoshu Grupo C",23,IF(Atletas!I558="Jianshu Grupo C",24,IF(Atletas!I558="Nandao Grupo C",25,IF(Atletas!I558="Taijijian Grupo C",26,IF(Atletas!I558="Daoshu Grupo B",27,IF(Atletas!I558="Jianshu Grupo B",28,IF(Atletas!I558="Nandao Grupo B",29,IF(Atletas!I558="Taijijian Grupo B",30,IF(Atletas!I558="Daoshu Grupo A",31,IF(Atletas!I558="Jianshu Grupo A",32,IF(Atletas!I558="Nandao Grupo A",33,IF(Atletas!I558="Taijijian Grupo A",34,IF(Atletas!I558="Daoshu Opcional",35,IF(Atletas!I558="Jianshu Opcional",36,IF(Atletas!I558="Nandao Opcional",37,IF(Atletas!I558="Taijijian Opcional",38,IF(Atletas!I558="Daoshu Adulto",39,IF(Atletas!I558="Jianshu Adulto",40,IF(Atletas!I558="Nandao Adulto",41,IF(Atletas!I558="Taijijian Adulto",42,""))))))))))))))))))))))))))</f>
        <v/>
      </c>
      <c r="BH567" s="52" t="str">
        <f>IF(Atletas!J558="","",IF(Atletas!B558="Feminino",100,IF(Atletas!B558="Masculino",200,""))+(IF(Atletas!J558="Gunshu Mirim",43,IF(Atletas!J558="Qiangshu Mirim",44,IF(Atletas!J558="Nangun Mirim",45,IF(Atletas!J558="Gunshu Grupo C",46,IF(Atletas!J558="Qiangshu Grupo C",47,IF(Atletas!J558="Nangun Grupo C",48,IF(Atletas!J558="Gunshu Grupo B",49,IF(Atletas!J558="Qiangshu Grupo B",50,IF(Atletas!J558="Nangun Grupo B",51,IF(Atletas!J558="Gunshu Grupo A",52,IF(Atletas!J558="Qiangshu Grupo A",53,IF(Atletas!J558="Nangun Grupo A",54,IF(Atletas!J558="Gunshu Opcional",55,IF(Atletas!J558="Qiangshu Opcional",56,IF(Atletas!J558="Nangun Opcional",57,IF(Atletas!J558="Gunshu Adulto",58,IF(Atletas!J558="Qiangshu Adulto",59,IF(Atletas!J558="Nangun Adulto",60,IF(Atletas!J558="Taijishan Grupo B",61,IF(Atletas!J558="Taijishan Grupo A",62,""))))))))))))))))))))))</f>
        <v/>
      </c>
      <c r="BM567" s="50" t="str">
        <f>IF(Atletas!K558="","",IF(Atletas!B558="Feminino",100,IF(Atletas!B558="Masculino",200,""))+(IF(Atletas!K558="Equipe 1 Grupo B",1,IF(Atletas!K558="Equipe 2 Grupo B",2,IF(Atletas!K558="Equipe 1 Grupo A",3,IF(Atletas!K558="Equipe 2 Grupo A",4,IF(Atletas!K558="Equipe 1 Adulto",5,IF(Atletas!K558="Equipe 2 Adulto",6,""))))))))</f>
        <v/>
      </c>
      <c r="BR567" s="50" t="str">
        <f>IF(Atletas!L558="","",IF(Atletas!X558&lt;&gt;"",10000,0)+(IF(Atletas!B558="Feminino",1000,IF(Atletas!B558="Masculino",2000,""))+IF(Atletas!L558="Choylayfut A",1,IF(Atletas!L558="Hunggar A",2,IF(Atletas!L558="Wuzuquan A",3,IF(Atletas!L558="Wingchun A",4,IF(Atletas!L558="Outra Mão de Sul A",5,IF(Atletas!L558="Choylayfut B",6,IF(Atletas!L558="Hunggar B",7,IF(Atletas!L558="Wuzuquan B",8,IF(Atletas!L558="Wingchun B",9,IF(Atletas!L558="Outra Mão de Sul B",10,IF(Atletas!L558="Choylayfut C",11,IF(Atletas!L558="Hunggar C",12,IF(Atletas!L558="Wuzuquan C",13,IF(Atletas!L558="Wingchun C",14,IF(Atletas!L558="Outra Mão de Sul C",15,IF(Atletas!L558="Choylayfut D",16,IF(Atletas!L558="Hunggar D",17,IF(Atletas!L558="Wuzuquan D",18,IF(Atletas!L558="Wingchun D",19,IF(Atletas!L558="Outra Mão de Sul D",20,IF(Atletas!L558="Choylayfut E",21,IF(Atletas!L558="Hunggar E",22,IF(Atletas!L558="Wuzuquan E",23,IF(Atletas!L558="Wingchun E",24,IF(Atletas!L558="Outra Mão de Sul E",25,IF(Atletas!L558="Choylayfut F",26,IF(Atletas!L558="Hunggar F",27,IF(Atletas!L558="Wuzuquan F",28,IF(Atletas!L558="Wingchun F",29,IF(Atletas!L558="Outra Mão de Sul F",30,IF(Atletas!L558="Dishuquan A",31,IF(Atletas!L558="Dishuquan B",32,IF(Atletas!L558="Dishuquan C",33,IF(Atletas!L558="Dishuquan D",34,IF(Atletas!L558="Dishuquan E",35,IF(Atletas!L558="Dishuquan F",36,""))))))))))))))))))))))))))))))))))))))</f>
        <v/>
      </c>
      <c r="BS567" s="50" t="str">
        <f>IF(Atletas!M558="","",IF(Atletas!X558&lt;&gt;"",10000,0)+(IF(Atletas!B558="Feminino",1000,IF(Atletas!B558="Masculino",2000,""))+(IF(Atletas!M558="Chaquan A",101,IF(Atletas!M558="Emeiquan A",102,IF(Atletas!M558="Fanziquan A",103,IF(Atletas!M558="Huaquan A",104,IF(Atletas!M558="Hongquan A",105,IF(Atletas!M558="Paoquan A",106,IF(Atletas!M558="Piguaquan A",107,IF(Atletas!M558="Shaolinquan A",108,IF(Atletas!M558="Tanglangquan A",109,IF(Atletas!M558="Yingzhaoquan A",110,IF(Atletas!M558="Tongbeiquan A",111,IF(Atletas!M558="Wudangquan A",112,IF(Atletas!M558="Outros Estilos A",113,IF(Atletas!M558="Chaquan B",114,IF(Atletas!M558="Emeiquan B",115,IF(Atletas!M558="Fanziquan B",116,IF(Atletas!M558="Huaquan B",117,IF(Atletas!M558="Hongquan B",118,IF(Atletas!M558="Paoquan B",119,IF(Atletas!M558="Piguaquan B",120,IF(Atletas!M558="Shaolinquan B",121,IF(Atletas!M558="Tanglangquan B",122,IF(Atletas!M558="Yingzhaoquan B",123,IF(Atletas!M558="Tongbeiquan B",124,IF(Atletas!M558="Wudangquan B",125,IF(Atletas!M558="Outros Estilos B",126,IF(Atletas!M558="Chaquan C",127,IF(Atletas!M558="Emeiquan C",128,IF(Atletas!M558="Fanziquan C",129,IF(Atletas!M558="Huaquan C",130,IF(Atletas!M558="Hongquan C",131,IF(Atletas!M558="Paoquan C",132,IF(Atletas!M558="Piguaquan C",133,IF(Atletas!M558="Shaolinquan C",134,IF(Atletas!M558="Tanglangquan C",135,IF(Atletas!M558="Yingzhaoquan C",136,IF(Atletas!M558="Tongbeiquan C",137,IF(Atletas!M558="Wudangquan C",138,IF(Atletas!M558="Outros Estilos C",139,0))))))))))))))))))))))))))))))))))))))))))</f>
        <v/>
      </c>
      <c r="BT567" s="50" t="str">
        <f>IF(Atletas!M558="","",IF(Atletas!X558&lt;&gt;"",10000,0)+(IF(Atletas!B558="Feminino",1000,IF(Atletas!B558="Masculino",2000,""))+(IF(Atletas!M558="Chaquan D",140,IF(Atletas!M558="Emeiquan D",141,IF(Atletas!M558="Fanziquan D",142,IF(Atletas!M558="Huaquan D",143,IF(Atletas!M558="Hongquan D",144,IF(Atletas!M558="Paoquan D",145,IF(Atletas!M558="Piguaquan D",146,IF(Atletas!M558="Shaolinquan D",147,IF(Atletas!M558="Tanglangquan D",148,IF(Atletas!M558="Yingzhaoquan D",149,IF(Atletas!M558="Tongbeiquan D",150,IF(Atletas!M558="Wudangquan D",151,IF(Atletas!M558="Outros Estilos D",152,IF(Atletas!M558="Chaquan E",153,IF(Atletas!M558="Emeiquan E",154,IF(Atletas!M558="Fanziquan E",155,IF(Atletas!M558="Huaquan E",156,IF(Atletas!M558="Hongquan E",157,IF(Atletas!M558="Paoquan E",158,IF(Atletas!M558="Piguaquan E",159,IF(Atletas!M558="Shaolinquan E",160,IF(Atletas!M558="Tanglangquan E",161,IF(Atletas!M558="Yingzhaoquan E",162,IF(Atletas!M558="Tongbeiquan E",163,IF(Atletas!M558="Wudangquan E",164,IF(Atletas!M558="Outros Estilos E",165,IF(Atletas!M558="Chaquan F",166,IF(Atletas!M558="Emeiquan F",167,IF(Atletas!M558="Fanziquan F",168,IF(Atletas!M558="Huaquan F",169,IF(Atletas!M558="Hongquan F",170,IF(Atletas!M558="Paoquan F",171,IF(Atletas!M558="Piguaquan F",172,IF(Atletas!M558="Shaolinquan F",173,IF(Atletas!M558="Tanglangquan F",174,IF(Atletas!M558="Yingzhaoquan F",175,IF(Atletas!M558="Tongbeiquan F",176,IF(Atletas!M558="Wudangquan F",177,IF(Atletas!M558="Outros Estilos F",178,0))))))))))))))))))))))))))))))))))))))))))</f>
        <v/>
      </c>
      <c r="BU567" s="50" t="str">
        <f>IF(Atletas!N558="","",IF(Atletas!X558&lt;&gt;"",10000,0)+(IF(Atletas!B558="Feminino",1000,IF(Atletas!B558="Masculino",2000,""))+(IF(Atletas!N558="Ditangquan A",201,IF(Atletas!N558="Houquan A",202,IF(Atletas!N558="Zuiquan A",203,IF(Atletas!N558="Ditangquan B",204,IF(Atletas!N558="Houquan B",205,IF(Atletas!N558="Zuiquan B",206,IF(Atletas!N558="Ditangquan C",207,IF(Atletas!N558="Houquan C",208,IF(Atletas!N558="Zuiquan C",209,IF(Atletas!N558="Ditangquan D",210,IF(Atletas!N558="Houquan D",211,IF(Atletas!N558="Zuiquan D",212,IF(Atletas!N558="Ditangquan E",213,IF(Atletas!N558="Houquan E",214,IF(Atletas!N558="Zuiquan E",215,IF(Atletas!N558="Ditangquan F",216,IF(Atletas!N558="Houquan F",217,IF(Atletas!N558="Zuiquan F",218,"")))))))))))))))))))))</f>
        <v/>
      </c>
      <c r="BV567" s="50" t="str">
        <f>IF(Atletas!O558="","",IF(Atletas!X558&lt;&gt;"",10000,0)+IF(Atletas!B558="Feminino",1000,IF(Atletas!B558="Masculino",2000,""))+IF(Atletas!O558="Yang A",301,IF(Atletas!O558="Chen A",302,IF(Atletas!O558="Sun A",303,IF(Atletas!O558="Wu A",304,IF(Atletas!O558="Wu-Hao A",305,IF(Atletas!O558="Outro Taijiquan A",306,IF(Atletas!O558="Yang B",307,IF(Atletas!O558="Chen B",308,IF(Atletas!O558="Sun B",309,IF(Atletas!O558="Wu B",310,IF(Atletas!O558="Wu-Hao B",311,IF(Atletas!O558="Outro Taijiquan B",312,IF(Atletas!O558="Yang C",313,IF(Atletas!O558="Chen C",314,IF(Atletas!O558="Sun C",315,IF(Atletas!O558="Wu C",316,IF(Atletas!O558="Wu-Hao C",317,IF(Atletas!O558="Outro Taijiquan C",318,IF(Atletas!O558="Yang D",319,IF(Atletas!O558="Chen D",320,IF(Atletas!O558="Sun D",321,IF(Atletas!O558="Wu D",322,IF(Atletas!O558="Wu-Hao D",323,IF(Atletas!O558="Outro Taijiquan D",324,IF(Atletas!O558="Yang E",325,IF(Atletas!O558="Chen E",326,IF(Atletas!O558="Sun E",327,IF(Atletas!O558="Wu E",328,IF(Atletas!O558="Wu-Hao E",329,IF(Atletas!O558="Outro Taijiquan E",330,IF(Atletas!O558="Yang F",331,IF(Atletas!O558="Chen F",332,IF(Atletas!O558="Sun F",333,IF(Atletas!O558="Wu F",334,IF(Atletas!O558="Wu-Hao F",335,IF(Atletas!O558="Outro Taijiquan F",336,"")))))))))))))))))))))))))))))))))))))</f>
        <v/>
      </c>
      <c r="BW567" s="50" t="str">
        <f>IF(Atletas!P558="","",IF(Atletas!X558&lt;&gt;"",10000,0)+IF(Atletas!B558="Feminino",1000,IF(Atletas!B558="Masculino",2000,""))+IF(OR(Atletas!P558="Yang 26 A",Atletas!P558="Yang 40 A"),401,IF(OR(Atletas!P558="Chen 25 A",Atletas!P558="Chen 36 A",Atletas!P558="Chen 56 A"),402,IF(Atletas!P558="Sun 73 A",403,IF(Atletas!P558="Wu 45 A",404,IF(Atletas!P558="Wu-Hao 46 A",405,IF(OR(Atletas!P558="Taijiquan 16 A",Atletas!P558="Taijiquan 24 A",Atletas!P558="Taijiquan 32 A",Atletas!P558="Taijiquan 42 A"),406,IF(OR(Atletas!P558="Yang 26 B",Atletas!P558="Yang 40 B"),407,IF(OR(Atletas!P558="Chen 25 B",Atletas!P558="Chen 36 B",Atletas!P558="Chen 56 B"),408,IF(Atletas!P558="Sun 73 B",409,IF(Atletas!P558="Wu 45 B",410,IF(Atletas!P558="Wu-Hao 46 B",411,IF(OR(Atletas!P558="Taijiquan 16 B",Atletas!P558="Taijiquan 24 B",Atletas!P558="Taijiquan 32 B",Atletas!P558="Taijiquan 42 B"),412,IF(OR(Atletas!P558="Yang 26 C",Atletas!P558="Yang 40 C"),413,IF(OR(Atletas!P558="Chen 25 C",Atletas!P558="Chen 36 C",Atletas!P558="Chen 56 C"),414,IF(Atletas!P558="Sun 73 C",415,IF(Atletas!P558="Wu 45 C",416,IF(Atletas!P558="Wu-Hao 46 C",417,IF(OR(Atletas!P558="Taijiquan 16 C",Atletas!P558="Taijiquan 24 C",Atletas!P558="Taijiquan 32 C",Atletas!P558="Taijiquan 42 C"),418,0)))))))))))))))))))</f>
        <v/>
      </c>
      <c r="BX567" s="50" t="str">
        <f>IF(Atletas!P558="","",IF(Atletas!X558&lt;&gt;"",10000,0)+IF(Atletas!B558="Feminino",1000,IF(Atletas!B558="Masculino",2000,""))+IF(OR(Atletas!P558="Yang 26 D",Atletas!P558="Yang 40 D"),419,IF(OR(Atletas!P558="Chen 25 D",Atletas!P558="Chen 36 D",Atletas!P558="Chen 56 D"),420,IF(Atletas!P558="Sun 73 D",421,IF(Atletas!P558="Wu 45 D",422,IF(Atletas!P558="Wu-Hao 46 D",423,IF(OR(Atletas!P558="Taijiquan 16 D",Atletas!P558="Taijiquan 24 D",Atletas!P558="Taijiquan 32 D",Atletas!P558="Taijiquan 42 D"),424,IF(OR(Atletas!P558="Yang 26 E",Atletas!P558="Yang 40 E"),425,IF(OR(Atletas!P558="Chen 25 E",Atletas!P558="Chen 36 E",Atletas!P558="Chen 56 E"),426,IF(Atletas!P558="Sun 73 E",427,IF(Atletas!P558="Wu 45 E",428,IF(Atletas!P558="Wu-Hao 46 E",429,IF(OR(Atletas!P558="Taijiquan 16 E",Atletas!P558="Taijiquan 24 E",Atletas!P558="Taijiquan 32 E",Atletas!P558="Taijiquan 42 E"),430,IF(OR(Atletas!P558="Yang 26 F",Atletas!P558="Yang 40 F"),431,IF(OR(Atletas!P558="Chen 25 F",Atletas!P558="Chen 36 F",Atletas!P558="Chen 56 F"),432,IF(Atletas!P558="Sun 73 F",433,IF(Atletas!P558="Wu 45 F",434,IF(Atletas!P558="Wu-Hao 46 F",435,IF(OR(Atletas!P558="Taijiquan 16 F",Atletas!P558="Taijiquan 24 F",Atletas!P558="Taijiquan 32 F",Atletas!P558="Taijiquan 42 F"),436,0)))))))))))))))))))</f>
        <v/>
      </c>
      <c r="BY567" s="50" t="str">
        <f>IF(Atletas!Q558="","",IF(Atletas!X558&lt;&gt;"",10000,0)+IF(Atletas!B558="Feminino",1000,IF(Atletas!B558="Masculino",2000,""))+IF(Atletas!Q558="Xingyiquan A",501,IF(Atletas!Q558="Baguazhang A",502,IF(Atletas!Q558="Outro Estilo Interno A",503,IF(Atletas!Q558="Xingyiquan B",504,IF(Atletas!Q558="Baguazhang B",505,IF(Atletas!Q558="Outro Estilo Interno B",506,IF(Atletas!Q558="Xingyiquan C",507,IF(Atletas!Q558="Baguazhang C",508,IF(Atletas!Q558="Outro Estilo Interno C",509,IF(Atletas!Q558="Xingyiquan D",510,IF(Atletas!Q558="Baguazhang D",511,IF(Atletas!Q558="Outro Estilo Interno D",512,IF(Atletas!Q558="Xingyiquan E",513,IF(Atletas!Q558="Baguazhang E",514,IF(Atletas!Q558="Outro Estilo Interno E",515,IF(Atletas!Q558="Xingyiquan F",516,IF(Atletas!Q558="Baguazhang F",517,IF(Atletas!Q558="Outro Estilo Interno F",518, "")))))))))))))))))))</f>
        <v/>
      </c>
      <c r="BZ567" s="50" t="str">
        <f>IF(Atletas!R558="","",IF(Atletas!X558&lt;&gt;"",10000,0)+IF(Atletas!B558="Feminino",1000,IF(Atletas!B558="Masculino",2000,""))+IF(Atletas!R558="Dao A",601,IF(Atletas!R558="Jian A",602,IF(Atletas!R558="Bishou A",603,IF(Atletas!R558="Shanzi A",604,IF(Atletas!R558="Outra Arma Curta A",605,IF(Atletas!R558="Dao B",606,IF(Atletas!R558="Jian B",607,IF(Atletas!R558="Bishou B",608,IF(Atletas!R558="Shanzi B",609,IF(Atletas!R558="Outra Arma Curta B",610,IF(Atletas!R558="Dao C",611,IF(Atletas!R558="Jian C",612,IF(Atletas!R558="Bishou C",613,IF(Atletas!R558="Shanzi C",614,IF(Atletas!R558="Outra Arma Curta C",615,IF(Atletas!R558="Dao D",616,IF(Atletas!R558="Jian D",617,IF(Atletas!R558="Bishou D",618,IF(Atletas!R558="Shanzi D",619,IF(Atletas!R558="Outra Arma Curta D",620,IF(Atletas!R558="Dao E",621,IF(Atletas!R558="Jian E",622,IF(Atletas!R558="Bishou E",623,IF(Atletas!R558="Shanzi E",624,IF(Atletas!R558="Outra Arma Curta E",625,IF(Atletas!R558="Dao F",626,IF(Atletas!R558="Jian F",627,IF(Atletas!R558="Bishou F",628,IF(Atletas!R558="Shanzi F",629,IF(Atletas!R558="Outra Arma Curta F",630, "")))))))))))))))))))))))))))))))</f>
        <v/>
      </c>
      <c r="CA567" s="50" t="str">
        <f>IF(Atletas!S558="","",IF(Atletas!X558&lt;&gt;"",10000,0)+IF(Atletas!B558="Feminino",1000,IF(Atletas!B558="Masculino",2000,""))+IF(Atletas!S558="Gun A",701,IF(Atletas!S558="Qiang A",702,IF(Atletas!S558="Pudao / Guandao A",703,IF(Atletas!S558="Outra Arma Longa A",704,IF(Atletas!S558="Gun B",705,IF(Atletas!S558="Qiang B",706,IF(Atletas!S558="Pudao / Guandao B",707,IF(Atletas!S558="Outra Arma Longa B",708,IF(Atletas!S558="Gun C",709,IF(Atletas!S558="Qiang C",710,IF(Atletas!S558="Pudao / Guandao C",711,IF(Atletas!S558="Outra Arma Longa C",712,IF(Atletas!S558="Gun D",713,IF(Atletas!S558="Qiang D",714,IF(Atletas!S558="Pudao / Guandao D",715,IF(Atletas!S558="Outra Arma Longa D",716,IF(Atletas!S558="Gun E",717,IF(Atletas!S558="Qiang E",718,IF(Atletas!S558="Pudao / Guandao E",719,IF(Atletas!S558="Outra Arma Longa E",720,IF(Atletas!S558="Gun F",721,IF(Atletas!S558="Qiang F",722,IF(Atletas!S558="Pudao / Guandao F",723,IF(Atletas!S558="Outra Arma Longa F",724,"")))))))))))))))))))))))))</f>
        <v/>
      </c>
      <c r="CB567" s="50" t="str">
        <f>IF(Atletas!T558="","",IF(Atletas!X558&lt;&gt;"",10000,0)+IF(Atletas!B558="Feminino",1000,IF(Atletas!B558="Masculino",2000,""))+IF(Atletas!T558="Outra Arma Dupla A",801,IF(Atletas!T558="Arma Maleável A",802,IF(Atletas!T558="Outra Arma Dupla B",803,IF(Atletas!T558="Arma Maleável B",804,IF(Atletas!T558="Outra Arma Dupla C",805,IF(Atletas!T558="Arma Maleável C",806,IF(Atletas!T558="Outra Arma Dupla D",807,IF(Atletas!T558="Arma Maleável D",808,IF(Atletas!T558="Outra Arma Dupla E",809,IF(Atletas!T558="Arma Maleável E",810,IF(Atletas!T558="Outra Arma Dupla F",811,IF(Atletas!T558="Arma Maleável F",812,IF(Atletas!T558="Shuangdao A",813,IF(Atletas!T558="Shuangdao B",814,IF(Atletas!T558="Shuangdao C",815,IF(Atletas!T558="Shuangdao D",816,IF(Atletas!T558="Shuangdao E",817,IF(Atletas!T558="Shuangdao F",818,"")))))))))))))))))))</f>
        <v/>
      </c>
      <c r="CC567" s="50" t="str">
        <f>IF(Atletas!U558="","",IF(Atletas!X558&lt;&gt;"",10000,0)+IF(Atletas!B558="Feminino",1000,IF(Atletas!B558="Masculino",2000,""))+IF(OR(Atletas!U558="Taijijian Yang A",Atletas!U558="Taijijian Yang Standard A"),901,IF(OR(Atletas!U558="Taijijian Chen A", Atletas!U558="Taijijian Chen Standard A"),902,IF(Atletas!U558="Taijijian Sun A",903,IF(Atletas!U558="Taijijian Wu A",904,IF(Atletas!U558="Taijijian Wu-Hao A",905,IF(OR(Atletas!U558="Taijijian 32 A",Atletas!U558="Taijijian 42 A"),906,IF(OR(Atletas!U558="Taijijian Yang B",Atletas!U558="Taijijian Yang Standard B"),907,IF(OR(Atletas!U558="Taijijian Chen B", Atletas!U558="Taijijian Chen Standard B"),908,IF(Atletas!U558="Taijijian Sun B",909,IF(Atletas!U558="Taijijian Wu B",910,IF(Atletas!U558="Taijijian Wu-Hao B",911,IF(OR(Atletas!U558="Taijijian 32 B",Atletas!U558="Taijijian 42 B"),912,IF(OR(Atletas!U558="Taijijian Yang C",Atletas!U558="Taijijian Yang Standard C"),913,IF(OR(Atletas!U558="Taijijian Chen C", Atletas!U558="Taijijian Chen Standard C"),914,IF(Atletas!U558="Taijijian Sun C",915,IF(Atletas!U558="Taijijian Wu C",916,IF(Atletas!U558="Taijijian Wu-Hao C",917,IF(OR(Atletas!U558="Taijijian 32 C",Atletas!U558="Taijijian 42 C"),918,IF(OR(Atletas!U558="Taijijian Yang D",Atletas!U558="Taijijian Yang Standard D"),919,IF(OR(Atletas!U558="Taijijian Chen D", Atletas!U558="Taijijian Chen Standard D"),920,IF(Atletas!U558="Taijijian Sun D",921,IF(Atletas!U558="Taijijian Wu D",922,IF(Atletas!U558="Taijijian Wu-Hao D",923,IF(OR(Atletas!U558="Taijijian 32 D",Atletas!U558="Taijijian 42 D"),924,IF(OR(Atletas!U558="Taijijian Yang E",Atletas!U558="Taijijian Yang Standard E"),925,IF(OR(Atletas!U558="Taijijian Chen E", Atletas!U558="Taijijian Chen Standard E"),926,IF(Atletas!U558="Taijijian Sun E",927,IF(Atletas!U558="Taijijian Wu E",928,IF(Atletas!U558="Taijijian Wu-Hao E",929,IF(OR(Atletas!U558="Taijijian 32 E",Atletas!U558="Taijijian 42 E"),930,IF(OR(Atletas!U558="Taijijian Yang F",Atletas!U558="Taijijian Yang Standard F"),931,IF(OR(Atletas!U558="Taijijian Chen F", Atletas!U558="Taijijian Chen Standard F"),932,IF(Atletas!U558="Taijijian Sun F",933,IF(Atletas!U558="Taijijian Wu F",934,IF(Atletas!U558="Taijijian Wu-Hao F",935,IF(OR(Atletas!U558="Taijijian 32 F",Atletas!U558="Taijijian 42 F"),936,"")))))))))))))))))))))))))))))))))))))</f>
        <v/>
      </c>
      <c r="CD567" s="50" t="str">
        <f>IF(Atletas!V558="","",IF(Atletas!X558&lt;&gt;"",10000,0)+IF(Atletas!B558="Feminino",1000,IF(Atletas!B558="Masculino",2000,""))+IF(Atletas!V558="Taijidao A",937,IF(Atletas!V558="TaijiShanzi A",938,IF(Atletas!V558="Taijiqiang A",939,IF(Atletas!V558="Bagua de Arma A",940,IF(Atletas!V558="Xingyi de Arma A",941,IF(Atletas!V558="Taijidao B",942,IF(Atletas!V558="TaijiShanzi B",943,IF(Atletas!V558="Taijiqiang B",944,IF(Atletas!V558="Bagua de Arma B",945,IF(Atletas!V558="Xingyi de Arma B",946,IF(Atletas!V558="Taijidao C",947,IF(Atletas!V558="TaijiShanzi C",948,IF(Atletas!V558="Taijiqiang C",949,IF(Atletas!V558="Bagua de Arma C",950,IF(Atletas!V558="Xingyi de Arma C",951,IF(Atletas!V558="Taijidao D",952,IF(Atletas!V558="TaijiShanzi D",953,IF(Atletas!V558="Taijiqiang D",954,IF(Atletas!V558="Bagua de Arma D",955,IF(Atletas!V558="Xingyi de Arma D",956,IF(Atletas!V558="Taijidao E",957,IF(Atletas!V558="TaijiShanzi E",958,IF(Atletas!V558="Taijiqiang E",959,IF(Atletas!V558="Bagua de Arma E",960,IF(Atletas!V558="Xingyi de Arma E",961,IF(Atletas!V558="Taijidao F",962,IF(Atletas!V558="TaijiShanzi F",963,IF(Atletas!V558="Taijiqiang F",964,IF(Atletas!V558="Bagua de Arma F",965,IF(Atletas!V558="Xingyi de Arma F",966,"")))))))))))))))))))))))))))))))</f>
        <v/>
      </c>
      <c r="CM567" s="50" t="str">
        <f xml:space="preserve"> IF(Atletas!W558="","",IF(Atletas!W558="Duilian de Mãos BC - Equipe 1",1,IF(Atletas!W558="Duilian de Mãos BC - Equipe 2",2,IF(Atletas!W558="Duilian de Armas BC - Equipe 1",3,IF(Atletas!W558="Duilian de Armas BC - Equipe 2",4,IF(Atletas!W558="Duilian de Mãos DE - Equipe 1",5,IF(Atletas!W558="Duilian de Mãos DE - Equipe 2",6,IF(Atletas!W558="Duilian de Armas DE - Equipe 1",7,IF(Atletas!W558="Duilian de Armas DE - Equipe 2",8,IF(Atletas!W558="Duilian de Tuishou - Equipe 1",9,IF(Atletas!W558="Duilian de Tuishou - Equipe 2",10,IF(Atletas!W558="Grupo Externo ABC - Equipe 1",11,IF(Atletas!W558="Grupo Externo ABC - Equipe 2",12,IF(Atletas!W558="Grupo Interno ABC - Equipe 1",13,IF(Atletas!W558="Grupo Interno ABC - Equipe 2",14,IF(Atletas!W558="Grupo Externo DEF - Equipe 1",15,IF(Atletas!W558="Grupo Externo DEF - Equipe 2",16,IF(Atletas!W558="Grupo Interno DEF - Equipe 1",17,IF(Atletas!W558="Grupo Interno DEF - Equipe 2",18,"")))))))))))))))))))</f>
        <v/>
      </c>
    </row>
    <row r="568" spans="40:91">
      <c r="AN568" s="52" t="str">
        <f>IF(Atletas!D559="","",IF(Atletas!B559="Feminino",100,IF(Atletas!B559="Masculino",200,""))+(IF(Atletas!D559="Kids 30kg",1,IF(Atletas!D559="Kids 32kg",2, IF(Atletas!D559="Kids 34kg",3,IF(Atletas!D559="Kids 36kg",4,IF(Atletas!D559="Kids 39kg",5,IF(Atletas!D559="Kids 42kg",6,IF(Atletas!D559="Kids 45kg",7, IF(Atletas!D559="Infantil 39kg",8,IF(Atletas!D559="Infantil 42kg",9,IF(Atletas!D559="Infantil 45kg",10,IF(Atletas!D559="Infantil 48kg",11,IF(Atletas!D559="Infantil 52kg",12,IF(Atletas!D559="Infantil 56kg",13,IF(Atletas!D559="Infantil 60kg",14,IF(Atletas!D559="Juvenil 48kg",15,IF(Atletas!D559="Juvenil 52kg",16,IF(Atletas!D559="Juvenil 56kg",17,IF(Atletas!D559="Juvenil 60kg",18,IF(Atletas!D559="Juvenil 65kg",19,IF(Atletas!D559="Juvenil 70kg",20,IF(Atletas!D559="Juvenil 75kg",21,IF(Atletas!D559="Juvenil 80kg",22, IF(Atletas!D559="Juvenil 85kg",23,IF(Atletas!D559="Adulto 48kg",24,IF(Atletas!D559="Adulto 52kg",25,IF(Atletas!D559="Adulto 56kg",26,IF(Atletas!D559="Adulto 60kg",27,IF(Atletas!D559="Adulto 65kg",28,IF(Atletas!D559="Adulto 70kg",29,IF(Atletas!D559="Adulto 75kg",30,IF(Atletas!D559="Adulto 80kg",31,IF(Atletas!D559="Adulto 85kg",32,IF(Atletas!D559="Adulto 90kg",33,IF(Atletas!D559="Adulto 100kg",34, IF(Atletas!D559="Adulto +100kg",35,"")))))))))))))))))))))))))))))))))))))</f>
        <v/>
      </c>
      <c r="AS568" s="6" t="str">
        <f>IF(Atletas!E559="","",IF(Atletas!B559="Feminino",100,IF(Atletas!B559="Masculino",200,""))+(IF(Atletas!E559="Juvenil 44kg",1,IF(Atletas!E559="Juvenil 48kg",2,IF(Atletas!E559="Juvenil 52kg",3,IF(Atletas!E559="Juvenil 56kg",4,IF(Atletas!E559="Juvenil 60kg",5,IF(Atletas!E559="Juvenil 65kg",6,IF(Atletas!E559="Juvenil 70kg",7,IF(Atletas!E559="Juvenil 75kg",8,IF(Atletas!E559="Juvenil 82kg",9,IF(Atletas!E559="Juvenil 90kg",10,IF(Atletas!E559="Juvenil 100kg",11,IF(Atletas!E559="Adulto 48kg",12,IF(Atletas!E559="Adulto 52kg",13,IF(Atletas!E559="Adulto 56kg",14,IF(Atletas!E559="Adulto 60kg",15,IF(Atletas!E559="Adulto 65kg",16,IF(Atletas!E559="Adulto 70kg",17,IF(Atletas!E559="Adulto 75kg",18,IF(Atletas!E559="Adulto 82kg",19,IF(Atletas!E559="Adulto 90kg",20,IF(Atletas!E559="Adulto 100kg",21,IF(Atletas!E559="Adulto +100kg",22,""))))))))))))))))))))))))</f>
        <v/>
      </c>
      <c r="AX568" s="6" t="str">
        <f>IF(Atletas!F559="","",IF(Atletas!B559="Feminino",100,IF(Atletas!B559="Masculino",200,""))+(IF(Atletas!F559="Adulto 48kg",1,IF(Atletas!F559="Adulto 56kg",2,IF(Atletas!F559="Adulto 65kg",3,IF(Atletas!F559="Adulto 75kg",4,IF(Atletas!F559="Adulto +75kg",5,IF(Atletas!F559="Adulto 52kg",6,IF(Atletas!F559="Adulto 60kg",7,IF(Atletas!F559="Adulto 70kg",8,IF(Atletas!F559="Adulto 80kg",9,IF(Atletas!F559="Adulto 90kg",10,IF(Atletas!F559="Adulto +90kg",11,"")))))))))))))</f>
        <v/>
      </c>
      <c r="BC568" s="6" t="str">
        <f>IF(Atletas!G559="","",IF(Atletas!B559="Feminino",10,IF(Atletas!B559="Masculino",20,""))+(IF(Atletas!G559="Baduanjin A",1,IF(Atletas!G559="Baduanjin B",2))))</f>
        <v/>
      </c>
      <c r="BF568" s="52" t="str">
        <f>IF(Atletas!H559="","",IF(Atletas!B559="Feminino",100,IF(Atletas!B559="Masculino",200,""))+(IF(Atletas!H559="Changquan Mirim",1,IF(Atletas!H559="Nanquan Mirim",2,IF(Atletas!H559="Taijiquan Mirim",3,IF(Atletas!H559="Changquan Grupo C",4,IF(Atletas!H559="Nanquan Grupo C",5,IF(Atletas!H559="Taijiquan Grupo C",6,IF(Atletas!H559="Changquan Grupo B",7,IF(Atletas!H559="Nanquan Grupo B",8,IF(Atletas!H559="Taijiquan Grupo B",9,IF(Atletas!H559="Changquan Grupo A",10,IF(Atletas!H559="Nanquan Grupo A",11,IF(Atletas!H559="Taijiquan Grupo A",12,IF(Atletas!H559="Changquan Opcional",13,IF(Atletas!H559="Nanquan Opcional",14,IF(Atletas!H559="Taijiquan Opcional",15,IF(Atletas!H559="Changquan Adulto",16,IF(Atletas!H559="Nanquan Adulto",17,IF(Atletas!H559="Taijiquan Adulto",18,""))))))))))))))))))))</f>
        <v/>
      </c>
      <c r="BG568" s="52" t="str">
        <f>IF(Atletas!I559="","",IF(Atletas!B559="Feminino",100,IF(Atletas!B559="Masculino",200,""))+(IF(Atletas!I559="Daoshu Mirim",19,IF(Atletas!I559="Jianshu Mirim",20,IF(Atletas!I559="Nandao Mirim",21,IF(Atletas!I559="Taijijian Mirim",22,IF(Atletas!I559="Daoshu Grupo C",23,IF(Atletas!I559="Jianshu Grupo C",24,IF(Atletas!I559="Nandao Grupo C",25,IF(Atletas!I559="Taijijian Grupo C",26,IF(Atletas!I559="Daoshu Grupo B",27,IF(Atletas!I559="Jianshu Grupo B",28,IF(Atletas!I559="Nandao Grupo B",29,IF(Atletas!I559="Taijijian Grupo B",30,IF(Atletas!I559="Daoshu Grupo A",31,IF(Atletas!I559="Jianshu Grupo A",32,IF(Atletas!I559="Nandao Grupo A",33,IF(Atletas!I559="Taijijian Grupo A",34,IF(Atletas!I559="Daoshu Opcional",35,IF(Atletas!I559="Jianshu Opcional",36,IF(Atletas!I559="Nandao Opcional",37,IF(Atletas!I559="Taijijian Opcional",38,IF(Atletas!I559="Daoshu Adulto",39,IF(Atletas!I559="Jianshu Adulto",40,IF(Atletas!I559="Nandao Adulto",41,IF(Atletas!I559="Taijijian Adulto",42,""))))))))))))))))))))))))))</f>
        <v/>
      </c>
      <c r="BH568" s="52" t="str">
        <f>IF(Atletas!J559="","",IF(Atletas!B559="Feminino",100,IF(Atletas!B559="Masculino",200,""))+(IF(Atletas!J559="Gunshu Mirim",43,IF(Atletas!J559="Qiangshu Mirim",44,IF(Atletas!J559="Nangun Mirim",45,IF(Atletas!J559="Gunshu Grupo C",46,IF(Atletas!J559="Qiangshu Grupo C",47,IF(Atletas!J559="Nangun Grupo C",48,IF(Atletas!J559="Gunshu Grupo B",49,IF(Atletas!J559="Qiangshu Grupo B",50,IF(Atletas!J559="Nangun Grupo B",51,IF(Atletas!J559="Gunshu Grupo A",52,IF(Atletas!J559="Qiangshu Grupo A",53,IF(Atletas!J559="Nangun Grupo A",54,IF(Atletas!J559="Gunshu Opcional",55,IF(Atletas!J559="Qiangshu Opcional",56,IF(Atletas!J559="Nangun Opcional",57,IF(Atletas!J559="Gunshu Adulto",58,IF(Atletas!J559="Qiangshu Adulto",59,IF(Atletas!J559="Nangun Adulto",60,IF(Atletas!J559="Taijishan Grupo B",61,IF(Atletas!J559="Taijishan Grupo A",62,""))))))))))))))))))))))</f>
        <v/>
      </c>
      <c r="BM568" s="50" t="str">
        <f>IF(Atletas!K559="","",IF(Atletas!B559="Feminino",100,IF(Atletas!B559="Masculino",200,""))+(IF(Atletas!K559="Equipe 1 Grupo B",1,IF(Atletas!K559="Equipe 2 Grupo B",2,IF(Atletas!K559="Equipe 1 Grupo A",3,IF(Atletas!K559="Equipe 2 Grupo A",4,IF(Atletas!K559="Equipe 1 Adulto",5,IF(Atletas!K559="Equipe 2 Adulto",6,""))))))))</f>
        <v/>
      </c>
      <c r="BR568" s="50" t="str">
        <f>IF(Atletas!L559="","",IF(Atletas!X559&lt;&gt;"",10000,0)+(IF(Atletas!B559="Feminino",1000,IF(Atletas!B559="Masculino",2000,""))+IF(Atletas!L559="Choylayfut A",1,IF(Atletas!L559="Hunggar A",2,IF(Atletas!L559="Wuzuquan A",3,IF(Atletas!L559="Wingchun A",4,IF(Atletas!L559="Outra Mão de Sul A",5,IF(Atletas!L559="Choylayfut B",6,IF(Atletas!L559="Hunggar B",7,IF(Atletas!L559="Wuzuquan B",8,IF(Atletas!L559="Wingchun B",9,IF(Atletas!L559="Outra Mão de Sul B",10,IF(Atletas!L559="Choylayfut C",11,IF(Atletas!L559="Hunggar C",12,IF(Atletas!L559="Wuzuquan C",13,IF(Atletas!L559="Wingchun C",14,IF(Atletas!L559="Outra Mão de Sul C",15,IF(Atletas!L559="Choylayfut D",16,IF(Atletas!L559="Hunggar D",17,IF(Atletas!L559="Wuzuquan D",18,IF(Atletas!L559="Wingchun D",19,IF(Atletas!L559="Outra Mão de Sul D",20,IF(Atletas!L559="Choylayfut E",21,IF(Atletas!L559="Hunggar E",22,IF(Atletas!L559="Wuzuquan E",23,IF(Atletas!L559="Wingchun E",24,IF(Atletas!L559="Outra Mão de Sul E",25,IF(Atletas!L559="Choylayfut F",26,IF(Atletas!L559="Hunggar F",27,IF(Atletas!L559="Wuzuquan F",28,IF(Atletas!L559="Wingchun F",29,IF(Atletas!L559="Outra Mão de Sul F",30,IF(Atletas!L559="Dishuquan A",31,IF(Atletas!L559="Dishuquan B",32,IF(Atletas!L559="Dishuquan C",33,IF(Atletas!L559="Dishuquan D",34,IF(Atletas!L559="Dishuquan E",35,IF(Atletas!L559="Dishuquan F",36,""))))))))))))))))))))))))))))))))))))))</f>
        <v/>
      </c>
      <c r="BS568" s="50" t="str">
        <f>IF(Atletas!M559="","",IF(Atletas!X559&lt;&gt;"",10000,0)+(IF(Atletas!B559="Feminino",1000,IF(Atletas!B559="Masculino",2000,""))+(IF(Atletas!M559="Chaquan A",101,IF(Atletas!M559="Emeiquan A",102,IF(Atletas!M559="Fanziquan A",103,IF(Atletas!M559="Huaquan A",104,IF(Atletas!M559="Hongquan A",105,IF(Atletas!M559="Paoquan A",106,IF(Atletas!M559="Piguaquan A",107,IF(Atletas!M559="Shaolinquan A",108,IF(Atletas!M559="Tanglangquan A",109,IF(Atletas!M559="Yingzhaoquan A",110,IF(Atletas!M559="Tongbeiquan A",111,IF(Atletas!M559="Wudangquan A",112,IF(Atletas!M559="Outros Estilos A",113,IF(Atletas!M559="Chaquan B",114,IF(Atletas!M559="Emeiquan B",115,IF(Atletas!M559="Fanziquan B",116,IF(Atletas!M559="Huaquan B",117,IF(Atletas!M559="Hongquan B",118,IF(Atletas!M559="Paoquan B",119,IF(Atletas!M559="Piguaquan B",120,IF(Atletas!M559="Shaolinquan B",121,IF(Atletas!M559="Tanglangquan B",122,IF(Atletas!M559="Yingzhaoquan B",123,IF(Atletas!M559="Tongbeiquan B",124,IF(Atletas!M559="Wudangquan B",125,IF(Atletas!M559="Outros Estilos B",126,IF(Atletas!M559="Chaquan C",127,IF(Atletas!M559="Emeiquan C",128,IF(Atletas!M559="Fanziquan C",129,IF(Atletas!M559="Huaquan C",130,IF(Atletas!M559="Hongquan C",131,IF(Atletas!M559="Paoquan C",132,IF(Atletas!M559="Piguaquan C",133,IF(Atletas!M559="Shaolinquan C",134,IF(Atletas!M559="Tanglangquan C",135,IF(Atletas!M559="Yingzhaoquan C",136,IF(Atletas!M559="Tongbeiquan C",137,IF(Atletas!M559="Wudangquan C",138,IF(Atletas!M559="Outros Estilos C",139,0))))))))))))))))))))))))))))))))))))))))))</f>
        <v/>
      </c>
      <c r="BT568" s="50" t="str">
        <f>IF(Atletas!M559="","",IF(Atletas!X559&lt;&gt;"",10000,0)+(IF(Atletas!B559="Feminino",1000,IF(Atletas!B559="Masculino",2000,""))+(IF(Atletas!M559="Chaquan D",140,IF(Atletas!M559="Emeiquan D",141,IF(Atletas!M559="Fanziquan D",142,IF(Atletas!M559="Huaquan D",143,IF(Atletas!M559="Hongquan D",144,IF(Atletas!M559="Paoquan D",145,IF(Atletas!M559="Piguaquan D",146,IF(Atletas!M559="Shaolinquan D",147,IF(Atletas!M559="Tanglangquan D",148,IF(Atletas!M559="Yingzhaoquan D",149,IF(Atletas!M559="Tongbeiquan D",150,IF(Atletas!M559="Wudangquan D",151,IF(Atletas!M559="Outros Estilos D",152,IF(Atletas!M559="Chaquan E",153,IF(Atletas!M559="Emeiquan E",154,IF(Atletas!M559="Fanziquan E",155,IF(Atletas!M559="Huaquan E",156,IF(Atletas!M559="Hongquan E",157,IF(Atletas!M559="Paoquan E",158,IF(Atletas!M559="Piguaquan E",159,IF(Atletas!M559="Shaolinquan E",160,IF(Atletas!M559="Tanglangquan E",161,IF(Atletas!M559="Yingzhaoquan E",162,IF(Atletas!M559="Tongbeiquan E",163,IF(Atletas!M559="Wudangquan E",164,IF(Atletas!M559="Outros Estilos E",165,IF(Atletas!M559="Chaquan F",166,IF(Atletas!M559="Emeiquan F",167,IF(Atletas!M559="Fanziquan F",168,IF(Atletas!M559="Huaquan F",169,IF(Atletas!M559="Hongquan F",170,IF(Atletas!M559="Paoquan F",171,IF(Atletas!M559="Piguaquan F",172,IF(Atletas!M559="Shaolinquan F",173,IF(Atletas!M559="Tanglangquan F",174,IF(Atletas!M559="Yingzhaoquan F",175,IF(Atletas!M559="Tongbeiquan F",176,IF(Atletas!M559="Wudangquan F",177,IF(Atletas!M559="Outros Estilos F",178,0))))))))))))))))))))))))))))))))))))))))))</f>
        <v/>
      </c>
      <c r="BU568" s="50" t="str">
        <f>IF(Atletas!N559="","",IF(Atletas!X559&lt;&gt;"",10000,0)+(IF(Atletas!B559="Feminino",1000,IF(Atletas!B559="Masculino",2000,""))+(IF(Atletas!N559="Ditangquan A",201,IF(Atletas!N559="Houquan A",202,IF(Atletas!N559="Zuiquan A",203,IF(Atletas!N559="Ditangquan B",204,IF(Atletas!N559="Houquan B",205,IF(Atletas!N559="Zuiquan B",206,IF(Atletas!N559="Ditangquan C",207,IF(Atletas!N559="Houquan C",208,IF(Atletas!N559="Zuiquan C",209,IF(Atletas!N559="Ditangquan D",210,IF(Atletas!N559="Houquan D",211,IF(Atletas!N559="Zuiquan D",212,IF(Atletas!N559="Ditangquan E",213,IF(Atletas!N559="Houquan E",214,IF(Atletas!N559="Zuiquan E",215,IF(Atletas!N559="Ditangquan F",216,IF(Atletas!N559="Houquan F",217,IF(Atletas!N559="Zuiquan F",218,"")))))))))))))))))))))</f>
        <v/>
      </c>
      <c r="BV568" s="50" t="str">
        <f>IF(Atletas!O559="","",IF(Atletas!X559&lt;&gt;"",10000,0)+IF(Atletas!B559="Feminino",1000,IF(Atletas!B559="Masculino",2000,""))+IF(Atletas!O559="Yang A",301,IF(Atletas!O559="Chen A",302,IF(Atletas!O559="Sun A",303,IF(Atletas!O559="Wu A",304,IF(Atletas!O559="Wu-Hao A",305,IF(Atletas!O559="Outro Taijiquan A",306,IF(Atletas!O559="Yang B",307,IF(Atletas!O559="Chen B",308,IF(Atletas!O559="Sun B",309,IF(Atletas!O559="Wu B",310,IF(Atletas!O559="Wu-Hao B",311,IF(Atletas!O559="Outro Taijiquan B",312,IF(Atletas!O559="Yang C",313,IF(Atletas!O559="Chen C",314,IF(Atletas!O559="Sun C",315,IF(Atletas!O559="Wu C",316,IF(Atletas!O559="Wu-Hao C",317,IF(Atletas!O559="Outro Taijiquan C",318,IF(Atletas!O559="Yang D",319,IF(Atletas!O559="Chen D",320,IF(Atletas!O559="Sun D",321,IF(Atletas!O559="Wu D",322,IF(Atletas!O559="Wu-Hao D",323,IF(Atletas!O559="Outro Taijiquan D",324,IF(Atletas!O559="Yang E",325,IF(Atletas!O559="Chen E",326,IF(Atletas!O559="Sun E",327,IF(Atletas!O559="Wu E",328,IF(Atletas!O559="Wu-Hao E",329,IF(Atletas!O559="Outro Taijiquan E",330,IF(Atletas!O559="Yang F",331,IF(Atletas!O559="Chen F",332,IF(Atletas!O559="Sun F",333,IF(Atletas!O559="Wu F",334,IF(Atletas!O559="Wu-Hao F",335,IF(Atletas!O559="Outro Taijiquan F",336,"")))))))))))))))))))))))))))))))))))))</f>
        <v/>
      </c>
      <c r="BW568" s="50" t="str">
        <f>IF(Atletas!P559="","",IF(Atletas!X559&lt;&gt;"",10000,0)+IF(Atletas!B559="Feminino",1000,IF(Atletas!B559="Masculino",2000,""))+IF(OR(Atletas!P559="Yang 26 A",Atletas!P559="Yang 40 A"),401,IF(OR(Atletas!P559="Chen 25 A",Atletas!P559="Chen 36 A",Atletas!P559="Chen 56 A"),402,IF(Atletas!P559="Sun 73 A",403,IF(Atletas!P559="Wu 45 A",404,IF(Atletas!P559="Wu-Hao 46 A",405,IF(OR(Atletas!P559="Taijiquan 16 A",Atletas!P559="Taijiquan 24 A",Atletas!P559="Taijiquan 32 A",Atletas!P559="Taijiquan 42 A"),406,IF(OR(Atletas!P559="Yang 26 B",Atletas!P559="Yang 40 B"),407,IF(OR(Atletas!P559="Chen 25 B",Atletas!P559="Chen 36 B",Atletas!P559="Chen 56 B"),408,IF(Atletas!P559="Sun 73 B",409,IF(Atletas!P559="Wu 45 B",410,IF(Atletas!P559="Wu-Hao 46 B",411,IF(OR(Atletas!P559="Taijiquan 16 B",Atletas!P559="Taijiquan 24 B",Atletas!P559="Taijiquan 32 B",Atletas!P559="Taijiquan 42 B"),412,IF(OR(Atletas!P559="Yang 26 C",Atletas!P559="Yang 40 C"),413,IF(OR(Atletas!P559="Chen 25 C",Atletas!P559="Chen 36 C",Atletas!P559="Chen 56 C"),414,IF(Atletas!P559="Sun 73 C",415,IF(Atletas!P559="Wu 45 C",416,IF(Atletas!P559="Wu-Hao 46 C",417,IF(OR(Atletas!P559="Taijiquan 16 C",Atletas!P559="Taijiquan 24 C",Atletas!P559="Taijiquan 32 C",Atletas!P559="Taijiquan 42 C"),418,0)))))))))))))))))))</f>
        <v/>
      </c>
      <c r="BX568" s="50" t="str">
        <f>IF(Atletas!P559="","",IF(Atletas!X559&lt;&gt;"",10000,0)+IF(Atletas!B559="Feminino",1000,IF(Atletas!B559="Masculino",2000,""))+IF(OR(Atletas!P559="Yang 26 D",Atletas!P559="Yang 40 D"),419,IF(OR(Atletas!P559="Chen 25 D",Atletas!P559="Chen 36 D",Atletas!P559="Chen 56 D"),420,IF(Atletas!P559="Sun 73 D",421,IF(Atletas!P559="Wu 45 D",422,IF(Atletas!P559="Wu-Hao 46 D",423,IF(OR(Atletas!P559="Taijiquan 16 D",Atletas!P559="Taijiquan 24 D",Atletas!P559="Taijiquan 32 D",Atletas!P559="Taijiquan 42 D"),424,IF(OR(Atletas!P559="Yang 26 E",Atletas!P559="Yang 40 E"),425,IF(OR(Atletas!P559="Chen 25 E",Atletas!P559="Chen 36 E",Atletas!P559="Chen 56 E"),426,IF(Atletas!P559="Sun 73 E",427,IF(Atletas!P559="Wu 45 E",428,IF(Atletas!P559="Wu-Hao 46 E",429,IF(OR(Atletas!P559="Taijiquan 16 E",Atletas!P559="Taijiquan 24 E",Atletas!P559="Taijiquan 32 E",Atletas!P559="Taijiquan 42 E"),430,IF(OR(Atletas!P559="Yang 26 F",Atletas!P559="Yang 40 F"),431,IF(OR(Atletas!P559="Chen 25 F",Atletas!P559="Chen 36 F",Atletas!P559="Chen 56 F"),432,IF(Atletas!P559="Sun 73 F",433,IF(Atletas!P559="Wu 45 F",434,IF(Atletas!P559="Wu-Hao 46 F",435,IF(OR(Atletas!P559="Taijiquan 16 F",Atletas!P559="Taijiquan 24 F",Atletas!P559="Taijiquan 32 F",Atletas!P559="Taijiquan 42 F"),436,0)))))))))))))))))))</f>
        <v/>
      </c>
      <c r="BY568" s="50" t="str">
        <f>IF(Atletas!Q559="","",IF(Atletas!X559&lt;&gt;"",10000,0)+IF(Atletas!B559="Feminino",1000,IF(Atletas!B559="Masculino",2000,""))+IF(Atletas!Q559="Xingyiquan A",501,IF(Atletas!Q559="Baguazhang A",502,IF(Atletas!Q559="Outro Estilo Interno A",503,IF(Atletas!Q559="Xingyiquan B",504,IF(Atletas!Q559="Baguazhang B",505,IF(Atletas!Q559="Outro Estilo Interno B",506,IF(Atletas!Q559="Xingyiquan C",507,IF(Atletas!Q559="Baguazhang C",508,IF(Atletas!Q559="Outro Estilo Interno C",509,IF(Atletas!Q559="Xingyiquan D",510,IF(Atletas!Q559="Baguazhang D",511,IF(Atletas!Q559="Outro Estilo Interno D",512,IF(Atletas!Q559="Xingyiquan E",513,IF(Atletas!Q559="Baguazhang E",514,IF(Atletas!Q559="Outro Estilo Interno E",515,IF(Atletas!Q559="Xingyiquan F",516,IF(Atletas!Q559="Baguazhang F",517,IF(Atletas!Q559="Outro Estilo Interno F",518, "")))))))))))))))))))</f>
        <v/>
      </c>
      <c r="BZ568" s="50" t="str">
        <f>IF(Atletas!R559="","",IF(Atletas!X559&lt;&gt;"",10000,0)+IF(Atletas!B559="Feminino",1000,IF(Atletas!B559="Masculino",2000,""))+IF(Atletas!R559="Dao A",601,IF(Atletas!R559="Jian A",602,IF(Atletas!R559="Bishou A",603,IF(Atletas!R559="Shanzi A",604,IF(Atletas!R559="Outra Arma Curta A",605,IF(Atletas!R559="Dao B",606,IF(Atletas!R559="Jian B",607,IF(Atletas!R559="Bishou B",608,IF(Atletas!R559="Shanzi B",609,IF(Atletas!R559="Outra Arma Curta B",610,IF(Atletas!R559="Dao C",611,IF(Atletas!R559="Jian C",612,IF(Atletas!R559="Bishou C",613,IF(Atletas!R559="Shanzi C",614,IF(Atletas!R559="Outra Arma Curta C",615,IF(Atletas!R559="Dao D",616,IF(Atletas!R559="Jian D",617,IF(Atletas!R559="Bishou D",618,IF(Atletas!R559="Shanzi D",619,IF(Atletas!R559="Outra Arma Curta D",620,IF(Atletas!R559="Dao E",621,IF(Atletas!R559="Jian E",622,IF(Atletas!R559="Bishou E",623,IF(Atletas!R559="Shanzi E",624,IF(Atletas!R559="Outra Arma Curta E",625,IF(Atletas!R559="Dao F",626,IF(Atletas!R559="Jian F",627,IF(Atletas!R559="Bishou F",628,IF(Atletas!R559="Shanzi F",629,IF(Atletas!R559="Outra Arma Curta F",630, "")))))))))))))))))))))))))))))))</f>
        <v/>
      </c>
      <c r="CA568" s="50" t="str">
        <f>IF(Atletas!S559="","",IF(Atletas!X559&lt;&gt;"",10000,0)+IF(Atletas!B559="Feminino",1000,IF(Atletas!B559="Masculino",2000,""))+IF(Atletas!S559="Gun A",701,IF(Atletas!S559="Qiang A",702,IF(Atletas!S559="Pudao / Guandao A",703,IF(Atletas!S559="Outra Arma Longa A",704,IF(Atletas!S559="Gun B",705,IF(Atletas!S559="Qiang B",706,IF(Atletas!S559="Pudao / Guandao B",707,IF(Atletas!S559="Outra Arma Longa B",708,IF(Atletas!S559="Gun C",709,IF(Atletas!S559="Qiang C",710,IF(Atletas!S559="Pudao / Guandao C",711,IF(Atletas!S559="Outra Arma Longa C",712,IF(Atletas!S559="Gun D",713,IF(Atletas!S559="Qiang D",714,IF(Atletas!S559="Pudao / Guandao D",715,IF(Atletas!S559="Outra Arma Longa D",716,IF(Atletas!S559="Gun E",717,IF(Atletas!S559="Qiang E",718,IF(Atletas!S559="Pudao / Guandao E",719,IF(Atletas!S559="Outra Arma Longa E",720,IF(Atletas!S559="Gun F",721,IF(Atletas!S559="Qiang F",722,IF(Atletas!S559="Pudao / Guandao F",723,IF(Atletas!S559="Outra Arma Longa F",724,"")))))))))))))))))))))))))</f>
        <v/>
      </c>
      <c r="CB568" s="50" t="str">
        <f>IF(Atletas!T559="","",IF(Atletas!X559&lt;&gt;"",10000,0)+IF(Atletas!B559="Feminino",1000,IF(Atletas!B559="Masculino",2000,""))+IF(Atletas!T559="Outra Arma Dupla A",801,IF(Atletas!T559="Arma Maleável A",802,IF(Atletas!T559="Outra Arma Dupla B",803,IF(Atletas!T559="Arma Maleável B",804,IF(Atletas!T559="Outra Arma Dupla C",805,IF(Atletas!T559="Arma Maleável C",806,IF(Atletas!T559="Outra Arma Dupla D",807,IF(Atletas!T559="Arma Maleável D",808,IF(Atletas!T559="Outra Arma Dupla E",809,IF(Atletas!T559="Arma Maleável E",810,IF(Atletas!T559="Outra Arma Dupla F",811,IF(Atletas!T559="Arma Maleável F",812,IF(Atletas!T559="Shuangdao A",813,IF(Atletas!T559="Shuangdao B",814,IF(Atletas!T559="Shuangdao C",815,IF(Atletas!T559="Shuangdao D",816,IF(Atletas!T559="Shuangdao E",817,IF(Atletas!T559="Shuangdao F",818,"")))))))))))))))))))</f>
        <v/>
      </c>
      <c r="CC568" s="50" t="str">
        <f>IF(Atletas!U559="","",IF(Atletas!X559&lt;&gt;"",10000,0)+IF(Atletas!B559="Feminino",1000,IF(Atletas!B559="Masculino",2000,""))+IF(OR(Atletas!U559="Taijijian Yang A",Atletas!U559="Taijijian Yang Standard A"),901,IF(OR(Atletas!U559="Taijijian Chen A", Atletas!U559="Taijijian Chen Standard A"),902,IF(Atletas!U559="Taijijian Sun A",903,IF(Atletas!U559="Taijijian Wu A",904,IF(Atletas!U559="Taijijian Wu-Hao A",905,IF(OR(Atletas!U559="Taijijian 32 A",Atletas!U559="Taijijian 42 A"),906,IF(OR(Atletas!U559="Taijijian Yang B",Atletas!U559="Taijijian Yang Standard B"),907,IF(OR(Atletas!U559="Taijijian Chen B", Atletas!U559="Taijijian Chen Standard B"),908,IF(Atletas!U559="Taijijian Sun B",909,IF(Atletas!U559="Taijijian Wu B",910,IF(Atletas!U559="Taijijian Wu-Hao B",911,IF(OR(Atletas!U559="Taijijian 32 B",Atletas!U559="Taijijian 42 B"),912,IF(OR(Atletas!U559="Taijijian Yang C",Atletas!U559="Taijijian Yang Standard C"),913,IF(OR(Atletas!U559="Taijijian Chen C", Atletas!U559="Taijijian Chen Standard C"),914,IF(Atletas!U559="Taijijian Sun C",915,IF(Atletas!U559="Taijijian Wu C",916,IF(Atletas!U559="Taijijian Wu-Hao C",917,IF(OR(Atletas!U559="Taijijian 32 C",Atletas!U559="Taijijian 42 C"),918,IF(OR(Atletas!U559="Taijijian Yang D",Atletas!U559="Taijijian Yang Standard D"),919,IF(OR(Atletas!U559="Taijijian Chen D", Atletas!U559="Taijijian Chen Standard D"),920,IF(Atletas!U559="Taijijian Sun D",921,IF(Atletas!U559="Taijijian Wu D",922,IF(Atletas!U559="Taijijian Wu-Hao D",923,IF(OR(Atletas!U559="Taijijian 32 D",Atletas!U559="Taijijian 42 D"),924,IF(OR(Atletas!U559="Taijijian Yang E",Atletas!U559="Taijijian Yang Standard E"),925,IF(OR(Atletas!U559="Taijijian Chen E", Atletas!U559="Taijijian Chen Standard E"),926,IF(Atletas!U559="Taijijian Sun E",927,IF(Atletas!U559="Taijijian Wu E",928,IF(Atletas!U559="Taijijian Wu-Hao E",929,IF(OR(Atletas!U559="Taijijian 32 E",Atletas!U559="Taijijian 42 E"),930,IF(OR(Atletas!U559="Taijijian Yang F",Atletas!U559="Taijijian Yang Standard F"),931,IF(OR(Atletas!U559="Taijijian Chen F", Atletas!U559="Taijijian Chen Standard F"),932,IF(Atletas!U559="Taijijian Sun F",933,IF(Atletas!U559="Taijijian Wu F",934,IF(Atletas!U559="Taijijian Wu-Hao F",935,IF(OR(Atletas!U559="Taijijian 32 F",Atletas!U559="Taijijian 42 F"),936,"")))))))))))))))))))))))))))))))))))))</f>
        <v/>
      </c>
      <c r="CD568" s="50" t="str">
        <f>IF(Atletas!V559="","",IF(Atletas!X559&lt;&gt;"",10000,0)+IF(Atletas!B559="Feminino",1000,IF(Atletas!B559="Masculino",2000,""))+IF(Atletas!V559="Taijidao A",937,IF(Atletas!V559="TaijiShanzi A",938,IF(Atletas!V559="Taijiqiang A",939,IF(Atletas!V559="Bagua de Arma A",940,IF(Atletas!V559="Xingyi de Arma A",941,IF(Atletas!V559="Taijidao B",942,IF(Atletas!V559="TaijiShanzi B",943,IF(Atletas!V559="Taijiqiang B",944,IF(Atletas!V559="Bagua de Arma B",945,IF(Atletas!V559="Xingyi de Arma B",946,IF(Atletas!V559="Taijidao C",947,IF(Atletas!V559="TaijiShanzi C",948,IF(Atletas!V559="Taijiqiang C",949,IF(Atletas!V559="Bagua de Arma C",950,IF(Atletas!V559="Xingyi de Arma C",951,IF(Atletas!V559="Taijidao D",952,IF(Atletas!V559="TaijiShanzi D",953,IF(Atletas!V559="Taijiqiang D",954,IF(Atletas!V559="Bagua de Arma D",955,IF(Atletas!V559="Xingyi de Arma D",956,IF(Atletas!V559="Taijidao E",957,IF(Atletas!V559="TaijiShanzi E",958,IF(Atletas!V559="Taijiqiang E",959,IF(Atletas!V559="Bagua de Arma E",960,IF(Atletas!V559="Xingyi de Arma E",961,IF(Atletas!V559="Taijidao F",962,IF(Atletas!V559="TaijiShanzi F",963,IF(Atletas!V559="Taijiqiang F",964,IF(Atletas!V559="Bagua de Arma F",965,IF(Atletas!V559="Xingyi de Arma F",966,"")))))))))))))))))))))))))))))))</f>
        <v/>
      </c>
      <c r="CM568" s="50" t="str">
        <f xml:space="preserve"> IF(Atletas!W559="","",IF(Atletas!W559="Duilian de Mãos BC - Equipe 1",1,IF(Atletas!W559="Duilian de Mãos BC - Equipe 2",2,IF(Atletas!W559="Duilian de Armas BC - Equipe 1",3,IF(Atletas!W559="Duilian de Armas BC - Equipe 2",4,IF(Atletas!W559="Duilian de Mãos DE - Equipe 1",5,IF(Atletas!W559="Duilian de Mãos DE - Equipe 2",6,IF(Atletas!W559="Duilian de Armas DE - Equipe 1",7,IF(Atletas!W559="Duilian de Armas DE - Equipe 2",8,IF(Atletas!W559="Duilian de Tuishou - Equipe 1",9,IF(Atletas!W559="Duilian de Tuishou - Equipe 2",10,IF(Atletas!W559="Grupo Externo ABC - Equipe 1",11,IF(Atletas!W559="Grupo Externo ABC - Equipe 2",12,IF(Atletas!W559="Grupo Interno ABC - Equipe 1",13,IF(Atletas!W559="Grupo Interno ABC - Equipe 2",14,IF(Atletas!W559="Grupo Externo DEF - Equipe 1",15,IF(Atletas!W559="Grupo Externo DEF - Equipe 2",16,IF(Atletas!W559="Grupo Interno DEF - Equipe 1",17,IF(Atletas!W559="Grupo Interno DEF - Equipe 2",18,"")))))))))))))))))))</f>
        <v/>
      </c>
    </row>
    <row r="569" spans="40:91">
      <c r="AN569" s="52" t="str">
        <f>IF(Atletas!D560="","",IF(Atletas!B560="Feminino",100,IF(Atletas!B560="Masculino",200,""))+(IF(Atletas!D560="Kids 30kg",1,IF(Atletas!D560="Kids 32kg",2, IF(Atletas!D560="Kids 34kg",3,IF(Atletas!D560="Kids 36kg",4,IF(Atletas!D560="Kids 39kg",5,IF(Atletas!D560="Kids 42kg",6,IF(Atletas!D560="Kids 45kg",7, IF(Atletas!D560="Infantil 39kg",8,IF(Atletas!D560="Infantil 42kg",9,IF(Atletas!D560="Infantil 45kg",10,IF(Atletas!D560="Infantil 48kg",11,IF(Atletas!D560="Infantil 52kg",12,IF(Atletas!D560="Infantil 56kg",13,IF(Atletas!D560="Infantil 60kg",14,IF(Atletas!D560="Juvenil 48kg",15,IF(Atletas!D560="Juvenil 52kg",16,IF(Atletas!D560="Juvenil 56kg",17,IF(Atletas!D560="Juvenil 60kg",18,IF(Atletas!D560="Juvenil 65kg",19,IF(Atletas!D560="Juvenil 70kg",20,IF(Atletas!D560="Juvenil 75kg",21,IF(Atletas!D560="Juvenil 80kg",22, IF(Atletas!D560="Juvenil 85kg",23,IF(Atletas!D560="Adulto 48kg",24,IF(Atletas!D560="Adulto 52kg",25,IF(Atletas!D560="Adulto 56kg",26,IF(Atletas!D560="Adulto 60kg",27,IF(Atletas!D560="Adulto 65kg",28,IF(Atletas!D560="Adulto 70kg",29,IF(Atletas!D560="Adulto 75kg",30,IF(Atletas!D560="Adulto 80kg",31,IF(Atletas!D560="Adulto 85kg",32,IF(Atletas!D560="Adulto 90kg",33,IF(Atletas!D560="Adulto 100kg",34, IF(Atletas!D560="Adulto +100kg",35,"")))))))))))))))))))))))))))))))))))))</f>
        <v/>
      </c>
      <c r="AS569" s="6" t="str">
        <f>IF(Atletas!E560="","",IF(Atletas!B560="Feminino",100,IF(Atletas!B560="Masculino",200,""))+(IF(Atletas!E560="Juvenil 44kg",1,IF(Atletas!E560="Juvenil 48kg",2,IF(Atletas!E560="Juvenil 52kg",3,IF(Atletas!E560="Juvenil 56kg",4,IF(Atletas!E560="Juvenil 60kg",5,IF(Atletas!E560="Juvenil 65kg",6,IF(Atletas!E560="Juvenil 70kg",7,IF(Atletas!E560="Juvenil 75kg",8,IF(Atletas!E560="Juvenil 82kg",9,IF(Atletas!E560="Juvenil 90kg",10,IF(Atletas!E560="Juvenil 100kg",11,IF(Atletas!E560="Adulto 48kg",12,IF(Atletas!E560="Adulto 52kg",13,IF(Atletas!E560="Adulto 56kg",14,IF(Atletas!E560="Adulto 60kg",15,IF(Atletas!E560="Adulto 65kg",16,IF(Atletas!E560="Adulto 70kg",17,IF(Atletas!E560="Adulto 75kg",18,IF(Atletas!E560="Adulto 82kg",19,IF(Atletas!E560="Adulto 90kg",20,IF(Atletas!E560="Adulto 100kg",21,IF(Atletas!E560="Adulto +100kg",22,""))))))))))))))))))))))))</f>
        <v/>
      </c>
      <c r="AX569" s="6" t="str">
        <f>IF(Atletas!F560="","",IF(Atletas!B560="Feminino",100,IF(Atletas!B560="Masculino",200,""))+(IF(Atletas!F560="Adulto 48kg",1,IF(Atletas!F560="Adulto 56kg",2,IF(Atletas!F560="Adulto 65kg",3,IF(Atletas!F560="Adulto 75kg",4,IF(Atletas!F560="Adulto +75kg",5,IF(Atletas!F560="Adulto 52kg",6,IF(Atletas!F560="Adulto 60kg",7,IF(Atletas!F560="Adulto 70kg",8,IF(Atletas!F560="Adulto 80kg",9,IF(Atletas!F560="Adulto 90kg",10,IF(Atletas!F560="Adulto +90kg",11,"")))))))))))))</f>
        <v/>
      </c>
      <c r="BC569" s="6" t="str">
        <f>IF(Atletas!G560="","",IF(Atletas!B560="Feminino",10,IF(Atletas!B560="Masculino",20,""))+(IF(Atletas!G560="Baduanjin A",1,IF(Atletas!G560="Baduanjin B",2))))</f>
        <v/>
      </c>
      <c r="BF569" s="52" t="str">
        <f>IF(Atletas!H560="","",IF(Atletas!B560="Feminino",100,IF(Atletas!B560="Masculino",200,""))+(IF(Atletas!H560="Changquan Mirim",1,IF(Atletas!H560="Nanquan Mirim",2,IF(Atletas!H560="Taijiquan Mirim",3,IF(Atletas!H560="Changquan Grupo C",4,IF(Atletas!H560="Nanquan Grupo C",5,IF(Atletas!H560="Taijiquan Grupo C",6,IF(Atletas!H560="Changquan Grupo B",7,IF(Atletas!H560="Nanquan Grupo B",8,IF(Atletas!H560="Taijiquan Grupo B",9,IF(Atletas!H560="Changquan Grupo A",10,IF(Atletas!H560="Nanquan Grupo A",11,IF(Atletas!H560="Taijiquan Grupo A",12,IF(Atletas!H560="Changquan Opcional",13,IF(Atletas!H560="Nanquan Opcional",14,IF(Atletas!H560="Taijiquan Opcional",15,IF(Atletas!H560="Changquan Adulto",16,IF(Atletas!H560="Nanquan Adulto",17,IF(Atletas!H560="Taijiquan Adulto",18,""))))))))))))))))))))</f>
        <v/>
      </c>
      <c r="BG569" s="52" t="str">
        <f>IF(Atletas!I560="","",IF(Atletas!B560="Feminino",100,IF(Atletas!B560="Masculino",200,""))+(IF(Atletas!I560="Daoshu Mirim",19,IF(Atletas!I560="Jianshu Mirim",20,IF(Atletas!I560="Nandao Mirim",21,IF(Atletas!I560="Taijijian Mirim",22,IF(Atletas!I560="Daoshu Grupo C",23,IF(Atletas!I560="Jianshu Grupo C",24,IF(Atletas!I560="Nandao Grupo C",25,IF(Atletas!I560="Taijijian Grupo C",26,IF(Atletas!I560="Daoshu Grupo B",27,IF(Atletas!I560="Jianshu Grupo B",28,IF(Atletas!I560="Nandao Grupo B",29,IF(Atletas!I560="Taijijian Grupo B",30,IF(Atletas!I560="Daoshu Grupo A",31,IF(Atletas!I560="Jianshu Grupo A",32,IF(Atletas!I560="Nandao Grupo A",33,IF(Atletas!I560="Taijijian Grupo A",34,IF(Atletas!I560="Daoshu Opcional",35,IF(Atletas!I560="Jianshu Opcional",36,IF(Atletas!I560="Nandao Opcional",37,IF(Atletas!I560="Taijijian Opcional",38,IF(Atletas!I560="Daoshu Adulto",39,IF(Atletas!I560="Jianshu Adulto",40,IF(Atletas!I560="Nandao Adulto",41,IF(Atletas!I560="Taijijian Adulto",42,""))))))))))))))))))))))))))</f>
        <v/>
      </c>
      <c r="BH569" s="52" t="str">
        <f>IF(Atletas!J560="","",IF(Atletas!B560="Feminino",100,IF(Atletas!B560="Masculino",200,""))+(IF(Atletas!J560="Gunshu Mirim",43,IF(Atletas!J560="Qiangshu Mirim",44,IF(Atletas!J560="Nangun Mirim",45,IF(Atletas!J560="Gunshu Grupo C",46,IF(Atletas!J560="Qiangshu Grupo C",47,IF(Atletas!J560="Nangun Grupo C",48,IF(Atletas!J560="Gunshu Grupo B",49,IF(Atletas!J560="Qiangshu Grupo B",50,IF(Atletas!J560="Nangun Grupo B",51,IF(Atletas!J560="Gunshu Grupo A",52,IF(Atletas!J560="Qiangshu Grupo A",53,IF(Atletas!J560="Nangun Grupo A",54,IF(Atletas!J560="Gunshu Opcional",55,IF(Atletas!J560="Qiangshu Opcional",56,IF(Atletas!J560="Nangun Opcional",57,IF(Atletas!J560="Gunshu Adulto",58,IF(Atletas!J560="Qiangshu Adulto",59,IF(Atletas!J560="Nangun Adulto",60,IF(Atletas!J560="Taijishan Grupo B",61,IF(Atletas!J560="Taijishan Grupo A",62,""))))))))))))))))))))))</f>
        <v/>
      </c>
      <c r="BM569" s="50" t="str">
        <f>IF(Atletas!K560="","",IF(Atletas!B560="Feminino",100,IF(Atletas!B560="Masculino",200,""))+(IF(Atletas!K560="Equipe 1 Grupo B",1,IF(Atletas!K560="Equipe 2 Grupo B",2,IF(Atletas!K560="Equipe 1 Grupo A",3,IF(Atletas!K560="Equipe 2 Grupo A",4,IF(Atletas!K560="Equipe 1 Adulto",5,IF(Atletas!K560="Equipe 2 Adulto",6,""))))))))</f>
        <v/>
      </c>
      <c r="BR569" s="50" t="str">
        <f>IF(Atletas!L560="","",IF(Atletas!X560&lt;&gt;"",10000,0)+(IF(Atletas!B560="Feminino",1000,IF(Atletas!B560="Masculino",2000,""))+IF(Atletas!L560="Choylayfut A",1,IF(Atletas!L560="Hunggar A",2,IF(Atletas!L560="Wuzuquan A",3,IF(Atletas!L560="Wingchun A",4,IF(Atletas!L560="Outra Mão de Sul A",5,IF(Atletas!L560="Choylayfut B",6,IF(Atletas!L560="Hunggar B",7,IF(Atletas!L560="Wuzuquan B",8,IF(Atletas!L560="Wingchun B",9,IF(Atletas!L560="Outra Mão de Sul B",10,IF(Atletas!L560="Choylayfut C",11,IF(Atletas!L560="Hunggar C",12,IF(Atletas!L560="Wuzuquan C",13,IF(Atletas!L560="Wingchun C",14,IF(Atletas!L560="Outra Mão de Sul C",15,IF(Atletas!L560="Choylayfut D",16,IF(Atletas!L560="Hunggar D",17,IF(Atletas!L560="Wuzuquan D",18,IF(Atletas!L560="Wingchun D",19,IF(Atletas!L560="Outra Mão de Sul D",20,IF(Atletas!L560="Choylayfut E",21,IF(Atletas!L560="Hunggar E",22,IF(Atletas!L560="Wuzuquan E",23,IF(Atletas!L560="Wingchun E",24,IF(Atletas!L560="Outra Mão de Sul E",25,IF(Atletas!L560="Choylayfut F",26,IF(Atletas!L560="Hunggar F",27,IF(Atletas!L560="Wuzuquan F",28,IF(Atletas!L560="Wingchun F",29,IF(Atletas!L560="Outra Mão de Sul F",30,IF(Atletas!L560="Dishuquan A",31,IF(Atletas!L560="Dishuquan B",32,IF(Atletas!L560="Dishuquan C",33,IF(Atletas!L560="Dishuquan D",34,IF(Atletas!L560="Dishuquan E",35,IF(Atletas!L560="Dishuquan F",36,""))))))))))))))))))))))))))))))))))))))</f>
        <v/>
      </c>
      <c r="BS569" s="50" t="str">
        <f>IF(Atletas!M560="","",IF(Atletas!X560&lt;&gt;"",10000,0)+(IF(Atletas!B560="Feminino",1000,IF(Atletas!B560="Masculino",2000,""))+(IF(Atletas!M560="Chaquan A",101,IF(Atletas!M560="Emeiquan A",102,IF(Atletas!M560="Fanziquan A",103,IF(Atletas!M560="Huaquan A",104,IF(Atletas!M560="Hongquan A",105,IF(Atletas!M560="Paoquan A",106,IF(Atletas!M560="Piguaquan A",107,IF(Atletas!M560="Shaolinquan A",108,IF(Atletas!M560="Tanglangquan A",109,IF(Atletas!M560="Yingzhaoquan A",110,IF(Atletas!M560="Tongbeiquan A",111,IF(Atletas!M560="Wudangquan A",112,IF(Atletas!M560="Outros Estilos A",113,IF(Atletas!M560="Chaquan B",114,IF(Atletas!M560="Emeiquan B",115,IF(Atletas!M560="Fanziquan B",116,IF(Atletas!M560="Huaquan B",117,IF(Atletas!M560="Hongquan B",118,IF(Atletas!M560="Paoquan B",119,IF(Atletas!M560="Piguaquan B",120,IF(Atletas!M560="Shaolinquan B",121,IF(Atletas!M560="Tanglangquan B",122,IF(Atletas!M560="Yingzhaoquan B",123,IF(Atletas!M560="Tongbeiquan B",124,IF(Atletas!M560="Wudangquan B",125,IF(Atletas!M560="Outros Estilos B",126,IF(Atletas!M560="Chaquan C",127,IF(Atletas!M560="Emeiquan C",128,IF(Atletas!M560="Fanziquan C",129,IF(Atletas!M560="Huaquan C",130,IF(Atletas!M560="Hongquan C",131,IF(Atletas!M560="Paoquan C",132,IF(Atletas!M560="Piguaquan C",133,IF(Atletas!M560="Shaolinquan C",134,IF(Atletas!M560="Tanglangquan C",135,IF(Atletas!M560="Yingzhaoquan C",136,IF(Atletas!M560="Tongbeiquan C",137,IF(Atletas!M560="Wudangquan C",138,IF(Atletas!M560="Outros Estilos C",139,0))))))))))))))))))))))))))))))))))))))))))</f>
        <v/>
      </c>
      <c r="BT569" s="50" t="str">
        <f>IF(Atletas!M560="","",IF(Atletas!X560&lt;&gt;"",10000,0)+(IF(Atletas!B560="Feminino",1000,IF(Atletas!B560="Masculino",2000,""))+(IF(Atletas!M560="Chaquan D",140,IF(Atletas!M560="Emeiquan D",141,IF(Atletas!M560="Fanziquan D",142,IF(Atletas!M560="Huaquan D",143,IF(Atletas!M560="Hongquan D",144,IF(Atletas!M560="Paoquan D",145,IF(Atletas!M560="Piguaquan D",146,IF(Atletas!M560="Shaolinquan D",147,IF(Atletas!M560="Tanglangquan D",148,IF(Atletas!M560="Yingzhaoquan D",149,IF(Atletas!M560="Tongbeiquan D",150,IF(Atletas!M560="Wudangquan D",151,IF(Atletas!M560="Outros Estilos D",152,IF(Atletas!M560="Chaquan E",153,IF(Atletas!M560="Emeiquan E",154,IF(Atletas!M560="Fanziquan E",155,IF(Atletas!M560="Huaquan E",156,IF(Atletas!M560="Hongquan E",157,IF(Atletas!M560="Paoquan E",158,IF(Atletas!M560="Piguaquan E",159,IF(Atletas!M560="Shaolinquan E",160,IF(Atletas!M560="Tanglangquan E",161,IF(Atletas!M560="Yingzhaoquan E",162,IF(Atletas!M560="Tongbeiquan E",163,IF(Atletas!M560="Wudangquan E",164,IF(Atletas!M560="Outros Estilos E",165,IF(Atletas!M560="Chaquan F",166,IF(Atletas!M560="Emeiquan F",167,IF(Atletas!M560="Fanziquan F",168,IF(Atletas!M560="Huaquan F",169,IF(Atletas!M560="Hongquan F",170,IF(Atletas!M560="Paoquan F",171,IF(Atletas!M560="Piguaquan F",172,IF(Atletas!M560="Shaolinquan F",173,IF(Atletas!M560="Tanglangquan F",174,IF(Atletas!M560="Yingzhaoquan F",175,IF(Atletas!M560="Tongbeiquan F",176,IF(Atletas!M560="Wudangquan F",177,IF(Atletas!M560="Outros Estilos F",178,0))))))))))))))))))))))))))))))))))))))))))</f>
        <v/>
      </c>
      <c r="BU569" s="50" t="str">
        <f>IF(Atletas!N560="","",IF(Atletas!X560&lt;&gt;"",10000,0)+(IF(Atletas!B560="Feminino",1000,IF(Atletas!B560="Masculino",2000,""))+(IF(Atletas!N560="Ditangquan A",201,IF(Atletas!N560="Houquan A",202,IF(Atletas!N560="Zuiquan A",203,IF(Atletas!N560="Ditangquan B",204,IF(Atletas!N560="Houquan B",205,IF(Atletas!N560="Zuiquan B",206,IF(Atletas!N560="Ditangquan C",207,IF(Atletas!N560="Houquan C",208,IF(Atletas!N560="Zuiquan C",209,IF(Atletas!N560="Ditangquan D",210,IF(Atletas!N560="Houquan D",211,IF(Atletas!N560="Zuiquan D",212,IF(Atletas!N560="Ditangquan E",213,IF(Atletas!N560="Houquan E",214,IF(Atletas!N560="Zuiquan E",215,IF(Atletas!N560="Ditangquan F",216,IF(Atletas!N560="Houquan F",217,IF(Atletas!N560="Zuiquan F",218,"")))))))))))))))))))))</f>
        <v/>
      </c>
      <c r="BV569" s="50" t="str">
        <f>IF(Atletas!O560="","",IF(Atletas!X560&lt;&gt;"",10000,0)+IF(Atletas!B560="Feminino",1000,IF(Atletas!B560="Masculino",2000,""))+IF(Atletas!O560="Yang A",301,IF(Atletas!O560="Chen A",302,IF(Atletas!O560="Sun A",303,IF(Atletas!O560="Wu A",304,IF(Atletas!O560="Wu-Hao A",305,IF(Atletas!O560="Outro Taijiquan A",306,IF(Atletas!O560="Yang B",307,IF(Atletas!O560="Chen B",308,IF(Atletas!O560="Sun B",309,IF(Atletas!O560="Wu B",310,IF(Atletas!O560="Wu-Hao B",311,IF(Atletas!O560="Outro Taijiquan B",312,IF(Atletas!O560="Yang C",313,IF(Atletas!O560="Chen C",314,IF(Atletas!O560="Sun C",315,IF(Atletas!O560="Wu C",316,IF(Atletas!O560="Wu-Hao C",317,IF(Atletas!O560="Outro Taijiquan C",318,IF(Atletas!O560="Yang D",319,IF(Atletas!O560="Chen D",320,IF(Atletas!O560="Sun D",321,IF(Atletas!O560="Wu D",322,IF(Atletas!O560="Wu-Hao D",323,IF(Atletas!O560="Outro Taijiquan D",324,IF(Atletas!O560="Yang E",325,IF(Atletas!O560="Chen E",326,IF(Atletas!O560="Sun E",327,IF(Atletas!O560="Wu E",328,IF(Atletas!O560="Wu-Hao E",329,IF(Atletas!O560="Outro Taijiquan E",330,IF(Atletas!O560="Yang F",331,IF(Atletas!O560="Chen F",332,IF(Atletas!O560="Sun F",333,IF(Atletas!O560="Wu F",334,IF(Atletas!O560="Wu-Hao F",335,IF(Atletas!O560="Outro Taijiquan F",336,"")))))))))))))))))))))))))))))))))))))</f>
        <v/>
      </c>
      <c r="BW569" s="50" t="str">
        <f>IF(Atletas!P560="","",IF(Atletas!X560&lt;&gt;"",10000,0)+IF(Atletas!B560="Feminino",1000,IF(Atletas!B560="Masculino",2000,""))+IF(OR(Atletas!P560="Yang 26 A",Atletas!P560="Yang 40 A"),401,IF(OR(Atletas!P560="Chen 25 A",Atletas!P560="Chen 36 A",Atletas!P560="Chen 56 A"),402,IF(Atletas!P560="Sun 73 A",403,IF(Atletas!P560="Wu 45 A",404,IF(Atletas!P560="Wu-Hao 46 A",405,IF(OR(Atletas!P560="Taijiquan 16 A",Atletas!P560="Taijiquan 24 A",Atletas!P560="Taijiquan 32 A",Atletas!P560="Taijiquan 42 A"),406,IF(OR(Atletas!P560="Yang 26 B",Atletas!P560="Yang 40 B"),407,IF(OR(Atletas!P560="Chen 25 B",Atletas!P560="Chen 36 B",Atletas!P560="Chen 56 B"),408,IF(Atletas!P560="Sun 73 B",409,IF(Atletas!P560="Wu 45 B",410,IF(Atletas!P560="Wu-Hao 46 B",411,IF(OR(Atletas!P560="Taijiquan 16 B",Atletas!P560="Taijiquan 24 B",Atletas!P560="Taijiquan 32 B",Atletas!P560="Taijiquan 42 B"),412,IF(OR(Atletas!P560="Yang 26 C",Atletas!P560="Yang 40 C"),413,IF(OR(Atletas!P560="Chen 25 C",Atletas!P560="Chen 36 C",Atletas!P560="Chen 56 C"),414,IF(Atletas!P560="Sun 73 C",415,IF(Atletas!P560="Wu 45 C",416,IF(Atletas!P560="Wu-Hao 46 C",417,IF(OR(Atletas!P560="Taijiquan 16 C",Atletas!P560="Taijiquan 24 C",Atletas!P560="Taijiquan 32 C",Atletas!P560="Taijiquan 42 C"),418,0)))))))))))))))))))</f>
        <v/>
      </c>
      <c r="BX569" s="50" t="str">
        <f>IF(Atletas!P560="","",IF(Atletas!X560&lt;&gt;"",10000,0)+IF(Atletas!B560="Feminino",1000,IF(Atletas!B560="Masculino",2000,""))+IF(OR(Atletas!P560="Yang 26 D",Atletas!P560="Yang 40 D"),419,IF(OR(Atletas!P560="Chen 25 D",Atletas!P560="Chen 36 D",Atletas!P560="Chen 56 D"),420,IF(Atletas!P560="Sun 73 D",421,IF(Atletas!P560="Wu 45 D",422,IF(Atletas!P560="Wu-Hao 46 D",423,IF(OR(Atletas!P560="Taijiquan 16 D",Atletas!P560="Taijiquan 24 D",Atletas!P560="Taijiquan 32 D",Atletas!P560="Taijiquan 42 D"),424,IF(OR(Atletas!P560="Yang 26 E",Atletas!P560="Yang 40 E"),425,IF(OR(Atletas!P560="Chen 25 E",Atletas!P560="Chen 36 E",Atletas!P560="Chen 56 E"),426,IF(Atletas!P560="Sun 73 E",427,IF(Atletas!P560="Wu 45 E",428,IF(Atletas!P560="Wu-Hao 46 E",429,IF(OR(Atletas!P560="Taijiquan 16 E",Atletas!P560="Taijiquan 24 E",Atletas!P560="Taijiquan 32 E",Atletas!P560="Taijiquan 42 E"),430,IF(OR(Atletas!P560="Yang 26 F",Atletas!P560="Yang 40 F"),431,IF(OR(Atletas!P560="Chen 25 F",Atletas!P560="Chen 36 F",Atletas!P560="Chen 56 F"),432,IF(Atletas!P560="Sun 73 F",433,IF(Atletas!P560="Wu 45 F",434,IF(Atletas!P560="Wu-Hao 46 F",435,IF(OR(Atletas!P560="Taijiquan 16 F",Atletas!P560="Taijiquan 24 F",Atletas!P560="Taijiquan 32 F",Atletas!P560="Taijiquan 42 F"),436,0)))))))))))))))))))</f>
        <v/>
      </c>
      <c r="BY569" s="50" t="str">
        <f>IF(Atletas!Q560="","",IF(Atletas!X560&lt;&gt;"",10000,0)+IF(Atletas!B560="Feminino",1000,IF(Atletas!B560="Masculino",2000,""))+IF(Atletas!Q560="Xingyiquan A",501,IF(Atletas!Q560="Baguazhang A",502,IF(Atletas!Q560="Outro Estilo Interno A",503,IF(Atletas!Q560="Xingyiquan B",504,IF(Atletas!Q560="Baguazhang B",505,IF(Atletas!Q560="Outro Estilo Interno B",506,IF(Atletas!Q560="Xingyiquan C",507,IF(Atletas!Q560="Baguazhang C",508,IF(Atletas!Q560="Outro Estilo Interno C",509,IF(Atletas!Q560="Xingyiquan D",510,IF(Atletas!Q560="Baguazhang D",511,IF(Atletas!Q560="Outro Estilo Interno D",512,IF(Atletas!Q560="Xingyiquan E",513,IF(Atletas!Q560="Baguazhang E",514,IF(Atletas!Q560="Outro Estilo Interno E",515,IF(Atletas!Q560="Xingyiquan F",516,IF(Atletas!Q560="Baguazhang F",517,IF(Atletas!Q560="Outro Estilo Interno F",518, "")))))))))))))))))))</f>
        <v/>
      </c>
      <c r="BZ569" s="50" t="str">
        <f>IF(Atletas!R560="","",IF(Atletas!X560&lt;&gt;"",10000,0)+IF(Atletas!B560="Feminino",1000,IF(Atletas!B560="Masculino",2000,""))+IF(Atletas!R560="Dao A",601,IF(Atletas!R560="Jian A",602,IF(Atletas!R560="Bishou A",603,IF(Atletas!R560="Shanzi A",604,IF(Atletas!R560="Outra Arma Curta A",605,IF(Atletas!R560="Dao B",606,IF(Atletas!R560="Jian B",607,IF(Atletas!R560="Bishou B",608,IF(Atletas!R560="Shanzi B",609,IF(Atletas!R560="Outra Arma Curta B",610,IF(Atletas!R560="Dao C",611,IF(Atletas!R560="Jian C",612,IF(Atletas!R560="Bishou C",613,IF(Atletas!R560="Shanzi C",614,IF(Atletas!R560="Outra Arma Curta C",615,IF(Atletas!R560="Dao D",616,IF(Atletas!R560="Jian D",617,IF(Atletas!R560="Bishou D",618,IF(Atletas!R560="Shanzi D",619,IF(Atletas!R560="Outra Arma Curta D",620,IF(Atletas!R560="Dao E",621,IF(Atletas!R560="Jian E",622,IF(Atletas!R560="Bishou E",623,IF(Atletas!R560="Shanzi E",624,IF(Atletas!R560="Outra Arma Curta E",625,IF(Atletas!R560="Dao F",626,IF(Atletas!R560="Jian F",627,IF(Atletas!R560="Bishou F",628,IF(Atletas!R560="Shanzi F",629,IF(Atletas!R560="Outra Arma Curta F",630, "")))))))))))))))))))))))))))))))</f>
        <v/>
      </c>
      <c r="CA569" s="50" t="str">
        <f>IF(Atletas!S560="","",IF(Atletas!X560&lt;&gt;"",10000,0)+IF(Atletas!B560="Feminino",1000,IF(Atletas!B560="Masculino",2000,""))+IF(Atletas!S560="Gun A",701,IF(Atletas!S560="Qiang A",702,IF(Atletas!S560="Pudao / Guandao A",703,IF(Atletas!S560="Outra Arma Longa A",704,IF(Atletas!S560="Gun B",705,IF(Atletas!S560="Qiang B",706,IF(Atletas!S560="Pudao / Guandao B",707,IF(Atletas!S560="Outra Arma Longa B",708,IF(Atletas!S560="Gun C",709,IF(Atletas!S560="Qiang C",710,IF(Atletas!S560="Pudao / Guandao C",711,IF(Atletas!S560="Outra Arma Longa C",712,IF(Atletas!S560="Gun D",713,IF(Atletas!S560="Qiang D",714,IF(Atletas!S560="Pudao / Guandao D",715,IF(Atletas!S560="Outra Arma Longa D",716,IF(Atletas!S560="Gun E",717,IF(Atletas!S560="Qiang E",718,IF(Atletas!S560="Pudao / Guandao E",719,IF(Atletas!S560="Outra Arma Longa E",720,IF(Atletas!S560="Gun F",721,IF(Atletas!S560="Qiang F",722,IF(Atletas!S560="Pudao / Guandao F",723,IF(Atletas!S560="Outra Arma Longa F",724,"")))))))))))))))))))))))))</f>
        <v/>
      </c>
      <c r="CB569" s="50" t="str">
        <f>IF(Atletas!T560="","",IF(Atletas!X560&lt;&gt;"",10000,0)+IF(Atletas!B560="Feminino",1000,IF(Atletas!B560="Masculino",2000,""))+IF(Atletas!T560="Outra Arma Dupla A",801,IF(Atletas!T560="Arma Maleável A",802,IF(Atletas!T560="Outra Arma Dupla B",803,IF(Atletas!T560="Arma Maleável B",804,IF(Atletas!T560="Outra Arma Dupla C",805,IF(Atletas!T560="Arma Maleável C",806,IF(Atletas!T560="Outra Arma Dupla D",807,IF(Atletas!T560="Arma Maleável D",808,IF(Atletas!T560="Outra Arma Dupla E",809,IF(Atletas!T560="Arma Maleável E",810,IF(Atletas!T560="Outra Arma Dupla F",811,IF(Atletas!T560="Arma Maleável F",812,IF(Atletas!T560="Shuangdao A",813,IF(Atletas!T560="Shuangdao B",814,IF(Atletas!T560="Shuangdao C",815,IF(Atletas!T560="Shuangdao D",816,IF(Atletas!T560="Shuangdao E",817,IF(Atletas!T560="Shuangdao F",818,"")))))))))))))))))))</f>
        <v/>
      </c>
      <c r="CC569" s="50" t="str">
        <f>IF(Atletas!U560="","",IF(Atletas!X560&lt;&gt;"",10000,0)+IF(Atletas!B560="Feminino",1000,IF(Atletas!B560="Masculino",2000,""))+IF(OR(Atletas!U560="Taijijian Yang A",Atletas!U560="Taijijian Yang Standard A"),901,IF(OR(Atletas!U560="Taijijian Chen A", Atletas!U560="Taijijian Chen Standard A"),902,IF(Atletas!U560="Taijijian Sun A",903,IF(Atletas!U560="Taijijian Wu A",904,IF(Atletas!U560="Taijijian Wu-Hao A",905,IF(OR(Atletas!U560="Taijijian 32 A",Atletas!U560="Taijijian 42 A"),906,IF(OR(Atletas!U560="Taijijian Yang B",Atletas!U560="Taijijian Yang Standard B"),907,IF(OR(Atletas!U560="Taijijian Chen B", Atletas!U560="Taijijian Chen Standard B"),908,IF(Atletas!U560="Taijijian Sun B",909,IF(Atletas!U560="Taijijian Wu B",910,IF(Atletas!U560="Taijijian Wu-Hao B",911,IF(OR(Atletas!U560="Taijijian 32 B",Atletas!U560="Taijijian 42 B"),912,IF(OR(Atletas!U560="Taijijian Yang C",Atletas!U560="Taijijian Yang Standard C"),913,IF(OR(Atletas!U560="Taijijian Chen C", Atletas!U560="Taijijian Chen Standard C"),914,IF(Atletas!U560="Taijijian Sun C",915,IF(Atletas!U560="Taijijian Wu C",916,IF(Atletas!U560="Taijijian Wu-Hao C",917,IF(OR(Atletas!U560="Taijijian 32 C",Atletas!U560="Taijijian 42 C"),918,IF(OR(Atletas!U560="Taijijian Yang D",Atletas!U560="Taijijian Yang Standard D"),919,IF(OR(Atletas!U560="Taijijian Chen D", Atletas!U560="Taijijian Chen Standard D"),920,IF(Atletas!U560="Taijijian Sun D",921,IF(Atletas!U560="Taijijian Wu D",922,IF(Atletas!U560="Taijijian Wu-Hao D",923,IF(OR(Atletas!U560="Taijijian 32 D",Atletas!U560="Taijijian 42 D"),924,IF(OR(Atletas!U560="Taijijian Yang E",Atletas!U560="Taijijian Yang Standard E"),925,IF(OR(Atletas!U560="Taijijian Chen E", Atletas!U560="Taijijian Chen Standard E"),926,IF(Atletas!U560="Taijijian Sun E",927,IF(Atletas!U560="Taijijian Wu E",928,IF(Atletas!U560="Taijijian Wu-Hao E",929,IF(OR(Atletas!U560="Taijijian 32 E",Atletas!U560="Taijijian 42 E"),930,IF(OR(Atletas!U560="Taijijian Yang F",Atletas!U560="Taijijian Yang Standard F"),931,IF(OR(Atletas!U560="Taijijian Chen F", Atletas!U560="Taijijian Chen Standard F"),932,IF(Atletas!U560="Taijijian Sun F",933,IF(Atletas!U560="Taijijian Wu F",934,IF(Atletas!U560="Taijijian Wu-Hao F",935,IF(OR(Atletas!U560="Taijijian 32 F",Atletas!U560="Taijijian 42 F"),936,"")))))))))))))))))))))))))))))))))))))</f>
        <v/>
      </c>
      <c r="CD569" s="50" t="str">
        <f>IF(Atletas!V560="","",IF(Atletas!X560&lt;&gt;"",10000,0)+IF(Atletas!B560="Feminino",1000,IF(Atletas!B560="Masculino",2000,""))+IF(Atletas!V560="Taijidao A",937,IF(Atletas!V560="TaijiShanzi A",938,IF(Atletas!V560="Taijiqiang A",939,IF(Atletas!V560="Bagua de Arma A",940,IF(Atletas!V560="Xingyi de Arma A",941,IF(Atletas!V560="Taijidao B",942,IF(Atletas!V560="TaijiShanzi B",943,IF(Atletas!V560="Taijiqiang B",944,IF(Atletas!V560="Bagua de Arma B",945,IF(Atletas!V560="Xingyi de Arma B",946,IF(Atletas!V560="Taijidao C",947,IF(Atletas!V560="TaijiShanzi C",948,IF(Atletas!V560="Taijiqiang C",949,IF(Atletas!V560="Bagua de Arma C",950,IF(Atletas!V560="Xingyi de Arma C",951,IF(Atletas!V560="Taijidao D",952,IF(Atletas!V560="TaijiShanzi D",953,IF(Atletas!V560="Taijiqiang D",954,IF(Atletas!V560="Bagua de Arma D",955,IF(Atletas!V560="Xingyi de Arma D",956,IF(Atletas!V560="Taijidao E",957,IF(Atletas!V560="TaijiShanzi E",958,IF(Atletas!V560="Taijiqiang E",959,IF(Atletas!V560="Bagua de Arma E",960,IF(Atletas!V560="Xingyi de Arma E",961,IF(Atletas!V560="Taijidao F",962,IF(Atletas!V560="TaijiShanzi F",963,IF(Atletas!V560="Taijiqiang F",964,IF(Atletas!V560="Bagua de Arma F",965,IF(Atletas!V560="Xingyi de Arma F",966,"")))))))))))))))))))))))))))))))</f>
        <v/>
      </c>
      <c r="CM569" s="50" t="str">
        <f xml:space="preserve"> IF(Atletas!W560="","",IF(Atletas!W560="Duilian de Mãos BC - Equipe 1",1,IF(Atletas!W560="Duilian de Mãos BC - Equipe 2",2,IF(Atletas!W560="Duilian de Armas BC - Equipe 1",3,IF(Atletas!W560="Duilian de Armas BC - Equipe 2",4,IF(Atletas!W560="Duilian de Mãos DE - Equipe 1",5,IF(Atletas!W560="Duilian de Mãos DE - Equipe 2",6,IF(Atletas!W560="Duilian de Armas DE - Equipe 1",7,IF(Atletas!W560="Duilian de Armas DE - Equipe 2",8,IF(Atletas!W560="Duilian de Tuishou - Equipe 1",9,IF(Atletas!W560="Duilian de Tuishou - Equipe 2",10,IF(Atletas!W560="Grupo Externo ABC - Equipe 1",11,IF(Atletas!W560="Grupo Externo ABC - Equipe 2",12,IF(Atletas!W560="Grupo Interno ABC - Equipe 1",13,IF(Atletas!W560="Grupo Interno ABC - Equipe 2",14,IF(Atletas!W560="Grupo Externo DEF - Equipe 1",15,IF(Atletas!W560="Grupo Externo DEF - Equipe 2",16,IF(Atletas!W560="Grupo Interno DEF - Equipe 1",17,IF(Atletas!W560="Grupo Interno DEF - Equipe 2",18,"")))))))))))))))))))</f>
        <v/>
      </c>
    </row>
    <row r="570" spans="40:91">
      <c r="AN570" s="52" t="str">
        <f>IF(Atletas!D561="","",IF(Atletas!B561="Feminino",100,IF(Atletas!B561="Masculino",200,""))+(IF(Atletas!D561="Kids 30kg",1,IF(Atletas!D561="Kids 32kg",2, IF(Atletas!D561="Kids 34kg",3,IF(Atletas!D561="Kids 36kg",4,IF(Atletas!D561="Kids 39kg",5,IF(Atletas!D561="Kids 42kg",6,IF(Atletas!D561="Kids 45kg",7, IF(Atletas!D561="Infantil 39kg",8,IF(Atletas!D561="Infantil 42kg",9,IF(Atletas!D561="Infantil 45kg",10,IF(Atletas!D561="Infantil 48kg",11,IF(Atletas!D561="Infantil 52kg",12,IF(Atletas!D561="Infantil 56kg",13,IF(Atletas!D561="Infantil 60kg",14,IF(Atletas!D561="Juvenil 48kg",15,IF(Atletas!D561="Juvenil 52kg",16,IF(Atletas!D561="Juvenil 56kg",17,IF(Atletas!D561="Juvenil 60kg",18,IF(Atletas!D561="Juvenil 65kg",19,IF(Atletas!D561="Juvenil 70kg",20,IF(Atletas!D561="Juvenil 75kg",21,IF(Atletas!D561="Juvenil 80kg",22, IF(Atletas!D561="Juvenil 85kg",23,IF(Atletas!D561="Adulto 48kg",24,IF(Atletas!D561="Adulto 52kg",25,IF(Atletas!D561="Adulto 56kg",26,IF(Atletas!D561="Adulto 60kg",27,IF(Atletas!D561="Adulto 65kg",28,IF(Atletas!D561="Adulto 70kg",29,IF(Atletas!D561="Adulto 75kg",30,IF(Atletas!D561="Adulto 80kg",31,IF(Atletas!D561="Adulto 85kg",32,IF(Atletas!D561="Adulto 90kg",33,IF(Atletas!D561="Adulto 100kg",34, IF(Atletas!D561="Adulto +100kg",35,"")))))))))))))))))))))))))))))))))))))</f>
        <v/>
      </c>
      <c r="AS570" s="6" t="str">
        <f>IF(Atletas!E561="","",IF(Atletas!B561="Feminino",100,IF(Atletas!B561="Masculino",200,""))+(IF(Atletas!E561="Juvenil 44kg",1,IF(Atletas!E561="Juvenil 48kg",2,IF(Atletas!E561="Juvenil 52kg",3,IF(Atletas!E561="Juvenil 56kg",4,IF(Atletas!E561="Juvenil 60kg",5,IF(Atletas!E561="Juvenil 65kg",6,IF(Atletas!E561="Juvenil 70kg",7,IF(Atletas!E561="Juvenil 75kg",8,IF(Atletas!E561="Juvenil 82kg",9,IF(Atletas!E561="Juvenil 90kg",10,IF(Atletas!E561="Juvenil 100kg",11,IF(Atletas!E561="Adulto 48kg",12,IF(Atletas!E561="Adulto 52kg",13,IF(Atletas!E561="Adulto 56kg",14,IF(Atletas!E561="Adulto 60kg",15,IF(Atletas!E561="Adulto 65kg",16,IF(Atletas!E561="Adulto 70kg",17,IF(Atletas!E561="Adulto 75kg",18,IF(Atletas!E561="Adulto 82kg",19,IF(Atletas!E561="Adulto 90kg",20,IF(Atletas!E561="Adulto 100kg",21,IF(Atletas!E561="Adulto +100kg",22,""))))))))))))))))))))))))</f>
        <v/>
      </c>
      <c r="AX570" s="6" t="str">
        <f>IF(Atletas!F561="","",IF(Atletas!B561="Feminino",100,IF(Atletas!B561="Masculino",200,""))+(IF(Atletas!F561="Adulto 48kg",1,IF(Atletas!F561="Adulto 56kg",2,IF(Atletas!F561="Adulto 65kg",3,IF(Atletas!F561="Adulto 75kg",4,IF(Atletas!F561="Adulto +75kg",5,IF(Atletas!F561="Adulto 52kg",6,IF(Atletas!F561="Adulto 60kg",7,IF(Atletas!F561="Adulto 70kg",8,IF(Atletas!F561="Adulto 80kg",9,IF(Atletas!F561="Adulto 90kg",10,IF(Atletas!F561="Adulto +90kg",11,"")))))))))))))</f>
        <v/>
      </c>
      <c r="BC570" s="6" t="str">
        <f>IF(Atletas!G561="","",IF(Atletas!B561="Feminino",10,IF(Atletas!B561="Masculino",20,""))+(IF(Atletas!G561="Baduanjin A",1,IF(Atletas!G561="Baduanjin B",2))))</f>
        <v/>
      </c>
      <c r="BF570" s="52" t="str">
        <f>IF(Atletas!H561="","",IF(Atletas!B561="Feminino",100,IF(Atletas!B561="Masculino",200,""))+(IF(Atletas!H561="Changquan Mirim",1,IF(Atletas!H561="Nanquan Mirim",2,IF(Atletas!H561="Taijiquan Mirim",3,IF(Atletas!H561="Changquan Grupo C",4,IF(Atletas!H561="Nanquan Grupo C",5,IF(Atletas!H561="Taijiquan Grupo C",6,IF(Atletas!H561="Changquan Grupo B",7,IF(Atletas!H561="Nanquan Grupo B",8,IF(Atletas!H561="Taijiquan Grupo B",9,IF(Atletas!H561="Changquan Grupo A",10,IF(Atletas!H561="Nanquan Grupo A",11,IF(Atletas!H561="Taijiquan Grupo A",12,IF(Atletas!H561="Changquan Opcional",13,IF(Atletas!H561="Nanquan Opcional",14,IF(Atletas!H561="Taijiquan Opcional",15,IF(Atletas!H561="Changquan Adulto",16,IF(Atletas!H561="Nanquan Adulto",17,IF(Atletas!H561="Taijiquan Adulto",18,""))))))))))))))))))))</f>
        <v/>
      </c>
      <c r="BG570" s="52" t="str">
        <f>IF(Atletas!I561="","",IF(Atletas!B561="Feminino",100,IF(Atletas!B561="Masculino",200,""))+(IF(Atletas!I561="Daoshu Mirim",19,IF(Atletas!I561="Jianshu Mirim",20,IF(Atletas!I561="Nandao Mirim",21,IF(Atletas!I561="Taijijian Mirim",22,IF(Atletas!I561="Daoshu Grupo C",23,IF(Atletas!I561="Jianshu Grupo C",24,IF(Atletas!I561="Nandao Grupo C",25,IF(Atletas!I561="Taijijian Grupo C",26,IF(Atletas!I561="Daoshu Grupo B",27,IF(Atletas!I561="Jianshu Grupo B",28,IF(Atletas!I561="Nandao Grupo B",29,IF(Atletas!I561="Taijijian Grupo B",30,IF(Atletas!I561="Daoshu Grupo A",31,IF(Atletas!I561="Jianshu Grupo A",32,IF(Atletas!I561="Nandao Grupo A",33,IF(Atletas!I561="Taijijian Grupo A",34,IF(Atletas!I561="Daoshu Opcional",35,IF(Atletas!I561="Jianshu Opcional",36,IF(Atletas!I561="Nandao Opcional",37,IF(Atletas!I561="Taijijian Opcional",38,IF(Atletas!I561="Daoshu Adulto",39,IF(Atletas!I561="Jianshu Adulto",40,IF(Atletas!I561="Nandao Adulto",41,IF(Atletas!I561="Taijijian Adulto",42,""))))))))))))))))))))))))))</f>
        <v/>
      </c>
      <c r="BH570" s="52" t="str">
        <f>IF(Atletas!J561="","",IF(Atletas!B561="Feminino",100,IF(Atletas!B561="Masculino",200,""))+(IF(Atletas!J561="Gunshu Mirim",43,IF(Atletas!J561="Qiangshu Mirim",44,IF(Atletas!J561="Nangun Mirim",45,IF(Atletas!J561="Gunshu Grupo C",46,IF(Atletas!J561="Qiangshu Grupo C",47,IF(Atletas!J561="Nangun Grupo C",48,IF(Atletas!J561="Gunshu Grupo B",49,IF(Atletas!J561="Qiangshu Grupo B",50,IF(Atletas!J561="Nangun Grupo B",51,IF(Atletas!J561="Gunshu Grupo A",52,IF(Atletas!J561="Qiangshu Grupo A",53,IF(Atletas!J561="Nangun Grupo A",54,IF(Atletas!J561="Gunshu Opcional",55,IF(Atletas!J561="Qiangshu Opcional",56,IF(Atletas!J561="Nangun Opcional",57,IF(Atletas!J561="Gunshu Adulto",58,IF(Atletas!J561="Qiangshu Adulto",59,IF(Atletas!J561="Nangun Adulto",60,IF(Atletas!J561="Taijishan Grupo B",61,IF(Atletas!J561="Taijishan Grupo A",62,""))))))))))))))))))))))</f>
        <v/>
      </c>
      <c r="BM570" s="50" t="str">
        <f>IF(Atletas!K561="","",IF(Atletas!B561="Feminino",100,IF(Atletas!B561="Masculino",200,""))+(IF(Atletas!K561="Equipe 1 Grupo B",1,IF(Atletas!K561="Equipe 2 Grupo B",2,IF(Atletas!K561="Equipe 1 Grupo A",3,IF(Atletas!K561="Equipe 2 Grupo A",4,IF(Atletas!K561="Equipe 1 Adulto",5,IF(Atletas!K561="Equipe 2 Adulto",6,""))))))))</f>
        <v/>
      </c>
      <c r="BR570" s="50" t="str">
        <f>IF(Atletas!L561="","",IF(Atletas!X561&lt;&gt;"",10000,0)+(IF(Atletas!B561="Feminino",1000,IF(Atletas!B561="Masculino",2000,""))+IF(Atletas!L561="Choylayfut A",1,IF(Atletas!L561="Hunggar A",2,IF(Atletas!L561="Wuzuquan A",3,IF(Atletas!L561="Wingchun A",4,IF(Atletas!L561="Outra Mão de Sul A",5,IF(Atletas!L561="Choylayfut B",6,IF(Atletas!L561="Hunggar B",7,IF(Atletas!L561="Wuzuquan B",8,IF(Atletas!L561="Wingchun B",9,IF(Atletas!L561="Outra Mão de Sul B",10,IF(Atletas!L561="Choylayfut C",11,IF(Atletas!L561="Hunggar C",12,IF(Atletas!L561="Wuzuquan C",13,IF(Atletas!L561="Wingchun C",14,IF(Atletas!L561="Outra Mão de Sul C",15,IF(Atletas!L561="Choylayfut D",16,IF(Atletas!L561="Hunggar D",17,IF(Atletas!L561="Wuzuquan D",18,IF(Atletas!L561="Wingchun D",19,IF(Atletas!L561="Outra Mão de Sul D",20,IF(Atletas!L561="Choylayfut E",21,IF(Atletas!L561="Hunggar E",22,IF(Atletas!L561="Wuzuquan E",23,IF(Atletas!L561="Wingchun E",24,IF(Atletas!L561="Outra Mão de Sul E",25,IF(Atletas!L561="Choylayfut F",26,IF(Atletas!L561="Hunggar F",27,IF(Atletas!L561="Wuzuquan F",28,IF(Atletas!L561="Wingchun F",29,IF(Atletas!L561="Outra Mão de Sul F",30,IF(Atletas!L561="Dishuquan A",31,IF(Atletas!L561="Dishuquan B",32,IF(Atletas!L561="Dishuquan C",33,IF(Atletas!L561="Dishuquan D",34,IF(Atletas!L561="Dishuquan E",35,IF(Atletas!L561="Dishuquan F",36,""))))))))))))))))))))))))))))))))))))))</f>
        <v/>
      </c>
      <c r="BS570" s="50" t="str">
        <f>IF(Atletas!M561="","",IF(Atletas!X561&lt;&gt;"",10000,0)+(IF(Atletas!B561="Feminino",1000,IF(Atletas!B561="Masculino",2000,""))+(IF(Atletas!M561="Chaquan A",101,IF(Atletas!M561="Emeiquan A",102,IF(Atletas!M561="Fanziquan A",103,IF(Atletas!M561="Huaquan A",104,IF(Atletas!M561="Hongquan A",105,IF(Atletas!M561="Paoquan A",106,IF(Atletas!M561="Piguaquan A",107,IF(Atletas!M561="Shaolinquan A",108,IF(Atletas!M561="Tanglangquan A",109,IF(Atletas!M561="Yingzhaoquan A",110,IF(Atletas!M561="Tongbeiquan A",111,IF(Atletas!M561="Wudangquan A",112,IF(Atletas!M561="Outros Estilos A",113,IF(Atletas!M561="Chaquan B",114,IF(Atletas!M561="Emeiquan B",115,IF(Atletas!M561="Fanziquan B",116,IF(Atletas!M561="Huaquan B",117,IF(Atletas!M561="Hongquan B",118,IF(Atletas!M561="Paoquan B",119,IF(Atletas!M561="Piguaquan B",120,IF(Atletas!M561="Shaolinquan B",121,IF(Atletas!M561="Tanglangquan B",122,IF(Atletas!M561="Yingzhaoquan B",123,IF(Atletas!M561="Tongbeiquan B",124,IF(Atletas!M561="Wudangquan B",125,IF(Atletas!M561="Outros Estilos B",126,IF(Atletas!M561="Chaquan C",127,IF(Atletas!M561="Emeiquan C",128,IF(Atletas!M561="Fanziquan C",129,IF(Atletas!M561="Huaquan C",130,IF(Atletas!M561="Hongquan C",131,IF(Atletas!M561="Paoquan C",132,IF(Atletas!M561="Piguaquan C",133,IF(Atletas!M561="Shaolinquan C",134,IF(Atletas!M561="Tanglangquan C",135,IF(Atletas!M561="Yingzhaoquan C",136,IF(Atletas!M561="Tongbeiquan C",137,IF(Atletas!M561="Wudangquan C",138,IF(Atletas!M561="Outros Estilos C",139,0))))))))))))))))))))))))))))))))))))))))))</f>
        <v/>
      </c>
      <c r="BT570" s="50" t="str">
        <f>IF(Atletas!M561="","",IF(Atletas!X561&lt;&gt;"",10000,0)+(IF(Atletas!B561="Feminino",1000,IF(Atletas!B561="Masculino",2000,""))+(IF(Atletas!M561="Chaquan D",140,IF(Atletas!M561="Emeiquan D",141,IF(Atletas!M561="Fanziquan D",142,IF(Atletas!M561="Huaquan D",143,IF(Atletas!M561="Hongquan D",144,IF(Atletas!M561="Paoquan D",145,IF(Atletas!M561="Piguaquan D",146,IF(Atletas!M561="Shaolinquan D",147,IF(Atletas!M561="Tanglangquan D",148,IF(Atletas!M561="Yingzhaoquan D",149,IF(Atletas!M561="Tongbeiquan D",150,IF(Atletas!M561="Wudangquan D",151,IF(Atletas!M561="Outros Estilos D",152,IF(Atletas!M561="Chaquan E",153,IF(Atletas!M561="Emeiquan E",154,IF(Atletas!M561="Fanziquan E",155,IF(Atletas!M561="Huaquan E",156,IF(Atletas!M561="Hongquan E",157,IF(Atletas!M561="Paoquan E",158,IF(Atletas!M561="Piguaquan E",159,IF(Atletas!M561="Shaolinquan E",160,IF(Atletas!M561="Tanglangquan E",161,IF(Atletas!M561="Yingzhaoquan E",162,IF(Atletas!M561="Tongbeiquan E",163,IF(Atletas!M561="Wudangquan E",164,IF(Atletas!M561="Outros Estilos E",165,IF(Atletas!M561="Chaquan F",166,IF(Atletas!M561="Emeiquan F",167,IF(Atletas!M561="Fanziquan F",168,IF(Atletas!M561="Huaquan F",169,IF(Atletas!M561="Hongquan F",170,IF(Atletas!M561="Paoquan F",171,IF(Atletas!M561="Piguaquan F",172,IF(Atletas!M561="Shaolinquan F",173,IF(Atletas!M561="Tanglangquan F",174,IF(Atletas!M561="Yingzhaoquan F",175,IF(Atletas!M561="Tongbeiquan F",176,IF(Atletas!M561="Wudangquan F",177,IF(Atletas!M561="Outros Estilos F",178,0))))))))))))))))))))))))))))))))))))))))))</f>
        <v/>
      </c>
      <c r="BU570" s="50" t="str">
        <f>IF(Atletas!N561="","",IF(Atletas!X561&lt;&gt;"",10000,0)+(IF(Atletas!B561="Feminino",1000,IF(Atletas!B561="Masculino",2000,""))+(IF(Atletas!N561="Ditangquan A",201,IF(Atletas!N561="Houquan A",202,IF(Atletas!N561="Zuiquan A",203,IF(Atletas!N561="Ditangquan B",204,IF(Atletas!N561="Houquan B",205,IF(Atletas!N561="Zuiquan B",206,IF(Atletas!N561="Ditangquan C",207,IF(Atletas!N561="Houquan C",208,IF(Atletas!N561="Zuiquan C",209,IF(Atletas!N561="Ditangquan D",210,IF(Atletas!N561="Houquan D",211,IF(Atletas!N561="Zuiquan D",212,IF(Atletas!N561="Ditangquan E",213,IF(Atletas!N561="Houquan E",214,IF(Atletas!N561="Zuiquan E",215,IF(Atletas!N561="Ditangquan F",216,IF(Atletas!N561="Houquan F",217,IF(Atletas!N561="Zuiquan F",218,"")))))))))))))))))))))</f>
        <v/>
      </c>
      <c r="BV570" s="50" t="str">
        <f>IF(Atletas!O561="","",IF(Atletas!X561&lt;&gt;"",10000,0)+IF(Atletas!B561="Feminino",1000,IF(Atletas!B561="Masculino",2000,""))+IF(Atletas!O561="Yang A",301,IF(Atletas!O561="Chen A",302,IF(Atletas!O561="Sun A",303,IF(Atletas!O561="Wu A",304,IF(Atletas!O561="Wu-Hao A",305,IF(Atletas!O561="Outro Taijiquan A",306,IF(Atletas!O561="Yang B",307,IF(Atletas!O561="Chen B",308,IF(Atletas!O561="Sun B",309,IF(Atletas!O561="Wu B",310,IF(Atletas!O561="Wu-Hao B",311,IF(Atletas!O561="Outro Taijiquan B",312,IF(Atletas!O561="Yang C",313,IF(Atletas!O561="Chen C",314,IF(Atletas!O561="Sun C",315,IF(Atletas!O561="Wu C",316,IF(Atletas!O561="Wu-Hao C",317,IF(Atletas!O561="Outro Taijiquan C",318,IF(Atletas!O561="Yang D",319,IF(Atletas!O561="Chen D",320,IF(Atletas!O561="Sun D",321,IF(Atletas!O561="Wu D",322,IF(Atletas!O561="Wu-Hao D",323,IF(Atletas!O561="Outro Taijiquan D",324,IF(Atletas!O561="Yang E",325,IF(Atletas!O561="Chen E",326,IF(Atletas!O561="Sun E",327,IF(Atletas!O561="Wu E",328,IF(Atletas!O561="Wu-Hao E",329,IF(Atletas!O561="Outro Taijiquan E",330,IF(Atletas!O561="Yang F",331,IF(Atletas!O561="Chen F",332,IF(Atletas!O561="Sun F",333,IF(Atletas!O561="Wu F",334,IF(Atletas!O561="Wu-Hao F",335,IF(Atletas!O561="Outro Taijiquan F",336,"")))))))))))))))))))))))))))))))))))))</f>
        <v/>
      </c>
      <c r="BW570" s="50" t="str">
        <f>IF(Atletas!P561="","",IF(Atletas!X561&lt;&gt;"",10000,0)+IF(Atletas!B561="Feminino",1000,IF(Atletas!B561="Masculino",2000,""))+IF(OR(Atletas!P561="Yang 26 A",Atletas!P561="Yang 40 A"),401,IF(OR(Atletas!P561="Chen 25 A",Atletas!P561="Chen 36 A",Atletas!P561="Chen 56 A"),402,IF(Atletas!P561="Sun 73 A",403,IF(Atletas!P561="Wu 45 A",404,IF(Atletas!P561="Wu-Hao 46 A",405,IF(OR(Atletas!P561="Taijiquan 16 A",Atletas!P561="Taijiquan 24 A",Atletas!P561="Taijiquan 32 A",Atletas!P561="Taijiquan 42 A"),406,IF(OR(Atletas!P561="Yang 26 B",Atletas!P561="Yang 40 B"),407,IF(OR(Atletas!P561="Chen 25 B",Atletas!P561="Chen 36 B",Atletas!P561="Chen 56 B"),408,IF(Atletas!P561="Sun 73 B",409,IF(Atletas!P561="Wu 45 B",410,IF(Atletas!P561="Wu-Hao 46 B",411,IF(OR(Atletas!P561="Taijiquan 16 B",Atletas!P561="Taijiquan 24 B",Atletas!P561="Taijiquan 32 B",Atletas!P561="Taijiquan 42 B"),412,IF(OR(Atletas!P561="Yang 26 C",Atletas!P561="Yang 40 C"),413,IF(OR(Atletas!P561="Chen 25 C",Atletas!P561="Chen 36 C",Atletas!P561="Chen 56 C"),414,IF(Atletas!P561="Sun 73 C",415,IF(Atletas!P561="Wu 45 C",416,IF(Atletas!P561="Wu-Hao 46 C",417,IF(OR(Atletas!P561="Taijiquan 16 C",Atletas!P561="Taijiquan 24 C",Atletas!P561="Taijiquan 32 C",Atletas!P561="Taijiquan 42 C"),418,0)))))))))))))))))))</f>
        <v/>
      </c>
      <c r="BX570" s="50" t="str">
        <f>IF(Atletas!P561="","",IF(Atletas!X561&lt;&gt;"",10000,0)+IF(Atletas!B561="Feminino",1000,IF(Atletas!B561="Masculino",2000,""))+IF(OR(Atletas!P561="Yang 26 D",Atletas!P561="Yang 40 D"),419,IF(OR(Atletas!P561="Chen 25 D",Atletas!P561="Chen 36 D",Atletas!P561="Chen 56 D"),420,IF(Atletas!P561="Sun 73 D",421,IF(Atletas!P561="Wu 45 D",422,IF(Atletas!P561="Wu-Hao 46 D",423,IF(OR(Atletas!P561="Taijiquan 16 D",Atletas!P561="Taijiquan 24 D",Atletas!P561="Taijiquan 32 D",Atletas!P561="Taijiquan 42 D"),424,IF(OR(Atletas!P561="Yang 26 E",Atletas!P561="Yang 40 E"),425,IF(OR(Atletas!P561="Chen 25 E",Atletas!P561="Chen 36 E",Atletas!P561="Chen 56 E"),426,IF(Atletas!P561="Sun 73 E",427,IF(Atletas!P561="Wu 45 E",428,IF(Atletas!P561="Wu-Hao 46 E",429,IF(OR(Atletas!P561="Taijiquan 16 E",Atletas!P561="Taijiquan 24 E",Atletas!P561="Taijiquan 32 E",Atletas!P561="Taijiquan 42 E"),430,IF(OR(Atletas!P561="Yang 26 F",Atletas!P561="Yang 40 F"),431,IF(OR(Atletas!P561="Chen 25 F",Atletas!P561="Chen 36 F",Atletas!P561="Chen 56 F"),432,IF(Atletas!P561="Sun 73 F",433,IF(Atletas!P561="Wu 45 F",434,IF(Atletas!P561="Wu-Hao 46 F",435,IF(OR(Atletas!P561="Taijiquan 16 F",Atletas!P561="Taijiquan 24 F",Atletas!P561="Taijiquan 32 F",Atletas!P561="Taijiquan 42 F"),436,0)))))))))))))))))))</f>
        <v/>
      </c>
      <c r="BY570" s="50" t="str">
        <f>IF(Atletas!Q561="","",IF(Atletas!X561&lt;&gt;"",10000,0)+IF(Atletas!B561="Feminino",1000,IF(Atletas!B561="Masculino",2000,""))+IF(Atletas!Q561="Xingyiquan A",501,IF(Atletas!Q561="Baguazhang A",502,IF(Atletas!Q561="Outro Estilo Interno A",503,IF(Atletas!Q561="Xingyiquan B",504,IF(Atletas!Q561="Baguazhang B",505,IF(Atletas!Q561="Outro Estilo Interno B",506,IF(Atletas!Q561="Xingyiquan C",507,IF(Atletas!Q561="Baguazhang C",508,IF(Atletas!Q561="Outro Estilo Interno C",509,IF(Atletas!Q561="Xingyiquan D",510,IF(Atletas!Q561="Baguazhang D",511,IF(Atletas!Q561="Outro Estilo Interno D",512,IF(Atletas!Q561="Xingyiquan E",513,IF(Atletas!Q561="Baguazhang E",514,IF(Atletas!Q561="Outro Estilo Interno E",515,IF(Atletas!Q561="Xingyiquan F",516,IF(Atletas!Q561="Baguazhang F",517,IF(Atletas!Q561="Outro Estilo Interno F",518, "")))))))))))))))))))</f>
        <v/>
      </c>
      <c r="BZ570" s="50" t="str">
        <f>IF(Atletas!R561="","",IF(Atletas!X561&lt;&gt;"",10000,0)+IF(Atletas!B561="Feminino",1000,IF(Atletas!B561="Masculino",2000,""))+IF(Atletas!R561="Dao A",601,IF(Atletas!R561="Jian A",602,IF(Atletas!R561="Bishou A",603,IF(Atletas!R561="Shanzi A",604,IF(Atletas!R561="Outra Arma Curta A",605,IF(Atletas!R561="Dao B",606,IF(Atletas!R561="Jian B",607,IF(Atletas!R561="Bishou B",608,IF(Atletas!R561="Shanzi B",609,IF(Atletas!R561="Outra Arma Curta B",610,IF(Atletas!R561="Dao C",611,IF(Atletas!R561="Jian C",612,IF(Atletas!R561="Bishou C",613,IF(Atletas!R561="Shanzi C",614,IF(Atletas!R561="Outra Arma Curta C",615,IF(Atletas!R561="Dao D",616,IF(Atletas!R561="Jian D",617,IF(Atletas!R561="Bishou D",618,IF(Atletas!R561="Shanzi D",619,IF(Atletas!R561="Outra Arma Curta D",620,IF(Atletas!R561="Dao E",621,IF(Atletas!R561="Jian E",622,IF(Atletas!R561="Bishou E",623,IF(Atletas!R561="Shanzi E",624,IF(Atletas!R561="Outra Arma Curta E",625,IF(Atletas!R561="Dao F",626,IF(Atletas!R561="Jian F",627,IF(Atletas!R561="Bishou F",628,IF(Atletas!R561="Shanzi F",629,IF(Atletas!R561="Outra Arma Curta F",630, "")))))))))))))))))))))))))))))))</f>
        <v/>
      </c>
      <c r="CA570" s="50" t="str">
        <f>IF(Atletas!S561="","",IF(Atletas!X561&lt;&gt;"",10000,0)+IF(Atletas!B561="Feminino",1000,IF(Atletas!B561="Masculino",2000,""))+IF(Atletas!S561="Gun A",701,IF(Atletas!S561="Qiang A",702,IF(Atletas!S561="Pudao / Guandao A",703,IF(Atletas!S561="Outra Arma Longa A",704,IF(Atletas!S561="Gun B",705,IF(Atletas!S561="Qiang B",706,IF(Atletas!S561="Pudao / Guandao B",707,IF(Atletas!S561="Outra Arma Longa B",708,IF(Atletas!S561="Gun C",709,IF(Atletas!S561="Qiang C",710,IF(Atletas!S561="Pudao / Guandao C",711,IF(Atletas!S561="Outra Arma Longa C",712,IF(Atletas!S561="Gun D",713,IF(Atletas!S561="Qiang D",714,IF(Atletas!S561="Pudao / Guandao D",715,IF(Atletas!S561="Outra Arma Longa D",716,IF(Atletas!S561="Gun E",717,IF(Atletas!S561="Qiang E",718,IF(Atletas!S561="Pudao / Guandao E",719,IF(Atletas!S561="Outra Arma Longa E",720,IF(Atletas!S561="Gun F",721,IF(Atletas!S561="Qiang F",722,IF(Atletas!S561="Pudao / Guandao F",723,IF(Atletas!S561="Outra Arma Longa F",724,"")))))))))))))))))))))))))</f>
        <v/>
      </c>
      <c r="CB570" s="50" t="str">
        <f>IF(Atletas!T561="","",IF(Atletas!X561&lt;&gt;"",10000,0)+IF(Atletas!B561="Feminino",1000,IF(Atletas!B561="Masculino",2000,""))+IF(Atletas!T561="Outra Arma Dupla A",801,IF(Atletas!T561="Arma Maleável A",802,IF(Atletas!T561="Outra Arma Dupla B",803,IF(Atletas!T561="Arma Maleável B",804,IF(Atletas!T561="Outra Arma Dupla C",805,IF(Atletas!T561="Arma Maleável C",806,IF(Atletas!T561="Outra Arma Dupla D",807,IF(Atletas!T561="Arma Maleável D",808,IF(Atletas!T561="Outra Arma Dupla E",809,IF(Atletas!T561="Arma Maleável E",810,IF(Atletas!T561="Outra Arma Dupla F",811,IF(Atletas!T561="Arma Maleável F",812,IF(Atletas!T561="Shuangdao A",813,IF(Atletas!T561="Shuangdao B",814,IF(Atletas!T561="Shuangdao C",815,IF(Atletas!T561="Shuangdao D",816,IF(Atletas!T561="Shuangdao E",817,IF(Atletas!T561="Shuangdao F",818,"")))))))))))))))))))</f>
        <v/>
      </c>
      <c r="CC570" s="50" t="str">
        <f>IF(Atletas!U561="","",IF(Atletas!X561&lt;&gt;"",10000,0)+IF(Atletas!B561="Feminino",1000,IF(Atletas!B561="Masculino",2000,""))+IF(OR(Atletas!U561="Taijijian Yang A",Atletas!U561="Taijijian Yang Standard A"),901,IF(OR(Atletas!U561="Taijijian Chen A", Atletas!U561="Taijijian Chen Standard A"),902,IF(Atletas!U561="Taijijian Sun A",903,IF(Atletas!U561="Taijijian Wu A",904,IF(Atletas!U561="Taijijian Wu-Hao A",905,IF(OR(Atletas!U561="Taijijian 32 A",Atletas!U561="Taijijian 42 A"),906,IF(OR(Atletas!U561="Taijijian Yang B",Atletas!U561="Taijijian Yang Standard B"),907,IF(OR(Atletas!U561="Taijijian Chen B", Atletas!U561="Taijijian Chen Standard B"),908,IF(Atletas!U561="Taijijian Sun B",909,IF(Atletas!U561="Taijijian Wu B",910,IF(Atletas!U561="Taijijian Wu-Hao B",911,IF(OR(Atletas!U561="Taijijian 32 B",Atletas!U561="Taijijian 42 B"),912,IF(OR(Atletas!U561="Taijijian Yang C",Atletas!U561="Taijijian Yang Standard C"),913,IF(OR(Atletas!U561="Taijijian Chen C", Atletas!U561="Taijijian Chen Standard C"),914,IF(Atletas!U561="Taijijian Sun C",915,IF(Atletas!U561="Taijijian Wu C",916,IF(Atletas!U561="Taijijian Wu-Hao C",917,IF(OR(Atletas!U561="Taijijian 32 C",Atletas!U561="Taijijian 42 C"),918,IF(OR(Atletas!U561="Taijijian Yang D",Atletas!U561="Taijijian Yang Standard D"),919,IF(OR(Atletas!U561="Taijijian Chen D", Atletas!U561="Taijijian Chen Standard D"),920,IF(Atletas!U561="Taijijian Sun D",921,IF(Atletas!U561="Taijijian Wu D",922,IF(Atletas!U561="Taijijian Wu-Hao D",923,IF(OR(Atletas!U561="Taijijian 32 D",Atletas!U561="Taijijian 42 D"),924,IF(OR(Atletas!U561="Taijijian Yang E",Atletas!U561="Taijijian Yang Standard E"),925,IF(OR(Atletas!U561="Taijijian Chen E", Atletas!U561="Taijijian Chen Standard E"),926,IF(Atletas!U561="Taijijian Sun E",927,IF(Atletas!U561="Taijijian Wu E",928,IF(Atletas!U561="Taijijian Wu-Hao E",929,IF(OR(Atletas!U561="Taijijian 32 E",Atletas!U561="Taijijian 42 E"),930,IF(OR(Atletas!U561="Taijijian Yang F",Atletas!U561="Taijijian Yang Standard F"),931,IF(OR(Atletas!U561="Taijijian Chen F", Atletas!U561="Taijijian Chen Standard F"),932,IF(Atletas!U561="Taijijian Sun F",933,IF(Atletas!U561="Taijijian Wu F",934,IF(Atletas!U561="Taijijian Wu-Hao F",935,IF(OR(Atletas!U561="Taijijian 32 F",Atletas!U561="Taijijian 42 F"),936,"")))))))))))))))))))))))))))))))))))))</f>
        <v/>
      </c>
      <c r="CD570" s="50" t="str">
        <f>IF(Atletas!V561="","",IF(Atletas!X561&lt;&gt;"",10000,0)+IF(Atletas!B561="Feminino",1000,IF(Atletas!B561="Masculino",2000,""))+IF(Atletas!V561="Taijidao A",937,IF(Atletas!V561="TaijiShanzi A",938,IF(Atletas!V561="Taijiqiang A",939,IF(Atletas!V561="Bagua de Arma A",940,IF(Atletas!V561="Xingyi de Arma A",941,IF(Atletas!V561="Taijidao B",942,IF(Atletas!V561="TaijiShanzi B",943,IF(Atletas!V561="Taijiqiang B",944,IF(Atletas!V561="Bagua de Arma B",945,IF(Atletas!V561="Xingyi de Arma B",946,IF(Atletas!V561="Taijidao C",947,IF(Atletas!V561="TaijiShanzi C",948,IF(Atletas!V561="Taijiqiang C",949,IF(Atletas!V561="Bagua de Arma C",950,IF(Atletas!V561="Xingyi de Arma C",951,IF(Atletas!V561="Taijidao D",952,IF(Atletas!V561="TaijiShanzi D",953,IF(Atletas!V561="Taijiqiang D",954,IF(Atletas!V561="Bagua de Arma D",955,IF(Atletas!V561="Xingyi de Arma D",956,IF(Atletas!V561="Taijidao E",957,IF(Atletas!V561="TaijiShanzi E",958,IF(Atletas!V561="Taijiqiang E",959,IF(Atletas!V561="Bagua de Arma E",960,IF(Atletas!V561="Xingyi de Arma E",961,IF(Atletas!V561="Taijidao F",962,IF(Atletas!V561="TaijiShanzi F",963,IF(Atletas!V561="Taijiqiang F",964,IF(Atletas!V561="Bagua de Arma F",965,IF(Atletas!V561="Xingyi de Arma F",966,"")))))))))))))))))))))))))))))))</f>
        <v/>
      </c>
      <c r="CM570" s="50" t="str">
        <f xml:space="preserve"> IF(Atletas!W561="","",IF(Atletas!W561="Duilian de Mãos BC - Equipe 1",1,IF(Atletas!W561="Duilian de Mãos BC - Equipe 2",2,IF(Atletas!W561="Duilian de Armas BC - Equipe 1",3,IF(Atletas!W561="Duilian de Armas BC - Equipe 2",4,IF(Atletas!W561="Duilian de Mãos DE - Equipe 1",5,IF(Atletas!W561="Duilian de Mãos DE - Equipe 2",6,IF(Atletas!W561="Duilian de Armas DE - Equipe 1",7,IF(Atletas!W561="Duilian de Armas DE - Equipe 2",8,IF(Atletas!W561="Duilian de Tuishou - Equipe 1",9,IF(Atletas!W561="Duilian de Tuishou - Equipe 2",10,IF(Atletas!W561="Grupo Externo ABC - Equipe 1",11,IF(Atletas!W561="Grupo Externo ABC - Equipe 2",12,IF(Atletas!W561="Grupo Interno ABC - Equipe 1",13,IF(Atletas!W561="Grupo Interno ABC - Equipe 2",14,IF(Atletas!W561="Grupo Externo DEF - Equipe 1",15,IF(Atletas!W561="Grupo Externo DEF - Equipe 2",16,IF(Atletas!W561="Grupo Interno DEF - Equipe 1",17,IF(Atletas!W561="Grupo Interno DEF - Equipe 2",18,"")))))))))))))))))))</f>
        <v/>
      </c>
    </row>
    <row r="571" spans="40:91">
      <c r="AN571" s="52" t="str">
        <f>IF(Atletas!D562="","",IF(Atletas!B562="Feminino",100,IF(Atletas!B562="Masculino",200,""))+(IF(Atletas!D562="Kids 30kg",1,IF(Atletas!D562="Kids 32kg",2, IF(Atletas!D562="Kids 34kg",3,IF(Atletas!D562="Kids 36kg",4,IF(Atletas!D562="Kids 39kg",5,IF(Atletas!D562="Kids 42kg",6,IF(Atletas!D562="Kids 45kg",7, IF(Atletas!D562="Infantil 39kg",8,IF(Atletas!D562="Infantil 42kg",9,IF(Atletas!D562="Infantil 45kg",10,IF(Atletas!D562="Infantil 48kg",11,IF(Atletas!D562="Infantil 52kg",12,IF(Atletas!D562="Infantil 56kg",13,IF(Atletas!D562="Infantil 60kg",14,IF(Atletas!D562="Juvenil 48kg",15,IF(Atletas!D562="Juvenil 52kg",16,IF(Atletas!D562="Juvenil 56kg",17,IF(Atletas!D562="Juvenil 60kg",18,IF(Atletas!D562="Juvenil 65kg",19,IF(Atletas!D562="Juvenil 70kg",20,IF(Atletas!D562="Juvenil 75kg",21,IF(Atletas!D562="Juvenil 80kg",22, IF(Atletas!D562="Juvenil 85kg",23,IF(Atletas!D562="Adulto 48kg",24,IF(Atletas!D562="Adulto 52kg",25,IF(Atletas!D562="Adulto 56kg",26,IF(Atletas!D562="Adulto 60kg",27,IF(Atletas!D562="Adulto 65kg",28,IF(Atletas!D562="Adulto 70kg",29,IF(Atletas!D562="Adulto 75kg",30,IF(Atletas!D562="Adulto 80kg",31,IF(Atletas!D562="Adulto 85kg",32,IF(Atletas!D562="Adulto 90kg",33,IF(Atletas!D562="Adulto 100kg",34, IF(Atletas!D562="Adulto +100kg",35,"")))))))))))))))))))))))))))))))))))))</f>
        <v/>
      </c>
      <c r="AS571" s="6" t="str">
        <f>IF(Atletas!E562="","",IF(Atletas!B562="Feminino",100,IF(Atletas!B562="Masculino",200,""))+(IF(Atletas!E562="Juvenil 44kg",1,IF(Atletas!E562="Juvenil 48kg",2,IF(Atletas!E562="Juvenil 52kg",3,IF(Atletas!E562="Juvenil 56kg",4,IF(Atletas!E562="Juvenil 60kg",5,IF(Atletas!E562="Juvenil 65kg",6,IF(Atletas!E562="Juvenil 70kg",7,IF(Atletas!E562="Juvenil 75kg",8,IF(Atletas!E562="Juvenil 82kg",9,IF(Atletas!E562="Juvenil 90kg",10,IF(Atletas!E562="Juvenil 100kg",11,IF(Atletas!E562="Adulto 48kg",12,IF(Atletas!E562="Adulto 52kg",13,IF(Atletas!E562="Adulto 56kg",14,IF(Atletas!E562="Adulto 60kg",15,IF(Atletas!E562="Adulto 65kg",16,IF(Atletas!E562="Adulto 70kg",17,IF(Atletas!E562="Adulto 75kg",18,IF(Atletas!E562="Adulto 82kg",19,IF(Atletas!E562="Adulto 90kg",20,IF(Atletas!E562="Adulto 100kg",21,IF(Atletas!E562="Adulto +100kg",22,""))))))))))))))))))))))))</f>
        <v/>
      </c>
      <c r="AX571" s="6" t="str">
        <f>IF(Atletas!F562="","",IF(Atletas!B562="Feminino",100,IF(Atletas!B562="Masculino",200,""))+(IF(Atletas!F562="Adulto 48kg",1,IF(Atletas!F562="Adulto 56kg",2,IF(Atletas!F562="Adulto 65kg",3,IF(Atletas!F562="Adulto 75kg",4,IF(Atletas!F562="Adulto +75kg",5,IF(Atletas!F562="Adulto 52kg",6,IF(Atletas!F562="Adulto 60kg",7,IF(Atletas!F562="Adulto 70kg",8,IF(Atletas!F562="Adulto 80kg",9,IF(Atletas!F562="Adulto 90kg",10,IF(Atletas!F562="Adulto +90kg",11,"")))))))))))))</f>
        <v/>
      </c>
      <c r="BC571" s="6" t="str">
        <f>IF(Atletas!G562="","",IF(Atletas!B562="Feminino",10,IF(Atletas!B562="Masculino",20,""))+(IF(Atletas!G562="Baduanjin A",1,IF(Atletas!G562="Baduanjin B",2))))</f>
        <v/>
      </c>
      <c r="BF571" s="52" t="str">
        <f>IF(Atletas!H562="","",IF(Atletas!B562="Feminino",100,IF(Atletas!B562="Masculino",200,""))+(IF(Atletas!H562="Changquan Mirim",1,IF(Atletas!H562="Nanquan Mirim",2,IF(Atletas!H562="Taijiquan Mirim",3,IF(Atletas!H562="Changquan Grupo C",4,IF(Atletas!H562="Nanquan Grupo C",5,IF(Atletas!H562="Taijiquan Grupo C",6,IF(Atletas!H562="Changquan Grupo B",7,IF(Atletas!H562="Nanquan Grupo B",8,IF(Atletas!H562="Taijiquan Grupo B",9,IF(Atletas!H562="Changquan Grupo A",10,IF(Atletas!H562="Nanquan Grupo A",11,IF(Atletas!H562="Taijiquan Grupo A",12,IF(Atletas!H562="Changquan Opcional",13,IF(Atletas!H562="Nanquan Opcional",14,IF(Atletas!H562="Taijiquan Opcional",15,IF(Atletas!H562="Changquan Adulto",16,IF(Atletas!H562="Nanquan Adulto",17,IF(Atletas!H562="Taijiquan Adulto",18,""))))))))))))))))))))</f>
        <v/>
      </c>
      <c r="BG571" s="52" t="str">
        <f>IF(Atletas!I562="","",IF(Atletas!B562="Feminino",100,IF(Atletas!B562="Masculino",200,""))+(IF(Atletas!I562="Daoshu Mirim",19,IF(Atletas!I562="Jianshu Mirim",20,IF(Atletas!I562="Nandao Mirim",21,IF(Atletas!I562="Taijijian Mirim",22,IF(Atletas!I562="Daoshu Grupo C",23,IF(Atletas!I562="Jianshu Grupo C",24,IF(Atletas!I562="Nandao Grupo C",25,IF(Atletas!I562="Taijijian Grupo C",26,IF(Atletas!I562="Daoshu Grupo B",27,IF(Atletas!I562="Jianshu Grupo B",28,IF(Atletas!I562="Nandao Grupo B",29,IF(Atletas!I562="Taijijian Grupo B",30,IF(Atletas!I562="Daoshu Grupo A",31,IF(Atletas!I562="Jianshu Grupo A",32,IF(Atletas!I562="Nandao Grupo A",33,IF(Atletas!I562="Taijijian Grupo A",34,IF(Atletas!I562="Daoshu Opcional",35,IF(Atletas!I562="Jianshu Opcional",36,IF(Atletas!I562="Nandao Opcional",37,IF(Atletas!I562="Taijijian Opcional",38,IF(Atletas!I562="Daoshu Adulto",39,IF(Atletas!I562="Jianshu Adulto",40,IF(Atletas!I562="Nandao Adulto",41,IF(Atletas!I562="Taijijian Adulto",42,""))))))))))))))))))))))))))</f>
        <v/>
      </c>
      <c r="BH571" s="52" t="str">
        <f>IF(Atletas!J562="","",IF(Atletas!B562="Feminino",100,IF(Atletas!B562="Masculino",200,""))+(IF(Atletas!J562="Gunshu Mirim",43,IF(Atletas!J562="Qiangshu Mirim",44,IF(Atletas!J562="Nangun Mirim",45,IF(Atletas!J562="Gunshu Grupo C",46,IF(Atletas!J562="Qiangshu Grupo C",47,IF(Atletas!J562="Nangun Grupo C",48,IF(Atletas!J562="Gunshu Grupo B",49,IF(Atletas!J562="Qiangshu Grupo B",50,IF(Atletas!J562="Nangun Grupo B",51,IF(Atletas!J562="Gunshu Grupo A",52,IF(Atletas!J562="Qiangshu Grupo A",53,IF(Atletas!J562="Nangun Grupo A",54,IF(Atletas!J562="Gunshu Opcional",55,IF(Atletas!J562="Qiangshu Opcional",56,IF(Atletas!J562="Nangun Opcional",57,IF(Atletas!J562="Gunshu Adulto",58,IF(Atletas!J562="Qiangshu Adulto",59,IF(Atletas!J562="Nangun Adulto",60,IF(Atletas!J562="Taijishan Grupo B",61,IF(Atletas!J562="Taijishan Grupo A",62,""))))))))))))))))))))))</f>
        <v/>
      </c>
      <c r="BM571" s="50" t="str">
        <f>IF(Atletas!K562="","",IF(Atletas!B562="Feminino",100,IF(Atletas!B562="Masculino",200,""))+(IF(Atletas!K562="Equipe 1 Grupo B",1,IF(Atletas!K562="Equipe 2 Grupo B",2,IF(Atletas!K562="Equipe 1 Grupo A",3,IF(Atletas!K562="Equipe 2 Grupo A",4,IF(Atletas!K562="Equipe 1 Adulto",5,IF(Atletas!K562="Equipe 2 Adulto",6,""))))))))</f>
        <v/>
      </c>
      <c r="BR571" s="50" t="str">
        <f>IF(Atletas!L562="","",IF(Atletas!X562&lt;&gt;"",10000,0)+(IF(Atletas!B562="Feminino",1000,IF(Atletas!B562="Masculino",2000,""))+IF(Atletas!L562="Choylayfut A",1,IF(Atletas!L562="Hunggar A",2,IF(Atletas!L562="Wuzuquan A",3,IF(Atletas!L562="Wingchun A",4,IF(Atletas!L562="Outra Mão de Sul A",5,IF(Atletas!L562="Choylayfut B",6,IF(Atletas!L562="Hunggar B",7,IF(Atletas!L562="Wuzuquan B",8,IF(Atletas!L562="Wingchun B",9,IF(Atletas!L562="Outra Mão de Sul B",10,IF(Atletas!L562="Choylayfut C",11,IF(Atletas!L562="Hunggar C",12,IF(Atletas!L562="Wuzuquan C",13,IF(Atletas!L562="Wingchun C",14,IF(Atletas!L562="Outra Mão de Sul C",15,IF(Atletas!L562="Choylayfut D",16,IF(Atletas!L562="Hunggar D",17,IF(Atletas!L562="Wuzuquan D",18,IF(Atletas!L562="Wingchun D",19,IF(Atletas!L562="Outra Mão de Sul D",20,IF(Atletas!L562="Choylayfut E",21,IF(Atletas!L562="Hunggar E",22,IF(Atletas!L562="Wuzuquan E",23,IF(Atletas!L562="Wingchun E",24,IF(Atletas!L562="Outra Mão de Sul E",25,IF(Atletas!L562="Choylayfut F",26,IF(Atletas!L562="Hunggar F",27,IF(Atletas!L562="Wuzuquan F",28,IF(Atletas!L562="Wingchun F",29,IF(Atletas!L562="Outra Mão de Sul F",30,IF(Atletas!L562="Dishuquan A",31,IF(Atletas!L562="Dishuquan B",32,IF(Atletas!L562="Dishuquan C",33,IF(Atletas!L562="Dishuquan D",34,IF(Atletas!L562="Dishuquan E",35,IF(Atletas!L562="Dishuquan F",36,""))))))))))))))))))))))))))))))))))))))</f>
        <v/>
      </c>
      <c r="BS571" s="50" t="str">
        <f>IF(Atletas!M562="","",IF(Atletas!X562&lt;&gt;"",10000,0)+(IF(Atletas!B562="Feminino",1000,IF(Atletas!B562="Masculino",2000,""))+(IF(Atletas!M562="Chaquan A",101,IF(Atletas!M562="Emeiquan A",102,IF(Atletas!M562="Fanziquan A",103,IF(Atletas!M562="Huaquan A",104,IF(Atletas!M562="Hongquan A",105,IF(Atletas!M562="Paoquan A",106,IF(Atletas!M562="Piguaquan A",107,IF(Atletas!M562="Shaolinquan A",108,IF(Atletas!M562="Tanglangquan A",109,IF(Atletas!M562="Yingzhaoquan A",110,IF(Atletas!M562="Tongbeiquan A",111,IF(Atletas!M562="Wudangquan A",112,IF(Atletas!M562="Outros Estilos A",113,IF(Atletas!M562="Chaquan B",114,IF(Atletas!M562="Emeiquan B",115,IF(Atletas!M562="Fanziquan B",116,IF(Atletas!M562="Huaquan B",117,IF(Atletas!M562="Hongquan B",118,IF(Atletas!M562="Paoquan B",119,IF(Atletas!M562="Piguaquan B",120,IF(Atletas!M562="Shaolinquan B",121,IF(Atletas!M562="Tanglangquan B",122,IF(Atletas!M562="Yingzhaoquan B",123,IF(Atletas!M562="Tongbeiquan B",124,IF(Atletas!M562="Wudangquan B",125,IF(Atletas!M562="Outros Estilos B",126,IF(Atletas!M562="Chaquan C",127,IF(Atletas!M562="Emeiquan C",128,IF(Atletas!M562="Fanziquan C",129,IF(Atletas!M562="Huaquan C",130,IF(Atletas!M562="Hongquan C",131,IF(Atletas!M562="Paoquan C",132,IF(Atletas!M562="Piguaquan C",133,IF(Atletas!M562="Shaolinquan C",134,IF(Atletas!M562="Tanglangquan C",135,IF(Atletas!M562="Yingzhaoquan C",136,IF(Atletas!M562="Tongbeiquan C",137,IF(Atletas!M562="Wudangquan C",138,IF(Atletas!M562="Outros Estilos C",139,0))))))))))))))))))))))))))))))))))))))))))</f>
        <v/>
      </c>
      <c r="BT571" s="50" t="str">
        <f>IF(Atletas!M562="","",IF(Atletas!X562&lt;&gt;"",10000,0)+(IF(Atletas!B562="Feminino",1000,IF(Atletas!B562="Masculino",2000,""))+(IF(Atletas!M562="Chaquan D",140,IF(Atletas!M562="Emeiquan D",141,IF(Atletas!M562="Fanziquan D",142,IF(Atletas!M562="Huaquan D",143,IF(Atletas!M562="Hongquan D",144,IF(Atletas!M562="Paoquan D",145,IF(Atletas!M562="Piguaquan D",146,IF(Atletas!M562="Shaolinquan D",147,IF(Atletas!M562="Tanglangquan D",148,IF(Atletas!M562="Yingzhaoquan D",149,IF(Atletas!M562="Tongbeiquan D",150,IF(Atletas!M562="Wudangquan D",151,IF(Atletas!M562="Outros Estilos D",152,IF(Atletas!M562="Chaquan E",153,IF(Atletas!M562="Emeiquan E",154,IF(Atletas!M562="Fanziquan E",155,IF(Atletas!M562="Huaquan E",156,IF(Atletas!M562="Hongquan E",157,IF(Atletas!M562="Paoquan E",158,IF(Atletas!M562="Piguaquan E",159,IF(Atletas!M562="Shaolinquan E",160,IF(Atletas!M562="Tanglangquan E",161,IF(Atletas!M562="Yingzhaoquan E",162,IF(Atletas!M562="Tongbeiquan E",163,IF(Atletas!M562="Wudangquan E",164,IF(Atletas!M562="Outros Estilos E",165,IF(Atletas!M562="Chaquan F",166,IF(Atletas!M562="Emeiquan F",167,IF(Atletas!M562="Fanziquan F",168,IF(Atletas!M562="Huaquan F",169,IF(Atletas!M562="Hongquan F",170,IF(Atletas!M562="Paoquan F",171,IF(Atletas!M562="Piguaquan F",172,IF(Atletas!M562="Shaolinquan F",173,IF(Atletas!M562="Tanglangquan F",174,IF(Atletas!M562="Yingzhaoquan F",175,IF(Atletas!M562="Tongbeiquan F",176,IF(Atletas!M562="Wudangquan F",177,IF(Atletas!M562="Outros Estilos F",178,0))))))))))))))))))))))))))))))))))))))))))</f>
        <v/>
      </c>
      <c r="BU571" s="50" t="str">
        <f>IF(Atletas!N562="","",IF(Atletas!X562&lt;&gt;"",10000,0)+(IF(Atletas!B562="Feminino",1000,IF(Atletas!B562="Masculino",2000,""))+(IF(Atletas!N562="Ditangquan A",201,IF(Atletas!N562="Houquan A",202,IF(Atletas!N562="Zuiquan A",203,IF(Atletas!N562="Ditangquan B",204,IF(Atletas!N562="Houquan B",205,IF(Atletas!N562="Zuiquan B",206,IF(Atletas!N562="Ditangquan C",207,IF(Atletas!N562="Houquan C",208,IF(Atletas!N562="Zuiquan C",209,IF(Atletas!N562="Ditangquan D",210,IF(Atletas!N562="Houquan D",211,IF(Atletas!N562="Zuiquan D",212,IF(Atletas!N562="Ditangquan E",213,IF(Atletas!N562="Houquan E",214,IF(Atletas!N562="Zuiquan E",215,IF(Atletas!N562="Ditangquan F",216,IF(Atletas!N562="Houquan F",217,IF(Atletas!N562="Zuiquan F",218,"")))))))))))))))))))))</f>
        <v/>
      </c>
      <c r="BV571" s="50" t="str">
        <f>IF(Atletas!O562="","",IF(Atletas!X562&lt;&gt;"",10000,0)+IF(Atletas!B562="Feminino",1000,IF(Atletas!B562="Masculino",2000,""))+IF(Atletas!O562="Yang A",301,IF(Atletas!O562="Chen A",302,IF(Atletas!O562="Sun A",303,IF(Atletas!O562="Wu A",304,IF(Atletas!O562="Wu-Hao A",305,IF(Atletas!O562="Outro Taijiquan A",306,IF(Atletas!O562="Yang B",307,IF(Atletas!O562="Chen B",308,IF(Atletas!O562="Sun B",309,IF(Atletas!O562="Wu B",310,IF(Atletas!O562="Wu-Hao B",311,IF(Atletas!O562="Outro Taijiquan B",312,IF(Atletas!O562="Yang C",313,IF(Atletas!O562="Chen C",314,IF(Atletas!O562="Sun C",315,IF(Atletas!O562="Wu C",316,IF(Atletas!O562="Wu-Hao C",317,IF(Atletas!O562="Outro Taijiquan C",318,IF(Atletas!O562="Yang D",319,IF(Atletas!O562="Chen D",320,IF(Atletas!O562="Sun D",321,IF(Atletas!O562="Wu D",322,IF(Atletas!O562="Wu-Hao D",323,IF(Atletas!O562="Outro Taijiquan D",324,IF(Atletas!O562="Yang E",325,IF(Atletas!O562="Chen E",326,IF(Atletas!O562="Sun E",327,IF(Atletas!O562="Wu E",328,IF(Atletas!O562="Wu-Hao E",329,IF(Atletas!O562="Outro Taijiquan E",330,IF(Atletas!O562="Yang F",331,IF(Atletas!O562="Chen F",332,IF(Atletas!O562="Sun F",333,IF(Atletas!O562="Wu F",334,IF(Atletas!O562="Wu-Hao F",335,IF(Atletas!O562="Outro Taijiquan F",336,"")))))))))))))))))))))))))))))))))))))</f>
        <v/>
      </c>
      <c r="BW571" s="50" t="str">
        <f>IF(Atletas!P562="","",IF(Atletas!X562&lt;&gt;"",10000,0)+IF(Atletas!B562="Feminino",1000,IF(Atletas!B562="Masculino",2000,""))+IF(OR(Atletas!P562="Yang 26 A",Atletas!P562="Yang 40 A"),401,IF(OR(Atletas!P562="Chen 25 A",Atletas!P562="Chen 36 A",Atletas!P562="Chen 56 A"),402,IF(Atletas!P562="Sun 73 A",403,IF(Atletas!P562="Wu 45 A",404,IF(Atletas!P562="Wu-Hao 46 A",405,IF(OR(Atletas!P562="Taijiquan 16 A",Atletas!P562="Taijiquan 24 A",Atletas!P562="Taijiquan 32 A",Atletas!P562="Taijiquan 42 A"),406,IF(OR(Atletas!P562="Yang 26 B",Atletas!P562="Yang 40 B"),407,IF(OR(Atletas!P562="Chen 25 B",Atletas!P562="Chen 36 B",Atletas!P562="Chen 56 B"),408,IF(Atletas!P562="Sun 73 B",409,IF(Atletas!P562="Wu 45 B",410,IF(Atletas!P562="Wu-Hao 46 B",411,IF(OR(Atletas!P562="Taijiquan 16 B",Atletas!P562="Taijiquan 24 B",Atletas!P562="Taijiquan 32 B",Atletas!P562="Taijiquan 42 B"),412,IF(OR(Atletas!P562="Yang 26 C",Atletas!P562="Yang 40 C"),413,IF(OR(Atletas!P562="Chen 25 C",Atletas!P562="Chen 36 C",Atletas!P562="Chen 56 C"),414,IF(Atletas!P562="Sun 73 C",415,IF(Atletas!P562="Wu 45 C",416,IF(Atletas!P562="Wu-Hao 46 C",417,IF(OR(Atletas!P562="Taijiquan 16 C",Atletas!P562="Taijiquan 24 C",Atletas!P562="Taijiquan 32 C",Atletas!P562="Taijiquan 42 C"),418,0)))))))))))))))))))</f>
        <v/>
      </c>
      <c r="BX571" s="50" t="str">
        <f>IF(Atletas!P562="","",IF(Atletas!X562&lt;&gt;"",10000,0)+IF(Atletas!B562="Feminino",1000,IF(Atletas!B562="Masculino",2000,""))+IF(OR(Atletas!P562="Yang 26 D",Atletas!P562="Yang 40 D"),419,IF(OR(Atletas!P562="Chen 25 D",Atletas!P562="Chen 36 D",Atletas!P562="Chen 56 D"),420,IF(Atletas!P562="Sun 73 D",421,IF(Atletas!P562="Wu 45 D",422,IF(Atletas!P562="Wu-Hao 46 D",423,IF(OR(Atletas!P562="Taijiquan 16 D",Atletas!P562="Taijiquan 24 D",Atletas!P562="Taijiquan 32 D",Atletas!P562="Taijiquan 42 D"),424,IF(OR(Atletas!P562="Yang 26 E",Atletas!P562="Yang 40 E"),425,IF(OR(Atletas!P562="Chen 25 E",Atletas!P562="Chen 36 E",Atletas!P562="Chen 56 E"),426,IF(Atletas!P562="Sun 73 E",427,IF(Atletas!P562="Wu 45 E",428,IF(Atletas!P562="Wu-Hao 46 E",429,IF(OR(Atletas!P562="Taijiquan 16 E",Atletas!P562="Taijiquan 24 E",Atletas!P562="Taijiquan 32 E",Atletas!P562="Taijiquan 42 E"),430,IF(OR(Atletas!P562="Yang 26 F",Atletas!P562="Yang 40 F"),431,IF(OR(Atletas!P562="Chen 25 F",Atletas!P562="Chen 36 F",Atletas!P562="Chen 56 F"),432,IF(Atletas!P562="Sun 73 F",433,IF(Atletas!P562="Wu 45 F",434,IF(Atletas!P562="Wu-Hao 46 F",435,IF(OR(Atletas!P562="Taijiquan 16 F",Atletas!P562="Taijiquan 24 F",Atletas!P562="Taijiquan 32 F",Atletas!P562="Taijiquan 42 F"),436,0)))))))))))))))))))</f>
        <v/>
      </c>
      <c r="BY571" s="50" t="str">
        <f>IF(Atletas!Q562="","",IF(Atletas!X562&lt;&gt;"",10000,0)+IF(Atletas!B562="Feminino",1000,IF(Atletas!B562="Masculino",2000,""))+IF(Atletas!Q562="Xingyiquan A",501,IF(Atletas!Q562="Baguazhang A",502,IF(Atletas!Q562="Outro Estilo Interno A",503,IF(Atletas!Q562="Xingyiquan B",504,IF(Atletas!Q562="Baguazhang B",505,IF(Atletas!Q562="Outro Estilo Interno B",506,IF(Atletas!Q562="Xingyiquan C",507,IF(Atletas!Q562="Baguazhang C",508,IF(Atletas!Q562="Outro Estilo Interno C",509,IF(Atletas!Q562="Xingyiquan D",510,IF(Atletas!Q562="Baguazhang D",511,IF(Atletas!Q562="Outro Estilo Interno D",512,IF(Atletas!Q562="Xingyiquan E",513,IF(Atletas!Q562="Baguazhang E",514,IF(Atletas!Q562="Outro Estilo Interno E",515,IF(Atletas!Q562="Xingyiquan F",516,IF(Atletas!Q562="Baguazhang F",517,IF(Atletas!Q562="Outro Estilo Interno F",518, "")))))))))))))))))))</f>
        <v/>
      </c>
      <c r="BZ571" s="50" t="str">
        <f>IF(Atletas!R562="","",IF(Atletas!X562&lt;&gt;"",10000,0)+IF(Atletas!B562="Feminino",1000,IF(Atletas!B562="Masculino",2000,""))+IF(Atletas!R562="Dao A",601,IF(Atletas!R562="Jian A",602,IF(Atletas!R562="Bishou A",603,IF(Atletas!R562="Shanzi A",604,IF(Atletas!R562="Outra Arma Curta A",605,IF(Atletas!R562="Dao B",606,IF(Atletas!R562="Jian B",607,IF(Atletas!R562="Bishou B",608,IF(Atletas!R562="Shanzi B",609,IF(Atletas!R562="Outra Arma Curta B",610,IF(Atletas!R562="Dao C",611,IF(Atletas!R562="Jian C",612,IF(Atletas!R562="Bishou C",613,IF(Atletas!R562="Shanzi C",614,IF(Atletas!R562="Outra Arma Curta C",615,IF(Atletas!R562="Dao D",616,IF(Atletas!R562="Jian D",617,IF(Atletas!R562="Bishou D",618,IF(Atletas!R562="Shanzi D",619,IF(Atletas!R562="Outra Arma Curta D",620,IF(Atletas!R562="Dao E",621,IF(Atletas!R562="Jian E",622,IF(Atletas!R562="Bishou E",623,IF(Atletas!R562="Shanzi E",624,IF(Atletas!R562="Outra Arma Curta E",625,IF(Atletas!R562="Dao F",626,IF(Atletas!R562="Jian F",627,IF(Atletas!R562="Bishou F",628,IF(Atletas!R562="Shanzi F",629,IF(Atletas!R562="Outra Arma Curta F",630, "")))))))))))))))))))))))))))))))</f>
        <v/>
      </c>
      <c r="CA571" s="50" t="str">
        <f>IF(Atletas!S562="","",IF(Atletas!X562&lt;&gt;"",10000,0)+IF(Atletas!B562="Feminino",1000,IF(Atletas!B562="Masculino",2000,""))+IF(Atletas!S562="Gun A",701,IF(Atletas!S562="Qiang A",702,IF(Atletas!S562="Pudao / Guandao A",703,IF(Atletas!S562="Outra Arma Longa A",704,IF(Atletas!S562="Gun B",705,IF(Atletas!S562="Qiang B",706,IF(Atletas!S562="Pudao / Guandao B",707,IF(Atletas!S562="Outra Arma Longa B",708,IF(Atletas!S562="Gun C",709,IF(Atletas!S562="Qiang C",710,IF(Atletas!S562="Pudao / Guandao C",711,IF(Atletas!S562="Outra Arma Longa C",712,IF(Atletas!S562="Gun D",713,IF(Atletas!S562="Qiang D",714,IF(Atletas!S562="Pudao / Guandao D",715,IF(Atletas!S562="Outra Arma Longa D",716,IF(Atletas!S562="Gun E",717,IF(Atletas!S562="Qiang E",718,IF(Atletas!S562="Pudao / Guandao E",719,IF(Atletas!S562="Outra Arma Longa E",720,IF(Atletas!S562="Gun F",721,IF(Atletas!S562="Qiang F",722,IF(Atletas!S562="Pudao / Guandao F",723,IF(Atletas!S562="Outra Arma Longa F",724,"")))))))))))))))))))))))))</f>
        <v/>
      </c>
      <c r="CB571" s="50" t="str">
        <f>IF(Atletas!T562="","",IF(Atletas!X562&lt;&gt;"",10000,0)+IF(Atletas!B562="Feminino",1000,IF(Atletas!B562="Masculino",2000,""))+IF(Atletas!T562="Outra Arma Dupla A",801,IF(Atletas!T562="Arma Maleável A",802,IF(Atletas!T562="Outra Arma Dupla B",803,IF(Atletas!T562="Arma Maleável B",804,IF(Atletas!T562="Outra Arma Dupla C",805,IF(Atletas!T562="Arma Maleável C",806,IF(Atletas!T562="Outra Arma Dupla D",807,IF(Atletas!T562="Arma Maleável D",808,IF(Atletas!T562="Outra Arma Dupla E",809,IF(Atletas!T562="Arma Maleável E",810,IF(Atletas!T562="Outra Arma Dupla F",811,IF(Atletas!T562="Arma Maleável F",812,IF(Atletas!T562="Shuangdao A",813,IF(Atletas!T562="Shuangdao B",814,IF(Atletas!T562="Shuangdao C",815,IF(Atletas!T562="Shuangdao D",816,IF(Atletas!T562="Shuangdao E",817,IF(Atletas!T562="Shuangdao F",818,"")))))))))))))))))))</f>
        <v/>
      </c>
      <c r="CC571" s="50" t="str">
        <f>IF(Atletas!U562="","",IF(Atletas!X562&lt;&gt;"",10000,0)+IF(Atletas!B562="Feminino",1000,IF(Atletas!B562="Masculino",2000,""))+IF(OR(Atletas!U562="Taijijian Yang A",Atletas!U562="Taijijian Yang Standard A"),901,IF(OR(Atletas!U562="Taijijian Chen A", Atletas!U562="Taijijian Chen Standard A"),902,IF(Atletas!U562="Taijijian Sun A",903,IF(Atletas!U562="Taijijian Wu A",904,IF(Atletas!U562="Taijijian Wu-Hao A",905,IF(OR(Atletas!U562="Taijijian 32 A",Atletas!U562="Taijijian 42 A"),906,IF(OR(Atletas!U562="Taijijian Yang B",Atletas!U562="Taijijian Yang Standard B"),907,IF(OR(Atletas!U562="Taijijian Chen B", Atletas!U562="Taijijian Chen Standard B"),908,IF(Atletas!U562="Taijijian Sun B",909,IF(Atletas!U562="Taijijian Wu B",910,IF(Atletas!U562="Taijijian Wu-Hao B",911,IF(OR(Atletas!U562="Taijijian 32 B",Atletas!U562="Taijijian 42 B"),912,IF(OR(Atletas!U562="Taijijian Yang C",Atletas!U562="Taijijian Yang Standard C"),913,IF(OR(Atletas!U562="Taijijian Chen C", Atletas!U562="Taijijian Chen Standard C"),914,IF(Atletas!U562="Taijijian Sun C",915,IF(Atletas!U562="Taijijian Wu C",916,IF(Atletas!U562="Taijijian Wu-Hao C",917,IF(OR(Atletas!U562="Taijijian 32 C",Atletas!U562="Taijijian 42 C"),918,IF(OR(Atletas!U562="Taijijian Yang D",Atletas!U562="Taijijian Yang Standard D"),919,IF(OR(Atletas!U562="Taijijian Chen D", Atletas!U562="Taijijian Chen Standard D"),920,IF(Atletas!U562="Taijijian Sun D",921,IF(Atletas!U562="Taijijian Wu D",922,IF(Atletas!U562="Taijijian Wu-Hao D",923,IF(OR(Atletas!U562="Taijijian 32 D",Atletas!U562="Taijijian 42 D"),924,IF(OR(Atletas!U562="Taijijian Yang E",Atletas!U562="Taijijian Yang Standard E"),925,IF(OR(Atletas!U562="Taijijian Chen E", Atletas!U562="Taijijian Chen Standard E"),926,IF(Atletas!U562="Taijijian Sun E",927,IF(Atletas!U562="Taijijian Wu E",928,IF(Atletas!U562="Taijijian Wu-Hao E",929,IF(OR(Atletas!U562="Taijijian 32 E",Atletas!U562="Taijijian 42 E"),930,IF(OR(Atletas!U562="Taijijian Yang F",Atletas!U562="Taijijian Yang Standard F"),931,IF(OR(Atletas!U562="Taijijian Chen F", Atletas!U562="Taijijian Chen Standard F"),932,IF(Atletas!U562="Taijijian Sun F",933,IF(Atletas!U562="Taijijian Wu F",934,IF(Atletas!U562="Taijijian Wu-Hao F",935,IF(OR(Atletas!U562="Taijijian 32 F",Atletas!U562="Taijijian 42 F"),936,"")))))))))))))))))))))))))))))))))))))</f>
        <v/>
      </c>
      <c r="CD571" s="50" t="str">
        <f>IF(Atletas!V562="","",IF(Atletas!X562&lt;&gt;"",10000,0)+IF(Atletas!B562="Feminino",1000,IF(Atletas!B562="Masculino",2000,""))+IF(Atletas!V562="Taijidao A",937,IF(Atletas!V562="TaijiShanzi A",938,IF(Atletas!V562="Taijiqiang A",939,IF(Atletas!V562="Bagua de Arma A",940,IF(Atletas!V562="Xingyi de Arma A",941,IF(Atletas!V562="Taijidao B",942,IF(Atletas!V562="TaijiShanzi B",943,IF(Atletas!V562="Taijiqiang B",944,IF(Atletas!V562="Bagua de Arma B",945,IF(Atletas!V562="Xingyi de Arma B",946,IF(Atletas!V562="Taijidao C",947,IF(Atletas!V562="TaijiShanzi C",948,IF(Atletas!V562="Taijiqiang C",949,IF(Atletas!V562="Bagua de Arma C",950,IF(Atletas!V562="Xingyi de Arma C",951,IF(Atletas!V562="Taijidao D",952,IF(Atletas!V562="TaijiShanzi D",953,IF(Atletas!V562="Taijiqiang D",954,IF(Atletas!V562="Bagua de Arma D",955,IF(Atletas!V562="Xingyi de Arma D",956,IF(Atletas!V562="Taijidao E",957,IF(Atletas!V562="TaijiShanzi E",958,IF(Atletas!V562="Taijiqiang E",959,IF(Atletas!V562="Bagua de Arma E",960,IF(Atletas!V562="Xingyi de Arma E",961,IF(Atletas!V562="Taijidao F",962,IF(Atletas!V562="TaijiShanzi F",963,IF(Atletas!V562="Taijiqiang F",964,IF(Atletas!V562="Bagua de Arma F",965,IF(Atletas!V562="Xingyi de Arma F",966,"")))))))))))))))))))))))))))))))</f>
        <v/>
      </c>
      <c r="CM571" s="50" t="str">
        <f xml:space="preserve"> IF(Atletas!W562="","",IF(Atletas!W562="Duilian de Mãos BC - Equipe 1",1,IF(Atletas!W562="Duilian de Mãos BC - Equipe 2",2,IF(Atletas!W562="Duilian de Armas BC - Equipe 1",3,IF(Atletas!W562="Duilian de Armas BC - Equipe 2",4,IF(Atletas!W562="Duilian de Mãos DE - Equipe 1",5,IF(Atletas!W562="Duilian de Mãos DE - Equipe 2",6,IF(Atletas!W562="Duilian de Armas DE - Equipe 1",7,IF(Atletas!W562="Duilian de Armas DE - Equipe 2",8,IF(Atletas!W562="Duilian de Tuishou - Equipe 1",9,IF(Atletas!W562="Duilian de Tuishou - Equipe 2",10,IF(Atletas!W562="Grupo Externo ABC - Equipe 1",11,IF(Atletas!W562="Grupo Externo ABC - Equipe 2",12,IF(Atletas!W562="Grupo Interno ABC - Equipe 1",13,IF(Atletas!W562="Grupo Interno ABC - Equipe 2",14,IF(Atletas!W562="Grupo Externo DEF - Equipe 1",15,IF(Atletas!W562="Grupo Externo DEF - Equipe 2",16,IF(Atletas!W562="Grupo Interno DEF - Equipe 1",17,IF(Atletas!W562="Grupo Interno DEF - Equipe 2",18,"")))))))))))))))))))</f>
        <v/>
      </c>
    </row>
    <row r="572" spans="40:91">
      <c r="AN572" s="52" t="str">
        <f>IF(Atletas!D563="","",IF(Atletas!B563="Feminino",100,IF(Atletas!B563="Masculino",200,""))+(IF(Atletas!D563="Kids 30kg",1,IF(Atletas!D563="Kids 32kg",2, IF(Atletas!D563="Kids 34kg",3,IF(Atletas!D563="Kids 36kg",4,IF(Atletas!D563="Kids 39kg",5,IF(Atletas!D563="Kids 42kg",6,IF(Atletas!D563="Kids 45kg",7, IF(Atletas!D563="Infantil 39kg",8,IF(Atletas!D563="Infantil 42kg",9,IF(Atletas!D563="Infantil 45kg",10,IF(Atletas!D563="Infantil 48kg",11,IF(Atletas!D563="Infantil 52kg",12,IF(Atletas!D563="Infantil 56kg",13,IF(Atletas!D563="Infantil 60kg",14,IF(Atletas!D563="Juvenil 48kg",15,IF(Atletas!D563="Juvenil 52kg",16,IF(Atletas!D563="Juvenil 56kg",17,IF(Atletas!D563="Juvenil 60kg",18,IF(Atletas!D563="Juvenil 65kg",19,IF(Atletas!D563="Juvenil 70kg",20,IF(Atletas!D563="Juvenil 75kg",21,IF(Atletas!D563="Juvenil 80kg",22, IF(Atletas!D563="Juvenil 85kg",23,IF(Atletas!D563="Adulto 48kg",24,IF(Atletas!D563="Adulto 52kg",25,IF(Atletas!D563="Adulto 56kg",26,IF(Atletas!D563="Adulto 60kg",27,IF(Atletas!D563="Adulto 65kg",28,IF(Atletas!D563="Adulto 70kg",29,IF(Atletas!D563="Adulto 75kg",30,IF(Atletas!D563="Adulto 80kg",31,IF(Atletas!D563="Adulto 85kg",32,IF(Atletas!D563="Adulto 90kg",33,IF(Atletas!D563="Adulto 100kg",34, IF(Atletas!D563="Adulto +100kg",35,"")))))))))))))))))))))))))))))))))))))</f>
        <v/>
      </c>
      <c r="AS572" s="6" t="str">
        <f>IF(Atletas!E563="","",IF(Atletas!B563="Feminino",100,IF(Atletas!B563="Masculino",200,""))+(IF(Atletas!E563="Juvenil 44kg",1,IF(Atletas!E563="Juvenil 48kg",2,IF(Atletas!E563="Juvenil 52kg",3,IF(Atletas!E563="Juvenil 56kg",4,IF(Atletas!E563="Juvenil 60kg",5,IF(Atletas!E563="Juvenil 65kg",6,IF(Atletas!E563="Juvenil 70kg",7,IF(Atletas!E563="Juvenil 75kg",8,IF(Atletas!E563="Juvenil 82kg",9,IF(Atletas!E563="Juvenil 90kg",10,IF(Atletas!E563="Juvenil 100kg",11,IF(Atletas!E563="Adulto 48kg",12,IF(Atletas!E563="Adulto 52kg",13,IF(Atletas!E563="Adulto 56kg",14,IF(Atletas!E563="Adulto 60kg",15,IF(Atletas!E563="Adulto 65kg",16,IF(Atletas!E563="Adulto 70kg",17,IF(Atletas!E563="Adulto 75kg",18,IF(Atletas!E563="Adulto 82kg",19,IF(Atletas!E563="Adulto 90kg",20,IF(Atletas!E563="Adulto 100kg",21,IF(Atletas!E563="Adulto +100kg",22,""))))))))))))))))))))))))</f>
        <v/>
      </c>
      <c r="AX572" s="6" t="str">
        <f>IF(Atletas!F563="","",IF(Atletas!B563="Feminino",100,IF(Atletas!B563="Masculino",200,""))+(IF(Atletas!F563="Adulto 48kg",1,IF(Atletas!F563="Adulto 56kg",2,IF(Atletas!F563="Adulto 65kg",3,IF(Atletas!F563="Adulto 75kg",4,IF(Atletas!F563="Adulto +75kg",5,IF(Atletas!F563="Adulto 52kg",6,IF(Atletas!F563="Adulto 60kg",7,IF(Atletas!F563="Adulto 70kg",8,IF(Atletas!F563="Adulto 80kg",9,IF(Atletas!F563="Adulto 90kg",10,IF(Atletas!F563="Adulto +90kg",11,"")))))))))))))</f>
        <v/>
      </c>
      <c r="BC572" s="6" t="str">
        <f>IF(Atletas!G563="","",IF(Atletas!B563="Feminino",10,IF(Atletas!B563="Masculino",20,""))+(IF(Atletas!G563="Baduanjin A",1,IF(Atletas!G563="Baduanjin B",2))))</f>
        <v/>
      </c>
      <c r="BF572" s="52" t="str">
        <f>IF(Atletas!H563="","",IF(Atletas!B563="Feminino",100,IF(Atletas!B563="Masculino",200,""))+(IF(Atletas!H563="Changquan Mirim",1,IF(Atletas!H563="Nanquan Mirim",2,IF(Atletas!H563="Taijiquan Mirim",3,IF(Atletas!H563="Changquan Grupo C",4,IF(Atletas!H563="Nanquan Grupo C",5,IF(Atletas!H563="Taijiquan Grupo C",6,IF(Atletas!H563="Changquan Grupo B",7,IF(Atletas!H563="Nanquan Grupo B",8,IF(Atletas!H563="Taijiquan Grupo B",9,IF(Atletas!H563="Changquan Grupo A",10,IF(Atletas!H563="Nanquan Grupo A",11,IF(Atletas!H563="Taijiquan Grupo A",12,IF(Atletas!H563="Changquan Opcional",13,IF(Atletas!H563="Nanquan Opcional",14,IF(Atletas!H563="Taijiquan Opcional",15,IF(Atletas!H563="Changquan Adulto",16,IF(Atletas!H563="Nanquan Adulto",17,IF(Atletas!H563="Taijiquan Adulto",18,""))))))))))))))))))))</f>
        <v/>
      </c>
      <c r="BG572" s="52" t="str">
        <f>IF(Atletas!I563="","",IF(Atletas!B563="Feminino",100,IF(Atletas!B563="Masculino",200,""))+(IF(Atletas!I563="Daoshu Mirim",19,IF(Atletas!I563="Jianshu Mirim",20,IF(Atletas!I563="Nandao Mirim",21,IF(Atletas!I563="Taijijian Mirim",22,IF(Atletas!I563="Daoshu Grupo C",23,IF(Atletas!I563="Jianshu Grupo C",24,IF(Atletas!I563="Nandao Grupo C",25,IF(Atletas!I563="Taijijian Grupo C",26,IF(Atletas!I563="Daoshu Grupo B",27,IF(Atletas!I563="Jianshu Grupo B",28,IF(Atletas!I563="Nandao Grupo B",29,IF(Atletas!I563="Taijijian Grupo B",30,IF(Atletas!I563="Daoshu Grupo A",31,IF(Atletas!I563="Jianshu Grupo A",32,IF(Atletas!I563="Nandao Grupo A",33,IF(Atletas!I563="Taijijian Grupo A",34,IF(Atletas!I563="Daoshu Opcional",35,IF(Atletas!I563="Jianshu Opcional",36,IF(Atletas!I563="Nandao Opcional",37,IF(Atletas!I563="Taijijian Opcional",38,IF(Atletas!I563="Daoshu Adulto",39,IF(Atletas!I563="Jianshu Adulto",40,IF(Atletas!I563="Nandao Adulto",41,IF(Atletas!I563="Taijijian Adulto",42,""))))))))))))))))))))))))))</f>
        <v/>
      </c>
      <c r="BH572" s="52" t="str">
        <f>IF(Atletas!J563="","",IF(Atletas!B563="Feminino",100,IF(Atletas!B563="Masculino",200,""))+(IF(Atletas!J563="Gunshu Mirim",43,IF(Atletas!J563="Qiangshu Mirim",44,IF(Atletas!J563="Nangun Mirim",45,IF(Atletas!J563="Gunshu Grupo C",46,IF(Atletas!J563="Qiangshu Grupo C",47,IF(Atletas!J563="Nangun Grupo C",48,IF(Atletas!J563="Gunshu Grupo B",49,IF(Atletas!J563="Qiangshu Grupo B",50,IF(Atletas!J563="Nangun Grupo B",51,IF(Atletas!J563="Gunshu Grupo A",52,IF(Atletas!J563="Qiangshu Grupo A",53,IF(Atletas!J563="Nangun Grupo A",54,IF(Atletas!J563="Gunshu Opcional",55,IF(Atletas!J563="Qiangshu Opcional",56,IF(Atletas!J563="Nangun Opcional",57,IF(Atletas!J563="Gunshu Adulto",58,IF(Atletas!J563="Qiangshu Adulto",59,IF(Atletas!J563="Nangun Adulto",60,IF(Atletas!J563="Taijishan Grupo B",61,IF(Atletas!J563="Taijishan Grupo A",62,""))))))))))))))))))))))</f>
        <v/>
      </c>
      <c r="BM572" s="50" t="str">
        <f>IF(Atletas!K563="","",IF(Atletas!B563="Feminino",100,IF(Atletas!B563="Masculino",200,""))+(IF(Atletas!K563="Equipe 1 Grupo B",1,IF(Atletas!K563="Equipe 2 Grupo B",2,IF(Atletas!K563="Equipe 1 Grupo A",3,IF(Atletas!K563="Equipe 2 Grupo A",4,IF(Atletas!K563="Equipe 1 Adulto",5,IF(Atletas!K563="Equipe 2 Adulto",6,""))))))))</f>
        <v/>
      </c>
      <c r="BR572" s="50" t="str">
        <f>IF(Atletas!L563="","",IF(Atletas!X563&lt;&gt;"",10000,0)+(IF(Atletas!B563="Feminino",1000,IF(Atletas!B563="Masculino",2000,""))+IF(Atletas!L563="Choylayfut A",1,IF(Atletas!L563="Hunggar A",2,IF(Atletas!L563="Wuzuquan A",3,IF(Atletas!L563="Wingchun A",4,IF(Atletas!L563="Outra Mão de Sul A",5,IF(Atletas!L563="Choylayfut B",6,IF(Atletas!L563="Hunggar B",7,IF(Atletas!L563="Wuzuquan B",8,IF(Atletas!L563="Wingchun B",9,IF(Atletas!L563="Outra Mão de Sul B",10,IF(Atletas!L563="Choylayfut C",11,IF(Atletas!L563="Hunggar C",12,IF(Atletas!L563="Wuzuquan C",13,IF(Atletas!L563="Wingchun C",14,IF(Atletas!L563="Outra Mão de Sul C",15,IF(Atletas!L563="Choylayfut D",16,IF(Atletas!L563="Hunggar D",17,IF(Atletas!L563="Wuzuquan D",18,IF(Atletas!L563="Wingchun D",19,IF(Atletas!L563="Outra Mão de Sul D",20,IF(Atletas!L563="Choylayfut E",21,IF(Atletas!L563="Hunggar E",22,IF(Atletas!L563="Wuzuquan E",23,IF(Atletas!L563="Wingchun E",24,IF(Atletas!L563="Outra Mão de Sul E",25,IF(Atletas!L563="Choylayfut F",26,IF(Atletas!L563="Hunggar F",27,IF(Atletas!L563="Wuzuquan F",28,IF(Atletas!L563="Wingchun F",29,IF(Atletas!L563="Outra Mão de Sul F",30,IF(Atletas!L563="Dishuquan A",31,IF(Atletas!L563="Dishuquan B",32,IF(Atletas!L563="Dishuquan C",33,IF(Atletas!L563="Dishuquan D",34,IF(Atletas!L563="Dishuquan E",35,IF(Atletas!L563="Dishuquan F",36,""))))))))))))))))))))))))))))))))))))))</f>
        <v/>
      </c>
      <c r="BS572" s="50" t="str">
        <f>IF(Atletas!M563="","",IF(Atletas!X563&lt;&gt;"",10000,0)+(IF(Atletas!B563="Feminino",1000,IF(Atletas!B563="Masculino",2000,""))+(IF(Atletas!M563="Chaquan A",101,IF(Atletas!M563="Emeiquan A",102,IF(Atletas!M563="Fanziquan A",103,IF(Atletas!M563="Huaquan A",104,IF(Atletas!M563="Hongquan A",105,IF(Atletas!M563="Paoquan A",106,IF(Atletas!M563="Piguaquan A",107,IF(Atletas!M563="Shaolinquan A",108,IF(Atletas!M563="Tanglangquan A",109,IF(Atletas!M563="Yingzhaoquan A",110,IF(Atletas!M563="Tongbeiquan A",111,IF(Atletas!M563="Wudangquan A",112,IF(Atletas!M563="Outros Estilos A",113,IF(Atletas!M563="Chaquan B",114,IF(Atletas!M563="Emeiquan B",115,IF(Atletas!M563="Fanziquan B",116,IF(Atletas!M563="Huaquan B",117,IF(Atletas!M563="Hongquan B",118,IF(Atletas!M563="Paoquan B",119,IF(Atletas!M563="Piguaquan B",120,IF(Atletas!M563="Shaolinquan B",121,IF(Atletas!M563="Tanglangquan B",122,IF(Atletas!M563="Yingzhaoquan B",123,IF(Atletas!M563="Tongbeiquan B",124,IF(Atletas!M563="Wudangquan B",125,IF(Atletas!M563="Outros Estilos B",126,IF(Atletas!M563="Chaquan C",127,IF(Atletas!M563="Emeiquan C",128,IF(Atletas!M563="Fanziquan C",129,IF(Atletas!M563="Huaquan C",130,IF(Atletas!M563="Hongquan C",131,IF(Atletas!M563="Paoquan C",132,IF(Atletas!M563="Piguaquan C",133,IF(Atletas!M563="Shaolinquan C",134,IF(Atletas!M563="Tanglangquan C",135,IF(Atletas!M563="Yingzhaoquan C",136,IF(Atletas!M563="Tongbeiquan C",137,IF(Atletas!M563="Wudangquan C",138,IF(Atletas!M563="Outros Estilos C",139,0))))))))))))))))))))))))))))))))))))))))))</f>
        <v/>
      </c>
      <c r="BT572" s="50" t="str">
        <f>IF(Atletas!M563="","",IF(Atletas!X563&lt;&gt;"",10000,0)+(IF(Atletas!B563="Feminino",1000,IF(Atletas!B563="Masculino",2000,""))+(IF(Atletas!M563="Chaquan D",140,IF(Atletas!M563="Emeiquan D",141,IF(Atletas!M563="Fanziquan D",142,IF(Atletas!M563="Huaquan D",143,IF(Atletas!M563="Hongquan D",144,IF(Atletas!M563="Paoquan D",145,IF(Atletas!M563="Piguaquan D",146,IF(Atletas!M563="Shaolinquan D",147,IF(Atletas!M563="Tanglangquan D",148,IF(Atletas!M563="Yingzhaoquan D",149,IF(Atletas!M563="Tongbeiquan D",150,IF(Atletas!M563="Wudangquan D",151,IF(Atletas!M563="Outros Estilos D",152,IF(Atletas!M563="Chaquan E",153,IF(Atletas!M563="Emeiquan E",154,IF(Atletas!M563="Fanziquan E",155,IF(Atletas!M563="Huaquan E",156,IF(Atletas!M563="Hongquan E",157,IF(Atletas!M563="Paoquan E",158,IF(Atletas!M563="Piguaquan E",159,IF(Atletas!M563="Shaolinquan E",160,IF(Atletas!M563="Tanglangquan E",161,IF(Atletas!M563="Yingzhaoquan E",162,IF(Atletas!M563="Tongbeiquan E",163,IF(Atletas!M563="Wudangquan E",164,IF(Atletas!M563="Outros Estilos E",165,IF(Atletas!M563="Chaquan F",166,IF(Atletas!M563="Emeiquan F",167,IF(Atletas!M563="Fanziquan F",168,IF(Atletas!M563="Huaquan F",169,IF(Atletas!M563="Hongquan F",170,IF(Atletas!M563="Paoquan F",171,IF(Atletas!M563="Piguaquan F",172,IF(Atletas!M563="Shaolinquan F",173,IF(Atletas!M563="Tanglangquan F",174,IF(Atletas!M563="Yingzhaoquan F",175,IF(Atletas!M563="Tongbeiquan F",176,IF(Atletas!M563="Wudangquan F",177,IF(Atletas!M563="Outros Estilos F",178,0))))))))))))))))))))))))))))))))))))))))))</f>
        <v/>
      </c>
      <c r="BU572" s="50" t="str">
        <f>IF(Atletas!N563="","",IF(Atletas!X563&lt;&gt;"",10000,0)+(IF(Atletas!B563="Feminino",1000,IF(Atletas!B563="Masculino",2000,""))+(IF(Atletas!N563="Ditangquan A",201,IF(Atletas!N563="Houquan A",202,IF(Atletas!N563="Zuiquan A",203,IF(Atletas!N563="Ditangquan B",204,IF(Atletas!N563="Houquan B",205,IF(Atletas!N563="Zuiquan B",206,IF(Atletas!N563="Ditangquan C",207,IF(Atletas!N563="Houquan C",208,IF(Atletas!N563="Zuiquan C",209,IF(Atletas!N563="Ditangquan D",210,IF(Atletas!N563="Houquan D",211,IF(Atletas!N563="Zuiquan D",212,IF(Atletas!N563="Ditangquan E",213,IF(Atletas!N563="Houquan E",214,IF(Atletas!N563="Zuiquan E",215,IF(Atletas!N563="Ditangquan F",216,IF(Atletas!N563="Houquan F",217,IF(Atletas!N563="Zuiquan F",218,"")))))))))))))))))))))</f>
        <v/>
      </c>
      <c r="BV572" s="50" t="str">
        <f>IF(Atletas!O563="","",IF(Atletas!X563&lt;&gt;"",10000,0)+IF(Atletas!B563="Feminino",1000,IF(Atletas!B563="Masculino",2000,""))+IF(Atletas!O563="Yang A",301,IF(Atletas!O563="Chen A",302,IF(Atletas!O563="Sun A",303,IF(Atletas!O563="Wu A",304,IF(Atletas!O563="Wu-Hao A",305,IF(Atletas!O563="Outro Taijiquan A",306,IF(Atletas!O563="Yang B",307,IF(Atletas!O563="Chen B",308,IF(Atletas!O563="Sun B",309,IF(Atletas!O563="Wu B",310,IF(Atletas!O563="Wu-Hao B",311,IF(Atletas!O563="Outro Taijiquan B",312,IF(Atletas!O563="Yang C",313,IF(Atletas!O563="Chen C",314,IF(Atletas!O563="Sun C",315,IF(Atletas!O563="Wu C",316,IF(Atletas!O563="Wu-Hao C",317,IF(Atletas!O563="Outro Taijiquan C",318,IF(Atletas!O563="Yang D",319,IF(Atletas!O563="Chen D",320,IF(Atletas!O563="Sun D",321,IF(Atletas!O563="Wu D",322,IF(Atletas!O563="Wu-Hao D",323,IF(Atletas!O563="Outro Taijiquan D",324,IF(Atletas!O563="Yang E",325,IF(Atletas!O563="Chen E",326,IF(Atletas!O563="Sun E",327,IF(Atletas!O563="Wu E",328,IF(Atletas!O563="Wu-Hao E",329,IF(Atletas!O563="Outro Taijiquan E",330,IF(Atletas!O563="Yang F",331,IF(Atletas!O563="Chen F",332,IF(Atletas!O563="Sun F",333,IF(Atletas!O563="Wu F",334,IF(Atletas!O563="Wu-Hao F",335,IF(Atletas!O563="Outro Taijiquan F",336,"")))))))))))))))))))))))))))))))))))))</f>
        <v/>
      </c>
      <c r="BW572" s="50" t="str">
        <f>IF(Atletas!P563="","",IF(Atletas!X563&lt;&gt;"",10000,0)+IF(Atletas!B563="Feminino",1000,IF(Atletas!B563="Masculino",2000,""))+IF(OR(Atletas!P563="Yang 26 A",Atletas!P563="Yang 40 A"),401,IF(OR(Atletas!P563="Chen 25 A",Atletas!P563="Chen 36 A",Atletas!P563="Chen 56 A"),402,IF(Atletas!P563="Sun 73 A",403,IF(Atletas!P563="Wu 45 A",404,IF(Atletas!P563="Wu-Hao 46 A",405,IF(OR(Atletas!P563="Taijiquan 16 A",Atletas!P563="Taijiquan 24 A",Atletas!P563="Taijiquan 32 A",Atletas!P563="Taijiquan 42 A"),406,IF(OR(Atletas!P563="Yang 26 B",Atletas!P563="Yang 40 B"),407,IF(OR(Atletas!P563="Chen 25 B",Atletas!P563="Chen 36 B",Atletas!P563="Chen 56 B"),408,IF(Atletas!P563="Sun 73 B",409,IF(Atletas!P563="Wu 45 B",410,IF(Atletas!P563="Wu-Hao 46 B",411,IF(OR(Atletas!P563="Taijiquan 16 B",Atletas!P563="Taijiquan 24 B",Atletas!P563="Taijiquan 32 B",Atletas!P563="Taijiquan 42 B"),412,IF(OR(Atletas!P563="Yang 26 C",Atletas!P563="Yang 40 C"),413,IF(OR(Atletas!P563="Chen 25 C",Atletas!P563="Chen 36 C",Atletas!P563="Chen 56 C"),414,IF(Atletas!P563="Sun 73 C",415,IF(Atletas!P563="Wu 45 C",416,IF(Atletas!P563="Wu-Hao 46 C",417,IF(OR(Atletas!P563="Taijiquan 16 C",Atletas!P563="Taijiquan 24 C",Atletas!P563="Taijiquan 32 C",Atletas!P563="Taijiquan 42 C"),418,0)))))))))))))))))))</f>
        <v/>
      </c>
      <c r="BX572" s="50" t="str">
        <f>IF(Atletas!P563="","",IF(Atletas!X563&lt;&gt;"",10000,0)+IF(Atletas!B563="Feminino",1000,IF(Atletas!B563="Masculino",2000,""))+IF(OR(Atletas!P563="Yang 26 D",Atletas!P563="Yang 40 D"),419,IF(OR(Atletas!P563="Chen 25 D",Atletas!P563="Chen 36 D",Atletas!P563="Chen 56 D"),420,IF(Atletas!P563="Sun 73 D",421,IF(Atletas!P563="Wu 45 D",422,IF(Atletas!P563="Wu-Hao 46 D",423,IF(OR(Atletas!P563="Taijiquan 16 D",Atletas!P563="Taijiquan 24 D",Atletas!P563="Taijiquan 32 D",Atletas!P563="Taijiquan 42 D"),424,IF(OR(Atletas!P563="Yang 26 E",Atletas!P563="Yang 40 E"),425,IF(OR(Atletas!P563="Chen 25 E",Atletas!P563="Chen 36 E",Atletas!P563="Chen 56 E"),426,IF(Atletas!P563="Sun 73 E",427,IF(Atletas!P563="Wu 45 E",428,IF(Atletas!P563="Wu-Hao 46 E",429,IF(OR(Atletas!P563="Taijiquan 16 E",Atletas!P563="Taijiquan 24 E",Atletas!P563="Taijiquan 32 E",Atletas!P563="Taijiquan 42 E"),430,IF(OR(Atletas!P563="Yang 26 F",Atletas!P563="Yang 40 F"),431,IF(OR(Atletas!P563="Chen 25 F",Atletas!P563="Chen 36 F",Atletas!P563="Chen 56 F"),432,IF(Atletas!P563="Sun 73 F",433,IF(Atletas!P563="Wu 45 F",434,IF(Atletas!P563="Wu-Hao 46 F",435,IF(OR(Atletas!P563="Taijiquan 16 F",Atletas!P563="Taijiquan 24 F",Atletas!P563="Taijiquan 32 F",Atletas!P563="Taijiquan 42 F"),436,0)))))))))))))))))))</f>
        <v/>
      </c>
      <c r="BY572" s="50" t="str">
        <f>IF(Atletas!Q563="","",IF(Atletas!X563&lt;&gt;"",10000,0)+IF(Atletas!B563="Feminino",1000,IF(Atletas!B563="Masculino",2000,""))+IF(Atletas!Q563="Xingyiquan A",501,IF(Atletas!Q563="Baguazhang A",502,IF(Atletas!Q563="Outro Estilo Interno A",503,IF(Atletas!Q563="Xingyiquan B",504,IF(Atletas!Q563="Baguazhang B",505,IF(Atletas!Q563="Outro Estilo Interno B",506,IF(Atletas!Q563="Xingyiquan C",507,IF(Atletas!Q563="Baguazhang C",508,IF(Atletas!Q563="Outro Estilo Interno C",509,IF(Atletas!Q563="Xingyiquan D",510,IF(Atletas!Q563="Baguazhang D",511,IF(Atletas!Q563="Outro Estilo Interno D",512,IF(Atletas!Q563="Xingyiquan E",513,IF(Atletas!Q563="Baguazhang E",514,IF(Atletas!Q563="Outro Estilo Interno E",515,IF(Atletas!Q563="Xingyiquan F",516,IF(Atletas!Q563="Baguazhang F",517,IF(Atletas!Q563="Outro Estilo Interno F",518, "")))))))))))))))))))</f>
        <v/>
      </c>
      <c r="BZ572" s="50" t="str">
        <f>IF(Atletas!R563="","",IF(Atletas!X563&lt;&gt;"",10000,0)+IF(Atletas!B563="Feminino",1000,IF(Atletas!B563="Masculino",2000,""))+IF(Atletas!R563="Dao A",601,IF(Atletas!R563="Jian A",602,IF(Atletas!R563="Bishou A",603,IF(Atletas!R563="Shanzi A",604,IF(Atletas!R563="Outra Arma Curta A",605,IF(Atletas!R563="Dao B",606,IF(Atletas!R563="Jian B",607,IF(Atletas!R563="Bishou B",608,IF(Atletas!R563="Shanzi B",609,IF(Atletas!R563="Outra Arma Curta B",610,IF(Atletas!R563="Dao C",611,IF(Atletas!R563="Jian C",612,IF(Atletas!R563="Bishou C",613,IF(Atletas!R563="Shanzi C",614,IF(Atletas!R563="Outra Arma Curta C",615,IF(Atletas!R563="Dao D",616,IF(Atletas!R563="Jian D",617,IF(Atletas!R563="Bishou D",618,IF(Atletas!R563="Shanzi D",619,IF(Atletas!R563="Outra Arma Curta D",620,IF(Atletas!R563="Dao E",621,IF(Atletas!R563="Jian E",622,IF(Atletas!R563="Bishou E",623,IF(Atletas!R563="Shanzi E",624,IF(Atletas!R563="Outra Arma Curta E",625,IF(Atletas!R563="Dao F",626,IF(Atletas!R563="Jian F",627,IF(Atletas!R563="Bishou F",628,IF(Atletas!R563="Shanzi F",629,IF(Atletas!R563="Outra Arma Curta F",630, "")))))))))))))))))))))))))))))))</f>
        <v/>
      </c>
      <c r="CA572" s="50" t="str">
        <f>IF(Atletas!S563="","",IF(Atletas!X563&lt;&gt;"",10000,0)+IF(Atletas!B563="Feminino",1000,IF(Atletas!B563="Masculino",2000,""))+IF(Atletas!S563="Gun A",701,IF(Atletas!S563="Qiang A",702,IF(Atletas!S563="Pudao / Guandao A",703,IF(Atletas!S563="Outra Arma Longa A",704,IF(Atletas!S563="Gun B",705,IF(Atletas!S563="Qiang B",706,IF(Atletas!S563="Pudao / Guandao B",707,IF(Atletas!S563="Outra Arma Longa B",708,IF(Atletas!S563="Gun C",709,IF(Atletas!S563="Qiang C",710,IF(Atletas!S563="Pudao / Guandao C",711,IF(Atletas!S563="Outra Arma Longa C",712,IF(Atletas!S563="Gun D",713,IF(Atletas!S563="Qiang D",714,IF(Atletas!S563="Pudao / Guandao D",715,IF(Atletas!S563="Outra Arma Longa D",716,IF(Atletas!S563="Gun E",717,IF(Atletas!S563="Qiang E",718,IF(Atletas!S563="Pudao / Guandao E",719,IF(Atletas!S563="Outra Arma Longa E",720,IF(Atletas!S563="Gun F",721,IF(Atletas!S563="Qiang F",722,IF(Atletas!S563="Pudao / Guandao F",723,IF(Atletas!S563="Outra Arma Longa F",724,"")))))))))))))))))))))))))</f>
        <v/>
      </c>
      <c r="CB572" s="50" t="str">
        <f>IF(Atletas!T563="","",IF(Atletas!X563&lt;&gt;"",10000,0)+IF(Atletas!B563="Feminino",1000,IF(Atletas!B563="Masculino",2000,""))+IF(Atletas!T563="Outra Arma Dupla A",801,IF(Atletas!T563="Arma Maleável A",802,IF(Atletas!T563="Outra Arma Dupla B",803,IF(Atletas!T563="Arma Maleável B",804,IF(Atletas!T563="Outra Arma Dupla C",805,IF(Atletas!T563="Arma Maleável C",806,IF(Atletas!T563="Outra Arma Dupla D",807,IF(Atletas!T563="Arma Maleável D",808,IF(Atletas!T563="Outra Arma Dupla E",809,IF(Atletas!T563="Arma Maleável E",810,IF(Atletas!T563="Outra Arma Dupla F",811,IF(Atletas!T563="Arma Maleável F",812,IF(Atletas!T563="Shuangdao A",813,IF(Atletas!T563="Shuangdao B",814,IF(Atletas!T563="Shuangdao C",815,IF(Atletas!T563="Shuangdao D",816,IF(Atletas!T563="Shuangdao E",817,IF(Atletas!T563="Shuangdao F",818,"")))))))))))))))))))</f>
        <v/>
      </c>
      <c r="CC572" s="50" t="str">
        <f>IF(Atletas!U563="","",IF(Atletas!X563&lt;&gt;"",10000,0)+IF(Atletas!B563="Feminino",1000,IF(Atletas!B563="Masculino",2000,""))+IF(OR(Atletas!U563="Taijijian Yang A",Atletas!U563="Taijijian Yang Standard A"),901,IF(OR(Atletas!U563="Taijijian Chen A", Atletas!U563="Taijijian Chen Standard A"),902,IF(Atletas!U563="Taijijian Sun A",903,IF(Atletas!U563="Taijijian Wu A",904,IF(Atletas!U563="Taijijian Wu-Hao A",905,IF(OR(Atletas!U563="Taijijian 32 A",Atletas!U563="Taijijian 42 A"),906,IF(OR(Atletas!U563="Taijijian Yang B",Atletas!U563="Taijijian Yang Standard B"),907,IF(OR(Atletas!U563="Taijijian Chen B", Atletas!U563="Taijijian Chen Standard B"),908,IF(Atletas!U563="Taijijian Sun B",909,IF(Atletas!U563="Taijijian Wu B",910,IF(Atletas!U563="Taijijian Wu-Hao B",911,IF(OR(Atletas!U563="Taijijian 32 B",Atletas!U563="Taijijian 42 B"),912,IF(OR(Atletas!U563="Taijijian Yang C",Atletas!U563="Taijijian Yang Standard C"),913,IF(OR(Atletas!U563="Taijijian Chen C", Atletas!U563="Taijijian Chen Standard C"),914,IF(Atletas!U563="Taijijian Sun C",915,IF(Atletas!U563="Taijijian Wu C",916,IF(Atletas!U563="Taijijian Wu-Hao C",917,IF(OR(Atletas!U563="Taijijian 32 C",Atletas!U563="Taijijian 42 C"),918,IF(OR(Atletas!U563="Taijijian Yang D",Atletas!U563="Taijijian Yang Standard D"),919,IF(OR(Atletas!U563="Taijijian Chen D", Atletas!U563="Taijijian Chen Standard D"),920,IF(Atletas!U563="Taijijian Sun D",921,IF(Atletas!U563="Taijijian Wu D",922,IF(Atletas!U563="Taijijian Wu-Hao D",923,IF(OR(Atletas!U563="Taijijian 32 D",Atletas!U563="Taijijian 42 D"),924,IF(OR(Atletas!U563="Taijijian Yang E",Atletas!U563="Taijijian Yang Standard E"),925,IF(OR(Atletas!U563="Taijijian Chen E", Atletas!U563="Taijijian Chen Standard E"),926,IF(Atletas!U563="Taijijian Sun E",927,IF(Atletas!U563="Taijijian Wu E",928,IF(Atletas!U563="Taijijian Wu-Hao E",929,IF(OR(Atletas!U563="Taijijian 32 E",Atletas!U563="Taijijian 42 E"),930,IF(OR(Atletas!U563="Taijijian Yang F",Atletas!U563="Taijijian Yang Standard F"),931,IF(OR(Atletas!U563="Taijijian Chen F", Atletas!U563="Taijijian Chen Standard F"),932,IF(Atletas!U563="Taijijian Sun F",933,IF(Atletas!U563="Taijijian Wu F",934,IF(Atletas!U563="Taijijian Wu-Hao F",935,IF(OR(Atletas!U563="Taijijian 32 F",Atletas!U563="Taijijian 42 F"),936,"")))))))))))))))))))))))))))))))))))))</f>
        <v/>
      </c>
      <c r="CD572" s="50" t="str">
        <f>IF(Atletas!V563="","",IF(Atletas!X563&lt;&gt;"",10000,0)+IF(Atletas!B563="Feminino",1000,IF(Atletas!B563="Masculino",2000,""))+IF(Atletas!V563="Taijidao A",937,IF(Atletas!V563="TaijiShanzi A",938,IF(Atletas!V563="Taijiqiang A",939,IF(Atletas!V563="Bagua de Arma A",940,IF(Atletas!V563="Xingyi de Arma A",941,IF(Atletas!V563="Taijidao B",942,IF(Atletas!V563="TaijiShanzi B",943,IF(Atletas!V563="Taijiqiang B",944,IF(Atletas!V563="Bagua de Arma B",945,IF(Atletas!V563="Xingyi de Arma B",946,IF(Atletas!V563="Taijidao C",947,IF(Atletas!V563="TaijiShanzi C",948,IF(Atletas!V563="Taijiqiang C",949,IF(Atletas!V563="Bagua de Arma C",950,IF(Atletas!V563="Xingyi de Arma C",951,IF(Atletas!V563="Taijidao D",952,IF(Atletas!V563="TaijiShanzi D",953,IF(Atletas!V563="Taijiqiang D",954,IF(Atletas!V563="Bagua de Arma D",955,IF(Atletas!V563="Xingyi de Arma D",956,IF(Atletas!V563="Taijidao E",957,IF(Atletas!V563="TaijiShanzi E",958,IF(Atletas!V563="Taijiqiang E",959,IF(Atletas!V563="Bagua de Arma E",960,IF(Atletas!V563="Xingyi de Arma E",961,IF(Atletas!V563="Taijidao F",962,IF(Atletas!V563="TaijiShanzi F",963,IF(Atletas!V563="Taijiqiang F",964,IF(Atletas!V563="Bagua de Arma F",965,IF(Atletas!V563="Xingyi de Arma F",966,"")))))))))))))))))))))))))))))))</f>
        <v/>
      </c>
      <c r="CM572" s="50" t="str">
        <f xml:space="preserve"> IF(Atletas!W563="","",IF(Atletas!W563="Duilian de Mãos BC - Equipe 1",1,IF(Atletas!W563="Duilian de Mãos BC - Equipe 2",2,IF(Atletas!W563="Duilian de Armas BC - Equipe 1",3,IF(Atletas!W563="Duilian de Armas BC - Equipe 2",4,IF(Atletas!W563="Duilian de Mãos DE - Equipe 1",5,IF(Atletas!W563="Duilian de Mãos DE - Equipe 2",6,IF(Atletas!W563="Duilian de Armas DE - Equipe 1",7,IF(Atletas!W563="Duilian de Armas DE - Equipe 2",8,IF(Atletas!W563="Duilian de Tuishou - Equipe 1",9,IF(Atletas!W563="Duilian de Tuishou - Equipe 2",10,IF(Atletas!W563="Grupo Externo ABC - Equipe 1",11,IF(Atletas!W563="Grupo Externo ABC - Equipe 2",12,IF(Atletas!W563="Grupo Interno ABC - Equipe 1",13,IF(Atletas!W563="Grupo Interno ABC - Equipe 2",14,IF(Atletas!W563="Grupo Externo DEF - Equipe 1",15,IF(Atletas!W563="Grupo Externo DEF - Equipe 2",16,IF(Atletas!W563="Grupo Interno DEF - Equipe 1",17,IF(Atletas!W563="Grupo Interno DEF - Equipe 2",18,"")))))))))))))))))))</f>
        <v/>
      </c>
    </row>
    <row r="573" spans="40:91">
      <c r="AN573" s="52" t="str">
        <f>IF(Atletas!D564="","",IF(Atletas!B564="Feminino",100,IF(Atletas!B564="Masculino",200,""))+(IF(Atletas!D564="Kids 30kg",1,IF(Atletas!D564="Kids 32kg",2, IF(Atletas!D564="Kids 34kg",3,IF(Atletas!D564="Kids 36kg",4,IF(Atletas!D564="Kids 39kg",5,IF(Atletas!D564="Kids 42kg",6,IF(Atletas!D564="Kids 45kg",7, IF(Atletas!D564="Infantil 39kg",8,IF(Atletas!D564="Infantil 42kg",9,IF(Atletas!D564="Infantil 45kg",10,IF(Atletas!D564="Infantil 48kg",11,IF(Atletas!D564="Infantil 52kg",12,IF(Atletas!D564="Infantil 56kg",13,IF(Atletas!D564="Infantil 60kg",14,IF(Atletas!D564="Juvenil 48kg",15,IF(Atletas!D564="Juvenil 52kg",16,IF(Atletas!D564="Juvenil 56kg",17,IF(Atletas!D564="Juvenil 60kg",18,IF(Atletas!D564="Juvenil 65kg",19,IF(Atletas!D564="Juvenil 70kg",20,IF(Atletas!D564="Juvenil 75kg",21,IF(Atletas!D564="Juvenil 80kg",22, IF(Atletas!D564="Juvenil 85kg",23,IF(Atletas!D564="Adulto 48kg",24,IF(Atletas!D564="Adulto 52kg",25,IF(Atletas!D564="Adulto 56kg",26,IF(Atletas!D564="Adulto 60kg",27,IF(Atletas!D564="Adulto 65kg",28,IF(Atletas!D564="Adulto 70kg",29,IF(Atletas!D564="Adulto 75kg",30,IF(Atletas!D564="Adulto 80kg",31,IF(Atletas!D564="Adulto 85kg",32,IF(Atletas!D564="Adulto 90kg",33,IF(Atletas!D564="Adulto 100kg",34, IF(Atletas!D564="Adulto +100kg",35,"")))))))))))))))))))))))))))))))))))))</f>
        <v/>
      </c>
      <c r="AS573" s="6" t="str">
        <f>IF(Atletas!E564="","",IF(Atletas!B564="Feminino",100,IF(Atletas!B564="Masculino",200,""))+(IF(Atletas!E564="Juvenil 44kg",1,IF(Atletas!E564="Juvenil 48kg",2,IF(Atletas!E564="Juvenil 52kg",3,IF(Atletas!E564="Juvenil 56kg",4,IF(Atletas!E564="Juvenil 60kg",5,IF(Atletas!E564="Juvenil 65kg",6,IF(Atletas!E564="Juvenil 70kg",7,IF(Atletas!E564="Juvenil 75kg",8,IF(Atletas!E564="Juvenil 82kg",9,IF(Atletas!E564="Juvenil 90kg",10,IF(Atletas!E564="Juvenil 100kg",11,IF(Atletas!E564="Adulto 48kg",12,IF(Atletas!E564="Adulto 52kg",13,IF(Atletas!E564="Adulto 56kg",14,IF(Atletas!E564="Adulto 60kg",15,IF(Atletas!E564="Adulto 65kg",16,IF(Atletas!E564="Adulto 70kg",17,IF(Atletas!E564="Adulto 75kg",18,IF(Atletas!E564="Adulto 82kg",19,IF(Atletas!E564="Adulto 90kg",20,IF(Atletas!E564="Adulto 100kg",21,IF(Atletas!E564="Adulto +100kg",22,""))))))))))))))))))))))))</f>
        <v/>
      </c>
      <c r="AX573" s="6" t="str">
        <f>IF(Atletas!F564="","",IF(Atletas!B564="Feminino",100,IF(Atletas!B564="Masculino",200,""))+(IF(Atletas!F564="Adulto 48kg",1,IF(Atletas!F564="Adulto 56kg",2,IF(Atletas!F564="Adulto 65kg",3,IF(Atletas!F564="Adulto 75kg",4,IF(Atletas!F564="Adulto +75kg",5,IF(Atletas!F564="Adulto 52kg",6,IF(Atletas!F564="Adulto 60kg",7,IF(Atletas!F564="Adulto 70kg",8,IF(Atletas!F564="Adulto 80kg",9,IF(Atletas!F564="Adulto 90kg",10,IF(Atletas!F564="Adulto +90kg",11,"")))))))))))))</f>
        <v/>
      </c>
      <c r="BC573" s="6" t="str">
        <f>IF(Atletas!G564="","",IF(Atletas!B564="Feminino",10,IF(Atletas!B564="Masculino",20,""))+(IF(Atletas!G564="Baduanjin A",1,IF(Atletas!G564="Baduanjin B",2))))</f>
        <v/>
      </c>
      <c r="BF573" s="52" t="str">
        <f>IF(Atletas!H564="","",IF(Atletas!B564="Feminino",100,IF(Atletas!B564="Masculino",200,""))+(IF(Atletas!H564="Changquan Mirim",1,IF(Atletas!H564="Nanquan Mirim",2,IF(Atletas!H564="Taijiquan Mirim",3,IF(Atletas!H564="Changquan Grupo C",4,IF(Atletas!H564="Nanquan Grupo C",5,IF(Atletas!H564="Taijiquan Grupo C",6,IF(Atletas!H564="Changquan Grupo B",7,IF(Atletas!H564="Nanquan Grupo B",8,IF(Atletas!H564="Taijiquan Grupo B",9,IF(Atletas!H564="Changquan Grupo A",10,IF(Atletas!H564="Nanquan Grupo A",11,IF(Atletas!H564="Taijiquan Grupo A",12,IF(Atletas!H564="Changquan Opcional",13,IF(Atletas!H564="Nanquan Opcional",14,IF(Atletas!H564="Taijiquan Opcional",15,IF(Atletas!H564="Changquan Adulto",16,IF(Atletas!H564="Nanquan Adulto",17,IF(Atletas!H564="Taijiquan Adulto",18,""))))))))))))))))))))</f>
        <v/>
      </c>
      <c r="BG573" s="52" t="str">
        <f>IF(Atletas!I564="","",IF(Atletas!B564="Feminino",100,IF(Atletas!B564="Masculino",200,""))+(IF(Atletas!I564="Daoshu Mirim",19,IF(Atletas!I564="Jianshu Mirim",20,IF(Atletas!I564="Nandao Mirim",21,IF(Atletas!I564="Taijijian Mirim",22,IF(Atletas!I564="Daoshu Grupo C",23,IF(Atletas!I564="Jianshu Grupo C",24,IF(Atletas!I564="Nandao Grupo C",25,IF(Atletas!I564="Taijijian Grupo C",26,IF(Atletas!I564="Daoshu Grupo B",27,IF(Atletas!I564="Jianshu Grupo B",28,IF(Atletas!I564="Nandao Grupo B",29,IF(Atletas!I564="Taijijian Grupo B",30,IF(Atletas!I564="Daoshu Grupo A",31,IF(Atletas!I564="Jianshu Grupo A",32,IF(Atletas!I564="Nandao Grupo A",33,IF(Atletas!I564="Taijijian Grupo A",34,IF(Atletas!I564="Daoshu Opcional",35,IF(Atletas!I564="Jianshu Opcional",36,IF(Atletas!I564="Nandao Opcional",37,IF(Atletas!I564="Taijijian Opcional",38,IF(Atletas!I564="Daoshu Adulto",39,IF(Atletas!I564="Jianshu Adulto",40,IF(Atletas!I564="Nandao Adulto",41,IF(Atletas!I564="Taijijian Adulto",42,""))))))))))))))))))))))))))</f>
        <v/>
      </c>
      <c r="BH573" s="52" t="str">
        <f>IF(Atletas!J564="","",IF(Atletas!B564="Feminino",100,IF(Atletas!B564="Masculino",200,""))+(IF(Atletas!J564="Gunshu Mirim",43,IF(Atletas!J564="Qiangshu Mirim",44,IF(Atletas!J564="Nangun Mirim",45,IF(Atletas!J564="Gunshu Grupo C",46,IF(Atletas!J564="Qiangshu Grupo C",47,IF(Atletas!J564="Nangun Grupo C",48,IF(Atletas!J564="Gunshu Grupo B",49,IF(Atletas!J564="Qiangshu Grupo B",50,IF(Atletas!J564="Nangun Grupo B",51,IF(Atletas!J564="Gunshu Grupo A",52,IF(Atletas!J564="Qiangshu Grupo A",53,IF(Atletas!J564="Nangun Grupo A",54,IF(Atletas!J564="Gunshu Opcional",55,IF(Atletas!J564="Qiangshu Opcional",56,IF(Atletas!J564="Nangun Opcional",57,IF(Atletas!J564="Gunshu Adulto",58,IF(Atletas!J564="Qiangshu Adulto",59,IF(Atletas!J564="Nangun Adulto",60,IF(Atletas!J564="Taijishan Grupo B",61,IF(Atletas!J564="Taijishan Grupo A",62,""))))))))))))))))))))))</f>
        <v/>
      </c>
      <c r="BM573" s="50" t="str">
        <f>IF(Atletas!K564="","",IF(Atletas!B564="Feminino",100,IF(Atletas!B564="Masculino",200,""))+(IF(Atletas!K564="Equipe 1 Grupo B",1,IF(Atletas!K564="Equipe 2 Grupo B",2,IF(Atletas!K564="Equipe 1 Grupo A",3,IF(Atletas!K564="Equipe 2 Grupo A",4,IF(Atletas!K564="Equipe 1 Adulto",5,IF(Atletas!K564="Equipe 2 Adulto",6,""))))))))</f>
        <v/>
      </c>
      <c r="BR573" s="50" t="str">
        <f>IF(Atletas!L564="","",IF(Atletas!X564&lt;&gt;"",10000,0)+(IF(Atletas!B564="Feminino",1000,IF(Atletas!B564="Masculino",2000,""))+IF(Atletas!L564="Choylayfut A",1,IF(Atletas!L564="Hunggar A",2,IF(Atletas!L564="Wuzuquan A",3,IF(Atletas!L564="Wingchun A",4,IF(Atletas!L564="Outra Mão de Sul A",5,IF(Atletas!L564="Choylayfut B",6,IF(Atletas!L564="Hunggar B",7,IF(Atletas!L564="Wuzuquan B",8,IF(Atletas!L564="Wingchun B",9,IF(Atletas!L564="Outra Mão de Sul B",10,IF(Atletas!L564="Choylayfut C",11,IF(Atletas!L564="Hunggar C",12,IF(Atletas!L564="Wuzuquan C",13,IF(Atletas!L564="Wingchun C",14,IF(Atletas!L564="Outra Mão de Sul C",15,IF(Atletas!L564="Choylayfut D",16,IF(Atletas!L564="Hunggar D",17,IF(Atletas!L564="Wuzuquan D",18,IF(Atletas!L564="Wingchun D",19,IF(Atletas!L564="Outra Mão de Sul D",20,IF(Atletas!L564="Choylayfut E",21,IF(Atletas!L564="Hunggar E",22,IF(Atletas!L564="Wuzuquan E",23,IF(Atletas!L564="Wingchun E",24,IF(Atletas!L564="Outra Mão de Sul E",25,IF(Atletas!L564="Choylayfut F",26,IF(Atletas!L564="Hunggar F",27,IF(Atletas!L564="Wuzuquan F",28,IF(Atletas!L564="Wingchun F",29,IF(Atletas!L564="Outra Mão de Sul F",30,IF(Atletas!L564="Dishuquan A",31,IF(Atletas!L564="Dishuquan B",32,IF(Atletas!L564="Dishuquan C",33,IF(Atletas!L564="Dishuquan D",34,IF(Atletas!L564="Dishuquan E",35,IF(Atletas!L564="Dishuquan F",36,""))))))))))))))))))))))))))))))))))))))</f>
        <v/>
      </c>
      <c r="BS573" s="50" t="str">
        <f>IF(Atletas!M564="","",IF(Atletas!X564&lt;&gt;"",10000,0)+(IF(Atletas!B564="Feminino",1000,IF(Atletas!B564="Masculino",2000,""))+(IF(Atletas!M564="Chaquan A",101,IF(Atletas!M564="Emeiquan A",102,IF(Atletas!M564="Fanziquan A",103,IF(Atletas!M564="Huaquan A",104,IF(Atletas!M564="Hongquan A",105,IF(Atletas!M564="Paoquan A",106,IF(Atletas!M564="Piguaquan A",107,IF(Atletas!M564="Shaolinquan A",108,IF(Atletas!M564="Tanglangquan A",109,IF(Atletas!M564="Yingzhaoquan A",110,IF(Atletas!M564="Tongbeiquan A",111,IF(Atletas!M564="Wudangquan A",112,IF(Atletas!M564="Outros Estilos A",113,IF(Atletas!M564="Chaquan B",114,IF(Atletas!M564="Emeiquan B",115,IF(Atletas!M564="Fanziquan B",116,IF(Atletas!M564="Huaquan B",117,IF(Atletas!M564="Hongquan B",118,IF(Atletas!M564="Paoquan B",119,IF(Atletas!M564="Piguaquan B",120,IF(Atletas!M564="Shaolinquan B",121,IF(Atletas!M564="Tanglangquan B",122,IF(Atletas!M564="Yingzhaoquan B",123,IF(Atletas!M564="Tongbeiquan B",124,IF(Atletas!M564="Wudangquan B",125,IF(Atletas!M564="Outros Estilos B",126,IF(Atletas!M564="Chaquan C",127,IF(Atletas!M564="Emeiquan C",128,IF(Atletas!M564="Fanziquan C",129,IF(Atletas!M564="Huaquan C",130,IF(Atletas!M564="Hongquan C",131,IF(Atletas!M564="Paoquan C",132,IF(Atletas!M564="Piguaquan C",133,IF(Atletas!M564="Shaolinquan C",134,IF(Atletas!M564="Tanglangquan C",135,IF(Atletas!M564="Yingzhaoquan C",136,IF(Atletas!M564="Tongbeiquan C",137,IF(Atletas!M564="Wudangquan C",138,IF(Atletas!M564="Outros Estilos C",139,0))))))))))))))))))))))))))))))))))))))))))</f>
        <v/>
      </c>
      <c r="BT573" s="50" t="str">
        <f>IF(Atletas!M564="","",IF(Atletas!X564&lt;&gt;"",10000,0)+(IF(Atletas!B564="Feminino",1000,IF(Atletas!B564="Masculino",2000,""))+(IF(Atletas!M564="Chaquan D",140,IF(Atletas!M564="Emeiquan D",141,IF(Atletas!M564="Fanziquan D",142,IF(Atletas!M564="Huaquan D",143,IF(Atletas!M564="Hongquan D",144,IF(Atletas!M564="Paoquan D",145,IF(Atletas!M564="Piguaquan D",146,IF(Atletas!M564="Shaolinquan D",147,IF(Atletas!M564="Tanglangquan D",148,IF(Atletas!M564="Yingzhaoquan D",149,IF(Atletas!M564="Tongbeiquan D",150,IF(Atletas!M564="Wudangquan D",151,IF(Atletas!M564="Outros Estilos D",152,IF(Atletas!M564="Chaquan E",153,IF(Atletas!M564="Emeiquan E",154,IF(Atletas!M564="Fanziquan E",155,IF(Atletas!M564="Huaquan E",156,IF(Atletas!M564="Hongquan E",157,IF(Atletas!M564="Paoquan E",158,IF(Atletas!M564="Piguaquan E",159,IF(Atletas!M564="Shaolinquan E",160,IF(Atletas!M564="Tanglangquan E",161,IF(Atletas!M564="Yingzhaoquan E",162,IF(Atletas!M564="Tongbeiquan E",163,IF(Atletas!M564="Wudangquan E",164,IF(Atletas!M564="Outros Estilos E",165,IF(Atletas!M564="Chaquan F",166,IF(Atletas!M564="Emeiquan F",167,IF(Atletas!M564="Fanziquan F",168,IF(Atletas!M564="Huaquan F",169,IF(Atletas!M564="Hongquan F",170,IF(Atletas!M564="Paoquan F",171,IF(Atletas!M564="Piguaquan F",172,IF(Atletas!M564="Shaolinquan F",173,IF(Atletas!M564="Tanglangquan F",174,IF(Atletas!M564="Yingzhaoquan F",175,IF(Atletas!M564="Tongbeiquan F",176,IF(Atletas!M564="Wudangquan F",177,IF(Atletas!M564="Outros Estilos F",178,0))))))))))))))))))))))))))))))))))))))))))</f>
        <v/>
      </c>
      <c r="BU573" s="50" t="str">
        <f>IF(Atletas!N564="","",IF(Atletas!X564&lt;&gt;"",10000,0)+(IF(Atletas!B564="Feminino",1000,IF(Atletas!B564="Masculino",2000,""))+(IF(Atletas!N564="Ditangquan A",201,IF(Atletas!N564="Houquan A",202,IF(Atletas!N564="Zuiquan A",203,IF(Atletas!N564="Ditangquan B",204,IF(Atletas!N564="Houquan B",205,IF(Atletas!N564="Zuiquan B",206,IF(Atletas!N564="Ditangquan C",207,IF(Atletas!N564="Houquan C",208,IF(Atletas!N564="Zuiquan C",209,IF(Atletas!N564="Ditangquan D",210,IF(Atletas!N564="Houquan D",211,IF(Atletas!N564="Zuiquan D",212,IF(Atletas!N564="Ditangquan E",213,IF(Atletas!N564="Houquan E",214,IF(Atletas!N564="Zuiquan E",215,IF(Atletas!N564="Ditangquan F",216,IF(Atletas!N564="Houquan F",217,IF(Atletas!N564="Zuiquan F",218,"")))))))))))))))))))))</f>
        <v/>
      </c>
      <c r="BV573" s="50" t="str">
        <f>IF(Atletas!O564="","",IF(Atletas!X564&lt;&gt;"",10000,0)+IF(Atletas!B564="Feminino",1000,IF(Atletas!B564="Masculino",2000,""))+IF(Atletas!O564="Yang A",301,IF(Atletas!O564="Chen A",302,IF(Atletas!O564="Sun A",303,IF(Atletas!O564="Wu A",304,IF(Atletas!O564="Wu-Hao A",305,IF(Atletas!O564="Outro Taijiquan A",306,IF(Atletas!O564="Yang B",307,IF(Atletas!O564="Chen B",308,IF(Atletas!O564="Sun B",309,IF(Atletas!O564="Wu B",310,IF(Atletas!O564="Wu-Hao B",311,IF(Atletas!O564="Outro Taijiquan B",312,IF(Atletas!O564="Yang C",313,IF(Atletas!O564="Chen C",314,IF(Atletas!O564="Sun C",315,IF(Atletas!O564="Wu C",316,IF(Atletas!O564="Wu-Hao C",317,IF(Atletas!O564="Outro Taijiquan C",318,IF(Atletas!O564="Yang D",319,IF(Atletas!O564="Chen D",320,IF(Atletas!O564="Sun D",321,IF(Atletas!O564="Wu D",322,IF(Atletas!O564="Wu-Hao D",323,IF(Atletas!O564="Outro Taijiquan D",324,IF(Atletas!O564="Yang E",325,IF(Atletas!O564="Chen E",326,IF(Atletas!O564="Sun E",327,IF(Atletas!O564="Wu E",328,IF(Atletas!O564="Wu-Hao E",329,IF(Atletas!O564="Outro Taijiquan E",330,IF(Atletas!O564="Yang F",331,IF(Atletas!O564="Chen F",332,IF(Atletas!O564="Sun F",333,IF(Atletas!O564="Wu F",334,IF(Atletas!O564="Wu-Hao F",335,IF(Atletas!O564="Outro Taijiquan F",336,"")))))))))))))))))))))))))))))))))))))</f>
        <v/>
      </c>
      <c r="BW573" s="50" t="str">
        <f>IF(Atletas!P564="","",IF(Atletas!X564&lt;&gt;"",10000,0)+IF(Atletas!B564="Feminino",1000,IF(Atletas!B564="Masculino",2000,""))+IF(OR(Atletas!P564="Yang 26 A",Atletas!P564="Yang 40 A"),401,IF(OR(Atletas!P564="Chen 25 A",Atletas!P564="Chen 36 A",Atletas!P564="Chen 56 A"),402,IF(Atletas!P564="Sun 73 A",403,IF(Atletas!P564="Wu 45 A",404,IF(Atletas!P564="Wu-Hao 46 A",405,IF(OR(Atletas!P564="Taijiquan 16 A",Atletas!P564="Taijiquan 24 A",Atletas!P564="Taijiquan 32 A",Atletas!P564="Taijiquan 42 A"),406,IF(OR(Atletas!P564="Yang 26 B",Atletas!P564="Yang 40 B"),407,IF(OR(Atletas!P564="Chen 25 B",Atletas!P564="Chen 36 B",Atletas!P564="Chen 56 B"),408,IF(Atletas!P564="Sun 73 B",409,IF(Atletas!P564="Wu 45 B",410,IF(Atletas!P564="Wu-Hao 46 B",411,IF(OR(Atletas!P564="Taijiquan 16 B",Atletas!P564="Taijiquan 24 B",Atletas!P564="Taijiquan 32 B",Atletas!P564="Taijiquan 42 B"),412,IF(OR(Atletas!P564="Yang 26 C",Atletas!P564="Yang 40 C"),413,IF(OR(Atletas!P564="Chen 25 C",Atletas!P564="Chen 36 C",Atletas!P564="Chen 56 C"),414,IF(Atletas!P564="Sun 73 C",415,IF(Atletas!P564="Wu 45 C",416,IF(Atletas!P564="Wu-Hao 46 C",417,IF(OR(Atletas!P564="Taijiquan 16 C",Atletas!P564="Taijiquan 24 C",Atletas!P564="Taijiquan 32 C",Atletas!P564="Taijiquan 42 C"),418,0)))))))))))))))))))</f>
        <v/>
      </c>
      <c r="BX573" s="50" t="str">
        <f>IF(Atletas!P564="","",IF(Atletas!X564&lt;&gt;"",10000,0)+IF(Atletas!B564="Feminino",1000,IF(Atletas!B564="Masculino",2000,""))+IF(OR(Atletas!P564="Yang 26 D",Atletas!P564="Yang 40 D"),419,IF(OR(Atletas!P564="Chen 25 D",Atletas!P564="Chen 36 D",Atletas!P564="Chen 56 D"),420,IF(Atletas!P564="Sun 73 D",421,IF(Atletas!P564="Wu 45 D",422,IF(Atletas!P564="Wu-Hao 46 D",423,IF(OR(Atletas!P564="Taijiquan 16 D",Atletas!P564="Taijiquan 24 D",Atletas!P564="Taijiquan 32 D",Atletas!P564="Taijiquan 42 D"),424,IF(OR(Atletas!P564="Yang 26 E",Atletas!P564="Yang 40 E"),425,IF(OR(Atletas!P564="Chen 25 E",Atletas!P564="Chen 36 E",Atletas!P564="Chen 56 E"),426,IF(Atletas!P564="Sun 73 E",427,IF(Atletas!P564="Wu 45 E",428,IF(Atletas!P564="Wu-Hao 46 E",429,IF(OR(Atletas!P564="Taijiquan 16 E",Atletas!P564="Taijiquan 24 E",Atletas!P564="Taijiquan 32 E",Atletas!P564="Taijiquan 42 E"),430,IF(OR(Atletas!P564="Yang 26 F",Atletas!P564="Yang 40 F"),431,IF(OR(Atletas!P564="Chen 25 F",Atletas!P564="Chen 36 F",Atletas!P564="Chen 56 F"),432,IF(Atletas!P564="Sun 73 F",433,IF(Atletas!P564="Wu 45 F",434,IF(Atletas!P564="Wu-Hao 46 F",435,IF(OR(Atletas!P564="Taijiquan 16 F",Atletas!P564="Taijiquan 24 F",Atletas!P564="Taijiquan 32 F",Atletas!P564="Taijiquan 42 F"),436,0)))))))))))))))))))</f>
        <v/>
      </c>
      <c r="BY573" s="50" t="str">
        <f>IF(Atletas!Q564="","",IF(Atletas!X564&lt;&gt;"",10000,0)+IF(Atletas!B564="Feminino",1000,IF(Atletas!B564="Masculino",2000,""))+IF(Atletas!Q564="Xingyiquan A",501,IF(Atletas!Q564="Baguazhang A",502,IF(Atletas!Q564="Outro Estilo Interno A",503,IF(Atletas!Q564="Xingyiquan B",504,IF(Atletas!Q564="Baguazhang B",505,IF(Atletas!Q564="Outro Estilo Interno B",506,IF(Atletas!Q564="Xingyiquan C",507,IF(Atletas!Q564="Baguazhang C",508,IF(Atletas!Q564="Outro Estilo Interno C",509,IF(Atletas!Q564="Xingyiquan D",510,IF(Atletas!Q564="Baguazhang D",511,IF(Atletas!Q564="Outro Estilo Interno D",512,IF(Atletas!Q564="Xingyiquan E",513,IF(Atletas!Q564="Baguazhang E",514,IF(Atletas!Q564="Outro Estilo Interno E",515,IF(Atletas!Q564="Xingyiquan F",516,IF(Atletas!Q564="Baguazhang F",517,IF(Atletas!Q564="Outro Estilo Interno F",518, "")))))))))))))))))))</f>
        <v/>
      </c>
      <c r="BZ573" s="50" t="str">
        <f>IF(Atletas!R564="","",IF(Atletas!X564&lt;&gt;"",10000,0)+IF(Atletas!B564="Feminino",1000,IF(Atletas!B564="Masculino",2000,""))+IF(Atletas!R564="Dao A",601,IF(Atletas!R564="Jian A",602,IF(Atletas!R564="Bishou A",603,IF(Atletas!R564="Shanzi A",604,IF(Atletas!R564="Outra Arma Curta A",605,IF(Atletas!R564="Dao B",606,IF(Atletas!R564="Jian B",607,IF(Atletas!R564="Bishou B",608,IF(Atletas!R564="Shanzi B",609,IF(Atletas!R564="Outra Arma Curta B",610,IF(Atletas!R564="Dao C",611,IF(Atletas!R564="Jian C",612,IF(Atletas!R564="Bishou C",613,IF(Atletas!R564="Shanzi C",614,IF(Atletas!R564="Outra Arma Curta C",615,IF(Atletas!R564="Dao D",616,IF(Atletas!R564="Jian D",617,IF(Atletas!R564="Bishou D",618,IF(Atletas!R564="Shanzi D",619,IF(Atletas!R564="Outra Arma Curta D",620,IF(Atletas!R564="Dao E",621,IF(Atletas!R564="Jian E",622,IF(Atletas!R564="Bishou E",623,IF(Atletas!R564="Shanzi E",624,IF(Atletas!R564="Outra Arma Curta E",625,IF(Atletas!R564="Dao F",626,IF(Atletas!R564="Jian F",627,IF(Atletas!R564="Bishou F",628,IF(Atletas!R564="Shanzi F",629,IF(Atletas!R564="Outra Arma Curta F",630, "")))))))))))))))))))))))))))))))</f>
        <v/>
      </c>
      <c r="CA573" s="50" t="str">
        <f>IF(Atletas!S564="","",IF(Atletas!X564&lt;&gt;"",10000,0)+IF(Atletas!B564="Feminino",1000,IF(Atletas!B564="Masculino",2000,""))+IF(Atletas!S564="Gun A",701,IF(Atletas!S564="Qiang A",702,IF(Atletas!S564="Pudao / Guandao A",703,IF(Atletas!S564="Outra Arma Longa A",704,IF(Atletas!S564="Gun B",705,IF(Atletas!S564="Qiang B",706,IF(Atletas!S564="Pudao / Guandao B",707,IF(Atletas!S564="Outra Arma Longa B",708,IF(Atletas!S564="Gun C",709,IF(Atletas!S564="Qiang C",710,IF(Atletas!S564="Pudao / Guandao C",711,IF(Atletas!S564="Outra Arma Longa C",712,IF(Atletas!S564="Gun D",713,IF(Atletas!S564="Qiang D",714,IF(Atletas!S564="Pudao / Guandao D",715,IF(Atletas!S564="Outra Arma Longa D",716,IF(Atletas!S564="Gun E",717,IF(Atletas!S564="Qiang E",718,IF(Atletas!S564="Pudao / Guandao E",719,IF(Atletas!S564="Outra Arma Longa E",720,IF(Atletas!S564="Gun F",721,IF(Atletas!S564="Qiang F",722,IF(Atletas!S564="Pudao / Guandao F",723,IF(Atletas!S564="Outra Arma Longa F",724,"")))))))))))))))))))))))))</f>
        <v/>
      </c>
      <c r="CB573" s="50" t="str">
        <f>IF(Atletas!T564="","",IF(Atletas!X564&lt;&gt;"",10000,0)+IF(Atletas!B564="Feminino",1000,IF(Atletas!B564="Masculino",2000,""))+IF(Atletas!T564="Outra Arma Dupla A",801,IF(Atletas!T564="Arma Maleável A",802,IF(Atletas!T564="Outra Arma Dupla B",803,IF(Atletas!T564="Arma Maleável B",804,IF(Atletas!T564="Outra Arma Dupla C",805,IF(Atletas!T564="Arma Maleável C",806,IF(Atletas!T564="Outra Arma Dupla D",807,IF(Atletas!T564="Arma Maleável D",808,IF(Atletas!T564="Outra Arma Dupla E",809,IF(Atletas!T564="Arma Maleável E",810,IF(Atletas!T564="Outra Arma Dupla F",811,IF(Atletas!T564="Arma Maleável F",812,IF(Atletas!T564="Shuangdao A",813,IF(Atletas!T564="Shuangdao B",814,IF(Atletas!T564="Shuangdao C",815,IF(Atletas!T564="Shuangdao D",816,IF(Atletas!T564="Shuangdao E",817,IF(Atletas!T564="Shuangdao F",818,"")))))))))))))))))))</f>
        <v/>
      </c>
      <c r="CC573" s="50" t="str">
        <f>IF(Atletas!U564="","",IF(Atletas!X564&lt;&gt;"",10000,0)+IF(Atletas!B564="Feminino",1000,IF(Atletas!B564="Masculino",2000,""))+IF(OR(Atletas!U564="Taijijian Yang A",Atletas!U564="Taijijian Yang Standard A"),901,IF(OR(Atletas!U564="Taijijian Chen A", Atletas!U564="Taijijian Chen Standard A"),902,IF(Atletas!U564="Taijijian Sun A",903,IF(Atletas!U564="Taijijian Wu A",904,IF(Atletas!U564="Taijijian Wu-Hao A",905,IF(OR(Atletas!U564="Taijijian 32 A",Atletas!U564="Taijijian 42 A"),906,IF(OR(Atletas!U564="Taijijian Yang B",Atletas!U564="Taijijian Yang Standard B"),907,IF(OR(Atletas!U564="Taijijian Chen B", Atletas!U564="Taijijian Chen Standard B"),908,IF(Atletas!U564="Taijijian Sun B",909,IF(Atletas!U564="Taijijian Wu B",910,IF(Atletas!U564="Taijijian Wu-Hao B",911,IF(OR(Atletas!U564="Taijijian 32 B",Atletas!U564="Taijijian 42 B"),912,IF(OR(Atletas!U564="Taijijian Yang C",Atletas!U564="Taijijian Yang Standard C"),913,IF(OR(Atletas!U564="Taijijian Chen C", Atletas!U564="Taijijian Chen Standard C"),914,IF(Atletas!U564="Taijijian Sun C",915,IF(Atletas!U564="Taijijian Wu C",916,IF(Atletas!U564="Taijijian Wu-Hao C",917,IF(OR(Atletas!U564="Taijijian 32 C",Atletas!U564="Taijijian 42 C"),918,IF(OR(Atletas!U564="Taijijian Yang D",Atletas!U564="Taijijian Yang Standard D"),919,IF(OR(Atletas!U564="Taijijian Chen D", Atletas!U564="Taijijian Chen Standard D"),920,IF(Atletas!U564="Taijijian Sun D",921,IF(Atletas!U564="Taijijian Wu D",922,IF(Atletas!U564="Taijijian Wu-Hao D",923,IF(OR(Atletas!U564="Taijijian 32 D",Atletas!U564="Taijijian 42 D"),924,IF(OR(Atletas!U564="Taijijian Yang E",Atletas!U564="Taijijian Yang Standard E"),925,IF(OR(Atletas!U564="Taijijian Chen E", Atletas!U564="Taijijian Chen Standard E"),926,IF(Atletas!U564="Taijijian Sun E",927,IF(Atletas!U564="Taijijian Wu E",928,IF(Atletas!U564="Taijijian Wu-Hao E",929,IF(OR(Atletas!U564="Taijijian 32 E",Atletas!U564="Taijijian 42 E"),930,IF(OR(Atletas!U564="Taijijian Yang F",Atletas!U564="Taijijian Yang Standard F"),931,IF(OR(Atletas!U564="Taijijian Chen F", Atletas!U564="Taijijian Chen Standard F"),932,IF(Atletas!U564="Taijijian Sun F",933,IF(Atletas!U564="Taijijian Wu F",934,IF(Atletas!U564="Taijijian Wu-Hao F",935,IF(OR(Atletas!U564="Taijijian 32 F",Atletas!U564="Taijijian 42 F"),936,"")))))))))))))))))))))))))))))))))))))</f>
        <v/>
      </c>
      <c r="CD573" s="50" t="str">
        <f>IF(Atletas!V564="","",IF(Atletas!X564&lt;&gt;"",10000,0)+IF(Atletas!B564="Feminino",1000,IF(Atletas!B564="Masculino",2000,""))+IF(Atletas!V564="Taijidao A",937,IF(Atletas!V564="TaijiShanzi A",938,IF(Atletas!V564="Taijiqiang A",939,IF(Atletas!V564="Bagua de Arma A",940,IF(Atletas!V564="Xingyi de Arma A",941,IF(Atletas!V564="Taijidao B",942,IF(Atletas!V564="TaijiShanzi B",943,IF(Atletas!V564="Taijiqiang B",944,IF(Atletas!V564="Bagua de Arma B",945,IF(Atletas!V564="Xingyi de Arma B",946,IF(Atletas!V564="Taijidao C",947,IF(Atletas!V564="TaijiShanzi C",948,IF(Atletas!V564="Taijiqiang C",949,IF(Atletas!V564="Bagua de Arma C",950,IF(Atletas!V564="Xingyi de Arma C",951,IF(Atletas!V564="Taijidao D",952,IF(Atletas!V564="TaijiShanzi D",953,IF(Atletas!V564="Taijiqiang D",954,IF(Atletas!V564="Bagua de Arma D",955,IF(Atletas!V564="Xingyi de Arma D",956,IF(Atletas!V564="Taijidao E",957,IF(Atletas!V564="TaijiShanzi E",958,IF(Atletas!V564="Taijiqiang E",959,IF(Atletas!V564="Bagua de Arma E",960,IF(Atletas!V564="Xingyi de Arma E",961,IF(Atletas!V564="Taijidao F",962,IF(Atletas!V564="TaijiShanzi F",963,IF(Atletas!V564="Taijiqiang F",964,IF(Atletas!V564="Bagua de Arma F",965,IF(Atletas!V564="Xingyi de Arma F",966,"")))))))))))))))))))))))))))))))</f>
        <v/>
      </c>
      <c r="CM573" s="50" t="str">
        <f xml:space="preserve"> IF(Atletas!W564="","",IF(Atletas!W564="Duilian de Mãos BC - Equipe 1",1,IF(Atletas!W564="Duilian de Mãos BC - Equipe 2",2,IF(Atletas!W564="Duilian de Armas BC - Equipe 1",3,IF(Atletas!W564="Duilian de Armas BC - Equipe 2",4,IF(Atletas!W564="Duilian de Mãos DE - Equipe 1",5,IF(Atletas!W564="Duilian de Mãos DE - Equipe 2",6,IF(Atletas!W564="Duilian de Armas DE - Equipe 1",7,IF(Atletas!W564="Duilian de Armas DE - Equipe 2",8,IF(Atletas!W564="Duilian de Tuishou - Equipe 1",9,IF(Atletas!W564="Duilian de Tuishou - Equipe 2",10,IF(Atletas!W564="Grupo Externo ABC - Equipe 1",11,IF(Atletas!W564="Grupo Externo ABC - Equipe 2",12,IF(Atletas!W564="Grupo Interno ABC - Equipe 1",13,IF(Atletas!W564="Grupo Interno ABC - Equipe 2",14,IF(Atletas!W564="Grupo Externo DEF - Equipe 1",15,IF(Atletas!W564="Grupo Externo DEF - Equipe 2",16,IF(Atletas!W564="Grupo Interno DEF - Equipe 1",17,IF(Atletas!W564="Grupo Interno DEF - Equipe 2",18,"")))))))))))))))))))</f>
        <v/>
      </c>
    </row>
    <row r="574" spans="40:91">
      <c r="AN574" s="52" t="str">
        <f>IF(Atletas!D565="","",IF(Atletas!B565="Feminino",100,IF(Atletas!B565="Masculino",200,""))+(IF(Atletas!D565="Kids 30kg",1,IF(Atletas!D565="Kids 32kg",2, IF(Atletas!D565="Kids 34kg",3,IF(Atletas!D565="Kids 36kg",4,IF(Atletas!D565="Kids 39kg",5,IF(Atletas!D565="Kids 42kg",6,IF(Atletas!D565="Kids 45kg",7, IF(Atletas!D565="Infantil 39kg",8,IF(Atletas!D565="Infantil 42kg",9,IF(Atletas!D565="Infantil 45kg",10,IF(Atletas!D565="Infantil 48kg",11,IF(Atletas!D565="Infantil 52kg",12,IF(Atletas!D565="Infantil 56kg",13,IF(Atletas!D565="Infantil 60kg",14,IF(Atletas!D565="Juvenil 48kg",15,IF(Atletas!D565="Juvenil 52kg",16,IF(Atletas!D565="Juvenil 56kg",17,IF(Atletas!D565="Juvenil 60kg",18,IF(Atletas!D565="Juvenil 65kg",19,IF(Atletas!D565="Juvenil 70kg",20,IF(Atletas!D565="Juvenil 75kg",21,IF(Atletas!D565="Juvenil 80kg",22, IF(Atletas!D565="Juvenil 85kg",23,IF(Atletas!D565="Adulto 48kg",24,IF(Atletas!D565="Adulto 52kg",25,IF(Atletas!D565="Adulto 56kg",26,IF(Atletas!D565="Adulto 60kg",27,IF(Atletas!D565="Adulto 65kg",28,IF(Atletas!D565="Adulto 70kg",29,IF(Atletas!D565="Adulto 75kg",30,IF(Atletas!D565="Adulto 80kg",31,IF(Atletas!D565="Adulto 85kg",32,IF(Atletas!D565="Adulto 90kg",33,IF(Atletas!D565="Adulto 100kg",34, IF(Atletas!D565="Adulto +100kg",35,"")))))))))))))))))))))))))))))))))))))</f>
        <v/>
      </c>
      <c r="AS574" s="6" t="str">
        <f>IF(Atletas!E565="","",IF(Atletas!B565="Feminino",100,IF(Atletas!B565="Masculino",200,""))+(IF(Atletas!E565="Juvenil 44kg",1,IF(Atletas!E565="Juvenil 48kg",2,IF(Atletas!E565="Juvenil 52kg",3,IF(Atletas!E565="Juvenil 56kg",4,IF(Atletas!E565="Juvenil 60kg",5,IF(Atletas!E565="Juvenil 65kg",6,IF(Atletas!E565="Juvenil 70kg",7,IF(Atletas!E565="Juvenil 75kg",8,IF(Atletas!E565="Juvenil 82kg",9,IF(Atletas!E565="Juvenil 90kg",10,IF(Atletas!E565="Juvenil 100kg",11,IF(Atletas!E565="Adulto 48kg",12,IF(Atletas!E565="Adulto 52kg",13,IF(Atletas!E565="Adulto 56kg",14,IF(Atletas!E565="Adulto 60kg",15,IF(Atletas!E565="Adulto 65kg",16,IF(Atletas!E565="Adulto 70kg",17,IF(Atletas!E565="Adulto 75kg",18,IF(Atletas!E565="Adulto 82kg",19,IF(Atletas!E565="Adulto 90kg",20,IF(Atletas!E565="Adulto 100kg",21,IF(Atletas!E565="Adulto +100kg",22,""))))))))))))))))))))))))</f>
        <v/>
      </c>
      <c r="AX574" s="6" t="str">
        <f>IF(Atletas!F565="","",IF(Atletas!B565="Feminino",100,IF(Atletas!B565="Masculino",200,""))+(IF(Atletas!F565="Adulto 48kg",1,IF(Atletas!F565="Adulto 56kg",2,IF(Atletas!F565="Adulto 65kg",3,IF(Atletas!F565="Adulto 75kg",4,IF(Atletas!F565="Adulto +75kg",5,IF(Atletas!F565="Adulto 52kg",6,IF(Atletas!F565="Adulto 60kg",7,IF(Atletas!F565="Adulto 70kg",8,IF(Atletas!F565="Adulto 80kg",9,IF(Atletas!F565="Adulto 90kg",10,IF(Atletas!F565="Adulto +90kg",11,"")))))))))))))</f>
        <v/>
      </c>
      <c r="BC574" s="6" t="str">
        <f>IF(Atletas!G565="","",IF(Atletas!B565="Feminino",10,IF(Atletas!B565="Masculino",20,""))+(IF(Atletas!G565="Baduanjin A",1,IF(Atletas!G565="Baduanjin B",2))))</f>
        <v/>
      </c>
      <c r="BF574" s="52" t="str">
        <f>IF(Atletas!H565="","",IF(Atletas!B565="Feminino",100,IF(Atletas!B565="Masculino",200,""))+(IF(Atletas!H565="Changquan Mirim",1,IF(Atletas!H565="Nanquan Mirim",2,IF(Atletas!H565="Taijiquan Mirim",3,IF(Atletas!H565="Changquan Grupo C",4,IF(Atletas!H565="Nanquan Grupo C",5,IF(Atletas!H565="Taijiquan Grupo C",6,IF(Atletas!H565="Changquan Grupo B",7,IF(Atletas!H565="Nanquan Grupo B",8,IF(Atletas!H565="Taijiquan Grupo B",9,IF(Atletas!H565="Changquan Grupo A",10,IF(Atletas!H565="Nanquan Grupo A",11,IF(Atletas!H565="Taijiquan Grupo A",12,IF(Atletas!H565="Changquan Opcional",13,IF(Atletas!H565="Nanquan Opcional",14,IF(Atletas!H565="Taijiquan Opcional",15,IF(Atletas!H565="Changquan Adulto",16,IF(Atletas!H565="Nanquan Adulto",17,IF(Atletas!H565="Taijiquan Adulto",18,""))))))))))))))))))))</f>
        <v/>
      </c>
      <c r="BG574" s="52" t="str">
        <f>IF(Atletas!I565="","",IF(Atletas!B565="Feminino",100,IF(Atletas!B565="Masculino",200,""))+(IF(Atletas!I565="Daoshu Mirim",19,IF(Atletas!I565="Jianshu Mirim",20,IF(Atletas!I565="Nandao Mirim",21,IF(Atletas!I565="Taijijian Mirim",22,IF(Atletas!I565="Daoshu Grupo C",23,IF(Atletas!I565="Jianshu Grupo C",24,IF(Atletas!I565="Nandao Grupo C",25,IF(Atletas!I565="Taijijian Grupo C",26,IF(Atletas!I565="Daoshu Grupo B",27,IF(Atletas!I565="Jianshu Grupo B",28,IF(Atletas!I565="Nandao Grupo B",29,IF(Atletas!I565="Taijijian Grupo B",30,IF(Atletas!I565="Daoshu Grupo A",31,IF(Atletas!I565="Jianshu Grupo A",32,IF(Atletas!I565="Nandao Grupo A",33,IF(Atletas!I565="Taijijian Grupo A",34,IF(Atletas!I565="Daoshu Opcional",35,IF(Atletas!I565="Jianshu Opcional",36,IF(Atletas!I565="Nandao Opcional",37,IF(Atletas!I565="Taijijian Opcional",38,IF(Atletas!I565="Daoshu Adulto",39,IF(Atletas!I565="Jianshu Adulto",40,IF(Atletas!I565="Nandao Adulto",41,IF(Atletas!I565="Taijijian Adulto",42,""))))))))))))))))))))))))))</f>
        <v/>
      </c>
      <c r="BH574" s="52" t="str">
        <f>IF(Atletas!J565="","",IF(Atletas!B565="Feminino",100,IF(Atletas!B565="Masculino",200,""))+(IF(Atletas!J565="Gunshu Mirim",43,IF(Atletas!J565="Qiangshu Mirim",44,IF(Atletas!J565="Nangun Mirim",45,IF(Atletas!J565="Gunshu Grupo C",46,IF(Atletas!J565="Qiangshu Grupo C",47,IF(Atletas!J565="Nangun Grupo C",48,IF(Atletas!J565="Gunshu Grupo B",49,IF(Atletas!J565="Qiangshu Grupo B",50,IF(Atletas!J565="Nangun Grupo B",51,IF(Atletas!J565="Gunshu Grupo A",52,IF(Atletas!J565="Qiangshu Grupo A",53,IF(Atletas!J565="Nangun Grupo A",54,IF(Atletas!J565="Gunshu Opcional",55,IF(Atletas!J565="Qiangshu Opcional",56,IF(Atletas!J565="Nangun Opcional",57,IF(Atletas!J565="Gunshu Adulto",58,IF(Atletas!J565="Qiangshu Adulto",59,IF(Atletas!J565="Nangun Adulto",60,IF(Atletas!J565="Taijishan Grupo B",61,IF(Atletas!J565="Taijishan Grupo A",62,""))))))))))))))))))))))</f>
        <v/>
      </c>
      <c r="BM574" s="50" t="str">
        <f>IF(Atletas!K565="","",IF(Atletas!B565="Feminino",100,IF(Atletas!B565="Masculino",200,""))+(IF(Atletas!K565="Equipe 1 Grupo B",1,IF(Atletas!K565="Equipe 2 Grupo B",2,IF(Atletas!K565="Equipe 1 Grupo A",3,IF(Atletas!K565="Equipe 2 Grupo A",4,IF(Atletas!K565="Equipe 1 Adulto",5,IF(Atletas!K565="Equipe 2 Adulto",6,""))))))))</f>
        <v/>
      </c>
      <c r="BR574" s="50" t="str">
        <f>IF(Atletas!L565="","",IF(Atletas!X565&lt;&gt;"",10000,0)+(IF(Atletas!B565="Feminino",1000,IF(Atletas!B565="Masculino",2000,""))+IF(Atletas!L565="Choylayfut A",1,IF(Atletas!L565="Hunggar A",2,IF(Atletas!L565="Wuzuquan A",3,IF(Atletas!L565="Wingchun A",4,IF(Atletas!L565="Outra Mão de Sul A",5,IF(Atletas!L565="Choylayfut B",6,IF(Atletas!L565="Hunggar B",7,IF(Atletas!L565="Wuzuquan B",8,IF(Atletas!L565="Wingchun B",9,IF(Atletas!L565="Outra Mão de Sul B",10,IF(Atletas!L565="Choylayfut C",11,IF(Atletas!L565="Hunggar C",12,IF(Atletas!L565="Wuzuquan C",13,IF(Atletas!L565="Wingchun C",14,IF(Atletas!L565="Outra Mão de Sul C",15,IF(Atletas!L565="Choylayfut D",16,IF(Atletas!L565="Hunggar D",17,IF(Atletas!L565="Wuzuquan D",18,IF(Atletas!L565="Wingchun D",19,IF(Atletas!L565="Outra Mão de Sul D",20,IF(Atletas!L565="Choylayfut E",21,IF(Atletas!L565="Hunggar E",22,IF(Atletas!L565="Wuzuquan E",23,IF(Atletas!L565="Wingchun E",24,IF(Atletas!L565="Outra Mão de Sul E",25,IF(Atletas!L565="Choylayfut F",26,IF(Atletas!L565="Hunggar F",27,IF(Atletas!L565="Wuzuquan F",28,IF(Atletas!L565="Wingchun F",29,IF(Atletas!L565="Outra Mão de Sul F",30,IF(Atletas!L565="Dishuquan A",31,IF(Atletas!L565="Dishuquan B",32,IF(Atletas!L565="Dishuquan C",33,IF(Atletas!L565="Dishuquan D",34,IF(Atletas!L565="Dishuquan E",35,IF(Atletas!L565="Dishuquan F",36,""))))))))))))))))))))))))))))))))))))))</f>
        <v/>
      </c>
      <c r="BS574" s="50" t="str">
        <f>IF(Atletas!M565="","",IF(Atletas!X565&lt;&gt;"",10000,0)+(IF(Atletas!B565="Feminino",1000,IF(Atletas!B565="Masculino",2000,""))+(IF(Atletas!M565="Chaquan A",101,IF(Atletas!M565="Emeiquan A",102,IF(Atletas!M565="Fanziquan A",103,IF(Atletas!M565="Huaquan A",104,IF(Atletas!M565="Hongquan A",105,IF(Atletas!M565="Paoquan A",106,IF(Atletas!M565="Piguaquan A",107,IF(Atletas!M565="Shaolinquan A",108,IF(Atletas!M565="Tanglangquan A",109,IF(Atletas!M565="Yingzhaoquan A",110,IF(Atletas!M565="Tongbeiquan A",111,IF(Atletas!M565="Wudangquan A",112,IF(Atletas!M565="Outros Estilos A",113,IF(Atletas!M565="Chaquan B",114,IF(Atletas!M565="Emeiquan B",115,IF(Atletas!M565="Fanziquan B",116,IF(Atletas!M565="Huaquan B",117,IF(Atletas!M565="Hongquan B",118,IF(Atletas!M565="Paoquan B",119,IF(Atletas!M565="Piguaquan B",120,IF(Atletas!M565="Shaolinquan B",121,IF(Atletas!M565="Tanglangquan B",122,IF(Atletas!M565="Yingzhaoquan B",123,IF(Atletas!M565="Tongbeiquan B",124,IF(Atletas!M565="Wudangquan B",125,IF(Atletas!M565="Outros Estilos B",126,IF(Atletas!M565="Chaquan C",127,IF(Atletas!M565="Emeiquan C",128,IF(Atletas!M565="Fanziquan C",129,IF(Atletas!M565="Huaquan C",130,IF(Atletas!M565="Hongquan C",131,IF(Atletas!M565="Paoquan C",132,IF(Atletas!M565="Piguaquan C",133,IF(Atletas!M565="Shaolinquan C",134,IF(Atletas!M565="Tanglangquan C",135,IF(Atletas!M565="Yingzhaoquan C",136,IF(Atletas!M565="Tongbeiquan C",137,IF(Atletas!M565="Wudangquan C",138,IF(Atletas!M565="Outros Estilos C",139,0))))))))))))))))))))))))))))))))))))))))))</f>
        <v/>
      </c>
      <c r="BT574" s="50" t="str">
        <f>IF(Atletas!M565="","",IF(Atletas!X565&lt;&gt;"",10000,0)+(IF(Atletas!B565="Feminino",1000,IF(Atletas!B565="Masculino",2000,""))+(IF(Atletas!M565="Chaquan D",140,IF(Atletas!M565="Emeiquan D",141,IF(Atletas!M565="Fanziquan D",142,IF(Atletas!M565="Huaquan D",143,IF(Atletas!M565="Hongquan D",144,IF(Atletas!M565="Paoquan D",145,IF(Atletas!M565="Piguaquan D",146,IF(Atletas!M565="Shaolinquan D",147,IF(Atletas!M565="Tanglangquan D",148,IF(Atletas!M565="Yingzhaoquan D",149,IF(Atletas!M565="Tongbeiquan D",150,IF(Atletas!M565="Wudangquan D",151,IF(Atletas!M565="Outros Estilos D",152,IF(Atletas!M565="Chaquan E",153,IF(Atletas!M565="Emeiquan E",154,IF(Atletas!M565="Fanziquan E",155,IF(Atletas!M565="Huaquan E",156,IF(Atletas!M565="Hongquan E",157,IF(Atletas!M565="Paoquan E",158,IF(Atletas!M565="Piguaquan E",159,IF(Atletas!M565="Shaolinquan E",160,IF(Atletas!M565="Tanglangquan E",161,IF(Atletas!M565="Yingzhaoquan E",162,IF(Atletas!M565="Tongbeiquan E",163,IF(Atletas!M565="Wudangquan E",164,IF(Atletas!M565="Outros Estilos E",165,IF(Atletas!M565="Chaquan F",166,IF(Atletas!M565="Emeiquan F",167,IF(Atletas!M565="Fanziquan F",168,IF(Atletas!M565="Huaquan F",169,IF(Atletas!M565="Hongquan F",170,IF(Atletas!M565="Paoquan F",171,IF(Atletas!M565="Piguaquan F",172,IF(Atletas!M565="Shaolinquan F",173,IF(Atletas!M565="Tanglangquan F",174,IF(Atletas!M565="Yingzhaoquan F",175,IF(Atletas!M565="Tongbeiquan F",176,IF(Atletas!M565="Wudangquan F",177,IF(Atletas!M565="Outros Estilos F",178,0))))))))))))))))))))))))))))))))))))))))))</f>
        <v/>
      </c>
      <c r="BU574" s="50" t="str">
        <f>IF(Atletas!N565="","",IF(Atletas!X565&lt;&gt;"",10000,0)+(IF(Atletas!B565="Feminino",1000,IF(Atletas!B565="Masculino",2000,""))+(IF(Atletas!N565="Ditangquan A",201,IF(Atletas!N565="Houquan A",202,IF(Atletas!N565="Zuiquan A",203,IF(Atletas!N565="Ditangquan B",204,IF(Atletas!N565="Houquan B",205,IF(Atletas!N565="Zuiquan B",206,IF(Atletas!N565="Ditangquan C",207,IF(Atletas!N565="Houquan C",208,IF(Atletas!N565="Zuiquan C",209,IF(Atletas!N565="Ditangquan D",210,IF(Atletas!N565="Houquan D",211,IF(Atletas!N565="Zuiquan D",212,IF(Atletas!N565="Ditangquan E",213,IF(Atletas!N565="Houquan E",214,IF(Atletas!N565="Zuiquan E",215,IF(Atletas!N565="Ditangquan F",216,IF(Atletas!N565="Houquan F",217,IF(Atletas!N565="Zuiquan F",218,"")))))))))))))))))))))</f>
        <v/>
      </c>
      <c r="BV574" s="50" t="str">
        <f>IF(Atletas!O565="","",IF(Atletas!X565&lt;&gt;"",10000,0)+IF(Atletas!B565="Feminino",1000,IF(Atletas!B565="Masculino",2000,""))+IF(Atletas!O565="Yang A",301,IF(Atletas!O565="Chen A",302,IF(Atletas!O565="Sun A",303,IF(Atletas!O565="Wu A",304,IF(Atletas!O565="Wu-Hao A",305,IF(Atletas!O565="Outro Taijiquan A",306,IF(Atletas!O565="Yang B",307,IF(Atletas!O565="Chen B",308,IF(Atletas!O565="Sun B",309,IF(Atletas!O565="Wu B",310,IF(Atletas!O565="Wu-Hao B",311,IF(Atletas!O565="Outro Taijiquan B",312,IF(Atletas!O565="Yang C",313,IF(Atletas!O565="Chen C",314,IF(Atletas!O565="Sun C",315,IF(Atletas!O565="Wu C",316,IF(Atletas!O565="Wu-Hao C",317,IF(Atletas!O565="Outro Taijiquan C",318,IF(Atletas!O565="Yang D",319,IF(Atletas!O565="Chen D",320,IF(Atletas!O565="Sun D",321,IF(Atletas!O565="Wu D",322,IF(Atletas!O565="Wu-Hao D",323,IF(Atletas!O565="Outro Taijiquan D",324,IF(Atletas!O565="Yang E",325,IF(Atletas!O565="Chen E",326,IF(Atletas!O565="Sun E",327,IF(Atletas!O565="Wu E",328,IF(Atletas!O565="Wu-Hao E",329,IF(Atletas!O565="Outro Taijiquan E",330,IF(Atletas!O565="Yang F",331,IF(Atletas!O565="Chen F",332,IF(Atletas!O565="Sun F",333,IF(Atletas!O565="Wu F",334,IF(Atletas!O565="Wu-Hao F",335,IF(Atletas!O565="Outro Taijiquan F",336,"")))))))))))))))))))))))))))))))))))))</f>
        <v/>
      </c>
      <c r="BW574" s="50" t="str">
        <f>IF(Atletas!P565="","",IF(Atletas!X565&lt;&gt;"",10000,0)+IF(Atletas!B565="Feminino",1000,IF(Atletas!B565="Masculino",2000,""))+IF(OR(Atletas!P565="Yang 26 A",Atletas!P565="Yang 40 A"),401,IF(OR(Atletas!P565="Chen 25 A",Atletas!P565="Chen 36 A",Atletas!P565="Chen 56 A"),402,IF(Atletas!P565="Sun 73 A",403,IF(Atletas!P565="Wu 45 A",404,IF(Atletas!P565="Wu-Hao 46 A",405,IF(OR(Atletas!P565="Taijiquan 16 A",Atletas!P565="Taijiquan 24 A",Atletas!P565="Taijiquan 32 A",Atletas!P565="Taijiquan 42 A"),406,IF(OR(Atletas!P565="Yang 26 B",Atletas!P565="Yang 40 B"),407,IF(OR(Atletas!P565="Chen 25 B",Atletas!P565="Chen 36 B",Atletas!P565="Chen 56 B"),408,IF(Atletas!P565="Sun 73 B",409,IF(Atletas!P565="Wu 45 B",410,IF(Atletas!P565="Wu-Hao 46 B",411,IF(OR(Atletas!P565="Taijiquan 16 B",Atletas!P565="Taijiquan 24 B",Atletas!P565="Taijiquan 32 B",Atletas!P565="Taijiquan 42 B"),412,IF(OR(Atletas!P565="Yang 26 C",Atletas!P565="Yang 40 C"),413,IF(OR(Atletas!P565="Chen 25 C",Atletas!P565="Chen 36 C",Atletas!P565="Chen 56 C"),414,IF(Atletas!P565="Sun 73 C",415,IF(Atletas!P565="Wu 45 C",416,IF(Atletas!P565="Wu-Hao 46 C",417,IF(OR(Atletas!P565="Taijiquan 16 C",Atletas!P565="Taijiquan 24 C",Atletas!P565="Taijiquan 32 C",Atletas!P565="Taijiquan 42 C"),418,0)))))))))))))))))))</f>
        <v/>
      </c>
      <c r="BX574" s="50" t="str">
        <f>IF(Atletas!P565="","",IF(Atletas!X565&lt;&gt;"",10000,0)+IF(Atletas!B565="Feminino",1000,IF(Atletas!B565="Masculino",2000,""))+IF(OR(Atletas!P565="Yang 26 D",Atletas!P565="Yang 40 D"),419,IF(OR(Atletas!P565="Chen 25 D",Atletas!P565="Chen 36 D",Atletas!P565="Chen 56 D"),420,IF(Atletas!P565="Sun 73 D",421,IF(Atletas!P565="Wu 45 D",422,IF(Atletas!P565="Wu-Hao 46 D",423,IF(OR(Atletas!P565="Taijiquan 16 D",Atletas!P565="Taijiquan 24 D",Atletas!P565="Taijiquan 32 D",Atletas!P565="Taijiquan 42 D"),424,IF(OR(Atletas!P565="Yang 26 E",Atletas!P565="Yang 40 E"),425,IF(OR(Atletas!P565="Chen 25 E",Atletas!P565="Chen 36 E",Atletas!P565="Chen 56 E"),426,IF(Atletas!P565="Sun 73 E",427,IF(Atletas!P565="Wu 45 E",428,IF(Atletas!P565="Wu-Hao 46 E",429,IF(OR(Atletas!P565="Taijiquan 16 E",Atletas!P565="Taijiquan 24 E",Atletas!P565="Taijiquan 32 E",Atletas!P565="Taijiquan 42 E"),430,IF(OR(Atletas!P565="Yang 26 F",Atletas!P565="Yang 40 F"),431,IF(OR(Atletas!P565="Chen 25 F",Atletas!P565="Chen 36 F",Atletas!P565="Chen 56 F"),432,IF(Atletas!P565="Sun 73 F",433,IF(Atletas!P565="Wu 45 F",434,IF(Atletas!P565="Wu-Hao 46 F",435,IF(OR(Atletas!P565="Taijiquan 16 F",Atletas!P565="Taijiquan 24 F",Atletas!P565="Taijiquan 32 F",Atletas!P565="Taijiquan 42 F"),436,0)))))))))))))))))))</f>
        <v/>
      </c>
      <c r="BY574" s="50" t="str">
        <f>IF(Atletas!Q565="","",IF(Atletas!X565&lt;&gt;"",10000,0)+IF(Atletas!B565="Feminino",1000,IF(Atletas!B565="Masculino",2000,""))+IF(Atletas!Q565="Xingyiquan A",501,IF(Atletas!Q565="Baguazhang A",502,IF(Atletas!Q565="Outro Estilo Interno A",503,IF(Atletas!Q565="Xingyiquan B",504,IF(Atletas!Q565="Baguazhang B",505,IF(Atletas!Q565="Outro Estilo Interno B",506,IF(Atletas!Q565="Xingyiquan C",507,IF(Atletas!Q565="Baguazhang C",508,IF(Atletas!Q565="Outro Estilo Interno C",509,IF(Atletas!Q565="Xingyiquan D",510,IF(Atletas!Q565="Baguazhang D",511,IF(Atletas!Q565="Outro Estilo Interno D",512,IF(Atletas!Q565="Xingyiquan E",513,IF(Atletas!Q565="Baguazhang E",514,IF(Atletas!Q565="Outro Estilo Interno E",515,IF(Atletas!Q565="Xingyiquan F",516,IF(Atletas!Q565="Baguazhang F",517,IF(Atletas!Q565="Outro Estilo Interno F",518, "")))))))))))))))))))</f>
        <v/>
      </c>
      <c r="BZ574" s="50" t="str">
        <f>IF(Atletas!R565="","",IF(Atletas!X565&lt;&gt;"",10000,0)+IF(Atletas!B565="Feminino",1000,IF(Atletas!B565="Masculino",2000,""))+IF(Atletas!R565="Dao A",601,IF(Atletas!R565="Jian A",602,IF(Atletas!R565="Bishou A",603,IF(Atletas!R565="Shanzi A",604,IF(Atletas!R565="Outra Arma Curta A",605,IF(Atletas!R565="Dao B",606,IF(Atletas!R565="Jian B",607,IF(Atletas!R565="Bishou B",608,IF(Atletas!R565="Shanzi B",609,IF(Atletas!R565="Outra Arma Curta B",610,IF(Atletas!R565="Dao C",611,IF(Atletas!R565="Jian C",612,IF(Atletas!R565="Bishou C",613,IF(Atletas!R565="Shanzi C",614,IF(Atletas!R565="Outra Arma Curta C",615,IF(Atletas!R565="Dao D",616,IF(Atletas!R565="Jian D",617,IF(Atletas!R565="Bishou D",618,IF(Atletas!R565="Shanzi D",619,IF(Atletas!R565="Outra Arma Curta D",620,IF(Atletas!R565="Dao E",621,IF(Atletas!R565="Jian E",622,IF(Atletas!R565="Bishou E",623,IF(Atletas!R565="Shanzi E",624,IF(Atletas!R565="Outra Arma Curta E",625,IF(Atletas!R565="Dao F",626,IF(Atletas!R565="Jian F",627,IF(Atletas!R565="Bishou F",628,IF(Atletas!R565="Shanzi F",629,IF(Atletas!R565="Outra Arma Curta F",630, "")))))))))))))))))))))))))))))))</f>
        <v/>
      </c>
      <c r="CA574" s="50" t="str">
        <f>IF(Atletas!S565="","",IF(Atletas!X565&lt;&gt;"",10000,0)+IF(Atletas!B565="Feminino",1000,IF(Atletas!B565="Masculino",2000,""))+IF(Atletas!S565="Gun A",701,IF(Atletas!S565="Qiang A",702,IF(Atletas!S565="Pudao / Guandao A",703,IF(Atletas!S565="Outra Arma Longa A",704,IF(Atletas!S565="Gun B",705,IF(Atletas!S565="Qiang B",706,IF(Atletas!S565="Pudao / Guandao B",707,IF(Atletas!S565="Outra Arma Longa B",708,IF(Atletas!S565="Gun C",709,IF(Atletas!S565="Qiang C",710,IF(Atletas!S565="Pudao / Guandao C",711,IF(Atletas!S565="Outra Arma Longa C",712,IF(Atletas!S565="Gun D",713,IF(Atletas!S565="Qiang D",714,IF(Atletas!S565="Pudao / Guandao D",715,IF(Atletas!S565="Outra Arma Longa D",716,IF(Atletas!S565="Gun E",717,IF(Atletas!S565="Qiang E",718,IF(Atletas!S565="Pudao / Guandao E",719,IF(Atletas!S565="Outra Arma Longa E",720,IF(Atletas!S565="Gun F",721,IF(Atletas!S565="Qiang F",722,IF(Atletas!S565="Pudao / Guandao F",723,IF(Atletas!S565="Outra Arma Longa F",724,"")))))))))))))))))))))))))</f>
        <v/>
      </c>
      <c r="CB574" s="50" t="str">
        <f>IF(Atletas!T565="","",IF(Atletas!X565&lt;&gt;"",10000,0)+IF(Atletas!B565="Feminino",1000,IF(Atletas!B565="Masculino",2000,""))+IF(Atletas!T565="Outra Arma Dupla A",801,IF(Atletas!T565="Arma Maleável A",802,IF(Atletas!T565="Outra Arma Dupla B",803,IF(Atletas!T565="Arma Maleável B",804,IF(Atletas!T565="Outra Arma Dupla C",805,IF(Atletas!T565="Arma Maleável C",806,IF(Atletas!T565="Outra Arma Dupla D",807,IF(Atletas!T565="Arma Maleável D",808,IF(Atletas!T565="Outra Arma Dupla E",809,IF(Atletas!T565="Arma Maleável E",810,IF(Atletas!T565="Outra Arma Dupla F",811,IF(Atletas!T565="Arma Maleável F",812,IF(Atletas!T565="Shuangdao A",813,IF(Atletas!T565="Shuangdao B",814,IF(Atletas!T565="Shuangdao C",815,IF(Atletas!T565="Shuangdao D",816,IF(Atletas!T565="Shuangdao E",817,IF(Atletas!T565="Shuangdao F",818,"")))))))))))))))))))</f>
        <v/>
      </c>
      <c r="CC574" s="50" t="str">
        <f>IF(Atletas!U565="","",IF(Atletas!X565&lt;&gt;"",10000,0)+IF(Atletas!B565="Feminino",1000,IF(Atletas!B565="Masculino",2000,""))+IF(OR(Atletas!U565="Taijijian Yang A",Atletas!U565="Taijijian Yang Standard A"),901,IF(OR(Atletas!U565="Taijijian Chen A", Atletas!U565="Taijijian Chen Standard A"),902,IF(Atletas!U565="Taijijian Sun A",903,IF(Atletas!U565="Taijijian Wu A",904,IF(Atletas!U565="Taijijian Wu-Hao A",905,IF(OR(Atletas!U565="Taijijian 32 A",Atletas!U565="Taijijian 42 A"),906,IF(OR(Atletas!U565="Taijijian Yang B",Atletas!U565="Taijijian Yang Standard B"),907,IF(OR(Atletas!U565="Taijijian Chen B", Atletas!U565="Taijijian Chen Standard B"),908,IF(Atletas!U565="Taijijian Sun B",909,IF(Atletas!U565="Taijijian Wu B",910,IF(Atletas!U565="Taijijian Wu-Hao B",911,IF(OR(Atletas!U565="Taijijian 32 B",Atletas!U565="Taijijian 42 B"),912,IF(OR(Atletas!U565="Taijijian Yang C",Atletas!U565="Taijijian Yang Standard C"),913,IF(OR(Atletas!U565="Taijijian Chen C", Atletas!U565="Taijijian Chen Standard C"),914,IF(Atletas!U565="Taijijian Sun C",915,IF(Atletas!U565="Taijijian Wu C",916,IF(Atletas!U565="Taijijian Wu-Hao C",917,IF(OR(Atletas!U565="Taijijian 32 C",Atletas!U565="Taijijian 42 C"),918,IF(OR(Atletas!U565="Taijijian Yang D",Atletas!U565="Taijijian Yang Standard D"),919,IF(OR(Atletas!U565="Taijijian Chen D", Atletas!U565="Taijijian Chen Standard D"),920,IF(Atletas!U565="Taijijian Sun D",921,IF(Atletas!U565="Taijijian Wu D",922,IF(Atletas!U565="Taijijian Wu-Hao D",923,IF(OR(Atletas!U565="Taijijian 32 D",Atletas!U565="Taijijian 42 D"),924,IF(OR(Atletas!U565="Taijijian Yang E",Atletas!U565="Taijijian Yang Standard E"),925,IF(OR(Atletas!U565="Taijijian Chen E", Atletas!U565="Taijijian Chen Standard E"),926,IF(Atletas!U565="Taijijian Sun E",927,IF(Atletas!U565="Taijijian Wu E",928,IF(Atletas!U565="Taijijian Wu-Hao E",929,IF(OR(Atletas!U565="Taijijian 32 E",Atletas!U565="Taijijian 42 E"),930,IF(OR(Atletas!U565="Taijijian Yang F",Atletas!U565="Taijijian Yang Standard F"),931,IF(OR(Atletas!U565="Taijijian Chen F", Atletas!U565="Taijijian Chen Standard F"),932,IF(Atletas!U565="Taijijian Sun F",933,IF(Atletas!U565="Taijijian Wu F",934,IF(Atletas!U565="Taijijian Wu-Hao F",935,IF(OR(Atletas!U565="Taijijian 32 F",Atletas!U565="Taijijian 42 F"),936,"")))))))))))))))))))))))))))))))))))))</f>
        <v/>
      </c>
      <c r="CD574" s="50" t="str">
        <f>IF(Atletas!V565="","",IF(Atletas!X565&lt;&gt;"",10000,0)+IF(Atletas!B565="Feminino",1000,IF(Atletas!B565="Masculino",2000,""))+IF(Atletas!V565="Taijidao A",937,IF(Atletas!V565="TaijiShanzi A",938,IF(Atletas!V565="Taijiqiang A",939,IF(Atletas!V565="Bagua de Arma A",940,IF(Atletas!V565="Xingyi de Arma A",941,IF(Atletas!V565="Taijidao B",942,IF(Atletas!V565="TaijiShanzi B",943,IF(Atletas!V565="Taijiqiang B",944,IF(Atletas!V565="Bagua de Arma B",945,IF(Atletas!V565="Xingyi de Arma B",946,IF(Atletas!V565="Taijidao C",947,IF(Atletas!V565="TaijiShanzi C",948,IF(Atletas!V565="Taijiqiang C",949,IF(Atletas!V565="Bagua de Arma C",950,IF(Atletas!V565="Xingyi de Arma C",951,IF(Atletas!V565="Taijidao D",952,IF(Atletas!V565="TaijiShanzi D",953,IF(Atletas!V565="Taijiqiang D",954,IF(Atletas!V565="Bagua de Arma D",955,IF(Atletas!V565="Xingyi de Arma D",956,IF(Atletas!V565="Taijidao E",957,IF(Atletas!V565="TaijiShanzi E",958,IF(Atletas!V565="Taijiqiang E",959,IF(Atletas!V565="Bagua de Arma E",960,IF(Atletas!V565="Xingyi de Arma E",961,IF(Atletas!V565="Taijidao F",962,IF(Atletas!V565="TaijiShanzi F",963,IF(Atletas!V565="Taijiqiang F",964,IF(Atletas!V565="Bagua de Arma F",965,IF(Atletas!V565="Xingyi de Arma F",966,"")))))))))))))))))))))))))))))))</f>
        <v/>
      </c>
      <c r="CM574" s="50" t="str">
        <f xml:space="preserve"> IF(Atletas!W565="","",IF(Atletas!W565="Duilian de Mãos BC - Equipe 1",1,IF(Atletas!W565="Duilian de Mãos BC - Equipe 2",2,IF(Atletas!W565="Duilian de Armas BC - Equipe 1",3,IF(Atletas!W565="Duilian de Armas BC - Equipe 2",4,IF(Atletas!W565="Duilian de Mãos DE - Equipe 1",5,IF(Atletas!W565="Duilian de Mãos DE - Equipe 2",6,IF(Atletas!W565="Duilian de Armas DE - Equipe 1",7,IF(Atletas!W565="Duilian de Armas DE - Equipe 2",8,IF(Atletas!W565="Duilian de Tuishou - Equipe 1",9,IF(Atletas!W565="Duilian de Tuishou - Equipe 2",10,IF(Atletas!W565="Grupo Externo ABC - Equipe 1",11,IF(Atletas!W565="Grupo Externo ABC - Equipe 2",12,IF(Atletas!W565="Grupo Interno ABC - Equipe 1",13,IF(Atletas!W565="Grupo Interno ABC - Equipe 2",14,IF(Atletas!W565="Grupo Externo DEF - Equipe 1",15,IF(Atletas!W565="Grupo Externo DEF - Equipe 2",16,IF(Atletas!W565="Grupo Interno DEF - Equipe 1",17,IF(Atletas!W565="Grupo Interno DEF - Equipe 2",18,"")))))))))))))))))))</f>
        <v/>
      </c>
    </row>
    <row r="575" spans="40:91">
      <c r="AN575" s="52" t="str">
        <f>IF(Atletas!D566="","",IF(Atletas!B566="Feminino",100,IF(Atletas!B566="Masculino",200,""))+(IF(Atletas!D566="Kids 30kg",1,IF(Atletas!D566="Kids 32kg",2, IF(Atletas!D566="Kids 34kg",3,IF(Atletas!D566="Kids 36kg",4,IF(Atletas!D566="Kids 39kg",5,IF(Atletas!D566="Kids 42kg",6,IF(Atletas!D566="Kids 45kg",7, IF(Atletas!D566="Infantil 39kg",8,IF(Atletas!D566="Infantil 42kg",9,IF(Atletas!D566="Infantil 45kg",10,IF(Atletas!D566="Infantil 48kg",11,IF(Atletas!D566="Infantil 52kg",12,IF(Atletas!D566="Infantil 56kg",13,IF(Atletas!D566="Infantil 60kg",14,IF(Atletas!D566="Juvenil 48kg",15,IF(Atletas!D566="Juvenil 52kg",16,IF(Atletas!D566="Juvenil 56kg",17,IF(Atletas!D566="Juvenil 60kg",18,IF(Atletas!D566="Juvenil 65kg",19,IF(Atletas!D566="Juvenil 70kg",20,IF(Atletas!D566="Juvenil 75kg",21,IF(Atletas!D566="Juvenil 80kg",22, IF(Atletas!D566="Juvenil 85kg",23,IF(Atletas!D566="Adulto 48kg",24,IF(Atletas!D566="Adulto 52kg",25,IF(Atletas!D566="Adulto 56kg",26,IF(Atletas!D566="Adulto 60kg",27,IF(Atletas!D566="Adulto 65kg",28,IF(Atletas!D566="Adulto 70kg",29,IF(Atletas!D566="Adulto 75kg",30,IF(Atletas!D566="Adulto 80kg",31,IF(Atletas!D566="Adulto 85kg",32,IF(Atletas!D566="Adulto 90kg",33,IF(Atletas!D566="Adulto 100kg",34, IF(Atletas!D566="Adulto +100kg",35,"")))))))))))))))))))))))))))))))))))))</f>
        <v/>
      </c>
      <c r="AS575" s="6" t="str">
        <f>IF(Atletas!E566="","",IF(Atletas!B566="Feminino",100,IF(Atletas!B566="Masculino",200,""))+(IF(Atletas!E566="Juvenil 44kg",1,IF(Atletas!E566="Juvenil 48kg",2,IF(Atletas!E566="Juvenil 52kg",3,IF(Atletas!E566="Juvenil 56kg",4,IF(Atletas!E566="Juvenil 60kg",5,IF(Atletas!E566="Juvenil 65kg",6,IF(Atletas!E566="Juvenil 70kg",7,IF(Atletas!E566="Juvenil 75kg",8,IF(Atletas!E566="Juvenil 82kg",9,IF(Atletas!E566="Juvenil 90kg",10,IF(Atletas!E566="Juvenil 100kg",11,IF(Atletas!E566="Adulto 48kg",12,IF(Atletas!E566="Adulto 52kg",13,IF(Atletas!E566="Adulto 56kg",14,IF(Atletas!E566="Adulto 60kg",15,IF(Atletas!E566="Adulto 65kg",16,IF(Atletas!E566="Adulto 70kg",17,IF(Atletas!E566="Adulto 75kg",18,IF(Atletas!E566="Adulto 82kg",19,IF(Atletas!E566="Adulto 90kg",20,IF(Atletas!E566="Adulto 100kg",21,IF(Atletas!E566="Adulto +100kg",22,""))))))))))))))))))))))))</f>
        <v/>
      </c>
      <c r="AX575" s="6" t="str">
        <f>IF(Atletas!F566="","",IF(Atletas!B566="Feminino",100,IF(Atletas!B566="Masculino",200,""))+(IF(Atletas!F566="Adulto 48kg",1,IF(Atletas!F566="Adulto 56kg",2,IF(Atletas!F566="Adulto 65kg",3,IF(Atletas!F566="Adulto 75kg",4,IF(Atletas!F566="Adulto +75kg",5,IF(Atletas!F566="Adulto 52kg",6,IF(Atletas!F566="Adulto 60kg",7,IF(Atletas!F566="Adulto 70kg",8,IF(Atletas!F566="Adulto 80kg",9,IF(Atletas!F566="Adulto 90kg",10,IF(Atletas!F566="Adulto +90kg",11,"")))))))))))))</f>
        <v/>
      </c>
      <c r="BC575" s="6" t="str">
        <f>IF(Atletas!G566="","",IF(Atletas!B566="Feminino",10,IF(Atletas!B566="Masculino",20,""))+(IF(Atletas!G566="Baduanjin A",1,IF(Atletas!G566="Baduanjin B",2))))</f>
        <v/>
      </c>
      <c r="BF575" s="52" t="str">
        <f>IF(Atletas!H566="","",IF(Atletas!B566="Feminino",100,IF(Atletas!B566="Masculino",200,""))+(IF(Atletas!H566="Changquan Mirim",1,IF(Atletas!H566="Nanquan Mirim",2,IF(Atletas!H566="Taijiquan Mirim",3,IF(Atletas!H566="Changquan Grupo C",4,IF(Atletas!H566="Nanquan Grupo C",5,IF(Atletas!H566="Taijiquan Grupo C",6,IF(Atletas!H566="Changquan Grupo B",7,IF(Atletas!H566="Nanquan Grupo B",8,IF(Atletas!H566="Taijiquan Grupo B",9,IF(Atletas!H566="Changquan Grupo A",10,IF(Atletas!H566="Nanquan Grupo A",11,IF(Atletas!H566="Taijiquan Grupo A",12,IF(Atletas!H566="Changquan Opcional",13,IF(Atletas!H566="Nanquan Opcional",14,IF(Atletas!H566="Taijiquan Opcional",15,IF(Atletas!H566="Changquan Adulto",16,IF(Atletas!H566="Nanquan Adulto",17,IF(Atletas!H566="Taijiquan Adulto",18,""))))))))))))))))))))</f>
        <v/>
      </c>
      <c r="BG575" s="52" t="str">
        <f>IF(Atletas!I566="","",IF(Atletas!B566="Feminino",100,IF(Atletas!B566="Masculino",200,""))+(IF(Atletas!I566="Daoshu Mirim",19,IF(Atletas!I566="Jianshu Mirim",20,IF(Atletas!I566="Nandao Mirim",21,IF(Atletas!I566="Taijijian Mirim",22,IF(Atletas!I566="Daoshu Grupo C",23,IF(Atletas!I566="Jianshu Grupo C",24,IF(Atletas!I566="Nandao Grupo C",25,IF(Atletas!I566="Taijijian Grupo C",26,IF(Atletas!I566="Daoshu Grupo B",27,IF(Atletas!I566="Jianshu Grupo B",28,IF(Atletas!I566="Nandao Grupo B",29,IF(Atletas!I566="Taijijian Grupo B",30,IF(Atletas!I566="Daoshu Grupo A",31,IF(Atletas!I566="Jianshu Grupo A",32,IF(Atletas!I566="Nandao Grupo A",33,IF(Atletas!I566="Taijijian Grupo A",34,IF(Atletas!I566="Daoshu Opcional",35,IF(Atletas!I566="Jianshu Opcional",36,IF(Atletas!I566="Nandao Opcional",37,IF(Atletas!I566="Taijijian Opcional",38,IF(Atletas!I566="Daoshu Adulto",39,IF(Atletas!I566="Jianshu Adulto",40,IF(Atletas!I566="Nandao Adulto",41,IF(Atletas!I566="Taijijian Adulto",42,""))))))))))))))))))))))))))</f>
        <v/>
      </c>
      <c r="BH575" s="52" t="str">
        <f>IF(Atletas!J566="","",IF(Atletas!B566="Feminino",100,IF(Atletas!B566="Masculino",200,""))+(IF(Atletas!J566="Gunshu Mirim",43,IF(Atletas!J566="Qiangshu Mirim",44,IF(Atletas!J566="Nangun Mirim",45,IF(Atletas!J566="Gunshu Grupo C",46,IF(Atletas!J566="Qiangshu Grupo C",47,IF(Atletas!J566="Nangun Grupo C",48,IF(Atletas!J566="Gunshu Grupo B",49,IF(Atletas!J566="Qiangshu Grupo B",50,IF(Atletas!J566="Nangun Grupo B",51,IF(Atletas!J566="Gunshu Grupo A",52,IF(Atletas!J566="Qiangshu Grupo A",53,IF(Atletas!J566="Nangun Grupo A",54,IF(Atletas!J566="Gunshu Opcional",55,IF(Atletas!J566="Qiangshu Opcional",56,IF(Atletas!J566="Nangun Opcional",57,IF(Atletas!J566="Gunshu Adulto",58,IF(Atletas!J566="Qiangshu Adulto",59,IF(Atletas!J566="Nangun Adulto",60,IF(Atletas!J566="Taijishan Grupo B",61,IF(Atletas!J566="Taijishan Grupo A",62,""))))))))))))))))))))))</f>
        <v/>
      </c>
      <c r="BM575" s="50" t="str">
        <f>IF(Atletas!K566="","",IF(Atletas!B566="Feminino",100,IF(Atletas!B566="Masculino",200,""))+(IF(Atletas!K566="Equipe 1 Grupo B",1,IF(Atletas!K566="Equipe 2 Grupo B",2,IF(Atletas!K566="Equipe 1 Grupo A",3,IF(Atletas!K566="Equipe 2 Grupo A",4,IF(Atletas!K566="Equipe 1 Adulto",5,IF(Atletas!K566="Equipe 2 Adulto",6,""))))))))</f>
        <v/>
      </c>
      <c r="BR575" s="50" t="str">
        <f>IF(Atletas!L566="","",IF(Atletas!X566&lt;&gt;"",10000,0)+(IF(Atletas!B566="Feminino",1000,IF(Atletas!B566="Masculino",2000,""))+IF(Atletas!L566="Choylayfut A",1,IF(Atletas!L566="Hunggar A",2,IF(Atletas!L566="Wuzuquan A",3,IF(Atletas!L566="Wingchun A",4,IF(Atletas!L566="Outra Mão de Sul A",5,IF(Atletas!L566="Choylayfut B",6,IF(Atletas!L566="Hunggar B",7,IF(Atletas!L566="Wuzuquan B",8,IF(Atletas!L566="Wingchun B",9,IF(Atletas!L566="Outra Mão de Sul B",10,IF(Atletas!L566="Choylayfut C",11,IF(Atletas!L566="Hunggar C",12,IF(Atletas!L566="Wuzuquan C",13,IF(Atletas!L566="Wingchun C",14,IF(Atletas!L566="Outra Mão de Sul C",15,IF(Atletas!L566="Choylayfut D",16,IF(Atletas!L566="Hunggar D",17,IF(Atletas!L566="Wuzuquan D",18,IF(Atletas!L566="Wingchun D",19,IF(Atletas!L566="Outra Mão de Sul D",20,IF(Atletas!L566="Choylayfut E",21,IF(Atletas!L566="Hunggar E",22,IF(Atletas!L566="Wuzuquan E",23,IF(Atletas!L566="Wingchun E",24,IF(Atletas!L566="Outra Mão de Sul E",25,IF(Atletas!L566="Choylayfut F",26,IF(Atletas!L566="Hunggar F",27,IF(Atletas!L566="Wuzuquan F",28,IF(Atletas!L566="Wingchun F",29,IF(Atletas!L566="Outra Mão de Sul F",30,IF(Atletas!L566="Dishuquan A",31,IF(Atletas!L566="Dishuquan B",32,IF(Atletas!L566="Dishuquan C",33,IF(Atletas!L566="Dishuquan D",34,IF(Atletas!L566="Dishuquan E",35,IF(Atletas!L566="Dishuquan F",36,""))))))))))))))))))))))))))))))))))))))</f>
        <v/>
      </c>
      <c r="BS575" s="50" t="str">
        <f>IF(Atletas!M566="","",IF(Atletas!X566&lt;&gt;"",10000,0)+(IF(Atletas!B566="Feminino",1000,IF(Atletas!B566="Masculino",2000,""))+(IF(Atletas!M566="Chaquan A",101,IF(Atletas!M566="Emeiquan A",102,IF(Atletas!M566="Fanziquan A",103,IF(Atletas!M566="Huaquan A",104,IF(Atletas!M566="Hongquan A",105,IF(Atletas!M566="Paoquan A",106,IF(Atletas!M566="Piguaquan A",107,IF(Atletas!M566="Shaolinquan A",108,IF(Atletas!M566="Tanglangquan A",109,IF(Atletas!M566="Yingzhaoquan A",110,IF(Atletas!M566="Tongbeiquan A",111,IF(Atletas!M566="Wudangquan A",112,IF(Atletas!M566="Outros Estilos A",113,IF(Atletas!M566="Chaquan B",114,IF(Atletas!M566="Emeiquan B",115,IF(Atletas!M566="Fanziquan B",116,IF(Atletas!M566="Huaquan B",117,IF(Atletas!M566="Hongquan B",118,IF(Atletas!M566="Paoquan B",119,IF(Atletas!M566="Piguaquan B",120,IF(Atletas!M566="Shaolinquan B",121,IF(Atletas!M566="Tanglangquan B",122,IF(Atletas!M566="Yingzhaoquan B",123,IF(Atletas!M566="Tongbeiquan B",124,IF(Atletas!M566="Wudangquan B",125,IF(Atletas!M566="Outros Estilos B",126,IF(Atletas!M566="Chaquan C",127,IF(Atletas!M566="Emeiquan C",128,IF(Atletas!M566="Fanziquan C",129,IF(Atletas!M566="Huaquan C",130,IF(Atletas!M566="Hongquan C",131,IF(Atletas!M566="Paoquan C",132,IF(Atletas!M566="Piguaquan C",133,IF(Atletas!M566="Shaolinquan C",134,IF(Atletas!M566="Tanglangquan C",135,IF(Atletas!M566="Yingzhaoquan C",136,IF(Atletas!M566="Tongbeiquan C",137,IF(Atletas!M566="Wudangquan C",138,IF(Atletas!M566="Outros Estilos C",139,0))))))))))))))))))))))))))))))))))))))))))</f>
        <v/>
      </c>
      <c r="BT575" s="50" t="str">
        <f>IF(Atletas!M566="","",IF(Atletas!X566&lt;&gt;"",10000,0)+(IF(Atletas!B566="Feminino",1000,IF(Atletas!B566="Masculino",2000,""))+(IF(Atletas!M566="Chaquan D",140,IF(Atletas!M566="Emeiquan D",141,IF(Atletas!M566="Fanziquan D",142,IF(Atletas!M566="Huaquan D",143,IF(Atletas!M566="Hongquan D",144,IF(Atletas!M566="Paoquan D",145,IF(Atletas!M566="Piguaquan D",146,IF(Atletas!M566="Shaolinquan D",147,IF(Atletas!M566="Tanglangquan D",148,IF(Atletas!M566="Yingzhaoquan D",149,IF(Atletas!M566="Tongbeiquan D",150,IF(Atletas!M566="Wudangquan D",151,IF(Atletas!M566="Outros Estilos D",152,IF(Atletas!M566="Chaquan E",153,IF(Atletas!M566="Emeiquan E",154,IF(Atletas!M566="Fanziquan E",155,IF(Atletas!M566="Huaquan E",156,IF(Atletas!M566="Hongquan E",157,IF(Atletas!M566="Paoquan E",158,IF(Atletas!M566="Piguaquan E",159,IF(Atletas!M566="Shaolinquan E",160,IF(Atletas!M566="Tanglangquan E",161,IF(Atletas!M566="Yingzhaoquan E",162,IF(Atletas!M566="Tongbeiquan E",163,IF(Atletas!M566="Wudangquan E",164,IF(Atletas!M566="Outros Estilos E",165,IF(Atletas!M566="Chaquan F",166,IF(Atletas!M566="Emeiquan F",167,IF(Atletas!M566="Fanziquan F",168,IF(Atletas!M566="Huaquan F",169,IF(Atletas!M566="Hongquan F",170,IF(Atletas!M566="Paoquan F",171,IF(Atletas!M566="Piguaquan F",172,IF(Atletas!M566="Shaolinquan F",173,IF(Atletas!M566="Tanglangquan F",174,IF(Atletas!M566="Yingzhaoquan F",175,IF(Atletas!M566="Tongbeiquan F",176,IF(Atletas!M566="Wudangquan F",177,IF(Atletas!M566="Outros Estilos F",178,0))))))))))))))))))))))))))))))))))))))))))</f>
        <v/>
      </c>
      <c r="BU575" s="50" t="str">
        <f>IF(Atletas!N566="","",IF(Atletas!X566&lt;&gt;"",10000,0)+(IF(Atletas!B566="Feminino",1000,IF(Atletas!B566="Masculino",2000,""))+(IF(Atletas!N566="Ditangquan A",201,IF(Atletas!N566="Houquan A",202,IF(Atletas!N566="Zuiquan A",203,IF(Atletas!N566="Ditangquan B",204,IF(Atletas!N566="Houquan B",205,IF(Atletas!N566="Zuiquan B",206,IF(Atletas!N566="Ditangquan C",207,IF(Atletas!N566="Houquan C",208,IF(Atletas!N566="Zuiquan C",209,IF(Atletas!N566="Ditangquan D",210,IF(Atletas!N566="Houquan D",211,IF(Atletas!N566="Zuiquan D",212,IF(Atletas!N566="Ditangquan E",213,IF(Atletas!N566="Houquan E",214,IF(Atletas!N566="Zuiquan E",215,IF(Atletas!N566="Ditangquan F",216,IF(Atletas!N566="Houquan F",217,IF(Atletas!N566="Zuiquan F",218,"")))))))))))))))))))))</f>
        <v/>
      </c>
      <c r="BV575" s="50" t="str">
        <f>IF(Atletas!O566="","",IF(Atletas!X566&lt;&gt;"",10000,0)+IF(Atletas!B566="Feminino",1000,IF(Atletas!B566="Masculino",2000,""))+IF(Atletas!O566="Yang A",301,IF(Atletas!O566="Chen A",302,IF(Atletas!O566="Sun A",303,IF(Atletas!O566="Wu A",304,IF(Atletas!O566="Wu-Hao A",305,IF(Atletas!O566="Outro Taijiquan A",306,IF(Atletas!O566="Yang B",307,IF(Atletas!O566="Chen B",308,IF(Atletas!O566="Sun B",309,IF(Atletas!O566="Wu B",310,IF(Atletas!O566="Wu-Hao B",311,IF(Atletas!O566="Outro Taijiquan B",312,IF(Atletas!O566="Yang C",313,IF(Atletas!O566="Chen C",314,IF(Atletas!O566="Sun C",315,IF(Atletas!O566="Wu C",316,IF(Atletas!O566="Wu-Hao C",317,IF(Atletas!O566="Outro Taijiquan C",318,IF(Atletas!O566="Yang D",319,IF(Atletas!O566="Chen D",320,IF(Atletas!O566="Sun D",321,IF(Atletas!O566="Wu D",322,IF(Atletas!O566="Wu-Hao D",323,IF(Atletas!O566="Outro Taijiquan D",324,IF(Atletas!O566="Yang E",325,IF(Atletas!O566="Chen E",326,IF(Atletas!O566="Sun E",327,IF(Atletas!O566="Wu E",328,IF(Atletas!O566="Wu-Hao E",329,IF(Atletas!O566="Outro Taijiquan E",330,IF(Atletas!O566="Yang F",331,IF(Atletas!O566="Chen F",332,IF(Atletas!O566="Sun F",333,IF(Atletas!O566="Wu F",334,IF(Atletas!O566="Wu-Hao F",335,IF(Atletas!O566="Outro Taijiquan F",336,"")))))))))))))))))))))))))))))))))))))</f>
        <v/>
      </c>
      <c r="BW575" s="50" t="str">
        <f>IF(Atletas!P566="","",IF(Atletas!X566&lt;&gt;"",10000,0)+IF(Atletas!B566="Feminino",1000,IF(Atletas!B566="Masculino",2000,""))+IF(OR(Atletas!P566="Yang 26 A",Atletas!P566="Yang 40 A"),401,IF(OR(Atletas!P566="Chen 25 A",Atletas!P566="Chen 36 A",Atletas!P566="Chen 56 A"),402,IF(Atletas!P566="Sun 73 A",403,IF(Atletas!P566="Wu 45 A",404,IF(Atletas!P566="Wu-Hao 46 A",405,IF(OR(Atletas!P566="Taijiquan 16 A",Atletas!P566="Taijiquan 24 A",Atletas!P566="Taijiquan 32 A",Atletas!P566="Taijiquan 42 A"),406,IF(OR(Atletas!P566="Yang 26 B",Atletas!P566="Yang 40 B"),407,IF(OR(Atletas!P566="Chen 25 B",Atletas!P566="Chen 36 B",Atletas!P566="Chen 56 B"),408,IF(Atletas!P566="Sun 73 B",409,IF(Atletas!P566="Wu 45 B",410,IF(Atletas!P566="Wu-Hao 46 B",411,IF(OR(Atletas!P566="Taijiquan 16 B",Atletas!P566="Taijiquan 24 B",Atletas!P566="Taijiquan 32 B",Atletas!P566="Taijiquan 42 B"),412,IF(OR(Atletas!P566="Yang 26 C",Atletas!P566="Yang 40 C"),413,IF(OR(Atletas!P566="Chen 25 C",Atletas!P566="Chen 36 C",Atletas!P566="Chen 56 C"),414,IF(Atletas!P566="Sun 73 C",415,IF(Atletas!P566="Wu 45 C",416,IF(Atletas!P566="Wu-Hao 46 C",417,IF(OR(Atletas!P566="Taijiquan 16 C",Atletas!P566="Taijiquan 24 C",Atletas!P566="Taijiquan 32 C",Atletas!P566="Taijiquan 42 C"),418,0)))))))))))))))))))</f>
        <v/>
      </c>
      <c r="BX575" s="50" t="str">
        <f>IF(Atletas!P566="","",IF(Atletas!X566&lt;&gt;"",10000,0)+IF(Atletas!B566="Feminino",1000,IF(Atletas!B566="Masculino",2000,""))+IF(OR(Atletas!P566="Yang 26 D",Atletas!P566="Yang 40 D"),419,IF(OR(Atletas!P566="Chen 25 D",Atletas!P566="Chen 36 D",Atletas!P566="Chen 56 D"),420,IF(Atletas!P566="Sun 73 D",421,IF(Atletas!P566="Wu 45 D",422,IF(Atletas!P566="Wu-Hao 46 D",423,IF(OR(Atletas!P566="Taijiquan 16 D",Atletas!P566="Taijiquan 24 D",Atletas!P566="Taijiquan 32 D",Atletas!P566="Taijiquan 42 D"),424,IF(OR(Atletas!P566="Yang 26 E",Atletas!P566="Yang 40 E"),425,IF(OR(Atletas!P566="Chen 25 E",Atletas!P566="Chen 36 E",Atletas!P566="Chen 56 E"),426,IF(Atletas!P566="Sun 73 E",427,IF(Atletas!P566="Wu 45 E",428,IF(Atletas!P566="Wu-Hao 46 E",429,IF(OR(Atletas!P566="Taijiquan 16 E",Atletas!P566="Taijiquan 24 E",Atletas!P566="Taijiquan 32 E",Atletas!P566="Taijiquan 42 E"),430,IF(OR(Atletas!P566="Yang 26 F",Atletas!P566="Yang 40 F"),431,IF(OR(Atletas!P566="Chen 25 F",Atletas!P566="Chen 36 F",Atletas!P566="Chen 56 F"),432,IF(Atletas!P566="Sun 73 F",433,IF(Atletas!P566="Wu 45 F",434,IF(Atletas!P566="Wu-Hao 46 F",435,IF(OR(Atletas!P566="Taijiquan 16 F",Atletas!P566="Taijiquan 24 F",Atletas!P566="Taijiquan 32 F",Atletas!P566="Taijiquan 42 F"),436,0)))))))))))))))))))</f>
        <v/>
      </c>
      <c r="BY575" s="50" t="str">
        <f>IF(Atletas!Q566="","",IF(Atletas!X566&lt;&gt;"",10000,0)+IF(Atletas!B566="Feminino",1000,IF(Atletas!B566="Masculino",2000,""))+IF(Atletas!Q566="Xingyiquan A",501,IF(Atletas!Q566="Baguazhang A",502,IF(Atletas!Q566="Outro Estilo Interno A",503,IF(Atletas!Q566="Xingyiquan B",504,IF(Atletas!Q566="Baguazhang B",505,IF(Atletas!Q566="Outro Estilo Interno B",506,IF(Atletas!Q566="Xingyiquan C",507,IF(Atletas!Q566="Baguazhang C",508,IF(Atletas!Q566="Outro Estilo Interno C",509,IF(Atletas!Q566="Xingyiquan D",510,IF(Atletas!Q566="Baguazhang D",511,IF(Atletas!Q566="Outro Estilo Interno D",512,IF(Atletas!Q566="Xingyiquan E",513,IF(Atletas!Q566="Baguazhang E",514,IF(Atletas!Q566="Outro Estilo Interno E",515,IF(Atletas!Q566="Xingyiquan F",516,IF(Atletas!Q566="Baguazhang F",517,IF(Atletas!Q566="Outro Estilo Interno F",518, "")))))))))))))))))))</f>
        <v/>
      </c>
      <c r="BZ575" s="50" t="str">
        <f>IF(Atletas!R566="","",IF(Atletas!X566&lt;&gt;"",10000,0)+IF(Atletas!B566="Feminino",1000,IF(Atletas!B566="Masculino",2000,""))+IF(Atletas!R566="Dao A",601,IF(Atletas!R566="Jian A",602,IF(Atletas!R566="Bishou A",603,IF(Atletas!R566="Shanzi A",604,IF(Atletas!R566="Outra Arma Curta A",605,IF(Atletas!R566="Dao B",606,IF(Atletas!R566="Jian B",607,IF(Atletas!R566="Bishou B",608,IF(Atletas!R566="Shanzi B",609,IF(Atletas!R566="Outra Arma Curta B",610,IF(Atletas!R566="Dao C",611,IF(Atletas!R566="Jian C",612,IF(Atletas!R566="Bishou C",613,IF(Atletas!R566="Shanzi C",614,IF(Atletas!R566="Outra Arma Curta C",615,IF(Atletas!R566="Dao D",616,IF(Atletas!R566="Jian D",617,IF(Atletas!R566="Bishou D",618,IF(Atletas!R566="Shanzi D",619,IF(Atletas!R566="Outra Arma Curta D",620,IF(Atletas!R566="Dao E",621,IF(Atletas!R566="Jian E",622,IF(Atletas!R566="Bishou E",623,IF(Atletas!R566="Shanzi E",624,IF(Atletas!R566="Outra Arma Curta E",625,IF(Atletas!R566="Dao F",626,IF(Atletas!R566="Jian F",627,IF(Atletas!R566="Bishou F",628,IF(Atletas!R566="Shanzi F",629,IF(Atletas!R566="Outra Arma Curta F",630, "")))))))))))))))))))))))))))))))</f>
        <v/>
      </c>
      <c r="CA575" s="50" t="str">
        <f>IF(Atletas!S566="","",IF(Atletas!X566&lt;&gt;"",10000,0)+IF(Atletas!B566="Feminino",1000,IF(Atletas!B566="Masculino",2000,""))+IF(Atletas!S566="Gun A",701,IF(Atletas!S566="Qiang A",702,IF(Atletas!S566="Pudao / Guandao A",703,IF(Atletas!S566="Outra Arma Longa A",704,IF(Atletas!S566="Gun B",705,IF(Atletas!S566="Qiang B",706,IF(Atletas!S566="Pudao / Guandao B",707,IF(Atletas!S566="Outra Arma Longa B",708,IF(Atletas!S566="Gun C",709,IF(Atletas!S566="Qiang C",710,IF(Atletas!S566="Pudao / Guandao C",711,IF(Atletas!S566="Outra Arma Longa C",712,IF(Atletas!S566="Gun D",713,IF(Atletas!S566="Qiang D",714,IF(Atletas!S566="Pudao / Guandao D",715,IF(Atletas!S566="Outra Arma Longa D",716,IF(Atletas!S566="Gun E",717,IF(Atletas!S566="Qiang E",718,IF(Atletas!S566="Pudao / Guandao E",719,IF(Atletas!S566="Outra Arma Longa E",720,IF(Atletas!S566="Gun F",721,IF(Atletas!S566="Qiang F",722,IF(Atletas!S566="Pudao / Guandao F",723,IF(Atletas!S566="Outra Arma Longa F",724,"")))))))))))))))))))))))))</f>
        <v/>
      </c>
      <c r="CB575" s="50" t="str">
        <f>IF(Atletas!T566="","",IF(Atletas!X566&lt;&gt;"",10000,0)+IF(Atletas!B566="Feminino",1000,IF(Atletas!B566="Masculino",2000,""))+IF(Atletas!T566="Outra Arma Dupla A",801,IF(Atletas!T566="Arma Maleável A",802,IF(Atletas!T566="Outra Arma Dupla B",803,IF(Atletas!T566="Arma Maleável B",804,IF(Atletas!T566="Outra Arma Dupla C",805,IF(Atletas!T566="Arma Maleável C",806,IF(Atletas!T566="Outra Arma Dupla D",807,IF(Atletas!T566="Arma Maleável D",808,IF(Atletas!T566="Outra Arma Dupla E",809,IF(Atletas!T566="Arma Maleável E",810,IF(Atletas!T566="Outra Arma Dupla F",811,IF(Atletas!T566="Arma Maleável F",812,IF(Atletas!T566="Shuangdao A",813,IF(Atletas!T566="Shuangdao B",814,IF(Atletas!T566="Shuangdao C",815,IF(Atletas!T566="Shuangdao D",816,IF(Atletas!T566="Shuangdao E",817,IF(Atletas!T566="Shuangdao F",818,"")))))))))))))))))))</f>
        <v/>
      </c>
      <c r="CC575" s="50" t="str">
        <f>IF(Atletas!U566="","",IF(Atletas!X566&lt;&gt;"",10000,0)+IF(Atletas!B566="Feminino",1000,IF(Atletas!B566="Masculino",2000,""))+IF(OR(Atletas!U566="Taijijian Yang A",Atletas!U566="Taijijian Yang Standard A"),901,IF(OR(Atletas!U566="Taijijian Chen A", Atletas!U566="Taijijian Chen Standard A"),902,IF(Atletas!U566="Taijijian Sun A",903,IF(Atletas!U566="Taijijian Wu A",904,IF(Atletas!U566="Taijijian Wu-Hao A",905,IF(OR(Atletas!U566="Taijijian 32 A",Atletas!U566="Taijijian 42 A"),906,IF(OR(Atletas!U566="Taijijian Yang B",Atletas!U566="Taijijian Yang Standard B"),907,IF(OR(Atletas!U566="Taijijian Chen B", Atletas!U566="Taijijian Chen Standard B"),908,IF(Atletas!U566="Taijijian Sun B",909,IF(Atletas!U566="Taijijian Wu B",910,IF(Atletas!U566="Taijijian Wu-Hao B",911,IF(OR(Atletas!U566="Taijijian 32 B",Atletas!U566="Taijijian 42 B"),912,IF(OR(Atletas!U566="Taijijian Yang C",Atletas!U566="Taijijian Yang Standard C"),913,IF(OR(Atletas!U566="Taijijian Chen C", Atletas!U566="Taijijian Chen Standard C"),914,IF(Atletas!U566="Taijijian Sun C",915,IF(Atletas!U566="Taijijian Wu C",916,IF(Atletas!U566="Taijijian Wu-Hao C",917,IF(OR(Atletas!U566="Taijijian 32 C",Atletas!U566="Taijijian 42 C"),918,IF(OR(Atletas!U566="Taijijian Yang D",Atletas!U566="Taijijian Yang Standard D"),919,IF(OR(Atletas!U566="Taijijian Chen D", Atletas!U566="Taijijian Chen Standard D"),920,IF(Atletas!U566="Taijijian Sun D",921,IF(Atletas!U566="Taijijian Wu D",922,IF(Atletas!U566="Taijijian Wu-Hao D",923,IF(OR(Atletas!U566="Taijijian 32 D",Atletas!U566="Taijijian 42 D"),924,IF(OR(Atletas!U566="Taijijian Yang E",Atletas!U566="Taijijian Yang Standard E"),925,IF(OR(Atletas!U566="Taijijian Chen E", Atletas!U566="Taijijian Chen Standard E"),926,IF(Atletas!U566="Taijijian Sun E",927,IF(Atletas!U566="Taijijian Wu E",928,IF(Atletas!U566="Taijijian Wu-Hao E",929,IF(OR(Atletas!U566="Taijijian 32 E",Atletas!U566="Taijijian 42 E"),930,IF(OR(Atletas!U566="Taijijian Yang F",Atletas!U566="Taijijian Yang Standard F"),931,IF(OR(Atletas!U566="Taijijian Chen F", Atletas!U566="Taijijian Chen Standard F"),932,IF(Atletas!U566="Taijijian Sun F",933,IF(Atletas!U566="Taijijian Wu F",934,IF(Atletas!U566="Taijijian Wu-Hao F",935,IF(OR(Atletas!U566="Taijijian 32 F",Atletas!U566="Taijijian 42 F"),936,"")))))))))))))))))))))))))))))))))))))</f>
        <v/>
      </c>
      <c r="CD575" s="50" t="str">
        <f>IF(Atletas!V566="","",IF(Atletas!X566&lt;&gt;"",10000,0)+IF(Atletas!B566="Feminino",1000,IF(Atletas!B566="Masculino",2000,""))+IF(Atletas!V566="Taijidao A",937,IF(Atletas!V566="TaijiShanzi A",938,IF(Atletas!V566="Taijiqiang A",939,IF(Atletas!V566="Bagua de Arma A",940,IF(Atletas!V566="Xingyi de Arma A",941,IF(Atletas!V566="Taijidao B",942,IF(Atletas!V566="TaijiShanzi B",943,IF(Atletas!V566="Taijiqiang B",944,IF(Atletas!V566="Bagua de Arma B",945,IF(Atletas!V566="Xingyi de Arma B",946,IF(Atletas!V566="Taijidao C",947,IF(Atletas!V566="TaijiShanzi C",948,IF(Atletas!V566="Taijiqiang C",949,IF(Atletas!V566="Bagua de Arma C",950,IF(Atletas!V566="Xingyi de Arma C",951,IF(Atletas!V566="Taijidao D",952,IF(Atletas!V566="TaijiShanzi D",953,IF(Atletas!V566="Taijiqiang D",954,IF(Atletas!V566="Bagua de Arma D",955,IF(Atletas!V566="Xingyi de Arma D",956,IF(Atletas!V566="Taijidao E",957,IF(Atletas!V566="TaijiShanzi E",958,IF(Atletas!V566="Taijiqiang E",959,IF(Atletas!V566="Bagua de Arma E",960,IF(Atletas!V566="Xingyi de Arma E",961,IF(Atletas!V566="Taijidao F",962,IF(Atletas!V566="TaijiShanzi F",963,IF(Atletas!V566="Taijiqiang F",964,IF(Atletas!V566="Bagua de Arma F",965,IF(Atletas!V566="Xingyi de Arma F",966,"")))))))))))))))))))))))))))))))</f>
        <v/>
      </c>
      <c r="CM575" s="50" t="str">
        <f xml:space="preserve"> IF(Atletas!W566="","",IF(Atletas!W566="Duilian de Mãos BC - Equipe 1",1,IF(Atletas!W566="Duilian de Mãos BC - Equipe 2",2,IF(Atletas!W566="Duilian de Armas BC - Equipe 1",3,IF(Atletas!W566="Duilian de Armas BC - Equipe 2",4,IF(Atletas!W566="Duilian de Mãos DE - Equipe 1",5,IF(Atletas!W566="Duilian de Mãos DE - Equipe 2",6,IF(Atletas!W566="Duilian de Armas DE - Equipe 1",7,IF(Atletas!W566="Duilian de Armas DE - Equipe 2",8,IF(Atletas!W566="Duilian de Tuishou - Equipe 1",9,IF(Atletas!W566="Duilian de Tuishou - Equipe 2",10,IF(Atletas!W566="Grupo Externo ABC - Equipe 1",11,IF(Atletas!W566="Grupo Externo ABC - Equipe 2",12,IF(Atletas!W566="Grupo Interno ABC - Equipe 1",13,IF(Atletas!W566="Grupo Interno ABC - Equipe 2",14,IF(Atletas!W566="Grupo Externo DEF - Equipe 1",15,IF(Atletas!W566="Grupo Externo DEF - Equipe 2",16,IF(Atletas!W566="Grupo Interno DEF - Equipe 1",17,IF(Atletas!W566="Grupo Interno DEF - Equipe 2",18,"")))))))))))))))))))</f>
        <v/>
      </c>
    </row>
    <row r="576" spans="40:91">
      <c r="AN576" s="52" t="str">
        <f>IF(Atletas!D567="","",IF(Atletas!B567="Feminino",100,IF(Atletas!B567="Masculino",200,""))+(IF(Atletas!D567="Kids 30kg",1,IF(Atletas!D567="Kids 32kg",2, IF(Atletas!D567="Kids 34kg",3,IF(Atletas!D567="Kids 36kg",4,IF(Atletas!D567="Kids 39kg",5,IF(Atletas!D567="Kids 42kg",6,IF(Atletas!D567="Kids 45kg",7, IF(Atletas!D567="Infantil 39kg",8,IF(Atletas!D567="Infantil 42kg",9,IF(Atletas!D567="Infantil 45kg",10,IF(Atletas!D567="Infantil 48kg",11,IF(Atletas!D567="Infantil 52kg",12,IF(Atletas!D567="Infantil 56kg",13,IF(Atletas!D567="Infantil 60kg",14,IF(Atletas!D567="Juvenil 48kg",15,IF(Atletas!D567="Juvenil 52kg",16,IF(Atletas!D567="Juvenil 56kg",17,IF(Atletas!D567="Juvenil 60kg",18,IF(Atletas!D567="Juvenil 65kg",19,IF(Atletas!D567="Juvenil 70kg",20,IF(Atletas!D567="Juvenil 75kg",21,IF(Atletas!D567="Juvenil 80kg",22, IF(Atletas!D567="Juvenil 85kg",23,IF(Atletas!D567="Adulto 48kg",24,IF(Atletas!D567="Adulto 52kg",25,IF(Atletas!D567="Adulto 56kg",26,IF(Atletas!D567="Adulto 60kg",27,IF(Atletas!D567="Adulto 65kg",28,IF(Atletas!D567="Adulto 70kg",29,IF(Atletas!D567="Adulto 75kg",30,IF(Atletas!D567="Adulto 80kg",31,IF(Atletas!D567="Adulto 85kg",32,IF(Atletas!D567="Adulto 90kg",33,IF(Atletas!D567="Adulto 100kg",34, IF(Atletas!D567="Adulto +100kg",35,"")))))))))))))))))))))))))))))))))))))</f>
        <v/>
      </c>
      <c r="AS576" s="6" t="str">
        <f>IF(Atletas!E567="","",IF(Atletas!B567="Feminino",100,IF(Atletas!B567="Masculino",200,""))+(IF(Atletas!E567="Juvenil 44kg",1,IF(Atletas!E567="Juvenil 48kg",2,IF(Atletas!E567="Juvenil 52kg",3,IF(Atletas!E567="Juvenil 56kg",4,IF(Atletas!E567="Juvenil 60kg",5,IF(Atletas!E567="Juvenil 65kg",6,IF(Atletas!E567="Juvenil 70kg",7,IF(Atletas!E567="Juvenil 75kg",8,IF(Atletas!E567="Juvenil 82kg",9,IF(Atletas!E567="Juvenil 90kg",10,IF(Atletas!E567="Juvenil 100kg",11,IF(Atletas!E567="Adulto 48kg",12,IF(Atletas!E567="Adulto 52kg",13,IF(Atletas!E567="Adulto 56kg",14,IF(Atletas!E567="Adulto 60kg",15,IF(Atletas!E567="Adulto 65kg",16,IF(Atletas!E567="Adulto 70kg",17,IF(Atletas!E567="Adulto 75kg",18,IF(Atletas!E567="Adulto 82kg",19,IF(Atletas!E567="Adulto 90kg",20,IF(Atletas!E567="Adulto 100kg",21,IF(Atletas!E567="Adulto +100kg",22,""))))))))))))))))))))))))</f>
        <v/>
      </c>
      <c r="AX576" s="6" t="str">
        <f>IF(Atletas!F567="","",IF(Atletas!B567="Feminino",100,IF(Atletas!B567="Masculino",200,""))+(IF(Atletas!F567="Adulto 48kg",1,IF(Atletas!F567="Adulto 56kg",2,IF(Atletas!F567="Adulto 65kg",3,IF(Atletas!F567="Adulto 75kg",4,IF(Atletas!F567="Adulto +75kg",5,IF(Atletas!F567="Adulto 52kg",6,IF(Atletas!F567="Adulto 60kg",7,IF(Atletas!F567="Adulto 70kg",8,IF(Atletas!F567="Adulto 80kg",9,IF(Atletas!F567="Adulto 90kg",10,IF(Atletas!F567="Adulto +90kg",11,"")))))))))))))</f>
        <v/>
      </c>
      <c r="BC576" s="6" t="str">
        <f>IF(Atletas!G567="","",IF(Atletas!B567="Feminino",10,IF(Atletas!B567="Masculino",20,""))+(IF(Atletas!G567="Baduanjin A",1,IF(Atletas!G567="Baduanjin B",2))))</f>
        <v/>
      </c>
      <c r="BF576" s="52" t="str">
        <f>IF(Atletas!H567="","",IF(Atletas!B567="Feminino",100,IF(Atletas!B567="Masculino",200,""))+(IF(Atletas!H567="Changquan Mirim",1,IF(Atletas!H567="Nanquan Mirim",2,IF(Atletas!H567="Taijiquan Mirim",3,IF(Atletas!H567="Changquan Grupo C",4,IF(Atletas!H567="Nanquan Grupo C",5,IF(Atletas!H567="Taijiquan Grupo C",6,IF(Atletas!H567="Changquan Grupo B",7,IF(Atletas!H567="Nanquan Grupo B",8,IF(Atletas!H567="Taijiquan Grupo B",9,IF(Atletas!H567="Changquan Grupo A",10,IF(Atletas!H567="Nanquan Grupo A",11,IF(Atletas!H567="Taijiquan Grupo A",12,IF(Atletas!H567="Changquan Opcional",13,IF(Atletas!H567="Nanquan Opcional",14,IF(Atletas!H567="Taijiquan Opcional",15,IF(Atletas!H567="Changquan Adulto",16,IF(Atletas!H567="Nanquan Adulto",17,IF(Atletas!H567="Taijiquan Adulto",18,""))))))))))))))))))))</f>
        <v/>
      </c>
      <c r="BG576" s="52" t="str">
        <f>IF(Atletas!I567="","",IF(Atletas!B567="Feminino",100,IF(Atletas!B567="Masculino",200,""))+(IF(Atletas!I567="Daoshu Mirim",19,IF(Atletas!I567="Jianshu Mirim",20,IF(Atletas!I567="Nandao Mirim",21,IF(Atletas!I567="Taijijian Mirim",22,IF(Atletas!I567="Daoshu Grupo C",23,IF(Atletas!I567="Jianshu Grupo C",24,IF(Atletas!I567="Nandao Grupo C",25,IF(Atletas!I567="Taijijian Grupo C",26,IF(Atletas!I567="Daoshu Grupo B",27,IF(Atletas!I567="Jianshu Grupo B",28,IF(Atletas!I567="Nandao Grupo B",29,IF(Atletas!I567="Taijijian Grupo B",30,IF(Atletas!I567="Daoshu Grupo A",31,IF(Atletas!I567="Jianshu Grupo A",32,IF(Atletas!I567="Nandao Grupo A",33,IF(Atletas!I567="Taijijian Grupo A",34,IF(Atletas!I567="Daoshu Opcional",35,IF(Atletas!I567="Jianshu Opcional",36,IF(Atletas!I567="Nandao Opcional",37,IF(Atletas!I567="Taijijian Opcional",38,IF(Atletas!I567="Daoshu Adulto",39,IF(Atletas!I567="Jianshu Adulto",40,IF(Atletas!I567="Nandao Adulto",41,IF(Atletas!I567="Taijijian Adulto",42,""))))))))))))))))))))))))))</f>
        <v/>
      </c>
      <c r="BH576" s="52" t="str">
        <f>IF(Atletas!J567="","",IF(Atletas!B567="Feminino",100,IF(Atletas!B567="Masculino",200,""))+(IF(Atletas!J567="Gunshu Mirim",43,IF(Atletas!J567="Qiangshu Mirim",44,IF(Atletas!J567="Nangun Mirim",45,IF(Atletas!J567="Gunshu Grupo C",46,IF(Atletas!J567="Qiangshu Grupo C",47,IF(Atletas!J567="Nangun Grupo C",48,IF(Atletas!J567="Gunshu Grupo B",49,IF(Atletas!J567="Qiangshu Grupo B",50,IF(Atletas!J567="Nangun Grupo B",51,IF(Atletas!J567="Gunshu Grupo A",52,IF(Atletas!J567="Qiangshu Grupo A",53,IF(Atletas!J567="Nangun Grupo A",54,IF(Atletas!J567="Gunshu Opcional",55,IF(Atletas!J567="Qiangshu Opcional",56,IF(Atletas!J567="Nangun Opcional",57,IF(Atletas!J567="Gunshu Adulto",58,IF(Atletas!J567="Qiangshu Adulto",59,IF(Atletas!J567="Nangun Adulto",60,IF(Atletas!J567="Taijishan Grupo B",61,IF(Atletas!J567="Taijishan Grupo A",62,""))))))))))))))))))))))</f>
        <v/>
      </c>
      <c r="BM576" s="50" t="str">
        <f>IF(Atletas!K567="","",IF(Atletas!B567="Feminino",100,IF(Atletas!B567="Masculino",200,""))+(IF(Atletas!K567="Equipe 1 Grupo B",1,IF(Atletas!K567="Equipe 2 Grupo B",2,IF(Atletas!K567="Equipe 1 Grupo A",3,IF(Atletas!K567="Equipe 2 Grupo A",4,IF(Atletas!K567="Equipe 1 Adulto",5,IF(Atletas!K567="Equipe 2 Adulto",6,""))))))))</f>
        <v/>
      </c>
      <c r="BR576" s="50" t="str">
        <f>IF(Atletas!L567="","",IF(Atletas!X567&lt;&gt;"",10000,0)+(IF(Atletas!B567="Feminino",1000,IF(Atletas!B567="Masculino",2000,""))+IF(Atletas!L567="Choylayfut A",1,IF(Atletas!L567="Hunggar A",2,IF(Atletas!L567="Wuzuquan A",3,IF(Atletas!L567="Wingchun A",4,IF(Atletas!L567="Outra Mão de Sul A",5,IF(Atletas!L567="Choylayfut B",6,IF(Atletas!L567="Hunggar B",7,IF(Atletas!L567="Wuzuquan B",8,IF(Atletas!L567="Wingchun B",9,IF(Atletas!L567="Outra Mão de Sul B",10,IF(Atletas!L567="Choylayfut C",11,IF(Atletas!L567="Hunggar C",12,IF(Atletas!L567="Wuzuquan C",13,IF(Atletas!L567="Wingchun C",14,IF(Atletas!L567="Outra Mão de Sul C",15,IF(Atletas!L567="Choylayfut D",16,IF(Atletas!L567="Hunggar D",17,IF(Atletas!L567="Wuzuquan D",18,IF(Atletas!L567="Wingchun D",19,IF(Atletas!L567="Outra Mão de Sul D",20,IF(Atletas!L567="Choylayfut E",21,IF(Atletas!L567="Hunggar E",22,IF(Atletas!L567="Wuzuquan E",23,IF(Atletas!L567="Wingchun E",24,IF(Atletas!L567="Outra Mão de Sul E",25,IF(Atletas!L567="Choylayfut F",26,IF(Atletas!L567="Hunggar F",27,IF(Atletas!L567="Wuzuquan F",28,IF(Atletas!L567="Wingchun F",29,IF(Atletas!L567="Outra Mão de Sul F",30,IF(Atletas!L567="Dishuquan A",31,IF(Atletas!L567="Dishuquan B",32,IF(Atletas!L567="Dishuquan C",33,IF(Atletas!L567="Dishuquan D",34,IF(Atletas!L567="Dishuquan E",35,IF(Atletas!L567="Dishuquan F",36,""))))))))))))))))))))))))))))))))))))))</f>
        <v/>
      </c>
      <c r="BS576" s="50" t="str">
        <f>IF(Atletas!M567="","",IF(Atletas!X567&lt;&gt;"",10000,0)+(IF(Atletas!B567="Feminino",1000,IF(Atletas!B567="Masculino",2000,""))+(IF(Atletas!M567="Chaquan A",101,IF(Atletas!M567="Emeiquan A",102,IF(Atletas!M567="Fanziquan A",103,IF(Atletas!M567="Huaquan A",104,IF(Atletas!M567="Hongquan A",105,IF(Atletas!M567="Paoquan A",106,IF(Atletas!M567="Piguaquan A",107,IF(Atletas!M567="Shaolinquan A",108,IF(Atletas!M567="Tanglangquan A",109,IF(Atletas!M567="Yingzhaoquan A",110,IF(Atletas!M567="Tongbeiquan A",111,IF(Atletas!M567="Wudangquan A",112,IF(Atletas!M567="Outros Estilos A",113,IF(Atletas!M567="Chaquan B",114,IF(Atletas!M567="Emeiquan B",115,IF(Atletas!M567="Fanziquan B",116,IF(Atletas!M567="Huaquan B",117,IF(Atletas!M567="Hongquan B",118,IF(Atletas!M567="Paoquan B",119,IF(Atletas!M567="Piguaquan B",120,IF(Atletas!M567="Shaolinquan B",121,IF(Atletas!M567="Tanglangquan B",122,IF(Atletas!M567="Yingzhaoquan B",123,IF(Atletas!M567="Tongbeiquan B",124,IF(Atletas!M567="Wudangquan B",125,IF(Atletas!M567="Outros Estilos B",126,IF(Atletas!M567="Chaquan C",127,IF(Atletas!M567="Emeiquan C",128,IF(Atletas!M567="Fanziquan C",129,IF(Atletas!M567="Huaquan C",130,IF(Atletas!M567="Hongquan C",131,IF(Atletas!M567="Paoquan C",132,IF(Atletas!M567="Piguaquan C",133,IF(Atletas!M567="Shaolinquan C",134,IF(Atletas!M567="Tanglangquan C",135,IF(Atletas!M567="Yingzhaoquan C",136,IF(Atletas!M567="Tongbeiquan C",137,IF(Atletas!M567="Wudangquan C",138,IF(Atletas!M567="Outros Estilos C",139,0))))))))))))))))))))))))))))))))))))))))))</f>
        <v/>
      </c>
      <c r="BT576" s="50" t="str">
        <f>IF(Atletas!M567="","",IF(Atletas!X567&lt;&gt;"",10000,0)+(IF(Atletas!B567="Feminino",1000,IF(Atletas!B567="Masculino",2000,""))+(IF(Atletas!M567="Chaquan D",140,IF(Atletas!M567="Emeiquan D",141,IF(Atletas!M567="Fanziquan D",142,IF(Atletas!M567="Huaquan D",143,IF(Atletas!M567="Hongquan D",144,IF(Atletas!M567="Paoquan D",145,IF(Atletas!M567="Piguaquan D",146,IF(Atletas!M567="Shaolinquan D",147,IF(Atletas!M567="Tanglangquan D",148,IF(Atletas!M567="Yingzhaoquan D",149,IF(Atletas!M567="Tongbeiquan D",150,IF(Atletas!M567="Wudangquan D",151,IF(Atletas!M567="Outros Estilos D",152,IF(Atletas!M567="Chaquan E",153,IF(Atletas!M567="Emeiquan E",154,IF(Atletas!M567="Fanziquan E",155,IF(Atletas!M567="Huaquan E",156,IF(Atletas!M567="Hongquan E",157,IF(Atletas!M567="Paoquan E",158,IF(Atletas!M567="Piguaquan E",159,IF(Atletas!M567="Shaolinquan E",160,IF(Atletas!M567="Tanglangquan E",161,IF(Atletas!M567="Yingzhaoquan E",162,IF(Atletas!M567="Tongbeiquan E",163,IF(Atletas!M567="Wudangquan E",164,IF(Atletas!M567="Outros Estilos E",165,IF(Atletas!M567="Chaquan F",166,IF(Atletas!M567="Emeiquan F",167,IF(Atletas!M567="Fanziquan F",168,IF(Atletas!M567="Huaquan F",169,IF(Atletas!M567="Hongquan F",170,IF(Atletas!M567="Paoquan F",171,IF(Atletas!M567="Piguaquan F",172,IF(Atletas!M567="Shaolinquan F",173,IF(Atletas!M567="Tanglangquan F",174,IF(Atletas!M567="Yingzhaoquan F",175,IF(Atletas!M567="Tongbeiquan F",176,IF(Atletas!M567="Wudangquan F",177,IF(Atletas!M567="Outros Estilos F",178,0))))))))))))))))))))))))))))))))))))))))))</f>
        <v/>
      </c>
      <c r="BU576" s="50" t="str">
        <f>IF(Atletas!N567="","",IF(Atletas!X567&lt;&gt;"",10000,0)+(IF(Atletas!B567="Feminino",1000,IF(Atletas!B567="Masculino",2000,""))+(IF(Atletas!N567="Ditangquan A",201,IF(Atletas!N567="Houquan A",202,IF(Atletas!N567="Zuiquan A",203,IF(Atletas!N567="Ditangquan B",204,IF(Atletas!N567="Houquan B",205,IF(Atletas!N567="Zuiquan B",206,IF(Atletas!N567="Ditangquan C",207,IF(Atletas!N567="Houquan C",208,IF(Atletas!N567="Zuiquan C",209,IF(Atletas!N567="Ditangquan D",210,IF(Atletas!N567="Houquan D",211,IF(Atletas!N567="Zuiquan D",212,IF(Atletas!N567="Ditangquan E",213,IF(Atletas!N567="Houquan E",214,IF(Atletas!N567="Zuiquan E",215,IF(Atletas!N567="Ditangquan F",216,IF(Atletas!N567="Houquan F",217,IF(Atletas!N567="Zuiquan F",218,"")))))))))))))))))))))</f>
        <v/>
      </c>
      <c r="BV576" s="50" t="str">
        <f>IF(Atletas!O567="","",IF(Atletas!X567&lt;&gt;"",10000,0)+IF(Atletas!B567="Feminino",1000,IF(Atletas!B567="Masculino",2000,""))+IF(Atletas!O567="Yang A",301,IF(Atletas!O567="Chen A",302,IF(Atletas!O567="Sun A",303,IF(Atletas!O567="Wu A",304,IF(Atletas!O567="Wu-Hao A",305,IF(Atletas!O567="Outro Taijiquan A",306,IF(Atletas!O567="Yang B",307,IF(Atletas!O567="Chen B",308,IF(Atletas!O567="Sun B",309,IF(Atletas!O567="Wu B",310,IF(Atletas!O567="Wu-Hao B",311,IF(Atletas!O567="Outro Taijiquan B",312,IF(Atletas!O567="Yang C",313,IF(Atletas!O567="Chen C",314,IF(Atletas!O567="Sun C",315,IF(Atletas!O567="Wu C",316,IF(Atletas!O567="Wu-Hao C",317,IF(Atletas!O567="Outro Taijiquan C",318,IF(Atletas!O567="Yang D",319,IF(Atletas!O567="Chen D",320,IF(Atletas!O567="Sun D",321,IF(Atletas!O567="Wu D",322,IF(Atletas!O567="Wu-Hao D",323,IF(Atletas!O567="Outro Taijiquan D",324,IF(Atletas!O567="Yang E",325,IF(Atletas!O567="Chen E",326,IF(Atletas!O567="Sun E",327,IF(Atletas!O567="Wu E",328,IF(Atletas!O567="Wu-Hao E",329,IF(Atletas!O567="Outro Taijiquan E",330,IF(Atletas!O567="Yang F",331,IF(Atletas!O567="Chen F",332,IF(Atletas!O567="Sun F",333,IF(Atletas!O567="Wu F",334,IF(Atletas!O567="Wu-Hao F",335,IF(Atletas!O567="Outro Taijiquan F",336,"")))))))))))))))))))))))))))))))))))))</f>
        <v/>
      </c>
      <c r="BW576" s="50" t="str">
        <f>IF(Atletas!P567="","",IF(Atletas!X567&lt;&gt;"",10000,0)+IF(Atletas!B567="Feminino",1000,IF(Atletas!B567="Masculino",2000,""))+IF(OR(Atletas!P567="Yang 26 A",Atletas!P567="Yang 40 A"),401,IF(OR(Atletas!P567="Chen 25 A",Atletas!P567="Chen 36 A",Atletas!P567="Chen 56 A"),402,IF(Atletas!P567="Sun 73 A",403,IF(Atletas!P567="Wu 45 A",404,IF(Atletas!P567="Wu-Hao 46 A",405,IF(OR(Atletas!P567="Taijiquan 16 A",Atletas!P567="Taijiquan 24 A",Atletas!P567="Taijiquan 32 A",Atletas!P567="Taijiquan 42 A"),406,IF(OR(Atletas!P567="Yang 26 B",Atletas!P567="Yang 40 B"),407,IF(OR(Atletas!P567="Chen 25 B",Atletas!P567="Chen 36 B",Atletas!P567="Chen 56 B"),408,IF(Atletas!P567="Sun 73 B",409,IF(Atletas!P567="Wu 45 B",410,IF(Atletas!P567="Wu-Hao 46 B",411,IF(OR(Atletas!P567="Taijiquan 16 B",Atletas!P567="Taijiquan 24 B",Atletas!P567="Taijiquan 32 B",Atletas!P567="Taijiquan 42 B"),412,IF(OR(Atletas!P567="Yang 26 C",Atletas!P567="Yang 40 C"),413,IF(OR(Atletas!P567="Chen 25 C",Atletas!P567="Chen 36 C",Atletas!P567="Chen 56 C"),414,IF(Atletas!P567="Sun 73 C",415,IF(Atletas!P567="Wu 45 C",416,IF(Atletas!P567="Wu-Hao 46 C",417,IF(OR(Atletas!P567="Taijiquan 16 C",Atletas!P567="Taijiquan 24 C",Atletas!P567="Taijiquan 32 C",Atletas!P567="Taijiquan 42 C"),418,0)))))))))))))))))))</f>
        <v/>
      </c>
      <c r="BX576" s="50" t="str">
        <f>IF(Atletas!P567="","",IF(Atletas!X567&lt;&gt;"",10000,0)+IF(Atletas!B567="Feminino",1000,IF(Atletas!B567="Masculino",2000,""))+IF(OR(Atletas!P567="Yang 26 D",Atletas!P567="Yang 40 D"),419,IF(OR(Atletas!P567="Chen 25 D",Atletas!P567="Chen 36 D",Atletas!P567="Chen 56 D"),420,IF(Atletas!P567="Sun 73 D",421,IF(Atletas!P567="Wu 45 D",422,IF(Atletas!P567="Wu-Hao 46 D",423,IF(OR(Atletas!P567="Taijiquan 16 D",Atletas!P567="Taijiquan 24 D",Atletas!P567="Taijiquan 32 D",Atletas!P567="Taijiquan 42 D"),424,IF(OR(Atletas!P567="Yang 26 E",Atletas!P567="Yang 40 E"),425,IF(OR(Atletas!P567="Chen 25 E",Atletas!P567="Chen 36 E",Atletas!P567="Chen 56 E"),426,IF(Atletas!P567="Sun 73 E",427,IF(Atletas!P567="Wu 45 E",428,IF(Atletas!P567="Wu-Hao 46 E",429,IF(OR(Atletas!P567="Taijiquan 16 E",Atletas!P567="Taijiquan 24 E",Atletas!P567="Taijiquan 32 E",Atletas!P567="Taijiquan 42 E"),430,IF(OR(Atletas!P567="Yang 26 F",Atletas!P567="Yang 40 F"),431,IF(OR(Atletas!P567="Chen 25 F",Atletas!P567="Chen 36 F",Atletas!P567="Chen 56 F"),432,IF(Atletas!P567="Sun 73 F",433,IF(Atletas!P567="Wu 45 F",434,IF(Atletas!P567="Wu-Hao 46 F",435,IF(OR(Atletas!P567="Taijiquan 16 F",Atletas!P567="Taijiquan 24 F",Atletas!P567="Taijiquan 32 F",Atletas!P567="Taijiquan 42 F"),436,0)))))))))))))))))))</f>
        <v/>
      </c>
      <c r="BY576" s="50" t="str">
        <f>IF(Atletas!Q567="","",IF(Atletas!X567&lt;&gt;"",10000,0)+IF(Atletas!B567="Feminino",1000,IF(Atletas!B567="Masculino",2000,""))+IF(Atletas!Q567="Xingyiquan A",501,IF(Atletas!Q567="Baguazhang A",502,IF(Atletas!Q567="Outro Estilo Interno A",503,IF(Atletas!Q567="Xingyiquan B",504,IF(Atletas!Q567="Baguazhang B",505,IF(Atletas!Q567="Outro Estilo Interno B",506,IF(Atletas!Q567="Xingyiquan C",507,IF(Atletas!Q567="Baguazhang C",508,IF(Atletas!Q567="Outro Estilo Interno C",509,IF(Atletas!Q567="Xingyiquan D",510,IF(Atletas!Q567="Baguazhang D",511,IF(Atletas!Q567="Outro Estilo Interno D",512,IF(Atletas!Q567="Xingyiquan E",513,IF(Atletas!Q567="Baguazhang E",514,IF(Atletas!Q567="Outro Estilo Interno E",515,IF(Atletas!Q567="Xingyiquan F",516,IF(Atletas!Q567="Baguazhang F",517,IF(Atletas!Q567="Outro Estilo Interno F",518, "")))))))))))))))))))</f>
        <v/>
      </c>
      <c r="BZ576" s="50" t="str">
        <f>IF(Atletas!R567="","",IF(Atletas!X567&lt;&gt;"",10000,0)+IF(Atletas!B567="Feminino",1000,IF(Atletas!B567="Masculino",2000,""))+IF(Atletas!R567="Dao A",601,IF(Atletas!R567="Jian A",602,IF(Atletas!R567="Bishou A",603,IF(Atletas!R567="Shanzi A",604,IF(Atletas!R567="Outra Arma Curta A",605,IF(Atletas!R567="Dao B",606,IF(Atletas!R567="Jian B",607,IF(Atletas!R567="Bishou B",608,IF(Atletas!R567="Shanzi B",609,IF(Atletas!R567="Outra Arma Curta B",610,IF(Atletas!R567="Dao C",611,IF(Atletas!R567="Jian C",612,IF(Atletas!R567="Bishou C",613,IF(Atletas!R567="Shanzi C",614,IF(Atletas!R567="Outra Arma Curta C",615,IF(Atletas!R567="Dao D",616,IF(Atletas!R567="Jian D",617,IF(Atletas!R567="Bishou D",618,IF(Atletas!R567="Shanzi D",619,IF(Atletas!R567="Outra Arma Curta D",620,IF(Atletas!R567="Dao E",621,IF(Atletas!R567="Jian E",622,IF(Atletas!R567="Bishou E",623,IF(Atletas!R567="Shanzi E",624,IF(Atletas!R567="Outra Arma Curta E",625,IF(Atletas!R567="Dao F",626,IF(Atletas!R567="Jian F",627,IF(Atletas!R567="Bishou F",628,IF(Atletas!R567="Shanzi F",629,IF(Atletas!R567="Outra Arma Curta F",630, "")))))))))))))))))))))))))))))))</f>
        <v/>
      </c>
      <c r="CA576" s="50" t="str">
        <f>IF(Atletas!S567="","",IF(Atletas!X567&lt;&gt;"",10000,0)+IF(Atletas!B567="Feminino",1000,IF(Atletas!B567="Masculino",2000,""))+IF(Atletas!S567="Gun A",701,IF(Atletas!S567="Qiang A",702,IF(Atletas!S567="Pudao / Guandao A",703,IF(Atletas!S567="Outra Arma Longa A",704,IF(Atletas!S567="Gun B",705,IF(Atletas!S567="Qiang B",706,IF(Atletas!S567="Pudao / Guandao B",707,IF(Atletas!S567="Outra Arma Longa B",708,IF(Atletas!S567="Gun C",709,IF(Atletas!S567="Qiang C",710,IF(Atletas!S567="Pudao / Guandao C",711,IF(Atletas!S567="Outra Arma Longa C",712,IF(Atletas!S567="Gun D",713,IF(Atletas!S567="Qiang D",714,IF(Atletas!S567="Pudao / Guandao D",715,IF(Atletas!S567="Outra Arma Longa D",716,IF(Atletas!S567="Gun E",717,IF(Atletas!S567="Qiang E",718,IF(Atletas!S567="Pudao / Guandao E",719,IF(Atletas!S567="Outra Arma Longa E",720,IF(Atletas!S567="Gun F",721,IF(Atletas!S567="Qiang F",722,IF(Atletas!S567="Pudao / Guandao F",723,IF(Atletas!S567="Outra Arma Longa F",724,"")))))))))))))))))))))))))</f>
        <v/>
      </c>
      <c r="CB576" s="50" t="str">
        <f>IF(Atletas!T567="","",IF(Atletas!X567&lt;&gt;"",10000,0)+IF(Atletas!B567="Feminino",1000,IF(Atletas!B567="Masculino",2000,""))+IF(Atletas!T567="Outra Arma Dupla A",801,IF(Atletas!T567="Arma Maleável A",802,IF(Atletas!T567="Outra Arma Dupla B",803,IF(Atletas!T567="Arma Maleável B",804,IF(Atletas!T567="Outra Arma Dupla C",805,IF(Atletas!T567="Arma Maleável C",806,IF(Atletas!T567="Outra Arma Dupla D",807,IF(Atletas!T567="Arma Maleável D",808,IF(Atletas!T567="Outra Arma Dupla E",809,IF(Atletas!T567="Arma Maleável E",810,IF(Atletas!T567="Outra Arma Dupla F",811,IF(Atletas!T567="Arma Maleável F",812,IF(Atletas!T567="Shuangdao A",813,IF(Atletas!T567="Shuangdao B",814,IF(Atletas!T567="Shuangdao C",815,IF(Atletas!T567="Shuangdao D",816,IF(Atletas!T567="Shuangdao E",817,IF(Atletas!T567="Shuangdao F",818,"")))))))))))))))))))</f>
        <v/>
      </c>
      <c r="CC576" s="50" t="str">
        <f>IF(Atletas!U567="","",IF(Atletas!X567&lt;&gt;"",10000,0)+IF(Atletas!B567="Feminino",1000,IF(Atletas!B567="Masculino",2000,""))+IF(OR(Atletas!U567="Taijijian Yang A",Atletas!U567="Taijijian Yang Standard A"),901,IF(OR(Atletas!U567="Taijijian Chen A", Atletas!U567="Taijijian Chen Standard A"),902,IF(Atletas!U567="Taijijian Sun A",903,IF(Atletas!U567="Taijijian Wu A",904,IF(Atletas!U567="Taijijian Wu-Hao A",905,IF(OR(Atletas!U567="Taijijian 32 A",Atletas!U567="Taijijian 42 A"),906,IF(OR(Atletas!U567="Taijijian Yang B",Atletas!U567="Taijijian Yang Standard B"),907,IF(OR(Atletas!U567="Taijijian Chen B", Atletas!U567="Taijijian Chen Standard B"),908,IF(Atletas!U567="Taijijian Sun B",909,IF(Atletas!U567="Taijijian Wu B",910,IF(Atletas!U567="Taijijian Wu-Hao B",911,IF(OR(Atletas!U567="Taijijian 32 B",Atletas!U567="Taijijian 42 B"),912,IF(OR(Atletas!U567="Taijijian Yang C",Atletas!U567="Taijijian Yang Standard C"),913,IF(OR(Atletas!U567="Taijijian Chen C", Atletas!U567="Taijijian Chen Standard C"),914,IF(Atletas!U567="Taijijian Sun C",915,IF(Atletas!U567="Taijijian Wu C",916,IF(Atletas!U567="Taijijian Wu-Hao C",917,IF(OR(Atletas!U567="Taijijian 32 C",Atletas!U567="Taijijian 42 C"),918,IF(OR(Atletas!U567="Taijijian Yang D",Atletas!U567="Taijijian Yang Standard D"),919,IF(OR(Atletas!U567="Taijijian Chen D", Atletas!U567="Taijijian Chen Standard D"),920,IF(Atletas!U567="Taijijian Sun D",921,IF(Atletas!U567="Taijijian Wu D",922,IF(Atletas!U567="Taijijian Wu-Hao D",923,IF(OR(Atletas!U567="Taijijian 32 D",Atletas!U567="Taijijian 42 D"),924,IF(OR(Atletas!U567="Taijijian Yang E",Atletas!U567="Taijijian Yang Standard E"),925,IF(OR(Atletas!U567="Taijijian Chen E", Atletas!U567="Taijijian Chen Standard E"),926,IF(Atletas!U567="Taijijian Sun E",927,IF(Atletas!U567="Taijijian Wu E",928,IF(Atletas!U567="Taijijian Wu-Hao E",929,IF(OR(Atletas!U567="Taijijian 32 E",Atletas!U567="Taijijian 42 E"),930,IF(OR(Atletas!U567="Taijijian Yang F",Atletas!U567="Taijijian Yang Standard F"),931,IF(OR(Atletas!U567="Taijijian Chen F", Atletas!U567="Taijijian Chen Standard F"),932,IF(Atletas!U567="Taijijian Sun F",933,IF(Atletas!U567="Taijijian Wu F",934,IF(Atletas!U567="Taijijian Wu-Hao F",935,IF(OR(Atletas!U567="Taijijian 32 F",Atletas!U567="Taijijian 42 F"),936,"")))))))))))))))))))))))))))))))))))))</f>
        <v/>
      </c>
      <c r="CD576" s="50" t="str">
        <f>IF(Atletas!V567="","",IF(Atletas!X567&lt;&gt;"",10000,0)+IF(Atletas!B567="Feminino",1000,IF(Atletas!B567="Masculino",2000,""))+IF(Atletas!V567="Taijidao A",937,IF(Atletas!V567="TaijiShanzi A",938,IF(Atletas!V567="Taijiqiang A",939,IF(Atletas!V567="Bagua de Arma A",940,IF(Atletas!V567="Xingyi de Arma A",941,IF(Atletas!V567="Taijidao B",942,IF(Atletas!V567="TaijiShanzi B",943,IF(Atletas!V567="Taijiqiang B",944,IF(Atletas!V567="Bagua de Arma B",945,IF(Atletas!V567="Xingyi de Arma B",946,IF(Atletas!V567="Taijidao C",947,IF(Atletas!V567="TaijiShanzi C",948,IF(Atletas!V567="Taijiqiang C",949,IF(Atletas!V567="Bagua de Arma C",950,IF(Atletas!V567="Xingyi de Arma C",951,IF(Atletas!V567="Taijidao D",952,IF(Atletas!V567="TaijiShanzi D",953,IF(Atletas!V567="Taijiqiang D",954,IF(Atletas!V567="Bagua de Arma D",955,IF(Atletas!V567="Xingyi de Arma D",956,IF(Atletas!V567="Taijidao E",957,IF(Atletas!V567="TaijiShanzi E",958,IF(Atletas!V567="Taijiqiang E",959,IF(Atletas!V567="Bagua de Arma E",960,IF(Atletas!V567="Xingyi de Arma E",961,IF(Atletas!V567="Taijidao F",962,IF(Atletas!V567="TaijiShanzi F",963,IF(Atletas!V567="Taijiqiang F",964,IF(Atletas!V567="Bagua de Arma F",965,IF(Atletas!V567="Xingyi de Arma F",966,"")))))))))))))))))))))))))))))))</f>
        <v/>
      </c>
      <c r="CM576" s="50" t="str">
        <f xml:space="preserve"> IF(Atletas!W567="","",IF(Atletas!W567="Duilian de Mãos BC - Equipe 1",1,IF(Atletas!W567="Duilian de Mãos BC - Equipe 2",2,IF(Atletas!W567="Duilian de Armas BC - Equipe 1",3,IF(Atletas!W567="Duilian de Armas BC - Equipe 2",4,IF(Atletas!W567="Duilian de Mãos DE - Equipe 1",5,IF(Atletas!W567="Duilian de Mãos DE - Equipe 2",6,IF(Atletas!W567="Duilian de Armas DE - Equipe 1",7,IF(Atletas!W567="Duilian de Armas DE - Equipe 2",8,IF(Atletas!W567="Duilian de Tuishou - Equipe 1",9,IF(Atletas!W567="Duilian de Tuishou - Equipe 2",10,IF(Atletas!W567="Grupo Externo ABC - Equipe 1",11,IF(Atletas!W567="Grupo Externo ABC - Equipe 2",12,IF(Atletas!W567="Grupo Interno ABC - Equipe 1",13,IF(Atletas!W567="Grupo Interno ABC - Equipe 2",14,IF(Atletas!W567="Grupo Externo DEF - Equipe 1",15,IF(Atletas!W567="Grupo Externo DEF - Equipe 2",16,IF(Atletas!W567="Grupo Interno DEF - Equipe 1",17,IF(Atletas!W567="Grupo Interno DEF - Equipe 2",18,"")))))))))))))))))))</f>
        <v/>
      </c>
    </row>
    <row r="577" spans="40:91">
      <c r="AN577" s="52" t="str">
        <f>IF(Atletas!D568="","",IF(Atletas!B568="Feminino",100,IF(Atletas!B568="Masculino",200,""))+(IF(Atletas!D568="Kids 30kg",1,IF(Atletas!D568="Kids 32kg",2, IF(Atletas!D568="Kids 34kg",3,IF(Atletas!D568="Kids 36kg",4,IF(Atletas!D568="Kids 39kg",5,IF(Atletas!D568="Kids 42kg",6,IF(Atletas!D568="Kids 45kg",7, IF(Atletas!D568="Infantil 39kg",8,IF(Atletas!D568="Infantil 42kg",9,IF(Atletas!D568="Infantil 45kg",10,IF(Atletas!D568="Infantil 48kg",11,IF(Atletas!D568="Infantil 52kg",12,IF(Atletas!D568="Infantil 56kg",13,IF(Atletas!D568="Infantil 60kg",14,IF(Atletas!D568="Juvenil 48kg",15,IF(Atletas!D568="Juvenil 52kg",16,IF(Atletas!D568="Juvenil 56kg",17,IF(Atletas!D568="Juvenil 60kg",18,IF(Atletas!D568="Juvenil 65kg",19,IF(Atletas!D568="Juvenil 70kg",20,IF(Atletas!D568="Juvenil 75kg",21,IF(Atletas!D568="Juvenil 80kg",22, IF(Atletas!D568="Juvenil 85kg",23,IF(Atletas!D568="Adulto 48kg",24,IF(Atletas!D568="Adulto 52kg",25,IF(Atletas!D568="Adulto 56kg",26,IF(Atletas!D568="Adulto 60kg",27,IF(Atletas!D568="Adulto 65kg",28,IF(Atletas!D568="Adulto 70kg",29,IF(Atletas!D568="Adulto 75kg",30,IF(Atletas!D568="Adulto 80kg",31,IF(Atletas!D568="Adulto 85kg",32,IF(Atletas!D568="Adulto 90kg",33,IF(Atletas!D568="Adulto 100kg",34, IF(Atletas!D568="Adulto +100kg",35,"")))))))))))))))))))))))))))))))))))))</f>
        <v/>
      </c>
      <c r="AS577" s="6" t="str">
        <f>IF(Atletas!E568="","",IF(Atletas!B568="Feminino",100,IF(Atletas!B568="Masculino",200,""))+(IF(Atletas!E568="Juvenil 44kg",1,IF(Atletas!E568="Juvenil 48kg",2,IF(Atletas!E568="Juvenil 52kg",3,IF(Atletas!E568="Juvenil 56kg",4,IF(Atletas!E568="Juvenil 60kg",5,IF(Atletas!E568="Juvenil 65kg",6,IF(Atletas!E568="Juvenil 70kg",7,IF(Atletas!E568="Juvenil 75kg",8,IF(Atletas!E568="Juvenil 82kg",9,IF(Atletas!E568="Juvenil 90kg",10,IF(Atletas!E568="Juvenil 100kg",11,IF(Atletas!E568="Adulto 48kg",12,IF(Atletas!E568="Adulto 52kg",13,IF(Atletas!E568="Adulto 56kg",14,IF(Atletas!E568="Adulto 60kg",15,IF(Atletas!E568="Adulto 65kg",16,IF(Atletas!E568="Adulto 70kg",17,IF(Atletas!E568="Adulto 75kg",18,IF(Atletas!E568="Adulto 82kg",19,IF(Atletas!E568="Adulto 90kg",20,IF(Atletas!E568="Adulto 100kg",21,IF(Atletas!E568="Adulto +100kg",22,""))))))))))))))))))))))))</f>
        <v/>
      </c>
      <c r="AX577" s="6" t="str">
        <f>IF(Atletas!F568="","",IF(Atletas!B568="Feminino",100,IF(Atletas!B568="Masculino",200,""))+(IF(Atletas!F568="Adulto 48kg",1,IF(Atletas!F568="Adulto 56kg",2,IF(Atletas!F568="Adulto 65kg",3,IF(Atletas!F568="Adulto 75kg",4,IF(Atletas!F568="Adulto +75kg",5,IF(Atletas!F568="Adulto 52kg",6,IF(Atletas!F568="Adulto 60kg",7,IF(Atletas!F568="Adulto 70kg",8,IF(Atletas!F568="Adulto 80kg",9,IF(Atletas!F568="Adulto 90kg",10,IF(Atletas!F568="Adulto +90kg",11,"")))))))))))))</f>
        <v/>
      </c>
      <c r="BC577" s="6" t="str">
        <f>IF(Atletas!G568="","",IF(Atletas!B568="Feminino",10,IF(Atletas!B568="Masculino",20,""))+(IF(Atletas!G568="Baduanjin A",1,IF(Atletas!G568="Baduanjin B",2))))</f>
        <v/>
      </c>
      <c r="BF577" s="52" t="str">
        <f>IF(Atletas!H568="","",IF(Atletas!B568="Feminino",100,IF(Atletas!B568="Masculino",200,""))+(IF(Atletas!H568="Changquan Mirim",1,IF(Atletas!H568="Nanquan Mirim",2,IF(Atletas!H568="Taijiquan Mirim",3,IF(Atletas!H568="Changquan Grupo C",4,IF(Atletas!H568="Nanquan Grupo C",5,IF(Atletas!H568="Taijiquan Grupo C",6,IF(Atletas!H568="Changquan Grupo B",7,IF(Atletas!H568="Nanquan Grupo B",8,IF(Atletas!H568="Taijiquan Grupo B",9,IF(Atletas!H568="Changquan Grupo A",10,IF(Atletas!H568="Nanquan Grupo A",11,IF(Atletas!H568="Taijiquan Grupo A",12,IF(Atletas!H568="Changquan Opcional",13,IF(Atletas!H568="Nanquan Opcional",14,IF(Atletas!H568="Taijiquan Opcional",15,IF(Atletas!H568="Changquan Adulto",16,IF(Atletas!H568="Nanquan Adulto",17,IF(Atletas!H568="Taijiquan Adulto",18,""))))))))))))))))))))</f>
        <v/>
      </c>
      <c r="BG577" s="52" t="str">
        <f>IF(Atletas!I568="","",IF(Atletas!B568="Feminino",100,IF(Atletas!B568="Masculino",200,""))+(IF(Atletas!I568="Daoshu Mirim",19,IF(Atletas!I568="Jianshu Mirim",20,IF(Atletas!I568="Nandao Mirim",21,IF(Atletas!I568="Taijijian Mirim",22,IF(Atletas!I568="Daoshu Grupo C",23,IF(Atletas!I568="Jianshu Grupo C",24,IF(Atletas!I568="Nandao Grupo C",25,IF(Atletas!I568="Taijijian Grupo C",26,IF(Atletas!I568="Daoshu Grupo B",27,IF(Atletas!I568="Jianshu Grupo B",28,IF(Atletas!I568="Nandao Grupo B",29,IF(Atletas!I568="Taijijian Grupo B",30,IF(Atletas!I568="Daoshu Grupo A",31,IF(Atletas!I568="Jianshu Grupo A",32,IF(Atletas!I568="Nandao Grupo A",33,IF(Atletas!I568="Taijijian Grupo A",34,IF(Atletas!I568="Daoshu Opcional",35,IF(Atletas!I568="Jianshu Opcional",36,IF(Atletas!I568="Nandao Opcional",37,IF(Atletas!I568="Taijijian Opcional",38,IF(Atletas!I568="Daoshu Adulto",39,IF(Atletas!I568="Jianshu Adulto",40,IF(Atletas!I568="Nandao Adulto",41,IF(Atletas!I568="Taijijian Adulto",42,""))))))))))))))))))))))))))</f>
        <v/>
      </c>
      <c r="BH577" s="52" t="str">
        <f>IF(Atletas!J568="","",IF(Atletas!B568="Feminino",100,IF(Atletas!B568="Masculino",200,""))+(IF(Atletas!J568="Gunshu Mirim",43,IF(Atletas!J568="Qiangshu Mirim",44,IF(Atletas!J568="Nangun Mirim",45,IF(Atletas!J568="Gunshu Grupo C",46,IF(Atletas!J568="Qiangshu Grupo C",47,IF(Atletas!J568="Nangun Grupo C",48,IF(Atletas!J568="Gunshu Grupo B",49,IF(Atletas!J568="Qiangshu Grupo B",50,IF(Atletas!J568="Nangun Grupo B",51,IF(Atletas!J568="Gunshu Grupo A",52,IF(Atletas!J568="Qiangshu Grupo A",53,IF(Atletas!J568="Nangun Grupo A",54,IF(Atletas!J568="Gunshu Opcional",55,IF(Atletas!J568="Qiangshu Opcional",56,IF(Atletas!J568="Nangun Opcional",57,IF(Atletas!J568="Gunshu Adulto",58,IF(Atletas!J568="Qiangshu Adulto",59,IF(Atletas!J568="Nangun Adulto",60,IF(Atletas!J568="Taijishan Grupo B",61,IF(Atletas!J568="Taijishan Grupo A",62,""))))))))))))))))))))))</f>
        <v/>
      </c>
      <c r="BM577" s="50" t="str">
        <f>IF(Atletas!K568="","",IF(Atletas!B568="Feminino",100,IF(Atletas!B568="Masculino",200,""))+(IF(Atletas!K568="Equipe 1 Grupo B",1,IF(Atletas!K568="Equipe 2 Grupo B",2,IF(Atletas!K568="Equipe 1 Grupo A",3,IF(Atletas!K568="Equipe 2 Grupo A",4,IF(Atletas!K568="Equipe 1 Adulto",5,IF(Atletas!K568="Equipe 2 Adulto",6,""))))))))</f>
        <v/>
      </c>
      <c r="BR577" s="50" t="str">
        <f>IF(Atletas!L568="","",IF(Atletas!X568&lt;&gt;"",10000,0)+(IF(Atletas!B568="Feminino",1000,IF(Atletas!B568="Masculino",2000,""))+IF(Atletas!L568="Choylayfut A",1,IF(Atletas!L568="Hunggar A",2,IF(Atletas!L568="Wuzuquan A",3,IF(Atletas!L568="Wingchun A",4,IF(Atletas!L568="Outra Mão de Sul A",5,IF(Atletas!L568="Choylayfut B",6,IF(Atletas!L568="Hunggar B",7,IF(Atletas!L568="Wuzuquan B",8,IF(Atletas!L568="Wingchun B",9,IF(Atletas!L568="Outra Mão de Sul B",10,IF(Atletas!L568="Choylayfut C",11,IF(Atletas!L568="Hunggar C",12,IF(Atletas!L568="Wuzuquan C",13,IF(Atletas!L568="Wingchun C",14,IF(Atletas!L568="Outra Mão de Sul C",15,IF(Atletas!L568="Choylayfut D",16,IF(Atletas!L568="Hunggar D",17,IF(Atletas!L568="Wuzuquan D",18,IF(Atletas!L568="Wingchun D",19,IF(Atletas!L568="Outra Mão de Sul D",20,IF(Atletas!L568="Choylayfut E",21,IF(Atletas!L568="Hunggar E",22,IF(Atletas!L568="Wuzuquan E",23,IF(Atletas!L568="Wingchun E",24,IF(Atletas!L568="Outra Mão de Sul E",25,IF(Atletas!L568="Choylayfut F",26,IF(Atletas!L568="Hunggar F",27,IF(Atletas!L568="Wuzuquan F",28,IF(Atletas!L568="Wingchun F",29,IF(Atletas!L568="Outra Mão de Sul F",30,IF(Atletas!L568="Dishuquan A",31,IF(Atletas!L568="Dishuquan B",32,IF(Atletas!L568="Dishuquan C",33,IF(Atletas!L568="Dishuquan D",34,IF(Atletas!L568="Dishuquan E",35,IF(Atletas!L568="Dishuquan F",36,""))))))))))))))))))))))))))))))))))))))</f>
        <v/>
      </c>
      <c r="BS577" s="50" t="str">
        <f>IF(Atletas!M568="","",IF(Atletas!X568&lt;&gt;"",10000,0)+(IF(Atletas!B568="Feminino",1000,IF(Atletas!B568="Masculino",2000,""))+(IF(Atletas!M568="Chaquan A",101,IF(Atletas!M568="Emeiquan A",102,IF(Atletas!M568="Fanziquan A",103,IF(Atletas!M568="Huaquan A",104,IF(Atletas!M568="Hongquan A",105,IF(Atletas!M568="Paoquan A",106,IF(Atletas!M568="Piguaquan A",107,IF(Atletas!M568="Shaolinquan A",108,IF(Atletas!M568="Tanglangquan A",109,IF(Atletas!M568="Yingzhaoquan A",110,IF(Atletas!M568="Tongbeiquan A",111,IF(Atletas!M568="Wudangquan A",112,IF(Atletas!M568="Outros Estilos A",113,IF(Atletas!M568="Chaquan B",114,IF(Atletas!M568="Emeiquan B",115,IF(Atletas!M568="Fanziquan B",116,IF(Atletas!M568="Huaquan B",117,IF(Atletas!M568="Hongquan B",118,IF(Atletas!M568="Paoquan B",119,IF(Atletas!M568="Piguaquan B",120,IF(Atletas!M568="Shaolinquan B",121,IF(Atletas!M568="Tanglangquan B",122,IF(Atletas!M568="Yingzhaoquan B",123,IF(Atletas!M568="Tongbeiquan B",124,IF(Atletas!M568="Wudangquan B",125,IF(Atletas!M568="Outros Estilos B",126,IF(Atletas!M568="Chaquan C",127,IF(Atletas!M568="Emeiquan C",128,IF(Atletas!M568="Fanziquan C",129,IF(Atletas!M568="Huaquan C",130,IF(Atletas!M568="Hongquan C",131,IF(Atletas!M568="Paoquan C",132,IF(Atletas!M568="Piguaquan C",133,IF(Atletas!M568="Shaolinquan C",134,IF(Atletas!M568="Tanglangquan C",135,IF(Atletas!M568="Yingzhaoquan C",136,IF(Atletas!M568="Tongbeiquan C",137,IF(Atletas!M568="Wudangquan C",138,IF(Atletas!M568="Outros Estilos C",139,0))))))))))))))))))))))))))))))))))))))))))</f>
        <v/>
      </c>
      <c r="BT577" s="50" t="str">
        <f>IF(Atletas!M568="","",IF(Atletas!X568&lt;&gt;"",10000,0)+(IF(Atletas!B568="Feminino",1000,IF(Atletas!B568="Masculino",2000,""))+(IF(Atletas!M568="Chaquan D",140,IF(Atletas!M568="Emeiquan D",141,IF(Atletas!M568="Fanziquan D",142,IF(Atletas!M568="Huaquan D",143,IF(Atletas!M568="Hongquan D",144,IF(Atletas!M568="Paoquan D",145,IF(Atletas!M568="Piguaquan D",146,IF(Atletas!M568="Shaolinquan D",147,IF(Atletas!M568="Tanglangquan D",148,IF(Atletas!M568="Yingzhaoquan D",149,IF(Atletas!M568="Tongbeiquan D",150,IF(Atletas!M568="Wudangquan D",151,IF(Atletas!M568="Outros Estilos D",152,IF(Atletas!M568="Chaquan E",153,IF(Atletas!M568="Emeiquan E",154,IF(Atletas!M568="Fanziquan E",155,IF(Atletas!M568="Huaquan E",156,IF(Atletas!M568="Hongquan E",157,IF(Atletas!M568="Paoquan E",158,IF(Atletas!M568="Piguaquan E",159,IF(Atletas!M568="Shaolinquan E",160,IF(Atletas!M568="Tanglangquan E",161,IF(Atletas!M568="Yingzhaoquan E",162,IF(Atletas!M568="Tongbeiquan E",163,IF(Atletas!M568="Wudangquan E",164,IF(Atletas!M568="Outros Estilos E",165,IF(Atletas!M568="Chaquan F",166,IF(Atletas!M568="Emeiquan F",167,IF(Atletas!M568="Fanziquan F",168,IF(Atletas!M568="Huaquan F",169,IF(Atletas!M568="Hongquan F",170,IF(Atletas!M568="Paoquan F",171,IF(Atletas!M568="Piguaquan F",172,IF(Atletas!M568="Shaolinquan F",173,IF(Atletas!M568="Tanglangquan F",174,IF(Atletas!M568="Yingzhaoquan F",175,IF(Atletas!M568="Tongbeiquan F",176,IF(Atletas!M568="Wudangquan F",177,IF(Atletas!M568="Outros Estilos F",178,0))))))))))))))))))))))))))))))))))))))))))</f>
        <v/>
      </c>
      <c r="BU577" s="50" t="str">
        <f>IF(Atletas!N568="","",IF(Atletas!X568&lt;&gt;"",10000,0)+(IF(Atletas!B568="Feminino",1000,IF(Atletas!B568="Masculino",2000,""))+(IF(Atletas!N568="Ditangquan A",201,IF(Atletas!N568="Houquan A",202,IF(Atletas!N568="Zuiquan A",203,IF(Atletas!N568="Ditangquan B",204,IF(Atletas!N568="Houquan B",205,IF(Atletas!N568="Zuiquan B",206,IF(Atletas!N568="Ditangquan C",207,IF(Atletas!N568="Houquan C",208,IF(Atletas!N568="Zuiquan C",209,IF(Atletas!N568="Ditangquan D",210,IF(Atletas!N568="Houquan D",211,IF(Atletas!N568="Zuiquan D",212,IF(Atletas!N568="Ditangquan E",213,IF(Atletas!N568="Houquan E",214,IF(Atletas!N568="Zuiquan E",215,IF(Atletas!N568="Ditangquan F",216,IF(Atletas!N568="Houquan F",217,IF(Atletas!N568="Zuiquan F",218,"")))))))))))))))))))))</f>
        <v/>
      </c>
      <c r="BV577" s="50" t="str">
        <f>IF(Atletas!O568="","",IF(Atletas!X568&lt;&gt;"",10000,0)+IF(Atletas!B568="Feminino",1000,IF(Atletas!B568="Masculino",2000,""))+IF(Atletas!O568="Yang A",301,IF(Atletas!O568="Chen A",302,IF(Atletas!O568="Sun A",303,IF(Atletas!O568="Wu A",304,IF(Atletas!O568="Wu-Hao A",305,IF(Atletas!O568="Outro Taijiquan A",306,IF(Atletas!O568="Yang B",307,IF(Atletas!O568="Chen B",308,IF(Atletas!O568="Sun B",309,IF(Atletas!O568="Wu B",310,IF(Atletas!O568="Wu-Hao B",311,IF(Atletas!O568="Outro Taijiquan B",312,IF(Atletas!O568="Yang C",313,IF(Atletas!O568="Chen C",314,IF(Atletas!O568="Sun C",315,IF(Atletas!O568="Wu C",316,IF(Atletas!O568="Wu-Hao C",317,IF(Atletas!O568="Outro Taijiquan C",318,IF(Atletas!O568="Yang D",319,IF(Atletas!O568="Chen D",320,IF(Atletas!O568="Sun D",321,IF(Atletas!O568="Wu D",322,IF(Atletas!O568="Wu-Hao D",323,IF(Atletas!O568="Outro Taijiquan D",324,IF(Atletas!O568="Yang E",325,IF(Atletas!O568="Chen E",326,IF(Atletas!O568="Sun E",327,IF(Atletas!O568="Wu E",328,IF(Atletas!O568="Wu-Hao E",329,IF(Atletas!O568="Outro Taijiquan E",330,IF(Atletas!O568="Yang F",331,IF(Atletas!O568="Chen F",332,IF(Atletas!O568="Sun F",333,IF(Atletas!O568="Wu F",334,IF(Atletas!O568="Wu-Hao F",335,IF(Atletas!O568="Outro Taijiquan F",336,"")))))))))))))))))))))))))))))))))))))</f>
        <v/>
      </c>
      <c r="BW577" s="50" t="str">
        <f>IF(Atletas!P568="","",IF(Atletas!X568&lt;&gt;"",10000,0)+IF(Atletas!B568="Feminino",1000,IF(Atletas!B568="Masculino",2000,""))+IF(OR(Atletas!P568="Yang 26 A",Atletas!P568="Yang 40 A"),401,IF(OR(Atletas!P568="Chen 25 A",Atletas!P568="Chen 36 A",Atletas!P568="Chen 56 A"),402,IF(Atletas!P568="Sun 73 A",403,IF(Atletas!P568="Wu 45 A",404,IF(Atletas!P568="Wu-Hao 46 A",405,IF(OR(Atletas!P568="Taijiquan 16 A",Atletas!P568="Taijiquan 24 A",Atletas!P568="Taijiquan 32 A",Atletas!P568="Taijiquan 42 A"),406,IF(OR(Atletas!P568="Yang 26 B",Atletas!P568="Yang 40 B"),407,IF(OR(Atletas!P568="Chen 25 B",Atletas!P568="Chen 36 B",Atletas!P568="Chen 56 B"),408,IF(Atletas!P568="Sun 73 B",409,IF(Atletas!P568="Wu 45 B",410,IF(Atletas!P568="Wu-Hao 46 B",411,IF(OR(Atletas!P568="Taijiquan 16 B",Atletas!P568="Taijiquan 24 B",Atletas!P568="Taijiquan 32 B",Atletas!P568="Taijiquan 42 B"),412,IF(OR(Atletas!P568="Yang 26 C",Atletas!P568="Yang 40 C"),413,IF(OR(Atletas!P568="Chen 25 C",Atletas!P568="Chen 36 C",Atletas!P568="Chen 56 C"),414,IF(Atletas!P568="Sun 73 C",415,IF(Atletas!P568="Wu 45 C",416,IF(Atletas!P568="Wu-Hao 46 C",417,IF(OR(Atletas!P568="Taijiquan 16 C",Atletas!P568="Taijiquan 24 C",Atletas!P568="Taijiquan 32 C",Atletas!P568="Taijiquan 42 C"),418,0)))))))))))))))))))</f>
        <v/>
      </c>
      <c r="BX577" s="50" t="str">
        <f>IF(Atletas!P568="","",IF(Atletas!X568&lt;&gt;"",10000,0)+IF(Atletas!B568="Feminino",1000,IF(Atletas!B568="Masculino",2000,""))+IF(OR(Atletas!P568="Yang 26 D",Atletas!P568="Yang 40 D"),419,IF(OR(Atletas!P568="Chen 25 D",Atletas!P568="Chen 36 D",Atletas!P568="Chen 56 D"),420,IF(Atletas!P568="Sun 73 D",421,IF(Atletas!P568="Wu 45 D",422,IF(Atletas!P568="Wu-Hao 46 D",423,IF(OR(Atletas!P568="Taijiquan 16 D",Atletas!P568="Taijiquan 24 D",Atletas!P568="Taijiquan 32 D",Atletas!P568="Taijiquan 42 D"),424,IF(OR(Atletas!P568="Yang 26 E",Atletas!P568="Yang 40 E"),425,IF(OR(Atletas!P568="Chen 25 E",Atletas!P568="Chen 36 E",Atletas!P568="Chen 56 E"),426,IF(Atletas!P568="Sun 73 E",427,IF(Atletas!P568="Wu 45 E",428,IF(Atletas!P568="Wu-Hao 46 E",429,IF(OR(Atletas!P568="Taijiquan 16 E",Atletas!P568="Taijiquan 24 E",Atletas!P568="Taijiquan 32 E",Atletas!P568="Taijiquan 42 E"),430,IF(OR(Atletas!P568="Yang 26 F",Atletas!P568="Yang 40 F"),431,IF(OR(Atletas!P568="Chen 25 F",Atletas!P568="Chen 36 F",Atletas!P568="Chen 56 F"),432,IF(Atletas!P568="Sun 73 F",433,IF(Atletas!P568="Wu 45 F",434,IF(Atletas!P568="Wu-Hao 46 F",435,IF(OR(Atletas!P568="Taijiquan 16 F",Atletas!P568="Taijiquan 24 F",Atletas!P568="Taijiquan 32 F",Atletas!P568="Taijiquan 42 F"),436,0)))))))))))))))))))</f>
        <v/>
      </c>
      <c r="BY577" s="50" t="str">
        <f>IF(Atletas!Q568="","",IF(Atletas!X568&lt;&gt;"",10000,0)+IF(Atletas!B568="Feminino",1000,IF(Atletas!B568="Masculino",2000,""))+IF(Atletas!Q568="Xingyiquan A",501,IF(Atletas!Q568="Baguazhang A",502,IF(Atletas!Q568="Outro Estilo Interno A",503,IF(Atletas!Q568="Xingyiquan B",504,IF(Atletas!Q568="Baguazhang B",505,IF(Atletas!Q568="Outro Estilo Interno B",506,IF(Atletas!Q568="Xingyiquan C",507,IF(Atletas!Q568="Baguazhang C",508,IF(Atletas!Q568="Outro Estilo Interno C",509,IF(Atletas!Q568="Xingyiquan D",510,IF(Atletas!Q568="Baguazhang D",511,IF(Atletas!Q568="Outro Estilo Interno D",512,IF(Atletas!Q568="Xingyiquan E",513,IF(Atletas!Q568="Baguazhang E",514,IF(Atletas!Q568="Outro Estilo Interno E",515,IF(Atletas!Q568="Xingyiquan F",516,IF(Atletas!Q568="Baguazhang F",517,IF(Atletas!Q568="Outro Estilo Interno F",518, "")))))))))))))))))))</f>
        <v/>
      </c>
      <c r="BZ577" s="50" t="str">
        <f>IF(Atletas!R568="","",IF(Atletas!X568&lt;&gt;"",10000,0)+IF(Atletas!B568="Feminino",1000,IF(Atletas!B568="Masculino",2000,""))+IF(Atletas!R568="Dao A",601,IF(Atletas!R568="Jian A",602,IF(Atletas!R568="Bishou A",603,IF(Atletas!R568="Shanzi A",604,IF(Atletas!R568="Outra Arma Curta A",605,IF(Atletas!R568="Dao B",606,IF(Atletas!R568="Jian B",607,IF(Atletas!R568="Bishou B",608,IF(Atletas!R568="Shanzi B",609,IF(Atletas!R568="Outra Arma Curta B",610,IF(Atletas!R568="Dao C",611,IF(Atletas!R568="Jian C",612,IF(Atletas!R568="Bishou C",613,IF(Atletas!R568="Shanzi C",614,IF(Atletas!R568="Outra Arma Curta C",615,IF(Atletas!R568="Dao D",616,IF(Atletas!R568="Jian D",617,IF(Atletas!R568="Bishou D",618,IF(Atletas!R568="Shanzi D",619,IF(Atletas!R568="Outra Arma Curta D",620,IF(Atletas!R568="Dao E",621,IF(Atletas!R568="Jian E",622,IF(Atletas!R568="Bishou E",623,IF(Atletas!R568="Shanzi E",624,IF(Atletas!R568="Outra Arma Curta E",625,IF(Atletas!R568="Dao F",626,IF(Atletas!R568="Jian F",627,IF(Atletas!R568="Bishou F",628,IF(Atletas!R568="Shanzi F",629,IF(Atletas!R568="Outra Arma Curta F",630, "")))))))))))))))))))))))))))))))</f>
        <v/>
      </c>
      <c r="CA577" s="50" t="str">
        <f>IF(Atletas!S568="","",IF(Atletas!X568&lt;&gt;"",10000,0)+IF(Atletas!B568="Feminino",1000,IF(Atletas!B568="Masculino",2000,""))+IF(Atletas!S568="Gun A",701,IF(Atletas!S568="Qiang A",702,IF(Atletas!S568="Pudao / Guandao A",703,IF(Atletas!S568="Outra Arma Longa A",704,IF(Atletas!S568="Gun B",705,IF(Atletas!S568="Qiang B",706,IF(Atletas!S568="Pudao / Guandao B",707,IF(Atletas!S568="Outra Arma Longa B",708,IF(Atletas!S568="Gun C",709,IF(Atletas!S568="Qiang C",710,IF(Atletas!S568="Pudao / Guandao C",711,IF(Atletas!S568="Outra Arma Longa C",712,IF(Atletas!S568="Gun D",713,IF(Atletas!S568="Qiang D",714,IF(Atletas!S568="Pudao / Guandao D",715,IF(Atletas!S568="Outra Arma Longa D",716,IF(Atletas!S568="Gun E",717,IF(Atletas!S568="Qiang E",718,IF(Atletas!S568="Pudao / Guandao E",719,IF(Atletas!S568="Outra Arma Longa E",720,IF(Atletas!S568="Gun F",721,IF(Atletas!S568="Qiang F",722,IF(Atletas!S568="Pudao / Guandao F",723,IF(Atletas!S568="Outra Arma Longa F",724,"")))))))))))))))))))))))))</f>
        <v/>
      </c>
      <c r="CB577" s="50" t="str">
        <f>IF(Atletas!T568="","",IF(Atletas!X568&lt;&gt;"",10000,0)+IF(Atletas!B568="Feminino",1000,IF(Atletas!B568="Masculino",2000,""))+IF(Atletas!T568="Outra Arma Dupla A",801,IF(Atletas!T568="Arma Maleável A",802,IF(Atletas!T568="Outra Arma Dupla B",803,IF(Atletas!T568="Arma Maleável B",804,IF(Atletas!T568="Outra Arma Dupla C",805,IF(Atletas!T568="Arma Maleável C",806,IF(Atletas!T568="Outra Arma Dupla D",807,IF(Atletas!T568="Arma Maleável D",808,IF(Atletas!T568="Outra Arma Dupla E",809,IF(Atletas!T568="Arma Maleável E",810,IF(Atletas!T568="Outra Arma Dupla F",811,IF(Atletas!T568="Arma Maleável F",812,IF(Atletas!T568="Shuangdao A",813,IF(Atletas!T568="Shuangdao B",814,IF(Atletas!T568="Shuangdao C",815,IF(Atletas!T568="Shuangdao D",816,IF(Atletas!T568="Shuangdao E",817,IF(Atletas!T568="Shuangdao F",818,"")))))))))))))))))))</f>
        <v/>
      </c>
      <c r="CC577" s="50" t="str">
        <f>IF(Atletas!U568="","",IF(Atletas!X568&lt;&gt;"",10000,0)+IF(Atletas!B568="Feminino",1000,IF(Atletas!B568="Masculino",2000,""))+IF(OR(Atletas!U568="Taijijian Yang A",Atletas!U568="Taijijian Yang Standard A"),901,IF(OR(Atletas!U568="Taijijian Chen A", Atletas!U568="Taijijian Chen Standard A"),902,IF(Atletas!U568="Taijijian Sun A",903,IF(Atletas!U568="Taijijian Wu A",904,IF(Atletas!U568="Taijijian Wu-Hao A",905,IF(OR(Atletas!U568="Taijijian 32 A",Atletas!U568="Taijijian 42 A"),906,IF(OR(Atletas!U568="Taijijian Yang B",Atletas!U568="Taijijian Yang Standard B"),907,IF(OR(Atletas!U568="Taijijian Chen B", Atletas!U568="Taijijian Chen Standard B"),908,IF(Atletas!U568="Taijijian Sun B",909,IF(Atletas!U568="Taijijian Wu B",910,IF(Atletas!U568="Taijijian Wu-Hao B",911,IF(OR(Atletas!U568="Taijijian 32 B",Atletas!U568="Taijijian 42 B"),912,IF(OR(Atletas!U568="Taijijian Yang C",Atletas!U568="Taijijian Yang Standard C"),913,IF(OR(Atletas!U568="Taijijian Chen C", Atletas!U568="Taijijian Chen Standard C"),914,IF(Atletas!U568="Taijijian Sun C",915,IF(Atletas!U568="Taijijian Wu C",916,IF(Atletas!U568="Taijijian Wu-Hao C",917,IF(OR(Atletas!U568="Taijijian 32 C",Atletas!U568="Taijijian 42 C"),918,IF(OR(Atletas!U568="Taijijian Yang D",Atletas!U568="Taijijian Yang Standard D"),919,IF(OR(Atletas!U568="Taijijian Chen D", Atletas!U568="Taijijian Chen Standard D"),920,IF(Atletas!U568="Taijijian Sun D",921,IF(Atletas!U568="Taijijian Wu D",922,IF(Atletas!U568="Taijijian Wu-Hao D",923,IF(OR(Atletas!U568="Taijijian 32 D",Atletas!U568="Taijijian 42 D"),924,IF(OR(Atletas!U568="Taijijian Yang E",Atletas!U568="Taijijian Yang Standard E"),925,IF(OR(Atletas!U568="Taijijian Chen E", Atletas!U568="Taijijian Chen Standard E"),926,IF(Atletas!U568="Taijijian Sun E",927,IF(Atletas!U568="Taijijian Wu E",928,IF(Atletas!U568="Taijijian Wu-Hao E",929,IF(OR(Atletas!U568="Taijijian 32 E",Atletas!U568="Taijijian 42 E"),930,IF(OR(Atletas!U568="Taijijian Yang F",Atletas!U568="Taijijian Yang Standard F"),931,IF(OR(Atletas!U568="Taijijian Chen F", Atletas!U568="Taijijian Chen Standard F"),932,IF(Atletas!U568="Taijijian Sun F",933,IF(Atletas!U568="Taijijian Wu F",934,IF(Atletas!U568="Taijijian Wu-Hao F",935,IF(OR(Atletas!U568="Taijijian 32 F",Atletas!U568="Taijijian 42 F"),936,"")))))))))))))))))))))))))))))))))))))</f>
        <v/>
      </c>
      <c r="CD577" s="50" t="str">
        <f>IF(Atletas!V568="","",IF(Atletas!X568&lt;&gt;"",10000,0)+IF(Atletas!B568="Feminino",1000,IF(Atletas!B568="Masculino",2000,""))+IF(Atletas!V568="Taijidao A",937,IF(Atletas!V568="TaijiShanzi A",938,IF(Atletas!V568="Taijiqiang A",939,IF(Atletas!V568="Bagua de Arma A",940,IF(Atletas!V568="Xingyi de Arma A",941,IF(Atletas!V568="Taijidao B",942,IF(Atletas!V568="TaijiShanzi B",943,IF(Atletas!V568="Taijiqiang B",944,IF(Atletas!V568="Bagua de Arma B",945,IF(Atletas!V568="Xingyi de Arma B",946,IF(Atletas!V568="Taijidao C",947,IF(Atletas!V568="TaijiShanzi C",948,IF(Atletas!V568="Taijiqiang C",949,IF(Atletas!V568="Bagua de Arma C",950,IF(Atletas!V568="Xingyi de Arma C",951,IF(Atletas!V568="Taijidao D",952,IF(Atletas!V568="TaijiShanzi D",953,IF(Atletas!V568="Taijiqiang D",954,IF(Atletas!V568="Bagua de Arma D",955,IF(Atletas!V568="Xingyi de Arma D",956,IF(Atletas!V568="Taijidao E",957,IF(Atletas!V568="TaijiShanzi E",958,IF(Atletas!V568="Taijiqiang E",959,IF(Atletas!V568="Bagua de Arma E",960,IF(Atletas!V568="Xingyi de Arma E",961,IF(Atletas!V568="Taijidao F",962,IF(Atletas!V568="TaijiShanzi F",963,IF(Atletas!V568="Taijiqiang F",964,IF(Atletas!V568="Bagua de Arma F",965,IF(Atletas!V568="Xingyi de Arma F",966,"")))))))))))))))))))))))))))))))</f>
        <v/>
      </c>
      <c r="CM577" s="50" t="str">
        <f xml:space="preserve"> IF(Atletas!W568="","",IF(Atletas!W568="Duilian de Mãos BC - Equipe 1",1,IF(Atletas!W568="Duilian de Mãos BC - Equipe 2",2,IF(Atletas!W568="Duilian de Armas BC - Equipe 1",3,IF(Atletas!W568="Duilian de Armas BC - Equipe 2",4,IF(Atletas!W568="Duilian de Mãos DE - Equipe 1",5,IF(Atletas!W568="Duilian de Mãos DE - Equipe 2",6,IF(Atletas!W568="Duilian de Armas DE - Equipe 1",7,IF(Atletas!W568="Duilian de Armas DE - Equipe 2",8,IF(Atletas!W568="Duilian de Tuishou - Equipe 1",9,IF(Atletas!W568="Duilian de Tuishou - Equipe 2",10,IF(Atletas!W568="Grupo Externo ABC - Equipe 1",11,IF(Atletas!W568="Grupo Externo ABC - Equipe 2",12,IF(Atletas!W568="Grupo Interno ABC - Equipe 1",13,IF(Atletas!W568="Grupo Interno ABC - Equipe 2",14,IF(Atletas!W568="Grupo Externo DEF - Equipe 1",15,IF(Atletas!W568="Grupo Externo DEF - Equipe 2",16,IF(Atletas!W568="Grupo Interno DEF - Equipe 1",17,IF(Atletas!W568="Grupo Interno DEF - Equipe 2",18,"")))))))))))))))))))</f>
        <v/>
      </c>
    </row>
    <row r="578" spans="40:91">
      <c r="AN578" s="52" t="str">
        <f>IF(Atletas!D569="","",IF(Atletas!B569="Feminino",100,IF(Atletas!B569="Masculino",200,""))+(IF(Atletas!D569="Kids 30kg",1,IF(Atletas!D569="Kids 32kg",2, IF(Atletas!D569="Kids 34kg",3,IF(Atletas!D569="Kids 36kg",4,IF(Atletas!D569="Kids 39kg",5,IF(Atletas!D569="Kids 42kg",6,IF(Atletas!D569="Kids 45kg",7, IF(Atletas!D569="Infantil 39kg",8,IF(Atletas!D569="Infantil 42kg",9,IF(Atletas!D569="Infantil 45kg",10,IF(Atletas!D569="Infantil 48kg",11,IF(Atletas!D569="Infantil 52kg",12,IF(Atletas!D569="Infantil 56kg",13,IF(Atletas!D569="Infantil 60kg",14,IF(Atletas!D569="Juvenil 48kg",15,IF(Atletas!D569="Juvenil 52kg",16,IF(Atletas!D569="Juvenil 56kg",17,IF(Atletas!D569="Juvenil 60kg",18,IF(Atletas!D569="Juvenil 65kg",19,IF(Atletas!D569="Juvenil 70kg",20,IF(Atletas!D569="Juvenil 75kg",21,IF(Atletas!D569="Juvenil 80kg",22, IF(Atletas!D569="Juvenil 85kg",23,IF(Atletas!D569="Adulto 48kg",24,IF(Atletas!D569="Adulto 52kg",25,IF(Atletas!D569="Adulto 56kg",26,IF(Atletas!D569="Adulto 60kg",27,IF(Atletas!D569="Adulto 65kg",28,IF(Atletas!D569="Adulto 70kg",29,IF(Atletas!D569="Adulto 75kg",30,IF(Atletas!D569="Adulto 80kg",31,IF(Atletas!D569="Adulto 85kg",32,IF(Atletas!D569="Adulto 90kg",33,IF(Atletas!D569="Adulto 100kg",34, IF(Atletas!D569="Adulto +100kg",35,"")))))))))))))))))))))))))))))))))))))</f>
        <v/>
      </c>
      <c r="AS578" s="6" t="str">
        <f>IF(Atletas!E569="","",IF(Atletas!B569="Feminino",100,IF(Atletas!B569="Masculino",200,""))+(IF(Atletas!E569="Juvenil 44kg",1,IF(Atletas!E569="Juvenil 48kg",2,IF(Atletas!E569="Juvenil 52kg",3,IF(Atletas!E569="Juvenil 56kg",4,IF(Atletas!E569="Juvenil 60kg",5,IF(Atletas!E569="Juvenil 65kg",6,IF(Atletas!E569="Juvenil 70kg",7,IF(Atletas!E569="Juvenil 75kg",8,IF(Atletas!E569="Juvenil 82kg",9,IF(Atletas!E569="Juvenil 90kg",10,IF(Atletas!E569="Juvenil 100kg",11,IF(Atletas!E569="Adulto 48kg",12,IF(Atletas!E569="Adulto 52kg",13,IF(Atletas!E569="Adulto 56kg",14,IF(Atletas!E569="Adulto 60kg",15,IF(Atletas!E569="Adulto 65kg",16,IF(Atletas!E569="Adulto 70kg",17,IF(Atletas!E569="Adulto 75kg",18,IF(Atletas!E569="Adulto 82kg",19,IF(Atletas!E569="Adulto 90kg",20,IF(Atletas!E569="Adulto 100kg",21,IF(Atletas!E569="Adulto +100kg",22,""))))))))))))))))))))))))</f>
        <v/>
      </c>
      <c r="AX578" s="6" t="str">
        <f>IF(Atletas!F569="","",IF(Atletas!B569="Feminino",100,IF(Atletas!B569="Masculino",200,""))+(IF(Atletas!F569="Adulto 48kg",1,IF(Atletas!F569="Adulto 56kg",2,IF(Atletas!F569="Adulto 65kg",3,IF(Atletas!F569="Adulto 75kg",4,IF(Atletas!F569="Adulto +75kg",5,IF(Atletas!F569="Adulto 52kg",6,IF(Atletas!F569="Adulto 60kg",7,IF(Atletas!F569="Adulto 70kg",8,IF(Atletas!F569="Adulto 80kg",9,IF(Atletas!F569="Adulto 90kg",10,IF(Atletas!F569="Adulto +90kg",11,"")))))))))))))</f>
        <v/>
      </c>
      <c r="BC578" s="6" t="str">
        <f>IF(Atletas!G569="","",IF(Atletas!B569="Feminino",10,IF(Atletas!B569="Masculino",20,""))+(IF(Atletas!G569="Baduanjin A",1,IF(Atletas!G569="Baduanjin B",2))))</f>
        <v/>
      </c>
      <c r="BF578" s="52" t="str">
        <f>IF(Atletas!H569="","",IF(Atletas!B569="Feminino",100,IF(Atletas!B569="Masculino",200,""))+(IF(Atletas!H569="Changquan Mirim",1,IF(Atletas!H569="Nanquan Mirim",2,IF(Atletas!H569="Taijiquan Mirim",3,IF(Atletas!H569="Changquan Grupo C",4,IF(Atletas!H569="Nanquan Grupo C",5,IF(Atletas!H569="Taijiquan Grupo C",6,IF(Atletas!H569="Changquan Grupo B",7,IF(Atletas!H569="Nanquan Grupo B",8,IF(Atletas!H569="Taijiquan Grupo B",9,IF(Atletas!H569="Changquan Grupo A",10,IF(Atletas!H569="Nanquan Grupo A",11,IF(Atletas!H569="Taijiquan Grupo A",12,IF(Atletas!H569="Changquan Opcional",13,IF(Atletas!H569="Nanquan Opcional",14,IF(Atletas!H569="Taijiquan Opcional",15,IF(Atletas!H569="Changquan Adulto",16,IF(Atletas!H569="Nanquan Adulto",17,IF(Atletas!H569="Taijiquan Adulto",18,""))))))))))))))))))))</f>
        <v/>
      </c>
      <c r="BG578" s="52" t="str">
        <f>IF(Atletas!I569="","",IF(Atletas!B569="Feminino",100,IF(Atletas!B569="Masculino",200,""))+(IF(Atletas!I569="Daoshu Mirim",19,IF(Atletas!I569="Jianshu Mirim",20,IF(Atletas!I569="Nandao Mirim",21,IF(Atletas!I569="Taijijian Mirim",22,IF(Atletas!I569="Daoshu Grupo C",23,IF(Atletas!I569="Jianshu Grupo C",24,IF(Atletas!I569="Nandao Grupo C",25,IF(Atletas!I569="Taijijian Grupo C",26,IF(Atletas!I569="Daoshu Grupo B",27,IF(Atletas!I569="Jianshu Grupo B",28,IF(Atletas!I569="Nandao Grupo B",29,IF(Atletas!I569="Taijijian Grupo B",30,IF(Atletas!I569="Daoshu Grupo A",31,IF(Atletas!I569="Jianshu Grupo A",32,IF(Atletas!I569="Nandao Grupo A",33,IF(Atletas!I569="Taijijian Grupo A",34,IF(Atletas!I569="Daoshu Opcional",35,IF(Atletas!I569="Jianshu Opcional",36,IF(Atletas!I569="Nandao Opcional",37,IF(Atletas!I569="Taijijian Opcional",38,IF(Atletas!I569="Daoshu Adulto",39,IF(Atletas!I569="Jianshu Adulto",40,IF(Atletas!I569="Nandao Adulto",41,IF(Atletas!I569="Taijijian Adulto",42,""))))))))))))))))))))))))))</f>
        <v/>
      </c>
      <c r="BH578" s="52" t="str">
        <f>IF(Atletas!J569="","",IF(Atletas!B569="Feminino",100,IF(Atletas!B569="Masculino",200,""))+(IF(Atletas!J569="Gunshu Mirim",43,IF(Atletas!J569="Qiangshu Mirim",44,IF(Atletas!J569="Nangun Mirim",45,IF(Atletas!J569="Gunshu Grupo C",46,IF(Atletas!J569="Qiangshu Grupo C",47,IF(Atletas!J569="Nangun Grupo C",48,IF(Atletas!J569="Gunshu Grupo B",49,IF(Atletas!J569="Qiangshu Grupo B",50,IF(Atletas!J569="Nangun Grupo B",51,IF(Atletas!J569="Gunshu Grupo A",52,IF(Atletas!J569="Qiangshu Grupo A",53,IF(Atletas!J569="Nangun Grupo A",54,IF(Atletas!J569="Gunshu Opcional",55,IF(Atletas!J569="Qiangshu Opcional",56,IF(Atletas!J569="Nangun Opcional",57,IF(Atletas!J569="Gunshu Adulto",58,IF(Atletas!J569="Qiangshu Adulto",59,IF(Atletas!J569="Nangun Adulto",60,IF(Atletas!J569="Taijishan Grupo B",61,IF(Atletas!J569="Taijishan Grupo A",62,""))))))))))))))))))))))</f>
        <v/>
      </c>
      <c r="BM578" s="50" t="str">
        <f>IF(Atletas!K569="","",IF(Atletas!B569="Feminino",100,IF(Atletas!B569="Masculino",200,""))+(IF(Atletas!K569="Equipe 1 Grupo B",1,IF(Atletas!K569="Equipe 2 Grupo B",2,IF(Atletas!K569="Equipe 1 Grupo A",3,IF(Atletas!K569="Equipe 2 Grupo A",4,IF(Atletas!K569="Equipe 1 Adulto",5,IF(Atletas!K569="Equipe 2 Adulto",6,""))))))))</f>
        <v/>
      </c>
      <c r="BR578" s="50" t="str">
        <f>IF(Atletas!L569="","",IF(Atletas!X569&lt;&gt;"",10000,0)+(IF(Atletas!B569="Feminino",1000,IF(Atletas!B569="Masculino",2000,""))+IF(Atletas!L569="Choylayfut A",1,IF(Atletas!L569="Hunggar A",2,IF(Atletas!L569="Wuzuquan A",3,IF(Atletas!L569="Wingchun A",4,IF(Atletas!L569="Outra Mão de Sul A",5,IF(Atletas!L569="Choylayfut B",6,IF(Atletas!L569="Hunggar B",7,IF(Atletas!L569="Wuzuquan B",8,IF(Atletas!L569="Wingchun B",9,IF(Atletas!L569="Outra Mão de Sul B",10,IF(Atletas!L569="Choylayfut C",11,IF(Atletas!L569="Hunggar C",12,IF(Atletas!L569="Wuzuquan C",13,IF(Atletas!L569="Wingchun C",14,IF(Atletas!L569="Outra Mão de Sul C",15,IF(Atletas!L569="Choylayfut D",16,IF(Atletas!L569="Hunggar D",17,IF(Atletas!L569="Wuzuquan D",18,IF(Atletas!L569="Wingchun D",19,IF(Atletas!L569="Outra Mão de Sul D",20,IF(Atletas!L569="Choylayfut E",21,IF(Atletas!L569="Hunggar E",22,IF(Atletas!L569="Wuzuquan E",23,IF(Atletas!L569="Wingchun E",24,IF(Atletas!L569="Outra Mão de Sul E",25,IF(Atletas!L569="Choylayfut F",26,IF(Atletas!L569="Hunggar F",27,IF(Atletas!L569="Wuzuquan F",28,IF(Atletas!L569="Wingchun F",29,IF(Atletas!L569="Outra Mão de Sul F",30,IF(Atletas!L569="Dishuquan A",31,IF(Atletas!L569="Dishuquan B",32,IF(Atletas!L569="Dishuquan C",33,IF(Atletas!L569="Dishuquan D",34,IF(Atletas!L569="Dishuquan E",35,IF(Atletas!L569="Dishuquan F",36,""))))))))))))))))))))))))))))))))))))))</f>
        <v/>
      </c>
      <c r="BS578" s="50" t="str">
        <f>IF(Atletas!M569="","",IF(Atletas!X569&lt;&gt;"",10000,0)+(IF(Atletas!B569="Feminino",1000,IF(Atletas!B569="Masculino",2000,""))+(IF(Atletas!M569="Chaquan A",101,IF(Atletas!M569="Emeiquan A",102,IF(Atletas!M569="Fanziquan A",103,IF(Atletas!M569="Huaquan A",104,IF(Atletas!M569="Hongquan A",105,IF(Atletas!M569="Paoquan A",106,IF(Atletas!M569="Piguaquan A",107,IF(Atletas!M569="Shaolinquan A",108,IF(Atletas!M569="Tanglangquan A",109,IF(Atletas!M569="Yingzhaoquan A",110,IF(Atletas!M569="Tongbeiquan A",111,IF(Atletas!M569="Wudangquan A",112,IF(Atletas!M569="Outros Estilos A",113,IF(Atletas!M569="Chaquan B",114,IF(Atletas!M569="Emeiquan B",115,IF(Atletas!M569="Fanziquan B",116,IF(Atletas!M569="Huaquan B",117,IF(Atletas!M569="Hongquan B",118,IF(Atletas!M569="Paoquan B",119,IF(Atletas!M569="Piguaquan B",120,IF(Atletas!M569="Shaolinquan B",121,IF(Atletas!M569="Tanglangquan B",122,IF(Atletas!M569="Yingzhaoquan B",123,IF(Atletas!M569="Tongbeiquan B",124,IF(Atletas!M569="Wudangquan B",125,IF(Atletas!M569="Outros Estilos B",126,IF(Atletas!M569="Chaquan C",127,IF(Atletas!M569="Emeiquan C",128,IF(Atletas!M569="Fanziquan C",129,IF(Atletas!M569="Huaquan C",130,IF(Atletas!M569="Hongquan C",131,IF(Atletas!M569="Paoquan C",132,IF(Atletas!M569="Piguaquan C",133,IF(Atletas!M569="Shaolinquan C",134,IF(Atletas!M569="Tanglangquan C",135,IF(Atletas!M569="Yingzhaoquan C",136,IF(Atletas!M569="Tongbeiquan C",137,IF(Atletas!M569="Wudangquan C",138,IF(Atletas!M569="Outros Estilos C",139,0))))))))))))))))))))))))))))))))))))))))))</f>
        <v/>
      </c>
      <c r="BT578" s="50" t="str">
        <f>IF(Atletas!M569="","",IF(Atletas!X569&lt;&gt;"",10000,0)+(IF(Atletas!B569="Feminino",1000,IF(Atletas!B569="Masculino",2000,""))+(IF(Atletas!M569="Chaquan D",140,IF(Atletas!M569="Emeiquan D",141,IF(Atletas!M569="Fanziquan D",142,IF(Atletas!M569="Huaquan D",143,IF(Atletas!M569="Hongquan D",144,IF(Atletas!M569="Paoquan D",145,IF(Atletas!M569="Piguaquan D",146,IF(Atletas!M569="Shaolinquan D",147,IF(Atletas!M569="Tanglangquan D",148,IF(Atletas!M569="Yingzhaoquan D",149,IF(Atletas!M569="Tongbeiquan D",150,IF(Atletas!M569="Wudangquan D",151,IF(Atletas!M569="Outros Estilos D",152,IF(Atletas!M569="Chaquan E",153,IF(Atletas!M569="Emeiquan E",154,IF(Atletas!M569="Fanziquan E",155,IF(Atletas!M569="Huaquan E",156,IF(Atletas!M569="Hongquan E",157,IF(Atletas!M569="Paoquan E",158,IF(Atletas!M569="Piguaquan E",159,IF(Atletas!M569="Shaolinquan E",160,IF(Atletas!M569="Tanglangquan E",161,IF(Atletas!M569="Yingzhaoquan E",162,IF(Atletas!M569="Tongbeiquan E",163,IF(Atletas!M569="Wudangquan E",164,IF(Atletas!M569="Outros Estilos E",165,IF(Atletas!M569="Chaquan F",166,IF(Atletas!M569="Emeiquan F",167,IF(Atletas!M569="Fanziquan F",168,IF(Atletas!M569="Huaquan F",169,IF(Atletas!M569="Hongquan F",170,IF(Atletas!M569="Paoquan F",171,IF(Atletas!M569="Piguaquan F",172,IF(Atletas!M569="Shaolinquan F",173,IF(Atletas!M569="Tanglangquan F",174,IF(Atletas!M569="Yingzhaoquan F",175,IF(Atletas!M569="Tongbeiquan F",176,IF(Atletas!M569="Wudangquan F",177,IF(Atletas!M569="Outros Estilos F",178,0))))))))))))))))))))))))))))))))))))))))))</f>
        <v/>
      </c>
      <c r="BU578" s="50" t="str">
        <f>IF(Atletas!N569="","",IF(Atletas!X569&lt;&gt;"",10000,0)+(IF(Atletas!B569="Feminino",1000,IF(Atletas!B569="Masculino",2000,""))+(IF(Atletas!N569="Ditangquan A",201,IF(Atletas!N569="Houquan A",202,IF(Atletas!N569="Zuiquan A",203,IF(Atletas!N569="Ditangquan B",204,IF(Atletas!N569="Houquan B",205,IF(Atletas!N569="Zuiquan B",206,IF(Atletas!N569="Ditangquan C",207,IF(Atletas!N569="Houquan C",208,IF(Atletas!N569="Zuiquan C",209,IF(Atletas!N569="Ditangquan D",210,IF(Atletas!N569="Houquan D",211,IF(Atletas!N569="Zuiquan D",212,IF(Atletas!N569="Ditangquan E",213,IF(Atletas!N569="Houquan E",214,IF(Atletas!N569="Zuiquan E",215,IF(Atletas!N569="Ditangquan F",216,IF(Atletas!N569="Houquan F",217,IF(Atletas!N569="Zuiquan F",218,"")))))))))))))))))))))</f>
        <v/>
      </c>
      <c r="BV578" s="50" t="str">
        <f>IF(Atletas!O569="","",IF(Atletas!X569&lt;&gt;"",10000,0)+IF(Atletas!B569="Feminino",1000,IF(Atletas!B569="Masculino",2000,""))+IF(Atletas!O569="Yang A",301,IF(Atletas!O569="Chen A",302,IF(Atletas!O569="Sun A",303,IF(Atletas!O569="Wu A",304,IF(Atletas!O569="Wu-Hao A",305,IF(Atletas!O569="Outro Taijiquan A",306,IF(Atletas!O569="Yang B",307,IF(Atletas!O569="Chen B",308,IF(Atletas!O569="Sun B",309,IF(Atletas!O569="Wu B",310,IF(Atletas!O569="Wu-Hao B",311,IF(Atletas!O569="Outro Taijiquan B",312,IF(Atletas!O569="Yang C",313,IF(Atletas!O569="Chen C",314,IF(Atletas!O569="Sun C",315,IF(Atletas!O569="Wu C",316,IF(Atletas!O569="Wu-Hao C",317,IF(Atletas!O569="Outro Taijiquan C",318,IF(Atletas!O569="Yang D",319,IF(Atletas!O569="Chen D",320,IF(Atletas!O569="Sun D",321,IF(Atletas!O569="Wu D",322,IF(Atletas!O569="Wu-Hao D",323,IF(Atletas!O569="Outro Taijiquan D",324,IF(Atletas!O569="Yang E",325,IF(Atletas!O569="Chen E",326,IF(Atletas!O569="Sun E",327,IF(Atletas!O569="Wu E",328,IF(Atletas!O569="Wu-Hao E",329,IF(Atletas!O569="Outro Taijiquan E",330,IF(Atletas!O569="Yang F",331,IF(Atletas!O569="Chen F",332,IF(Atletas!O569="Sun F",333,IF(Atletas!O569="Wu F",334,IF(Atletas!O569="Wu-Hao F",335,IF(Atletas!O569="Outro Taijiquan F",336,"")))))))))))))))))))))))))))))))))))))</f>
        <v/>
      </c>
      <c r="BW578" s="50" t="str">
        <f>IF(Atletas!P569="","",IF(Atletas!X569&lt;&gt;"",10000,0)+IF(Atletas!B569="Feminino",1000,IF(Atletas!B569="Masculino",2000,""))+IF(OR(Atletas!P569="Yang 26 A",Atletas!P569="Yang 40 A"),401,IF(OR(Atletas!P569="Chen 25 A",Atletas!P569="Chen 36 A",Atletas!P569="Chen 56 A"),402,IF(Atletas!P569="Sun 73 A",403,IF(Atletas!P569="Wu 45 A",404,IF(Atletas!P569="Wu-Hao 46 A",405,IF(OR(Atletas!P569="Taijiquan 16 A",Atletas!P569="Taijiquan 24 A",Atletas!P569="Taijiquan 32 A",Atletas!P569="Taijiquan 42 A"),406,IF(OR(Atletas!P569="Yang 26 B",Atletas!P569="Yang 40 B"),407,IF(OR(Atletas!P569="Chen 25 B",Atletas!P569="Chen 36 B",Atletas!P569="Chen 56 B"),408,IF(Atletas!P569="Sun 73 B",409,IF(Atletas!P569="Wu 45 B",410,IF(Atletas!P569="Wu-Hao 46 B",411,IF(OR(Atletas!P569="Taijiquan 16 B",Atletas!P569="Taijiquan 24 B",Atletas!P569="Taijiquan 32 B",Atletas!P569="Taijiquan 42 B"),412,IF(OR(Atletas!P569="Yang 26 C",Atletas!P569="Yang 40 C"),413,IF(OR(Atletas!P569="Chen 25 C",Atletas!P569="Chen 36 C",Atletas!P569="Chen 56 C"),414,IF(Atletas!P569="Sun 73 C",415,IF(Atletas!P569="Wu 45 C",416,IF(Atletas!P569="Wu-Hao 46 C",417,IF(OR(Atletas!P569="Taijiquan 16 C",Atletas!P569="Taijiquan 24 C",Atletas!P569="Taijiquan 32 C",Atletas!P569="Taijiquan 42 C"),418,0)))))))))))))))))))</f>
        <v/>
      </c>
      <c r="BX578" s="50" t="str">
        <f>IF(Atletas!P569="","",IF(Atletas!X569&lt;&gt;"",10000,0)+IF(Atletas!B569="Feminino",1000,IF(Atletas!B569="Masculino",2000,""))+IF(OR(Atletas!P569="Yang 26 D",Atletas!P569="Yang 40 D"),419,IF(OR(Atletas!P569="Chen 25 D",Atletas!P569="Chen 36 D",Atletas!P569="Chen 56 D"),420,IF(Atletas!P569="Sun 73 D",421,IF(Atletas!P569="Wu 45 D",422,IF(Atletas!P569="Wu-Hao 46 D",423,IF(OR(Atletas!P569="Taijiquan 16 D",Atletas!P569="Taijiquan 24 D",Atletas!P569="Taijiquan 32 D",Atletas!P569="Taijiquan 42 D"),424,IF(OR(Atletas!P569="Yang 26 E",Atletas!P569="Yang 40 E"),425,IF(OR(Atletas!P569="Chen 25 E",Atletas!P569="Chen 36 E",Atletas!P569="Chen 56 E"),426,IF(Atletas!P569="Sun 73 E",427,IF(Atletas!P569="Wu 45 E",428,IF(Atletas!P569="Wu-Hao 46 E",429,IF(OR(Atletas!P569="Taijiquan 16 E",Atletas!P569="Taijiquan 24 E",Atletas!P569="Taijiquan 32 E",Atletas!P569="Taijiquan 42 E"),430,IF(OR(Atletas!P569="Yang 26 F",Atletas!P569="Yang 40 F"),431,IF(OR(Atletas!P569="Chen 25 F",Atletas!P569="Chen 36 F",Atletas!P569="Chen 56 F"),432,IF(Atletas!P569="Sun 73 F",433,IF(Atletas!P569="Wu 45 F",434,IF(Atletas!P569="Wu-Hao 46 F",435,IF(OR(Atletas!P569="Taijiquan 16 F",Atletas!P569="Taijiquan 24 F",Atletas!P569="Taijiquan 32 F",Atletas!P569="Taijiquan 42 F"),436,0)))))))))))))))))))</f>
        <v/>
      </c>
      <c r="BY578" s="50" t="str">
        <f>IF(Atletas!Q569="","",IF(Atletas!X569&lt;&gt;"",10000,0)+IF(Atletas!B569="Feminino",1000,IF(Atletas!B569="Masculino",2000,""))+IF(Atletas!Q569="Xingyiquan A",501,IF(Atletas!Q569="Baguazhang A",502,IF(Atletas!Q569="Outro Estilo Interno A",503,IF(Atletas!Q569="Xingyiquan B",504,IF(Atletas!Q569="Baguazhang B",505,IF(Atletas!Q569="Outro Estilo Interno B",506,IF(Atletas!Q569="Xingyiquan C",507,IF(Atletas!Q569="Baguazhang C",508,IF(Atletas!Q569="Outro Estilo Interno C",509,IF(Atletas!Q569="Xingyiquan D",510,IF(Atletas!Q569="Baguazhang D",511,IF(Atletas!Q569="Outro Estilo Interno D",512,IF(Atletas!Q569="Xingyiquan E",513,IF(Atletas!Q569="Baguazhang E",514,IF(Atletas!Q569="Outro Estilo Interno E",515,IF(Atletas!Q569="Xingyiquan F",516,IF(Atletas!Q569="Baguazhang F",517,IF(Atletas!Q569="Outro Estilo Interno F",518, "")))))))))))))))))))</f>
        <v/>
      </c>
      <c r="BZ578" s="50" t="str">
        <f>IF(Atletas!R569="","",IF(Atletas!X569&lt;&gt;"",10000,0)+IF(Atletas!B569="Feminino",1000,IF(Atletas!B569="Masculino",2000,""))+IF(Atletas!R569="Dao A",601,IF(Atletas!R569="Jian A",602,IF(Atletas!R569="Bishou A",603,IF(Atletas!R569="Shanzi A",604,IF(Atletas!R569="Outra Arma Curta A",605,IF(Atletas!R569="Dao B",606,IF(Atletas!R569="Jian B",607,IF(Atletas!R569="Bishou B",608,IF(Atletas!R569="Shanzi B",609,IF(Atletas!R569="Outra Arma Curta B",610,IF(Atletas!R569="Dao C",611,IF(Atletas!R569="Jian C",612,IF(Atletas!R569="Bishou C",613,IF(Atletas!R569="Shanzi C",614,IF(Atletas!R569="Outra Arma Curta C",615,IF(Atletas!R569="Dao D",616,IF(Atletas!R569="Jian D",617,IF(Atletas!R569="Bishou D",618,IF(Atletas!R569="Shanzi D",619,IF(Atletas!R569="Outra Arma Curta D",620,IF(Atletas!R569="Dao E",621,IF(Atletas!R569="Jian E",622,IF(Atletas!R569="Bishou E",623,IF(Atletas!R569="Shanzi E",624,IF(Atletas!R569="Outra Arma Curta E",625,IF(Atletas!R569="Dao F",626,IF(Atletas!R569="Jian F",627,IF(Atletas!R569="Bishou F",628,IF(Atletas!R569="Shanzi F",629,IF(Atletas!R569="Outra Arma Curta F",630, "")))))))))))))))))))))))))))))))</f>
        <v/>
      </c>
      <c r="CA578" s="50" t="str">
        <f>IF(Atletas!S569="","",IF(Atletas!X569&lt;&gt;"",10000,0)+IF(Atletas!B569="Feminino",1000,IF(Atletas!B569="Masculino",2000,""))+IF(Atletas!S569="Gun A",701,IF(Atletas!S569="Qiang A",702,IF(Atletas!S569="Pudao / Guandao A",703,IF(Atletas!S569="Outra Arma Longa A",704,IF(Atletas!S569="Gun B",705,IF(Atletas!S569="Qiang B",706,IF(Atletas!S569="Pudao / Guandao B",707,IF(Atletas!S569="Outra Arma Longa B",708,IF(Atletas!S569="Gun C",709,IF(Atletas!S569="Qiang C",710,IF(Atletas!S569="Pudao / Guandao C",711,IF(Atletas!S569="Outra Arma Longa C",712,IF(Atletas!S569="Gun D",713,IF(Atletas!S569="Qiang D",714,IF(Atletas!S569="Pudao / Guandao D",715,IF(Atletas!S569="Outra Arma Longa D",716,IF(Atletas!S569="Gun E",717,IF(Atletas!S569="Qiang E",718,IF(Atletas!S569="Pudao / Guandao E",719,IF(Atletas!S569="Outra Arma Longa E",720,IF(Atletas!S569="Gun F",721,IF(Atletas!S569="Qiang F",722,IF(Atletas!S569="Pudao / Guandao F",723,IF(Atletas!S569="Outra Arma Longa F",724,"")))))))))))))))))))))))))</f>
        <v/>
      </c>
      <c r="CB578" s="50" t="str">
        <f>IF(Atletas!T569="","",IF(Atletas!X569&lt;&gt;"",10000,0)+IF(Atletas!B569="Feminino",1000,IF(Atletas!B569="Masculino",2000,""))+IF(Atletas!T569="Outra Arma Dupla A",801,IF(Atletas!T569="Arma Maleável A",802,IF(Atletas!T569="Outra Arma Dupla B",803,IF(Atletas!T569="Arma Maleável B",804,IF(Atletas!T569="Outra Arma Dupla C",805,IF(Atletas!T569="Arma Maleável C",806,IF(Atletas!T569="Outra Arma Dupla D",807,IF(Atletas!T569="Arma Maleável D",808,IF(Atletas!T569="Outra Arma Dupla E",809,IF(Atletas!T569="Arma Maleável E",810,IF(Atletas!T569="Outra Arma Dupla F",811,IF(Atletas!T569="Arma Maleável F",812,IF(Atletas!T569="Shuangdao A",813,IF(Atletas!T569="Shuangdao B",814,IF(Atletas!T569="Shuangdao C",815,IF(Atletas!T569="Shuangdao D",816,IF(Atletas!T569="Shuangdao E",817,IF(Atletas!T569="Shuangdao F",818,"")))))))))))))))))))</f>
        <v/>
      </c>
      <c r="CC578" s="50" t="str">
        <f>IF(Atletas!U569="","",IF(Atletas!X569&lt;&gt;"",10000,0)+IF(Atletas!B569="Feminino",1000,IF(Atletas!B569="Masculino",2000,""))+IF(OR(Atletas!U569="Taijijian Yang A",Atletas!U569="Taijijian Yang Standard A"),901,IF(OR(Atletas!U569="Taijijian Chen A", Atletas!U569="Taijijian Chen Standard A"),902,IF(Atletas!U569="Taijijian Sun A",903,IF(Atletas!U569="Taijijian Wu A",904,IF(Atletas!U569="Taijijian Wu-Hao A",905,IF(OR(Atletas!U569="Taijijian 32 A",Atletas!U569="Taijijian 42 A"),906,IF(OR(Atletas!U569="Taijijian Yang B",Atletas!U569="Taijijian Yang Standard B"),907,IF(OR(Atletas!U569="Taijijian Chen B", Atletas!U569="Taijijian Chen Standard B"),908,IF(Atletas!U569="Taijijian Sun B",909,IF(Atletas!U569="Taijijian Wu B",910,IF(Atletas!U569="Taijijian Wu-Hao B",911,IF(OR(Atletas!U569="Taijijian 32 B",Atletas!U569="Taijijian 42 B"),912,IF(OR(Atletas!U569="Taijijian Yang C",Atletas!U569="Taijijian Yang Standard C"),913,IF(OR(Atletas!U569="Taijijian Chen C", Atletas!U569="Taijijian Chen Standard C"),914,IF(Atletas!U569="Taijijian Sun C",915,IF(Atletas!U569="Taijijian Wu C",916,IF(Atletas!U569="Taijijian Wu-Hao C",917,IF(OR(Atletas!U569="Taijijian 32 C",Atletas!U569="Taijijian 42 C"),918,IF(OR(Atletas!U569="Taijijian Yang D",Atletas!U569="Taijijian Yang Standard D"),919,IF(OR(Atletas!U569="Taijijian Chen D", Atletas!U569="Taijijian Chen Standard D"),920,IF(Atletas!U569="Taijijian Sun D",921,IF(Atletas!U569="Taijijian Wu D",922,IF(Atletas!U569="Taijijian Wu-Hao D",923,IF(OR(Atletas!U569="Taijijian 32 D",Atletas!U569="Taijijian 42 D"),924,IF(OR(Atletas!U569="Taijijian Yang E",Atletas!U569="Taijijian Yang Standard E"),925,IF(OR(Atletas!U569="Taijijian Chen E", Atletas!U569="Taijijian Chen Standard E"),926,IF(Atletas!U569="Taijijian Sun E",927,IF(Atletas!U569="Taijijian Wu E",928,IF(Atletas!U569="Taijijian Wu-Hao E",929,IF(OR(Atletas!U569="Taijijian 32 E",Atletas!U569="Taijijian 42 E"),930,IF(OR(Atletas!U569="Taijijian Yang F",Atletas!U569="Taijijian Yang Standard F"),931,IF(OR(Atletas!U569="Taijijian Chen F", Atletas!U569="Taijijian Chen Standard F"),932,IF(Atletas!U569="Taijijian Sun F",933,IF(Atletas!U569="Taijijian Wu F",934,IF(Atletas!U569="Taijijian Wu-Hao F",935,IF(OR(Atletas!U569="Taijijian 32 F",Atletas!U569="Taijijian 42 F"),936,"")))))))))))))))))))))))))))))))))))))</f>
        <v/>
      </c>
      <c r="CD578" s="50" t="str">
        <f>IF(Atletas!V569="","",IF(Atletas!X569&lt;&gt;"",10000,0)+IF(Atletas!B569="Feminino",1000,IF(Atletas!B569="Masculino",2000,""))+IF(Atletas!V569="Taijidao A",937,IF(Atletas!V569="TaijiShanzi A",938,IF(Atletas!V569="Taijiqiang A",939,IF(Atletas!V569="Bagua de Arma A",940,IF(Atletas!V569="Xingyi de Arma A",941,IF(Atletas!V569="Taijidao B",942,IF(Atletas!V569="TaijiShanzi B",943,IF(Atletas!V569="Taijiqiang B",944,IF(Atletas!V569="Bagua de Arma B",945,IF(Atletas!V569="Xingyi de Arma B",946,IF(Atletas!V569="Taijidao C",947,IF(Atletas!V569="TaijiShanzi C",948,IF(Atletas!V569="Taijiqiang C",949,IF(Atletas!V569="Bagua de Arma C",950,IF(Atletas!V569="Xingyi de Arma C",951,IF(Atletas!V569="Taijidao D",952,IF(Atletas!V569="TaijiShanzi D",953,IF(Atletas!V569="Taijiqiang D",954,IF(Atletas!V569="Bagua de Arma D",955,IF(Atletas!V569="Xingyi de Arma D",956,IF(Atletas!V569="Taijidao E",957,IF(Atletas!V569="TaijiShanzi E",958,IF(Atletas!V569="Taijiqiang E",959,IF(Atletas!V569="Bagua de Arma E",960,IF(Atletas!V569="Xingyi de Arma E",961,IF(Atletas!V569="Taijidao F",962,IF(Atletas!V569="TaijiShanzi F",963,IF(Atletas!V569="Taijiqiang F",964,IF(Atletas!V569="Bagua de Arma F",965,IF(Atletas!V569="Xingyi de Arma F",966,"")))))))))))))))))))))))))))))))</f>
        <v/>
      </c>
      <c r="CM578" s="50" t="str">
        <f xml:space="preserve"> IF(Atletas!W569="","",IF(Atletas!W569="Duilian de Mãos BC - Equipe 1",1,IF(Atletas!W569="Duilian de Mãos BC - Equipe 2",2,IF(Atletas!W569="Duilian de Armas BC - Equipe 1",3,IF(Atletas!W569="Duilian de Armas BC - Equipe 2",4,IF(Atletas!W569="Duilian de Mãos DE - Equipe 1",5,IF(Atletas!W569="Duilian de Mãos DE - Equipe 2",6,IF(Atletas!W569="Duilian de Armas DE - Equipe 1",7,IF(Atletas!W569="Duilian de Armas DE - Equipe 2",8,IF(Atletas!W569="Duilian de Tuishou - Equipe 1",9,IF(Atletas!W569="Duilian de Tuishou - Equipe 2",10,IF(Atletas!W569="Grupo Externo ABC - Equipe 1",11,IF(Atletas!W569="Grupo Externo ABC - Equipe 2",12,IF(Atletas!W569="Grupo Interno ABC - Equipe 1",13,IF(Atletas!W569="Grupo Interno ABC - Equipe 2",14,IF(Atletas!W569="Grupo Externo DEF - Equipe 1",15,IF(Atletas!W569="Grupo Externo DEF - Equipe 2",16,IF(Atletas!W569="Grupo Interno DEF - Equipe 1",17,IF(Atletas!W569="Grupo Interno DEF - Equipe 2",18,"")))))))))))))))))))</f>
        <v/>
      </c>
    </row>
    <row r="579" spans="40:91">
      <c r="AN579" s="52" t="str">
        <f>IF(Atletas!D570="","",IF(Atletas!B570="Feminino",100,IF(Atletas!B570="Masculino",200,""))+(IF(Atletas!D570="Kids 30kg",1,IF(Atletas!D570="Kids 32kg",2, IF(Atletas!D570="Kids 34kg",3,IF(Atletas!D570="Kids 36kg",4,IF(Atletas!D570="Kids 39kg",5,IF(Atletas!D570="Kids 42kg",6,IF(Atletas!D570="Kids 45kg",7, IF(Atletas!D570="Infantil 39kg",8,IF(Atletas!D570="Infantil 42kg",9,IF(Atletas!D570="Infantil 45kg",10,IF(Atletas!D570="Infantil 48kg",11,IF(Atletas!D570="Infantil 52kg",12,IF(Atletas!D570="Infantil 56kg",13,IF(Atletas!D570="Infantil 60kg",14,IF(Atletas!D570="Juvenil 48kg",15,IF(Atletas!D570="Juvenil 52kg",16,IF(Atletas!D570="Juvenil 56kg",17,IF(Atletas!D570="Juvenil 60kg",18,IF(Atletas!D570="Juvenil 65kg",19,IF(Atletas!D570="Juvenil 70kg",20,IF(Atletas!D570="Juvenil 75kg",21,IF(Atletas!D570="Juvenil 80kg",22, IF(Atletas!D570="Juvenil 85kg",23,IF(Atletas!D570="Adulto 48kg",24,IF(Atletas!D570="Adulto 52kg",25,IF(Atletas!D570="Adulto 56kg",26,IF(Atletas!D570="Adulto 60kg",27,IF(Atletas!D570="Adulto 65kg",28,IF(Atletas!D570="Adulto 70kg",29,IF(Atletas!D570="Adulto 75kg",30,IF(Atletas!D570="Adulto 80kg",31,IF(Atletas!D570="Adulto 85kg",32,IF(Atletas!D570="Adulto 90kg",33,IF(Atletas!D570="Adulto 100kg",34, IF(Atletas!D570="Adulto +100kg",35,"")))))))))))))))))))))))))))))))))))))</f>
        <v/>
      </c>
      <c r="AS579" s="6" t="str">
        <f>IF(Atletas!E570="","",IF(Atletas!B570="Feminino",100,IF(Atletas!B570="Masculino",200,""))+(IF(Atletas!E570="Juvenil 44kg",1,IF(Atletas!E570="Juvenil 48kg",2,IF(Atletas!E570="Juvenil 52kg",3,IF(Atletas!E570="Juvenil 56kg",4,IF(Atletas!E570="Juvenil 60kg",5,IF(Atletas!E570="Juvenil 65kg",6,IF(Atletas!E570="Juvenil 70kg",7,IF(Atletas!E570="Juvenil 75kg",8,IF(Atletas!E570="Juvenil 82kg",9,IF(Atletas!E570="Juvenil 90kg",10,IF(Atletas!E570="Juvenil 100kg",11,IF(Atletas!E570="Adulto 48kg",12,IF(Atletas!E570="Adulto 52kg",13,IF(Atletas!E570="Adulto 56kg",14,IF(Atletas!E570="Adulto 60kg",15,IF(Atletas!E570="Adulto 65kg",16,IF(Atletas!E570="Adulto 70kg",17,IF(Atletas!E570="Adulto 75kg",18,IF(Atletas!E570="Adulto 82kg",19,IF(Atletas!E570="Adulto 90kg",20,IF(Atletas!E570="Adulto 100kg",21,IF(Atletas!E570="Adulto +100kg",22,""))))))))))))))))))))))))</f>
        <v/>
      </c>
      <c r="AX579" s="6" t="str">
        <f>IF(Atletas!F570="","",IF(Atletas!B570="Feminino",100,IF(Atletas!B570="Masculino",200,""))+(IF(Atletas!F570="Adulto 48kg",1,IF(Atletas!F570="Adulto 56kg",2,IF(Atletas!F570="Adulto 65kg",3,IF(Atletas!F570="Adulto 75kg",4,IF(Atletas!F570="Adulto +75kg",5,IF(Atletas!F570="Adulto 52kg",6,IF(Atletas!F570="Adulto 60kg",7,IF(Atletas!F570="Adulto 70kg",8,IF(Atletas!F570="Adulto 80kg",9,IF(Atletas!F570="Adulto 90kg",10,IF(Atletas!F570="Adulto +90kg",11,"")))))))))))))</f>
        <v/>
      </c>
      <c r="BC579" s="6" t="str">
        <f>IF(Atletas!G570="","",IF(Atletas!B570="Feminino",10,IF(Atletas!B570="Masculino",20,""))+(IF(Atletas!G570="Baduanjin A",1,IF(Atletas!G570="Baduanjin B",2))))</f>
        <v/>
      </c>
      <c r="BF579" s="52" t="str">
        <f>IF(Atletas!H570="","",IF(Atletas!B570="Feminino",100,IF(Atletas!B570="Masculino",200,""))+(IF(Atletas!H570="Changquan Mirim",1,IF(Atletas!H570="Nanquan Mirim",2,IF(Atletas!H570="Taijiquan Mirim",3,IF(Atletas!H570="Changquan Grupo C",4,IF(Atletas!H570="Nanquan Grupo C",5,IF(Atletas!H570="Taijiquan Grupo C",6,IF(Atletas!H570="Changquan Grupo B",7,IF(Atletas!H570="Nanquan Grupo B",8,IF(Atletas!H570="Taijiquan Grupo B",9,IF(Atletas!H570="Changquan Grupo A",10,IF(Atletas!H570="Nanquan Grupo A",11,IF(Atletas!H570="Taijiquan Grupo A",12,IF(Atletas!H570="Changquan Opcional",13,IF(Atletas!H570="Nanquan Opcional",14,IF(Atletas!H570="Taijiquan Opcional",15,IF(Atletas!H570="Changquan Adulto",16,IF(Atletas!H570="Nanquan Adulto",17,IF(Atletas!H570="Taijiquan Adulto",18,""))))))))))))))))))))</f>
        <v/>
      </c>
      <c r="BG579" s="52" t="str">
        <f>IF(Atletas!I570="","",IF(Atletas!B570="Feminino",100,IF(Atletas!B570="Masculino",200,""))+(IF(Atletas!I570="Daoshu Mirim",19,IF(Atletas!I570="Jianshu Mirim",20,IF(Atletas!I570="Nandao Mirim",21,IF(Atletas!I570="Taijijian Mirim",22,IF(Atletas!I570="Daoshu Grupo C",23,IF(Atletas!I570="Jianshu Grupo C",24,IF(Atletas!I570="Nandao Grupo C",25,IF(Atletas!I570="Taijijian Grupo C",26,IF(Atletas!I570="Daoshu Grupo B",27,IF(Atletas!I570="Jianshu Grupo B",28,IF(Atletas!I570="Nandao Grupo B",29,IF(Atletas!I570="Taijijian Grupo B",30,IF(Atletas!I570="Daoshu Grupo A",31,IF(Atletas!I570="Jianshu Grupo A",32,IF(Atletas!I570="Nandao Grupo A",33,IF(Atletas!I570="Taijijian Grupo A",34,IF(Atletas!I570="Daoshu Opcional",35,IF(Atletas!I570="Jianshu Opcional",36,IF(Atletas!I570="Nandao Opcional",37,IF(Atletas!I570="Taijijian Opcional",38,IF(Atletas!I570="Daoshu Adulto",39,IF(Atletas!I570="Jianshu Adulto",40,IF(Atletas!I570="Nandao Adulto",41,IF(Atletas!I570="Taijijian Adulto",42,""))))))))))))))))))))))))))</f>
        <v/>
      </c>
      <c r="BH579" s="52" t="str">
        <f>IF(Atletas!J570="","",IF(Atletas!B570="Feminino",100,IF(Atletas!B570="Masculino",200,""))+(IF(Atletas!J570="Gunshu Mirim",43,IF(Atletas!J570="Qiangshu Mirim",44,IF(Atletas!J570="Nangun Mirim",45,IF(Atletas!J570="Gunshu Grupo C",46,IF(Atletas!J570="Qiangshu Grupo C",47,IF(Atletas!J570="Nangun Grupo C",48,IF(Atletas!J570="Gunshu Grupo B",49,IF(Atletas!J570="Qiangshu Grupo B",50,IF(Atletas!J570="Nangun Grupo B",51,IF(Atletas!J570="Gunshu Grupo A",52,IF(Atletas!J570="Qiangshu Grupo A",53,IF(Atletas!J570="Nangun Grupo A",54,IF(Atletas!J570="Gunshu Opcional",55,IF(Atletas!J570="Qiangshu Opcional",56,IF(Atletas!J570="Nangun Opcional",57,IF(Atletas!J570="Gunshu Adulto",58,IF(Atletas!J570="Qiangshu Adulto",59,IF(Atletas!J570="Nangun Adulto",60,IF(Atletas!J570="Taijishan Grupo B",61,IF(Atletas!J570="Taijishan Grupo A",62,""))))))))))))))))))))))</f>
        <v/>
      </c>
      <c r="BM579" s="50" t="str">
        <f>IF(Atletas!K570="","",IF(Atletas!B570="Feminino",100,IF(Atletas!B570="Masculino",200,""))+(IF(Atletas!K570="Equipe 1 Grupo B",1,IF(Atletas!K570="Equipe 2 Grupo B",2,IF(Atletas!K570="Equipe 1 Grupo A",3,IF(Atletas!K570="Equipe 2 Grupo A",4,IF(Atletas!K570="Equipe 1 Adulto",5,IF(Atletas!K570="Equipe 2 Adulto",6,""))))))))</f>
        <v/>
      </c>
      <c r="BR579" s="50" t="str">
        <f>IF(Atletas!L570="","",IF(Atletas!X570&lt;&gt;"",10000,0)+(IF(Atletas!B570="Feminino",1000,IF(Atletas!B570="Masculino",2000,""))+IF(Atletas!L570="Choylayfut A",1,IF(Atletas!L570="Hunggar A",2,IF(Atletas!L570="Wuzuquan A",3,IF(Atletas!L570="Wingchun A",4,IF(Atletas!L570="Outra Mão de Sul A",5,IF(Atletas!L570="Choylayfut B",6,IF(Atletas!L570="Hunggar B",7,IF(Atletas!L570="Wuzuquan B",8,IF(Atletas!L570="Wingchun B",9,IF(Atletas!L570="Outra Mão de Sul B",10,IF(Atletas!L570="Choylayfut C",11,IF(Atletas!L570="Hunggar C",12,IF(Atletas!L570="Wuzuquan C",13,IF(Atletas!L570="Wingchun C",14,IF(Atletas!L570="Outra Mão de Sul C",15,IF(Atletas!L570="Choylayfut D",16,IF(Atletas!L570="Hunggar D",17,IF(Atletas!L570="Wuzuquan D",18,IF(Atletas!L570="Wingchun D",19,IF(Atletas!L570="Outra Mão de Sul D",20,IF(Atletas!L570="Choylayfut E",21,IF(Atletas!L570="Hunggar E",22,IF(Atletas!L570="Wuzuquan E",23,IF(Atletas!L570="Wingchun E",24,IF(Atletas!L570="Outra Mão de Sul E",25,IF(Atletas!L570="Choylayfut F",26,IF(Atletas!L570="Hunggar F",27,IF(Atletas!L570="Wuzuquan F",28,IF(Atletas!L570="Wingchun F",29,IF(Atletas!L570="Outra Mão de Sul F",30,IF(Atletas!L570="Dishuquan A",31,IF(Atletas!L570="Dishuquan B",32,IF(Atletas!L570="Dishuquan C",33,IF(Atletas!L570="Dishuquan D",34,IF(Atletas!L570="Dishuquan E",35,IF(Atletas!L570="Dishuquan F",36,""))))))))))))))))))))))))))))))))))))))</f>
        <v/>
      </c>
      <c r="BS579" s="50" t="str">
        <f>IF(Atletas!M570="","",IF(Atletas!X570&lt;&gt;"",10000,0)+(IF(Atletas!B570="Feminino",1000,IF(Atletas!B570="Masculino",2000,""))+(IF(Atletas!M570="Chaquan A",101,IF(Atletas!M570="Emeiquan A",102,IF(Atletas!M570="Fanziquan A",103,IF(Atletas!M570="Huaquan A",104,IF(Atletas!M570="Hongquan A",105,IF(Atletas!M570="Paoquan A",106,IF(Atletas!M570="Piguaquan A",107,IF(Atletas!M570="Shaolinquan A",108,IF(Atletas!M570="Tanglangquan A",109,IF(Atletas!M570="Yingzhaoquan A",110,IF(Atletas!M570="Tongbeiquan A",111,IF(Atletas!M570="Wudangquan A",112,IF(Atletas!M570="Outros Estilos A",113,IF(Atletas!M570="Chaquan B",114,IF(Atletas!M570="Emeiquan B",115,IF(Atletas!M570="Fanziquan B",116,IF(Atletas!M570="Huaquan B",117,IF(Atletas!M570="Hongquan B",118,IF(Atletas!M570="Paoquan B",119,IF(Atletas!M570="Piguaquan B",120,IF(Atletas!M570="Shaolinquan B",121,IF(Atletas!M570="Tanglangquan B",122,IF(Atletas!M570="Yingzhaoquan B",123,IF(Atletas!M570="Tongbeiquan B",124,IF(Atletas!M570="Wudangquan B",125,IF(Atletas!M570="Outros Estilos B",126,IF(Atletas!M570="Chaquan C",127,IF(Atletas!M570="Emeiquan C",128,IF(Atletas!M570="Fanziquan C",129,IF(Atletas!M570="Huaquan C",130,IF(Atletas!M570="Hongquan C",131,IF(Atletas!M570="Paoquan C",132,IF(Atletas!M570="Piguaquan C",133,IF(Atletas!M570="Shaolinquan C",134,IF(Atletas!M570="Tanglangquan C",135,IF(Atletas!M570="Yingzhaoquan C",136,IF(Atletas!M570="Tongbeiquan C",137,IF(Atletas!M570="Wudangquan C",138,IF(Atletas!M570="Outros Estilos C",139,0))))))))))))))))))))))))))))))))))))))))))</f>
        <v/>
      </c>
      <c r="BT579" s="50" t="str">
        <f>IF(Atletas!M570="","",IF(Atletas!X570&lt;&gt;"",10000,0)+(IF(Atletas!B570="Feminino",1000,IF(Atletas!B570="Masculino",2000,""))+(IF(Atletas!M570="Chaquan D",140,IF(Atletas!M570="Emeiquan D",141,IF(Atletas!M570="Fanziquan D",142,IF(Atletas!M570="Huaquan D",143,IF(Atletas!M570="Hongquan D",144,IF(Atletas!M570="Paoquan D",145,IF(Atletas!M570="Piguaquan D",146,IF(Atletas!M570="Shaolinquan D",147,IF(Atletas!M570="Tanglangquan D",148,IF(Atletas!M570="Yingzhaoquan D",149,IF(Atletas!M570="Tongbeiquan D",150,IF(Atletas!M570="Wudangquan D",151,IF(Atletas!M570="Outros Estilos D",152,IF(Atletas!M570="Chaquan E",153,IF(Atletas!M570="Emeiquan E",154,IF(Atletas!M570="Fanziquan E",155,IF(Atletas!M570="Huaquan E",156,IF(Atletas!M570="Hongquan E",157,IF(Atletas!M570="Paoquan E",158,IF(Atletas!M570="Piguaquan E",159,IF(Atletas!M570="Shaolinquan E",160,IF(Atletas!M570="Tanglangquan E",161,IF(Atletas!M570="Yingzhaoquan E",162,IF(Atletas!M570="Tongbeiquan E",163,IF(Atletas!M570="Wudangquan E",164,IF(Atletas!M570="Outros Estilos E",165,IF(Atletas!M570="Chaquan F",166,IF(Atletas!M570="Emeiquan F",167,IF(Atletas!M570="Fanziquan F",168,IF(Atletas!M570="Huaquan F",169,IF(Atletas!M570="Hongquan F",170,IF(Atletas!M570="Paoquan F",171,IF(Atletas!M570="Piguaquan F",172,IF(Atletas!M570="Shaolinquan F",173,IF(Atletas!M570="Tanglangquan F",174,IF(Atletas!M570="Yingzhaoquan F",175,IF(Atletas!M570="Tongbeiquan F",176,IF(Atletas!M570="Wudangquan F",177,IF(Atletas!M570="Outros Estilos F",178,0))))))))))))))))))))))))))))))))))))))))))</f>
        <v/>
      </c>
      <c r="BU579" s="50" t="str">
        <f>IF(Atletas!N570="","",IF(Atletas!X570&lt;&gt;"",10000,0)+(IF(Atletas!B570="Feminino",1000,IF(Atletas!B570="Masculino",2000,""))+(IF(Atletas!N570="Ditangquan A",201,IF(Atletas!N570="Houquan A",202,IF(Atletas!N570="Zuiquan A",203,IF(Atletas!N570="Ditangquan B",204,IF(Atletas!N570="Houquan B",205,IF(Atletas!N570="Zuiquan B",206,IF(Atletas!N570="Ditangquan C",207,IF(Atletas!N570="Houquan C",208,IF(Atletas!N570="Zuiquan C",209,IF(Atletas!N570="Ditangquan D",210,IF(Atletas!N570="Houquan D",211,IF(Atletas!N570="Zuiquan D",212,IF(Atletas!N570="Ditangquan E",213,IF(Atletas!N570="Houquan E",214,IF(Atletas!N570="Zuiquan E",215,IF(Atletas!N570="Ditangquan F",216,IF(Atletas!N570="Houquan F",217,IF(Atletas!N570="Zuiquan F",218,"")))))))))))))))))))))</f>
        <v/>
      </c>
      <c r="BV579" s="50" t="str">
        <f>IF(Atletas!O570="","",IF(Atletas!X570&lt;&gt;"",10000,0)+IF(Atletas!B570="Feminino",1000,IF(Atletas!B570="Masculino",2000,""))+IF(Atletas!O570="Yang A",301,IF(Atletas!O570="Chen A",302,IF(Atletas!O570="Sun A",303,IF(Atletas!O570="Wu A",304,IF(Atletas!O570="Wu-Hao A",305,IF(Atletas!O570="Outro Taijiquan A",306,IF(Atletas!O570="Yang B",307,IF(Atletas!O570="Chen B",308,IF(Atletas!O570="Sun B",309,IF(Atletas!O570="Wu B",310,IF(Atletas!O570="Wu-Hao B",311,IF(Atletas!O570="Outro Taijiquan B",312,IF(Atletas!O570="Yang C",313,IF(Atletas!O570="Chen C",314,IF(Atletas!O570="Sun C",315,IF(Atletas!O570="Wu C",316,IF(Atletas!O570="Wu-Hao C",317,IF(Atletas!O570="Outro Taijiquan C",318,IF(Atletas!O570="Yang D",319,IF(Atletas!O570="Chen D",320,IF(Atletas!O570="Sun D",321,IF(Atletas!O570="Wu D",322,IF(Atletas!O570="Wu-Hao D",323,IF(Atletas!O570="Outro Taijiquan D",324,IF(Atletas!O570="Yang E",325,IF(Atletas!O570="Chen E",326,IF(Atletas!O570="Sun E",327,IF(Atletas!O570="Wu E",328,IF(Atletas!O570="Wu-Hao E",329,IF(Atletas!O570="Outro Taijiquan E",330,IF(Atletas!O570="Yang F",331,IF(Atletas!O570="Chen F",332,IF(Atletas!O570="Sun F",333,IF(Atletas!O570="Wu F",334,IF(Atletas!O570="Wu-Hao F",335,IF(Atletas!O570="Outro Taijiquan F",336,"")))))))))))))))))))))))))))))))))))))</f>
        <v/>
      </c>
      <c r="BW579" s="50" t="str">
        <f>IF(Atletas!P570="","",IF(Atletas!X570&lt;&gt;"",10000,0)+IF(Atletas!B570="Feminino",1000,IF(Atletas!B570="Masculino",2000,""))+IF(OR(Atletas!P570="Yang 26 A",Atletas!P570="Yang 40 A"),401,IF(OR(Atletas!P570="Chen 25 A",Atletas!P570="Chen 36 A",Atletas!P570="Chen 56 A"),402,IF(Atletas!P570="Sun 73 A",403,IF(Atletas!P570="Wu 45 A",404,IF(Atletas!P570="Wu-Hao 46 A",405,IF(OR(Atletas!P570="Taijiquan 16 A",Atletas!P570="Taijiquan 24 A",Atletas!P570="Taijiquan 32 A",Atletas!P570="Taijiquan 42 A"),406,IF(OR(Atletas!P570="Yang 26 B",Atletas!P570="Yang 40 B"),407,IF(OR(Atletas!P570="Chen 25 B",Atletas!P570="Chen 36 B",Atletas!P570="Chen 56 B"),408,IF(Atletas!P570="Sun 73 B",409,IF(Atletas!P570="Wu 45 B",410,IF(Atletas!P570="Wu-Hao 46 B",411,IF(OR(Atletas!P570="Taijiquan 16 B",Atletas!P570="Taijiquan 24 B",Atletas!P570="Taijiquan 32 B",Atletas!P570="Taijiquan 42 B"),412,IF(OR(Atletas!P570="Yang 26 C",Atletas!P570="Yang 40 C"),413,IF(OR(Atletas!P570="Chen 25 C",Atletas!P570="Chen 36 C",Atletas!P570="Chen 56 C"),414,IF(Atletas!P570="Sun 73 C",415,IF(Atletas!P570="Wu 45 C",416,IF(Atletas!P570="Wu-Hao 46 C",417,IF(OR(Atletas!P570="Taijiquan 16 C",Atletas!P570="Taijiquan 24 C",Atletas!P570="Taijiquan 32 C",Atletas!P570="Taijiquan 42 C"),418,0)))))))))))))))))))</f>
        <v/>
      </c>
      <c r="BX579" s="50" t="str">
        <f>IF(Atletas!P570="","",IF(Atletas!X570&lt;&gt;"",10000,0)+IF(Atletas!B570="Feminino",1000,IF(Atletas!B570="Masculino",2000,""))+IF(OR(Atletas!P570="Yang 26 D",Atletas!P570="Yang 40 D"),419,IF(OR(Atletas!P570="Chen 25 D",Atletas!P570="Chen 36 D",Atletas!P570="Chen 56 D"),420,IF(Atletas!P570="Sun 73 D",421,IF(Atletas!P570="Wu 45 D",422,IF(Atletas!P570="Wu-Hao 46 D",423,IF(OR(Atletas!P570="Taijiquan 16 D",Atletas!P570="Taijiquan 24 D",Atletas!P570="Taijiquan 32 D",Atletas!P570="Taijiquan 42 D"),424,IF(OR(Atletas!P570="Yang 26 E",Atletas!P570="Yang 40 E"),425,IF(OR(Atletas!P570="Chen 25 E",Atletas!P570="Chen 36 E",Atletas!P570="Chen 56 E"),426,IF(Atletas!P570="Sun 73 E",427,IF(Atletas!P570="Wu 45 E",428,IF(Atletas!P570="Wu-Hao 46 E",429,IF(OR(Atletas!P570="Taijiquan 16 E",Atletas!P570="Taijiquan 24 E",Atletas!P570="Taijiquan 32 E",Atletas!P570="Taijiquan 42 E"),430,IF(OR(Atletas!P570="Yang 26 F",Atletas!P570="Yang 40 F"),431,IF(OR(Atletas!P570="Chen 25 F",Atletas!P570="Chen 36 F",Atletas!P570="Chen 56 F"),432,IF(Atletas!P570="Sun 73 F",433,IF(Atletas!P570="Wu 45 F",434,IF(Atletas!P570="Wu-Hao 46 F",435,IF(OR(Atletas!P570="Taijiquan 16 F",Atletas!P570="Taijiquan 24 F",Atletas!P570="Taijiquan 32 F",Atletas!P570="Taijiquan 42 F"),436,0)))))))))))))))))))</f>
        <v/>
      </c>
      <c r="BY579" s="50" t="str">
        <f>IF(Atletas!Q570="","",IF(Atletas!X570&lt;&gt;"",10000,0)+IF(Atletas!B570="Feminino",1000,IF(Atletas!B570="Masculino",2000,""))+IF(Atletas!Q570="Xingyiquan A",501,IF(Atletas!Q570="Baguazhang A",502,IF(Atletas!Q570="Outro Estilo Interno A",503,IF(Atletas!Q570="Xingyiquan B",504,IF(Atletas!Q570="Baguazhang B",505,IF(Atletas!Q570="Outro Estilo Interno B",506,IF(Atletas!Q570="Xingyiquan C",507,IF(Atletas!Q570="Baguazhang C",508,IF(Atletas!Q570="Outro Estilo Interno C",509,IF(Atletas!Q570="Xingyiquan D",510,IF(Atletas!Q570="Baguazhang D",511,IF(Atletas!Q570="Outro Estilo Interno D",512,IF(Atletas!Q570="Xingyiquan E",513,IF(Atletas!Q570="Baguazhang E",514,IF(Atletas!Q570="Outro Estilo Interno E",515,IF(Atletas!Q570="Xingyiquan F",516,IF(Atletas!Q570="Baguazhang F",517,IF(Atletas!Q570="Outro Estilo Interno F",518, "")))))))))))))))))))</f>
        <v/>
      </c>
      <c r="BZ579" s="50" t="str">
        <f>IF(Atletas!R570="","",IF(Atletas!X570&lt;&gt;"",10000,0)+IF(Atletas!B570="Feminino",1000,IF(Atletas!B570="Masculino",2000,""))+IF(Atletas!R570="Dao A",601,IF(Atletas!R570="Jian A",602,IF(Atletas!R570="Bishou A",603,IF(Atletas!R570="Shanzi A",604,IF(Atletas!R570="Outra Arma Curta A",605,IF(Atletas!R570="Dao B",606,IF(Atletas!R570="Jian B",607,IF(Atletas!R570="Bishou B",608,IF(Atletas!R570="Shanzi B",609,IF(Atletas!R570="Outra Arma Curta B",610,IF(Atletas!R570="Dao C",611,IF(Atletas!R570="Jian C",612,IF(Atletas!R570="Bishou C",613,IF(Atletas!R570="Shanzi C",614,IF(Atletas!R570="Outra Arma Curta C",615,IF(Atletas!R570="Dao D",616,IF(Atletas!R570="Jian D",617,IF(Atletas!R570="Bishou D",618,IF(Atletas!R570="Shanzi D",619,IF(Atletas!R570="Outra Arma Curta D",620,IF(Atletas!R570="Dao E",621,IF(Atletas!R570="Jian E",622,IF(Atletas!R570="Bishou E",623,IF(Atletas!R570="Shanzi E",624,IF(Atletas!R570="Outra Arma Curta E",625,IF(Atletas!R570="Dao F",626,IF(Atletas!R570="Jian F",627,IF(Atletas!R570="Bishou F",628,IF(Atletas!R570="Shanzi F",629,IF(Atletas!R570="Outra Arma Curta F",630, "")))))))))))))))))))))))))))))))</f>
        <v/>
      </c>
      <c r="CA579" s="50" t="str">
        <f>IF(Atletas!S570="","",IF(Atletas!X570&lt;&gt;"",10000,0)+IF(Atletas!B570="Feminino",1000,IF(Atletas!B570="Masculino",2000,""))+IF(Atletas!S570="Gun A",701,IF(Atletas!S570="Qiang A",702,IF(Atletas!S570="Pudao / Guandao A",703,IF(Atletas!S570="Outra Arma Longa A",704,IF(Atletas!S570="Gun B",705,IF(Atletas!S570="Qiang B",706,IF(Atletas!S570="Pudao / Guandao B",707,IF(Atletas!S570="Outra Arma Longa B",708,IF(Atletas!S570="Gun C",709,IF(Atletas!S570="Qiang C",710,IF(Atletas!S570="Pudao / Guandao C",711,IF(Atletas!S570="Outra Arma Longa C",712,IF(Atletas!S570="Gun D",713,IF(Atletas!S570="Qiang D",714,IF(Atletas!S570="Pudao / Guandao D",715,IF(Atletas!S570="Outra Arma Longa D",716,IF(Atletas!S570="Gun E",717,IF(Atletas!S570="Qiang E",718,IF(Atletas!S570="Pudao / Guandao E",719,IF(Atletas!S570="Outra Arma Longa E",720,IF(Atletas!S570="Gun F",721,IF(Atletas!S570="Qiang F",722,IF(Atletas!S570="Pudao / Guandao F",723,IF(Atletas!S570="Outra Arma Longa F",724,"")))))))))))))))))))))))))</f>
        <v/>
      </c>
      <c r="CB579" s="50" t="str">
        <f>IF(Atletas!T570="","",IF(Atletas!X570&lt;&gt;"",10000,0)+IF(Atletas!B570="Feminino",1000,IF(Atletas!B570="Masculino",2000,""))+IF(Atletas!T570="Outra Arma Dupla A",801,IF(Atletas!T570="Arma Maleável A",802,IF(Atletas!T570="Outra Arma Dupla B",803,IF(Atletas!T570="Arma Maleável B",804,IF(Atletas!T570="Outra Arma Dupla C",805,IF(Atletas!T570="Arma Maleável C",806,IF(Atletas!T570="Outra Arma Dupla D",807,IF(Atletas!T570="Arma Maleável D",808,IF(Atletas!T570="Outra Arma Dupla E",809,IF(Atletas!T570="Arma Maleável E",810,IF(Atletas!T570="Outra Arma Dupla F",811,IF(Atletas!T570="Arma Maleável F",812,IF(Atletas!T570="Shuangdao A",813,IF(Atletas!T570="Shuangdao B",814,IF(Atletas!T570="Shuangdao C",815,IF(Atletas!T570="Shuangdao D",816,IF(Atletas!T570="Shuangdao E",817,IF(Atletas!T570="Shuangdao F",818,"")))))))))))))))))))</f>
        <v/>
      </c>
      <c r="CC579" s="50" t="str">
        <f>IF(Atletas!U570="","",IF(Atletas!X570&lt;&gt;"",10000,0)+IF(Atletas!B570="Feminino",1000,IF(Atletas!B570="Masculino",2000,""))+IF(OR(Atletas!U570="Taijijian Yang A",Atletas!U570="Taijijian Yang Standard A"),901,IF(OR(Atletas!U570="Taijijian Chen A", Atletas!U570="Taijijian Chen Standard A"),902,IF(Atletas!U570="Taijijian Sun A",903,IF(Atletas!U570="Taijijian Wu A",904,IF(Atletas!U570="Taijijian Wu-Hao A",905,IF(OR(Atletas!U570="Taijijian 32 A",Atletas!U570="Taijijian 42 A"),906,IF(OR(Atletas!U570="Taijijian Yang B",Atletas!U570="Taijijian Yang Standard B"),907,IF(OR(Atletas!U570="Taijijian Chen B", Atletas!U570="Taijijian Chen Standard B"),908,IF(Atletas!U570="Taijijian Sun B",909,IF(Atletas!U570="Taijijian Wu B",910,IF(Atletas!U570="Taijijian Wu-Hao B",911,IF(OR(Atletas!U570="Taijijian 32 B",Atletas!U570="Taijijian 42 B"),912,IF(OR(Atletas!U570="Taijijian Yang C",Atletas!U570="Taijijian Yang Standard C"),913,IF(OR(Atletas!U570="Taijijian Chen C", Atletas!U570="Taijijian Chen Standard C"),914,IF(Atletas!U570="Taijijian Sun C",915,IF(Atletas!U570="Taijijian Wu C",916,IF(Atletas!U570="Taijijian Wu-Hao C",917,IF(OR(Atletas!U570="Taijijian 32 C",Atletas!U570="Taijijian 42 C"),918,IF(OR(Atletas!U570="Taijijian Yang D",Atletas!U570="Taijijian Yang Standard D"),919,IF(OR(Atletas!U570="Taijijian Chen D", Atletas!U570="Taijijian Chen Standard D"),920,IF(Atletas!U570="Taijijian Sun D",921,IF(Atletas!U570="Taijijian Wu D",922,IF(Atletas!U570="Taijijian Wu-Hao D",923,IF(OR(Atletas!U570="Taijijian 32 D",Atletas!U570="Taijijian 42 D"),924,IF(OR(Atletas!U570="Taijijian Yang E",Atletas!U570="Taijijian Yang Standard E"),925,IF(OR(Atletas!U570="Taijijian Chen E", Atletas!U570="Taijijian Chen Standard E"),926,IF(Atletas!U570="Taijijian Sun E",927,IF(Atletas!U570="Taijijian Wu E",928,IF(Atletas!U570="Taijijian Wu-Hao E",929,IF(OR(Atletas!U570="Taijijian 32 E",Atletas!U570="Taijijian 42 E"),930,IF(OR(Atletas!U570="Taijijian Yang F",Atletas!U570="Taijijian Yang Standard F"),931,IF(OR(Atletas!U570="Taijijian Chen F", Atletas!U570="Taijijian Chen Standard F"),932,IF(Atletas!U570="Taijijian Sun F",933,IF(Atletas!U570="Taijijian Wu F",934,IF(Atletas!U570="Taijijian Wu-Hao F",935,IF(OR(Atletas!U570="Taijijian 32 F",Atletas!U570="Taijijian 42 F"),936,"")))))))))))))))))))))))))))))))))))))</f>
        <v/>
      </c>
      <c r="CD579" s="50" t="str">
        <f>IF(Atletas!V570="","",IF(Atletas!X570&lt;&gt;"",10000,0)+IF(Atletas!B570="Feminino",1000,IF(Atletas!B570="Masculino",2000,""))+IF(Atletas!V570="Taijidao A",937,IF(Atletas!V570="TaijiShanzi A",938,IF(Atletas!V570="Taijiqiang A",939,IF(Atletas!V570="Bagua de Arma A",940,IF(Atletas!V570="Xingyi de Arma A",941,IF(Atletas!V570="Taijidao B",942,IF(Atletas!V570="TaijiShanzi B",943,IF(Atletas!V570="Taijiqiang B",944,IF(Atletas!V570="Bagua de Arma B",945,IF(Atletas!V570="Xingyi de Arma B",946,IF(Atletas!V570="Taijidao C",947,IF(Atletas!V570="TaijiShanzi C",948,IF(Atletas!V570="Taijiqiang C",949,IF(Atletas!V570="Bagua de Arma C",950,IF(Atletas!V570="Xingyi de Arma C",951,IF(Atletas!V570="Taijidao D",952,IF(Atletas!V570="TaijiShanzi D",953,IF(Atletas!V570="Taijiqiang D",954,IF(Atletas!V570="Bagua de Arma D",955,IF(Atletas!V570="Xingyi de Arma D",956,IF(Atletas!V570="Taijidao E",957,IF(Atletas!V570="TaijiShanzi E",958,IF(Atletas!V570="Taijiqiang E",959,IF(Atletas!V570="Bagua de Arma E",960,IF(Atletas!V570="Xingyi de Arma E",961,IF(Atletas!V570="Taijidao F",962,IF(Atletas!V570="TaijiShanzi F",963,IF(Atletas!V570="Taijiqiang F",964,IF(Atletas!V570="Bagua de Arma F",965,IF(Atletas!V570="Xingyi de Arma F",966,"")))))))))))))))))))))))))))))))</f>
        <v/>
      </c>
      <c r="CM579" s="50" t="str">
        <f xml:space="preserve"> IF(Atletas!W570="","",IF(Atletas!W570="Duilian de Mãos BC - Equipe 1",1,IF(Atletas!W570="Duilian de Mãos BC - Equipe 2",2,IF(Atletas!W570="Duilian de Armas BC - Equipe 1",3,IF(Atletas!W570="Duilian de Armas BC - Equipe 2",4,IF(Atletas!W570="Duilian de Mãos DE - Equipe 1",5,IF(Atletas!W570="Duilian de Mãos DE - Equipe 2",6,IF(Atletas!W570="Duilian de Armas DE - Equipe 1",7,IF(Atletas!W570="Duilian de Armas DE - Equipe 2",8,IF(Atletas!W570="Duilian de Tuishou - Equipe 1",9,IF(Atletas!W570="Duilian de Tuishou - Equipe 2",10,IF(Atletas!W570="Grupo Externo ABC - Equipe 1",11,IF(Atletas!W570="Grupo Externo ABC - Equipe 2",12,IF(Atletas!W570="Grupo Interno ABC - Equipe 1",13,IF(Atletas!W570="Grupo Interno ABC - Equipe 2",14,IF(Atletas!W570="Grupo Externo DEF - Equipe 1",15,IF(Atletas!W570="Grupo Externo DEF - Equipe 2",16,IF(Atletas!W570="Grupo Interno DEF - Equipe 1",17,IF(Atletas!W570="Grupo Interno DEF - Equipe 2",18,"")))))))))))))))))))</f>
        <v/>
      </c>
    </row>
    <row r="580" spans="40:91">
      <c r="AN580" s="52" t="str">
        <f>IF(Atletas!D571="","",IF(Atletas!B571="Feminino",100,IF(Atletas!B571="Masculino",200,""))+(IF(Atletas!D571="Kids 30kg",1,IF(Atletas!D571="Kids 32kg",2, IF(Atletas!D571="Kids 34kg",3,IF(Atletas!D571="Kids 36kg",4,IF(Atletas!D571="Kids 39kg",5,IF(Atletas!D571="Kids 42kg",6,IF(Atletas!D571="Kids 45kg",7, IF(Atletas!D571="Infantil 39kg",8,IF(Atletas!D571="Infantil 42kg",9,IF(Atletas!D571="Infantil 45kg",10,IF(Atletas!D571="Infantil 48kg",11,IF(Atletas!D571="Infantil 52kg",12,IF(Atletas!D571="Infantil 56kg",13,IF(Atletas!D571="Infantil 60kg",14,IF(Atletas!D571="Juvenil 48kg",15,IF(Atletas!D571="Juvenil 52kg",16,IF(Atletas!D571="Juvenil 56kg",17,IF(Atletas!D571="Juvenil 60kg",18,IF(Atletas!D571="Juvenil 65kg",19,IF(Atletas!D571="Juvenil 70kg",20,IF(Atletas!D571="Juvenil 75kg",21,IF(Atletas!D571="Juvenil 80kg",22, IF(Atletas!D571="Juvenil 85kg",23,IF(Atletas!D571="Adulto 48kg",24,IF(Atletas!D571="Adulto 52kg",25,IF(Atletas!D571="Adulto 56kg",26,IF(Atletas!D571="Adulto 60kg",27,IF(Atletas!D571="Adulto 65kg",28,IF(Atletas!D571="Adulto 70kg",29,IF(Atletas!D571="Adulto 75kg",30,IF(Atletas!D571="Adulto 80kg",31,IF(Atletas!D571="Adulto 85kg",32,IF(Atletas!D571="Adulto 90kg",33,IF(Atletas!D571="Adulto 100kg",34, IF(Atletas!D571="Adulto +100kg",35,"")))))))))))))))))))))))))))))))))))))</f>
        <v/>
      </c>
      <c r="AS580" s="6" t="str">
        <f>IF(Atletas!E571="","",IF(Atletas!B571="Feminino",100,IF(Atletas!B571="Masculino",200,""))+(IF(Atletas!E571="Juvenil 44kg",1,IF(Atletas!E571="Juvenil 48kg",2,IF(Atletas!E571="Juvenil 52kg",3,IF(Atletas!E571="Juvenil 56kg",4,IF(Atletas!E571="Juvenil 60kg",5,IF(Atletas!E571="Juvenil 65kg",6,IF(Atletas!E571="Juvenil 70kg",7,IF(Atletas!E571="Juvenil 75kg",8,IF(Atletas!E571="Juvenil 82kg",9,IF(Atletas!E571="Juvenil 90kg",10,IF(Atletas!E571="Juvenil 100kg",11,IF(Atletas!E571="Adulto 48kg",12,IF(Atletas!E571="Adulto 52kg",13,IF(Atletas!E571="Adulto 56kg",14,IF(Atletas!E571="Adulto 60kg",15,IF(Atletas!E571="Adulto 65kg",16,IF(Atletas!E571="Adulto 70kg",17,IF(Atletas!E571="Adulto 75kg",18,IF(Atletas!E571="Adulto 82kg",19,IF(Atletas!E571="Adulto 90kg",20,IF(Atletas!E571="Adulto 100kg",21,IF(Atletas!E571="Adulto +100kg",22,""))))))))))))))))))))))))</f>
        <v/>
      </c>
      <c r="AX580" s="6" t="str">
        <f>IF(Atletas!F571="","",IF(Atletas!B571="Feminino",100,IF(Atletas!B571="Masculino",200,""))+(IF(Atletas!F571="Adulto 48kg",1,IF(Atletas!F571="Adulto 56kg",2,IF(Atletas!F571="Adulto 65kg",3,IF(Atletas!F571="Adulto 75kg",4,IF(Atletas!F571="Adulto +75kg",5,IF(Atletas!F571="Adulto 52kg",6,IF(Atletas!F571="Adulto 60kg",7,IF(Atletas!F571="Adulto 70kg",8,IF(Atletas!F571="Adulto 80kg",9,IF(Atletas!F571="Adulto 90kg",10,IF(Atletas!F571="Adulto +90kg",11,"")))))))))))))</f>
        <v/>
      </c>
      <c r="BC580" s="6" t="str">
        <f>IF(Atletas!G571="","",IF(Atletas!B571="Feminino",10,IF(Atletas!B571="Masculino",20,""))+(IF(Atletas!G571="Baduanjin A",1,IF(Atletas!G571="Baduanjin B",2))))</f>
        <v/>
      </c>
      <c r="BF580" s="52" t="str">
        <f>IF(Atletas!H571="","",IF(Atletas!B571="Feminino",100,IF(Atletas!B571="Masculino",200,""))+(IF(Atletas!H571="Changquan Mirim",1,IF(Atletas!H571="Nanquan Mirim",2,IF(Atletas!H571="Taijiquan Mirim",3,IF(Atletas!H571="Changquan Grupo C",4,IF(Atletas!H571="Nanquan Grupo C",5,IF(Atletas!H571="Taijiquan Grupo C",6,IF(Atletas!H571="Changquan Grupo B",7,IF(Atletas!H571="Nanquan Grupo B",8,IF(Atletas!H571="Taijiquan Grupo B",9,IF(Atletas!H571="Changquan Grupo A",10,IF(Atletas!H571="Nanquan Grupo A",11,IF(Atletas!H571="Taijiquan Grupo A",12,IF(Atletas!H571="Changquan Opcional",13,IF(Atletas!H571="Nanquan Opcional",14,IF(Atletas!H571="Taijiquan Opcional",15,IF(Atletas!H571="Changquan Adulto",16,IF(Atletas!H571="Nanquan Adulto",17,IF(Atletas!H571="Taijiquan Adulto",18,""))))))))))))))))))))</f>
        <v/>
      </c>
      <c r="BG580" s="52" t="str">
        <f>IF(Atletas!I571="","",IF(Atletas!B571="Feminino",100,IF(Atletas!B571="Masculino",200,""))+(IF(Atletas!I571="Daoshu Mirim",19,IF(Atletas!I571="Jianshu Mirim",20,IF(Atletas!I571="Nandao Mirim",21,IF(Atletas!I571="Taijijian Mirim",22,IF(Atletas!I571="Daoshu Grupo C",23,IF(Atletas!I571="Jianshu Grupo C",24,IF(Atletas!I571="Nandao Grupo C",25,IF(Atletas!I571="Taijijian Grupo C",26,IF(Atletas!I571="Daoshu Grupo B",27,IF(Atletas!I571="Jianshu Grupo B",28,IF(Atletas!I571="Nandao Grupo B",29,IF(Atletas!I571="Taijijian Grupo B",30,IF(Atletas!I571="Daoshu Grupo A",31,IF(Atletas!I571="Jianshu Grupo A",32,IF(Atletas!I571="Nandao Grupo A",33,IF(Atletas!I571="Taijijian Grupo A",34,IF(Atletas!I571="Daoshu Opcional",35,IF(Atletas!I571="Jianshu Opcional",36,IF(Atletas!I571="Nandao Opcional",37,IF(Atletas!I571="Taijijian Opcional",38,IF(Atletas!I571="Daoshu Adulto",39,IF(Atletas!I571="Jianshu Adulto",40,IF(Atletas!I571="Nandao Adulto",41,IF(Atletas!I571="Taijijian Adulto",42,""))))))))))))))))))))))))))</f>
        <v/>
      </c>
      <c r="BH580" s="52" t="str">
        <f>IF(Atletas!J571="","",IF(Atletas!B571="Feminino",100,IF(Atletas!B571="Masculino",200,""))+(IF(Atletas!J571="Gunshu Mirim",43,IF(Atletas!J571="Qiangshu Mirim",44,IF(Atletas!J571="Nangun Mirim",45,IF(Atletas!J571="Gunshu Grupo C",46,IF(Atletas!J571="Qiangshu Grupo C",47,IF(Atletas!J571="Nangun Grupo C",48,IF(Atletas!J571="Gunshu Grupo B",49,IF(Atletas!J571="Qiangshu Grupo B",50,IF(Atletas!J571="Nangun Grupo B",51,IF(Atletas!J571="Gunshu Grupo A",52,IF(Atletas!J571="Qiangshu Grupo A",53,IF(Atletas!J571="Nangun Grupo A",54,IF(Atletas!J571="Gunshu Opcional",55,IF(Atletas!J571="Qiangshu Opcional",56,IF(Atletas!J571="Nangun Opcional",57,IF(Atletas!J571="Gunshu Adulto",58,IF(Atletas!J571="Qiangshu Adulto",59,IF(Atletas!J571="Nangun Adulto",60,IF(Atletas!J571="Taijishan Grupo B",61,IF(Atletas!J571="Taijishan Grupo A",62,""))))))))))))))))))))))</f>
        <v/>
      </c>
      <c r="BM580" s="50" t="str">
        <f>IF(Atletas!K571="","",IF(Atletas!B571="Feminino",100,IF(Atletas!B571="Masculino",200,""))+(IF(Atletas!K571="Equipe 1 Grupo B",1,IF(Atletas!K571="Equipe 2 Grupo B",2,IF(Atletas!K571="Equipe 1 Grupo A",3,IF(Atletas!K571="Equipe 2 Grupo A",4,IF(Atletas!K571="Equipe 1 Adulto",5,IF(Atletas!K571="Equipe 2 Adulto",6,""))))))))</f>
        <v/>
      </c>
      <c r="BR580" s="50" t="str">
        <f>IF(Atletas!L571="","",IF(Atletas!X571&lt;&gt;"",10000,0)+(IF(Atletas!B571="Feminino",1000,IF(Atletas!B571="Masculino",2000,""))+IF(Atletas!L571="Choylayfut A",1,IF(Atletas!L571="Hunggar A",2,IF(Atletas!L571="Wuzuquan A",3,IF(Atletas!L571="Wingchun A",4,IF(Atletas!L571="Outra Mão de Sul A",5,IF(Atletas!L571="Choylayfut B",6,IF(Atletas!L571="Hunggar B",7,IF(Atletas!L571="Wuzuquan B",8,IF(Atletas!L571="Wingchun B",9,IF(Atletas!L571="Outra Mão de Sul B",10,IF(Atletas!L571="Choylayfut C",11,IF(Atletas!L571="Hunggar C",12,IF(Atletas!L571="Wuzuquan C",13,IF(Atletas!L571="Wingchun C",14,IF(Atletas!L571="Outra Mão de Sul C",15,IF(Atletas!L571="Choylayfut D",16,IF(Atletas!L571="Hunggar D",17,IF(Atletas!L571="Wuzuquan D",18,IF(Atletas!L571="Wingchun D",19,IF(Atletas!L571="Outra Mão de Sul D",20,IF(Atletas!L571="Choylayfut E",21,IF(Atletas!L571="Hunggar E",22,IF(Atletas!L571="Wuzuquan E",23,IF(Atletas!L571="Wingchun E",24,IF(Atletas!L571="Outra Mão de Sul E",25,IF(Atletas!L571="Choylayfut F",26,IF(Atletas!L571="Hunggar F",27,IF(Atletas!L571="Wuzuquan F",28,IF(Atletas!L571="Wingchun F",29,IF(Atletas!L571="Outra Mão de Sul F",30,IF(Atletas!L571="Dishuquan A",31,IF(Atletas!L571="Dishuquan B",32,IF(Atletas!L571="Dishuquan C",33,IF(Atletas!L571="Dishuquan D",34,IF(Atletas!L571="Dishuquan E",35,IF(Atletas!L571="Dishuquan F",36,""))))))))))))))))))))))))))))))))))))))</f>
        <v/>
      </c>
      <c r="BS580" s="50" t="str">
        <f>IF(Atletas!M571="","",IF(Atletas!X571&lt;&gt;"",10000,0)+(IF(Atletas!B571="Feminino",1000,IF(Atletas!B571="Masculino",2000,""))+(IF(Atletas!M571="Chaquan A",101,IF(Atletas!M571="Emeiquan A",102,IF(Atletas!M571="Fanziquan A",103,IF(Atletas!M571="Huaquan A",104,IF(Atletas!M571="Hongquan A",105,IF(Atletas!M571="Paoquan A",106,IF(Atletas!M571="Piguaquan A",107,IF(Atletas!M571="Shaolinquan A",108,IF(Atletas!M571="Tanglangquan A",109,IF(Atletas!M571="Yingzhaoquan A",110,IF(Atletas!M571="Tongbeiquan A",111,IF(Atletas!M571="Wudangquan A",112,IF(Atletas!M571="Outros Estilos A",113,IF(Atletas!M571="Chaquan B",114,IF(Atletas!M571="Emeiquan B",115,IF(Atletas!M571="Fanziquan B",116,IF(Atletas!M571="Huaquan B",117,IF(Atletas!M571="Hongquan B",118,IF(Atletas!M571="Paoquan B",119,IF(Atletas!M571="Piguaquan B",120,IF(Atletas!M571="Shaolinquan B",121,IF(Atletas!M571="Tanglangquan B",122,IF(Atletas!M571="Yingzhaoquan B",123,IF(Atletas!M571="Tongbeiquan B",124,IF(Atletas!M571="Wudangquan B",125,IF(Atletas!M571="Outros Estilos B",126,IF(Atletas!M571="Chaquan C",127,IF(Atletas!M571="Emeiquan C",128,IF(Atletas!M571="Fanziquan C",129,IF(Atletas!M571="Huaquan C",130,IF(Atletas!M571="Hongquan C",131,IF(Atletas!M571="Paoquan C",132,IF(Atletas!M571="Piguaquan C",133,IF(Atletas!M571="Shaolinquan C",134,IF(Atletas!M571="Tanglangquan C",135,IF(Atletas!M571="Yingzhaoquan C",136,IF(Atletas!M571="Tongbeiquan C",137,IF(Atletas!M571="Wudangquan C",138,IF(Atletas!M571="Outros Estilos C",139,0))))))))))))))))))))))))))))))))))))))))))</f>
        <v/>
      </c>
      <c r="BT580" s="50" t="str">
        <f>IF(Atletas!M571="","",IF(Atletas!X571&lt;&gt;"",10000,0)+(IF(Atletas!B571="Feminino",1000,IF(Atletas!B571="Masculino",2000,""))+(IF(Atletas!M571="Chaquan D",140,IF(Atletas!M571="Emeiquan D",141,IF(Atletas!M571="Fanziquan D",142,IF(Atletas!M571="Huaquan D",143,IF(Atletas!M571="Hongquan D",144,IF(Atletas!M571="Paoquan D",145,IF(Atletas!M571="Piguaquan D",146,IF(Atletas!M571="Shaolinquan D",147,IF(Atletas!M571="Tanglangquan D",148,IF(Atletas!M571="Yingzhaoquan D",149,IF(Atletas!M571="Tongbeiquan D",150,IF(Atletas!M571="Wudangquan D",151,IF(Atletas!M571="Outros Estilos D",152,IF(Atletas!M571="Chaquan E",153,IF(Atletas!M571="Emeiquan E",154,IF(Atletas!M571="Fanziquan E",155,IF(Atletas!M571="Huaquan E",156,IF(Atletas!M571="Hongquan E",157,IF(Atletas!M571="Paoquan E",158,IF(Atletas!M571="Piguaquan E",159,IF(Atletas!M571="Shaolinquan E",160,IF(Atletas!M571="Tanglangquan E",161,IF(Atletas!M571="Yingzhaoquan E",162,IF(Atletas!M571="Tongbeiquan E",163,IF(Atletas!M571="Wudangquan E",164,IF(Atletas!M571="Outros Estilos E",165,IF(Atletas!M571="Chaquan F",166,IF(Atletas!M571="Emeiquan F",167,IF(Atletas!M571="Fanziquan F",168,IF(Atletas!M571="Huaquan F",169,IF(Atletas!M571="Hongquan F",170,IF(Atletas!M571="Paoquan F",171,IF(Atletas!M571="Piguaquan F",172,IF(Atletas!M571="Shaolinquan F",173,IF(Atletas!M571="Tanglangquan F",174,IF(Atletas!M571="Yingzhaoquan F",175,IF(Atletas!M571="Tongbeiquan F",176,IF(Atletas!M571="Wudangquan F",177,IF(Atletas!M571="Outros Estilos F",178,0))))))))))))))))))))))))))))))))))))))))))</f>
        <v/>
      </c>
      <c r="BU580" s="50" t="str">
        <f>IF(Atletas!N571="","",IF(Atletas!X571&lt;&gt;"",10000,0)+(IF(Atletas!B571="Feminino",1000,IF(Atletas!B571="Masculino",2000,""))+(IF(Atletas!N571="Ditangquan A",201,IF(Atletas!N571="Houquan A",202,IF(Atletas!N571="Zuiquan A",203,IF(Atletas!N571="Ditangquan B",204,IF(Atletas!N571="Houquan B",205,IF(Atletas!N571="Zuiquan B",206,IF(Atletas!N571="Ditangquan C",207,IF(Atletas!N571="Houquan C",208,IF(Atletas!N571="Zuiquan C",209,IF(Atletas!N571="Ditangquan D",210,IF(Atletas!N571="Houquan D",211,IF(Atletas!N571="Zuiquan D",212,IF(Atletas!N571="Ditangquan E",213,IF(Atletas!N571="Houquan E",214,IF(Atletas!N571="Zuiquan E",215,IF(Atletas!N571="Ditangquan F",216,IF(Atletas!N571="Houquan F",217,IF(Atletas!N571="Zuiquan F",218,"")))))))))))))))))))))</f>
        <v/>
      </c>
      <c r="BV580" s="50" t="str">
        <f>IF(Atletas!O571="","",IF(Atletas!X571&lt;&gt;"",10000,0)+IF(Atletas!B571="Feminino",1000,IF(Atletas!B571="Masculino",2000,""))+IF(Atletas!O571="Yang A",301,IF(Atletas!O571="Chen A",302,IF(Atletas!O571="Sun A",303,IF(Atletas!O571="Wu A",304,IF(Atletas!O571="Wu-Hao A",305,IF(Atletas!O571="Outro Taijiquan A",306,IF(Atletas!O571="Yang B",307,IF(Atletas!O571="Chen B",308,IF(Atletas!O571="Sun B",309,IF(Atletas!O571="Wu B",310,IF(Atletas!O571="Wu-Hao B",311,IF(Atletas!O571="Outro Taijiquan B",312,IF(Atletas!O571="Yang C",313,IF(Atletas!O571="Chen C",314,IF(Atletas!O571="Sun C",315,IF(Atletas!O571="Wu C",316,IF(Atletas!O571="Wu-Hao C",317,IF(Atletas!O571="Outro Taijiquan C",318,IF(Atletas!O571="Yang D",319,IF(Atletas!O571="Chen D",320,IF(Atletas!O571="Sun D",321,IF(Atletas!O571="Wu D",322,IF(Atletas!O571="Wu-Hao D",323,IF(Atletas!O571="Outro Taijiquan D",324,IF(Atletas!O571="Yang E",325,IF(Atletas!O571="Chen E",326,IF(Atletas!O571="Sun E",327,IF(Atletas!O571="Wu E",328,IF(Atletas!O571="Wu-Hao E",329,IF(Atletas!O571="Outro Taijiquan E",330,IF(Atletas!O571="Yang F",331,IF(Atletas!O571="Chen F",332,IF(Atletas!O571="Sun F",333,IF(Atletas!O571="Wu F",334,IF(Atletas!O571="Wu-Hao F",335,IF(Atletas!O571="Outro Taijiquan F",336,"")))))))))))))))))))))))))))))))))))))</f>
        <v/>
      </c>
      <c r="BW580" s="50" t="str">
        <f>IF(Atletas!P571="","",IF(Atletas!X571&lt;&gt;"",10000,0)+IF(Atletas!B571="Feminino",1000,IF(Atletas!B571="Masculino",2000,""))+IF(OR(Atletas!P571="Yang 26 A",Atletas!P571="Yang 40 A"),401,IF(OR(Atletas!P571="Chen 25 A",Atletas!P571="Chen 36 A",Atletas!P571="Chen 56 A"),402,IF(Atletas!P571="Sun 73 A",403,IF(Atletas!P571="Wu 45 A",404,IF(Atletas!P571="Wu-Hao 46 A",405,IF(OR(Atletas!P571="Taijiquan 16 A",Atletas!P571="Taijiquan 24 A",Atletas!P571="Taijiquan 32 A",Atletas!P571="Taijiquan 42 A"),406,IF(OR(Atletas!P571="Yang 26 B",Atletas!P571="Yang 40 B"),407,IF(OR(Atletas!P571="Chen 25 B",Atletas!P571="Chen 36 B",Atletas!P571="Chen 56 B"),408,IF(Atletas!P571="Sun 73 B",409,IF(Atletas!P571="Wu 45 B",410,IF(Atletas!P571="Wu-Hao 46 B",411,IF(OR(Atletas!P571="Taijiquan 16 B",Atletas!P571="Taijiquan 24 B",Atletas!P571="Taijiquan 32 B",Atletas!P571="Taijiquan 42 B"),412,IF(OR(Atletas!P571="Yang 26 C",Atletas!P571="Yang 40 C"),413,IF(OR(Atletas!P571="Chen 25 C",Atletas!P571="Chen 36 C",Atletas!P571="Chen 56 C"),414,IF(Atletas!P571="Sun 73 C",415,IF(Atletas!P571="Wu 45 C",416,IF(Atletas!P571="Wu-Hao 46 C",417,IF(OR(Atletas!P571="Taijiquan 16 C",Atletas!P571="Taijiquan 24 C",Atletas!P571="Taijiquan 32 C",Atletas!P571="Taijiquan 42 C"),418,0)))))))))))))))))))</f>
        <v/>
      </c>
      <c r="BX580" s="50" t="str">
        <f>IF(Atletas!P571="","",IF(Atletas!X571&lt;&gt;"",10000,0)+IF(Atletas!B571="Feminino",1000,IF(Atletas!B571="Masculino",2000,""))+IF(OR(Atletas!P571="Yang 26 D",Atletas!P571="Yang 40 D"),419,IF(OR(Atletas!P571="Chen 25 D",Atletas!P571="Chen 36 D",Atletas!P571="Chen 56 D"),420,IF(Atletas!P571="Sun 73 D",421,IF(Atletas!P571="Wu 45 D",422,IF(Atletas!P571="Wu-Hao 46 D",423,IF(OR(Atletas!P571="Taijiquan 16 D",Atletas!P571="Taijiquan 24 D",Atletas!P571="Taijiquan 32 D",Atletas!P571="Taijiquan 42 D"),424,IF(OR(Atletas!P571="Yang 26 E",Atletas!P571="Yang 40 E"),425,IF(OR(Atletas!P571="Chen 25 E",Atletas!P571="Chen 36 E",Atletas!P571="Chen 56 E"),426,IF(Atletas!P571="Sun 73 E",427,IF(Atletas!P571="Wu 45 E",428,IF(Atletas!P571="Wu-Hao 46 E",429,IF(OR(Atletas!P571="Taijiquan 16 E",Atletas!P571="Taijiquan 24 E",Atletas!P571="Taijiquan 32 E",Atletas!P571="Taijiquan 42 E"),430,IF(OR(Atletas!P571="Yang 26 F",Atletas!P571="Yang 40 F"),431,IF(OR(Atletas!P571="Chen 25 F",Atletas!P571="Chen 36 F",Atletas!P571="Chen 56 F"),432,IF(Atletas!P571="Sun 73 F",433,IF(Atletas!P571="Wu 45 F",434,IF(Atletas!P571="Wu-Hao 46 F",435,IF(OR(Atletas!P571="Taijiquan 16 F",Atletas!P571="Taijiquan 24 F",Atletas!P571="Taijiquan 32 F",Atletas!P571="Taijiquan 42 F"),436,0)))))))))))))))))))</f>
        <v/>
      </c>
      <c r="BY580" s="50" t="str">
        <f>IF(Atletas!Q571="","",IF(Atletas!X571&lt;&gt;"",10000,0)+IF(Atletas!B571="Feminino",1000,IF(Atletas!B571="Masculino",2000,""))+IF(Atletas!Q571="Xingyiquan A",501,IF(Atletas!Q571="Baguazhang A",502,IF(Atletas!Q571="Outro Estilo Interno A",503,IF(Atletas!Q571="Xingyiquan B",504,IF(Atletas!Q571="Baguazhang B",505,IF(Atletas!Q571="Outro Estilo Interno B",506,IF(Atletas!Q571="Xingyiquan C",507,IF(Atletas!Q571="Baguazhang C",508,IF(Atletas!Q571="Outro Estilo Interno C",509,IF(Atletas!Q571="Xingyiquan D",510,IF(Atletas!Q571="Baguazhang D",511,IF(Atletas!Q571="Outro Estilo Interno D",512,IF(Atletas!Q571="Xingyiquan E",513,IF(Atletas!Q571="Baguazhang E",514,IF(Atletas!Q571="Outro Estilo Interno E",515,IF(Atletas!Q571="Xingyiquan F",516,IF(Atletas!Q571="Baguazhang F",517,IF(Atletas!Q571="Outro Estilo Interno F",518, "")))))))))))))))))))</f>
        <v/>
      </c>
      <c r="BZ580" s="50" t="str">
        <f>IF(Atletas!R571="","",IF(Atletas!X571&lt;&gt;"",10000,0)+IF(Atletas!B571="Feminino",1000,IF(Atletas!B571="Masculino",2000,""))+IF(Atletas!R571="Dao A",601,IF(Atletas!R571="Jian A",602,IF(Atletas!R571="Bishou A",603,IF(Atletas!R571="Shanzi A",604,IF(Atletas!R571="Outra Arma Curta A",605,IF(Atletas!R571="Dao B",606,IF(Atletas!R571="Jian B",607,IF(Atletas!R571="Bishou B",608,IF(Atletas!R571="Shanzi B",609,IF(Atletas!R571="Outra Arma Curta B",610,IF(Atletas!R571="Dao C",611,IF(Atletas!R571="Jian C",612,IF(Atletas!R571="Bishou C",613,IF(Atletas!R571="Shanzi C",614,IF(Atletas!R571="Outra Arma Curta C",615,IF(Atletas!R571="Dao D",616,IF(Atletas!R571="Jian D",617,IF(Atletas!R571="Bishou D",618,IF(Atletas!R571="Shanzi D",619,IF(Atletas!R571="Outra Arma Curta D",620,IF(Atletas!R571="Dao E",621,IF(Atletas!R571="Jian E",622,IF(Atletas!R571="Bishou E",623,IF(Atletas!R571="Shanzi E",624,IF(Atletas!R571="Outra Arma Curta E",625,IF(Atletas!R571="Dao F",626,IF(Atletas!R571="Jian F",627,IF(Atletas!R571="Bishou F",628,IF(Atletas!R571="Shanzi F",629,IF(Atletas!R571="Outra Arma Curta F",630, "")))))))))))))))))))))))))))))))</f>
        <v/>
      </c>
      <c r="CA580" s="50" t="str">
        <f>IF(Atletas!S571="","",IF(Atletas!X571&lt;&gt;"",10000,0)+IF(Atletas!B571="Feminino",1000,IF(Atletas!B571="Masculino",2000,""))+IF(Atletas!S571="Gun A",701,IF(Atletas!S571="Qiang A",702,IF(Atletas!S571="Pudao / Guandao A",703,IF(Atletas!S571="Outra Arma Longa A",704,IF(Atletas!S571="Gun B",705,IF(Atletas!S571="Qiang B",706,IF(Atletas!S571="Pudao / Guandao B",707,IF(Atletas!S571="Outra Arma Longa B",708,IF(Atletas!S571="Gun C",709,IF(Atletas!S571="Qiang C",710,IF(Atletas!S571="Pudao / Guandao C",711,IF(Atletas!S571="Outra Arma Longa C",712,IF(Atletas!S571="Gun D",713,IF(Atletas!S571="Qiang D",714,IF(Atletas!S571="Pudao / Guandao D",715,IF(Atletas!S571="Outra Arma Longa D",716,IF(Atletas!S571="Gun E",717,IF(Atletas!S571="Qiang E",718,IF(Atletas!S571="Pudao / Guandao E",719,IF(Atletas!S571="Outra Arma Longa E",720,IF(Atletas!S571="Gun F",721,IF(Atletas!S571="Qiang F",722,IF(Atletas!S571="Pudao / Guandao F",723,IF(Atletas!S571="Outra Arma Longa F",724,"")))))))))))))))))))))))))</f>
        <v/>
      </c>
      <c r="CB580" s="50" t="str">
        <f>IF(Atletas!T571="","",IF(Atletas!X571&lt;&gt;"",10000,0)+IF(Atletas!B571="Feminino",1000,IF(Atletas!B571="Masculino",2000,""))+IF(Atletas!T571="Outra Arma Dupla A",801,IF(Atletas!T571="Arma Maleável A",802,IF(Atletas!T571="Outra Arma Dupla B",803,IF(Atletas!T571="Arma Maleável B",804,IF(Atletas!T571="Outra Arma Dupla C",805,IF(Atletas!T571="Arma Maleável C",806,IF(Atletas!T571="Outra Arma Dupla D",807,IF(Atletas!T571="Arma Maleável D",808,IF(Atletas!T571="Outra Arma Dupla E",809,IF(Atletas!T571="Arma Maleável E",810,IF(Atletas!T571="Outra Arma Dupla F",811,IF(Atletas!T571="Arma Maleável F",812,IF(Atletas!T571="Shuangdao A",813,IF(Atletas!T571="Shuangdao B",814,IF(Atletas!T571="Shuangdao C",815,IF(Atletas!T571="Shuangdao D",816,IF(Atletas!T571="Shuangdao E",817,IF(Atletas!T571="Shuangdao F",818,"")))))))))))))))))))</f>
        <v/>
      </c>
      <c r="CC580" s="50" t="str">
        <f>IF(Atletas!U571="","",IF(Atletas!X571&lt;&gt;"",10000,0)+IF(Atletas!B571="Feminino",1000,IF(Atletas!B571="Masculino",2000,""))+IF(OR(Atletas!U571="Taijijian Yang A",Atletas!U571="Taijijian Yang Standard A"),901,IF(OR(Atletas!U571="Taijijian Chen A", Atletas!U571="Taijijian Chen Standard A"),902,IF(Atletas!U571="Taijijian Sun A",903,IF(Atletas!U571="Taijijian Wu A",904,IF(Atletas!U571="Taijijian Wu-Hao A",905,IF(OR(Atletas!U571="Taijijian 32 A",Atletas!U571="Taijijian 42 A"),906,IF(OR(Atletas!U571="Taijijian Yang B",Atletas!U571="Taijijian Yang Standard B"),907,IF(OR(Atletas!U571="Taijijian Chen B", Atletas!U571="Taijijian Chen Standard B"),908,IF(Atletas!U571="Taijijian Sun B",909,IF(Atletas!U571="Taijijian Wu B",910,IF(Atletas!U571="Taijijian Wu-Hao B",911,IF(OR(Atletas!U571="Taijijian 32 B",Atletas!U571="Taijijian 42 B"),912,IF(OR(Atletas!U571="Taijijian Yang C",Atletas!U571="Taijijian Yang Standard C"),913,IF(OR(Atletas!U571="Taijijian Chen C", Atletas!U571="Taijijian Chen Standard C"),914,IF(Atletas!U571="Taijijian Sun C",915,IF(Atletas!U571="Taijijian Wu C",916,IF(Atletas!U571="Taijijian Wu-Hao C",917,IF(OR(Atletas!U571="Taijijian 32 C",Atletas!U571="Taijijian 42 C"),918,IF(OR(Atletas!U571="Taijijian Yang D",Atletas!U571="Taijijian Yang Standard D"),919,IF(OR(Atletas!U571="Taijijian Chen D", Atletas!U571="Taijijian Chen Standard D"),920,IF(Atletas!U571="Taijijian Sun D",921,IF(Atletas!U571="Taijijian Wu D",922,IF(Atletas!U571="Taijijian Wu-Hao D",923,IF(OR(Atletas!U571="Taijijian 32 D",Atletas!U571="Taijijian 42 D"),924,IF(OR(Atletas!U571="Taijijian Yang E",Atletas!U571="Taijijian Yang Standard E"),925,IF(OR(Atletas!U571="Taijijian Chen E", Atletas!U571="Taijijian Chen Standard E"),926,IF(Atletas!U571="Taijijian Sun E",927,IF(Atletas!U571="Taijijian Wu E",928,IF(Atletas!U571="Taijijian Wu-Hao E",929,IF(OR(Atletas!U571="Taijijian 32 E",Atletas!U571="Taijijian 42 E"),930,IF(OR(Atletas!U571="Taijijian Yang F",Atletas!U571="Taijijian Yang Standard F"),931,IF(OR(Atletas!U571="Taijijian Chen F", Atletas!U571="Taijijian Chen Standard F"),932,IF(Atletas!U571="Taijijian Sun F",933,IF(Atletas!U571="Taijijian Wu F",934,IF(Atletas!U571="Taijijian Wu-Hao F",935,IF(OR(Atletas!U571="Taijijian 32 F",Atletas!U571="Taijijian 42 F"),936,"")))))))))))))))))))))))))))))))))))))</f>
        <v/>
      </c>
      <c r="CD580" s="50" t="str">
        <f>IF(Atletas!V571="","",IF(Atletas!X571&lt;&gt;"",10000,0)+IF(Atletas!B571="Feminino",1000,IF(Atletas!B571="Masculino",2000,""))+IF(Atletas!V571="Taijidao A",937,IF(Atletas!V571="TaijiShanzi A",938,IF(Atletas!V571="Taijiqiang A",939,IF(Atletas!V571="Bagua de Arma A",940,IF(Atletas!V571="Xingyi de Arma A",941,IF(Atletas!V571="Taijidao B",942,IF(Atletas!V571="TaijiShanzi B",943,IF(Atletas!V571="Taijiqiang B",944,IF(Atletas!V571="Bagua de Arma B",945,IF(Atletas!V571="Xingyi de Arma B",946,IF(Atletas!V571="Taijidao C",947,IF(Atletas!V571="TaijiShanzi C",948,IF(Atletas!V571="Taijiqiang C",949,IF(Atletas!V571="Bagua de Arma C",950,IF(Atletas!V571="Xingyi de Arma C",951,IF(Atletas!V571="Taijidao D",952,IF(Atletas!V571="TaijiShanzi D",953,IF(Atletas!V571="Taijiqiang D",954,IF(Atletas!V571="Bagua de Arma D",955,IF(Atletas!V571="Xingyi de Arma D",956,IF(Atletas!V571="Taijidao E",957,IF(Atletas!V571="TaijiShanzi E",958,IF(Atletas!V571="Taijiqiang E",959,IF(Atletas!V571="Bagua de Arma E",960,IF(Atletas!V571="Xingyi de Arma E",961,IF(Atletas!V571="Taijidao F",962,IF(Atletas!V571="TaijiShanzi F",963,IF(Atletas!V571="Taijiqiang F",964,IF(Atletas!V571="Bagua de Arma F",965,IF(Atletas!V571="Xingyi de Arma F",966,"")))))))))))))))))))))))))))))))</f>
        <v/>
      </c>
      <c r="CM580" s="50" t="str">
        <f xml:space="preserve"> IF(Atletas!W571="","",IF(Atletas!W571="Duilian de Mãos BC - Equipe 1",1,IF(Atletas!W571="Duilian de Mãos BC - Equipe 2",2,IF(Atletas!W571="Duilian de Armas BC - Equipe 1",3,IF(Atletas!W571="Duilian de Armas BC - Equipe 2",4,IF(Atletas!W571="Duilian de Mãos DE - Equipe 1",5,IF(Atletas!W571="Duilian de Mãos DE - Equipe 2",6,IF(Atletas!W571="Duilian de Armas DE - Equipe 1",7,IF(Atletas!W571="Duilian de Armas DE - Equipe 2",8,IF(Atletas!W571="Duilian de Tuishou - Equipe 1",9,IF(Atletas!W571="Duilian de Tuishou - Equipe 2",10,IF(Atletas!W571="Grupo Externo ABC - Equipe 1",11,IF(Atletas!W571="Grupo Externo ABC - Equipe 2",12,IF(Atletas!W571="Grupo Interno ABC - Equipe 1",13,IF(Atletas!W571="Grupo Interno ABC - Equipe 2",14,IF(Atletas!W571="Grupo Externo DEF - Equipe 1",15,IF(Atletas!W571="Grupo Externo DEF - Equipe 2",16,IF(Atletas!W571="Grupo Interno DEF - Equipe 1",17,IF(Atletas!W571="Grupo Interno DEF - Equipe 2",18,"")))))))))))))))))))</f>
        <v/>
      </c>
    </row>
    <row r="581" spans="40:91">
      <c r="AN581" s="52" t="str">
        <f>IF(Atletas!D572="","",IF(Atletas!B572="Feminino",100,IF(Atletas!B572="Masculino",200,""))+(IF(Atletas!D572="Kids 30kg",1,IF(Atletas!D572="Kids 32kg",2, IF(Atletas!D572="Kids 34kg",3,IF(Atletas!D572="Kids 36kg",4,IF(Atletas!D572="Kids 39kg",5,IF(Atletas!D572="Kids 42kg",6,IF(Atletas!D572="Kids 45kg",7, IF(Atletas!D572="Infantil 39kg",8,IF(Atletas!D572="Infantil 42kg",9,IF(Atletas!D572="Infantil 45kg",10,IF(Atletas!D572="Infantil 48kg",11,IF(Atletas!D572="Infantil 52kg",12,IF(Atletas!D572="Infantil 56kg",13,IF(Atletas!D572="Infantil 60kg",14,IF(Atletas!D572="Juvenil 48kg",15,IF(Atletas!D572="Juvenil 52kg",16,IF(Atletas!D572="Juvenil 56kg",17,IF(Atletas!D572="Juvenil 60kg",18,IF(Atletas!D572="Juvenil 65kg",19,IF(Atletas!D572="Juvenil 70kg",20,IF(Atletas!D572="Juvenil 75kg",21,IF(Atletas!D572="Juvenil 80kg",22, IF(Atletas!D572="Juvenil 85kg",23,IF(Atletas!D572="Adulto 48kg",24,IF(Atletas!D572="Adulto 52kg",25,IF(Atletas!D572="Adulto 56kg",26,IF(Atletas!D572="Adulto 60kg",27,IF(Atletas!D572="Adulto 65kg",28,IF(Atletas!D572="Adulto 70kg",29,IF(Atletas!D572="Adulto 75kg",30,IF(Atletas!D572="Adulto 80kg",31,IF(Atletas!D572="Adulto 85kg",32,IF(Atletas!D572="Adulto 90kg",33,IF(Atletas!D572="Adulto 100kg",34, IF(Atletas!D572="Adulto +100kg",35,"")))))))))))))))))))))))))))))))))))))</f>
        <v/>
      </c>
      <c r="AS581" s="6" t="str">
        <f>IF(Atletas!E572="","",IF(Atletas!B572="Feminino",100,IF(Atletas!B572="Masculino",200,""))+(IF(Atletas!E572="Juvenil 44kg",1,IF(Atletas!E572="Juvenil 48kg",2,IF(Atletas!E572="Juvenil 52kg",3,IF(Atletas!E572="Juvenil 56kg",4,IF(Atletas!E572="Juvenil 60kg",5,IF(Atletas!E572="Juvenil 65kg",6,IF(Atletas!E572="Juvenil 70kg",7,IF(Atletas!E572="Juvenil 75kg",8,IF(Atletas!E572="Juvenil 82kg",9,IF(Atletas!E572="Juvenil 90kg",10,IF(Atletas!E572="Juvenil 100kg",11,IF(Atletas!E572="Adulto 48kg",12,IF(Atletas!E572="Adulto 52kg",13,IF(Atletas!E572="Adulto 56kg",14,IF(Atletas!E572="Adulto 60kg",15,IF(Atletas!E572="Adulto 65kg",16,IF(Atletas!E572="Adulto 70kg",17,IF(Atletas!E572="Adulto 75kg",18,IF(Atletas!E572="Adulto 82kg",19,IF(Atletas!E572="Adulto 90kg",20,IF(Atletas!E572="Adulto 100kg",21,IF(Atletas!E572="Adulto +100kg",22,""))))))))))))))))))))))))</f>
        <v/>
      </c>
      <c r="AX581" s="6" t="str">
        <f>IF(Atletas!F572="","",IF(Atletas!B572="Feminino",100,IF(Atletas!B572="Masculino",200,""))+(IF(Atletas!F572="Adulto 48kg",1,IF(Atletas!F572="Adulto 56kg",2,IF(Atletas!F572="Adulto 65kg",3,IF(Atletas!F572="Adulto 75kg",4,IF(Atletas!F572="Adulto +75kg",5,IF(Atletas!F572="Adulto 52kg",6,IF(Atletas!F572="Adulto 60kg",7,IF(Atletas!F572="Adulto 70kg",8,IF(Atletas!F572="Adulto 80kg",9,IF(Atletas!F572="Adulto 90kg",10,IF(Atletas!F572="Adulto +90kg",11,"")))))))))))))</f>
        <v/>
      </c>
      <c r="BC581" s="6" t="str">
        <f>IF(Atletas!G572="","",IF(Atletas!B572="Feminino",10,IF(Atletas!B572="Masculino",20,""))+(IF(Atletas!G572="Baduanjin A",1,IF(Atletas!G572="Baduanjin B",2))))</f>
        <v/>
      </c>
      <c r="BF581" s="52" t="str">
        <f>IF(Atletas!H572="","",IF(Atletas!B572="Feminino",100,IF(Atletas!B572="Masculino",200,""))+(IF(Atletas!H572="Changquan Mirim",1,IF(Atletas!H572="Nanquan Mirim",2,IF(Atletas!H572="Taijiquan Mirim",3,IF(Atletas!H572="Changquan Grupo C",4,IF(Atletas!H572="Nanquan Grupo C",5,IF(Atletas!H572="Taijiquan Grupo C",6,IF(Atletas!H572="Changquan Grupo B",7,IF(Atletas!H572="Nanquan Grupo B",8,IF(Atletas!H572="Taijiquan Grupo B",9,IF(Atletas!H572="Changquan Grupo A",10,IF(Atletas!H572="Nanquan Grupo A",11,IF(Atletas!H572="Taijiquan Grupo A",12,IF(Atletas!H572="Changquan Opcional",13,IF(Atletas!H572="Nanquan Opcional",14,IF(Atletas!H572="Taijiquan Opcional",15,IF(Atletas!H572="Changquan Adulto",16,IF(Atletas!H572="Nanquan Adulto",17,IF(Atletas!H572="Taijiquan Adulto",18,""))))))))))))))))))))</f>
        <v/>
      </c>
      <c r="BG581" s="52" t="str">
        <f>IF(Atletas!I572="","",IF(Atletas!B572="Feminino",100,IF(Atletas!B572="Masculino",200,""))+(IF(Atletas!I572="Daoshu Mirim",19,IF(Atletas!I572="Jianshu Mirim",20,IF(Atletas!I572="Nandao Mirim",21,IF(Atletas!I572="Taijijian Mirim",22,IF(Atletas!I572="Daoshu Grupo C",23,IF(Atletas!I572="Jianshu Grupo C",24,IF(Atletas!I572="Nandao Grupo C",25,IF(Atletas!I572="Taijijian Grupo C",26,IF(Atletas!I572="Daoshu Grupo B",27,IF(Atletas!I572="Jianshu Grupo B",28,IF(Atletas!I572="Nandao Grupo B",29,IF(Atletas!I572="Taijijian Grupo B",30,IF(Atletas!I572="Daoshu Grupo A",31,IF(Atletas!I572="Jianshu Grupo A",32,IF(Atletas!I572="Nandao Grupo A",33,IF(Atletas!I572="Taijijian Grupo A",34,IF(Atletas!I572="Daoshu Opcional",35,IF(Atletas!I572="Jianshu Opcional",36,IF(Atletas!I572="Nandao Opcional",37,IF(Atletas!I572="Taijijian Opcional",38,IF(Atletas!I572="Daoshu Adulto",39,IF(Atletas!I572="Jianshu Adulto",40,IF(Atletas!I572="Nandao Adulto",41,IF(Atletas!I572="Taijijian Adulto",42,""))))))))))))))))))))))))))</f>
        <v/>
      </c>
      <c r="BH581" s="52" t="str">
        <f>IF(Atletas!J572="","",IF(Atletas!B572="Feminino",100,IF(Atletas!B572="Masculino",200,""))+(IF(Atletas!J572="Gunshu Mirim",43,IF(Atletas!J572="Qiangshu Mirim",44,IF(Atletas!J572="Nangun Mirim",45,IF(Atletas!J572="Gunshu Grupo C",46,IF(Atletas!J572="Qiangshu Grupo C",47,IF(Atletas!J572="Nangun Grupo C",48,IF(Atletas!J572="Gunshu Grupo B",49,IF(Atletas!J572="Qiangshu Grupo B",50,IF(Atletas!J572="Nangun Grupo B",51,IF(Atletas!J572="Gunshu Grupo A",52,IF(Atletas!J572="Qiangshu Grupo A",53,IF(Atletas!J572="Nangun Grupo A",54,IF(Atletas!J572="Gunshu Opcional",55,IF(Atletas!J572="Qiangshu Opcional",56,IF(Atletas!J572="Nangun Opcional",57,IF(Atletas!J572="Gunshu Adulto",58,IF(Atletas!J572="Qiangshu Adulto",59,IF(Atletas!J572="Nangun Adulto",60,IF(Atletas!J572="Taijishan Grupo B",61,IF(Atletas!J572="Taijishan Grupo A",62,""))))))))))))))))))))))</f>
        <v/>
      </c>
      <c r="BM581" s="50" t="str">
        <f>IF(Atletas!K572="","",IF(Atletas!B572="Feminino",100,IF(Atletas!B572="Masculino",200,""))+(IF(Atletas!K572="Equipe 1 Grupo B",1,IF(Atletas!K572="Equipe 2 Grupo B",2,IF(Atletas!K572="Equipe 1 Grupo A",3,IF(Atletas!K572="Equipe 2 Grupo A",4,IF(Atletas!K572="Equipe 1 Adulto",5,IF(Atletas!K572="Equipe 2 Adulto",6,""))))))))</f>
        <v/>
      </c>
      <c r="BR581" s="50" t="str">
        <f>IF(Atletas!L572="","",IF(Atletas!X572&lt;&gt;"",10000,0)+(IF(Atletas!B572="Feminino",1000,IF(Atletas!B572="Masculino",2000,""))+IF(Atletas!L572="Choylayfut A",1,IF(Atletas!L572="Hunggar A",2,IF(Atletas!L572="Wuzuquan A",3,IF(Atletas!L572="Wingchun A",4,IF(Atletas!L572="Outra Mão de Sul A",5,IF(Atletas!L572="Choylayfut B",6,IF(Atletas!L572="Hunggar B",7,IF(Atletas!L572="Wuzuquan B",8,IF(Atletas!L572="Wingchun B",9,IF(Atletas!L572="Outra Mão de Sul B",10,IF(Atletas!L572="Choylayfut C",11,IF(Atletas!L572="Hunggar C",12,IF(Atletas!L572="Wuzuquan C",13,IF(Atletas!L572="Wingchun C",14,IF(Atletas!L572="Outra Mão de Sul C",15,IF(Atletas!L572="Choylayfut D",16,IF(Atletas!L572="Hunggar D",17,IF(Atletas!L572="Wuzuquan D",18,IF(Atletas!L572="Wingchun D",19,IF(Atletas!L572="Outra Mão de Sul D",20,IF(Atletas!L572="Choylayfut E",21,IF(Atletas!L572="Hunggar E",22,IF(Atletas!L572="Wuzuquan E",23,IF(Atletas!L572="Wingchun E",24,IF(Atletas!L572="Outra Mão de Sul E",25,IF(Atletas!L572="Choylayfut F",26,IF(Atletas!L572="Hunggar F",27,IF(Atletas!L572="Wuzuquan F",28,IF(Atletas!L572="Wingchun F",29,IF(Atletas!L572="Outra Mão de Sul F",30,IF(Atletas!L572="Dishuquan A",31,IF(Atletas!L572="Dishuquan B",32,IF(Atletas!L572="Dishuquan C",33,IF(Atletas!L572="Dishuquan D",34,IF(Atletas!L572="Dishuquan E",35,IF(Atletas!L572="Dishuquan F",36,""))))))))))))))))))))))))))))))))))))))</f>
        <v/>
      </c>
      <c r="BS581" s="50" t="str">
        <f>IF(Atletas!M572="","",IF(Atletas!X572&lt;&gt;"",10000,0)+(IF(Atletas!B572="Feminino",1000,IF(Atletas!B572="Masculino",2000,""))+(IF(Atletas!M572="Chaquan A",101,IF(Atletas!M572="Emeiquan A",102,IF(Atletas!M572="Fanziquan A",103,IF(Atletas!M572="Huaquan A",104,IF(Atletas!M572="Hongquan A",105,IF(Atletas!M572="Paoquan A",106,IF(Atletas!M572="Piguaquan A",107,IF(Atletas!M572="Shaolinquan A",108,IF(Atletas!M572="Tanglangquan A",109,IF(Atletas!M572="Yingzhaoquan A",110,IF(Atletas!M572="Tongbeiquan A",111,IF(Atletas!M572="Wudangquan A",112,IF(Atletas!M572="Outros Estilos A",113,IF(Atletas!M572="Chaquan B",114,IF(Atletas!M572="Emeiquan B",115,IF(Atletas!M572="Fanziquan B",116,IF(Atletas!M572="Huaquan B",117,IF(Atletas!M572="Hongquan B",118,IF(Atletas!M572="Paoquan B",119,IF(Atletas!M572="Piguaquan B",120,IF(Atletas!M572="Shaolinquan B",121,IF(Atletas!M572="Tanglangquan B",122,IF(Atletas!M572="Yingzhaoquan B",123,IF(Atletas!M572="Tongbeiquan B",124,IF(Atletas!M572="Wudangquan B",125,IF(Atletas!M572="Outros Estilos B",126,IF(Atletas!M572="Chaquan C",127,IF(Atletas!M572="Emeiquan C",128,IF(Atletas!M572="Fanziquan C",129,IF(Atletas!M572="Huaquan C",130,IF(Atletas!M572="Hongquan C",131,IF(Atletas!M572="Paoquan C",132,IF(Atletas!M572="Piguaquan C",133,IF(Atletas!M572="Shaolinquan C",134,IF(Atletas!M572="Tanglangquan C",135,IF(Atletas!M572="Yingzhaoquan C",136,IF(Atletas!M572="Tongbeiquan C",137,IF(Atletas!M572="Wudangquan C",138,IF(Atletas!M572="Outros Estilos C",139,0))))))))))))))))))))))))))))))))))))))))))</f>
        <v/>
      </c>
      <c r="BT581" s="50" t="str">
        <f>IF(Atletas!M572="","",IF(Atletas!X572&lt;&gt;"",10000,0)+(IF(Atletas!B572="Feminino",1000,IF(Atletas!B572="Masculino",2000,""))+(IF(Atletas!M572="Chaquan D",140,IF(Atletas!M572="Emeiquan D",141,IF(Atletas!M572="Fanziquan D",142,IF(Atletas!M572="Huaquan D",143,IF(Atletas!M572="Hongquan D",144,IF(Atletas!M572="Paoquan D",145,IF(Atletas!M572="Piguaquan D",146,IF(Atletas!M572="Shaolinquan D",147,IF(Atletas!M572="Tanglangquan D",148,IF(Atletas!M572="Yingzhaoquan D",149,IF(Atletas!M572="Tongbeiquan D",150,IF(Atletas!M572="Wudangquan D",151,IF(Atletas!M572="Outros Estilos D",152,IF(Atletas!M572="Chaquan E",153,IF(Atletas!M572="Emeiquan E",154,IF(Atletas!M572="Fanziquan E",155,IF(Atletas!M572="Huaquan E",156,IF(Atletas!M572="Hongquan E",157,IF(Atletas!M572="Paoquan E",158,IF(Atletas!M572="Piguaquan E",159,IF(Atletas!M572="Shaolinquan E",160,IF(Atletas!M572="Tanglangquan E",161,IF(Atletas!M572="Yingzhaoquan E",162,IF(Atletas!M572="Tongbeiquan E",163,IF(Atletas!M572="Wudangquan E",164,IF(Atletas!M572="Outros Estilos E",165,IF(Atletas!M572="Chaquan F",166,IF(Atletas!M572="Emeiquan F",167,IF(Atletas!M572="Fanziquan F",168,IF(Atletas!M572="Huaquan F",169,IF(Atletas!M572="Hongquan F",170,IF(Atletas!M572="Paoquan F",171,IF(Atletas!M572="Piguaquan F",172,IF(Atletas!M572="Shaolinquan F",173,IF(Atletas!M572="Tanglangquan F",174,IF(Atletas!M572="Yingzhaoquan F",175,IF(Atletas!M572="Tongbeiquan F",176,IF(Atletas!M572="Wudangquan F",177,IF(Atletas!M572="Outros Estilos F",178,0))))))))))))))))))))))))))))))))))))))))))</f>
        <v/>
      </c>
      <c r="BU581" s="50" t="str">
        <f>IF(Atletas!N572="","",IF(Atletas!X572&lt;&gt;"",10000,0)+(IF(Atletas!B572="Feminino",1000,IF(Atletas!B572="Masculino",2000,""))+(IF(Atletas!N572="Ditangquan A",201,IF(Atletas!N572="Houquan A",202,IF(Atletas!N572="Zuiquan A",203,IF(Atletas!N572="Ditangquan B",204,IF(Atletas!N572="Houquan B",205,IF(Atletas!N572="Zuiquan B",206,IF(Atletas!N572="Ditangquan C",207,IF(Atletas!N572="Houquan C",208,IF(Atletas!N572="Zuiquan C",209,IF(Atletas!N572="Ditangquan D",210,IF(Atletas!N572="Houquan D",211,IF(Atletas!N572="Zuiquan D",212,IF(Atletas!N572="Ditangquan E",213,IF(Atletas!N572="Houquan E",214,IF(Atletas!N572="Zuiquan E",215,IF(Atletas!N572="Ditangquan F",216,IF(Atletas!N572="Houquan F",217,IF(Atletas!N572="Zuiquan F",218,"")))))))))))))))))))))</f>
        <v/>
      </c>
      <c r="BV581" s="50" t="str">
        <f>IF(Atletas!O572="","",IF(Atletas!X572&lt;&gt;"",10000,0)+IF(Atletas!B572="Feminino",1000,IF(Atletas!B572="Masculino",2000,""))+IF(Atletas!O572="Yang A",301,IF(Atletas!O572="Chen A",302,IF(Atletas!O572="Sun A",303,IF(Atletas!O572="Wu A",304,IF(Atletas!O572="Wu-Hao A",305,IF(Atletas!O572="Outro Taijiquan A",306,IF(Atletas!O572="Yang B",307,IF(Atletas!O572="Chen B",308,IF(Atletas!O572="Sun B",309,IF(Atletas!O572="Wu B",310,IF(Atletas!O572="Wu-Hao B",311,IF(Atletas!O572="Outro Taijiquan B",312,IF(Atletas!O572="Yang C",313,IF(Atletas!O572="Chen C",314,IF(Atletas!O572="Sun C",315,IF(Atletas!O572="Wu C",316,IF(Atletas!O572="Wu-Hao C",317,IF(Atletas!O572="Outro Taijiquan C",318,IF(Atletas!O572="Yang D",319,IF(Atletas!O572="Chen D",320,IF(Atletas!O572="Sun D",321,IF(Atletas!O572="Wu D",322,IF(Atletas!O572="Wu-Hao D",323,IF(Atletas!O572="Outro Taijiquan D",324,IF(Atletas!O572="Yang E",325,IF(Atletas!O572="Chen E",326,IF(Atletas!O572="Sun E",327,IF(Atletas!O572="Wu E",328,IF(Atletas!O572="Wu-Hao E",329,IF(Atletas!O572="Outro Taijiquan E",330,IF(Atletas!O572="Yang F",331,IF(Atletas!O572="Chen F",332,IF(Atletas!O572="Sun F",333,IF(Atletas!O572="Wu F",334,IF(Atletas!O572="Wu-Hao F",335,IF(Atletas!O572="Outro Taijiquan F",336,"")))))))))))))))))))))))))))))))))))))</f>
        <v/>
      </c>
      <c r="BW581" s="50" t="str">
        <f>IF(Atletas!P572="","",IF(Atletas!X572&lt;&gt;"",10000,0)+IF(Atletas!B572="Feminino",1000,IF(Atletas!B572="Masculino",2000,""))+IF(OR(Atletas!P572="Yang 26 A",Atletas!P572="Yang 40 A"),401,IF(OR(Atletas!P572="Chen 25 A",Atletas!P572="Chen 36 A",Atletas!P572="Chen 56 A"),402,IF(Atletas!P572="Sun 73 A",403,IF(Atletas!P572="Wu 45 A",404,IF(Atletas!P572="Wu-Hao 46 A",405,IF(OR(Atletas!P572="Taijiquan 16 A",Atletas!P572="Taijiquan 24 A",Atletas!P572="Taijiquan 32 A",Atletas!P572="Taijiquan 42 A"),406,IF(OR(Atletas!P572="Yang 26 B",Atletas!P572="Yang 40 B"),407,IF(OR(Atletas!P572="Chen 25 B",Atletas!P572="Chen 36 B",Atletas!P572="Chen 56 B"),408,IF(Atletas!P572="Sun 73 B",409,IF(Atletas!P572="Wu 45 B",410,IF(Atletas!P572="Wu-Hao 46 B",411,IF(OR(Atletas!P572="Taijiquan 16 B",Atletas!P572="Taijiquan 24 B",Atletas!P572="Taijiquan 32 B",Atletas!P572="Taijiquan 42 B"),412,IF(OR(Atletas!P572="Yang 26 C",Atletas!P572="Yang 40 C"),413,IF(OR(Atletas!P572="Chen 25 C",Atletas!P572="Chen 36 C",Atletas!P572="Chen 56 C"),414,IF(Atletas!P572="Sun 73 C",415,IF(Atletas!P572="Wu 45 C",416,IF(Atletas!P572="Wu-Hao 46 C",417,IF(OR(Atletas!P572="Taijiquan 16 C",Atletas!P572="Taijiquan 24 C",Atletas!P572="Taijiquan 32 C",Atletas!P572="Taijiquan 42 C"),418,0)))))))))))))))))))</f>
        <v/>
      </c>
      <c r="BX581" s="50" t="str">
        <f>IF(Atletas!P572="","",IF(Atletas!X572&lt;&gt;"",10000,0)+IF(Atletas!B572="Feminino",1000,IF(Atletas!B572="Masculino",2000,""))+IF(OR(Atletas!P572="Yang 26 D",Atletas!P572="Yang 40 D"),419,IF(OR(Atletas!P572="Chen 25 D",Atletas!P572="Chen 36 D",Atletas!P572="Chen 56 D"),420,IF(Atletas!P572="Sun 73 D",421,IF(Atletas!P572="Wu 45 D",422,IF(Atletas!P572="Wu-Hao 46 D",423,IF(OR(Atletas!P572="Taijiquan 16 D",Atletas!P572="Taijiquan 24 D",Atletas!P572="Taijiquan 32 D",Atletas!P572="Taijiquan 42 D"),424,IF(OR(Atletas!P572="Yang 26 E",Atletas!P572="Yang 40 E"),425,IF(OR(Atletas!P572="Chen 25 E",Atletas!P572="Chen 36 E",Atletas!P572="Chen 56 E"),426,IF(Atletas!P572="Sun 73 E",427,IF(Atletas!P572="Wu 45 E",428,IF(Atletas!P572="Wu-Hao 46 E",429,IF(OR(Atletas!P572="Taijiquan 16 E",Atletas!P572="Taijiquan 24 E",Atletas!P572="Taijiquan 32 E",Atletas!P572="Taijiquan 42 E"),430,IF(OR(Atletas!P572="Yang 26 F",Atletas!P572="Yang 40 F"),431,IF(OR(Atletas!P572="Chen 25 F",Atletas!P572="Chen 36 F",Atletas!P572="Chen 56 F"),432,IF(Atletas!P572="Sun 73 F",433,IF(Atletas!P572="Wu 45 F",434,IF(Atletas!P572="Wu-Hao 46 F",435,IF(OR(Atletas!P572="Taijiquan 16 F",Atletas!P572="Taijiquan 24 F",Atletas!P572="Taijiquan 32 F",Atletas!P572="Taijiquan 42 F"),436,0)))))))))))))))))))</f>
        <v/>
      </c>
      <c r="BY581" s="50" t="str">
        <f>IF(Atletas!Q572="","",IF(Atletas!X572&lt;&gt;"",10000,0)+IF(Atletas!B572="Feminino",1000,IF(Atletas!B572="Masculino",2000,""))+IF(Atletas!Q572="Xingyiquan A",501,IF(Atletas!Q572="Baguazhang A",502,IF(Atletas!Q572="Outro Estilo Interno A",503,IF(Atletas!Q572="Xingyiquan B",504,IF(Atletas!Q572="Baguazhang B",505,IF(Atletas!Q572="Outro Estilo Interno B",506,IF(Atletas!Q572="Xingyiquan C",507,IF(Atletas!Q572="Baguazhang C",508,IF(Atletas!Q572="Outro Estilo Interno C",509,IF(Atletas!Q572="Xingyiquan D",510,IF(Atletas!Q572="Baguazhang D",511,IF(Atletas!Q572="Outro Estilo Interno D",512,IF(Atletas!Q572="Xingyiquan E",513,IF(Atletas!Q572="Baguazhang E",514,IF(Atletas!Q572="Outro Estilo Interno E",515,IF(Atletas!Q572="Xingyiquan F",516,IF(Atletas!Q572="Baguazhang F",517,IF(Atletas!Q572="Outro Estilo Interno F",518, "")))))))))))))))))))</f>
        <v/>
      </c>
      <c r="BZ581" s="50" t="str">
        <f>IF(Atletas!R572="","",IF(Atletas!X572&lt;&gt;"",10000,0)+IF(Atletas!B572="Feminino",1000,IF(Atletas!B572="Masculino",2000,""))+IF(Atletas!R572="Dao A",601,IF(Atletas!R572="Jian A",602,IF(Atletas!R572="Bishou A",603,IF(Atletas!R572="Shanzi A",604,IF(Atletas!R572="Outra Arma Curta A",605,IF(Atletas!R572="Dao B",606,IF(Atletas!R572="Jian B",607,IF(Atletas!R572="Bishou B",608,IF(Atletas!R572="Shanzi B",609,IF(Atletas!R572="Outra Arma Curta B",610,IF(Atletas!R572="Dao C",611,IF(Atletas!R572="Jian C",612,IF(Atletas!R572="Bishou C",613,IF(Atletas!R572="Shanzi C",614,IF(Atletas!R572="Outra Arma Curta C",615,IF(Atletas!R572="Dao D",616,IF(Atletas!R572="Jian D",617,IF(Atletas!R572="Bishou D",618,IF(Atletas!R572="Shanzi D",619,IF(Atletas!R572="Outra Arma Curta D",620,IF(Atletas!R572="Dao E",621,IF(Atletas!R572="Jian E",622,IF(Atletas!R572="Bishou E",623,IF(Atletas!R572="Shanzi E",624,IF(Atletas!R572="Outra Arma Curta E",625,IF(Atletas!R572="Dao F",626,IF(Atletas!R572="Jian F",627,IF(Atletas!R572="Bishou F",628,IF(Atletas!R572="Shanzi F",629,IF(Atletas!R572="Outra Arma Curta F",630, "")))))))))))))))))))))))))))))))</f>
        <v/>
      </c>
      <c r="CA581" s="50" t="str">
        <f>IF(Atletas!S572="","",IF(Atletas!X572&lt;&gt;"",10000,0)+IF(Atletas!B572="Feminino",1000,IF(Atletas!B572="Masculino",2000,""))+IF(Atletas!S572="Gun A",701,IF(Atletas!S572="Qiang A",702,IF(Atletas!S572="Pudao / Guandao A",703,IF(Atletas!S572="Outra Arma Longa A",704,IF(Atletas!S572="Gun B",705,IF(Atletas!S572="Qiang B",706,IF(Atletas!S572="Pudao / Guandao B",707,IF(Atletas!S572="Outra Arma Longa B",708,IF(Atletas!S572="Gun C",709,IF(Atletas!S572="Qiang C",710,IF(Atletas!S572="Pudao / Guandao C",711,IF(Atletas!S572="Outra Arma Longa C",712,IF(Atletas!S572="Gun D",713,IF(Atletas!S572="Qiang D",714,IF(Atletas!S572="Pudao / Guandao D",715,IF(Atletas!S572="Outra Arma Longa D",716,IF(Atletas!S572="Gun E",717,IF(Atletas!S572="Qiang E",718,IF(Atletas!S572="Pudao / Guandao E",719,IF(Atletas!S572="Outra Arma Longa E",720,IF(Atletas!S572="Gun F",721,IF(Atletas!S572="Qiang F",722,IF(Atletas!S572="Pudao / Guandao F",723,IF(Atletas!S572="Outra Arma Longa F",724,"")))))))))))))))))))))))))</f>
        <v/>
      </c>
      <c r="CB581" s="50" t="str">
        <f>IF(Atletas!T572="","",IF(Atletas!X572&lt;&gt;"",10000,0)+IF(Atletas!B572="Feminino",1000,IF(Atletas!B572="Masculino",2000,""))+IF(Atletas!T572="Outra Arma Dupla A",801,IF(Atletas!T572="Arma Maleável A",802,IF(Atletas!T572="Outra Arma Dupla B",803,IF(Atletas!T572="Arma Maleável B",804,IF(Atletas!T572="Outra Arma Dupla C",805,IF(Atletas!T572="Arma Maleável C",806,IF(Atletas!T572="Outra Arma Dupla D",807,IF(Atletas!T572="Arma Maleável D",808,IF(Atletas!T572="Outra Arma Dupla E",809,IF(Atletas!T572="Arma Maleável E",810,IF(Atletas!T572="Outra Arma Dupla F",811,IF(Atletas!T572="Arma Maleável F",812,IF(Atletas!T572="Shuangdao A",813,IF(Atletas!T572="Shuangdao B",814,IF(Atletas!T572="Shuangdao C",815,IF(Atletas!T572="Shuangdao D",816,IF(Atletas!T572="Shuangdao E",817,IF(Atletas!T572="Shuangdao F",818,"")))))))))))))))))))</f>
        <v/>
      </c>
      <c r="CC581" s="50" t="str">
        <f>IF(Atletas!U572="","",IF(Atletas!X572&lt;&gt;"",10000,0)+IF(Atletas!B572="Feminino",1000,IF(Atletas!B572="Masculino",2000,""))+IF(OR(Atletas!U572="Taijijian Yang A",Atletas!U572="Taijijian Yang Standard A"),901,IF(OR(Atletas!U572="Taijijian Chen A", Atletas!U572="Taijijian Chen Standard A"),902,IF(Atletas!U572="Taijijian Sun A",903,IF(Atletas!U572="Taijijian Wu A",904,IF(Atletas!U572="Taijijian Wu-Hao A",905,IF(OR(Atletas!U572="Taijijian 32 A",Atletas!U572="Taijijian 42 A"),906,IF(OR(Atletas!U572="Taijijian Yang B",Atletas!U572="Taijijian Yang Standard B"),907,IF(OR(Atletas!U572="Taijijian Chen B", Atletas!U572="Taijijian Chen Standard B"),908,IF(Atletas!U572="Taijijian Sun B",909,IF(Atletas!U572="Taijijian Wu B",910,IF(Atletas!U572="Taijijian Wu-Hao B",911,IF(OR(Atletas!U572="Taijijian 32 B",Atletas!U572="Taijijian 42 B"),912,IF(OR(Atletas!U572="Taijijian Yang C",Atletas!U572="Taijijian Yang Standard C"),913,IF(OR(Atletas!U572="Taijijian Chen C", Atletas!U572="Taijijian Chen Standard C"),914,IF(Atletas!U572="Taijijian Sun C",915,IF(Atletas!U572="Taijijian Wu C",916,IF(Atletas!U572="Taijijian Wu-Hao C",917,IF(OR(Atletas!U572="Taijijian 32 C",Atletas!U572="Taijijian 42 C"),918,IF(OR(Atletas!U572="Taijijian Yang D",Atletas!U572="Taijijian Yang Standard D"),919,IF(OR(Atletas!U572="Taijijian Chen D", Atletas!U572="Taijijian Chen Standard D"),920,IF(Atletas!U572="Taijijian Sun D",921,IF(Atletas!U572="Taijijian Wu D",922,IF(Atletas!U572="Taijijian Wu-Hao D",923,IF(OR(Atletas!U572="Taijijian 32 D",Atletas!U572="Taijijian 42 D"),924,IF(OR(Atletas!U572="Taijijian Yang E",Atletas!U572="Taijijian Yang Standard E"),925,IF(OR(Atletas!U572="Taijijian Chen E", Atletas!U572="Taijijian Chen Standard E"),926,IF(Atletas!U572="Taijijian Sun E",927,IF(Atletas!U572="Taijijian Wu E",928,IF(Atletas!U572="Taijijian Wu-Hao E",929,IF(OR(Atletas!U572="Taijijian 32 E",Atletas!U572="Taijijian 42 E"),930,IF(OR(Atletas!U572="Taijijian Yang F",Atletas!U572="Taijijian Yang Standard F"),931,IF(OR(Atletas!U572="Taijijian Chen F", Atletas!U572="Taijijian Chen Standard F"),932,IF(Atletas!U572="Taijijian Sun F",933,IF(Atletas!U572="Taijijian Wu F",934,IF(Atletas!U572="Taijijian Wu-Hao F",935,IF(OR(Atletas!U572="Taijijian 32 F",Atletas!U572="Taijijian 42 F"),936,"")))))))))))))))))))))))))))))))))))))</f>
        <v/>
      </c>
      <c r="CD581" s="50" t="str">
        <f>IF(Atletas!V572="","",IF(Atletas!X572&lt;&gt;"",10000,0)+IF(Atletas!B572="Feminino",1000,IF(Atletas!B572="Masculino",2000,""))+IF(Atletas!V572="Taijidao A",937,IF(Atletas!V572="TaijiShanzi A",938,IF(Atletas!V572="Taijiqiang A",939,IF(Atletas!V572="Bagua de Arma A",940,IF(Atletas!V572="Xingyi de Arma A",941,IF(Atletas!V572="Taijidao B",942,IF(Atletas!V572="TaijiShanzi B",943,IF(Atletas!V572="Taijiqiang B",944,IF(Atletas!V572="Bagua de Arma B",945,IF(Atletas!V572="Xingyi de Arma B",946,IF(Atletas!V572="Taijidao C",947,IF(Atletas!V572="TaijiShanzi C",948,IF(Atletas!V572="Taijiqiang C",949,IF(Atletas!V572="Bagua de Arma C",950,IF(Atletas!V572="Xingyi de Arma C",951,IF(Atletas!V572="Taijidao D",952,IF(Atletas!V572="TaijiShanzi D",953,IF(Atletas!V572="Taijiqiang D",954,IF(Atletas!V572="Bagua de Arma D",955,IF(Atletas!V572="Xingyi de Arma D",956,IF(Atletas!V572="Taijidao E",957,IF(Atletas!V572="TaijiShanzi E",958,IF(Atletas!V572="Taijiqiang E",959,IF(Atletas!V572="Bagua de Arma E",960,IF(Atletas!V572="Xingyi de Arma E",961,IF(Atletas!V572="Taijidao F",962,IF(Atletas!V572="TaijiShanzi F",963,IF(Atletas!V572="Taijiqiang F",964,IF(Atletas!V572="Bagua de Arma F",965,IF(Atletas!V572="Xingyi de Arma F",966,"")))))))))))))))))))))))))))))))</f>
        <v/>
      </c>
      <c r="CM581" s="50" t="str">
        <f xml:space="preserve"> IF(Atletas!W572="","",IF(Atletas!W572="Duilian de Mãos BC - Equipe 1",1,IF(Atletas!W572="Duilian de Mãos BC - Equipe 2",2,IF(Atletas!W572="Duilian de Armas BC - Equipe 1",3,IF(Atletas!W572="Duilian de Armas BC - Equipe 2",4,IF(Atletas!W572="Duilian de Mãos DE - Equipe 1",5,IF(Atletas!W572="Duilian de Mãos DE - Equipe 2",6,IF(Atletas!W572="Duilian de Armas DE - Equipe 1",7,IF(Atletas!W572="Duilian de Armas DE - Equipe 2",8,IF(Atletas!W572="Duilian de Tuishou - Equipe 1",9,IF(Atletas!W572="Duilian de Tuishou - Equipe 2",10,IF(Atletas!W572="Grupo Externo ABC - Equipe 1",11,IF(Atletas!W572="Grupo Externo ABC - Equipe 2",12,IF(Atletas!W572="Grupo Interno ABC - Equipe 1",13,IF(Atletas!W572="Grupo Interno ABC - Equipe 2",14,IF(Atletas!W572="Grupo Externo DEF - Equipe 1",15,IF(Atletas!W572="Grupo Externo DEF - Equipe 2",16,IF(Atletas!W572="Grupo Interno DEF - Equipe 1",17,IF(Atletas!W572="Grupo Interno DEF - Equipe 2",18,"")))))))))))))))))))</f>
        <v/>
      </c>
    </row>
    <row r="582" spans="40:91">
      <c r="AN582" s="52" t="str">
        <f>IF(Atletas!D573="","",IF(Atletas!B573="Feminino",100,IF(Atletas!B573="Masculino",200,""))+(IF(Atletas!D573="Kids 30kg",1,IF(Atletas!D573="Kids 32kg",2, IF(Atletas!D573="Kids 34kg",3,IF(Atletas!D573="Kids 36kg",4,IF(Atletas!D573="Kids 39kg",5,IF(Atletas!D573="Kids 42kg",6,IF(Atletas!D573="Kids 45kg",7, IF(Atletas!D573="Infantil 39kg",8,IF(Atletas!D573="Infantil 42kg",9,IF(Atletas!D573="Infantil 45kg",10,IF(Atletas!D573="Infantil 48kg",11,IF(Atletas!D573="Infantil 52kg",12,IF(Atletas!D573="Infantil 56kg",13,IF(Atletas!D573="Infantil 60kg",14,IF(Atletas!D573="Juvenil 48kg",15,IF(Atletas!D573="Juvenil 52kg",16,IF(Atletas!D573="Juvenil 56kg",17,IF(Atletas!D573="Juvenil 60kg",18,IF(Atletas!D573="Juvenil 65kg",19,IF(Atletas!D573="Juvenil 70kg",20,IF(Atletas!D573="Juvenil 75kg",21,IF(Atletas!D573="Juvenil 80kg",22, IF(Atletas!D573="Juvenil 85kg",23,IF(Atletas!D573="Adulto 48kg",24,IF(Atletas!D573="Adulto 52kg",25,IF(Atletas!D573="Adulto 56kg",26,IF(Atletas!D573="Adulto 60kg",27,IF(Atletas!D573="Adulto 65kg",28,IF(Atletas!D573="Adulto 70kg",29,IF(Atletas!D573="Adulto 75kg",30,IF(Atletas!D573="Adulto 80kg",31,IF(Atletas!D573="Adulto 85kg",32,IF(Atletas!D573="Adulto 90kg",33,IF(Atletas!D573="Adulto 100kg",34, IF(Atletas!D573="Adulto +100kg",35,"")))))))))))))))))))))))))))))))))))))</f>
        <v/>
      </c>
      <c r="AS582" s="6" t="str">
        <f>IF(Atletas!E573="","",IF(Atletas!B573="Feminino",100,IF(Atletas!B573="Masculino",200,""))+(IF(Atletas!E573="Juvenil 44kg",1,IF(Atletas!E573="Juvenil 48kg",2,IF(Atletas!E573="Juvenil 52kg",3,IF(Atletas!E573="Juvenil 56kg",4,IF(Atletas!E573="Juvenil 60kg",5,IF(Atletas!E573="Juvenil 65kg",6,IF(Atletas!E573="Juvenil 70kg",7,IF(Atletas!E573="Juvenil 75kg",8,IF(Atletas!E573="Juvenil 82kg",9,IF(Atletas!E573="Juvenil 90kg",10,IF(Atletas!E573="Juvenil 100kg",11,IF(Atletas!E573="Adulto 48kg",12,IF(Atletas!E573="Adulto 52kg",13,IF(Atletas!E573="Adulto 56kg",14,IF(Atletas!E573="Adulto 60kg",15,IF(Atletas!E573="Adulto 65kg",16,IF(Atletas!E573="Adulto 70kg",17,IF(Atletas!E573="Adulto 75kg",18,IF(Atletas!E573="Adulto 82kg",19,IF(Atletas!E573="Adulto 90kg",20,IF(Atletas!E573="Adulto 100kg",21,IF(Atletas!E573="Adulto +100kg",22,""))))))))))))))))))))))))</f>
        <v/>
      </c>
      <c r="AX582" s="6" t="str">
        <f>IF(Atletas!F573="","",IF(Atletas!B573="Feminino",100,IF(Atletas!B573="Masculino",200,""))+(IF(Atletas!F573="Adulto 48kg",1,IF(Atletas!F573="Adulto 56kg",2,IF(Atletas!F573="Adulto 65kg",3,IF(Atletas!F573="Adulto 75kg",4,IF(Atletas!F573="Adulto +75kg",5,IF(Atletas!F573="Adulto 52kg",6,IF(Atletas!F573="Adulto 60kg",7,IF(Atletas!F573="Adulto 70kg",8,IF(Atletas!F573="Adulto 80kg",9,IF(Atletas!F573="Adulto 90kg",10,IF(Atletas!F573="Adulto +90kg",11,"")))))))))))))</f>
        <v/>
      </c>
      <c r="BC582" s="6" t="str">
        <f>IF(Atletas!G573="","",IF(Atletas!B573="Feminino",10,IF(Atletas!B573="Masculino",20,""))+(IF(Atletas!G573="Baduanjin A",1,IF(Atletas!G573="Baduanjin B",2))))</f>
        <v/>
      </c>
      <c r="BF582" s="52" t="str">
        <f>IF(Atletas!H573="","",IF(Atletas!B573="Feminino",100,IF(Atletas!B573="Masculino",200,""))+(IF(Atletas!H573="Changquan Mirim",1,IF(Atletas!H573="Nanquan Mirim",2,IF(Atletas!H573="Taijiquan Mirim",3,IF(Atletas!H573="Changquan Grupo C",4,IF(Atletas!H573="Nanquan Grupo C",5,IF(Atletas!H573="Taijiquan Grupo C",6,IF(Atletas!H573="Changquan Grupo B",7,IF(Atletas!H573="Nanquan Grupo B",8,IF(Atletas!H573="Taijiquan Grupo B",9,IF(Atletas!H573="Changquan Grupo A",10,IF(Atletas!H573="Nanquan Grupo A",11,IF(Atletas!H573="Taijiquan Grupo A",12,IF(Atletas!H573="Changquan Opcional",13,IF(Atletas!H573="Nanquan Opcional",14,IF(Atletas!H573="Taijiquan Opcional",15,IF(Atletas!H573="Changquan Adulto",16,IF(Atletas!H573="Nanquan Adulto",17,IF(Atletas!H573="Taijiquan Adulto",18,""))))))))))))))))))))</f>
        <v/>
      </c>
      <c r="BG582" s="52" t="str">
        <f>IF(Atletas!I573="","",IF(Atletas!B573="Feminino",100,IF(Atletas!B573="Masculino",200,""))+(IF(Atletas!I573="Daoshu Mirim",19,IF(Atletas!I573="Jianshu Mirim",20,IF(Atletas!I573="Nandao Mirim",21,IF(Atletas!I573="Taijijian Mirim",22,IF(Atletas!I573="Daoshu Grupo C",23,IF(Atletas!I573="Jianshu Grupo C",24,IF(Atletas!I573="Nandao Grupo C",25,IF(Atletas!I573="Taijijian Grupo C",26,IF(Atletas!I573="Daoshu Grupo B",27,IF(Atletas!I573="Jianshu Grupo B",28,IF(Atletas!I573="Nandao Grupo B",29,IF(Atletas!I573="Taijijian Grupo B",30,IF(Atletas!I573="Daoshu Grupo A",31,IF(Atletas!I573="Jianshu Grupo A",32,IF(Atletas!I573="Nandao Grupo A",33,IF(Atletas!I573="Taijijian Grupo A",34,IF(Atletas!I573="Daoshu Opcional",35,IF(Atletas!I573="Jianshu Opcional",36,IF(Atletas!I573="Nandao Opcional",37,IF(Atletas!I573="Taijijian Opcional",38,IF(Atletas!I573="Daoshu Adulto",39,IF(Atletas!I573="Jianshu Adulto",40,IF(Atletas!I573="Nandao Adulto",41,IF(Atletas!I573="Taijijian Adulto",42,""))))))))))))))))))))))))))</f>
        <v/>
      </c>
      <c r="BH582" s="52" t="str">
        <f>IF(Atletas!J573="","",IF(Atletas!B573="Feminino",100,IF(Atletas!B573="Masculino",200,""))+(IF(Atletas!J573="Gunshu Mirim",43,IF(Atletas!J573="Qiangshu Mirim",44,IF(Atletas!J573="Nangun Mirim",45,IF(Atletas!J573="Gunshu Grupo C",46,IF(Atletas!J573="Qiangshu Grupo C",47,IF(Atletas!J573="Nangun Grupo C",48,IF(Atletas!J573="Gunshu Grupo B",49,IF(Atletas!J573="Qiangshu Grupo B",50,IF(Atletas!J573="Nangun Grupo B",51,IF(Atletas!J573="Gunshu Grupo A",52,IF(Atletas!J573="Qiangshu Grupo A",53,IF(Atletas!J573="Nangun Grupo A",54,IF(Atletas!J573="Gunshu Opcional",55,IF(Atletas!J573="Qiangshu Opcional",56,IF(Atletas!J573="Nangun Opcional",57,IF(Atletas!J573="Gunshu Adulto",58,IF(Atletas!J573="Qiangshu Adulto",59,IF(Atletas!J573="Nangun Adulto",60,IF(Atletas!J573="Taijishan Grupo B",61,IF(Atletas!J573="Taijishan Grupo A",62,""))))))))))))))))))))))</f>
        <v/>
      </c>
      <c r="BM582" s="50" t="str">
        <f>IF(Atletas!K573="","",IF(Atletas!B573="Feminino",100,IF(Atletas!B573="Masculino",200,""))+(IF(Atletas!K573="Equipe 1 Grupo B",1,IF(Atletas!K573="Equipe 2 Grupo B",2,IF(Atletas!K573="Equipe 1 Grupo A",3,IF(Atletas!K573="Equipe 2 Grupo A",4,IF(Atletas!K573="Equipe 1 Adulto",5,IF(Atletas!K573="Equipe 2 Adulto",6,""))))))))</f>
        <v/>
      </c>
      <c r="BR582" s="50" t="str">
        <f>IF(Atletas!L573="","",IF(Atletas!X573&lt;&gt;"",10000,0)+(IF(Atletas!B573="Feminino",1000,IF(Atletas!B573="Masculino",2000,""))+IF(Atletas!L573="Choylayfut A",1,IF(Atletas!L573="Hunggar A",2,IF(Atletas!L573="Wuzuquan A",3,IF(Atletas!L573="Wingchun A",4,IF(Atletas!L573="Outra Mão de Sul A",5,IF(Atletas!L573="Choylayfut B",6,IF(Atletas!L573="Hunggar B",7,IF(Atletas!L573="Wuzuquan B",8,IF(Atletas!L573="Wingchun B",9,IF(Atletas!L573="Outra Mão de Sul B",10,IF(Atletas!L573="Choylayfut C",11,IF(Atletas!L573="Hunggar C",12,IF(Atletas!L573="Wuzuquan C",13,IF(Atletas!L573="Wingchun C",14,IF(Atletas!L573="Outra Mão de Sul C",15,IF(Atletas!L573="Choylayfut D",16,IF(Atletas!L573="Hunggar D",17,IF(Atletas!L573="Wuzuquan D",18,IF(Atletas!L573="Wingchun D",19,IF(Atletas!L573="Outra Mão de Sul D",20,IF(Atletas!L573="Choylayfut E",21,IF(Atletas!L573="Hunggar E",22,IF(Atletas!L573="Wuzuquan E",23,IF(Atletas!L573="Wingchun E",24,IF(Atletas!L573="Outra Mão de Sul E",25,IF(Atletas!L573="Choylayfut F",26,IF(Atletas!L573="Hunggar F",27,IF(Atletas!L573="Wuzuquan F",28,IF(Atletas!L573="Wingchun F",29,IF(Atletas!L573="Outra Mão de Sul F",30,IF(Atletas!L573="Dishuquan A",31,IF(Atletas!L573="Dishuquan B",32,IF(Atletas!L573="Dishuquan C",33,IF(Atletas!L573="Dishuquan D",34,IF(Atletas!L573="Dishuquan E",35,IF(Atletas!L573="Dishuquan F",36,""))))))))))))))))))))))))))))))))))))))</f>
        <v/>
      </c>
      <c r="BS582" s="50" t="str">
        <f>IF(Atletas!M573="","",IF(Atletas!X573&lt;&gt;"",10000,0)+(IF(Atletas!B573="Feminino",1000,IF(Atletas!B573="Masculino",2000,""))+(IF(Atletas!M573="Chaquan A",101,IF(Atletas!M573="Emeiquan A",102,IF(Atletas!M573="Fanziquan A",103,IF(Atletas!M573="Huaquan A",104,IF(Atletas!M573="Hongquan A",105,IF(Atletas!M573="Paoquan A",106,IF(Atletas!M573="Piguaquan A",107,IF(Atletas!M573="Shaolinquan A",108,IF(Atletas!M573="Tanglangquan A",109,IF(Atletas!M573="Yingzhaoquan A",110,IF(Atletas!M573="Tongbeiquan A",111,IF(Atletas!M573="Wudangquan A",112,IF(Atletas!M573="Outros Estilos A",113,IF(Atletas!M573="Chaquan B",114,IF(Atletas!M573="Emeiquan B",115,IF(Atletas!M573="Fanziquan B",116,IF(Atletas!M573="Huaquan B",117,IF(Atletas!M573="Hongquan B",118,IF(Atletas!M573="Paoquan B",119,IF(Atletas!M573="Piguaquan B",120,IF(Atletas!M573="Shaolinquan B",121,IF(Atletas!M573="Tanglangquan B",122,IF(Atletas!M573="Yingzhaoquan B",123,IF(Atletas!M573="Tongbeiquan B",124,IF(Atletas!M573="Wudangquan B",125,IF(Atletas!M573="Outros Estilos B",126,IF(Atletas!M573="Chaquan C",127,IF(Atletas!M573="Emeiquan C",128,IF(Atletas!M573="Fanziquan C",129,IF(Atletas!M573="Huaquan C",130,IF(Atletas!M573="Hongquan C",131,IF(Atletas!M573="Paoquan C",132,IF(Atletas!M573="Piguaquan C",133,IF(Atletas!M573="Shaolinquan C",134,IF(Atletas!M573="Tanglangquan C",135,IF(Atletas!M573="Yingzhaoquan C",136,IF(Atletas!M573="Tongbeiquan C",137,IF(Atletas!M573="Wudangquan C",138,IF(Atletas!M573="Outros Estilos C",139,0))))))))))))))))))))))))))))))))))))))))))</f>
        <v/>
      </c>
      <c r="BT582" s="50" t="str">
        <f>IF(Atletas!M573="","",IF(Atletas!X573&lt;&gt;"",10000,0)+(IF(Atletas!B573="Feminino",1000,IF(Atletas!B573="Masculino",2000,""))+(IF(Atletas!M573="Chaquan D",140,IF(Atletas!M573="Emeiquan D",141,IF(Atletas!M573="Fanziquan D",142,IF(Atletas!M573="Huaquan D",143,IF(Atletas!M573="Hongquan D",144,IF(Atletas!M573="Paoquan D",145,IF(Atletas!M573="Piguaquan D",146,IF(Atletas!M573="Shaolinquan D",147,IF(Atletas!M573="Tanglangquan D",148,IF(Atletas!M573="Yingzhaoquan D",149,IF(Atletas!M573="Tongbeiquan D",150,IF(Atletas!M573="Wudangquan D",151,IF(Atletas!M573="Outros Estilos D",152,IF(Atletas!M573="Chaquan E",153,IF(Atletas!M573="Emeiquan E",154,IF(Atletas!M573="Fanziquan E",155,IF(Atletas!M573="Huaquan E",156,IF(Atletas!M573="Hongquan E",157,IF(Atletas!M573="Paoquan E",158,IF(Atletas!M573="Piguaquan E",159,IF(Atletas!M573="Shaolinquan E",160,IF(Atletas!M573="Tanglangquan E",161,IF(Atletas!M573="Yingzhaoquan E",162,IF(Atletas!M573="Tongbeiquan E",163,IF(Atletas!M573="Wudangquan E",164,IF(Atletas!M573="Outros Estilos E",165,IF(Atletas!M573="Chaquan F",166,IF(Atletas!M573="Emeiquan F",167,IF(Atletas!M573="Fanziquan F",168,IF(Atletas!M573="Huaquan F",169,IF(Atletas!M573="Hongquan F",170,IF(Atletas!M573="Paoquan F",171,IF(Atletas!M573="Piguaquan F",172,IF(Atletas!M573="Shaolinquan F",173,IF(Atletas!M573="Tanglangquan F",174,IF(Atletas!M573="Yingzhaoquan F",175,IF(Atletas!M573="Tongbeiquan F",176,IF(Atletas!M573="Wudangquan F",177,IF(Atletas!M573="Outros Estilos F",178,0))))))))))))))))))))))))))))))))))))))))))</f>
        <v/>
      </c>
      <c r="BU582" s="50" t="str">
        <f>IF(Atletas!N573="","",IF(Atletas!X573&lt;&gt;"",10000,0)+(IF(Atletas!B573="Feminino",1000,IF(Atletas!B573="Masculino",2000,""))+(IF(Atletas!N573="Ditangquan A",201,IF(Atletas!N573="Houquan A",202,IF(Atletas!N573="Zuiquan A",203,IF(Atletas!N573="Ditangquan B",204,IF(Atletas!N573="Houquan B",205,IF(Atletas!N573="Zuiquan B",206,IF(Atletas!N573="Ditangquan C",207,IF(Atletas!N573="Houquan C",208,IF(Atletas!N573="Zuiquan C",209,IF(Atletas!N573="Ditangquan D",210,IF(Atletas!N573="Houquan D",211,IF(Atletas!N573="Zuiquan D",212,IF(Atletas!N573="Ditangquan E",213,IF(Atletas!N573="Houquan E",214,IF(Atletas!N573="Zuiquan E",215,IF(Atletas!N573="Ditangquan F",216,IF(Atletas!N573="Houquan F",217,IF(Atletas!N573="Zuiquan F",218,"")))))))))))))))))))))</f>
        <v/>
      </c>
      <c r="BV582" s="50" t="str">
        <f>IF(Atletas!O573="","",IF(Atletas!X573&lt;&gt;"",10000,0)+IF(Atletas!B573="Feminino",1000,IF(Atletas!B573="Masculino",2000,""))+IF(Atletas!O573="Yang A",301,IF(Atletas!O573="Chen A",302,IF(Atletas!O573="Sun A",303,IF(Atletas!O573="Wu A",304,IF(Atletas!O573="Wu-Hao A",305,IF(Atletas!O573="Outro Taijiquan A",306,IF(Atletas!O573="Yang B",307,IF(Atletas!O573="Chen B",308,IF(Atletas!O573="Sun B",309,IF(Atletas!O573="Wu B",310,IF(Atletas!O573="Wu-Hao B",311,IF(Atletas!O573="Outro Taijiquan B",312,IF(Atletas!O573="Yang C",313,IF(Atletas!O573="Chen C",314,IF(Atletas!O573="Sun C",315,IF(Atletas!O573="Wu C",316,IF(Atletas!O573="Wu-Hao C",317,IF(Atletas!O573="Outro Taijiquan C",318,IF(Atletas!O573="Yang D",319,IF(Atletas!O573="Chen D",320,IF(Atletas!O573="Sun D",321,IF(Atletas!O573="Wu D",322,IF(Atletas!O573="Wu-Hao D",323,IF(Atletas!O573="Outro Taijiquan D",324,IF(Atletas!O573="Yang E",325,IF(Atletas!O573="Chen E",326,IF(Atletas!O573="Sun E",327,IF(Atletas!O573="Wu E",328,IF(Atletas!O573="Wu-Hao E",329,IF(Atletas!O573="Outro Taijiquan E",330,IF(Atletas!O573="Yang F",331,IF(Atletas!O573="Chen F",332,IF(Atletas!O573="Sun F",333,IF(Atletas!O573="Wu F",334,IF(Atletas!O573="Wu-Hao F",335,IF(Atletas!O573="Outro Taijiquan F",336,"")))))))))))))))))))))))))))))))))))))</f>
        <v/>
      </c>
      <c r="BW582" s="50" t="str">
        <f>IF(Atletas!P573="","",IF(Atletas!X573&lt;&gt;"",10000,0)+IF(Atletas!B573="Feminino",1000,IF(Atletas!B573="Masculino",2000,""))+IF(OR(Atletas!P573="Yang 26 A",Atletas!P573="Yang 40 A"),401,IF(OR(Atletas!P573="Chen 25 A",Atletas!P573="Chen 36 A",Atletas!P573="Chen 56 A"),402,IF(Atletas!P573="Sun 73 A",403,IF(Atletas!P573="Wu 45 A",404,IF(Atletas!P573="Wu-Hao 46 A",405,IF(OR(Atletas!P573="Taijiquan 16 A",Atletas!P573="Taijiquan 24 A",Atletas!P573="Taijiquan 32 A",Atletas!P573="Taijiquan 42 A"),406,IF(OR(Atletas!P573="Yang 26 B",Atletas!P573="Yang 40 B"),407,IF(OR(Atletas!P573="Chen 25 B",Atletas!P573="Chen 36 B",Atletas!P573="Chen 56 B"),408,IF(Atletas!P573="Sun 73 B",409,IF(Atletas!P573="Wu 45 B",410,IF(Atletas!P573="Wu-Hao 46 B",411,IF(OR(Atletas!P573="Taijiquan 16 B",Atletas!P573="Taijiquan 24 B",Atletas!P573="Taijiquan 32 B",Atletas!P573="Taijiquan 42 B"),412,IF(OR(Atletas!P573="Yang 26 C",Atletas!P573="Yang 40 C"),413,IF(OR(Atletas!P573="Chen 25 C",Atletas!P573="Chen 36 C",Atletas!P573="Chen 56 C"),414,IF(Atletas!P573="Sun 73 C",415,IF(Atletas!P573="Wu 45 C",416,IF(Atletas!P573="Wu-Hao 46 C",417,IF(OR(Atletas!P573="Taijiquan 16 C",Atletas!P573="Taijiquan 24 C",Atletas!P573="Taijiquan 32 C",Atletas!P573="Taijiquan 42 C"),418,0)))))))))))))))))))</f>
        <v/>
      </c>
      <c r="BX582" s="50" t="str">
        <f>IF(Atletas!P573="","",IF(Atletas!X573&lt;&gt;"",10000,0)+IF(Atletas!B573="Feminino",1000,IF(Atletas!B573="Masculino",2000,""))+IF(OR(Atletas!P573="Yang 26 D",Atletas!P573="Yang 40 D"),419,IF(OR(Atletas!P573="Chen 25 D",Atletas!P573="Chen 36 D",Atletas!P573="Chen 56 D"),420,IF(Atletas!P573="Sun 73 D",421,IF(Atletas!P573="Wu 45 D",422,IF(Atletas!P573="Wu-Hao 46 D",423,IF(OR(Atletas!P573="Taijiquan 16 D",Atletas!P573="Taijiquan 24 D",Atletas!P573="Taijiquan 32 D",Atletas!P573="Taijiquan 42 D"),424,IF(OR(Atletas!P573="Yang 26 E",Atletas!P573="Yang 40 E"),425,IF(OR(Atletas!P573="Chen 25 E",Atletas!P573="Chen 36 E",Atletas!P573="Chen 56 E"),426,IF(Atletas!P573="Sun 73 E",427,IF(Atletas!P573="Wu 45 E",428,IF(Atletas!P573="Wu-Hao 46 E",429,IF(OR(Atletas!P573="Taijiquan 16 E",Atletas!P573="Taijiquan 24 E",Atletas!P573="Taijiquan 32 E",Atletas!P573="Taijiquan 42 E"),430,IF(OR(Atletas!P573="Yang 26 F",Atletas!P573="Yang 40 F"),431,IF(OR(Atletas!P573="Chen 25 F",Atletas!P573="Chen 36 F",Atletas!P573="Chen 56 F"),432,IF(Atletas!P573="Sun 73 F",433,IF(Atletas!P573="Wu 45 F",434,IF(Atletas!P573="Wu-Hao 46 F",435,IF(OR(Atletas!P573="Taijiquan 16 F",Atletas!P573="Taijiquan 24 F",Atletas!P573="Taijiquan 32 F",Atletas!P573="Taijiquan 42 F"),436,0)))))))))))))))))))</f>
        <v/>
      </c>
      <c r="BY582" s="50" t="str">
        <f>IF(Atletas!Q573="","",IF(Atletas!X573&lt;&gt;"",10000,0)+IF(Atletas!B573="Feminino",1000,IF(Atletas!B573="Masculino",2000,""))+IF(Atletas!Q573="Xingyiquan A",501,IF(Atletas!Q573="Baguazhang A",502,IF(Atletas!Q573="Outro Estilo Interno A",503,IF(Atletas!Q573="Xingyiquan B",504,IF(Atletas!Q573="Baguazhang B",505,IF(Atletas!Q573="Outro Estilo Interno B",506,IF(Atletas!Q573="Xingyiquan C",507,IF(Atletas!Q573="Baguazhang C",508,IF(Atletas!Q573="Outro Estilo Interno C",509,IF(Atletas!Q573="Xingyiquan D",510,IF(Atletas!Q573="Baguazhang D",511,IF(Atletas!Q573="Outro Estilo Interno D",512,IF(Atletas!Q573="Xingyiquan E",513,IF(Atletas!Q573="Baguazhang E",514,IF(Atletas!Q573="Outro Estilo Interno E",515,IF(Atletas!Q573="Xingyiquan F",516,IF(Atletas!Q573="Baguazhang F",517,IF(Atletas!Q573="Outro Estilo Interno F",518, "")))))))))))))))))))</f>
        <v/>
      </c>
      <c r="BZ582" s="50" t="str">
        <f>IF(Atletas!R573="","",IF(Atletas!X573&lt;&gt;"",10000,0)+IF(Atletas!B573="Feminino",1000,IF(Atletas!B573="Masculino",2000,""))+IF(Atletas!R573="Dao A",601,IF(Atletas!R573="Jian A",602,IF(Atletas!R573="Bishou A",603,IF(Atletas!R573="Shanzi A",604,IF(Atletas!R573="Outra Arma Curta A",605,IF(Atletas!R573="Dao B",606,IF(Atletas!R573="Jian B",607,IF(Atletas!R573="Bishou B",608,IF(Atletas!R573="Shanzi B",609,IF(Atletas!R573="Outra Arma Curta B",610,IF(Atletas!R573="Dao C",611,IF(Atletas!R573="Jian C",612,IF(Atletas!R573="Bishou C",613,IF(Atletas!R573="Shanzi C",614,IF(Atletas!R573="Outra Arma Curta C",615,IF(Atletas!R573="Dao D",616,IF(Atletas!R573="Jian D",617,IF(Atletas!R573="Bishou D",618,IF(Atletas!R573="Shanzi D",619,IF(Atletas!R573="Outra Arma Curta D",620,IF(Atletas!R573="Dao E",621,IF(Atletas!R573="Jian E",622,IF(Atletas!R573="Bishou E",623,IF(Atletas!R573="Shanzi E",624,IF(Atletas!R573="Outra Arma Curta E",625,IF(Atletas!R573="Dao F",626,IF(Atletas!R573="Jian F",627,IF(Atletas!R573="Bishou F",628,IF(Atletas!R573="Shanzi F",629,IF(Atletas!R573="Outra Arma Curta F",630, "")))))))))))))))))))))))))))))))</f>
        <v/>
      </c>
      <c r="CA582" s="50" t="str">
        <f>IF(Atletas!S573="","",IF(Atletas!X573&lt;&gt;"",10000,0)+IF(Atletas!B573="Feminino",1000,IF(Atletas!B573="Masculino",2000,""))+IF(Atletas!S573="Gun A",701,IF(Atletas!S573="Qiang A",702,IF(Atletas!S573="Pudao / Guandao A",703,IF(Atletas!S573="Outra Arma Longa A",704,IF(Atletas!S573="Gun B",705,IF(Atletas!S573="Qiang B",706,IF(Atletas!S573="Pudao / Guandao B",707,IF(Atletas!S573="Outra Arma Longa B",708,IF(Atletas!S573="Gun C",709,IF(Atletas!S573="Qiang C",710,IF(Atletas!S573="Pudao / Guandao C",711,IF(Atletas!S573="Outra Arma Longa C",712,IF(Atletas!S573="Gun D",713,IF(Atletas!S573="Qiang D",714,IF(Atletas!S573="Pudao / Guandao D",715,IF(Atletas!S573="Outra Arma Longa D",716,IF(Atletas!S573="Gun E",717,IF(Atletas!S573="Qiang E",718,IF(Atletas!S573="Pudao / Guandao E",719,IF(Atletas!S573="Outra Arma Longa E",720,IF(Atletas!S573="Gun F",721,IF(Atletas!S573="Qiang F",722,IF(Atletas!S573="Pudao / Guandao F",723,IF(Atletas!S573="Outra Arma Longa F",724,"")))))))))))))))))))))))))</f>
        <v/>
      </c>
      <c r="CB582" s="50" t="str">
        <f>IF(Atletas!T573="","",IF(Atletas!X573&lt;&gt;"",10000,0)+IF(Atletas!B573="Feminino",1000,IF(Atletas!B573="Masculino",2000,""))+IF(Atletas!T573="Outra Arma Dupla A",801,IF(Atletas!T573="Arma Maleável A",802,IF(Atletas!T573="Outra Arma Dupla B",803,IF(Atletas!T573="Arma Maleável B",804,IF(Atletas!T573="Outra Arma Dupla C",805,IF(Atletas!T573="Arma Maleável C",806,IF(Atletas!T573="Outra Arma Dupla D",807,IF(Atletas!T573="Arma Maleável D",808,IF(Atletas!T573="Outra Arma Dupla E",809,IF(Atletas!T573="Arma Maleável E",810,IF(Atletas!T573="Outra Arma Dupla F",811,IF(Atletas!T573="Arma Maleável F",812,IF(Atletas!T573="Shuangdao A",813,IF(Atletas!T573="Shuangdao B",814,IF(Atletas!T573="Shuangdao C",815,IF(Atletas!T573="Shuangdao D",816,IF(Atletas!T573="Shuangdao E",817,IF(Atletas!T573="Shuangdao F",818,"")))))))))))))))))))</f>
        <v/>
      </c>
      <c r="CC582" s="50" t="str">
        <f>IF(Atletas!U573="","",IF(Atletas!X573&lt;&gt;"",10000,0)+IF(Atletas!B573="Feminino",1000,IF(Atletas!B573="Masculino",2000,""))+IF(OR(Atletas!U573="Taijijian Yang A",Atletas!U573="Taijijian Yang Standard A"),901,IF(OR(Atletas!U573="Taijijian Chen A", Atletas!U573="Taijijian Chen Standard A"),902,IF(Atletas!U573="Taijijian Sun A",903,IF(Atletas!U573="Taijijian Wu A",904,IF(Atletas!U573="Taijijian Wu-Hao A",905,IF(OR(Atletas!U573="Taijijian 32 A",Atletas!U573="Taijijian 42 A"),906,IF(OR(Atletas!U573="Taijijian Yang B",Atletas!U573="Taijijian Yang Standard B"),907,IF(OR(Atletas!U573="Taijijian Chen B", Atletas!U573="Taijijian Chen Standard B"),908,IF(Atletas!U573="Taijijian Sun B",909,IF(Atletas!U573="Taijijian Wu B",910,IF(Atletas!U573="Taijijian Wu-Hao B",911,IF(OR(Atletas!U573="Taijijian 32 B",Atletas!U573="Taijijian 42 B"),912,IF(OR(Atletas!U573="Taijijian Yang C",Atletas!U573="Taijijian Yang Standard C"),913,IF(OR(Atletas!U573="Taijijian Chen C", Atletas!U573="Taijijian Chen Standard C"),914,IF(Atletas!U573="Taijijian Sun C",915,IF(Atletas!U573="Taijijian Wu C",916,IF(Atletas!U573="Taijijian Wu-Hao C",917,IF(OR(Atletas!U573="Taijijian 32 C",Atletas!U573="Taijijian 42 C"),918,IF(OR(Atletas!U573="Taijijian Yang D",Atletas!U573="Taijijian Yang Standard D"),919,IF(OR(Atletas!U573="Taijijian Chen D", Atletas!U573="Taijijian Chen Standard D"),920,IF(Atletas!U573="Taijijian Sun D",921,IF(Atletas!U573="Taijijian Wu D",922,IF(Atletas!U573="Taijijian Wu-Hao D",923,IF(OR(Atletas!U573="Taijijian 32 D",Atletas!U573="Taijijian 42 D"),924,IF(OR(Atletas!U573="Taijijian Yang E",Atletas!U573="Taijijian Yang Standard E"),925,IF(OR(Atletas!U573="Taijijian Chen E", Atletas!U573="Taijijian Chen Standard E"),926,IF(Atletas!U573="Taijijian Sun E",927,IF(Atletas!U573="Taijijian Wu E",928,IF(Atletas!U573="Taijijian Wu-Hao E",929,IF(OR(Atletas!U573="Taijijian 32 E",Atletas!U573="Taijijian 42 E"),930,IF(OR(Atletas!U573="Taijijian Yang F",Atletas!U573="Taijijian Yang Standard F"),931,IF(OR(Atletas!U573="Taijijian Chen F", Atletas!U573="Taijijian Chen Standard F"),932,IF(Atletas!U573="Taijijian Sun F",933,IF(Atletas!U573="Taijijian Wu F",934,IF(Atletas!U573="Taijijian Wu-Hao F",935,IF(OR(Atletas!U573="Taijijian 32 F",Atletas!U573="Taijijian 42 F"),936,"")))))))))))))))))))))))))))))))))))))</f>
        <v/>
      </c>
      <c r="CD582" s="50" t="str">
        <f>IF(Atletas!V573="","",IF(Atletas!X573&lt;&gt;"",10000,0)+IF(Atletas!B573="Feminino",1000,IF(Atletas!B573="Masculino",2000,""))+IF(Atletas!V573="Taijidao A",937,IF(Atletas!V573="TaijiShanzi A",938,IF(Atletas!V573="Taijiqiang A",939,IF(Atletas!V573="Bagua de Arma A",940,IF(Atletas!V573="Xingyi de Arma A",941,IF(Atletas!V573="Taijidao B",942,IF(Atletas!V573="TaijiShanzi B",943,IF(Atletas!V573="Taijiqiang B",944,IF(Atletas!V573="Bagua de Arma B",945,IF(Atletas!V573="Xingyi de Arma B",946,IF(Atletas!V573="Taijidao C",947,IF(Atletas!V573="TaijiShanzi C",948,IF(Atletas!V573="Taijiqiang C",949,IF(Atletas!V573="Bagua de Arma C",950,IF(Atletas!V573="Xingyi de Arma C",951,IF(Atletas!V573="Taijidao D",952,IF(Atletas!V573="TaijiShanzi D",953,IF(Atletas!V573="Taijiqiang D",954,IF(Atletas!V573="Bagua de Arma D",955,IF(Atletas!V573="Xingyi de Arma D",956,IF(Atletas!V573="Taijidao E",957,IF(Atletas!V573="TaijiShanzi E",958,IF(Atletas!V573="Taijiqiang E",959,IF(Atletas!V573="Bagua de Arma E",960,IF(Atletas!V573="Xingyi de Arma E",961,IF(Atletas!V573="Taijidao F",962,IF(Atletas!V573="TaijiShanzi F",963,IF(Atletas!V573="Taijiqiang F",964,IF(Atletas!V573="Bagua de Arma F",965,IF(Atletas!V573="Xingyi de Arma F",966,"")))))))))))))))))))))))))))))))</f>
        <v/>
      </c>
      <c r="CM582" s="50" t="str">
        <f xml:space="preserve"> IF(Atletas!W573="","",IF(Atletas!W573="Duilian de Mãos BC - Equipe 1",1,IF(Atletas!W573="Duilian de Mãos BC - Equipe 2",2,IF(Atletas!W573="Duilian de Armas BC - Equipe 1",3,IF(Atletas!W573="Duilian de Armas BC - Equipe 2",4,IF(Atletas!W573="Duilian de Mãos DE - Equipe 1",5,IF(Atletas!W573="Duilian de Mãos DE - Equipe 2",6,IF(Atletas!W573="Duilian de Armas DE - Equipe 1",7,IF(Atletas!W573="Duilian de Armas DE - Equipe 2",8,IF(Atletas!W573="Duilian de Tuishou - Equipe 1",9,IF(Atletas!W573="Duilian de Tuishou - Equipe 2",10,IF(Atletas!W573="Grupo Externo ABC - Equipe 1",11,IF(Atletas!W573="Grupo Externo ABC - Equipe 2",12,IF(Atletas!W573="Grupo Interno ABC - Equipe 1",13,IF(Atletas!W573="Grupo Interno ABC - Equipe 2",14,IF(Atletas!W573="Grupo Externo DEF - Equipe 1",15,IF(Atletas!W573="Grupo Externo DEF - Equipe 2",16,IF(Atletas!W573="Grupo Interno DEF - Equipe 1",17,IF(Atletas!W573="Grupo Interno DEF - Equipe 2",18,"")))))))))))))))))))</f>
        <v/>
      </c>
    </row>
    <row r="583" spans="40:91">
      <c r="AN583" s="52" t="str">
        <f>IF(Atletas!D574="","",IF(Atletas!B574="Feminino",100,IF(Atletas!B574="Masculino",200,""))+(IF(Atletas!D574="Kids 30kg",1,IF(Atletas!D574="Kids 32kg",2, IF(Atletas!D574="Kids 34kg",3,IF(Atletas!D574="Kids 36kg",4,IF(Atletas!D574="Kids 39kg",5,IF(Atletas!D574="Kids 42kg",6,IF(Atletas!D574="Kids 45kg",7, IF(Atletas!D574="Infantil 39kg",8,IF(Atletas!D574="Infantil 42kg",9,IF(Atletas!D574="Infantil 45kg",10,IF(Atletas!D574="Infantil 48kg",11,IF(Atletas!D574="Infantil 52kg",12,IF(Atletas!D574="Infantil 56kg",13,IF(Atletas!D574="Infantil 60kg",14,IF(Atletas!D574="Juvenil 48kg",15,IF(Atletas!D574="Juvenil 52kg",16,IF(Atletas!D574="Juvenil 56kg",17,IF(Atletas!D574="Juvenil 60kg",18,IF(Atletas!D574="Juvenil 65kg",19,IF(Atletas!D574="Juvenil 70kg",20,IF(Atletas!D574="Juvenil 75kg",21,IF(Atletas!D574="Juvenil 80kg",22, IF(Atletas!D574="Juvenil 85kg",23,IF(Atletas!D574="Adulto 48kg",24,IF(Atletas!D574="Adulto 52kg",25,IF(Atletas!D574="Adulto 56kg",26,IF(Atletas!D574="Adulto 60kg",27,IF(Atletas!D574="Adulto 65kg",28,IF(Atletas!D574="Adulto 70kg",29,IF(Atletas!D574="Adulto 75kg",30,IF(Atletas!D574="Adulto 80kg",31,IF(Atletas!D574="Adulto 85kg",32,IF(Atletas!D574="Adulto 90kg",33,IF(Atletas!D574="Adulto 100kg",34, IF(Atletas!D574="Adulto +100kg",35,"")))))))))))))))))))))))))))))))))))))</f>
        <v/>
      </c>
      <c r="AS583" s="6" t="str">
        <f>IF(Atletas!E574="","",IF(Atletas!B574="Feminino",100,IF(Atletas!B574="Masculino",200,""))+(IF(Atletas!E574="Juvenil 44kg",1,IF(Atletas!E574="Juvenil 48kg",2,IF(Atletas!E574="Juvenil 52kg",3,IF(Atletas!E574="Juvenil 56kg",4,IF(Atletas!E574="Juvenil 60kg",5,IF(Atletas!E574="Juvenil 65kg",6,IF(Atletas!E574="Juvenil 70kg",7,IF(Atletas!E574="Juvenil 75kg",8,IF(Atletas!E574="Juvenil 82kg",9,IF(Atletas!E574="Juvenil 90kg",10,IF(Atletas!E574="Juvenil 100kg",11,IF(Atletas!E574="Adulto 48kg",12,IF(Atletas!E574="Adulto 52kg",13,IF(Atletas!E574="Adulto 56kg",14,IF(Atletas!E574="Adulto 60kg",15,IF(Atletas!E574="Adulto 65kg",16,IF(Atletas!E574="Adulto 70kg",17,IF(Atletas!E574="Adulto 75kg",18,IF(Atletas!E574="Adulto 82kg",19,IF(Atletas!E574="Adulto 90kg",20,IF(Atletas!E574="Adulto 100kg",21,IF(Atletas!E574="Adulto +100kg",22,""))))))))))))))))))))))))</f>
        <v/>
      </c>
      <c r="AX583" s="6" t="str">
        <f>IF(Atletas!F574="","",IF(Atletas!B574="Feminino",100,IF(Atletas!B574="Masculino",200,""))+(IF(Atletas!F574="Adulto 48kg",1,IF(Atletas!F574="Adulto 56kg",2,IF(Atletas!F574="Adulto 65kg",3,IF(Atletas!F574="Adulto 75kg",4,IF(Atletas!F574="Adulto +75kg",5,IF(Atletas!F574="Adulto 52kg",6,IF(Atletas!F574="Adulto 60kg",7,IF(Atletas!F574="Adulto 70kg",8,IF(Atletas!F574="Adulto 80kg",9,IF(Atletas!F574="Adulto 90kg",10,IF(Atletas!F574="Adulto +90kg",11,"")))))))))))))</f>
        <v/>
      </c>
      <c r="BC583" s="6" t="str">
        <f>IF(Atletas!G574="","",IF(Atletas!B574="Feminino",10,IF(Atletas!B574="Masculino",20,""))+(IF(Atletas!G574="Baduanjin A",1,IF(Atletas!G574="Baduanjin B",2))))</f>
        <v/>
      </c>
      <c r="BF583" s="52" t="str">
        <f>IF(Atletas!H574="","",IF(Atletas!B574="Feminino",100,IF(Atletas!B574="Masculino",200,""))+(IF(Atletas!H574="Changquan Mirim",1,IF(Atletas!H574="Nanquan Mirim",2,IF(Atletas!H574="Taijiquan Mirim",3,IF(Atletas!H574="Changquan Grupo C",4,IF(Atletas!H574="Nanquan Grupo C",5,IF(Atletas!H574="Taijiquan Grupo C",6,IF(Atletas!H574="Changquan Grupo B",7,IF(Atletas!H574="Nanquan Grupo B",8,IF(Atletas!H574="Taijiquan Grupo B",9,IF(Atletas!H574="Changquan Grupo A",10,IF(Atletas!H574="Nanquan Grupo A",11,IF(Atletas!H574="Taijiquan Grupo A",12,IF(Atletas!H574="Changquan Opcional",13,IF(Atletas!H574="Nanquan Opcional",14,IF(Atletas!H574="Taijiquan Opcional",15,IF(Atletas!H574="Changquan Adulto",16,IF(Atletas!H574="Nanquan Adulto",17,IF(Atletas!H574="Taijiquan Adulto",18,""))))))))))))))))))))</f>
        <v/>
      </c>
      <c r="BG583" s="52" t="str">
        <f>IF(Atletas!I574="","",IF(Atletas!B574="Feminino",100,IF(Atletas!B574="Masculino",200,""))+(IF(Atletas!I574="Daoshu Mirim",19,IF(Atletas!I574="Jianshu Mirim",20,IF(Atletas!I574="Nandao Mirim",21,IF(Atletas!I574="Taijijian Mirim",22,IF(Atletas!I574="Daoshu Grupo C",23,IF(Atletas!I574="Jianshu Grupo C",24,IF(Atletas!I574="Nandao Grupo C",25,IF(Atletas!I574="Taijijian Grupo C",26,IF(Atletas!I574="Daoshu Grupo B",27,IF(Atletas!I574="Jianshu Grupo B",28,IF(Atletas!I574="Nandao Grupo B",29,IF(Atletas!I574="Taijijian Grupo B",30,IF(Atletas!I574="Daoshu Grupo A",31,IF(Atletas!I574="Jianshu Grupo A",32,IF(Atletas!I574="Nandao Grupo A",33,IF(Atletas!I574="Taijijian Grupo A",34,IF(Atletas!I574="Daoshu Opcional",35,IF(Atletas!I574="Jianshu Opcional",36,IF(Atletas!I574="Nandao Opcional",37,IF(Atletas!I574="Taijijian Opcional",38,IF(Atletas!I574="Daoshu Adulto",39,IF(Atletas!I574="Jianshu Adulto",40,IF(Atletas!I574="Nandao Adulto",41,IF(Atletas!I574="Taijijian Adulto",42,""))))))))))))))))))))))))))</f>
        <v/>
      </c>
      <c r="BH583" s="52" t="str">
        <f>IF(Atletas!J574="","",IF(Atletas!B574="Feminino",100,IF(Atletas!B574="Masculino",200,""))+(IF(Atletas!J574="Gunshu Mirim",43,IF(Atletas!J574="Qiangshu Mirim",44,IF(Atletas!J574="Nangun Mirim",45,IF(Atletas!J574="Gunshu Grupo C",46,IF(Atletas!J574="Qiangshu Grupo C",47,IF(Atletas!J574="Nangun Grupo C",48,IF(Atletas!J574="Gunshu Grupo B",49,IF(Atletas!J574="Qiangshu Grupo B",50,IF(Atletas!J574="Nangun Grupo B",51,IF(Atletas!J574="Gunshu Grupo A",52,IF(Atletas!J574="Qiangshu Grupo A",53,IF(Atletas!J574="Nangun Grupo A",54,IF(Atletas!J574="Gunshu Opcional",55,IF(Atletas!J574="Qiangshu Opcional",56,IF(Atletas!J574="Nangun Opcional",57,IF(Atletas!J574="Gunshu Adulto",58,IF(Atletas!J574="Qiangshu Adulto",59,IF(Atletas!J574="Nangun Adulto",60,IF(Atletas!J574="Taijishan Grupo B",61,IF(Atletas!J574="Taijishan Grupo A",62,""))))))))))))))))))))))</f>
        <v/>
      </c>
      <c r="BM583" s="50" t="str">
        <f>IF(Atletas!K574="","",IF(Atletas!B574="Feminino",100,IF(Atletas!B574="Masculino",200,""))+(IF(Atletas!K574="Equipe 1 Grupo B",1,IF(Atletas!K574="Equipe 2 Grupo B",2,IF(Atletas!K574="Equipe 1 Grupo A",3,IF(Atletas!K574="Equipe 2 Grupo A",4,IF(Atletas!K574="Equipe 1 Adulto",5,IF(Atletas!K574="Equipe 2 Adulto",6,""))))))))</f>
        <v/>
      </c>
      <c r="BR583" s="50" t="str">
        <f>IF(Atletas!L574="","",IF(Atletas!X574&lt;&gt;"",10000,0)+(IF(Atletas!B574="Feminino",1000,IF(Atletas!B574="Masculino",2000,""))+IF(Atletas!L574="Choylayfut A",1,IF(Atletas!L574="Hunggar A",2,IF(Atletas!L574="Wuzuquan A",3,IF(Atletas!L574="Wingchun A",4,IF(Atletas!L574="Outra Mão de Sul A",5,IF(Atletas!L574="Choylayfut B",6,IF(Atletas!L574="Hunggar B",7,IF(Atletas!L574="Wuzuquan B",8,IF(Atletas!L574="Wingchun B",9,IF(Atletas!L574="Outra Mão de Sul B",10,IF(Atletas!L574="Choylayfut C",11,IF(Atletas!L574="Hunggar C",12,IF(Atletas!L574="Wuzuquan C",13,IF(Atletas!L574="Wingchun C",14,IF(Atletas!L574="Outra Mão de Sul C",15,IF(Atletas!L574="Choylayfut D",16,IF(Atletas!L574="Hunggar D",17,IF(Atletas!L574="Wuzuquan D",18,IF(Atletas!L574="Wingchun D",19,IF(Atletas!L574="Outra Mão de Sul D",20,IF(Atletas!L574="Choylayfut E",21,IF(Atletas!L574="Hunggar E",22,IF(Atletas!L574="Wuzuquan E",23,IF(Atletas!L574="Wingchun E",24,IF(Atletas!L574="Outra Mão de Sul E",25,IF(Atletas!L574="Choylayfut F",26,IF(Atletas!L574="Hunggar F",27,IF(Atletas!L574="Wuzuquan F",28,IF(Atletas!L574="Wingchun F",29,IF(Atletas!L574="Outra Mão de Sul F",30,IF(Atletas!L574="Dishuquan A",31,IF(Atletas!L574="Dishuquan B",32,IF(Atletas!L574="Dishuquan C",33,IF(Atletas!L574="Dishuquan D",34,IF(Atletas!L574="Dishuquan E",35,IF(Atletas!L574="Dishuquan F",36,""))))))))))))))))))))))))))))))))))))))</f>
        <v/>
      </c>
      <c r="BS583" s="50" t="str">
        <f>IF(Atletas!M574="","",IF(Atletas!X574&lt;&gt;"",10000,0)+(IF(Atletas!B574="Feminino",1000,IF(Atletas!B574="Masculino",2000,""))+(IF(Atletas!M574="Chaquan A",101,IF(Atletas!M574="Emeiquan A",102,IF(Atletas!M574="Fanziquan A",103,IF(Atletas!M574="Huaquan A",104,IF(Atletas!M574="Hongquan A",105,IF(Atletas!M574="Paoquan A",106,IF(Atletas!M574="Piguaquan A",107,IF(Atletas!M574="Shaolinquan A",108,IF(Atletas!M574="Tanglangquan A",109,IF(Atletas!M574="Yingzhaoquan A",110,IF(Atletas!M574="Tongbeiquan A",111,IF(Atletas!M574="Wudangquan A",112,IF(Atletas!M574="Outros Estilos A",113,IF(Atletas!M574="Chaquan B",114,IF(Atletas!M574="Emeiquan B",115,IF(Atletas!M574="Fanziquan B",116,IF(Atletas!M574="Huaquan B",117,IF(Atletas!M574="Hongquan B",118,IF(Atletas!M574="Paoquan B",119,IF(Atletas!M574="Piguaquan B",120,IF(Atletas!M574="Shaolinquan B",121,IF(Atletas!M574="Tanglangquan B",122,IF(Atletas!M574="Yingzhaoquan B",123,IF(Atletas!M574="Tongbeiquan B",124,IF(Atletas!M574="Wudangquan B",125,IF(Atletas!M574="Outros Estilos B",126,IF(Atletas!M574="Chaquan C",127,IF(Atletas!M574="Emeiquan C",128,IF(Atletas!M574="Fanziquan C",129,IF(Atletas!M574="Huaquan C",130,IF(Atletas!M574="Hongquan C",131,IF(Atletas!M574="Paoquan C",132,IF(Atletas!M574="Piguaquan C",133,IF(Atletas!M574="Shaolinquan C",134,IF(Atletas!M574="Tanglangquan C",135,IF(Atletas!M574="Yingzhaoquan C",136,IF(Atletas!M574="Tongbeiquan C",137,IF(Atletas!M574="Wudangquan C",138,IF(Atletas!M574="Outros Estilos C",139,0))))))))))))))))))))))))))))))))))))))))))</f>
        <v/>
      </c>
      <c r="BT583" s="50" t="str">
        <f>IF(Atletas!M574="","",IF(Atletas!X574&lt;&gt;"",10000,0)+(IF(Atletas!B574="Feminino",1000,IF(Atletas!B574="Masculino",2000,""))+(IF(Atletas!M574="Chaquan D",140,IF(Atletas!M574="Emeiquan D",141,IF(Atletas!M574="Fanziquan D",142,IF(Atletas!M574="Huaquan D",143,IF(Atletas!M574="Hongquan D",144,IF(Atletas!M574="Paoquan D",145,IF(Atletas!M574="Piguaquan D",146,IF(Atletas!M574="Shaolinquan D",147,IF(Atletas!M574="Tanglangquan D",148,IF(Atletas!M574="Yingzhaoquan D",149,IF(Atletas!M574="Tongbeiquan D",150,IF(Atletas!M574="Wudangquan D",151,IF(Atletas!M574="Outros Estilos D",152,IF(Atletas!M574="Chaquan E",153,IF(Atletas!M574="Emeiquan E",154,IF(Atletas!M574="Fanziquan E",155,IF(Atletas!M574="Huaquan E",156,IF(Atletas!M574="Hongquan E",157,IF(Atletas!M574="Paoquan E",158,IF(Atletas!M574="Piguaquan E",159,IF(Atletas!M574="Shaolinquan E",160,IF(Atletas!M574="Tanglangquan E",161,IF(Atletas!M574="Yingzhaoquan E",162,IF(Atletas!M574="Tongbeiquan E",163,IF(Atletas!M574="Wudangquan E",164,IF(Atletas!M574="Outros Estilos E",165,IF(Atletas!M574="Chaquan F",166,IF(Atletas!M574="Emeiquan F",167,IF(Atletas!M574="Fanziquan F",168,IF(Atletas!M574="Huaquan F",169,IF(Atletas!M574="Hongquan F",170,IF(Atletas!M574="Paoquan F",171,IF(Atletas!M574="Piguaquan F",172,IF(Atletas!M574="Shaolinquan F",173,IF(Atletas!M574="Tanglangquan F",174,IF(Atletas!M574="Yingzhaoquan F",175,IF(Atletas!M574="Tongbeiquan F",176,IF(Atletas!M574="Wudangquan F",177,IF(Atletas!M574="Outros Estilos F",178,0))))))))))))))))))))))))))))))))))))))))))</f>
        <v/>
      </c>
      <c r="BU583" s="50" t="str">
        <f>IF(Atletas!N574="","",IF(Atletas!X574&lt;&gt;"",10000,0)+(IF(Atletas!B574="Feminino",1000,IF(Atletas!B574="Masculino",2000,""))+(IF(Atletas!N574="Ditangquan A",201,IF(Atletas!N574="Houquan A",202,IF(Atletas!N574="Zuiquan A",203,IF(Atletas!N574="Ditangquan B",204,IF(Atletas!N574="Houquan B",205,IF(Atletas!N574="Zuiquan B",206,IF(Atletas!N574="Ditangquan C",207,IF(Atletas!N574="Houquan C",208,IF(Atletas!N574="Zuiquan C",209,IF(Atletas!N574="Ditangquan D",210,IF(Atletas!N574="Houquan D",211,IF(Atletas!N574="Zuiquan D",212,IF(Atletas!N574="Ditangquan E",213,IF(Atletas!N574="Houquan E",214,IF(Atletas!N574="Zuiquan E",215,IF(Atletas!N574="Ditangquan F",216,IF(Atletas!N574="Houquan F",217,IF(Atletas!N574="Zuiquan F",218,"")))))))))))))))))))))</f>
        <v/>
      </c>
      <c r="BV583" s="50" t="str">
        <f>IF(Atletas!O574="","",IF(Atletas!X574&lt;&gt;"",10000,0)+IF(Atletas!B574="Feminino",1000,IF(Atletas!B574="Masculino",2000,""))+IF(Atletas!O574="Yang A",301,IF(Atletas!O574="Chen A",302,IF(Atletas!O574="Sun A",303,IF(Atletas!O574="Wu A",304,IF(Atletas!O574="Wu-Hao A",305,IF(Atletas!O574="Outro Taijiquan A",306,IF(Atletas!O574="Yang B",307,IF(Atletas!O574="Chen B",308,IF(Atletas!O574="Sun B",309,IF(Atletas!O574="Wu B",310,IF(Atletas!O574="Wu-Hao B",311,IF(Atletas!O574="Outro Taijiquan B",312,IF(Atletas!O574="Yang C",313,IF(Atletas!O574="Chen C",314,IF(Atletas!O574="Sun C",315,IF(Atletas!O574="Wu C",316,IF(Atletas!O574="Wu-Hao C",317,IF(Atletas!O574="Outro Taijiquan C",318,IF(Atletas!O574="Yang D",319,IF(Atletas!O574="Chen D",320,IF(Atletas!O574="Sun D",321,IF(Atletas!O574="Wu D",322,IF(Atletas!O574="Wu-Hao D",323,IF(Atletas!O574="Outro Taijiquan D",324,IF(Atletas!O574="Yang E",325,IF(Atletas!O574="Chen E",326,IF(Atletas!O574="Sun E",327,IF(Atletas!O574="Wu E",328,IF(Atletas!O574="Wu-Hao E",329,IF(Atletas!O574="Outro Taijiquan E",330,IF(Atletas!O574="Yang F",331,IF(Atletas!O574="Chen F",332,IF(Atletas!O574="Sun F",333,IF(Atletas!O574="Wu F",334,IF(Atletas!O574="Wu-Hao F",335,IF(Atletas!O574="Outro Taijiquan F",336,"")))))))))))))))))))))))))))))))))))))</f>
        <v/>
      </c>
      <c r="BW583" s="50" t="str">
        <f>IF(Atletas!P574="","",IF(Atletas!X574&lt;&gt;"",10000,0)+IF(Atletas!B574="Feminino",1000,IF(Atletas!B574="Masculino",2000,""))+IF(OR(Atletas!P574="Yang 26 A",Atletas!P574="Yang 40 A"),401,IF(OR(Atletas!P574="Chen 25 A",Atletas!P574="Chen 36 A",Atletas!P574="Chen 56 A"),402,IF(Atletas!P574="Sun 73 A",403,IF(Atletas!P574="Wu 45 A",404,IF(Atletas!P574="Wu-Hao 46 A",405,IF(OR(Atletas!P574="Taijiquan 16 A",Atletas!P574="Taijiquan 24 A",Atletas!P574="Taijiquan 32 A",Atletas!P574="Taijiquan 42 A"),406,IF(OR(Atletas!P574="Yang 26 B",Atletas!P574="Yang 40 B"),407,IF(OR(Atletas!P574="Chen 25 B",Atletas!P574="Chen 36 B",Atletas!P574="Chen 56 B"),408,IF(Atletas!P574="Sun 73 B",409,IF(Atletas!P574="Wu 45 B",410,IF(Atletas!P574="Wu-Hao 46 B",411,IF(OR(Atletas!P574="Taijiquan 16 B",Atletas!P574="Taijiquan 24 B",Atletas!P574="Taijiquan 32 B",Atletas!P574="Taijiquan 42 B"),412,IF(OR(Atletas!P574="Yang 26 C",Atletas!P574="Yang 40 C"),413,IF(OR(Atletas!P574="Chen 25 C",Atletas!P574="Chen 36 C",Atletas!P574="Chen 56 C"),414,IF(Atletas!P574="Sun 73 C",415,IF(Atletas!P574="Wu 45 C",416,IF(Atletas!P574="Wu-Hao 46 C",417,IF(OR(Atletas!P574="Taijiquan 16 C",Atletas!P574="Taijiquan 24 C",Atletas!P574="Taijiquan 32 C",Atletas!P574="Taijiquan 42 C"),418,0)))))))))))))))))))</f>
        <v/>
      </c>
      <c r="BX583" s="50" t="str">
        <f>IF(Atletas!P574="","",IF(Atletas!X574&lt;&gt;"",10000,0)+IF(Atletas!B574="Feminino",1000,IF(Atletas!B574="Masculino",2000,""))+IF(OR(Atletas!P574="Yang 26 D",Atletas!P574="Yang 40 D"),419,IF(OR(Atletas!P574="Chen 25 D",Atletas!P574="Chen 36 D",Atletas!P574="Chen 56 D"),420,IF(Atletas!P574="Sun 73 D",421,IF(Atletas!P574="Wu 45 D",422,IF(Atletas!P574="Wu-Hao 46 D",423,IF(OR(Atletas!P574="Taijiquan 16 D",Atletas!P574="Taijiquan 24 D",Atletas!P574="Taijiquan 32 D",Atletas!P574="Taijiquan 42 D"),424,IF(OR(Atletas!P574="Yang 26 E",Atletas!P574="Yang 40 E"),425,IF(OR(Atletas!P574="Chen 25 E",Atletas!P574="Chen 36 E",Atletas!P574="Chen 56 E"),426,IF(Atletas!P574="Sun 73 E",427,IF(Atletas!P574="Wu 45 E",428,IF(Atletas!P574="Wu-Hao 46 E",429,IF(OR(Atletas!P574="Taijiquan 16 E",Atletas!P574="Taijiquan 24 E",Atletas!P574="Taijiquan 32 E",Atletas!P574="Taijiquan 42 E"),430,IF(OR(Atletas!P574="Yang 26 F",Atletas!P574="Yang 40 F"),431,IF(OR(Atletas!P574="Chen 25 F",Atletas!P574="Chen 36 F",Atletas!P574="Chen 56 F"),432,IF(Atletas!P574="Sun 73 F",433,IF(Atletas!P574="Wu 45 F",434,IF(Atletas!P574="Wu-Hao 46 F",435,IF(OR(Atletas!P574="Taijiquan 16 F",Atletas!P574="Taijiquan 24 F",Atletas!P574="Taijiquan 32 F",Atletas!P574="Taijiquan 42 F"),436,0)))))))))))))))))))</f>
        <v/>
      </c>
      <c r="BY583" s="50" t="str">
        <f>IF(Atletas!Q574="","",IF(Atletas!X574&lt;&gt;"",10000,0)+IF(Atletas!B574="Feminino",1000,IF(Atletas!B574="Masculino",2000,""))+IF(Atletas!Q574="Xingyiquan A",501,IF(Atletas!Q574="Baguazhang A",502,IF(Atletas!Q574="Outro Estilo Interno A",503,IF(Atletas!Q574="Xingyiquan B",504,IF(Atletas!Q574="Baguazhang B",505,IF(Atletas!Q574="Outro Estilo Interno B",506,IF(Atletas!Q574="Xingyiquan C",507,IF(Atletas!Q574="Baguazhang C",508,IF(Atletas!Q574="Outro Estilo Interno C",509,IF(Atletas!Q574="Xingyiquan D",510,IF(Atletas!Q574="Baguazhang D",511,IF(Atletas!Q574="Outro Estilo Interno D",512,IF(Atletas!Q574="Xingyiquan E",513,IF(Atletas!Q574="Baguazhang E",514,IF(Atletas!Q574="Outro Estilo Interno E",515,IF(Atletas!Q574="Xingyiquan F",516,IF(Atletas!Q574="Baguazhang F",517,IF(Atletas!Q574="Outro Estilo Interno F",518, "")))))))))))))))))))</f>
        <v/>
      </c>
      <c r="BZ583" s="50" t="str">
        <f>IF(Atletas!R574="","",IF(Atletas!X574&lt;&gt;"",10000,0)+IF(Atletas!B574="Feminino",1000,IF(Atletas!B574="Masculino",2000,""))+IF(Atletas!R574="Dao A",601,IF(Atletas!R574="Jian A",602,IF(Atletas!R574="Bishou A",603,IF(Atletas!R574="Shanzi A",604,IF(Atletas!R574="Outra Arma Curta A",605,IF(Atletas!R574="Dao B",606,IF(Atletas!R574="Jian B",607,IF(Atletas!R574="Bishou B",608,IF(Atletas!R574="Shanzi B",609,IF(Atletas!R574="Outra Arma Curta B",610,IF(Atletas!R574="Dao C",611,IF(Atletas!R574="Jian C",612,IF(Atletas!R574="Bishou C",613,IF(Atletas!R574="Shanzi C",614,IF(Atletas!R574="Outra Arma Curta C",615,IF(Atletas!R574="Dao D",616,IF(Atletas!R574="Jian D",617,IF(Atletas!R574="Bishou D",618,IF(Atletas!R574="Shanzi D",619,IF(Atletas!R574="Outra Arma Curta D",620,IF(Atletas!R574="Dao E",621,IF(Atletas!R574="Jian E",622,IF(Atletas!R574="Bishou E",623,IF(Atletas!R574="Shanzi E",624,IF(Atletas!R574="Outra Arma Curta E",625,IF(Atletas!R574="Dao F",626,IF(Atletas!R574="Jian F",627,IF(Atletas!R574="Bishou F",628,IF(Atletas!R574="Shanzi F",629,IF(Atletas!R574="Outra Arma Curta F",630, "")))))))))))))))))))))))))))))))</f>
        <v/>
      </c>
      <c r="CA583" s="50" t="str">
        <f>IF(Atletas!S574="","",IF(Atletas!X574&lt;&gt;"",10000,0)+IF(Atletas!B574="Feminino",1000,IF(Atletas!B574="Masculino",2000,""))+IF(Atletas!S574="Gun A",701,IF(Atletas!S574="Qiang A",702,IF(Atletas!S574="Pudao / Guandao A",703,IF(Atletas!S574="Outra Arma Longa A",704,IF(Atletas!S574="Gun B",705,IF(Atletas!S574="Qiang B",706,IF(Atletas!S574="Pudao / Guandao B",707,IF(Atletas!S574="Outra Arma Longa B",708,IF(Atletas!S574="Gun C",709,IF(Atletas!S574="Qiang C",710,IF(Atletas!S574="Pudao / Guandao C",711,IF(Atletas!S574="Outra Arma Longa C",712,IF(Atletas!S574="Gun D",713,IF(Atletas!S574="Qiang D",714,IF(Atletas!S574="Pudao / Guandao D",715,IF(Atletas!S574="Outra Arma Longa D",716,IF(Atletas!S574="Gun E",717,IF(Atletas!S574="Qiang E",718,IF(Atletas!S574="Pudao / Guandao E",719,IF(Atletas!S574="Outra Arma Longa E",720,IF(Atletas!S574="Gun F",721,IF(Atletas!S574="Qiang F",722,IF(Atletas!S574="Pudao / Guandao F",723,IF(Atletas!S574="Outra Arma Longa F",724,"")))))))))))))))))))))))))</f>
        <v/>
      </c>
      <c r="CB583" s="50" t="str">
        <f>IF(Atletas!T574="","",IF(Atletas!X574&lt;&gt;"",10000,0)+IF(Atletas!B574="Feminino",1000,IF(Atletas!B574="Masculino",2000,""))+IF(Atletas!T574="Outra Arma Dupla A",801,IF(Atletas!T574="Arma Maleável A",802,IF(Atletas!T574="Outra Arma Dupla B",803,IF(Atletas!T574="Arma Maleável B",804,IF(Atletas!T574="Outra Arma Dupla C",805,IF(Atletas!T574="Arma Maleável C",806,IF(Atletas!T574="Outra Arma Dupla D",807,IF(Atletas!T574="Arma Maleável D",808,IF(Atletas!T574="Outra Arma Dupla E",809,IF(Atletas!T574="Arma Maleável E",810,IF(Atletas!T574="Outra Arma Dupla F",811,IF(Atletas!T574="Arma Maleável F",812,IF(Atletas!T574="Shuangdao A",813,IF(Atletas!T574="Shuangdao B",814,IF(Atletas!T574="Shuangdao C",815,IF(Atletas!T574="Shuangdao D",816,IF(Atletas!T574="Shuangdao E",817,IF(Atletas!T574="Shuangdao F",818,"")))))))))))))))))))</f>
        <v/>
      </c>
      <c r="CC583" s="50" t="str">
        <f>IF(Atletas!U574="","",IF(Atletas!X574&lt;&gt;"",10000,0)+IF(Atletas!B574="Feminino",1000,IF(Atletas!B574="Masculino",2000,""))+IF(OR(Atletas!U574="Taijijian Yang A",Atletas!U574="Taijijian Yang Standard A"),901,IF(OR(Atletas!U574="Taijijian Chen A", Atletas!U574="Taijijian Chen Standard A"),902,IF(Atletas!U574="Taijijian Sun A",903,IF(Atletas!U574="Taijijian Wu A",904,IF(Atletas!U574="Taijijian Wu-Hao A",905,IF(OR(Atletas!U574="Taijijian 32 A",Atletas!U574="Taijijian 42 A"),906,IF(OR(Atletas!U574="Taijijian Yang B",Atletas!U574="Taijijian Yang Standard B"),907,IF(OR(Atletas!U574="Taijijian Chen B", Atletas!U574="Taijijian Chen Standard B"),908,IF(Atletas!U574="Taijijian Sun B",909,IF(Atletas!U574="Taijijian Wu B",910,IF(Atletas!U574="Taijijian Wu-Hao B",911,IF(OR(Atletas!U574="Taijijian 32 B",Atletas!U574="Taijijian 42 B"),912,IF(OR(Atletas!U574="Taijijian Yang C",Atletas!U574="Taijijian Yang Standard C"),913,IF(OR(Atletas!U574="Taijijian Chen C", Atletas!U574="Taijijian Chen Standard C"),914,IF(Atletas!U574="Taijijian Sun C",915,IF(Atletas!U574="Taijijian Wu C",916,IF(Atletas!U574="Taijijian Wu-Hao C",917,IF(OR(Atletas!U574="Taijijian 32 C",Atletas!U574="Taijijian 42 C"),918,IF(OR(Atletas!U574="Taijijian Yang D",Atletas!U574="Taijijian Yang Standard D"),919,IF(OR(Atletas!U574="Taijijian Chen D", Atletas!U574="Taijijian Chen Standard D"),920,IF(Atletas!U574="Taijijian Sun D",921,IF(Atletas!U574="Taijijian Wu D",922,IF(Atletas!U574="Taijijian Wu-Hao D",923,IF(OR(Atletas!U574="Taijijian 32 D",Atletas!U574="Taijijian 42 D"),924,IF(OR(Atletas!U574="Taijijian Yang E",Atletas!U574="Taijijian Yang Standard E"),925,IF(OR(Atletas!U574="Taijijian Chen E", Atletas!U574="Taijijian Chen Standard E"),926,IF(Atletas!U574="Taijijian Sun E",927,IF(Atletas!U574="Taijijian Wu E",928,IF(Atletas!U574="Taijijian Wu-Hao E",929,IF(OR(Atletas!U574="Taijijian 32 E",Atletas!U574="Taijijian 42 E"),930,IF(OR(Atletas!U574="Taijijian Yang F",Atletas!U574="Taijijian Yang Standard F"),931,IF(OR(Atletas!U574="Taijijian Chen F", Atletas!U574="Taijijian Chen Standard F"),932,IF(Atletas!U574="Taijijian Sun F",933,IF(Atletas!U574="Taijijian Wu F",934,IF(Atletas!U574="Taijijian Wu-Hao F",935,IF(OR(Atletas!U574="Taijijian 32 F",Atletas!U574="Taijijian 42 F"),936,"")))))))))))))))))))))))))))))))))))))</f>
        <v/>
      </c>
      <c r="CD583" s="50" t="str">
        <f>IF(Atletas!V574="","",IF(Atletas!X574&lt;&gt;"",10000,0)+IF(Atletas!B574="Feminino",1000,IF(Atletas!B574="Masculino",2000,""))+IF(Atletas!V574="Taijidao A",937,IF(Atletas!V574="TaijiShanzi A",938,IF(Atletas!V574="Taijiqiang A",939,IF(Atletas!V574="Bagua de Arma A",940,IF(Atletas!V574="Xingyi de Arma A",941,IF(Atletas!V574="Taijidao B",942,IF(Atletas!V574="TaijiShanzi B",943,IF(Atletas!V574="Taijiqiang B",944,IF(Atletas!V574="Bagua de Arma B",945,IF(Atletas!V574="Xingyi de Arma B",946,IF(Atletas!V574="Taijidao C",947,IF(Atletas!V574="TaijiShanzi C",948,IF(Atletas!V574="Taijiqiang C",949,IF(Atletas!V574="Bagua de Arma C",950,IF(Atletas!V574="Xingyi de Arma C",951,IF(Atletas!V574="Taijidao D",952,IF(Atletas!V574="TaijiShanzi D",953,IF(Atletas!V574="Taijiqiang D",954,IF(Atletas!V574="Bagua de Arma D",955,IF(Atletas!V574="Xingyi de Arma D",956,IF(Atletas!V574="Taijidao E",957,IF(Atletas!V574="TaijiShanzi E",958,IF(Atletas!V574="Taijiqiang E",959,IF(Atletas!V574="Bagua de Arma E",960,IF(Atletas!V574="Xingyi de Arma E",961,IF(Atletas!V574="Taijidao F",962,IF(Atletas!V574="TaijiShanzi F",963,IF(Atletas!V574="Taijiqiang F",964,IF(Atletas!V574="Bagua de Arma F",965,IF(Atletas!V574="Xingyi de Arma F",966,"")))))))))))))))))))))))))))))))</f>
        <v/>
      </c>
      <c r="CM583" s="50" t="str">
        <f xml:space="preserve"> IF(Atletas!W574="","",IF(Atletas!W574="Duilian de Mãos BC - Equipe 1",1,IF(Atletas!W574="Duilian de Mãos BC - Equipe 2",2,IF(Atletas!W574="Duilian de Armas BC - Equipe 1",3,IF(Atletas!W574="Duilian de Armas BC - Equipe 2",4,IF(Atletas!W574="Duilian de Mãos DE - Equipe 1",5,IF(Atletas!W574="Duilian de Mãos DE - Equipe 2",6,IF(Atletas!W574="Duilian de Armas DE - Equipe 1",7,IF(Atletas!W574="Duilian de Armas DE - Equipe 2",8,IF(Atletas!W574="Duilian de Tuishou - Equipe 1",9,IF(Atletas!W574="Duilian de Tuishou - Equipe 2",10,IF(Atletas!W574="Grupo Externo ABC - Equipe 1",11,IF(Atletas!W574="Grupo Externo ABC - Equipe 2",12,IF(Atletas!W574="Grupo Interno ABC - Equipe 1",13,IF(Atletas!W574="Grupo Interno ABC - Equipe 2",14,IF(Atletas!W574="Grupo Externo DEF - Equipe 1",15,IF(Atletas!W574="Grupo Externo DEF - Equipe 2",16,IF(Atletas!W574="Grupo Interno DEF - Equipe 1",17,IF(Atletas!W574="Grupo Interno DEF - Equipe 2",18,"")))))))))))))))))))</f>
        <v/>
      </c>
    </row>
    <row r="584" spans="40:91">
      <c r="AN584" s="52" t="str">
        <f>IF(Atletas!D575="","",IF(Atletas!B575="Feminino",100,IF(Atletas!B575="Masculino",200,""))+(IF(Atletas!D575="Kids 30kg",1,IF(Atletas!D575="Kids 32kg",2, IF(Atletas!D575="Kids 34kg",3,IF(Atletas!D575="Kids 36kg",4,IF(Atletas!D575="Kids 39kg",5,IF(Atletas!D575="Kids 42kg",6,IF(Atletas!D575="Kids 45kg",7, IF(Atletas!D575="Infantil 39kg",8,IF(Atletas!D575="Infantil 42kg",9,IF(Atletas!D575="Infantil 45kg",10,IF(Atletas!D575="Infantil 48kg",11,IF(Atletas!D575="Infantil 52kg",12,IF(Atletas!D575="Infantil 56kg",13,IF(Atletas!D575="Infantil 60kg",14,IF(Atletas!D575="Juvenil 48kg",15,IF(Atletas!D575="Juvenil 52kg",16,IF(Atletas!D575="Juvenil 56kg",17,IF(Atletas!D575="Juvenil 60kg",18,IF(Atletas!D575="Juvenil 65kg",19,IF(Atletas!D575="Juvenil 70kg",20,IF(Atletas!D575="Juvenil 75kg",21,IF(Atletas!D575="Juvenil 80kg",22, IF(Atletas!D575="Juvenil 85kg",23,IF(Atletas!D575="Adulto 48kg",24,IF(Atletas!D575="Adulto 52kg",25,IF(Atletas!D575="Adulto 56kg",26,IF(Atletas!D575="Adulto 60kg",27,IF(Atletas!D575="Adulto 65kg",28,IF(Atletas!D575="Adulto 70kg",29,IF(Atletas!D575="Adulto 75kg",30,IF(Atletas!D575="Adulto 80kg",31,IF(Atletas!D575="Adulto 85kg",32,IF(Atletas!D575="Adulto 90kg",33,IF(Atletas!D575="Adulto 100kg",34, IF(Atletas!D575="Adulto +100kg",35,"")))))))))))))))))))))))))))))))))))))</f>
        <v/>
      </c>
      <c r="AS584" s="6" t="str">
        <f>IF(Atletas!E575="","",IF(Atletas!B575="Feminino",100,IF(Atletas!B575="Masculino",200,""))+(IF(Atletas!E575="Juvenil 44kg",1,IF(Atletas!E575="Juvenil 48kg",2,IF(Atletas!E575="Juvenil 52kg",3,IF(Atletas!E575="Juvenil 56kg",4,IF(Atletas!E575="Juvenil 60kg",5,IF(Atletas!E575="Juvenil 65kg",6,IF(Atletas!E575="Juvenil 70kg",7,IF(Atletas!E575="Juvenil 75kg",8,IF(Atletas!E575="Juvenil 82kg",9,IF(Atletas!E575="Juvenil 90kg",10,IF(Atletas!E575="Juvenil 100kg",11,IF(Atletas!E575="Adulto 48kg",12,IF(Atletas!E575="Adulto 52kg",13,IF(Atletas!E575="Adulto 56kg",14,IF(Atletas!E575="Adulto 60kg",15,IF(Atletas!E575="Adulto 65kg",16,IF(Atletas!E575="Adulto 70kg",17,IF(Atletas!E575="Adulto 75kg",18,IF(Atletas!E575="Adulto 82kg",19,IF(Atletas!E575="Adulto 90kg",20,IF(Atletas!E575="Adulto 100kg",21,IF(Atletas!E575="Adulto +100kg",22,""))))))))))))))))))))))))</f>
        <v/>
      </c>
      <c r="AX584" s="6" t="str">
        <f>IF(Atletas!F575="","",IF(Atletas!B575="Feminino",100,IF(Atletas!B575="Masculino",200,""))+(IF(Atletas!F575="Adulto 48kg",1,IF(Atletas!F575="Adulto 56kg",2,IF(Atletas!F575="Adulto 65kg",3,IF(Atletas!F575="Adulto 75kg",4,IF(Atletas!F575="Adulto +75kg",5,IF(Atletas!F575="Adulto 52kg",6,IF(Atletas!F575="Adulto 60kg",7,IF(Atletas!F575="Adulto 70kg",8,IF(Atletas!F575="Adulto 80kg",9,IF(Atletas!F575="Adulto 90kg",10,IF(Atletas!F575="Adulto +90kg",11,"")))))))))))))</f>
        <v/>
      </c>
      <c r="BC584" s="6" t="str">
        <f>IF(Atletas!G575="","",IF(Atletas!B575="Feminino",10,IF(Atletas!B575="Masculino",20,""))+(IF(Atletas!G575="Baduanjin A",1,IF(Atletas!G575="Baduanjin B",2))))</f>
        <v/>
      </c>
      <c r="BF584" s="52" t="str">
        <f>IF(Atletas!H575="","",IF(Atletas!B575="Feminino",100,IF(Atletas!B575="Masculino",200,""))+(IF(Atletas!H575="Changquan Mirim",1,IF(Atletas!H575="Nanquan Mirim",2,IF(Atletas!H575="Taijiquan Mirim",3,IF(Atletas!H575="Changquan Grupo C",4,IF(Atletas!H575="Nanquan Grupo C",5,IF(Atletas!H575="Taijiquan Grupo C",6,IF(Atletas!H575="Changquan Grupo B",7,IF(Atletas!H575="Nanquan Grupo B",8,IF(Atletas!H575="Taijiquan Grupo B",9,IF(Atletas!H575="Changquan Grupo A",10,IF(Atletas!H575="Nanquan Grupo A",11,IF(Atletas!H575="Taijiquan Grupo A",12,IF(Atletas!H575="Changquan Opcional",13,IF(Atletas!H575="Nanquan Opcional",14,IF(Atletas!H575="Taijiquan Opcional",15,IF(Atletas!H575="Changquan Adulto",16,IF(Atletas!H575="Nanquan Adulto",17,IF(Atletas!H575="Taijiquan Adulto",18,""))))))))))))))))))))</f>
        <v/>
      </c>
      <c r="BG584" s="52" t="str">
        <f>IF(Atletas!I575="","",IF(Atletas!B575="Feminino",100,IF(Atletas!B575="Masculino",200,""))+(IF(Atletas!I575="Daoshu Mirim",19,IF(Atletas!I575="Jianshu Mirim",20,IF(Atletas!I575="Nandao Mirim",21,IF(Atletas!I575="Taijijian Mirim",22,IF(Atletas!I575="Daoshu Grupo C",23,IF(Atletas!I575="Jianshu Grupo C",24,IF(Atletas!I575="Nandao Grupo C",25,IF(Atletas!I575="Taijijian Grupo C",26,IF(Atletas!I575="Daoshu Grupo B",27,IF(Atletas!I575="Jianshu Grupo B",28,IF(Atletas!I575="Nandao Grupo B",29,IF(Atletas!I575="Taijijian Grupo B",30,IF(Atletas!I575="Daoshu Grupo A",31,IF(Atletas!I575="Jianshu Grupo A",32,IF(Atletas!I575="Nandao Grupo A",33,IF(Atletas!I575="Taijijian Grupo A",34,IF(Atletas!I575="Daoshu Opcional",35,IF(Atletas!I575="Jianshu Opcional",36,IF(Atletas!I575="Nandao Opcional",37,IF(Atletas!I575="Taijijian Opcional",38,IF(Atletas!I575="Daoshu Adulto",39,IF(Atletas!I575="Jianshu Adulto",40,IF(Atletas!I575="Nandao Adulto",41,IF(Atletas!I575="Taijijian Adulto",42,""))))))))))))))))))))))))))</f>
        <v/>
      </c>
      <c r="BH584" s="52" t="str">
        <f>IF(Atletas!J575="","",IF(Atletas!B575="Feminino",100,IF(Atletas!B575="Masculino",200,""))+(IF(Atletas!J575="Gunshu Mirim",43,IF(Atletas!J575="Qiangshu Mirim",44,IF(Atletas!J575="Nangun Mirim",45,IF(Atletas!J575="Gunshu Grupo C",46,IF(Atletas!J575="Qiangshu Grupo C",47,IF(Atletas!J575="Nangun Grupo C",48,IF(Atletas!J575="Gunshu Grupo B",49,IF(Atletas!J575="Qiangshu Grupo B",50,IF(Atletas!J575="Nangun Grupo B",51,IF(Atletas!J575="Gunshu Grupo A",52,IF(Atletas!J575="Qiangshu Grupo A",53,IF(Atletas!J575="Nangun Grupo A",54,IF(Atletas!J575="Gunshu Opcional",55,IF(Atletas!J575="Qiangshu Opcional",56,IF(Atletas!J575="Nangun Opcional",57,IF(Atletas!J575="Gunshu Adulto",58,IF(Atletas!J575="Qiangshu Adulto",59,IF(Atletas!J575="Nangun Adulto",60,IF(Atletas!J575="Taijishan Grupo B",61,IF(Atletas!J575="Taijishan Grupo A",62,""))))))))))))))))))))))</f>
        <v/>
      </c>
      <c r="BM584" s="50" t="str">
        <f>IF(Atletas!K575="","",IF(Atletas!B575="Feminino",100,IF(Atletas!B575="Masculino",200,""))+(IF(Atletas!K575="Equipe 1 Grupo B",1,IF(Atletas!K575="Equipe 2 Grupo B",2,IF(Atletas!K575="Equipe 1 Grupo A",3,IF(Atletas!K575="Equipe 2 Grupo A",4,IF(Atletas!K575="Equipe 1 Adulto",5,IF(Atletas!K575="Equipe 2 Adulto",6,""))))))))</f>
        <v/>
      </c>
      <c r="BR584" s="50" t="str">
        <f>IF(Atletas!L575="","",IF(Atletas!X575&lt;&gt;"",10000,0)+(IF(Atletas!B575="Feminino",1000,IF(Atletas!B575="Masculino",2000,""))+IF(Atletas!L575="Choylayfut A",1,IF(Atletas!L575="Hunggar A",2,IF(Atletas!L575="Wuzuquan A",3,IF(Atletas!L575="Wingchun A",4,IF(Atletas!L575="Outra Mão de Sul A",5,IF(Atletas!L575="Choylayfut B",6,IF(Atletas!L575="Hunggar B",7,IF(Atletas!L575="Wuzuquan B",8,IF(Atletas!L575="Wingchun B",9,IF(Atletas!L575="Outra Mão de Sul B",10,IF(Atletas!L575="Choylayfut C",11,IF(Atletas!L575="Hunggar C",12,IF(Atletas!L575="Wuzuquan C",13,IF(Atletas!L575="Wingchun C",14,IF(Atletas!L575="Outra Mão de Sul C",15,IF(Atletas!L575="Choylayfut D",16,IF(Atletas!L575="Hunggar D",17,IF(Atletas!L575="Wuzuquan D",18,IF(Atletas!L575="Wingchun D",19,IF(Atletas!L575="Outra Mão de Sul D",20,IF(Atletas!L575="Choylayfut E",21,IF(Atletas!L575="Hunggar E",22,IF(Atletas!L575="Wuzuquan E",23,IF(Atletas!L575="Wingchun E",24,IF(Atletas!L575="Outra Mão de Sul E",25,IF(Atletas!L575="Choylayfut F",26,IF(Atletas!L575="Hunggar F",27,IF(Atletas!L575="Wuzuquan F",28,IF(Atletas!L575="Wingchun F",29,IF(Atletas!L575="Outra Mão de Sul F",30,IF(Atletas!L575="Dishuquan A",31,IF(Atletas!L575="Dishuquan B",32,IF(Atletas!L575="Dishuquan C",33,IF(Atletas!L575="Dishuquan D",34,IF(Atletas!L575="Dishuquan E",35,IF(Atletas!L575="Dishuquan F",36,""))))))))))))))))))))))))))))))))))))))</f>
        <v/>
      </c>
      <c r="BS584" s="50" t="str">
        <f>IF(Atletas!M575="","",IF(Atletas!X575&lt;&gt;"",10000,0)+(IF(Atletas!B575="Feminino",1000,IF(Atletas!B575="Masculino",2000,""))+(IF(Atletas!M575="Chaquan A",101,IF(Atletas!M575="Emeiquan A",102,IF(Atletas!M575="Fanziquan A",103,IF(Atletas!M575="Huaquan A",104,IF(Atletas!M575="Hongquan A",105,IF(Atletas!M575="Paoquan A",106,IF(Atletas!M575="Piguaquan A",107,IF(Atletas!M575="Shaolinquan A",108,IF(Atletas!M575="Tanglangquan A",109,IF(Atletas!M575="Yingzhaoquan A",110,IF(Atletas!M575="Tongbeiquan A",111,IF(Atletas!M575="Wudangquan A",112,IF(Atletas!M575="Outros Estilos A",113,IF(Atletas!M575="Chaquan B",114,IF(Atletas!M575="Emeiquan B",115,IF(Atletas!M575="Fanziquan B",116,IF(Atletas!M575="Huaquan B",117,IF(Atletas!M575="Hongquan B",118,IF(Atletas!M575="Paoquan B",119,IF(Atletas!M575="Piguaquan B",120,IF(Atletas!M575="Shaolinquan B",121,IF(Atletas!M575="Tanglangquan B",122,IF(Atletas!M575="Yingzhaoquan B",123,IF(Atletas!M575="Tongbeiquan B",124,IF(Atletas!M575="Wudangquan B",125,IF(Atletas!M575="Outros Estilos B",126,IF(Atletas!M575="Chaquan C",127,IF(Atletas!M575="Emeiquan C",128,IF(Atletas!M575="Fanziquan C",129,IF(Atletas!M575="Huaquan C",130,IF(Atletas!M575="Hongquan C",131,IF(Atletas!M575="Paoquan C",132,IF(Atletas!M575="Piguaquan C",133,IF(Atletas!M575="Shaolinquan C",134,IF(Atletas!M575="Tanglangquan C",135,IF(Atletas!M575="Yingzhaoquan C",136,IF(Atletas!M575="Tongbeiquan C",137,IF(Atletas!M575="Wudangquan C",138,IF(Atletas!M575="Outros Estilos C",139,0))))))))))))))))))))))))))))))))))))))))))</f>
        <v/>
      </c>
      <c r="BT584" s="50" t="str">
        <f>IF(Atletas!M575="","",IF(Atletas!X575&lt;&gt;"",10000,0)+(IF(Atletas!B575="Feminino",1000,IF(Atletas!B575="Masculino",2000,""))+(IF(Atletas!M575="Chaquan D",140,IF(Atletas!M575="Emeiquan D",141,IF(Atletas!M575="Fanziquan D",142,IF(Atletas!M575="Huaquan D",143,IF(Atletas!M575="Hongquan D",144,IF(Atletas!M575="Paoquan D",145,IF(Atletas!M575="Piguaquan D",146,IF(Atletas!M575="Shaolinquan D",147,IF(Atletas!M575="Tanglangquan D",148,IF(Atletas!M575="Yingzhaoquan D",149,IF(Atletas!M575="Tongbeiquan D",150,IF(Atletas!M575="Wudangquan D",151,IF(Atletas!M575="Outros Estilos D",152,IF(Atletas!M575="Chaquan E",153,IF(Atletas!M575="Emeiquan E",154,IF(Atletas!M575="Fanziquan E",155,IF(Atletas!M575="Huaquan E",156,IF(Atletas!M575="Hongquan E",157,IF(Atletas!M575="Paoquan E",158,IF(Atletas!M575="Piguaquan E",159,IF(Atletas!M575="Shaolinquan E",160,IF(Atletas!M575="Tanglangquan E",161,IF(Atletas!M575="Yingzhaoquan E",162,IF(Atletas!M575="Tongbeiquan E",163,IF(Atletas!M575="Wudangquan E",164,IF(Atletas!M575="Outros Estilos E",165,IF(Atletas!M575="Chaquan F",166,IF(Atletas!M575="Emeiquan F",167,IF(Atletas!M575="Fanziquan F",168,IF(Atletas!M575="Huaquan F",169,IF(Atletas!M575="Hongquan F",170,IF(Atletas!M575="Paoquan F",171,IF(Atletas!M575="Piguaquan F",172,IF(Atletas!M575="Shaolinquan F",173,IF(Atletas!M575="Tanglangquan F",174,IF(Atletas!M575="Yingzhaoquan F",175,IF(Atletas!M575="Tongbeiquan F",176,IF(Atletas!M575="Wudangquan F",177,IF(Atletas!M575="Outros Estilos F",178,0))))))))))))))))))))))))))))))))))))))))))</f>
        <v/>
      </c>
      <c r="BU584" s="50" t="str">
        <f>IF(Atletas!N575="","",IF(Atletas!X575&lt;&gt;"",10000,0)+(IF(Atletas!B575="Feminino",1000,IF(Atletas!B575="Masculino",2000,""))+(IF(Atletas!N575="Ditangquan A",201,IF(Atletas!N575="Houquan A",202,IF(Atletas!N575="Zuiquan A",203,IF(Atletas!N575="Ditangquan B",204,IF(Atletas!N575="Houquan B",205,IF(Atletas!N575="Zuiquan B",206,IF(Atletas!N575="Ditangquan C",207,IF(Atletas!N575="Houquan C",208,IF(Atletas!N575="Zuiquan C",209,IF(Atletas!N575="Ditangquan D",210,IF(Atletas!N575="Houquan D",211,IF(Atletas!N575="Zuiquan D",212,IF(Atletas!N575="Ditangquan E",213,IF(Atletas!N575="Houquan E",214,IF(Atletas!N575="Zuiquan E",215,IF(Atletas!N575="Ditangquan F",216,IF(Atletas!N575="Houquan F",217,IF(Atletas!N575="Zuiquan F",218,"")))))))))))))))))))))</f>
        <v/>
      </c>
      <c r="BV584" s="50" t="str">
        <f>IF(Atletas!O575="","",IF(Atletas!X575&lt;&gt;"",10000,0)+IF(Atletas!B575="Feminino",1000,IF(Atletas!B575="Masculino",2000,""))+IF(Atletas!O575="Yang A",301,IF(Atletas!O575="Chen A",302,IF(Atletas!O575="Sun A",303,IF(Atletas!O575="Wu A",304,IF(Atletas!O575="Wu-Hao A",305,IF(Atletas!O575="Outro Taijiquan A",306,IF(Atletas!O575="Yang B",307,IF(Atletas!O575="Chen B",308,IF(Atletas!O575="Sun B",309,IF(Atletas!O575="Wu B",310,IF(Atletas!O575="Wu-Hao B",311,IF(Atletas!O575="Outro Taijiquan B",312,IF(Atletas!O575="Yang C",313,IF(Atletas!O575="Chen C",314,IF(Atletas!O575="Sun C",315,IF(Atletas!O575="Wu C",316,IF(Atletas!O575="Wu-Hao C",317,IF(Atletas!O575="Outro Taijiquan C",318,IF(Atletas!O575="Yang D",319,IF(Atletas!O575="Chen D",320,IF(Atletas!O575="Sun D",321,IF(Atletas!O575="Wu D",322,IF(Atletas!O575="Wu-Hao D",323,IF(Atletas!O575="Outro Taijiquan D",324,IF(Atletas!O575="Yang E",325,IF(Atletas!O575="Chen E",326,IF(Atletas!O575="Sun E",327,IF(Atletas!O575="Wu E",328,IF(Atletas!O575="Wu-Hao E",329,IF(Atletas!O575="Outro Taijiquan E",330,IF(Atletas!O575="Yang F",331,IF(Atletas!O575="Chen F",332,IF(Atletas!O575="Sun F",333,IF(Atletas!O575="Wu F",334,IF(Atletas!O575="Wu-Hao F",335,IF(Atletas!O575="Outro Taijiquan F",336,"")))))))))))))))))))))))))))))))))))))</f>
        <v/>
      </c>
      <c r="BW584" s="50" t="str">
        <f>IF(Atletas!P575="","",IF(Atletas!X575&lt;&gt;"",10000,0)+IF(Atletas!B575="Feminino",1000,IF(Atletas!B575="Masculino",2000,""))+IF(OR(Atletas!P575="Yang 26 A",Atletas!P575="Yang 40 A"),401,IF(OR(Atletas!P575="Chen 25 A",Atletas!P575="Chen 36 A",Atletas!P575="Chen 56 A"),402,IF(Atletas!P575="Sun 73 A",403,IF(Atletas!P575="Wu 45 A",404,IF(Atletas!P575="Wu-Hao 46 A",405,IF(OR(Atletas!P575="Taijiquan 16 A",Atletas!P575="Taijiquan 24 A",Atletas!P575="Taijiquan 32 A",Atletas!P575="Taijiquan 42 A"),406,IF(OR(Atletas!P575="Yang 26 B",Atletas!P575="Yang 40 B"),407,IF(OR(Atletas!P575="Chen 25 B",Atletas!P575="Chen 36 B",Atletas!P575="Chen 56 B"),408,IF(Atletas!P575="Sun 73 B",409,IF(Atletas!P575="Wu 45 B",410,IF(Atletas!P575="Wu-Hao 46 B",411,IF(OR(Atletas!P575="Taijiquan 16 B",Atletas!P575="Taijiquan 24 B",Atletas!P575="Taijiquan 32 B",Atletas!P575="Taijiquan 42 B"),412,IF(OR(Atletas!P575="Yang 26 C",Atletas!P575="Yang 40 C"),413,IF(OR(Atletas!P575="Chen 25 C",Atletas!P575="Chen 36 C",Atletas!P575="Chen 56 C"),414,IF(Atletas!P575="Sun 73 C",415,IF(Atletas!P575="Wu 45 C",416,IF(Atletas!P575="Wu-Hao 46 C",417,IF(OR(Atletas!P575="Taijiquan 16 C",Atletas!P575="Taijiquan 24 C",Atletas!P575="Taijiquan 32 C",Atletas!P575="Taijiquan 42 C"),418,0)))))))))))))))))))</f>
        <v/>
      </c>
      <c r="BX584" s="50" t="str">
        <f>IF(Atletas!P575="","",IF(Atletas!X575&lt;&gt;"",10000,0)+IF(Atletas!B575="Feminino",1000,IF(Atletas!B575="Masculino",2000,""))+IF(OR(Atletas!P575="Yang 26 D",Atletas!P575="Yang 40 D"),419,IF(OR(Atletas!P575="Chen 25 D",Atletas!P575="Chen 36 D",Atletas!P575="Chen 56 D"),420,IF(Atletas!P575="Sun 73 D",421,IF(Atletas!P575="Wu 45 D",422,IF(Atletas!P575="Wu-Hao 46 D",423,IF(OR(Atletas!P575="Taijiquan 16 D",Atletas!P575="Taijiquan 24 D",Atletas!P575="Taijiquan 32 D",Atletas!P575="Taijiquan 42 D"),424,IF(OR(Atletas!P575="Yang 26 E",Atletas!P575="Yang 40 E"),425,IF(OR(Atletas!P575="Chen 25 E",Atletas!P575="Chen 36 E",Atletas!P575="Chen 56 E"),426,IF(Atletas!P575="Sun 73 E",427,IF(Atletas!P575="Wu 45 E",428,IF(Atletas!P575="Wu-Hao 46 E",429,IF(OR(Atletas!P575="Taijiquan 16 E",Atletas!P575="Taijiquan 24 E",Atletas!P575="Taijiquan 32 E",Atletas!P575="Taijiquan 42 E"),430,IF(OR(Atletas!P575="Yang 26 F",Atletas!P575="Yang 40 F"),431,IF(OR(Atletas!P575="Chen 25 F",Atletas!P575="Chen 36 F",Atletas!P575="Chen 56 F"),432,IF(Atletas!P575="Sun 73 F",433,IF(Atletas!P575="Wu 45 F",434,IF(Atletas!P575="Wu-Hao 46 F",435,IF(OR(Atletas!P575="Taijiquan 16 F",Atletas!P575="Taijiquan 24 F",Atletas!P575="Taijiquan 32 F",Atletas!P575="Taijiquan 42 F"),436,0)))))))))))))))))))</f>
        <v/>
      </c>
      <c r="BY584" s="50" t="str">
        <f>IF(Atletas!Q575="","",IF(Atletas!X575&lt;&gt;"",10000,0)+IF(Atletas!B575="Feminino",1000,IF(Atletas!B575="Masculino",2000,""))+IF(Atletas!Q575="Xingyiquan A",501,IF(Atletas!Q575="Baguazhang A",502,IF(Atletas!Q575="Outro Estilo Interno A",503,IF(Atletas!Q575="Xingyiquan B",504,IF(Atletas!Q575="Baguazhang B",505,IF(Atletas!Q575="Outro Estilo Interno B",506,IF(Atletas!Q575="Xingyiquan C",507,IF(Atletas!Q575="Baguazhang C",508,IF(Atletas!Q575="Outro Estilo Interno C",509,IF(Atletas!Q575="Xingyiquan D",510,IF(Atletas!Q575="Baguazhang D",511,IF(Atletas!Q575="Outro Estilo Interno D",512,IF(Atletas!Q575="Xingyiquan E",513,IF(Atletas!Q575="Baguazhang E",514,IF(Atletas!Q575="Outro Estilo Interno E",515,IF(Atletas!Q575="Xingyiquan F",516,IF(Atletas!Q575="Baguazhang F",517,IF(Atletas!Q575="Outro Estilo Interno F",518, "")))))))))))))))))))</f>
        <v/>
      </c>
      <c r="BZ584" s="50" t="str">
        <f>IF(Atletas!R575="","",IF(Atletas!X575&lt;&gt;"",10000,0)+IF(Atletas!B575="Feminino",1000,IF(Atletas!B575="Masculino",2000,""))+IF(Atletas!R575="Dao A",601,IF(Atletas!R575="Jian A",602,IF(Atletas!R575="Bishou A",603,IF(Atletas!R575="Shanzi A",604,IF(Atletas!R575="Outra Arma Curta A",605,IF(Atletas!R575="Dao B",606,IF(Atletas!R575="Jian B",607,IF(Atletas!R575="Bishou B",608,IF(Atletas!R575="Shanzi B",609,IF(Atletas!R575="Outra Arma Curta B",610,IF(Atletas!R575="Dao C",611,IF(Atletas!R575="Jian C",612,IF(Atletas!R575="Bishou C",613,IF(Atletas!R575="Shanzi C",614,IF(Atletas!R575="Outra Arma Curta C",615,IF(Atletas!R575="Dao D",616,IF(Atletas!R575="Jian D",617,IF(Atletas!R575="Bishou D",618,IF(Atletas!R575="Shanzi D",619,IF(Atletas!R575="Outra Arma Curta D",620,IF(Atletas!R575="Dao E",621,IF(Atletas!R575="Jian E",622,IF(Atletas!R575="Bishou E",623,IF(Atletas!R575="Shanzi E",624,IF(Atletas!R575="Outra Arma Curta E",625,IF(Atletas!R575="Dao F",626,IF(Atletas!R575="Jian F",627,IF(Atletas!R575="Bishou F",628,IF(Atletas!R575="Shanzi F",629,IF(Atletas!R575="Outra Arma Curta F",630, "")))))))))))))))))))))))))))))))</f>
        <v/>
      </c>
      <c r="CA584" s="50" t="str">
        <f>IF(Atletas!S575="","",IF(Atletas!X575&lt;&gt;"",10000,0)+IF(Atletas!B575="Feminino",1000,IF(Atletas!B575="Masculino",2000,""))+IF(Atletas!S575="Gun A",701,IF(Atletas!S575="Qiang A",702,IF(Atletas!S575="Pudao / Guandao A",703,IF(Atletas!S575="Outra Arma Longa A",704,IF(Atletas!S575="Gun B",705,IF(Atletas!S575="Qiang B",706,IF(Atletas!S575="Pudao / Guandao B",707,IF(Atletas!S575="Outra Arma Longa B",708,IF(Atletas!S575="Gun C",709,IF(Atletas!S575="Qiang C",710,IF(Atletas!S575="Pudao / Guandao C",711,IF(Atletas!S575="Outra Arma Longa C",712,IF(Atletas!S575="Gun D",713,IF(Atletas!S575="Qiang D",714,IF(Atletas!S575="Pudao / Guandao D",715,IF(Atletas!S575="Outra Arma Longa D",716,IF(Atletas!S575="Gun E",717,IF(Atletas!S575="Qiang E",718,IF(Atletas!S575="Pudao / Guandao E",719,IF(Atletas!S575="Outra Arma Longa E",720,IF(Atletas!S575="Gun F",721,IF(Atletas!S575="Qiang F",722,IF(Atletas!S575="Pudao / Guandao F",723,IF(Atletas!S575="Outra Arma Longa F",724,"")))))))))))))))))))))))))</f>
        <v/>
      </c>
      <c r="CB584" s="50" t="str">
        <f>IF(Atletas!T575="","",IF(Atletas!X575&lt;&gt;"",10000,0)+IF(Atletas!B575="Feminino",1000,IF(Atletas!B575="Masculino",2000,""))+IF(Atletas!T575="Outra Arma Dupla A",801,IF(Atletas!T575="Arma Maleável A",802,IF(Atletas!T575="Outra Arma Dupla B",803,IF(Atletas!T575="Arma Maleável B",804,IF(Atletas!T575="Outra Arma Dupla C",805,IF(Atletas!T575="Arma Maleável C",806,IF(Atletas!T575="Outra Arma Dupla D",807,IF(Atletas!T575="Arma Maleável D",808,IF(Atletas!T575="Outra Arma Dupla E",809,IF(Atletas!T575="Arma Maleável E",810,IF(Atletas!T575="Outra Arma Dupla F",811,IF(Atletas!T575="Arma Maleável F",812,IF(Atletas!T575="Shuangdao A",813,IF(Atletas!T575="Shuangdao B",814,IF(Atletas!T575="Shuangdao C",815,IF(Atletas!T575="Shuangdao D",816,IF(Atletas!T575="Shuangdao E",817,IF(Atletas!T575="Shuangdao F",818,"")))))))))))))))))))</f>
        <v/>
      </c>
      <c r="CC584" s="50" t="str">
        <f>IF(Atletas!U575="","",IF(Atletas!X575&lt;&gt;"",10000,0)+IF(Atletas!B575="Feminino",1000,IF(Atletas!B575="Masculino",2000,""))+IF(OR(Atletas!U575="Taijijian Yang A",Atletas!U575="Taijijian Yang Standard A"),901,IF(OR(Atletas!U575="Taijijian Chen A", Atletas!U575="Taijijian Chen Standard A"),902,IF(Atletas!U575="Taijijian Sun A",903,IF(Atletas!U575="Taijijian Wu A",904,IF(Atletas!U575="Taijijian Wu-Hao A",905,IF(OR(Atletas!U575="Taijijian 32 A",Atletas!U575="Taijijian 42 A"),906,IF(OR(Atletas!U575="Taijijian Yang B",Atletas!U575="Taijijian Yang Standard B"),907,IF(OR(Atletas!U575="Taijijian Chen B", Atletas!U575="Taijijian Chen Standard B"),908,IF(Atletas!U575="Taijijian Sun B",909,IF(Atletas!U575="Taijijian Wu B",910,IF(Atletas!U575="Taijijian Wu-Hao B",911,IF(OR(Atletas!U575="Taijijian 32 B",Atletas!U575="Taijijian 42 B"),912,IF(OR(Atletas!U575="Taijijian Yang C",Atletas!U575="Taijijian Yang Standard C"),913,IF(OR(Atletas!U575="Taijijian Chen C", Atletas!U575="Taijijian Chen Standard C"),914,IF(Atletas!U575="Taijijian Sun C",915,IF(Atletas!U575="Taijijian Wu C",916,IF(Atletas!U575="Taijijian Wu-Hao C",917,IF(OR(Atletas!U575="Taijijian 32 C",Atletas!U575="Taijijian 42 C"),918,IF(OR(Atletas!U575="Taijijian Yang D",Atletas!U575="Taijijian Yang Standard D"),919,IF(OR(Atletas!U575="Taijijian Chen D", Atletas!U575="Taijijian Chen Standard D"),920,IF(Atletas!U575="Taijijian Sun D",921,IF(Atletas!U575="Taijijian Wu D",922,IF(Atletas!U575="Taijijian Wu-Hao D",923,IF(OR(Atletas!U575="Taijijian 32 D",Atletas!U575="Taijijian 42 D"),924,IF(OR(Atletas!U575="Taijijian Yang E",Atletas!U575="Taijijian Yang Standard E"),925,IF(OR(Atletas!U575="Taijijian Chen E", Atletas!U575="Taijijian Chen Standard E"),926,IF(Atletas!U575="Taijijian Sun E",927,IF(Atletas!U575="Taijijian Wu E",928,IF(Atletas!U575="Taijijian Wu-Hao E",929,IF(OR(Atletas!U575="Taijijian 32 E",Atletas!U575="Taijijian 42 E"),930,IF(OR(Atletas!U575="Taijijian Yang F",Atletas!U575="Taijijian Yang Standard F"),931,IF(OR(Atletas!U575="Taijijian Chen F", Atletas!U575="Taijijian Chen Standard F"),932,IF(Atletas!U575="Taijijian Sun F",933,IF(Atletas!U575="Taijijian Wu F",934,IF(Atletas!U575="Taijijian Wu-Hao F",935,IF(OR(Atletas!U575="Taijijian 32 F",Atletas!U575="Taijijian 42 F"),936,"")))))))))))))))))))))))))))))))))))))</f>
        <v/>
      </c>
      <c r="CD584" s="50" t="str">
        <f>IF(Atletas!V575="","",IF(Atletas!X575&lt;&gt;"",10000,0)+IF(Atletas!B575="Feminino",1000,IF(Atletas!B575="Masculino",2000,""))+IF(Atletas!V575="Taijidao A",937,IF(Atletas!V575="TaijiShanzi A",938,IF(Atletas!V575="Taijiqiang A",939,IF(Atletas!V575="Bagua de Arma A",940,IF(Atletas!V575="Xingyi de Arma A",941,IF(Atletas!V575="Taijidao B",942,IF(Atletas!V575="TaijiShanzi B",943,IF(Atletas!V575="Taijiqiang B",944,IF(Atletas!V575="Bagua de Arma B",945,IF(Atletas!V575="Xingyi de Arma B",946,IF(Atletas!V575="Taijidao C",947,IF(Atletas!V575="TaijiShanzi C",948,IF(Atletas!V575="Taijiqiang C",949,IF(Atletas!V575="Bagua de Arma C",950,IF(Atletas!V575="Xingyi de Arma C",951,IF(Atletas!V575="Taijidao D",952,IF(Atletas!V575="TaijiShanzi D",953,IF(Atletas!V575="Taijiqiang D",954,IF(Atletas!V575="Bagua de Arma D",955,IF(Atletas!V575="Xingyi de Arma D",956,IF(Atletas!V575="Taijidao E",957,IF(Atletas!V575="TaijiShanzi E",958,IF(Atletas!V575="Taijiqiang E",959,IF(Atletas!V575="Bagua de Arma E",960,IF(Atletas!V575="Xingyi de Arma E",961,IF(Atletas!V575="Taijidao F",962,IF(Atletas!V575="TaijiShanzi F",963,IF(Atletas!V575="Taijiqiang F",964,IF(Atletas!V575="Bagua de Arma F",965,IF(Atletas!V575="Xingyi de Arma F",966,"")))))))))))))))))))))))))))))))</f>
        <v/>
      </c>
      <c r="CM584" s="50" t="str">
        <f xml:space="preserve"> IF(Atletas!W575="","",IF(Atletas!W575="Duilian de Mãos BC - Equipe 1",1,IF(Atletas!W575="Duilian de Mãos BC - Equipe 2",2,IF(Atletas!W575="Duilian de Armas BC - Equipe 1",3,IF(Atletas!W575="Duilian de Armas BC - Equipe 2",4,IF(Atletas!W575="Duilian de Mãos DE - Equipe 1",5,IF(Atletas!W575="Duilian de Mãos DE - Equipe 2",6,IF(Atletas!W575="Duilian de Armas DE - Equipe 1",7,IF(Atletas!W575="Duilian de Armas DE - Equipe 2",8,IF(Atletas!W575="Duilian de Tuishou - Equipe 1",9,IF(Atletas!W575="Duilian de Tuishou - Equipe 2",10,IF(Atletas!W575="Grupo Externo ABC - Equipe 1",11,IF(Atletas!W575="Grupo Externo ABC - Equipe 2",12,IF(Atletas!W575="Grupo Interno ABC - Equipe 1",13,IF(Atletas!W575="Grupo Interno ABC - Equipe 2",14,IF(Atletas!W575="Grupo Externo DEF - Equipe 1",15,IF(Atletas!W575="Grupo Externo DEF - Equipe 2",16,IF(Atletas!W575="Grupo Interno DEF - Equipe 1",17,IF(Atletas!W575="Grupo Interno DEF - Equipe 2",18,"")))))))))))))))))))</f>
        <v/>
      </c>
    </row>
    <row r="585" spans="40:91">
      <c r="AN585" s="52" t="str">
        <f>IF(Atletas!D576="","",IF(Atletas!B576="Feminino",100,IF(Atletas!B576="Masculino",200,""))+(IF(Atletas!D576="Kids 30kg",1,IF(Atletas!D576="Kids 32kg",2, IF(Atletas!D576="Kids 34kg",3,IF(Atletas!D576="Kids 36kg",4,IF(Atletas!D576="Kids 39kg",5,IF(Atletas!D576="Kids 42kg",6,IF(Atletas!D576="Kids 45kg",7, IF(Atletas!D576="Infantil 39kg",8,IF(Atletas!D576="Infantil 42kg",9,IF(Atletas!D576="Infantil 45kg",10,IF(Atletas!D576="Infantil 48kg",11,IF(Atletas!D576="Infantil 52kg",12,IF(Atletas!D576="Infantil 56kg",13,IF(Atletas!D576="Infantil 60kg",14,IF(Atletas!D576="Juvenil 48kg",15,IF(Atletas!D576="Juvenil 52kg",16,IF(Atletas!D576="Juvenil 56kg",17,IF(Atletas!D576="Juvenil 60kg",18,IF(Atletas!D576="Juvenil 65kg",19,IF(Atletas!D576="Juvenil 70kg",20,IF(Atletas!D576="Juvenil 75kg",21,IF(Atletas!D576="Juvenil 80kg",22, IF(Atletas!D576="Juvenil 85kg",23,IF(Atletas!D576="Adulto 48kg",24,IF(Atletas!D576="Adulto 52kg",25,IF(Atletas!D576="Adulto 56kg",26,IF(Atletas!D576="Adulto 60kg",27,IF(Atletas!D576="Adulto 65kg",28,IF(Atletas!D576="Adulto 70kg",29,IF(Atletas!D576="Adulto 75kg",30,IF(Atletas!D576="Adulto 80kg",31,IF(Atletas!D576="Adulto 85kg",32,IF(Atletas!D576="Adulto 90kg",33,IF(Atletas!D576="Adulto 100kg",34, IF(Atletas!D576="Adulto +100kg",35,"")))))))))))))))))))))))))))))))))))))</f>
        <v/>
      </c>
      <c r="AS585" s="6" t="str">
        <f>IF(Atletas!E576="","",IF(Atletas!B576="Feminino",100,IF(Atletas!B576="Masculino",200,""))+(IF(Atletas!E576="Juvenil 44kg",1,IF(Atletas!E576="Juvenil 48kg",2,IF(Atletas!E576="Juvenil 52kg",3,IF(Atletas!E576="Juvenil 56kg",4,IF(Atletas!E576="Juvenil 60kg",5,IF(Atletas!E576="Juvenil 65kg",6,IF(Atletas!E576="Juvenil 70kg",7,IF(Atletas!E576="Juvenil 75kg",8,IF(Atletas!E576="Juvenil 82kg",9,IF(Atletas!E576="Juvenil 90kg",10,IF(Atletas!E576="Juvenil 100kg",11,IF(Atletas!E576="Adulto 48kg",12,IF(Atletas!E576="Adulto 52kg",13,IF(Atletas!E576="Adulto 56kg",14,IF(Atletas!E576="Adulto 60kg",15,IF(Atletas!E576="Adulto 65kg",16,IF(Atletas!E576="Adulto 70kg",17,IF(Atletas!E576="Adulto 75kg",18,IF(Atletas!E576="Adulto 82kg",19,IF(Atletas!E576="Adulto 90kg",20,IF(Atletas!E576="Adulto 100kg",21,IF(Atletas!E576="Adulto +100kg",22,""))))))))))))))))))))))))</f>
        <v/>
      </c>
      <c r="AX585" s="6" t="str">
        <f>IF(Atletas!F576="","",IF(Atletas!B576="Feminino",100,IF(Atletas!B576="Masculino",200,""))+(IF(Atletas!F576="Adulto 48kg",1,IF(Atletas!F576="Adulto 56kg",2,IF(Atletas!F576="Adulto 65kg",3,IF(Atletas!F576="Adulto 75kg",4,IF(Atletas!F576="Adulto +75kg",5,IF(Atletas!F576="Adulto 52kg",6,IF(Atletas!F576="Adulto 60kg",7,IF(Atletas!F576="Adulto 70kg",8,IF(Atletas!F576="Adulto 80kg",9,IF(Atletas!F576="Adulto 90kg",10,IF(Atletas!F576="Adulto +90kg",11,"")))))))))))))</f>
        <v/>
      </c>
      <c r="BC585" s="6" t="str">
        <f>IF(Atletas!G576="","",IF(Atletas!B576="Feminino",10,IF(Atletas!B576="Masculino",20,""))+(IF(Atletas!G576="Baduanjin A",1,IF(Atletas!G576="Baduanjin B",2))))</f>
        <v/>
      </c>
      <c r="BF585" s="52" t="str">
        <f>IF(Atletas!H576="","",IF(Atletas!B576="Feminino",100,IF(Atletas!B576="Masculino",200,""))+(IF(Atletas!H576="Changquan Mirim",1,IF(Atletas!H576="Nanquan Mirim",2,IF(Atletas!H576="Taijiquan Mirim",3,IF(Atletas!H576="Changquan Grupo C",4,IF(Atletas!H576="Nanquan Grupo C",5,IF(Atletas!H576="Taijiquan Grupo C",6,IF(Atletas!H576="Changquan Grupo B",7,IF(Atletas!H576="Nanquan Grupo B",8,IF(Atletas!H576="Taijiquan Grupo B",9,IF(Atletas!H576="Changquan Grupo A",10,IF(Atletas!H576="Nanquan Grupo A",11,IF(Atletas!H576="Taijiquan Grupo A",12,IF(Atletas!H576="Changquan Opcional",13,IF(Atletas!H576="Nanquan Opcional",14,IF(Atletas!H576="Taijiquan Opcional",15,IF(Atletas!H576="Changquan Adulto",16,IF(Atletas!H576="Nanquan Adulto",17,IF(Atletas!H576="Taijiquan Adulto",18,""))))))))))))))))))))</f>
        <v/>
      </c>
      <c r="BG585" s="52" t="str">
        <f>IF(Atletas!I576="","",IF(Atletas!B576="Feminino",100,IF(Atletas!B576="Masculino",200,""))+(IF(Atletas!I576="Daoshu Mirim",19,IF(Atletas!I576="Jianshu Mirim",20,IF(Atletas!I576="Nandao Mirim",21,IF(Atletas!I576="Taijijian Mirim",22,IF(Atletas!I576="Daoshu Grupo C",23,IF(Atletas!I576="Jianshu Grupo C",24,IF(Atletas!I576="Nandao Grupo C",25,IF(Atletas!I576="Taijijian Grupo C",26,IF(Atletas!I576="Daoshu Grupo B",27,IF(Atletas!I576="Jianshu Grupo B",28,IF(Atletas!I576="Nandao Grupo B",29,IF(Atletas!I576="Taijijian Grupo B",30,IF(Atletas!I576="Daoshu Grupo A",31,IF(Atletas!I576="Jianshu Grupo A",32,IF(Atletas!I576="Nandao Grupo A",33,IF(Atletas!I576="Taijijian Grupo A",34,IF(Atletas!I576="Daoshu Opcional",35,IF(Atletas!I576="Jianshu Opcional",36,IF(Atletas!I576="Nandao Opcional",37,IF(Atletas!I576="Taijijian Opcional",38,IF(Atletas!I576="Daoshu Adulto",39,IF(Atletas!I576="Jianshu Adulto",40,IF(Atletas!I576="Nandao Adulto",41,IF(Atletas!I576="Taijijian Adulto",42,""))))))))))))))))))))))))))</f>
        <v/>
      </c>
      <c r="BH585" s="52" t="str">
        <f>IF(Atletas!J576="","",IF(Atletas!B576="Feminino",100,IF(Atletas!B576="Masculino",200,""))+(IF(Atletas!J576="Gunshu Mirim",43,IF(Atletas!J576="Qiangshu Mirim",44,IF(Atletas!J576="Nangun Mirim",45,IF(Atletas!J576="Gunshu Grupo C",46,IF(Atletas!J576="Qiangshu Grupo C",47,IF(Atletas!J576="Nangun Grupo C",48,IF(Atletas!J576="Gunshu Grupo B",49,IF(Atletas!J576="Qiangshu Grupo B",50,IF(Atletas!J576="Nangun Grupo B",51,IF(Atletas!J576="Gunshu Grupo A",52,IF(Atletas!J576="Qiangshu Grupo A",53,IF(Atletas!J576="Nangun Grupo A",54,IF(Atletas!J576="Gunshu Opcional",55,IF(Atletas!J576="Qiangshu Opcional",56,IF(Atletas!J576="Nangun Opcional",57,IF(Atletas!J576="Gunshu Adulto",58,IF(Atletas!J576="Qiangshu Adulto",59,IF(Atletas!J576="Nangun Adulto",60,IF(Atletas!J576="Taijishan Grupo B",61,IF(Atletas!J576="Taijishan Grupo A",62,""))))))))))))))))))))))</f>
        <v/>
      </c>
      <c r="BM585" s="50" t="str">
        <f>IF(Atletas!K576="","",IF(Atletas!B576="Feminino",100,IF(Atletas!B576="Masculino",200,""))+(IF(Atletas!K576="Equipe 1 Grupo B",1,IF(Atletas!K576="Equipe 2 Grupo B",2,IF(Atletas!K576="Equipe 1 Grupo A",3,IF(Atletas!K576="Equipe 2 Grupo A",4,IF(Atletas!K576="Equipe 1 Adulto",5,IF(Atletas!K576="Equipe 2 Adulto",6,""))))))))</f>
        <v/>
      </c>
      <c r="BR585" s="50" t="str">
        <f>IF(Atletas!L576="","",IF(Atletas!X576&lt;&gt;"",10000,0)+(IF(Atletas!B576="Feminino",1000,IF(Atletas!B576="Masculino",2000,""))+IF(Atletas!L576="Choylayfut A",1,IF(Atletas!L576="Hunggar A",2,IF(Atletas!L576="Wuzuquan A",3,IF(Atletas!L576="Wingchun A",4,IF(Atletas!L576="Outra Mão de Sul A",5,IF(Atletas!L576="Choylayfut B",6,IF(Atletas!L576="Hunggar B",7,IF(Atletas!L576="Wuzuquan B",8,IF(Atletas!L576="Wingchun B",9,IF(Atletas!L576="Outra Mão de Sul B",10,IF(Atletas!L576="Choylayfut C",11,IF(Atletas!L576="Hunggar C",12,IF(Atletas!L576="Wuzuquan C",13,IF(Atletas!L576="Wingchun C",14,IF(Atletas!L576="Outra Mão de Sul C",15,IF(Atletas!L576="Choylayfut D",16,IF(Atletas!L576="Hunggar D",17,IF(Atletas!L576="Wuzuquan D",18,IF(Atletas!L576="Wingchun D",19,IF(Atletas!L576="Outra Mão de Sul D",20,IF(Atletas!L576="Choylayfut E",21,IF(Atletas!L576="Hunggar E",22,IF(Atletas!L576="Wuzuquan E",23,IF(Atletas!L576="Wingchun E",24,IF(Atletas!L576="Outra Mão de Sul E",25,IF(Atletas!L576="Choylayfut F",26,IF(Atletas!L576="Hunggar F",27,IF(Atletas!L576="Wuzuquan F",28,IF(Atletas!L576="Wingchun F",29,IF(Atletas!L576="Outra Mão de Sul F",30,IF(Atletas!L576="Dishuquan A",31,IF(Atletas!L576="Dishuquan B",32,IF(Atletas!L576="Dishuquan C",33,IF(Atletas!L576="Dishuquan D",34,IF(Atletas!L576="Dishuquan E",35,IF(Atletas!L576="Dishuquan F",36,""))))))))))))))))))))))))))))))))))))))</f>
        <v/>
      </c>
      <c r="BS585" s="50" t="str">
        <f>IF(Atletas!M576="","",IF(Atletas!X576&lt;&gt;"",10000,0)+(IF(Atletas!B576="Feminino",1000,IF(Atletas!B576="Masculino",2000,""))+(IF(Atletas!M576="Chaquan A",101,IF(Atletas!M576="Emeiquan A",102,IF(Atletas!M576="Fanziquan A",103,IF(Atletas!M576="Huaquan A",104,IF(Atletas!M576="Hongquan A",105,IF(Atletas!M576="Paoquan A",106,IF(Atletas!M576="Piguaquan A",107,IF(Atletas!M576="Shaolinquan A",108,IF(Atletas!M576="Tanglangquan A",109,IF(Atletas!M576="Yingzhaoquan A",110,IF(Atletas!M576="Tongbeiquan A",111,IF(Atletas!M576="Wudangquan A",112,IF(Atletas!M576="Outros Estilos A",113,IF(Atletas!M576="Chaquan B",114,IF(Atletas!M576="Emeiquan B",115,IF(Atletas!M576="Fanziquan B",116,IF(Atletas!M576="Huaquan B",117,IF(Atletas!M576="Hongquan B",118,IF(Atletas!M576="Paoquan B",119,IF(Atletas!M576="Piguaquan B",120,IF(Atletas!M576="Shaolinquan B",121,IF(Atletas!M576="Tanglangquan B",122,IF(Atletas!M576="Yingzhaoquan B",123,IF(Atletas!M576="Tongbeiquan B",124,IF(Atletas!M576="Wudangquan B",125,IF(Atletas!M576="Outros Estilos B",126,IF(Atletas!M576="Chaquan C",127,IF(Atletas!M576="Emeiquan C",128,IF(Atletas!M576="Fanziquan C",129,IF(Atletas!M576="Huaquan C",130,IF(Atletas!M576="Hongquan C",131,IF(Atletas!M576="Paoquan C",132,IF(Atletas!M576="Piguaquan C",133,IF(Atletas!M576="Shaolinquan C",134,IF(Atletas!M576="Tanglangquan C",135,IF(Atletas!M576="Yingzhaoquan C",136,IF(Atletas!M576="Tongbeiquan C",137,IF(Atletas!M576="Wudangquan C",138,IF(Atletas!M576="Outros Estilos C",139,0))))))))))))))))))))))))))))))))))))))))))</f>
        <v/>
      </c>
      <c r="BT585" s="50" t="str">
        <f>IF(Atletas!M576="","",IF(Atletas!X576&lt;&gt;"",10000,0)+(IF(Atletas!B576="Feminino",1000,IF(Atletas!B576="Masculino",2000,""))+(IF(Atletas!M576="Chaquan D",140,IF(Atletas!M576="Emeiquan D",141,IF(Atletas!M576="Fanziquan D",142,IF(Atletas!M576="Huaquan D",143,IF(Atletas!M576="Hongquan D",144,IF(Atletas!M576="Paoquan D",145,IF(Atletas!M576="Piguaquan D",146,IF(Atletas!M576="Shaolinquan D",147,IF(Atletas!M576="Tanglangquan D",148,IF(Atletas!M576="Yingzhaoquan D",149,IF(Atletas!M576="Tongbeiquan D",150,IF(Atletas!M576="Wudangquan D",151,IF(Atletas!M576="Outros Estilos D",152,IF(Atletas!M576="Chaquan E",153,IF(Atletas!M576="Emeiquan E",154,IF(Atletas!M576="Fanziquan E",155,IF(Atletas!M576="Huaquan E",156,IF(Atletas!M576="Hongquan E",157,IF(Atletas!M576="Paoquan E",158,IF(Atletas!M576="Piguaquan E",159,IF(Atletas!M576="Shaolinquan E",160,IF(Atletas!M576="Tanglangquan E",161,IF(Atletas!M576="Yingzhaoquan E",162,IF(Atletas!M576="Tongbeiquan E",163,IF(Atletas!M576="Wudangquan E",164,IF(Atletas!M576="Outros Estilos E",165,IF(Atletas!M576="Chaquan F",166,IF(Atletas!M576="Emeiquan F",167,IF(Atletas!M576="Fanziquan F",168,IF(Atletas!M576="Huaquan F",169,IF(Atletas!M576="Hongquan F",170,IF(Atletas!M576="Paoquan F",171,IF(Atletas!M576="Piguaquan F",172,IF(Atletas!M576="Shaolinquan F",173,IF(Atletas!M576="Tanglangquan F",174,IF(Atletas!M576="Yingzhaoquan F",175,IF(Atletas!M576="Tongbeiquan F",176,IF(Atletas!M576="Wudangquan F",177,IF(Atletas!M576="Outros Estilos F",178,0))))))))))))))))))))))))))))))))))))))))))</f>
        <v/>
      </c>
      <c r="BU585" s="50" t="str">
        <f>IF(Atletas!N576="","",IF(Atletas!X576&lt;&gt;"",10000,0)+(IF(Atletas!B576="Feminino",1000,IF(Atletas!B576="Masculino",2000,""))+(IF(Atletas!N576="Ditangquan A",201,IF(Atletas!N576="Houquan A",202,IF(Atletas!N576="Zuiquan A",203,IF(Atletas!N576="Ditangquan B",204,IF(Atletas!N576="Houquan B",205,IF(Atletas!N576="Zuiquan B",206,IF(Atletas!N576="Ditangquan C",207,IF(Atletas!N576="Houquan C",208,IF(Atletas!N576="Zuiquan C",209,IF(Atletas!N576="Ditangquan D",210,IF(Atletas!N576="Houquan D",211,IF(Atletas!N576="Zuiquan D",212,IF(Atletas!N576="Ditangquan E",213,IF(Atletas!N576="Houquan E",214,IF(Atletas!N576="Zuiquan E",215,IF(Atletas!N576="Ditangquan F",216,IF(Atletas!N576="Houquan F",217,IF(Atletas!N576="Zuiquan F",218,"")))))))))))))))))))))</f>
        <v/>
      </c>
      <c r="BV585" s="50" t="str">
        <f>IF(Atletas!O576="","",IF(Atletas!X576&lt;&gt;"",10000,0)+IF(Atletas!B576="Feminino",1000,IF(Atletas!B576="Masculino",2000,""))+IF(Atletas!O576="Yang A",301,IF(Atletas!O576="Chen A",302,IF(Atletas!O576="Sun A",303,IF(Atletas!O576="Wu A",304,IF(Atletas!O576="Wu-Hao A",305,IF(Atletas!O576="Outro Taijiquan A",306,IF(Atletas!O576="Yang B",307,IF(Atletas!O576="Chen B",308,IF(Atletas!O576="Sun B",309,IF(Atletas!O576="Wu B",310,IF(Atletas!O576="Wu-Hao B",311,IF(Atletas!O576="Outro Taijiquan B",312,IF(Atletas!O576="Yang C",313,IF(Atletas!O576="Chen C",314,IF(Atletas!O576="Sun C",315,IF(Atletas!O576="Wu C",316,IF(Atletas!O576="Wu-Hao C",317,IF(Atletas!O576="Outro Taijiquan C",318,IF(Atletas!O576="Yang D",319,IF(Atletas!O576="Chen D",320,IF(Atletas!O576="Sun D",321,IF(Atletas!O576="Wu D",322,IF(Atletas!O576="Wu-Hao D",323,IF(Atletas!O576="Outro Taijiquan D",324,IF(Atletas!O576="Yang E",325,IF(Atletas!O576="Chen E",326,IF(Atletas!O576="Sun E",327,IF(Atletas!O576="Wu E",328,IF(Atletas!O576="Wu-Hao E",329,IF(Atletas!O576="Outro Taijiquan E",330,IF(Atletas!O576="Yang F",331,IF(Atletas!O576="Chen F",332,IF(Atletas!O576="Sun F",333,IF(Atletas!O576="Wu F",334,IF(Atletas!O576="Wu-Hao F",335,IF(Atletas!O576="Outro Taijiquan F",336,"")))))))))))))))))))))))))))))))))))))</f>
        <v/>
      </c>
      <c r="BW585" s="50" t="str">
        <f>IF(Atletas!P576="","",IF(Atletas!X576&lt;&gt;"",10000,0)+IF(Atletas!B576="Feminino",1000,IF(Atletas!B576="Masculino",2000,""))+IF(OR(Atletas!P576="Yang 26 A",Atletas!P576="Yang 40 A"),401,IF(OR(Atletas!P576="Chen 25 A",Atletas!P576="Chen 36 A",Atletas!P576="Chen 56 A"),402,IF(Atletas!P576="Sun 73 A",403,IF(Atletas!P576="Wu 45 A",404,IF(Atletas!P576="Wu-Hao 46 A",405,IF(OR(Atletas!P576="Taijiquan 16 A",Atletas!P576="Taijiquan 24 A",Atletas!P576="Taijiquan 32 A",Atletas!P576="Taijiquan 42 A"),406,IF(OR(Atletas!P576="Yang 26 B",Atletas!P576="Yang 40 B"),407,IF(OR(Atletas!P576="Chen 25 B",Atletas!P576="Chen 36 B",Atletas!P576="Chen 56 B"),408,IF(Atletas!P576="Sun 73 B",409,IF(Atletas!P576="Wu 45 B",410,IF(Atletas!P576="Wu-Hao 46 B",411,IF(OR(Atletas!P576="Taijiquan 16 B",Atletas!P576="Taijiquan 24 B",Atletas!P576="Taijiquan 32 B",Atletas!P576="Taijiquan 42 B"),412,IF(OR(Atletas!P576="Yang 26 C",Atletas!P576="Yang 40 C"),413,IF(OR(Atletas!P576="Chen 25 C",Atletas!P576="Chen 36 C",Atletas!P576="Chen 56 C"),414,IF(Atletas!P576="Sun 73 C",415,IF(Atletas!P576="Wu 45 C",416,IF(Atletas!P576="Wu-Hao 46 C",417,IF(OR(Atletas!P576="Taijiquan 16 C",Atletas!P576="Taijiquan 24 C",Atletas!P576="Taijiquan 32 C",Atletas!P576="Taijiquan 42 C"),418,0)))))))))))))))))))</f>
        <v/>
      </c>
      <c r="BX585" s="50" t="str">
        <f>IF(Atletas!P576="","",IF(Atletas!X576&lt;&gt;"",10000,0)+IF(Atletas!B576="Feminino",1000,IF(Atletas!B576="Masculino",2000,""))+IF(OR(Atletas!P576="Yang 26 D",Atletas!P576="Yang 40 D"),419,IF(OR(Atletas!P576="Chen 25 D",Atletas!P576="Chen 36 D",Atletas!P576="Chen 56 D"),420,IF(Atletas!P576="Sun 73 D",421,IF(Atletas!P576="Wu 45 D",422,IF(Atletas!P576="Wu-Hao 46 D",423,IF(OR(Atletas!P576="Taijiquan 16 D",Atletas!P576="Taijiquan 24 D",Atletas!P576="Taijiquan 32 D",Atletas!P576="Taijiquan 42 D"),424,IF(OR(Atletas!P576="Yang 26 E",Atletas!P576="Yang 40 E"),425,IF(OR(Atletas!P576="Chen 25 E",Atletas!P576="Chen 36 E",Atletas!P576="Chen 56 E"),426,IF(Atletas!P576="Sun 73 E",427,IF(Atletas!P576="Wu 45 E",428,IF(Atletas!P576="Wu-Hao 46 E",429,IF(OR(Atletas!P576="Taijiquan 16 E",Atletas!P576="Taijiquan 24 E",Atletas!P576="Taijiquan 32 E",Atletas!P576="Taijiquan 42 E"),430,IF(OR(Atletas!P576="Yang 26 F",Atletas!P576="Yang 40 F"),431,IF(OR(Atletas!P576="Chen 25 F",Atletas!P576="Chen 36 F",Atletas!P576="Chen 56 F"),432,IF(Atletas!P576="Sun 73 F",433,IF(Atletas!P576="Wu 45 F",434,IF(Atletas!P576="Wu-Hao 46 F",435,IF(OR(Atletas!P576="Taijiquan 16 F",Atletas!P576="Taijiquan 24 F",Atletas!P576="Taijiquan 32 F",Atletas!P576="Taijiquan 42 F"),436,0)))))))))))))))))))</f>
        <v/>
      </c>
      <c r="BY585" s="50" t="str">
        <f>IF(Atletas!Q576="","",IF(Atletas!X576&lt;&gt;"",10000,0)+IF(Atletas!B576="Feminino",1000,IF(Atletas!B576="Masculino",2000,""))+IF(Atletas!Q576="Xingyiquan A",501,IF(Atletas!Q576="Baguazhang A",502,IF(Atletas!Q576="Outro Estilo Interno A",503,IF(Atletas!Q576="Xingyiquan B",504,IF(Atletas!Q576="Baguazhang B",505,IF(Atletas!Q576="Outro Estilo Interno B",506,IF(Atletas!Q576="Xingyiquan C",507,IF(Atletas!Q576="Baguazhang C",508,IF(Atletas!Q576="Outro Estilo Interno C",509,IF(Atletas!Q576="Xingyiquan D",510,IF(Atletas!Q576="Baguazhang D",511,IF(Atletas!Q576="Outro Estilo Interno D",512,IF(Atletas!Q576="Xingyiquan E",513,IF(Atletas!Q576="Baguazhang E",514,IF(Atletas!Q576="Outro Estilo Interno E",515,IF(Atletas!Q576="Xingyiquan F",516,IF(Atletas!Q576="Baguazhang F",517,IF(Atletas!Q576="Outro Estilo Interno F",518, "")))))))))))))))))))</f>
        <v/>
      </c>
      <c r="BZ585" s="50" t="str">
        <f>IF(Atletas!R576="","",IF(Atletas!X576&lt;&gt;"",10000,0)+IF(Atletas!B576="Feminino",1000,IF(Atletas!B576="Masculino",2000,""))+IF(Atletas!R576="Dao A",601,IF(Atletas!R576="Jian A",602,IF(Atletas!R576="Bishou A",603,IF(Atletas!R576="Shanzi A",604,IF(Atletas!R576="Outra Arma Curta A",605,IF(Atletas!R576="Dao B",606,IF(Atletas!R576="Jian B",607,IF(Atletas!R576="Bishou B",608,IF(Atletas!R576="Shanzi B",609,IF(Atletas!R576="Outra Arma Curta B",610,IF(Atletas!R576="Dao C",611,IF(Atletas!R576="Jian C",612,IF(Atletas!R576="Bishou C",613,IF(Atletas!R576="Shanzi C",614,IF(Atletas!R576="Outra Arma Curta C",615,IF(Atletas!R576="Dao D",616,IF(Atletas!R576="Jian D",617,IF(Atletas!R576="Bishou D",618,IF(Atletas!R576="Shanzi D",619,IF(Atletas!R576="Outra Arma Curta D",620,IF(Atletas!R576="Dao E",621,IF(Atletas!R576="Jian E",622,IF(Atletas!R576="Bishou E",623,IF(Atletas!R576="Shanzi E",624,IF(Atletas!R576="Outra Arma Curta E",625,IF(Atletas!R576="Dao F",626,IF(Atletas!R576="Jian F",627,IF(Atletas!R576="Bishou F",628,IF(Atletas!R576="Shanzi F",629,IF(Atletas!R576="Outra Arma Curta F",630, "")))))))))))))))))))))))))))))))</f>
        <v/>
      </c>
      <c r="CA585" s="50" t="str">
        <f>IF(Atletas!S576="","",IF(Atletas!X576&lt;&gt;"",10000,0)+IF(Atletas!B576="Feminino",1000,IF(Atletas!B576="Masculino",2000,""))+IF(Atletas!S576="Gun A",701,IF(Atletas!S576="Qiang A",702,IF(Atletas!S576="Pudao / Guandao A",703,IF(Atletas!S576="Outra Arma Longa A",704,IF(Atletas!S576="Gun B",705,IF(Atletas!S576="Qiang B",706,IF(Atletas!S576="Pudao / Guandao B",707,IF(Atletas!S576="Outra Arma Longa B",708,IF(Atletas!S576="Gun C",709,IF(Atletas!S576="Qiang C",710,IF(Atletas!S576="Pudao / Guandao C",711,IF(Atletas!S576="Outra Arma Longa C",712,IF(Atletas!S576="Gun D",713,IF(Atletas!S576="Qiang D",714,IF(Atletas!S576="Pudao / Guandao D",715,IF(Atletas!S576="Outra Arma Longa D",716,IF(Atletas!S576="Gun E",717,IF(Atletas!S576="Qiang E",718,IF(Atletas!S576="Pudao / Guandao E",719,IF(Atletas!S576="Outra Arma Longa E",720,IF(Atletas!S576="Gun F",721,IF(Atletas!S576="Qiang F",722,IF(Atletas!S576="Pudao / Guandao F",723,IF(Atletas!S576="Outra Arma Longa F",724,"")))))))))))))))))))))))))</f>
        <v/>
      </c>
      <c r="CB585" s="50" t="str">
        <f>IF(Atletas!T576="","",IF(Atletas!X576&lt;&gt;"",10000,0)+IF(Atletas!B576="Feminino",1000,IF(Atletas!B576="Masculino",2000,""))+IF(Atletas!T576="Outra Arma Dupla A",801,IF(Atletas!T576="Arma Maleável A",802,IF(Atletas!T576="Outra Arma Dupla B",803,IF(Atletas!T576="Arma Maleável B",804,IF(Atletas!T576="Outra Arma Dupla C",805,IF(Atletas!T576="Arma Maleável C",806,IF(Atletas!T576="Outra Arma Dupla D",807,IF(Atletas!T576="Arma Maleável D",808,IF(Atletas!T576="Outra Arma Dupla E",809,IF(Atletas!T576="Arma Maleável E",810,IF(Atletas!T576="Outra Arma Dupla F",811,IF(Atletas!T576="Arma Maleável F",812,IF(Atletas!T576="Shuangdao A",813,IF(Atletas!T576="Shuangdao B",814,IF(Atletas!T576="Shuangdao C",815,IF(Atletas!T576="Shuangdao D",816,IF(Atletas!T576="Shuangdao E",817,IF(Atletas!T576="Shuangdao F",818,"")))))))))))))))))))</f>
        <v/>
      </c>
      <c r="CC585" s="50" t="str">
        <f>IF(Atletas!U576="","",IF(Atletas!X576&lt;&gt;"",10000,0)+IF(Atletas!B576="Feminino",1000,IF(Atletas!B576="Masculino",2000,""))+IF(OR(Atletas!U576="Taijijian Yang A",Atletas!U576="Taijijian Yang Standard A"),901,IF(OR(Atletas!U576="Taijijian Chen A", Atletas!U576="Taijijian Chen Standard A"),902,IF(Atletas!U576="Taijijian Sun A",903,IF(Atletas!U576="Taijijian Wu A",904,IF(Atletas!U576="Taijijian Wu-Hao A",905,IF(OR(Atletas!U576="Taijijian 32 A",Atletas!U576="Taijijian 42 A"),906,IF(OR(Atletas!U576="Taijijian Yang B",Atletas!U576="Taijijian Yang Standard B"),907,IF(OR(Atletas!U576="Taijijian Chen B", Atletas!U576="Taijijian Chen Standard B"),908,IF(Atletas!U576="Taijijian Sun B",909,IF(Atletas!U576="Taijijian Wu B",910,IF(Atletas!U576="Taijijian Wu-Hao B",911,IF(OR(Atletas!U576="Taijijian 32 B",Atletas!U576="Taijijian 42 B"),912,IF(OR(Atletas!U576="Taijijian Yang C",Atletas!U576="Taijijian Yang Standard C"),913,IF(OR(Atletas!U576="Taijijian Chen C", Atletas!U576="Taijijian Chen Standard C"),914,IF(Atletas!U576="Taijijian Sun C",915,IF(Atletas!U576="Taijijian Wu C",916,IF(Atletas!U576="Taijijian Wu-Hao C",917,IF(OR(Atletas!U576="Taijijian 32 C",Atletas!U576="Taijijian 42 C"),918,IF(OR(Atletas!U576="Taijijian Yang D",Atletas!U576="Taijijian Yang Standard D"),919,IF(OR(Atletas!U576="Taijijian Chen D", Atletas!U576="Taijijian Chen Standard D"),920,IF(Atletas!U576="Taijijian Sun D",921,IF(Atletas!U576="Taijijian Wu D",922,IF(Atletas!U576="Taijijian Wu-Hao D",923,IF(OR(Atletas!U576="Taijijian 32 D",Atletas!U576="Taijijian 42 D"),924,IF(OR(Atletas!U576="Taijijian Yang E",Atletas!U576="Taijijian Yang Standard E"),925,IF(OR(Atletas!U576="Taijijian Chen E", Atletas!U576="Taijijian Chen Standard E"),926,IF(Atletas!U576="Taijijian Sun E",927,IF(Atletas!U576="Taijijian Wu E",928,IF(Atletas!U576="Taijijian Wu-Hao E",929,IF(OR(Atletas!U576="Taijijian 32 E",Atletas!U576="Taijijian 42 E"),930,IF(OR(Atletas!U576="Taijijian Yang F",Atletas!U576="Taijijian Yang Standard F"),931,IF(OR(Atletas!U576="Taijijian Chen F", Atletas!U576="Taijijian Chen Standard F"),932,IF(Atletas!U576="Taijijian Sun F",933,IF(Atletas!U576="Taijijian Wu F",934,IF(Atletas!U576="Taijijian Wu-Hao F",935,IF(OR(Atletas!U576="Taijijian 32 F",Atletas!U576="Taijijian 42 F"),936,"")))))))))))))))))))))))))))))))))))))</f>
        <v/>
      </c>
      <c r="CD585" s="50" t="str">
        <f>IF(Atletas!V576="","",IF(Atletas!X576&lt;&gt;"",10000,0)+IF(Atletas!B576="Feminino",1000,IF(Atletas!B576="Masculino",2000,""))+IF(Atletas!V576="Taijidao A",937,IF(Atletas!V576="TaijiShanzi A",938,IF(Atletas!V576="Taijiqiang A",939,IF(Atletas!V576="Bagua de Arma A",940,IF(Atletas!V576="Xingyi de Arma A",941,IF(Atletas!V576="Taijidao B",942,IF(Atletas!V576="TaijiShanzi B",943,IF(Atletas!V576="Taijiqiang B",944,IF(Atletas!V576="Bagua de Arma B",945,IF(Atletas!V576="Xingyi de Arma B",946,IF(Atletas!V576="Taijidao C",947,IF(Atletas!V576="TaijiShanzi C",948,IF(Atletas!V576="Taijiqiang C",949,IF(Atletas!V576="Bagua de Arma C",950,IF(Atletas!V576="Xingyi de Arma C",951,IF(Atletas!V576="Taijidao D",952,IF(Atletas!V576="TaijiShanzi D",953,IF(Atletas!V576="Taijiqiang D",954,IF(Atletas!V576="Bagua de Arma D",955,IF(Atletas!V576="Xingyi de Arma D",956,IF(Atletas!V576="Taijidao E",957,IF(Atletas!V576="TaijiShanzi E",958,IF(Atletas!V576="Taijiqiang E",959,IF(Atletas!V576="Bagua de Arma E",960,IF(Atletas!V576="Xingyi de Arma E",961,IF(Atletas!V576="Taijidao F",962,IF(Atletas!V576="TaijiShanzi F",963,IF(Atletas!V576="Taijiqiang F",964,IF(Atletas!V576="Bagua de Arma F",965,IF(Atletas!V576="Xingyi de Arma F",966,"")))))))))))))))))))))))))))))))</f>
        <v/>
      </c>
      <c r="CM585" s="50" t="str">
        <f xml:space="preserve"> IF(Atletas!W576="","",IF(Atletas!W576="Duilian de Mãos BC - Equipe 1",1,IF(Atletas!W576="Duilian de Mãos BC - Equipe 2",2,IF(Atletas!W576="Duilian de Armas BC - Equipe 1",3,IF(Atletas!W576="Duilian de Armas BC - Equipe 2",4,IF(Atletas!W576="Duilian de Mãos DE - Equipe 1",5,IF(Atletas!W576="Duilian de Mãos DE - Equipe 2",6,IF(Atletas!W576="Duilian de Armas DE - Equipe 1",7,IF(Atletas!W576="Duilian de Armas DE - Equipe 2",8,IF(Atletas!W576="Duilian de Tuishou - Equipe 1",9,IF(Atletas!W576="Duilian de Tuishou - Equipe 2",10,IF(Atletas!W576="Grupo Externo ABC - Equipe 1",11,IF(Atletas!W576="Grupo Externo ABC - Equipe 2",12,IF(Atletas!W576="Grupo Interno ABC - Equipe 1",13,IF(Atletas!W576="Grupo Interno ABC - Equipe 2",14,IF(Atletas!W576="Grupo Externo DEF - Equipe 1",15,IF(Atletas!W576="Grupo Externo DEF - Equipe 2",16,IF(Atletas!W576="Grupo Interno DEF - Equipe 1",17,IF(Atletas!W576="Grupo Interno DEF - Equipe 2",18,"")))))))))))))))))))</f>
        <v/>
      </c>
    </row>
    <row r="586" spans="40:91">
      <c r="AN586" s="52" t="str">
        <f>IF(Atletas!D577="","",IF(Atletas!B577="Feminino",100,IF(Atletas!B577="Masculino",200,""))+(IF(Atletas!D577="Kids 30kg",1,IF(Atletas!D577="Kids 32kg",2, IF(Atletas!D577="Kids 34kg",3,IF(Atletas!D577="Kids 36kg",4,IF(Atletas!D577="Kids 39kg",5,IF(Atletas!D577="Kids 42kg",6,IF(Atletas!D577="Kids 45kg",7, IF(Atletas!D577="Infantil 39kg",8,IF(Atletas!D577="Infantil 42kg",9,IF(Atletas!D577="Infantil 45kg",10,IF(Atletas!D577="Infantil 48kg",11,IF(Atletas!D577="Infantil 52kg",12,IF(Atletas!D577="Infantil 56kg",13,IF(Atletas!D577="Infantil 60kg",14,IF(Atletas!D577="Juvenil 48kg",15,IF(Atletas!D577="Juvenil 52kg",16,IF(Atletas!D577="Juvenil 56kg",17,IF(Atletas!D577="Juvenil 60kg",18,IF(Atletas!D577="Juvenil 65kg",19,IF(Atletas!D577="Juvenil 70kg",20,IF(Atletas!D577="Juvenil 75kg",21,IF(Atletas!D577="Juvenil 80kg",22, IF(Atletas!D577="Juvenil 85kg",23,IF(Atletas!D577="Adulto 48kg",24,IF(Atletas!D577="Adulto 52kg",25,IF(Atletas!D577="Adulto 56kg",26,IF(Atletas!D577="Adulto 60kg",27,IF(Atletas!D577="Adulto 65kg",28,IF(Atletas!D577="Adulto 70kg",29,IF(Atletas!D577="Adulto 75kg",30,IF(Atletas!D577="Adulto 80kg",31,IF(Atletas!D577="Adulto 85kg",32,IF(Atletas!D577="Adulto 90kg",33,IF(Atletas!D577="Adulto 100kg",34, IF(Atletas!D577="Adulto +100kg",35,"")))))))))))))))))))))))))))))))))))))</f>
        <v/>
      </c>
      <c r="AS586" s="6" t="str">
        <f>IF(Atletas!E577="","",IF(Atletas!B577="Feminino",100,IF(Atletas!B577="Masculino",200,""))+(IF(Atletas!E577="Juvenil 44kg",1,IF(Atletas!E577="Juvenil 48kg",2,IF(Atletas!E577="Juvenil 52kg",3,IF(Atletas!E577="Juvenil 56kg",4,IF(Atletas!E577="Juvenil 60kg",5,IF(Atletas!E577="Juvenil 65kg",6,IF(Atletas!E577="Juvenil 70kg",7,IF(Atletas!E577="Juvenil 75kg",8,IF(Atletas!E577="Juvenil 82kg",9,IF(Atletas!E577="Juvenil 90kg",10,IF(Atletas!E577="Juvenil 100kg",11,IF(Atletas!E577="Adulto 48kg",12,IF(Atletas!E577="Adulto 52kg",13,IF(Atletas!E577="Adulto 56kg",14,IF(Atletas!E577="Adulto 60kg",15,IF(Atletas!E577="Adulto 65kg",16,IF(Atletas!E577="Adulto 70kg",17,IF(Atletas!E577="Adulto 75kg",18,IF(Atletas!E577="Adulto 82kg",19,IF(Atletas!E577="Adulto 90kg",20,IF(Atletas!E577="Adulto 100kg",21,IF(Atletas!E577="Adulto +100kg",22,""))))))))))))))))))))))))</f>
        <v/>
      </c>
      <c r="AX586" s="6" t="str">
        <f>IF(Atletas!F577="","",IF(Atletas!B577="Feminino",100,IF(Atletas!B577="Masculino",200,""))+(IF(Atletas!F577="Adulto 48kg",1,IF(Atletas!F577="Adulto 56kg",2,IF(Atletas!F577="Adulto 65kg",3,IF(Atletas!F577="Adulto 75kg",4,IF(Atletas!F577="Adulto +75kg",5,IF(Atletas!F577="Adulto 52kg",6,IF(Atletas!F577="Adulto 60kg",7,IF(Atletas!F577="Adulto 70kg",8,IF(Atletas!F577="Adulto 80kg",9,IF(Atletas!F577="Adulto 90kg",10,IF(Atletas!F577="Adulto +90kg",11,"")))))))))))))</f>
        <v/>
      </c>
      <c r="BC586" s="6" t="str">
        <f>IF(Atletas!G577="","",IF(Atletas!B577="Feminino",10,IF(Atletas!B577="Masculino",20,""))+(IF(Atletas!G577="Baduanjin A",1,IF(Atletas!G577="Baduanjin B",2))))</f>
        <v/>
      </c>
      <c r="BF586" s="52" t="str">
        <f>IF(Atletas!H577="","",IF(Atletas!B577="Feminino",100,IF(Atletas!B577="Masculino",200,""))+(IF(Atletas!H577="Changquan Mirim",1,IF(Atletas!H577="Nanquan Mirim",2,IF(Atletas!H577="Taijiquan Mirim",3,IF(Atletas!H577="Changquan Grupo C",4,IF(Atletas!H577="Nanquan Grupo C",5,IF(Atletas!H577="Taijiquan Grupo C",6,IF(Atletas!H577="Changquan Grupo B",7,IF(Atletas!H577="Nanquan Grupo B",8,IF(Atletas!H577="Taijiquan Grupo B",9,IF(Atletas!H577="Changquan Grupo A",10,IF(Atletas!H577="Nanquan Grupo A",11,IF(Atletas!H577="Taijiquan Grupo A",12,IF(Atletas!H577="Changquan Opcional",13,IF(Atletas!H577="Nanquan Opcional",14,IF(Atletas!H577="Taijiquan Opcional",15,IF(Atletas!H577="Changquan Adulto",16,IF(Atletas!H577="Nanquan Adulto",17,IF(Atletas!H577="Taijiquan Adulto",18,""))))))))))))))))))))</f>
        <v/>
      </c>
      <c r="BG586" s="52" t="str">
        <f>IF(Atletas!I577="","",IF(Atletas!B577="Feminino",100,IF(Atletas!B577="Masculino",200,""))+(IF(Atletas!I577="Daoshu Mirim",19,IF(Atletas!I577="Jianshu Mirim",20,IF(Atletas!I577="Nandao Mirim",21,IF(Atletas!I577="Taijijian Mirim",22,IF(Atletas!I577="Daoshu Grupo C",23,IF(Atletas!I577="Jianshu Grupo C",24,IF(Atletas!I577="Nandao Grupo C",25,IF(Atletas!I577="Taijijian Grupo C",26,IF(Atletas!I577="Daoshu Grupo B",27,IF(Atletas!I577="Jianshu Grupo B",28,IF(Atletas!I577="Nandao Grupo B",29,IF(Atletas!I577="Taijijian Grupo B",30,IF(Atletas!I577="Daoshu Grupo A",31,IF(Atletas!I577="Jianshu Grupo A",32,IF(Atletas!I577="Nandao Grupo A",33,IF(Atletas!I577="Taijijian Grupo A",34,IF(Atletas!I577="Daoshu Opcional",35,IF(Atletas!I577="Jianshu Opcional",36,IF(Atletas!I577="Nandao Opcional",37,IF(Atletas!I577="Taijijian Opcional",38,IF(Atletas!I577="Daoshu Adulto",39,IF(Atletas!I577="Jianshu Adulto",40,IF(Atletas!I577="Nandao Adulto",41,IF(Atletas!I577="Taijijian Adulto",42,""))))))))))))))))))))))))))</f>
        <v/>
      </c>
      <c r="BH586" s="52" t="str">
        <f>IF(Atletas!J577="","",IF(Atletas!B577="Feminino",100,IF(Atletas!B577="Masculino",200,""))+(IF(Atletas!J577="Gunshu Mirim",43,IF(Atletas!J577="Qiangshu Mirim",44,IF(Atletas!J577="Nangun Mirim",45,IF(Atletas!J577="Gunshu Grupo C",46,IF(Atletas!J577="Qiangshu Grupo C",47,IF(Atletas!J577="Nangun Grupo C",48,IF(Atletas!J577="Gunshu Grupo B",49,IF(Atletas!J577="Qiangshu Grupo B",50,IF(Atletas!J577="Nangun Grupo B",51,IF(Atletas!J577="Gunshu Grupo A",52,IF(Atletas!J577="Qiangshu Grupo A",53,IF(Atletas!J577="Nangun Grupo A",54,IF(Atletas!J577="Gunshu Opcional",55,IF(Atletas!J577="Qiangshu Opcional",56,IF(Atletas!J577="Nangun Opcional",57,IF(Atletas!J577="Gunshu Adulto",58,IF(Atletas!J577="Qiangshu Adulto",59,IF(Atletas!J577="Nangun Adulto",60,IF(Atletas!J577="Taijishan Grupo B",61,IF(Atletas!J577="Taijishan Grupo A",62,""))))))))))))))))))))))</f>
        <v/>
      </c>
      <c r="BM586" s="50" t="str">
        <f>IF(Atletas!K577="","",IF(Atletas!B577="Feminino",100,IF(Atletas!B577="Masculino",200,""))+(IF(Atletas!K577="Equipe 1 Grupo B",1,IF(Atletas!K577="Equipe 2 Grupo B",2,IF(Atletas!K577="Equipe 1 Grupo A",3,IF(Atletas!K577="Equipe 2 Grupo A",4,IF(Atletas!K577="Equipe 1 Adulto",5,IF(Atletas!K577="Equipe 2 Adulto",6,""))))))))</f>
        <v/>
      </c>
      <c r="BR586" s="50" t="str">
        <f>IF(Atletas!L577="","",IF(Atletas!X577&lt;&gt;"",10000,0)+(IF(Atletas!B577="Feminino",1000,IF(Atletas!B577="Masculino",2000,""))+IF(Atletas!L577="Choylayfut A",1,IF(Atletas!L577="Hunggar A",2,IF(Atletas!L577="Wuzuquan A",3,IF(Atletas!L577="Wingchun A",4,IF(Atletas!L577="Outra Mão de Sul A",5,IF(Atletas!L577="Choylayfut B",6,IF(Atletas!L577="Hunggar B",7,IF(Atletas!L577="Wuzuquan B",8,IF(Atletas!L577="Wingchun B",9,IF(Atletas!L577="Outra Mão de Sul B",10,IF(Atletas!L577="Choylayfut C",11,IF(Atletas!L577="Hunggar C",12,IF(Atletas!L577="Wuzuquan C",13,IF(Atletas!L577="Wingchun C",14,IF(Atletas!L577="Outra Mão de Sul C",15,IF(Atletas!L577="Choylayfut D",16,IF(Atletas!L577="Hunggar D",17,IF(Atletas!L577="Wuzuquan D",18,IF(Atletas!L577="Wingchun D",19,IF(Atletas!L577="Outra Mão de Sul D",20,IF(Atletas!L577="Choylayfut E",21,IF(Atletas!L577="Hunggar E",22,IF(Atletas!L577="Wuzuquan E",23,IF(Atletas!L577="Wingchun E",24,IF(Atletas!L577="Outra Mão de Sul E",25,IF(Atletas!L577="Choylayfut F",26,IF(Atletas!L577="Hunggar F",27,IF(Atletas!L577="Wuzuquan F",28,IF(Atletas!L577="Wingchun F",29,IF(Atletas!L577="Outra Mão de Sul F",30,IF(Atletas!L577="Dishuquan A",31,IF(Atletas!L577="Dishuquan B",32,IF(Atletas!L577="Dishuquan C",33,IF(Atletas!L577="Dishuquan D",34,IF(Atletas!L577="Dishuquan E",35,IF(Atletas!L577="Dishuquan F",36,""))))))))))))))))))))))))))))))))))))))</f>
        <v/>
      </c>
      <c r="BS586" s="50" t="str">
        <f>IF(Atletas!M577="","",IF(Atletas!X577&lt;&gt;"",10000,0)+(IF(Atletas!B577="Feminino",1000,IF(Atletas!B577="Masculino",2000,""))+(IF(Atletas!M577="Chaquan A",101,IF(Atletas!M577="Emeiquan A",102,IF(Atletas!M577="Fanziquan A",103,IF(Atletas!M577="Huaquan A",104,IF(Atletas!M577="Hongquan A",105,IF(Atletas!M577="Paoquan A",106,IF(Atletas!M577="Piguaquan A",107,IF(Atletas!M577="Shaolinquan A",108,IF(Atletas!M577="Tanglangquan A",109,IF(Atletas!M577="Yingzhaoquan A",110,IF(Atletas!M577="Tongbeiquan A",111,IF(Atletas!M577="Wudangquan A",112,IF(Atletas!M577="Outros Estilos A",113,IF(Atletas!M577="Chaquan B",114,IF(Atletas!M577="Emeiquan B",115,IF(Atletas!M577="Fanziquan B",116,IF(Atletas!M577="Huaquan B",117,IF(Atletas!M577="Hongquan B",118,IF(Atletas!M577="Paoquan B",119,IF(Atletas!M577="Piguaquan B",120,IF(Atletas!M577="Shaolinquan B",121,IF(Atletas!M577="Tanglangquan B",122,IF(Atletas!M577="Yingzhaoquan B",123,IF(Atletas!M577="Tongbeiquan B",124,IF(Atletas!M577="Wudangquan B",125,IF(Atletas!M577="Outros Estilos B",126,IF(Atletas!M577="Chaquan C",127,IF(Atletas!M577="Emeiquan C",128,IF(Atletas!M577="Fanziquan C",129,IF(Atletas!M577="Huaquan C",130,IF(Atletas!M577="Hongquan C",131,IF(Atletas!M577="Paoquan C",132,IF(Atletas!M577="Piguaquan C",133,IF(Atletas!M577="Shaolinquan C",134,IF(Atletas!M577="Tanglangquan C",135,IF(Atletas!M577="Yingzhaoquan C",136,IF(Atletas!M577="Tongbeiquan C",137,IF(Atletas!M577="Wudangquan C",138,IF(Atletas!M577="Outros Estilos C",139,0))))))))))))))))))))))))))))))))))))))))))</f>
        <v/>
      </c>
      <c r="BT586" s="50" t="str">
        <f>IF(Atletas!M577="","",IF(Atletas!X577&lt;&gt;"",10000,0)+(IF(Atletas!B577="Feminino",1000,IF(Atletas!B577="Masculino",2000,""))+(IF(Atletas!M577="Chaquan D",140,IF(Atletas!M577="Emeiquan D",141,IF(Atletas!M577="Fanziquan D",142,IF(Atletas!M577="Huaquan D",143,IF(Atletas!M577="Hongquan D",144,IF(Atletas!M577="Paoquan D",145,IF(Atletas!M577="Piguaquan D",146,IF(Atletas!M577="Shaolinquan D",147,IF(Atletas!M577="Tanglangquan D",148,IF(Atletas!M577="Yingzhaoquan D",149,IF(Atletas!M577="Tongbeiquan D",150,IF(Atletas!M577="Wudangquan D",151,IF(Atletas!M577="Outros Estilos D",152,IF(Atletas!M577="Chaquan E",153,IF(Atletas!M577="Emeiquan E",154,IF(Atletas!M577="Fanziquan E",155,IF(Atletas!M577="Huaquan E",156,IF(Atletas!M577="Hongquan E",157,IF(Atletas!M577="Paoquan E",158,IF(Atletas!M577="Piguaquan E",159,IF(Atletas!M577="Shaolinquan E",160,IF(Atletas!M577="Tanglangquan E",161,IF(Atletas!M577="Yingzhaoquan E",162,IF(Atletas!M577="Tongbeiquan E",163,IF(Atletas!M577="Wudangquan E",164,IF(Atletas!M577="Outros Estilos E",165,IF(Atletas!M577="Chaquan F",166,IF(Atletas!M577="Emeiquan F",167,IF(Atletas!M577="Fanziquan F",168,IF(Atletas!M577="Huaquan F",169,IF(Atletas!M577="Hongquan F",170,IF(Atletas!M577="Paoquan F",171,IF(Atletas!M577="Piguaquan F",172,IF(Atletas!M577="Shaolinquan F",173,IF(Atletas!M577="Tanglangquan F",174,IF(Atletas!M577="Yingzhaoquan F",175,IF(Atletas!M577="Tongbeiquan F",176,IF(Atletas!M577="Wudangquan F",177,IF(Atletas!M577="Outros Estilos F",178,0))))))))))))))))))))))))))))))))))))))))))</f>
        <v/>
      </c>
      <c r="BU586" s="50" t="str">
        <f>IF(Atletas!N577="","",IF(Atletas!X577&lt;&gt;"",10000,0)+(IF(Atletas!B577="Feminino",1000,IF(Atletas!B577="Masculino",2000,""))+(IF(Atletas!N577="Ditangquan A",201,IF(Atletas!N577="Houquan A",202,IF(Atletas!N577="Zuiquan A",203,IF(Atletas!N577="Ditangquan B",204,IF(Atletas!N577="Houquan B",205,IF(Atletas!N577="Zuiquan B",206,IF(Atletas!N577="Ditangquan C",207,IF(Atletas!N577="Houquan C",208,IF(Atletas!N577="Zuiquan C",209,IF(Atletas!N577="Ditangquan D",210,IF(Atletas!N577="Houquan D",211,IF(Atletas!N577="Zuiquan D",212,IF(Atletas!N577="Ditangquan E",213,IF(Atletas!N577="Houquan E",214,IF(Atletas!N577="Zuiquan E",215,IF(Atletas!N577="Ditangquan F",216,IF(Atletas!N577="Houquan F",217,IF(Atletas!N577="Zuiquan F",218,"")))))))))))))))))))))</f>
        <v/>
      </c>
      <c r="BV586" s="50" t="str">
        <f>IF(Atletas!O577="","",IF(Atletas!X577&lt;&gt;"",10000,0)+IF(Atletas!B577="Feminino",1000,IF(Atletas!B577="Masculino",2000,""))+IF(Atletas!O577="Yang A",301,IF(Atletas!O577="Chen A",302,IF(Atletas!O577="Sun A",303,IF(Atletas!O577="Wu A",304,IF(Atletas!O577="Wu-Hao A",305,IF(Atletas!O577="Outro Taijiquan A",306,IF(Atletas!O577="Yang B",307,IF(Atletas!O577="Chen B",308,IF(Atletas!O577="Sun B",309,IF(Atletas!O577="Wu B",310,IF(Atletas!O577="Wu-Hao B",311,IF(Atletas!O577="Outro Taijiquan B",312,IF(Atletas!O577="Yang C",313,IF(Atletas!O577="Chen C",314,IF(Atletas!O577="Sun C",315,IF(Atletas!O577="Wu C",316,IF(Atletas!O577="Wu-Hao C",317,IF(Atletas!O577="Outro Taijiquan C",318,IF(Atletas!O577="Yang D",319,IF(Atletas!O577="Chen D",320,IF(Atletas!O577="Sun D",321,IF(Atletas!O577="Wu D",322,IF(Atletas!O577="Wu-Hao D",323,IF(Atletas!O577="Outro Taijiquan D",324,IF(Atletas!O577="Yang E",325,IF(Atletas!O577="Chen E",326,IF(Atletas!O577="Sun E",327,IF(Atletas!O577="Wu E",328,IF(Atletas!O577="Wu-Hao E",329,IF(Atletas!O577="Outro Taijiquan E",330,IF(Atletas!O577="Yang F",331,IF(Atletas!O577="Chen F",332,IF(Atletas!O577="Sun F",333,IF(Atletas!O577="Wu F",334,IF(Atletas!O577="Wu-Hao F",335,IF(Atletas!O577="Outro Taijiquan F",336,"")))))))))))))))))))))))))))))))))))))</f>
        <v/>
      </c>
      <c r="BW586" s="50" t="str">
        <f>IF(Atletas!P577="","",IF(Atletas!X577&lt;&gt;"",10000,0)+IF(Atletas!B577="Feminino",1000,IF(Atletas!B577="Masculino",2000,""))+IF(OR(Atletas!P577="Yang 26 A",Atletas!P577="Yang 40 A"),401,IF(OR(Atletas!P577="Chen 25 A",Atletas!P577="Chen 36 A",Atletas!P577="Chen 56 A"),402,IF(Atletas!P577="Sun 73 A",403,IF(Atletas!P577="Wu 45 A",404,IF(Atletas!P577="Wu-Hao 46 A",405,IF(OR(Atletas!P577="Taijiquan 16 A",Atletas!P577="Taijiquan 24 A",Atletas!P577="Taijiquan 32 A",Atletas!P577="Taijiquan 42 A"),406,IF(OR(Atletas!P577="Yang 26 B",Atletas!P577="Yang 40 B"),407,IF(OR(Atletas!P577="Chen 25 B",Atletas!P577="Chen 36 B",Atletas!P577="Chen 56 B"),408,IF(Atletas!P577="Sun 73 B",409,IF(Atletas!P577="Wu 45 B",410,IF(Atletas!P577="Wu-Hao 46 B",411,IF(OR(Atletas!P577="Taijiquan 16 B",Atletas!P577="Taijiquan 24 B",Atletas!P577="Taijiquan 32 B",Atletas!P577="Taijiquan 42 B"),412,IF(OR(Atletas!P577="Yang 26 C",Atletas!P577="Yang 40 C"),413,IF(OR(Atletas!P577="Chen 25 C",Atletas!P577="Chen 36 C",Atletas!P577="Chen 56 C"),414,IF(Atletas!P577="Sun 73 C",415,IF(Atletas!P577="Wu 45 C",416,IF(Atletas!P577="Wu-Hao 46 C",417,IF(OR(Atletas!P577="Taijiquan 16 C",Atletas!P577="Taijiquan 24 C",Atletas!P577="Taijiquan 32 C",Atletas!P577="Taijiquan 42 C"),418,0)))))))))))))))))))</f>
        <v/>
      </c>
      <c r="BX586" s="50" t="str">
        <f>IF(Atletas!P577="","",IF(Atletas!X577&lt;&gt;"",10000,0)+IF(Atletas!B577="Feminino",1000,IF(Atletas!B577="Masculino",2000,""))+IF(OR(Atletas!P577="Yang 26 D",Atletas!P577="Yang 40 D"),419,IF(OR(Atletas!P577="Chen 25 D",Atletas!P577="Chen 36 D",Atletas!P577="Chen 56 D"),420,IF(Atletas!P577="Sun 73 D",421,IF(Atletas!P577="Wu 45 D",422,IF(Atletas!P577="Wu-Hao 46 D",423,IF(OR(Atletas!P577="Taijiquan 16 D",Atletas!P577="Taijiquan 24 D",Atletas!P577="Taijiquan 32 D",Atletas!P577="Taijiquan 42 D"),424,IF(OR(Atletas!P577="Yang 26 E",Atletas!P577="Yang 40 E"),425,IF(OR(Atletas!P577="Chen 25 E",Atletas!P577="Chen 36 E",Atletas!P577="Chen 56 E"),426,IF(Atletas!P577="Sun 73 E",427,IF(Atletas!P577="Wu 45 E",428,IF(Atletas!P577="Wu-Hao 46 E",429,IF(OR(Atletas!P577="Taijiquan 16 E",Atletas!P577="Taijiquan 24 E",Atletas!P577="Taijiquan 32 E",Atletas!P577="Taijiquan 42 E"),430,IF(OR(Atletas!P577="Yang 26 F",Atletas!P577="Yang 40 F"),431,IF(OR(Atletas!P577="Chen 25 F",Atletas!P577="Chen 36 F",Atletas!P577="Chen 56 F"),432,IF(Atletas!P577="Sun 73 F",433,IF(Atletas!P577="Wu 45 F",434,IF(Atletas!P577="Wu-Hao 46 F",435,IF(OR(Atletas!P577="Taijiquan 16 F",Atletas!P577="Taijiquan 24 F",Atletas!P577="Taijiquan 32 F",Atletas!P577="Taijiquan 42 F"),436,0)))))))))))))))))))</f>
        <v/>
      </c>
      <c r="BY586" s="50" t="str">
        <f>IF(Atletas!Q577="","",IF(Atletas!X577&lt;&gt;"",10000,0)+IF(Atletas!B577="Feminino",1000,IF(Atletas!B577="Masculino",2000,""))+IF(Atletas!Q577="Xingyiquan A",501,IF(Atletas!Q577="Baguazhang A",502,IF(Atletas!Q577="Outro Estilo Interno A",503,IF(Atletas!Q577="Xingyiquan B",504,IF(Atletas!Q577="Baguazhang B",505,IF(Atletas!Q577="Outro Estilo Interno B",506,IF(Atletas!Q577="Xingyiquan C",507,IF(Atletas!Q577="Baguazhang C",508,IF(Atletas!Q577="Outro Estilo Interno C",509,IF(Atletas!Q577="Xingyiquan D",510,IF(Atletas!Q577="Baguazhang D",511,IF(Atletas!Q577="Outro Estilo Interno D",512,IF(Atletas!Q577="Xingyiquan E",513,IF(Atletas!Q577="Baguazhang E",514,IF(Atletas!Q577="Outro Estilo Interno E",515,IF(Atletas!Q577="Xingyiquan F",516,IF(Atletas!Q577="Baguazhang F",517,IF(Atletas!Q577="Outro Estilo Interno F",518, "")))))))))))))))))))</f>
        <v/>
      </c>
      <c r="BZ586" s="50" t="str">
        <f>IF(Atletas!R577="","",IF(Atletas!X577&lt;&gt;"",10000,0)+IF(Atletas!B577="Feminino",1000,IF(Atletas!B577="Masculino",2000,""))+IF(Atletas!R577="Dao A",601,IF(Atletas!R577="Jian A",602,IF(Atletas!R577="Bishou A",603,IF(Atletas!R577="Shanzi A",604,IF(Atletas!R577="Outra Arma Curta A",605,IF(Atletas!R577="Dao B",606,IF(Atletas!R577="Jian B",607,IF(Atletas!R577="Bishou B",608,IF(Atletas!R577="Shanzi B",609,IF(Atletas!R577="Outra Arma Curta B",610,IF(Atletas!R577="Dao C",611,IF(Atletas!R577="Jian C",612,IF(Atletas!R577="Bishou C",613,IF(Atletas!R577="Shanzi C",614,IF(Atletas!R577="Outra Arma Curta C",615,IF(Atletas!R577="Dao D",616,IF(Atletas!R577="Jian D",617,IF(Atletas!R577="Bishou D",618,IF(Atletas!R577="Shanzi D",619,IF(Atletas!R577="Outra Arma Curta D",620,IF(Atletas!R577="Dao E",621,IF(Atletas!R577="Jian E",622,IF(Atletas!R577="Bishou E",623,IF(Atletas!R577="Shanzi E",624,IF(Atletas!R577="Outra Arma Curta E",625,IF(Atletas!R577="Dao F",626,IF(Atletas!R577="Jian F",627,IF(Atletas!R577="Bishou F",628,IF(Atletas!R577="Shanzi F",629,IF(Atletas!R577="Outra Arma Curta F",630, "")))))))))))))))))))))))))))))))</f>
        <v/>
      </c>
      <c r="CA586" s="50" t="str">
        <f>IF(Atletas!S577="","",IF(Atletas!X577&lt;&gt;"",10000,0)+IF(Atletas!B577="Feminino",1000,IF(Atletas!B577="Masculino",2000,""))+IF(Atletas!S577="Gun A",701,IF(Atletas!S577="Qiang A",702,IF(Atletas!S577="Pudao / Guandao A",703,IF(Atletas!S577="Outra Arma Longa A",704,IF(Atletas!S577="Gun B",705,IF(Atletas!S577="Qiang B",706,IF(Atletas!S577="Pudao / Guandao B",707,IF(Atletas!S577="Outra Arma Longa B",708,IF(Atletas!S577="Gun C",709,IF(Atletas!S577="Qiang C",710,IF(Atletas!S577="Pudao / Guandao C",711,IF(Atletas!S577="Outra Arma Longa C",712,IF(Atletas!S577="Gun D",713,IF(Atletas!S577="Qiang D",714,IF(Atletas!S577="Pudao / Guandao D",715,IF(Atletas!S577="Outra Arma Longa D",716,IF(Atletas!S577="Gun E",717,IF(Atletas!S577="Qiang E",718,IF(Atletas!S577="Pudao / Guandao E",719,IF(Atletas!S577="Outra Arma Longa E",720,IF(Atletas!S577="Gun F",721,IF(Atletas!S577="Qiang F",722,IF(Atletas!S577="Pudao / Guandao F",723,IF(Atletas!S577="Outra Arma Longa F",724,"")))))))))))))))))))))))))</f>
        <v/>
      </c>
      <c r="CB586" s="50" t="str">
        <f>IF(Atletas!T577="","",IF(Atletas!X577&lt;&gt;"",10000,0)+IF(Atletas!B577="Feminino",1000,IF(Atletas!B577="Masculino",2000,""))+IF(Atletas!T577="Outra Arma Dupla A",801,IF(Atletas!T577="Arma Maleável A",802,IF(Atletas!T577="Outra Arma Dupla B",803,IF(Atletas!T577="Arma Maleável B",804,IF(Atletas!T577="Outra Arma Dupla C",805,IF(Atletas!T577="Arma Maleável C",806,IF(Atletas!T577="Outra Arma Dupla D",807,IF(Atletas!T577="Arma Maleável D",808,IF(Atletas!T577="Outra Arma Dupla E",809,IF(Atletas!T577="Arma Maleável E",810,IF(Atletas!T577="Outra Arma Dupla F",811,IF(Atletas!T577="Arma Maleável F",812,IF(Atletas!T577="Shuangdao A",813,IF(Atletas!T577="Shuangdao B",814,IF(Atletas!T577="Shuangdao C",815,IF(Atletas!T577="Shuangdao D",816,IF(Atletas!T577="Shuangdao E",817,IF(Atletas!T577="Shuangdao F",818,"")))))))))))))))))))</f>
        <v/>
      </c>
      <c r="CC586" s="50" t="str">
        <f>IF(Atletas!U577="","",IF(Atletas!X577&lt;&gt;"",10000,0)+IF(Atletas!B577="Feminino",1000,IF(Atletas!B577="Masculino",2000,""))+IF(OR(Atletas!U577="Taijijian Yang A",Atletas!U577="Taijijian Yang Standard A"),901,IF(OR(Atletas!U577="Taijijian Chen A", Atletas!U577="Taijijian Chen Standard A"),902,IF(Atletas!U577="Taijijian Sun A",903,IF(Atletas!U577="Taijijian Wu A",904,IF(Atletas!U577="Taijijian Wu-Hao A",905,IF(OR(Atletas!U577="Taijijian 32 A",Atletas!U577="Taijijian 42 A"),906,IF(OR(Atletas!U577="Taijijian Yang B",Atletas!U577="Taijijian Yang Standard B"),907,IF(OR(Atletas!U577="Taijijian Chen B", Atletas!U577="Taijijian Chen Standard B"),908,IF(Atletas!U577="Taijijian Sun B",909,IF(Atletas!U577="Taijijian Wu B",910,IF(Atletas!U577="Taijijian Wu-Hao B",911,IF(OR(Atletas!U577="Taijijian 32 B",Atletas!U577="Taijijian 42 B"),912,IF(OR(Atletas!U577="Taijijian Yang C",Atletas!U577="Taijijian Yang Standard C"),913,IF(OR(Atletas!U577="Taijijian Chen C", Atletas!U577="Taijijian Chen Standard C"),914,IF(Atletas!U577="Taijijian Sun C",915,IF(Atletas!U577="Taijijian Wu C",916,IF(Atletas!U577="Taijijian Wu-Hao C",917,IF(OR(Atletas!U577="Taijijian 32 C",Atletas!U577="Taijijian 42 C"),918,IF(OR(Atletas!U577="Taijijian Yang D",Atletas!U577="Taijijian Yang Standard D"),919,IF(OR(Atletas!U577="Taijijian Chen D", Atletas!U577="Taijijian Chen Standard D"),920,IF(Atletas!U577="Taijijian Sun D",921,IF(Atletas!U577="Taijijian Wu D",922,IF(Atletas!U577="Taijijian Wu-Hao D",923,IF(OR(Atletas!U577="Taijijian 32 D",Atletas!U577="Taijijian 42 D"),924,IF(OR(Atletas!U577="Taijijian Yang E",Atletas!U577="Taijijian Yang Standard E"),925,IF(OR(Atletas!U577="Taijijian Chen E", Atletas!U577="Taijijian Chen Standard E"),926,IF(Atletas!U577="Taijijian Sun E",927,IF(Atletas!U577="Taijijian Wu E",928,IF(Atletas!U577="Taijijian Wu-Hao E",929,IF(OR(Atletas!U577="Taijijian 32 E",Atletas!U577="Taijijian 42 E"),930,IF(OR(Atletas!U577="Taijijian Yang F",Atletas!U577="Taijijian Yang Standard F"),931,IF(OR(Atletas!U577="Taijijian Chen F", Atletas!U577="Taijijian Chen Standard F"),932,IF(Atletas!U577="Taijijian Sun F",933,IF(Atletas!U577="Taijijian Wu F",934,IF(Atletas!U577="Taijijian Wu-Hao F",935,IF(OR(Atletas!U577="Taijijian 32 F",Atletas!U577="Taijijian 42 F"),936,"")))))))))))))))))))))))))))))))))))))</f>
        <v/>
      </c>
      <c r="CD586" s="50" t="str">
        <f>IF(Atletas!V577="","",IF(Atletas!X577&lt;&gt;"",10000,0)+IF(Atletas!B577="Feminino",1000,IF(Atletas!B577="Masculino",2000,""))+IF(Atletas!V577="Taijidao A",937,IF(Atletas!V577="TaijiShanzi A",938,IF(Atletas!V577="Taijiqiang A",939,IF(Atletas!V577="Bagua de Arma A",940,IF(Atletas!V577="Xingyi de Arma A",941,IF(Atletas!V577="Taijidao B",942,IF(Atletas!V577="TaijiShanzi B",943,IF(Atletas!V577="Taijiqiang B",944,IF(Atletas!V577="Bagua de Arma B",945,IF(Atletas!V577="Xingyi de Arma B",946,IF(Atletas!V577="Taijidao C",947,IF(Atletas!V577="TaijiShanzi C",948,IF(Atletas!V577="Taijiqiang C",949,IF(Atletas!V577="Bagua de Arma C",950,IF(Atletas!V577="Xingyi de Arma C",951,IF(Atletas!V577="Taijidao D",952,IF(Atletas!V577="TaijiShanzi D",953,IF(Atletas!V577="Taijiqiang D",954,IF(Atletas!V577="Bagua de Arma D",955,IF(Atletas!V577="Xingyi de Arma D",956,IF(Atletas!V577="Taijidao E",957,IF(Atletas!V577="TaijiShanzi E",958,IF(Atletas!V577="Taijiqiang E",959,IF(Atletas!V577="Bagua de Arma E",960,IF(Atletas!V577="Xingyi de Arma E",961,IF(Atletas!V577="Taijidao F",962,IF(Atletas!V577="TaijiShanzi F",963,IF(Atletas!V577="Taijiqiang F",964,IF(Atletas!V577="Bagua de Arma F",965,IF(Atletas!V577="Xingyi de Arma F",966,"")))))))))))))))))))))))))))))))</f>
        <v/>
      </c>
      <c r="CM586" s="50" t="str">
        <f xml:space="preserve"> IF(Atletas!W577="","",IF(Atletas!W577="Duilian de Mãos BC - Equipe 1",1,IF(Atletas!W577="Duilian de Mãos BC - Equipe 2",2,IF(Atletas!W577="Duilian de Armas BC - Equipe 1",3,IF(Atletas!W577="Duilian de Armas BC - Equipe 2",4,IF(Atletas!W577="Duilian de Mãos DE - Equipe 1",5,IF(Atletas!W577="Duilian de Mãos DE - Equipe 2",6,IF(Atletas!W577="Duilian de Armas DE - Equipe 1",7,IF(Atletas!W577="Duilian de Armas DE - Equipe 2",8,IF(Atletas!W577="Duilian de Tuishou - Equipe 1",9,IF(Atletas!W577="Duilian de Tuishou - Equipe 2",10,IF(Atletas!W577="Grupo Externo ABC - Equipe 1",11,IF(Atletas!W577="Grupo Externo ABC - Equipe 2",12,IF(Atletas!W577="Grupo Interno ABC - Equipe 1",13,IF(Atletas!W577="Grupo Interno ABC - Equipe 2",14,IF(Atletas!W577="Grupo Externo DEF - Equipe 1",15,IF(Atletas!W577="Grupo Externo DEF - Equipe 2",16,IF(Atletas!W577="Grupo Interno DEF - Equipe 1",17,IF(Atletas!W577="Grupo Interno DEF - Equipe 2",18,"")))))))))))))))))))</f>
        <v/>
      </c>
    </row>
    <row r="587" spans="40:91">
      <c r="AN587" s="52" t="str">
        <f>IF(Atletas!D578="","",IF(Atletas!B578="Feminino",100,IF(Atletas!B578="Masculino",200,""))+(IF(Atletas!D578="Kids 30kg",1,IF(Atletas!D578="Kids 32kg",2, IF(Atletas!D578="Kids 34kg",3,IF(Atletas!D578="Kids 36kg",4,IF(Atletas!D578="Kids 39kg",5,IF(Atletas!D578="Kids 42kg",6,IF(Atletas!D578="Kids 45kg",7, IF(Atletas!D578="Infantil 39kg",8,IF(Atletas!D578="Infantil 42kg",9,IF(Atletas!D578="Infantil 45kg",10,IF(Atletas!D578="Infantil 48kg",11,IF(Atletas!D578="Infantil 52kg",12,IF(Atletas!D578="Infantil 56kg",13,IF(Atletas!D578="Infantil 60kg",14,IF(Atletas!D578="Juvenil 48kg",15,IF(Atletas!D578="Juvenil 52kg",16,IF(Atletas!D578="Juvenil 56kg",17,IF(Atletas!D578="Juvenil 60kg",18,IF(Atletas!D578="Juvenil 65kg",19,IF(Atletas!D578="Juvenil 70kg",20,IF(Atletas!D578="Juvenil 75kg",21,IF(Atletas!D578="Juvenil 80kg",22, IF(Atletas!D578="Juvenil 85kg",23,IF(Atletas!D578="Adulto 48kg",24,IF(Atletas!D578="Adulto 52kg",25,IF(Atletas!D578="Adulto 56kg",26,IF(Atletas!D578="Adulto 60kg",27,IF(Atletas!D578="Adulto 65kg",28,IF(Atletas!D578="Adulto 70kg",29,IF(Atletas!D578="Adulto 75kg",30,IF(Atletas!D578="Adulto 80kg",31,IF(Atletas!D578="Adulto 85kg",32,IF(Atletas!D578="Adulto 90kg",33,IF(Atletas!D578="Adulto 100kg",34, IF(Atletas!D578="Adulto +100kg",35,"")))))))))))))))))))))))))))))))))))))</f>
        <v/>
      </c>
      <c r="AS587" s="6" t="str">
        <f>IF(Atletas!E578="","",IF(Atletas!B578="Feminino",100,IF(Atletas!B578="Masculino",200,""))+(IF(Atletas!E578="Juvenil 44kg",1,IF(Atletas!E578="Juvenil 48kg",2,IF(Atletas!E578="Juvenil 52kg",3,IF(Atletas!E578="Juvenil 56kg",4,IF(Atletas!E578="Juvenil 60kg",5,IF(Atletas!E578="Juvenil 65kg",6,IF(Atletas!E578="Juvenil 70kg",7,IF(Atletas!E578="Juvenil 75kg",8,IF(Atletas!E578="Juvenil 82kg",9,IF(Atletas!E578="Juvenil 90kg",10,IF(Atletas!E578="Juvenil 100kg",11,IF(Atletas!E578="Adulto 48kg",12,IF(Atletas!E578="Adulto 52kg",13,IF(Atletas!E578="Adulto 56kg",14,IF(Atletas!E578="Adulto 60kg",15,IF(Atletas!E578="Adulto 65kg",16,IF(Atletas!E578="Adulto 70kg",17,IF(Atletas!E578="Adulto 75kg",18,IF(Atletas!E578="Adulto 82kg",19,IF(Atletas!E578="Adulto 90kg",20,IF(Atletas!E578="Adulto 100kg",21,IF(Atletas!E578="Adulto +100kg",22,""))))))))))))))))))))))))</f>
        <v/>
      </c>
      <c r="AX587" s="6" t="str">
        <f>IF(Atletas!F578="","",IF(Atletas!B578="Feminino",100,IF(Atletas!B578="Masculino",200,""))+(IF(Atletas!F578="Adulto 48kg",1,IF(Atletas!F578="Adulto 56kg",2,IF(Atletas!F578="Adulto 65kg",3,IF(Atletas!F578="Adulto 75kg",4,IF(Atletas!F578="Adulto +75kg",5,IF(Atletas!F578="Adulto 52kg",6,IF(Atletas!F578="Adulto 60kg",7,IF(Atletas!F578="Adulto 70kg",8,IF(Atletas!F578="Adulto 80kg",9,IF(Atletas!F578="Adulto 90kg",10,IF(Atletas!F578="Adulto +90kg",11,"")))))))))))))</f>
        <v/>
      </c>
      <c r="BC587" s="6" t="str">
        <f>IF(Atletas!G578="","",IF(Atletas!B578="Feminino",10,IF(Atletas!B578="Masculino",20,""))+(IF(Atletas!G578="Baduanjin A",1,IF(Atletas!G578="Baduanjin B",2))))</f>
        <v/>
      </c>
      <c r="BF587" s="52" t="str">
        <f>IF(Atletas!H578="","",IF(Atletas!B578="Feminino",100,IF(Atletas!B578="Masculino",200,""))+(IF(Atletas!H578="Changquan Mirim",1,IF(Atletas!H578="Nanquan Mirim",2,IF(Atletas!H578="Taijiquan Mirim",3,IF(Atletas!H578="Changquan Grupo C",4,IF(Atletas!H578="Nanquan Grupo C",5,IF(Atletas!H578="Taijiquan Grupo C",6,IF(Atletas!H578="Changquan Grupo B",7,IF(Atletas!H578="Nanquan Grupo B",8,IF(Atletas!H578="Taijiquan Grupo B",9,IF(Atletas!H578="Changquan Grupo A",10,IF(Atletas!H578="Nanquan Grupo A",11,IF(Atletas!H578="Taijiquan Grupo A",12,IF(Atletas!H578="Changquan Opcional",13,IF(Atletas!H578="Nanquan Opcional",14,IF(Atletas!H578="Taijiquan Opcional",15,IF(Atletas!H578="Changquan Adulto",16,IF(Atletas!H578="Nanquan Adulto",17,IF(Atletas!H578="Taijiquan Adulto",18,""))))))))))))))))))))</f>
        <v/>
      </c>
      <c r="BG587" s="52" t="str">
        <f>IF(Atletas!I578="","",IF(Atletas!B578="Feminino",100,IF(Atletas!B578="Masculino",200,""))+(IF(Atletas!I578="Daoshu Mirim",19,IF(Atletas!I578="Jianshu Mirim",20,IF(Atletas!I578="Nandao Mirim",21,IF(Atletas!I578="Taijijian Mirim",22,IF(Atletas!I578="Daoshu Grupo C",23,IF(Atletas!I578="Jianshu Grupo C",24,IF(Atletas!I578="Nandao Grupo C",25,IF(Atletas!I578="Taijijian Grupo C",26,IF(Atletas!I578="Daoshu Grupo B",27,IF(Atletas!I578="Jianshu Grupo B",28,IF(Atletas!I578="Nandao Grupo B",29,IF(Atletas!I578="Taijijian Grupo B",30,IF(Atletas!I578="Daoshu Grupo A",31,IF(Atletas!I578="Jianshu Grupo A",32,IF(Atletas!I578="Nandao Grupo A",33,IF(Atletas!I578="Taijijian Grupo A",34,IF(Atletas!I578="Daoshu Opcional",35,IF(Atletas!I578="Jianshu Opcional",36,IF(Atletas!I578="Nandao Opcional",37,IF(Atletas!I578="Taijijian Opcional",38,IF(Atletas!I578="Daoshu Adulto",39,IF(Atletas!I578="Jianshu Adulto",40,IF(Atletas!I578="Nandao Adulto",41,IF(Atletas!I578="Taijijian Adulto",42,""))))))))))))))))))))))))))</f>
        <v/>
      </c>
      <c r="BH587" s="52" t="str">
        <f>IF(Atletas!J578="","",IF(Atletas!B578="Feminino",100,IF(Atletas!B578="Masculino",200,""))+(IF(Atletas!J578="Gunshu Mirim",43,IF(Atletas!J578="Qiangshu Mirim",44,IF(Atletas!J578="Nangun Mirim",45,IF(Atletas!J578="Gunshu Grupo C",46,IF(Atletas!J578="Qiangshu Grupo C",47,IF(Atletas!J578="Nangun Grupo C",48,IF(Atletas!J578="Gunshu Grupo B",49,IF(Atletas!J578="Qiangshu Grupo B",50,IF(Atletas!J578="Nangun Grupo B",51,IF(Atletas!J578="Gunshu Grupo A",52,IF(Atletas!J578="Qiangshu Grupo A",53,IF(Atletas!J578="Nangun Grupo A",54,IF(Atletas!J578="Gunshu Opcional",55,IF(Atletas!J578="Qiangshu Opcional",56,IF(Atletas!J578="Nangun Opcional",57,IF(Atletas!J578="Gunshu Adulto",58,IF(Atletas!J578="Qiangshu Adulto",59,IF(Atletas!J578="Nangun Adulto",60,IF(Atletas!J578="Taijishan Grupo B",61,IF(Atletas!J578="Taijishan Grupo A",62,""))))))))))))))))))))))</f>
        <v/>
      </c>
      <c r="BM587" s="50" t="str">
        <f>IF(Atletas!K578="","",IF(Atletas!B578="Feminino",100,IF(Atletas!B578="Masculino",200,""))+(IF(Atletas!K578="Equipe 1 Grupo B",1,IF(Atletas!K578="Equipe 2 Grupo B",2,IF(Atletas!K578="Equipe 1 Grupo A",3,IF(Atletas!K578="Equipe 2 Grupo A",4,IF(Atletas!K578="Equipe 1 Adulto",5,IF(Atletas!K578="Equipe 2 Adulto",6,""))))))))</f>
        <v/>
      </c>
      <c r="BR587" s="50" t="str">
        <f>IF(Atletas!L578="","",IF(Atletas!X578&lt;&gt;"",10000,0)+(IF(Atletas!B578="Feminino",1000,IF(Atletas!B578="Masculino",2000,""))+IF(Atletas!L578="Choylayfut A",1,IF(Atletas!L578="Hunggar A",2,IF(Atletas!L578="Wuzuquan A",3,IF(Atletas!L578="Wingchun A",4,IF(Atletas!L578="Outra Mão de Sul A",5,IF(Atletas!L578="Choylayfut B",6,IF(Atletas!L578="Hunggar B",7,IF(Atletas!L578="Wuzuquan B",8,IF(Atletas!L578="Wingchun B",9,IF(Atletas!L578="Outra Mão de Sul B",10,IF(Atletas!L578="Choylayfut C",11,IF(Atletas!L578="Hunggar C",12,IF(Atletas!L578="Wuzuquan C",13,IF(Atletas!L578="Wingchun C",14,IF(Atletas!L578="Outra Mão de Sul C",15,IF(Atletas!L578="Choylayfut D",16,IF(Atletas!L578="Hunggar D",17,IF(Atletas!L578="Wuzuquan D",18,IF(Atletas!L578="Wingchun D",19,IF(Atletas!L578="Outra Mão de Sul D",20,IF(Atletas!L578="Choylayfut E",21,IF(Atletas!L578="Hunggar E",22,IF(Atletas!L578="Wuzuquan E",23,IF(Atletas!L578="Wingchun E",24,IF(Atletas!L578="Outra Mão de Sul E",25,IF(Atletas!L578="Choylayfut F",26,IF(Atletas!L578="Hunggar F",27,IF(Atletas!L578="Wuzuquan F",28,IF(Atletas!L578="Wingchun F",29,IF(Atletas!L578="Outra Mão de Sul F",30,IF(Atletas!L578="Dishuquan A",31,IF(Atletas!L578="Dishuquan B",32,IF(Atletas!L578="Dishuquan C",33,IF(Atletas!L578="Dishuquan D",34,IF(Atletas!L578="Dishuquan E",35,IF(Atletas!L578="Dishuquan F",36,""))))))))))))))))))))))))))))))))))))))</f>
        <v/>
      </c>
      <c r="BS587" s="50" t="str">
        <f>IF(Atletas!M578="","",IF(Atletas!X578&lt;&gt;"",10000,0)+(IF(Atletas!B578="Feminino",1000,IF(Atletas!B578="Masculino",2000,""))+(IF(Atletas!M578="Chaquan A",101,IF(Atletas!M578="Emeiquan A",102,IF(Atletas!M578="Fanziquan A",103,IF(Atletas!M578="Huaquan A",104,IF(Atletas!M578="Hongquan A",105,IF(Atletas!M578="Paoquan A",106,IF(Atletas!M578="Piguaquan A",107,IF(Atletas!M578="Shaolinquan A",108,IF(Atletas!M578="Tanglangquan A",109,IF(Atletas!M578="Yingzhaoquan A",110,IF(Atletas!M578="Tongbeiquan A",111,IF(Atletas!M578="Wudangquan A",112,IF(Atletas!M578="Outros Estilos A",113,IF(Atletas!M578="Chaquan B",114,IF(Atletas!M578="Emeiquan B",115,IF(Atletas!M578="Fanziquan B",116,IF(Atletas!M578="Huaquan B",117,IF(Atletas!M578="Hongquan B",118,IF(Atletas!M578="Paoquan B",119,IF(Atletas!M578="Piguaquan B",120,IF(Atletas!M578="Shaolinquan B",121,IF(Atletas!M578="Tanglangquan B",122,IF(Atletas!M578="Yingzhaoquan B",123,IF(Atletas!M578="Tongbeiquan B",124,IF(Atletas!M578="Wudangquan B",125,IF(Atletas!M578="Outros Estilos B",126,IF(Atletas!M578="Chaquan C",127,IF(Atletas!M578="Emeiquan C",128,IF(Atletas!M578="Fanziquan C",129,IF(Atletas!M578="Huaquan C",130,IF(Atletas!M578="Hongquan C",131,IF(Atletas!M578="Paoquan C",132,IF(Atletas!M578="Piguaquan C",133,IF(Atletas!M578="Shaolinquan C",134,IF(Atletas!M578="Tanglangquan C",135,IF(Atletas!M578="Yingzhaoquan C",136,IF(Atletas!M578="Tongbeiquan C",137,IF(Atletas!M578="Wudangquan C",138,IF(Atletas!M578="Outros Estilos C",139,0))))))))))))))))))))))))))))))))))))))))))</f>
        <v/>
      </c>
      <c r="BT587" s="50" t="str">
        <f>IF(Atletas!M578="","",IF(Atletas!X578&lt;&gt;"",10000,0)+(IF(Atletas!B578="Feminino",1000,IF(Atletas!B578="Masculino",2000,""))+(IF(Atletas!M578="Chaquan D",140,IF(Atletas!M578="Emeiquan D",141,IF(Atletas!M578="Fanziquan D",142,IF(Atletas!M578="Huaquan D",143,IF(Atletas!M578="Hongquan D",144,IF(Atletas!M578="Paoquan D",145,IF(Atletas!M578="Piguaquan D",146,IF(Atletas!M578="Shaolinquan D",147,IF(Atletas!M578="Tanglangquan D",148,IF(Atletas!M578="Yingzhaoquan D",149,IF(Atletas!M578="Tongbeiquan D",150,IF(Atletas!M578="Wudangquan D",151,IF(Atletas!M578="Outros Estilos D",152,IF(Atletas!M578="Chaquan E",153,IF(Atletas!M578="Emeiquan E",154,IF(Atletas!M578="Fanziquan E",155,IF(Atletas!M578="Huaquan E",156,IF(Atletas!M578="Hongquan E",157,IF(Atletas!M578="Paoquan E",158,IF(Atletas!M578="Piguaquan E",159,IF(Atletas!M578="Shaolinquan E",160,IF(Atletas!M578="Tanglangquan E",161,IF(Atletas!M578="Yingzhaoquan E",162,IF(Atletas!M578="Tongbeiquan E",163,IF(Atletas!M578="Wudangquan E",164,IF(Atletas!M578="Outros Estilos E",165,IF(Atletas!M578="Chaquan F",166,IF(Atletas!M578="Emeiquan F",167,IF(Atletas!M578="Fanziquan F",168,IF(Atletas!M578="Huaquan F",169,IF(Atletas!M578="Hongquan F",170,IF(Atletas!M578="Paoquan F",171,IF(Atletas!M578="Piguaquan F",172,IF(Atletas!M578="Shaolinquan F",173,IF(Atletas!M578="Tanglangquan F",174,IF(Atletas!M578="Yingzhaoquan F",175,IF(Atletas!M578="Tongbeiquan F",176,IF(Atletas!M578="Wudangquan F",177,IF(Atletas!M578="Outros Estilos F",178,0))))))))))))))))))))))))))))))))))))))))))</f>
        <v/>
      </c>
      <c r="BU587" s="50" t="str">
        <f>IF(Atletas!N578="","",IF(Atletas!X578&lt;&gt;"",10000,0)+(IF(Atletas!B578="Feminino",1000,IF(Atletas!B578="Masculino",2000,""))+(IF(Atletas!N578="Ditangquan A",201,IF(Atletas!N578="Houquan A",202,IF(Atletas!N578="Zuiquan A",203,IF(Atletas!N578="Ditangquan B",204,IF(Atletas!N578="Houquan B",205,IF(Atletas!N578="Zuiquan B",206,IF(Atletas!N578="Ditangquan C",207,IF(Atletas!N578="Houquan C",208,IF(Atletas!N578="Zuiquan C",209,IF(Atletas!N578="Ditangquan D",210,IF(Atletas!N578="Houquan D",211,IF(Atletas!N578="Zuiquan D",212,IF(Atletas!N578="Ditangquan E",213,IF(Atletas!N578="Houquan E",214,IF(Atletas!N578="Zuiquan E",215,IF(Atletas!N578="Ditangquan F",216,IF(Atletas!N578="Houquan F",217,IF(Atletas!N578="Zuiquan F",218,"")))))))))))))))))))))</f>
        <v/>
      </c>
      <c r="BV587" s="50" t="str">
        <f>IF(Atletas!O578="","",IF(Atletas!X578&lt;&gt;"",10000,0)+IF(Atletas!B578="Feminino",1000,IF(Atletas!B578="Masculino",2000,""))+IF(Atletas!O578="Yang A",301,IF(Atletas!O578="Chen A",302,IF(Atletas!O578="Sun A",303,IF(Atletas!O578="Wu A",304,IF(Atletas!O578="Wu-Hao A",305,IF(Atletas!O578="Outro Taijiquan A",306,IF(Atletas!O578="Yang B",307,IF(Atletas!O578="Chen B",308,IF(Atletas!O578="Sun B",309,IF(Atletas!O578="Wu B",310,IF(Atletas!O578="Wu-Hao B",311,IF(Atletas!O578="Outro Taijiquan B",312,IF(Atletas!O578="Yang C",313,IF(Atletas!O578="Chen C",314,IF(Atletas!O578="Sun C",315,IF(Atletas!O578="Wu C",316,IF(Atletas!O578="Wu-Hao C",317,IF(Atletas!O578="Outro Taijiquan C",318,IF(Atletas!O578="Yang D",319,IF(Atletas!O578="Chen D",320,IF(Atletas!O578="Sun D",321,IF(Atletas!O578="Wu D",322,IF(Atletas!O578="Wu-Hao D",323,IF(Atletas!O578="Outro Taijiquan D",324,IF(Atletas!O578="Yang E",325,IF(Atletas!O578="Chen E",326,IF(Atletas!O578="Sun E",327,IF(Atletas!O578="Wu E",328,IF(Atletas!O578="Wu-Hao E",329,IF(Atletas!O578="Outro Taijiquan E",330,IF(Atletas!O578="Yang F",331,IF(Atletas!O578="Chen F",332,IF(Atletas!O578="Sun F",333,IF(Atletas!O578="Wu F",334,IF(Atletas!O578="Wu-Hao F",335,IF(Atletas!O578="Outro Taijiquan F",336,"")))))))))))))))))))))))))))))))))))))</f>
        <v/>
      </c>
      <c r="BW587" s="50" t="str">
        <f>IF(Atletas!P578="","",IF(Atletas!X578&lt;&gt;"",10000,0)+IF(Atletas!B578="Feminino",1000,IF(Atletas!B578="Masculino",2000,""))+IF(OR(Atletas!P578="Yang 26 A",Atletas!P578="Yang 40 A"),401,IF(OR(Atletas!P578="Chen 25 A",Atletas!P578="Chen 36 A",Atletas!P578="Chen 56 A"),402,IF(Atletas!P578="Sun 73 A",403,IF(Atletas!P578="Wu 45 A",404,IF(Atletas!P578="Wu-Hao 46 A",405,IF(OR(Atletas!P578="Taijiquan 16 A",Atletas!P578="Taijiquan 24 A",Atletas!P578="Taijiquan 32 A",Atletas!P578="Taijiquan 42 A"),406,IF(OR(Atletas!P578="Yang 26 B",Atletas!P578="Yang 40 B"),407,IF(OR(Atletas!P578="Chen 25 B",Atletas!P578="Chen 36 B",Atletas!P578="Chen 56 B"),408,IF(Atletas!P578="Sun 73 B",409,IF(Atletas!P578="Wu 45 B",410,IF(Atletas!P578="Wu-Hao 46 B",411,IF(OR(Atletas!P578="Taijiquan 16 B",Atletas!P578="Taijiquan 24 B",Atletas!P578="Taijiquan 32 B",Atletas!P578="Taijiquan 42 B"),412,IF(OR(Atletas!P578="Yang 26 C",Atletas!P578="Yang 40 C"),413,IF(OR(Atletas!P578="Chen 25 C",Atletas!P578="Chen 36 C",Atletas!P578="Chen 56 C"),414,IF(Atletas!P578="Sun 73 C",415,IF(Atletas!P578="Wu 45 C",416,IF(Atletas!P578="Wu-Hao 46 C",417,IF(OR(Atletas!P578="Taijiquan 16 C",Atletas!P578="Taijiquan 24 C",Atletas!P578="Taijiquan 32 C",Atletas!P578="Taijiquan 42 C"),418,0)))))))))))))))))))</f>
        <v/>
      </c>
      <c r="BX587" s="50" t="str">
        <f>IF(Atletas!P578="","",IF(Atletas!X578&lt;&gt;"",10000,0)+IF(Atletas!B578="Feminino",1000,IF(Atletas!B578="Masculino",2000,""))+IF(OR(Atletas!P578="Yang 26 D",Atletas!P578="Yang 40 D"),419,IF(OR(Atletas!P578="Chen 25 D",Atletas!P578="Chen 36 D",Atletas!P578="Chen 56 D"),420,IF(Atletas!P578="Sun 73 D",421,IF(Atletas!P578="Wu 45 D",422,IF(Atletas!P578="Wu-Hao 46 D",423,IF(OR(Atletas!P578="Taijiquan 16 D",Atletas!P578="Taijiquan 24 D",Atletas!P578="Taijiquan 32 D",Atletas!P578="Taijiquan 42 D"),424,IF(OR(Atletas!P578="Yang 26 E",Atletas!P578="Yang 40 E"),425,IF(OR(Atletas!P578="Chen 25 E",Atletas!P578="Chen 36 E",Atletas!P578="Chen 56 E"),426,IF(Atletas!P578="Sun 73 E",427,IF(Atletas!P578="Wu 45 E",428,IF(Atletas!P578="Wu-Hao 46 E",429,IF(OR(Atletas!P578="Taijiquan 16 E",Atletas!P578="Taijiquan 24 E",Atletas!P578="Taijiquan 32 E",Atletas!P578="Taijiquan 42 E"),430,IF(OR(Atletas!P578="Yang 26 F",Atletas!P578="Yang 40 F"),431,IF(OR(Atletas!P578="Chen 25 F",Atletas!P578="Chen 36 F",Atletas!P578="Chen 56 F"),432,IF(Atletas!P578="Sun 73 F",433,IF(Atletas!P578="Wu 45 F",434,IF(Atletas!P578="Wu-Hao 46 F",435,IF(OR(Atletas!P578="Taijiquan 16 F",Atletas!P578="Taijiquan 24 F",Atletas!P578="Taijiquan 32 F",Atletas!P578="Taijiquan 42 F"),436,0)))))))))))))))))))</f>
        <v/>
      </c>
      <c r="BY587" s="50" t="str">
        <f>IF(Atletas!Q578="","",IF(Atletas!X578&lt;&gt;"",10000,0)+IF(Atletas!B578="Feminino",1000,IF(Atletas!B578="Masculino",2000,""))+IF(Atletas!Q578="Xingyiquan A",501,IF(Atletas!Q578="Baguazhang A",502,IF(Atletas!Q578="Outro Estilo Interno A",503,IF(Atletas!Q578="Xingyiquan B",504,IF(Atletas!Q578="Baguazhang B",505,IF(Atletas!Q578="Outro Estilo Interno B",506,IF(Atletas!Q578="Xingyiquan C",507,IF(Atletas!Q578="Baguazhang C",508,IF(Atletas!Q578="Outro Estilo Interno C",509,IF(Atletas!Q578="Xingyiquan D",510,IF(Atletas!Q578="Baguazhang D",511,IF(Atletas!Q578="Outro Estilo Interno D",512,IF(Atletas!Q578="Xingyiquan E",513,IF(Atletas!Q578="Baguazhang E",514,IF(Atletas!Q578="Outro Estilo Interno E",515,IF(Atletas!Q578="Xingyiquan F",516,IF(Atletas!Q578="Baguazhang F",517,IF(Atletas!Q578="Outro Estilo Interno F",518, "")))))))))))))))))))</f>
        <v/>
      </c>
      <c r="BZ587" s="50" t="str">
        <f>IF(Atletas!R578="","",IF(Atletas!X578&lt;&gt;"",10000,0)+IF(Atletas!B578="Feminino",1000,IF(Atletas!B578="Masculino",2000,""))+IF(Atletas!R578="Dao A",601,IF(Atletas!R578="Jian A",602,IF(Atletas!R578="Bishou A",603,IF(Atletas!R578="Shanzi A",604,IF(Atletas!R578="Outra Arma Curta A",605,IF(Atletas!R578="Dao B",606,IF(Atletas!R578="Jian B",607,IF(Atletas!R578="Bishou B",608,IF(Atletas!R578="Shanzi B",609,IF(Atletas!R578="Outra Arma Curta B",610,IF(Atletas!R578="Dao C",611,IF(Atletas!R578="Jian C",612,IF(Atletas!R578="Bishou C",613,IF(Atletas!R578="Shanzi C",614,IF(Atletas!R578="Outra Arma Curta C",615,IF(Atletas!R578="Dao D",616,IF(Atletas!R578="Jian D",617,IF(Atletas!R578="Bishou D",618,IF(Atletas!R578="Shanzi D",619,IF(Atletas!R578="Outra Arma Curta D",620,IF(Atletas!R578="Dao E",621,IF(Atletas!R578="Jian E",622,IF(Atletas!R578="Bishou E",623,IF(Atletas!R578="Shanzi E",624,IF(Atletas!R578="Outra Arma Curta E",625,IF(Atletas!R578="Dao F",626,IF(Atletas!R578="Jian F",627,IF(Atletas!R578="Bishou F",628,IF(Atletas!R578="Shanzi F",629,IF(Atletas!R578="Outra Arma Curta F",630, "")))))))))))))))))))))))))))))))</f>
        <v/>
      </c>
      <c r="CA587" s="50" t="str">
        <f>IF(Atletas!S578="","",IF(Atletas!X578&lt;&gt;"",10000,0)+IF(Atletas!B578="Feminino",1000,IF(Atletas!B578="Masculino",2000,""))+IF(Atletas!S578="Gun A",701,IF(Atletas!S578="Qiang A",702,IF(Atletas!S578="Pudao / Guandao A",703,IF(Atletas!S578="Outra Arma Longa A",704,IF(Atletas!S578="Gun B",705,IF(Atletas!S578="Qiang B",706,IF(Atletas!S578="Pudao / Guandao B",707,IF(Atletas!S578="Outra Arma Longa B",708,IF(Atletas!S578="Gun C",709,IF(Atletas!S578="Qiang C",710,IF(Atletas!S578="Pudao / Guandao C",711,IF(Atletas!S578="Outra Arma Longa C",712,IF(Atletas!S578="Gun D",713,IF(Atletas!S578="Qiang D",714,IF(Atletas!S578="Pudao / Guandao D",715,IF(Atletas!S578="Outra Arma Longa D",716,IF(Atletas!S578="Gun E",717,IF(Atletas!S578="Qiang E",718,IF(Atletas!S578="Pudao / Guandao E",719,IF(Atletas!S578="Outra Arma Longa E",720,IF(Atletas!S578="Gun F",721,IF(Atletas!S578="Qiang F",722,IF(Atletas!S578="Pudao / Guandao F",723,IF(Atletas!S578="Outra Arma Longa F",724,"")))))))))))))))))))))))))</f>
        <v/>
      </c>
      <c r="CB587" s="50" t="str">
        <f>IF(Atletas!T578="","",IF(Atletas!X578&lt;&gt;"",10000,0)+IF(Atletas!B578="Feminino",1000,IF(Atletas!B578="Masculino",2000,""))+IF(Atletas!T578="Outra Arma Dupla A",801,IF(Atletas!T578="Arma Maleável A",802,IF(Atletas!T578="Outra Arma Dupla B",803,IF(Atletas!T578="Arma Maleável B",804,IF(Atletas!T578="Outra Arma Dupla C",805,IF(Atletas!T578="Arma Maleável C",806,IF(Atletas!T578="Outra Arma Dupla D",807,IF(Atletas!T578="Arma Maleável D",808,IF(Atletas!T578="Outra Arma Dupla E",809,IF(Atletas!T578="Arma Maleável E",810,IF(Atletas!T578="Outra Arma Dupla F",811,IF(Atletas!T578="Arma Maleável F",812,IF(Atletas!T578="Shuangdao A",813,IF(Atletas!T578="Shuangdao B",814,IF(Atletas!T578="Shuangdao C",815,IF(Atletas!T578="Shuangdao D",816,IF(Atletas!T578="Shuangdao E",817,IF(Atletas!T578="Shuangdao F",818,"")))))))))))))))))))</f>
        <v/>
      </c>
      <c r="CC587" s="50" t="str">
        <f>IF(Atletas!U578="","",IF(Atletas!X578&lt;&gt;"",10000,0)+IF(Atletas!B578="Feminino",1000,IF(Atletas!B578="Masculino",2000,""))+IF(OR(Atletas!U578="Taijijian Yang A",Atletas!U578="Taijijian Yang Standard A"),901,IF(OR(Atletas!U578="Taijijian Chen A", Atletas!U578="Taijijian Chen Standard A"),902,IF(Atletas!U578="Taijijian Sun A",903,IF(Atletas!U578="Taijijian Wu A",904,IF(Atletas!U578="Taijijian Wu-Hao A",905,IF(OR(Atletas!U578="Taijijian 32 A",Atletas!U578="Taijijian 42 A"),906,IF(OR(Atletas!U578="Taijijian Yang B",Atletas!U578="Taijijian Yang Standard B"),907,IF(OR(Atletas!U578="Taijijian Chen B", Atletas!U578="Taijijian Chen Standard B"),908,IF(Atletas!U578="Taijijian Sun B",909,IF(Atletas!U578="Taijijian Wu B",910,IF(Atletas!U578="Taijijian Wu-Hao B",911,IF(OR(Atletas!U578="Taijijian 32 B",Atletas!U578="Taijijian 42 B"),912,IF(OR(Atletas!U578="Taijijian Yang C",Atletas!U578="Taijijian Yang Standard C"),913,IF(OR(Atletas!U578="Taijijian Chen C", Atletas!U578="Taijijian Chen Standard C"),914,IF(Atletas!U578="Taijijian Sun C",915,IF(Atletas!U578="Taijijian Wu C",916,IF(Atletas!U578="Taijijian Wu-Hao C",917,IF(OR(Atletas!U578="Taijijian 32 C",Atletas!U578="Taijijian 42 C"),918,IF(OR(Atletas!U578="Taijijian Yang D",Atletas!U578="Taijijian Yang Standard D"),919,IF(OR(Atletas!U578="Taijijian Chen D", Atletas!U578="Taijijian Chen Standard D"),920,IF(Atletas!U578="Taijijian Sun D",921,IF(Atletas!U578="Taijijian Wu D",922,IF(Atletas!U578="Taijijian Wu-Hao D",923,IF(OR(Atletas!U578="Taijijian 32 D",Atletas!U578="Taijijian 42 D"),924,IF(OR(Atletas!U578="Taijijian Yang E",Atletas!U578="Taijijian Yang Standard E"),925,IF(OR(Atletas!U578="Taijijian Chen E", Atletas!U578="Taijijian Chen Standard E"),926,IF(Atletas!U578="Taijijian Sun E",927,IF(Atletas!U578="Taijijian Wu E",928,IF(Atletas!U578="Taijijian Wu-Hao E",929,IF(OR(Atletas!U578="Taijijian 32 E",Atletas!U578="Taijijian 42 E"),930,IF(OR(Atletas!U578="Taijijian Yang F",Atletas!U578="Taijijian Yang Standard F"),931,IF(OR(Atletas!U578="Taijijian Chen F", Atletas!U578="Taijijian Chen Standard F"),932,IF(Atletas!U578="Taijijian Sun F",933,IF(Atletas!U578="Taijijian Wu F",934,IF(Atletas!U578="Taijijian Wu-Hao F",935,IF(OR(Atletas!U578="Taijijian 32 F",Atletas!U578="Taijijian 42 F"),936,"")))))))))))))))))))))))))))))))))))))</f>
        <v/>
      </c>
      <c r="CD587" s="50" t="str">
        <f>IF(Atletas!V578="","",IF(Atletas!X578&lt;&gt;"",10000,0)+IF(Atletas!B578="Feminino",1000,IF(Atletas!B578="Masculino",2000,""))+IF(Atletas!V578="Taijidao A",937,IF(Atletas!V578="TaijiShanzi A",938,IF(Atletas!V578="Taijiqiang A",939,IF(Atletas!V578="Bagua de Arma A",940,IF(Atletas!V578="Xingyi de Arma A",941,IF(Atletas!V578="Taijidao B",942,IF(Atletas!V578="TaijiShanzi B",943,IF(Atletas!V578="Taijiqiang B",944,IF(Atletas!V578="Bagua de Arma B",945,IF(Atletas!V578="Xingyi de Arma B",946,IF(Atletas!V578="Taijidao C",947,IF(Atletas!V578="TaijiShanzi C",948,IF(Atletas!V578="Taijiqiang C",949,IF(Atletas!V578="Bagua de Arma C",950,IF(Atletas!V578="Xingyi de Arma C",951,IF(Atletas!V578="Taijidao D",952,IF(Atletas!V578="TaijiShanzi D",953,IF(Atletas!V578="Taijiqiang D",954,IF(Atletas!V578="Bagua de Arma D",955,IF(Atletas!V578="Xingyi de Arma D",956,IF(Atletas!V578="Taijidao E",957,IF(Atletas!V578="TaijiShanzi E",958,IF(Atletas!V578="Taijiqiang E",959,IF(Atletas!V578="Bagua de Arma E",960,IF(Atletas!V578="Xingyi de Arma E",961,IF(Atletas!V578="Taijidao F",962,IF(Atletas!V578="TaijiShanzi F",963,IF(Atletas!V578="Taijiqiang F",964,IF(Atletas!V578="Bagua de Arma F",965,IF(Atletas!V578="Xingyi de Arma F",966,"")))))))))))))))))))))))))))))))</f>
        <v/>
      </c>
      <c r="CM587" s="50" t="str">
        <f xml:space="preserve"> IF(Atletas!W578="","",IF(Atletas!W578="Duilian de Mãos BC - Equipe 1",1,IF(Atletas!W578="Duilian de Mãos BC - Equipe 2",2,IF(Atletas!W578="Duilian de Armas BC - Equipe 1",3,IF(Atletas!W578="Duilian de Armas BC - Equipe 2",4,IF(Atletas!W578="Duilian de Mãos DE - Equipe 1",5,IF(Atletas!W578="Duilian de Mãos DE - Equipe 2",6,IF(Atletas!W578="Duilian de Armas DE - Equipe 1",7,IF(Atletas!W578="Duilian de Armas DE - Equipe 2",8,IF(Atletas!W578="Duilian de Tuishou - Equipe 1",9,IF(Atletas!W578="Duilian de Tuishou - Equipe 2",10,IF(Atletas!W578="Grupo Externo ABC - Equipe 1",11,IF(Atletas!W578="Grupo Externo ABC - Equipe 2",12,IF(Atletas!W578="Grupo Interno ABC - Equipe 1",13,IF(Atletas!W578="Grupo Interno ABC - Equipe 2",14,IF(Atletas!W578="Grupo Externo DEF - Equipe 1",15,IF(Atletas!W578="Grupo Externo DEF - Equipe 2",16,IF(Atletas!W578="Grupo Interno DEF - Equipe 1",17,IF(Atletas!W578="Grupo Interno DEF - Equipe 2",18,"")))))))))))))))))))</f>
        <v/>
      </c>
    </row>
    <row r="588" spans="40:91">
      <c r="AN588" s="52" t="str">
        <f>IF(Atletas!D579="","",IF(Atletas!B579="Feminino",100,IF(Atletas!B579="Masculino",200,""))+(IF(Atletas!D579="Kids 30kg",1,IF(Atletas!D579="Kids 32kg",2, IF(Atletas!D579="Kids 34kg",3,IF(Atletas!D579="Kids 36kg",4,IF(Atletas!D579="Kids 39kg",5,IF(Atletas!D579="Kids 42kg",6,IF(Atletas!D579="Kids 45kg",7, IF(Atletas!D579="Infantil 39kg",8,IF(Atletas!D579="Infantil 42kg",9,IF(Atletas!D579="Infantil 45kg",10,IF(Atletas!D579="Infantil 48kg",11,IF(Atletas!D579="Infantil 52kg",12,IF(Atletas!D579="Infantil 56kg",13,IF(Atletas!D579="Infantil 60kg",14,IF(Atletas!D579="Juvenil 48kg",15,IF(Atletas!D579="Juvenil 52kg",16,IF(Atletas!D579="Juvenil 56kg",17,IF(Atletas!D579="Juvenil 60kg",18,IF(Atletas!D579="Juvenil 65kg",19,IF(Atletas!D579="Juvenil 70kg",20,IF(Atletas!D579="Juvenil 75kg",21,IF(Atletas!D579="Juvenil 80kg",22, IF(Atletas!D579="Juvenil 85kg",23,IF(Atletas!D579="Adulto 48kg",24,IF(Atletas!D579="Adulto 52kg",25,IF(Atletas!D579="Adulto 56kg",26,IF(Atletas!D579="Adulto 60kg",27,IF(Atletas!D579="Adulto 65kg",28,IF(Atletas!D579="Adulto 70kg",29,IF(Atletas!D579="Adulto 75kg",30,IF(Atletas!D579="Adulto 80kg",31,IF(Atletas!D579="Adulto 85kg",32,IF(Atletas!D579="Adulto 90kg",33,IF(Atletas!D579="Adulto 100kg",34, IF(Atletas!D579="Adulto +100kg",35,"")))))))))))))))))))))))))))))))))))))</f>
        <v/>
      </c>
      <c r="AS588" s="6" t="str">
        <f>IF(Atletas!E579="","",IF(Atletas!B579="Feminino",100,IF(Atletas!B579="Masculino",200,""))+(IF(Atletas!E579="Juvenil 44kg",1,IF(Atletas!E579="Juvenil 48kg",2,IF(Atletas!E579="Juvenil 52kg",3,IF(Atletas!E579="Juvenil 56kg",4,IF(Atletas!E579="Juvenil 60kg",5,IF(Atletas!E579="Juvenil 65kg",6,IF(Atletas!E579="Juvenil 70kg",7,IF(Atletas!E579="Juvenil 75kg",8,IF(Atletas!E579="Juvenil 82kg",9,IF(Atletas!E579="Juvenil 90kg",10,IF(Atletas!E579="Juvenil 100kg",11,IF(Atletas!E579="Adulto 48kg",12,IF(Atletas!E579="Adulto 52kg",13,IF(Atletas!E579="Adulto 56kg",14,IF(Atletas!E579="Adulto 60kg",15,IF(Atletas!E579="Adulto 65kg",16,IF(Atletas!E579="Adulto 70kg",17,IF(Atletas!E579="Adulto 75kg",18,IF(Atletas!E579="Adulto 82kg",19,IF(Atletas!E579="Adulto 90kg",20,IF(Atletas!E579="Adulto 100kg",21,IF(Atletas!E579="Adulto +100kg",22,""))))))))))))))))))))))))</f>
        <v/>
      </c>
      <c r="AX588" s="6" t="str">
        <f>IF(Atletas!F579="","",IF(Atletas!B579="Feminino",100,IF(Atletas!B579="Masculino",200,""))+(IF(Atletas!F579="Adulto 48kg",1,IF(Atletas!F579="Adulto 56kg",2,IF(Atletas!F579="Adulto 65kg",3,IF(Atletas!F579="Adulto 75kg",4,IF(Atletas!F579="Adulto +75kg",5,IF(Atletas!F579="Adulto 52kg",6,IF(Atletas!F579="Adulto 60kg",7,IF(Atletas!F579="Adulto 70kg",8,IF(Atletas!F579="Adulto 80kg",9,IF(Atletas!F579="Adulto 90kg",10,IF(Atletas!F579="Adulto +90kg",11,"")))))))))))))</f>
        <v/>
      </c>
      <c r="BC588" s="6" t="str">
        <f>IF(Atletas!G579="","",IF(Atletas!B579="Feminino",10,IF(Atletas!B579="Masculino",20,""))+(IF(Atletas!G579="Baduanjin A",1,IF(Atletas!G579="Baduanjin B",2))))</f>
        <v/>
      </c>
      <c r="BF588" s="52" t="str">
        <f>IF(Atletas!H579="","",IF(Atletas!B579="Feminino",100,IF(Atletas!B579="Masculino",200,""))+(IF(Atletas!H579="Changquan Mirim",1,IF(Atletas!H579="Nanquan Mirim",2,IF(Atletas!H579="Taijiquan Mirim",3,IF(Atletas!H579="Changquan Grupo C",4,IF(Atletas!H579="Nanquan Grupo C",5,IF(Atletas!H579="Taijiquan Grupo C",6,IF(Atletas!H579="Changquan Grupo B",7,IF(Atletas!H579="Nanquan Grupo B",8,IF(Atletas!H579="Taijiquan Grupo B",9,IF(Atletas!H579="Changquan Grupo A",10,IF(Atletas!H579="Nanquan Grupo A",11,IF(Atletas!H579="Taijiquan Grupo A",12,IF(Atletas!H579="Changquan Opcional",13,IF(Atletas!H579="Nanquan Opcional",14,IF(Atletas!H579="Taijiquan Opcional",15,IF(Atletas!H579="Changquan Adulto",16,IF(Atletas!H579="Nanquan Adulto",17,IF(Atletas!H579="Taijiquan Adulto",18,""))))))))))))))))))))</f>
        <v/>
      </c>
      <c r="BG588" s="52" t="str">
        <f>IF(Atletas!I579="","",IF(Atletas!B579="Feminino",100,IF(Atletas!B579="Masculino",200,""))+(IF(Atletas!I579="Daoshu Mirim",19,IF(Atletas!I579="Jianshu Mirim",20,IF(Atletas!I579="Nandao Mirim",21,IF(Atletas!I579="Taijijian Mirim",22,IF(Atletas!I579="Daoshu Grupo C",23,IF(Atletas!I579="Jianshu Grupo C",24,IF(Atletas!I579="Nandao Grupo C",25,IF(Atletas!I579="Taijijian Grupo C",26,IF(Atletas!I579="Daoshu Grupo B",27,IF(Atletas!I579="Jianshu Grupo B",28,IF(Atletas!I579="Nandao Grupo B",29,IF(Atletas!I579="Taijijian Grupo B",30,IF(Atletas!I579="Daoshu Grupo A",31,IF(Atletas!I579="Jianshu Grupo A",32,IF(Atletas!I579="Nandao Grupo A",33,IF(Atletas!I579="Taijijian Grupo A",34,IF(Atletas!I579="Daoshu Opcional",35,IF(Atletas!I579="Jianshu Opcional",36,IF(Atletas!I579="Nandao Opcional",37,IF(Atletas!I579="Taijijian Opcional",38,IF(Atletas!I579="Daoshu Adulto",39,IF(Atletas!I579="Jianshu Adulto",40,IF(Atletas!I579="Nandao Adulto",41,IF(Atletas!I579="Taijijian Adulto",42,""))))))))))))))))))))))))))</f>
        <v/>
      </c>
      <c r="BH588" s="52" t="str">
        <f>IF(Atletas!J579="","",IF(Atletas!B579="Feminino",100,IF(Atletas!B579="Masculino",200,""))+(IF(Atletas!J579="Gunshu Mirim",43,IF(Atletas!J579="Qiangshu Mirim",44,IF(Atletas!J579="Nangun Mirim",45,IF(Atletas!J579="Gunshu Grupo C",46,IF(Atletas!J579="Qiangshu Grupo C",47,IF(Atletas!J579="Nangun Grupo C",48,IF(Atletas!J579="Gunshu Grupo B",49,IF(Atletas!J579="Qiangshu Grupo B",50,IF(Atletas!J579="Nangun Grupo B",51,IF(Atletas!J579="Gunshu Grupo A",52,IF(Atletas!J579="Qiangshu Grupo A",53,IF(Atletas!J579="Nangun Grupo A",54,IF(Atletas!J579="Gunshu Opcional",55,IF(Atletas!J579="Qiangshu Opcional",56,IF(Atletas!J579="Nangun Opcional",57,IF(Atletas!J579="Gunshu Adulto",58,IF(Atletas!J579="Qiangshu Adulto",59,IF(Atletas!J579="Nangun Adulto",60,IF(Atletas!J579="Taijishan Grupo B",61,IF(Atletas!J579="Taijishan Grupo A",62,""))))))))))))))))))))))</f>
        <v/>
      </c>
      <c r="BM588" s="50" t="str">
        <f>IF(Atletas!K579="","",IF(Atletas!B579="Feminino",100,IF(Atletas!B579="Masculino",200,""))+(IF(Atletas!K579="Equipe 1 Grupo B",1,IF(Atletas!K579="Equipe 2 Grupo B",2,IF(Atletas!K579="Equipe 1 Grupo A",3,IF(Atletas!K579="Equipe 2 Grupo A",4,IF(Atletas!K579="Equipe 1 Adulto",5,IF(Atletas!K579="Equipe 2 Adulto",6,""))))))))</f>
        <v/>
      </c>
      <c r="BR588" s="50" t="str">
        <f>IF(Atletas!L579="","",IF(Atletas!X579&lt;&gt;"",10000,0)+(IF(Atletas!B579="Feminino",1000,IF(Atletas!B579="Masculino",2000,""))+IF(Atletas!L579="Choylayfut A",1,IF(Atletas!L579="Hunggar A",2,IF(Atletas!L579="Wuzuquan A",3,IF(Atletas!L579="Wingchun A",4,IF(Atletas!L579="Outra Mão de Sul A",5,IF(Atletas!L579="Choylayfut B",6,IF(Atletas!L579="Hunggar B",7,IF(Atletas!L579="Wuzuquan B",8,IF(Atletas!L579="Wingchun B",9,IF(Atletas!L579="Outra Mão de Sul B",10,IF(Atletas!L579="Choylayfut C",11,IF(Atletas!L579="Hunggar C",12,IF(Atletas!L579="Wuzuquan C",13,IF(Atletas!L579="Wingchun C",14,IF(Atletas!L579="Outra Mão de Sul C",15,IF(Atletas!L579="Choylayfut D",16,IF(Atletas!L579="Hunggar D",17,IF(Atletas!L579="Wuzuquan D",18,IF(Atletas!L579="Wingchun D",19,IF(Atletas!L579="Outra Mão de Sul D",20,IF(Atletas!L579="Choylayfut E",21,IF(Atletas!L579="Hunggar E",22,IF(Atletas!L579="Wuzuquan E",23,IF(Atletas!L579="Wingchun E",24,IF(Atletas!L579="Outra Mão de Sul E",25,IF(Atletas!L579="Choylayfut F",26,IF(Atletas!L579="Hunggar F",27,IF(Atletas!L579="Wuzuquan F",28,IF(Atletas!L579="Wingchun F",29,IF(Atletas!L579="Outra Mão de Sul F",30,IF(Atletas!L579="Dishuquan A",31,IF(Atletas!L579="Dishuquan B",32,IF(Atletas!L579="Dishuquan C",33,IF(Atletas!L579="Dishuquan D",34,IF(Atletas!L579="Dishuquan E",35,IF(Atletas!L579="Dishuquan F",36,""))))))))))))))))))))))))))))))))))))))</f>
        <v/>
      </c>
      <c r="BS588" s="50" t="str">
        <f>IF(Atletas!M579="","",IF(Atletas!X579&lt;&gt;"",10000,0)+(IF(Atletas!B579="Feminino",1000,IF(Atletas!B579="Masculino",2000,""))+(IF(Atletas!M579="Chaquan A",101,IF(Atletas!M579="Emeiquan A",102,IF(Atletas!M579="Fanziquan A",103,IF(Atletas!M579="Huaquan A",104,IF(Atletas!M579="Hongquan A",105,IF(Atletas!M579="Paoquan A",106,IF(Atletas!M579="Piguaquan A",107,IF(Atletas!M579="Shaolinquan A",108,IF(Atletas!M579="Tanglangquan A",109,IF(Atletas!M579="Yingzhaoquan A",110,IF(Atletas!M579="Tongbeiquan A",111,IF(Atletas!M579="Wudangquan A",112,IF(Atletas!M579="Outros Estilos A",113,IF(Atletas!M579="Chaquan B",114,IF(Atletas!M579="Emeiquan B",115,IF(Atletas!M579="Fanziquan B",116,IF(Atletas!M579="Huaquan B",117,IF(Atletas!M579="Hongquan B",118,IF(Atletas!M579="Paoquan B",119,IF(Atletas!M579="Piguaquan B",120,IF(Atletas!M579="Shaolinquan B",121,IF(Atletas!M579="Tanglangquan B",122,IF(Atletas!M579="Yingzhaoquan B",123,IF(Atletas!M579="Tongbeiquan B",124,IF(Atletas!M579="Wudangquan B",125,IF(Atletas!M579="Outros Estilos B",126,IF(Atletas!M579="Chaquan C",127,IF(Atletas!M579="Emeiquan C",128,IF(Atletas!M579="Fanziquan C",129,IF(Atletas!M579="Huaquan C",130,IF(Atletas!M579="Hongquan C",131,IF(Atletas!M579="Paoquan C",132,IF(Atletas!M579="Piguaquan C",133,IF(Atletas!M579="Shaolinquan C",134,IF(Atletas!M579="Tanglangquan C",135,IF(Atletas!M579="Yingzhaoquan C",136,IF(Atletas!M579="Tongbeiquan C",137,IF(Atletas!M579="Wudangquan C",138,IF(Atletas!M579="Outros Estilos C",139,0))))))))))))))))))))))))))))))))))))))))))</f>
        <v/>
      </c>
      <c r="BT588" s="50" t="str">
        <f>IF(Atletas!M579="","",IF(Atletas!X579&lt;&gt;"",10000,0)+(IF(Atletas!B579="Feminino",1000,IF(Atletas!B579="Masculino",2000,""))+(IF(Atletas!M579="Chaquan D",140,IF(Atletas!M579="Emeiquan D",141,IF(Atletas!M579="Fanziquan D",142,IF(Atletas!M579="Huaquan D",143,IF(Atletas!M579="Hongquan D",144,IF(Atletas!M579="Paoquan D",145,IF(Atletas!M579="Piguaquan D",146,IF(Atletas!M579="Shaolinquan D",147,IF(Atletas!M579="Tanglangquan D",148,IF(Atletas!M579="Yingzhaoquan D",149,IF(Atletas!M579="Tongbeiquan D",150,IF(Atletas!M579="Wudangquan D",151,IF(Atletas!M579="Outros Estilos D",152,IF(Atletas!M579="Chaquan E",153,IF(Atletas!M579="Emeiquan E",154,IF(Atletas!M579="Fanziquan E",155,IF(Atletas!M579="Huaquan E",156,IF(Atletas!M579="Hongquan E",157,IF(Atletas!M579="Paoquan E",158,IF(Atletas!M579="Piguaquan E",159,IF(Atletas!M579="Shaolinquan E",160,IF(Atletas!M579="Tanglangquan E",161,IF(Atletas!M579="Yingzhaoquan E",162,IF(Atletas!M579="Tongbeiquan E",163,IF(Atletas!M579="Wudangquan E",164,IF(Atletas!M579="Outros Estilos E",165,IF(Atletas!M579="Chaquan F",166,IF(Atletas!M579="Emeiquan F",167,IF(Atletas!M579="Fanziquan F",168,IF(Atletas!M579="Huaquan F",169,IF(Atletas!M579="Hongquan F",170,IF(Atletas!M579="Paoquan F",171,IF(Atletas!M579="Piguaquan F",172,IF(Atletas!M579="Shaolinquan F",173,IF(Atletas!M579="Tanglangquan F",174,IF(Atletas!M579="Yingzhaoquan F",175,IF(Atletas!M579="Tongbeiquan F",176,IF(Atletas!M579="Wudangquan F",177,IF(Atletas!M579="Outros Estilos F",178,0))))))))))))))))))))))))))))))))))))))))))</f>
        <v/>
      </c>
      <c r="BU588" s="50" t="str">
        <f>IF(Atletas!N579="","",IF(Atletas!X579&lt;&gt;"",10000,0)+(IF(Atletas!B579="Feminino",1000,IF(Atletas!B579="Masculino",2000,""))+(IF(Atletas!N579="Ditangquan A",201,IF(Atletas!N579="Houquan A",202,IF(Atletas!N579="Zuiquan A",203,IF(Atletas!N579="Ditangquan B",204,IF(Atletas!N579="Houquan B",205,IF(Atletas!N579="Zuiquan B",206,IF(Atletas!N579="Ditangquan C",207,IF(Atletas!N579="Houquan C",208,IF(Atletas!N579="Zuiquan C",209,IF(Atletas!N579="Ditangquan D",210,IF(Atletas!N579="Houquan D",211,IF(Atletas!N579="Zuiquan D",212,IF(Atletas!N579="Ditangquan E",213,IF(Atletas!N579="Houquan E",214,IF(Atletas!N579="Zuiquan E",215,IF(Atletas!N579="Ditangquan F",216,IF(Atletas!N579="Houquan F",217,IF(Atletas!N579="Zuiquan F",218,"")))))))))))))))))))))</f>
        <v/>
      </c>
      <c r="BV588" s="50" t="str">
        <f>IF(Atletas!O579="","",IF(Atletas!X579&lt;&gt;"",10000,0)+IF(Atletas!B579="Feminino",1000,IF(Atletas!B579="Masculino",2000,""))+IF(Atletas!O579="Yang A",301,IF(Atletas!O579="Chen A",302,IF(Atletas!O579="Sun A",303,IF(Atletas!O579="Wu A",304,IF(Atletas!O579="Wu-Hao A",305,IF(Atletas!O579="Outro Taijiquan A",306,IF(Atletas!O579="Yang B",307,IF(Atletas!O579="Chen B",308,IF(Atletas!O579="Sun B",309,IF(Atletas!O579="Wu B",310,IF(Atletas!O579="Wu-Hao B",311,IF(Atletas!O579="Outro Taijiquan B",312,IF(Atletas!O579="Yang C",313,IF(Atletas!O579="Chen C",314,IF(Atletas!O579="Sun C",315,IF(Atletas!O579="Wu C",316,IF(Atletas!O579="Wu-Hao C",317,IF(Atletas!O579="Outro Taijiquan C",318,IF(Atletas!O579="Yang D",319,IF(Atletas!O579="Chen D",320,IF(Atletas!O579="Sun D",321,IF(Atletas!O579="Wu D",322,IF(Atletas!O579="Wu-Hao D",323,IF(Atletas!O579="Outro Taijiquan D",324,IF(Atletas!O579="Yang E",325,IF(Atletas!O579="Chen E",326,IF(Atletas!O579="Sun E",327,IF(Atletas!O579="Wu E",328,IF(Atletas!O579="Wu-Hao E",329,IF(Atletas!O579="Outro Taijiquan E",330,IF(Atletas!O579="Yang F",331,IF(Atletas!O579="Chen F",332,IF(Atletas!O579="Sun F",333,IF(Atletas!O579="Wu F",334,IF(Atletas!O579="Wu-Hao F",335,IF(Atletas!O579="Outro Taijiquan F",336,"")))))))))))))))))))))))))))))))))))))</f>
        <v/>
      </c>
      <c r="BW588" s="50" t="str">
        <f>IF(Atletas!P579="","",IF(Atletas!X579&lt;&gt;"",10000,0)+IF(Atletas!B579="Feminino",1000,IF(Atletas!B579="Masculino",2000,""))+IF(OR(Atletas!P579="Yang 26 A",Atletas!P579="Yang 40 A"),401,IF(OR(Atletas!P579="Chen 25 A",Atletas!P579="Chen 36 A",Atletas!P579="Chen 56 A"),402,IF(Atletas!P579="Sun 73 A",403,IF(Atletas!P579="Wu 45 A",404,IF(Atletas!P579="Wu-Hao 46 A",405,IF(OR(Atletas!P579="Taijiquan 16 A",Atletas!P579="Taijiquan 24 A",Atletas!P579="Taijiquan 32 A",Atletas!P579="Taijiquan 42 A"),406,IF(OR(Atletas!P579="Yang 26 B",Atletas!P579="Yang 40 B"),407,IF(OR(Atletas!P579="Chen 25 B",Atletas!P579="Chen 36 B",Atletas!P579="Chen 56 B"),408,IF(Atletas!P579="Sun 73 B",409,IF(Atletas!P579="Wu 45 B",410,IF(Atletas!P579="Wu-Hao 46 B",411,IF(OR(Atletas!P579="Taijiquan 16 B",Atletas!P579="Taijiquan 24 B",Atletas!P579="Taijiquan 32 B",Atletas!P579="Taijiquan 42 B"),412,IF(OR(Atletas!P579="Yang 26 C",Atletas!P579="Yang 40 C"),413,IF(OR(Atletas!P579="Chen 25 C",Atletas!P579="Chen 36 C",Atletas!P579="Chen 56 C"),414,IF(Atletas!P579="Sun 73 C",415,IF(Atletas!P579="Wu 45 C",416,IF(Atletas!P579="Wu-Hao 46 C",417,IF(OR(Atletas!P579="Taijiquan 16 C",Atletas!P579="Taijiquan 24 C",Atletas!P579="Taijiquan 32 C",Atletas!P579="Taijiquan 42 C"),418,0)))))))))))))))))))</f>
        <v/>
      </c>
      <c r="BX588" s="50" t="str">
        <f>IF(Atletas!P579="","",IF(Atletas!X579&lt;&gt;"",10000,0)+IF(Atletas!B579="Feminino",1000,IF(Atletas!B579="Masculino",2000,""))+IF(OR(Atletas!P579="Yang 26 D",Atletas!P579="Yang 40 D"),419,IF(OR(Atletas!P579="Chen 25 D",Atletas!P579="Chen 36 D",Atletas!P579="Chen 56 D"),420,IF(Atletas!P579="Sun 73 D",421,IF(Atletas!P579="Wu 45 D",422,IF(Atletas!P579="Wu-Hao 46 D",423,IF(OR(Atletas!P579="Taijiquan 16 D",Atletas!P579="Taijiquan 24 D",Atletas!P579="Taijiquan 32 D",Atletas!P579="Taijiquan 42 D"),424,IF(OR(Atletas!P579="Yang 26 E",Atletas!P579="Yang 40 E"),425,IF(OR(Atletas!P579="Chen 25 E",Atletas!P579="Chen 36 E",Atletas!P579="Chen 56 E"),426,IF(Atletas!P579="Sun 73 E",427,IF(Atletas!P579="Wu 45 E",428,IF(Atletas!P579="Wu-Hao 46 E",429,IF(OR(Atletas!P579="Taijiquan 16 E",Atletas!P579="Taijiquan 24 E",Atletas!P579="Taijiquan 32 E",Atletas!P579="Taijiquan 42 E"),430,IF(OR(Atletas!P579="Yang 26 F",Atletas!P579="Yang 40 F"),431,IF(OR(Atletas!P579="Chen 25 F",Atletas!P579="Chen 36 F",Atletas!P579="Chen 56 F"),432,IF(Atletas!P579="Sun 73 F",433,IF(Atletas!P579="Wu 45 F",434,IF(Atletas!P579="Wu-Hao 46 F",435,IF(OR(Atletas!P579="Taijiquan 16 F",Atletas!P579="Taijiquan 24 F",Atletas!P579="Taijiquan 32 F",Atletas!P579="Taijiquan 42 F"),436,0)))))))))))))))))))</f>
        <v/>
      </c>
      <c r="BY588" s="50" t="str">
        <f>IF(Atletas!Q579="","",IF(Atletas!X579&lt;&gt;"",10000,0)+IF(Atletas!B579="Feminino",1000,IF(Atletas!B579="Masculino",2000,""))+IF(Atletas!Q579="Xingyiquan A",501,IF(Atletas!Q579="Baguazhang A",502,IF(Atletas!Q579="Outro Estilo Interno A",503,IF(Atletas!Q579="Xingyiquan B",504,IF(Atletas!Q579="Baguazhang B",505,IF(Atletas!Q579="Outro Estilo Interno B",506,IF(Atletas!Q579="Xingyiquan C",507,IF(Atletas!Q579="Baguazhang C",508,IF(Atletas!Q579="Outro Estilo Interno C",509,IF(Atletas!Q579="Xingyiquan D",510,IF(Atletas!Q579="Baguazhang D",511,IF(Atletas!Q579="Outro Estilo Interno D",512,IF(Atletas!Q579="Xingyiquan E",513,IF(Atletas!Q579="Baguazhang E",514,IF(Atletas!Q579="Outro Estilo Interno E",515,IF(Atletas!Q579="Xingyiquan F",516,IF(Atletas!Q579="Baguazhang F",517,IF(Atletas!Q579="Outro Estilo Interno F",518, "")))))))))))))))))))</f>
        <v/>
      </c>
      <c r="BZ588" s="50" t="str">
        <f>IF(Atletas!R579="","",IF(Atletas!X579&lt;&gt;"",10000,0)+IF(Atletas!B579="Feminino",1000,IF(Atletas!B579="Masculino",2000,""))+IF(Atletas!R579="Dao A",601,IF(Atletas!R579="Jian A",602,IF(Atletas!R579="Bishou A",603,IF(Atletas!R579="Shanzi A",604,IF(Atletas!R579="Outra Arma Curta A",605,IF(Atletas!R579="Dao B",606,IF(Atletas!R579="Jian B",607,IF(Atletas!R579="Bishou B",608,IF(Atletas!R579="Shanzi B",609,IF(Atletas!R579="Outra Arma Curta B",610,IF(Atletas!R579="Dao C",611,IF(Atletas!R579="Jian C",612,IF(Atletas!R579="Bishou C",613,IF(Atletas!R579="Shanzi C",614,IF(Atletas!R579="Outra Arma Curta C",615,IF(Atletas!R579="Dao D",616,IF(Atletas!R579="Jian D",617,IF(Atletas!R579="Bishou D",618,IF(Atletas!R579="Shanzi D",619,IF(Atletas!R579="Outra Arma Curta D",620,IF(Atletas!R579="Dao E",621,IF(Atletas!R579="Jian E",622,IF(Atletas!R579="Bishou E",623,IF(Atletas!R579="Shanzi E",624,IF(Atletas!R579="Outra Arma Curta E",625,IF(Atletas!R579="Dao F",626,IF(Atletas!R579="Jian F",627,IF(Atletas!R579="Bishou F",628,IF(Atletas!R579="Shanzi F",629,IF(Atletas!R579="Outra Arma Curta F",630, "")))))))))))))))))))))))))))))))</f>
        <v/>
      </c>
      <c r="CA588" s="50" t="str">
        <f>IF(Atletas!S579="","",IF(Atletas!X579&lt;&gt;"",10000,0)+IF(Atletas!B579="Feminino",1000,IF(Atletas!B579="Masculino",2000,""))+IF(Atletas!S579="Gun A",701,IF(Atletas!S579="Qiang A",702,IF(Atletas!S579="Pudao / Guandao A",703,IF(Atletas!S579="Outra Arma Longa A",704,IF(Atletas!S579="Gun B",705,IF(Atletas!S579="Qiang B",706,IF(Atletas!S579="Pudao / Guandao B",707,IF(Atletas!S579="Outra Arma Longa B",708,IF(Atletas!S579="Gun C",709,IF(Atletas!S579="Qiang C",710,IF(Atletas!S579="Pudao / Guandao C",711,IF(Atletas!S579="Outra Arma Longa C",712,IF(Atletas!S579="Gun D",713,IF(Atletas!S579="Qiang D",714,IF(Atletas!S579="Pudao / Guandao D",715,IF(Atletas!S579="Outra Arma Longa D",716,IF(Atletas!S579="Gun E",717,IF(Atletas!S579="Qiang E",718,IF(Atletas!S579="Pudao / Guandao E",719,IF(Atletas!S579="Outra Arma Longa E",720,IF(Atletas!S579="Gun F",721,IF(Atletas!S579="Qiang F",722,IF(Atletas!S579="Pudao / Guandao F",723,IF(Atletas!S579="Outra Arma Longa F",724,"")))))))))))))))))))))))))</f>
        <v/>
      </c>
      <c r="CB588" s="50" t="str">
        <f>IF(Atletas!T579="","",IF(Atletas!X579&lt;&gt;"",10000,0)+IF(Atletas!B579="Feminino",1000,IF(Atletas!B579="Masculino",2000,""))+IF(Atletas!T579="Outra Arma Dupla A",801,IF(Atletas!T579="Arma Maleável A",802,IF(Atletas!T579="Outra Arma Dupla B",803,IF(Atletas!T579="Arma Maleável B",804,IF(Atletas!T579="Outra Arma Dupla C",805,IF(Atletas!T579="Arma Maleável C",806,IF(Atletas!T579="Outra Arma Dupla D",807,IF(Atletas!T579="Arma Maleável D",808,IF(Atletas!T579="Outra Arma Dupla E",809,IF(Atletas!T579="Arma Maleável E",810,IF(Atletas!T579="Outra Arma Dupla F",811,IF(Atletas!T579="Arma Maleável F",812,IF(Atletas!T579="Shuangdao A",813,IF(Atletas!T579="Shuangdao B",814,IF(Atletas!T579="Shuangdao C",815,IF(Atletas!T579="Shuangdao D",816,IF(Atletas!T579="Shuangdao E",817,IF(Atletas!T579="Shuangdao F",818,"")))))))))))))))))))</f>
        <v/>
      </c>
      <c r="CC588" s="50" t="str">
        <f>IF(Atletas!U579="","",IF(Atletas!X579&lt;&gt;"",10000,0)+IF(Atletas!B579="Feminino",1000,IF(Atletas!B579="Masculino",2000,""))+IF(OR(Atletas!U579="Taijijian Yang A",Atletas!U579="Taijijian Yang Standard A"),901,IF(OR(Atletas!U579="Taijijian Chen A", Atletas!U579="Taijijian Chen Standard A"),902,IF(Atletas!U579="Taijijian Sun A",903,IF(Atletas!U579="Taijijian Wu A",904,IF(Atletas!U579="Taijijian Wu-Hao A",905,IF(OR(Atletas!U579="Taijijian 32 A",Atletas!U579="Taijijian 42 A"),906,IF(OR(Atletas!U579="Taijijian Yang B",Atletas!U579="Taijijian Yang Standard B"),907,IF(OR(Atletas!U579="Taijijian Chen B", Atletas!U579="Taijijian Chen Standard B"),908,IF(Atletas!U579="Taijijian Sun B",909,IF(Atletas!U579="Taijijian Wu B",910,IF(Atletas!U579="Taijijian Wu-Hao B",911,IF(OR(Atletas!U579="Taijijian 32 B",Atletas!U579="Taijijian 42 B"),912,IF(OR(Atletas!U579="Taijijian Yang C",Atletas!U579="Taijijian Yang Standard C"),913,IF(OR(Atletas!U579="Taijijian Chen C", Atletas!U579="Taijijian Chen Standard C"),914,IF(Atletas!U579="Taijijian Sun C",915,IF(Atletas!U579="Taijijian Wu C",916,IF(Atletas!U579="Taijijian Wu-Hao C",917,IF(OR(Atletas!U579="Taijijian 32 C",Atletas!U579="Taijijian 42 C"),918,IF(OR(Atletas!U579="Taijijian Yang D",Atletas!U579="Taijijian Yang Standard D"),919,IF(OR(Atletas!U579="Taijijian Chen D", Atletas!U579="Taijijian Chen Standard D"),920,IF(Atletas!U579="Taijijian Sun D",921,IF(Atletas!U579="Taijijian Wu D",922,IF(Atletas!U579="Taijijian Wu-Hao D",923,IF(OR(Atletas!U579="Taijijian 32 D",Atletas!U579="Taijijian 42 D"),924,IF(OR(Atletas!U579="Taijijian Yang E",Atletas!U579="Taijijian Yang Standard E"),925,IF(OR(Atletas!U579="Taijijian Chen E", Atletas!U579="Taijijian Chen Standard E"),926,IF(Atletas!U579="Taijijian Sun E",927,IF(Atletas!U579="Taijijian Wu E",928,IF(Atletas!U579="Taijijian Wu-Hao E",929,IF(OR(Atletas!U579="Taijijian 32 E",Atletas!U579="Taijijian 42 E"),930,IF(OR(Atletas!U579="Taijijian Yang F",Atletas!U579="Taijijian Yang Standard F"),931,IF(OR(Atletas!U579="Taijijian Chen F", Atletas!U579="Taijijian Chen Standard F"),932,IF(Atletas!U579="Taijijian Sun F",933,IF(Atletas!U579="Taijijian Wu F",934,IF(Atletas!U579="Taijijian Wu-Hao F",935,IF(OR(Atletas!U579="Taijijian 32 F",Atletas!U579="Taijijian 42 F"),936,"")))))))))))))))))))))))))))))))))))))</f>
        <v/>
      </c>
      <c r="CD588" s="50" t="str">
        <f>IF(Atletas!V579="","",IF(Atletas!X579&lt;&gt;"",10000,0)+IF(Atletas!B579="Feminino",1000,IF(Atletas!B579="Masculino",2000,""))+IF(Atletas!V579="Taijidao A",937,IF(Atletas!V579="TaijiShanzi A",938,IF(Atletas!V579="Taijiqiang A",939,IF(Atletas!V579="Bagua de Arma A",940,IF(Atletas!V579="Xingyi de Arma A",941,IF(Atletas!V579="Taijidao B",942,IF(Atletas!V579="TaijiShanzi B",943,IF(Atletas!V579="Taijiqiang B",944,IF(Atletas!V579="Bagua de Arma B",945,IF(Atletas!V579="Xingyi de Arma B",946,IF(Atletas!V579="Taijidao C",947,IF(Atletas!V579="TaijiShanzi C",948,IF(Atletas!V579="Taijiqiang C",949,IF(Atletas!V579="Bagua de Arma C",950,IF(Atletas!V579="Xingyi de Arma C",951,IF(Atletas!V579="Taijidao D",952,IF(Atletas!V579="TaijiShanzi D",953,IF(Atletas!V579="Taijiqiang D",954,IF(Atletas!V579="Bagua de Arma D",955,IF(Atletas!V579="Xingyi de Arma D",956,IF(Atletas!V579="Taijidao E",957,IF(Atletas!V579="TaijiShanzi E",958,IF(Atletas!V579="Taijiqiang E",959,IF(Atletas!V579="Bagua de Arma E",960,IF(Atletas!V579="Xingyi de Arma E",961,IF(Atletas!V579="Taijidao F",962,IF(Atletas!V579="TaijiShanzi F",963,IF(Atletas!V579="Taijiqiang F",964,IF(Atletas!V579="Bagua de Arma F",965,IF(Atletas!V579="Xingyi de Arma F",966,"")))))))))))))))))))))))))))))))</f>
        <v/>
      </c>
      <c r="CM588" s="50" t="str">
        <f xml:space="preserve"> IF(Atletas!W579="","",IF(Atletas!W579="Duilian de Mãos BC - Equipe 1",1,IF(Atletas!W579="Duilian de Mãos BC - Equipe 2",2,IF(Atletas!W579="Duilian de Armas BC - Equipe 1",3,IF(Atletas!W579="Duilian de Armas BC - Equipe 2",4,IF(Atletas!W579="Duilian de Mãos DE - Equipe 1",5,IF(Atletas!W579="Duilian de Mãos DE - Equipe 2",6,IF(Atletas!W579="Duilian de Armas DE - Equipe 1",7,IF(Atletas!W579="Duilian de Armas DE - Equipe 2",8,IF(Atletas!W579="Duilian de Tuishou - Equipe 1",9,IF(Atletas!W579="Duilian de Tuishou - Equipe 2",10,IF(Atletas!W579="Grupo Externo ABC - Equipe 1",11,IF(Atletas!W579="Grupo Externo ABC - Equipe 2",12,IF(Atletas!W579="Grupo Interno ABC - Equipe 1",13,IF(Atletas!W579="Grupo Interno ABC - Equipe 2",14,IF(Atletas!W579="Grupo Externo DEF - Equipe 1",15,IF(Atletas!W579="Grupo Externo DEF - Equipe 2",16,IF(Atletas!W579="Grupo Interno DEF - Equipe 1",17,IF(Atletas!W579="Grupo Interno DEF - Equipe 2",18,"")))))))))))))))))))</f>
        <v/>
      </c>
    </row>
    <row r="589" spans="40:91">
      <c r="AN589" s="52" t="str">
        <f>IF(Atletas!D580="","",IF(Atletas!B580="Feminino",100,IF(Atletas!B580="Masculino",200,""))+(IF(Atletas!D580="Kids 30kg",1,IF(Atletas!D580="Kids 32kg",2, IF(Atletas!D580="Kids 34kg",3,IF(Atletas!D580="Kids 36kg",4,IF(Atletas!D580="Kids 39kg",5,IF(Atletas!D580="Kids 42kg",6,IF(Atletas!D580="Kids 45kg",7, IF(Atletas!D580="Infantil 39kg",8,IF(Atletas!D580="Infantil 42kg",9,IF(Atletas!D580="Infantil 45kg",10,IF(Atletas!D580="Infantil 48kg",11,IF(Atletas!D580="Infantil 52kg",12,IF(Atletas!D580="Infantil 56kg",13,IF(Atletas!D580="Infantil 60kg",14,IF(Atletas!D580="Juvenil 48kg",15,IF(Atletas!D580="Juvenil 52kg",16,IF(Atletas!D580="Juvenil 56kg",17,IF(Atletas!D580="Juvenil 60kg",18,IF(Atletas!D580="Juvenil 65kg",19,IF(Atletas!D580="Juvenil 70kg",20,IF(Atletas!D580="Juvenil 75kg",21,IF(Atletas!D580="Juvenil 80kg",22, IF(Atletas!D580="Juvenil 85kg",23,IF(Atletas!D580="Adulto 48kg",24,IF(Atletas!D580="Adulto 52kg",25,IF(Atletas!D580="Adulto 56kg",26,IF(Atletas!D580="Adulto 60kg",27,IF(Atletas!D580="Adulto 65kg",28,IF(Atletas!D580="Adulto 70kg",29,IF(Atletas!D580="Adulto 75kg",30,IF(Atletas!D580="Adulto 80kg",31,IF(Atletas!D580="Adulto 85kg",32,IF(Atletas!D580="Adulto 90kg",33,IF(Atletas!D580="Adulto 100kg",34, IF(Atletas!D580="Adulto +100kg",35,"")))))))))))))))))))))))))))))))))))))</f>
        <v/>
      </c>
      <c r="AS589" s="6" t="str">
        <f>IF(Atletas!E580="","",IF(Atletas!B580="Feminino",100,IF(Atletas!B580="Masculino",200,""))+(IF(Atletas!E580="Juvenil 44kg",1,IF(Atletas!E580="Juvenil 48kg",2,IF(Atletas!E580="Juvenil 52kg",3,IF(Atletas!E580="Juvenil 56kg",4,IF(Atletas!E580="Juvenil 60kg",5,IF(Atletas!E580="Juvenil 65kg",6,IF(Atletas!E580="Juvenil 70kg",7,IF(Atletas!E580="Juvenil 75kg",8,IF(Atletas!E580="Juvenil 82kg",9,IF(Atletas!E580="Juvenil 90kg",10,IF(Atletas!E580="Juvenil 100kg",11,IF(Atletas!E580="Adulto 48kg",12,IF(Atletas!E580="Adulto 52kg",13,IF(Atletas!E580="Adulto 56kg",14,IF(Atletas!E580="Adulto 60kg",15,IF(Atletas!E580="Adulto 65kg",16,IF(Atletas!E580="Adulto 70kg",17,IF(Atletas!E580="Adulto 75kg",18,IF(Atletas!E580="Adulto 82kg",19,IF(Atletas!E580="Adulto 90kg",20,IF(Atletas!E580="Adulto 100kg",21,IF(Atletas!E580="Adulto +100kg",22,""))))))))))))))))))))))))</f>
        <v/>
      </c>
      <c r="AX589" s="6" t="str">
        <f>IF(Atletas!F580="","",IF(Atletas!B580="Feminino",100,IF(Atletas!B580="Masculino",200,""))+(IF(Atletas!F580="Adulto 48kg",1,IF(Atletas!F580="Adulto 56kg",2,IF(Atletas!F580="Adulto 65kg",3,IF(Atletas!F580="Adulto 75kg",4,IF(Atletas!F580="Adulto +75kg",5,IF(Atletas!F580="Adulto 52kg",6,IF(Atletas!F580="Adulto 60kg",7,IF(Atletas!F580="Adulto 70kg",8,IF(Atletas!F580="Adulto 80kg",9,IF(Atletas!F580="Adulto 90kg",10,IF(Atletas!F580="Adulto +90kg",11,"")))))))))))))</f>
        <v/>
      </c>
      <c r="BC589" s="6" t="str">
        <f>IF(Atletas!G580="","",IF(Atletas!B580="Feminino",10,IF(Atletas!B580="Masculino",20,""))+(IF(Atletas!G580="Baduanjin A",1,IF(Atletas!G580="Baduanjin B",2))))</f>
        <v/>
      </c>
      <c r="BF589" s="52" t="str">
        <f>IF(Atletas!H580="","",IF(Atletas!B580="Feminino",100,IF(Atletas!B580="Masculino",200,""))+(IF(Atletas!H580="Changquan Mirim",1,IF(Atletas!H580="Nanquan Mirim",2,IF(Atletas!H580="Taijiquan Mirim",3,IF(Atletas!H580="Changquan Grupo C",4,IF(Atletas!H580="Nanquan Grupo C",5,IF(Atletas!H580="Taijiquan Grupo C",6,IF(Atletas!H580="Changquan Grupo B",7,IF(Atletas!H580="Nanquan Grupo B",8,IF(Atletas!H580="Taijiquan Grupo B",9,IF(Atletas!H580="Changquan Grupo A",10,IF(Atletas!H580="Nanquan Grupo A",11,IF(Atletas!H580="Taijiquan Grupo A",12,IF(Atletas!H580="Changquan Opcional",13,IF(Atletas!H580="Nanquan Opcional",14,IF(Atletas!H580="Taijiquan Opcional",15,IF(Atletas!H580="Changquan Adulto",16,IF(Atletas!H580="Nanquan Adulto",17,IF(Atletas!H580="Taijiquan Adulto",18,""))))))))))))))))))))</f>
        <v/>
      </c>
      <c r="BG589" s="52" t="str">
        <f>IF(Atletas!I580="","",IF(Atletas!B580="Feminino",100,IF(Atletas!B580="Masculino",200,""))+(IF(Atletas!I580="Daoshu Mirim",19,IF(Atletas!I580="Jianshu Mirim",20,IF(Atletas!I580="Nandao Mirim",21,IF(Atletas!I580="Taijijian Mirim",22,IF(Atletas!I580="Daoshu Grupo C",23,IF(Atletas!I580="Jianshu Grupo C",24,IF(Atletas!I580="Nandao Grupo C",25,IF(Atletas!I580="Taijijian Grupo C",26,IF(Atletas!I580="Daoshu Grupo B",27,IF(Atletas!I580="Jianshu Grupo B",28,IF(Atletas!I580="Nandao Grupo B",29,IF(Atletas!I580="Taijijian Grupo B",30,IF(Atletas!I580="Daoshu Grupo A",31,IF(Atletas!I580="Jianshu Grupo A",32,IF(Atletas!I580="Nandao Grupo A",33,IF(Atletas!I580="Taijijian Grupo A",34,IF(Atletas!I580="Daoshu Opcional",35,IF(Atletas!I580="Jianshu Opcional",36,IF(Atletas!I580="Nandao Opcional",37,IF(Atletas!I580="Taijijian Opcional",38,IF(Atletas!I580="Daoshu Adulto",39,IF(Atletas!I580="Jianshu Adulto",40,IF(Atletas!I580="Nandao Adulto",41,IF(Atletas!I580="Taijijian Adulto",42,""))))))))))))))))))))))))))</f>
        <v/>
      </c>
      <c r="BH589" s="52" t="str">
        <f>IF(Atletas!J580="","",IF(Atletas!B580="Feminino",100,IF(Atletas!B580="Masculino",200,""))+(IF(Atletas!J580="Gunshu Mirim",43,IF(Atletas!J580="Qiangshu Mirim",44,IF(Atletas!J580="Nangun Mirim",45,IF(Atletas!J580="Gunshu Grupo C",46,IF(Atletas!J580="Qiangshu Grupo C",47,IF(Atletas!J580="Nangun Grupo C",48,IF(Atletas!J580="Gunshu Grupo B",49,IF(Atletas!J580="Qiangshu Grupo B",50,IF(Atletas!J580="Nangun Grupo B",51,IF(Atletas!J580="Gunshu Grupo A",52,IF(Atletas!J580="Qiangshu Grupo A",53,IF(Atletas!J580="Nangun Grupo A",54,IF(Atletas!J580="Gunshu Opcional",55,IF(Atletas!J580="Qiangshu Opcional",56,IF(Atletas!J580="Nangun Opcional",57,IF(Atletas!J580="Gunshu Adulto",58,IF(Atletas!J580="Qiangshu Adulto",59,IF(Atletas!J580="Nangun Adulto",60,IF(Atletas!J580="Taijishan Grupo B",61,IF(Atletas!J580="Taijishan Grupo A",62,""))))))))))))))))))))))</f>
        <v/>
      </c>
      <c r="BM589" s="50" t="str">
        <f>IF(Atletas!K580="","",IF(Atletas!B580="Feminino",100,IF(Atletas!B580="Masculino",200,""))+(IF(Atletas!K580="Equipe 1 Grupo B",1,IF(Atletas!K580="Equipe 2 Grupo B",2,IF(Atletas!K580="Equipe 1 Grupo A",3,IF(Atletas!K580="Equipe 2 Grupo A",4,IF(Atletas!K580="Equipe 1 Adulto",5,IF(Atletas!K580="Equipe 2 Adulto",6,""))))))))</f>
        <v/>
      </c>
      <c r="BR589" s="50" t="str">
        <f>IF(Atletas!L580="","",IF(Atletas!X580&lt;&gt;"",10000,0)+(IF(Atletas!B580="Feminino",1000,IF(Atletas!B580="Masculino",2000,""))+IF(Atletas!L580="Choylayfut A",1,IF(Atletas!L580="Hunggar A",2,IF(Atletas!L580="Wuzuquan A",3,IF(Atletas!L580="Wingchun A",4,IF(Atletas!L580="Outra Mão de Sul A",5,IF(Atletas!L580="Choylayfut B",6,IF(Atletas!L580="Hunggar B",7,IF(Atletas!L580="Wuzuquan B",8,IF(Atletas!L580="Wingchun B",9,IF(Atletas!L580="Outra Mão de Sul B",10,IF(Atletas!L580="Choylayfut C",11,IF(Atletas!L580="Hunggar C",12,IF(Atletas!L580="Wuzuquan C",13,IF(Atletas!L580="Wingchun C",14,IF(Atletas!L580="Outra Mão de Sul C",15,IF(Atletas!L580="Choylayfut D",16,IF(Atletas!L580="Hunggar D",17,IF(Atletas!L580="Wuzuquan D",18,IF(Atletas!L580="Wingchun D",19,IF(Atletas!L580="Outra Mão de Sul D",20,IF(Atletas!L580="Choylayfut E",21,IF(Atletas!L580="Hunggar E",22,IF(Atletas!L580="Wuzuquan E",23,IF(Atletas!L580="Wingchun E",24,IF(Atletas!L580="Outra Mão de Sul E",25,IF(Atletas!L580="Choylayfut F",26,IF(Atletas!L580="Hunggar F",27,IF(Atletas!L580="Wuzuquan F",28,IF(Atletas!L580="Wingchun F",29,IF(Atletas!L580="Outra Mão de Sul F",30,IF(Atletas!L580="Dishuquan A",31,IF(Atletas!L580="Dishuquan B",32,IF(Atletas!L580="Dishuquan C",33,IF(Atletas!L580="Dishuquan D",34,IF(Atletas!L580="Dishuquan E",35,IF(Atletas!L580="Dishuquan F",36,""))))))))))))))))))))))))))))))))))))))</f>
        <v/>
      </c>
      <c r="BS589" s="50" t="str">
        <f>IF(Atletas!M580="","",IF(Atletas!X580&lt;&gt;"",10000,0)+(IF(Atletas!B580="Feminino",1000,IF(Atletas!B580="Masculino",2000,""))+(IF(Atletas!M580="Chaquan A",101,IF(Atletas!M580="Emeiquan A",102,IF(Atletas!M580="Fanziquan A",103,IF(Atletas!M580="Huaquan A",104,IF(Atletas!M580="Hongquan A",105,IF(Atletas!M580="Paoquan A",106,IF(Atletas!M580="Piguaquan A",107,IF(Atletas!M580="Shaolinquan A",108,IF(Atletas!M580="Tanglangquan A",109,IF(Atletas!M580="Yingzhaoquan A",110,IF(Atletas!M580="Tongbeiquan A",111,IF(Atletas!M580="Wudangquan A",112,IF(Atletas!M580="Outros Estilos A",113,IF(Atletas!M580="Chaquan B",114,IF(Atletas!M580="Emeiquan B",115,IF(Atletas!M580="Fanziquan B",116,IF(Atletas!M580="Huaquan B",117,IF(Atletas!M580="Hongquan B",118,IF(Atletas!M580="Paoquan B",119,IF(Atletas!M580="Piguaquan B",120,IF(Atletas!M580="Shaolinquan B",121,IF(Atletas!M580="Tanglangquan B",122,IF(Atletas!M580="Yingzhaoquan B",123,IF(Atletas!M580="Tongbeiquan B",124,IF(Atletas!M580="Wudangquan B",125,IF(Atletas!M580="Outros Estilos B",126,IF(Atletas!M580="Chaquan C",127,IF(Atletas!M580="Emeiquan C",128,IF(Atletas!M580="Fanziquan C",129,IF(Atletas!M580="Huaquan C",130,IF(Atletas!M580="Hongquan C",131,IF(Atletas!M580="Paoquan C",132,IF(Atletas!M580="Piguaquan C",133,IF(Atletas!M580="Shaolinquan C",134,IF(Atletas!M580="Tanglangquan C",135,IF(Atletas!M580="Yingzhaoquan C",136,IF(Atletas!M580="Tongbeiquan C",137,IF(Atletas!M580="Wudangquan C",138,IF(Atletas!M580="Outros Estilos C",139,0))))))))))))))))))))))))))))))))))))))))))</f>
        <v/>
      </c>
      <c r="BT589" s="50" t="str">
        <f>IF(Atletas!M580="","",IF(Atletas!X580&lt;&gt;"",10000,0)+(IF(Atletas!B580="Feminino",1000,IF(Atletas!B580="Masculino",2000,""))+(IF(Atletas!M580="Chaquan D",140,IF(Atletas!M580="Emeiquan D",141,IF(Atletas!M580="Fanziquan D",142,IF(Atletas!M580="Huaquan D",143,IF(Atletas!M580="Hongquan D",144,IF(Atletas!M580="Paoquan D",145,IF(Atletas!M580="Piguaquan D",146,IF(Atletas!M580="Shaolinquan D",147,IF(Atletas!M580="Tanglangquan D",148,IF(Atletas!M580="Yingzhaoquan D",149,IF(Atletas!M580="Tongbeiquan D",150,IF(Atletas!M580="Wudangquan D",151,IF(Atletas!M580="Outros Estilos D",152,IF(Atletas!M580="Chaquan E",153,IF(Atletas!M580="Emeiquan E",154,IF(Atletas!M580="Fanziquan E",155,IF(Atletas!M580="Huaquan E",156,IF(Atletas!M580="Hongquan E",157,IF(Atletas!M580="Paoquan E",158,IF(Atletas!M580="Piguaquan E",159,IF(Atletas!M580="Shaolinquan E",160,IF(Atletas!M580="Tanglangquan E",161,IF(Atletas!M580="Yingzhaoquan E",162,IF(Atletas!M580="Tongbeiquan E",163,IF(Atletas!M580="Wudangquan E",164,IF(Atletas!M580="Outros Estilos E",165,IF(Atletas!M580="Chaquan F",166,IF(Atletas!M580="Emeiquan F",167,IF(Atletas!M580="Fanziquan F",168,IF(Atletas!M580="Huaquan F",169,IF(Atletas!M580="Hongquan F",170,IF(Atletas!M580="Paoquan F",171,IF(Atletas!M580="Piguaquan F",172,IF(Atletas!M580="Shaolinquan F",173,IF(Atletas!M580="Tanglangquan F",174,IF(Atletas!M580="Yingzhaoquan F",175,IF(Atletas!M580="Tongbeiquan F",176,IF(Atletas!M580="Wudangquan F",177,IF(Atletas!M580="Outros Estilos F",178,0))))))))))))))))))))))))))))))))))))))))))</f>
        <v/>
      </c>
      <c r="BU589" s="50" t="str">
        <f>IF(Atletas!N580="","",IF(Atletas!X580&lt;&gt;"",10000,0)+(IF(Atletas!B580="Feminino",1000,IF(Atletas!B580="Masculino",2000,""))+(IF(Atletas!N580="Ditangquan A",201,IF(Atletas!N580="Houquan A",202,IF(Atletas!N580="Zuiquan A",203,IF(Atletas!N580="Ditangquan B",204,IF(Atletas!N580="Houquan B",205,IF(Atletas!N580="Zuiquan B",206,IF(Atletas!N580="Ditangquan C",207,IF(Atletas!N580="Houquan C",208,IF(Atletas!N580="Zuiquan C",209,IF(Atletas!N580="Ditangquan D",210,IF(Atletas!N580="Houquan D",211,IF(Atletas!N580="Zuiquan D",212,IF(Atletas!N580="Ditangquan E",213,IF(Atletas!N580="Houquan E",214,IF(Atletas!N580="Zuiquan E",215,IF(Atletas!N580="Ditangquan F",216,IF(Atletas!N580="Houquan F",217,IF(Atletas!N580="Zuiquan F",218,"")))))))))))))))))))))</f>
        <v/>
      </c>
      <c r="BV589" s="50" t="str">
        <f>IF(Atletas!O580="","",IF(Atletas!X580&lt;&gt;"",10000,0)+IF(Atletas!B580="Feminino",1000,IF(Atletas!B580="Masculino",2000,""))+IF(Atletas!O580="Yang A",301,IF(Atletas!O580="Chen A",302,IF(Atletas!O580="Sun A",303,IF(Atletas!O580="Wu A",304,IF(Atletas!O580="Wu-Hao A",305,IF(Atletas!O580="Outro Taijiquan A",306,IF(Atletas!O580="Yang B",307,IF(Atletas!O580="Chen B",308,IF(Atletas!O580="Sun B",309,IF(Atletas!O580="Wu B",310,IF(Atletas!O580="Wu-Hao B",311,IF(Atletas!O580="Outro Taijiquan B",312,IF(Atletas!O580="Yang C",313,IF(Atletas!O580="Chen C",314,IF(Atletas!O580="Sun C",315,IF(Atletas!O580="Wu C",316,IF(Atletas!O580="Wu-Hao C",317,IF(Atletas!O580="Outro Taijiquan C",318,IF(Atletas!O580="Yang D",319,IF(Atletas!O580="Chen D",320,IF(Atletas!O580="Sun D",321,IF(Atletas!O580="Wu D",322,IF(Atletas!O580="Wu-Hao D",323,IF(Atletas!O580="Outro Taijiquan D",324,IF(Atletas!O580="Yang E",325,IF(Atletas!O580="Chen E",326,IF(Atletas!O580="Sun E",327,IF(Atletas!O580="Wu E",328,IF(Atletas!O580="Wu-Hao E",329,IF(Atletas!O580="Outro Taijiquan E",330,IF(Atletas!O580="Yang F",331,IF(Atletas!O580="Chen F",332,IF(Atletas!O580="Sun F",333,IF(Atletas!O580="Wu F",334,IF(Atletas!O580="Wu-Hao F",335,IF(Atletas!O580="Outro Taijiquan F",336,"")))))))))))))))))))))))))))))))))))))</f>
        <v/>
      </c>
      <c r="BW589" s="50" t="str">
        <f>IF(Atletas!P580="","",IF(Atletas!X580&lt;&gt;"",10000,0)+IF(Atletas!B580="Feminino",1000,IF(Atletas!B580="Masculino",2000,""))+IF(OR(Atletas!P580="Yang 26 A",Atletas!P580="Yang 40 A"),401,IF(OR(Atletas!P580="Chen 25 A",Atletas!P580="Chen 36 A",Atletas!P580="Chen 56 A"),402,IF(Atletas!P580="Sun 73 A",403,IF(Atletas!P580="Wu 45 A",404,IF(Atletas!P580="Wu-Hao 46 A",405,IF(OR(Atletas!P580="Taijiquan 16 A",Atletas!P580="Taijiquan 24 A",Atletas!P580="Taijiquan 32 A",Atletas!P580="Taijiquan 42 A"),406,IF(OR(Atletas!P580="Yang 26 B",Atletas!P580="Yang 40 B"),407,IF(OR(Atletas!P580="Chen 25 B",Atletas!P580="Chen 36 B",Atletas!P580="Chen 56 B"),408,IF(Atletas!P580="Sun 73 B",409,IF(Atletas!P580="Wu 45 B",410,IF(Atletas!P580="Wu-Hao 46 B",411,IF(OR(Atletas!P580="Taijiquan 16 B",Atletas!P580="Taijiquan 24 B",Atletas!P580="Taijiquan 32 B",Atletas!P580="Taijiquan 42 B"),412,IF(OR(Atletas!P580="Yang 26 C",Atletas!P580="Yang 40 C"),413,IF(OR(Atletas!P580="Chen 25 C",Atletas!P580="Chen 36 C",Atletas!P580="Chen 56 C"),414,IF(Atletas!P580="Sun 73 C",415,IF(Atletas!P580="Wu 45 C",416,IF(Atletas!P580="Wu-Hao 46 C",417,IF(OR(Atletas!P580="Taijiquan 16 C",Atletas!P580="Taijiquan 24 C",Atletas!P580="Taijiquan 32 C",Atletas!P580="Taijiquan 42 C"),418,0)))))))))))))))))))</f>
        <v/>
      </c>
      <c r="BX589" s="50" t="str">
        <f>IF(Atletas!P580="","",IF(Atletas!X580&lt;&gt;"",10000,0)+IF(Atletas!B580="Feminino",1000,IF(Atletas!B580="Masculino",2000,""))+IF(OR(Atletas!P580="Yang 26 D",Atletas!P580="Yang 40 D"),419,IF(OR(Atletas!P580="Chen 25 D",Atletas!P580="Chen 36 D",Atletas!P580="Chen 56 D"),420,IF(Atletas!P580="Sun 73 D",421,IF(Atletas!P580="Wu 45 D",422,IF(Atletas!P580="Wu-Hao 46 D",423,IF(OR(Atletas!P580="Taijiquan 16 D",Atletas!P580="Taijiquan 24 D",Atletas!P580="Taijiquan 32 D",Atletas!P580="Taijiquan 42 D"),424,IF(OR(Atletas!P580="Yang 26 E",Atletas!P580="Yang 40 E"),425,IF(OR(Atletas!P580="Chen 25 E",Atletas!P580="Chen 36 E",Atletas!P580="Chen 56 E"),426,IF(Atletas!P580="Sun 73 E",427,IF(Atletas!P580="Wu 45 E",428,IF(Atletas!P580="Wu-Hao 46 E",429,IF(OR(Atletas!P580="Taijiquan 16 E",Atletas!P580="Taijiquan 24 E",Atletas!P580="Taijiquan 32 E",Atletas!P580="Taijiquan 42 E"),430,IF(OR(Atletas!P580="Yang 26 F",Atletas!P580="Yang 40 F"),431,IF(OR(Atletas!P580="Chen 25 F",Atletas!P580="Chen 36 F",Atletas!P580="Chen 56 F"),432,IF(Atletas!P580="Sun 73 F",433,IF(Atletas!P580="Wu 45 F",434,IF(Atletas!P580="Wu-Hao 46 F",435,IF(OR(Atletas!P580="Taijiquan 16 F",Atletas!P580="Taijiquan 24 F",Atletas!P580="Taijiquan 32 F",Atletas!P580="Taijiquan 42 F"),436,0)))))))))))))))))))</f>
        <v/>
      </c>
      <c r="BY589" s="50" t="str">
        <f>IF(Atletas!Q580="","",IF(Atletas!X580&lt;&gt;"",10000,0)+IF(Atletas!B580="Feminino",1000,IF(Atletas!B580="Masculino",2000,""))+IF(Atletas!Q580="Xingyiquan A",501,IF(Atletas!Q580="Baguazhang A",502,IF(Atletas!Q580="Outro Estilo Interno A",503,IF(Atletas!Q580="Xingyiquan B",504,IF(Atletas!Q580="Baguazhang B",505,IF(Atletas!Q580="Outro Estilo Interno B",506,IF(Atletas!Q580="Xingyiquan C",507,IF(Atletas!Q580="Baguazhang C",508,IF(Atletas!Q580="Outro Estilo Interno C",509,IF(Atletas!Q580="Xingyiquan D",510,IF(Atletas!Q580="Baguazhang D",511,IF(Atletas!Q580="Outro Estilo Interno D",512,IF(Atletas!Q580="Xingyiquan E",513,IF(Atletas!Q580="Baguazhang E",514,IF(Atletas!Q580="Outro Estilo Interno E",515,IF(Atletas!Q580="Xingyiquan F",516,IF(Atletas!Q580="Baguazhang F",517,IF(Atletas!Q580="Outro Estilo Interno F",518, "")))))))))))))))))))</f>
        <v/>
      </c>
      <c r="BZ589" s="50" t="str">
        <f>IF(Atletas!R580="","",IF(Atletas!X580&lt;&gt;"",10000,0)+IF(Atletas!B580="Feminino",1000,IF(Atletas!B580="Masculino",2000,""))+IF(Atletas!R580="Dao A",601,IF(Atletas!R580="Jian A",602,IF(Atletas!R580="Bishou A",603,IF(Atletas!R580="Shanzi A",604,IF(Atletas!R580="Outra Arma Curta A",605,IF(Atletas!R580="Dao B",606,IF(Atletas!R580="Jian B",607,IF(Atletas!R580="Bishou B",608,IF(Atletas!R580="Shanzi B",609,IF(Atletas!R580="Outra Arma Curta B",610,IF(Atletas!R580="Dao C",611,IF(Atletas!R580="Jian C",612,IF(Atletas!R580="Bishou C",613,IF(Atletas!R580="Shanzi C",614,IF(Atletas!R580="Outra Arma Curta C",615,IF(Atletas!R580="Dao D",616,IF(Atletas!R580="Jian D",617,IF(Atletas!R580="Bishou D",618,IF(Atletas!R580="Shanzi D",619,IF(Atletas!R580="Outra Arma Curta D",620,IF(Atletas!R580="Dao E",621,IF(Atletas!R580="Jian E",622,IF(Atletas!R580="Bishou E",623,IF(Atletas!R580="Shanzi E",624,IF(Atletas!R580="Outra Arma Curta E",625,IF(Atletas!R580="Dao F",626,IF(Atletas!R580="Jian F",627,IF(Atletas!R580="Bishou F",628,IF(Atletas!R580="Shanzi F",629,IF(Atletas!R580="Outra Arma Curta F",630, "")))))))))))))))))))))))))))))))</f>
        <v/>
      </c>
      <c r="CA589" s="50" t="str">
        <f>IF(Atletas!S580="","",IF(Atletas!X580&lt;&gt;"",10000,0)+IF(Atletas!B580="Feminino",1000,IF(Atletas!B580="Masculino",2000,""))+IF(Atletas!S580="Gun A",701,IF(Atletas!S580="Qiang A",702,IF(Atletas!S580="Pudao / Guandao A",703,IF(Atletas!S580="Outra Arma Longa A",704,IF(Atletas!S580="Gun B",705,IF(Atletas!S580="Qiang B",706,IF(Atletas!S580="Pudao / Guandao B",707,IF(Atletas!S580="Outra Arma Longa B",708,IF(Atletas!S580="Gun C",709,IF(Atletas!S580="Qiang C",710,IF(Atletas!S580="Pudao / Guandao C",711,IF(Atletas!S580="Outra Arma Longa C",712,IF(Atletas!S580="Gun D",713,IF(Atletas!S580="Qiang D",714,IF(Atletas!S580="Pudao / Guandao D",715,IF(Atletas!S580="Outra Arma Longa D",716,IF(Atletas!S580="Gun E",717,IF(Atletas!S580="Qiang E",718,IF(Atletas!S580="Pudao / Guandao E",719,IF(Atletas!S580="Outra Arma Longa E",720,IF(Atletas!S580="Gun F",721,IF(Atletas!S580="Qiang F",722,IF(Atletas!S580="Pudao / Guandao F",723,IF(Atletas!S580="Outra Arma Longa F",724,"")))))))))))))))))))))))))</f>
        <v/>
      </c>
      <c r="CB589" s="50" t="str">
        <f>IF(Atletas!T580="","",IF(Atletas!X580&lt;&gt;"",10000,0)+IF(Atletas!B580="Feminino",1000,IF(Atletas!B580="Masculino",2000,""))+IF(Atletas!T580="Outra Arma Dupla A",801,IF(Atletas!T580="Arma Maleável A",802,IF(Atletas!T580="Outra Arma Dupla B",803,IF(Atletas!T580="Arma Maleável B",804,IF(Atletas!T580="Outra Arma Dupla C",805,IF(Atletas!T580="Arma Maleável C",806,IF(Atletas!T580="Outra Arma Dupla D",807,IF(Atletas!T580="Arma Maleável D",808,IF(Atletas!T580="Outra Arma Dupla E",809,IF(Atletas!T580="Arma Maleável E",810,IF(Atletas!T580="Outra Arma Dupla F",811,IF(Atletas!T580="Arma Maleável F",812,IF(Atletas!T580="Shuangdao A",813,IF(Atletas!T580="Shuangdao B",814,IF(Atletas!T580="Shuangdao C",815,IF(Atletas!T580="Shuangdao D",816,IF(Atletas!T580="Shuangdao E",817,IF(Atletas!T580="Shuangdao F",818,"")))))))))))))))))))</f>
        <v/>
      </c>
      <c r="CC589" s="50" t="str">
        <f>IF(Atletas!U580="","",IF(Atletas!X580&lt;&gt;"",10000,0)+IF(Atletas!B580="Feminino",1000,IF(Atletas!B580="Masculino",2000,""))+IF(OR(Atletas!U580="Taijijian Yang A",Atletas!U580="Taijijian Yang Standard A"),901,IF(OR(Atletas!U580="Taijijian Chen A", Atletas!U580="Taijijian Chen Standard A"),902,IF(Atletas!U580="Taijijian Sun A",903,IF(Atletas!U580="Taijijian Wu A",904,IF(Atletas!U580="Taijijian Wu-Hao A",905,IF(OR(Atletas!U580="Taijijian 32 A",Atletas!U580="Taijijian 42 A"),906,IF(OR(Atletas!U580="Taijijian Yang B",Atletas!U580="Taijijian Yang Standard B"),907,IF(OR(Atletas!U580="Taijijian Chen B", Atletas!U580="Taijijian Chen Standard B"),908,IF(Atletas!U580="Taijijian Sun B",909,IF(Atletas!U580="Taijijian Wu B",910,IF(Atletas!U580="Taijijian Wu-Hao B",911,IF(OR(Atletas!U580="Taijijian 32 B",Atletas!U580="Taijijian 42 B"),912,IF(OR(Atletas!U580="Taijijian Yang C",Atletas!U580="Taijijian Yang Standard C"),913,IF(OR(Atletas!U580="Taijijian Chen C", Atletas!U580="Taijijian Chen Standard C"),914,IF(Atletas!U580="Taijijian Sun C",915,IF(Atletas!U580="Taijijian Wu C",916,IF(Atletas!U580="Taijijian Wu-Hao C",917,IF(OR(Atletas!U580="Taijijian 32 C",Atletas!U580="Taijijian 42 C"),918,IF(OR(Atletas!U580="Taijijian Yang D",Atletas!U580="Taijijian Yang Standard D"),919,IF(OR(Atletas!U580="Taijijian Chen D", Atletas!U580="Taijijian Chen Standard D"),920,IF(Atletas!U580="Taijijian Sun D",921,IF(Atletas!U580="Taijijian Wu D",922,IF(Atletas!U580="Taijijian Wu-Hao D",923,IF(OR(Atletas!U580="Taijijian 32 D",Atletas!U580="Taijijian 42 D"),924,IF(OR(Atletas!U580="Taijijian Yang E",Atletas!U580="Taijijian Yang Standard E"),925,IF(OR(Atletas!U580="Taijijian Chen E", Atletas!U580="Taijijian Chen Standard E"),926,IF(Atletas!U580="Taijijian Sun E",927,IF(Atletas!U580="Taijijian Wu E",928,IF(Atletas!U580="Taijijian Wu-Hao E",929,IF(OR(Atletas!U580="Taijijian 32 E",Atletas!U580="Taijijian 42 E"),930,IF(OR(Atletas!U580="Taijijian Yang F",Atletas!U580="Taijijian Yang Standard F"),931,IF(OR(Atletas!U580="Taijijian Chen F", Atletas!U580="Taijijian Chen Standard F"),932,IF(Atletas!U580="Taijijian Sun F",933,IF(Atletas!U580="Taijijian Wu F",934,IF(Atletas!U580="Taijijian Wu-Hao F",935,IF(OR(Atletas!U580="Taijijian 32 F",Atletas!U580="Taijijian 42 F"),936,"")))))))))))))))))))))))))))))))))))))</f>
        <v/>
      </c>
      <c r="CD589" s="50" t="str">
        <f>IF(Atletas!V580="","",IF(Atletas!X580&lt;&gt;"",10000,0)+IF(Atletas!B580="Feminino",1000,IF(Atletas!B580="Masculino",2000,""))+IF(Atletas!V580="Taijidao A",937,IF(Atletas!V580="TaijiShanzi A",938,IF(Atletas!V580="Taijiqiang A",939,IF(Atletas!V580="Bagua de Arma A",940,IF(Atletas!V580="Xingyi de Arma A",941,IF(Atletas!V580="Taijidao B",942,IF(Atletas!V580="TaijiShanzi B",943,IF(Atletas!V580="Taijiqiang B",944,IF(Atletas!V580="Bagua de Arma B",945,IF(Atletas!V580="Xingyi de Arma B",946,IF(Atletas!V580="Taijidao C",947,IF(Atletas!V580="TaijiShanzi C",948,IF(Atletas!V580="Taijiqiang C",949,IF(Atletas!V580="Bagua de Arma C",950,IF(Atletas!V580="Xingyi de Arma C",951,IF(Atletas!V580="Taijidao D",952,IF(Atletas!V580="TaijiShanzi D",953,IF(Atletas!V580="Taijiqiang D",954,IF(Atletas!V580="Bagua de Arma D",955,IF(Atletas!V580="Xingyi de Arma D",956,IF(Atletas!V580="Taijidao E",957,IF(Atletas!V580="TaijiShanzi E",958,IF(Atletas!V580="Taijiqiang E",959,IF(Atletas!V580="Bagua de Arma E",960,IF(Atletas!V580="Xingyi de Arma E",961,IF(Atletas!V580="Taijidao F",962,IF(Atletas!V580="TaijiShanzi F",963,IF(Atletas!V580="Taijiqiang F",964,IF(Atletas!V580="Bagua de Arma F",965,IF(Atletas!V580="Xingyi de Arma F",966,"")))))))))))))))))))))))))))))))</f>
        <v/>
      </c>
      <c r="CM589" s="50" t="str">
        <f xml:space="preserve"> IF(Atletas!W580="","",IF(Atletas!W580="Duilian de Mãos BC - Equipe 1",1,IF(Atletas!W580="Duilian de Mãos BC - Equipe 2",2,IF(Atletas!W580="Duilian de Armas BC - Equipe 1",3,IF(Atletas!W580="Duilian de Armas BC - Equipe 2",4,IF(Atletas!W580="Duilian de Mãos DE - Equipe 1",5,IF(Atletas!W580="Duilian de Mãos DE - Equipe 2",6,IF(Atletas!W580="Duilian de Armas DE - Equipe 1",7,IF(Atletas!W580="Duilian de Armas DE - Equipe 2",8,IF(Atletas!W580="Duilian de Tuishou - Equipe 1",9,IF(Atletas!W580="Duilian de Tuishou - Equipe 2",10,IF(Atletas!W580="Grupo Externo ABC - Equipe 1",11,IF(Atletas!W580="Grupo Externo ABC - Equipe 2",12,IF(Atletas!W580="Grupo Interno ABC - Equipe 1",13,IF(Atletas!W580="Grupo Interno ABC - Equipe 2",14,IF(Atletas!W580="Grupo Externo DEF - Equipe 1",15,IF(Atletas!W580="Grupo Externo DEF - Equipe 2",16,IF(Atletas!W580="Grupo Interno DEF - Equipe 1",17,IF(Atletas!W580="Grupo Interno DEF - Equipe 2",18,"")))))))))))))))))))</f>
        <v/>
      </c>
    </row>
    <row r="590" spans="40:91">
      <c r="AN590" s="52" t="str">
        <f>IF(Atletas!D581="","",IF(Atletas!B581="Feminino",100,IF(Atletas!B581="Masculino",200,""))+(IF(Atletas!D581="Kids 30kg",1,IF(Atletas!D581="Kids 32kg",2, IF(Atletas!D581="Kids 34kg",3,IF(Atletas!D581="Kids 36kg",4,IF(Atletas!D581="Kids 39kg",5,IF(Atletas!D581="Kids 42kg",6,IF(Atletas!D581="Kids 45kg",7, IF(Atletas!D581="Infantil 39kg",8,IF(Atletas!D581="Infantil 42kg",9,IF(Atletas!D581="Infantil 45kg",10,IF(Atletas!D581="Infantil 48kg",11,IF(Atletas!D581="Infantil 52kg",12,IF(Atletas!D581="Infantil 56kg",13,IF(Atletas!D581="Infantil 60kg",14,IF(Atletas!D581="Juvenil 48kg",15,IF(Atletas!D581="Juvenil 52kg",16,IF(Atletas!D581="Juvenil 56kg",17,IF(Atletas!D581="Juvenil 60kg",18,IF(Atletas!D581="Juvenil 65kg",19,IF(Atletas!D581="Juvenil 70kg",20,IF(Atletas!D581="Juvenil 75kg",21,IF(Atletas!D581="Juvenil 80kg",22, IF(Atletas!D581="Juvenil 85kg",23,IF(Atletas!D581="Adulto 48kg",24,IF(Atletas!D581="Adulto 52kg",25,IF(Atletas!D581="Adulto 56kg",26,IF(Atletas!D581="Adulto 60kg",27,IF(Atletas!D581="Adulto 65kg",28,IF(Atletas!D581="Adulto 70kg",29,IF(Atletas!D581="Adulto 75kg",30,IF(Atletas!D581="Adulto 80kg",31,IF(Atletas!D581="Adulto 85kg",32,IF(Atletas!D581="Adulto 90kg",33,IF(Atletas!D581="Adulto 100kg",34, IF(Atletas!D581="Adulto +100kg",35,"")))))))))))))))))))))))))))))))))))))</f>
        <v/>
      </c>
      <c r="AS590" s="6" t="str">
        <f>IF(Atletas!E581="","",IF(Atletas!B581="Feminino",100,IF(Atletas!B581="Masculino",200,""))+(IF(Atletas!E581="Juvenil 44kg",1,IF(Atletas!E581="Juvenil 48kg",2,IF(Atletas!E581="Juvenil 52kg",3,IF(Atletas!E581="Juvenil 56kg",4,IF(Atletas!E581="Juvenil 60kg",5,IF(Atletas!E581="Juvenil 65kg",6,IF(Atletas!E581="Juvenil 70kg",7,IF(Atletas!E581="Juvenil 75kg",8,IF(Atletas!E581="Juvenil 82kg",9,IF(Atletas!E581="Juvenil 90kg",10,IF(Atletas!E581="Juvenil 100kg",11,IF(Atletas!E581="Adulto 48kg",12,IF(Atletas!E581="Adulto 52kg",13,IF(Atletas!E581="Adulto 56kg",14,IF(Atletas!E581="Adulto 60kg",15,IF(Atletas!E581="Adulto 65kg",16,IF(Atletas!E581="Adulto 70kg",17,IF(Atletas!E581="Adulto 75kg",18,IF(Atletas!E581="Adulto 82kg",19,IF(Atletas!E581="Adulto 90kg",20,IF(Atletas!E581="Adulto 100kg",21,IF(Atletas!E581="Adulto +100kg",22,""))))))))))))))))))))))))</f>
        <v/>
      </c>
      <c r="AX590" s="6" t="str">
        <f>IF(Atletas!F581="","",IF(Atletas!B581="Feminino",100,IF(Atletas!B581="Masculino",200,""))+(IF(Atletas!F581="Adulto 48kg",1,IF(Atletas!F581="Adulto 56kg",2,IF(Atletas!F581="Adulto 65kg",3,IF(Atletas!F581="Adulto 75kg",4,IF(Atletas!F581="Adulto +75kg",5,IF(Atletas!F581="Adulto 52kg",6,IF(Atletas!F581="Adulto 60kg",7,IF(Atletas!F581="Adulto 70kg",8,IF(Atletas!F581="Adulto 80kg",9,IF(Atletas!F581="Adulto 90kg",10,IF(Atletas!F581="Adulto +90kg",11,"")))))))))))))</f>
        <v/>
      </c>
      <c r="BC590" s="6" t="str">
        <f>IF(Atletas!G581="","",IF(Atletas!B581="Feminino",10,IF(Atletas!B581="Masculino",20,""))+(IF(Atletas!G581="Baduanjin A",1,IF(Atletas!G581="Baduanjin B",2))))</f>
        <v/>
      </c>
      <c r="BF590" s="52" t="str">
        <f>IF(Atletas!H581="","",IF(Atletas!B581="Feminino",100,IF(Atletas!B581="Masculino",200,""))+(IF(Atletas!H581="Changquan Mirim",1,IF(Atletas!H581="Nanquan Mirim",2,IF(Atletas!H581="Taijiquan Mirim",3,IF(Atletas!H581="Changquan Grupo C",4,IF(Atletas!H581="Nanquan Grupo C",5,IF(Atletas!H581="Taijiquan Grupo C",6,IF(Atletas!H581="Changquan Grupo B",7,IF(Atletas!H581="Nanquan Grupo B",8,IF(Atletas!H581="Taijiquan Grupo B",9,IF(Atletas!H581="Changquan Grupo A",10,IF(Atletas!H581="Nanquan Grupo A",11,IF(Atletas!H581="Taijiquan Grupo A",12,IF(Atletas!H581="Changquan Opcional",13,IF(Atletas!H581="Nanquan Opcional",14,IF(Atletas!H581="Taijiquan Opcional",15,IF(Atletas!H581="Changquan Adulto",16,IF(Atletas!H581="Nanquan Adulto",17,IF(Atletas!H581="Taijiquan Adulto",18,""))))))))))))))))))))</f>
        <v/>
      </c>
      <c r="BG590" s="52" t="str">
        <f>IF(Atletas!I581="","",IF(Atletas!B581="Feminino",100,IF(Atletas!B581="Masculino",200,""))+(IF(Atletas!I581="Daoshu Mirim",19,IF(Atletas!I581="Jianshu Mirim",20,IF(Atletas!I581="Nandao Mirim",21,IF(Atletas!I581="Taijijian Mirim",22,IF(Atletas!I581="Daoshu Grupo C",23,IF(Atletas!I581="Jianshu Grupo C",24,IF(Atletas!I581="Nandao Grupo C",25,IF(Atletas!I581="Taijijian Grupo C",26,IF(Atletas!I581="Daoshu Grupo B",27,IF(Atletas!I581="Jianshu Grupo B",28,IF(Atletas!I581="Nandao Grupo B",29,IF(Atletas!I581="Taijijian Grupo B",30,IF(Atletas!I581="Daoshu Grupo A",31,IF(Atletas!I581="Jianshu Grupo A",32,IF(Atletas!I581="Nandao Grupo A",33,IF(Atletas!I581="Taijijian Grupo A",34,IF(Atletas!I581="Daoshu Opcional",35,IF(Atletas!I581="Jianshu Opcional",36,IF(Atletas!I581="Nandao Opcional",37,IF(Atletas!I581="Taijijian Opcional",38,IF(Atletas!I581="Daoshu Adulto",39,IF(Atletas!I581="Jianshu Adulto",40,IF(Atletas!I581="Nandao Adulto",41,IF(Atletas!I581="Taijijian Adulto",42,""))))))))))))))))))))))))))</f>
        <v/>
      </c>
      <c r="BH590" s="52" t="str">
        <f>IF(Atletas!J581="","",IF(Atletas!B581="Feminino",100,IF(Atletas!B581="Masculino",200,""))+(IF(Atletas!J581="Gunshu Mirim",43,IF(Atletas!J581="Qiangshu Mirim",44,IF(Atletas!J581="Nangun Mirim",45,IF(Atletas!J581="Gunshu Grupo C",46,IF(Atletas!J581="Qiangshu Grupo C",47,IF(Atletas!J581="Nangun Grupo C",48,IF(Atletas!J581="Gunshu Grupo B",49,IF(Atletas!J581="Qiangshu Grupo B",50,IF(Atletas!J581="Nangun Grupo B",51,IF(Atletas!J581="Gunshu Grupo A",52,IF(Atletas!J581="Qiangshu Grupo A",53,IF(Atletas!J581="Nangun Grupo A",54,IF(Atletas!J581="Gunshu Opcional",55,IF(Atletas!J581="Qiangshu Opcional",56,IF(Atletas!J581="Nangun Opcional",57,IF(Atletas!J581="Gunshu Adulto",58,IF(Atletas!J581="Qiangshu Adulto",59,IF(Atletas!J581="Nangun Adulto",60,IF(Atletas!J581="Taijishan Grupo B",61,IF(Atletas!J581="Taijishan Grupo A",62,""))))))))))))))))))))))</f>
        <v/>
      </c>
      <c r="BM590" s="50" t="str">
        <f>IF(Atletas!K581="","",IF(Atletas!B581="Feminino",100,IF(Atletas!B581="Masculino",200,""))+(IF(Atletas!K581="Equipe 1 Grupo B",1,IF(Atletas!K581="Equipe 2 Grupo B",2,IF(Atletas!K581="Equipe 1 Grupo A",3,IF(Atletas!K581="Equipe 2 Grupo A",4,IF(Atletas!K581="Equipe 1 Adulto",5,IF(Atletas!K581="Equipe 2 Adulto",6,""))))))))</f>
        <v/>
      </c>
      <c r="BR590" s="50" t="str">
        <f>IF(Atletas!L581="","",IF(Atletas!X581&lt;&gt;"",10000,0)+(IF(Atletas!B581="Feminino",1000,IF(Atletas!B581="Masculino",2000,""))+IF(Atletas!L581="Choylayfut A",1,IF(Atletas!L581="Hunggar A",2,IF(Atletas!L581="Wuzuquan A",3,IF(Atletas!L581="Wingchun A",4,IF(Atletas!L581="Outra Mão de Sul A",5,IF(Atletas!L581="Choylayfut B",6,IF(Atletas!L581="Hunggar B",7,IF(Atletas!L581="Wuzuquan B",8,IF(Atletas!L581="Wingchun B",9,IF(Atletas!L581="Outra Mão de Sul B",10,IF(Atletas!L581="Choylayfut C",11,IF(Atletas!L581="Hunggar C",12,IF(Atletas!L581="Wuzuquan C",13,IF(Atletas!L581="Wingchun C",14,IF(Atletas!L581="Outra Mão de Sul C",15,IF(Atletas!L581="Choylayfut D",16,IF(Atletas!L581="Hunggar D",17,IF(Atletas!L581="Wuzuquan D",18,IF(Atletas!L581="Wingchun D",19,IF(Atletas!L581="Outra Mão de Sul D",20,IF(Atletas!L581="Choylayfut E",21,IF(Atletas!L581="Hunggar E",22,IF(Atletas!L581="Wuzuquan E",23,IF(Atletas!L581="Wingchun E",24,IF(Atletas!L581="Outra Mão de Sul E",25,IF(Atletas!L581="Choylayfut F",26,IF(Atletas!L581="Hunggar F",27,IF(Atletas!L581="Wuzuquan F",28,IF(Atletas!L581="Wingchun F",29,IF(Atletas!L581="Outra Mão de Sul F",30,IF(Atletas!L581="Dishuquan A",31,IF(Atletas!L581="Dishuquan B",32,IF(Atletas!L581="Dishuquan C",33,IF(Atletas!L581="Dishuquan D",34,IF(Atletas!L581="Dishuquan E",35,IF(Atletas!L581="Dishuquan F",36,""))))))))))))))))))))))))))))))))))))))</f>
        <v/>
      </c>
      <c r="BS590" s="50" t="str">
        <f>IF(Atletas!M581="","",IF(Atletas!X581&lt;&gt;"",10000,0)+(IF(Atletas!B581="Feminino",1000,IF(Atletas!B581="Masculino",2000,""))+(IF(Atletas!M581="Chaquan A",101,IF(Atletas!M581="Emeiquan A",102,IF(Atletas!M581="Fanziquan A",103,IF(Atletas!M581="Huaquan A",104,IF(Atletas!M581="Hongquan A",105,IF(Atletas!M581="Paoquan A",106,IF(Atletas!M581="Piguaquan A",107,IF(Atletas!M581="Shaolinquan A",108,IF(Atletas!M581="Tanglangquan A",109,IF(Atletas!M581="Yingzhaoquan A",110,IF(Atletas!M581="Tongbeiquan A",111,IF(Atletas!M581="Wudangquan A",112,IF(Atletas!M581="Outros Estilos A",113,IF(Atletas!M581="Chaquan B",114,IF(Atletas!M581="Emeiquan B",115,IF(Atletas!M581="Fanziquan B",116,IF(Atletas!M581="Huaquan B",117,IF(Atletas!M581="Hongquan B",118,IF(Atletas!M581="Paoquan B",119,IF(Atletas!M581="Piguaquan B",120,IF(Atletas!M581="Shaolinquan B",121,IF(Atletas!M581="Tanglangquan B",122,IF(Atletas!M581="Yingzhaoquan B",123,IF(Atletas!M581="Tongbeiquan B",124,IF(Atletas!M581="Wudangquan B",125,IF(Atletas!M581="Outros Estilos B",126,IF(Atletas!M581="Chaquan C",127,IF(Atletas!M581="Emeiquan C",128,IF(Atletas!M581="Fanziquan C",129,IF(Atletas!M581="Huaquan C",130,IF(Atletas!M581="Hongquan C",131,IF(Atletas!M581="Paoquan C",132,IF(Atletas!M581="Piguaquan C",133,IF(Atletas!M581="Shaolinquan C",134,IF(Atletas!M581="Tanglangquan C",135,IF(Atletas!M581="Yingzhaoquan C",136,IF(Atletas!M581="Tongbeiquan C",137,IF(Atletas!M581="Wudangquan C",138,IF(Atletas!M581="Outros Estilos C",139,0))))))))))))))))))))))))))))))))))))))))))</f>
        <v/>
      </c>
      <c r="BT590" s="50" t="str">
        <f>IF(Atletas!M581="","",IF(Atletas!X581&lt;&gt;"",10000,0)+(IF(Atletas!B581="Feminino",1000,IF(Atletas!B581="Masculino",2000,""))+(IF(Atletas!M581="Chaquan D",140,IF(Atletas!M581="Emeiquan D",141,IF(Atletas!M581="Fanziquan D",142,IF(Atletas!M581="Huaquan D",143,IF(Atletas!M581="Hongquan D",144,IF(Atletas!M581="Paoquan D",145,IF(Atletas!M581="Piguaquan D",146,IF(Atletas!M581="Shaolinquan D",147,IF(Atletas!M581="Tanglangquan D",148,IF(Atletas!M581="Yingzhaoquan D",149,IF(Atletas!M581="Tongbeiquan D",150,IF(Atletas!M581="Wudangquan D",151,IF(Atletas!M581="Outros Estilos D",152,IF(Atletas!M581="Chaquan E",153,IF(Atletas!M581="Emeiquan E",154,IF(Atletas!M581="Fanziquan E",155,IF(Atletas!M581="Huaquan E",156,IF(Atletas!M581="Hongquan E",157,IF(Atletas!M581="Paoquan E",158,IF(Atletas!M581="Piguaquan E",159,IF(Atletas!M581="Shaolinquan E",160,IF(Atletas!M581="Tanglangquan E",161,IF(Atletas!M581="Yingzhaoquan E",162,IF(Atletas!M581="Tongbeiquan E",163,IF(Atletas!M581="Wudangquan E",164,IF(Atletas!M581="Outros Estilos E",165,IF(Atletas!M581="Chaquan F",166,IF(Atletas!M581="Emeiquan F",167,IF(Atletas!M581="Fanziquan F",168,IF(Atletas!M581="Huaquan F",169,IF(Atletas!M581="Hongquan F",170,IF(Atletas!M581="Paoquan F",171,IF(Atletas!M581="Piguaquan F",172,IF(Atletas!M581="Shaolinquan F",173,IF(Atletas!M581="Tanglangquan F",174,IF(Atletas!M581="Yingzhaoquan F",175,IF(Atletas!M581="Tongbeiquan F",176,IF(Atletas!M581="Wudangquan F",177,IF(Atletas!M581="Outros Estilos F",178,0))))))))))))))))))))))))))))))))))))))))))</f>
        <v/>
      </c>
      <c r="BU590" s="50" t="str">
        <f>IF(Atletas!N581="","",IF(Atletas!X581&lt;&gt;"",10000,0)+(IF(Atletas!B581="Feminino",1000,IF(Atletas!B581="Masculino",2000,""))+(IF(Atletas!N581="Ditangquan A",201,IF(Atletas!N581="Houquan A",202,IF(Atletas!N581="Zuiquan A",203,IF(Atletas!N581="Ditangquan B",204,IF(Atletas!N581="Houquan B",205,IF(Atletas!N581="Zuiquan B",206,IF(Atletas!N581="Ditangquan C",207,IF(Atletas!N581="Houquan C",208,IF(Atletas!N581="Zuiquan C",209,IF(Atletas!N581="Ditangquan D",210,IF(Atletas!N581="Houquan D",211,IF(Atletas!N581="Zuiquan D",212,IF(Atletas!N581="Ditangquan E",213,IF(Atletas!N581="Houquan E",214,IF(Atletas!N581="Zuiquan E",215,IF(Atletas!N581="Ditangquan F",216,IF(Atletas!N581="Houquan F",217,IF(Atletas!N581="Zuiquan F",218,"")))))))))))))))))))))</f>
        <v/>
      </c>
      <c r="BV590" s="50" t="str">
        <f>IF(Atletas!O581="","",IF(Atletas!X581&lt;&gt;"",10000,0)+IF(Atletas!B581="Feminino",1000,IF(Atletas!B581="Masculino",2000,""))+IF(Atletas!O581="Yang A",301,IF(Atletas!O581="Chen A",302,IF(Atletas!O581="Sun A",303,IF(Atletas!O581="Wu A",304,IF(Atletas!O581="Wu-Hao A",305,IF(Atletas!O581="Outro Taijiquan A",306,IF(Atletas!O581="Yang B",307,IF(Atletas!O581="Chen B",308,IF(Atletas!O581="Sun B",309,IF(Atletas!O581="Wu B",310,IF(Atletas!O581="Wu-Hao B",311,IF(Atletas!O581="Outro Taijiquan B",312,IF(Atletas!O581="Yang C",313,IF(Atletas!O581="Chen C",314,IF(Atletas!O581="Sun C",315,IF(Atletas!O581="Wu C",316,IF(Atletas!O581="Wu-Hao C",317,IF(Atletas!O581="Outro Taijiquan C",318,IF(Atletas!O581="Yang D",319,IF(Atletas!O581="Chen D",320,IF(Atletas!O581="Sun D",321,IF(Atletas!O581="Wu D",322,IF(Atletas!O581="Wu-Hao D",323,IF(Atletas!O581="Outro Taijiquan D",324,IF(Atletas!O581="Yang E",325,IF(Atletas!O581="Chen E",326,IF(Atletas!O581="Sun E",327,IF(Atletas!O581="Wu E",328,IF(Atletas!O581="Wu-Hao E",329,IF(Atletas!O581="Outro Taijiquan E",330,IF(Atletas!O581="Yang F",331,IF(Atletas!O581="Chen F",332,IF(Atletas!O581="Sun F",333,IF(Atletas!O581="Wu F",334,IF(Atletas!O581="Wu-Hao F",335,IF(Atletas!O581="Outro Taijiquan F",336,"")))))))))))))))))))))))))))))))))))))</f>
        <v/>
      </c>
      <c r="BW590" s="50" t="str">
        <f>IF(Atletas!P581="","",IF(Atletas!X581&lt;&gt;"",10000,0)+IF(Atletas!B581="Feminino",1000,IF(Atletas!B581="Masculino",2000,""))+IF(OR(Atletas!P581="Yang 26 A",Atletas!P581="Yang 40 A"),401,IF(OR(Atletas!P581="Chen 25 A",Atletas!P581="Chen 36 A",Atletas!P581="Chen 56 A"),402,IF(Atletas!P581="Sun 73 A",403,IF(Atletas!P581="Wu 45 A",404,IF(Atletas!P581="Wu-Hao 46 A",405,IF(OR(Atletas!P581="Taijiquan 16 A",Atletas!P581="Taijiquan 24 A",Atletas!P581="Taijiquan 32 A",Atletas!P581="Taijiquan 42 A"),406,IF(OR(Atletas!P581="Yang 26 B",Atletas!P581="Yang 40 B"),407,IF(OR(Atletas!P581="Chen 25 B",Atletas!P581="Chen 36 B",Atletas!P581="Chen 56 B"),408,IF(Atletas!P581="Sun 73 B",409,IF(Atletas!P581="Wu 45 B",410,IF(Atletas!P581="Wu-Hao 46 B",411,IF(OR(Atletas!P581="Taijiquan 16 B",Atletas!P581="Taijiquan 24 B",Atletas!P581="Taijiquan 32 B",Atletas!P581="Taijiquan 42 B"),412,IF(OR(Atletas!P581="Yang 26 C",Atletas!P581="Yang 40 C"),413,IF(OR(Atletas!P581="Chen 25 C",Atletas!P581="Chen 36 C",Atletas!P581="Chen 56 C"),414,IF(Atletas!P581="Sun 73 C",415,IF(Atletas!P581="Wu 45 C",416,IF(Atletas!P581="Wu-Hao 46 C",417,IF(OR(Atletas!P581="Taijiquan 16 C",Atletas!P581="Taijiquan 24 C",Atletas!P581="Taijiquan 32 C",Atletas!P581="Taijiquan 42 C"),418,0)))))))))))))))))))</f>
        <v/>
      </c>
      <c r="BX590" s="50" t="str">
        <f>IF(Atletas!P581="","",IF(Atletas!X581&lt;&gt;"",10000,0)+IF(Atletas!B581="Feminino",1000,IF(Atletas!B581="Masculino",2000,""))+IF(OR(Atletas!P581="Yang 26 D",Atletas!P581="Yang 40 D"),419,IF(OR(Atletas!P581="Chen 25 D",Atletas!P581="Chen 36 D",Atletas!P581="Chen 56 D"),420,IF(Atletas!P581="Sun 73 D",421,IF(Atletas!P581="Wu 45 D",422,IF(Atletas!P581="Wu-Hao 46 D",423,IF(OR(Atletas!P581="Taijiquan 16 D",Atletas!P581="Taijiquan 24 D",Atletas!P581="Taijiquan 32 D",Atletas!P581="Taijiquan 42 D"),424,IF(OR(Atletas!P581="Yang 26 E",Atletas!P581="Yang 40 E"),425,IF(OR(Atletas!P581="Chen 25 E",Atletas!P581="Chen 36 E",Atletas!P581="Chen 56 E"),426,IF(Atletas!P581="Sun 73 E",427,IF(Atletas!P581="Wu 45 E",428,IF(Atletas!P581="Wu-Hao 46 E",429,IF(OR(Atletas!P581="Taijiquan 16 E",Atletas!P581="Taijiquan 24 E",Atletas!P581="Taijiquan 32 E",Atletas!P581="Taijiquan 42 E"),430,IF(OR(Atletas!P581="Yang 26 F",Atletas!P581="Yang 40 F"),431,IF(OR(Atletas!P581="Chen 25 F",Atletas!P581="Chen 36 F",Atletas!P581="Chen 56 F"),432,IF(Atletas!P581="Sun 73 F",433,IF(Atletas!P581="Wu 45 F",434,IF(Atletas!P581="Wu-Hao 46 F",435,IF(OR(Atletas!P581="Taijiquan 16 F",Atletas!P581="Taijiquan 24 F",Atletas!P581="Taijiquan 32 F",Atletas!P581="Taijiquan 42 F"),436,0)))))))))))))))))))</f>
        <v/>
      </c>
      <c r="BY590" s="50" t="str">
        <f>IF(Atletas!Q581="","",IF(Atletas!X581&lt;&gt;"",10000,0)+IF(Atletas!B581="Feminino",1000,IF(Atletas!B581="Masculino",2000,""))+IF(Atletas!Q581="Xingyiquan A",501,IF(Atletas!Q581="Baguazhang A",502,IF(Atletas!Q581="Outro Estilo Interno A",503,IF(Atletas!Q581="Xingyiquan B",504,IF(Atletas!Q581="Baguazhang B",505,IF(Atletas!Q581="Outro Estilo Interno B",506,IF(Atletas!Q581="Xingyiquan C",507,IF(Atletas!Q581="Baguazhang C",508,IF(Atletas!Q581="Outro Estilo Interno C",509,IF(Atletas!Q581="Xingyiquan D",510,IF(Atletas!Q581="Baguazhang D",511,IF(Atletas!Q581="Outro Estilo Interno D",512,IF(Atletas!Q581="Xingyiquan E",513,IF(Atletas!Q581="Baguazhang E",514,IF(Atletas!Q581="Outro Estilo Interno E",515,IF(Atletas!Q581="Xingyiquan F",516,IF(Atletas!Q581="Baguazhang F",517,IF(Atletas!Q581="Outro Estilo Interno F",518, "")))))))))))))))))))</f>
        <v/>
      </c>
      <c r="BZ590" s="50" t="str">
        <f>IF(Atletas!R581="","",IF(Atletas!X581&lt;&gt;"",10000,0)+IF(Atletas!B581="Feminino",1000,IF(Atletas!B581="Masculino",2000,""))+IF(Atletas!R581="Dao A",601,IF(Atletas!R581="Jian A",602,IF(Atletas!R581="Bishou A",603,IF(Atletas!R581="Shanzi A",604,IF(Atletas!R581="Outra Arma Curta A",605,IF(Atletas!R581="Dao B",606,IF(Atletas!R581="Jian B",607,IF(Atletas!R581="Bishou B",608,IF(Atletas!R581="Shanzi B",609,IF(Atletas!R581="Outra Arma Curta B",610,IF(Atletas!R581="Dao C",611,IF(Atletas!R581="Jian C",612,IF(Atletas!R581="Bishou C",613,IF(Atletas!R581="Shanzi C",614,IF(Atletas!R581="Outra Arma Curta C",615,IF(Atletas!R581="Dao D",616,IF(Atletas!R581="Jian D",617,IF(Atletas!R581="Bishou D",618,IF(Atletas!R581="Shanzi D",619,IF(Atletas!R581="Outra Arma Curta D",620,IF(Atletas!R581="Dao E",621,IF(Atletas!R581="Jian E",622,IF(Atletas!R581="Bishou E",623,IF(Atletas!R581="Shanzi E",624,IF(Atletas!R581="Outra Arma Curta E",625,IF(Atletas!R581="Dao F",626,IF(Atletas!R581="Jian F",627,IF(Atletas!R581="Bishou F",628,IF(Atletas!R581="Shanzi F",629,IF(Atletas!R581="Outra Arma Curta F",630, "")))))))))))))))))))))))))))))))</f>
        <v/>
      </c>
      <c r="CA590" s="50" t="str">
        <f>IF(Atletas!S581="","",IF(Atletas!X581&lt;&gt;"",10000,0)+IF(Atletas!B581="Feminino",1000,IF(Atletas!B581="Masculino",2000,""))+IF(Atletas!S581="Gun A",701,IF(Atletas!S581="Qiang A",702,IF(Atletas!S581="Pudao / Guandao A",703,IF(Atletas!S581="Outra Arma Longa A",704,IF(Atletas!S581="Gun B",705,IF(Atletas!S581="Qiang B",706,IF(Atletas!S581="Pudao / Guandao B",707,IF(Atletas!S581="Outra Arma Longa B",708,IF(Atletas!S581="Gun C",709,IF(Atletas!S581="Qiang C",710,IF(Atletas!S581="Pudao / Guandao C",711,IF(Atletas!S581="Outra Arma Longa C",712,IF(Atletas!S581="Gun D",713,IF(Atletas!S581="Qiang D",714,IF(Atletas!S581="Pudao / Guandao D",715,IF(Atletas!S581="Outra Arma Longa D",716,IF(Atletas!S581="Gun E",717,IF(Atletas!S581="Qiang E",718,IF(Atletas!S581="Pudao / Guandao E",719,IF(Atletas!S581="Outra Arma Longa E",720,IF(Atletas!S581="Gun F",721,IF(Atletas!S581="Qiang F",722,IF(Atletas!S581="Pudao / Guandao F",723,IF(Atletas!S581="Outra Arma Longa F",724,"")))))))))))))))))))))))))</f>
        <v/>
      </c>
      <c r="CB590" s="50" t="str">
        <f>IF(Atletas!T581="","",IF(Atletas!X581&lt;&gt;"",10000,0)+IF(Atletas!B581="Feminino",1000,IF(Atletas!B581="Masculino",2000,""))+IF(Atletas!T581="Outra Arma Dupla A",801,IF(Atletas!T581="Arma Maleável A",802,IF(Atletas!T581="Outra Arma Dupla B",803,IF(Atletas!T581="Arma Maleável B",804,IF(Atletas!T581="Outra Arma Dupla C",805,IF(Atletas!T581="Arma Maleável C",806,IF(Atletas!T581="Outra Arma Dupla D",807,IF(Atletas!T581="Arma Maleável D",808,IF(Atletas!T581="Outra Arma Dupla E",809,IF(Atletas!T581="Arma Maleável E",810,IF(Atletas!T581="Outra Arma Dupla F",811,IF(Atletas!T581="Arma Maleável F",812,IF(Atletas!T581="Shuangdao A",813,IF(Atletas!T581="Shuangdao B",814,IF(Atletas!T581="Shuangdao C",815,IF(Atletas!T581="Shuangdao D",816,IF(Atletas!T581="Shuangdao E",817,IF(Atletas!T581="Shuangdao F",818,"")))))))))))))))))))</f>
        <v/>
      </c>
      <c r="CC590" s="50" t="str">
        <f>IF(Atletas!U581="","",IF(Atletas!X581&lt;&gt;"",10000,0)+IF(Atletas!B581="Feminino",1000,IF(Atletas!B581="Masculino",2000,""))+IF(OR(Atletas!U581="Taijijian Yang A",Atletas!U581="Taijijian Yang Standard A"),901,IF(OR(Atletas!U581="Taijijian Chen A", Atletas!U581="Taijijian Chen Standard A"),902,IF(Atletas!U581="Taijijian Sun A",903,IF(Atletas!U581="Taijijian Wu A",904,IF(Atletas!U581="Taijijian Wu-Hao A",905,IF(OR(Atletas!U581="Taijijian 32 A",Atletas!U581="Taijijian 42 A"),906,IF(OR(Atletas!U581="Taijijian Yang B",Atletas!U581="Taijijian Yang Standard B"),907,IF(OR(Atletas!U581="Taijijian Chen B", Atletas!U581="Taijijian Chen Standard B"),908,IF(Atletas!U581="Taijijian Sun B",909,IF(Atletas!U581="Taijijian Wu B",910,IF(Atletas!U581="Taijijian Wu-Hao B",911,IF(OR(Atletas!U581="Taijijian 32 B",Atletas!U581="Taijijian 42 B"),912,IF(OR(Atletas!U581="Taijijian Yang C",Atletas!U581="Taijijian Yang Standard C"),913,IF(OR(Atletas!U581="Taijijian Chen C", Atletas!U581="Taijijian Chen Standard C"),914,IF(Atletas!U581="Taijijian Sun C",915,IF(Atletas!U581="Taijijian Wu C",916,IF(Atletas!U581="Taijijian Wu-Hao C",917,IF(OR(Atletas!U581="Taijijian 32 C",Atletas!U581="Taijijian 42 C"),918,IF(OR(Atletas!U581="Taijijian Yang D",Atletas!U581="Taijijian Yang Standard D"),919,IF(OR(Atletas!U581="Taijijian Chen D", Atletas!U581="Taijijian Chen Standard D"),920,IF(Atletas!U581="Taijijian Sun D",921,IF(Atletas!U581="Taijijian Wu D",922,IF(Atletas!U581="Taijijian Wu-Hao D",923,IF(OR(Atletas!U581="Taijijian 32 D",Atletas!U581="Taijijian 42 D"),924,IF(OR(Atletas!U581="Taijijian Yang E",Atletas!U581="Taijijian Yang Standard E"),925,IF(OR(Atletas!U581="Taijijian Chen E", Atletas!U581="Taijijian Chen Standard E"),926,IF(Atletas!U581="Taijijian Sun E",927,IF(Atletas!U581="Taijijian Wu E",928,IF(Atletas!U581="Taijijian Wu-Hao E",929,IF(OR(Atletas!U581="Taijijian 32 E",Atletas!U581="Taijijian 42 E"),930,IF(OR(Atletas!U581="Taijijian Yang F",Atletas!U581="Taijijian Yang Standard F"),931,IF(OR(Atletas!U581="Taijijian Chen F", Atletas!U581="Taijijian Chen Standard F"),932,IF(Atletas!U581="Taijijian Sun F",933,IF(Atletas!U581="Taijijian Wu F",934,IF(Atletas!U581="Taijijian Wu-Hao F",935,IF(OR(Atletas!U581="Taijijian 32 F",Atletas!U581="Taijijian 42 F"),936,"")))))))))))))))))))))))))))))))))))))</f>
        <v/>
      </c>
      <c r="CD590" s="50" t="str">
        <f>IF(Atletas!V581="","",IF(Atletas!X581&lt;&gt;"",10000,0)+IF(Atletas!B581="Feminino",1000,IF(Atletas!B581="Masculino",2000,""))+IF(Atletas!V581="Taijidao A",937,IF(Atletas!V581="TaijiShanzi A",938,IF(Atletas!V581="Taijiqiang A",939,IF(Atletas!V581="Bagua de Arma A",940,IF(Atletas!V581="Xingyi de Arma A",941,IF(Atletas!V581="Taijidao B",942,IF(Atletas!V581="TaijiShanzi B",943,IF(Atletas!V581="Taijiqiang B",944,IF(Atletas!V581="Bagua de Arma B",945,IF(Atletas!V581="Xingyi de Arma B",946,IF(Atletas!V581="Taijidao C",947,IF(Atletas!V581="TaijiShanzi C",948,IF(Atletas!V581="Taijiqiang C",949,IF(Atletas!V581="Bagua de Arma C",950,IF(Atletas!V581="Xingyi de Arma C",951,IF(Atletas!V581="Taijidao D",952,IF(Atletas!V581="TaijiShanzi D",953,IF(Atletas!V581="Taijiqiang D",954,IF(Atletas!V581="Bagua de Arma D",955,IF(Atletas!V581="Xingyi de Arma D",956,IF(Atletas!V581="Taijidao E",957,IF(Atletas!V581="TaijiShanzi E",958,IF(Atletas!V581="Taijiqiang E",959,IF(Atletas!V581="Bagua de Arma E",960,IF(Atletas!V581="Xingyi de Arma E",961,IF(Atletas!V581="Taijidao F",962,IF(Atletas!V581="TaijiShanzi F",963,IF(Atletas!V581="Taijiqiang F",964,IF(Atletas!V581="Bagua de Arma F",965,IF(Atletas!V581="Xingyi de Arma F",966,"")))))))))))))))))))))))))))))))</f>
        <v/>
      </c>
      <c r="CM590" s="50" t="str">
        <f xml:space="preserve"> IF(Atletas!W581="","",IF(Atletas!W581="Duilian de Mãos BC - Equipe 1",1,IF(Atletas!W581="Duilian de Mãos BC - Equipe 2",2,IF(Atletas!W581="Duilian de Armas BC - Equipe 1",3,IF(Atletas!W581="Duilian de Armas BC - Equipe 2",4,IF(Atletas!W581="Duilian de Mãos DE - Equipe 1",5,IF(Atletas!W581="Duilian de Mãos DE - Equipe 2",6,IF(Atletas!W581="Duilian de Armas DE - Equipe 1",7,IF(Atletas!W581="Duilian de Armas DE - Equipe 2",8,IF(Atletas!W581="Duilian de Tuishou - Equipe 1",9,IF(Atletas!W581="Duilian de Tuishou - Equipe 2",10,IF(Atletas!W581="Grupo Externo ABC - Equipe 1",11,IF(Atletas!W581="Grupo Externo ABC - Equipe 2",12,IF(Atletas!W581="Grupo Interno ABC - Equipe 1",13,IF(Atletas!W581="Grupo Interno ABC - Equipe 2",14,IF(Atletas!W581="Grupo Externo DEF - Equipe 1",15,IF(Atletas!W581="Grupo Externo DEF - Equipe 2",16,IF(Atletas!W581="Grupo Interno DEF - Equipe 1",17,IF(Atletas!W581="Grupo Interno DEF - Equipe 2",18,"")))))))))))))))))))</f>
        <v/>
      </c>
    </row>
    <row r="591" spans="40:91">
      <c r="AN591" s="52" t="str">
        <f>IF(Atletas!D582="","",IF(Atletas!B582="Feminino",100,IF(Atletas!B582="Masculino",200,""))+(IF(Atletas!D582="Kids 30kg",1,IF(Atletas!D582="Kids 32kg",2, IF(Atletas!D582="Kids 34kg",3,IF(Atletas!D582="Kids 36kg",4,IF(Atletas!D582="Kids 39kg",5,IF(Atletas!D582="Kids 42kg",6,IF(Atletas!D582="Kids 45kg",7, IF(Atletas!D582="Infantil 39kg",8,IF(Atletas!D582="Infantil 42kg",9,IF(Atletas!D582="Infantil 45kg",10,IF(Atletas!D582="Infantil 48kg",11,IF(Atletas!D582="Infantil 52kg",12,IF(Atletas!D582="Infantil 56kg",13,IF(Atletas!D582="Infantil 60kg",14,IF(Atletas!D582="Juvenil 48kg",15,IF(Atletas!D582="Juvenil 52kg",16,IF(Atletas!D582="Juvenil 56kg",17,IF(Atletas!D582="Juvenil 60kg",18,IF(Atletas!D582="Juvenil 65kg",19,IF(Atletas!D582="Juvenil 70kg",20,IF(Atletas!D582="Juvenil 75kg",21,IF(Atletas!D582="Juvenil 80kg",22, IF(Atletas!D582="Juvenil 85kg",23,IF(Atletas!D582="Adulto 48kg",24,IF(Atletas!D582="Adulto 52kg",25,IF(Atletas!D582="Adulto 56kg",26,IF(Atletas!D582="Adulto 60kg",27,IF(Atletas!D582="Adulto 65kg",28,IF(Atletas!D582="Adulto 70kg",29,IF(Atletas!D582="Adulto 75kg",30,IF(Atletas!D582="Adulto 80kg",31,IF(Atletas!D582="Adulto 85kg",32,IF(Atletas!D582="Adulto 90kg",33,IF(Atletas!D582="Adulto 100kg",34, IF(Atletas!D582="Adulto +100kg",35,"")))))))))))))))))))))))))))))))))))))</f>
        <v/>
      </c>
      <c r="AS591" s="6" t="str">
        <f>IF(Atletas!E582="","",IF(Atletas!B582="Feminino",100,IF(Atletas!B582="Masculino",200,""))+(IF(Atletas!E582="Juvenil 44kg",1,IF(Atletas!E582="Juvenil 48kg",2,IF(Atletas!E582="Juvenil 52kg",3,IF(Atletas!E582="Juvenil 56kg",4,IF(Atletas!E582="Juvenil 60kg",5,IF(Atletas!E582="Juvenil 65kg",6,IF(Atletas!E582="Juvenil 70kg",7,IF(Atletas!E582="Juvenil 75kg",8,IF(Atletas!E582="Juvenil 82kg",9,IF(Atletas!E582="Juvenil 90kg",10,IF(Atletas!E582="Juvenil 100kg",11,IF(Atletas!E582="Adulto 48kg",12,IF(Atletas!E582="Adulto 52kg",13,IF(Atletas!E582="Adulto 56kg",14,IF(Atletas!E582="Adulto 60kg",15,IF(Atletas!E582="Adulto 65kg",16,IF(Atletas!E582="Adulto 70kg",17,IF(Atletas!E582="Adulto 75kg",18,IF(Atletas!E582="Adulto 82kg",19,IF(Atletas!E582="Adulto 90kg",20,IF(Atletas!E582="Adulto 100kg",21,IF(Atletas!E582="Adulto +100kg",22,""))))))))))))))))))))))))</f>
        <v/>
      </c>
      <c r="AX591" s="6" t="str">
        <f>IF(Atletas!F582="","",IF(Atletas!B582="Feminino",100,IF(Atletas!B582="Masculino",200,""))+(IF(Atletas!F582="Adulto 48kg",1,IF(Atletas!F582="Adulto 56kg",2,IF(Atletas!F582="Adulto 65kg",3,IF(Atletas!F582="Adulto 75kg",4,IF(Atletas!F582="Adulto +75kg",5,IF(Atletas!F582="Adulto 52kg",6,IF(Atletas!F582="Adulto 60kg",7,IF(Atletas!F582="Adulto 70kg",8,IF(Atletas!F582="Adulto 80kg",9,IF(Atletas!F582="Adulto 90kg",10,IF(Atletas!F582="Adulto +90kg",11,"")))))))))))))</f>
        <v/>
      </c>
      <c r="BC591" s="6" t="str">
        <f>IF(Atletas!G582="","",IF(Atletas!B582="Feminino",10,IF(Atletas!B582="Masculino",20,""))+(IF(Atletas!G582="Baduanjin A",1,IF(Atletas!G582="Baduanjin B",2))))</f>
        <v/>
      </c>
      <c r="BF591" s="52" t="str">
        <f>IF(Atletas!H582="","",IF(Atletas!B582="Feminino",100,IF(Atletas!B582="Masculino",200,""))+(IF(Atletas!H582="Changquan Mirim",1,IF(Atletas!H582="Nanquan Mirim",2,IF(Atletas!H582="Taijiquan Mirim",3,IF(Atletas!H582="Changquan Grupo C",4,IF(Atletas!H582="Nanquan Grupo C",5,IF(Atletas!H582="Taijiquan Grupo C",6,IF(Atletas!H582="Changquan Grupo B",7,IF(Atletas!H582="Nanquan Grupo B",8,IF(Atletas!H582="Taijiquan Grupo B",9,IF(Atletas!H582="Changquan Grupo A",10,IF(Atletas!H582="Nanquan Grupo A",11,IF(Atletas!H582="Taijiquan Grupo A",12,IF(Atletas!H582="Changquan Opcional",13,IF(Atletas!H582="Nanquan Opcional",14,IF(Atletas!H582="Taijiquan Opcional",15,IF(Atletas!H582="Changquan Adulto",16,IF(Atletas!H582="Nanquan Adulto",17,IF(Atletas!H582="Taijiquan Adulto",18,""))))))))))))))))))))</f>
        <v/>
      </c>
      <c r="BG591" s="52" t="str">
        <f>IF(Atletas!I582="","",IF(Atletas!B582="Feminino",100,IF(Atletas!B582="Masculino",200,""))+(IF(Atletas!I582="Daoshu Mirim",19,IF(Atletas!I582="Jianshu Mirim",20,IF(Atletas!I582="Nandao Mirim",21,IF(Atletas!I582="Taijijian Mirim",22,IF(Atletas!I582="Daoshu Grupo C",23,IF(Atletas!I582="Jianshu Grupo C",24,IF(Atletas!I582="Nandao Grupo C",25,IF(Atletas!I582="Taijijian Grupo C",26,IF(Atletas!I582="Daoshu Grupo B",27,IF(Atletas!I582="Jianshu Grupo B",28,IF(Atletas!I582="Nandao Grupo B",29,IF(Atletas!I582="Taijijian Grupo B",30,IF(Atletas!I582="Daoshu Grupo A",31,IF(Atletas!I582="Jianshu Grupo A",32,IF(Atletas!I582="Nandao Grupo A",33,IF(Atletas!I582="Taijijian Grupo A",34,IF(Atletas!I582="Daoshu Opcional",35,IF(Atletas!I582="Jianshu Opcional",36,IF(Atletas!I582="Nandao Opcional",37,IF(Atletas!I582="Taijijian Opcional",38,IF(Atletas!I582="Daoshu Adulto",39,IF(Atletas!I582="Jianshu Adulto",40,IF(Atletas!I582="Nandao Adulto",41,IF(Atletas!I582="Taijijian Adulto",42,""))))))))))))))))))))))))))</f>
        <v/>
      </c>
      <c r="BH591" s="52" t="str">
        <f>IF(Atletas!J582="","",IF(Atletas!B582="Feminino",100,IF(Atletas!B582="Masculino",200,""))+(IF(Atletas!J582="Gunshu Mirim",43,IF(Atletas!J582="Qiangshu Mirim",44,IF(Atletas!J582="Nangun Mirim",45,IF(Atletas!J582="Gunshu Grupo C",46,IF(Atletas!J582="Qiangshu Grupo C",47,IF(Atletas!J582="Nangun Grupo C",48,IF(Atletas!J582="Gunshu Grupo B",49,IF(Atletas!J582="Qiangshu Grupo B",50,IF(Atletas!J582="Nangun Grupo B",51,IF(Atletas!J582="Gunshu Grupo A",52,IF(Atletas!J582="Qiangshu Grupo A",53,IF(Atletas!J582="Nangun Grupo A",54,IF(Atletas!J582="Gunshu Opcional",55,IF(Atletas!J582="Qiangshu Opcional",56,IF(Atletas!J582="Nangun Opcional",57,IF(Atletas!J582="Gunshu Adulto",58,IF(Atletas!J582="Qiangshu Adulto",59,IF(Atletas!J582="Nangun Adulto",60,IF(Atletas!J582="Taijishan Grupo B",61,IF(Atletas!J582="Taijishan Grupo A",62,""))))))))))))))))))))))</f>
        <v/>
      </c>
      <c r="BM591" s="50" t="str">
        <f>IF(Atletas!K582="","",IF(Atletas!B582="Feminino",100,IF(Atletas!B582="Masculino",200,""))+(IF(Atletas!K582="Equipe 1 Grupo B",1,IF(Atletas!K582="Equipe 2 Grupo B",2,IF(Atletas!K582="Equipe 1 Grupo A",3,IF(Atletas!K582="Equipe 2 Grupo A",4,IF(Atletas!K582="Equipe 1 Adulto",5,IF(Atletas!K582="Equipe 2 Adulto",6,""))))))))</f>
        <v/>
      </c>
      <c r="BR591" s="50" t="str">
        <f>IF(Atletas!L582="","",IF(Atletas!X582&lt;&gt;"",10000,0)+(IF(Atletas!B582="Feminino",1000,IF(Atletas!B582="Masculino",2000,""))+IF(Atletas!L582="Choylayfut A",1,IF(Atletas!L582="Hunggar A",2,IF(Atletas!L582="Wuzuquan A",3,IF(Atletas!L582="Wingchun A",4,IF(Atletas!L582="Outra Mão de Sul A",5,IF(Atletas!L582="Choylayfut B",6,IF(Atletas!L582="Hunggar B",7,IF(Atletas!L582="Wuzuquan B",8,IF(Atletas!L582="Wingchun B",9,IF(Atletas!L582="Outra Mão de Sul B",10,IF(Atletas!L582="Choylayfut C",11,IF(Atletas!L582="Hunggar C",12,IF(Atletas!L582="Wuzuquan C",13,IF(Atletas!L582="Wingchun C",14,IF(Atletas!L582="Outra Mão de Sul C",15,IF(Atletas!L582="Choylayfut D",16,IF(Atletas!L582="Hunggar D",17,IF(Atletas!L582="Wuzuquan D",18,IF(Atletas!L582="Wingchun D",19,IF(Atletas!L582="Outra Mão de Sul D",20,IF(Atletas!L582="Choylayfut E",21,IF(Atletas!L582="Hunggar E",22,IF(Atletas!L582="Wuzuquan E",23,IF(Atletas!L582="Wingchun E",24,IF(Atletas!L582="Outra Mão de Sul E",25,IF(Atletas!L582="Choylayfut F",26,IF(Atletas!L582="Hunggar F",27,IF(Atletas!L582="Wuzuquan F",28,IF(Atletas!L582="Wingchun F",29,IF(Atletas!L582="Outra Mão de Sul F",30,IF(Atletas!L582="Dishuquan A",31,IF(Atletas!L582="Dishuquan B",32,IF(Atletas!L582="Dishuquan C",33,IF(Atletas!L582="Dishuquan D",34,IF(Atletas!L582="Dishuquan E",35,IF(Atletas!L582="Dishuquan F",36,""))))))))))))))))))))))))))))))))))))))</f>
        <v/>
      </c>
      <c r="BS591" s="50" t="str">
        <f>IF(Atletas!M582="","",IF(Atletas!X582&lt;&gt;"",10000,0)+(IF(Atletas!B582="Feminino",1000,IF(Atletas!B582="Masculino",2000,""))+(IF(Atletas!M582="Chaquan A",101,IF(Atletas!M582="Emeiquan A",102,IF(Atletas!M582="Fanziquan A",103,IF(Atletas!M582="Huaquan A",104,IF(Atletas!M582="Hongquan A",105,IF(Atletas!M582="Paoquan A",106,IF(Atletas!M582="Piguaquan A",107,IF(Atletas!M582="Shaolinquan A",108,IF(Atletas!M582="Tanglangquan A",109,IF(Atletas!M582="Yingzhaoquan A",110,IF(Atletas!M582="Tongbeiquan A",111,IF(Atletas!M582="Wudangquan A",112,IF(Atletas!M582="Outros Estilos A",113,IF(Atletas!M582="Chaquan B",114,IF(Atletas!M582="Emeiquan B",115,IF(Atletas!M582="Fanziquan B",116,IF(Atletas!M582="Huaquan B",117,IF(Atletas!M582="Hongquan B",118,IF(Atletas!M582="Paoquan B",119,IF(Atletas!M582="Piguaquan B",120,IF(Atletas!M582="Shaolinquan B",121,IF(Atletas!M582="Tanglangquan B",122,IF(Atletas!M582="Yingzhaoquan B",123,IF(Atletas!M582="Tongbeiquan B",124,IF(Atletas!M582="Wudangquan B",125,IF(Atletas!M582="Outros Estilos B",126,IF(Atletas!M582="Chaquan C",127,IF(Atletas!M582="Emeiquan C",128,IF(Atletas!M582="Fanziquan C",129,IF(Atletas!M582="Huaquan C",130,IF(Atletas!M582="Hongquan C",131,IF(Atletas!M582="Paoquan C",132,IF(Atletas!M582="Piguaquan C",133,IF(Atletas!M582="Shaolinquan C",134,IF(Atletas!M582="Tanglangquan C",135,IF(Atletas!M582="Yingzhaoquan C",136,IF(Atletas!M582="Tongbeiquan C",137,IF(Atletas!M582="Wudangquan C",138,IF(Atletas!M582="Outros Estilos C",139,0))))))))))))))))))))))))))))))))))))))))))</f>
        <v/>
      </c>
      <c r="BT591" s="50" t="str">
        <f>IF(Atletas!M582="","",IF(Atletas!X582&lt;&gt;"",10000,0)+(IF(Atletas!B582="Feminino",1000,IF(Atletas!B582="Masculino",2000,""))+(IF(Atletas!M582="Chaquan D",140,IF(Atletas!M582="Emeiquan D",141,IF(Atletas!M582="Fanziquan D",142,IF(Atletas!M582="Huaquan D",143,IF(Atletas!M582="Hongquan D",144,IF(Atletas!M582="Paoquan D",145,IF(Atletas!M582="Piguaquan D",146,IF(Atletas!M582="Shaolinquan D",147,IF(Atletas!M582="Tanglangquan D",148,IF(Atletas!M582="Yingzhaoquan D",149,IF(Atletas!M582="Tongbeiquan D",150,IF(Atletas!M582="Wudangquan D",151,IF(Atletas!M582="Outros Estilos D",152,IF(Atletas!M582="Chaquan E",153,IF(Atletas!M582="Emeiquan E",154,IF(Atletas!M582="Fanziquan E",155,IF(Atletas!M582="Huaquan E",156,IF(Atletas!M582="Hongquan E",157,IF(Atletas!M582="Paoquan E",158,IF(Atletas!M582="Piguaquan E",159,IF(Atletas!M582="Shaolinquan E",160,IF(Atletas!M582="Tanglangquan E",161,IF(Atletas!M582="Yingzhaoquan E",162,IF(Atletas!M582="Tongbeiquan E",163,IF(Atletas!M582="Wudangquan E",164,IF(Atletas!M582="Outros Estilos E",165,IF(Atletas!M582="Chaquan F",166,IF(Atletas!M582="Emeiquan F",167,IF(Atletas!M582="Fanziquan F",168,IF(Atletas!M582="Huaquan F",169,IF(Atletas!M582="Hongquan F",170,IF(Atletas!M582="Paoquan F",171,IF(Atletas!M582="Piguaquan F",172,IF(Atletas!M582="Shaolinquan F",173,IF(Atletas!M582="Tanglangquan F",174,IF(Atletas!M582="Yingzhaoquan F",175,IF(Atletas!M582="Tongbeiquan F",176,IF(Atletas!M582="Wudangquan F",177,IF(Atletas!M582="Outros Estilos F",178,0))))))))))))))))))))))))))))))))))))))))))</f>
        <v/>
      </c>
      <c r="BU591" s="50" t="str">
        <f>IF(Atletas!N582="","",IF(Atletas!X582&lt;&gt;"",10000,0)+(IF(Atletas!B582="Feminino",1000,IF(Atletas!B582="Masculino",2000,""))+(IF(Atletas!N582="Ditangquan A",201,IF(Atletas!N582="Houquan A",202,IF(Atletas!N582="Zuiquan A",203,IF(Atletas!N582="Ditangquan B",204,IF(Atletas!N582="Houquan B",205,IF(Atletas!N582="Zuiquan B",206,IF(Atletas!N582="Ditangquan C",207,IF(Atletas!N582="Houquan C",208,IF(Atletas!N582="Zuiquan C",209,IF(Atletas!N582="Ditangquan D",210,IF(Atletas!N582="Houquan D",211,IF(Atletas!N582="Zuiquan D",212,IF(Atletas!N582="Ditangquan E",213,IF(Atletas!N582="Houquan E",214,IF(Atletas!N582="Zuiquan E",215,IF(Atletas!N582="Ditangquan F",216,IF(Atletas!N582="Houquan F",217,IF(Atletas!N582="Zuiquan F",218,"")))))))))))))))))))))</f>
        <v/>
      </c>
      <c r="BV591" s="50" t="str">
        <f>IF(Atletas!O582="","",IF(Atletas!X582&lt;&gt;"",10000,0)+IF(Atletas!B582="Feminino",1000,IF(Atletas!B582="Masculino",2000,""))+IF(Atletas!O582="Yang A",301,IF(Atletas!O582="Chen A",302,IF(Atletas!O582="Sun A",303,IF(Atletas!O582="Wu A",304,IF(Atletas!O582="Wu-Hao A",305,IF(Atletas!O582="Outro Taijiquan A",306,IF(Atletas!O582="Yang B",307,IF(Atletas!O582="Chen B",308,IF(Atletas!O582="Sun B",309,IF(Atletas!O582="Wu B",310,IF(Atletas!O582="Wu-Hao B",311,IF(Atletas!O582="Outro Taijiquan B",312,IF(Atletas!O582="Yang C",313,IF(Atletas!O582="Chen C",314,IF(Atletas!O582="Sun C",315,IF(Atletas!O582="Wu C",316,IF(Atletas!O582="Wu-Hao C",317,IF(Atletas!O582="Outro Taijiquan C",318,IF(Atletas!O582="Yang D",319,IF(Atletas!O582="Chen D",320,IF(Atletas!O582="Sun D",321,IF(Atletas!O582="Wu D",322,IF(Atletas!O582="Wu-Hao D",323,IF(Atletas!O582="Outro Taijiquan D",324,IF(Atletas!O582="Yang E",325,IF(Atletas!O582="Chen E",326,IF(Atletas!O582="Sun E",327,IF(Atletas!O582="Wu E",328,IF(Atletas!O582="Wu-Hao E",329,IF(Atletas!O582="Outro Taijiquan E",330,IF(Atletas!O582="Yang F",331,IF(Atletas!O582="Chen F",332,IF(Atletas!O582="Sun F",333,IF(Atletas!O582="Wu F",334,IF(Atletas!O582="Wu-Hao F",335,IF(Atletas!O582="Outro Taijiquan F",336,"")))))))))))))))))))))))))))))))))))))</f>
        <v/>
      </c>
      <c r="BW591" s="50" t="str">
        <f>IF(Atletas!P582="","",IF(Atletas!X582&lt;&gt;"",10000,0)+IF(Atletas!B582="Feminino",1000,IF(Atletas!B582="Masculino",2000,""))+IF(OR(Atletas!P582="Yang 26 A",Atletas!P582="Yang 40 A"),401,IF(OR(Atletas!P582="Chen 25 A",Atletas!P582="Chen 36 A",Atletas!P582="Chen 56 A"),402,IF(Atletas!P582="Sun 73 A",403,IF(Atletas!P582="Wu 45 A",404,IF(Atletas!P582="Wu-Hao 46 A",405,IF(OR(Atletas!P582="Taijiquan 16 A",Atletas!P582="Taijiquan 24 A",Atletas!P582="Taijiquan 32 A",Atletas!P582="Taijiquan 42 A"),406,IF(OR(Atletas!P582="Yang 26 B",Atletas!P582="Yang 40 B"),407,IF(OR(Atletas!P582="Chen 25 B",Atletas!P582="Chen 36 B",Atletas!P582="Chen 56 B"),408,IF(Atletas!P582="Sun 73 B",409,IF(Atletas!P582="Wu 45 B",410,IF(Atletas!P582="Wu-Hao 46 B",411,IF(OR(Atletas!P582="Taijiquan 16 B",Atletas!P582="Taijiquan 24 B",Atletas!P582="Taijiquan 32 B",Atletas!P582="Taijiquan 42 B"),412,IF(OR(Atletas!P582="Yang 26 C",Atletas!P582="Yang 40 C"),413,IF(OR(Atletas!P582="Chen 25 C",Atletas!P582="Chen 36 C",Atletas!P582="Chen 56 C"),414,IF(Atletas!P582="Sun 73 C",415,IF(Atletas!P582="Wu 45 C",416,IF(Atletas!P582="Wu-Hao 46 C",417,IF(OR(Atletas!P582="Taijiquan 16 C",Atletas!P582="Taijiquan 24 C",Atletas!P582="Taijiquan 32 C",Atletas!P582="Taijiquan 42 C"),418,0)))))))))))))))))))</f>
        <v/>
      </c>
      <c r="BX591" s="50" t="str">
        <f>IF(Atletas!P582="","",IF(Atletas!X582&lt;&gt;"",10000,0)+IF(Atletas!B582="Feminino",1000,IF(Atletas!B582="Masculino",2000,""))+IF(OR(Atletas!P582="Yang 26 D",Atletas!P582="Yang 40 D"),419,IF(OR(Atletas!P582="Chen 25 D",Atletas!P582="Chen 36 D",Atletas!P582="Chen 56 D"),420,IF(Atletas!P582="Sun 73 D",421,IF(Atletas!P582="Wu 45 D",422,IF(Atletas!P582="Wu-Hao 46 D",423,IF(OR(Atletas!P582="Taijiquan 16 D",Atletas!P582="Taijiquan 24 D",Atletas!P582="Taijiquan 32 D",Atletas!P582="Taijiquan 42 D"),424,IF(OR(Atletas!P582="Yang 26 E",Atletas!P582="Yang 40 E"),425,IF(OR(Atletas!P582="Chen 25 E",Atletas!P582="Chen 36 E",Atletas!P582="Chen 56 E"),426,IF(Atletas!P582="Sun 73 E",427,IF(Atletas!P582="Wu 45 E",428,IF(Atletas!P582="Wu-Hao 46 E",429,IF(OR(Atletas!P582="Taijiquan 16 E",Atletas!P582="Taijiquan 24 E",Atletas!P582="Taijiquan 32 E",Atletas!P582="Taijiquan 42 E"),430,IF(OR(Atletas!P582="Yang 26 F",Atletas!P582="Yang 40 F"),431,IF(OR(Atletas!P582="Chen 25 F",Atletas!P582="Chen 36 F",Atletas!P582="Chen 56 F"),432,IF(Atletas!P582="Sun 73 F",433,IF(Atletas!P582="Wu 45 F",434,IF(Atletas!P582="Wu-Hao 46 F",435,IF(OR(Atletas!P582="Taijiquan 16 F",Atletas!P582="Taijiquan 24 F",Atletas!P582="Taijiquan 32 F",Atletas!P582="Taijiquan 42 F"),436,0)))))))))))))))))))</f>
        <v/>
      </c>
      <c r="BY591" s="50" t="str">
        <f>IF(Atletas!Q582="","",IF(Atletas!X582&lt;&gt;"",10000,0)+IF(Atletas!B582="Feminino",1000,IF(Atletas!B582="Masculino",2000,""))+IF(Atletas!Q582="Xingyiquan A",501,IF(Atletas!Q582="Baguazhang A",502,IF(Atletas!Q582="Outro Estilo Interno A",503,IF(Atletas!Q582="Xingyiquan B",504,IF(Atletas!Q582="Baguazhang B",505,IF(Atletas!Q582="Outro Estilo Interno B",506,IF(Atletas!Q582="Xingyiquan C",507,IF(Atletas!Q582="Baguazhang C",508,IF(Atletas!Q582="Outro Estilo Interno C",509,IF(Atletas!Q582="Xingyiquan D",510,IF(Atletas!Q582="Baguazhang D",511,IF(Atletas!Q582="Outro Estilo Interno D",512,IF(Atletas!Q582="Xingyiquan E",513,IF(Atletas!Q582="Baguazhang E",514,IF(Atletas!Q582="Outro Estilo Interno E",515,IF(Atletas!Q582="Xingyiquan F",516,IF(Atletas!Q582="Baguazhang F",517,IF(Atletas!Q582="Outro Estilo Interno F",518, "")))))))))))))))))))</f>
        <v/>
      </c>
      <c r="BZ591" s="50" t="str">
        <f>IF(Atletas!R582="","",IF(Atletas!X582&lt;&gt;"",10000,0)+IF(Atletas!B582="Feminino",1000,IF(Atletas!B582="Masculino",2000,""))+IF(Atletas!R582="Dao A",601,IF(Atletas!R582="Jian A",602,IF(Atletas!R582="Bishou A",603,IF(Atletas!R582="Shanzi A",604,IF(Atletas!R582="Outra Arma Curta A",605,IF(Atletas!R582="Dao B",606,IF(Atletas!R582="Jian B",607,IF(Atletas!R582="Bishou B",608,IF(Atletas!R582="Shanzi B",609,IF(Atletas!R582="Outra Arma Curta B",610,IF(Atletas!R582="Dao C",611,IF(Atletas!R582="Jian C",612,IF(Atletas!R582="Bishou C",613,IF(Atletas!R582="Shanzi C",614,IF(Atletas!R582="Outra Arma Curta C",615,IF(Atletas!R582="Dao D",616,IF(Atletas!R582="Jian D",617,IF(Atletas!R582="Bishou D",618,IF(Atletas!R582="Shanzi D",619,IF(Atletas!R582="Outra Arma Curta D",620,IF(Atletas!R582="Dao E",621,IF(Atletas!R582="Jian E",622,IF(Atletas!R582="Bishou E",623,IF(Atletas!R582="Shanzi E",624,IF(Atletas!R582="Outra Arma Curta E",625,IF(Atletas!R582="Dao F",626,IF(Atletas!R582="Jian F",627,IF(Atletas!R582="Bishou F",628,IF(Atletas!R582="Shanzi F",629,IF(Atletas!R582="Outra Arma Curta F",630, "")))))))))))))))))))))))))))))))</f>
        <v/>
      </c>
      <c r="CA591" s="50" t="str">
        <f>IF(Atletas!S582="","",IF(Atletas!X582&lt;&gt;"",10000,0)+IF(Atletas!B582="Feminino",1000,IF(Atletas!B582="Masculino",2000,""))+IF(Atletas!S582="Gun A",701,IF(Atletas!S582="Qiang A",702,IF(Atletas!S582="Pudao / Guandao A",703,IF(Atletas!S582="Outra Arma Longa A",704,IF(Atletas!S582="Gun B",705,IF(Atletas!S582="Qiang B",706,IF(Atletas!S582="Pudao / Guandao B",707,IF(Atletas!S582="Outra Arma Longa B",708,IF(Atletas!S582="Gun C",709,IF(Atletas!S582="Qiang C",710,IF(Atletas!S582="Pudao / Guandao C",711,IF(Atletas!S582="Outra Arma Longa C",712,IF(Atletas!S582="Gun D",713,IF(Atletas!S582="Qiang D",714,IF(Atletas!S582="Pudao / Guandao D",715,IF(Atletas!S582="Outra Arma Longa D",716,IF(Atletas!S582="Gun E",717,IF(Atletas!S582="Qiang E",718,IF(Atletas!S582="Pudao / Guandao E",719,IF(Atletas!S582="Outra Arma Longa E",720,IF(Atletas!S582="Gun F",721,IF(Atletas!S582="Qiang F",722,IF(Atletas!S582="Pudao / Guandao F",723,IF(Atletas!S582="Outra Arma Longa F",724,"")))))))))))))))))))))))))</f>
        <v/>
      </c>
      <c r="CB591" s="50" t="str">
        <f>IF(Atletas!T582="","",IF(Atletas!X582&lt;&gt;"",10000,0)+IF(Atletas!B582="Feminino",1000,IF(Atletas!B582="Masculino",2000,""))+IF(Atletas!T582="Outra Arma Dupla A",801,IF(Atletas!T582="Arma Maleável A",802,IF(Atletas!T582="Outra Arma Dupla B",803,IF(Atletas!T582="Arma Maleável B",804,IF(Atletas!T582="Outra Arma Dupla C",805,IF(Atletas!T582="Arma Maleável C",806,IF(Atletas!T582="Outra Arma Dupla D",807,IF(Atletas!T582="Arma Maleável D",808,IF(Atletas!T582="Outra Arma Dupla E",809,IF(Atletas!T582="Arma Maleável E",810,IF(Atletas!T582="Outra Arma Dupla F",811,IF(Atletas!T582="Arma Maleável F",812,IF(Atletas!T582="Shuangdao A",813,IF(Atletas!T582="Shuangdao B",814,IF(Atletas!T582="Shuangdao C",815,IF(Atletas!T582="Shuangdao D",816,IF(Atletas!T582="Shuangdao E",817,IF(Atletas!T582="Shuangdao F",818,"")))))))))))))))))))</f>
        <v/>
      </c>
      <c r="CC591" s="50" t="str">
        <f>IF(Atletas!U582="","",IF(Atletas!X582&lt;&gt;"",10000,0)+IF(Atletas!B582="Feminino",1000,IF(Atletas!B582="Masculino",2000,""))+IF(OR(Atletas!U582="Taijijian Yang A",Atletas!U582="Taijijian Yang Standard A"),901,IF(OR(Atletas!U582="Taijijian Chen A", Atletas!U582="Taijijian Chen Standard A"),902,IF(Atletas!U582="Taijijian Sun A",903,IF(Atletas!U582="Taijijian Wu A",904,IF(Atletas!U582="Taijijian Wu-Hao A",905,IF(OR(Atletas!U582="Taijijian 32 A",Atletas!U582="Taijijian 42 A"),906,IF(OR(Atletas!U582="Taijijian Yang B",Atletas!U582="Taijijian Yang Standard B"),907,IF(OR(Atletas!U582="Taijijian Chen B", Atletas!U582="Taijijian Chen Standard B"),908,IF(Atletas!U582="Taijijian Sun B",909,IF(Atletas!U582="Taijijian Wu B",910,IF(Atletas!U582="Taijijian Wu-Hao B",911,IF(OR(Atletas!U582="Taijijian 32 B",Atletas!U582="Taijijian 42 B"),912,IF(OR(Atletas!U582="Taijijian Yang C",Atletas!U582="Taijijian Yang Standard C"),913,IF(OR(Atletas!U582="Taijijian Chen C", Atletas!U582="Taijijian Chen Standard C"),914,IF(Atletas!U582="Taijijian Sun C",915,IF(Atletas!U582="Taijijian Wu C",916,IF(Atletas!U582="Taijijian Wu-Hao C",917,IF(OR(Atletas!U582="Taijijian 32 C",Atletas!U582="Taijijian 42 C"),918,IF(OR(Atletas!U582="Taijijian Yang D",Atletas!U582="Taijijian Yang Standard D"),919,IF(OR(Atletas!U582="Taijijian Chen D", Atletas!U582="Taijijian Chen Standard D"),920,IF(Atletas!U582="Taijijian Sun D",921,IF(Atletas!U582="Taijijian Wu D",922,IF(Atletas!U582="Taijijian Wu-Hao D",923,IF(OR(Atletas!U582="Taijijian 32 D",Atletas!U582="Taijijian 42 D"),924,IF(OR(Atletas!U582="Taijijian Yang E",Atletas!U582="Taijijian Yang Standard E"),925,IF(OR(Atletas!U582="Taijijian Chen E", Atletas!U582="Taijijian Chen Standard E"),926,IF(Atletas!U582="Taijijian Sun E",927,IF(Atletas!U582="Taijijian Wu E",928,IF(Atletas!U582="Taijijian Wu-Hao E",929,IF(OR(Atletas!U582="Taijijian 32 E",Atletas!U582="Taijijian 42 E"),930,IF(OR(Atletas!U582="Taijijian Yang F",Atletas!U582="Taijijian Yang Standard F"),931,IF(OR(Atletas!U582="Taijijian Chen F", Atletas!U582="Taijijian Chen Standard F"),932,IF(Atletas!U582="Taijijian Sun F",933,IF(Atletas!U582="Taijijian Wu F",934,IF(Atletas!U582="Taijijian Wu-Hao F",935,IF(OR(Atletas!U582="Taijijian 32 F",Atletas!U582="Taijijian 42 F"),936,"")))))))))))))))))))))))))))))))))))))</f>
        <v/>
      </c>
      <c r="CD591" s="50" t="str">
        <f>IF(Atletas!V582="","",IF(Atletas!X582&lt;&gt;"",10000,0)+IF(Atletas!B582="Feminino",1000,IF(Atletas!B582="Masculino",2000,""))+IF(Atletas!V582="Taijidao A",937,IF(Atletas!V582="TaijiShanzi A",938,IF(Atletas!V582="Taijiqiang A",939,IF(Atletas!V582="Bagua de Arma A",940,IF(Atletas!V582="Xingyi de Arma A",941,IF(Atletas!V582="Taijidao B",942,IF(Atletas!V582="TaijiShanzi B",943,IF(Atletas!V582="Taijiqiang B",944,IF(Atletas!V582="Bagua de Arma B",945,IF(Atletas!V582="Xingyi de Arma B",946,IF(Atletas!V582="Taijidao C",947,IF(Atletas!V582="TaijiShanzi C",948,IF(Atletas!V582="Taijiqiang C",949,IF(Atletas!V582="Bagua de Arma C",950,IF(Atletas!V582="Xingyi de Arma C",951,IF(Atletas!V582="Taijidao D",952,IF(Atletas!V582="TaijiShanzi D",953,IF(Atletas!V582="Taijiqiang D",954,IF(Atletas!V582="Bagua de Arma D",955,IF(Atletas!V582="Xingyi de Arma D",956,IF(Atletas!V582="Taijidao E",957,IF(Atletas!V582="TaijiShanzi E",958,IF(Atletas!V582="Taijiqiang E",959,IF(Atletas!V582="Bagua de Arma E",960,IF(Atletas!V582="Xingyi de Arma E",961,IF(Atletas!V582="Taijidao F",962,IF(Atletas!V582="TaijiShanzi F",963,IF(Atletas!V582="Taijiqiang F",964,IF(Atletas!V582="Bagua de Arma F",965,IF(Atletas!V582="Xingyi de Arma F",966,"")))))))))))))))))))))))))))))))</f>
        <v/>
      </c>
      <c r="CM591" s="50" t="str">
        <f xml:space="preserve"> IF(Atletas!W582="","",IF(Atletas!W582="Duilian de Mãos BC - Equipe 1",1,IF(Atletas!W582="Duilian de Mãos BC - Equipe 2",2,IF(Atletas!W582="Duilian de Armas BC - Equipe 1",3,IF(Atletas!W582="Duilian de Armas BC - Equipe 2",4,IF(Atletas!W582="Duilian de Mãos DE - Equipe 1",5,IF(Atletas!W582="Duilian de Mãos DE - Equipe 2",6,IF(Atletas!W582="Duilian de Armas DE - Equipe 1",7,IF(Atletas!W582="Duilian de Armas DE - Equipe 2",8,IF(Atletas!W582="Duilian de Tuishou - Equipe 1",9,IF(Atletas!W582="Duilian de Tuishou - Equipe 2",10,IF(Atletas!W582="Grupo Externo ABC - Equipe 1",11,IF(Atletas!W582="Grupo Externo ABC - Equipe 2",12,IF(Atletas!W582="Grupo Interno ABC - Equipe 1",13,IF(Atletas!W582="Grupo Interno ABC - Equipe 2",14,IF(Atletas!W582="Grupo Externo DEF - Equipe 1",15,IF(Atletas!W582="Grupo Externo DEF - Equipe 2",16,IF(Atletas!W582="Grupo Interno DEF - Equipe 1",17,IF(Atletas!W582="Grupo Interno DEF - Equipe 2",18,"")))))))))))))))))))</f>
        <v/>
      </c>
    </row>
    <row r="592" spans="40:91">
      <c r="AN592" s="52" t="str">
        <f>IF(Atletas!D583="","",IF(Atletas!B583="Feminino",100,IF(Atletas!B583="Masculino",200,""))+(IF(Atletas!D583="Kids 30kg",1,IF(Atletas!D583="Kids 32kg",2, IF(Atletas!D583="Kids 34kg",3,IF(Atletas!D583="Kids 36kg",4,IF(Atletas!D583="Kids 39kg",5,IF(Atletas!D583="Kids 42kg",6,IF(Atletas!D583="Kids 45kg",7, IF(Atletas!D583="Infantil 39kg",8,IF(Atletas!D583="Infantil 42kg",9,IF(Atletas!D583="Infantil 45kg",10,IF(Atletas!D583="Infantil 48kg",11,IF(Atletas!D583="Infantil 52kg",12,IF(Atletas!D583="Infantil 56kg",13,IF(Atletas!D583="Infantil 60kg",14,IF(Atletas!D583="Juvenil 48kg",15,IF(Atletas!D583="Juvenil 52kg",16,IF(Atletas!D583="Juvenil 56kg",17,IF(Atletas!D583="Juvenil 60kg",18,IF(Atletas!D583="Juvenil 65kg",19,IF(Atletas!D583="Juvenil 70kg",20,IF(Atletas!D583="Juvenil 75kg",21,IF(Atletas!D583="Juvenil 80kg",22, IF(Atletas!D583="Juvenil 85kg",23,IF(Atletas!D583="Adulto 48kg",24,IF(Atletas!D583="Adulto 52kg",25,IF(Atletas!D583="Adulto 56kg",26,IF(Atletas!D583="Adulto 60kg",27,IF(Atletas!D583="Adulto 65kg",28,IF(Atletas!D583="Adulto 70kg",29,IF(Atletas!D583="Adulto 75kg",30,IF(Atletas!D583="Adulto 80kg",31,IF(Atletas!D583="Adulto 85kg",32,IF(Atletas!D583="Adulto 90kg",33,IF(Atletas!D583="Adulto 100kg",34, IF(Atletas!D583="Adulto +100kg",35,"")))))))))))))))))))))))))))))))))))))</f>
        <v/>
      </c>
      <c r="AS592" s="6" t="str">
        <f>IF(Atletas!E583="","",IF(Atletas!B583="Feminino",100,IF(Atletas!B583="Masculino",200,""))+(IF(Atletas!E583="Juvenil 44kg",1,IF(Atletas!E583="Juvenil 48kg",2,IF(Atletas!E583="Juvenil 52kg",3,IF(Atletas!E583="Juvenil 56kg",4,IF(Atletas!E583="Juvenil 60kg",5,IF(Atletas!E583="Juvenil 65kg",6,IF(Atletas!E583="Juvenil 70kg",7,IF(Atletas!E583="Juvenil 75kg",8,IF(Atletas!E583="Juvenil 82kg",9,IF(Atletas!E583="Juvenil 90kg",10,IF(Atletas!E583="Juvenil 100kg",11,IF(Atletas!E583="Adulto 48kg",12,IF(Atletas!E583="Adulto 52kg",13,IF(Atletas!E583="Adulto 56kg",14,IF(Atletas!E583="Adulto 60kg",15,IF(Atletas!E583="Adulto 65kg",16,IF(Atletas!E583="Adulto 70kg",17,IF(Atletas!E583="Adulto 75kg",18,IF(Atletas!E583="Adulto 82kg",19,IF(Atletas!E583="Adulto 90kg",20,IF(Atletas!E583="Adulto 100kg",21,IF(Atletas!E583="Adulto +100kg",22,""))))))))))))))))))))))))</f>
        <v/>
      </c>
      <c r="AX592" s="6" t="str">
        <f>IF(Atletas!F583="","",IF(Atletas!B583="Feminino",100,IF(Atletas!B583="Masculino",200,""))+(IF(Atletas!F583="Adulto 48kg",1,IF(Atletas!F583="Adulto 56kg",2,IF(Atletas!F583="Adulto 65kg",3,IF(Atletas!F583="Adulto 75kg",4,IF(Atletas!F583="Adulto +75kg",5,IF(Atletas!F583="Adulto 52kg",6,IF(Atletas!F583="Adulto 60kg",7,IF(Atletas!F583="Adulto 70kg",8,IF(Atletas!F583="Adulto 80kg",9,IF(Atletas!F583="Adulto 90kg",10,IF(Atletas!F583="Adulto +90kg",11,"")))))))))))))</f>
        <v/>
      </c>
      <c r="BC592" s="6" t="str">
        <f>IF(Atletas!G583="","",IF(Atletas!B583="Feminino",10,IF(Atletas!B583="Masculino",20,""))+(IF(Atletas!G583="Baduanjin A",1,IF(Atletas!G583="Baduanjin B",2))))</f>
        <v/>
      </c>
      <c r="BF592" s="52" t="str">
        <f>IF(Atletas!H583="","",IF(Atletas!B583="Feminino",100,IF(Atletas!B583="Masculino",200,""))+(IF(Atletas!H583="Changquan Mirim",1,IF(Atletas!H583="Nanquan Mirim",2,IF(Atletas!H583="Taijiquan Mirim",3,IF(Atletas!H583="Changquan Grupo C",4,IF(Atletas!H583="Nanquan Grupo C",5,IF(Atletas!H583="Taijiquan Grupo C",6,IF(Atletas!H583="Changquan Grupo B",7,IF(Atletas!H583="Nanquan Grupo B",8,IF(Atletas!H583="Taijiquan Grupo B",9,IF(Atletas!H583="Changquan Grupo A",10,IF(Atletas!H583="Nanquan Grupo A",11,IF(Atletas!H583="Taijiquan Grupo A",12,IF(Atletas!H583="Changquan Opcional",13,IF(Atletas!H583="Nanquan Opcional",14,IF(Atletas!H583="Taijiquan Opcional",15,IF(Atletas!H583="Changquan Adulto",16,IF(Atletas!H583="Nanquan Adulto",17,IF(Atletas!H583="Taijiquan Adulto",18,""))))))))))))))))))))</f>
        <v/>
      </c>
      <c r="BG592" s="52" t="str">
        <f>IF(Atletas!I583="","",IF(Atletas!B583="Feminino",100,IF(Atletas!B583="Masculino",200,""))+(IF(Atletas!I583="Daoshu Mirim",19,IF(Atletas!I583="Jianshu Mirim",20,IF(Atletas!I583="Nandao Mirim",21,IF(Atletas!I583="Taijijian Mirim",22,IF(Atletas!I583="Daoshu Grupo C",23,IF(Atletas!I583="Jianshu Grupo C",24,IF(Atletas!I583="Nandao Grupo C",25,IF(Atletas!I583="Taijijian Grupo C",26,IF(Atletas!I583="Daoshu Grupo B",27,IF(Atletas!I583="Jianshu Grupo B",28,IF(Atletas!I583="Nandao Grupo B",29,IF(Atletas!I583="Taijijian Grupo B",30,IF(Atletas!I583="Daoshu Grupo A",31,IF(Atletas!I583="Jianshu Grupo A",32,IF(Atletas!I583="Nandao Grupo A",33,IF(Atletas!I583="Taijijian Grupo A",34,IF(Atletas!I583="Daoshu Opcional",35,IF(Atletas!I583="Jianshu Opcional",36,IF(Atletas!I583="Nandao Opcional",37,IF(Atletas!I583="Taijijian Opcional",38,IF(Atletas!I583="Daoshu Adulto",39,IF(Atletas!I583="Jianshu Adulto",40,IF(Atletas!I583="Nandao Adulto",41,IF(Atletas!I583="Taijijian Adulto",42,""))))))))))))))))))))))))))</f>
        <v/>
      </c>
      <c r="BH592" s="52" t="str">
        <f>IF(Atletas!J583="","",IF(Atletas!B583="Feminino",100,IF(Atletas!B583="Masculino",200,""))+(IF(Atletas!J583="Gunshu Mirim",43,IF(Atletas!J583="Qiangshu Mirim",44,IF(Atletas!J583="Nangun Mirim",45,IF(Atletas!J583="Gunshu Grupo C",46,IF(Atletas!J583="Qiangshu Grupo C",47,IF(Atletas!J583="Nangun Grupo C",48,IF(Atletas!J583="Gunshu Grupo B",49,IF(Atletas!J583="Qiangshu Grupo B",50,IF(Atletas!J583="Nangun Grupo B",51,IF(Atletas!J583="Gunshu Grupo A",52,IF(Atletas!J583="Qiangshu Grupo A",53,IF(Atletas!J583="Nangun Grupo A",54,IF(Atletas!J583="Gunshu Opcional",55,IF(Atletas!J583="Qiangshu Opcional",56,IF(Atletas!J583="Nangun Opcional",57,IF(Atletas!J583="Gunshu Adulto",58,IF(Atletas!J583="Qiangshu Adulto",59,IF(Atletas!J583="Nangun Adulto",60,IF(Atletas!J583="Taijishan Grupo B",61,IF(Atletas!J583="Taijishan Grupo A",62,""))))))))))))))))))))))</f>
        <v/>
      </c>
      <c r="BM592" s="50" t="str">
        <f>IF(Atletas!K583="","",IF(Atletas!B583="Feminino",100,IF(Atletas!B583="Masculino",200,""))+(IF(Atletas!K583="Equipe 1 Grupo B",1,IF(Atletas!K583="Equipe 2 Grupo B",2,IF(Atletas!K583="Equipe 1 Grupo A",3,IF(Atletas!K583="Equipe 2 Grupo A",4,IF(Atletas!K583="Equipe 1 Adulto",5,IF(Atletas!K583="Equipe 2 Adulto",6,""))))))))</f>
        <v/>
      </c>
      <c r="BR592" s="50" t="str">
        <f>IF(Atletas!L583="","",IF(Atletas!X583&lt;&gt;"",10000,0)+(IF(Atletas!B583="Feminino",1000,IF(Atletas!B583="Masculino",2000,""))+IF(Atletas!L583="Choylayfut A",1,IF(Atletas!L583="Hunggar A",2,IF(Atletas!L583="Wuzuquan A",3,IF(Atletas!L583="Wingchun A",4,IF(Atletas!L583="Outra Mão de Sul A",5,IF(Atletas!L583="Choylayfut B",6,IF(Atletas!L583="Hunggar B",7,IF(Atletas!L583="Wuzuquan B",8,IF(Atletas!L583="Wingchun B",9,IF(Atletas!L583="Outra Mão de Sul B",10,IF(Atletas!L583="Choylayfut C",11,IF(Atletas!L583="Hunggar C",12,IF(Atletas!L583="Wuzuquan C",13,IF(Atletas!L583="Wingchun C",14,IF(Atletas!L583="Outra Mão de Sul C",15,IF(Atletas!L583="Choylayfut D",16,IF(Atletas!L583="Hunggar D",17,IF(Atletas!L583="Wuzuquan D",18,IF(Atletas!L583="Wingchun D",19,IF(Atletas!L583="Outra Mão de Sul D",20,IF(Atletas!L583="Choylayfut E",21,IF(Atletas!L583="Hunggar E",22,IF(Atletas!L583="Wuzuquan E",23,IF(Atletas!L583="Wingchun E",24,IF(Atletas!L583="Outra Mão de Sul E",25,IF(Atletas!L583="Choylayfut F",26,IF(Atletas!L583="Hunggar F",27,IF(Atletas!L583="Wuzuquan F",28,IF(Atletas!L583="Wingchun F",29,IF(Atletas!L583="Outra Mão de Sul F",30,IF(Atletas!L583="Dishuquan A",31,IF(Atletas!L583="Dishuquan B",32,IF(Atletas!L583="Dishuquan C",33,IF(Atletas!L583="Dishuquan D",34,IF(Atletas!L583="Dishuquan E",35,IF(Atletas!L583="Dishuquan F",36,""))))))))))))))))))))))))))))))))))))))</f>
        <v/>
      </c>
      <c r="BS592" s="50" t="str">
        <f>IF(Atletas!M583="","",IF(Atletas!X583&lt;&gt;"",10000,0)+(IF(Atletas!B583="Feminino",1000,IF(Atletas!B583="Masculino",2000,""))+(IF(Atletas!M583="Chaquan A",101,IF(Atletas!M583="Emeiquan A",102,IF(Atletas!M583="Fanziquan A",103,IF(Atletas!M583="Huaquan A",104,IF(Atletas!M583="Hongquan A",105,IF(Atletas!M583="Paoquan A",106,IF(Atletas!M583="Piguaquan A",107,IF(Atletas!M583="Shaolinquan A",108,IF(Atletas!M583="Tanglangquan A",109,IF(Atletas!M583="Yingzhaoquan A",110,IF(Atletas!M583="Tongbeiquan A",111,IF(Atletas!M583="Wudangquan A",112,IF(Atletas!M583="Outros Estilos A",113,IF(Atletas!M583="Chaquan B",114,IF(Atletas!M583="Emeiquan B",115,IF(Atletas!M583="Fanziquan B",116,IF(Atletas!M583="Huaquan B",117,IF(Atletas!M583="Hongquan B",118,IF(Atletas!M583="Paoquan B",119,IF(Atletas!M583="Piguaquan B",120,IF(Atletas!M583="Shaolinquan B",121,IF(Atletas!M583="Tanglangquan B",122,IF(Atletas!M583="Yingzhaoquan B",123,IF(Atletas!M583="Tongbeiquan B",124,IF(Atletas!M583="Wudangquan B",125,IF(Atletas!M583="Outros Estilos B",126,IF(Atletas!M583="Chaquan C",127,IF(Atletas!M583="Emeiquan C",128,IF(Atletas!M583="Fanziquan C",129,IF(Atletas!M583="Huaquan C",130,IF(Atletas!M583="Hongquan C",131,IF(Atletas!M583="Paoquan C",132,IF(Atletas!M583="Piguaquan C",133,IF(Atletas!M583="Shaolinquan C",134,IF(Atletas!M583="Tanglangquan C",135,IF(Atletas!M583="Yingzhaoquan C",136,IF(Atletas!M583="Tongbeiquan C",137,IF(Atletas!M583="Wudangquan C",138,IF(Atletas!M583="Outros Estilos C",139,0))))))))))))))))))))))))))))))))))))))))))</f>
        <v/>
      </c>
      <c r="BT592" s="50" t="str">
        <f>IF(Atletas!M583="","",IF(Atletas!X583&lt;&gt;"",10000,0)+(IF(Atletas!B583="Feminino",1000,IF(Atletas!B583="Masculino",2000,""))+(IF(Atletas!M583="Chaquan D",140,IF(Atletas!M583="Emeiquan D",141,IF(Atletas!M583="Fanziquan D",142,IF(Atletas!M583="Huaquan D",143,IF(Atletas!M583="Hongquan D",144,IF(Atletas!M583="Paoquan D",145,IF(Atletas!M583="Piguaquan D",146,IF(Atletas!M583="Shaolinquan D",147,IF(Atletas!M583="Tanglangquan D",148,IF(Atletas!M583="Yingzhaoquan D",149,IF(Atletas!M583="Tongbeiquan D",150,IF(Atletas!M583="Wudangquan D",151,IF(Atletas!M583="Outros Estilos D",152,IF(Atletas!M583="Chaquan E",153,IF(Atletas!M583="Emeiquan E",154,IF(Atletas!M583="Fanziquan E",155,IF(Atletas!M583="Huaquan E",156,IF(Atletas!M583="Hongquan E",157,IF(Atletas!M583="Paoquan E",158,IF(Atletas!M583="Piguaquan E",159,IF(Atletas!M583="Shaolinquan E",160,IF(Atletas!M583="Tanglangquan E",161,IF(Atletas!M583="Yingzhaoquan E",162,IF(Atletas!M583="Tongbeiquan E",163,IF(Atletas!M583="Wudangquan E",164,IF(Atletas!M583="Outros Estilos E",165,IF(Atletas!M583="Chaquan F",166,IF(Atletas!M583="Emeiquan F",167,IF(Atletas!M583="Fanziquan F",168,IF(Atletas!M583="Huaquan F",169,IF(Atletas!M583="Hongquan F",170,IF(Atletas!M583="Paoquan F",171,IF(Atletas!M583="Piguaquan F",172,IF(Atletas!M583="Shaolinquan F",173,IF(Atletas!M583="Tanglangquan F",174,IF(Atletas!M583="Yingzhaoquan F",175,IF(Atletas!M583="Tongbeiquan F",176,IF(Atletas!M583="Wudangquan F",177,IF(Atletas!M583="Outros Estilos F",178,0))))))))))))))))))))))))))))))))))))))))))</f>
        <v/>
      </c>
      <c r="BU592" s="50" t="str">
        <f>IF(Atletas!N583="","",IF(Atletas!X583&lt;&gt;"",10000,0)+(IF(Atletas!B583="Feminino",1000,IF(Atletas!B583="Masculino",2000,""))+(IF(Atletas!N583="Ditangquan A",201,IF(Atletas!N583="Houquan A",202,IF(Atletas!N583="Zuiquan A",203,IF(Atletas!N583="Ditangquan B",204,IF(Atletas!N583="Houquan B",205,IF(Atletas!N583="Zuiquan B",206,IF(Atletas!N583="Ditangquan C",207,IF(Atletas!N583="Houquan C",208,IF(Atletas!N583="Zuiquan C",209,IF(Atletas!N583="Ditangquan D",210,IF(Atletas!N583="Houquan D",211,IF(Atletas!N583="Zuiquan D",212,IF(Atletas!N583="Ditangquan E",213,IF(Atletas!N583="Houquan E",214,IF(Atletas!N583="Zuiquan E",215,IF(Atletas!N583="Ditangquan F",216,IF(Atletas!N583="Houquan F",217,IF(Atletas!N583="Zuiquan F",218,"")))))))))))))))))))))</f>
        <v/>
      </c>
      <c r="BV592" s="50" t="str">
        <f>IF(Atletas!O583="","",IF(Atletas!X583&lt;&gt;"",10000,0)+IF(Atletas!B583="Feminino",1000,IF(Atletas!B583="Masculino",2000,""))+IF(Atletas!O583="Yang A",301,IF(Atletas!O583="Chen A",302,IF(Atletas!O583="Sun A",303,IF(Atletas!O583="Wu A",304,IF(Atletas!O583="Wu-Hao A",305,IF(Atletas!O583="Outro Taijiquan A",306,IF(Atletas!O583="Yang B",307,IF(Atletas!O583="Chen B",308,IF(Atletas!O583="Sun B",309,IF(Atletas!O583="Wu B",310,IF(Atletas!O583="Wu-Hao B",311,IF(Atletas!O583="Outro Taijiquan B",312,IF(Atletas!O583="Yang C",313,IF(Atletas!O583="Chen C",314,IF(Atletas!O583="Sun C",315,IF(Atletas!O583="Wu C",316,IF(Atletas!O583="Wu-Hao C",317,IF(Atletas!O583="Outro Taijiquan C",318,IF(Atletas!O583="Yang D",319,IF(Atletas!O583="Chen D",320,IF(Atletas!O583="Sun D",321,IF(Atletas!O583="Wu D",322,IF(Atletas!O583="Wu-Hao D",323,IF(Atletas!O583="Outro Taijiquan D",324,IF(Atletas!O583="Yang E",325,IF(Atletas!O583="Chen E",326,IF(Atletas!O583="Sun E",327,IF(Atletas!O583="Wu E",328,IF(Atletas!O583="Wu-Hao E",329,IF(Atletas!O583="Outro Taijiquan E",330,IF(Atletas!O583="Yang F",331,IF(Atletas!O583="Chen F",332,IF(Atletas!O583="Sun F",333,IF(Atletas!O583="Wu F",334,IF(Atletas!O583="Wu-Hao F",335,IF(Atletas!O583="Outro Taijiquan F",336,"")))))))))))))))))))))))))))))))))))))</f>
        <v/>
      </c>
      <c r="BW592" s="50" t="str">
        <f>IF(Atletas!P583="","",IF(Atletas!X583&lt;&gt;"",10000,0)+IF(Atletas!B583="Feminino",1000,IF(Atletas!B583="Masculino",2000,""))+IF(OR(Atletas!P583="Yang 26 A",Atletas!P583="Yang 40 A"),401,IF(OR(Atletas!P583="Chen 25 A",Atletas!P583="Chen 36 A",Atletas!P583="Chen 56 A"),402,IF(Atletas!P583="Sun 73 A",403,IF(Atletas!P583="Wu 45 A",404,IF(Atletas!P583="Wu-Hao 46 A",405,IF(OR(Atletas!P583="Taijiquan 16 A",Atletas!P583="Taijiquan 24 A",Atletas!P583="Taijiquan 32 A",Atletas!P583="Taijiquan 42 A"),406,IF(OR(Atletas!P583="Yang 26 B",Atletas!P583="Yang 40 B"),407,IF(OR(Atletas!P583="Chen 25 B",Atletas!P583="Chen 36 B",Atletas!P583="Chen 56 B"),408,IF(Atletas!P583="Sun 73 B",409,IF(Atletas!P583="Wu 45 B",410,IF(Atletas!P583="Wu-Hao 46 B",411,IF(OR(Atletas!P583="Taijiquan 16 B",Atletas!P583="Taijiquan 24 B",Atletas!P583="Taijiquan 32 B",Atletas!P583="Taijiquan 42 B"),412,IF(OR(Atletas!P583="Yang 26 C",Atletas!P583="Yang 40 C"),413,IF(OR(Atletas!P583="Chen 25 C",Atletas!P583="Chen 36 C",Atletas!P583="Chen 56 C"),414,IF(Atletas!P583="Sun 73 C",415,IF(Atletas!P583="Wu 45 C",416,IF(Atletas!P583="Wu-Hao 46 C",417,IF(OR(Atletas!P583="Taijiquan 16 C",Atletas!P583="Taijiquan 24 C",Atletas!P583="Taijiquan 32 C",Atletas!P583="Taijiquan 42 C"),418,0)))))))))))))))))))</f>
        <v/>
      </c>
      <c r="BX592" s="50" t="str">
        <f>IF(Atletas!P583="","",IF(Atletas!X583&lt;&gt;"",10000,0)+IF(Atletas!B583="Feminino",1000,IF(Atletas!B583="Masculino",2000,""))+IF(OR(Atletas!P583="Yang 26 D",Atletas!P583="Yang 40 D"),419,IF(OR(Atletas!P583="Chen 25 D",Atletas!P583="Chen 36 D",Atletas!P583="Chen 56 D"),420,IF(Atletas!P583="Sun 73 D",421,IF(Atletas!P583="Wu 45 D",422,IF(Atletas!P583="Wu-Hao 46 D",423,IF(OR(Atletas!P583="Taijiquan 16 D",Atletas!P583="Taijiquan 24 D",Atletas!P583="Taijiquan 32 D",Atletas!P583="Taijiquan 42 D"),424,IF(OR(Atletas!P583="Yang 26 E",Atletas!P583="Yang 40 E"),425,IF(OR(Atletas!P583="Chen 25 E",Atletas!P583="Chen 36 E",Atletas!P583="Chen 56 E"),426,IF(Atletas!P583="Sun 73 E",427,IF(Atletas!P583="Wu 45 E",428,IF(Atletas!P583="Wu-Hao 46 E",429,IF(OR(Atletas!P583="Taijiquan 16 E",Atletas!P583="Taijiquan 24 E",Atletas!P583="Taijiquan 32 E",Atletas!P583="Taijiquan 42 E"),430,IF(OR(Atletas!P583="Yang 26 F",Atletas!P583="Yang 40 F"),431,IF(OR(Atletas!P583="Chen 25 F",Atletas!P583="Chen 36 F",Atletas!P583="Chen 56 F"),432,IF(Atletas!P583="Sun 73 F",433,IF(Atletas!P583="Wu 45 F",434,IF(Atletas!P583="Wu-Hao 46 F",435,IF(OR(Atletas!P583="Taijiquan 16 F",Atletas!P583="Taijiquan 24 F",Atletas!P583="Taijiquan 32 F",Atletas!P583="Taijiquan 42 F"),436,0)))))))))))))))))))</f>
        <v/>
      </c>
      <c r="BY592" s="50" t="str">
        <f>IF(Atletas!Q583="","",IF(Atletas!X583&lt;&gt;"",10000,0)+IF(Atletas!B583="Feminino",1000,IF(Atletas!B583="Masculino",2000,""))+IF(Atletas!Q583="Xingyiquan A",501,IF(Atletas!Q583="Baguazhang A",502,IF(Atletas!Q583="Outro Estilo Interno A",503,IF(Atletas!Q583="Xingyiquan B",504,IF(Atletas!Q583="Baguazhang B",505,IF(Atletas!Q583="Outro Estilo Interno B",506,IF(Atletas!Q583="Xingyiquan C",507,IF(Atletas!Q583="Baguazhang C",508,IF(Atletas!Q583="Outro Estilo Interno C",509,IF(Atletas!Q583="Xingyiquan D",510,IF(Atletas!Q583="Baguazhang D",511,IF(Atletas!Q583="Outro Estilo Interno D",512,IF(Atletas!Q583="Xingyiquan E",513,IF(Atletas!Q583="Baguazhang E",514,IF(Atletas!Q583="Outro Estilo Interno E",515,IF(Atletas!Q583="Xingyiquan F",516,IF(Atletas!Q583="Baguazhang F",517,IF(Atletas!Q583="Outro Estilo Interno F",518, "")))))))))))))))))))</f>
        <v/>
      </c>
      <c r="BZ592" s="50" t="str">
        <f>IF(Atletas!R583="","",IF(Atletas!X583&lt;&gt;"",10000,0)+IF(Atletas!B583="Feminino",1000,IF(Atletas!B583="Masculino",2000,""))+IF(Atletas!R583="Dao A",601,IF(Atletas!R583="Jian A",602,IF(Atletas!R583="Bishou A",603,IF(Atletas!R583="Shanzi A",604,IF(Atletas!R583="Outra Arma Curta A",605,IF(Atletas!R583="Dao B",606,IF(Atletas!R583="Jian B",607,IF(Atletas!R583="Bishou B",608,IF(Atletas!R583="Shanzi B",609,IF(Atletas!R583="Outra Arma Curta B",610,IF(Atletas!R583="Dao C",611,IF(Atletas!R583="Jian C",612,IF(Atletas!R583="Bishou C",613,IF(Atletas!R583="Shanzi C",614,IF(Atletas!R583="Outra Arma Curta C",615,IF(Atletas!R583="Dao D",616,IF(Atletas!R583="Jian D",617,IF(Atletas!R583="Bishou D",618,IF(Atletas!R583="Shanzi D",619,IF(Atletas!R583="Outra Arma Curta D",620,IF(Atletas!R583="Dao E",621,IF(Atletas!R583="Jian E",622,IF(Atletas!R583="Bishou E",623,IF(Atletas!R583="Shanzi E",624,IF(Atletas!R583="Outra Arma Curta E",625,IF(Atletas!R583="Dao F",626,IF(Atletas!R583="Jian F",627,IF(Atletas!R583="Bishou F",628,IF(Atletas!R583="Shanzi F",629,IF(Atletas!R583="Outra Arma Curta F",630, "")))))))))))))))))))))))))))))))</f>
        <v/>
      </c>
      <c r="CA592" s="50" t="str">
        <f>IF(Atletas!S583="","",IF(Atletas!X583&lt;&gt;"",10000,0)+IF(Atletas!B583="Feminino",1000,IF(Atletas!B583="Masculino",2000,""))+IF(Atletas!S583="Gun A",701,IF(Atletas!S583="Qiang A",702,IF(Atletas!S583="Pudao / Guandao A",703,IF(Atletas!S583="Outra Arma Longa A",704,IF(Atletas!S583="Gun B",705,IF(Atletas!S583="Qiang B",706,IF(Atletas!S583="Pudao / Guandao B",707,IF(Atletas!S583="Outra Arma Longa B",708,IF(Atletas!S583="Gun C",709,IF(Atletas!S583="Qiang C",710,IF(Atletas!S583="Pudao / Guandao C",711,IF(Atletas!S583="Outra Arma Longa C",712,IF(Atletas!S583="Gun D",713,IF(Atletas!S583="Qiang D",714,IF(Atletas!S583="Pudao / Guandao D",715,IF(Atletas!S583="Outra Arma Longa D",716,IF(Atletas!S583="Gun E",717,IF(Atletas!S583="Qiang E",718,IF(Atletas!S583="Pudao / Guandao E",719,IF(Atletas!S583="Outra Arma Longa E",720,IF(Atletas!S583="Gun F",721,IF(Atletas!S583="Qiang F",722,IF(Atletas!S583="Pudao / Guandao F",723,IF(Atletas!S583="Outra Arma Longa F",724,"")))))))))))))))))))))))))</f>
        <v/>
      </c>
      <c r="CB592" s="50" t="str">
        <f>IF(Atletas!T583="","",IF(Atletas!X583&lt;&gt;"",10000,0)+IF(Atletas!B583="Feminino",1000,IF(Atletas!B583="Masculino",2000,""))+IF(Atletas!T583="Outra Arma Dupla A",801,IF(Atletas!T583="Arma Maleável A",802,IF(Atletas!T583="Outra Arma Dupla B",803,IF(Atletas!T583="Arma Maleável B",804,IF(Atletas!T583="Outra Arma Dupla C",805,IF(Atletas!T583="Arma Maleável C",806,IF(Atletas!T583="Outra Arma Dupla D",807,IF(Atletas!T583="Arma Maleável D",808,IF(Atletas!T583="Outra Arma Dupla E",809,IF(Atletas!T583="Arma Maleável E",810,IF(Atletas!T583="Outra Arma Dupla F",811,IF(Atletas!T583="Arma Maleável F",812,IF(Atletas!T583="Shuangdao A",813,IF(Atletas!T583="Shuangdao B",814,IF(Atletas!T583="Shuangdao C",815,IF(Atletas!T583="Shuangdao D",816,IF(Atletas!T583="Shuangdao E",817,IF(Atletas!T583="Shuangdao F",818,"")))))))))))))))))))</f>
        <v/>
      </c>
      <c r="CC592" s="50" t="str">
        <f>IF(Atletas!U583="","",IF(Atletas!X583&lt;&gt;"",10000,0)+IF(Atletas!B583="Feminino",1000,IF(Atletas!B583="Masculino",2000,""))+IF(OR(Atletas!U583="Taijijian Yang A",Atletas!U583="Taijijian Yang Standard A"),901,IF(OR(Atletas!U583="Taijijian Chen A", Atletas!U583="Taijijian Chen Standard A"),902,IF(Atletas!U583="Taijijian Sun A",903,IF(Atletas!U583="Taijijian Wu A",904,IF(Atletas!U583="Taijijian Wu-Hao A",905,IF(OR(Atletas!U583="Taijijian 32 A",Atletas!U583="Taijijian 42 A"),906,IF(OR(Atletas!U583="Taijijian Yang B",Atletas!U583="Taijijian Yang Standard B"),907,IF(OR(Atletas!U583="Taijijian Chen B", Atletas!U583="Taijijian Chen Standard B"),908,IF(Atletas!U583="Taijijian Sun B",909,IF(Atletas!U583="Taijijian Wu B",910,IF(Atletas!U583="Taijijian Wu-Hao B",911,IF(OR(Atletas!U583="Taijijian 32 B",Atletas!U583="Taijijian 42 B"),912,IF(OR(Atletas!U583="Taijijian Yang C",Atletas!U583="Taijijian Yang Standard C"),913,IF(OR(Atletas!U583="Taijijian Chen C", Atletas!U583="Taijijian Chen Standard C"),914,IF(Atletas!U583="Taijijian Sun C",915,IF(Atletas!U583="Taijijian Wu C",916,IF(Atletas!U583="Taijijian Wu-Hao C",917,IF(OR(Atletas!U583="Taijijian 32 C",Atletas!U583="Taijijian 42 C"),918,IF(OR(Atletas!U583="Taijijian Yang D",Atletas!U583="Taijijian Yang Standard D"),919,IF(OR(Atletas!U583="Taijijian Chen D", Atletas!U583="Taijijian Chen Standard D"),920,IF(Atletas!U583="Taijijian Sun D",921,IF(Atletas!U583="Taijijian Wu D",922,IF(Atletas!U583="Taijijian Wu-Hao D",923,IF(OR(Atletas!U583="Taijijian 32 D",Atletas!U583="Taijijian 42 D"),924,IF(OR(Atletas!U583="Taijijian Yang E",Atletas!U583="Taijijian Yang Standard E"),925,IF(OR(Atletas!U583="Taijijian Chen E", Atletas!U583="Taijijian Chen Standard E"),926,IF(Atletas!U583="Taijijian Sun E",927,IF(Atletas!U583="Taijijian Wu E",928,IF(Atletas!U583="Taijijian Wu-Hao E",929,IF(OR(Atletas!U583="Taijijian 32 E",Atletas!U583="Taijijian 42 E"),930,IF(OR(Atletas!U583="Taijijian Yang F",Atletas!U583="Taijijian Yang Standard F"),931,IF(OR(Atletas!U583="Taijijian Chen F", Atletas!U583="Taijijian Chen Standard F"),932,IF(Atletas!U583="Taijijian Sun F",933,IF(Atletas!U583="Taijijian Wu F",934,IF(Atletas!U583="Taijijian Wu-Hao F",935,IF(OR(Atletas!U583="Taijijian 32 F",Atletas!U583="Taijijian 42 F"),936,"")))))))))))))))))))))))))))))))))))))</f>
        <v/>
      </c>
      <c r="CD592" s="50" t="str">
        <f>IF(Atletas!V583="","",IF(Atletas!X583&lt;&gt;"",10000,0)+IF(Atletas!B583="Feminino",1000,IF(Atletas!B583="Masculino",2000,""))+IF(Atletas!V583="Taijidao A",937,IF(Atletas!V583="TaijiShanzi A",938,IF(Atletas!V583="Taijiqiang A",939,IF(Atletas!V583="Bagua de Arma A",940,IF(Atletas!V583="Xingyi de Arma A",941,IF(Atletas!V583="Taijidao B",942,IF(Atletas!V583="TaijiShanzi B",943,IF(Atletas!V583="Taijiqiang B",944,IF(Atletas!V583="Bagua de Arma B",945,IF(Atletas!V583="Xingyi de Arma B",946,IF(Atletas!V583="Taijidao C",947,IF(Atletas!V583="TaijiShanzi C",948,IF(Atletas!V583="Taijiqiang C",949,IF(Atletas!V583="Bagua de Arma C",950,IF(Atletas!V583="Xingyi de Arma C",951,IF(Atletas!V583="Taijidao D",952,IF(Atletas!V583="TaijiShanzi D",953,IF(Atletas!V583="Taijiqiang D",954,IF(Atletas!V583="Bagua de Arma D",955,IF(Atletas!V583="Xingyi de Arma D",956,IF(Atletas!V583="Taijidao E",957,IF(Atletas!V583="TaijiShanzi E",958,IF(Atletas!V583="Taijiqiang E",959,IF(Atletas!V583="Bagua de Arma E",960,IF(Atletas!V583="Xingyi de Arma E",961,IF(Atletas!V583="Taijidao F",962,IF(Atletas!V583="TaijiShanzi F",963,IF(Atletas!V583="Taijiqiang F",964,IF(Atletas!V583="Bagua de Arma F",965,IF(Atletas!V583="Xingyi de Arma F",966,"")))))))))))))))))))))))))))))))</f>
        <v/>
      </c>
      <c r="CM592" s="50" t="str">
        <f xml:space="preserve"> IF(Atletas!W583="","",IF(Atletas!W583="Duilian de Mãos BC - Equipe 1",1,IF(Atletas!W583="Duilian de Mãos BC - Equipe 2",2,IF(Atletas!W583="Duilian de Armas BC - Equipe 1",3,IF(Atletas!W583="Duilian de Armas BC - Equipe 2",4,IF(Atletas!W583="Duilian de Mãos DE - Equipe 1",5,IF(Atletas!W583="Duilian de Mãos DE - Equipe 2",6,IF(Atletas!W583="Duilian de Armas DE - Equipe 1",7,IF(Atletas!W583="Duilian de Armas DE - Equipe 2",8,IF(Atletas!W583="Duilian de Tuishou - Equipe 1",9,IF(Atletas!W583="Duilian de Tuishou - Equipe 2",10,IF(Atletas!W583="Grupo Externo ABC - Equipe 1",11,IF(Atletas!W583="Grupo Externo ABC - Equipe 2",12,IF(Atletas!W583="Grupo Interno ABC - Equipe 1",13,IF(Atletas!W583="Grupo Interno ABC - Equipe 2",14,IF(Atletas!W583="Grupo Externo DEF - Equipe 1",15,IF(Atletas!W583="Grupo Externo DEF - Equipe 2",16,IF(Atletas!W583="Grupo Interno DEF - Equipe 1",17,IF(Atletas!W583="Grupo Interno DEF - Equipe 2",18,"")))))))))))))))))))</f>
        <v/>
      </c>
    </row>
    <row r="593" spans="40:91">
      <c r="AN593" s="52" t="str">
        <f>IF(Atletas!D584="","",IF(Atletas!B584="Feminino",100,IF(Atletas!B584="Masculino",200,""))+(IF(Atletas!D584="Kids 30kg",1,IF(Atletas!D584="Kids 32kg",2, IF(Atletas!D584="Kids 34kg",3,IF(Atletas!D584="Kids 36kg",4,IF(Atletas!D584="Kids 39kg",5,IF(Atletas!D584="Kids 42kg",6,IF(Atletas!D584="Kids 45kg",7, IF(Atletas!D584="Infantil 39kg",8,IF(Atletas!D584="Infantil 42kg",9,IF(Atletas!D584="Infantil 45kg",10,IF(Atletas!D584="Infantil 48kg",11,IF(Atletas!D584="Infantil 52kg",12,IF(Atletas!D584="Infantil 56kg",13,IF(Atletas!D584="Infantil 60kg",14,IF(Atletas!D584="Juvenil 48kg",15,IF(Atletas!D584="Juvenil 52kg",16,IF(Atletas!D584="Juvenil 56kg",17,IF(Atletas!D584="Juvenil 60kg",18,IF(Atletas!D584="Juvenil 65kg",19,IF(Atletas!D584="Juvenil 70kg",20,IF(Atletas!D584="Juvenil 75kg",21,IF(Atletas!D584="Juvenil 80kg",22, IF(Atletas!D584="Juvenil 85kg",23,IF(Atletas!D584="Adulto 48kg",24,IF(Atletas!D584="Adulto 52kg",25,IF(Atletas!D584="Adulto 56kg",26,IF(Atletas!D584="Adulto 60kg",27,IF(Atletas!D584="Adulto 65kg",28,IF(Atletas!D584="Adulto 70kg",29,IF(Atletas!D584="Adulto 75kg",30,IF(Atletas!D584="Adulto 80kg",31,IF(Atletas!D584="Adulto 85kg",32,IF(Atletas!D584="Adulto 90kg",33,IF(Atletas!D584="Adulto 100kg",34, IF(Atletas!D584="Adulto +100kg",35,"")))))))))))))))))))))))))))))))))))))</f>
        <v/>
      </c>
      <c r="AS593" s="6" t="str">
        <f>IF(Atletas!E584="","",IF(Atletas!B584="Feminino",100,IF(Atletas!B584="Masculino",200,""))+(IF(Atletas!E584="Juvenil 44kg",1,IF(Atletas!E584="Juvenil 48kg",2,IF(Atletas!E584="Juvenil 52kg",3,IF(Atletas!E584="Juvenil 56kg",4,IF(Atletas!E584="Juvenil 60kg",5,IF(Atletas!E584="Juvenil 65kg",6,IF(Atletas!E584="Juvenil 70kg",7,IF(Atletas!E584="Juvenil 75kg",8,IF(Atletas!E584="Juvenil 82kg",9,IF(Atletas!E584="Juvenil 90kg",10,IF(Atletas!E584="Juvenil 100kg",11,IF(Atletas!E584="Adulto 48kg",12,IF(Atletas!E584="Adulto 52kg",13,IF(Atletas!E584="Adulto 56kg",14,IF(Atletas!E584="Adulto 60kg",15,IF(Atletas!E584="Adulto 65kg",16,IF(Atletas!E584="Adulto 70kg",17,IF(Atletas!E584="Adulto 75kg",18,IF(Atletas!E584="Adulto 82kg",19,IF(Atletas!E584="Adulto 90kg",20,IF(Atletas!E584="Adulto 100kg",21,IF(Atletas!E584="Adulto +100kg",22,""))))))))))))))))))))))))</f>
        <v/>
      </c>
      <c r="AX593" s="6" t="str">
        <f>IF(Atletas!F584="","",IF(Atletas!B584="Feminino",100,IF(Atletas!B584="Masculino",200,""))+(IF(Atletas!F584="Adulto 48kg",1,IF(Atletas!F584="Adulto 56kg",2,IF(Atletas!F584="Adulto 65kg",3,IF(Atletas!F584="Adulto 75kg",4,IF(Atletas!F584="Adulto +75kg",5,IF(Atletas!F584="Adulto 52kg",6,IF(Atletas!F584="Adulto 60kg",7,IF(Atletas!F584="Adulto 70kg",8,IF(Atletas!F584="Adulto 80kg",9,IF(Atletas!F584="Adulto 90kg",10,IF(Atletas!F584="Adulto +90kg",11,"")))))))))))))</f>
        <v/>
      </c>
      <c r="BC593" s="6" t="str">
        <f>IF(Atletas!G584="","",IF(Atletas!B584="Feminino",10,IF(Atletas!B584="Masculino",20,""))+(IF(Atletas!G584="Baduanjin A",1,IF(Atletas!G584="Baduanjin B",2))))</f>
        <v/>
      </c>
      <c r="BF593" s="52" t="str">
        <f>IF(Atletas!H584="","",IF(Atletas!B584="Feminino",100,IF(Atletas!B584="Masculino",200,""))+(IF(Atletas!H584="Changquan Mirim",1,IF(Atletas!H584="Nanquan Mirim",2,IF(Atletas!H584="Taijiquan Mirim",3,IF(Atletas!H584="Changquan Grupo C",4,IF(Atletas!H584="Nanquan Grupo C",5,IF(Atletas!H584="Taijiquan Grupo C",6,IF(Atletas!H584="Changquan Grupo B",7,IF(Atletas!H584="Nanquan Grupo B",8,IF(Atletas!H584="Taijiquan Grupo B",9,IF(Atletas!H584="Changquan Grupo A",10,IF(Atletas!H584="Nanquan Grupo A",11,IF(Atletas!H584="Taijiquan Grupo A",12,IF(Atletas!H584="Changquan Opcional",13,IF(Atletas!H584="Nanquan Opcional",14,IF(Atletas!H584="Taijiquan Opcional",15,IF(Atletas!H584="Changquan Adulto",16,IF(Atletas!H584="Nanquan Adulto",17,IF(Atletas!H584="Taijiquan Adulto",18,""))))))))))))))))))))</f>
        <v/>
      </c>
      <c r="BG593" s="52" t="str">
        <f>IF(Atletas!I584="","",IF(Atletas!B584="Feminino",100,IF(Atletas!B584="Masculino",200,""))+(IF(Atletas!I584="Daoshu Mirim",19,IF(Atletas!I584="Jianshu Mirim",20,IF(Atletas!I584="Nandao Mirim",21,IF(Atletas!I584="Taijijian Mirim",22,IF(Atletas!I584="Daoshu Grupo C",23,IF(Atletas!I584="Jianshu Grupo C",24,IF(Atletas!I584="Nandao Grupo C",25,IF(Atletas!I584="Taijijian Grupo C",26,IF(Atletas!I584="Daoshu Grupo B",27,IF(Atletas!I584="Jianshu Grupo B",28,IF(Atletas!I584="Nandao Grupo B",29,IF(Atletas!I584="Taijijian Grupo B",30,IF(Atletas!I584="Daoshu Grupo A",31,IF(Atletas!I584="Jianshu Grupo A",32,IF(Atletas!I584="Nandao Grupo A",33,IF(Atletas!I584="Taijijian Grupo A",34,IF(Atletas!I584="Daoshu Opcional",35,IF(Atletas!I584="Jianshu Opcional",36,IF(Atletas!I584="Nandao Opcional",37,IF(Atletas!I584="Taijijian Opcional",38,IF(Atletas!I584="Daoshu Adulto",39,IF(Atletas!I584="Jianshu Adulto",40,IF(Atletas!I584="Nandao Adulto",41,IF(Atletas!I584="Taijijian Adulto",42,""))))))))))))))))))))))))))</f>
        <v/>
      </c>
      <c r="BH593" s="52" t="str">
        <f>IF(Atletas!J584="","",IF(Atletas!B584="Feminino",100,IF(Atletas!B584="Masculino",200,""))+(IF(Atletas!J584="Gunshu Mirim",43,IF(Atletas!J584="Qiangshu Mirim",44,IF(Atletas!J584="Nangun Mirim",45,IF(Atletas!J584="Gunshu Grupo C",46,IF(Atletas!J584="Qiangshu Grupo C",47,IF(Atletas!J584="Nangun Grupo C",48,IF(Atletas!J584="Gunshu Grupo B",49,IF(Atletas!J584="Qiangshu Grupo B",50,IF(Atletas!J584="Nangun Grupo B",51,IF(Atletas!J584="Gunshu Grupo A",52,IF(Atletas!J584="Qiangshu Grupo A",53,IF(Atletas!J584="Nangun Grupo A",54,IF(Atletas!J584="Gunshu Opcional",55,IF(Atletas!J584="Qiangshu Opcional",56,IF(Atletas!J584="Nangun Opcional",57,IF(Atletas!J584="Gunshu Adulto",58,IF(Atletas!J584="Qiangshu Adulto",59,IF(Atletas!J584="Nangun Adulto",60,IF(Atletas!J584="Taijishan Grupo B",61,IF(Atletas!J584="Taijishan Grupo A",62,""))))))))))))))))))))))</f>
        <v/>
      </c>
      <c r="BM593" s="50" t="str">
        <f>IF(Atletas!K584="","",IF(Atletas!B584="Feminino",100,IF(Atletas!B584="Masculino",200,""))+(IF(Atletas!K584="Equipe 1 Grupo B",1,IF(Atletas!K584="Equipe 2 Grupo B",2,IF(Atletas!K584="Equipe 1 Grupo A",3,IF(Atletas!K584="Equipe 2 Grupo A",4,IF(Atletas!K584="Equipe 1 Adulto",5,IF(Atletas!K584="Equipe 2 Adulto",6,""))))))))</f>
        <v/>
      </c>
      <c r="BR593" s="50" t="str">
        <f>IF(Atletas!L584="","",IF(Atletas!X584&lt;&gt;"",10000,0)+(IF(Atletas!B584="Feminino",1000,IF(Atletas!B584="Masculino",2000,""))+IF(Atletas!L584="Choylayfut A",1,IF(Atletas!L584="Hunggar A",2,IF(Atletas!L584="Wuzuquan A",3,IF(Atletas!L584="Wingchun A",4,IF(Atletas!L584="Outra Mão de Sul A",5,IF(Atletas!L584="Choylayfut B",6,IF(Atletas!L584="Hunggar B",7,IF(Atletas!L584="Wuzuquan B",8,IF(Atletas!L584="Wingchun B",9,IF(Atletas!L584="Outra Mão de Sul B",10,IF(Atletas!L584="Choylayfut C",11,IF(Atletas!L584="Hunggar C",12,IF(Atletas!L584="Wuzuquan C",13,IF(Atletas!L584="Wingchun C",14,IF(Atletas!L584="Outra Mão de Sul C",15,IF(Atletas!L584="Choylayfut D",16,IF(Atletas!L584="Hunggar D",17,IF(Atletas!L584="Wuzuquan D",18,IF(Atletas!L584="Wingchun D",19,IF(Atletas!L584="Outra Mão de Sul D",20,IF(Atletas!L584="Choylayfut E",21,IF(Atletas!L584="Hunggar E",22,IF(Atletas!L584="Wuzuquan E",23,IF(Atletas!L584="Wingchun E",24,IF(Atletas!L584="Outra Mão de Sul E",25,IF(Atletas!L584="Choylayfut F",26,IF(Atletas!L584="Hunggar F",27,IF(Atletas!L584="Wuzuquan F",28,IF(Atletas!L584="Wingchun F",29,IF(Atletas!L584="Outra Mão de Sul F",30,IF(Atletas!L584="Dishuquan A",31,IF(Atletas!L584="Dishuquan B",32,IF(Atletas!L584="Dishuquan C",33,IF(Atletas!L584="Dishuquan D",34,IF(Atletas!L584="Dishuquan E",35,IF(Atletas!L584="Dishuquan F",36,""))))))))))))))))))))))))))))))))))))))</f>
        <v/>
      </c>
      <c r="BS593" s="50" t="str">
        <f>IF(Atletas!M584="","",IF(Atletas!X584&lt;&gt;"",10000,0)+(IF(Atletas!B584="Feminino",1000,IF(Atletas!B584="Masculino",2000,""))+(IF(Atletas!M584="Chaquan A",101,IF(Atletas!M584="Emeiquan A",102,IF(Atletas!M584="Fanziquan A",103,IF(Atletas!M584="Huaquan A",104,IF(Atletas!M584="Hongquan A",105,IF(Atletas!M584="Paoquan A",106,IF(Atletas!M584="Piguaquan A",107,IF(Atletas!M584="Shaolinquan A",108,IF(Atletas!M584="Tanglangquan A",109,IF(Atletas!M584="Yingzhaoquan A",110,IF(Atletas!M584="Tongbeiquan A",111,IF(Atletas!M584="Wudangquan A",112,IF(Atletas!M584="Outros Estilos A",113,IF(Atletas!M584="Chaquan B",114,IF(Atletas!M584="Emeiquan B",115,IF(Atletas!M584="Fanziquan B",116,IF(Atletas!M584="Huaquan B",117,IF(Atletas!M584="Hongquan B",118,IF(Atletas!M584="Paoquan B",119,IF(Atletas!M584="Piguaquan B",120,IF(Atletas!M584="Shaolinquan B",121,IF(Atletas!M584="Tanglangquan B",122,IF(Atletas!M584="Yingzhaoquan B",123,IF(Atletas!M584="Tongbeiquan B",124,IF(Atletas!M584="Wudangquan B",125,IF(Atletas!M584="Outros Estilos B",126,IF(Atletas!M584="Chaquan C",127,IF(Atletas!M584="Emeiquan C",128,IF(Atletas!M584="Fanziquan C",129,IF(Atletas!M584="Huaquan C",130,IF(Atletas!M584="Hongquan C",131,IF(Atletas!M584="Paoquan C",132,IF(Atletas!M584="Piguaquan C",133,IF(Atletas!M584="Shaolinquan C",134,IF(Atletas!M584="Tanglangquan C",135,IF(Atletas!M584="Yingzhaoquan C",136,IF(Atletas!M584="Tongbeiquan C",137,IF(Atletas!M584="Wudangquan C",138,IF(Atletas!M584="Outros Estilos C",139,0))))))))))))))))))))))))))))))))))))))))))</f>
        <v/>
      </c>
      <c r="BT593" s="50" t="str">
        <f>IF(Atletas!M584="","",IF(Atletas!X584&lt;&gt;"",10000,0)+(IF(Atletas!B584="Feminino",1000,IF(Atletas!B584="Masculino",2000,""))+(IF(Atletas!M584="Chaquan D",140,IF(Atletas!M584="Emeiquan D",141,IF(Atletas!M584="Fanziquan D",142,IF(Atletas!M584="Huaquan D",143,IF(Atletas!M584="Hongquan D",144,IF(Atletas!M584="Paoquan D",145,IF(Atletas!M584="Piguaquan D",146,IF(Atletas!M584="Shaolinquan D",147,IF(Atletas!M584="Tanglangquan D",148,IF(Atletas!M584="Yingzhaoquan D",149,IF(Atletas!M584="Tongbeiquan D",150,IF(Atletas!M584="Wudangquan D",151,IF(Atletas!M584="Outros Estilos D",152,IF(Atletas!M584="Chaquan E",153,IF(Atletas!M584="Emeiquan E",154,IF(Atletas!M584="Fanziquan E",155,IF(Atletas!M584="Huaquan E",156,IF(Atletas!M584="Hongquan E",157,IF(Atletas!M584="Paoquan E",158,IF(Atletas!M584="Piguaquan E",159,IF(Atletas!M584="Shaolinquan E",160,IF(Atletas!M584="Tanglangquan E",161,IF(Atletas!M584="Yingzhaoquan E",162,IF(Atletas!M584="Tongbeiquan E",163,IF(Atletas!M584="Wudangquan E",164,IF(Atletas!M584="Outros Estilos E",165,IF(Atletas!M584="Chaquan F",166,IF(Atletas!M584="Emeiquan F",167,IF(Atletas!M584="Fanziquan F",168,IF(Atletas!M584="Huaquan F",169,IF(Atletas!M584="Hongquan F",170,IF(Atletas!M584="Paoquan F",171,IF(Atletas!M584="Piguaquan F",172,IF(Atletas!M584="Shaolinquan F",173,IF(Atletas!M584="Tanglangquan F",174,IF(Atletas!M584="Yingzhaoquan F",175,IF(Atletas!M584="Tongbeiquan F",176,IF(Atletas!M584="Wudangquan F",177,IF(Atletas!M584="Outros Estilos F",178,0))))))))))))))))))))))))))))))))))))))))))</f>
        <v/>
      </c>
      <c r="BU593" s="50" t="str">
        <f>IF(Atletas!N584="","",IF(Atletas!X584&lt;&gt;"",10000,0)+(IF(Atletas!B584="Feminino",1000,IF(Atletas!B584="Masculino",2000,""))+(IF(Atletas!N584="Ditangquan A",201,IF(Atletas!N584="Houquan A",202,IF(Atletas!N584="Zuiquan A",203,IF(Atletas!N584="Ditangquan B",204,IF(Atletas!N584="Houquan B",205,IF(Atletas!N584="Zuiquan B",206,IF(Atletas!N584="Ditangquan C",207,IF(Atletas!N584="Houquan C",208,IF(Atletas!N584="Zuiquan C",209,IF(Atletas!N584="Ditangquan D",210,IF(Atletas!N584="Houquan D",211,IF(Atletas!N584="Zuiquan D",212,IF(Atletas!N584="Ditangquan E",213,IF(Atletas!N584="Houquan E",214,IF(Atletas!N584="Zuiquan E",215,IF(Atletas!N584="Ditangquan F",216,IF(Atletas!N584="Houquan F",217,IF(Atletas!N584="Zuiquan F",218,"")))))))))))))))))))))</f>
        <v/>
      </c>
      <c r="BV593" s="50" t="str">
        <f>IF(Atletas!O584="","",IF(Atletas!X584&lt;&gt;"",10000,0)+IF(Atletas!B584="Feminino",1000,IF(Atletas!B584="Masculino",2000,""))+IF(Atletas!O584="Yang A",301,IF(Atletas!O584="Chen A",302,IF(Atletas!O584="Sun A",303,IF(Atletas!O584="Wu A",304,IF(Atletas!O584="Wu-Hao A",305,IF(Atletas!O584="Outro Taijiquan A",306,IF(Atletas!O584="Yang B",307,IF(Atletas!O584="Chen B",308,IF(Atletas!O584="Sun B",309,IF(Atletas!O584="Wu B",310,IF(Atletas!O584="Wu-Hao B",311,IF(Atletas!O584="Outro Taijiquan B",312,IF(Atletas!O584="Yang C",313,IF(Atletas!O584="Chen C",314,IF(Atletas!O584="Sun C",315,IF(Atletas!O584="Wu C",316,IF(Atletas!O584="Wu-Hao C",317,IF(Atletas!O584="Outro Taijiquan C",318,IF(Atletas!O584="Yang D",319,IF(Atletas!O584="Chen D",320,IF(Atletas!O584="Sun D",321,IF(Atletas!O584="Wu D",322,IF(Atletas!O584="Wu-Hao D",323,IF(Atletas!O584="Outro Taijiquan D",324,IF(Atletas!O584="Yang E",325,IF(Atletas!O584="Chen E",326,IF(Atletas!O584="Sun E",327,IF(Atletas!O584="Wu E",328,IF(Atletas!O584="Wu-Hao E",329,IF(Atletas!O584="Outro Taijiquan E",330,IF(Atletas!O584="Yang F",331,IF(Atletas!O584="Chen F",332,IF(Atletas!O584="Sun F",333,IF(Atletas!O584="Wu F",334,IF(Atletas!O584="Wu-Hao F",335,IF(Atletas!O584="Outro Taijiquan F",336,"")))))))))))))))))))))))))))))))))))))</f>
        <v/>
      </c>
      <c r="BW593" s="50" t="str">
        <f>IF(Atletas!P584="","",IF(Atletas!X584&lt;&gt;"",10000,0)+IF(Atletas!B584="Feminino",1000,IF(Atletas!B584="Masculino",2000,""))+IF(OR(Atletas!P584="Yang 26 A",Atletas!P584="Yang 40 A"),401,IF(OR(Atletas!P584="Chen 25 A",Atletas!P584="Chen 36 A",Atletas!P584="Chen 56 A"),402,IF(Atletas!P584="Sun 73 A",403,IF(Atletas!P584="Wu 45 A",404,IF(Atletas!P584="Wu-Hao 46 A",405,IF(OR(Atletas!P584="Taijiquan 16 A",Atletas!P584="Taijiquan 24 A",Atletas!P584="Taijiquan 32 A",Atletas!P584="Taijiquan 42 A"),406,IF(OR(Atletas!P584="Yang 26 B",Atletas!P584="Yang 40 B"),407,IF(OR(Atletas!P584="Chen 25 B",Atletas!P584="Chen 36 B",Atletas!P584="Chen 56 B"),408,IF(Atletas!P584="Sun 73 B",409,IF(Atletas!P584="Wu 45 B",410,IF(Atletas!P584="Wu-Hao 46 B",411,IF(OR(Atletas!P584="Taijiquan 16 B",Atletas!P584="Taijiquan 24 B",Atletas!P584="Taijiquan 32 B",Atletas!P584="Taijiquan 42 B"),412,IF(OR(Atletas!P584="Yang 26 C",Atletas!P584="Yang 40 C"),413,IF(OR(Atletas!P584="Chen 25 C",Atletas!P584="Chen 36 C",Atletas!P584="Chen 56 C"),414,IF(Atletas!P584="Sun 73 C",415,IF(Atletas!P584="Wu 45 C",416,IF(Atletas!P584="Wu-Hao 46 C",417,IF(OR(Atletas!P584="Taijiquan 16 C",Atletas!P584="Taijiquan 24 C",Atletas!P584="Taijiquan 32 C",Atletas!P584="Taijiquan 42 C"),418,0)))))))))))))))))))</f>
        <v/>
      </c>
      <c r="BX593" s="50" t="str">
        <f>IF(Atletas!P584="","",IF(Atletas!X584&lt;&gt;"",10000,0)+IF(Atletas!B584="Feminino",1000,IF(Atletas!B584="Masculino",2000,""))+IF(OR(Atletas!P584="Yang 26 D",Atletas!P584="Yang 40 D"),419,IF(OR(Atletas!P584="Chen 25 D",Atletas!P584="Chen 36 D",Atletas!P584="Chen 56 D"),420,IF(Atletas!P584="Sun 73 D",421,IF(Atletas!P584="Wu 45 D",422,IF(Atletas!P584="Wu-Hao 46 D",423,IF(OR(Atletas!P584="Taijiquan 16 D",Atletas!P584="Taijiquan 24 D",Atletas!P584="Taijiquan 32 D",Atletas!P584="Taijiquan 42 D"),424,IF(OR(Atletas!P584="Yang 26 E",Atletas!P584="Yang 40 E"),425,IF(OR(Atletas!P584="Chen 25 E",Atletas!P584="Chen 36 E",Atletas!P584="Chen 56 E"),426,IF(Atletas!P584="Sun 73 E",427,IF(Atletas!P584="Wu 45 E",428,IF(Atletas!P584="Wu-Hao 46 E",429,IF(OR(Atletas!P584="Taijiquan 16 E",Atletas!P584="Taijiquan 24 E",Atletas!P584="Taijiquan 32 E",Atletas!P584="Taijiquan 42 E"),430,IF(OR(Atletas!P584="Yang 26 F",Atletas!P584="Yang 40 F"),431,IF(OR(Atletas!P584="Chen 25 F",Atletas!P584="Chen 36 F",Atletas!P584="Chen 56 F"),432,IF(Atletas!P584="Sun 73 F",433,IF(Atletas!P584="Wu 45 F",434,IF(Atletas!P584="Wu-Hao 46 F",435,IF(OR(Atletas!P584="Taijiquan 16 F",Atletas!P584="Taijiquan 24 F",Atletas!P584="Taijiquan 32 F",Atletas!P584="Taijiquan 42 F"),436,0)))))))))))))))))))</f>
        <v/>
      </c>
      <c r="BY593" s="50" t="str">
        <f>IF(Atletas!Q584="","",IF(Atletas!X584&lt;&gt;"",10000,0)+IF(Atletas!B584="Feminino",1000,IF(Atletas!B584="Masculino",2000,""))+IF(Atletas!Q584="Xingyiquan A",501,IF(Atletas!Q584="Baguazhang A",502,IF(Atletas!Q584="Outro Estilo Interno A",503,IF(Atletas!Q584="Xingyiquan B",504,IF(Atletas!Q584="Baguazhang B",505,IF(Atletas!Q584="Outro Estilo Interno B",506,IF(Atletas!Q584="Xingyiquan C",507,IF(Atletas!Q584="Baguazhang C",508,IF(Atletas!Q584="Outro Estilo Interno C",509,IF(Atletas!Q584="Xingyiquan D",510,IF(Atletas!Q584="Baguazhang D",511,IF(Atletas!Q584="Outro Estilo Interno D",512,IF(Atletas!Q584="Xingyiquan E",513,IF(Atletas!Q584="Baguazhang E",514,IF(Atletas!Q584="Outro Estilo Interno E",515,IF(Atletas!Q584="Xingyiquan F",516,IF(Atletas!Q584="Baguazhang F",517,IF(Atletas!Q584="Outro Estilo Interno F",518, "")))))))))))))))))))</f>
        <v/>
      </c>
      <c r="BZ593" s="50" t="str">
        <f>IF(Atletas!R584="","",IF(Atletas!X584&lt;&gt;"",10000,0)+IF(Atletas!B584="Feminino",1000,IF(Atletas!B584="Masculino",2000,""))+IF(Atletas!R584="Dao A",601,IF(Atletas!R584="Jian A",602,IF(Atletas!R584="Bishou A",603,IF(Atletas!R584="Shanzi A",604,IF(Atletas!R584="Outra Arma Curta A",605,IF(Atletas!R584="Dao B",606,IF(Atletas!R584="Jian B",607,IF(Atletas!R584="Bishou B",608,IF(Atletas!R584="Shanzi B",609,IF(Atletas!R584="Outra Arma Curta B",610,IF(Atletas!R584="Dao C",611,IF(Atletas!R584="Jian C",612,IF(Atletas!R584="Bishou C",613,IF(Atletas!R584="Shanzi C",614,IF(Atletas!R584="Outra Arma Curta C",615,IF(Atletas!R584="Dao D",616,IF(Atletas!R584="Jian D",617,IF(Atletas!R584="Bishou D",618,IF(Atletas!R584="Shanzi D",619,IF(Atletas!R584="Outra Arma Curta D",620,IF(Atletas!R584="Dao E",621,IF(Atletas!R584="Jian E",622,IF(Atletas!R584="Bishou E",623,IF(Atletas!R584="Shanzi E",624,IF(Atletas!R584="Outra Arma Curta E",625,IF(Atletas!R584="Dao F",626,IF(Atletas!R584="Jian F",627,IF(Atletas!R584="Bishou F",628,IF(Atletas!R584="Shanzi F",629,IF(Atletas!R584="Outra Arma Curta F",630, "")))))))))))))))))))))))))))))))</f>
        <v/>
      </c>
      <c r="CA593" s="50" t="str">
        <f>IF(Atletas!S584="","",IF(Atletas!X584&lt;&gt;"",10000,0)+IF(Atletas!B584="Feminino",1000,IF(Atletas!B584="Masculino",2000,""))+IF(Atletas!S584="Gun A",701,IF(Atletas!S584="Qiang A",702,IF(Atletas!S584="Pudao / Guandao A",703,IF(Atletas!S584="Outra Arma Longa A",704,IF(Atletas!S584="Gun B",705,IF(Atletas!S584="Qiang B",706,IF(Atletas!S584="Pudao / Guandao B",707,IF(Atletas!S584="Outra Arma Longa B",708,IF(Atletas!S584="Gun C",709,IF(Atletas!S584="Qiang C",710,IF(Atletas!S584="Pudao / Guandao C",711,IF(Atletas!S584="Outra Arma Longa C",712,IF(Atletas!S584="Gun D",713,IF(Atletas!S584="Qiang D",714,IF(Atletas!S584="Pudao / Guandao D",715,IF(Atletas!S584="Outra Arma Longa D",716,IF(Atletas!S584="Gun E",717,IF(Atletas!S584="Qiang E",718,IF(Atletas!S584="Pudao / Guandao E",719,IF(Atletas!S584="Outra Arma Longa E",720,IF(Atletas!S584="Gun F",721,IF(Atletas!S584="Qiang F",722,IF(Atletas!S584="Pudao / Guandao F",723,IF(Atletas!S584="Outra Arma Longa F",724,"")))))))))))))))))))))))))</f>
        <v/>
      </c>
      <c r="CB593" s="50" t="str">
        <f>IF(Atletas!T584="","",IF(Atletas!X584&lt;&gt;"",10000,0)+IF(Atletas!B584="Feminino",1000,IF(Atletas!B584="Masculino",2000,""))+IF(Atletas!T584="Outra Arma Dupla A",801,IF(Atletas!T584="Arma Maleável A",802,IF(Atletas!T584="Outra Arma Dupla B",803,IF(Atletas!T584="Arma Maleável B",804,IF(Atletas!T584="Outra Arma Dupla C",805,IF(Atletas!T584="Arma Maleável C",806,IF(Atletas!T584="Outra Arma Dupla D",807,IF(Atletas!T584="Arma Maleável D",808,IF(Atletas!T584="Outra Arma Dupla E",809,IF(Atletas!T584="Arma Maleável E",810,IF(Atletas!T584="Outra Arma Dupla F",811,IF(Atletas!T584="Arma Maleável F",812,IF(Atletas!T584="Shuangdao A",813,IF(Atletas!T584="Shuangdao B",814,IF(Atletas!T584="Shuangdao C",815,IF(Atletas!T584="Shuangdao D",816,IF(Atletas!T584="Shuangdao E",817,IF(Atletas!T584="Shuangdao F",818,"")))))))))))))))))))</f>
        <v/>
      </c>
      <c r="CC593" s="50" t="str">
        <f>IF(Atletas!U584="","",IF(Atletas!X584&lt;&gt;"",10000,0)+IF(Atletas!B584="Feminino",1000,IF(Atletas!B584="Masculino",2000,""))+IF(OR(Atletas!U584="Taijijian Yang A",Atletas!U584="Taijijian Yang Standard A"),901,IF(OR(Atletas!U584="Taijijian Chen A", Atletas!U584="Taijijian Chen Standard A"),902,IF(Atletas!U584="Taijijian Sun A",903,IF(Atletas!U584="Taijijian Wu A",904,IF(Atletas!U584="Taijijian Wu-Hao A",905,IF(OR(Atletas!U584="Taijijian 32 A",Atletas!U584="Taijijian 42 A"),906,IF(OR(Atletas!U584="Taijijian Yang B",Atletas!U584="Taijijian Yang Standard B"),907,IF(OR(Atletas!U584="Taijijian Chen B", Atletas!U584="Taijijian Chen Standard B"),908,IF(Atletas!U584="Taijijian Sun B",909,IF(Atletas!U584="Taijijian Wu B",910,IF(Atletas!U584="Taijijian Wu-Hao B",911,IF(OR(Atletas!U584="Taijijian 32 B",Atletas!U584="Taijijian 42 B"),912,IF(OR(Atletas!U584="Taijijian Yang C",Atletas!U584="Taijijian Yang Standard C"),913,IF(OR(Atletas!U584="Taijijian Chen C", Atletas!U584="Taijijian Chen Standard C"),914,IF(Atletas!U584="Taijijian Sun C",915,IF(Atletas!U584="Taijijian Wu C",916,IF(Atletas!U584="Taijijian Wu-Hao C",917,IF(OR(Atletas!U584="Taijijian 32 C",Atletas!U584="Taijijian 42 C"),918,IF(OR(Atletas!U584="Taijijian Yang D",Atletas!U584="Taijijian Yang Standard D"),919,IF(OR(Atletas!U584="Taijijian Chen D", Atletas!U584="Taijijian Chen Standard D"),920,IF(Atletas!U584="Taijijian Sun D",921,IF(Atletas!U584="Taijijian Wu D",922,IF(Atletas!U584="Taijijian Wu-Hao D",923,IF(OR(Atletas!U584="Taijijian 32 D",Atletas!U584="Taijijian 42 D"),924,IF(OR(Atletas!U584="Taijijian Yang E",Atletas!U584="Taijijian Yang Standard E"),925,IF(OR(Atletas!U584="Taijijian Chen E", Atletas!U584="Taijijian Chen Standard E"),926,IF(Atletas!U584="Taijijian Sun E",927,IF(Atletas!U584="Taijijian Wu E",928,IF(Atletas!U584="Taijijian Wu-Hao E",929,IF(OR(Atletas!U584="Taijijian 32 E",Atletas!U584="Taijijian 42 E"),930,IF(OR(Atletas!U584="Taijijian Yang F",Atletas!U584="Taijijian Yang Standard F"),931,IF(OR(Atletas!U584="Taijijian Chen F", Atletas!U584="Taijijian Chen Standard F"),932,IF(Atletas!U584="Taijijian Sun F",933,IF(Atletas!U584="Taijijian Wu F",934,IF(Atletas!U584="Taijijian Wu-Hao F",935,IF(OR(Atletas!U584="Taijijian 32 F",Atletas!U584="Taijijian 42 F"),936,"")))))))))))))))))))))))))))))))))))))</f>
        <v/>
      </c>
      <c r="CD593" s="50" t="str">
        <f>IF(Atletas!V584="","",IF(Atletas!X584&lt;&gt;"",10000,0)+IF(Atletas!B584="Feminino",1000,IF(Atletas!B584="Masculino",2000,""))+IF(Atletas!V584="Taijidao A",937,IF(Atletas!V584="TaijiShanzi A",938,IF(Atletas!V584="Taijiqiang A",939,IF(Atletas!V584="Bagua de Arma A",940,IF(Atletas!V584="Xingyi de Arma A",941,IF(Atletas!V584="Taijidao B",942,IF(Atletas!V584="TaijiShanzi B",943,IF(Atletas!V584="Taijiqiang B",944,IF(Atletas!V584="Bagua de Arma B",945,IF(Atletas!V584="Xingyi de Arma B",946,IF(Atletas!V584="Taijidao C",947,IF(Atletas!V584="TaijiShanzi C",948,IF(Atletas!V584="Taijiqiang C",949,IF(Atletas!V584="Bagua de Arma C",950,IF(Atletas!V584="Xingyi de Arma C",951,IF(Atletas!V584="Taijidao D",952,IF(Atletas!V584="TaijiShanzi D",953,IF(Atletas!V584="Taijiqiang D",954,IF(Atletas!V584="Bagua de Arma D",955,IF(Atletas!V584="Xingyi de Arma D",956,IF(Atletas!V584="Taijidao E",957,IF(Atletas!V584="TaijiShanzi E",958,IF(Atletas!V584="Taijiqiang E",959,IF(Atletas!V584="Bagua de Arma E",960,IF(Atletas!V584="Xingyi de Arma E",961,IF(Atletas!V584="Taijidao F",962,IF(Atletas!V584="TaijiShanzi F",963,IF(Atletas!V584="Taijiqiang F",964,IF(Atletas!V584="Bagua de Arma F",965,IF(Atletas!V584="Xingyi de Arma F",966,"")))))))))))))))))))))))))))))))</f>
        <v/>
      </c>
      <c r="CM593" s="50" t="str">
        <f xml:space="preserve"> IF(Atletas!W584="","",IF(Atletas!W584="Duilian de Mãos BC - Equipe 1",1,IF(Atletas!W584="Duilian de Mãos BC - Equipe 2",2,IF(Atletas!W584="Duilian de Armas BC - Equipe 1",3,IF(Atletas!W584="Duilian de Armas BC - Equipe 2",4,IF(Atletas!W584="Duilian de Mãos DE - Equipe 1",5,IF(Atletas!W584="Duilian de Mãos DE - Equipe 2",6,IF(Atletas!W584="Duilian de Armas DE - Equipe 1",7,IF(Atletas!W584="Duilian de Armas DE - Equipe 2",8,IF(Atletas!W584="Duilian de Tuishou - Equipe 1",9,IF(Atletas!W584="Duilian de Tuishou - Equipe 2",10,IF(Atletas!W584="Grupo Externo ABC - Equipe 1",11,IF(Atletas!W584="Grupo Externo ABC - Equipe 2",12,IF(Atletas!W584="Grupo Interno ABC - Equipe 1",13,IF(Atletas!W584="Grupo Interno ABC - Equipe 2",14,IF(Atletas!W584="Grupo Externo DEF - Equipe 1",15,IF(Atletas!W584="Grupo Externo DEF - Equipe 2",16,IF(Atletas!W584="Grupo Interno DEF - Equipe 1",17,IF(Atletas!W584="Grupo Interno DEF - Equipe 2",18,"")))))))))))))))))))</f>
        <v/>
      </c>
    </row>
    <row r="594" spans="40:91">
      <c r="AN594" s="52" t="str">
        <f>IF(Atletas!D585="","",IF(Atletas!B585="Feminino",100,IF(Atletas!B585="Masculino",200,""))+(IF(Atletas!D585="Kids 30kg",1,IF(Atletas!D585="Kids 32kg",2, IF(Atletas!D585="Kids 34kg",3,IF(Atletas!D585="Kids 36kg",4,IF(Atletas!D585="Kids 39kg",5,IF(Atletas!D585="Kids 42kg",6,IF(Atletas!D585="Kids 45kg",7, IF(Atletas!D585="Infantil 39kg",8,IF(Atletas!D585="Infantil 42kg",9,IF(Atletas!D585="Infantil 45kg",10,IF(Atletas!D585="Infantil 48kg",11,IF(Atletas!D585="Infantil 52kg",12,IF(Atletas!D585="Infantil 56kg",13,IF(Atletas!D585="Infantil 60kg",14,IF(Atletas!D585="Juvenil 48kg",15,IF(Atletas!D585="Juvenil 52kg",16,IF(Atletas!D585="Juvenil 56kg",17,IF(Atletas!D585="Juvenil 60kg",18,IF(Atletas!D585="Juvenil 65kg",19,IF(Atletas!D585="Juvenil 70kg",20,IF(Atletas!D585="Juvenil 75kg",21,IF(Atletas!D585="Juvenil 80kg",22, IF(Atletas!D585="Juvenil 85kg",23,IF(Atletas!D585="Adulto 48kg",24,IF(Atletas!D585="Adulto 52kg",25,IF(Atletas!D585="Adulto 56kg",26,IF(Atletas!D585="Adulto 60kg",27,IF(Atletas!D585="Adulto 65kg",28,IF(Atletas!D585="Adulto 70kg",29,IF(Atletas!D585="Adulto 75kg",30,IF(Atletas!D585="Adulto 80kg",31,IF(Atletas!D585="Adulto 85kg",32,IF(Atletas!D585="Adulto 90kg",33,IF(Atletas!D585="Adulto 100kg",34, IF(Atletas!D585="Adulto +100kg",35,"")))))))))))))))))))))))))))))))))))))</f>
        <v/>
      </c>
      <c r="AS594" s="6" t="str">
        <f>IF(Atletas!E585="","",IF(Atletas!B585="Feminino",100,IF(Atletas!B585="Masculino",200,""))+(IF(Atletas!E585="Juvenil 44kg",1,IF(Atletas!E585="Juvenil 48kg",2,IF(Atletas!E585="Juvenil 52kg",3,IF(Atletas!E585="Juvenil 56kg",4,IF(Atletas!E585="Juvenil 60kg",5,IF(Atletas!E585="Juvenil 65kg",6,IF(Atletas!E585="Juvenil 70kg",7,IF(Atletas!E585="Juvenil 75kg",8,IF(Atletas!E585="Juvenil 82kg",9,IF(Atletas!E585="Juvenil 90kg",10,IF(Atletas!E585="Juvenil 100kg",11,IF(Atletas!E585="Adulto 48kg",12,IF(Atletas!E585="Adulto 52kg",13,IF(Atletas!E585="Adulto 56kg",14,IF(Atletas!E585="Adulto 60kg",15,IF(Atletas!E585="Adulto 65kg",16,IF(Atletas!E585="Adulto 70kg",17,IF(Atletas!E585="Adulto 75kg",18,IF(Atletas!E585="Adulto 82kg",19,IF(Atletas!E585="Adulto 90kg",20,IF(Atletas!E585="Adulto 100kg",21,IF(Atletas!E585="Adulto +100kg",22,""))))))))))))))))))))))))</f>
        <v/>
      </c>
      <c r="AX594" s="6" t="str">
        <f>IF(Atletas!F585="","",IF(Atletas!B585="Feminino",100,IF(Atletas!B585="Masculino",200,""))+(IF(Atletas!F585="Adulto 48kg",1,IF(Atletas!F585="Adulto 56kg",2,IF(Atletas!F585="Adulto 65kg",3,IF(Atletas!F585="Adulto 75kg",4,IF(Atletas!F585="Adulto +75kg",5,IF(Atletas!F585="Adulto 52kg",6,IF(Atletas!F585="Adulto 60kg",7,IF(Atletas!F585="Adulto 70kg",8,IF(Atletas!F585="Adulto 80kg",9,IF(Atletas!F585="Adulto 90kg",10,IF(Atletas!F585="Adulto +90kg",11,"")))))))))))))</f>
        <v/>
      </c>
      <c r="BC594" s="6" t="str">
        <f>IF(Atletas!G585="","",IF(Atletas!B585="Feminino",10,IF(Atletas!B585="Masculino",20,""))+(IF(Atletas!G585="Baduanjin A",1,IF(Atletas!G585="Baduanjin B",2))))</f>
        <v/>
      </c>
      <c r="BF594" s="52" t="str">
        <f>IF(Atletas!H585="","",IF(Atletas!B585="Feminino",100,IF(Atletas!B585="Masculino",200,""))+(IF(Atletas!H585="Changquan Mirim",1,IF(Atletas!H585="Nanquan Mirim",2,IF(Atletas!H585="Taijiquan Mirim",3,IF(Atletas!H585="Changquan Grupo C",4,IF(Atletas!H585="Nanquan Grupo C",5,IF(Atletas!H585="Taijiquan Grupo C",6,IF(Atletas!H585="Changquan Grupo B",7,IF(Atletas!H585="Nanquan Grupo B",8,IF(Atletas!H585="Taijiquan Grupo B",9,IF(Atletas!H585="Changquan Grupo A",10,IF(Atletas!H585="Nanquan Grupo A",11,IF(Atletas!H585="Taijiquan Grupo A",12,IF(Atletas!H585="Changquan Opcional",13,IF(Atletas!H585="Nanquan Opcional",14,IF(Atletas!H585="Taijiquan Opcional",15,IF(Atletas!H585="Changquan Adulto",16,IF(Atletas!H585="Nanquan Adulto",17,IF(Atletas!H585="Taijiquan Adulto",18,""))))))))))))))))))))</f>
        <v/>
      </c>
      <c r="BG594" s="52" t="str">
        <f>IF(Atletas!I585="","",IF(Atletas!B585="Feminino",100,IF(Atletas!B585="Masculino",200,""))+(IF(Atletas!I585="Daoshu Mirim",19,IF(Atletas!I585="Jianshu Mirim",20,IF(Atletas!I585="Nandao Mirim",21,IF(Atletas!I585="Taijijian Mirim",22,IF(Atletas!I585="Daoshu Grupo C",23,IF(Atletas!I585="Jianshu Grupo C",24,IF(Atletas!I585="Nandao Grupo C",25,IF(Atletas!I585="Taijijian Grupo C",26,IF(Atletas!I585="Daoshu Grupo B",27,IF(Atletas!I585="Jianshu Grupo B",28,IF(Atletas!I585="Nandao Grupo B",29,IF(Atletas!I585="Taijijian Grupo B",30,IF(Atletas!I585="Daoshu Grupo A",31,IF(Atletas!I585="Jianshu Grupo A",32,IF(Atletas!I585="Nandao Grupo A",33,IF(Atletas!I585="Taijijian Grupo A",34,IF(Atletas!I585="Daoshu Opcional",35,IF(Atletas!I585="Jianshu Opcional",36,IF(Atletas!I585="Nandao Opcional",37,IF(Atletas!I585="Taijijian Opcional",38,IF(Atletas!I585="Daoshu Adulto",39,IF(Atletas!I585="Jianshu Adulto",40,IF(Atletas!I585="Nandao Adulto",41,IF(Atletas!I585="Taijijian Adulto",42,""))))))))))))))))))))))))))</f>
        <v/>
      </c>
      <c r="BH594" s="52" t="str">
        <f>IF(Atletas!J585="","",IF(Atletas!B585="Feminino",100,IF(Atletas!B585="Masculino",200,""))+(IF(Atletas!J585="Gunshu Mirim",43,IF(Atletas!J585="Qiangshu Mirim",44,IF(Atletas!J585="Nangun Mirim",45,IF(Atletas!J585="Gunshu Grupo C",46,IF(Atletas!J585="Qiangshu Grupo C",47,IF(Atletas!J585="Nangun Grupo C",48,IF(Atletas!J585="Gunshu Grupo B",49,IF(Atletas!J585="Qiangshu Grupo B",50,IF(Atletas!J585="Nangun Grupo B",51,IF(Atletas!J585="Gunshu Grupo A",52,IF(Atletas!J585="Qiangshu Grupo A",53,IF(Atletas!J585="Nangun Grupo A",54,IF(Atletas!J585="Gunshu Opcional",55,IF(Atletas!J585="Qiangshu Opcional",56,IF(Atletas!J585="Nangun Opcional",57,IF(Atletas!J585="Gunshu Adulto",58,IF(Atletas!J585="Qiangshu Adulto",59,IF(Atletas!J585="Nangun Adulto",60,IF(Atletas!J585="Taijishan Grupo B",61,IF(Atletas!J585="Taijishan Grupo A",62,""))))))))))))))))))))))</f>
        <v/>
      </c>
      <c r="BM594" s="50" t="str">
        <f>IF(Atletas!K585="","",IF(Atletas!B585="Feminino",100,IF(Atletas!B585="Masculino",200,""))+(IF(Atletas!K585="Equipe 1 Grupo B",1,IF(Atletas!K585="Equipe 2 Grupo B",2,IF(Atletas!K585="Equipe 1 Grupo A",3,IF(Atletas!K585="Equipe 2 Grupo A",4,IF(Atletas!K585="Equipe 1 Adulto",5,IF(Atletas!K585="Equipe 2 Adulto",6,""))))))))</f>
        <v/>
      </c>
      <c r="BR594" s="50" t="str">
        <f>IF(Atletas!L585="","",IF(Atletas!X585&lt;&gt;"",10000,0)+(IF(Atletas!B585="Feminino",1000,IF(Atletas!B585="Masculino",2000,""))+IF(Atletas!L585="Choylayfut A",1,IF(Atletas!L585="Hunggar A",2,IF(Atletas!L585="Wuzuquan A",3,IF(Atletas!L585="Wingchun A",4,IF(Atletas!L585="Outra Mão de Sul A",5,IF(Atletas!L585="Choylayfut B",6,IF(Atletas!L585="Hunggar B",7,IF(Atletas!L585="Wuzuquan B",8,IF(Atletas!L585="Wingchun B",9,IF(Atletas!L585="Outra Mão de Sul B",10,IF(Atletas!L585="Choylayfut C",11,IF(Atletas!L585="Hunggar C",12,IF(Atletas!L585="Wuzuquan C",13,IF(Atletas!L585="Wingchun C",14,IF(Atletas!L585="Outra Mão de Sul C",15,IF(Atletas!L585="Choylayfut D",16,IF(Atletas!L585="Hunggar D",17,IF(Atletas!L585="Wuzuquan D",18,IF(Atletas!L585="Wingchun D",19,IF(Atletas!L585="Outra Mão de Sul D",20,IF(Atletas!L585="Choylayfut E",21,IF(Atletas!L585="Hunggar E",22,IF(Atletas!L585="Wuzuquan E",23,IF(Atletas!L585="Wingchun E",24,IF(Atletas!L585="Outra Mão de Sul E",25,IF(Atletas!L585="Choylayfut F",26,IF(Atletas!L585="Hunggar F",27,IF(Atletas!L585="Wuzuquan F",28,IF(Atletas!L585="Wingchun F",29,IF(Atletas!L585="Outra Mão de Sul F",30,IF(Atletas!L585="Dishuquan A",31,IF(Atletas!L585="Dishuquan B",32,IF(Atletas!L585="Dishuquan C",33,IF(Atletas!L585="Dishuquan D",34,IF(Atletas!L585="Dishuquan E",35,IF(Atletas!L585="Dishuquan F",36,""))))))))))))))))))))))))))))))))))))))</f>
        <v/>
      </c>
      <c r="BS594" s="50" t="str">
        <f>IF(Atletas!M585="","",IF(Atletas!X585&lt;&gt;"",10000,0)+(IF(Atletas!B585="Feminino",1000,IF(Atletas!B585="Masculino",2000,""))+(IF(Atletas!M585="Chaquan A",101,IF(Atletas!M585="Emeiquan A",102,IF(Atletas!M585="Fanziquan A",103,IF(Atletas!M585="Huaquan A",104,IF(Atletas!M585="Hongquan A",105,IF(Atletas!M585="Paoquan A",106,IF(Atletas!M585="Piguaquan A",107,IF(Atletas!M585="Shaolinquan A",108,IF(Atletas!M585="Tanglangquan A",109,IF(Atletas!M585="Yingzhaoquan A",110,IF(Atletas!M585="Tongbeiquan A",111,IF(Atletas!M585="Wudangquan A",112,IF(Atletas!M585="Outros Estilos A",113,IF(Atletas!M585="Chaquan B",114,IF(Atletas!M585="Emeiquan B",115,IF(Atletas!M585="Fanziquan B",116,IF(Atletas!M585="Huaquan B",117,IF(Atletas!M585="Hongquan B",118,IF(Atletas!M585="Paoquan B",119,IF(Atletas!M585="Piguaquan B",120,IF(Atletas!M585="Shaolinquan B",121,IF(Atletas!M585="Tanglangquan B",122,IF(Atletas!M585="Yingzhaoquan B",123,IF(Atletas!M585="Tongbeiquan B",124,IF(Atletas!M585="Wudangquan B",125,IF(Atletas!M585="Outros Estilos B",126,IF(Atletas!M585="Chaquan C",127,IF(Atletas!M585="Emeiquan C",128,IF(Atletas!M585="Fanziquan C",129,IF(Atletas!M585="Huaquan C",130,IF(Atletas!M585="Hongquan C",131,IF(Atletas!M585="Paoquan C",132,IF(Atletas!M585="Piguaquan C",133,IF(Atletas!M585="Shaolinquan C",134,IF(Atletas!M585="Tanglangquan C",135,IF(Atletas!M585="Yingzhaoquan C",136,IF(Atletas!M585="Tongbeiquan C",137,IF(Atletas!M585="Wudangquan C",138,IF(Atletas!M585="Outros Estilos C",139,0))))))))))))))))))))))))))))))))))))))))))</f>
        <v/>
      </c>
      <c r="BT594" s="50" t="str">
        <f>IF(Atletas!M585="","",IF(Atletas!X585&lt;&gt;"",10000,0)+(IF(Atletas!B585="Feminino",1000,IF(Atletas!B585="Masculino",2000,""))+(IF(Atletas!M585="Chaquan D",140,IF(Atletas!M585="Emeiquan D",141,IF(Atletas!M585="Fanziquan D",142,IF(Atletas!M585="Huaquan D",143,IF(Atletas!M585="Hongquan D",144,IF(Atletas!M585="Paoquan D",145,IF(Atletas!M585="Piguaquan D",146,IF(Atletas!M585="Shaolinquan D",147,IF(Atletas!M585="Tanglangquan D",148,IF(Atletas!M585="Yingzhaoquan D",149,IF(Atletas!M585="Tongbeiquan D",150,IF(Atletas!M585="Wudangquan D",151,IF(Atletas!M585="Outros Estilos D",152,IF(Atletas!M585="Chaquan E",153,IF(Atletas!M585="Emeiquan E",154,IF(Atletas!M585="Fanziquan E",155,IF(Atletas!M585="Huaquan E",156,IF(Atletas!M585="Hongquan E",157,IF(Atletas!M585="Paoquan E",158,IF(Atletas!M585="Piguaquan E",159,IF(Atletas!M585="Shaolinquan E",160,IF(Atletas!M585="Tanglangquan E",161,IF(Atletas!M585="Yingzhaoquan E",162,IF(Atletas!M585="Tongbeiquan E",163,IF(Atletas!M585="Wudangquan E",164,IF(Atletas!M585="Outros Estilos E",165,IF(Atletas!M585="Chaquan F",166,IF(Atletas!M585="Emeiquan F",167,IF(Atletas!M585="Fanziquan F",168,IF(Atletas!M585="Huaquan F",169,IF(Atletas!M585="Hongquan F",170,IF(Atletas!M585="Paoquan F",171,IF(Atletas!M585="Piguaquan F",172,IF(Atletas!M585="Shaolinquan F",173,IF(Atletas!M585="Tanglangquan F",174,IF(Atletas!M585="Yingzhaoquan F",175,IF(Atletas!M585="Tongbeiquan F",176,IF(Atletas!M585="Wudangquan F",177,IF(Atletas!M585="Outros Estilos F",178,0))))))))))))))))))))))))))))))))))))))))))</f>
        <v/>
      </c>
      <c r="BU594" s="50" t="str">
        <f>IF(Atletas!N585="","",IF(Atletas!X585&lt;&gt;"",10000,0)+(IF(Atletas!B585="Feminino",1000,IF(Atletas!B585="Masculino",2000,""))+(IF(Atletas!N585="Ditangquan A",201,IF(Atletas!N585="Houquan A",202,IF(Atletas!N585="Zuiquan A",203,IF(Atletas!N585="Ditangquan B",204,IF(Atletas!N585="Houquan B",205,IF(Atletas!N585="Zuiquan B",206,IF(Atletas!N585="Ditangquan C",207,IF(Atletas!N585="Houquan C",208,IF(Atletas!N585="Zuiquan C",209,IF(Atletas!N585="Ditangquan D",210,IF(Atletas!N585="Houquan D",211,IF(Atletas!N585="Zuiquan D",212,IF(Atletas!N585="Ditangquan E",213,IF(Atletas!N585="Houquan E",214,IF(Atletas!N585="Zuiquan E",215,IF(Atletas!N585="Ditangquan F",216,IF(Atletas!N585="Houquan F",217,IF(Atletas!N585="Zuiquan F",218,"")))))))))))))))))))))</f>
        <v/>
      </c>
      <c r="BV594" s="50" t="str">
        <f>IF(Atletas!O585="","",IF(Atletas!X585&lt;&gt;"",10000,0)+IF(Atletas!B585="Feminino",1000,IF(Atletas!B585="Masculino",2000,""))+IF(Atletas!O585="Yang A",301,IF(Atletas!O585="Chen A",302,IF(Atletas!O585="Sun A",303,IF(Atletas!O585="Wu A",304,IF(Atletas!O585="Wu-Hao A",305,IF(Atletas!O585="Outro Taijiquan A",306,IF(Atletas!O585="Yang B",307,IF(Atletas!O585="Chen B",308,IF(Atletas!O585="Sun B",309,IF(Atletas!O585="Wu B",310,IF(Atletas!O585="Wu-Hao B",311,IF(Atletas!O585="Outro Taijiquan B",312,IF(Atletas!O585="Yang C",313,IF(Atletas!O585="Chen C",314,IF(Atletas!O585="Sun C",315,IF(Atletas!O585="Wu C",316,IF(Atletas!O585="Wu-Hao C",317,IF(Atletas!O585="Outro Taijiquan C",318,IF(Atletas!O585="Yang D",319,IF(Atletas!O585="Chen D",320,IF(Atletas!O585="Sun D",321,IF(Atletas!O585="Wu D",322,IF(Atletas!O585="Wu-Hao D",323,IF(Atletas!O585="Outro Taijiquan D",324,IF(Atletas!O585="Yang E",325,IF(Atletas!O585="Chen E",326,IF(Atletas!O585="Sun E",327,IF(Atletas!O585="Wu E",328,IF(Atletas!O585="Wu-Hao E",329,IF(Atletas!O585="Outro Taijiquan E",330,IF(Atletas!O585="Yang F",331,IF(Atletas!O585="Chen F",332,IF(Atletas!O585="Sun F",333,IF(Atletas!O585="Wu F",334,IF(Atletas!O585="Wu-Hao F",335,IF(Atletas!O585="Outro Taijiquan F",336,"")))))))))))))))))))))))))))))))))))))</f>
        <v/>
      </c>
      <c r="BW594" s="50" t="str">
        <f>IF(Atletas!P585="","",IF(Atletas!X585&lt;&gt;"",10000,0)+IF(Atletas!B585="Feminino",1000,IF(Atletas!B585="Masculino",2000,""))+IF(OR(Atletas!P585="Yang 26 A",Atletas!P585="Yang 40 A"),401,IF(OR(Atletas!P585="Chen 25 A",Atletas!P585="Chen 36 A",Atletas!P585="Chen 56 A"),402,IF(Atletas!P585="Sun 73 A",403,IF(Atletas!P585="Wu 45 A",404,IF(Atletas!P585="Wu-Hao 46 A",405,IF(OR(Atletas!P585="Taijiquan 16 A",Atletas!P585="Taijiquan 24 A",Atletas!P585="Taijiquan 32 A",Atletas!P585="Taijiquan 42 A"),406,IF(OR(Atletas!P585="Yang 26 B",Atletas!P585="Yang 40 B"),407,IF(OR(Atletas!P585="Chen 25 B",Atletas!P585="Chen 36 B",Atletas!P585="Chen 56 B"),408,IF(Atletas!P585="Sun 73 B",409,IF(Atletas!P585="Wu 45 B",410,IF(Atletas!P585="Wu-Hao 46 B",411,IF(OR(Atletas!P585="Taijiquan 16 B",Atletas!P585="Taijiquan 24 B",Atletas!P585="Taijiquan 32 B",Atletas!P585="Taijiquan 42 B"),412,IF(OR(Atletas!P585="Yang 26 C",Atletas!P585="Yang 40 C"),413,IF(OR(Atletas!P585="Chen 25 C",Atletas!P585="Chen 36 C",Atletas!P585="Chen 56 C"),414,IF(Atletas!P585="Sun 73 C",415,IF(Atletas!P585="Wu 45 C",416,IF(Atletas!P585="Wu-Hao 46 C",417,IF(OR(Atletas!P585="Taijiquan 16 C",Atletas!P585="Taijiquan 24 C",Atletas!P585="Taijiquan 32 C",Atletas!P585="Taijiquan 42 C"),418,0)))))))))))))))))))</f>
        <v/>
      </c>
      <c r="BX594" s="50" t="str">
        <f>IF(Atletas!P585="","",IF(Atletas!X585&lt;&gt;"",10000,0)+IF(Atletas!B585="Feminino",1000,IF(Atletas!B585="Masculino",2000,""))+IF(OR(Atletas!P585="Yang 26 D",Atletas!P585="Yang 40 D"),419,IF(OR(Atletas!P585="Chen 25 D",Atletas!P585="Chen 36 D",Atletas!P585="Chen 56 D"),420,IF(Atletas!P585="Sun 73 D",421,IF(Atletas!P585="Wu 45 D",422,IF(Atletas!P585="Wu-Hao 46 D",423,IF(OR(Atletas!P585="Taijiquan 16 D",Atletas!P585="Taijiquan 24 D",Atletas!P585="Taijiquan 32 D",Atletas!P585="Taijiquan 42 D"),424,IF(OR(Atletas!P585="Yang 26 E",Atletas!P585="Yang 40 E"),425,IF(OR(Atletas!P585="Chen 25 E",Atletas!P585="Chen 36 E",Atletas!P585="Chen 56 E"),426,IF(Atletas!P585="Sun 73 E",427,IF(Atletas!P585="Wu 45 E",428,IF(Atletas!P585="Wu-Hao 46 E",429,IF(OR(Atletas!P585="Taijiquan 16 E",Atletas!P585="Taijiquan 24 E",Atletas!P585="Taijiquan 32 E",Atletas!P585="Taijiquan 42 E"),430,IF(OR(Atletas!P585="Yang 26 F",Atletas!P585="Yang 40 F"),431,IF(OR(Atletas!P585="Chen 25 F",Atletas!P585="Chen 36 F",Atletas!P585="Chen 56 F"),432,IF(Atletas!P585="Sun 73 F",433,IF(Atletas!P585="Wu 45 F",434,IF(Atletas!P585="Wu-Hao 46 F",435,IF(OR(Atletas!P585="Taijiquan 16 F",Atletas!P585="Taijiquan 24 F",Atletas!P585="Taijiquan 32 F",Atletas!P585="Taijiquan 42 F"),436,0)))))))))))))))))))</f>
        <v/>
      </c>
      <c r="BY594" s="50" t="str">
        <f>IF(Atletas!Q585="","",IF(Atletas!X585&lt;&gt;"",10000,0)+IF(Atletas!B585="Feminino",1000,IF(Atletas!B585="Masculino",2000,""))+IF(Atletas!Q585="Xingyiquan A",501,IF(Atletas!Q585="Baguazhang A",502,IF(Atletas!Q585="Outro Estilo Interno A",503,IF(Atletas!Q585="Xingyiquan B",504,IF(Atletas!Q585="Baguazhang B",505,IF(Atletas!Q585="Outro Estilo Interno B",506,IF(Atletas!Q585="Xingyiquan C",507,IF(Atletas!Q585="Baguazhang C",508,IF(Atletas!Q585="Outro Estilo Interno C",509,IF(Atletas!Q585="Xingyiquan D",510,IF(Atletas!Q585="Baguazhang D",511,IF(Atletas!Q585="Outro Estilo Interno D",512,IF(Atletas!Q585="Xingyiquan E",513,IF(Atletas!Q585="Baguazhang E",514,IF(Atletas!Q585="Outro Estilo Interno E",515,IF(Atletas!Q585="Xingyiquan F",516,IF(Atletas!Q585="Baguazhang F",517,IF(Atletas!Q585="Outro Estilo Interno F",518, "")))))))))))))))))))</f>
        <v/>
      </c>
      <c r="BZ594" s="50" t="str">
        <f>IF(Atletas!R585="","",IF(Atletas!X585&lt;&gt;"",10000,0)+IF(Atletas!B585="Feminino",1000,IF(Atletas!B585="Masculino",2000,""))+IF(Atletas!R585="Dao A",601,IF(Atletas!R585="Jian A",602,IF(Atletas!R585="Bishou A",603,IF(Atletas!R585="Shanzi A",604,IF(Atletas!R585="Outra Arma Curta A",605,IF(Atletas!R585="Dao B",606,IF(Atletas!R585="Jian B",607,IF(Atletas!R585="Bishou B",608,IF(Atletas!R585="Shanzi B",609,IF(Atletas!R585="Outra Arma Curta B",610,IF(Atletas!R585="Dao C",611,IF(Atletas!R585="Jian C",612,IF(Atletas!R585="Bishou C",613,IF(Atletas!R585="Shanzi C",614,IF(Atletas!R585="Outra Arma Curta C",615,IF(Atletas!R585="Dao D",616,IF(Atletas!R585="Jian D",617,IF(Atletas!R585="Bishou D",618,IF(Atletas!R585="Shanzi D",619,IF(Atletas!R585="Outra Arma Curta D",620,IF(Atletas!R585="Dao E",621,IF(Atletas!R585="Jian E",622,IF(Atletas!R585="Bishou E",623,IF(Atletas!R585="Shanzi E",624,IF(Atletas!R585="Outra Arma Curta E",625,IF(Atletas!R585="Dao F",626,IF(Atletas!R585="Jian F",627,IF(Atletas!R585="Bishou F",628,IF(Atletas!R585="Shanzi F",629,IF(Atletas!R585="Outra Arma Curta F",630, "")))))))))))))))))))))))))))))))</f>
        <v/>
      </c>
      <c r="CA594" s="50" t="str">
        <f>IF(Atletas!S585="","",IF(Atletas!X585&lt;&gt;"",10000,0)+IF(Atletas!B585="Feminino",1000,IF(Atletas!B585="Masculino",2000,""))+IF(Atletas!S585="Gun A",701,IF(Atletas!S585="Qiang A",702,IF(Atletas!S585="Pudao / Guandao A",703,IF(Atletas!S585="Outra Arma Longa A",704,IF(Atletas!S585="Gun B",705,IF(Atletas!S585="Qiang B",706,IF(Atletas!S585="Pudao / Guandao B",707,IF(Atletas!S585="Outra Arma Longa B",708,IF(Atletas!S585="Gun C",709,IF(Atletas!S585="Qiang C",710,IF(Atletas!S585="Pudao / Guandao C",711,IF(Atletas!S585="Outra Arma Longa C",712,IF(Atletas!S585="Gun D",713,IF(Atletas!S585="Qiang D",714,IF(Atletas!S585="Pudao / Guandao D",715,IF(Atletas!S585="Outra Arma Longa D",716,IF(Atletas!S585="Gun E",717,IF(Atletas!S585="Qiang E",718,IF(Atletas!S585="Pudao / Guandao E",719,IF(Atletas!S585="Outra Arma Longa E",720,IF(Atletas!S585="Gun F",721,IF(Atletas!S585="Qiang F",722,IF(Atletas!S585="Pudao / Guandao F",723,IF(Atletas!S585="Outra Arma Longa F",724,"")))))))))))))))))))))))))</f>
        <v/>
      </c>
      <c r="CB594" s="50" t="str">
        <f>IF(Atletas!T585="","",IF(Atletas!X585&lt;&gt;"",10000,0)+IF(Atletas!B585="Feminino",1000,IF(Atletas!B585="Masculino",2000,""))+IF(Atletas!T585="Outra Arma Dupla A",801,IF(Atletas!T585="Arma Maleável A",802,IF(Atletas!T585="Outra Arma Dupla B",803,IF(Atletas!T585="Arma Maleável B",804,IF(Atletas!T585="Outra Arma Dupla C",805,IF(Atletas!T585="Arma Maleável C",806,IF(Atletas!T585="Outra Arma Dupla D",807,IF(Atletas!T585="Arma Maleável D",808,IF(Atletas!T585="Outra Arma Dupla E",809,IF(Atletas!T585="Arma Maleável E",810,IF(Atletas!T585="Outra Arma Dupla F",811,IF(Atletas!T585="Arma Maleável F",812,IF(Atletas!T585="Shuangdao A",813,IF(Atletas!T585="Shuangdao B",814,IF(Atletas!T585="Shuangdao C",815,IF(Atletas!T585="Shuangdao D",816,IF(Atletas!T585="Shuangdao E",817,IF(Atletas!T585="Shuangdao F",818,"")))))))))))))))))))</f>
        <v/>
      </c>
      <c r="CC594" s="50" t="str">
        <f>IF(Atletas!U585="","",IF(Atletas!X585&lt;&gt;"",10000,0)+IF(Atletas!B585="Feminino",1000,IF(Atletas!B585="Masculino",2000,""))+IF(OR(Atletas!U585="Taijijian Yang A",Atletas!U585="Taijijian Yang Standard A"),901,IF(OR(Atletas!U585="Taijijian Chen A", Atletas!U585="Taijijian Chen Standard A"),902,IF(Atletas!U585="Taijijian Sun A",903,IF(Atletas!U585="Taijijian Wu A",904,IF(Atletas!U585="Taijijian Wu-Hao A",905,IF(OR(Atletas!U585="Taijijian 32 A",Atletas!U585="Taijijian 42 A"),906,IF(OR(Atletas!U585="Taijijian Yang B",Atletas!U585="Taijijian Yang Standard B"),907,IF(OR(Atletas!U585="Taijijian Chen B", Atletas!U585="Taijijian Chen Standard B"),908,IF(Atletas!U585="Taijijian Sun B",909,IF(Atletas!U585="Taijijian Wu B",910,IF(Atletas!U585="Taijijian Wu-Hao B",911,IF(OR(Atletas!U585="Taijijian 32 B",Atletas!U585="Taijijian 42 B"),912,IF(OR(Atletas!U585="Taijijian Yang C",Atletas!U585="Taijijian Yang Standard C"),913,IF(OR(Atletas!U585="Taijijian Chen C", Atletas!U585="Taijijian Chen Standard C"),914,IF(Atletas!U585="Taijijian Sun C",915,IF(Atletas!U585="Taijijian Wu C",916,IF(Atletas!U585="Taijijian Wu-Hao C",917,IF(OR(Atletas!U585="Taijijian 32 C",Atletas!U585="Taijijian 42 C"),918,IF(OR(Atletas!U585="Taijijian Yang D",Atletas!U585="Taijijian Yang Standard D"),919,IF(OR(Atletas!U585="Taijijian Chen D", Atletas!U585="Taijijian Chen Standard D"),920,IF(Atletas!U585="Taijijian Sun D",921,IF(Atletas!U585="Taijijian Wu D",922,IF(Atletas!U585="Taijijian Wu-Hao D",923,IF(OR(Atletas!U585="Taijijian 32 D",Atletas!U585="Taijijian 42 D"),924,IF(OR(Atletas!U585="Taijijian Yang E",Atletas!U585="Taijijian Yang Standard E"),925,IF(OR(Atletas!U585="Taijijian Chen E", Atletas!U585="Taijijian Chen Standard E"),926,IF(Atletas!U585="Taijijian Sun E",927,IF(Atletas!U585="Taijijian Wu E",928,IF(Atletas!U585="Taijijian Wu-Hao E",929,IF(OR(Atletas!U585="Taijijian 32 E",Atletas!U585="Taijijian 42 E"),930,IF(OR(Atletas!U585="Taijijian Yang F",Atletas!U585="Taijijian Yang Standard F"),931,IF(OR(Atletas!U585="Taijijian Chen F", Atletas!U585="Taijijian Chen Standard F"),932,IF(Atletas!U585="Taijijian Sun F",933,IF(Atletas!U585="Taijijian Wu F",934,IF(Atletas!U585="Taijijian Wu-Hao F",935,IF(OR(Atletas!U585="Taijijian 32 F",Atletas!U585="Taijijian 42 F"),936,"")))))))))))))))))))))))))))))))))))))</f>
        <v/>
      </c>
      <c r="CD594" s="50" t="str">
        <f>IF(Atletas!V585="","",IF(Atletas!X585&lt;&gt;"",10000,0)+IF(Atletas!B585="Feminino",1000,IF(Atletas!B585="Masculino",2000,""))+IF(Atletas!V585="Taijidao A",937,IF(Atletas!V585="TaijiShanzi A",938,IF(Atletas!V585="Taijiqiang A",939,IF(Atletas!V585="Bagua de Arma A",940,IF(Atletas!V585="Xingyi de Arma A",941,IF(Atletas!V585="Taijidao B",942,IF(Atletas!V585="TaijiShanzi B",943,IF(Atletas!V585="Taijiqiang B",944,IF(Atletas!V585="Bagua de Arma B",945,IF(Atletas!V585="Xingyi de Arma B",946,IF(Atletas!V585="Taijidao C",947,IF(Atletas!V585="TaijiShanzi C",948,IF(Atletas!V585="Taijiqiang C",949,IF(Atletas!V585="Bagua de Arma C",950,IF(Atletas!V585="Xingyi de Arma C",951,IF(Atletas!V585="Taijidao D",952,IF(Atletas!V585="TaijiShanzi D",953,IF(Atletas!V585="Taijiqiang D",954,IF(Atletas!V585="Bagua de Arma D",955,IF(Atletas!V585="Xingyi de Arma D",956,IF(Atletas!V585="Taijidao E",957,IF(Atletas!V585="TaijiShanzi E",958,IF(Atletas!V585="Taijiqiang E",959,IF(Atletas!V585="Bagua de Arma E",960,IF(Atletas!V585="Xingyi de Arma E",961,IF(Atletas!V585="Taijidao F",962,IF(Atletas!V585="TaijiShanzi F",963,IF(Atletas!V585="Taijiqiang F",964,IF(Atletas!V585="Bagua de Arma F",965,IF(Atletas!V585="Xingyi de Arma F",966,"")))))))))))))))))))))))))))))))</f>
        <v/>
      </c>
      <c r="CM594" s="50" t="str">
        <f xml:space="preserve"> IF(Atletas!W585="","",IF(Atletas!W585="Duilian de Mãos BC - Equipe 1",1,IF(Atletas!W585="Duilian de Mãos BC - Equipe 2",2,IF(Atletas!W585="Duilian de Armas BC - Equipe 1",3,IF(Atletas!W585="Duilian de Armas BC - Equipe 2",4,IF(Atletas!W585="Duilian de Mãos DE - Equipe 1",5,IF(Atletas!W585="Duilian de Mãos DE - Equipe 2",6,IF(Atletas!W585="Duilian de Armas DE - Equipe 1",7,IF(Atletas!W585="Duilian de Armas DE - Equipe 2",8,IF(Atletas!W585="Duilian de Tuishou - Equipe 1",9,IF(Atletas!W585="Duilian de Tuishou - Equipe 2",10,IF(Atletas!W585="Grupo Externo ABC - Equipe 1",11,IF(Atletas!W585="Grupo Externo ABC - Equipe 2",12,IF(Atletas!W585="Grupo Interno ABC - Equipe 1",13,IF(Atletas!W585="Grupo Interno ABC - Equipe 2",14,IF(Atletas!W585="Grupo Externo DEF - Equipe 1",15,IF(Atletas!W585="Grupo Externo DEF - Equipe 2",16,IF(Atletas!W585="Grupo Interno DEF - Equipe 1",17,IF(Atletas!W585="Grupo Interno DEF - Equipe 2",18,"")))))))))))))))))))</f>
        <v/>
      </c>
    </row>
    <row r="595" spans="40:91">
      <c r="AN595" s="52" t="str">
        <f>IF(Atletas!D586="","",IF(Atletas!B586="Feminino",100,IF(Atletas!B586="Masculino",200,""))+(IF(Atletas!D586="Kids 30kg",1,IF(Atletas!D586="Kids 32kg",2, IF(Atletas!D586="Kids 34kg",3,IF(Atletas!D586="Kids 36kg",4,IF(Atletas!D586="Kids 39kg",5,IF(Atletas!D586="Kids 42kg",6,IF(Atletas!D586="Kids 45kg",7, IF(Atletas!D586="Infantil 39kg",8,IF(Atletas!D586="Infantil 42kg",9,IF(Atletas!D586="Infantil 45kg",10,IF(Atletas!D586="Infantil 48kg",11,IF(Atletas!D586="Infantil 52kg",12,IF(Atletas!D586="Infantil 56kg",13,IF(Atletas!D586="Infantil 60kg",14,IF(Atletas!D586="Juvenil 48kg",15,IF(Atletas!D586="Juvenil 52kg",16,IF(Atletas!D586="Juvenil 56kg",17,IF(Atletas!D586="Juvenil 60kg",18,IF(Atletas!D586="Juvenil 65kg",19,IF(Atletas!D586="Juvenil 70kg",20,IF(Atletas!D586="Juvenil 75kg",21,IF(Atletas!D586="Juvenil 80kg",22, IF(Atletas!D586="Juvenil 85kg",23,IF(Atletas!D586="Adulto 48kg",24,IF(Atletas!D586="Adulto 52kg",25,IF(Atletas!D586="Adulto 56kg",26,IF(Atletas!D586="Adulto 60kg",27,IF(Atletas!D586="Adulto 65kg",28,IF(Atletas!D586="Adulto 70kg",29,IF(Atletas!D586="Adulto 75kg",30,IF(Atletas!D586="Adulto 80kg",31,IF(Atletas!D586="Adulto 85kg",32,IF(Atletas!D586="Adulto 90kg",33,IF(Atletas!D586="Adulto 100kg",34, IF(Atletas!D586="Adulto +100kg",35,"")))))))))))))))))))))))))))))))))))))</f>
        <v/>
      </c>
      <c r="AS595" s="6" t="str">
        <f>IF(Atletas!E586="","",IF(Atletas!B586="Feminino",100,IF(Atletas!B586="Masculino",200,""))+(IF(Atletas!E586="Juvenil 44kg",1,IF(Atletas!E586="Juvenil 48kg",2,IF(Atletas!E586="Juvenil 52kg",3,IF(Atletas!E586="Juvenil 56kg",4,IF(Atletas!E586="Juvenil 60kg",5,IF(Atletas!E586="Juvenil 65kg",6,IF(Atletas!E586="Juvenil 70kg",7,IF(Atletas!E586="Juvenil 75kg",8,IF(Atletas!E586="Juvenil 82kg",9,IF(Atletas!E586="Juvenil 90kg",10,IF(Atletas!E586="Juvenil 100kg",11,IF(Atletas!E586="Adulto 48kg",12,IF(Atletas!E586="Adulto 52kg",13,IF(Atletas!E586="Adulto 56kg",14,IF(Atletas!E586="Adulto 60kg",15,IF(Atletas!E586="Adulto 65kg",16,IF(Atletas!E586="Adulto 70kg",17,IF(Atletas!E586="Adulto 75kg",18,IF(Atletas!E586="Adulto 82kg",19,IF(Atletas!E586="Adulto 90kg",20,IF(Atletas!E586="Adulto 100kg",21,IF(Atletas!E586="Adulto +100kg",22,""))))))))))))))))))))))))</f>
        <v/>
      </c>
      <c r="AX595" s="6" t="str">
        <f>IF(Atletas!F586="","",IF(Atletas!B586="Feminino",100,IF(Atletas!B586="Masculino",200,""))+(IF(Atletas!F586="Adulto 48kg",1,IF(Atletas!F586="Adulto 56kg",2,IF(Atletas!F586="Adulto 65kg",3,IF(Atletas!F586="Adulto 75kg",4,IF(Atletas!F586="Adulto +75kg",5,IF(Atletas!F586="Adulto 52kg",6,IF(Atletas!F586="Adulto 60kg",7,IF(Atletas!F586="Adulto 70kg",8,IF(Atletas!F586="Adulto 80kg",9,IF(Atletas!F586="Adulto 90kg",10,IF(Atletas!F586="Adulto +90kg",11,"")))))))))))))</f>
        <v/>
      </c>
      <c r="BC595" s="6" t="str">
        <f>IF(Atletas!G586="","",IF(Atletas!B586="Feminino",10,IF(Atletas!B586="Masculino",20,""))+(IF(Atletas!G586="Baduanjin A",1,IF(Atletas!G586="Baduanjin B",2))))</f>
        <v/>
      </c>
      <c r="BF595" s="52" t="str">
        <f>IF(Atletas!H586="","",IF(Atletas!B586="Feminino",100,IF(Atletas!B586="Masculino",200,""))+(IF(Atletas!H586="Changquan Mirim",1,IF(Atletas!H586="Nanquan Mirim",2,IF(Atletas!H586="Taijiquan Mirim",3,IF(Atletas!H586="Changquan Grupo C",4,IF(Atletas!H586="Nanquan Grupo C",5,IF(Atletas!H586="Taijiquan Grupo C",6,IF(Atletas!H586="Changquan Grupo B",7,IF(Atletas!H586="Nanquan Grupo B",8,IF(Atletas!H586="Taijiquan Grupo B",9,IF(Atletas!H586="Changquan Grupo A",10,IF(Atletas!H586="Nanquan Grupo A",11,IF(Atletas!H586="Taijiquan Grupo A",12,IF(Atletas!H586="Changquan Opcional",13,IF(Atletas!H586="Nanquan Opcional",14,IF(Atletas!H586="Taijiquan Opcional",15,IF(Atletas!H586="Changquan Adulto",16,IF(Atletas!H586="Nanquan Adulto",17,IF(Atletas!H586="Taijiquan Adulto",18,""))))))))))))))))))))</f>
        <v/>
      </c>
      <c r="BG595" s="52" t="str">
        <f>IF(Atletas!I586="","",IF(Atletas!B586="Feminino",100,IF(Atletas!B586="Masculino",200,""))+(IF(Atletas!I586="Daoshu Mirim",19,IF(Atletas!I586="Jianshu Mirim",20,IF(Atletas!I586="Nandao Mirim",21,IF(Atletas!I586="Taijijian Mirim",22,IF(Atletas!I586="Daoshu Grupo C",23,IF(Atletas!I586="Jianshu Grupo C",24,IF(Atletas!I586="Nandao Grupo C",25,IF(Atletas!I586="Taijijian Grupo C",26,IF(Atletas!I586="Daoshu Grupo B",27,IF(Atletas!I586="Jianshu Grupo B",28,IF(Atletas!I586="Nandao Grupo B",29,IF(Atletas!I586="Taijijian Grupo B",30,IF(Atletas!I586="Daoshu Grupo A",31,IF(Atletas!I586="Jianshu Grupo A",32,IF(Atletas!I586="Nandao Grupo A",33,IF(Atletas!I586="Taijijian Grupo A",34,IF(Atletas!I586="Daoshu Opcional",35,IF(Atletas!I586="Jianshu Opcional",36,IF(Atletas!I586="Nandao Opcional",37,IF(Atletas!I586="Taijijian Opcional",38,IF(Atletas!I586="Daoshu Adulto",39,IF(Atletas!I586="Jianshu Adulto",40,IF(Atletas!I586="Nandao Adulto",41,IF(Atletas!I586="Taijijian Adulto",42,""))))))))))))))))))))))))))</f>
        <v/>
      </c>
      <c r="BH595" s="52" t="str">
        <f>IF(Atletas!J586="","",IF(Atletas!B586="Feminino",100,IF(Atletas!B586="Masculino",200,""))+(IF(Atletas!J586="Gunshu Mirim",43,IF(Atletas!J586="Qiangshu Mirim",44,IF(Atletas!J586="Nangun Mirim",45,IF(Atletas!J586="Gunshu Grupo C",46,IF(Atletas!J586="Qiangshu Grupo C",47,IF(Atletas!J586="Nangun Grupo C",48,IF(Atletas!J586="Gunshu Grupo B",49,IF(Atletas!J586="Qiangshu Grupo B",50,IF(Atletas!J586="Nangun Grupo B",51,IF(Atletas!J586="Gunshu Grupo A",52,IF(Atletas!J586="Qiangshu Grupo A",53,IF(Atletas!J586="Nangun Grupo A",54,IF(Atletas!J586="Gunshu Opcional",55,IF(Atletas!J586="Qiangshu Opcional",56,IF(Atletas!J586="Nangun Opcional",57,IF(Atletas!J586="Gunshu Adulto",58,IF(Atletas!J586="Qiangshu Adulto",59,IF(Atletas!J586="Nangun Adulto",60,IF(Atletas!J586="Taijishan Grupo B",61,IF(Atletas!J586="Taijishan Grupo A",62,""))))))))))))))))))))))</f>
        <v/>
      </c>
      <c r="BM595" s="50" t="str">
        <f>IF(Atletas!K586="","",IF(Atletas!B586="Feminino",100,IF(Atletas!B586="Masculino",200,""))+(IF(Atletas!K586="Equipe 1 Grupo B",1,IF(Atletas!K586="Equipe 2 Grupo B",2,IF(Atletas!K586="Equipe 1 Grupo A",3,IF(Atletas!K586="Equipe 2 Grupo A",4,IF(Atletas!K586="Equipe 1 Adulto",5,IF(Atletas!K586="Equipe 2 Adulto",6,""))))))))</f>
        <v/>
      </c>
      <c r="BR595" s="50" t="str">
        <f>IF(Atletas!L586="","",IF(Atletas!X586&lt;&gt;"",10000,0)+(IF(Atletas!B586="Feminino",1000,IF(Atletas!B586="Masculino",2000,""))+IF(Atletas!L586="Choylayfut A",1,IF(Atletas!L586="Hunggar A",2,IF(Atletas!L586="Wuzuquan A",3,IF(Atletas!L586="Wingchun A",4,IF(Atletas!L586="Outra Mão de Sul A",5,IF(Atletas!L586="Choylayfut B",6,IF(Atletas!L586="Hunggar B",7,IF(Atletas!L586="Wuzuquan B",8,IF(Atletas!L586="Wingchun B",9,IF(Atletas!L586="Outra Mão de Sul B",10,IF(Atletas!L586="Choylayfut C",11,IF(Atletas!L586="Hunggar C",12,IF(Atletas!L586="Wuzuquan C",13,IF(Atletas!L586="Wingchun C",14,IF(Atletas!L586="Outra Mão de Sul C",15,IF(Atletas!L586="Choylayfut D",16,IF(Atletas!L586="Hunggar D",17,IF(Atletas!L586="Wuzuquan D",18,IF(Atletas!L586="Wingchun D",19,IF(Atletas!L586="Outra Mão de Sul D",20,IF(Atletas!L586="Choylayfut E",21,IF(Atletas!L586="Hunggar E",22,IF(Atletas!L586="Wuzuquan E",23,IF(Atletas!L586="Wingchun E",24,IF(Atletas!L586="Outra Mão de Sul E",25,IF(Atletas!L586="Choylayfut F",26,IF(Atletas!L586="Hunggar F",27,IF(Atletas!L586="Wuzuquan F",28,IF(Atletas!L586="Wingchun F",29,IF(Atletas!L586="Outra Mão de Sul F",30,IF(Atletas!L586="Dishuquan A",31,IF(Atletas!L586="Dishuquan B",32,IF(Atletas!L586="Dishuquan C",33,IF(Atletas!L586="Dishuquan D",34,IF(Atletas!L586="Dishuquan E",35,IF(Atletas!L586="Dishuquan F",36,""))))))))))))))))))))))))))))))))))))))</f>
        <v/>
      </c>
      <c r="BS595" s="50" t="str">
        <f>IF(Atletas!M586="","",IF(Atletas!X586&lt;&gt;"",10000,0)+(IF(Atletas!B586="Feminino",1000,IF(Atletas!B586="Masculino",2000,""))+(IF(Atletas!M586="Chaquan A",101,IF(Atletas!M586="Emeiquan A",102,IF(Atletas!M586="Fanziquan A",103,IF(Atletas!M586="Huaquan A",104,IF(Atletas!M586="Hongquan A",105,IF(Atletas!M586="Paoquan A",106,IF(Atletas!M586="Piguaquan A",107,IF(Atletas!M586="Shaolinquan A",108,IF(Atletas!M586="Tanglangquan A",109,IF(Atletas!M586="Yingzhaoquan A",110,IF(Atletas!M586="Tongbeiquan A",111,IF(Atletas!M586="Wudangquan A",112,IF(Atletas!M586="Outros Estilos A",113,IF(Atletas!M586="Chaquan B",114,IF(Atletas!M586="Emeiquan B",115,IF(Atletas!M586="Fanziquan B",116,IF(Atletas!M586="Huaquan B",117,IF(Atletas!M586="Hongquan B",118,IF(Atletas!M586="Paoquan B",119,IF(Atletas!M586="Piguaquan B",120,IF(Atletas!M586="Shaolinquan B",121,IF(Atletas!M586="Tanglangquan B",122,IF(Atletas!M586="Yingzhaoquan B",123,IF(Atletas!M586="Tongbeiquan B",124,IF(Atletas!M586="Wudangquan B",125,IF(Atletas!M586="Outros Estilos B",126,IF(Atletas!M586="Chaquan C",127,IF(Atletas!M586="Emeiquan C",128,IF(Atletas!M586="Fanziquan C",129,IF(Atletas!M586="Huaquan C",130,IF(Atletas!M586="Hongquan C",131,IF(Atletas!M586="Paoquan C",132,IF(Atletas!M586="Piguaquan C",133,IF(Atletas!M586="Shaolinquan C",134,IF(Atletas!M586="Tanglangquan C",135,IF(Atletas!M586="Yingzhaoquan C",136,IF(Atletas!M586="Tongbeiquan C",137,IF(Atletas!M586="Wudangquan C",138,IF(Atletas!M586="Outros Estilos C",139,0))))))))))))))))))))))))))))))))))))))))))</f>
        <v/>
      </c>
      <c r="BT595" s="50" t="str">
        <f>IF(Atletas!M586="","",IF(Atletas!X586&lt;&gt;"",10000,0)+(IF(Atletas!B586="Feminino",1000,IF(Atletas!B586="Masculino",2000,""))+(IF(Atletas!M586="Chaquan D",140,IF(Atletas!M586="Emeiquan D",141,IF(Atletas!M586="Fanziquan D",142,IF(Atletas!M586="Huaquan D",143,IF(Atletas!M586="Hongquan D",144,IF(Atletas!M586="Paoquan D",145,IF(Atletas!M586="Piguaquan D",146,IF(Atletas!M586="Shaolinquan D",147,IF(Atletas!M586="Tanglangquan D",148,IF(Atletas!M586="Yingzhaoquan D",149,IF(Atletas!M586="Tongbeiquan D",150,IF(Atletas!M586="Wudangquan D",151,IF(Atletas!M586="Outros Estilos D",152,IF(Atletas!M586="Chaquan E",153,IF(Atletas!M586="Emeiquan E",154,IF(Atletas!M586="Fanziquan E",155,IF(Atletas!M586="Huaquan E",156,IF(Atletas!M586="Hongquan E",157,IF(Atletas!M586="Paoquan E",158,IF(Atletas!M586="Piguaquan E",159,IF(Atletas!M586="Shaolinquan E",160,IF(Atletas!M586="Tanglangquan E",161,IF(Atletas!M586="Yingzhaoquan E",162,IF(Atletas!M586="Tongbeiquan E",163,IF(Atletas!M586="Wudangquan E",164,IF(Atletas!M586="Outros Estilos E",165,IF(Atletas!M586="Chaquan F",166,IF(Atletas!M586="Emeiquan F",167,IF(Atletas!M586="Fanziquan F",168,IF(Atletas!M586="Huaquan F",169,IF(Atletas!M586="Hongquan F",170,IF(Atletas!M586="Paoquan F",171,IF(Atletas!M586="Piguaquan F",172,IF(Atletas!M586="Shaolinquan F",173,IF(Atletas!M586="Tanglangquan F",174,IF(Atletas!M586="Yingzhaoquan F",175,IF(Atletas!M586="Tongbeiquan F",176,IF(Atletas!M586="Wudangquan F",177,IF(Atletas!M586="Outros Estilos F",178,0))))))))))))))))))))))))))))))))))))))))))</f>
        <v/>
      </c>
      <c r="BU595" s="50" t="str">
        <f>IF(Atletas!N586="","",IF(Atletas!X586&lt;&gt;"",10000,0)+(IF(Atletas!B586="Feminino",1000,IF(Atletas!B586="Masculino",2000,""))+(IF(Atletas!N586="Ditangquan A",201,IF(Atletas!N586="Houquan A",202,IF(Atletas!N586="Zuiquan A",203,IF(Atletas!N586="Ditangquan B",204,IF(Atletas!N586="Houquan B",205,IF(Atletas!N586="Zuiquan B",206,IF(Atletas!N586="Ditangquan C",207,IF(Atletas!N586="Houquan C",208,IF(Atletas!N586="Zuiquan C",209,IF(Atletas!N586="Ditangquan D",210,IF(Atletas!N586="Houquan D",211,IF(Atletas!N586="Zuiquan D",212,IF(Atletas!N586="Ditangquan E",213,IF(Atletas!N586="Houquan E",214,IF(Atletas!N586="Zuiquan E",215,IF(Atletas!N586="Ditangquan F",216,IF(Atletas!N586="Houquan F",217,IF(Atletas!N586="Zuiquan F",218,"")))))))))))))))))))))</f>
        <v/>
      </c>
      <c r="BV595" s="50" t="str">
        <f>IF(Atletas!O586="","",IF(Atletas!X586&lt;&gt;"",10000,0)+IF(Atletas!B586="Feminino",1000,IF(Atletas!B586="Masculino",2000,""))+IF(Atletas!O586="Yang A",301,IF(Atletas!O586="Chen A",302,IF(Atletas!O586="Sun A",303,IF(Atletas!O586="Wu A",304,IF(Atletas!O586="Wu-Hao A",305,IF(Atletas!O586="Outro Taijiquan A",306,IF(Atletas!O586="Yang B",307,IF(Atletas!O586="Chen B",308,IF(Atletas!O586="Sun B",309,IF(Atletas!O586="Wu B",310,IF(Atletas!O586="Wu-Hao B",311,IF(Atletas!O586="Outro Taijiquan B",312,IF(Atletas!O586="Yang C",313,IF(Atletas!O586="Chen C",314,IF(Atletas!O586="Sun C",315,IF(Atletas!O586="Wu C",316,IF(Atletas!O586="Wu-Hao C",317,IF(Atletas!O586="Outro Taijiquan C",318,IF(Atletas!O586="Yang D",319,IF(Atletas!O586="Chen D",320,IF(Atletas!O586="Sun D",321,IF(Atletas!O586="Wu D",322,IF(Atletas!O586="Wu-Hao D",323,IF(Atletas!O586="Outro Taijiquan D",324,IF(Atletas!O586="Yang E",325,IF(Atletas!O586="Chen E",326,IF(Atletas!O586="Sun E",327,IF(Atletas!O586="Wu E",328,IF(Atletas!O586="Wu-Hao E",329,IF(Atletas!O586="Outro Taijiquan E",330,IF(Atletas!O586="Yang F",331,IF(Atletas!O586="Chen F",332,IF(Atletas!O586="Sun F",333,IF(Atletas!O586="Wu F",334,IF(Atletas!O586="Wu-Hao F",335,IF(Atletas!O586="Outro Taijiquan F",336,"")))))))))))))))))))))))))))))))))))))</f>
        <v/>
      </c>
      <c r="BW595" s="50" t="str">
        <f>IF(Atletas!P586="","",IF(Atletas!X586&lt;&gt;"",10000,0)+IF(Atletas!B586="Feminino",1000,IF(Atletas!B586="Masculino",2000,""))+IF(OR(Atletas!P586="Yang 26 A",Atletas!P586="Yang 40 A"),401,IF(OR(Atletas!P586="Chen 25 A",Atletas!P586="Chen 36 A",Atletas!P586="Chen 56 A"),402,IF(Atletas!P586="Sun 73 A",403,IF(Atletas!P586="Wu 45 A",404,IF(Atletas!P586="Wu-Hao 46 A",405,IF(OR(Atletas!P586="Taijiquan 16 A",Atletas!P586="Taijiquan 24 A",Atletas!P586="Taijiquan 32 A",Atletas!P586="Taijiquan 42 A"),406,IF(OR(Atletas!P586="Yang 26 B",Atletas!P586="Yang 40 B"),407,IF(OR(Atletas!P586="Chen 25 B",Atletas!P586="Chen 36 B",Atletas!P586="Chen 56 B"),408,IF(Atletas!P586="Sun 73 B",409,IF(Atletas!P586="Wu 45 B",410,IF(Atletas!P586="Wu-Hao 46 B",411,IF(OR(Atletas!P586="Taijiquan 16 B",Atletas!P586="Taijiquan 24 B",Atletas!P586="Taijiquan 32 B",Atletas!P586="Taijiquan 42 B"),412,IF(OR(Atletas!P586="Yang 26 C",Atletas!P586="Yang 40 C"),413,IF(OR(Atletas!P586="Chen 25 C",Atletas!P586="Chen 36 C",Atletas!P586="Chen 56 C"),414,IF(Atletas!P586="Sun 73 C",415,IF(Atletas!P586="Wu 45 C",416,IF(Atletas!P586="Wu-Hao 46 C",417,IF(OR(Atletas!P586="Taijiquan 16 C",Atletas!P586="Taijiquan 24 C",Atletas!P586="Taijiquan 32 C",Atletas!P586="Taijiquan 42 C"),418,0)))))))))))))))))))</f>
        <v/>
      </c>
      <c r="BX595" s="50" t="str">
        <f>IF(Atletas!P586="","",IF(Atletas!X586&lt;&gt;"",10000,0)+IF(Atletas!B586="Feminino",1000,IF(Atletas!B586="Masculino",2000,""))+IF(OR(Atletas!P586="Yang 26 D",Atletas!P586="Yang 40 D"),419,IF(OR(Atletas!P586="Chen 25 D",Atletas!P586="Chen 36 D",Atletas!P586="Chen 56 D"),420,IF(Atletas!P586="Sun 73 D",421,IF(Atletas!P586="Wu 45 D",422,IF(Atletas!P586="Wu-Hao 46 D",423,IF(OR(Atletas!P586="Taijiquan 16 D",Atletas!P586="Taijiquan 24 D",Atletas!P586="Taijiquan 32 D",Atletas!P586="Taijiquan 42 D"),424,IF(OR(Atletas!P586="Yang 26 E",Atletas!P586="Yang 40 E"),425,IF(OR(Atletas!P586="Chen 25 E",Atletas!P586="Chen 36 E",Atletas!P586="Chen 56 E"),426,IF(Atletas!P586="Sun 73 E",427,IF(Atletas!P586="Wu 45 E",428,IF(Atletas!P586="Wu-Hao 46 E",429,IF(OR(Atletas!P586="Taijiquan 16 E",Atletas!P586="Taijiquan 24 E",Atletas!P586="Taijiquan 32 E",Atletas!P586="Taijiquan 42 E"),430,IF(OR(Atletas!P586="Yang 26 F",Atletas!P586="Yang 40 F"),431,IF(OR(Atletas!P586="Chen 25 F",Atletas!P586="Chen 36 F",Atletas!P586="Chen 56 F"),432,IF(Atletas!P586="Sun 73 F",433,IF(Atletas!P586="Wu 45 F",434,IF(Atletas!P586="Wu-Hao 46 F",435,IF(OR(Atletas!P586="Taijiquan 16 F",Atletas!P586="Taijiquan 24 F",Atletas!P586="Taijiquan 32 F",Atletas!P586="Taijiquan 42 F"),436,0)))))))))))))))))))</f>
        <v/>
      </c>
      <c r="BY595" s="50" t="str">
        <f>IF(Atletas!Q586="","",IF(Atletas!X586&lt;&gt;"",10000,0)+IF(Atletas!B586="Feminino",1000,IF(Atletas!B586="Masculino",2000,""))+IF(Atletas!Q586="Xingyiquan A",501,IF(Atletas!Q586="Baguazhang A",502,IF(Atletas!Q586="Outro Estilo Interno A",503,IF(Atletas!Q586="Xingyiquan B",504,IF(Atletas!Q586="Baguazhang B",505,IF(Atletas!Q586="Outro Estilo Interno B",506,IF(Atletas!Q586="Xingyiquan C",507,IF(Atletas!Q586="Baguazhang C",508,IF(Atletas!Q586="Outro Estilo Interno C",509,IF(Atletas!Q586="Xingyiquan D",510,IF(Atletas!Q586="Baguazhang D",511,IF(Atletas!Q586="Outro Estilo Interno D",512,IF(Atletas!Q586="Xingyiquan E",513,IF(Atletas!Q586="Baguazhang E",514,IF(Atletas!Q586="Outro Estilo Interno E",515,IF(Atletas!Q586="Xingyiquan F",516,IF(Atletas!Q586="Baguazhang F",517,IF(Atletas!Q586="Outro Estilo Interno F",518, "")))))))))))))))))))</f>
        <v/>
      </c>
      <c r="BZ595" s="50" t="str">
        <f>IF(Atletas!R586="","",IF(Atletas!X586&lt;&gt;"",10000,0)+IF(Atletas!B586="Feminino",1000,IF(Atletas!B586="Masculino",2000,""))+IF(Atletas!R586="Dao A",601,IF(Atletas!R586="Jian A",602,IF(Atletas!R586="Bishou A",603,IF(Atletas!R586="Shanzi A",604,IF(Atletas!R586="Outra Arma Curta A",605,IF(Atletas!R586="Dao B",606,IF(Atletas!R586="Jian B",607,IF(Atletas!R586="Bishou B",608,IF(Atletas!R586="Shanzi B",609,IF(Atletas!R586="Outra Arma Curta B",610,IF(Atletas!R586="Dao C",611,IF(Atletas!R586="Jian C",612,IF(Atletas!R586="Bishou C",613,IF(Atletas!R586="Shanzi C",614,IF(Atletas!R586="Outra Arma Curta C",615,IF(Atletas!R586="Dao D",616,IF(Atletas!R586="Jian D",617,IF(Atletas!R586="Bishou D",618,IF(Atletas!R586="Shanzi D",619,IF(Atletas!R586="Outra Arma Curta D",620,IF(Atletas!R586="Dao E",621,IF(Atletas!R586="Jian E",622,IF(Atletas!R586="Bishou E",623,IF(Atletas!R586="Shanzi E",624,IF(Atletas!R586="Outra Arma Curta E",625,IF(Atletas!R586="Dao F",626,IF(Atletas!R586="Jian F",627,IF(Atletas!R586="Bishou F",628,IF(Atletas!R586="Shanzi F",629,IF(Atletas!R586="Outra Arma Curta F",630, "")))))))))))))))))))))))))))))))</f>
        <v/>
      </c>
      <c r="CA595" s="50" t="str">
        <f>IF(Atletas!S586="","",IF(Atletas!X586&lt;&gt;"",10000,0)+IF(Atletas!B586="Feminino",1000,IF(Atletas!B586="Masculino",2000,""))+IF(Atletas!S586="Gun A",701,IF(Atletas!S586="Qiang A",702,IF(Atletas!S586="Pudao / Guandao A",703,IF(Atletas!S586="Outra Arma Longa A",704,IF(Atletas!S586="Gun B",705,IF(Atletas!S586="Qiang B",706,IF(Atletas!S586="Pudao / Guandao B",707,IF(Atletas!S586="Outra Arma Longa B",708,IF(Atletas!S586="Gun C",709,IF(Atletas!S586="Qiang C",710,IF(Atletas!S586="Pudao / Guandao C",711,IF(Atletas!S586="Outra Arma Longa C",712,IF(Atletas!S586="Gun D",713,IF(Atletas!S586="Qiang D",714,IF(Atletas!S586="Pudao / Guandao D",715,IF(Atletas!S586="Outra Arma Longa D",716,IF(Atletas!S586="Gun E",717,IF(Atletas!S586="Qiang E",718,IF(Atletas!S586="Pudao / Guandao E",719,IF(Atletas!S586="Outra Arma Longa E",720,IF(Atletas!S586="Gun F",721,IF(Atletas!S586="Qiang F",722,IF(Atletas!S586="Pudao / Guandao F",723,IF(Atletas!S586="Outra Arma Longa F",724,"")))))))))))))))))))))))))</f>
        <v/>
      </c>
      <c r="CB595" s="50" t="str">
        <f>IF(Atletas!T586="","",IF(Atletas!X586&lt;&gt;"",10000,0)+IF(Atletas!B586="Feminino",1000,IF(Atletas!B586="Masculino",2000,""))+IF(Atletas!T586="Outra Arma Dupla A",801,IF(Atletas!T586="Arma Maleável A",802,IF(Atletas!T586="Outra Arma Dupla B",803,IF(Atletas!T586="Arma Maleável B",804,IF(Atletas!T586="Outra Arma Dupla C",805,IF(Atletas!T586="Arma Maleável C",806,IF(Atletas!T586="Outra Arma Dupla D",807,IF(Atletas!T586="Arma Maleável D",808,IF(Atletas!T586="Outra Arma Dupla E",809,IF(Atletas!T586="Arma Maleável E",810,IF(Atletas!T586="Outra Arma Dupla F",811,IF(Atletas!T586="Arma Maleável F",812,IF(Atletas!T586="Shuangdao A",813,IF(Atletas!T586="Shuangdao B",814,IF(Atletas!T586="Shuangdao C",815,IF(Atletas!T586="Shuangdao D",816,IF(Atletas!T586="Shuangdao E",817,IF(Atletas!T586="Shuangdao F",818,"")))))))))))))))))))</f>
        <v/>
      </c>
      <c r="CC595" s="50" t="str">
        <f>IF(Atletas!U586="","",IF(Atletas!X586&lt;&gt;"",10000,0)+IF(Atletas!B586="Feminino",1000,IF(Atletas!B586="Masculino",2000,""))+IF(OR(Atletas!U586="Taijijian Yang A",Atletas!U586="Taijijian Yang Standard A"),901,IF(OR(Atletas!U586="Taijijian Chen A", Atletas!U586="Taijijian Chen Standard A"),902,IF(Atletas!U586="Taijijian Sun A",903,IF(Atletas!U586="Taijijian Wu A",904,IF(Atletas!U586="Taijijian Wu-Hao A",905,IF(OR(Atletas!U586="Taijijian 32 A",Atletas!U586="Taijijian 42 A"),906,IF(OR(Atletas!U586="Taijijian Yang B",Atletas!U586="Taijijian Yang Standard B"),907,IF(OR(Atletas!U586="Taijijian Chen B", Atletas!U586="Taijijian Chen Standard B"),908,IF(Atletas!U586="Taijijian Sun B",909,IF(Atletas!U586="Taijijian Wu B",910,IF(Atletas!U586="Taijijian Wu-Hao B",911,IF(OR(Atletas!U586="Taijijian 32 B",Atletas!U586="Taijijian 42 B"),912,IF(OR(Atletas!U586="Taijijian Yang C",Atletas!U586="Taijijian Yang Standard C"),913,IF(OR(Atletas!U586="Taijijian Chen C", Atletas!U586="Taijijian Chen Standard C"),914,IF(Atletas!U586="Taijijian Sun C",915,IF(Atletas!U586="Taijijian Wu C",916,IF(Atletas!U586="Taijijian Wu-Hao C",917,IF(OR(Atletas!U586="Taijijian 32 C",Atletas!U586="Taijijian 42 C"),918,IF(OR(Atletas!U586="Taijijian Yang D",Atletas!U586="Taijijian Yang Standard D"),919,IF(OR(Atletas!U586="Taijijian Chen D", Atletas!U586="Taijijian Chen Standard D"),920,IF(Atletas!U586="Taijijian Sun D",921,IF(Atletas!U586="Taijijian Wu D",922,IF(Atletas!U586="Taijijian Wu-Hao D",923,IF(OR(Atletas!U586="Taijijian 32 D",Atletas!U586="Taijijian 42 D"),924,IF(OR(Atletas!U586="Taijijian Yang E",Atletas!U586="Taijijian Yang Standard E"),925,IF(OR(Atletas!U586="Taijijian Chen E", Atletas!U586="Taijijian Chen Standard E"),926,IF(Atletas!U586="Taijijian Sun E",927,IF(Atletas!U586="Taijijian Wu E",928,IF(Atletas!U586="Taijijian Wu-Hao E",929,IF(OR(Atletas!U586="Taijijian 32 E",Atletas!U586="Taijijian 42 E"),930,IF(OR(Atletas!U586="Taijijian Yang F",Atletas!U586="Taijijian Yang Standard F"),931,IF(OR(Atletas!U586="Taijijian Chen F", Atletas!U586="Taijijian Chen Standard F"),932,IF(Atletas!U586="Taijijian Sun F",933,IF(Atletas!U586="Taijijian Wu F",934,IF(Atletas!U586="Taijijian Wu-Hao F",935,IF(OR(Atletas!U586="Taijijian 32 F",Atletas!U586="Taijijian 42 F"),936,"")))))))))))))))))))))))))))))))))))))</f>
        <v/>
      </c>
      <c r="CD595" s="50" t="str">
        <f>IF(Atletas!V586="","",IF(Atletas!X586&lt;&gt;"",10000,0)+IF(Atletas!B586="Feminino",1000,IF(Atletas!B586="Masculino",2000,""))+IF(Atletas!V586="Taijidao A",937,IF(Atletas!V586="TaijiShanzi A",938,IF(Atletas!V586="Taijiqiang A",939,IF(Atletas!V586="Bagua de Arma A",940,IF(Atletas!V586="Xingyi de Arma A",941,IF(Atletas!V586="Taijidao B",942,IF(Atletas!V586="TaijiShanzi B",943,IF(Atletas!V586="Taijiqiang B",944,IF(Atletas!V586="Bagua de Arma B",945,IF(Atletas!V586="Xingyi de Arma B",946,IF(Atletas!V586="Taijidao C",947,IF(Atletas!V586="TaijiShanzi C",948,IF(Atletas!V586="Taijiqiang C",949,IF(Atletas!V586="Bagua de Arma C",950,IF(Atletas!V586="Xingyi de Arma C",951,IF(Atletas!V586="Taijidao D",952,IF(Atletas!V586="TaijiShanzi D",953,IF(Atletas!V586="Taijiqiang D",954,IF(Atletas!V586="Bagua de Arma D",955,IF(Atletas!V586="Xingyi de Arma D",956,IF(Atletas!V586="Taijidao E",957,IF(Atletas!V586="TaijiShanzi E",958,IF(Atletas!V586="Taijiqiang E",959,IF(Atletas!V586="Bagua de Arma E",960,IF(Atletas!V586="Xingyi de Arma E",961,IF(Atletas!V586="Taijidao F",962,IF(Atletas!V586="TaijiShanzi F",963,IF(Atletas!V586="Taijiqiang F",964,IF(Atletas!V586="Bagua de Arma F",965,IF(Atletas!V586="Xingyi de Arma F",966,"")))))))))))))))))))))))))))))))</f>
        <v/>
      </c>
      <c r="CM595" s="50" t="str">
        <f xml:space="preserve"> IF(Atletas!W586="","",IF(Atletas!W586="Duilian de Mãos BC - Equipe 1",1,IF(Atletas!W586="Duilian de Mãos BC - Equipe 2",2,IF(Atletas!W586="Duilian de Armas BC - Equipe 1",3,IF(Atletas!W586="Duilian de Armas BC - Equipe 2",4,IF(Atletas!W586="Duilian de Mãos DE - Equipe 1",5,IF(Atletas!W586="Duilian de Mãos DE - Equipe 2",6,IF(Atletas!W586="Duilian de Armas DE - Equipe 1",7,IF(Atletas!W586="Duilian de Armas DE - Equipe 2",8,IF(Atletas!W586="Duilian de Tuishou - Equipe 1",9,IF(Atletas!W586="Duilian de Tuishou - Equipe 2",10,IF(Atletas!W586="Grupo Externo ABC - Equipe 1",11,IF(Atletas!W586="Grupo Externo ABC - Equipe 2",12,IF(Atletas!W586="Grupo Interno ABC - Equipe 1",13,IF(Atletas!W586="Grupo Interno ABC - Equipe 2",14,IF(Atletas!W586="Grupo Externo DEF - Equipe 1",15,IF(Atletas!W586="Grupo Externo DEF - Equipe 2",16,IF(Atletas!W586="Grupo Interno DEF - Equipe 1",17,IF(Atletas!W586="Grupo Interno DEF - Equipe 2",18,"")))))))))))))))))))</f>
        <v/>
      </c>
    </row>
    <row r="596" spans="40:91">
      <c r="AN596" s="52" t="str">
        <f>IF(Atletas!D587="","",IF(Atletas!B587="Feminino",100,IF(Atletas!B587="Masculino",200,""))+(IF(Atletas!D587="Kids 30kg",1,IF(Atletas!D587="Kids 32kg",2, IF(Atletas!D587="Kids 34kg",3,IF(Atletas!D587="Kids 36kg",4,IF(Atletas!D587="Kids 39kg",5,IF(Atletas!D587="Kids 42kg",6,IF(Atletas!D587="Kids 45kg",7, IF(Atletas!D587="Infantil 39kg",8,IF(Atletas!D587="Infantil 42kg",9,IF(Atletas!D587="Infantil 45kg",10,IF(Atletas!D587="Infantil 48kg",11,IF(Atletas!D587="Infantil 52kg",12,IF(Atletas!D587="Infantil 56kg",13,IF(Atletas!D587="Infantil 60kg",14,IF(Atletas!D587="Juvenil 48kg",15,IF(Atletas!D587="Juvenil 52kg",16,IF(Atletas!D587="Juvenil 56kg",17,IF(Atletas!D587="Juvenil 60kg",18,IF(Atletas!D587="Juvenil 65kg",19,IF(Atletas!D587="Juvenil 70kg",20,IF(Atletas!D587="Juvenil 75kg",21,IF(Atletas!D587="Juvenil 80kg",22, IF(Atletas!D587="Juvenil 85kg",23,IF(Atletas!D587="Adulto 48kg",24,IF(Atletas!D587="Adulto 52kg",25,IF(Atletas!D587="Adulto 56kg",26,IF(Atletas!D587="Adulto 60kg",27,IF(Atletas!D587="Adulto 65kg",28,IF(Atletas!D587="Adulto 70kg",29,IF(Atletas!D587="Adulto 75kg",30,IF(Atletas!D587="Adulto 80kg",31,IF(Atletas!D587="Adulto 85kg",32,IF(Atletas!D587="Adulto 90kg",33,IF(Atletas!D587="Adulto 100kg",34, IF(Atletas!D587="Adulto +100kg",35,"")))))))))))))))))))))))))))))))))))))</f>
        <v/>
      </c>
      <c r="AS596" s="6" t="str">
        <f>IF(Atletas!E587="","",IF(Atletas!B587="Feminino",100,IF(Atletas!B587="Masculino",200,""))+(IF(Atletas!E587="Juvenil 44kg",1,IF(Atletas!E587="Juvenil 48kg",2,IF(Atletas!E587="Juvenil 52kg",3,IF(Atletas!E587="Juvenil 56kg",4,IF(Atletas!E587="Juvenil 60kg",5,IF(Atletas!E587="Juvenil 65kg",6,IF(Atletas!E587="Juvenil 70kg",7,IF(Atletas!E587="Juvenil 75kg",8,IF(Atletas!E587="Juvenil 82kg",9,IF(Atletas!E587="Juvenil 90kg",10,IF(Atletas!E587="Juvenil 100kg",11,IF(Atletas!E587="Adulto 48kg",12,IF(Atletas!E587="Adulto 52kg",13,IF(Atletas!E587="Adulto 56kg",14,IF(Atletas!E587="Adulto 60kg",15,IF(Atletas!E587="Adulto 65kg",16,IF(Atletas!E587="Adulto 70kg",17,IF(Atletas!E587="Adulto 75kg",18,IF(Atletas!E587="Adulto 82kg",19,IF(Atletas!E587="Adulto 90kg",20,IF(Atletas!E587="Adulto 100kg",21,IF(Atletas!E587="Adulto +100kg",22,""))))))))))))))))))))))))</f>
        <v/>
      </c>
      <c r="AX596" s="6" t="str">
        <f>IF(Atletas!F587="","",IF(Atletas!B587="Feminino",100,IF(Atletas!B587="Masculino",200,""))+(IF(Atletas!F587="Adulto 48kg",1,IF(Atletas!F587="Adulto 56kg",2,IF(Atletas!F587="Adulto 65kg",3,IF(Atletas!F587="Adulto 75kg",4,IF(Atletas!F587="Adulto +75kg",5,IF(Atletas!F587="Adulto 52kg",6,IF(Atletas!F587="Adulto 60kg",7,IF(Atletas!F587="Adulto 70kg",8,IF(Atletas!F587="Adulto 80kg",9,IF(Atletas!F587="Adulto 90kg",10,IF(Atletas!F587="Adulto +90kg",11,"")))))))))))))</f>
        <v/>
      </c>
      <c r="BC596" s="6" t="str">
        <f>IF(Atletas!G587="","",IF(Atletas!B587="Feminino",10,IF(Atletas!B587="Masculino",20,""))+(IF(Atletas!G587="Baduanjin A",1,IF(Atletas!G587="Baduanjin B",2))))</f>
        <v/>
      </c>
      <c r="BF596" s="52" t="str">
        <f>IF(Atletas!H587="","",IF(Atletas!B587="Feminino",100,IF(Atletas!B587="Masculino",200,""))+(IF(Atletas!H587="Changquan Mirim",1,IF(Atletas!H587="Nanquan Mirim",2,IF(Atletas!H587="Taijiquan Mirim",3,IF(Atletas!H587="Changquan Grupo C",4,IF(Atletas!H587="Nanquan Grupo C",5,IF(Atletas!H587="Taijiquan Grupo C",6,IF(Atletas!H587="Changquan Grupo B",7,IF(Atletas!H587="Nanquan Grupo B",8,IF(Atletas!H587="Taijiquan Grupo B",9,IF(Atletas!H587="Changquan Grupo A",10,IF(Atletas!H587="Nanquan Grupo A",11,IF(Atletas!H587="Taijiquan Grupo A",12,IF(Atletas!H587="Changquan Opcional",13,IF(Atletas!H587="Nanquan Opcional",14,IF(Atletas!H587="Taijiquan Opcional",15,IF(Atletas!H587="Changquan Adulto",16,IF(Atletas!H587="Nanquan Adulto",17,IF(Atletas!H587="Taijiquan Adulto",18,""))))))))))))))))))))</f>
        <v/>
      </c>
      <c r="BG596" s="52" t="str">
        <f>IF(Atletas!I587="","",IF(Atletas!B587="Feminino",100,IF(Atletas!B587="Masculino",200,""))+(IF(Atletas!I587="Daoshu Mirim",19,IF(Atletas!I587="Jianshu Mirim",20,IF(Atletas!I587="Nandao Mirim",21,IF(Atletas!I587="Taijijian Mirim",22,IF(Atletas!I587="Daoshu Grupo C",23,IF(Atletas!I587="Jianshu Grupo C",24,IF(Atletas!I587="Nandao Grupo C",25,IF(Atletas!I587="Taijijian Grupo C",26,IF(Atletas!I587="Daoshu Grupo B",27,IF(Atletas!I587="Jianshu Grupo B",28,IF(Atletas!I587="Nandao Grupo B",29,IF(Atletas!I587="Taijijian Grupo B",30,IF(Atletas!I587="Daoshu Grupo A",31,IF(Atletas!I587="Jianshu Grupo A",32,IF(Atletas!I587="Nandao Grupo A",33,IF(Atletas!I587="Taijijian Grupo A",34,IF(Atletas!I587="Daoshu Opcional",35,IF(Atletas!I587="Jianshu Opcional",36,IF(Atletas!I587="Nandao Opcional",37,IF(Atletas!I587="Taijijian Opcional",38,IF(Atletas!I587="Daoshu Adulto",39,IF(Atletas!I587="Jianshu Adulto",40,IF(Atletas!I587="Nandao Adulto",41,IF(Atletas!I587="Taijijian Adulto",42,""))))))))))))))))))))))))))</f>
        <v/>
      </c>
      <c r="BH596" s="52" t="str">
        <f>IF(Atletas!J587="","",IF(Atletas!B587="Feminino",100,IF(Atletas!B587="Masculino",200,""))+(IF(Atletas!J587="Gunshu Mirim",43,IF(Atletas!J587="Qiangshu Mirim",44,IF(Atletas!J587="Nangun Mirim",45,IF(Atletas!J587="Gunshu Grupo C",46,IF(Atletas!J587="Qiangshu Grupo C",47,IF(Atletas!J587="Nangun Grupo C",48,IF(Atletas!J587="Gunshu Grupo B",49,IF(Atletas!J587="Qiangshu Grupo B",50,IF(Atletas!J587="Nangun Grupo B",51,IF(Atletas!J587="Gunshu Grupo A",52,IF(Atletas!J587="Qiangshu Grupo A",53,IF(Atletas!J587="Nangun Grupo A",54,IF(Atletas!J587="Gunshu Opcional",55,IF(Atletas!J587="Qiangshu Opcional",56,IF(Atletas!J587="Nangun Opcional",57,IF(Atletas!J587="Gunshu Adulto",58,IF(Atletas!J587="Qiangshu Adulto",59,IF(Atletas!J587="Nangun Adulto",60,IF(Atletas!J587="Taijishan Grupo B",61,IF(Atletas!J587="Taijishan Grupo A",62,""))))))))))))))))))))))</f>
        <v/>
      </c>
      <c r="BM596" s="50" t="str">
        <f>IF(Atletas!K587="","",IF(Atletas!B587="Feminino",100,IF(Atletas!B587="Masculino",200,""))+(IF(Atletas!K587="Equipe 1 Grupo B",1,IF(Atletas!K587="Equipe 2 Grupo B",2,IF(Atletas!K587="Equipe 1 Grupo A",3,IF(Atletas!K587="Equipe 2 Grupo A",4,IF(Atletas!K587="Equipe 1 Adulto",5,IF(Atletas!K587="Equipe 2 Adulto",6,""))))))))</f>
        <v/>
      </c>
      <c r="BR596" s="50" t="str">
        <f>IF(Atletas!L587="","",IF(Atletas!X587&lt;&gt;"",10000,0)+(IF(Atletas!B587="Feminino",1000,IF(Atletas!B587="Masculino",2000,""))+IF(Atletas!L587="Choylayfut A",1,IF(Atletas!L587="Hunggar A",2,IF(Atletas!L587="Wuzuquan A",3,IF(Atletas!L587="Wingchun A",4,IF(Atletas!L587="Outra Mão de Sul A",5,IF(Atletas!L587="Choylayfut B",6,IF(Atletas!L587="Hunggar B",7,IF(Atletas!L587="Wuzuquan B",8,IF(Atletas!L587="Wingchun B",9,IF(Atletas!L587="Outra Mão de Sul B",10,IF(Atletas!L587="Choylayfut C",11,IF(Atletas!L587="Hunggar C",12,IF(Atletas!L587="Wuzuquan C",13,IF(Atletas!L587="Wingchun C",14,IF(Atletas!L587="Outra Mão de Sul C",15,IF(Atletas!L587="Choylayfut D",16,IF(Atletas!L587="Hunggar D",17,IF(Atletas!L587="Wuzuquan D",18,IF(Atletas!L587="Wingchun D",19,IF(Atletas!L587="Outra Mão de Sul D",20,IF(Atletas!L587="Choylayfut E",21,IF(Atletas!L587="Hunggar E",22,IF(Atletas!L587="Wuzuquan E",23,IF(Atletas!L587="Wingchun E",24,IF(Atletas!L587="Outra Mão de Sul E",25,IF(Atletas!L587="Choylayfut F",26,IF(Atletas!L587="Hunggar F",27,IF(Atletas!L587="Wuzuquan F",28,IF(Atletas!L587="Wingchun F",29,IF(Atletas!L587="Outra Mão de Sul F",30,IF(Atletas!L587="Dishuquan A",31,IF(Atletas!L587="Dishuquan B",32,IF(Atletas!L587="Dishuquan C",33,IF(Atletas!L587="Dishuquan D",34,IF(Atletas!L587="Dishuquan E",35,IF(Atletas!L587="Dishuquan F",36,""))))))))))))))))))))))))))))))))))))))</f>
        <v/>
      </c>
      <c r="BS596" s="50" t="str">
        <f>IF(Atletas!M587="","",IF(Atletas!X587&lt;&gt;"",10000,0)+(IF(Atletas!B587="Feminino",1000,IF(Atletas!B587="Masculino",2000,""))+(IF(Atletas!M587="Chaquan A",101,IF(Atletas!M587="Emeiquan A",102,IF(Atletas!M587="Fanziquan A",103,IF(Atletas!M587="Huaquan A",104,IF(Atletas!M587="Hongquan A",105,IF(Atletas!M587="Paoquan A",106,IF(Atletas!M587="Piguaquan A",107,IF(Atletas!M587="Shaolinquan A",108,IF(Atletas!M587="Tanglangquan A",109,IF(Atletas!M587="Yingzhaoquan A",110,IF(Atletas!M587="Tongbeiquan A",111,IF(Atletas!M587="Wudangquan A",112,IF(Atletas!M587="Outros Estilos A",113,IF(Atletas!M587="Chaquan B",114,IF(Atletas!M587="Emeiquan B",115,IF(Atletas!M587="Fanziquan B",116,IF(Atletas!M587="Huaquan B",117,IF(Atletas!M587="Hongquan B",118,IF(Atletas!M587="Paoquan B",119,IF(Atletas!M587="Piguaquan B",120,IF(Atletas!M587="Shaolinquan B",121,IF(Atletas!M587="Tanglangquan B",122,IF(Atletas!M587="Yingzhaoquan B",123,IF(Atletas!M587="Tongbeiquan B",124,IF(Atletas!M587="Wudangquan B",125,IF(Atletas!M587="Outros Estilos B",126,IF(Atletas!M587="Chaquan C",127,IF(Atletas!M587="Emeiquan C",128,IF(Atletas!M587="Fanziquan C",129,IF(Atletas!M587="Huaquan C",130,IF(Atletas!M587="Hongquan C",131,IF(Atletas!M587="Paoquan C",132,IF(Atletas!M587="Piguaquan C",133,IF(Atletas!M587="Shaolinquan C",134,IF(Atletas!M587="Tanglangquan C",135,IF(Atletas!M587="Yingzhaoquan C",136,IF(Atletas!M587="Tongbeiquan C",137,IF(Atletas!M587="Wudangquan C",138,IF(Atletas!M587="Outros Estilos C",139,0))))))))))))))))))))))))))))))))))))))))))</f>
        <v/>
      </c>
      <c r="BT596" s="50" t="str">
        <f>IF(Atletas!M587="","",IF(Atletas!X587&lt;&gt;"",10000,0)+(IF(Atletas!B587="Feminino",1000,IF(Atletas!B587="Masculino",2000,""))+(IF(Atletas!M587="Chaquan D",140,IF(Atletas!M587="Emeiquan D",141,IF(Atletas!M587="Fanziquan D",142,IF(Atletas!M587="Huaquan D",143,IF(Atletas!M587="Hongquan D",144,IF(Atletas!M587="Paoquan D",145,IF(Atletas!M587="Piguaquan D",146,IF(Atletas!M587="Shaolinquan D",147,IF(Atletas!M587="Tanglangquan D",148,IF(Atletas!M587="Yingzhaoquan D",149,IF(Atletas!M587="Tongbeiquan D",150,IF(Atletas!M587="Wudangquan D",151,IF(Atletas!M587="Outros Estilos D",152,IF(Atletas!M587="Chaquan E",153,IF(Atletas!M587="Emeiquan E",154,IF(Atletas!M587="Fanziquan E",155,IF(Atletas!M587="Huaquan E",156,IF(Atletas!M587="Hongquan E",157,IF(Atletas!M587="Paoquan E",158,IF(Atletas!M587="Piguaquan E",159,IF(Atletas!M587="Shaolinquan E",160,IF(Atletas!M587="Tanglangquan E",161,IF(Atletas!M587="Yingzhaoquan E",162,IF(Atletas!M587="Tongbeiquan E",163,IF(Atletas!M587="Wudangquan E",164,IF(Atletas!M587="Outros Estilos E",165,IF(Atletas!M587="Chaquan F",166,IF(Atletas!M587="Emeiquan F",167,IF(Atletas!M587="Fanziquan F",168,IF(Atletas!M587="Huaquan F",169,IF(Atletas!M587="Hongquan F",170,IF(Atletas!M587="Paoquan F",171,IF(Atletas!M587="Piguaquan F",172,IF(Atletas!M587="Shaolinquan F",173,IF(Atletas!M587="Tanglangquan F",174,IF(Atletas!M587="Yingzhaoquan F",175,IF(Atletas!M587="Tongbeiquan F",176,IF(Atletas!M587="Wudangquan F",177,IF(Atletas!M587="Outros Estilos F",178,0))))))))))))))))))))))))))))))))))))))))))</f>
        <v/>
      </c>
      <c r="BU596" s="50" t="str">
        <f>IF(Atletas!N587="","",IF(Atletas!X587&lt;&gt;"",10000,0)+(IF(Atletas!B587="Feminino",1000,IF(Atletas!B587="Masculino",2000,""))+(IF(Atletas!N587="Ditangquan A",201,IF(Atletas!N587="Houquan A",202,IF(Atletas!N587="Zuiquan A",203,IF(Atletas!N587="Ditangquan B",204,IF(Atletas!N587="Houquan B",205,IF(Atletas!N587="Zuiquan B",206,IF(Atletas!N587="Ditangquan C",207,IF(Atletas!N587="Houquan C",208,IF(Atletas!N587="Zuiquan C",209,IF(Atletas!N587="Ditangquan D",210,IF(Atletas!N587="Houquan D",211,IF(Atletas!N587="Zuiquan D",212,IF(Atletas!N587="Ditangquan E",213,IF(Atletas!N587="Houquan E",214,IF(Atletas!N587="Zuiquan E",215,IF(Atletas!N587="Ditangquan F",216,IF(Atletas!N587="Houquan F",217,IF(Atletas!N587="Zuiquan F",218,"")))))))))))))))))))))</f>
        <v/>
      </c>
      <c r="BV596" s="50" t="str">
        <f>IF(Atletas!O587="","",IF(Atletas!X587&lt;&gt;"",10000,0)+IF(Atletas!B587="Feminino",1000,IF(Atletas!B587="Masculino",2000,""))+IF(Atletas!O587="Yang A",301,IF(Atletas!O587="Chen A",302,IF(Atletas!O587="Sun A",303,IF(Atletas!O587="Wu A",304,IF(Atletas!O587="Wu-Hao A",305,IF(Atletas!O587="Outro Taijiquan A",306,IF(Atletas!O587="Yang B",307,IF(Atletas!O587="Chen B",308,IF(Atletas!O587="Sun B",309,IF(Atletas!O587="Wu B",310,IF(Atletas!O587="Wu-Hao B",311,IF(Atletas!O587="Outro Taijiquan B",312,IF(Atletas!O587="Yang C",313,IF(Atletas!O587="Chen C",314,IF(Atletas!O587="Sun C",315,IF(Atletas!O587="Wu C",316,IF(Atletas!O587="Wu-Hao C",317,IF(Atletas!O587="Outro Taijiquan C",318,IF(Atletas!O587="Yang D",319,IF(Atletas!O587="Chen D",320,IF(Atletas!O587="Sun D",321,IF(Atletas!O587="Wu D",322,IF(Atletas!O587="Wu-Hao D",323,IF(Atletas!O587="Outro Taijiquan D",324,IF(Atletas!O587="Yang E",325,IF(Atletas!O587="Chen E",326,IF(Atletas!O587="Sun E",327,IF(Atletas!O587="Wu E",328,IF(Atletas!O587="Wu-Hao E",329,IF(Atletas!O587="Outro Taijiquan E",330,IF(Atletas!O587="Yang F",331,IF(Atletas!O587="Chen F",332,IF(Atletas!O587="Sun F",333,IF(Atletas!O587="Wu F",334,IF(Atletas!O587="Wu-Hao F",335,IF(Atletas!O587="Outro Taijiquan F",336,"")))))))))))))))))))))))))))))))))))))</f>
        <v/>
      </c>
      <c r="BW596" s="50" t="str">
        <f>IF(Atletas!P587="","",IF(Atletas!X587&lt;&gt;"",10000,0)+IF(Atletas!B587="Feminino",1000,IF(Atletas!B587="Masculino",2000,""))+IF(OR(Atletas!P587="Yang 26 A",Atletas!P587="Yang 40 A"),401,IF(OR(Atletas!P587="Chen 25 A",Atletas!P587="Chen 36 A",Atletas!P587="Chen 56 A"),402,IF(Atletas!P587="Sun 73 A",403,IF(Atletas!P587="Wu 45 A",404,IF(Atletas!P587="Wu-Hao 46 A",405,IF(OR(Atletas!P587="Taijiquan 16 A",Atletas!P587="Taijiquan 24 A",Atletas!P587="Taijiquan 32 A",Atletas!P587="Taijiquan 42 A"),406,IF(OR(Atletas!P587="Yang 26 B",Atletas!P587="Yang 40 B"),407,IF(OR(Atletas!P587="Chen 25 B",Atletas!P587="Chen 36 B",Atletas!P587="Chen 56 B"),408,IF(Atletas!P587="Sun 73 B",409,IF(Atletas!P587="Wu 45 B",410,IF(Atletas!P587="Wu-Hao 46 B",411,IF(OR(Atletas!P587="Taijiquan 16 B",Atletas!P587="Taijiquan 24 B",Atletas!P587="Taijiquan 32 B",Atletas!P587="Taijiquan 42 B"),412,IF(OR(Atletas!P587="Yang 26 C",Atletas!P587="Yang 40 C"),413,IF(OR(Atletas!P587="Chen 25 C",Atletas!P587="Chen 36 C",Atletas!P587="Chen 56 C"),414,IF(Atletas!P587="Sun 73 C",415,IF(Atletas!P587="Wu 45 C",416,IF(Atletas!P587="Wu-Hao 46 C",417,IF(OR(Atletas!P587="Taijiquan 16 C",Atletas!P587="Taijiquan 24 C",Atletas!P587="Taijiquan 32 C",Atletas!P587="Taijiquan 42 C"),418,0)))))))))))))))))))</f>
        <v/>
      </c>
      <c r="BX596" s="50" t="str">
        <f>IF(Atletas!P587="","",IF(Atletas!X587&lt;&gt;"",10000,0)+IF(Atletas!B587="Feminino",1000,IF(Atletas!B587="Masculino",2000,""))+IF(OR(Atletas!P587="Yang 26 D",Atletas!P587="Yang 40 D"),419,IF(OR(Atletas!P587="Chen 25 D",Atletas!P587="Chen 36 D",Atletas!P587="Chen 56 D"),420,IF(Atletas!P587="Sun 73 D",421,IF(Atletas!P587="Wu 45 D",422,IF(Atletas!P587="Wu-Hao 46 D",423,IF(OR(Atletas!P587="Taijiquan 16 D",Atletas!P587="Taijiquan 24 D",Atletas!P587="Taijiquan 32 D",Atletas!P587="Taijiquan 42 D"),424,IF(OR(Atletas!P587="Yang 26 E",Atletas!P587="Yang 40 E"),425,IF(OR(Atletas!P587="Chen 25 E",Atletas!P587="Chen 36 E",Atletas!P587="Chen 56 E"),426,IF(Atletas!P587="Sun 73 E",427,IF(Atletas!P587="Wu 45 E",428,IF(Atletas!P587="Wu-Hao 46 E",429,IF(OR(Atletas!P587="Taijiquan 16 E",Atletas!P587="Taijiquan 24 E",Atletas!P587="Taijiquan 32 E",Atletas!P587="Taijiquan 42 E"),430,IF(OR(Atletas!P587="Yang 26 F",Atletas!P587="Yang 40 F"),431,IF(OR(Atletas!P587="Chen 25 F",Atletas!P587="Chen 36 F",Atletas!P587="Chen 56 F"),432,IF(Atletas!P587="Sun 73 F",433,IF(Atletas!P587="Wu 45 F",434,IF(Atletas!P587="Wu-Hao 46 F",435,IF(OR(Atletas!P587="Taijiquan 16 F",Atletas!P587="Taijiquan 24 F",Atletas!P587="Taijiquan 32 F",Atletas!P587="Taijiquan 42 F"),436,0)))))))))))))))))))</f>
        <v/>
      </c>
      <c r="BY596" s="50" t="str">
        <f>IF(Atletas!Q587="","",IF(Atletas!X587&lt;&gt;"",10000,0)+IF(Atletas!B587="Feminino",1000,IF(Atletas!B587="Masculino",2000,""))+IF(Atletas!Q587="Xingyiquan A",501,IF(Atletas!Q587="Baguazhang A",502,IF(Atletas!Q587="Outro Estilo Interno A",503,IF(Atletas!Q587="Xingyiquan B",504,IF(Atletas!Q587="Baguazhang B",505,IF(Atletas!Q587="Outro Estilo Interno B",506,IF(Atletas!Q587="Xingyiquan C",507,IF(Atletas!Q587="Baguazhang C",508,IF(Atletas!Q587="Outro Estilo Interno C",509,IF(Atletas!Q587="Xingyiquan D",510,IF(Atletas!Q587="Baguazhang D",511,IF(Atletas!Q587="Outro Estilo Interno D",512,IF(Atletas!Q587="Xingyiquan E",513,IF(Atletas!Q587="Baguazhang E",514,IF(Atletas!Q587="Outro Estilo Interno E",515,IF(Atletas!Q587="Xingyiquan F",516,IF(Atletas!Q587="Baguazhang F",517,IF(Atletas!Q587="Outro Estilo Interno F",518, "")))))))))))))))))))</f>
        <v/>
      </c>
      <c r="BZ596" s="50" t="str">
        <f>IF(Atletas!R587="","",IF(Atletas!X587&lt;&gt;"",10000,0)+IF(Atletas!B587="Feminino",1000,IF(Atletas!B587="Masculino",2000,""))+IF(Atletas!R587="Dao A",601,IF(Atletas!R587="Jian A",602,IF(Atletas!R587="Bishou A",603,IF(Atletas!R587="Shanzi A",604,IF(Atletas!R587="Outra Arma Curta A",605,IF(Atletas!R587="Dao B",606,IF(Atletas!R587="Jian B",607,IF(Atletas!R587="Bishou B",608,IF(Atletas!R587="Shanzi B",609,IF(Atletas!R587="Outra Arma Curta B",610,IF(Atletas!R587="Dao C",611,IF(Atletas!R587="Jian C",612,IF(Atletas!R587="Bishou C",613,IF(Atletas!R587="Shanzi C",614,IF(Atletas!R587="Outra Arma Curta C",615,IF(Atletas!R587="Dao D",616,IF(Atletas!R587="Jian D",617,IF(Atletas!R587="Bishou D",618,IF(Atletas!R587="Shanzi D",619,IF(Atletas!R587="Outra Arma Curta D",620,IF(Atletas!R587="Dao E",621,IF(Atletas!R587="Jian E",622,IF(Atletas!R587="Bishou E",623,IF(Atletas!R587="Shanzi E",624,IF(Atletas!R587="Outra Arma Curta E",625,IF(Atletas!R587="Dao F",626,IF(Atletas!R587="Jian F",627,IF(Atletas!R587="Bishou F",628,IF(Atletas!R587="Shanzi F",629,IF(Atletas!R587="Outra Arma Curta F",630, "")))))))))))))))))))))))))))))))</f>
        <v/>
      </c>
      <c r="CA596" s="50" t="str">
        <f>IF(Atletas!S587="","",IF(Atletas!X587&lt;&gt;"",10000,0)+IF(Atletas!B587="Feminino",1000,IF(Atletas!B587="Masculino",2000,""))+IF(Atletas!S587="Gun A",701,IF(Atletas!S587="Qiang A",702,IF(Atletas!S587="Pudao / Guandao A",703,IF(Atletas!S587="Outra Arma Longa A",704,IF(Atletas!S587="Gun B",705,IF(Atletas!S587="Qiang B",706,IF(Atletas!S587="Pudao / Guandao B",707,IF(Atletas!S587="Outra Arma Longa B",708,IF(Atletas!S587="Gun C",709,IF(Atletas!S587="Qiang C",710,IF(Atletas!S587="Pudao / Guandao C",711,IF(Atletas!S587="Outra Arma Longa C",712,IF(Atletas!S587="Gun D",713,IF(Atletas!S587="Qiang D",714,IF(Atletas!S587="Pudao / Guandao D",715,IF(Atletas!S587="Outra Arma Longa D",716,IF(Atletas!S587="Gun E",717,IF(Atletas!S587="Qiang E",718,IF(Atletas!S587="Pudao / Guandao E",719,IF(Atletas!S587="Outra Arma Longa E",720,IF(Atletas!S587="Gun F",721,IF(Atletas!S587="Qiang F",722,IF(Atletas!S587="Pudao / Guandao F",723,IF(Atletas!S587="Outra Arma Longa F",724,"")))))))))))))))))))))))))</f>
        <v/>
      </c>
      <c r="CB596" s="50" t="str">
        <f>IF(Atletas!T587="","",IF(Atletas!X587&lt;&gt;"",10000,0)+IF(Atletas!B587="Feminino",1000,IF(Atletas!B587="Masculino",2000,""))+IF(Atletas!T587="Outra Arma Dupla A",801,IF(Atletas!T587="Arma Maleável A",802,IF(Atletas!T587="Outra Arma Dupla B",803,IF(Atletas!T587="Arma Maleável B",804,IF(Atletas!T587="Outra Arma Dupla C",805,IF(Atletas!T587="Arma Maleável C",806,IF(Atletas!T587="Outra Arma Dupla D",807,IF(Atletas!T587="Arma Maleável D",808,IF(Atletas!T587="Outra Arma Dupla E",809,IF(Atletas!T587="Arma Maleável E",810,IF(Atletas!T587="Outra Arma Dupla F",811,IF(Atletas!T587="Arma Maleável F",812,IF(Atletas!T587="Shuangdao A",813,IF(Atletas!T587="Shuangdao B",814,IF(Atletas!T587="Shuangdao C",815,IF(Atletas!T587="Shuangdao D",816,IF(Atletas!T587="Shuangdao E",817,IF(Atletas!T587="Shuangdao F",818,"")))))))))))))))))))</f>
        <v/>
      </c>
      <c r="CC596" s="50" t="str">
        <f>IF(Atletas!U587="","",IF(Atletas!X587&lt;&gt;"",10000,0)+IF(Atletas!B587="Feminino",1000,IF(Atletas!B587="Masculino",2000,""))+IF(OR(Atletas!U587="Taijijian Yang A",Atletas!U587="Taijijian Yang Standard A"),901,IF(OR(Atletas!U587="Taijijian Chen A", Atletas!U587="Taijijian Chen Standard A"),902,IF(Atletas!U587="Taijijian Sun A",903,IF(Atletas!U587="Taijijian Wu A",904,IF(Atletas!U587="Taijijian Wu-Hao A",905,IF(OR(Atletas!U587="Taijijian 32 A",Atletas!U587="Taijijian 42 A"),906,IF(OR(Atletas!U587="Taijijian Yang B",Atletas!U587="Taijijian Yang Standard B"),907,IF(OR(Atletas!U587="Taijijian Chen B", Atletas!U587="Taijijian Chen Standard B"),908,IF(Atletas!U587="Taijijian Sun B",909,IF(Atletas!U587="Taijijian Wu B",910,IF(Atletas!U587="Taijijian Wu-Hao B",911,IF(OR(Atletas!U587="Taijijian 32 B",Atletas!U587="Taijijian 42 B"),912,IF(OR(Atletas!U587="Taijijian Yang C",Atletas!U587="Taijijian Yang Standard C"),913,IF(OR(Atletas!U587="Taijijian Chen C", Atletas!U587="Taijijian Chen Standard C"),914,IF(Atletas!U587="Taijijian Sun C",915,IF(Atletas!U587="Taijijian Wu C",916,IF(Atletas!U587="Taijijian Wu-Hao C",917,IF(OR(Atletas!U587="Taijijian 32 C",Atletas!U587="Taijijian 42 C"),918,IF(OR(Atletas!U587="Taijijian Yang D",Atletas!U587="Taijijian Yang Standard D"),919,IF(OR(Atletas!U587="Taijijian Chen D", Atletas!U587="Taijijian Chen Standard D"),920,IF(Atletas!U587="Taijijian Sun D",921,IF(Atletas!U587="Taijijian Wu D",922,IF(Atletas!U587="Taijijian Wu-Hao D",923,IF(OR(Atletas!U587="Taijijian 32 D",Atletas!U587="Taijijian 42 D"),924,IF(OR(Atletas!U587="Taijijian Yang E",Atletas!U587="Taijijian Yang Standard E"),925,IF(OR(Atletas!U587="Taijijian Chen E", Atletas!U587="Taijijian Chen Standard E"),926,IF(Atletas!U587="Taijijian Sun E",927,IF(Atletas!U587="Taijijian Wu E",928,IF(Atletas!U587="Taijijian Wu-Hao E",929,IF(OR(Atletas!U587="Taijijian 32 E",Atletas!U587="Taijijian 42 E"),930,IF(OR(Atletas!U587="Taijijian Yang F",Atletas!U587="Taijijian Yang Standard F"),931,IF(OR(Atletas!U587="Taijijian Chen F", Atletas!U587="Taijijian Chen Standard F"),932,IF(Atletas!U587="Taijijian Sun F",933,IF(Atletas!U587="Taijijian Wu F",934,IF(Atletas!U587="Taijijian Wu-Hao F",935,IF(OR(Atletas!U587="Taijijian 32 F",Atletas!U587="Taijijian 42 F"),936,"")))))))))))))))))))))))))))))))))))))</f>
        <v/>
      </c>
      <c r="CD596" s="50" t="str">
        <f>IF(Atletas!V587="","",IF(Atletas!X587&lt;&gt;"",10000,0)+IF(Atletas!B587="Feminino",1000,IF(Atletas!B587="Masculino",2000,""))+IF(Atletas!V587="Taijidao A",937,IF(Atletas!V587="TaijiShanzi A",938,IF(Atletas!V587="Taijiqiang A",939,IF(Atletas!V587="Bagua de Arma A",940,IF(Atletas!V587="Xingyi de Arma A",941,IF(Atletas!V587="Taijidao B",942,IF(Atletas!V587="TaijiShanzi B",943,IF(Atletas!V587="Taijiqiang B",944,IF(Atletas!V587="Bagua de Arma B",945,IF(Atletas!V587="Xingyi de Arma B",946,IF(Atletas!V587="Taijidao C",947,IF(Atletas!V587="TaijiShanzi C",948,IF(Atletas!V587="Taijiqiang C",949,IF(Atletas!V587="Bagua de Arma C",950,IF(Atletas!V587="Xingyi de Arma C",951,IF(Atletas!V587="Taijidao D",952,IF(Atletas!V587="TaijiShanzi D",953,IF(Atletas!V587="Taijiqiang D",954,IF(Atletas!V587="Bagua de Arma D",955,IF(Atletas!V587="Xingyi de Arma D",956,IF(Atletas!V587="Taijidao E",957,IF(Atletas!V587="TaijiShanzi E",958,IF(Atletas!V587="Taijiqiang E",959,IF(Atletas!V587="Bagua de Arma E",960,IF(Atletas!V587="Xingyi de Arma E",961,IF(Atletas!V587="Taijidao F",962,IF(Atletas!V587="TaijiShanzi F",963,IF(Atletas!V587="Taijiqiang F",964,IF(Atletas!V587="Bagua de Arma F",965,IF(Atletas!V587="Xingyi de Arma F",966,"")))))))))))))))))))))))))))))))</f>
        <v/>
      </c>
      <c r="CM596" s="50" t="str">
        <f xml:space="preserve"> IF(Atletas!W587="","",IF(Atletas!W587="Duilian de Mãos BC - Equipe 1",1,IF(Atletas!W587="Duilian de Mãos BC - Equipe 2",2,IF(Atletas!W587="Duilian de Armas BC - Equipe 1",3,IF(Atletas!W587="Duilian de Armas BC - Equipe 2",4,IF(Atletas!W587="Duilian de Mãos DE - Equipe 1",5,IF(Atletas!W587="Duilian de Mãos DE - Equipe 2",6,IF(Atletas!W587="Duilian de Armas DE - Equipe 1",7,IF(Atletas!W587="Duilian de Armas DE - Equipe 2",8,IF(Atletas!W587="Duilian de Tuishou - Equipe 1",9,IF(Atletas!W587="Duilian de Tuishou - Equipe 2",10,IF(Atletas!W587="Grupo Externo ABC - Equipe 1",11,IF(Atletas!W587="Grupo Externo ABC - Equipe 2",12,IF(Atletas!W587="Grupo Interno ABC - Equipe 1",13,IF(Atletas!W587="Grupo Interno ABC - Equipe 2",14,IF(Atletas!W587="Grupo Externo DEF - Equipe 1",15,IF(Atletas!W587="Grupo Externo DEF - Equipe 2",16,IF(Atletas!W587="Grupo Interno DEF - Equipe 1",17,IF(Atletas!W587="Grupo Interno DEF - Equipe 2",18,"")))))))))))))))))))</f>
        <v/>
      </c>
    </row>
    <row r="597" spans="40:91">
      <c r="AN597" s="52" t="str">
        <f>IF(Atletas!D588="","",IF(Atletas!B588="Feminino",100,IF(Atletas!B588="Masculino",200,""))+(IF(Atletas!D588="Kids 30kg",1,IF(Atletas!D588="Kids 32kg",2, IF(Atletas!D588="Kids 34kg",3,IF(Atletas!D588="Kids 36kg",4,IF(Atletas!D588="Kids 39kg",5,IF(Atletas!D588="Kids 42kg",6,IF(Atletas!D588="Kids 45kg",7, IF(Atletas!D588="Infantil 39kg",8,IF(Atletas!D588="Infantil 42kg",9,IF(Atletas!D588="Infantil 45kg",10,IF(Atletas!D588="Infantil 48kg",11,IF(Atletas!D588="Infantil 52kg",12,IF(Atletas!D588="Infantil 56kg",13,IF(Atletas!D588="Infantil 60kg",14,IF(Atletas!D588="Juvenil 48kg",15,IF(Atletas!D588="Juvenil 52kg",16,IF(Atletas!D588="Juvenil 56kg",17,IF(Atletas!D588="Juvenil 60kg",18,IF(Atletas!D588="Juvenil 65kg",19,IF(Atletas!D588="Juvenil 70kg",20,IF(Atletas!D588="Juvenil 75kg",21,IF(Atletas!D588="Juvenil 80kg",22, IF(Atletas!D588="Juvenil 85kg",23,IF(Atletas!D588="Adulto 48kg",24,IF(Atletas!D588="Adulto 52kg",25,IF(Atletas!D588="Adulto 56kg",26,IF(Atletas!D588="Adulto 60kg",27,IF(Atletas!D588="Adulto 65kg",28,IF(Atletas!D588="Adulto 70kg",29,IF(Atletas!D588="Adulto 75kg",30,IF(Atletas!D588="Adulto 80kg",31,IF(Atletas!D588="Adulto 85kg",32,IF(Atletas!D588="Adulto 90kg",33,IF(Atletas!D588="Adulto 100kg",34, IF(Atletas!D588="Adulto +100kg",35,"")))))))))))))))))))))))))))))))))))))</f>
        <v/>
      </c>
      <c r="AS597" s="6" t="str">
        <f>IF(Atletas!E588="","",IF(Atletas!B588="Feminino",100,IF(Atletas!B588="Masculino",200,""))+(IF(Atletas!E588="Juvenil 44kg",1,IF(Atletas!E588="Juvenil 48kg",2,IF(Atletas!E588="Juvenil 52kg",3,IF(Atletas!E588="Juvenil 56kg",4,IF(Atletas!E588="Juvenil 60kg",5,IF(Atletas!E588="Juvenil 65kg",6,IF(Atletas!E588="Juvenil 70kg",7,IF(Atletas!E588="Juvenil 75kg",8,IF(Atletas!E588="Juvenil 82kg",9,IF(Atletas!E588="Juvenil 90kg",10,IF(Atletas!E588="Juvenil 100kg",11,IF(Atletas!E588="Adulto 48kg",12,IF(Atletas!E588="Adulto 52kg",13,IF(Atletas!E588="Adulto 56kg",14,IF(Atletas!E588="Adulto 60kg",15,IF(Atletas!E588="Adulto 65kg",16,IF(Atletas!E588="Adulto 70kg",17,IF(Atletas!E588="Adulto 75kg",18,IF(Atletas!E588="Adulto 82kg",19,IF(Atletas!E588="Adulto 90kg",20,IF(Atletas!E588="Adulto 100kg",21,IF(Atletas!E588="Adulto +100kg",22,""))))))))))))))))))))))))</f>
        <v/>
      </c>
      <c r="AX597" s="6" t="str">
        <f>IF(Atletas!F588="","",IF(Atletas!B588="Feminino",100,IF(Atletas!B588="Masculino",200,""))+(IF(Atletas!F588="Adulto 48kg",1,IF(Atletas!F588="Adulto 56kg",2,IF(Atletas!F588="Adulto 65kg",3,IF(Atletas!F588="Adulto 75kg",4,IF(Atletas!F588="Adulto +75kg",5,IF(Atletas!F588="Adulto 52kg",6,IF(Atletas!F588="Adulto 60kg",7,IF(Atletas!F588="Adulto 70kg",8,IF(Atletas!F588="Adulto 80kg",9,IF(Atletas!F588="Adulto 90kg",10,IF(Atletas!F588="Adulto +90kg",11,"")))))))))))))</f>
        <v/>
      </c>
      <c r="BC597" s="6" t="str">
        <f>IF(Atletas!G588="","",IF(Atletas!B588="Feminino",10,IF(Atletas!B588="Masculino",20,""))+(IF(Atletas!G588="Baduanjin A",1,IF(Atletas!G588="Baduanjin B",2))))</f>
        <v/>
      </c>
      <c r="BF597" s="52" t="str">
        <f>IF(Atletas!H588="","",IF(Atletas!B588="Feminino",100,IF(Atletas!B588="Masculino",200,""))+(IF(Atletas!H588="Changquan Mirim",1,IF(Atletas!H588="Nanquan Mirim",2,IF(Atletas!H588="Taijiquan Mirim",3,IF(Atletas!H588="Changquan Grupo C",4,IF(Atletas!H588="Nanquan Grupo C",5,IF(Atletas!H588="Taijiquan Grupo C",6,IF(Atletas!H588="Changquan Grupo B",7,IF(Atletas!H588="Nanquan Grupo B",8,IF(Atletas!H588="Taijiquan Grupo B",9,IF(Atletas!H588="Changquan Grupo A",10,IF(Atletas!H588="Nanquan Grupo A",11,IF(Atletas!H588="Taijiquan Grupo A",12,IF(Atletas!H588="Changquan Opcional",13,IF(Atletas!H588="Nanquan Opcional",14,IF(Atletas!H588="Taijiquan Opcional",15,IF(Atletas!H588="Changquan Adulto",16,IF(Atletas!H588="Nanquan Adulto",17,IF(Atletas!H588="Taijiquan Adulto",18,""))))))))))))))))))))</f>
        <v/>
      </c>
      <c r="BG597" s="52" t="str">
        <f>IF(Atletas!I588="","",IF(Atletas!B588="Feminino",100,IF(Atletas!B588="Masculino",200,""))+(IF(Atletas!I588="Daoshu Mirim",19,IF(Atletas!I588="Jianshu Mirim",20,IF(Atletas!I588="Nandao Mirim",21,IF(Atletas!I588="Taijijian Mirim",22,IF(Atletas!I588="Daoshu Grupo C",23,IF(Atletas!I588="Jianshu Grupo C",24,IF(Atletas!I588="Nandao Grupo C",25,IF(Atletas!I588="Taijijian Grupo C",26,IF(Atletas!I588="Daoshu Grupo B",27,IF(Atletas!I588="Jianshu Grupo B",28,IF(Atletas!I588="Nandao Grupo B",29,IF(Atletas!I588="Taijijian Grupo B",30,IF(Atletas!I588="Daoshu Grupo A",31,IF(Atletas!I588="Jianshu Grupo A",32,IF(Atletas!I588="Nandao Grupo A",33,IF(Atletas!I588="Taijijian Grupo A",34,IF(Atletas!I588="Daoshu Opcional",35,IF(Atletas!I588="Jianshu Opcional",36,IF(Atletas!I588="Nandao Opcional",37,IF(Atletas!I588="Taijijian Opcional",38,IF(Atletas!I588="Daoshu Adulto",39,IF(Atletas!I588="Jianshu Adulto",40,IF(Atletas!I588="Nandao Adulto",41,IF(Atletas!I588="Taijijian Adulto",42,""))))))))))))))))))))))))))</f>
        <v/>
      </c>
      <c r="BH597" s="52" t="str">
        <f>IF(Atletas!J588="","",IF(Atletas!B588="Feminino",100,IF(Atletas!B588="Masculino",200,""))+(IF(Atletas!J588="Gunshu Mirim",43,IF(Atletas!J588="Qiangshu Mirim",44,IF(Atletas!J588="Nangun Mirim",45,IF(Atletas!J588="Gunshu Grupo C",46,IF(Atletas!J588="Qiangshu Grupo C",47,IF(Atletas!J588="Nangun Grupo C",48,IF(Atletas!J588="Gunshu Grupo B",49,IF(Atletas!J588="Qiangshu Grupo B",50,IF(Atletas!J588="Nangun Grupo B",51,IF(Atletas!J588="Gunshu Grupo A",52,IF(Atletas!J588="Qiangshu Grupo A",53,IF(Atletas!J588="Nangun Grupo A",54,IF(Atletas!J588="Gunshu Opcional",55,IF(Atletas!J588="Qiangshu Opcional",56,IF(Atletas!J588="Nangun Opcional",57,IF(Atletas!J588="Gunshu Adulto",58,IF(Atletas!J588="Qiangshu Adulto",59,IF(Atletas!J588="Nangun Adulto",60,IF(Atletas!J588="Taijishan Grupo B",61,IF(Atletas!J588="Taijishan Grupo A",62,""))))))))))))))))))))))</f>
        <v/>
      </c>
      <c r="BM597" s="50" t="str">
        <f>IF(Atletas!K588="","",IF(Atletas!B588="Feminino",100,IF(Atletas!B588="Masculino",200,""))+(IF(Atletas!K588="Equipe 1 Grupo B",1,IF(Atletas!K588="Equipe 2 Grupo B",2,IF(Atletas!K588="Equipe 1 Grupo A",3,IF(Atletas!K588="Equipe 2 Grupo A",4,IF(Atletas!K588="Equipe 1 Adulto",5,IF(Atletas!K588="Equipe 2 Adulto",6,""))))))))</f>
        <v/>
      </c>
      <c r="BR597" s="50" t="str">
        <f>IF(Atletas!L588="","",IF(Atletas!X588&lt;&gt;"",10000,0)+(IF(Atletas!B588="Feminino",1000,IF(Atletas!B588="Masculino",2000,""))+IF(Atletas!L588="Choylayfut A",1,IF(Atletas!L588="Hunggar A",2,IF(Atletas!L588="Wuzuquan A",3,IF(Atletas!L588="Wingchun A",4,IF(Atletas!L588="Outra Mão de Sul A",5,IF(Atletas!L588="Choylayfut B",6,IF(Atletas!L588="Hunggar B",7,IF(Atletas!L588="Wuzuquan B",8,IF(Atletas!L588="Wingchun B",9,IF(Atletas!L588="Outra Mão de Sul B",10,IF(Atletas!L588="Choylayfut C",11,IF(Atletas!L588="Hunggar C",12,IF(Atletas!L588="Wuzuquan C",13,IF(Atletas!L588="Wingchun C",14,IF(Atletas!L588="Outra Mão de Sul C",15,IF(Atletas!L588="Choylayfut D",16,IF(Atletas!L588="Hunggar D",17,IF(Atletas!L588="Wuzuquan D",18,IF(Atletas!L588="Wingchun D",19,IF(Atletas!L588="Outra Mão de Sul D",20,IF(Atletas!L588="Choylayfut E",21,IF(Atletas!L588="Hunggar E",22,IF(Atletas!L588="Wuzuquan E",23,IF(Atletas!L588="Wingchun E",24,IF(Atletas!L588="Outra Mão de Sul E",25,IF(Atletas!L588="Choylayfut F",26,IF(Atletas!L588="Hunggar F",27,IF(Atletas!L588="Wuzuquan F",28,IF(Atletas!L588="Wingchun F",29,IF(Atletas!L588="Outra Mão de Sul F",30,IF(Atletas!L588="Dishuquan A",31,IF(Atletas!L588="Dishuquan B",32,IF(Atletas!L588="Dishuquan C",33,IF(Atletas!L588="Dishuquan D",34,IF(Atletas!L588="Dishuquan E",35,IF(Atletas!L588="Dishuquan F",36,""))))))))))))))))))))))))))))))))))))))</f>
        <v/>
      </c>
      <c r="BS597" s="50" t="str">
        <f>IF(Atletas!M588="","",IF(Atletas!X588&lt;&gt;"",10000,0)+(IF(Atletas!B588="Feminino",1000,IF(Atletas!B588="Masculino",2000,""))+(IF(Atletas!M588="Chaquan A",101,IF(Atletas!M588="Emeiquan A",102,IF(Atletas!M588="Fanziquan A",103,IF(Atletas!M588="Huaquan A",104,IF(Atletas!M588="Hongquan A",105,IF(Atletas!M588="Paoquan A",106,IF(Atletas!M588="Piguaquan A",107,IF(Atletas!M588="Shaolinquan A",108,IF(Atletas!M588="Tanglangquan A",109,IF(Atletas!M588="Yingzhaoquan A",110,IF(Atletas!M588="Tongbeiquan A",111,IF(Atletas!M588="Wudangquan A",112,IF(Atletas!M588="Outros Estilos A",113,IF(Atletas!M588="Chaquan B",114,IF(Atletas!M588="Emeiquan B",115,IF(Atletas!M588="Fanziquan B",116,IF(Atletas!M588="Huaquan B",117,IF(Atletas!M588="Hongquan B",118,IF(Atletas!M588="Paoquan B",119,IF(Atletas!M588="Piguaquan B",120,IF(Atletas!M588="Shaolinquan B",121,IF(Atletas!M588="Tanglangquan B",122,IF(Atletas!M588="Yingzhaoquan B",123,IF(Atletas!M588="Tongbeiquan B",124,IF(Atletas!M588="Wudangquan B",125,IF(Atletas!M588="Outros Estilos B",126,IF(Atletas!M588="Chaquan C",127,IF(Atletas!M588="Emeiquan C",128,IF(Atletas!M588="Fanziquan C",129,IF(Atletas!M588="Huaquan C",130,IF(Atletas!M588="Hongquan C",131,IF(Atletas!M588="Paoquan C",132,IF(Atletas!M588="Piguaquan C",133,IF(Atletas!M588="Shaolinquan C",134,IF(Atletas!M588="Tanglangquan C",135,IF(Atletas!M588="Yingzhaoquan C",136,IF(Atletas!M588="Tongbeiquan C",137,IF(Atletas!M588="Wudangquan C",138,IF(Atletas!M588="Outros Estilos C",139,0))))))))))))))))))))))))))))))))))))))))))</f>
        <v/>
      </c>
      <c r="BT597" s="50" t="str">
        <f>IF(Atletas!M588="","",IF(Atletas!X588&lt;&gt;"",10000,0)+(IF(Atletas!B588="Feminino",1000,IF(Atletas!B588="Masculino",2000,""))+(IF(Atletas!M588="Chaquan D",140,IF(Atletas!M588="Emeiquan D",141,IF(Atletas!M588="Fanziquan D",142,IF(Atletas!M588="Huaquan D",143,IF(Atletas!M588="Hongquan D",144,IF(Atletas!M588="Paoquan D",145,IF(Atletas!M588="Piguaquan D",146,IF(Atletas!M588="Shaolinquan D",147,IF(Atletas!M588="Tanglangquan D",148,IF(Atletas!M588="Yingzhaoquan D",149,IF(Atletas!M588="Tongbeiquan D",150,IF(Atletas!M588="Wudangquan D",151,IF(Atletas!M588="Outros Estilos D",152,IF(Atletas!M588="Chaquan E",153,IF(Atletas!M588="Emeiquan E",154,IF(Atletas!M588="Fanziquan E",155,IF(Atletas!M588="Huaquan E",156,IF(Atletas!M588="Hongquan E",157,IF(Atletas!M588="Paoquan E",158,IF(Atletas!M588="Piguaquan E",159,IF(Atletas!M588="Shaolinquan E",160,IF(Atletas!M588="Tanglangquan E",161,IF(Atletas!M588="Yingzhaoquan E",162,IF(Atletas!M588="Tongbeiquan E",163,IF(Atletas!M588="Wudangquan E",164,IF(Atletas!M588="Outros Estilos E",165,IF(Atletas!M588="Chaquan F",166,IF(Atletas!M588="Emeiquan F",167,IF(Atletas!M588="Fanziquan F",168,IF(Atletas!M588="Huaquan F",169,IF(Atletas!M588="Hongquan F",170,IF(Atletas!M588="Paoquan F",171,IF(Atletas!M588="Piguaquan F",172,IF(Atletas!M588="Shaolinquan F",173,IF(Atletas!M588="Tanglangquan F",174,IF(Atletas!M588="Yingzhaoquan F",175,IF(Atletas!M588="Tongbeiquan F",176,IF(Atletas!M588="Wudangquan F",177,IF(Atletas!M588="Outros Estilos F",178,0))))))))))))))))))))))))))))))))))))))))))</f>
        <v/>
      </c>
      <c r="BU597" s="50" t="str">
        <f>IF(Atletas!N588="","",IF(Atletas!X588&lt;&gt;"",10000,0)+(IF(Atletas!B588="Feminino",1000,IF(Atletas!B588="Masculino",2000,""))+(IF(Atletas!N588="Ditangquan A",201,IF(Atletas!N588="Houquan A",202,IF(Atletas!N588="Zuiquan A",203,IF(Atletas!N588="Ditangquan B",204,IF(Atletas!N588="Houquan B",205,IF(Atletas!N588="Zuiquan B",206,IF(Atletas!N588="Ditangquan C",207,IF(Atletas!N588="Houquan C",208,IF(Atletas!N588="Zuiquan C",209,IF(Atletas!N588="Ditangquan D",210,IF(Atletas!N588="Houquan D",211,IF(Atletas!N588="Zuiquan D",212,IF(Atletas!N588="Ditangquan E",213,IF(Atletas!N588="Houquan E",214,IF(Atletas!N588="Zuiquan E",215,IF(Atletas!N588="Ditangquan F",216,IF(Atletas!N588="Houquan F",217,IF(Atletas!N588="Zuiquan F",218,"")))))))))))))))))))))</f>
        <v/>
      </c>
      <c r="BV597" s="50" t="str">
        <f>IF(Atletas!O588="","",IF(Atletas!X588&lt;&gt;"",10000,0)+IF(Atletas!B588="Feminino",1000,IF(Atletas!B588="Masculino",2000,""))+IF(Atletas!O588="Yang A",301,IF(Atletas!O588="Chen A",302,IF(Atletas!O588="Sun A",303,IF(Atletas!O588="Wu A",304,IF(Atletas!O588="Wu-Hao A",305,IF(Atletas!O588="Outro Taijiquan A",306,IF(Atletas!O588="Yang B",307,IF(Atletas!O588="Chen B",308,IF(Atletas!O588="Sun B",309,IF(Atletas!O588="Wu B",310,IF(Atletas!O588="Wu-Hao B",311,IF(Atletas!O588="Outro Taijiquan B",312,IF(Atletas!O588="Yang C",313,IF(Atletas!O588="Chen C",314,IF(Atletas!O588="Sun C",315,IF(Atletas!O588="Wu C",316,IF(Atletas!O588="Wu-Hao C",317,IF(Atletas!O588="Outro Taijiquan C",318,IF(Atletas!O588="Yang D",319,IF(Atletas!O588="Chen D",320,IF(Atletas!O588="Sun D",321,IF(Atletas!O588="Wu D",322,IF(Atletas!O588="Wu-Hao D",323,IF(Atletas!O588="Outro Taijiquan D",324,IF(Atletas!O588="Yang E",325,IF(Atletas!O588="Chen E",326,IF(Atletas!O588="Sun E",327,IF(Atletas!O588="Wu E",328,IF(Atletas!O588="Wu-Hao E",329,IF(Atletas!O588="Outro Taijiquan E",330,IF(Atletas!O588="Yang F",331,IF(Atletas!O588="Chen F",332,IF(Atletas!O588="Sun F",333,IF(Atletas!O588="Wu F",334,IF(Atletas!O588="Wu-Hao F",335,IF(Atletas!O588="Outro Taijiquan F",336,"")))))))))))))))))))))))))))))))))))))</f>
        <v/>
      </c>
      <c r="BW597" s="50" t="str">
        <f>IF(Atletas!P588="","",IF(Atletas!X588&lt;&gt;"",10000,0)+IF(Atletas!B588="Feminino",1000,IF(Atletas!B588="Masculino",2000,""))+IF(OR(Atletas!P588="Yang 26 A",Atletas!P588="Yang 40 A"),401,IF(OR(Atletas!P588="Chen 25 A",Atletas!P588="Chen 36 A",Atletas!P588="Chen 56 A"),402,IF(Atletas!P588="Sun 73 A",403,IF(Atletas!P588="Wu 45 A",404,IF(Atletas!P588="Wu-Hao 46 A",405,IF(OR(Atletas!P588="Taijiquan 16 A",Atletas!P588="Taijiquan 24 A",Atletas!P588="Taijiquan 32 A",Atletas!P588="Taijiquan 42 A"),406,IF(OR(Atletas!P588="Yang 26 B",Atletas!P588="Yang 40 B"),407,IF(OR(Atletas!P588="Chen 25 B",Atletas!P588="Chen 36 B",Atletas!P588="Chen 56 B"),408,IF(Atletas!P588="Sun 73 B",409,IF(Atletas!P588="Wu 45 B",410,IF(Atletas!P588="Wu-Hao 46 B",411,IF(OR(Atletas!P588="Taijiquan 16 B",Atletas!P588="Taijiquan 24 B",Atletas!P588="Taijiquan 32 B",Atletas!P588="Taijiquan 42 B"),412,IF(OR(Atletas!P588="Yang 26 C",Atletas!P588="Yang 40 C"),413,IF(OR(Atletas!P588="Chen 25 C",Atletas!P588="Chen 36 C",Atletas!P588="Chen 56 C"),414,IF(Atletas!P588="Sun 73 C",415,IF(Atletas!P588="Wu 45 C",416,IF(Atletas!P588="Wu-Hao 46 C",417,IF(OR(Atletas!P588="Taijiquan 16 C",Atletas!P588="Taijiquan 24 C",Atletas!P588="Taijiquan 32 C",Atletas!P588="Taijiquan 42 C"),418,0)))))))))))))))))))</f>
        <v/>
      </c>
      <c r="BX597" s="50" t="str">
        <f>IF(Atletas!P588="","",IF(Atletas!X588&lt;&gt;"",10000,0)+IF(Atletas!B588="Feminino",1000,IF(Atletas!B588="Masculino",2000,""))+IF(OR(Atletas!P588="Yang 26 D",Atletas!P588="Yang 40 D"),419,IF(OR(Atletas!P588="Chen 25 D",Atletas!P588="Chen 36 D",Atletas!P588="Chen 56 D"),420,IF(Atletas!P588="Sun 73 D",421,IF(Atletas!P588="Wu 45 D",422,IF(Atletas!P588="Wu-Hao 46 D",423,IF(OR(Atletas!P588="Taijiquan 16 D",Atletas!P588="Taijiquan 24 D",Atletas!P588="Taijiquan 32 D",Atletas!P588="Taijiquan 42 D"),424,IF(OR(Atletas!P588="Yang 26 E",Atletas!P588="Yang 40 E"),425,IF(OR(Atletas!P588="Chen 25 E",Atletas!P588="Chen 36 E",Atletas!P588="Chen 56 E"),426,IF(Atletas!P588="Sun 73 E",427,IF(Atletas!P588="Wu 45 E",428,IF(Atletas!P588="Wu-Hao 46 E",429,IF(OR(Atletas!P588="Taijiquan 16 E",Atletas!P588="Taijiquan 24 E",Atletas!P588="Taijiquan 32 E",Atletas!P588="Taijiquan 42 E"),430,IF(OR(Atletas!P588="Yang 26 F",Atletas!P588="Yang 40 F"),431,IF(OR(Atletas!P588="Chen 25 F",Atletas!P588="Chen 36 F",Atletas!P588="Chen 56 F"),432,IF(Atletas!P588="Sun 73 F",433,IF(Atletas!P588="Wu 45 F",434,IF(Atletas!P588="Wu-Hao 46 F",435,IF(OR(Atletas!P588="Taijiquan 16 F",Atletas!P588="Taijiquan 24 F",Atletas!P588="Taijiquan 32 F",Atletas!P588="Taijiquan 42 F"),436,0)))))))))))))))))))</f>
        <v/>
      </c>
      <c r="BY597" s="50" t="str">
        <f>IF(Atletas!Q588="","",IF(Atletas!X588&lt;&gt;"",10000,0)+IF(Atletas!B588="Feminino",1000,IF(Atletas!B588="Masculino",2000,""))+IF(Atletas!Q588="Xingyiquan A",501,IF(Atletas!Q588="Baguazhang A",502,IF(Atletas!Q588="Outro Estilo Interno A",503,IF(Atletas!Q588="Xingyiquan B",504,IF(Atletas!Q588="Baguazhang B",505,IF(Atletas!Q588="Outro Estilo Interno B",506,IF(Atletas!Q588="Xingyiquan C",507,IF(Atletas!Q588="Baguazhang C",508,IF(Atletas!Q588="Outro Estilo Interno C",509,IF(Atletas!Q588="Xingyiquan D",510,IF(Atletas!Q588="Baguazhang D",511,IF(Atletas!Q588="Outro Estilo Interno D",512,IF(Atletas!Q588="Xingyiquan E",513,IF(Atletas!Q588="Baguazhang E",514,IF(Atletas!Q588="Outro Estilo Interno E",515,IF(Atletas!Q588="Xingyiquan F",516,IF(Atletas!Q588="Baguazhang F",517,IF(Atletas!Q588="Outro Estilo Interno F",518, "")))))))))))))))))))</f>
        <v/>
      </c>
      <c r="BZ597" s="50" t="str">
        <f>IF(Atletas!R588="","",IF(Atletas!X588&lt;&gt;"",10000,0)+IF(Atletas!B588="Feminino",1000,IF(Atletas!B588="Masculino",2000,""))+IF(Atletas!R588="Dao A",601,IF(Atletas!R588="Jian A",602,IF(Atletas!R588="Bishou A",603,IF(Atletas!R588="Shanzi A",604,IF(Atletas!R588="Outra Arma Curta A",605,IF(Atletas!R588="Dao B",606,IF(Atletas!R588="Jian B",607,IF(Atletas!R588="Bishou B",608,IF(Atletas!R588="Shanzi B",609,IF(Atletas!R588="Outra Arma Curta B",610,IF(Atletas!R588="Dao C",611,IF(Atletas!R588="Jian C",612,IF(Atletas!R588="Bishou C",613,IF(Atletas!R588="Shanzi C",614,IF(Atletas!R588="Outra Arma Curta C",615,IF(Atletas!R588="Dao D",616,IF(Atletas!R588="Jian D",617,IF(Atletas!R588="Bishou D",618,IF(Atletas!R588="Shanzi D",619,IF(Atletas!R588="Outra Arma Curta D",620,IF(Atletas!R588="Dao E",621,IF(Atletas!R588="Jian E",622,IF(Atletas!R588="Bishou E",623,IF(Atletas!R588="Shanzi E",624,IF(Atletas!R588="Outra Arma Curta E",625,IF(Atletas!R588="Dao F",626,IF(Atletas!R588="Jian F",627,IF(Atletas!R588="Bishou F",628,IF(Atletas!R588="Shanzi F",629,IF(Atletas!R588="Outra Arma Curta F",630, "")))))))))))))))))))))))))))))))</f>
        <v/>
      </c>
      <c r="CA597" s="50" t="str">
        <f>IF(Atletas!S588="","",IF(Atletas!X588&lt;&gt;"",10000,0)+IF(Atletas!B588="Feminino",1000,IF(Atletas!B588="Masculino",2000,""))+IF(Atletas!S588="Gun A",701,IF(Atletas!S588="Qiang A",702,IF(Atletas!S588="Pudao / Guandao A",703,IF(Atletas!S588="Outra Arma Longa A",704,IF(Atletas!S588="Gun B",705,IF(Atletas!S588="Qiang B",706,IF(Atletas!S588="Pudao / Guandao B",707,IF(Atletas!S588="Outra Arma Longa B",708,IF(Atletas!S588="Gun C",709,IF(Atletas!S588="Qiang C",710,IF(Atletas!S588="Pudao / Guandao C",711,IF(Atletas!S588="Outra Arma Longa C",712,IF(Atletas!S588="Gun D",713,IF(Atletas!S588="Qiang D",714,IF(Atletas!S588="Pudao / Guandao D",715,IF(Atletas!S588="Outra Arma Longa D",716,IF(Atletas!S588="Gun E",717,IF(Atletas!S588="Qiang E",718,IF(Atletas!S588="Pudao / Guandao E",719,IF(Atletas!S588="Outra Arma Longa E",720,IF(Atletas!S588="Gun F",721,IF(Atletas!S588="Qiang F",722,IF(Atletas!S588="Pudao / Guandao F",723,IF(Atletas!S588="Outra Arma Longa F",724,"")))))))))))))))))))))))))</f>
        <v/>
      </c>
      <c r="CB597" s="50" t="str">
        <f>IF(Atletas!T588="","",IF(Atletas!X588&lt;&gt;"",10000,0)+IF(Atletas!B588="Feminino",1000,IF(Atletas!B588="Masculino",2000,""))+IF(Atletas!T588="Outra Arma Dupla A",801,IF(Atletas!T588="Arma Maleável A",802,IF(Atletas!T588="Outra Arma Dupla B",803,IF(Atletas!T588="Arma Maleável B",804,IF(Atletas!T588="Outra Arma Dupla C",805,IF(Atletas!T588="Arma Maleável C",806,IF(Atletas!T588="Outra Arma Dupla D",807,IF(Atletas!T588="Arma Maleável D",808,IF(Atletas!T588="Outra Arma Dupla E",809,IF(Atletas!T588="Arma Maleável E",810,IF(Atletas!T588="Outra Arma Dupla F",811,IF(Atletas!T588="Arma Maleável F",812,IF(Atletas!T588="Shuangdao A",813,IF(Atletas!T588="Shuangdao B",814,IF(Atletas!T588="Shuangdao C",815,IF(Atletas!T588="Shuangdao D",816,IF(Atletas!T588="Shuangdao E",817,IF(Atletas!T588="Shuangdao F",818,"")))))))))))))))))))</f>
        <v/>
      </c>
      <c r="CC597" s="50" t="str">
        <f>IF(Atletas!U588="","",IF(Atletas!X588&lt;&gt;"",10000,0)+IF(Atletas!B588="Feminino",1000,IF(Atletas!B588="Masculino",2000,""))+IF(OR(Atletas!U588="Taijijian Yang A",Atletas!U588="Taijijian Yang Standard A"),901,IF(OR(Atletas!U588="Taijijian Chen A", Atletas!U588="Taijijian Chen Standard A"),902,IF(Atletas!U588="Taijijian Sun A",903,IF(Atletas!U588="Taijijian Wu A",904,IF(Atletas!U588="Taijijian Wu-Hao A",905,IF(OR(Atletas!U588="Taijijian 32 A",Atletas!U588="Taijijian 42 A"),906,IF(OR(Atletas!U588="Taijijian Yang B",Atletas!U588="Taijijian Yang Standard B"),907,IF(OR(Atletas!U588="Taijijian Chen B", Atletas!U588="Taijijian Chen Standard B"),908,IF(Atletas!U588="Taijijian Sun B",909,IF(Atletas!U588="Taijijian Wu B",910,IF(Atletas!U588="Taijijian Wu-Hao B",911,IF(OR(Atletas!U588="Taijijian 32 B",Atletas!U588="Taijijian 42 B"),912,IF(OR(Atletas!U588="Taijijian Yang C",Atletas!U588="Taijijian Yang Standard C"),913,IF(OR(Atletas!U588="Taijijian Chen C", Atletas!U588="Taijijian Chen Standard C"),914,IF(Atletas!U588="Taijijian Sun C",915,IF(Atletas!U588="Taijijian Wu C",916,IF(Atletas!U588="Taijijian Wu-Hao C",917,IF(OR(Atletas!U588="Taijijian 32 C",Atletas!U588="Taijijian 42 C"),918,IF(OR(Atletas!U588="Taijijian Yang D",Atletas!U588="Taijijian Yang Standard D"),919,IF(OR(Atletas!U588="Taijijian Chen D", Atletas!U588="Taijijian Chen Standard D"),920,IF(Atletas!U588="Taijijian Sun D",921,IF(Atletas!U588="Taijijian Wu D",922,IF(Atletas!U588="Taijijian Wu-Hao D",923,IF(OR(Atletas!U588="Taijijian 32 D",Atletas!U588="Taijijian 42 D"),924,IF(OR(Atletas!U588="Taijijian Yang E",Atletas!U588="Taijijian Yang Standard E"),925,IF(OR(Atletas!U588="Taijijian Chen E", Atletas!U588="Taijijian Chen Standard E"),926,IF(Atletas!U588="Taijijian Sun E",927,IF(Atletas!U588="Taijijian Wu E",928,IF(Atletas!U588="Taijijian Wu-Hao E",929,IF(OR(Atletas!U588="Taijijian 32 E",Atletas!U588="Taijijian 42 E"),930,IF(OR(Atletas!U588="Taijijian Yang F",Atletas!U588="Taijijian Yang Standard F"),931,IF(OR(Atletas!U588="Taijijian Chen F", Atletas!U588="Taijijian Chen Standard F"),932,IF(Atletas!U588="Taijijian Sun F",933,IF(Atletas!U588="Taijijian Wu F",934,IF(Atletas!U588="Taijijian Wu-Hao F",935,IF(OR(Atletas!U588="Taijijian 32 F",Atletas!U588="Taijijian 42 F"),936,"")))))))))))))))))))))))))))))))))))))</f>
        <v/>
      </c>
      <c r="CD597" s="50" t="str">
        <f>IF(Atletas!V588="","",IF(Atletas!X588&lt;&gt;"",10000,0)+IF(Atletas!B588="Feminino",1000,IF(Atletas!B588="Masculino",2000,""))+IF(Atletas!V588="Taijidao A",937,IF(Atletas!V588="TaijiShanzi A",938,IF(Atletas!V588="Taijiqiang A",939,IF(Atletas!V588="Bagua de Arma A",940,IF(Atletas!V588="Xingyi de Arma A",941,IF(Atletas!V588="Taijidao B",942,IF(Atletas!V588="TaijiShanzi B",943,IF(Atletas!V588="Taijiqiang B",944,IF(Atletas!V588="Bagua de Arma B",945,IF(Atletas!V588="Xingyi de Arma B",946,IF(Atletas!V588="Taijidao C",947,IF(Atletas!V588="TaijiShanzi C",948,IF(Atletas!V588="Taijiqiang C",949,IF(Atletas!V588="Bagua de Arma C",950,IF(Atletas!V588="Xingyi de Arma C",951,IF(Atletas!V588="Taijidao D",952,IF(Atletas!V588="TaijiShanzi D",953,IF(Atletas!V588="Taijiqiang D",954,IF(Atletas!V588="Bagua de Arma D",955,IF(Atletas!V588="Xingyi de Arma D",956,IF(Atletas!V588="Taijidao E",957,IF(Atletas!V588="TaijiShanzi E",958,IF(Atletas!V588="Taijiqiang E",959,IF(Atletas!V588="Bagua de Arma E",960,IF(Atletas!V588="Xingyi de Arma E",961,IF(Atletas!V588="Taijidao F",962,IF(Atletas!V588="TaijiShanzi F",963,IF(Atletas!V588="Taijiqiang F",964,IF(Atletas!V588="Bagua de Arma F",965,IF(Atletas!V588="Xingyi de Arma F",966,"")))))))))))))))))))))))))))))))</f>
        <v/>
      </c>
      <c r="CM597" s="50" t="str">
        <f xml:space="preserve"> IF(Atletas!W588="","",IF(Atletas!W588="Duilian de Mãos BC - Equipe 1",1,IF(Atletas!W588="Duilian de Mãos BC - Equipe 2",2,IF(Atletas!W588="Duilian de Armas BC - Equipe 1",3,IF(Atletas!W588="Duilian de Armas BC - Equipe 2",4,IF(Atletas!W588="Duilian de Mãos DE - Equipe 1",5,IF(Atletas!W588="Duilian de Mãos DE - Equipe 2",6,IF(Atletas!W588="Duilian de Armas DE - Equipe 1",7,IF(Atletas!W588="Duilian de Armas DE - Equipe 2",8,IF(Atletas!W588="Duilian de Tuishou - Equipe 1",9,IF(Atletas!W588="Duilian de Tuishou - Equipe 2",10,IF(Atletas!W588="Grupo Externo ABC - Equipe 1",11,IF(Atletas!W588="Grupo Externo ABC - Equipe 2",12,IF(Atletas!W588="Grupo Interno ABC - Equipe 1",13,IF(Atletas!W588="Grupo Interno ABC - Equipe 2",14,IF(Atletas!W588="Grupo Externo DEF - Equipe 1",15,IF(Atletas!W588="Grupo Externo DEF - Equipe 2",16,IF(Atletas!W588="Grupo Interno DEF - Equipe 1",17,IF(Atletas!W588="Grupo Interno DEF - Equipe 2",18,"")))))))))))))))))))</f>
        <v/>
      </c>
    </row>
    <row r="598" spans="40:91">
      <c r="AN598" s="52" t="str">
        <f>IF(Atletas!D589="","",IF(Atletas!B589="Feminino",100,IF(Atletas!B589="Masculino",200,""))+(IF(Atletas!D589="Kids 30kg",1,IF(Atletas!D589="Kids 32kg",2, IF(Atletas!D589="Kids 34kg",3,IF(Atletas!D589="Kids 36kg",4,IF(Atletas!D589="Kids 39kg",5,IF(Atletas!D589="Kids 42kg",6,IF(Atletas!D589="Kids 45kg",7, IF(Atletas!D589="Infantil 39kg",8,IF(Atletas!D589="Infantil 42kg",9,IF(Atletas!D589="Infantil 45kg",10,IF(Atletas!D589="Infantil 48kg",11,IF(Atletas!D589="Infantil 52kg",12,IF(Atletas!D589="Infantil 56kg",13,IF(Atletas!D589="Infantil 60kg",14,IF(Atletas!D589="Juvenil 48kg",15,IF(Atletas!D589="Juvenil 52kg",16,IF(Atletas!D589="Juvenil 56kg",17,IF(Atletas!D589="Juvenil 60kg",18,IF(Atletas!D589="Juvenil 65kg",19,IF(Atletas!D589="Juvenil 70kg",20,IF(Atletas!D589="Juvenil 75kg",21,IF(Atletas!D589="Juvenil 80kg",22, IF(Atletas!D589="Juvenil 85kg",23,IF(Atletas!D589="Adulto 48kg",24,IF(Atletas!D589="Adulto 52kg",25,IF(Atletas!D589="Adulto 56kg",26,IF(Atletas!D589="Adulto 60kg",27,IF(Atletas!D589="Adulto 65kg",28,IF(Atletas!D589="Adulto 70kg",29,IF(Atletas!D589="Adulto 75kg",30,IF(Atletas!D589="Adulto 80kg",31,IF(Atletas!D589="Adulto 85kg",32,IF(Atletas!D589="Adulto 90kg",33,IF(Atletas!D589="Adulto 100kg",34, IF(Atletas!D589="Adulto +100kg",35,"")))))))))))))))))))))))))))))))))))))</f>
        <v/>
      </c>
      <c r="AS598" s="6" t="str">
        <f>IF(Atletas!E589="","",IF(Atletas!B589="Feminino",100,IF(Atletas!B589="Masculino",200,""))+(IF(Atletas!E589="Juvenil 44kg",1,IF(Atletas!E589="Juvenil 48kg",2,IF(Atletas!E589="Juvenil 52kg",3,IF(Atletas!E589="Juvenil 56kg",4,IF(Atletas!E589="Juvenil 60kg",5,IF(Atletas!E589="Juvenil 65kg",6,IF(Atletas!E589="Juvenil 70kg",7,IF(Atletas!E589="Juvenil 75kg",8,IF(Atletas!E589="Juvenil 82kg",9,IF(Atletas!E589="Juvenil 90kg",10,IF(Atletas!E589="Juvenil 100kg",11,IF(Atletas!E589="Adulto 48kg",12,IF(Atletas!E589="Adulto 52kg",13,IF(Atletas!E589="Adulto 56kg",14,IF(Atletas!E589="Adulto 60kg",15,IF(Atletas!E589="Adulto 65kg",16,IF(Atletas!E589="Adulto 70kg",17,IF(Atletas!E589="Adulto 75kg",18,IF(Atletas!E589="Adulto 82kg",19,IF(Atletas!E589="Adulto 90kg",20,IF(Atletas!E589="Adulto 100kg",21,IF(Atletas!E589="Adulto +100kg",22,""))))))))))))))))))))))))</f>
        <v/>
      </c>
      <c r="AX598" s="6" t="str">
        <f>IF(Atletas!F589="","",IF(Atletas!B589="Feminino",100,IF(Atletas!B589="Masculino",200,""))+(IF(Atletas!F589="Adulto 48kg",1,IF(Atletas!F589="Adulto 56kg",2,IF(Atletas!F589="Adulto 65kg",3,IF(Atletas!F589="Adulto 75kg",4,IF(Atletas!F589="Adulto +75kg",5,IF(Atletas!F589="Adulto 52kg",6,IF(Atletas!F589="Adulto 60kg",7,IF(Atletas!F589="Adulto 70kg",8,IF(Atletas!F589="Adulto 80kg",9,IF(Atletas!F589="Adulto 90kg",10,IF(Atletas!F589="Adulto +90kg",11,"")))))))))))))</f>
        <v/>
      </c>
      <c r="BC598" s="6" t="str">
        <f>IF(Atletas!G589="","",IF(Atletas!B589="Feminino",10,IF(Atletas!B589="Masculino",20,""))+(IF(Atletas!G589="Baduanjin A",1,IF(Atletas!G589="Baduanjin B",2))))</f>
        <v/>
      </c>
      <c r="BF598" s="52" t="str">
        <f>IF(Atletas!H589="","",IF(Atletas!B589="Feminino",100,IF(Atletas!B589="Masculino",200,""))+(IF(Atletas!H589="Changquan Mirim",1,IF(Atletas!H589="Nanquan Mirim",2,IF(Atletas!H589="Taijiquan Mirim",3,IF(Atletas!H589="Changquan Grupo C",4,IF(Atletas!H589="Nanquan Grupo C",5,IF(Atletas!H589="Taijiquan Grupo C",6,IF(Atletas!H589="Changquan Grupo B",7,IF(Atletas!H589="Nanquan Grupo B",8,IF(Atletas!H589="Taijiquan Grupo B",9,IF(Atletas!H589="Changquan Grupo A",10,IF(Atletas!H589="Nanquan Grupo A",11,IF(Atletas!H589="Taijiquan Grupo A",12,IF(Atletas!H589="Changquan Opcional",13,IF(Atletas!H589="Nanquan Opcional",14,IF(Atletas!H589="Taijiquan Opcional",15,IF(Atletas!H589="Changquan Adulto",16,IF(Atletas!H589="Nanquan Adulto",17,IF(Atletas!H589="Taijiquan Adulto",18,""))))))))))))))))))))</f>
        <v/>
      </c>
      <c r="BG598" s="52" t="str">
        <f>IF(Atletas!I589="","",IF(Atletas!B589="Feminino",100,IF(Atletas!B589="Masculino",200,""))+(IF(Atletas!I589="Daoshu Mirim",19,IF(Atletas!I589="Jianshu Mirim",20,IF(Atletas!I589="Nandao Mirim",21,IF(Atletas!I589="Taijijian Mirim",22,IF(Atletas!I589="Daoshu Grupo C",23,IF(Atletas!I589="Jianshu Grupo C",24,IF(Atletas!I589="Nandao Grupo C",25,IF(Atletas!I589="Taijijian Grupo C",26,IF(Atletas!I589="Daoshu Grupo B",27,IF(Atletas!I589="Jianshu Grupo B",28,IF(Atletas!I589="Nandao Grupo B",29,IF(Atletas!I589="Taijijian Grupo B",30,IF(Atletas!I589="Daoshu Grupo A",31,IF(Atletas!I589="Jianshu Grupo A",32,IF(Atletas!I589="Nandao Grupo A",33,IF(Atletas!I589="Taijijian Grupo A",34,IF(Atletas!I589="Daoshu Opcional",35,IF(Atletas!I589="Jianshu Opcional",36,IF(Atletas!I589="Nandao Opcional",37,IF(Atletas!I589="Taijijian Opcional",38,IF(Atletas!I589="Daoshu Adulto",39,IF(Atletas!I589="Jianshu Adulto",40,IF(Atletas!I589="Nandao Adulto",41,IF(Atletas!I589="Taijijian Adulto",42,""))))))))))))))))))))))))))</f>
        <v/>
      </c>
      <c r="BH598" s="52" t="str">
        <f>IF(Atletas!J589="","",IF(Atletas!B589="Feminino",100,IF(Atletas!B589="Masculino",200,""))+(IF(Atletas!J589="Gunshu Mirim",43,IF(Atletas!J589="Qiangshu Mirim",44,IF(Atletas!J589="Nangun Mirim",45,IF(Atletas!J589="Gunshu Grupo C",46,IF(Atletas!J589="Qiangshu Grupo C",47,IF(Atletas!J589="Nangun Grupo C",48,IF(Atletas!J589="Gunshu Grupo B",49,IF(Atletas!J589="Qiangshu Grupo B",50,IF(Atletas!J589="Nangun Grupo B",51,IF(Atletas!J589="Gunshu Grupo A",52,IF(Atletas!J589="Qiangshu Grupo A",53,IF(Atletas!J589="Nangun Grupo A",54,IF(Atletas!J589="Gunshu Opcional",55,IF(Atletas!J589="Qiangshu Opcional",56,IF(Atletas!J589="Nangun Opcional",57,IF(Atletas!J589="Gunshu Adulto",58,IF(Atletas!J589="Qiangshu Adulto",59,IF(Atletas!J589="Nangun Adulto",60,IF(Atletas!J589="Taijishan Grupo B",61,IF(Atletas!J589="Taijishan Grupo A",62,""))))))))))))))))))))))</f>
        <v/>
      </c>
      <c r="BM598" s="50" t="str">
        <f>IF(Atletas!K589="","",IF(Atletas!B589="Feminino",100,IF(Atletas!B589="Masculino",200,""))+(IF(Atletas!K589="Equipe 1 Grupo B",1,IF(Atletas!K589="Equipe 2 Grupo B",2,IF(Atletas!K589="Equipe 1 Grupo A",3,IF(Atletas!K589="Equipe 2 Grupo A",4,IF(Atletas!K589="Equipe 1 Adulto",5,IF(Atletas!K589="Equipe 2 Adulto",6,""))))))))</f>
        <v/>
      </c>
      <c r="BR598" s="50" t="str">
        <f>IF(Atletas!L589="","",IF(Atletas!X589&lt;&gt;"",10000,0)+(IF(Atletas!B589="Feminino",1000,IF(Atletas!B589="Masculino",2000,""))+IF(Atletas!L589="Choylayfut A",1,IF(Atletas!L589="Hunggar A",2,IF(Atletas!L589="Wuzuquan A",3,IF(Atletas!L589="Wingchun A",4,IF(Atletas!L589="Outra Mão de Sul A",5,IF(Atletas!L589="Choylayfut B",6,IF(Atletas!L589="Hunggar B",7,IF(Atletas!L589="Wuzuquan B",8,IF(Atletas!L589="Wingchun B",9,IF(Atletas!L589="Outra Mão de Sul B",10,IF(Atletas!L589="Choylayfut C",11,IF(Atletas!L589="Hunggar C",12,IF(Atletas!L589="Wuzuquan C",13,IF(Atletas!L589="Wingchun C",14,IF(Atletas!L589="Outra Mão de Sul C",15,IF(Atletas!L589="Choylayfut D",16,IF(Atletas!L589="Hunggar D",17,IF(Atletas!L589="Wuzuquan D",18,IF(Atletas!L589="Wingchun D",19,IF(Atletas!L589="Outra Mão de Sul D",20,IF(Atletas!L589="Choylayfut E",21,IF(Atletas!L589="Hunggar E",22,IF(Atletas!L589="Wuzuquan E",23,IF(Atletas!L589="Wingchun E",24,IF(Atletas!L589="Outra Mão de Sul E",25,IF(Atletas!L589="Choylayfut F",26,IF(Atletas!L589="Hunggar F",27,IF(Atletas!L589="Wuzuquan F",28,IF(Atletas!L589="Wingchun F",29,IF(Atletas!L589="Outra Mão de Sul F",30,IF(Atletas!L589="Dishuquan A",31,IF(Atletas!L589="Dishuquan B",32,IF(Atletas!L589="Dishuquan C",33,IF(Atletas!L589="Dishuquan D",34,IF(Atletas!L589="Dishuquan E",35,IF(Atletas!L589="Dishuquan F",36,""))))))))))))))))))))))))))))))))))))))</f>
        <v/>
      </c>
      <c r="BS598" s="50" t="str">
        <f>IF(Atletas!M589="","",IF(Atletas!X589&lt;&gt;"",10000,0)+(IF(Atletas!B589="Feminino",1000,IF(Atletas!B589="Masculino",2000,""))+(IF(Atletas!M589="Chaquan A",101,IF(Atletas!M589="Emeiquan A",102,IF(Atletas!M589="Fanziquan A",103,IF(Atletas!M589="Huaquan A",104,IF(Atletas!M589="Hongquan A",105,IF(Atletas!M589="Paoquan A",106,IF(Atletas!M589="Piguaquan A",107,IF(Atletas!M589="Shaolinquan A",108,IF(Atletas!M589="Tanglangquan A",109,IF(Atletas!M589="Yingzhaoquan A",110,IF(Atletas!M589="Tongbeiquan A",111,IF(Atletas!M589="Wudangquan A",112,IF(Atletas!M589="Outros Estilos A",113,IF(Atletas!M589="Chaquan B",114,IF(Atletas!M589="Emeiquan B",115,IF(Atletas!M589="Fanziquan B",116,IF(Atletas!M589="Huaquan B",117,IF(Atletas!M589="Hongquan B",118,IF(Atletas!M589="Paoquan B",119,IF(Atletas!M589="Piguaquan B",120,IF(Atletas!M589="Shaolinquan B",121,IF(Atletas!M589="Tanglangquan B",122,IF(Atletas!M589="Yingzhaoquan B",123,IF(Atletas!M589="Tongbeiquan B",124,IF(Atletas!M589="Wudangquan B",125,IF(Atletas!M589="Outros Estilos B",126,IF(Atletas!M589="Chaquan C",127,IF(Atletas!M589="Emeiquan C",128,IF(Atletas!M589="Fanziquan C",129,IF(Atletas!M589="Huaquan C",130,IF(Atletas!M589="Hongquan C",131,IF(Atletas!M589="Paoquan C",132,IF(Atletas!M589="Piguaquan C",133,IF(Atletas!M589="Shaolinquan C",134,IF(Atletas!M589="Tanglangquan C",135,IF(Atletas!M589="Yingzhaoquan C",136,IF(Atletas!M589="Tongbeiquan C",137,IF(Atletas!M589="Wudangquan C",138,IF(Atletas!M589="Outros Estilos C",139,0))))))))))))))))))))))))))))))))))))))))))</f>
        <v/>
      </c>
      <c r="BT598" s="50" t="str">
        <f>IF(Atletas!M589="","",IF(Atletas!X589&lt;&gt;"",10000,0)+(IF(Atletas!B589="Feminino",1000,IF(Atletas!B589="Masculino",2000,""))+(IF(Atletas!M589="Chaquan D",140,IF(Atletas!M589="Emeiquan D",141,IF(Atletas!M589="Fanziquan D",142,IF(Atletas!M589="Huaquan D",143,IF(Atletas!M589="Hongquan D",144,IF(Atletas!M589="Paoquan D",145,IF(Atletas!M589="Piguaquan D",146,IF(Atletas!M589="Shaolinquan D",147,IF(Atletas!M589="Tanglangquan D",148,IF(Atletas!M589="Yingzhaoquan D",149,IF(Atletas!M589="Tongbeiquan D",150,IF(Atletas!M589="Wudangquan D",151,IF(Atletas!M589="Outros Estilos D",152,IF(Atletas!M589="Chaquan E",153,IF(Atletas!M589="Emeiquan E",154,IF(Atletas!M589="Fanziquan E",155,IF(Atletas!M589="Huaquan E",156,IF(Atletas!M589="Hongquan E",157,IF(Atletas!M589="Paoquan E",158,IF(Atletas!M589="Piguaquan E",159,IF(Atletas!M589="Shaolinquan E",160,IF(Atletas!M589="Tanglangquan E",161,IF(Atletas!M589="Yingzhaoquan E",162,IF(Atletas!M589="Tongbeiquan E",163,IF(Atletas!M589="Wudangquan E",164,IF(Atletas!M589="Outros Estilos E",165,IF(Atletas!M589="Chaquan F",166,IF(Atletas!M589="Emeiquan F",167,IF(Atletas!M589="Fanziquan F",168,IF(Atletas!M589="Huaquan F",169,IF(Atletas!M589="Hongquan F",170,IF(Atletas!M589="Paoquan F",171,IF(Atletas!M589="Piguaquan F",172,IF(Atletas!M589="Shaolinquan F",173,IF(Atletas!M589="Tanglangquan F",174,IF(Atletas!M589="Yingzhaoquan F",175,IF(Atletas!M589="Tongbeiquan F",176,IF(Atletas!M589="Wudangquan F",177,IF(Atletas!M589="Outros Estilos F",178,0))))))))))))))))))))))))))))))))))))))))))</f>
        <v/>
      </c>
      <c r="BU598" s="50" t="str">
        <f>IF(Atletas!N589="","",IF(Atletas!X589&lt;&gt;"",10000,0)+(IF(Atletas!B589="Feminino",1000,IF(Atletas!B589="Masculino",2000,""))+(IF(Atletas!N589="Ditangquan A",201,IF(Atletas!N589="Houquan A",202,IF(Atletas!N589="Zuiquan A",203,IF(Atletas!N589="Ditangquan B",204,IF(Atletas!N589="Houquan B",205,IF(Atletas!N589="Zuiquan B",206,IF(Atletas!N589="Ditangquan C",207,IF(Atletas!N589="Houquan C",208,IF(Atletas!N589="Zuiquan C",209,IF(Atletas!N589="Ditangquan D",210,IF(Atletas!N589="Houquan D",211,IF(Atletas!N589="Zuiquan D",212,IF(Atletas!N589="Ditangquan E",213,IF(Atletas!N589="Houquan E",214,IF(Atletas!N589="Zuiquan E",215,IF(Atletas!N589="Ditangquan F",216,IF(Atletas!N589="Houquan F",217,IF(Atletas!N589="Zuiquan F",218,"")))))))))))))))))))))</f>
        <v/>
      </c>
      <c r="BV598" s="50" t="str">
        <f>IF(Atletas!O589="","",IF(Atletas!X589&lt;&gt;"",10000,0)+IF(Atletas!B589="Feminino",1000,IF(Atletas!B589="Masculino",2000,""))+IF(Atletas!O589="Yang A",301,IF(Atletas!O589="Chen A",302,IF(Atletas!O589="Sun A",303,IF(Atletas!O589="Wu A",304,IF(Atletas!O589="Wu-Hao A",305,IF(Atletas!O589="Outro Taijiquan A",306,IF(Atletas!O589="Yang B",307,IF(Atletas!O589="Chen B",308,IF(Atletas!O589="Sun B",309,IF(Atletas!O589="Wu B",310,IF(Atletas!O589="Wu-Hao B",311,IF(Atletas!O589="Outro Taijiquan B",312,IF(Atletas!O589="Yang C",313,IF(Atletas!O589="Chen C",314,IF(Atletas!O589="Sun C",315,IF(Atletas!O589="Wu C",316,IF(Atletas!O589="Wu-Hao C",317,IF(Atletas!O589="Outro Taijiquan C",318,IF(Atletas!O589="Yang D",319,IF(Atletas!O589="Chen D",320,IF(Atletas!O589="Sun D",321,IF(Atletas!O589="Wu D",322,IF(Atletas!O589="Wu-Hao D",323,IF(Atletas!O589="Outro Taijiquan D",324,IF(Atletas!O589="Yang E",325,IF(Atletas!O589="Chen E",326,IF(Atletas!O589="Sun E",327,IF(Atletas!O589="Wu E",328,IF(Atletas!O589="Wu-Hao E",329,IF(Atletas!O589="Outro Taijiquan E",330,IF(Atletas!O589="Yang F",331,IF(Atletas!O589="Chen F",332,IF(Atletas!O589="Sun F",333,IF(Atletas!O589="Wu F",334,IF(Atletas!O589="Wu-Hao F",335,IF(Atletas!O589="Outro Taijiquan F",336,"")))))))))))))))))))))))))))))))))))))</f>
        <v/>
      </c>
      <c r="BW598" s="50" t="str">
        <f>IF(Atletas!P589="","",IF(Atletas!X589&lt;&gt;"",10000,0)+IF(Atletas!B589="Feminino",1000,IF(Atletas!B589="Masculino",2000,""))+IF(OR(Atletas!P589="Yang 26 A",Atletas!P589="Yang 40 A"),401,IF(OR(Atletas!P589="Chen 25 A",Atletas!P589="Chen 36 A",Atletas!P589="Chen 56 A"),402,IF(Atletas!P589="Sun 73 A",403,IF(Atletas!P589="Wu 45 A",404,IF(Atletas!P589="Wu-Hao 46 A",405,IF(OR(Atletas!P589="Taijiquan 16 A",Atletas!P589="Taijiquan 24 A",Atletas!P589="Taijiquan 32 A",Atletas!P589="Taijiquan 42 A"),406,IF(OR(Atletas!P589="Yang 26 B",Atletas!P589="Yang 40 B"),407,IF(OR(Atletas!P589="Chen 25 B",Atletas!P589="Chen 36 B",Atletas!P589="Chen 56 B"),408,IF(Atletas!P589="Sun 73 B",409,IF(Atletas!P589="Wu 45 B",410,IF(Atletas!P589="Wu-Hao 46 B",411,IF(OR(Atletas!P589="Taijiquan 16 B",Atletas!P589="Taijiquan 24 B",Atletas!P589="Taijiquan 32 B",Atletas!P589="Taijiquan 42 B"),412,IF(OR(Atletas!P589="Yang 26 C",Atletas!P589="Yang 40 C"),413,IF(OR(Atletas!P589="Chen 25 C",Atletas!P589="Chen 36 C",Atletas!P589="Chen 56 C"),414,IF(Atletas!P589="Sun 73 C",415,IF(Atletas!P589="Wu 45 C",416,IF(Atletas!P589="Wu-Hao 46 C",417,IF(OR(Atletas!P589="Taijiquan 16 C",Atletas!P589="Taijiquan 24 C",Atletas!P589="Taijiquan 32 C",Atletas!P589="Taijiquan 42 C"),418,0)))))))))))))))))))</f>
        <v/>
      </c>
      <c r="BX598" s="50" t="str">
        <f>IF(Atletas!P589="","",IF(Atletas!X589&lt;&gt;"",10000,0)+IF(Atletas!B589="Feminino",1000,IF(Atletas!B589="Masculino",2000,""))+IF(OR(Atletas!P589="Yang 26 D",Atletas!P589="Yang 40 D"),419,IF(OR(Atletas!P589="Chen 25 D",Atletas!P589="Chen 36 D",Atletas!P589="Chen 56 D"),420,IF(Atletas!P589="Sun 73 D",421,IF(Atletas!P589="Wu 45 D",422,IF(Atletas!P589="Wu-Hao 46 D",423,IF(OR(Atletas!P589="Taijiquan 16 D",Atletas!P589="Taijiquan 24 D",Atletas!P589="Taijiquan 32 D",Atletas!P589="Taijiquan 42 D"),424,IF(OR(Atletas!P589="Yang 26 E",Atletas!P589="Yang 40 E"),425,IF(OR(Atletas!P589="Chen 25 E",Atletas!P589="Chen 36 E",Atletas!P589="Chen 56 E"),426,IF(Atletas!P589="Sun 73 E",427,IF(Atletas!P589="Wu 45 E",428,IF(Atletas!P589="Wu-Hao 46 E",429,IF(OR(Atletas!P589="Taijiquan 16 E",Atletas!P589="Taijiquan 24 E",Atletas!P589="Taijiquan 32 E",Atletas!P589="Taijiquan 42 E"),430,IF(OR(Atletas!P589="Yang 26 F",Atletas!P589="Yang 40 F"),431,IF(OR(Atletas!P589="Chen 25 F",Atletas!P589="Chen 36 F",Atletas!P589="Chen 56 F"),432,IF(Atletas!P589="Sun 73 F",433,IF(Atletas!P589="Wu 45 F",434,IF(Atletas!P589="Wu-Hao 46 F",435,IF(OR(Atletas!P589="Taijiquan 16 F",Atletas!P589="Taijiquan 24 F",Atletas!P589="Taijiquan 32 F",Atletas!P589="Taijiquan 42 F"),436,0)))))))))))))))))))</f>
        <v/>
      </c>
      <c r="BY598" s="50" t="str">
        <f>IF(Atletas!Q589="","",IF(Atletas!X589&lt;&gt;"",10000,0)+IF(Atletas!B589="Feminino",1000,IF(Atletas!B589="Masculino",2000,""))+IF(Atletas!Q589="Xingyiquan A",501,IF(Atletas!Q589="Baguazhang A",502,IF(Atletas!Q589="Outro Estilo Interno A",503,IF(Atletas!Q589="Xingyiquan B",504,IF(Atletas!Q589="Baguazhang B",505,IF(Atletas!Q589="Outro Estilo Interno B",506,IF(Atletas!Q589="Xingyiquan C",507,IF(Atletas!Q589="Baguazhang C",508,IF(Atletas!Q589="Outro Estilo Interno C",509,IF(Atletas!Q589="Xingyiquan D",510,IF(Atletas!Q589="Baguazhang D",511,IF(Atletas!Q589="Outro Estilo Interno D",512,IF(Atletas!Q589="Xingyiquan E",513,IF(Atletas!Q589="Baguazhang E",514,IF(Atletas!Q589="Outro Estilo Interno E",515,IF(Atletas!Q589="Xingyiquan F",516,IF(Atletas!Q589="Baguazhang F",517,IF(Atletas!Q589="Outro Estilo Interno F",518, "")))))))))))))))))))</f>
        <v/>
      </c>
      <c r="BZ598" s="50" t="str">
        <f>IF(Atletas!R589="","",IF(Atletas!X589&lt;&gt;"",10000,0)+IF(Atletas!B589="Feminino",1000,IF(Atletas!B589="Masculino",2000,""))+IF(Atletas!R589="Dao A",601,IF(Atletas!R589="Jian A",602,IF(Atletas!R589="Bishou A",603,IF(Atletas!R589="Shanzi A",604,IF(Atletas!R589="Outra Arma Curta A",605,IF(Atletas!R589="Dao B",606,IF(Atletas!R589="Jian B",607,IF(Atletas!R589="Bishou B",608,IF(Atletas!R589="Shanzi B",609,IF(Atletas!R589="Outra Arma Curta B",610,IF(Atletas!R589="Dao C",611,IF(Atletas!R589="Jian C",612,IF(Atletas!R589="Bishou C",613,IF(Atletas!R589="Shanzi C",614,IF(Atletas!R589="Outra Arma Curta C",615,IF(Atletas!R589="Dao D",616,IF(Atletas!R589="Jian D",617,IF(Atletas!R589="Bishou D",618,IF(Atletas!R589="Shanzi D",619,IF(Atletas!R589="Outra Arma Curta D",620,IF(Atletas!R589="Dao E",621,IF(Atletas!R589="Jian E",622,IF(Atletas!R589="Bishou E",623,IF(Atletas!R589="Shanzi E",624,IF(Atletas!R589="Outra Arma Curta E",625,IF(Atletas!R589="Dao F",626,IF(Atletas!R589="Jian F",627,IF(Atletas!R589="Bishou F",628,IF(Atletas!R589="Shanzi F",629,IF(Atletas!R589="Outra Arma Curta F",630, "")))))))))))))))))))))))))))))))</f>
        <v/>
      </c>
      <c r="CA598" s="50" t="str">
        <f>IF(Atletas!S589="","",IF(Atletas!X589&lt;&gt;"",10000,0)+IF(Atletas!B589="Feminino",1000,IF(Atletas!B589="Masculino",2000,""))+IF(Atletas!S589="Gun A",701,IF(Atletas!S589="Qiang A",702,IF(Atletas!S589="Pudao / Guandao A",703,IF(Atletas!S589="Outra Arma Longa A",704,IF(Atletas!S589="Gun B",705,IF(Atletas!S589="Qiang B",706,IF(Atletas!S589="Pudao / Guandao B",707,IF(Atletas!S589="Outra Arma Longa B",708,IF(Atletas!S589="Gun C",709,IF(Atletas!S589="Qiang C",710,IF(Atletas!S589="Pudao / Guandao C",711,IF(Atletas!S589="Outra Arma Longa C",712,IF(Atletas!S589="Gun D",713,IF(Atletas!S589="Qiang D",714,IF(Atletas!S589="Pudao / Guandao D",715,IF(Atletas!S589="Outra Arma Longa D",716,IF(Atletas!S589="Gun E",717,IF(Atletas!S589="Qiang E",718,IF(Atletas!S589="Pudao / Guandao E",719,IF(Atletas!S589="Outra Arma Longa E",720,IF(Atletas!S589="Gun F",721,IF(Atletas!S589="Qiang F",722,IF(Atletas!S589="Pudao / Guandao F",723,IF(Atletas!S589="Outra Arma Longa F",724,"")))))))))))))))))))))))))</f>
        <v/>
      </c>
      <c r="CB598" s="50" t="str">
        <f>IF(Atletas!T589="","",IF(Atletas!X589&lt;&gt;"",10000,0)+IF(Atletas!B589="Feminino",1000,IF(Atletas!B589="Masculino",2000,""))+IF(Atletas!T589="Outra Arma Dupla A",801,IF(Atletas!T589="Arma Maleável A",802,IF(Atletas!T589="Outra Arma Dupla B",803,IF(Atletas!T589="Arma Maleável B",804,IF(Atletas!T589="Outra Arma Dupla C",805,IF(Atletas!T589="Arma Maleável C",806,IF(Atletas!T589="Outra Arma Dupla D",807,IF(Atletas!T589="Arma Maleável D",808,IF(Atletas!T589="Outra Arma Dupla E",809,IF(Atletas!T589="Arma Maleável E",810,IF(Atletas!T589="Outra Arma Dupla F",811,IF(Atletas!T589="Arma Maleável F",812,IF(Atletas!T589="Shuangdao A",813,IF(Atletas!T589="Shuangdao B",814,IF(Atletas!T589="Shuangdao C",815,IF(Atletas!T589="Shuangdao D",816,IF(Atletas!T589="Shuangdao E",817,IF(Atletas!T589="Shuangdao F",818,"")))))))))))))))))))</f>
        <v/>
      </c>
      <c r="CC598" s="50" t="str">
        <f>IF(Atletas!U589="","",IF(Atletas!X589&lt;&gt;"",10000,0)+IF(Atletas!B589="Feminino",1000,IF(Atletas!B589="Masculino",2000,""))+IF(OR(Atletas!U589="Taijijian Yang A",Atletas!U589="Taijijian Yang Standard A"),901,IF(OR(Atletas!U589="Taijijian Chen A", Atletas!U589="Taijijian Chen Standard A"),902,IF(Atletas!U589="Taijijian Sun A",903,IF(Atletas!U589="Taijijian Wu A",904,IF(Atletas!U589="Taijijian Wu-Hao A",905,IF(OR(Atletas!U589="Taijijian 32 A",Atletas!U589="Taijijian 42 A"),906,IF(OR(Atletas!U589="Taijijian Yang B",Atletas!U589="Taijijian Yang Standard B"),907,IF(OR(Atletas!U589="Taijijian Chen B", Atletas!U589="Taijijian Chen Standard B"),908,IF(Atletas!U589="Taijijian Sun B",909,IF(Atletas!U589="Taijijian Wu B",910,IF(Atletas!U589="Taijijian Wu-Hao B",911,IF(OR(Atletas!U589="Taijijian 32 B",Atletas!U589="Taijijian 42 B"),912,IF(OR(Atletas!U589="Taijijian Yang C",Atletas!U589="Taijijian Yang Standard C"),913,IF(OR(Atletas!U589="Taijijian Chen C", Atletas!U589="Taijijian Chen Standard C"),914,IF(Atletas!U589="Taijijian Sun C",915,IF(Atletas!U589="Taijijian Wu C",916,IF(Atletas!U589="Taijijian Wu-Hao C",917,IF(OR(Atletas!U589="Taijijian 32 C",Atletas!U589="Taijijian 42 C"),918,IF(OR(Atletas!U589="Taijijian Yang D",Atletas!U589="Taijijian Yang Standard D"),919,IF(OR(Atletas!U589="Taijijian Chen D", Atletas!U589="Taijijian Chen Standard D"),920,IF(Atletas!U589="Taijijian Sun D",921,IF(Atletas!U589="Taijijian Wu D",922,IF(Atletas!U589="Taijijian Wu-Hao D",923,IF(OR(Atletas!U589="Taijijian 32 D",Atletas!U589="Taijijian 42 D"),924,IF(OR(Atletas!U589="Taijijian Yang E",Atletas!U589="Taijijian Yang Standard E"),925,IF(OR(Atletas!U589="Taijijian Chen E", Atletas!U589="Taijijian Chen Standard E"),926,IF(Atletas!U589="Taijijian Sun E",927,IF(Atletas!U589="Taijijian Wu E",928,IF(Atletas!U589="Taijijian Wu-Hao E",929,IF(OR(Atletas!U589="Taijijian 32 E",Atletas!U589="Taijijian 42 E"),930,IF(OR(Atletas!U589="Taijijian Yang F",Atletas!U589="Taijijian Yang Standard F"),931,IF(OR(Atletas!U589="Taijijian Chen F", Atletas!U589="Taijijian Chen Standard F"),932,IF(Atletas!U589="Taijijian Sun F",933,IF(Atletas!U589="Taijijian Wu F",934,IF(Atletas!U589="Taijijian Wu-Hao F",935,IF(OR(Atletas!U589="Taijijian 32 F",Atletas!U589="Taijijian 42 F"),936,"")))))))))))))))))))))))))))))))))))))</f>
        <v/>
      </c>
      <c r="CD598" s="50" t="str">
        <f>IF(Atletas!V589="","",IF(Atletas!X589&lt;&gt;"",10000,0)+IF(Atletas!B589="Feminino",1000,IF(Atletas!B589="Masculino",2000,""))+IF(Atletas!V589="Taijidao A",937,IF(Atletas!V589="TaijiShanzi A",938,IF(Atletas!V589="Taijiqiang A",939,IF(Atletas!V589="Bagua de Arma A",940,IF(Atletas!V589="Xingyi de Arma A",941,IF(Atletas!V589="Taijidao B",942,IF(Atletas!V589="TaijiShanzi B",943,IF(Atletas!V589="Taijiqiang B",944,IF(Atletas!V589="Bagua de Arma B",945,IF(Atletas!V589="Xingyi de Arma B",946,IF(Atletas!V589="Taijidao C",947,IF(Atletas!V589="TaijiShanzi C",948,IF(Atletas!V589="Taijiqiang C",949,IF(Atletas!V589="Bagua de Arma C",950,IF(Atletas!V589="Xingyi de Arma C",951,IF(Atletas!V589="Taijidao D",952,IF(Atletas!V589="TaijiShanzi D",953,IF(Atletas!V589="Taijiqiang D",954,IF(Atletas!V589="Bagua de Arma D",955,IF(Atletas!V589="Xingyi de Arma D",956,IF(Atletas!V589="Taijidao E",957,IF(Atletas!V589="TaijiShanzi E",958,IF(Atletas!V589="Taijiqiang E",959,IF(Atletas!V589="Bagua de Arma E",960,IF(Atletas!V589="Xingyi de Arma E",961,IF(Atletas!V589="Taijidao F",962,IF(Atletas!V589="TaijiShanzi F",963,IF(Atletas!V589="Taijiqiang F",964,IF(Atletas!V589="Bagua de Arma F",965,IF(Atletas!V589="Xingyi de Arma F",966,"")))))))))))))))))))))))))))))))</f>
        <v/>
      </c>
      <c r="CM598" s="50" t="str">
        <f xml:space="preserve"> IF(Atletas!W589="","",IF(Atletas!W589="Duilian de Mãos BC - Equipe 1",1,IF(Atletas!W589="Duilian de Mãos BC - Equipe 2",2,IF(Atletas!W589="Duilian de Armas BC - Equipe 1",3,IF(Atletas!W589="Duilian de Armas BC - Equipe 2",4,IF(Atletas!W589="Duilian de Mãos DE - Equipe 1",5,IF(Atletas!W589="Duilian de Mãos DE - Equipe 2",6,IF(Atletas!W589="Duilian de Armas DE - Equipe 1",7,IF(Atletas!W589="Duilian de Armas DE - Equipe 2",8,IF(Atletas!W589="Duilian de Tuishou - Equipe 1",9,IF(Atletas!W589="Duilian de Tuishou - Equipe 2",10,IF(Atletas!W589="Grupo Externo ABC - Equipe 1",11,IF(Atletas!W589="Grupo Externo ABC - Equipe 2",12,IF(Atletas!W589="Grupo Interno ABC - Equipe 1",13,IF(Atletas!W589="Grupo Interno ABC - Equipe 2",14,IF(Atletas!W589="Grupo Externo DEF - Equipe 1",15,IF(Atletas!W589="Grupo Externo DEF - Equipe 2",16,IF(Atletas!W589="Grupo Interno DEF - Equipe 1",17,IF(Atletas!W589="Grupo Interno DEF - Equipe 2",18,"")))))))))))))))))))</f>
        <v/>
      </c>
    </row>
    <row r="599" spans="40:91">
      <c r="AN599" s="52" t="str">
        <f>IF(Atletas!D590="","",IF(Atletas!B590="Feminino",100,IF(Atletas!B590="Masculino",200,""))+(IF(Atletas!D590="Kids 30kg",1,IF(Atletas!D590="Kids 32kg",2, IF(Atletas!D590="Kids 34kg",3,IF(Atletas!D590="Kids 36kg",4,IF(Atletas!D590="Kids 39kg",5,IF(Atletas!D590="Kids 42kg",6,IF(Atletas!D590="Kids 45kg",7, IF(Atletas!D590="Infantil 39kg",8,IF(Atletas!D590="Infantil 42kg",9,IF(Atletas!D590="Infantil 45kg",10,IF(Atletas!D590="Infantil 48kg",11,IF(Atletas!D590="Infantil 52kg",12,IF(Atletas!D590="Infantil 56kg",13,IF(Atletas!D590="Infantil 60kg",14,IF(Atletas!D590="Juvenil 48kg",15,IF(Atletas!D590="Juvenil 52kg",16,IF(Atletas!D590="Juvenil 56kg",17,IF(Atletas!D590="Juvenil 60kg",18,IF(Atletas!D590="Juvenil 65kg",19,IF(Atletas!D590="Juvenil 70kg",20,IF(Atletas!D590="Juvenil 75kg",21,IF(Atletas!D590="Juvenil 80kg",22, IF(Atletas!D590="Juvenil 85kg",23,IF(Atletas!D590="Adulto 48kg",24,IF(Atletas!D590="Adulto 52kg",25,IF(Atletas!D590="Adulto 56kg",26,IF(Atletas!D590="Adulto 60kg",27,IF(Atletas!D590="Adulto 65kg",28,IF(Atletas!D590="Adulto 70kg",29,IF(Atletas!D590="Adulto 75kg",30,IF(Atletas!D590="Adulto 80kg",31,IF(Atletas!D590="Adulto 85kg",32,IF(Atletas!D590="Adulto 90kg",33,IF(Atletas!D590="Adulto 100kg",34, IF(Atletas!D590="Adulto +100kg",35,"")))))))))))))))))))))))))))))))))))))</f>
        <v/>
      </c>
      <c r="AS599" s="6" t="str">
        <f>IF(Atletas!E590="","",IF(Atletas!B590="Feminino",100,IF(Atletas!B590="Masculino",200,""))+(IF(Atletas!E590="Juvenil 44kg",1,IF(Atletas!E590="Juvenil 48kg",2,IF(Atletas!E590="Juvenil 52kg",3,IF(Atletas!E590="Juvenil 56kg",4,IF(Atletas!E590="Juvenil 60kg",5,IF(Atletas!E590="Juvenil 65kg",6,IF(Atletas!E590="Juvenil 70kg",7,IF(Atletas!E590="Juvenil 75kg",8,IF(Atletas!E590="Juvenil 82kg",9,IF(Atletas!E590="Juvenil 90kg",10,IF(Atletas!E590="Juvenil 100kg",11,IF(Atletas!E590="Adulto 48kg",12,IF(Atletas!E590="Adulto 52kg",13,IF(Atletas!E590="Adulto 56kg",14,IF(Atletas!E590="Adulto 60kg",15,IF(Atletas!E590="Adulto 65kg",16,IF(Atletas!E590="Adulto 70kg",17,IF(Atletas!E590="Adulto 75kg",18,IF(Atletas!E590="Adulto 82kg",19,IF(Atletas!E590="Adulto 90kg",20,IF(Atletas!E590="Adulto 100kg",21,IF(Atletas!E590="Adulto +100kg",22,""))))))))))))))))))))))))</f>
        <v/>
      </c>
      <c r="AX599" s="6" t="str">
        <f>IF(Atletas!F590="","",IF(Atletas!B590="Feminino",100,IF(Atletas!B590="Masculino",200,""))+(IF(Atletas!F590="Adulto 48kg",1,IF(Atletas!F590="Adulto 56kg",2,IF(Atletas!F590="Adulto 65kg",3,IF(Atletas!F590="Adulto 75kg",4,IF(Atletas!F590="Adulto +75kg",5,IF(Atletas!F590="Adulto 52kg",6,IF(Atletas!F590="Adulto 60kg",7,IF(Atletas!F590="Adulto 70kg",8,IF(Atletas!F590="Adulto 80kg",9,IF(Atletas!F590="Adulto 90kg",10,IF(Atletas!F590="Adulto +90kg",11,"")))))))))))))</f>
        <v/>
      </c>
      <c r="BC599" s="6" t="str">
        <f>IF(Atletas!G590="","",IF(Atletas!B590="Feminino",10,IF(Atletas!B590="Masculino",20,""))+(IF(Atletas!G590="Baduanjin A",1,IF(Atletas!G590="Baduanjin B",2))))</f>
        <v/>
      </c>
      <c r="BF599" s="52" t="str">
        <f>IF(Atletas!H590="","",IF(Atletas!B590="Feminino",100,IF(Atletas!B590="Masculino",200,""))+(IF(Atletas!H590="Changquan Mirim",1,IF(Atletas!H590="Nanquan Mirim",2,IF(Atletas!H590="Taijiquan Mirim",3,IF(Atletas!H590="Changquan Grupo C",4,IF(Atletas!H590="Nanquan Grupo C",5,IF(Atletas!H590="Taijiquan Grupo C",6,IF(Atletas!H590="Changquan Grupo B",7,IF(Atletas!H590="Nanquan Grupo B",8,IF(Atletas!H590="Taijiquan Grupo B",9,IF(Atletas!H590="Changquan Grupo A",10,IF(Atletas!H590="Nanquan Grupo A",11,IF(Atletas!H590="Taijiquan Grupo A",12,IF(Atletas!H590="Changquan Opcional",13,IF(Atletas!H590="Nanquan Opcional",14,IF(Atletas!H590="Taijiquan Opcional",15,IF(Atletas!H590="Changquan Adulto",16,IF(Atletas!H590="Nanquan Adulto",17,IF(Atletas!H590="Taijiquan Adulto",18,""))))))))))))))))))))</f>
        <v/>
      </c>
      <c r="BG599" s="52" t="str">
        <f>IF(Atletas!I590="","",IF(Atletas!B590="Feminino",100,IF(Atletas!B590="Masculino",200,""))+(IF(Atletas!I590="Daoshu Mirim",19,IF(Atletas!I590="Jianshu Mirim",20,IF(Atletas!I590="Nandao Mirim",21,IF(Atletas!I590="Taijijian Mirim",22,IF(Atletas!I590="Daoshu Grupo C",23,IF(Atletas!I590="Jianshu Grupo C",24,IF(Atletas!I590="Nandao Grupo C",25,IF(Atletas!I590="Taijijian Grupo C",26,IF(Atletas!I590="Daoshu Grupo B",27,IF(Atletas!I590="Jianshu Grupo B",28,IF(Atletas!I590="Nandao Grupo B",29,IF(Atletas!I590="Taijijian Grupo B",30,IF(Atletas!I590="Daoshu Grupo A",31,IF(Atletas!I590="Jianshu Grupo A",32,IF(Atletas!I590="Nandao Grupo A",33,IF(Atletas!I590="Taijijian Grupo A",34,IF(Atletas!I590="Daoshu Opcional",35,IF(Atletas!I590="Jianshu Opcional",36,IF(Atletas!I590="Nandao Opcional",37,IF(Atletas!I590="Taijijian Opcional",38,IF(Atletas!I590="Daoshu Adulto",39,IF(Atletas!I590="Jianshu Adulto",40,IF(Atletas!I590="Nandao Adulto",41,IF(Atletas!I590="Taijijian Adulto",42,""))))))))))))))))))))))))))</f>
        <v/>
      </c>
      <c r="BH599" s="52" t="str">
        <f>IF(Atletas!J590="","",IF(Atletas!B590="Feminino",100,IF(Atletas!B590="Masculino",200,""))+(IF(Atletas!J590="Gunshu Mirim",43,IF(Atletas!J590="Qiangshu Mirim",44,IF(Atletas!J590="Nangun Mirim",45,IF(Atletas!J590="Gunshu Grupo C",46,IF(Atletas!J590="Qiangshu Grupo C",47,IF(Atletas!J590="Nangun Grupo C",48,IF(Atletas!J590="Gunshu Grupo B",49,IF(Atletas!J590="Qiangshu Grupo B",50,IF(Atletas!J590="Nangun Grupo B",51,IF(Atletas!J590="Gunshu Grupo A",52,IF(Atletas!J590="Qiangshu Grupo A",53,IF(Atletas!J590="Nangun Grupo A",54,IF(Atletas!J590="Gunshu Opcional",55,IF(Atletas!J590="Qiangshu Opcional",56,IF(Atletas!J590="Nangun Opcional",57,IF(Atletas!J590="Gunshu Adulto",58,IF(Atletas!J590="Qiangshu Adulto",59,IF(Atletas!J590="Nangun Adulto",60,IF(Atletas!J590="Taijishan Grupo B",61,IF(Atletas!J590="Taijishan Grupo A",62,""))))))))))))))))))))))</f>
        <v/>
      </c>
      <c r="BM599" s="50" t="str">
        <f>IF(Atletas!K590="","",IF(Atletas!B590="Feminino",100,IF(Atletas!B590="Masculino",200,""))+(IF(Atletas!K590="Equipe 1 Grupo B",1,IF(Atletas!K590="Equipe 2 Grupo B",2,IF(Atletas!K590="Equipe 1 Grupo A",3,IF(Atletas!K590="Equipe 2 Grupo A",4,IF(Atletas!K590="Equipe 1 Adulto",5,IF(Atletas!K590="Equipe 2 Adulto",6,""))))))))</f>
        <v/>
      </c>
      <c r="BR599" s="50" t="str">
        <f>IF(Atletas!L590="","",IF(Atletas!X590&lt;&gt;"",10000,0)+(IF(Atletas!B590="Feminino",1000,IF(Atletas!B590="Masculino",2000,""))+IF(Atletas!L590="Choylayfut A",1,IF(Atletas!L590="Hunggar A",2,IF(Atletas!L590="Wuzuquan A",3,IF(Atletas!L590="Wingchun A",4,IF(Atletas!L590="Outra Mão de Sul A",5,IF(Atletas!L590="Choylayfut B",6,IF(Atletas!L590="Hunggar B",7,IF(Atletas!L590="Wuzuquan B",8,IF(Atletas!L590="Wingchun B",9,IF(Atletas!L590="Outra Mão de Sul B",10,IF(Atletas!L590="Choylayfut C",11,IF(Atletas!L590="Hunggar C",12,IF(Atletas!L590="Wuzuquan C",13,IF(Atletas!L590="Wingchun C",14,IF(Atletas!L590="Outra Mão de Sul C",15,IF(Atletas!L590="Choylayfut D",16,IF(Atletas!L590="Hunggar D",17,IF(Atletas!L590="Wuzuquan D",18,IF(Atletas!L590="Wingchun D",19,IF(Atletas!L590="Outra Mão de Sul D",20,IF(Atletas!L590="Choylayfut E",21,IF(Atletas!L590="Hunggar E",22,IF(Atletas!L590="Wuzuquan E",23,IF(Atletas!L590="Wingchun E",24,IF(Atletas!L590="Outra Mão de Sul E",25,IF(Atletas!L590="Choylayfut F",26,IF(Atletas!L590="Hunggar F",27,IF(Atletas!L590="Wuzuquan F",28,IF(Atletas!L590="Wingchun F",29,IF(Atletas!L590="Outra Mão de Sul F",30,IF(Atletas!L590="Dishuquan A",31,IF(Atletas!L590="Dishuquan B",32,IF(Atletas!L590="Dishuquan C",33,IF(Atletas!L590="Dishuquan D",34,IF(Atletas!L590="Dishuquan E",35,IF(Atletas!L590="Dishuquan F",36,""))))))))))))))))))))))))))))))))))))))</f>
        <v/>
      </c>
      <c r="BS599" s="50" t="str">
        <f>IF(Atletas!M590="","",IF(Atletas!X590&lt;&gt;"",10000,0)+(IF(Atletas!B590="Feminino",1000,IF(Atletas!B590="Masculino",2000,""))+(IF(Atletas!M590="Chaquan A",101,IF(Atletas!M590="Emeiquan A",102,IF(Atletas!M590="Fanziquan A",103,IF(Atletas!M590="Huaquan A",104,IF(Atletas!M590="Hongquan A",105,IF(Atletas!M590="Paoquan A",106,IF(Atletas!M590="Piguaquan A",107,IF(Atletas!M590="Shaolinquan A",108,IF(Atletas!M590="Tanglangquan A",109,IF(Atletas!M590="Yingzhaoquan A",110,IF(Atletas!M590="Tongbeiquan A",111,IF(Atletas!M590="Wudangquan A",112,IF(Atletas!M590="Outros Estilos A",113,IF(Atletas!M590="Chaquan B",114,IF(Atletas!M590="Emeiquan B",115,IF(Atletas!M590="Fanziquan B",116,IF(Atletas!M590="Huaquan B",117,IF(Atletas!M590="Hongquan B",118,IF(Atletas!M590="Paoquan B",119,IF(Atletas!M590="Piguaquan B",120,IF(Atletas!M590="Shaolinquan B",121,IF(Atletas!M590="Tanglangquan B",122,IF(Atletas!M590="Yingzhaoquan B",123,IF(Atletas!M590="Tongbeiquan B",124,IF(Atletas!M590="Wudangquan B",125,IF(Atletas!M590="Outros Estilos B",126,IF(Atletas!M590="Chaquan C",127,IF(Atletas!M590="Emeiquan C",128,IF(Atletas!M590="Fanziquan C",129,IF(Atletas!M590="Huaquan C",130,IF(Atletas!M590="Hongquan C",131,IF(Atletas!M590="Paoquan C",132,IF(Atletas!M590="Piguaquan C",133,IF(Atletas!M590="Shaolinquan C",134,IF(Atletas!M590="Tanglangquan C",135,IF(Atletas!M590="Yingzhaoquan C",136,IF(Atletas!M590="Tongbeiquan C",137,IF(Atletas!M590="Wudangquan C",138,IF(Atletas!M590="Outros Estilos C",139,0))))))))))))))))))))))))))))))))))))))))))</f>
        <v/>
      </c>
      <c r="BT599" s="50" t="str">
        <f>IF(Atletas!M590="","",IF(Atletas!X590&lt;&gt;"",10000,0)+(IF(Atletas!B590="Feminino",1000,IF(Atletas!B590="Masculino",2000,""))+(IF(Atletas!M590="Chaquan D",140,IF(Atletas!M590="Emeiquan D",141,IF(Atletas!M590="Fanziquan D",142,IF(Atletas!M590="Huaquan D",143,IF(Atletas!M590="Hongquan D",144,IF(Atletas!M590="Paoquan D",145,IF(Atletas!M590="Piguaquan D",146,IF(Atletas!M590="Shaolinquan D",147,IF(Atletas!M590="Tanglangquan D",148,IF(Atletas!M590="Yingzhaoquan D",149,IF(Atletas!M590="Tongbeiquan D",150,IF(Atletas!M590="Wudangquan D",151,IF(Atletas!M590="Outros Estilos D",152,IF(Atletas!M590="Chaquan E",153,IF(Atletas!M590="Emeiquan E",154,IF(Atletas!M590="Fanziquan E",155,IF(Atletas!M590="Huaquan E",156,IF(Atletas!M590="Hongquan E",157,IF(Atletas!M590="Paoquan E",158,IF(Atletas!M590="Piguaquan E",159,IF(Atletas!M590="Shaolinquan E",160,IF(Atletas!M590="Tanglangquan E",161,IF(Atletas!M590="Yingzhaoquan E",162,IF(Atletas!M590="Tongbeiquan E",163,IF(Atletas!M590="Wudangquan E",164,IF(Atletas!M590="Outros Estilos E",165,IF(Atletas!M590="Chaquan F",166,IF(Atletas!M590="Emeiquan F",167,IF(Atletas!M590="Fanziquan F",168,IF(Atletas!M590="Huaquan F",169,IF(Atletas!M590="Hongquan F",170,IF(Atletas!M590="Paoquan F",171,IF(Atletas!M590="Piguaquan F",172,IF(Atletas!M590="Shaolinquan F",173,IF(Atletas!M590="Tanglangquan F",174,IF(Atletas!M590="Yingzhaoquan F",175,IF(Atletas!M590="Tongbeiquan F",176,IF(Atletas!M590="Wudangquan F",177,IF(Atletas!M590="Outros Estilos F",178,0))))))))))))))))))))))))))))))))))))))))))</f>
        <v/>
      </c>
      <c r="BU599" s="50" t="str">
        <f>IF(Atletas!N590="","",IF(Atletas!X590&lt;&gt;"",10000,0)+(IF(Atletas!B590="Feminino",1000,IF(Atletas!B590="Masculino",2000,""))+(IF(Atletas!N590="Ditangquan A",201,IF(Atletas!N590="Houquan A",202,IF(Atletas!N590="Zuiquan A",203,IF(Atletas!N590="Ditangquan B",204,IF(Atletas!N590="Houquan B",205,IF(Atletas!N590="Zuiquan B",206,IF(Atletas!N590="Ditangquan C",207,IF(Atletas!N590="Houquan C",208,IF(Atletas!N590="Zuiquan C",209,IF(Atletas!N590="Ditangquan D",210,IF(Atletas!N590="Houquan D",211,IF(Atletas!N590="Zuiquan D",212,IF(Atletas!N590="Ditangquan E",213,IF(Atletas!N590="Houquan E",214,IF(Atletas!N590="Zuiquan E",215,IF(Atletas!N590="Ditangquan F",216,IF(Atletas!N590="Houquan F",217,IF(Atletas!N590="Zuiquan F",218,"")))))))))))))))))))))</f>
        <v/>
      </c>
      <c r="BV599" s="50" t="str">
        <f>IF(Atletas!O590="","",IF(Atletas!X590&lt;&gt;"",10000,0)+IF(Atletas!B590="Feminino",1000,IF(Atletas!B590="Masculino",2000,""))+IF(Atletas!O590="Yang A",301,IF(Atletas!O590="Chen A",302,IF(Atletas!O590="Sun A",303,IF(Atletas!O590="Wu A",304,IF(Atletas!O590="Wu-Hao A",305,IF(Atletas!O590="Outro Taijiquan A",306,IF(Atletas!O590="Yang B",307,IF(Atletas!O590="Chen B",308,IF(Atletas!O590="Sun B",309,IF(Atletas!O590="Wu B",310,IF(Atletas!O590="Wu-Hao B",311,IF(Atletas!O590="Outro Taijiquan B",312,IF(Atletas!O590="Yang C",313,IF(Atletas!O590="Chen C",314,IF(Atletas!O590="Sun C",315,IF(Atletas!O590="Wu C",316,IF(Atletas!O590="Wu-Hao C",317,IF(Atletas!O590="Outro Taijiquan C",318,IF(Atletas!O590="Yang D",319,IF(Atletas!O590="Chen D",320,IF(Atletas!O590="Sun D",321,IF(Atletas!O590="Wu D",322,IF(Atletas!O590="Wu-Hao D",323,IF(Atletas!O590="Outro Taijiquan D",324,IF(Atletas!O590="Yang E",325,IF(Atletas!O590="Chen E",326,IF(Atletas!O590="Sun E",327,IF(Atletas!O590="Wu E",328,IF(Atletas!O590="Wu-Hao E",329,IF(Atletas!O590="Outro Taijiquan E",330,IF(Atletas!O590="Yang F",331,IF(Atletas!O590="Chen F",332,IF(Atletas!O590="Sun F",333,IF(Atletas!O590="Wu F",334,IF(Atletas!O590="Wu-Hao F",335,IF(Atletas!O590="Outro Taijiquan F",336,"")))))))))))))))))))))))))))))))))))))</f>
        <v/>
      </c>
      <c r="BW599" s="50" t="str">
        <f>IF(Atletas!P590="","",IF(Atletas!X590&lt;&gt;"",10000,0)+IF(Atletas!B590="Feminino",1000,IF(Atletas!B590="Masculino",2000,""))+IF(OR(Atletas!P590="Yang 26 A",Atletas!P590="Yang 40 A"),401,IF(OR(Atletas!P590="Chen 25 A",Atletas!P590="Chen 36 A",Atletas!P590="Chen 56 A"),402,IF(Atletas!P590="Sun 73 A",403,IF(Atletas!P590="Wu 45 A",404,IF(Atletas!P590="Wu-Hao 46 A",405,IF(OR(Atletas!P590="Taijiquan 16 A",Atletas!P590="Taijiquan 24 A",Atletas!P590="Taijiquan 32 A",Atletas!P590="Taijiquan 42 A"),406,IF(OR(Atletas!P590="Yang 26 B",Atletas!P590="Yang 40 B"),407,IF(OR(Atletas!P590="Chen 25 B",Atletas!P590="Chen 36 B",Atletas!P590="Chen 56 B"),408,IF(Atletas!P590="Sun 73 B",409,IF(Atletas!P590="Wu 45 B",410,IF(Atletas!P590="Wu-Hao 46 B",411,IF(OR(Atletas!P590="Taijiquan 16 B",Atletas!P590="Taijiquan 24 B",Atletas!P590="Taijiquan 32 B",Atletas!P590="Taijiquan 42 B"),412,IF(OR(Atletas!P590="Yang 26 C",Atletas!P590="Yang 40 C"),413,IF(OR(Atletas!P590="Chen 25 C",Atletas!P590="Chen 36 C",Atletas!P590="Chen 56 C"),414,IF(Atletas!P590="Sun 73 C",415,IF(Atletas!P590="Wu 45 C",416,IF(Atletas!P590="Wu-Hao 46 C",417,IF(OR(Atletas!P590="Taijiquan 16 C",Atletas!P590="Taijiquan 24 C",Atletas!P590="Taijiquan 32 C",Atletas!P590="Taijiquan 42 C"),418,0)))))))))))))))))))</f>
        <v/>
      </c>
      <c r="BX599" s="50" t="str">
        <f>IF(Atletas!P590="","",IF(Atletas!X590&lt;&gt;"",10000,0)+IF(Atletas!B590="Feminino",1000,IF(Atletas!B590="Masculino",2000,""))+IF(OR(Atletas!P590="Yang 26 D",Atletas!P590="Yang 40 D"),419,IF(OR(Atletas!P590="Chen 25 D",Atletas!P590="Chen 36 D",Atletas!P590="Chen 56 D"),420,IF(Atletas!P590="Sun 73 D",421,IF(Atletas!P590="Wu 45 D",422,IF(Atletas!P590="Wu-Hao 46 D",423,IF(OR(Atletas!P590="Taijiquan 16 D",Atletas!P590="Taijiquan 24 D",Atletas!P590="Taijiquan 32 D",Atletas!P590="Taijiquan 42 D"),424,IF(OR(Atletas!P590="Yang 26 E",Atletas!P590="Yang 40 E"),425,IF(OR(Atletas!P590="Chen 25 E",Atletas!P590="Chen 36 E",Atletas!P590="Chen 56 E"),426,IF(Atletas!P590="Sun 73 E",427,IF(Atletas!P590="Wu 45 E",428,IF(Atletas!P590="Wu-Hao 46 E",429,IF(OR(Atletas!P590="Taijiquan 16 E",Atletas!P590="Taijiquan 24 E",Atletas!P590="Taijiquan 32 E",Atletas!P590="Taijiquan 42 E"),430,IF(OR(Atletas!P590="Yang 26 F",Atletas!P590="Yang 40 F"),431,IF(OR(Atletas!P590="Chen 25 F",Atletas!P590="Chen 36 F",Atletas!P590="Chen 56 F"),432,IF(Atletas!P590="Sun 73 F",433,IF(Atletas!P590="Wu 45 F",434,IF(Atletas!P590="Wu-Hao 46 F",435,IF(OR(Atletas!P590="Taijiquan 16 F",Atletas!P590="Taijiquan 24 F",Atletas!P590="Taijiquan 32 F",Atletas!P590="Taijiquan 42 F"),436,0)))))))))))))))))))</f>
        <v/>
      </c>
      <c r="BY599" s="50" t="str">
        <f>IF(Atletas!Q590="","",IF(Atletas!X590&lt;&gt;"",10000,0)+IF(Atletas!B590="Feminino",1000,IF(Atletas!B590="Masculino",2000,""))+IF(Atletas!Q590="Xingyiquan A",501,IF(Atletas!Q590="Baguazhang A",502,IF(Atletas!Q590="Outro Estilo Interno A",503,IF(Atletas!Q590="Xingyiquan B",504,IF(Atletas!Q590="Baguazhang B",505,IF(Atletas!Q590="Outro Estilo Interno B",506,IF(Atletas!Q590="Xingyiquan C",507,IF(Atletas!Q590="Baguazhang C",508,IF(Atletas!Q590="Outro Estilo Interno C",509,IF(Atletas!Q590="Xingyiquan D",510,IF(Atletas!Q590="Baguazhang D",511,IF(Atletas!Q590="Outro Estilo Interno D",512,IF(Atletas!Q590="Xingyiquan E",513,IF(Atletas!Q590="Baguazhang E",514,IF(Atletas!Q590="Outro Estilo Interno E",515,IF(Atletas!Q590="Xingyiquan F",516,IF(Atletas!Q590="Baguazhang F",517,IF(Atletas!Q590="Outro Estilo Interno F",518, "")))))))))))))))))))</f>
        <v/>
      </c>
      <c r="BZ599" s="50" t="str">
        <f>IF(Atletas!R590="","",IF(Atletas!X590&lt;&gt;"",10000,0)+IF(Atletas!B590="Feminino",1000,IF(Atletas!B590="Masculino",2000,""))+IF(Atletas!R590="Dao A",601,IF(Atletas!R590="Jian A",602,IF(Atletas!R590="Bishou A",603,IF(Atletas!R590="Shanzi A",604,IF(Atletas!R590="Outra Arma Curta A",605,IF(Atletas!R590="Dao B",606,IF(Atletas!R590="Jian B",607,IF(Atletas!R590="Bishou B",608,IF(Atletas!R590="Shanzi B",609,IF(Atletas!R590="Outra Arma Curta B",610,IF(Atletas!R590="Dao C",611,IF(Atletas!R590="Jian C",612,IF(Atletas!R590="Bishou C",613,IF(Atletas!R590="Shanzi C",614,IF(Atletas!R590="Outra Arma Curta C",615,IF(Atletas!R590="Dao D",616,IF(Atletas!R590="Jian D",617,IF(Atletas!R590="Bishou D",618,IF(Atletas!R590="Shanzi D",619,IF(Atletas!R590="Outra Arma Curta D",620,IF(Atletas!R590="Dao E",621,IF(Atletas!R590="Jian E",622,IF(Atletas!R590="Bishou E",623,IF(Atletas!R590="Shanzi E",624,IF(Atletas!R590="Outra Arma Curta E",625,IF(Atletas!R590="Dao F",626,IF(Atletas!R590="Jian F",627,IF(Atletas!R590="Bishou F",628,IF(Atletas!R590="Shanzi F",629,IF(Atletas!R590="Outra Arma Curta F",630, "")))))))))))))))))))))))))))))))</f>
        <v/>
      </c>
      <c r="CA599" s="50" t="str">
        <f>IF(Atletas!S590="","",IF(Atletas!X590&lt;&gt;"",10000,0)+IF(Atletas!B590="Feminino",1000,IF(Atletas!B590="Masculino",2000,""))+IF(Atletas!S590="Gun A",701,IF(Atletas!S590="Qiang A",702,IF(Atletas!S590="Pudao / Guandao A",703,IF(Atletas!S590="Outra Arma Longa A",704,IF(Atletas!S590="Gun B",705,IF(Atletas!S590="Qiang B",706,IF(Atletas!S590="Pudao / Guandao B",707,IF(Atletas!S590="Outra Arma Longa B",708,IF(Atletas!S590="Gun C",709,IF(Atletas!S590="Qiang C",710,IF(Atletas!S590="Pudao / Guandao C",711,IF(Atletas!S590="Outra Arma Longa C",712,IF(Atletas!S590="Gun D",713,IF(Atletas!S590="Qiang D",714,IF(Atletas!S590="Pudao / Guandao D",715,IF(Atletas!S590="Outra Arma Longa D",716,IF(Atletas!S590="Gun E",717,IF(Atletas!S590="Qiang E",718,IF(Atletas!S590="Pudao / Guandao E",719,IF(Atletas!S590="Outra Arma Longa E",720,IF(Atletas!S590="Gun F",721,IF(Atletas!S590="Qiang F",722,IF(Atletas!S590="Pudao / Guandao F",723,IF(Atletas!S590="Outra Arma Longa F",724,"")))))))))))))))))))))))))</f>
        <v/>
      </c>
      <c r="CB599" s="50" t="str">
        <f>IF(Atletas!T590="","",IF(Atletas!X590&lt;&gt;"",10000,0)+IF(Atletas!B590="Feminino",1000,IF(Atletas!B590="Masculino",2000,""))+IF(Atletas!T590="Outra Arma Dupla A",801,IF(Atletas!T590="Arma Maleável A",802,IF(Atletas!T590="Outra Arma Dupla B",803,IF(Atletas!T590="Arma Maleável B",804,IF(Atletas!T590="Outra Arma Dupla C",805,IF(Atletas!T590="Arma Maleável C",806,IF(Atletas!T590="Outra Arma Dupla D",807,IF(Atletas!T590="Arma Maleável D",808,IF(Atletas!T590="Outra Arma Dupla E",809,IF(Atletas!T590="Arma Maleável E",810,IF(Atletas!T590="Outra Arma Dupla F",811,IF(Atletas!T590="Arma Maleável F",812,IF(Atletas!T590="Shuangdao A",813,IF(Atletas!T590="Shuangdao B",814,IF(Atletas!T590="Shuangdao C",815,IF(Atletas!T590="Shuangdao D",816,IF(Atletas!T590="Shuangdao E",817,IF(Atletas!T590="Shuangdao F",818,"")))))))))))))))))))</f>
        <v/>
      </c>
      <c r="CC599" s="50" t="str">
        <f>IF(Atletas!U590="","",IF(Atletas!X590&lt;&gt;"",10000,0)+IF(Atletas!B590="Feminino",1000,IF(Atletas!B590="Masculino",2000,""))+IF(OR(Atletas!U590="Taijijian Yang A",Atletas!U590="Taijijian Yang Standard A"),901,IF(OR(Atletas!U590="Taijijian Chen A", Atletas!U590="Taijijian Chen Standard A"),902,IF(Atletas!U590="Taijijian Sun A",903,IF(Atletas!U590="Taijijian Wu A",904,IF(Atletas!U590="Taijijian Wu-Hao A",905,IF(OR(Atletas!U590="Taijijian 32 A",Atletas!U590="Taijijian 42 A"),906,IF(OR(Atletas!U590="Taijijian Yang B",Atletas!U590="Taijijian Yang Standard B"),907,IF(OR(Atletas!U590="Taijijian Chen B", Atletas!U590="Taijijian Chen Standard B"),908,IF(Atletas!U590="Taijijian Sun B",909,IF(Atletas!U590="Taijijian Wu B",910,IF(Atletas!U590="Taijijian Wu-Hao B",911,IF(OR(Atletas!U590="Taijijian 32 B",Atletas!U590="Taijijian 42 B"),912,IF(OR(Atletas!U590="Taijijian Yang C",Atletas!U590="Taijijian Yang Standard C"),913,IF(OR(Atletas!U590="Taijijian Chen C", Atletas!U590="Taijijian Chen Standard C"),914,IF(Atletas!U590="Taijijian Sun C",915,IF(Atletas!U590="Taijijian Wu C",916,IF(Atletas!U590="Taijijian Wu-Hao C",917,IF(OR(Atletas!U590="Taijijian 32 C",Atletas!U590="Taijijian 42 C"),918,IF(OR(Atletas!U590="Taijijian Yang D",Atletas!U590="Taijijian Yang Standard D"),919,IF(OR(Atletas!U590="Taijijian Chen D", Atletas!U590="Taijijian Chen Standard D"),920,IF(Atletas!U590="Taijijian Sun D",921,IF(Atletas!U590="Taijijian Wu D",922,IF(Atletas!U590="Taijijian Wu-Hao D",923,IF(OR(Atletas!U590="Taijijian 32 D",Atletas!U590="Taijijian 42 D"),924,IF(OR(Atletas!U590="Taijijian Yang E",Atletas!U590="Taijijian Yang Standard E"),925,IF(OR(Atletas!U590="Taijijian Chen E", Atletas!U590="Taijijian Chen Standard E"),926,IF(Atletas!U590="Taijijian Sun E",927,IF(Atletas!U590="Taijijian Wu E",928,IF(Atletas!U590="Taijijian Wu-Hao E",929,IF(OR(Atletas!U590="Taijijian 32 E",Atletas!U590="Taijijian 42 E"),930,IF(OR(Atletas!U590="Taijijian Yang F",Atletas!U590="Taijijian Yang Standard F"),931,IF(OR(Atletas!U590="Taijijian Chen F", Atletas!U590="Taijijian Chen Standard F"),932,IF(Atletas!U590="Taijijian Sun F",933,IF(Atletas!U590="Taijijian Wu F",934,IF(Atletas!U590="Taijijian Wu-Hao F",935,IF(OR(Atletas!U590="Taijijian 32 F",Atletas!U590="Taijijian 42 F"),936,"")))))))))))))))))))))))))))))))))))))</f>
        <v/>
      </c>
      <c r="CD599" s="50" t="str">
        <f>IF(Atletas!V590="","",IF(Atletas!X590&lt;&gt;"",10000,0)+IF(Atletas!B590="Feminino",1000,IF(Atletas!B590="Masculino",2000,""))+IF(Atletas!V590="Taijidao A",937,IF(Atletas!V590="TaijiShanzi A",938,IF(Atletas!V590="Taijiqiang A",939,IF(Atletas!V590="Bagua de Arma A",940,IF(Atletas!V590="Xingyi de Arma A",941,IF(Atletas!V590="Taijidao B",942,IF(Atletas!V590="TaijiShanzi B",943,IF(Atletas!V590="Taijiqiang B",944,IF(Atletas!V590="Bagua de Arma B",945,IF(Atletas!V590="Xingyi de Arma B",946,IF(Atletas!V590="Taijidao C",947,IF(Atletas!V590="TaijiShanzi C",948,IF(Atletas!V590="Taijiqiang C",949,IF(Atletas!V590="Bagua de Arma C",950,IF(Atletas!V590="Xingyi de Arma C",951,IF(Atletas!V590="Taijidao D",952,IF(Atletas!V590="TaijiShanzi D",953,IF(Atletas!V590="Taijiqiang D",954,IF(Atletas!V590="Bagua de Arma D",955,IF(Atletas!V590="Xingyi de Arma D",956,IF(Atletas!V590="Taijidao E",957,IF(Atletas!V590="TaijiShanzi E",958,IF(Atletas!V590="Taijiqiang E",959,IF(Atletas!V590="Bagua de Arma E",960,IF(Atletas!V590="Xingyi de Arma E",961,IF(Atletas!V590="Taijidao F",962,IF(Atletas!V590="TaijiShanzi F",963,IF(Atletas!V590="Taijiqiang F",964,IF(Atletas!V590="Bagua de Arma F",965,IF(Atletas!V590="Xingyi de Arma F",966,"")))))))))))))))))))))))))))))))</f>
        <v/>
      </c>
      <c r="CM599" s="50" t="str">
        <f xml:space="preserve"> IF(Atletas!W590="","",IF(Atletas!W590="Duilian de Mãos BC - Equipe 1",1,IF(Atletas!W590="Duilian de Mãos BC - Equipe 2",2,IF(Atletas!W590="Duilian de Armas BC - Equipe 1",3,IF(Atletas!W590="Duilian de Armas BC - Equipe 2",4,IF(Atletas!W590="Duilian de Mãos DE - Equipe 1",5,IF(Atletas!W590="Duilian de Mãos DE - Equipe 2",6,IF(Atletas!W590="Duilian de Armas DE - Equipe 1",7,IF(Atletas!W590="Duilian de Armas DE - Equipe 2",8,IF(Atletas!W590="Duilian de Tuishou - Equipe 1",9,IF(Atletas!W590="Duilian de Tuishou - Equipe 2",10,IF(Atletas!W590="Grupo Externo ABC - Equipe 1",11,IF(Atletas!W590="Grupo Externo ABC - Equipe 2",12,IF(Atletas!W590="Grupo Interno ABC - Equipe 1",13,IF(Atletas!W590="Grupo Interno ABC - Equipe 2",14,IF(Atletas!W590="Grupo Externo DEF - Equipe 1",15,IF(Atletas!W590="Grupo Externo DEF - Equipe 2",16,IF(Atletas!W590="Grupo Interno DEF - Equipe 1",17,IF(Atletas!W590="Grupo Interno DEF - Equipe 2",18,"")))))))))))))))))))</f>
        <v/>
      </c>
    </row>
    <row r="600" spans="40:91">
      <c r="AN600" s="52" t="str">
        <f>IF(Atletas!D591="","",IF(Atletas!B591="Feminino",100,IF(Atletas!B591="Masculino",200,""))+(IF(Atletas!D591="Kids 30kg",1,IF(Atletas!D591="Kids 32kg",2, IF(Atletas!D591="Kids 34kg",3,IF(Atletas!D591="Kids 36kg",4,IF(Atletas!D591="Kids 39kg",5,IF(Atletas!D591="Kids 42kg",6,IF(Atletas!D591="Kids 45kg",7, IF(Atletas!D591="Infantil 39kg",8,IF(Atletas!D591="Infantil 42kg",9,IF(Atletas!D591="Infantil 45kg",10,IF(Atletas!D591="Infantil 48kg",11,IF(Atletas!D591="Infantil 52kg",12,IF(Atletas!D591="Infantil 56kg",13,IF(Atletas!D591="Infantil 60kg",14,IF(Atletas!D591="Juvenil 48kg",15,IF(Atletas!D591="Juvenil 52kg",16,IF(Atletas!D591="Juvenil 56kg",17,IF(Atletas!D591="Juvenil 60kg",18,IF(Atletas!D591="Juvenil 65kg",19,IF(Atletas!D591="Juvenil 70kg",20,IF(Atletas!D591="Juvenil 75kg",21,IF(Atletas!D591="Juvenil 80kg",22, IF(Atletas!D591="Juvenil 85kg",23,IF(Atletas!D591="Adulto 48kg",24,IF(Atletas!D591="Adulto 52kg",25,IF(Atletas!D591="Adulto 56kg",26,IF(Atletas!D591="Adulto 60kg",27,IF(Atletas!D591="Adulto 65kg",28,IF(Atletas!D591="Adulto 70kg",29,IF(Atletas!D591="Adulto 75kg",30,IF(Atletas!D591="Adulto 80kg",31,IF(Atletas!D591="Adulto 85kg",32,IF(Atletas!D591="Adulto 90kg",33,IF(Atletas!D591="Adulto 100kg",34, IF(Atletas!D591="Adulto +100kg",35,"")))))))))))))))))))))))))))))))))))))</f>
        <v/>
      </c>
      <c r="AS600" s="6" t="str">
        <f>IF(Atletas!E591="","",IF(Atletas!B591="Feminino",100,IF(Atletas!B591="Masculino",200,""))+(IF(Atletas!E591="Juvenil 44kg",1,IF(Atletas!E591="Juvenil 48kg",2,IF(Atletas!E591="Juvenil 52kg",3,IF(Atletas!E591="Juvenil 56kg",4,IF(Atletas!E591="Juvenil 60kg",5,IF(Atletas!E591="Juvenil 65kg",6,IF(Atletas!E591="Juvenil 70kg",7,IF(Atletas!E591="Juvenil 75kg",8,IF(Atletas!E591="Juvenil 82kg",9,IF(Atletas!E591="Juvenil 90kg",10,IF(Atletas!E591="Juvenil 100kg",11,IF(Atletas!E591="Adulto 48kg",12,IF(Atletas!E591="Adulto 52kg",13,IF(Atletas!E591="Adulto 56kg",14,IF(Atletas!E591="Adulto 60kg",15,IF(Atletas!E591="Adulto 65kg",16,IF(Atletas!E591="Adulto 70kg",17,IF(Atletas!E591="Adulto 75kg",18,IF(Atletas!E591="Adulto 82kg",19,IF(Atletas!E591="Adulto 90kg",20,IF(Atletas!E591="Adulto 100kg",21,IF(Atletas!E591="Adulto +100kg",22,""))))))))))))))))))))))))</f>
        <v/>
      </c>
      <c r="AX600" s="6" t="str">
        <f>IF(Atletas!F591="","",IF(Atletas!B591="Feminino",100,IF(Atletas!B591="Masculino",200,""))+(IF(Atletas!F591="Adulto 48kg",1,IF(Atletas!F591="Adulto 56kg",2,IF(Atletas!F591="Adulto 65kg",3,IF(Atletas!F591="Adulto 75kg",4,IF(Atletas!F591="Adulto +75kg",5,IF(Atletas!F591="Adulto 52kg",6,IF(Atletas!F591="Adulto 60kg",7,IF(Atletas!F591="Adulto 70kg",8,IF(Atletas!F591="Adulto 80kg",9,IF(Atletas!F591="Adulto 90kg",10,IF(Atletas!F591="Adulto +90kg",11,"")))))))))))))</f>
        <v/>
      </c>
      <c r="BC600" s="6" t="str">
        <f>IF(Atletas!G591="","",IF(Atletas!B591="Feminino",10,IF(Atletas!B591="Masculino",20,""))+(IF(Atletas!G591="Baduanjin A",1,IF(Atletas!G591="Baduanjin B",2))))</f>
        <v/>
      </c>
      <c r="BF600" s="52" t="str">
        <f>IF(Atletas!H591="","",IF(Atletas!B591="Feminino",100,IF(Atletas!B591="Masculino",200,""))+(IF(Atletas!H591="Changquan Mirim",1,IF(Atletas!H591="Nanquan Mirim",2,IF(Atletas!H591="Taijiquan Mirim",3,IF(Atletas!H591="Changquan Grupo C",4,IF(Atletas!H591="Nanquan Grupo C",5,IF(Atletas!H591="Taijiquan Grupo C",6,IF(Atletas!H591="Changquan Grupo B",7,IF(Atletas!H591="Nanquan Grupo B",8,IF(Atletas!H591="Taijiquan Grupo B",9,IF(Atletas!H591="Changquan Grupo A",10,IF(Atletas!H591="Nanquan Grupo A",11,IF(Atletas!H591="Taijiquan Grupo A",12,IF(Atletas!H591="Changquan Opcional",13,IF(Atletas!H591="Nanquan Opcional",14,IF(Atletas!H591="Taijiquan Opcional",15,IF(Atletas!H591="Changquan Adulto",16,IF(Atletas!H591="Nanquan Adulto",17,IF(Atletas!H591="Taijiquan Adulto",18,""))))))))))))))))))))</f>
        <v/>
      </c>
      <c r="BG600" s="52" t="str">
        <f>IF(Atletas!I591="","",IF(Atletas!B591="Feminino",100,IF(Atletas!B591="Masculino",200,""))+(IF(Atletas!I591="Daoshu Mirim",19,IF(Atletas!I591="Jianshu Mirim",20,IF(Atletas!I591="Nandao Mirim",21,IF(Atletas!I591="Taijijian Mirim",22,IF(Atletas!I591="Daoshu Grupo C",23,IF(Atletas!I591="Jianshu Grupo C",24,IF(Atletas!I591="Nandao Grupo C",25,IF(Atletas!I591="Taijijian Grupo C",26,IF(Atletas!I591="Daoshu Grupo B",27,IF(Atletas!I591="Jianshu Grupo B",28,IF(Atletas!I591="Nandao Grupo B",29,IF(Atletas!I591="Taijijian Grupo B",30,IF(Atletas!I591="Daoshu Grupo A",31,IF(Atletas!I591="Jianshu Grupo A",32,IF(Atletas!I591="Nandao Grupo A",33,IF(Atletas!I591="Taijijian Grupo A",34,IF(Atletas!I591="Daoshu Opcional",35,IF(Atletas!I591="Jianshu Opcional",36,IF(Atletas!I591="Nandao Opcional",37,IF(Atletas!I591="Taijijian Opcional",38,IF(Atletas!I591="Daoshu Adulto",39,IF(Atletas!I591="Jianshu Adulto",40,IF(Atletas!I591="Nandao Adulto",41,IF(Atletas!I591="Taijijian Adulto",42,""))))))))))))))))))))))))))</f>
        <v/>
      </c>
      <c r="BH600" s="52" t="str">
        <f>IF(Atletas!J591="","",IF(Atletas!B591="Feminino",100,IF(Atletas!B591="Masculino",200,""))+(IF(Atletas!J591="Gunshu Mirim",43,IF(Atletas!J591="Qiangshu Mirim",44,IF(Atletas!J591="Nangun Mirim",45,IF(Atletas!J591="Gunshu Grupo C",46,IF(Atletas!J591="Qiangshu Grupo C",47,IF(Atletas!J591="Nangun Grupo C",48,IF(Atletas!J591="Gunshu Grupo B",49,IF(Atletas!J591="Qiangshu Grupo B",50,IF(Atletas!J591="Nangun Grupo B",51,IF(Atletas!J591="Gunshu Grupo A",52,IF(Atletas!J591="Qiangshu Grupo A",53,IF(Atletas!J591="Nangun Grupo A",54,IF(Atletas!J591="Gunshu Opcional",55,IF(Atletas!J591="Qiangshu Opcional",56,IF(Atletas!J591="Nangun Opcional",57,IF(Atletas!J591="Gunshu Adulto",58,IF(Atletas!J591="Qiangshu Adulto",59,IF(Atletas!J591="Nangun Adulto",60,IF(Atletas!J591="Taijishan Grupo B",61,IF(Atletas!J591="Taijishan Grupo A",62,""))))))))))))))))))))))</f>
        <v/>
      </c>
      <c r="BM600" s="50" t="str">
        <f>IF(Atletas!K591="","",IF(Atletas!B591="Feminino",100,IF(Atletas!B591="Masculino",200,""))+(IF(Atletas!K591="Equipe 1 Grupo B",1,IF(Atletas!K591="Equipe 2 Grupo B",2,IF(Atletas!K591="Equipe 1 Grupo A",3,IF(Atletas!K591="Equipe 2 Grupo A",4,IF(Atletas!K591="Equipe 1 Adulto",5,IF(Atletas!K591="Equipe 2 Adulto",6,""))))))))</f>
        <v/>
      </c>
      <c r="BR600" s="50" t="str">
        <f>IF(Atletas!L591="","",IF(Atletas!X591&lt;&gt;"",10000,0)+(IF(Atletas!B591="Feminino",1000,IF(Atletas!B591="Masculino",2000,""))+IF(Atletas!L591="Choylayfut A",1,IF(Atletas!L591="Hunggar A",2,IF(Atletas!L591="Wuzuquan A",3,IF(Atletas!L591="Wingchun A",4,IF(Atletas!L591="Outra Mão de Sul A",5,IF(Atletas!L591="Choylayfut B",6,IF(Atletas!L591="Hunggar B",7,IF(Atletas!L591="Wuzuquan B",8,IF(Atletas!L591="Wingchun B",9,IF(Atletas!L591="Outra Mão de Sul B",10,IF(Atletas!L591="Choylayfut C",11,IF(Atletas!L591="Hunggar C",12,IF(Atletas!L591="Wuzuquan C",13,IF(Atletas!L591="Wingchun C",14,IF(Atletas!L591="Outra Mão de Sul C",15,IF(Atletas!L591="Choylayfut D",16,IF(Atletas!L591="Hunggar D",17,IF(Atletas!L591="Wuzuquan D",18,IF(Atletas!L591="Wingchun D",19,IF(Atletas!L591="Outra Mão de Sul D",20,IF(Atletas!L591="Choylayfut E",21,IF(Atletas!L591="Hunggar E",22,IF(Atletas!L591="Wuzuquan E",23,IF(Atletas!L591="Wingchun E",24,IF(Atletas!L591="Outra Mão de Sul E",25,IF(Atletas!L591="Choylayfut F",26,IF(Atletas!L591="Hunggar F",27,IF(Atletas!L591="Wuzuquan F",28,IF(Atletas!L591="Wingchun F",29,IF(Atletas!L591="Outra Mão de Sul F",30,IF(Atletas!L591="Dishuquan A",31,IF(Atletas!L591="Dishuquan B",32,IF(Atletas!L591="Dishuquan C",33,IF(Atletas!L591="Dishuquan D",34,IF(Atletas!L591="Dishuquan E",35,IF(Atletas!L591="Dishuquan F",36,""))))))))))))))))))))))))))))))))))))))</f>
        <v/>
      </c>
      <c r="BS600" s="50" t="str">
        <f>IF(Atletas!M591="","",IF(Atletas!X591&lt;&gt;"",10000,0)+(IF(Atletas!B591="Feminino",1000,IF(Atletas!B591="Masculino",2000,""))+(IF(Atletas!M591="Chaquan A",101,IF(Atletas!M591="Emeiquan A",102,IF(Atletas!M591="Fanziquan A",103,IF(Atletas!M591="Huaquan A",104,IF(Atletas!M591="Hongquan A",105,IF(Atletas!M591="Paoquan A",106,IF(Atletas!M591="Piguaquan A",107,IF(Atletas!M591="Shaolinquan A",108,IF(Atletas!M591="Tanglangquan A",109,IF(Atletas!M591="Yingzhaoquan A",110,IF(Atletas!M591="Tongbeiquan A",111,IF(Atletas!M591="Wudangquan A",112,IF(Atletas!M591="Outros Estilos A",113,IF(Atletas!M591="Chaquan B",114,IF(Atletas!M591="Emeiquan B",115,IF(Atletas!M591="Fanziquan B",116,IF(Atletas!M591="Huaquan B",117,IF(Atletas!M591="Hongquan B",118,IF(Atletas!M591="Paoquan B",119,IF(Atletas!M591="Piguaquan B",120,IF(Atletas!M591="Shaolinquan B",121,IF(Atletas!M591="Tanglangquan B",122,IF(Atletas!M591="Yingzhaoquan B",123,IF(Atletas!M591="Tongbeiquan B",124,IF(Atletas!M591="Wudangquan B",125,IF(Atletas!M591="Outros Estilos B",126,IF(Atletas!M591="Chaquan C",127,IF(Atletas!M591="Emeiquan C",128,IF(Atletas!M591="Fanziquan C",129,IF(Atletas!M591="Huaquan C",130,IF(Atletas!M591="Hongquan C",131,IF(Atletas!M591="Paoquan C",132,IF(Atletas!M591="Piguaquan C",133,IF(Atletas!M591="Shaolinquan C",134,IF(Atletas!M591="Tanglangquan C",135,IF(Atletas!M591="Yingzhaoquan C",136,IF(Atletas!M591="Tongbeiquan C",137,IF(Atletas!M591="Wudangquan C",138,IF(Atletas!M591="Outros Estilos C",139,0))))))))))))))))))))))))))))))))))))))))))</f>
        <v/>
      </c>
      <c r="BT600" s="50" t="str">
        <f>IF(Atletas!M591="","",IF(Atletas!X591&lt;&gt;"",10000,0)+(IF(Atletas!B591="Feminino",1000,IF(Atletas!B591="Masculino",2000,""))+(IF(Atletas!M591="Chaquan D",140,IF(Atletas!M591="Emeiquan D",141,IF(Atletas!M591="Fanziquan D",142,IF(Atletas!M591="Huaquan D",143,IF(Atletas!M591="Hongquan D",144,IF(Atletas!M591="Paoquan D",145,IF(Atletas!M591="Piguaquan D",146,IF(Atletas!M591="Shaolinquan D",147,IF(Atletas!M591="Tanglangquan D",148,IF(Atletas!M591="Yingzhaoquan D",149,IF(Atletas!M591="Tongbeiquan D",150,IF(Atletas!M591="Wudangquan D",151,IF(Atletas!M591="Outros Estilos D",152,IF(Atletas!M591="Chaquan E",153,IF(Atletas!M591="Emeiquan E",154,IF(Atletas!M591="Fanziquan E",155,IF(Atletas!M591="Huaquan E",156,IF(Atletas!M591="Hongquan E",157,IF(Atletas!M591="Paoquan E",158,IF(Atletas!M591="Piguaquan E",159,IF(Atletas!M591="Shaolinquan E",160,IF(Atletas!M591="Tanglangquan E",161,IF(Atletas!M591="Yingzhaoquan E",162,IF(Atletas!M591="Tongbeiquan E",163,IF(Atletas!M591="Wudangquan E",164,IF(Atletas!M591="Outros Estilos E",165,IF(Atletas!M591="Chaquan F",166,IF(Atletas!M591="Emeiquan F",167,IF(Atletas!M591="Fanziquan F",168,IF(Atletas!M591="Huaquan F",169,IF(Atletas!M591="Hongquan F",170,IF(Atletas!M591="Paoquan F",171,IF(Atletas!M591="Piguaquan F",172,IF(Atletas!M591="Shaolinquan F",173,IF(Atletas!M591="Tanglangquan F",174,IF(Atletas!M591="Yingzhaoquan F",175,IF(Atletas!M591="Tongbeiquan F",176,IF(Atletas!M591="Wudangquan F",177,IF(Atletas!M591="Outros Estilos F",178,0))))))))))))))))))))))))))))))))))))))))))</f>
        <v/>
      </c>
      <c r="BU600" s="50" t="str">
        <f>IF(Atletas!N591="","",IF(Atletas!X591&lt;&gt;"",10000,0)+(IF(Atletas!B591="Feminino",1000,IF(Atletas!B591="Masculino",2000,""))+(IF(Atletas!N591="Ditangquan A",201,IF(Atletas!N591="Houquan A",202,IF(Atletas!N591="Zuiquan A",203,IF(Atletas!N591="Ditangquan B",204,IF(Atletas!N591="Houquan B",205,IF(Atletas!N591="Zuiquan B",206,IF(Atletas!N591="Ditangquan C",207,IF(Atletas!N591="Houquan C",208,IF(Atletas!N591="Zuiquan C",209,IF(Atletas!N591="Ditangquan D",210,IF(Atletas!N591="Houquan D",211,IF(Atletas!N591="Zuiquan D",212,IF(Atletas!N591="Ditangquan E",213,IF(Atletas!N591="Houquan E",214,IF(Atletas!N591="Zuiquan E",215,IF(Atletas!N591="Ditangquan F",216,IF(Atletas!N591="Houquan F",217,IF(Atletas!N591="Zuiquan F",218,"")))))))))))))))))))))</f>
        <v/>
      </c>
      <c r="BV600" s="50" t="str">
        <f>IF(Atletas!O591="","",IF(Atletas!X591&lt;&gt;"",10000,0)+IF(Atletas!B591="Feminino",1000,IF(Atletas!B591="Masculino",2000,""))+IF(Atletas!O591="Yang A",301,IF(Atletas!O591="Chen A",302,IF(Atletas!O591="Sun A",303,IF(Atletas!O591="Wu A",304,IF(Atletas!O591="Wu-Hao A",305,IF(Atletas!O591="Outro Taijiquan A",306,IF(Atletas!O591="Yang B",307,IF(Atletas!O591="Chen B",308,IF(Atletas!O591="Sun B",309,IF(Atletas!O591="Wu B",310,IF(Atletas!O591="Wu-Hao B",311,IF(Atletas!O591="Outro Taijiquan B",312,IF(Atletas!O591="Yang C",313,IF(Atletas!O591="Chen C",314,IF(Atletas!O591="Sun C",315,IF(Atletas!O591="Wu C",316,IF(Atletas!O591="Wu-Hao C",317,IF(Atletas!O591="Outro Taijiquan C",318,IF(Atletas!O591="Yang D",319,IF(Atletas!O591="Chen D",320,IF(Atletas!O591="Sun D",321,IF(Atletas!O591="Wu D",322,IF(Atletas!O591="Wu-Hao D",323,IF(Atletas!O591="Outro Taijiquan D",324,IF(Atletas!O591="Yang E",325,IF(Atletas!O591="Chen E",326,IF(Atletas!O591="Sun E",327,IF(Atletas!O591="Wu E",328,IF(Atletas!O591="Wu-Hao E",329,IF(Atletas!O591="Outro Taijiquan E",330,IF(Atletas!O591="Yang F",331,IF(Atletas!O591="Chen F",332,IF(Atletas!O591="Sun F",333,IF(Atletas!O591="Wu F",334,IF(Atletas!O591="Wu-Hao F",335,IF(Atletas!O591="Outro Taijiquan F",336,"")))))))))))))))))))))))))))))))))))))</f>
        <v/>
      </c>
      <c r="BW600" s="50" t="str">
        <f>IF(Atletas!P591="","",IF(Atletas!X591&lt;&gt;"",10000,0)+IF(Atletas!B591="Feminino",1000,IF(Atletas!B591="Masculino",2000,""))+IF(OR(Atletas!P591="Yang 26 A",Atletas!P591="Yang 40 A"),401,IF(OR(Atletas!P591="Chen 25 A",Atletas!P591="Chen 36 A",Atletas!P591="Chen 56 A"),402,IF(Atletas!P591="Sun 73 A",403,IF(Atletas!P591="Wu 45 A",404,IF(Atletas!P591="Wu-Hao 46 A",405,IF(OR(Atletas!P591="Taijiquan 16 A",Atletas!P591="Taijiquan 24 A",Atletas!P591="Taijiquan 32 A",Atletas!P591="Taijiquan 42 A"),406,IF(OR(Atletas!P591="Yang 26 B",Atletas!P591="Yang 40 B"),407,IF(OR(Atletas!P591="Chen 25 B",Atletas!P591="Chen 36 B",Atletas!P591="Chen 56 B"),408,IF(Atletas!P591="Sun 73 B",409,IF(Atletas!P591="Wu 45 B",410,IF(Atletas!P591="Wu-Hao 46 B",411,IF(OR(Atletas!P591="Taijiquan 16 B",Atletas!P591="Taijiquan 24 B",Atletas!P591="Taijiquan 32 B",Atletas!P591="Taijiquan 42 B"),412,IF(OR(Atletas!P591="Yang 26 C",Atletas!P591="Yang 40 C"),413,IF(OR(Atletas!P591="Chen 25 C",Atletas!P591="Chen 36 C",Atletas!P591="Chen 56 C"),414,IF(Atletas!P591="Sun 73 C",415,IF(Atletas!P591="Wu 45 C",416,IF(Atletas!P591="Wu-Hao 46 C",417,IF(OR(Atletas!P591="Taijiquan 16 C",Atletas!P591="Taijiquan 24 C",Atletas!P591="Taijiquan 32 C",Atletas!P591="Taijiquan 42 C"),418,0)))))))))))))))))))</f>
        <v/>
      </c>
      <c r="BX600" s="50" t="str">
        <f>IF(Atletas!P591="","",IF(Atletas!X591&lt;&gt;"",10000,0)+IF(Atletas!B591="Feminino",1000,IF(Atletas!B591="Masculino",2000,""))+IF(OR(Atletas!P591="Yang 26 D",Atletas!P591="Yang 40 D"),419,IF(OR(Atletas!P591="Chen 25 D",Atletas!P591="Chen 36 D",Atletas!P591="Chen 56 D"),420,IF(Atletas!P591="Sun 73 D",421,IF(Atletas!P591="Wu 45 D",422,IF(Atletas!P591="Wu-Hao 46 D",423,IF(OR(Atletas!P591="Taijiquan 16 D",Atletas!P591="Taijiquan 24 D",Atletas!P591="Taijiquan 32 D",Atletas!P591="Taijiquan 42 D"),424,IF(OR(Atletas!P591="Yang 26 E",Atletas!P591="Yang 40 E"),425,IF(OR(Atletas!P591="Chen 25 E",Atletas!P591="Chen 36 E",Atletas!P591="Chen 56 E"),426,IF(Atletas!P591="Sun 73 E",427,IF(Atletas!P591="Wu 45 E",428,IF(Atletas!P591="Wu-Hao 46 E",429,IF(OR(Atletas!P591="Taijiquan 16 E",Atletas!P591="Taijiquan 24 E",Atletas!P591="Taijiquan 32 E",Atletas!P591="Taijiquan 42 E"),430,IF(OR(Atletas!P591="Yang 26 F",Atletas!P591="Yang 40 F"),431,IF(OR(Atletas!P591="Chen 25 F",Atletas!P591="Chen 36 F",Atletas!P591="Chen 56 F"),432,IF(Atletas!P591="Sun 73 F",433,IF(Atletas!P591="Wu 45 F",434,IF(Atletas!P591="Wu-Hao 46 F",435,IF(OR(Atletas!P591="Taijiquan 16 F",Atletas!P591="Taijiquan 24 F",Atletas!P591="Taijiquan 32 F",Atletas!P591="Taijiquan 42 F"),436,0)))))))))))))))))))</f>
        <v/>
      </c>
      <c r="BY600" s="50" t="str">
        <f>IF(Atletas!Q591="","",IF(Atletas!X591&lt;&gt;"",10000,0)+IF(Atletas!B591="Feminino",1000,IF(Atletas!B591="Masculino",2000,""))+IF(Atletas!Q591="Xingyiquan A",501,IF(Atletas!Q591="Baguazhang A",502,IF(Atletas!Q591="Outro Estilo Interno A",503,IF(Atletas!Q591="Xingyiquan B",504,IF(Atletas!Q591="Baguazhang B",505,IF(Atletas!Q591="Outro Estilo Interno B",506,IF(Atletas!Q591="Xingyiquan C",507,IF(Atletas!Q591="Baguazhang C",508,IF(Atletas!Q591="Outro Estilo Interno C",509,IF(Atletas!Q591="Xingyiquan D",510,IF(Atletas!Q591="Baguazhang D",511,IF(Atletas!Q591="Outro Estilo Interno D",512,IF(Atletas!Q591="Xingyiquan E",513,IF(Atletas!Q591="Baguazhang E",514,IF(Atletas!Q591="Outro Estilo Interno E",515,IF(Atletas!Q591="Xingyiquan F",516,IF(Atletas!Q591="Baguazhang F",517,IF(Atletas!Q591="Outro Estilo Interno F",518, "")))))))))))))))))))</f>
        <v/>
      </c>
      <c r="BZ600" s="50" t="str">
        <f>IF(Atletas!R591="","",IF(Atletas!X591&lt;&gt;"",10000,0)+IF(Atletas!B591="Feminino",1000,IF(Atletas!B591="Masculino",2000,""))+IF(Atletas!R591="Dao A",601,IF(Atletas!R591="Jian A",602,IF(Atletas!R591="Bishou A",603,IF(Atletas!R591="Shanzi A",604,IF(Atletas!R591="Outra Arma Curta A",605,IF(Atletas!R591="Dao B",606,IF(Atletas!R591="Jian B",607,IF(Atletas!R591="Bishou B",608,IF(Atletas!R591="Shanzi B",609,IF(Atletas!R591="Outra Arma Curta B",610,IF(Atletas!R591="Dao C",611,IF(Atletas!R591="Jian C",612,IF(Atletas!R591="Bishou C",613,IF(Atletas!R591="Shanzi C",614,IF(Atletas!R591="Outra Arma Curta C",615,IF(Atletas!R591="Dao D",616,IF(Atletas!R591="Jian D",617,IF(Atletas!R591="Bishou D",618,IF(Atletas!R591="Shanzi D",619,IF(Atletas!R591="Outra Arma Curta D",620,IF(Atletas!R591="Dao E",621,IF(Atletas!R591="Jian E",622,IF(Atletas!R591="Bishou E",623,IF(Atletas!R591="Shanzi E",624,IF(Atletas!R591="Outra Arma Curta E",625,IF(Atletas!R591="Dao F",626,IF(Atletas!R591="Jian F",627,IF(Atletas!R591="Bishou F",628,IF(Atletas!R591="Shanzi F",629,IF(Atletas!R591="Outra Arma Curta F",630, "")))))))))))))))))))))))))))))))</f>
        <v/>
      </c>
      <c r="CA600" s="50" t="str">
        <f>IF(Atletas!S591="","",IF(Atletas!X591&lt;&gt;"",10000,0)+IF(Atletas!B591="Feminino",1000,IF(Atletas!B591="Masculino",2000,""))+IF(Atletas!S591="Gun A",701,IF(Atletas!S591="Qiang A",702,IF(Atletas!S591="Pudao / Guandao A",703,IF(Atletas!S591="Outra Arma Longa A",704,IF(Atletas!S591="Gun B",705,IF(Atletas!S591="Qiang B",706,IF(Atletas!S591="Pudao / Guandao B",707,IF(Atletas!S591="Outra Arma Longa B",708,IF(Atletas!S591="Gun C",709,IF(Atletas!S591="Qiang C",710,IF(Atletas!S591="Pudao / Guandao C",711,IF(Atletas!S591="Outra Arma Longa C",712,IF(Atletas!S591="Gun D",713,IF(Atletas!S591="Qiang D",714,IF(Atletas!S591="Pudao / Guandao D",715,IF(Atletas!S591="Outra Arma Longa D",716,IF(Atletas!S591="Gun E",717,IF(Atletas!S591="Qiang E",718,IF(Atletas!S591="Pudao / Guandao E",719,IF(Atletas!S591="Outra Arma Longa E",720,IF(Atletas!S591="Gun F",721,IF(Atletas!S591="Qiang F",722,IF(Atletas!S591="Pudao / Guandao F",723,IF(Atletas!S591="Outra Arma Longa F",724,"")))))))))))))))))))))))))</f>
        <v/>
      </c>
      <c r="CB600" s="50" t="str">
        <f>IF(Atletas!T591="","",IF(Atletas!X591&lt;&gt;"",10000,0)+IF(Atletas!B591="Feminino",1000,IF(Atletas!B591="Masculino",2000,""))+IF(Atletas!T591="Outra Arma Dupla A",801,IF(Atletas!T591="Arma Maleável A",802,IF(Atletas!T591="Outra Arma Dupla B",803,IF(Atletas!T591="Arma Maleável B",804,IF(Atletas!T591="Outra Arma Dupla C",805,IF(Atletas!T591="Arma Maleável C",806,IF(Atletas!T591="Outra Arma Dupla D",807,IF(Atletas!T591="Arma Maleável D",808,IF(Atletas!T591="Outra Arma Dupla E",809,IF(Atletas!T591="Arma Maleável E",810,IF(Atletas!T591="Outra Arma Dupla F",811,IF(Atletas!T591="Arma Maleável F",812,IF(Atletas!T591="Shuangdao A",813,IF(Atletas!T591="Shuangdao B",814,IF(Atletas!T591="Shuangdao C",815,IF(Atletas!T591="Shuangdao D",816,IF(Atletas!T591="Shuangdao E",817,IF(Atletas!T591="Shuangdao F",818,"")))))))))))))))))))</f>
        <v/>
      </c>
      <c r="CC600" s="50" t="str">
        <f>IF(Atletas!U591="","",IF(Atletas!X591&lt;&gt;"",10000,0)+IF(Atletas!B591="Feminino",1000,IF(Atletas!B591="Masculino",2000,""))+IF(OR(Atletas!U591="Taijijian Yang A",Atletas!U591="Taijijian Yang Standard A"),901,IF(OR(Atletas!U591="Taijijian Chen A", Atletas!U591="Taijijian Chen Standard A"),902,IF(Atletas!U591="Taijijian Sun A",903,IF(Atletas!U591="Taijijian Wu A",904,IF(Atletas!U591="Taijijian Wu-Hao A",905,IF(OR(Atletas!U591="Taijijian 32 A",Atletas!U591="Taijijian 42 A"),906,IF(OR(Atletas!U591="Taijijian Yang B",Atletas!U591="Taijijian Yang Standard B"),907,IF(OR(Atletas!U591="Taijijian Chen B", Atletas!U591="Taijijian Chen Standard B"),908,IF(Atletas!U591="Taijijian Sun B",909,IF(Atletas!U591="Taijijian Wu B",910,IF(Atletas!U591="Taijijian Wu-Hao B",911,IF(OR(Atletas!U591="Taijijian 32 B",Atletas!U591="Taijijian 42 B"),912,IF(OR(Atletas!U591="Taijijian Yang C",Atletas!U591="Taijijian Yang Standard C"),913,IF(OR(Atletas!U591="Taijijian Chen C", Atletas!U591="Taijijian Chen Standard C"),914,IF(Atletas!U591="Taijijian Sun C",915,IF(Atletas!U591="Taijijian Wu C",916,IF(Atletas!U591="Taijijian Wu-Hao C",917,IF(OR(Atletas!U591="Taijijian 32 C",Atletas!U591="Taijijian 42 C"),918,IF(OR(Atletas!U591="Taijijian Yang D",Atletas!U591="Taijijian Yang Standard D"),919,IF(OR(Atletas!U591="Taijijian Chen D", Atletas!U591="Taijijian Chen Standard D"),920,IF(Atletas!U591="Taijijian Sun D",921,IF(Atletas!U591="Taijijian Wu D",922,IF(Atletas!U591="Taijijian Wu-Hao D",923,IF(OR(Atletas!U591="Taijijian 32 D",Atletas!U591="Taijijian 42 D"),924,IF(OR(Atletas!U591="Taijijian Yang E",Atletas!U591="Taijijian Yang Standard E"),925,IF(OR(Atletas!U591="Taijijian Chen E", Atletas!U591="Taijijian Chen Standard E"),926,IF(Atletas!U591="Taijijian Sun E",927,IF(Atletas!U591="Taijijian Wu E",928,IF(Atletas!U591="Taijijian Wu-Hao E",929,IF(OR(Atletas!U591="Taijijian 32 E",Atletas!U591="Taijijian 42 E"),930,IF(OR(Atletas!U591="Taijijian Yang F",Atletas!U591="Taijijian Yang Standard F"),931,IF(OR(Atletas!U591="Taijijian Chen F", Atletas!U591="Taijijian Chen Standard F"),932,IF(Atletas!U591="Taijijian Sun F",933,IF(Atletas!U591="Taijijian Wu F",934,IF(Atletas!U591="Taijijian Wu-Hao F",935,IF(OR(Atletas!U591="Taijijian 32 F",Atletas!U591="Taijijian 42 F"),936,"")))))))))))))))))))))))))))))))))))))</f>
        <v/>
      </c>
      <c r="CD600" s="50" t="str">
        <f>IF(Atletas!V591="","",IF(Atletas!X591&lt;&gt;"",10000,0)+IF(Atletas!B591="Feminino",1000,IF(Atletas!B591="Masculino",2000,""))+IF(Atletas!V591="Taijidao A",937,IF(Atletas!V591="TaijiShanzi A",938,IF(Atletas!V591="Taijiqiang A",939,IF(Atletas!V591="Bagua de Arma A",940,IF(Atletas!V591="Xingyi de Arma A",941,IF(Atletas!V591="Taijidao B",942,IF(Atletas!V591="TaijiShanzi B",943,IF(Atletas!V591="Taijiqiang B",944,IF(Atletas!V591="Bagua de Arma B",945,IF(Atletas!V591="Xingyi de Arma B",946,IF(Atletas!V591="Taijidao C",947,IF(Atletas!V591="TaijiShanzi C",948,IF(Atletas!V591="Taijiqiang C",949,IF(Atletas!V591="Bagua de Arma C",950,IF(Atletas!V591="Xingyi de Arma C",951,IF(Atletas!V591="Taijidao D",952,IF(Atletas!V591="TaijiShanzi D",953,IF(Atletas!V591="Taijiqiang D",954,IF(Atletas!V591="Bagua de Arma D",955,IF(Atletas!V591="Xingyi de Arma D",956,IF(Atletas!V591="Taijidao E",957,IF(Atletas!V591="TaijiShanzi E",958,IF(Atletas!V591="Taijiqiang E",959,IF(Atletas!V591="Bagua de Arma E",960,IF(Atletas!V591="Xingyi de Arma E",961,IF(Atletas!V591="Taijidao F",962,IF(Atletas!V591="TaijiShanzi F",963,IF(Atletas!V591="Taijiqiang F",964,IF(Atletas!V591="Bagua de Arma F",965,IF(Atletas!V591="Xingyi de Arma F",966,"")))))))))))))))))))))))))))))))</f>
        <v/>
      </c>
      <c r="CM600" s="50" t="str">
        <f xml:space="preserve"> IF(Atletas!W591="","",IF(Atletas!W591="Duilian de Mãos BC - Equipe 1",1,IF(Atletas!W591="Duilian de Mãos BC - Equipe 2",2,IF(Atletas!W591="Duilian de Armas BC - Equipe 1",3,IF(Atletas!W591="Duilian de Armas BC - Equipe 2",4,IF(Atletas!W591="Duilian de Mãos DE - Equipe 1",5,IF(Atletas!W591="Duilian de Mãos DE - Equipe 2",6,IF(Atletas!W591="Duilian de Armas DE - Equipe 1",7,IF(Atletas!W591="Duilian de Armas DE - Equipe 2",8,IF(Atletas!W591="Duilian de Tuishou - Equipe 1",9,IF(Atletas!W591="Duilian de Tuishou - Equipe 2",10,IF(Atletas!W591="Grupo Externo ABC - Equipe 1",11,IF(Atletas!W591="Grupo Externo ABC - Equipe 2",12,IF(Atletas!W591="Grupo Interno ABC - Equipe 1",13,IF(Atletas!W591="Grupo Interno ABC - Equipe 2",14,IF(Atletas!W591="Grupo Externo DEF - Equipe 1",15,IF(Atletas!W591="Grupo Externo DEF - Equipe 2",16,IF(Atletas!W591="Grupo Interno DEF - Equipe 1",17,IF(Atletas!W591="Grupo Interno DEF - Equipe 2",18,"")))))))))))))))))))</f>
        <v/>
      </c>
    </row>
    <row r="601" spans="40:91">
      <c r="AN601" s="52" t="str">
        <f>IF(Atletas!D592="","",IF(Atletas!B592="Feminino",100,IF(Atletas!B592="Masculino",200,""))+(IF(Atletas!D592="Kids 30kg",1,IF(Atletas!D592="Kids 32kg",2, IF(Atletas!D592="Kids 34kg",3,IF(Atletas!D592="Kids 36kg",4,IF(Atletas!D592="Kids 39kg",5,IF(Atletas!D592="Kids 42kg",6,IF(Atletas!D592="Kids 45kg",7, IF(Atletas!D592="Infantil 39kg",8,IF(Atletas!D592="Infantil 42kg",9,IF(Atletas!D592="Infantil 45kg",10,IF(Atletas!D592="Infantil 48kg",11,IF(Atletas!D592="Infantil 52kg",12,IF(Atletas!D592="Infantil 56kg",13,IF(Atletas!D592="Infantil 60kg",14,IF(Atletas!D592="Juvenil 48kg",15,IF(Atletas!D592="Juvenil 52kg",16,IF(Atletas!D592="Juvenil 56kg",17,IF(Atletas!D592="Juvenil 60kg",18,IF(Atletas!D592="Juvenil 65kg",19,IF(Atletas!D592="Juvenil 70kg",20,IF(Atletas!D592="Juvenil 75kg",21,IF(Atletas!D592="Juvenil 80kg",22, IF(Atletas!D592="Juvenil 85kg",23,IF(Atletas!D592="Adulto 48kg",24,IF(Atletas!D592="Adulto 52kg",25,IF(Atletas!D592="Adulto 56kg",26,IF(Atletas!D592="Adulto 60kg",27,IF(Atletas!D592="Adulto 65kg",28,IF(Atletas!D592="Adulto 70kg",29,IF(Atletas!D592="Adulto 75kg",30,IF(Atletas!D592="Adulto 80kg",31,IF(Atletas!D592="Adulto 85kg",32,IF(Atletas!D592="Adulto 90kg",33,IF(Atletas!D592="Adulto 100kg",34, IF(Atletas!D592="Adulto +100kg",35,"")))))))))))))))))))))))))))))))))))))</f>
        <v/>
      </c>
      <c r="AS601" s="6" t="str">
        <f>IF(Atletas!E592="","",IF(Atletas!B592="Feminino",100,IF(Atletas!B592="Masculino",200,""))+(IF(Atletas!E592="Juvenil 44kg",1,IF(Atletas!E592="Juvenil 48kg",2,IF(Atletas!E592="Juvenil 52kg",3,IF(Atletas!E592="Juvenil 56kg",4,IF(Atletas!E592="Juvenil 60kg",5,IF(Atletas!E592="Juvenil 65kg",6,IF(Atletas!E592="Juvenil 70kg",7,IF(Atletas!E592="Juvenil 75kg",8,IF(Atletas!E592="Juvenil 82kg",9,IF(Atletas!E592="Juvenil 90kg",10,IF(Atletas!E592="Juvenil 100kg",11,IF(Atletas!E592="Adulto 48kg",12,IF(Atletas!E592="Adulto 52kg",13,IF(Atletas!E592="Adulto 56kg",14,IF(Atletas!E592="Adulto 60kg",15,IF(Atletas!E592="Adulto 65kg",16,IF(Atletas!E592="Adulto 70kg",17,IF(Atletas!E592="Adulto 75kg",18,IF(Atletas!E592="Adulto 82kg",19,IF(Atletas!E592="Adulto 90kg",20,IF(Atletas!E592="Adulto 100kg",21,IF(Atletas!E592="Adulto +100kg",22,""))))))))))))))))))))))))</f>
        <v/>
      </c>
      <c r="AX601" s="6" t="str">
        <f>IF(Atletas!F592="","",IF(Atletas!B592="Feminino",100,IF(Atletas!B592="Masculino",200,""))+(IF(Atletas!F592="Adulto 48kg",1,IF(Atletas!F592="Adulto 56kg",2,IF(Atletas!F592="Adulto 65kg",3,IF(Atletas!F592="Adulto 75kg",4,IF(Atletas!F592="Adulto +75kg",5,IF(Atletas!F592="Adulto 52kg",6,IF(Atletas!F592="Adulto 60kg",7,IF(Atletas!F592="Adulto 70kg",8,IF(Atletas!F592="Adulto 80kg",9,IF(Atletas!F592="Adulto 90kg",10,IF(Atletas!F592="Adulto +90kg",11,"")))))))))))))</f>
        <v/>
      </c>
      <c r="BC601" s="6" t="str">
        <f>IF(Atletas!G592="","",IF(Atletas!B592="Feminino",10,IF(Atletas!B592="Masculino",20,""))+(IF(Atletas!G592="Baduanjin A",1,IF(Atletas!G592="Baduanjin B",2))))</f>
        <v/>
      </c>
      <c r="BF601" s="52" t="str">
        <f>IF(Atletas!H592="","",IF(Atletas!B592="Feminino",100,IF(Atletas!B592="Masculino",200,""))+(IF(Atletas!H592="Changquan Mirim",1,IF(Atletas!H592="Nanquan Mirim",2,IF(Atletas!H592="Taijiquan Mirim",3,IF(Atletas!H592="Changquan Grupo C",4,IF(Atletas!H592="Nanquan Grupo C",5,IF(Atletas!H592="Taijiquan Grupo C",6,IF(Atletas!H592="Changquan Grupo B",7,IF(Atletas!H592="Nanquan Grupo B",8,IF(Atletas!H592="Taijiquan Grupo B",9,IF(Atletas!H592="Changquan Grupo A",10,IF(Atletas!H592="Nanquan Grupo A",11,IF(Atletas!H592="Taijiquan Grupo A",12,IF(Atletas!H592="Changquan Opcional",13,IF(Atletas!H592="Nanquan Opcional",14,IF(Atletas!H592="Taijiquan Opcional",15,IF(Atletas!H592="Changquan Adulto",16,IF(Atletas!H592="Nanquan Adulto",17,IF(Atletas!H592="Taijiquan Adulto",18,""))))))))))))))))))))</f>
        <v/>
      </c>
      <c r="BG601" s="52" t="str">
        <f>IF(Atletas!I592="","",IF(Atletas!B592="Feminino",100,IF(Atletas!B592="Masculino",200,""))+(IF(Atletas!I592="Daoshu Mirim",19,IF(Atletas!I592="Jianshu Mirim",20,IF(Atletas!I592="Nandao Mirim",21,IF(Atletas!I592="Taijijian Mirim",22,IF(Atletas!I592="Daoshu Grupo C",23,IF(Atletas!I592="Jianshu Grupo C",24,IF(Atletas!I592="Nandao Grupo C",25,IF(Atletas!I592="Taijijian Grupo C",26,IF(Atletas!I592="Daoshu Grupo B",27,IF(Atletas!I592="Jianshu Grupo B",28,IF(Atletas!I592="Nandao Grupo B",29,IF(Atletas!I592="Taijijian Grupo B",30,IF(Atletas!I592="Daoshu Grupo A",31,IF(Atletas!I592="Jianshu Grupo A",32,IF(Atletas!I592="Nandao Grupo A",33,IF(Atletas!I592="Taijijian Grupo A",34,IF(Atletas!I592="Daoshu Opcional",35,IF(Atletas!I592="Jianshu Opcional",36,IF(Atletas!I592="Nandao Opcional",37,IF(Atletas!I592="Taijijian Opcional",38,IF(Atletas!I592="Daoshu Adulto",39,IF(Atletas!I592="Jianshu Adulto",40,IF(Atletas!I592="Nandao Adulto",41,IF(Atletas!I592="Taijijian Adulto",42,""))))))))))))))))))))))))))</f>
        <v/>
      </c>
      <c r="BH601" s="52" t="str">
        <f>IF(Atletas!J592="","",IF(Atletas!B592="Feminino",100,IF(Atletas!B592="Masculino",200,""))+(IF(Atletas!J592="Gunshu Mirim",43,IF(Atletas!J592="Qiangshu Mirim",44,IF(Atletas!J592="Nangun Mirim",45,IF(Atletas!J592="Gunshu Grupo C",46,IF(Atletas!J592="Qiangshu Grupo C",47,IF(Atletas!J592="Nangun Grupo C",48,IF(Atletas!J592="Gunshu Grupo B",49,IF(Atletas!J592="Qiangshu Grupo B",50,IF(Atletas!J592="Nangun Grupo B",51,IF(Atletas!J592="Gunshu Grupo A",52,IF(Atletas!J592="Qiangshu Grupo A",53,IF(Atletas!J592="Nangun Grupo A",54,IF(Atletas!J592="Gunshu Opcional",55,IF(Atletas!J592="Qiangshu Opcional",56,IF(Atletas!J592="Nangun Opcional",57,IF(Atletas!J592="Gunshu Adulto",58,IF(Atletas!J592="Qiangshu Adulto",59,IF(Atletas!J592="Nangun Adulto",60,IF(Atletas!J592="Taijishan Grupo B",61,IF(Atletas!J592="Taijishan Grupo A",62,""))))))))))))))))))))))</f>
        <v/>
      </c>
      <c r="BM601" s="50" t="str">
        <f>IF(Atletas!K592="","",IF(Atletas!B592="Feminino",100,IF(Atletas!B592="Masculino",200,""))+(IF(Atletas!K592="Equipe 1 Grupo B",1,IF(Atletas!K592="Equipe 2 Grupo B",2,IF(Atletas!K592="Equipe 1 Grupo A",3,IF(Atletas!K592="Equipe 2 Grupo A",4,IF(Atletas!K592="Equipe 1 Adulto",5,IF(Atletas!K592="Equipe 2 Adulto",6,""))))))))</f>
        <v/>
      </c>
      <c r="BR601" s="50" t="str">
        <f>IF(Atletas!L592="","",IF(Atletas!X592&lt;&gt;"",10000,0)+(IF(Atletas!B592="Feminino",1000,IF(Atletas!B592="Masculino",2000,""))+IF(Atletas!L592="Choylayfut A",1,IF(Atletas!L592="Hunggar A",2,IF(Atletas!L592="Wuzuquan A",3,IF(Atletas!L592="Wingchun A",4,IF(Atletas!L592="Outra Mão de Sul A",5,IF(Atletas!L592="Choylayfut B",6,IF(Atletas!L592="Hunggar B",7,IF(Atletas!L592="Wuzuquan B",8,IF(Atletas!L592="Wingchun B",9,IF(Atletas!L592="Outra Mão de Sul B",10,IF(Atletas!L592="Choylayfut C",11,IF(Atletas!L592="Hunggar C",12,IF(Atletas!L592="Wuzuquan C",13,IF(Atletas!L592="Wingchun C",14,IF(Atletas!L592="Outra Mão de Sul C",15,IF(Atletas!L592="Choylayfut D",16,IF(Atletas!L592="Hunggar D",17,IF(Atletas!L592="Wuzuquan D",18,IF(Atletas!L592="Wingchun D",19,IF(Atletas!L592="Outra Mão de Sul D",20,IF(Atletas!L592="Choylayfut E",21,IF(Atletas!L592="Hunggar E",22,IF(Atletas!L592="Wuzuquan E",23,IF(Atletas!L592="Wingchun E",24,IF(Atletas!L592="Outra Mão de Sul E",25,IF(Atletas!L592="Choylayfut F",26,IF(Atletas!L592="Hunggar F",27,IF(Atletas!L592="Wuzuquan F",28,IF(Atletas!L592="Wingchun F",29,IF(Atletas!L592="Outra Mão de Sul F",30,IF(Atletas!L592="Dishuquan A",31,IF(Atletas!L592="Dishuquan B",32,IF(Atletas!L592="Dishuquan C",33,IF(Atletas!L592="Dishuquan D",34,IF(Atletas!L592="Dishuquan E",35,IF(Atletas!L592="Dishuquan F",36,""))))))))))))))))))))))))))))))))))))))</f>
        <v/>
      </c>
      <c r="BS601" s="50" t="str">
        <f>IF(Atletas!M592="","",IF(Atletas!X592&lt;&gt;"",10000,0)+(IF(Atletas!B592="Feminino",1000,IF(Atletas!B592="Masculino",2000,""))+(IF(Atletas!M592="Chaquan A",101,IF(Atletas!M592="Emeiquan A",102,IF(Atletas!M592="Fanziquan A",103,IF(Atletas!M592="Huaquan A",104,IF(Atletas!M592="Hongquan A",105,IF(Atletas!M592="Paoquan A",106,IF(Atletas!M592="Piguaquan A",107,IF(Atletas!M592="Shaolinquan A",108,IF(Atletas!M592="Tanglangquan A",109,IF(Atletas!M592="Yingzhaoquan A",110,IF(Atletas!M592="Tongbeiquan A",111,IF(Atletas!M592="Wudangquan A",112,IF(Atletas!M592="Outros Estilos A",113,IF(Atletas!M592="Chaquan B",114,IF(Atletas!M592="Emeiquan B",115,IF(Atletas!M592="Fanziquan B",116,IF(Atletas!M592="Huaquan B",117,IF(Atletas!M592="Hongquan B",118,IF(Atletas!M592="Paoquan B",119,IF(Atletas!M592="Piguaquan B",120,IF(Atletas!M592="Shaolinquan B",121,IF(Atletas!M592="Tanglangquan B",122,IF(Atletas!M592="Yingzhaoquan B",123,IF(Atletas!M592="Tongbeiquan B",124,IF(Atletas!M592="Wudangquan B",125,IF(Atletas!M592="Outros Estilos B",126,IF(Atletas!M592="Chaquan C",127,IF(Atletas!M592="Emeiquan C",128,IF(Atletas!M592="Fanziquan C",129,IF(Atletas!M592="Huaquan C",130,IF(Atletas!M592="Hongquan C",131,IF(Atletas!M592="Paoquan C",132,IF(Atletas!M592="Piguaquan C",133,IF(Atletas!M592="Shaolinquan C",134,IF(Atletas!M592="Tanglangquan C",135,IF(Atletas!M592="Yingzhaoquan C",136,IF(Atletas!M592="Tongbeiquan C",137,IF(Atletas!M592="Wudangquan C",138,IF(Atletas!M592="Outros Estilos C",139,0))))))))))))))))))))))))))))))))))))))))))</f>
        <v/>
      </c>
      <c r="BT601" s="50" t="str">
        <f>IF(Atletas!M592="","",IF(Atletas!X592&lt;&gt;"",10000,0)+(IF(Atletas!B592="Feminino",1000,IF(Atletas!B592="Masculino",2000,""))+(IF(Atletas!M592="Chaquan D",140,IF(Atletas!M592="Emeiquan D",141,IF(Atletas!M592="Fanziquan D",142,IF(Atletas!M592="Huaquan D",143,IF(Atletas!M592="Hongquan D",144,IF(Atletas!M592="Paoquan D",145,IF(Atletas!M592="Piguaquan D",146,IF(Atletas!M592="Shaolinquan D",147,IF(Atletas!M592="Tanglangquan D",148,IF(Atletas!M592="Yingzhaoquan D",149,IF(Atletas!M592="Tongbeiquan D",150,IF(Atletas!M592="Wudangquan D",151,IF(Atletas!M592="Outros Estilos D",152,IF(Atletas!M592="Chaquan E",153,IF(Atletas!M592="Emeiquan E",154,IF(Atletas!M592="Fanziquan E",155,IF(Atletas!M592="Huaquan E",156,IF(Atletas!M592="Hongquan E",157,IF(Atletas!M592="Paoquan E",158,IF(Atletas!M592="Piguaquan E",159,IF(Atletas!M592="Shaolinquan E",160,IF(Atletas!M592="Tanglangquan E",161,IF(Atletas!M592="Yingzhaoquan E",162,IF(Atletas!M592="Tongbeiquan E",163,IF(Atletas!M592="Wudangquan E",164,IF(Atletas!M592="Outros Estilos E",165,IF(Atletas!M592="Chaquan F",166,IF(Atletas!M592="Emeiquan F",167,IF(Atletas!M592="Fanziquan F",168,IF(Atletas!M592="Huaquan F",169,IF(Atletas!M592="Hongquan F",170,IF(Atletas!M592="Paoquan F",171,IF(Atletas!M592="Piguaquan F",172,IF(Atletas!M592="Shaolinquan F",173,IF(Atletas!M592="Tanglangquan F",174,IF(Atletas!M592="Yingzhaoquan F",175,IF(Atletas!M592="Tongbeiquan F",176,IF(Atletas!M592="Wudangquan F",177,IF(Atletas!M592="Outros Estilos F",178,0))))))))))))))))))))))))))))))))))))))))))</f>
        <v/>
      </c>
      <c r="BU601" s="50" t="str">
        <f>IF(Atletas!N592="","",IF(Atletas!X592&lt;&gt;"",10000,0)+(IF(Atletas!B592="Feminino",1000,IF(Atletas!B592="Masculino",2000,""))+(IF(Atletas!N592="Ditangquan A",201,IF(Atletas!N592="Houquan A",202,IF(Atletas!N592="Zuiquan A",203,IF(Atletas!N592="Ditangquan B",204,IF(Atletas!N592="Houquan B",205,IF(Atletas!N592="Zuiquan B",206,IF(Atletas!N592="Ditangquan C",207,IF(Atletas!N592="Houquan C",208,IF(Atletas!N592="Zuiquan C",209,IF(Atletas!N592="Ditangquan D",210,IF(Atletas!N592="Houquan D",211,IF(Atletas!N592="Zuiquan D",212,IF(Atletas!N592="Ditangquan E",213,IF(Atletas!N592="Houquan E",214,IF(Atletas!N592="Zuiquan E",215,IF(Atletas!N592="Ditangquan F",216,IF(Atletas!N592="Houquan F",217,IF(Atletas!N592="Zuiquan F",218,"")))))))))))))))))))))</f>
        <v/>
      </c>
      <c r="BV601" s="50" t="str">
        <f>IF(Atletas!O592="","",IF(Atletas!X592&lt;&gt;"",10000,0)+IF(Atletas!B592="Feminino",1000,IF(Atletas!B592="Masculino",2000,""))+IF(Atletas!O592="Yang A",301,IF(Atletas!O592="Chen A",302,IF(Atletas!O592="Sun A",303,IF(Atletas!O592="Wu A",304,IF(Atletas!O592="Wu-Hao A",305,IF(Atletas!O592="Outro Taijiquan A",306,IF(Atletas!O592="Yang B",307,IF(Atletas!O592="Chen B",308,IF(Atletas!O592="Sun B",309,IF(Atletas!O592="Wu B",310,IF(Atletas!O592="Wu-Hao B",311,IF(Atletas!O592="Outro Taijiquan B",312,IF(Atletas!O592="Yang C",313,IF(Atletas!O592="Chen C",314,IF(Atletas!O592="Sun C",315,IF(Atletas!O592="Wu C",316,IF(Atletas!O592="Wu-Hao C",317,IF(Atletas!O592="Outro Taijiquan C",318,IF(Atletas!O592="Yang D",319,IF(Atletas!O592="Chen D",320,IF(Atletas!O592="Sun D",321,IF(Atletas!O592="Wu D",322,IF(Atletas!O592="Wu-Hao D",323,IF(Atletas!O592="Outro Taijiquan D",324,IF(Atletas!O592="Yang E",325,IF(Atletas!O592="Chen E",326,IF(Atletas!O592="Sun E",327,IF(Atletas!O592="Wu E",328,IF(Atletas!O592="Wu-Hao E",329,IF(Atletas!O592="Outro Taijiquan E",330,IF(Atletas!O592="Yang F",331,IF(Atletas!O592="Chen F",332,IF(Atletas!O592="Sun F",333,IF(Atletas!O592="Wu F",334,IF(Atletas!O592="Wu-Hao F",335,IF(Atletas!O592="Outro Taijiquan F",336,"")))))))))))))))))))))))))))))))))))))</f>
        <v/>
      </c>
      <c r="BW601" s="50" t="str">
        <f>IF(Atletas!P592="","",IF(Atletas!X592&lt;&gt;"",10000,0)+IF(Atletas!B592="Feminino",1000,IF(Atletas!B592="Masculino",2000,""))+IF(OR(Atletas!P592="Yang 26 A",Atletas!P592="Yang 40 A"),401,IF(OR(Atletas!P592="Chen 25 A",Atletas!P592="Chen 36 A",Atletas!P592="Chen 56 A"),402,IF(Atletas!P592="Sun 73 A",403,IF(Atletas!P592="Wu 45 A",404,IF(Atletas!P592="Wu-Hao 46 A",405,IF(OR(Atletas!P592="Taijiquan 16 A",Atletas!P592="Taijiquan 24 A",Atletas!P592="Taijiquan 32 A",Atletas!P592="Taijiquan 42 A"),406,IF(OR(Atletas!P592="Yang 26 B",Atletas!P592="Yang 40 B"),407,IF(OR(Atletas!P592="Chen 25 B",Atletas!P592="Chen 36 B",Atletas!P592="Chen 56 B"),408,IF(Atletas!P592="Sun 73 B",409,IF(Atletas!P592="Wu 45 B",410,IF(Atletas!P592="Wu-Hao 46 B",411,IF(OR(Atletas!P592="Taijiquan 16 B",Atletas!P592="Taijiquan 24 B",Atletas!P592="Taijiquan 32 B",Atletas!P592="Taijiquan 42 B"),412,IF(OR(Atletas!P592="Yang 26 C",Atletas!P592="Yang 40 C"),413,IF(OR(Atletas!P592="Chen 25 C",Atletas!P592="Chen 36 C",Atletas!P592="Chen 56 C"),414,IF(Atletas!P592="Sun 73 C",415,IF(Atletas!P592="Wu 45 C",416,IF(Atletas!P592="Wu-Hao 46 C",417,IF(OR(Atletas!P592="Taijiquan 16 C",Atletas!P592="Taijiquan 24 C",Atletas!P592="Taijiquan 32 C",Atletas!P592="Taijiquan 42 C"),418,0)))))))))))))))))))</f>
        <v/>
      </c>
      <c r="BX601" s="50" t="str">
        <f>IF(Atletas!P592="","",IF(Atletas!X592&lt;&gt;"",10000,0)+IF(Atletas!B592="Feminino",1000,IF(Atletas!B592="Masculino",2000,""))+IF(OR(Atletas!P592="Yang 26 D",Atletas!P592="Yang 40 D"),419,IF(OR(Atletas!P592="Chen 25 D",Atletas!P592="Chen 36 D",Atletas!P592="Chen 56 D"),420,IF(Atletas!P592="Sun 73 D",421,IF(Atletas!P592="Wu 45 D",422,IF(Atletas!P592="Wu-Hao 46 D",423,IF(OR(Atletas!P592="Taijiquan 16 D",Atletas!P592="Taijiquan 24 D",Atletas!P592="Taijiquan 32 D",Atletas!P592="Taijiquan 42 D"),424,IF(OR(Atletas!P592="Yang 26 E",Atletas!P592="Yang 40 E"),425,IF(OR(Atletas!P592="Chen 25 E",Atletas!P592="Chen 36 E",Atletas!P592="Chen 56 E"),426,IF(Atletas!P592="Sun 73 E",427,IF(Atletas!P592="Wu 45 E",428,IF(Atletas!P592="Wu-Hao 46 E",429,IF(OR(Atletas!P592="Taijiquan 16 E",Atletas!P592="Taijiquan 24 E",Atletas!P592="Taijiquan 32 E",Atletas!P592="Taijiquan 42 E"),430,IF(OR(Atletas!P592="Yang 26 F",Atletas!P592="Yang 40 F"),431,IF(OR(Atletas!P592="Chen 25 F",Atletas!P592="Chen 36 F",Atletas!P592="Chen 56 F"),432,IF(Atletas!P592="Sun 73 F",433,IF(Atletas!P592="Wu 45 F",434,IF(Atletas!P592="Wu-Hao 46 F",435,IF(OR(Atletas!P592="Taijiquan 16 F",Atletas!P592="Taijiquan 24 F",Atletas!P592="Taijiquan 32 F",Atletas!P592="Taijiquan 42 F"),436,0)))))))))))))))))))</f>
        <v/>
      </c>
      <c r="BY601" s="50" t="str">
        <f>IF(Atletas!Q592="","",IF(Atletas!X592&lt;&gt;"",10000,0)+IF(Atletas!B592="Feminino",1000,IF(Atletas!B592="Masculino",2000,""))+IF(Atletas!Q592="Xingyiquan A",501,IF(Atletas!Q592="Baguazhang A",502,IF(Atletas!Q592="Outro Estilo Interno A",503,IF(Atletas!Q592="Xingyiquan B",504,IF(Atletas!Q592="Baguazhang B",505,IF(Atletas!Q592="Outro Estilo Interno B",506,IF(Atletas!Q592="Xingyiquan C",507,IF(Atletas!Q592="Baguazhang C",508,IF(Atletas!Q592="Outro Estilo Interno C",509,IF(Atletas!Q592="Xingyiquan D",510,IF(Atletas!Q592="Baguazhang D",511,IF(Atletas!Q592="Outro Estilo Interno D",512,IF(Atletas!Q592="Xingyiquan E",513,IF(Atletas!Q592="Baguazhang E",514,IF(Atletas!Q592="Outro Estilo Interno E",515,IF(Atletas!Q592="Xingyiquan F",516,IF(Atletas!Q592="Baguazhang F",517,IF(Atletas!Q592="Outro Estilo Interno F",518, "")))))))))))))))))))</f>
        <v/>
      </c>
      <c r="BZ601" s="50" t="str">
        <f>IF(Atletas!R592="","",IF(Atletas!X592&lt;&gt;"",10000,0)+IF(Atletas!B592="Feminino",1000,IF(Atletas!B592="Masculino",2000,""))+IF(Atletas!R592="Dao A",601,IF(Atletas!R592="Jian A",602,IF(Atletas!R592="Bishou A",603,IF(Atletas!R592="Shanzi A",604,IF(Atletas!R592="Outra Arma Curta A",605,IF(Atletas!R592="Dao B",606,IF(Atletas!R592="Jian B",607,IF(Atletas!R592="Bishou B",608,IF(Atletas!R592="Shanzi B",609,IF(Atletas!R592="Outra Arma Curta B",610,IF(Atletas!R592="Dao C",611,IF(Atletas!R592="Jian C",612,IF(Atletas!R592="Bishou C",613,IF(Atletas!R592="Shanzi C",614,IF(Atletas!R592="Outra Arma Curta C",615,IF(Atletas!R592="Dao D",616,IF(Atletas!R592="Jian D",617,IF(Atletas!R592="Bishou D",618,IF(Atletas!R592="Shanzi D",619,IF(Atletas!R592="Outra Arma Curta D",620,IF(Atletas!R592="Dao E",621,IF(Atletas!R592="Jian E",622,IF(Atletas!R592="Bishou E",623,IF(Atletas!R592="Shanzi E",624,IF(Atletas!R592="Outra Arma Curta E",625,IF(Atletas!R592="Dao F",626,IF(Atletas!R592="Jian F",627,IF(Atletas!R592="Bishou F",628,IF(Atletas!R592="Shanzi F",629,IF(Atletas!R592="Outra Arma Curta F",630, "")))))))))))))))))))))))))))))))</f>
        <v/>
      </c>
      <c r="CA601" s="50" t="str">
        <f>IF(Atletas!S592="","",IF(Atletas!X592&lt;&gt;"",10000,0)+IF(Atletas!B592="Feminino",1000,IF(Atletas!B592="Masculino",2000,""))+IF(Atletas!S592="Gun A",701,IF(Atletas!S592="Qiang A",702,IF(Atletas!S592="Pudao / Guandao A",703,IF(Atletas!S592="Outra Arma Longa A",704,IF(Atletas!S592="Gun B",705,IF(Atletas!S592="Qiang B",706,IF(Atletas!S592="Pudao / Guandao B",707,IF(Atletas!S592="Outra Arma Longa B",708,IF(Atletas!S592="Gun C",709,IF(Atletas!S592="Qiang C",710,IF(Atletas!S592="Pudao / Guandao C",711,IF(Atletas!S592="Outra Arma Longa C",712,IF(Atletas!S592="Gun D",713,IF(Atletas!S592="Qiang D",714,IF(Atletas!S592="Pudao / Guandao D",715,IF(Atletas!S592="Outra Arma Longa D",716,IF(Atletas!S592="Gun E",717,IF(Atletas!S592="Qiang E",718,IF(Atletas!S592="Pudao / Guandao E",719,IF(Atletas!S592="Outra Arma Longa E",720,IF(Atletas!S592="Gun F",721,IF(Atletas!S592="Qiang F",722,IF(Atletas!S592="Pudao / Guandao F",723,IF(Atletas!S592="Outra Arma Longa F",724,"")))))))))))))))))))))))))</f>
        <v/>
      </c>
      <c r="CB601" s="50" t="str">
        <f>IF(Atletas!T592="","",IF(Atletas!X592&lt;&gt;"",10000,0)+IF(Atletas!B592="Feminino",1000,IF(Atletas!B592="Masculino",2000,""))+IF(Atletas!T592="Outra Arma Dupla A",801,IF(Atletas!T592="Arma Maleável A",802,IF(Atletas!T592="Outra Arma Dupla B",803,IF(Atletas!T592="Arma Maleável B",804,IF(Atletas!T592="Outra Arma Dupla C",805,IF(Atletas!T592="Arma Maleável C",806,IF(Atletas!T592="Outra Arma Dupla D",807,IF(Atletas!T592="Arma Maleável D",808,IF(Atletas!T592="Outra Arma Dupla E",809,IF(Atletas!T592="Arma Maleável E",810,IF(Atletas!T592="Outra Arma Dupla F",811,IF(Atletas!T592="Arma Maleável F",812,IF(Atletas!T592="Shuangdao A",813,IF(Atletas!T592="Shuangdao B",814,IF(Atletas!T592="Shuangdao C",815,IF(Atletas!T592="Shuangdao D",816,IF(Atletas!T592="Shuangdao E",817,IF(Atletas!T592="Shuangdao F",818,"")))))))))))))))))))</f>
        <v/>
      </c>
      <c r="CC601" s="50" t="str">
        <f>IF(Atletas!U592="","",IF(Atletas!X592&lt;&gt;"",10000,0)+IF(Atletas!B592="Feminino",1000,IF(Atletas!B592="Masculino",2000,""))+IF(OR(Atletas!U592="Taijijian Yang A",Atletas!U592="Taijijian Yang Standard A"),901,IF(OR(Atletas!U592="Taijijian Chen A", Atletas!U592="Taijijian Chen Standard A"),902,IF(Atletas!U592="Taijijian Sun A",903,IF(Atletas!U592="Taijijian Wu A",904,IF(Atletas!U592="Taijijian Wu-Hao A",905,IF(OR(Atletas!U592="Taijijian 32 A",Atletas!U592="Taijijian 42 A"),906,IF(OR(Atletas!U592="Taijijian Yang B",Atletas!U592="Taijijian Yang Standard B"),907,IF(OR(Atletas!U592="Taijijian Chen B", Atletas!U592="Taijijian Chen Standard B"),908,IF(Atletas!U592="Taijijian Sun B",909,IF(Atletas!U592="Taijijian Wu B",910,IF(Atletas!U592="Taijijian Wu-Hao B",911,IF(OR(Atletas!U592="Taijijian 32 B",Atletas!U592="Taijijian 42 B"),912,IF(OR(Atletas!U592="Taijijian Yang C",Atletas!U592="Taijijian Yang Standard C"),913,IF(OR(Atletas!U592="Taijijian Chen C", Atletas!U592="Taijijian Chen Standard C"),914,IF(Atletas!U592="Taijijian Sun C",915,IF(Atletas!U592="Taijijian Wu C",916,IF(Atletas!U592="Taijijian Wu-Hao C",917,IF(OR(Atletas!U592="Taijijian 32 C",Atletas!U592="Taijijian 42 C"),918,IF(OR(Atletas!U592="Taijijian Yang D",Atletas!U592="Taijijian Yang Standard D"),919,IF(OR(Atletas!U592="Taijijian Chen D", Atletas!U592="Taijijian Chen Standard D"),920,IF(Atletas!U592="Taijijian Sun D",921,IF(Atletas!U592="Taijijian Wu D",922,IF(Atletas!U592="Taijijian Wu-Hao D",923,IF(OR(Atletas!U592="Taijijian 32 D",Atletas!U592="Taijijian 42 D"),924,IF(OR(Atletas!U592="Taijijian Yang E",Atletas!U592="Taijijian Yang Standard E"),925,IF(OR(Atletas!U592="Taijijian Chen E", Atletas!U592="Taijijian Chen Standard E"),926,IF(Atletas!U592="Taijijian Sun E",927,IF(Atletas!U592="Taijijian Wu E",928,IF(Atletas!U592="Taijijian Wu-Hao E",929,IF(OR(Atletas!U592="Taijijian 32 E",Atletas!U592="Taijijian 42 E"),930,IF(OR(Atletas!U592="Taijijian Yang F",Atletas!U592="Taijijian Yang Standard F"),931,IF(OR(Atletas!U592="Taijijian Chen F", Atletas!U592="Taijijian Chen Standard F"),932,IF(Atletas!U592="Taijijian Sun F",933,IF(Atletas!U592="Taijijian Wu F",934,IF(Atletas!U592="Taijijian Wu-Hao F",935,IF(OR(Atletas!U592="Taijijian 32 F",Atletas!U592="Taijijian 42 F"),936,"")))))))))))))))))))))))))))))))))))))</f>
        <v/>
      </c>
      <c r="CD601" s="50" t="str">
        <f>IF(Atletas!V592="","",IF(Atletas!X592&lt;&gt;"",10000,0)+IF(Atletas!B592="Feminino",1000,IF(Atletas!B592="Masculino",2000,""))+IF(Atletas!V592="Taijidao A",937,IF(Atletas!V592="TaijiShanzi A",938,IF(Atletas!V592="Taijiqiang A",939,IF(Atletas!V592="Bagua de Arma A",940,IF(Atletas!V592="Xingyi de Arma A",941,IF(Atletas!V592="Taijidao B",942,IF(Atletas!V592="TaijiShanzi B",943,IF(Atletas!V592="Taijiqiang B",944,IF(Atletas!V592="Bagua de Arma B",945,IF(Atletas!V592="Xingyi de Arma B",946,IF(Atletas!V592="Taijidao C",947,IF(Atletas!V592="TaijiShanzi C",948,IF(Atletas!V592="Taijiqiang C",949,IF(Atletas!V592="Bagua de Arma C",950,IF(Atletas!V592="Xingyi de Arma C",951,IF(Atletas!V592="Taijidao D",952,IF(Atletas!V592="TaijiShanzi D",953,IF(Atletas!V592="Taijiqiang D",954,IF(Atletas!V592="Bagua de Arma D",955,IF(Atletas!V592="Xingyi de Arma D",956,IF(Atletas!V592="Taijidao E",957,IF(Atletas!V592="TaijiShanzi E",958,IF(Atletas!V592="Taijiqiang E",959,IF(Atletas!V592="Bagua de Arma E",960,IF(Atletas!V592="Xingyi de Arma E",961,IF(Atletas!V592="Taijidao F",962,IF(Atletas!V592="TaijiShanzi F",963,IF(Atletas!V592="Taijiqiang F",964,IF(Atletas!V592="Bagua de Arma F",965,IF(Atletas!V592="Xingyi de Arma F",966,"")))))))))))))))))))))))))))))))</f>
        <v/>
      </c>
      <c r="CM601" s="50" t="str">
        <f xml:space="preserve"> IF(Atletas!W592="","",IF(Atletas!W592="Duilian de Mãos BC - Equipe 1",1,IF(Atletas!W592="Duilian de Mãos BC - Equipe 2",2,IF(Atletas!W592="Duilian de Armas BC - Equipe 1",3,IF(Atletas!W592="Duilian de Armas BC - Equipe 2",4,IF(Atletas!W592="Duilian de Mãos DE - Equipe 1",5,IF(Atletas!W592="Duilian de Mãos DE - Equipe 2",6,IF(Atletas!W592="Duilian de Armas DE - Equipe 1",7,IF(Atletas!W592="Duilian de Armas DE - Equipe 2",8,IF(Atletas!W592="Duilian de Tuishou - Equipe 1",9,IF(Atletas!W592="Duilian de Tuishou - Equipe 2",10,IF(Atletas!W592="Grupo Externo ABC - Equipe 1",11,IF(Atletas!W592="Grupo Externo ABC - Equipe 2",12,IF(Atletas!W592="Grupo Interno ABC - Equipe 1",13,IF(Atletas!W592="Grupo Interno ABC - Equipe 2",14,IF(Atletas!W592="Grupo Externo DEF - Equipe 1",15,IF(Atletas!W592="Grupo Externo DEF - Equipe 2",16,IF(Atletas!W592="Grupo Interno DEF - Equipe 1",17,IF(Atletas!W592="Grupo Interno DEF - Equipe 2",18,"")))))))))))))))))))</f>
        <v/>
      </c>
    </row>
    <row r="602" spans="40:91">
      <c r="AN602" s="52" t="str">
        <f>IF(Atletas!D593="","",IF(Atletas!B593="Feminino",100,IF(Atletas!B593="Masculino",200,""))+(IF(Atletas!D593="Kids 30kg",1,IF(Atletas!D593="Kids 32kg",2, IF(Atletas!D593="Kids 34kg",3,IF(Atletas!D593="Kids 36kg",4,IF(Atletas!D593="Kids 39kg",5,IF(Atletas!D593="Kids 42kg",6,IF(Atletas!D593="Kids 45kg",7, IF(Atletas!D593="Infantil 39kg",8,IF(Atletas!D593="Infantil 42kg",9,IF(Atletas!D593="Infantil 45kg",10,IF(Atletas!D593="Infantil 48kg",11,IF(Atletas!D593="Infantil 52kg",12,IF(Atletas!D593="Infantil 56kg",13,IF(Atletas!D593="Infantil 60kg",14,IF(Atletas!D593="Juvenil 48kg",15,IF(Atletas!D593="Juvenil 52kg",16,IF(Atletas!D593="Juvenil 56kg",17,IF(Atletas!D593="Juvenil 60kg",18,IF(Atletas!D593="Juvenil 65kg",19,IF(Atletas!D593="Juvenil 70kg",20,IF(Atletas!D593="Juvenil 75kg",21,IF(Atletas!D593="Juvenil 80kg",22, IF(Atletas!D593="Juvenil 85kg",23,IF(Atletas!D593="Adulto 48kg",24,IF(Atletas!D593="Adulto 52kg",25,IF(Atletas!D593="Adulto 56kg",26,IF(Atletas!D593="Adulto 60kg",27,IF(Atletas!D593="Adulto 65kg",28,IF(Atletas!D593="Adulto 70kg",29,IF(Atletas!D593="Adulto 75kg",30,IF(Atletas!D593="Adulto 80kg",31,IF(Atletas!D593="Adulto 85kg",32,IF(Atletas!D593="Adulto 90kg",33,IF(Atletas!D593="Adulto 100kg",34, IF(Atletas!D593="Adulto +100kg",35,"")))))))))))))))))))))))))))))))))))))</f>
        <v/>
      </c>
      <c r="AS602" s="6" t="str">
        <f>IF(Atletas!E593="","",IF(Atletas!B593="Feminino",100,IF(Atletas!B593="Masculino",200,""))+(IF(Atletas!E593="Juvenil 44kg",1,IF(Atletas!E593="Juvenil 48kg",2,IF(Atletas!E593="Juvenil 52kg",3,IF(Atletas!E593="Juvenil 56kg",4,IF(Atletas!E593="Juvenil 60kg",5,IF(Atletas!E593="Juvenil 65kg",6,IF(Atletas!E593="Juvenil 70kg",7,IF(Atletas!E593="Juvenil 75kg",8,IF(Atletas!E593="Juvenil 82kg",9,IF(Atletas!E593="Juvenil 90kg",10,IF(Atletas!E593="Juvenil 100kg",11,IF(Atletas!E593="Adulto 48kg",12,IF(Atletas!E593="Adulto 52kg",13,IF(Atletas!E593="Adulto 56kg",14,IF(Atletas!E593="Adulto 60kg",15,IF(Atletas!E593="Adulto 65kg",16,IF(Atletas!E593="Adulto 70kg",17,IF(Atletas!E593="Adulto 75kg",18,IF(Atletas!E593="Adulto 82kg",19,IF(Atletas!E593="Adulto 90kg",20,IF(Atletas!E593="Adulto 100kg",21,IF(Atletas!E593="Adulto +100kg",22,""))))))))))))))))))))))))</f>
        <v/>
      </c>
      <c r="AX602" s="6" t="str">
        <f>IF(Atletas!F593="","",IF(Atletas!B593="Feminino",100,IF(Atletas!B593="Masculino",200,""))+(IF(Atletas!F593="Adulto 48kg",1,IF(Atletas!F593="Adulto 56kg",2,IF(Atletas!F593="Adulto 65kg",3,IF(Atletas!F593="Adulto 75kg",4,IF(Atletas!F593="Adulto +75kg",5,IF(Atletas!F593="Adulto 52kg",6,IF(Atletas!F593="Adulto 60kg",7,IF(Atletas!F593="Adulto 70kg",8,IF(Atletas!F593="Adulto 80kg",9,IF(Atletas!F593="Adulto 90kg",10,IF(Atletas!F593="Adulto +90kg",11,"")))))))))))))</f>
        <v/>
      </c>
      <c r="BC602" s="6" t="str">
        <f>IF(Atletas!G593="","",IF(Atletas!B593="Feminino",10,IF(Atletas!B593="Masculino",20,""))+(IF(Atletas!G593="Baduanjin A",1,IF(Atletas!G593="Baduanjin B",2))))</f>
        <v/>
      </c>
      <c r="BF602" s="52" t="str">
        <f>IF(Atletas!H593="","",IF(Atletas!B593="Feminino",100,IF(Atletas!B593="Masculino",200,""))+(IF(Atletas!H593="Changquan Mirim",1,IF(Atletas!H593="Nanquan Mirim",2,IF(Atletas!H593="Taijiquan Mirim",3,IF(Atletas!H593="Changquan Grupo C",4,IF(Atletas!H593="Nanquan Grupo C",5,IF(Atletas!H593="Taijiquan Grupo C",6,IF(Atletas!H593="Changquan Grupo B",7,IF(Atletas!H593="Nanquan Grupo B",8,IF(Atletas!H593="Taijiquan Grupo B",9,IF(Atletas!H593="Changquan Grupo A",10,IF(Atletas!H593="Nanquan Grupo A",11,IF(Atletas!H593="Taijiquan Grupo A",12,IF(Atletas!H593="Changquan Opcional",13,IF(Atletas!H593="Nanquan Opcional",14,IF(Atletas!H593="Taijiquan Opcional",15,IF(Atletas!H593="Changquan Adulto",16,IF(Atletas!H593="Nanquan Adulto",17,IF(Atletas!H593="Taijiquan Adulto",18,""))))))))))))))))))))</f>
        <v/>
      </c>
      <c r="BG602" s="52" t="str">
        <f>IF(Atletas!I593="","",IF(Atletas!B593="Feminino",100,IF(Atletas!B593="Masculino",200,""))+(IF(Atletas!I593="Daoshu Mirim",19,IF(Atletas!I593="Jianshu Mirim",20,IF(Atletas!I593="Nandao Mirim",21,IF(Atletas!I593="Taijijian Mirim",22,IF(Atletas!I593="Daoshu Grupo C",23,IF(Atletas!I593="Jianshu Grupo C",24,IF(Atletas!I593="Nandao Grupo C",25,IF(Atletas!I593="Taijijian Grupo C",26,IF(Atletas!I593="Daoshu Grupo B",27,IF(Atletas!I593="Jianshu Grupo B",28,IF(Atletas!I593="Nandao Grupo B",29,IF(Atletas!I593="Taijijian Grupo B",30,IF(Atletas!I593="Daoshu Grupo A",31,IF(Atletas!I593="Jianshu Grupo A",32,IF(Atletas!I593="Nandao Grupo A",33,IF(Atletas!I593="Taijijian Grupo A",34,IF(Atletas!I593="Daoshu Opcional",35,IF(Atletas!I593="Jianshu Opcional",36,IF(Atletas!I593="Nandao Opcional",37,IF(Atletas!I593="Taijijian Opcional",38,IF(Atletas!I593="Daoshu Adulto",39,IF(Atletas!I593="Jianshu Adulto",40,IF(Atletas!I593="Nandao Adulto",41,IF(Atletas!I593="Taijijian Adulto",42,""))))))))))))))))))))))))))</f>
        <v/>
      </c>
      <c r="BH602" s="52" t="str">
        <f>IF(Atletas!J593="","",IF(Atletas!B593="Feminino",100,IF(Atletas!B593="Masculino",200,""))+(IF(Atletas!J593="Gunshu Mirim",43,IF(Atletas!J593="Qiangshu Mirim",44,IF(Atletas!J593="Nangun Mirim",45,IF(Atletas!J593="Gunshu Grupo C",46,IF(Atletas!J593="Qiangshu Grupo C",47,IF(Atletas!J593="Nangun Grupo C",48,IF(Atletas!J593="Gunshu Grupo B",49,IF(Atletas!J593="Qiangshu Grupo B",50,IF(Atletas!J593="Nangun Grupo B",51,IF(Atletas!J593="Gunshu Grupo A",52,IF(Atletas!J593="Qiangshu Grupo A",53,IF(Atletas!J593="Nangun Grupo A",54,IF(Atletas!J593="Gunshu Opcional",55,IF(Atletas!J593="Qiangshu Opcional",56,IF(Atletas!J593="Nangun Opcional",57,IF(Atletas!J593="Gunshu Adulto",58,IF(Atletas!J593="Qiangshu Adulto",59,IF(Atletas!J593="Nangun Adulto",60,IF(Atletas!J593="Taijishan Grupo B",61,IF(Atletas!J593="Taijishan Grupo A",62,""))))))))))))))))))))))</f>
        <v/>
      </c>
      <c r="BM602" s="50" t="str">
        <f>IF(Atletas!K593="","",IF(Atletas!B593="Feminino",100,IF(Atletas!B593="Masculino",200,""))+(IF(Atletas!K593="Equipe 1 Grupo B",1,IF(Atletas!K593="Equipe 2 Grupo B",2,IF(Atletas!K593="Equipe 1 Grupo A",3,IF(Atletas!K593="Equipe 2 Grupo A",4,IF(Atletas!K593="Equipe 1 Adulto",5,IF(Atletas!K593="Equipe 2 Adulto",6,""))))))))</f>
        <v/>
      </c>
      <c r="BR602" s="50" t="str">
        <f>IF(Atletas!L593="","",IF(Atletas!X593&lt;&gt;"",10000,0)+(IF(Atletas!B593="Feminino",1000,IF(Atletas!B593="Masculino",2000,""))+IF(Atletas!L593="Choylayfut A",1,IF(Atletas!L593="Hunggar A",2,IF(Atletas!L593="Wuzuquan A",3,IF(Atletas!L593="Wingchun A",4,IF(Atletas!L593="Outra Mão de Sul A",5,IF(Atletas!L593="Choylayfut B",6,IF(Atletas!L593="Hunggar B",7,IF(Atletas!L593="Wuzuquan B",8,IF(Atletas!L593="Wingchun B",9,IF(Atletas!L593="Outra Mão de Sul B",10,IF(Atletas!L593="Choylayfut C",11,IF(Atletas!L593="Hunggar C",12,IF(Atletas!L593="Wuzuquan C",13,IF(Atletas!L593="Wingchun C",14,IF(Atletas!L593="Outra Mão de Sul C",15,IF(Atletas!L593="Choylayfut D",16,IF(Atletas!L593="Hunggar D",17,IF(Atletas!L593="Wuzuquan D",18,IF(Atletas!L593="Wingchun D",19,IF(Atletas!L593="Outra Mão de Sul D",20,IF(Atletas!L593="Choylayfut E",21,IF(Atletas!L593="Hunggar E",22,IF(Atletas!L593="Wuzuquan E",23,IF(Atletas!L593="Wingchun E",24,IF(Atletas!L593="Outra Mão de Sul E",25,IF(Atletas!L593="Choylayfut F",26,IF(Atletas!L593="Hunggar F",27,IF(Atletas!L593="Wuzuquan F",28,IF(Atletas!L593="Wingchun F",29,IF(Atletas!L593="Outra Mão de Sul F",30,IF(Atletas!L593="Dishuquan A",31,IF(Atletas!L593="Dishuquan B",32,IF(Atletas!L593="Dishuquan C",33,IF(Atletas!L593="Dishuquan D",34,IF(Atletas!L593="Dishuquan E",35,IF(Atletas!L593="Dishuquan F",36,""))))))))))))))))))))))))))))))))))))))</f>
        <v/>
      </c>
      <c r="BS602" s="50" t="str">
        <f>IF(Atletas!M593="","",IF(Atletas!X593&lt;&gt;"",10000,0)+(IF(Atletas!B593="Feminino",1000,IF(Atletas!B593="Masculino",2000,""))+(IF(Atletas!M593="Chaquan A",101,IF(Atletas!M593="Emeiquan A",102,IF(Atletas!M593="Fanziquan A",103,IF(Atletas!M593="Huaquan A",104,IF(Atletas!M593="Hongquan A",105,IF(Atletas!M593="Paoquan A",106,IF(Atletas!M593="Piguaquan A",107,IF(Atletas!M593="Shaolinquan A",108,IF(Atletas!M593="Tanglangquan A",109,IF(Atletas!M593="Yingzhaoquan A",110,IF(Atletas!M593="Tongbeiquan A",111,IF(Atletas!M593="Wudangquan A",112,IF(Atletas!M593="Outros Estilos A",113,IF(Atletas!M593="Chaquan B",114,IF(Atletas!M593="Emeiquan B",115,IF(Atletas!M593="Fanziquan B",116,IF(Atletas!M593="Huaquan B",117,IF(Atletas!M593="Hongquan B",118,IF(Atletas!M593="Paoquan B",119,IF(Atletas!M593="Piguaquan B",120,IF(Atletas!M593="Shaolinquan B",121,IF(Atletas!M593="Tanglangquan B",122,IF(Atletas!M593="Yingzhaoquan B",123,IF(Atletas!M593="Tongbeiquan B",124,IF(Atletas!M593="Wudangquan B",125,IF(Atletas!M593="Outros Estilos B",126,IF(Atletas!M593="Chaquan C",127,IF(Atletas!M593="Emeiquan C",128,IF(Atletas!M593="Fanziquan C",129,IF(Atletas!M593="Huaquan C",130,IF(Atletas!M593="Hongquan C",131,IF(Atletas!M593="Paoquan C",132,IF(Atletas!M593="Piguaquan C",133,IF(Atletas!M593="Shaolinquan C",134,IF(Atletas!M593="Tanglangquan C",135,IF(Atletas!M593="Yingzhaoquan C",136,IF(Atletas!M593="Tongbeiquan C",137,IF(Atletas!M593="Wudangquan C",138,IF(Atletas!M593="Outros Estilos C",139,0))))))))))))))))))))))))))))))))))))))))))</f>
        <v/>
      </c>
      <c r="BT602" s="50" t="str">
        <f>IF(Atletas!M593="","",IF(Atletas!X593&lt;&gt;"",10000,0)+(IF(Atletas!B593="Feminino",1000,IF(Atletas!B593="Masculino",2000,""))+(IF(Atletas!M593="Chaquan D",140,IF(Atletas!M593="Emeiquan D",141,IF(Atletas!M593="Fanziquan D",142,IF(Atletas!M593="Huaquan D",143,IF(Atletas!M593="Hongquan D",144,IF(Atletas!M593="Paoquan D",145,IF(Atletas!M593="Piguaquan D",146,IF(Atletas!M593="Shaolinquan D",147,IF(Atletas!M593="Tanglangquan D",148,IF(Atletas!M593="Yingzhaoquan D",149,IF(Atletas!M593="Tongbeiquan D",150,IF(Atletas!M593="Wudangquan D",151,IF(Atletas!M593="Outros Estilos D",152,IF(Atletas!M593="Chaquan E",153,IF(Atletas!M593="Emeiquan E",154,IF(Atletas!M593="Fanziquan E",155,IF(Atletas!M593="Huaquan E",156,IF(Atletas!M593="Hongquan E",157,IF(Atletas!M593="Paoquan E",158,IF(Atletas!M593="Piguaquan E",159,IF(Atletas!M593="Shaolinquan E",160,IF(Atletas!M593="Tanglangquan E",161,IF(Atletas!M593="Yingzhaoquan E",162,IF(Atletas!M593="Tongbeiquan E",163,IF(Atletas!M593="Wudangquan E",164,IF(Atletas!M593="Outros Estilos E",165,IF(Atletas!M593="Chaquan F",166,IF(Atletas!M593="Emeiquan F",167,IF(Atletas!M593="Fanziquan F",168,IF(Atletas!M593="Huaquan F",169,IF(Atletas!M593="Hongquan F",170,IF(Atletas!M593="Paoquan F",171,IF(Atletas!M593="Piguaquan F",172,IF(Atletas!M593="Shaolinquan F",173,IF(Atletas!M593="Tanglangquan F",174,IF(Atletas!M593="Yingzhaoquan F",175,IF(Atletas!M593="Tongbeiquan F",176,IF(Atletas!M593="Wudangquan F",177,IF(Atletas!M593="Outros Estilos F",178,0))))))))))))))))))))))))))))))))))))))))))</f>
        <v/>
      </c>
      <c r="BU602" s="50" t="str">
        <f>IF(Atletas!N593="","",IF(Atletas!X593&lt;&gt;"",10000,0)+(IF(Atletas!B593="Feminino",1000,IF(Atletas!B593="Masculino",2000,""))+(IF(Atletas!N593="Ditangquan A",201,IF(Atletas!N593="Houquan A",202,IF(Atletas!N593="Zuiquan A",203,IF(Atletas!N593="Ditangquan B",204,IF(Atletas!N593="Houquan B",205,IF(Atletas!N593="Zuiquan B",206,IF(Atletas!N593="Ditangquan C",207,IF(Atletas!N593="Houquan C",208,IF(Atletas!N593="Zuiquan C",209,IF(Atletas!N593="Ditangquan D",210,IF(Atletas!N593="Houquan D",211,IF(Atletas!N593="Zuiquan D",212,IF(Atletas!N593="Ditangquan E",213,IF(Atletas!N593="Houquan E",214,IF(Atletas!N593="Zuiquan E",215,IF(Atletas!N593="Ditangquan F",216,IF(Atletas!N593="Houquan F",217,IF(Atletas!N593="Zuiquan F",218,"")))))))))))))))))))))</f>
        <v/>
      </c>
      <c r="BV602" s="50" t="str">
        <f>IF(Atletas!O593="","",IF(Atletas!X593&lt;&gt;"",10000,0)+IF(Atletas!B593="Feminino",1000,IF(Atletas!B593="Masculino",2000,""))+IF(Atletas!O593="Yang A",301,IF(Atletas!O593="Chen A",302,IF(Atletas!O593="Sun A",303,IF(Atletas!O593="Wu A",304,IF(Atletas!O593="Wu-Hao A",305,IF(Atletas!O593="Outro Taijiquan A",306,IF(Atletas!O593="Yang B",307,IF(Atletas!O593="Chen B",308,IF(Atletas!O593="Sun B",309,IF(Atletas!O593="Wu B",310,IF(Atletas!O593="Wu-Hao B",311,IF(Atletas!O593="Outro Taijiquan B",312,IF(Atletas!O593="Yang C",313,IF(Atletas!O593="Chen C",314,IF(Atletas!O593="Sun C",315,IF(Atletas!O593="Wu C",316,IF(Atletas!O593="Wu-Hao C",317,IF(Atletas!O593="Outro Taijiquan C",318,IF(Atletas!O593="Yang D",319,IF(Atletas!O593="Chen D",320,IF(Atletas!O593="Sun D",321,IF(Atletas!O593="Wu D",322,IF(Atletas!O593="Wu-Hao D",323,IF(Atletas!O593="Outro Taijiquan D",324,IF(Atletas!O593="Yang E",325,IF(Atletas!O593="Chen E",326,IF(Atletas!O593="Sun E",327,IF(Atletas!O593="Wu E",328,IF(Atletas!O593="Wu-Hao E",329,IF(Atletas!O593="Outro Taijiquan E",330,IF(Atletas!O593="Yang F",331,IF(Atletas!O593="Chen F",332,IF(Atletas!O593="Sun F",333,IF(Atletas!O593="Wu F",334,IF(Atletas!O593="Wu-Hao F",335,IF(Atletas!O593="Outro Taijiquan F",336,"")))))))))))))))))))))))))))))))))))))</f>
        <v/>
      </c>
      <c r="BW602" s="50" t="str">
        <f>IF(Atletas!P593="","",IF(Atletas!X593&lt;&gt;"",10000,0)+IF(Atletas!B593="Feminino",1000,IF(Atletas!B593="Masculino",2000,""))+IF(OR(Atletas!P593="Yang 26 A",Atletas!P593="Yang 40 A"),401,IF(OR(Atletas!P593="Chen 25 A",Atletas!P593="Chen 36 A",Atletas!P593="Chen 56 A"),402,IF(Atletas!P593="Sun 73 A",403,IF(Atletas!P593="Wu 45 A",404,IF(Atletas!P593="Wu-Hao 46 A",405,IF(OR(Atletas!P593="Taijiquan 16 A",Atletas!P593="Taijiquan 24 A",Atletas!P593="Taijiquan 32 A",Atletas!P593="Taijiquan 42 A"),406,IF(OR(Atletas!P593="Yang 26 B",Atletas!P593="Yang 40 B"),407,IF(OR(Atletas!P593="Chen 25 B",Atletas!P593="Chen 36 B",Atletas!P593="Chen 56 B"),408,IF(Atletas!P593="Sun 73 B",409,IF(Atletas!P593="Wu 45 B",410,IF(Atletas!P593="Wu-Hao 46 B",411,IF(OR(Atletas!P593="Taijiquan 16 B",Atletas!P593="Taijiquan 24 B",Atletas!P593="Taijiquan 32 B",Atletas!P593="Taijiquan 42 B"),412,IF(OR(Atletas!P593="Yang 26 C",Atletas!P593="Yang 40 C"),413,IF(OR(Atletas!P593="Chen 25 C",Atletas!P593="Chen 36 C",Atletas!P593="Chen 56 C"),414,IF(Atletas!P593="Sun 73 C",415,IF(Atletas!P593="Wu 45 C",416,IF(Atletas!P593="Wu-Hao 46 C",417,IF(OR(Atletas!P593="Taijiquan 16 C",Atletas!P593="Taijiquan 24 C",Atletas!P593="Taijiquan 32 C",Atletas!P593="Taijiquan 42 C"),418,0)))))))))))))))))))</f>
        <v/>
      </c>
      <c r="BX602" s="50" t="str">
        <f>IF(Atletas!P593="","",IF(Atletas!X593&lt;&gt;"",10000,0)+IF(Atletas!B593="Feminino",1000,IF(Atletas!B593="Masculino",2000,""))+IF(OR(Atletas!P593="Yang 26 D",Atletas!P593="Yang 40 D"),419,IF(OR(Atletas!P593="Chen 25 D",Atletas!P593="Chen 36 D",Atletas!P593="Chen 56 D"),420,IF(Atletas!P593="Sun 73 D",421,IF(Atletas!P593="Wu 45 D",422,IF(Atletas!P593="Wu-Hao 46 D",423,IF(OR(Atletas!P593="Taijiquan 16 D",Atletas!P593="Taijiquan 24 D",Atletas!P593="Taijiquan 32 D",Atletas!P593="Taijiquan 42 D"),424,IF(OR(Atletas!P593="Yang 26 E",Atletas!P593="Yang 40 E"),425,IF(OR(Atletas!P593="Chen 25 E",Atletas!P593="Chen 36 E",Atletas!P593="Chen 56 E"),426,IF(Atletas!P593="Sun 73 E",427,IF(Atletas!P593="Wu 45 E",428,IF(Atletas!P593="Wu-Hao 46 E",429,IF(OR(Atletas!P593="Taijiquan 16 E",Atletas!P593="Taijiquan 24 E",Atletas!P593="Taijiquan 32 E",Atletas!P593="Taijiquan 42 E"),430,IF(OR(Atletas!P593="Yang 26 F",Atletas!P593="Yang 40 F"),431,IF(OR(Atletas!P593="Chen 25 F",Atletas!P593="Chen 36 F",Atletas!P593="Chen 56 F"),432,IF(Atletas!P593="Sun 73 F",433,IF(Atletas!P593="Wu 45 F",434,IF(Atletas!P593="Wu-Hao 46 F",435,IF(OR(Atletas!P593="Taijiquan 16 F",Atletas!P593="Taijiquan 24 F",Atletas!P593="Taijiquan 32 F",Atletas!P593="Taijiquan 42 F"),436,0)))))))))))))))))))</f>
        <v/>
      </c>
      <c r="BY602" s="50" t="str">
        <f>IF(Atletas!Q593="","",IF(Atletas!X593&lt;&gt;"",10000,0)+IF(Atletas!B593="Feminino",1000,IF(Atletas!B593="Masculino",2000,""))+IF(Atletas!Q593="Xingyiquan A",501,IF(Atletas!Q593="Baguazhang A",502,IF(Atletas!Q593="Outro Estilo Interno A",503,IF(Atletas!Q593="Xingyiquan B",504,IF(Atletas!Q593="Baguazhang B",505,IF(Atletas!Q593="Outro Estilo Interno B",506,IF(Atletas!Q593="Xingyiquan C",507,IF(Atletas!Q593="Baguazhang C",508,IF(Atletas!Q593="Outro Estilo Interno C",509,IF(Atletas!Q593="Xingyiquan D",510,IF(Atletas!Q593="Baguazhang D",511,IF(Atletas!Q593="Outro Estilo Interno D",512,IF(Atletas!Q593="Xingyiquan E",513,IF(Atletas!Q593="Baguazhang E",514,IF(Atletas!Q593="Outro Estilo Interno E",515,IF(Atletas!Q593="Xingyiquan F",516,IF(Atletas!Q593="Baguazhang F",517,IF(Atletas!Q593="Outro Estilo Interno F",518, "")))))))))))))))))))</f>
        <v/>
      </c>
      <c r="BZ602" s="50" t="str">
        <f>IF(Atletas!R593="","",IF(Atletas!X593&lt;&gt;"",10000,0)+IF(Atletas!B593="Feminino",1000,IF(Atletas!B593="Masculino",2000,""))+IF(Atletas!R593="Dao A",601,IF(Atletas!R593="Jian A",602,IF(Atletas!R593="Bishou A",603,IF(Atletas!R593="Shanzi A",604,IF(Atletas!R593="Outra Arma Curta A",605,IF(Atletas!R593="Dao B",606,IF(Atletas!R593="Jian B",607,IF(Atletas!R593="Bishou B",608,IF(Atletas!R593="Shanzi B",609,IF(Atletas!R593="Outra Arma Curta B",610,IF(Atletas!R593="Dao C",611,IF(Atletas!R593="Jian C",612,IF(Atletas!R593="Bishou C",613,IF(Atletas!R593="Shanzi C",614,IF(Atletas!R593="Outra Arma Curta C",615,IF(Atletas!R593="Dao D",616,IF(Atletas!R593="Jian D",617,IF(Atletas!R593="Bishou D",618,IF(Atletas!R593="Shanzi D",619,IF(Atletas!R593="Outra Arma Curta D",620,IF(Atletas!R593="Dao E",621,IF(Atletas!R593="Jian E",622,IF(Atletas!R593="Bishou E",623,IF(Atletas!R593="Shanzi E",624,IF(Atletas!R593="Outra Arma Curta E",625,IF(Atletas!R593="Dao F",626,IF(Atletas!R593="Jian F",627,IF(Atletas!R593="Bishou F",628,IF(Atletas!R593="Shanzi F",629,IF(Atletas!R593="Outra Arma Curta F",630, "")))))))))))))))))))))))))))))))</f>
        <v/>
      </c>
      <c r="CA602" s="50" t="str">
        <f>IF(Atletas!S593="","",IF(Atletas!X593&lt;&gt;"",10000,0)+IF(Atletas!B593="Feminino",1000,IF(Atletas!B593="Masculino",2000,""))+IF(Atletas!S593="Gun A",701,IF(Atletas!S593="Qiang A",702,IF(Atletas!S593="Pudao / Guandao A",703,IF(Atletas!S593="Outra Arma Longa A",704,IF(Atletas!S593="Gun B",705,IF(Atletas!S593="Qiang B",706,IF(Atletas!S593="Pudao / Guandao B",707,IF(Atletas!S593="Outra Arma Longa B",708,IF(Atletas!S593="Gun C",709,IF(Atletas!S593="Qiang C",710,IF(Atletas!S593="Pudao / Guandao C",711,IF(Atletas!S593="Outra Arma Longa C",712,IF(Atletas!S593="Gun D",713,IF(Atletas!S593="Qiang D",714,IF(Atletas!S593="Pudao / Guandao D",715,IF(Atletas!S593="Outra Arma Longa D",716,IF(Atletas!S593="Gun E",717,IF(Atletas!S593="Qiang E",718,IF(Atletas!S593="Pudao / Guandao E",719,IF(Atletas!S593="Outra Arma Longa E",720,IF(Atletas!S593="Gun F",721,IF(Atletas!S593="Qiang F",722,IF(Atletas!S593="Pudao / Guandao F",723,IF(Atletas!S593="Outra Arma Longa F",724,"")))))))))))))))))))))))))</f>
        <v/>
      </c>
      <c r="CB602" s="50" t="str">
        <f>IF(Atletas!T593="","",IF(Atletas!X593&lt;&gt;"",10000,0)+IF(Atletas!B593="Feminino",1000,IF(Atletas!B593="Masculino",2000,""))+IF(Atletas!T593="Outra Arma Dupla A",801,IF(Atletas!T593="Arma Maleável A",802,IF(Atletas!T593="Outra Arma Dupla B",803,IF(Atletas!T593="Arma Maleável B",804,IF(Atletas!T593="Outra Arma Dupla C",805,IF(Atletas!T593="Arma Maleável C",806,IF(Atletas!T593="Outra Arma Dupla D",807,IF(Atletas!T593="Arma Maleável D",808,IF(Atletas!T593="Outra Arma Dupla E",809,IF(Atletas!T593="Arma Maleável E",810,IF(Atletas!T593="Outra Arma Dupla F",811,IF(Atletas!T593="Arma Maleável F",812,IF(Atletas!T593="Shuangdao A",813,IF(Atletas!T593="Shuangdao B",814,IF(Atletas!T593="Shuangdao C",815,IF(Atletas!T593="Shuangdao D",816,IF(Atletas!T593="Shuangdao E",817,IF(Atletas!T593="Shuangdao F",818,"")))))))))))))))))))</f>
        <v/>
      </c>
      <c r="CC602" s="50" t="str">
        <f>IF(Atletas!U593="","",IF(Atletas!X593&lt;&gt;"",10000,0)+IF(Atletas!B593="Feminino",1000,IF(Atletas!B593="Masculino",2000,""))+IF(OR(Atletas!U593="Taijijian Yang A",Atletas!U593="Taijijian Yang Standard A"),901,IF(OR(Atletas!U593="Taijijian Chen A", Atletas!U593="Taijijian Chen Standard A"),902,IF(Atletas!U593="Taijijian Sun A",903,IF(Atletas!U593="Taijijian Wu A",904,IF(Atletas!U593="Taijijian Wu-Hao A",905,IF(OR(Atletas!U593="Taijijian 32 A",Atletas!U593="Taijijian 42 A"),906,IF(OR(Atletas!U593="Taijijian Yang B",Atletas!U593="Taijijian Yang Standard B"),907,IF(OR(Atletas!U593="Taijijian Chen B", Atletas!U593="Taijijian Chen Standard B"),908,IF(Atletas!U593="Taijijian Sun B",909,IF(Atletas!U593="Taijijian Wu B",910,IF(Atletas!U593="Taijijian Wu-Hao B",911,IF(OR(Atletas!U593="Taijijian 32 B",Atletas!U593="Taijijian 42 B"),912,IF(OR(Atletas!U593="Taijijian Yang C",Atletas!U593="Taijijian Yang Standard C"),913,IF(OR(Atletas!U593="Taijijian Chen C", Atletas!U593="Taijijian Chen Standard C"),914,IF(Atletas!U593="Taijijian Sun C",915,IF(Atletas!U593="Taijijian Wu C",916,IF(Atletas!U593="Taijijian Wu-Hao C",917,IF(OR(Atletas!U593="Taijijian 32 C",Atletas!U593="Taijijian 42 C"),918,IF(OR(Atletas!U593="Taijijian Yang D",Atletas!U593="Taijijian Yang Standard D"),919,IF(OR(Atletas!U593="Taijijian Chen D", Atletas!U593="Taijijian Chen Standard D"),920,IF(Atletas!U593="Taijijian Sun D",921,IF(Atletas!U593="Taijijian Wu D",922,IF(Atletas!U593="Taijijian Wu-Hao D",923,IF(OR(Atletas!U593="Taijijian 32 D",Atletas!U593="Taijijian 42 D"),924,IF(OR(Atletas!U593="Taijijian Yang E",Atletas!U593="Taijijian Yang Standard E"),925,IF(OR(Atletas!U593="Taijijian Chen E", Atletas!U593="Taijijian Chen Standard E"),926,IF(Atletas!U593="Taijijian Sun E",927,IF(Atletas!U593="Taijijian Wu E",928,IF(Atletas!U593="Taijijian Wu-Hao E",929,IF(OR(Atletas!U593="Taijijian 32 E",Atletas!U593="Taijijian 42 E"),930,IF(OR(Atletas!U593="Taijijian Yang F",Atletas!U593="Taijijian Yang Standard F"),931,IF(OR(Atletas!U593="Taijijian Chen F", Atletas!U593="Taijijian Chen Standard F"),932,IF(Atletas!U593="Taijijian Sun F",933,IF(Atletas!U593="Taijijian Wu F",934,IF(Atletas!U593="Taijijian Wu-Hao F",935,IF(OR(Atletas!U593="Taijijian 32 F",Atletas!U593="Taijijian 42 F"),936,"")))))))))))))))))))))))))))))))))))))</f>
        <v/>
      </c>
      <c r="CD602" s="50" t="str">
        <f>IF(Atletas!V593="","",IF(Atletas!X593&lt;&gt;"",10000,0)+IF(Atletas!B593="Feminino",1000,IF(Atletas!B593="Masculino",2000,""))+IF(Atletas!V593="Taijidao A",937,IF(Atletas!V593="TaijiShanzi A",938,IF(Atletas!V593="Taijiqiang A",939,IF(Atletas!V593="Bagua de Arma A",940,IF(Atletas!V593="Xingyi de Arma A",941,IF(Atletas!V593="Taijidao B",942,IF(Atletas!V593="TaijiShanzi B",943,IF(Atletas!V593="Taijiqiang B",944,IF(Atletas!V593="Bagua de Arma B",945,IF(Atletas!V593="Xingyi de Arma B",946,IF(Atletas!V593="Taijidao C",947,IF(Atletas!V593="TaijiShanzi C",948,IF(Atletas!V593="Taijiqiang C",949,IF(Atletas!V593="Bagua de Arma C",950,IF(Atletas!V593="Xingyi de Arma C",951,IF(Atletas!V593="Taijidao D",952,IF(Atletas!V593="TaijiShanzi D",953,IF(Atletas!V593="Taijiqiang D",954,IF(Atletas!V593="Bagua de Arma D",955,IF(Atletas!V593="Xingyi de Arma D",956,IF(Atletas!V593="Taijidao E",957,IF(Atletas!V593="TaijiShanzi E",958,IF(Atletas!V593="Taijiqiang E",959,IF(Atletas!V593="Bagua de Arma E",960,IF(Atletas!V593="Xingyi de Arma E",961,IF(Atletas!V593="Taijidao F",962,IF(Atletas!V593="TaijiShanzi F",963,IF(Atletas!V593="Taijiqiang F",964,IF(Atletas!V593="Bagua de Arma F",965,IF(Atletas!V593="Xingyi de Arma F",966,"")))))))))))))))))))))))))))))))</f>
        <v/>
      </c>
      <c r="CM602" s="50" t="str">
        <f xml:space="preserve"> IF(Atletas!W593="","",IF(Atletas!W593="Duilian de Mãos BC - Equipe 1",1,IF(Atletas!W593="Duilian de Mãos BC - Equipe 2",2,IF(Atletas!W593="Duilian de Armas BC - Equipe 1",3,IF(Atletas!W593="Duilian de Armas BC - Equipe 2",4,IF(Atletas!W593="Duilian de Mãos DE - Equipe 1",5,IF(Atletas!W593="Duilian de Mãos DE - Equipe 2",6,IF(Atletas!W593="Duilian de Armas DE - Equipe 1",7,IF(Atletas!W593="Duilian de Armas DE - Equipe 2",8,IF(Atletas!W593="Duilian de Tuishou - Equipe 1",9,IF(Atletas!W593="Duilian de Tuishou - Equipe 2",10,IF(Atletas!W593="Grupo Externo ABC - Equipe 1",11,IF(Atletas!W593="Grupo Externo ABC - Equipe 2",12,IF(Atletas!W593="Grupo Interno ABC - Equipe 1",13,IF(Atletas!W593="Grupo Interno ABC - Equipe 2",14,IF(Atletas!W593="Grupo Externo DEF - Equipe 1",15,IF(Atletas!W593="Grupo Externo DEF - Equipe 2",16,IF(Atletas!W593="Grupo Interno DEF - Equipe 1",17,IF(Atletas!W593="Grupo Interno DEF - Equipe 2",18,"")))))))))))))))))))</f>
        <v/>
      </c>
    </row>
    <row r="603" spans="40:91">
      <c r="AN603" s="52" t="str">
        <f>IF(Atletas!D594="","",IF(Atletas!B594="Feminino",100,IF(Atletas!B594="Masculino",200,""))+(IF(Atletas!D594="Kids 30kg",1,IF(Atletas!D594="Kids 32kg",2, IF(Atletas!D594="Kids 34kg",3,IF(Atletas!D594="Kids 36kg",4,IF(Atletas!D594="Kids 39kg",5,IF(Atletas!D594="Kids 42kg",6,IF(Atletas!D594="Kids 45kg",7, IF(Atletas!D594="Infantil 39kg",8,IF(Atletas!D594="Infantil 42kg",9,IF(Atletas!D594="Infantil 45kg",10,IF(Atletas!D594="Infantil 48kg",11,IF(Atletas!D594="Infantil 52kg",12,IF(Atletas!D594="Infantil 56kg",13,IF(Atletas!D594="Infantil 60kg",14,IF(Atletas!D594="Juvenil 48kg",15,IF(Atletas!D594="Juvenil 52kg",16,IF(Atletas!D594="Juvenil 56kg",17,IF(Atletas!D594="Juvenil 60kg",18,IF(Atletas!D594="Juvenil 65kg",19,IF(Atletas!D594="Juvenil 70kg",20,IF(Atletas!D594="Juvenil 75kg",21,IF(Atletas!D594="Juvenil 80kg",22, IF(Atletas!D594="Juvenil 85kg",23,IF(Atletas!D594="Adulto 48kg",24,IF(Atletas!D594="Adulto 52kg",25,IF(Atletas!D594="Adulto 56kg",26,IF(Atletas!D594="Adulto 60kg",27,IF(Atletas!D594="Adulto 65kg",28,IF(Atletas!D594="Adulto 70kg",29,IF(Atletas!D594="Adulto 75kg",30,IF(Atletas!D594="Adulto 80kg",31,IF(Atletas!D594="Adulto 85kg",32,IF(Atletas!D594="Adulto 90kg",33,IF(Atletas!D594="Adulto 100kg",34, IF(Atletas!D594="Adulto +100kg",35,"")))))))))))))))))))))))))))))))))))))</f>
        <v/>
      </c>
      <c r="AS603" s="6" t="str">
        <f>IF(Atletas!E594="","",IF(Atletas!B594="Feminino",100,IF(Atletas!B594="Masculino",200,""))+(IF(Atletas!E594="Juvenil 44kg",1,IF(Atletas!E594="Juvenil 48kg",2,IF(Atletas!E594="Juvenil 52kg",3,IF(Atletas!E594="Juvenil 56kg",4,IF(Atletas!E594="Juvenil 60kg",5,IF(Atletas!E594="Juvenil 65kg",6,IF(Atletas!E594="Juvenil 70kg",7,IF(Atletas!E594="Juvenil 75kg",8,IF(Atletas!E594="Juvenil 82kg",9,IF(Atletas!E594="Juvenil 90kg",10,IF(Atletas!E594="Juvenil 100kg",11,IF(Atletas!E594="Adulto 48kg",12,IF(Atletas!E594="Adulto 52kg",13,IF(Atletas!E594="Adulto 56kg",14,IF(Atletas!E594="Adulto 60kg",15,IF(Atletas!E594="Adulto 65kg",16,IF(Atletas!E594="Adulto 70kg",17,IF(Atletas!E594="Adulto 75kg",18,IF(Atletas!E594="Adulto 82kg",19,IF(Atletas!E594="Adulto 90kg",20,IF(Atletas!E594="Adulto 100kg",21,IF(Atletas!E594="Adulto +100kg",22,""))))))))))))))))))))))))</f>
        <v/>
      </c>
      <c r="AX603" s="6" t="str">
        <f>IF(Atletas!F594="","",IF(Atletas!B594="Feminino",100,IF(Atletas!B594="Masculino",200,""))+(IF(Atletas!F594="Adulto 48kg",1,IF(Atletas!F594="Adulto 56kg",2,IF(Atletas!F594="Adulto 65kg",3,IF(Atletas!F594="Adulto 75kg",4,IF(Atletas!F594="Adulto +75kg",5,IF(Atletas!F594="Adulto 52kg",6,IF(Atletas!F594="Adulto 60kg",7,IF(Atletas!F594="Adulto 70kg",8,IF(Atletas!F594="Adulto 80kg",9,IF(Atletas!F594="Adulto 90kg",10,IF(Atletas!F594="Adulto +90kg",11,"")))))))))))))</f>
        <v/>
      </c>
      <c r="BC603" s="6" t="str">
        <f>IF(Atletas!G594="","",IF(Atletas!B594="Feminino",10,IF(Atletas!B594="Masculino",20,""))+(IF(Atletas!G594="Baduanjin A",1,IF(Atletas!G594="Baduanjin B",2))))</f>
        <v/>
      </c>
      <c r="BF603" s="52" t="str">
        <f>IF(Atletas!H594="","",IF(Atletas!B594="Feminino",100,IF(Atletas!B594="Masculino",200,""))+(IF(Atletas!H594="Changquan Mirim",1,IF(Atletas!H594="Nanquan Mirim",2,IF(Atletas!H594="Taijiquan Mirim",3,IF(Atletas!H594="Changquan Grupo C",4,IF(Atletas!H594="Nanquan Grupo C",5,IF(Atletas!H594="Taijiquan Grupo C",6,IF(Atletas!H594="Changquan Grupo B",7,IF(Atletas!H594="Nanquan Grupo B",8,IF(Atletas!H594="Taijiquan Grupo B",9,IF(Atletas!H594="Changquan Grupo A",10,IF(Atletas!H594="Nanquan Grupo A",11,IF(Atletas!H594="Taijiquan Grupo A",12,IF(Atletas!H594="Changquan Opcional",13,IF(Atletas!H594="Nanquan Opcional",14,IF(Atletas!H594="Taijiquan Opcional",15,IF(Atletas!H594="Changquan Adulto",16,IF(Atletas!H594="Nanquan Adulto",17,IF(Atletas!H594="Taijiquan Adulto",18,""))))))))))))))))))))</f>
        <v/>
      </c>
      <c r="BG603" s="52" t="str">
        <f>IF(Atletas!I594="","",IF(Atletas!B594="Feminino",100,IF(Atletas!B594="Masculino",200,""))+(IF(Atletas!I594="Daoshu Mirim",19,IF(Atletas!I594="Jianshu Mirim",20,IF(Atletas!I594="Nandao Mirim",21,IF(Atletas!I594="Taijijian Mirim",22,IF(Atletas!I594="Daoshu Grupo C",23,IF(Atletas!I594="Jianshu Grupo C",24,IF(Atletas!I594="Nandao Grupo C",25,IF(Atletas!I594="Taijijian Grupo C",26,IF(Atletas!I594="Daoshu Grupo B",27,IF(Atletas!I594="Jianshu Grupo B",28,IF(Atletas!I594="Nandao Grupo B",29,IF(Atletas!I594="Taijijian Grupo B",30,IF(Atletas!I594="Daoshu Grupo A",31,IF(Atletas!I594="Jianshu Grupo A",32,IF(Atletas!I594="Nandao Grupo A",33,IF(Atletas!I594="Taijijian Grupo A",34,IF(Atletas!I594="Daoshu Opcional",35,IF(Atletas!I594="Jianshu Opcional",36,IF(Atletas!I594="Nandao Opcional",37,IF(Atletas!I594="Taijijian Opcional",38,IF(Atletas!I594="Daoshu Adulto",39,IF(Atletas!I594="Jianshu Adulto",40,IF(Atletas!I594="Nandao Adulto",41,IF(Atletas!I594="Taijijian Adulto",42,""))))))))))))))))))))))))))</f>
        <v/>
      </c>
      <c r="BH603" s="52" t="str">
        <f>IF(Atletas!J594="","",IF(Atletas!B594="Feminino",100,IF(Atletas!B594="Masculino",200,""))+(IF(Atletas!J594="Gunshu Mirim",43,IF(Atletas!J594="Qiangshu Mirim",44,IF(Atletas!J594="Nangun Mirim",45,IF(Atletas!J594="Gunshu Grupo C",46,IF(Atletas!J594="Qiangshu Grupo C",47,IF(Atletas!J594="Nangun Grupo C",48,IF(Atletas!J594="Gunshu Grupo B",49,IF(Atletas!J594="Qiangshu Grupo B",50,IF(Atletas!J594="Nangun Grupo B",51,IF(Atletas!J594="Gunshu Grupo A",52,IF(Atletas!J594="Qiangshu Grupo A",53,IF(Atletas!J594="Nangun Grupo A",54,IF(Atletas!J594="Gunshu Opcional",55,IF(Atletas!J594="Qiangshu Opcional",56,IF(Atletas!J594="Nangun Opcional",57,IF(Atletas!J594="Gunshu Adulto",58,IF(Atletas!J594="Qiangshu Adulto",59,IF(Atletas!J594="Nangun Adulto",60,IF(Atletas!J594="Taijishan Grupo B",61,IF(Atletas!J594="Taijishan Grupo A",62,""))))))))))))))))))))))</f>
        <v/>
      </c>
      <c r="BM603" s="50" t="str">
        <f>IF(Atletas!K594="","",IF(Atletas!B594="Feminino",100,IF(Atletas!B594="Masculino",200,""))+(IF(Atletas!K594="Equipe 1 Grupo B",1,IF(Atletas!K594="Equipe 2 Grupo B",2,IF(Atletas!K594="Equipe 1 Grupo A",3,IF(Atletas!K594="Equipe 2 Grupo A",4,IF(Atletas!K594="Equipe 1 Adulto",5,IF(Atletas!K594="Equipe 2 Adulto",6,""))))))))</f>
        <v/>
      </c>
      <c r="BR603" s="50" t="str">
        <f>IF(Atletas!L594="","",IF(Atletas!X594&lt;&gt;"",10000,0)+(IF(Atletas!B594="Feminino",1000,IF(Atletas!B594="Masculino",2000,""))+IF(Atletas!L594="Choylayfut A",1,IF(Atletas!L594="Hunggar A",2,IF(Atletas!L594="Wuzuquan A",3,IF(Atletas!L594="Wingchun A",4,IF(Atletas!L594="Outra Mão de Sul A",5,IF(Atletas!L594="Choylayfut B",6,IF(Atletas!L594="Hunggar B",7,IF(Atletas!L594="Wuzuquan B",8,IF(Atletas!L594="Wingchun B",9,IF(Atletas!L594="Outra Mão de Sul B",10,IF(Atletas!L594="Choylayfut C",11,IF(Atletas!L594="Hunggar C",12,IF(Atletas!L594="Wuzuquan C",13,IF(Atletas!L594="Wingchun C",14,IF(Atletas!L594="Outra Mão de Sul C",15,IF(Atletas!L594="Choylayfut D",16,IF(Atletas!L594="Hunggar D",17,IF(Atletas!L594="Wuzuquan D",18,IF(Atletas!L594="Wingchun D",19,IF(Atletas!L594="Outra Mão de Sul D",20,IF(Atletas!L594="Choylayfut E",21,IF(Atletas!L594="Hunggar E",22,IF(Atletas!L594="Wuzuquan E",23,IF(Atletas!L594="Wingchun E",24,IF(Atletas!L594="Outra Mão de Sul E",25,IF(Atletas!L594="Choylayfut F",26,IF(Atletas!L594="Hunggar F",27,IF(Atletas!L594="Wuzuquan F",28,IF(Atletas!L594="Wingchun F",29,IF(Atletas!L594="Outra Mão de Sul F",30,IF(Atletas!L594="Dishuquan A",31,IF(Atletas!L594="Dishuquan B",32,IF(Atletas!L594="Dishuquan C",33,IF(Atletas!L594="Dishuquan D",34,IF(Atletas!L594="Dishuquan E",35,IF(Atletas!L594="Dishuquan F",36,""))))))))))))))))))))))))))))))))))))))</f>
        <v/>
      </c>
      <c r="BS603" s="50" t="str">
        <f>IF(Atletas!M594="","",IF(Atletas!X594&lt;&gt;"",10000,0)+(IF(Atletas!B594="Feminino",1000,IF(Atletas!B594="Masculino",2000,""))+(IF(Atletas!M594="Chaquan A",101,IF(Atletas!M594="Emeiquan A",102,IF(Atletas!M594="Fanziquan A",103,IF(Atletas!M594="Huaquan A",104,IF(Atletas!M594="Hongquan A",105,IF(Atletas!M594="Paoquan A",106,IF(Atletas!M594="Piguaquan A",107,IF(Atletas!M594="Shaolinquan A",108,IF(Atletas!M594="Tanglangquan A",109,IF(Atletas!M594="Yingzhaoquan A",110,IF(Atletas!M594="Tongbeiquan A",111,IF(Atletas!M594="Wudangquan A",112,IF(Atletas!M594="Outros Estilos A",113,IF(Atletas!M594="Chaquan B",114,IF(Atletas!M594="Emeiquan B",115,IF(Atletas!M594="Fanziquan B",116,IF(Atletas!M594="Huaquan B",117,IF(Atletas!M594="Hongquan B",118,IF(Atletas!M594="Paoquan B",119,IF(Atletas!M594="Piguaquan B",120,IF(Atletas!M594="Shaolinquan B",121,IF(Atletas!M594="Tanglangquan B",122,IF(Atletas!M594="Yingzhaoquan B",123,IF(Atletas!M594="Tongbeiquan B",124,IF(Atletas!M594="Wudangquan B",125,IF(Atletas!M594="Outros Estilos B",126,IF(Atletas!M594="Chaquan C",127,IF(Atletas!M594="Emeiquan C",128,IF(Atletas!M594="Fanziquan C",129,IF(Atletas!M594="Huaquan C",130,IF(Atletas!M594="Hongquan C",131,IF(Atletas!M594="Paoquan C",132,IF(Atletas!M594="Piguaquan C",133,IF(Atletas!M594="Shaolinquan C",134,IF(Atletas!M594="Tanglangquan C",135,IF(Atletas!M594="Yingzhaoquan C",136,IF(Atletas!M594="Tongbeiquan C",137,IF(Atletas!M594="Wudangquan C",138,IF(Atletas!M594="Outros Estilos C",139,0))))))))))))))))))))))))))))))))))))))))))</f>
        <v/>
      </c>
      <c r="BT603" s="50" t="str">
        <f>IF(Atletas!M594="","",IF(Atletas!X594&lt;&gt;"",10000,0)+(IF(Atletas!B594="Feminino",1000,IF(Atletas!B594="Masculino",2000,""))+(IF(Atletas!M594="Chaquan D",140,IF(Atletas!M594="Emeiquan D",141,IF(Atletas!M594="Fanziquan D",142,IF(Atletas!M594="Huaquan D",143,IF(Atletas!M594="Hongquan D",144,IF(Atletas!M594="Paoquan D",145,IF(Atletas!M594="Piguaquan D",146,IF(Atletas!M594="Shaolinquan D",147,IF(Atletas!M594="Tanglangquan D",148,IF(Atletas!M594="Yingzhaoquan D",149,IF(Atletas!M594="Tongbeiquan D",150,IF(Atletas!M594="Wudangquan D",151,IF(Atletas!M594="Outros Estilos D",152,IF(Atletas!M594="Chaquan E",153,IF(Atletas!M594="Emeiquan E",154,IF(Atletas!M594="Fanziquan E",155,IF(Atletas!M594="Huaquan E",156,IF(Atletas!M594="Hongquan E",157,IF(Atletas!M594="Paoquan E",158,IF(Atletas!M594="Piguaquan E",159,IF(Atletas!M594="Shaolinquan E",160,IF(Atletas!M594="Tanglangquan E",161,IF(Atletas!M594="Yingzhaoquan E",162,IF(Atletas!M594="Tongbeiquan E",163,IF(Atletas!M594="Wudangquan E",164,IF(Atletas!M594="Outros Estilos E",165,IF(Atletas!M594="Chaquan F",166,IF(Atletas!M594="Emeiquan F",167,IF(Atletas!M594="Fanziquan F",168,IF(Atletas!M594="Huaquan F",169,IF(Atletas!M594="Hongquan F",170,IF(Atletas!M594="Paoquan F",171,IF(Atletas!M594="Piguaquan F",172,IF(Atletas!M594="Shaolinquan F",173,IF(Atletas!M594="Tanglangquan F",174,IF(Atletas!M594="Yingzhaoquan F",175,IF(Atletas!M594="Tongbeiquan F",176,IF(Atletas!M594="Wudangquan F",177,IF(Atletas!M594="Outros Estilos F",178,0))))))))))))))))))))))))))))))))))))))))))</f>
        <v/>
      </c>
      <c r="BU603" s="50" t="str">
        <f>IF(Atletas!N594="","",IF(Atletas!X594&lt;&gt;"",10000,0)+(IF(Atletas!B594="Feminino",1000,IF(Atletas!B594="Masculino",2000,""))+(IF(Atletas!N594="Ditangquan A",201,IF(Atletas!N594="Houquan A",202,IF(Atletas!N594="Zuiquan A",203,IF(Atletas!N594="Ditangquan B",204,IF(Atletas!N594="Houquan B",205,IF(Atletas!N594="Zuiquan B",206,IF(Atletas!N594="Ditangquan C",207,IF(Atletas!N594="Houquan C",208,IF(Atletas!N594="Zuiquan C",209,IF(Atletas!N594="Ditangquan D",210,IF(Atletas!N594="Houquan D",211,IF(Atletas!N594="Zuiquan D",212,IF(Atletas!N594="Ditangquan E",213,IF(Atletas!N594="Houquan E",214,IF(Atletas!N594="Zuiquan E",215,IF(Atletas!N594="Ditangquan F",216,IF(Atletas!N594="Houquan F",217,IF(Atletas!N594="Zuiquan F",218,"")))))))))))))))))))))</f>
        <v/>
      </c>
      <c r="BV603" s="50" t="str">
        <f>IF(Atletas!O594="","",IF(Atletas!X594&lt;&gt;"",10000,0)+IF(Atletas!B594="Feminino",1000,IF(Atletas!B594="Masculino",2000,""))+IF(Atletas!O594="Yang A",301,IF(Atletas!O594="Chen A",302,IF(Atletas!O594="Sun A",303,IF(Atletas!O594="Wu A",304,IF(Atletas!O594="Wu-Hao A",305,IF(Atletas!O594="Outro Taijiquan A",306,IF(Atletas!O594="Yang B",307,IF(Atletas!O594="Chen B",308,IF(Atletas!O594="Sun B",309,IF(Atletas!O594="Wu B",310,IF(Atletas!O594="Wu-Hao B",311,IF(Atletas!O594="Outro Taijiquan B",312,IF(Atletas!O594="Yang C",313,IF(Atletas!O594="Chen C",314,IF(Atletas!O594="Sun C",315,IF(Atletas!O594="Wu C",316,IF(Atletas!O594="Wu-Hao C",317,IF(Atletas!O594="Outro Taijiquan C",318,IF(Atletas!O594="Yang D",319,IF(Atletas!O594="Chen D",320,IF(Atletas!O594="Sun D",321,IF(Atletas!O594="Wu D",322,IF(Atletas!O594="Wu-Hao D",323,IF(Atletas!O594="Outro Taijiquan D",324,IF(Atletas!O594="Yang E",325,IF(Atletas!O594="Chen E",326,IF(Atletas!O594="Sun E",327,IF(Atletas!O594="Wu E",328,IF(Atletas!O594="Wu-Hao E",329,IF(Atletas!O594="Outro Taijiquan E",330,IF(Atletas!O594="Yang F",331,IF(Atletas!O594="Chen F",332,IF(Atletas!O594="Sun F",333,IF(Atletas!O594="Wu F",334,IF(Atletas!O594="Wu-Hao F",335,IF(Atletas!O594="Outro Taijiquan F",336,"")))))))))))))))))))))))))))))))))))))</f>
        <v/>
      </c>
      <c r="BW603" s="50" t="str">
        <f>IF(Atletas!P594="","",IF(Atletas!X594&lt;&gt;"",10000,0)+IF(Atletas!B594="Feminino",1000,IF(Atletas!B594="Masculino",2000,""))+IF(OR(Atletas!P594="Yang 26 A",Atletas!P594="Yang 40 A"),401,IF(OR(Atletas!P594="Chen 25 A",Atletas!P594="Chen 36 A",Atletas!P594="Chen 56 A"),402,IF(Atletas!P594="Sun 73 A",403,IF(Atletas!P594="Wu 45 A",404,IF(Atletas!P594="Wu-Hao 46 A",405,IF(OR(Atletas!P594="Taijiquan 16 A",Atletas!P594="Taijiquan 24 A",Atletas!P594="Taijiquan 32 A",Atletas!P594="Taijiquan 42 A"),406,IF(OR(Atletas!P594="Yang 26 B",Atletas!P594="Yang 40 B"),407,IF(OR(Atletas!P594="Chen 25 B",Atletas!P594="Chen 36 B",Atletas!P594="Chen 56 B"),408,IF(Atletas!P594="Sun 73 B",409,IF(Atletas!P594="Wu 45 B",410,IF(Atletas!P594="Wu-Hao 46 B",411,IF(OR(Atletas!P594="Taijiquan 16 B",Atletas!P594="Taijiquan 24 B",Atletas!P594="Taijiquan 32 B",Atletas!P594="Taijiquan 42 B"),412,IF(OR(Atletas!P594="Yang 26 C",Atletas!P594="Yang 40 C"),413,IF(OR(Atletas!P594="Chen 25 C",Atletas!P594="Chen 36 C",Atletas!P594="Chen 56 C"),414,IF(Atletas!P594="Sun 73 C",415,IF(Atletas!P594="Wu 45 C",416,IF(Atletas!P594="Wu-Hao 46 C",417,IF(OR(Atletas!P594="Taijiquan 16 C",Atletas!P594="Taijiquan 24 C",Atletas!P594="Taijiquan 32 C",Atletas!P594="Taijiquan 42 C"),418,0)))))))))))))))))))</f>
        <v/>
      </c>
      <c r="BX603" s="50" t="str">
        <f>IF(Atletas!P594="","",IF(Atletas!X594&lt;&gt;"",10000,0)+IF(Atletas!B594="Feminino",1000,IF(Atletas!B594="Masculino",2000,""))+IF(OR(Atletas!P594="Yang 26 D",Atletas!P594="Yang 40 D"),419,IF(OR(Atletas!P594="Chen 25 D",Atletas!P594="Chen 36 D",Atletas!P594="Chen 56 D"),420,IF(Atletas!P594="Sun 73 D",421,IF(Atletas!P594="Wu 45 D",422,IF(Atletas!P594="Wu-Hao 46 D",423,IF(OR(Atletas!P594="Taijiquan 16 D",Atletas!P594="Taijiquan 24 D",Atletas!P594="Taijiquan 32 D",Atletas!P594="Taijiquan 42 D"),424,IF(OR(Atletas!P594="Yang 26 E",Atletas!P594="Yang 40 E"),425,IF(OR(Atletas!P594="Chen 25 E",Atletas!P594="Chen 36 E",Atletas!P594="Chen 56 E"),426,IF(Atletas!P594="Sun 73 E",427,IF(Atletas!P594="Wu 45 E",428,IF(Atletas!P594="Wu-Hao 46 E",429,IF(OR(Atletas!P594="Taijiquan 16 E",Atletas!P594="Taijiquan 24 E",Atletas!P594="Taijiquan 32 E",Atletas!P594="Taijiquan 42 E"),430,IF(OR(Atletas!P594="Yang 26 F",Atletas!P594="Yang 40 F"),431,IF(OR(Atletas!P594="Chen 25 F",Atletas!P594="Chen 36 F",Atletas!P594="Chen 56 F"),432,IF(Atletas!P594="Sun 73 F",433,IF(Atletas!P594="Wu 45 F",434,IF(Atletas!P594="Wu-Hao 46 F",435,IF(OR(Atletas!P594="Taijiquan 16 F",Atletas!P594="Taijiquan 24 F",Atletas!P594="Taijiquan 32 F",Atletas!P594="Taijiquan 42 F"),436,0)))))))))))))))))))</f>
        <v/>
      </c>
      <c r="BY603" s="50" t="str">
        <f>IF(Atletas!Q594="","",IF(Atletas!X594&lt;&gt;"",10000,0)+IF(Atletas!B594="Feminino",1000,IF(Atletas!B594="Masculino",2000,""))+IF(Atletas!Q594="Xingyiquan A",501,IF(Atletas!Q594="Baguazhang A",502,IF(Atletas!Q594="Outro Estilo Interno A",503,IF(Atletas!Q594="Xingyiquan B",504,IF(Atletas!Q594="Baguazhang B",505,IF(Atletas!Q594="Outro Estilo Interno B",506,IF(Atletas!Q594="Xingyiquan C",507,IF(Atletas!Q594="Baguazhang C",508,IF(Atletas!Q594="Outro Estilo Interno C",509,IF(Atletas!Q594="Xingyiquan D",510,IF(Atletas!Q594="Baguazhang D",511,IF(Atletas!Q594="Outro Estilo Interno D",512,IF(Atletas!Q594="Xingyiquan E",513,IF(Atletas!Q594="Baguazhang E",514,IF(Atletas!Q594="Outro Estilo Interno E",515,IF(Atletas!Q594="Xingyiquan F",516,IF(Atletas!Q594="Baguazhang F",517,IF(Atletas!Q594="Outro Estilo Interno F",518, "")))))))))))))))))))</f>
        <v/>
      </c>
      <c r="BZ603" s="50" t="str">
        <f>IF(Atletas!R594="","",IF(Atletas!X594&lt;&gt;"",10000,0)+IF(Atletas!B594="Feminino",1000,IF(Atletas!B594="Masculino",2000,""))+IF(Atletas!R594="Dao A",601,IF(Atletas!R594="Jian A",602,IF(Atletas!R594="Bishou A",603,IF(Atletas!R594="Shanzi A",604,IF(Atletas!R594="Outra Arma Curta A",605,IF(Atletas!R594="Dao B",606,IF(Atletas!R594="Jian B",607,IF(Atletas!R594="Bishou B",608,IF(Atletas!R594="Shanzi B",609,IF(Atletas!R594="Outra Arma Curta B",610,IF(Atletas!R594="Dao C",611,IF(Atletas!R594="Jian C",612,IF(Atletas!R594="Bishou C",613,IF(Atletas!R594="Shanzi C",614,IF(Atletas!R594="Outra Arma Curta C",615,IF(Atletas!R594="Dao D",616,IF(Atletas!R594="Jian D",617,IF(Atletas!R594="Bishou D",618,IF(Atletas!R594="Shanzi D",619,IF(Atletas!R594="Outra Arma Curta D",620,IF(Atletas!R594="Dao E",621,IF(Atletas!R594="Jian E",622,IF(Atletas!R594="Bishou E",623,IF(Atletas!R594="Shanzi E",624,IF(Atletas!R594="Outra Arma Curta E",625,IF(Atletas!R594="Dao F",626,IF(Atletas!R594="Jian F",627,IF(Atletas!R594="Bishou F",628,IF(Atletas!R594="Shanzi F",629,IF(Atletas!R594="Outra Arma Curta F",630, "")))))))))))))))))))))))))))))))</f>
        <v/>
      </c>
      <c r="CA603" s="50" t="str">
        <f>IF(Atletas!S594="","",IF(Atletas!X594&lt;&gt;"",10000,0)+IF(Atletas!B594="Feminino",1000,IF(Atletas!B594="Masculino",2000,""))+IF(Atletas!S594="Gun A",701,IF(Atletas!S594="Qiang A",702,IF(Atletas!S594="Pudao / Guandao A",703,IF(Atletas!S594="Outra Arma Longa A",704,IF(Atletas!S594="Gun B",705,IF(Atletas!S594="Qiang B",706,IF(Atletas!S594="Pudao / Guandao B",707,IF(Atletas!S594="Outra Arma Longa B",708,IF(Atletas!S594="Gun C",709,IF(Atletas!S594="Qiang C",710,IF(Atletas!S594="Pudao / Guandao C",711,IF(Atletas!S594="Outra Arma Longa C",712,IF(Atletas!S594="Gun D",713,IF(Atletas!S594="Qiang D",714,IF(Atletas!S594="Pudao / Guandao D",715,IF(Atletas!S594="Outra Arma Longa D",716,IF(Atletas!S594="Gun E",717,IF(Atletas!S594="Qiang E",718,IF(Atletas!S594="Pudao / Guandao E",719,IF(Atletas!S594="Outra Arma Longa E",720,IF(Atletas!S594="Gun F",721,IF(Atletas!S594="Qiang F",722,IF(Atletas!S594="Pudao / Guandao F",723,IF(Atletas!S594="Outra Arma Longa F",724,"")))))))))))))))))))))))))</f>
        <v/>
      </c>
      <c r="CB603" s="50" t="str">
        <f>IF(Atletas!T594="","",IF(Atletas!X594&lt;&gt;"",10000,0)+IF(Atletas!B594="Feminino",1000,IF(Atletas!B594="Masculino",2000,""))+IF(Atletas!T594="Outra Arma Dupla A",801,IF(Atletas!T594="Arma Maleável A",802,IF(Atletas!T594="Outra Arma Dupla B",803,IF(Atletas!T594="Arma Maleável B",804,IF(Atletas!T594="Outra Arma Dupla C",805,IF(Atletas!T594="Arma Maleável C",806,IF(Atletas!T594="Outra Arma Dupla D",807,IF(Atletas!T594="Arma Maleável D",808,IF(Atletas!T594="Outra Arma Dupla E",809,IF(Atletas!T594="Arma Maleável E",810,IF(Atletas!T594="Outra Arma Dupla F",811,IF(Atletas!T594="Arma Maleável F",812,IF(Atletas!T594="Shuangdao A",813,IF(Atletas!T594="Shuangdao B",814,IF(Atletas!T594="Shuangdao C",815,IF(Atletas!T594="Shuangdao D",816,IF(Atletas!T594="Shuangdao E",817,IF(Atletas!T594="Shuangdao F",818,"")))))))))))))))))))</f>
        <v/>
      </c>
      <c r="CC603" s="50" t="str">
        <f>IF(Atletas!U594="","",IF(Atletas!X594&lt;&gt;"",10000,0)+IF(Atletas!B594="Feminino",1000,IF(Atletas!B594="Masculino",2000,""))+IF(OR(Atletas!U594="Taijijian Yang A",Atletas!U594="Taijijian Yang Standard A"),901,IF(OR(Atletas!U594="Taijijian Chen A", Atletas!U594="Taijijian Chen Standard A"),902,IF(Atletas!U594="Taijijian Sun A",903,IF(Atletas!U594="Taijijian Wu A",904,IF(Atletas!U594="Taijijian Wu-Hao A",905,IF(OR(Atletas!U594="Taijijian 32 A",Atletas!U594="Taijijian 42 A"),906,IF(OR(Atletas!U594="Taijijian Yang B",Atletas!U594="Taijijian Yang Standard B"),907,IF(OR(Atletas!U594="Taijijian Chen B", Atletas!U594="Taijijian Chen Standard B"),908,IF(Atletas!U594="Taijijian Sun B",909,IF(Atletas!U594="Taijijian Wu B",910,IF(Atletas!U594="Taijijian Wu-Hao B",911,IF(OR(Atletas!U594="Taijijian 32 B",Atletas!U594="Taijijian 42 B"),912,IF(OR(Atletas!U594="Taijijian Yang C",Atletas!U594="Taijijian Yang Standard C"),913,IF(OR(Atletas!U594="Taijijian Chen C", Atletas!U594="Taijijian Chen Standard C"),914,IF(Atletas!U594="Taijijian Sun C",915,IF(Atletas!U594="Taijijian Wu C",916,IF(Atletas!U594="Taijijian Wu-Hao C",917,IF(OR(Atletas!U594="Taijijian 32 C",Atletas!U594="Taijijian 42 C"),918,IF(OR(Atletas!U594="Taijijian Yang D",Atletas!U594="Taijijian Yang Standard D"),919,IF(OR(Atletas!U594="Taijijian Chen D", Atletas!U594="Taijijian Chen Standard D"),920,IF(Atletas!U594="Taijijian Sun D",921,IF(Atletas!U594="Taijijian Wu D",922,IF(Atletas!U594="Taijijian Wu-Hao D",923,IF(OR(Atletas!U594="Taijijian 32 D",Atletas!U594="Taijijian 42 D"),924,IF(OR(Atletas!U594="Taijijian Yang E",Atletas!U594="Taijijian Yang Standard E"),925,IF(OR(Atletas!U594="Taijijian Chen E", Atletas!U594="Taijijian Chen Standard E"),926,IF(Atletas!U594="Taijijian Sun E",927,IF(Atletas!U594="Taijijian Wu E",928,IF(Atletas!U594="Taijijian Wu-Hao E",929,IF(OR(Atletas!U594="Taijijian 32 E",Atletas!U594="Taijijian 42 E"),930,IF(OR(Atletas!U594="Taijijian Yang F",Atletas!U594="Taijijian Yang Standard F"),931,IF(OR(Atletas!U594="Taijijian Chen F", Atletas!U594="Taijijian Chen Standard F"),932,IF(Atletas!U594="Taijijian Sun F",933,IF(Atletas!U594="Taijijian Wu F",934,IF(Atletas!U594="Taijijian Wu-Hao F",935,IF(OR(Atletas!U594="Taijijian 32 F",Atletas!U594="Taijijian 42 F"),936,"")))))))))))))))))))))))))))))))))))))</f>
        <v/>
      </c>
      <c r="CD603" s="50" t="str">
        <f>IF(Atletas!V594="","",IF(Atletas!X594&lt;&gt;"",10000,0)+IF(Atletas!B594="Feminino",1000,IF(Atletas!B594="Masculino",2000,""))+IF(Atletas!V594="Taijidao A",937,IF(Atletas!V594="TaijiShanzi A",938,IF(Atletas!V594="Taijiqiang A",939,IF(Atletas!V594="Bagua de Arma A",940,IF(Atletas!V594="Xingyi de Arma A",941,IF(Atletas!V594="Taijidao B",942,IF(Atletas!V594="TaijiShanzi B",943,IF(Atletas!V594="Taijiqiang B",944,IF(Atletas!V594="Bagua de Arma B",945,IF(Atletas!V594="Xingyi de Arma B",946,IF(Atletas!V594="Taijidao C",947,IF(Atletas!V594="TaijiShanzi C",948,IF(Atletas!V594="Taijiqiang C",949,IF(Atletas!V594="Bagua de Arma C",950,IF(Atletas!V594="Xingyi de Arma C",951,IF(Atletas!V594="Taijidao D",952,IF(Atletas!V594="TaijiShanzi D",953,IF(Atletas!V594="Taijiqiang D",954,IF(Atletas!V594="Bagua de Arma D",955,IF(Atletas!V594="Xingyi de Arma D",956,IF(Atletas!V594="Taijidao E",957,IF(Atletas!V594="TaijiShanzi E",958,IF(Atletas!V594="Taijiqiang E",959,IF(Atletas!V594="Bagua de Arma E",960,IF(Atletas!V594="Xingyi de Arma E",961,IF(Atletas!V594="Taijidao F",962,IF(Atletas!V594="TaijiShanzi F",963,IF(Atletas!V594="Taijiqiang F",964,IF(Atletas!V594="Bagua de Arma F",965,IF(Atletas!V594="Xingyi de Arma F",966,"")))))))))))))))))))))))))))))))</f>
        <v/>
      </c>
      <c r="CM603" s="50" t="str">
        <f xml:space="preserve"> IF(Atletas!W594="","",IF(Atletas!W594="Duilian de Mãos BC - Equipe 1",1,IF(Atletas!W594="Duilian de Mãos BC - Equipe 2",2,IF(Atletas!W594="Duilian de Armas BC - Equipe 1",3,IF(Atletas!W594="Duilian de Armas BC - Equipe 2",4,IF(Atletas!W594="Duilian de Mãos DE - Equipe 1",5,IF(Atletas!W594="Duilian de Mãos DE - Equipe 2",6,IF(Atletas!W594="Duilian de Armas DE - Equipe 1",7,IF(Atletas!W594="Duilian de Armas DE - Equipe 2",8,IF(Atletas!W594="Duilian de Tuishou - Equipe 1",9,IF(Atletas!W594="Duilian de Tuishou - Equipe 2",10,IF(Atletas!W594="Grupo Externo ABC - Equipe 1",11,IF(Atletas!W594="Grupo Externo ABC - Equipe 2",12,IF(Atletas!W594="Grupo Interno ABC - Equipe 1",13,IF(Atletas!W594="Grupo Interno ABC - Equipe 2",14,IF(Atletas!W594="Grupo Externo DEF - Equipe 1",15,IF(Atletas!W594="Grupo Externo DEF - Equipe 2",16,IF(Atletas!W594="Grupo Interno DEF - Equipe 1",17,IF(Atletas!W594="Grupo Interno DEF - Equipe 2",18,"")))))))))))))))))))</f>
        <v/>
      </c>
    </row>
    <row r="604" spans="40:91">
      <c r="AN604" s="52" t="str">
        <f>IF(Atletas!D595="","",IF(Atletas!B595="Feminino",100,IF(Atletas!B595="Masculino",200,""))+(IF(Atletas!D595="Kids 30kg",1,IF(Atletas!D595="Kids 32kg",2, IF(Atletas!D595="Kids 34kg",3,IF(Atletas!D595="Kids 36kg",4,IF(Atletas!D595="Kids 39kg",5,IF(Atletas!D595="Kids 42kg",6,IF(Atletas!D595="Kids 45kg",7, IF(Atletas!D595="Infantil 39kg",8,IF(Atletas!D595="Infantil 42kg",9,IF(Atletas!D595="Infantil 45kg",10,IF(Atletas!D595="Infantil 48kg",11,IF(Atletas!D595="Infantil 52kg",12,IF(Atletas!D595="Infantil 56kg",13,IF(Atletas!D595="Infantil 60kg",14,IF(Atletas!D595="Juvenil 48kg",15,IF(Atletas!D595="Juvenil 52kg",16,IF(Atletas!D595="Juvenil 56kg",17,IF(Atletas!D595="Juvenil 60kg",18,IF(Atletas!D595="Juvenil 65kg",19,IF(Atletas!D595="Juvenil 70kg",20,IF(Atletas!D595="Juvenil 75kg",21,IF(Atletas!D595="Juvenil 80kg",22, IF(Atletas!D595="Juvenil 85kg",23,IF(Atletas!D595="Adulto 48kg",24,IF(Atletas!D595="Adulto 52kg",25,IF(Atletas!D595="Adulto 56kg",26,IF(Atletas!D595="Adulto 60kg",27,IF(Atletas!D595="Adulto 65kg",28,IF(Atletas!D595="Adulto 70kg",29,IF(Atletas!D595="Adulto 75kg",30,IF(Atletas!D595="Adulto 80kg",31,IF(Atletas!D595="Adulto 85kg",32,IF(Atletas!D595="Adulto 90kg",33,IF(Atletas!D595="Adulto 100kg",34, IF(Atletas!D595="Adulto +100kg",35,"")))))))))))))))))))))))))))))))))))))</f>
        <v/>
      </c>
      <c r="AS604" s="6" t="str">
        <f>IF(Atletas!E595="","",IF(Atletas!B595="Feminino",100,IF(Atletas!B595="Masculino",200,""))+(IF(Atletas!E595="Juvenil 44kg",1,IF(Atletas!E595="Juvenil 48kg",2,IF(Atletas!E595="Juvenil 52kg",3,IF(Atletas!E595="Juvenil 56kg",4,IF(Atletas!E595="Juvenil 60kg",5,IF(Atletas!E595="Juvenil 65kg",6,IF(Atletas!E595="Juvenil 70kg",7,IF(Atletas!E595="Juvenil 75kg",8,IF(Atletas!E595="Juvenil 82kg",9,IF(Atletas!E595="Juvenil 90kg",10,IF(Atletas!E595="Juvenil 100kg",11,IF(Atletas!E595="Adulto 48kg",12,IF(Atletas!E595="Adulto 52kg",13,IF(Atletas!E595="Adulto 56kg",14,IF(Atletas!E595="Adulto 60kg",15,IF(Atletas!E595="Adulto 65kg",16,IF(Atletas!E595="Adulto 70kg",17,IF(Atletas!E595="Adulto 75kg",18,IF(Atletas!E595="Adulto 82kg",19,IF(Atletas!E595="Adulto 90kg",20,IF(Atletas!E595="Adulto 100kg",21,IF(Atletas!E595="Adulto +100kg",22,""))))))))))))))))))))))))</f>
        <v/>
      </c>
      <c r="AX604" s="6" t="str">
        <f>IF(Atletas!F595="","",IF(Atletas!B595="Feminino",100,IF(Atletas!B595="Masculino",200,""))+(IF(Atletas!F595="Adulto 48kg",1,IF(Atletas!F595="Adulto 56kg",2,IF(Atletas!F595="Adulto 65kg",3,IF(Atletas!F595="Adulto 75kg",4,IF(Atletas!F595="Adulto +75kg",5,IF(Atletas!F595="Adulto 52kg",6,IF(Atletas!F595="Adulto 60kg",7,IF(Atletas!F595="Adulto 70kg",8,IF(Atletas!F595="Adulto 80kg",9,IF(Atletas!F595="Adulto 90kg",10,IF(Atletas!F595="Adulto +90kg",11,"")))))))))))))</f>
        <v/>
      </c>
      <c r="BC604" s="6" t="str">
        <f>IF(Atletas!G595="","",IF(Atletas!B595="Feminino",10,IF(Atletas!B595="Masculino",20,""))+(IF(Atletas!G595="Baduanjin A",1,IF(Atletas!G595="Baduanjin B",2))))</f>
        <v/>
      </c>
      <c r="BF604" s="52" t="str">
        <f>IF(Atletas!H595="","",IF(Atletas!B595="Feminino",100,IF(Atletas!B595="Masculino",200,""))+(IF(Atletas!H595="Changquan Mirim",1,IF(Atletas!H595="Nanquan Mirim",2,IF(Atletas!H595="Taijiquan Mirim",3,IF(Atletas!H595="Changquan Grupo C",4,IF(Atletas!H595="Nanquan Grupo C",5,IF(Atletas!H595="Taijiquan Grupo C",6,IF(Atletas!H595="Changquan Grupo B",7,IF(Atletas!H595="Nanquan Grupo B",8,IF(Atletas!H595="Taijiquan Grupo B",9,IF(Atletas!H595="Changquan Grupo A",10,IF(Atletas!H595="Nanquan Grupo A",11,IF(Atletas!H595="Taijiquan Grupo A",12,IF(Atletas!H595="Changquan Opcional",13,IF(Atletas!H595="Nanquan Opcional",14,IF(Atletas!H595="Taijiquan Opcional",15,IF(Atletas!H595="Changquan Adulto",16,IF(Atletas!H595="Nanquan Adulto",17,IF(Atletas!H595="Taijiquan Adulto",18,""))))))))))))))))))))</f>
        <v/>
      </c>
      <c r="BG604" s="52" t="str">
        <f>IF(Atletas!I595="","",IF(Atletas!B595="Feminino",100,IF(Atletas!B595="Masculino",200,""))+(IF(Atletas!I595="Daoshu Mirim",19,IF(Atletas!I595="Jianshu Mirim",20,IF(Atletas!I595="Nandao Mirim",21,IF(Atletas!I595="Taijijian Mirim",22,IF(Atletas!I595="Daoshu Grupo C",23,IF(Atletas!I595="Jianshu Grupo C",24,IF(Atletas!I595="Nandao Grupo C",25,IF(Atletas!I595="Taijijian Grupo C",26,IF(Atletas!I595="Daoshu Grupo B",27,IF(Atletas!I595="Jianshu Grupo B",28,IF(Atletas!I595="Nandao Grupo B",29,IF(Atletas!I595="Taijijian Grupo B",30,IF(Atletas!I595="Daoshu Grupo A",31,IF(Atletas!I595="Jianshu Grupo A",32,IF(Atletas!I595="Nandao Grupo A",33,IF(Atletas!I595="Taijijian Grupo A",34,IF(Atletas!I595="Daoshu Opcional",35,IF(Atletas!I595="Jianshu Opcional",36,IF(Atletas!I595="Nandao Opcional",37,IF(Atletas!I595="Taijijian Opcional",38,IF(Atletas!I595="Daoshu Adulto",39,IF(Atletas!I595="Jianshu Adulto",40,IF(Atletas!I595="Nandao Adulto",41,IF(Atletas!I595="Taijijian Adulto",42,""))))))))))))))))))))))))))</f>
        <v/>
      </c>
      <c r="BH604" s="52" t="str">
        <f>IF(Atletas!J595="","",IF(Atletas!B595="Feminino",100,IF(Atletas!B595="Masculino",200,""))+(IF(Atletas!J595="Gunshu Mirim",43,IF(Atletas!J595="Qiangshu Mirim",44,IF(Atletas!J595="Nangun Mirim",45,IF(Atletas!J595="Gunshu Grupo C",46,IF(Atletas!J595="Qiangshu Grupo C",47,IF(Atletas!J595="Nangun Grupo C",48,IF(Atletas!J595="Gunshu Grupo B",49,IF(Atletas!J595="Qiangshu Grupo B",50,IF(Atletas!J595="Nangun Grupo B",51,IF(Atletas!J595="Gunshu Grupo A",52,IF(Atletas!J595="Qiangshu Grupo A",53,IF(Atletas!J595="Nangun Grupo A",54,IF(Atletas!J595="Gunshu Opcional",55,IF(Atletas!J595="Qiangshu Opcional",56,IF(Atletas!J595="Nangun Opcional",57,IF(Atletas!J595="Gunshu Adulto",58,IF(Atletas!J595="Qiangshu Adulto",59,IF(Atletas!J595="Nangun Adulto",60,IF(Atletas!J595="Taijishan Grupo B",61,IF(Atletas!J595="Taijishan Grupo A",62,""))))))))))))))))))))))</f>
        <v/>
      </c>
      <c r="BM604" s="50" t="str">
        <f>IF(Atletas!K595="","",IF(Atletas!B595="Feminino",100,IF(Atletas!B595="Masculino",200,""))+(IF(Atletas!K595="Equipe 1 Grupo B",1,IF(Atletas!K595="Equipe 2 Grupo B",2,IF(Atletas!K595="Equipe 1 Grupo A",3,IF(Atletas!K595="Equipe 2 Grupo A",4,IF(Atletas!K595="Equipe 1 Adulto",5,IF(Atletas!K595="Equipe 2 Adulto",6,""))))))))</f>
        <v/>
      </c>
      <c r="BR604" s="50" t="str">
        <f>IF(Atletas!L595="","",IF(Atletas!X595&lt;&gt;"",10000,0)+(IF(Atletas!B595="Feminino",1000,IF(Atletas!B595="Masculino",2000,""))+IF(Atletas!L595="Choylayfut A",1,IF(Atletas!L595="Hunggar A",2,IF(Atletas!L595="Wuzuquan A",3,IF(Atletas!L595="Wingchun A",4,IF(Atletas!L595="Outra Mão de Sul A",5,IF(Atletas!L595="Choylayfut B",6,IF(Atletas!L595="Hunggar B",7,IF(Atletas!L595="Wuzuquan B",8,IF(Atletas!L595="Wingchun B",9,IF(Atletas!L595="Outra Mão de Sul B",10,IF(Atletas!L595="Choylayfut C",11,IF(Atletas!L595="Hunggar C",12,IF(Atletas!L595="Wuzuquan C",13,IF(Atletas!L595="Wingchun C",14,IF(Atletas!L595="Outra Mão de Sul C",15,IF(Atletas!L595="Choylayfut D",16,IF(Atletas!L595="Hunggar D",17,IF(Atletas!L595="Wuzuquan D",18,IF(Atletas!L595="Wingchun D",19,IF(Atletas!L595="Outra Mão de Sul D",20,IF(Atletas!L595="Choylayfut E",21,IF(Atletas!L595="Hunggar E",22,IF(Atletas!L595="Wuzuquan E",23,IF(Atletas!L595="Wingchun E",24,IF(Atletas!L595="Outra Mão de Sul E",25,IF(Atletas!L595="Choylayfut F",26,IF(Atletas!L595="Hunggar F",27,IF(Atletas!L595="Wuzuquan F",28,IF(Atletas!L595="Wingchun F",29,IF(Atletas!L595="Outra Mão de Sul F",30,IF(Atletas!L595="Dishuquan A",31,IF(Atletas!L595="Dishuquan B",32,IF(Atletas!L595="Dishuquan C",33,IF(Atletas!L595="Dishuquan D",34,IF(Atletas!L595="Dishuquan E",35,IF(Atletas!L595="Dishuquan F",36,""))))))))))))))))))))))))))))))))))))))</f>
        <v/>
      </c>
      <c r="BS604" s="50" t="str">
        <f>IF(Atletas!M595="","",IF(Atletas!X595&lt;&gt;"",10000,0)+(IF(Atletas!B595="Feminino",1000,IF(Atletas!B595="Masculino",2000,""))+(IF(Atletas!M595="Chaquan A",101,IF(Atletas!M595="Emeiquan A",102,IF(Atletas!M595="Fanziquan A",103,IF(Atletas!M595="Huaquan A",104,IF(Atletas!M595="Hongquan A",105,IF(Atletas!M595="Paoquan A",106,IF(Atletas!M595="Piguaquan A",107,IF(Atletas!M595="Shaolinquan A",108,IF(Atletas!M595="Tanglangquan A",109,IF(Atletas!M595="Yingzhaoquan A",110,IF(Atletas!M595="Tongbeiquan A",111,IF(Atletas!M595="Wudangquan A",112,IF(Atletas!M595="Outros Estilos A",113,IF(Atletas!M595="Chaquan B",114,IF(Atletas!M595="Emeiquan B",115,IF(Atletas!M595="Fanziquan B",116,IF(Atletas!M595="Huaquan B",117,IF(Atletas!M595="Hongquan B",118,IF(Atletas!M595="Paoquan B",119,IF(Atletas!M595="Piguaquan B",120,IF(Atletas!M595="Shaolinquan B",121,IF(Atletas!M595="Tanglangquan B",122,IF(Atletas!M595="Yingzhaoquan B",123,IF(Atletas!M595="Tongbeiquan B",124,IF(Atletas!M595="Wudangquan B",125,IF(Atletas!M595="Outros Estilos B",126,IF(Atletas!M595="Chaquan C",127,IF(Atletas!M595="Emeiquan C",128,IF(Atletas!M595="Fanziquan C",129,IF(Atletas!M595="Huaquan C",130,IF(Atletas!M595="Hongquan C",131,IF(Atletas!M595="Paoquan C",132,IF(Atletas!M595="Piguaquan C",133,IF(Atletas!M595="Shaolinquan C",134,IF(Atletas!M595="Tanglangquan C",135,IF(Atletas!M595="Yingzhaoquan C",136,IF(Atletas!M595="Tongbeiquan C",137,IF(Atletas!M595="Wudangquan C",138,IF(Atletas!M595="Outros Estilos C",139,0))))))))))))))))))))))))))))))))))))))))))</f>
        <v/>
      </c>
      <c r="BT604" s="50" t="str">
        <f>IF(Atletas!M595="","",IF(Atletas!X595&lt;&gt;"",10000,0)+(IF(Atletas!B595="Feminino",1000,IF(Atletas!B595="Masculino",2000,""))+(IF(Atletas!M595="Chaquan D",140,IF(Atletas!M595="Emeiquan D",141,IF(Atletas!M595="Fanziquan D",142,IF(Atletas!M595="Huaquan D",143,IF(Atletas!M595="Hongquan D",144,IF(Atletas!M595="Paoquan D",145,IF(Atletas!M595="Piguaquan D",146,IF(Atletas!M595="Shaolinquan D",147,IF(Atletas!M595="Tanglangquan D",148,IF(Atletas!M595="Yingzhaoquan D",149,IF(Atletas!M595="Tongbeiquan D",150,IF(Atletas!M595="Wudangquan D",151,IF(Atletas!M595="Outros Estilos D",152,IF(Atletas!M595="Chaquan E",153,IF(Atletas!M595="Emeiquan E",154,IF(Atletas!M595="Fanziquan E",155,IF(Atletas!M595="Huaquan E",156,IF(Atletas!M595="Hongquan E",157,IF(Atletas!M595="Paoquan E",158,IF(Atletas!M595="Piguaquan E",159,IF(Atletas!M595="Shaolinquan E",160,IF(Atletas!M595="Tanglangquan E",161,IF(Atletas!M595="Yingzhaoquan E",162,IF(Atletas!M595="Tongbeiquan E",163,IF(Atletas!M595="Wudangquan E",164,IF(Atletas!M595="Outros Estilos E",165,IF(Atletas!M595="Chaquan F",166,IF(Atletas!M595="Emeiquan F",167,IF(Atletas!M595="Fanziquan F",168,IF(Atletas!M595="Huaquan F",169,IF(Atletas!M595="Hongquan F",170,IF(Atletas!M595="Paoquan F",171,IF(Atletas!M595="Piguaquan F",172,IF(Atletas!M595="Shaolinquan F",173,IF(Atletas!M595="Tanglangquan F",174,IF(Atletas!M595="Yingzhaoquan F",175,IF(Atletas!M595="Tongbeiquan F",176,IF(Atletas!M595="Wudangquan F",177,IF(Atletas!M595="Outros Estilos F",178,0))))))))))))))))))))))))))))))))))))))))))</f>
        <v/>
      </c>
      <c r="BU604" s="50" t="str">
        <f>IF(Atletas!N595="","",IF(Atletas!X595&lt;&gt;"",10000,0)+(IF(Atletas!B595="Feminino",1000,IF(Atletas!B595="Masculino",2000,""))+(IF(Atletas!N595="Ditangquan A",201,IF(Atletas!N595="Houquan A",202,IF(Atletas!N595="Zuiquan A",203,IF(Atletas!N595="Ditangquan B",204,IF(Atletas!N595="Houquan B",205,IF(Atletas!N595="Zuiquan B",206,IF(Atletas!N595="Ditangquan C",207,IF(Atletas!N595="Houquan C",208,IF(Atletas!N595="Zuiquan C",209,IF(Atletas!N595="Ditangquan D",210,IF(Atletas!N595="Houquan D",211,IF(Atletas!N595="Zuiquan D",212,IF(Atletas!N595="Ditangquan E",213,IF(Atletas!N595="Houquan E",214,IF(Atletas!N595="Zuiquan E",215,IF(Atletas!N595="Ditangquan F",216,IF(Atletas!N595="Houquan F",217,IF(Atletas!N595="Zuiquan F",218,"")))))))))))))))))))))</f>
        <v/>
      </c>
      <c r="BV604" s="50" t="str">
        <f>IF(Atletas!O595="","",IF(Atletas!X595&lt;&gt;"",10000,0)+IF(Atletas!B595="Feminino",1000,IF(Atletas!B595="Masculino",2000,""))+IF(Atletas!O595="Yang A",301,IF(Atletas!O595="Chen A",302,IF(Atletas!O595="Sun A",303,IF(Atletas!O595="Wu A",304,IF(Atletas!O595="Wu-Hao A",305,IF(Atletas!O595="Outro Taijiquan A",306,IF(Atletas!O595="Yang B",307,IF(Atletas!O595="Chen B",308,IF(Atletas!O595="Sun B",309,IF(Atletas!O595="Wu B",310,IF(Atletas!O595="Wu-Hao B",311,IF(Atletas!O595="Outro Taijiquan B",312,IF(Atletas!O595="Yang C",313,IF(Atletas!O595="Chen C",314,IF(Atletas!O595="Sun C",315,IF(Atletas!O595="Wu C",316,IF(Atletas!O595="Wu-Hao C",317,IF(Atletas!O595="Outro Taijiquan C",318,IF(Atletas!O595="Yang D",319,IF(Atletas!O595="Chen D",320,IF(Atletas!O595="Sun D",321,IF(Atletas!O595="Wu D",322,IF(Atletas!O595="Wu-Hao D",323,IF(Atletas!O595="Outro Taijiquan D",324,IF(Atletas!O595="Yang E",325,IF(Atletas!O595="Chen E",326,IF(Atletas!O595="Sun E",327,IF(Atletas!O595="Wu E",328,IF(Atletas!O595="Wu-Hao E",329,IF(Atletas!O595="Outro Taijiquan E",330,IF(Atletas!O595="Yang F",331,IF(Atletas!O595="Chen F",332,IF(Atletas!O595="Sun F",333,IF(Atletas!O595="Wu F",334,IF(Atletas!O595="Wu-Hao F",335,IF(Atletas!O595="Outro Taijiquan F",336,"")))))))))))))))))))))))))))))))))))))</f>
        <v/>
      </c>
      <c r="BW604" s="50" t="str">
        <f>IF(Atletas!P595="","",IF(Atletas!X595&lt;&gt;"",10000,0)+IF(Atletas!B595="Feminino",1000,IF(Atletas!B595="Masculino",2000,""))+IF(OR(Atletas!P595="Yang 26 A",Atletas!P595="Yang 40 A"),401,IF(OR(Atletas!P595="Chen 25 A",Atletas!P595="Chen 36 A",Atletas!P595="Chen 56 A"),402,IF(Atletas!P595="Sun 73 A",403,IF(Atletas!P595="Wu 45 A",404,IF(Atletas!P595="Wu-Hao 46 A",405,IF(OR(Atletas!P595="Taijiquan 16 A",Atletas!P595="Taijiquan 24 A",Atletas!P595="Taijiquan 32 A",Atletas!P595="Taijiquan 42 A"),406,IF(OR(Atletas!P595="Yang 26 B",Atletas!P595="Yang 40 B"),407,IF(OR(Atletas!P595="Chen 25 B",Atletas!P595="Chen 36 B",Atletas!P595="Chen 56 B"),408,IF(Atletas!P595="Sun 73 B",409,IF(Atletas!P595="Wu 45 B",410,IF(Atletas!P595="Wu-Hao 46 B",411,IF(OR(Atletas!P595="Taijiquan 16 B",Atletas!P595="Taijiquan 24 B",Atletas!P595="Taijiquan 32 B",Atletas!P595="Taijiquan 42 B"),412,IF(OR(Atletas!P595="Yang 26 C",Atletas!P595="Yang 40 C"),413,IF(OR(Atletas!P595="Chen 25 C",Atletas!P595="Chen 36 C",Atletas!P595="Chen 56 C"),414,IF(Atletas!P595="Sun 73 C",415,IF(Atletas!P595="Wu 45 C",416,IF(Atletas!P595="Wu-Hao 46 C",417,IF(OR(Atletas!P595="Taijiquan 16 C",Atletas!P595="Taijiquan 24 C",Atletas!P595="Taijiquan 32 C",Atletas!P595="Taijiquan 42 C"),418,0)))))))))))))))))))</f>
        <v/>
      </c>
      <c r="BX604" s="50" t="str">
        <f>IF(Atletas!P595="","",IF(Atletas!X595&lt;&gt;"",10000,0)+IF(Atletas!B595="Feminino",1000,IF(Atletas!B595="Masculino",2000,""))+IF(OR(Atletas!P595="Yang 26 D",Atletas!P595="Yang 40 D"),419,IF(OR(Atletas!P595="Chen 25 D",Atletas!P595="Chen 36 D",Atletas!P595="Chen 56 D"),420,IF(Atletas!P595="Sun 73 D",421,IF(Atletas!P595="Wu 45 D",422,IF(Atletas!P595="Wu-Hao 46 D",423,IF(OR(Atletas!P595="Taijiquan 16 D",Atletas!P595="Taijiquan 24 D",Atletas!P595="Taijiquan 32 D",Atletas!P595="Taijiquan 42 D"),424,IF(OR(Atletas!P595="Yang 26 E",Atletas!P595="Yang 40 E"),425,IF(OR(Atletas!P595="Chen 25 E",Atletas!P595="Chen 36 E",Atletas!P595="Chen 56 E"),426,IF(Atletas!P595="Sun 73 E",427,IF(Atletas!P595="Wu 45 E",428,IF(Atletas!P595="Wu-Hao 46 E",429,IF(OR(Atletas!P595="Taijiquan 16 E",Atletas!P595="Taijiquan 24 E",Atletas!P595="Taijiquan 32 E",Atletas!P595="Taijiquan 42 E"),430,IF(OR(Atletas!P595="Yang 26 F",Atletas!P595="Yang 40 F"),431,IF(OR(Atletas!P595="Chen 25 F",Atletas!P595="Chen 36 F",Atletas!P595="Chen 56 F"),432,IF(Atletas!P595="Sun 73 F",433,IF(Atletas!P595="Wu 45 F",434,IF(Atletas!P595="Wu-Hao 46 F",435,IF(OR(Atletas!P595="Taijiquan 16 F",Atletas!P595="Taijiquan 24 F",Atletas!P595="Taijiquan 32 F",Atletas!P595="Taijiquan 42 F"),436,0)))))))))))))))))))</f>
        <v/>
      </c>
      <c r="BY604" s="50" t="str">
        <f>IF(Atletas!Q595="","",IF(Atletas!X595&lt;&gt;"",10000,0)+IF(Atletas!B595="Feminino",1000,IF(Atletas!B595="Masculino",2000,""))+IF(Atletas!Q595="Xingyiquan A",501,IF(Atletas!Q595="Baguazhang A",502,IF(Atletas!Q595="Outro Estilo Interno A",503,IF(Atletas!Q595="Xingyiquan B",504,IF(Atletas!Q595="Baguazhang B",505,IF(Atletas!Q595="Outro Estilo Interno B",506,IF(Atletas!Q595="Xingyiquan C",507,IF(Atletas!Q595="Baguazhang C",508,IF(Atletas!Q595="Outro Estilo Interno C",509,IF(Atletas!Q595="Xingyiquan D",510,IF(Atletas!Q595="Baguazhang D",511,IF(Atletas!Q595="Outro Estilo Interno D",512,IF(Atletas!Q595="Xingyiquan E",513,IF(Atletas!Q595="Baguazhang E",514,IF(Atletas!Q595="Outro Estilo Interno E",515,IF(Atletas!Q595="Xingyiquan F",516,IF(Atletas!Q595="Baguazhang F",517,IF(Atletas!Q595="Outro Estilo Interno F",518, "")))))))))))))))))))</f>
        <v/>
      </c>
      <c r="BZ604" s="50" t="str">
        <f>IF(Atletas!R595="","",IF(Atletas!X595&lt;&gt;"",10000,0)+IF(Atletas!B595="Feminino",1000,IF(Atletas!B595="Masculino",2000,""))+IF(Atletas!R595="Dao A",601,IF(Atletas!R595="Jian A",602,IF(Atletas!R595="Bishou A",603,IF(Atletas!R595="Shanzi A",604,IF(Atletas!R595="Outra Arma Curta A",605,IF(Atletas!R595="Dao B",606,IF(Atletas!R595="Jian B",607,IF(Atletas!R595="Bishou B",608,IF(Atletas!R595="Shanzi B",609,IF(Atletas!R595="Outra Arma Curta B",610,IF(Atletas!R595="Dao C",611,IF(Atletas!R595="Jian C",612,IF(Atletas!R595="Bishou C",613,IF(Atletas!R595="Shanzi C",614,IF(Atletas!R595="Outra Arma Curta C",615,IF(Atletas!R595="Dao D",616,IF(Atletas!R595="Jian D",617,IF(Atletas!R595="Bishou D",618,IF(Atletas!R595="Shanzi D",619,IF(Atletas!R595="Outra Arma Curta D",620,IF(Atletas!R595="Dao E",621,IF(Atletas!R595="Jian E",622,IF(Atletas!R595="Bishou E",623,IF(Atletas!R595="Shanzi E",624,IF(Atletas!R595="Outra Arma Curta E",625,IF(Atletas!R595="Dao F",626,IF(Atletas!R595="Jian F",627,IF(Atletas!R595="Bishou F",628,IF(Atletas!R595="Shanzi F",629,IF(Atletas!R595="Outra Arma Curta F",630, "")))))))))))))))))))))))))))))))</f>
        <v/>
      </c>
      <c r="CA604" s="50" t="str">
        <f>IF(Atletas!S595="","",IF(Atletas!X595&lt;&gt;"",10000,0)+IF(Atletas!B595="Feminino",1000,IF(Atletas!B595="Masculino",2000,""))+IF(Atletas!S595="Gun A",701,IF(Atletas!S595="Qiang A",702,IF(Atletas!S595="Pudao / Guandao A",703,IF(Atletas!S595="Outra Arma Longa A",704,IF(Atletas!S595="Gun B",705,IF(Atletas!S595="Qiang B",706,IF(Atletas!S595="Pudao / Guandao B",707,IF(Atletas!S595="Outra Arma Longa B",708,IF(Atletas!S595="Gun C",709,IF(Atletas!S595="Qiang C",710,IF(Atletas!S595="Pudao / Guandao C",711,IF(Atletas!S595="Outra Arma Longa C",712,IF(Atletas!S595="Gun D",713,IF(Atletas!S595="Qiang D",714,IF(Atletas!S595="Pudao / Guandao D",715,IF(Atletas!S595="Outra Arma Longa D",716,IF(Atletas!S595="Gun E",717,IF(Atletas!S595="Qiang E",718,IF(Atletas!S595="Pudao / Guandao E",719,IF(Atletas!S595="Outra Arma Longa E",720,IF(Atletas!S595="Gun F",721,IF(Atletas!S595="Qiang F",722,IF(Atletas!S595="Pudao / Guandao F",723,IF(Atletas!S595="Outra Arma Longa F",724,"")))))))))))))))))))))))))</f>
        <v/>
      </c>
      <c r="CB604" s="50" t="str">
        <f>IF(Atletas!T595="","",IF(Atletas!X595&lt;&gt;"",10000,0)+IF(Atletas!B595="Feminino",1000,IF(Atletas!B595="Masculino",2000,""))+IF(Atletas!T595="Outra Arma Dupla A",801,IF(Atletas!T595="Arma Maleável A",802,IF(Atletas!T595="Outra Arma Dupla B",803,IF(Atletas!T595="Arma Maleável B",804,IF(Atletas!T595="Outra Arma Dupla C",805,IF(Atletas!T595="Arma Maleável C",806,IF(Atletas!T595="Outra Arma Dupla D",807,IF(Atletas!T595="Arma Maleável D",808,IF(Atletas!T595="Outra Arma Dupla E",809,IF(Atletas!T595="Arma Maleável E",810,IF(Atletas!T595="Outra Arma Dupla F",811,IF(Atletas!T595="Arma Maleável F",812,IF(Atletas!T595="Shuangdao A",813,IF(Atletas!T595="Shuangdao B",814,IF(Atletas!T595="Shuangdao C",815,IF(Atletas!T595="Shuangdao D",816,IF(Atletas!T595="Shuangdao E",817,IF(Atletas!T595="Shuangdao F",818,"")))))))))))))))))))</f>
        <v/>
      </c>
      <c r="CC604" s="50" t="str">
        <f>IF(Atletas!U595="","",IF(Atletas!X595&lt;&gt;"",10000,0)+IF(Atletas!B595="Feminino",1000,IF(Atletas!B595="Masculino",2000,""))+IF(OR(Atletas!U595="Taijijian Yang A",Atletas!U595="Taijijian Yang Standard A"),901,IF(OR(Atletas!U595="Taijijian Chen A", Atletas!U595="Taijijian Chen Standard A"),902,IF(Atletas!U595="Taijijian Sun A",903,IF(Atletas!U595="Taijijian Wu A",904,IF(Atletas!U595="Taijijian Wu-Hao A",905,IF(OR(Atletas!U595="Taijijian 32 A",Atletas!U595="Taijijian 42 A"),906,IF(OR(Atletas!U595="Taijijian Yang B",Atletas!U595="Taijijian Yang Standard B"),907,IF(OR(Atletas!U595="Taijijian Chen B", Atletas!U595="Taijijian Chen Standard B"),908,IF(Atletas!U595="Taijijian Sun B",909,IF(Atletas!U595="Taijijian Wu B",910,IF(Atletas!U595="Taijijian Wu-Hao B",911,IF(OR(Atletas!U595="Taijijian 32 B",Atletas!U595="Taijijian 42 B"),912,IF(OR(Atletas!U595="Taijijian Yang C",Atletas!U595="Taijijian Yang Standard C"),913,IF(OR(Atletas!U595="Taijijian Chen C", Atletas!U595="Taijijian Chen Standard C"),914,IF(Atletas!U595="Taijijian Sun C",915,IF(Atletas!U595="Taijijian Wu C",916,IF(Atletas!U595="Taijijian Wu-Hao C",917,IF(OR(Atletas!U595="Taijijian 32 C",Atletas!U595="Taijijian 42 C"),918,IF(OR(Atletas!U595="Taijijian Yang D",Atletas!U595="Taijijian Yang Standard D"),919,IF(OR(Atletas!U595="Taijijian Chen D", Atletas!U595="Taijijian Chen Standard D"),920,IF(Atletas!U595="Taijijian Sun D",921,IF(Atletas!U595="Taijijian Wu D",922,IF(Atletas!U595="Taijijian Wu-Hao D",923,IF(OR(Atletas!U595="Taijijian 32 D",Atletas!U595="Taijijian 42 D"),924,IF(OR(Atletas!U595="Taijijian Yang E",Atletas!U595="Taijijian Yang Standard E"),925,IF(OR(Atletas!U595="Taijijian Chen E", Atletas!U595="Taijijian Chen Standard E"),926,IF(Atletas!U595="Taijijian Sun E",927,IF(Atletas!U595="Taijijian Wu E",928,IF(Atletas!U595="Taijijian Wu-Hao E",929,IF(OR(Atletas!U595="Taijijian 32 E",Atletas!U595="Taijijian 42 E"),930,IF(OR(Atletas!U595="Taijijian Yang F",Atletas!U595="Taijijian Yang Standard F"),931,IF(OR(Atletas!U595="Taijijian Chen F", Atletas!U595="Taijijian Chen Standard F"),932,IF(Atletas!U595="Taijijian Sun F",933,IF(Atletas!U595="Taijijian Wu F",934,IF(Atletas!U595="Taijijian Wu-Hao F",935,IF(OR(Atletas!U595="Taijijian 32 F",Atletas!U595="Taijijian 42 F"),936,"")))))))))))))))))))))))))))))))))))))</f>
        <v/>
      </c>
      <c r="CD604" s="50" t="str">
        <f>IF(Atletas!V595="","",IF(Atletas!X595&lt;&gt;"",10000,0)+IF(Atletas!B595="Feminino",1000,IF(Atletas!B595="Masculino",2000,""))+IF(Atletas!V595="Taijidao A",937,IF(Atletas!V595="TaijiShanzi A",938,IF(Atletas!V595="Taijiqiang A",939,IF(Atletas!V595="Bagua de Arma A",940,IF(Atletas!V595="Xingyi de Arma A",941,IF(Atletas!V595="Taijidao B",942,IF(Atletas!V595="TaijiShanzi B",943,IF(Atletas!V595="Taijiqiang B",944,IF(Atletas!V595="Bagua de Arma B",945,IF(Atletas!V595="Xingyi de Arma B",946,IF(Atletas!V595="Taijidao C",947,IF(Atletas!V595="TaijiShanzi C",948,IF(Atletas!V595="Taijiqiang C",949,IF(Atletas!V595="Bagua de Arma C",950,IF(Atletas!V595="Xingyi de Arma C",951,IF(Atletas!V595="Taijidao D",952,IF(Atletas!V595="TaijiShanzi D",953,IF(Atletas!V595="Taijiqiang D",954,IF(Atletas!V595="Bagua de Arma D",955,IF(Atletas!V595="Xingyi de Arma D",956,IF(Atletas!V595="Taijidao E",957,IF(Atletas!V595="TaijiShanzi E",958,IF(Atletas!V595="Taijiqiang E",959,IF(Atletas!V595="Bagua de Arma E",960,IF(Atletas!V595="Xingyi de Arma E",961,IF(Atletas!V595="Taijidao F",962,IF(Atletas!V595="TaijiShanzi F",963,IF(Atletas!V595="Taijiqiang F",964,IF(Atletas!V595="Bagua de Arma F",965,IF(Atletas!V595="Xingyi de Arma F",966,"")))))))))))))))))))))))))))))))</f>
        <v/>
      </c>
      <c r="CM604" s="50" t="str">
        <f xml:space="preserve"> IF(Atletas!W595="","",IF(Atletas!W595="Duilian de Mãos BC - Equipe 1",1,IF(Atletas!W595="Duilian de Mãos BC - Equipe 2",2,IF(Atletas!W595="Duilian de Armas BC - Equipe 1",3,IF(Atletas!W595="Duilian de Armas BC - Equipe 2",4,IF(Atletas!W595="Duilian de Mãos DE - Equipe 1",5,IF(Atletas!W595="Duilian de Mãos DE - Equipe 2",6,IF(Atletas!W595="Duilian de Armas DE - Equipe 1",7,IF(Atletas!W595="Duilian de Armas DE - Equipe 2",8,IF(Atletas!W595="Duilian de Tuishou - Equipe 1",9,IF(Atletas!W595="Duilian de Tuishou - Equipe 2",10,IF(Atletas!W595="Grupo Externo ABC - Equipe 1",11,IF(Atletas!W595="Grupo Externo ABC - Equipe 2",12,IF(Atletas!W595="Grupo Interno ABC - Equipe 1",13,IF(Atletas!W595="Grupo Interno ABC - Equipe 2",14,IF(Atletas!W595="Grupo Externo DEF - Equipe 1",15,IF(Atletas!W595="Grupo Externo DEF - Equipe 2",16,IF(Atletas!W595="Grupo Interno DEF - Equipe 1",17,IF(Atletas!W595="Grupo Interno DEF - Equipe 2",18,"")))))))))))))))))))</f>
        <v/>
      </c>
    </row>
    <row r="605" spans="40:91">
      <c r="AN605" s="52" t="str">
        <f>IF(Atletas!D596="","",IF(Atletas!B596="Feminino",100,IF(Atletas!B596="Masculino",200,""))+(IF(Atletas!D596="Kids 30kg",1,IF(Atletas!D596="Kids 32kg",2, IF(Atletas!D596="Kids 34kg",3,IF(Atletas!D596="Kids 36kg",4,IF(Atletas!D596="Kids 39kg",5,IF(Atletas!D596="Kids 42kg",6,IF(Atletas!D596="Kids 45kg",7, IF(Atletas!D596="Infantil 39kg",8,IF(Atletas!D596="Infantil 42kg",9,IF(Atletas!D596="Infantil 45kg",10,IF(Atletas!D596="Infantil 48kg",11,IF(Atletas!D596="Infantil 52kg",12,IF(Atletas!D596="Infantil 56kg",13,IF(Atletas!D596="Infantil 60kg",14,IF(Atletas!D596="Juvenil 48kg",15,IF(Atletas!D596="Juvenil 52kg",16,IF(Atletas!D596="Juvenil 56kg",17,IF(Atletas!D596="Juvenil 60kg",18,IF(Atletas!D596="Juvenil 65kg",19,IF(Atletas!D596="Juvenil 70kg",20,IF(Atletas!D596="Juvenil 75kg",21,IF(Atletas!D596="Juvenil 80kg",22, IF(Atletas!D596="Juvenil 85kg",23,IF(Atletas!D596="Adulto 48kg",24,IF(Atletas!D596="Adulto 52kg",25,IF(Atletas!D596="Adulto 56kg",26,IF(Atletas!D596="Adulto 60kg",27,IF(Atletas!D596="Adulto 65kg",28,IF(Atletas!D596="Adulto 70kg",29,IF(Atletas!D596="Adulto 75kg",30,IF(Atletas!D596="Adulto 80kg",31,IF(Atletas!D596="Adulto 85kg",32,IF(Atletas!D596="Adulto 90kg",33,IF(Atletas!D596="Adulto 100kg",34, IF(Atletas!D596="Adulto +100kg",35,"")))))))))))))))))))))))))))))))))))))</f>
        <v/>
      </c>
      <c r="AS605" s="6" t="str">
        <f>IF(Atletas!E596="","",IF(Atletas!B596="Feminino",100,IF(Atletas!B596="Masculino",200,""))+(IF(Atletas!E596="Juvenil 44kg",1,IF(Atletas!E596="Juvenil 48kg",2,IF(Atletas!E596="Juvenil 52kg",3,IF(Atletas!E596="Juvenil 56kg",4,IF(Atletas!E596="Juvenil 60kg",5,IF(Atletas!E596="Juvenil 65kg",6,IF(Atletas!E596="Juvenil 70kg",7,IF(Atletas!E596="Juvenil 75kg",8,IF(Atletas!E596="Juvenil 82kg",9,IF(Atletas!E596="Juvenil 90kg",10,IF(Atletas!E596="Juvenil 100kg",11,IF(Atletas!E596="Adulto 48kg",12,IF(Atletas!E596="Adulto 52kg",13,IF(Atletas!E596="Adulto 56kg",14,IF(Atletas!E596="Adulto 60kg",15,IF(Atletas!E596="Adulto 65kg",16,IF(Atletas!E596="Adulto 70kg",17,IF(Atletas!E596="Adulto 75kg",18,IF(Atletas!E596="Adulto 82kg",19,IF(Atletas!E596="Adulto 90kg",20,IF(Atletas!E596="Adulto 100kg",21,IF(Atletas!E596="Adulto +100kg",22,""))))))))))))))))))))))))</f>
        <v/>
      </c>
      <c r="AX605" s="6" t="str">
        <f>IF(Atletas!F596="","",IF(Atletas!B596="Feminino",100,IF(Atletas!B596="Masculino",200,""))+(IF(Atletas!F596="Adulto 48kg",1,IF(Atletas!F596="Adulto 56kg",2,IF(Atletas!F596="Adulto 65kg",3,IF(Atletas!F596="Adulto 75kg",4,IF(Atletas!F596="Adulto +75kg",5,IF(Atletas!F596="Adulto 52kg",6,IF(Atletas!F596="Adulto 60kg",7,IF(Atletas!F596="Adulto 70kg",8,IF(Atletas!F596="Adulto 80kg",9,IF(Atletas!F596="Adulto 90kg",10,IF(Atletas!F596="Adulto +90kg",11,"")))))))))))))</f>
        <v/>
      </c>
      <c r="BC605" s="6" t="str">
        <f>IF(Atletas!G596="","",IF(Atletas!B596="Feminino",10,IF(Atletas!B596="Masculino",20,""))+(IF(Atletas!G596="Baduanjin A",1,IF(Atletas!G596="Baduanjin B",2))))</f>
        <v/>
      </c>
      <c r="BF605" s="52" t="str">
        <f>IF(Atletas!H596="","",IF(Atletas!B596="Feminino",100,IF(Atletas!B596="Masculino",200,""))+(IF(Atletas!H596="Changquan Mirim",1,IF(Atletas!H596="Nanquan Mirim",2,IF(Atletas!H596="Taijiquan Mirim",3,IF(Atletas!H596="Changquan Grupo C",4,IF(Atletas!H596="Nanquan Grupo C",5,IF(Atletas!H596="Taijiquan Grupo C",6,IF(Atletas!H596="Changquan Grupo B",7,IF(Atletas!H596="Nanquan Grupo B",8,IF(Atletas!H596="Taijiquan Grupo B",9,IF(Atletas!H596="Changquan Grupo A",10,IF(Atletas!H596="Nanquan Grupo A",11,IF(Atletas!H596="Taijiquan Grupo A",12,IF(Atletas!H596="Changquan Opcional",13,IF(Atletas!H596="Nanquan Opcional",14,IF(Atletas!H596="Taijiquan Opcional",15,IF(Atletas!H596="Changquan Adulto",16,IF(Atletas!H596="Nanquan Adulto",17,IF(Atletas!H596="Taijiquan Adulto",18,""))))))))))))))))))))</f>
        <v/>
      </c>
      <c r="BG605" s="52" t="str">
        <f>IF(Atletas!I596="","",IF(Atletas!B596="Feminino",100,IF(Atletas!B596="Masculino",200,""))+(IF(Atletas!I596="Daoshu Mirim",19,IF(Atletas!I596="Jianshu Mirim",20,IF(Atletas!I596="Nandao Mirim",21,IF(Atletas!I596="Taijijian Mirim",22,IF(Atletas!I596="Daoshu Grupo C",23,IF(Atletas!I596="Jianshu Grupo C",24,IF(Atletas!I596="Nandao Grupo C",25,IF(Atletas!I596="Taijijian Grupo C",26,IF(Atletas!I596="Daoshu Grupo B",27,IF(Atletas!I596="Jianshu Grupo B",28,IF(Atletas!I596="Nandao Grupo B",29,IF(Atletas!I596="Taijijian Grupo B",30,IF(Atletas!I596="Daoshu Grupo A",31,IF(Atletas!I596="Jianshu Grupo A",32,IF(Atletas!I596="Nandao Grupo A",33,IF(Atletas!I596="Taijijian Grupo A",34,IF(Atletas!I596="Daoshu Opcional",35,IF(Atletas!I596="Jianshu Opcional",36,IF(Atletas!I596="Nandao Opcional",37,IF(Atletas!I596="Taijijian Opcional",38,IF(Atletas!I596="Daoshu Adulto",39,IF(Atletas!I596="Jianshu Adulto",40,IF(Atletas!I596="Nandao Adulto",41,IF(Atletas!I596="Taijijian Adulto",42,""))))))))))))))))))))))))))</f>
        <v/>
      </c>
      <c r="BH605" s="52" t="str">
        <f>IF(Atletas!J596="","",IF(Atletas!B596="Feminino",100,IF(Atletas!B596="Masculino",200,""))+(IF(Atletas!J596="Gunshu Mirim",43,IF(Atletas!J596="Qiangshu Mirim",44,IF(Atletas!J596="Nangun Mirim",45,IF(Atletas!J596="Gunshu Grupo C",46,IF(Atletas!J596="Qiangshu Grupo C",47,IF(Atletas!J596="Nangun Grupo C",48,IF(Atletas!J596="Gunshu Grupo B",49,IF(Atletas!J596="Qiangshu Grupo B",50,IF(Atletas!J596="Nangun Grupo B",51,IF(Atletas!J596="Gunshu Grupo A",52,IF(Atletas!J596="Qiangshu Grupo A",53,IF(Atletas!J596="Nangun Grupo A",54,IF(Atletas!J596="Gunshu Opcional",55,IF(Atletas!J596="Qiangshu Opcional",56,IF(Atletas!J596="Nangun Opcional",57,IF(Atletas!J596="Gunshu Adulto",58,IF(Atletas!J596="Qiangshu Adulto",59,IF(Atletas!J596="Nangun Adulto",60,IF(Atletas!J596="Taijishan Grupo B",61,IF(Atletas!J596="Taijishan Grupo A",62,""))))))))))))))))))))))</f>
        <v/>
      </c>
      <c r="BM605" s="50" t="str">
        <f>IF(Atletas!K596="","",IF(Atletas!B596="Feminino",100,IF(Atletas!B596="Masculino",200,""))+(IF(Atletas!K596="Equipe 1 Grupo B",1,IF(Atletas!K596="Equipe 2 Grupo B",2,IF(Atletas!K596="Equipe 1 Grupo A",3,IF(Atletas!K596="Equipe 2 Grupo A",4,IF(Atletas!K596="Equipe 1 Adulto",5,IF(Atletas!K596="Equipe 2 Adulto",6,""))))))))</f>
        <v/>
      </c>
      <c r="BR605" s="50" t="str">
        <f>IF(Atletas!L596="","",IF(Atletas!X596&lt;&gt;"",10000,0)+(IF(Atletas!B596="Feminino",1000,IF(Atletas!B596="Masculino",2000,""))+IF(Atletas!L596="Choylayfut A",1,IF(Atletas!L596="Hunggar A",2,IF(Atletas!L596="Wuzuquan A",3,IF(Atletas!L596="Wingchun A",4,IF(Atletas!L596="Outra Mão de Sul A",5,IF(Atletas!L596="Choylayfut B",6,IF(Atletas!L596="Hunggar B",7,IF(Atletas!L596="Wuzuquan B",8,IF(Atletas!L596="Wingchun B",9,IF(Atletas!L596="Outra Mão de Sul B",10,IF(Atletas!L596="Choylayfut C",11,IF(Atletas!L596="Hunggar C",12,IF(Atletas!L596="Wuzuquan C",13,IF(Atletas!L596="Wingchun C",14,IF(Atletas!L596="Outra Mão de Sul C",15,IF(Atletas!L596="Choylayfut D",16,IF(Atletas!L596="Hunggar D",17,IF(Atletas!L596="Wuzuquan D",18,IF(Atletas!L596="Wingchun D",19,IF(Atletas!L596="Outra Mão de Sul D",20,IF(Atletas!L596="Choylayfut E",21,IF(Atletas!L596="Hunggar E",22,IF(Atletas!L596="Wuzuquan E",23,IF(Atletas!L596="Wingchun E",24,IF(Atletas!L596="Outra Mão de Sul E",25,IF(Atletas!L596="Choylayfut F",26,IF(Atletas!L596="Hunggar F",27,IF(Atletas!L596="Wuzuquan F",28,IF(Atletas!L596="Wingchun F",29,IF(Atletas!L596="Outra Mão de Sul F",30,IF(Atletas!L596="Dishuquan A",31,IF(Atletas!L596="Dishuquan B",32,IF(Atletas!L596="Dishuquan C",33,IF(Atletas!L596="Dishuquan D",34,IF(Atletas!L596="Dishuquan E",35,IF(Atletas!L596="Dishuquan F",36,""))))))))))))))))))))))))))))))))))))))</f>
        <v/>
      </c>
      <c r="BS605" s="50" t="str">
        <f>IF(Atletas!M596="","",IF(Atletas!X596&lt;&gt;"",10000,0)+(IF(Atletas!B596="Feminino",1000,IF(Atletas!B596="Masculino",2000,""))+(IF(Atletas!M596="Chaquan A",101,IF(Atletas!M596="Emeiquan A",102,IF(Atletas!M596="Fanziquan A",103,IF(Atletas!M596="Huaquan A",104,IF(Atletas!M596="Hongquan A",105,IF(Atletas!M596="Paoquan A",106,IF(Atletas!M596="Piguaquan A",107,IF(Atletas!M596="Shaolinquan A",108,IF(Atletas!M596="Tanglangquan A",109,IF(Atletas!M596="Yingzhaoquan A",110,IF(Atletas!M596="Tongbeiquan A",111,IF(Atletas!M596="Wudangquan A",112,IF(Atletas!M596="Outros Estilos A",113,IF(Atletas!M596="Chaquan B",114,IF(Atletas!M596="Emeiquan B",115,IF(Atletas!M596="Fanziquan B",116,IF(Atletas!M596="Huaquan B",117,IF(Atletas!M596="Hongquan B",118,IF(Atletas!M596="Paoquan B",119,IF(Atletas!M596="Piguaquan B",120,IF(Atletas!M596="Shaolinquan B",121,IF(Atletas!M596="Tanglangquan B",122,IF(Atletas!M596="Yingzhaoquan B",123,IF(Atletas!M596="Tongbeiquan B",124,IF(Atletas!M596="Wudangquan B",125,IF(Atletas!M596="Outros Estilos B",126,IF(Atletas!M596="Chaquan C",127,IF(Atletas!M596="Emeiquan C",128,IF(Atletas!M596="Fanziquan C",129,IF(Atletas!M596="Huaquan C",130,IF(Atletas!M596="Hongquan C",131,IF(Atletas!M596="Paoquan C",132,IF(Atletas!M596="Piguaquan C",133,IF(Atletas!M596="Shaolinquan C",134,IF(Atletas!M596="Tanglangquan C",135,IF(Atletas!M596="Yingzhaoquan C",136,IF(Atletas!M596="Tongbeiquan C",137,IF(Atletas!M596="Wudangquan C",138,IF(Atletas!M596="Outros Estilos C",139,0))))))))))))))))))))))))))))))))))))))))))</f>
        <v/>
      </c>
      <c r="BT605" s="50" t="str">
        <f>IF(Atletas!M596="","",IF(Atletas!X596&lt;&gt;"",10000,0)+(IF(Atletas!B596="Feminino",1000,IF(Atletas!B596="Masculino",2000,""))+(IF(Atletas!M596="Chaquan D",140,IF(Atletas!M596="Emeiquan D",141,IF(Atletas!M596="Fanziquan D",142,IF(Atletas!M596="Huaquan D",143,IF(Atletas!M596="Hongquan D",144,IF(Atletas!M596="Paoquan D",145,IF(Atletas!M596="Piguaquan D",146,IF(Atletas!M596="Shaolinquan D",147,IF(Atletas!M596="Tanglangquan D",148,IF(Atletas!M596="Yingzhaoquan D",149,IF(Atletas!M596="Tongbeiquan D",150,IF(Atletas!M596="Wudangquan D",151,IF(Atletas!M596="Outros Estilos D",152,IF(Atletas!M596="Chaquan E",153,IF(Atletas!M596="Emeiquan E",154,IF(Atletas!M596="Fanziquan E",155,IF(Atletas!M596="Huaquan E",156,IF(Atletas!M596="Hongquan E",157,IF(Atletas!M596="Paoquan E",158,IF(Atletas!M596="Piguaquan E",159,IF(Atletas!M596="Shaolinquan E",160,IF(Atletas!M596="Tanglangquan E",161,IF(Atletas!M596="Yingzhaoquan E",162,IF(Atletas!M596="Tongbeiquan E",163,IF(Atletas!M596="Wudangquan E",164,IF(Atletas!M596="Outros Estilos E",165,IF(Atletas!M596="Chaquan F",166,IF(Atletas!M596="Emeiquan F",167,IF(Atletas!M596="Fanziquan F",168,IF(Atletas!M596="Huaquan F",169,IF(Atletas!M596="Hongquan F",170,IF(Atletas!M596="Paoquan F",171,IF(Atletas!M596="Piguaquan F",172,IF(Atletas!M596="Shaolinquan F",173,IF(Atletas!M596="Tanglangquan F",174,IF(Atletas!M596="Yingzhaoquan F",175,IF(Atletas!M596="Tongbeiquan F",176,IF(Atletas!M596="Wudangquan F",177,IF(Atletas!M596="Outros Estilos F",178,0))))))))))))))))))))))))))))))))))))))))))</f>
        <v/>
      </c>
      <c r="BU605" s="50" t="str">
        <f>IF(Atletas!N596="","",IF(Atletas!X596&lt;&gt;"",10000,0)+(IF(Atletas!B596="Feminino",1000,IF(Atletas!B596="Masculino",2000,""))+(IF(Atletas!N596="Ditangquan A",201,IF(Atletas!N596="Houquan A",202,IF(Atletas!N596="Zuiquan A",203,IF(Atletas!N596="Ditangquan B",204,IF(Atletas!N596="Houquan B",205,IF(Atletas!N596="Zuiquan B",206,IF(Atletas!N596="Ditangquan C",207,IF(Atletas!N596="Houquan C",208,IF(Atletas!N596="Zuiquan C",209,IF(Atletas!N596="Ditangquan D",210,IF(Atletas!N596="Houquan D",211,IF(Atletas!N596="Zuiquan D",212,IF(Atletas!N596="Ditangquan E",213,IF(Atletas!N596="Houquan E",214,IF(Atletas!N596="Zuiquan E",215,IF(Atletas!N596="Ditangquan F",216,IF(Atletas!N596="Houquan F",217,IF(Atletas!N596="Zuiquan F",218,"")))))))))))))))))))))</f>
        <v/>
      </c>
      <c r="BV605" s="50" t="str">
        <f>IF(Atletas!O596="","",IF(Atletas!X596&lt;&gt;"",10000,0)+IF(Atletas!B596="Feminino",1000,IF(Atletas!B596="Masculino",2000,""))+IF(Atletas!O596="Yang A",301,IF(Atletas!O596="Chen A",302,IF(Atletas!O596="Sun A",303,IF(Atletas!O596="Wu A",304,IF(Atletas!O596="Wu-Hao A",305,IF(Atletas!O596="Outro Taijiquan A",306,IF(Atletas!O596="Yang B",307,IF(Atletas!O596="Chen B",308,IF(Atletas!O596="Sun B",309,IF(Atletas!O596="Wu B",310,IF(Atletas!O596="Wu-Hao B",311,IF(Atletas!O596="Outro Taijiquan B",312,IF(Atletas!O596="Yang C",313,IF(Atletas!O596="Chen C",314,IF(Atletas!O596="Sun C",315,IF(Atletas!O596="Wu C",316,IF(Atletas!O596="Wu-Hao C",317,IF(Atletas!O596="Outro Taijiquan C",318,IF(Atletas!O596="Yang D",319,IF(Atletas!O596="Chen D",320,IF(Atletas!O596="Sun D",321,IF(Atletas!O596="Wu D",322,IF(Atletas!O596="Wu-Hao D",323,IF(Atletas!O596="Outro Taijiquan D",324,IF(Atletas!O596="Yang E",325,IF(Atletas!O596="Chen E",326,IF(Atletas!O596="Sun E",327,IF(Atletas!O596="Wu E",328,IF(Atletas!O596="Wu-Hao E",329,IF(Atletas!O596="Outro Taijiquan E",330,IF(Atletas!O596="Yang F",331,IF(Atletas!O596="Chen F",332,IF(Atletas!O596="Sun F",333,IF(Atletas!O596="Wu F",334,IF(Atletas!O596="Wu-Hao F",335,IF(Atletas!O596="Outro Taijiquan F",336,"")))))))))))))))))))))))))))))))))))))</f>
        <v/>
      </c>
      <c r="BW605" s="50" t="str">
        <f>IF(Atletas!P596="","",IF(Atletas!X596&lt;&gt;"",10000,0)+IF(Atletas!B596="Feminino",1000,IF(Atletas!B596="Masculino",2000,""))+IF(OR(Atletas!P596="Yang 26 A",Atletas!P596="Yang 40 A"),401,IF(OR(Atletas!P596="Chen 25 A",Atletas!P596="Chen 36 A",Atletas!P596="Chen 56 A"),402,IF(Atletas!P596="Sun 73 A",403,IF(Atletas!P596="Wu 45 A",404,IF(Atletas!P596="Wu-Hao 46 A",405,IF(OR(Atletas!P596="Taijiquan 16 A",Atletas!P596="Taijiquan 24 A",Atletas!P596="Taijiquan 32 A",Atletas!P596="Taijiquan 42 A"),406,IF(OR(Atletas!P596="Yang 26 B",Atletas!P596="Yang 40 B"),407,IF(OR(Atletas!P596="Chen 25 B",Atletas!P596="Chen 36 B",Atletas!P596="Chen 56 B"),408,IF(Atletas!P596="Sun 73 B",409,IF(Atletas!P596="Wu 45 B",410,IF(Atletas!P596="Wu-Hao 46 B",411,IF(OR(Atletas!P596="Taijiquan 16 B",Atletas!P596="Taijiquan 24 B",Atletas!P596="Taijiquan 32 B",Atletas!P596="Taijiquan 42 B"),412,IF(OR(Atletas!P596="Yang 26 C",Atletas!P596="Yang 40 C"),413,IF(OR(Atletas!P596="Chen 25 C",Atletas!P596="Chen 36 C",Atletas!P596="Chen 56 C"),414,IF(Atletas!P596="Sun 73 C",415,IF(Atletas!P596="Wu 45 C",416,IF(Atletas!P596="Wu-Hao 46 C",417,IF(OR(Atletas!P596="Taijiquan 16 C",Atletas!P596="Taijiquan 24 C",Atletas!P596="Taijiquan 32 C",Atletas!P596="Taijiquan 42 C"),418,0)))))))))))))))))))</f>
        <v/>
      </c>
      <c r="BX605" s="50" t="str">
        <f>IF(Atletas!P596="","",IF(Atletas!X596&lt;&gt;"",10000,0)+IF(Atletas!B596="Feminino",1000,IF(Atletas!B596="Masculino",2000,""))+IF(OR(Atletas!P596="Yang 26 D",Atletas!P596="Yang 40 D"),419,IF(OR(Atletas!P596="Chen 25 D",Atletas!P596="Chen 36 D",Atletas!P596="Chen 56 D"),420,IF(Atletas!P596="Sun 73 D",421,IF(Atletas!P596="Wu 45 D",422,IF(Atletas!P596="Wu-Hao 46 D",423,IF(OR(Atletas!P596="Taijiquan 16 D",Atletas!P596="Taijiquan 24 D",Atletas!P596="Taijiquan 32 D",Atletas!P596="Taijiquan 42 D"),424,IF(OR(Atletas!P596="Yang 26 E",Atletas!P596="Yang 40 E"),425,IF(OR(Atletas!P596="Chen 25 E",Atletas!P596="Chen 36 E",Atletas!P596="Chen 56 E"),426,IF(Atletas!P596="Sun 73 E",427,IF(Atletas!P596="Wu 45 E",428,IF(Atletas!P596="Wu-Hao 46 E",429,IF(OR(Atletas!P596="Taijiquan 16 E",Atletas!P596="Taijiquan 24 E",Atletas!P596="Taijiquan 32 E",Atletas!P596="Taijiquan 42 E"),430,IF(OR(Atletas!P596="Yang 26 F",Atletas!P596="Yang 40 F"),431,IF(OR(Atletas!P596="Chen 25 F",Atletas!P596="Chen 36 F",Atletas!P596="Chen 56 F"),432,IF(Atletas!P596="Sun 73 F",433,IF(Atletas!P596="Wu 45 F",434,IF(Atletas!P596="Wu-Hao 46 F",435,IF(OR(Atletas!P596="Taijiquan 16 F",Atletas!P596="Taijiquan 24 F",Atletas!P596="Taijiquan 32 F",Atletas!P596="Taijiquan 42 F"),436,0)))))))))))))))))))</f>
        <v/>
      </c>
      <c r="BY605" s="50" t="str">
        <f>IF(Atletas!Q596="","",IF(Atletas!X596&lt;&gt;"",10000,0)+IF(Atletas!B596="Feminino",1000,IF(Atletas!B596="Masculino",2000,""))+IF(Atletas!Q596="Xingyiquan A",501,IF(Atletas!Q596="Baguazhang A",502,IF(Atletas!Q596="Outro Estilo Interno A",503,IF(Atletas!Q596="Xingyiquan B",504,IF(Atletas!Q596="Baguazhang B",505,IF(Atletas!Q596="Outro Estilo Interno B",506,IF(Atletas!Q596="Xingyiquan C",507,IF(Atletas!Q596="Baguazhang C",508,IF(Atletas!Q596="Outro Estilo Interno C",509,IF(Atletas!Q596="Xingyiquan D",510,IF(Atletas!Q596="Baguazhang D",511,IF(Atletas!Q596="Outro Estilo Interno D",512,IF(Atletas!Q596="Xingyiquan E",513,IF(Atletas!Q596="Baguazhang E",514,IF(Atletas!Q596="Outro Estilo Interno E",515,IF(Atletas!Q596="Xingyiquan F",516,IF(Atletas!Q596="Baguazhang F",517,IF(Atletas!Q596="Outro Estilo Interno F",518, "")))))))))))))))))))</f>
        <v/>
      </c>
      <c r="BZ605" s="50" t="str">
        <f>IF(Atletas!R596="","",IF(Atletas!X596&lt;&gt;"",10000,0)+IF(Atletas!B596="Feminino",1000,IF(Atletas!B596="Masculino",2000,""))+IF(Atletas!R596="Dao A",601,IF(Atletas!R596="Jian A",602,IF(Atletas!R596="Bishou A",603,IF(Atletas!R596="Shanzi A",604,IF(Atletas!R596="Outra Arma Curta A",605,IF(Atletas!R596="Dao B",606,IF(Atletas!R596="Jian B",607,IF(Atletas!R596="Bishou B",608,IF(Atletas!R596="Shanzi B",609,IF(Atletas!R596="Outra Arma Curta B",610,IF(Atletas!R596="Dao C",611,IF(Atletas!R596="Jian C",612,IF(Atletas!R596="Bishou C",613,IF(Atletas!R596="Shanzi C",614,IF(Atletas!R596="Outra Arma Curta C",615,IF(Atletas!R596="Dao D",616,IF(Atletas!R596="Jian D",617,IF(Atletas!R596="Bishou D",618,IF(Atletas!R596="Shanzi D",619,IF(Atletas!R596="Outra Arma Curta D",620,IF(Atletas!R596="Dao E",621,IF(Atletas!R596="Jian E",622,IF(Atletas!R596="Bishou E",623,IF(Atletas!R596="Shanzi E",624,IF(Atletas!R596="Outra Arma Curta E",625,IF(Atletas!R596="Dao F",626,IF(Atletas!R596="Jian F",627,IF(Atletas!R596="Bishou F",628,IF(Atletas!R596="Shanzi F",629,IF(Atletas!R596="Outra Arma Curta F",630, "")))))))))))))))))))))))))))))))</f>
        <v/>
      </c>
      <c r="CA605" s="50" t="str">
        <f>IF(Atletas!S596="","",IF(Atletas!X596&lt;&gt;"",10000,0)+IF(Atletas!B596="Feminino",1000,IF(Atletas!B596="Masculino",2000,""))+IF(Atletas!S596="Gun A",701,IF(Atletas!S596="Qiang A",702,IF(Atletas!S596="Pudao / Guandao A",703,IF(Atletas!S596="Outra Arma Longa A",704,IF(Atletas!S596="Gun B",705,IF(Atletas!S596="Qiang B",706,IF(Atletas!S596="Pudao / Guandao B",707,IF(Atletas!S596="Outra Arma Longa B",708,IF(Atletas!S596="Gun C",709,IF(Atletas!S596="Qiang C",710,IF(Atletas!S596="Pudao / Guandao C",711,IF(Atletas!S596="Outra Arma Longa C",712,IF(Atletas!S596="Gun D",713,IF(Atletas!S596="Qiang D",714,IF(Atletas!S596="Pudao / Guandao D",715,IF(Atletas!S596="Outra Arma Longa D",716,IF(Atletas!S596="Gun E",717,IF(Atletas!S596="Qiang E",718,IF(Atletas!S596="Pudao / Guandao E",719,IF(Atletas!S596="Outra Arma Longa E",720,IF(Atletas!S596="Gun F",721,IF(Atletas!S596="Qiang F",722,IF(Atletas!S596="Pudao / Guandao F",723,IF(Atletas!S596="Outra Arma Longa F",724,"")))))))))))))))))))))))))</f>
        <v/>
      </c>
      <c r="CB605" s="50" t="str">
        <f>IF(Atletas!T596="","",IF(Atletas!X596&lt;&gt;"",10000,0)+IF(Atletas!B596="Feminino",1000,IF(Atletas!B596="Masculino",2000,""))+IF(Atletas!T596="Outra Arma Dupla A",801,IF(Atletas!T596="Arma Maleável A",802,IF(Atletas!T596="Outra Arma Dupla B",803,IF(Atletas!T596="Arma Maleável B",804,IF(Atletas!T596="Outra Arma Dupla C",805,IF(Atletas!T596="Arma Maleável C",806,IF(Atletas!T596="Outra Arma Dupla D",807,IF(Atletas!T596="Arma Maleável D",808,IF(Atletas!T596="Outra Arma Dupla E",809,IF(Atletas!T596="Arma Maleável E",810,IF(Atletas!T596="Outra Arma Dupla F",811,IF(Atletas!T596="Arma Maleável F",812,IF(Atletas!T596="Shuangdao A",813,IF(Atletas!T596="Shuangdao B",814,IF(Atletas!T596="Shuangdao C",815,IF(Atletas!T596="Shuangdao D",816,IF(Atletas!T596="Shuangdao E",817,IF(Atletas!T596="Shuangdao F",818,"")))))))))))))))))))</f>
        <v/>
      </c>
      <c r="CC605" s="50" t="str">
        <f>IF(Atletas!U596="","",IF(Atletas!X596&lt;&gt;"",10000,0)+IF(Atletas!B596="Feminino",1000,IF(Atletas!B596="Masculino",2000,""))+IF(OR(Atletas!U596="Taijijian Yang A",Atletas!U596="Taijijian Yang Standard A"),901,IF(OR(Atletas!U596="Taijijian Chen A", Atletas!U596="Taijijian Chen Standard A"),902,IF(Atletas!U596="Taijijian Sun A",903,IF(Atletas!U596="Taijijian Wu A",904,IF(Atletas!U596="Taijijian Wu-Hao A",905,IF(OR(Atletas!U596="Taijijian 32 A",Atletas!U596="Taijijian 42 A"),906,IF(OR(Atletas!U596="Taijijian Yang B",Atletas!U596="Taijijian Yang Standard B"),907,IF(OR(Atletas!U596="Taijijian Chen B", Atletas!U596="Taijijian Chen Standard B"),908,IF(Atletas!U596="Taijijian Sun B",909,IF(Atletas!U596="Taijijian Wu B",910,IF(Atletas!U596="Taijijian Wu-Hao B",911,IF(OR(Atletas!U596="Taijijian 32 B",Atletas!U596="Taijijian 42 B"),912,IF(OR(Atletas!U596="Taijijian Yang C",Atletas!U596="Taijijian Yang Standard C"),913,IF(OR(Atletas!U596="Taijijian Chen C", Atletas!U596="Taijijian Chen Standard C"),914,IF(Atletas!U596="Taijijian Sun C",915,IF(Atletas!U596="Taijijian Wu C",916,IF(Atletas!U596="Taijijian Wu-Hao C",917,IF(OR(Atletas!U596="Taijijian 32 C",Atletas!U596="Taijijian 42 C"),918,IF(OR(Atletas!U596="Taijijian Yang D",Atletas!U596="Taijijian Yang Standard D"),919,IF(OR(Atletas!U596="Taijijian Chen D", Atletas!U596="Taijijian Chen Standard D"),920,IF(Atletas!U596="Taijijian Sun D",921,IF(Atletas!U596="Taijijian Wu D",922,IF(Atletas!U596="Taijijian Wu-Hao D",923,IF(OR(Atletas!U596="Taijijian 32 D",Atletas!U596="Taijijian 42 D"),924,IF(OR(Atletas!U596="Taijijian Yang E",Atletas!U596="Taijijian Yang Standard E"),925,IF(OR(Atletas!U596="Taijijian Chen E", Atletas!U596="Taijijian Chen Standard E"),926,IF(Atletas!U596="Taijijian Sun E",927,IF(Atletas!U596="Taijijian Wu E",928,IF(Atletas!U596="Taijijian Wu-Hao E",929,IF(OR(Atletas!U596="Taijijian 32 E",Atletas!U596="Taijijian 42 E"),930,IF(OR(Atletas!U596="Taijijian Yang F",Atletas!U596="Taijijian Yang Standard F"),931,IF(OR(Atletas!U596="Taijijian Chen F", Atletas!U596="Taijijian Chen Standard F"),932,IF(Atletas!U596="Taijijian Sun F",933,IF(Atletas!U596="Taijijian Wu F",934,IF(Atletas!U596="Taijijian Wu-Hao F",935,IF(OR(Atletas!U596="Taijijian 32 F",Atletas!U596="Taijijian 42 F"),936,"")))))))))))))))))))))))))))))))))))))</f>
        <v/>
      </c>
      <c r="CD605" s="50" t="str">
        <f>IF(Atletas!V596="","",IF(Atletas!X596&lt;&gt;"",10000,0)+IF(Atletas!B596="Feminino",1000,IF(Atletas!B596="Masculino",2000,""))+IF(Atletas!V596="Taijidao A",937,IF(Atletas!V596="TaijiShanzi A",938,IF(Atletas!V596="Taijiqiang A",939,IF(Atletas!V596="Bagua de Arma A",940,IF(Atletas!V596="Xingyi de Arma A",941,IF(Atletas!V596="Taijidao B",942,IF(Atletas!V596="TaijiShanzi B",943,IF(Atletas!V596="Taijiqiang B",944,IF(Atletas!V596="Bagua de Arma B",945,IF(Atletas!V596="Xingyi de Arma B",946,IF(Atletas!V596="Taijidao C",947,IF(Atletas!V596="TaijiShanzi C",948,IF(Atletas!V596="Taijiqiang C",949,IF(Atletas!V596="Bagua de Arma C",950,IF(Atletas!V596="Xingyi de Arma C",951,IF(Atletas!V596="Taijidao D",952,IF(Atletas!V596="TaijiShanzi D",953,IF(Atletas!V596="Taijiqiang D",954,IF(Atletas!V596="Bagua de Arma D",955,IF(Atletas!V596="Xingyi de Arma D",956,IF(Atletas!V596="Taijidao E",957,IF(Atletas!V596="TaijiShanzi E",958,IF(Atletas!V596="Taijiqiang E",959,IF(Atletas!V596="Bagua de Arma E",960,IF(Atletas!V596="Xingyi de Arma E",961,IF(Atletas!V596="Taijidao F",962,IF(Atletas!V596="TaijiShanzi F",963,IF(Atletas!V596="Taijiqiang F",964,IF(Atletas!V596="Bagua de Arma F",965,IF(Atletas!V596="Xingyi de Arma F",966,"")))))))))))))))))))))))))))))))</f>
        <v/>
      </c>
      <c r="CM605" s="50" t="str">
        <f xml:space="preserve"> IF(Atletas!W596="","",IF(Atletas!W596="Duilian de Mãos BC - Equipe 1",1,IF(Atletas!W596="Duilian de Mãos BC - Equipe 2",2,IF(Atletas!W596="Duilian de Armas BC - Equipe 1",3,IF(Atletas!W596="Duilian de Armas BC - Equipe 2",4,IF(Atletas!W596="Duilian de Mãos DE - Equipe 1",5,IF(Atletas!W596="Duilian de Mãos DE - Equipe 2",6,IF(Atletas!W596="Duilian de Armas DE - Equipe 1",7,IF(Atletas!W596="Duilian de Armas DE - Equipe 2",8,IF(Atletas!W596="Duilian de Tuishou - Equipe 1",9,IF(Atletas!W596="Duilian de Tuishou - Equipe 2",10,IF(Atletas!W596="Grupo Externo ABC - Equipe 1",11,IF(Atletas!W596="Grupo Externo ABC - Equipe 2",12,IF(Atletas!W596="Grupo Interno ABC - Equipe 1",13,IF(Atletas!W596="Grupo Interno ABC - Equipe 2",14,IF(Atletas!W596="Grupo Externo DEF - Equipe 1",15,IF(Atletas!W596="Grupo Externo DEF - Equipe 2",16,IF(Atletas!W596="Grupo Interno DEF - Equipe 1",17,IF(Atletas!W596="Grupo Interno DEF - Equipe 2",18,"")))))))))))))))))))</f>
        <v/>
      </c>
    </row>
    <row r="606" spans="40:91">
      <c r="AN606" s="52" t="str">
        <f>IF(Atletas!D597="","",IF(Atletas!B597="Feminino",100,IF(Atletas!B597="Masculino",200,""))+(IF(Atletas!D597="Kids 30kg",1,IF(Atletas!D597="Kids 32kg",2, IF(Atletas!D597="Kids 34kg",3,IF(Atletas!D597="Kids 36kg",4,IF(Atletas!D597="Kids 39kg",5,IF(Atletas!D597="Kids 42kg",6,IF(Atletas!D597="Kids 45kg",7, IF(Atletas!D597="Infantil 39kg",8,IF(Atletas!D597="Infantil 42kg",9,IF(Atletas!D597="Infantil 45kg",10,IF(Atletas!D597="Infantil 48kg",11,IF(Atletas!D597="Infantil 52kg",12,IF(Atletas!D597="Infantil 56kg",13,IF(Atletas!D597="Infantil 60kg",14,IF(Atletas!D597="Juvenil 48kg",15,IF(Atletas!D597="Juvenil 52kg",16,IF(Atletas!D597="Juvenil 56kg",17,IF(Atletas!D597="Juvenil 60kg",18,IF(Atletas!D597="Juvenil 65kg",19,IF(Atletas!D597="Juvenil 70kg",20,IF(Atletas!D597="Juvenil 75kg",21,IF(Atletas!D597="Juvenil 80kg",22, IF(Atletas!D597="Juvenil 85kg",23,IF(Atletas!D597="Adulto 48kg",24,IF(Atletas!D597="Adulto 52kg",25,IF(Atletas!D597="Adulto 56kg",26,IF(Atletas!D597="Adulto 60kg",27,IF(Atletas!D597="Adulto 65kg",28,IF(Atletas!D597="Adulto 70kg",29,IF(Atletas!D597="Adulto 75kg",30,IF(Atletas!D597="Adulto 80kg",31,IF(Atletas!D597="Adulto 85kg",32,IF(Atletas!D597="Adulto 90kg",33,IF(Atletas!D597="Adulto 100kg",34, IF(Atletas!D597="Adulto +100kg",35,"")))))))))))))))))))))))))))))))))))))</f>
        <v/>
      </c>
      <c r="AS606" s="6" t="str">
        <f>IF(Atletas!E597="","",IF(Atletas!B597="Feminino",100,IF(Atletas!B597="Masculino",200,""))+(IF(Atletas!E597="Juvenil 44kg",1,IF(Atletas!E597="Juvenil 48kg",2,IF(Atletas!E597="Juvenil 52kg",3,IF(Atletas!E597="Juvenil 56kg",4,IF(Atletas!E597="Juvenil 60kg",5,IF(Atletas!E597="Juvenil 65kg",6,IF(Atletas!E597="Juvenil 70kg",7,IF(Atletas!E597="Juvenil 75kg",8,IF(Atletas!E597="Juvenil 82kg",9,IF(Atletas!E597="Juvenil 90kg",10,IF(Atletas!E597="Juvenil 100kg",11,IF(Atletas!E597="Adulto 48kg",12,IF(Atletas!E597="Adulto 52kg",13,IF(Atletas!E597="Adulto 56kg",14,IF(Atletas!E597="Adulto 60kg",15,IF(Atletas!E597="Adulto 65kg",16,IF(Atletas!E597="Adulto 70kg",17,IF(Atletas!E597="Adulto 75kg",18,IF(Atletas!E597="Adulto 82kg",19,IF(Atletas!E597="Adulto 90kg",20,IF(Atletas!E597="Adulto 100kg",21,IF(Atletas!E597="Adulto +100kg",22,""))))))))))))))))))))))))</f>
        <v/>
      </c>
      <c r="AX606" s="6" t="str">
        <f>IF(Atletas!F597="","",IF(Atletas!B597="Feminino",100,IF(Atletas!B597="Masculino",200,""))+(IF(Atletas!F597="Adulto 48kg",1,IF(Atletas!F597="Adulto 56kg",2,IF(Atletas!F597="Adulto 65kg",3,IF(Atletas!F597="Adulto 75kg",4,IF(Atletas!F597="Adulto +75kg",5,IF(Atletas!F597="Adulto 52kg",6,IF(Atletas!F597="Adulto 60kg",7,IF(Atletas!F597="Adulto 70kg",8,IF(Atletas!F597="Adulto 80kg",9,IF(Atletas!F597="Adulto 90kg",10,IF(Atletas!F597="Adulto +90kg",11,"")))))))))))))</f>
        <v/>
      </c>
      <c r="BC606" s="6" t="str">
        <f>IF(Atletas!G597="","",IF(Atletas!B597="Feminino",10,IF(Atletas!B597="Masculino",20,""))+(IF(Atletas!G597="Baduanjin A",1,IF(Atletas!G597="Baduanjin B",2))))</f>
        <v/>
      </c>
      <c r="BF606" s="52" t="str">
        <f>IF(Atletas!H597="","",IF(Atletas!B597="Feminino",100,IF(Atletas!B597="Masculino",200,""))+(IF(Atletas!H597="Changquan Mirim",1,IF(Atletas!H597="Nanquan Mirim",2,IF(Atletas!H597="Taijiquan Mirim",3,IF(Atletas!H597="Changquan Grupo C",4,IF(Atletas!H597="Nanquan Grupo C",5,IF(Atletas!H597="Taijiquan Grupo C",6,IF(Atletas!H597="Changquan Grupo B",7,IF(Atletas!H597="Nanquan Grupo B",8,IF(Atletas!H597="Taijiquan Grupo B",9,IF(Atletas!H597="Changquan Grupo A",10,IF(Atletas!H597="Nanquan Grupo A",11,IF(Atletas!H597="Taijiquan Grupo A",12,IF(Atletas!H597="Changquan Opcional",13,IF(Atletas!H597="Nanquan Opcional",14,IF(Atletas!H597="Taijiquan Opcional",15,IF(Atletas!H597="Changquan Adulto",16,IF(Atletas!H597="Nanquan Adulto",17,IF(Atletas!H597="Taijiquan Adulto",18,""))))))))))))))))))))</f>
        <v/>
      </c>
      <c r="BG606" s="52" t="str">
        <f>IF(Atletas!I597="","",IF(Atletas!B597="Feminino",100,IF(Atletas!B597="Masculino",200,""))+(IF(Atletas!I597="Daoshu Mirim",19,IF(Atletas!I597="Jianshu Mirim",20,IF(Atletas!I597="Nandao Mirim",21,IF(Atletas!I597="Taijijian Mirim",22,IF(Atletas!I597="Daoshu Grupo C",23,IF(Atletas!I597="Jianshu Grupo C",24,IF(Atletas!I597="Nandao Grupo C",25,IF(Atletas!I597="Taijijian Grupo C",26,IF(Atletas!I597="Daoshu Grupo B",27,IF(Atletas!I597="Jianshu Grupo B",28,IF(Atletas!I597="Nandao Grupo B",29,IF(Atletas!I597="Taijijian Grupo B",30,IF(Atletas!I597="Daoshu Grupo A",31,IF(Atletas!I597="Jianshu Grupo A",32,IF(Atletas!I597="Nandao Grupo A",33,IF(Atletas!I597="Taijijian Grupo A",34,IF(Atletas!I597="Daoshu Opcional",35,IF(Atletas!I597="Jianshu Opcional",36,IF(Atletas!I597="Nandao Opcional",37,IF(Atletas!I597="Taijijian Opcional",38,IF(Atletas!I597="Daoshu Adulto",39,IF(Atletas!I597="Jianshu Adulto",40,IF(Atletas!I597="Nandao Adulto",41,IF(Atletas!I597="Taijijian Adulto",42,""))))))))))))))))))))))))))</f>
        <v/>
      </c>
      <c r="BH606" s="52" t="str">
        <f>IF(Atletas!J597="","",IF(Atletas!B597="Feminino",100,IF(Atletas!B597="Masculino",200,""))+(IF(Atletas!J597="Gunshu Mirim",43,IF(Atletas!J597="Qiangshu Mirim",44,IF(Atletas!J597="Nangun Mirim",45,IF(Atletas!J597="Gunshu Grupo C",46,IF(Atletas!J597="Qiangshu Grupo C",47,IF(Atletas!J597="Nangun Grupo C",48,IF(Atletas!J597="Gunshu Grupo B",49,IF(Atletas!J597="Qiangshu Grupo B",50,IF(Atletas!J597="Nangun Grupo B",51,IF(Atletas!J597="Gunshu Grupo A",52,IF(Atletas!J597="Qiangshu Grupo A",53,IF(Atletas!J597="Nangun Grupo A",54,IF(Atletas!J597="Gunshu Opcional",55,IF(Atletas!J597="Qiangshu Opcional",56,IF(Atletas!J597="Nangun Opcional",57,IF(Atletas!J597="Gunshu Adulto",58,IF(Atletas!J597="Qiangshu Adulto",59,IF(Atletas!J597="Nangun Adulto",60,IF(Atletas!J597="Taijishan Grupo B",61,IF(Atletas!J597="Taijishan Grupo A",62,""))))))))))))))))))))))</f>
        <v/>
      </c>
      <c r="BM606" s="50" t="str">
        <f>IF(Atletas!K597="","",IF(Atletas!B597="Feminino",100,IF(Atletas!B597="Masculino",200,""))+(IF(Atletas!K597="Equipe 1 Grupo B",1,IF(Atletas!K597="Equipe 2 Grupo B",2,IF(Atletas!K597="Equipe 1 Grupo A",3,IF(Atletas!K597="Equipe 2 Grupo A",4,IF(Atletas!K597="Equipe 1 Adulto",5,IF(Atletas!K597="Equipe 2 Adulto",6,""))))))))</f>
        <v/>
      </c>
      <c r="BR606" s="50" t="str">
        <f>IF(Atletas!L597="","",IF(Atletas!X597&lt;&gt;"",10000,0)+(IF(Atletas!B597="Feminino",1000,IF(Atletas!B597="Masculino",2000,""))+IF(Atletas!L597="Choylayfut A",1,IF(Atletas!L597="Hunggar A",2,IF(Atletas!L597="Wuzuquan A",3,IF(Atletas!L597="Wingchun A",4,IF(Atletas!L597="Outra Mão de Sul A",5,IF(Atletas!L597="Choylayfut B",6,IF(Atletas!L597="Hunggar B",7,IF(Atletas!L597="Wuzuquan B",8,IF(Atletas!L597="Wingchun B",9,IF(Atletas!L597="Outra Mão de Sul B",10,IF(Atletas!L597="Choylayfut C",11,IF(Atletas!L597="Hunggar C",12,IF(Atletas!L597="Wuzuquan C",13,IF(Atletas!L597="Wingchun C",14,IF(Atletas!L597="Outra Mão de Sul C",15,IF(Atletas!L597="Choylayfut D",16,IF(Atletas!L597="Hunggar D",17,IF(Atletas!L597="Wuzuquan D",18,IF(Atletas!L597="Wingchun D",19,IF(Atletas!L597="Outra Mão de Sul D",20,IF(Atletas!L597="Choylayfut E",21,IF(Atletas!L597="Hunggar E",22,IF(Atletas!L597="Wuzuquan E",23,IF(Atletas!L597="Wingchun E",24,IF(Atletas!L597="Outra Mão de Sul E",25,IF(Atletas!L597="Choylayfut F",26,IF(Atletas!L597="Hunggar F",27,IF(Atletas!L597="Wuzuquan F",28,IF(Atletas!L597="Wingchun F",29,IF(Atletas!L597="Outra Mão de Sul F",30,IF(Atletas!L597="Dishuquan A",31,IF(Atletas!L597="Dishuquan B",32,IF(Atletas!L597="Dishuquan C",33,IF(Atletas!L597="Dishuquan D",34,IF(Atletas!L597="Dishuquan E",35,IF(Atletas!L597="Dishuquan F",36,""))))))))))))))))))))))))))))))))))))))</f>
        <v/>
      </c>
      <c r="BS606" s="50" t="str">
        <f>IF(Atletas!M597="","",IF(Atletas!X597&lt;&gt;"",10000,0)+(IF(Atletas!B597="Feminino",1000,IF(Atletas!B597="Masculino",2000,""))+(IF(Atletas!M597="Chaquan A",101,IF(Atletas!M597="Emeiquan A",102,IF(Atletas!M597="Fanziquan A",103,IF(Atletas!M597="Huaquan A",104,IF(Atletas!M597="Hongquan A",105,IF(Atletas!M597="Paoquan A",106,IF(Atletas!M597="Piguaquan A",107,IF(Atletas!M597="Shaolinquan A",108,IF(Atletas!M597="Tanglangquan A",109,IF(Atletas!M597="Yingzhaoquan A",110,IF(Atletas!M597="Tongbeiquan A",111,IF(Atletas!M597="Wudangquan A",112,IF(Atletas!M597="Outros Estilos A",113,IF(Atletas!M597="Chaquan B",114,IF(Atletas!M597="Emeiquan B",115,IF(Atletas!M597="Fanziquan B",116,IF(Atletas!M597="Huaquan B",117,IF(Atletas!M597="Hongquan B",118,IF(Atletas!M597="Paoquan B",119,IF(Atletas!M597="Piguaquan B",120,IF(Atletas!M597="Shaolinquan B",121,IF(Atletas!M597="Tanglangquan B",122,IF(Atletas!M597="Yingzhaoquan B",123,IF(Atletas!M597="Tongbeiquan B",124,IF(Atletas!M597="Wudangquan B",125,IF(Atletas!M597="Outros Estilos B",126,IF(Atletas!M597="Chaquan C",127,IF(Atletas!M597="Emeiquan C",128,IF(Atletas!M597="Fanziquan C",129,IF(Atletas!M597="Huaquan C",130,IF(Atletas!M597="Hongquan C",131,IF(Atletas!M597="Paoquan C",132,IF(Atletas!M597="Piguaquan C",133,IF(Atletas!M597="Shaolinquan C",134,IF(Atletas!M597="Tanglangquan C",135,IF(Atletas!M597="Yingzhaoquan C",136,IF(Atletas!M597="Tongbeiquan C",137,IF(Atletas!M597="Wudangquan C",138,IF(Atletas!M597="Outros Estilos C",139,0))))))))))))))))))))))))))))))))))))))))))</f>
        <v/>
      </c>
      <c r="BT606" s="50" t="str">
        <f>IF(Atletas!M597="","",IF(Atletas!X597&lt;&gt;"",10000,0)+(IF(Atletas!B597="Feminino",1000,IF(Atletas!B597="Masculino",2000,""))+(IF(Atletas!M597="Chaquan D",140,IF(Atletas!M597="Emeiquan D",141,IF(Atletas!M597="Fanziquan D",142,IF(Atletas!M597="Huaquan D",143,IF(Atletas!M597="Hongquan D",144,IF(Atletas!M597="Paoquan D",145,IF(Atletas!M597="Piguaquan D",146,IF(Atletas!M597="Shaolinquan D",147,IF(Atletas!M597="Tanglangquan D",148,IF(Atletas!M597="Yingzhaoquan D",149,IF(Atletas!M597="Tongbeiquan D",150,IF(Atletas!M597="Wudangquan D",151,IF(Atletas!M597="Outros Estilos D",152,IF(Atletas!M597="Chaquan E",153,IF(Atletas!M597="Emeiquan E",154,IF(Atletas!M597="Fanziquan E",155,IF(Atletas!M597="Huaquan E",156,IF(Atletas!M597="Hongquan E",157,IF(Atletas!M597="Paoquan E",158,IF(Atletas!M597="Piguaquan E",159,IF(Atletas!M597="Shaolinquan E",160,IF(Atletas!M597="Tanglangquan E",161,IF(Atletas!M597="Yingzhaoquan E",162,IF(Atletas!M597="Tongbeiquan E",163,IF(Atletas!M597="Wudangquan E",164,IF(Atletas!M597="Outros Estilos E",165,IF(Atletas!M597="Chaquan F",166,IF(Atletas!M597="Emeiquan F",167,IF(Atletas!M597="Fanziquan F",168,IF(Atletas!M597="Huaquan F",169,IF(Atletas!M597="Hongquan F",170,IF(Atletas!M597="Paoquan F",171,IF(Atletas!M597="Piguaquan F",172,IF(Atletas!M597="Shaolinquan F",173,IF(Atletas!M597="Tanglangquan F",174,IF(Atletas!M597="Yingzhaoquan F",175,IF(Atletas!M597="Tongbeiquan F",176,IF(Atletas!M597="Wudangquan F",177,IF(Atletas!M597="Outros Estilos F",178,0))))))))))))))))))))))))))))))))))))))))))</f>
        <v/>
      </c>
      <c r="BU606" s="50" t="str">
        <f>IF(Atletas!N597="","",IF(Atletas!X597&lt;&gt;"",10000,0)+(IF(Atletas!B597="Feminino",1000,IF(Atletas!B597="Masculino",2000,""))+(IF(Atletas!N597="Ditangquan A",201,IF(Atletas!N597="Houquan A",202,IF(Atletas!N597="Zuiquan A",203,IF(Atletas!N597="Ditangquan B",204,IF(Atletas!N597="Houquan B",205,IF(Atletas!N597="Zuiquan B",206,IF(Atletas!N597="Ditangquan C",207,IF(Atletas!N597="Houquan C",208,IF(Atletas!N597="Zuiquan C",209,IF(Atletas!N597="Ditangquan D",210,IF(Atletas!N597="Houquan D",211,IF(Atletas!N597="Zuiquan D",212,IF(Atletas!N597="Ditangquan E",213,IF(Atletas!N597="Houquan E",214,IF(Atletas!N597="Zuiquan E",215,IF(Atletas!N597="Ditangquan F",216,IF(Atletas!N597="Houquan F",217,IF(Atletas!N597="Zuiquan F",218,"")))))))))))))))))))))</f>
        <v/>
      </c>
      <c r="BV606" s="50" t="str">
        <f>IF(Atletas!O597="","",IF(Atletas!X597&lt;&gt;"",10000,0)+IF(Atletas!B597="Feminino",1000,IF(Atletas!B597="Masculino",2000,""))+IF(Atletas!O597="Yang A",301,IF(Atletas!O597="Chen A",302,IF(Atletas!O597="Sun A",303,IF(Atletas!O597="Wu A",304,IF(Atletas!O597="Wu-Hao A",305,IF(Atletas!O597="Outro Taijiquan A",306,IF(Atletas!O597="Yang B",307,IF(Atletas!O597="Chen B",308,IF(Atletas!O597="Sun B",309,IF(Atletas!O597="Wu B",310,IF(Atletas!O597="Wu-Hao B",311,IF(Atletas!O597="Outro Taijiquan B",312,IF(Atletas!O597="Yang C",313,IF(Atletas!O597="Chen C",314,IF(Atletas!O597="Sun C",315,IF(Atletas!O597="Wu C",316,IF(Atletas!O597="Wu-Hao C",317,IF(Atletas!O597="Outro Taijiquan C",318,IF(Atletas!O597="Yang D",319,IF(Atletas!O597="Chen D",320,IF(Atletas!O597="Sun D",321,IF(Atletas!O597="Wu D",322,IF(Atletas!O597="Wu-Hao D",323,IF(Atletas!O597="Outro Taijiquan D",324,IF(Atletas!O597="Yang E",325,IF(Atletas!O597="Chen E",326,IF(Atletas!O597="Sun E",327,IF(Atletas!O597="Wu E",328,IF(Atletas!O597="Wu-Hao E",329,IF(Atletas!O597="Outro Taijiquan E",330,IF(Atletas!O597="Yang F",331,IF(Atletas!O597="Chen F",332,IF(Atletas!O597="Sun F",333,IF(Atletas!O597="Wu F",334,IF(Atletas!O597="Wu-Hao F",335,IF(Atletas!O597="Outro Taijiquan F",336,"")))))))))))))))))))))))))))))))))))))</f>
        <v/>
      </c>
      <c r="BW606" s="50" t="str">
        <f>IF(Atletas!P597="","",IF(Atletas!X597&lt;&gt;"",10000,0)+IF(Atletas!B597="Feminino",1000,IF(Atletas!B597="Masculino",2000,""))+IF(OR(Atletas!P597="Yang 26 A",Atletas!P597="Yang 40 A"),401,IF(OR(Atletas!P597="Chen 25 A",Atletas!P597="Chen 36 A",Atletas!P597="Chen 56 A"),402,IF(Atletas!P597="Sun 73 A",403,IF(Atletas!P597="Wu 45 A",404,IF(Atletas!P597="Wu-Hao 46 A",405,IF(OR(Atletas!P597="Taijiquan 16 A",Atletas!P597="Taijiquan 24 A",Atletas!P597="Taijiquan 32 A",Atletas!P597="Taijiquan 42 A"),406,IF(OR(Atletas!P597="Yang 26 B",Atletas!P597="Yang 40 B"),407,IF(OR(Atletas!P597="Chen 25 B",Atletas!P597="Chen 36 B",Atletas!P597="Chen 56 B"),408,IF(Atletas!P597="Sun 73 B",409,IF(Atletas!P597="Wu 45 B",410,IF(Atletas!P597="Wu-Hao 46 B",411,IF(OR(Atletas!P597="Taijiquan 16 B",Atletas!P597="Taijiquan 24 B",Atletas!P597="Taijiquan 32 B",Atletas!P597="Taijiquan 42 B"),412,IF(OR(Atletas!P597="Yang 26 C",Atletas!P597="Yang 40 C"),413,IF(OR(Atletas!P597="Chen 25 C",Atletas!P597="Chen 36 C",Atletas!P597="Chen 56 C"),414,IF(Atletas!P597="Sun 73 C",415,IF(Atletas!P597="Wu 45 C",416,IF(Atletas!P597="Wu-Hao 46 C",417,IF(OR(Atletas!P597="Taijiquan 16 C",Atletas!P597="Taijiquan 24 C",Atletas!P597="Taijiquan 32 C",Atletas!P597="Taijiquan 42 C"),418,0)))))))))))))))))))</f>
        <v/>
      </c>
      <c r="BX606" s="50" t="str">
        <f>IF(Atletas!P597="","",IF(Atletas!X597&lt;&gt;"",10000,0)+IF(Atletas!B597="Feminino",1000,IF(Atletas!B597="Masculino",2000,""))+IF(OR(Atletas!P597="Yang 26 D",Atletas!P597="Yang 40 D"),419,IF(OR(Atletas!P597="Chen 25 D",Atletas!P597="Chen 36 D",Atletas!P597="Chen 56 D"),420,IF(Atletas!P597="Sun 73 D",421,IF(Atletas!P597="Wu 45 D",422,IF(Atletas!P597="Wu-Hao 46 D",423,IF(OR(Atletas!P597="Taijiquan 16 D",Atletas!P597="Taijiquan 24 D",Atletas!P597="Taijiquan 32 D",Atletas!P597="Taijiquan 42 D"),424,IF(OR(Atletas!P597="Yang 26 E",Atletas!P597="Yang 40 E"),425,IF(OR(Atletas!P597="Chen 25 E",Atletas!P597="Chen 36 E",Atletas!P597="Chen 56 E"),426,IF(Atletas!P597="Sun 73 E",427,IF(Atletas!P597="Wu 45 E",428,IF(Atletas!P597="Wu-Hao 46 E",429,IF(OR(Atletas!P597="Taijiquan 16 E",Atletas!P597="Taijiquan 24 E",Atletas!P597="Taijiquan 32 E",Atletas!P597="Taijiquan 42 E"),430,IF(OR(Atletas!P597="Yang 26 F",Atletas!P597="Yang 40 F"),431,IF(OR(Atletas!P597="Chen 25 F",Atletas!P597="Chen 36 F",Atletas!P597="Chen 56 F"),432,IF(Atletas!P597="Sun 73 F",433,IF(Atletas!P597="Wu 45 F",434,IF(Atletas!P597="Wu-Hao 46 F",435,IF(OR(Atletas!P597="Taijiquan 16 F",Atletas!P597="Taijiquan 24 F",Atletas!P597="Taijiquan 32 F",Atletas!P597="Taijiquan 42 F"),436,0)))))))))))))))))))</f>
        <v/>
      </c>
      <c r="BY606" s="50" t="str">
        <f>IF(Atletas!Q597="","",IF(Atletas!X597&lt;&gt;"",10000,0)+IF(Atletas!B597="Feminino",1000,IF(Atletas!B597="Masculino",2000,""))+IF(Atletas!Q597="Xingyiquan A",501,IF(Atletas!Q597="Baguazhang A",502,IF(Atletas!Q597="Outro Estilo Interno A",503,IF(Atletas!Q597="Xingyiquan B",504,IF(Atletas!Q597="Baguazhang B",505,IF(Atletas!Q597="Outro Estilo Interno B",506,IF(Atletas!Q597="Xingyiquan C",507,IF(Atletas!Q597="Baguazhang C",508,IF(Atletas!Q597="Outro Estilo Interno C",509,IF(Atletas!Q597="Xingyiquan D",510,IF(Atletas!Q597="Baguazhang D",511,IF(Atletas!Q597="Outro Estilo Interno D",512,IF(Atletas!Q597="Xingyiquan E",513,IF(Atletas!Q597="Baguazhang E",514,IF(Atletas!Q597="Outro Estilo Interno E",515,IF(Atletas!Q597="Xingyiquan F",516,IF(Atletas!Q597="Baguazhang F",517,IF(Atletas!Q597="Outro Estilo Interno F",518, "")))))))))))))))))))</f>
        <v/>
      </c>
      <c r="BZ606" s="50" t="str">
        <f>IF(Atletas!R597="","",IF(Atletas!X597&lt;&gt;"",10000,0)+IF(Atletas!B597="Feminino",1000,IF(Atletas!B597="Masculino",2000,""))+IF(Atletas!R597="Dao A",601,IF(Atletas!R597="Jian A",602,IF(Atletas!R597="Bishou A",603,IF(Atletas!R597="Shanzi A",604,IF(Atletas!R597="Outra Arma Curta A",605,IF(Atletas!R597="Dao B",606,IF(Atletas!R597="Jian B",607,IF(Atletas!R597="Bishou B",608,IF(Atletas!R597="Shanzi B",609,IF(Atletas!R597="Outra Arma Curta B",610,IF(Atletas!R597="Dao C",611,IF(Atletas!R597="Jian C",612,IF(Atletas!R597="Bishou C",613,IF(Atletas!R597="Shanzi C",614,IF(Atletas!R597="Outra Arma Curta C",615,IF(Atletas!R597="Dao D",616,IF(Atletas!R597="Jian D",617,IF(Atletas!R597="Bishou D",618,IF(Atletas!R597="Shanzi D",619,IF(Atletas!R597="Outra Arma Curta D",620,IF(Atletas!R597="Dao E",621,IF(Atletas!R597="Jian E",622,IF(Atletas!R597="Bishou E",623,IF(Atletas!R597="Shanzi E",624,IF(Atletas!R597="Outra Arma Curta E",625,IF(Atletas!R597="Dao F",626,IF(Atletas!R597="Jian F",627,IF(Atletas!R597="Bishou F",628,IF(Atletas!R597="Shanzi F",629,IF(Atletas!R597="Outra Arma Curta F",630, "")))))))))))))))))))))))))))))))</f>
        <v/>
      </c>
      <c r="CA606" s="50" t="str">
        <f>IF(Atletas!S597="","",IF(Atletas!X597&lt;&gt;"",10000,0)+IF(Atletas!B597="Feminino",1000,IF(Atletas!B597="Masculino",2000,""))+IF(Atletas!S597="Gun A",701,IF(Atletas!S597="Qiang A",702,IF(Atletas!S597="Pudao / Guandao A",703,IF(Atletas!S597="Outra Arma Longa A",704,IF(Atletas!S597="Gun B",705,IF(Atletas!S597="Qiang B",706,IF(Atletas!S597="Pudao / Guandao B",707,IF(Atletas!S597="Outra Arma Longa B",708,IF(Atletas!S597="Gun C",709,IF(Atletas!S597="Qiang C",710,IF(Atletas!S597="Pudao / Guandao C",711,IF(Atletas!S597="Outra Arma Longa C",712,IF(Atletas!S597="Gun D",713,IF(Atletas!S597="Qiang D",714,IF(Atletas!S597="Pudao / Guandao D",715,IF(Atletas!S597="Outra Arma Longa D",716,IF(Atletas!S597="Gun E",717,IF(Atletas!S597="Qiang E",718,IF(Atletas!S597="Pudao / Guandao E",719,IF(Atletas!S597="Outra Arma Longa E",720,IF(Atletas!S597="Gun F",721,IF(Atletas!S597="Qiang F",722,IF(Atletas!S597="Pudao / Guandao F",723,IF(Atletas!S597="Outra Arma Longa F",724,"")))))))))))))))))))))))))</f>
        <v/>
      </c>
      <c r="CB606" s="50" t="str">
        <f>IF(Atletas!T597="","",IF(Atletas!X597&lt;&gt;"",10000,0)+IF(Atletas!B597="Feminino",1000,IF(Atletas!B597="Masculino",2000,""))+IF(Atletas!T597="Outra Arma Dupla A",801,IF(Atletas!T597="Arma Maleável A",802,IF(Atletas!T597="Outra Arma Dupla B",803,IF(Atletas!T597="Arma Maleável B",804,IF(Atletas!T597="Outra Arma Dupla C",805,IF(Atletas!T597="Arma Maleável C",806,IF(Atletas!T597="Outra Arma Dupla D",807,IF(Atletas!T597="Arma Maleável D",808,IF(Atletas!T597="Outra Arma Dupla E",809,IF(Atletas!T597="Arma Maleável E",810,IF(Atletas!T597="Outra Arma Dupla F",811,IF(Atletas!T597="Arma Maleável F",812,IF(Atletas!T597="Shuangdao A",813,IF(Atletas!T597="Shuangdao B",814,IF(Atletas!T597="Shuangdao C",815,IF(Atletas!T597="Shuangdao D",816,IF(Atletas!T597="Shuangdao E",817,IF(Atletas!T597="Shuangdao F",818,"")))))))))))))))))))</f>
        <v/>
      </c>
      <c r="CC606" s="50" t="str">
        <f>IF(Atletas!U597="","",IF(Atletas!X597&lt;&gt;"",10000,0)+IF(Atletas!B597="Feminino",1000,IF(Atletas!B597="Masculino",2000,""))+IF(OR(Atletas!U597="Taijijian Yang A",Atletas!U597="Taijijian Yang Standard A"),901,IF(OR(Atletas!U597="Taijijian Chen A", Atletas!U597="Taijijian Chen Standard A"),902,IF(Atletas!U597="Taijijian Sun A",903,IF(Atletas!U597="Taijijian Wu A",904,IF(Atletas!U597="Taijijian Wu-Hao A",905,IF(OR(Atletas!U597="Taijijian 32 A",Atletas!U597="Taijijian 42 A"),906,IF(OR(Atletas!U597="Taijijian Yang B",Atletas!U597="Taijijian Yang Standard B"),907,IF(OR(Atletas!U597="Taijijian Chen B", Atletas!U597="Taijijian Chen Standard B"),908,IF(Atletas!U597="Taijijian Sun B",909,IF(Atletas!U597="Taijijian Wu B",910,IF(Atletas!U597="Taijijian Wu-Hao B",911,IF(OR(Atletas!U597="Taijijian 32 B",Atletas!U597="Taijijian 42 B"),912,IF(OR(Atletas!U597="Taijijian Yang C",Atletas!U597="Taijijian Yang Standard C"),913,IF(OR(Atletas!U597="Taijijian Chen C", Atletas!U597="Taijijian Chen Standard C"),914,IF(Atletas!U597="Taijijian Sun C",915,IF(Atletas!U597="Taijijian Wu C",916,IF(Atletas!U597="Taijijian Wu-Hao C",917,IF(OR(Atletas!U597="Taijijian 32 C",Atletas!U597="Taijijian 42 C"),918,IF(OR(Atletas!U597="Taijijian Yang D",Atletas!U597="Taijijian Yang Standard D"),919,IF(OR(Atletas!U597="Taijijian Chen D", Atletas!U597="Taijijian Chen Standard D"),920,IF(Atletas!U597="Taijijian Sun D",921,IF(Atletas!U597="Taijijian Wu D",922,IF(Atletas!U597="Taijijian Wu-Hao D",923,IF(OR(Atletas!U597="Taijijian 32 D",Atletas!U597="Taijijian 42 D"),924,IF(OR(Atletas!U597="Taijijian Yang E",Atletas!U597="Taijijian Yang Standard E"),925,IF(OR(Atletas!U597="Taijijian Chen E", Atletas!U597="Taijijian Chen Standard E"),926,IF(Atletas!U597="Taijijian Sun E",927,IF(Atletas!U597="Taijijian Wu E",928,IF(Atletas!U597="Taijijian Wu-Hao E",929,IF(OR(Atletas!U597="Taijijian 32 E",Atletas!U597="Taijijian 42 E"),930,IF(OR(Atletas!U597="Taijijian Yang F",Atletas!U597="Taijijian Yang Standard F"),931,IF(OR(Atletas!U597="Taijijian Chen F", Atletas!U597="Taijijian Chen Standard F"),932,IF(Atletas!U597="Taijijian Sun F",933,IF(Atletas!U597="Taijijian Wu F",934,IF(Atletas!U597="Taijijian Wu-Hao F",935,IF(OR(Atletas!U597="Taijijian 32 F",Atletas!U597="Taijijian 42 F"),936,"")))))))))))))))))))))))))))))))))))))</f>
        <v/>
      </c>
      <c r="CD606" s="50" t="str">
        <f>IF(Atletas!V597="","",IF(Atletas!X597&lt;&gt;"",10000,0)+IF(Atletas!B597="Feminino",1000,IF(Atletas!B597="Masculino",2000,""))+IF(Atletas!V597="Taijidao A",937,IF(Atletas!V597="TaijiShanzi A",938,IF(Atletas!V597="Taijiqiang A",939,IF(Atletas!V597="Bagua de Arma A",940,IF(Atletas!V597="Xingyi de Arma A",941,IF(Atletas!V597="Taijidao B",942,IF(Atletas!V597="TaijiShanzi B",943,IF(Atletas!V597="Taijiqiang B",944,IF(Atletas!V597="Bagua de Arma B",945,IF(Atletas!V597="Xingyi de Arma B",946,IF(Atletas!V597="Taijidao C",947,IF(Atletas!V597="TaijiShanzi C",948,IF(Atletas!V597="Taijiqiang C",949,IF(Atletas!V597="Bagua de Arma C",950,IF(Atletas!V597="Xingyi de Arma C",951,IF(Atletas!V597="Taijidao D",952,IF(Atletas!V597="TaijiShanzi D",953,IF(Atletas!V597="Taijiqiang D",954,IF(Atletas!V597="Bagua de Arma D",955,IF(Atletas!V597="Xingyi de Arma D",956,IF(Atletas!V597="Taijidao E",957,IF(Atletas!V597="TaijiShanzi E",958,IF(Atletas!V597="Taijiqiang E",959,IF(Atletas!V597="Bagua de Arma E",960,IF(Atletas!V597="Xingyi de Arma E",961,IF(Atletas!V597="Taijidao F",962,IF(Atletas!V597="TaijiShanzi F",963,IF(Atletas!V597="Taijiqiang F",964,IF(Atletas!V597="Bagua de Arma F",965,IF(Atletas!V597="Xingyi de Arma F",966,"")))))))))))))))))))))))))))))))</f>
        <v/>
      </c>
      <c r="CM606" s="50" t="str">
        <f xml:space="preserve"> IF(Atletas!W597="","",IF(Atletas!W597="Duilian de Mãos BC - Equipe 1",1,IF(Atletas!W597="Duilian de Mãos BC - Equipe 2",2,IF(Atletas!W597="Duilian de Armas BC - Equipe 1",3,IF(Atletas!W597="Duilian de Armas BC - Equipe 2",4,IF(Atletas!W597="Duilian de Mãos DE - Equipe 1",5,IF(Atletas!W597="Duilian de Mãos DE - Equipe 2",6,IF(Atletas!W597="Duilian de Armas DE - Equipe 1",7,IF(Atletas!W597="Duilian de Armas DE - Equipe 2",8,IF(Atletas!W597="Duilian de Tuishou - Equipe 1",9,IF(Atletas!W597="Duilian de Tuishou - Equipe 2",10,IF(Atletas!W597="Grupo Externo ABC - Equipe 1",11,IF(Atletas!W597="Grupo Externo ABC - Equipe 2",12,IF(Atletas!W597="Grupo Interno ABC - Equipe 1",13,IF(Atletas!W597="Grupo Interno ABC - Equipe 2",14,IF(Atletas!W597="Grupo Externo DEF - Equipe 1",15,IF(Atletas!W597="Grupo Externo DEF - Equipe 2",16,IF(Atletas!W597="Grupo Interno DEF - Equipe 1",17,IF(Atletas!W597="Grupo Interno DEF - Equipe 2",18,"")))))))))))))))))))</f>
        <v/>
      </c>
    </row>
    <row r="607" spans="40:91">
      <c r="BM607" s="50"/>
    </row>
  </sheetData>
  <mergeCells count="14">
    <mergeCell ref="F3:G3"/>
    <mergeCell ref="D3:E3"/>
    <mergeCell ref="B3:C3"/>
    <mergeCell ref="H3:I3"/>
    <mergeCell ref="B2:I2"/>
    <mergeCell ref="AH5:AM5"/>
    <mergeCell ref="B5:E5"/>
    <mergeCell ref="R5:U5"/>
    <mergeCell ref="V5:Y5"/>
    <mergeCell ref="Z5:AC5"/>
    <mergeCell ref="F5:I5"/>
    <mergeCell ref="J5:M5"/>
    <mergeCell ref="AD5:AG5"/>
    <mergeCell ref="N5:Q5"/>
  </mergeCells>
  <phoneticPr fontId="7" type="noConversion"/>
  <conditionalFormatting sqref="C8:C39 E8:E39">
    <cfRule type="cellIs" dxfId="13" priority="53" operator="between">
      <formula>3</formula>
      <formula>50</formula>
    </cfRule>
    <cfRule type="cellIs" dxfId="12" priority="55" operator="equal">
      <formula>2</formula>
    </cfRule>
  </conditionalFormatting>
  <conditionalFormatting sqref="S9:S69 U9:U69">
    <cfRule type="cellIs" dxfId="11" priority="43" operator="between">
      <formula>5</formula>
      <formula>100</formula>
    </cfRule>
    <cfRule type="cellIs" dxfId="10" priority="44" operator="equal">
      <formula>4</formula>
    </cfRule>
  </conditionalFormatting>
  <conditionalFormatting sqref="W8:W37 Y8:Y37">
    <cfRule type="cellIs" dxfId="9" priority="35" operator="between">
      <formula>4</formula>
      <formula>100</formula>
    </cfRule>
    <cfRule type="cellIs" dxfId="8" priority="36" operator="equal">
      <formula>1</formula>
    </cfRule>
  </conditionalFormatting>
  <conditionalFormatting sqref="AA8:AA300 AC8:AC300">
    <cfRule type="cellIs" dxfId="7" priority="13" operator="between">
      <formula>5</formula>
      <formula>100</formula>
    </cfRule>
    <cfRule type="cellIs" dxfId="6" priority="14" operator="equal">
      <formula>4</formula>
    </cfRule>
  </conditionalFormatting>
  <conditionalFormatting sqref="AI8:AI19">
    <cfRule type="cellIs" dxfId="5" priority="5" operator="between">
      <formula>4</formula>
      <formula>100</formula>
    </cfRule>
    <cfRule type="cellIs" dxfId="4" priority="6" operator="equal">
      <formula>1</formula>
    </cfRule>
  </conditionalFormatting>
  <conditionalFormatting sqref="AK8:AK9">
    <cfRule type="cellIs" dxfId="3" priority="3" operator="between">
      <formula>3</formula>
      <formula>100</formula>
    </cfRule>
    <cfRule type="cellIs" dxfId="2" priority="4" operator="equal">
      <formula>1</formula>
    </cfRule>
  </conditionalFormatting>
  <conditionalFormatting sqref="AM8:AM15">
    <cfRule type="cellIs" dxfId="1" priority="1" operator="between">
      <formula>1</formula>
      <formula>3</formula>
    </cfRule>
    <cfRule type="cellIs" dxfId="0" priority="2" operator="between">
      <formula>9</formula>
      <formula>100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/>
  <tableParts count="9">
    <tablePart r:id="rId1"/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1189B-DBD8-B744-818D-5F7DA9E2595A}">
  <dimension ref="B1:AX963"/>
  <sheetViews>
    <sheetView showGridLines="0" zoomScale="150" zoomScaleNormal="150" workbookViewId="0">
      <selection activeCell="B3" sqref="B3:B5"/>
    </sheetView>
  </sheetViews>
  <sheetFormatPr defaultColWidth="11" defaultRowHeight="15.75"/>
  <cols>
    <col min="1" max="1" width="4.125" customWidth="1"/>
    <col min="2" max="2" width="17.5" bestFit="1" customWidth="1"/>
    <col min="3" max="3" width="40.875" customWidth="1"/>
    <col min="4" max="4" width="12.875" customWidth="1"/>
    <col min="5" max="5" width="16.875" customWidth="1"/>
    <col min="6" max="8" width="13.875" customWidth="1"/>
    <col min="9" max="9" width="13.875" style="6" customWidth="1"/>
    <col min="10" max="11" width="14.5" style="6" customWidth="1"/>
    <col min="12" max="19" width="14.5" customWidth="1"/>
    <col min="20" max="20" width="20.625" customWidth="1"/>
    <col min="21" max="21" width="8.875" customWidth="1"/>
    <col min="51" max="51" width="13" bestFit="1" customWidth="1"/>
  </cols>
  <sheetData>
    <row r="1" spans="2:50">
      <c r="L1" s="6"/>
    </row>
    <row r="2" spans="2:50">
      <c r="B2" s="7" t="s">
        <v>7</v>
      </c>
      <c r="C2" s="87" t="s">
        <v>489</v>
      </c>
      <c r="D2" s="87"/>
      <c r="E2" s="7" t="s">
        <v>488</v>
      </c>
      <c r="G2" s="61" t="s">
        <v>7</v>
      </c>
      <c r="H2" s="6"/>
    </row>
    <row r="3" spans="2:50" ht="15.95" customHeight="1">
      <c r="B3" s="86" t="s">
        <v>477</v>
      </c>
      <c r="C3" s="88" t="str">
        <f>VLOOKUP(B3,G3:H25,2,FALSE)</f>
        <v>SELECIONE A "UF" AO LADO</v>
      </c>
      <c r="D3" s="88"/>
      <c r="E3" s="89">
        <f>SUM(Atletas!AA3:AA297)</f>
        <v>0</v>
      </c>
      <c r="G3" s="60" t="s">
        <v>477</v>
      </c>
      <c r="H3" s="6" t="s">
        <v>505</v>
      </c>
    </row>
    <row r="4" spans="2:50">
      <c r="B4" s="86"/>
      <c r="C4" s="88"/>
      <c r="D4" s="88"/>
      <c r="E4" s="90"/>
      <c r="G4" s="60" t="s">
        <v>23</v>
      </c>
      <c r="H4" s="6" t="s">
        <v>458</v>
      </c>
    </row>
    <row r="5" spans="2:50">
      <c r="B5" s="86"/>
      <c r="C5" s="88"/>
      <c r="D5" s="88"/>
      <c r="E5" s="90"/>
      <c r="G5" s="60" t="s">
        <v>24</v>
      </c>
      <c r="H5" s="6" t="s">
        <v>459</v>
      </c>
    </row>
    <row r="6" spans="2:50">
      <c r="B6" s="8" t="s">
        <v>476</v>
      </c>
      <c r="C6" s="9" t="s">
        <v>0</v>
      </c>
      <c r="D6" s="7" t="s">
        <v>1</v>
      </c>
      <c r="E6" s="7" t="s">
        <v>2</v>
      </c>
      <c r="G6" s="60" t="s">
        <v>25</v>
      </c>
      <c r="H6" s="6" t="s">
        <v>460</v>
      </c>
    </row>
    <row r="7" spans="2:50">
      <c r="B7" t="s">
        <v>486</v>
      </c>
      <c r="C7" s="5"/>
      <c r="D7" s="44"/>
      <c r="E7" s="45"/>
      <c r="G7" s="60" t="s">
        <v>26</v>
      </c>
      <c r="H7" s="6" t="s">
        <v>461</v>
      </c>
    </row>
    <row r="8" spans="2:50">
      <c r="B8" s="10" t="s">
        <v>3</v>
      </c>
      <c r="C8" s="11"/>
      <c r="D8" s="46"/>
      <c r="E8" s="47"/>
      <c r="G8" s="60" t="s">
        <v>27</v>
      </c>
      <c r="H8" s="6" t="s">
        <v>462</v>
      </c>
    </row>
    <row r="9" spans="2:50">
      <c r="B9" t="s">
        <v>4</v>
      </c>
      <c r="C9" s="5"/>
      <c r="D9" s="44"/>
      <c r="E9" s="45"/>
      <c r="G9" s="60" t="s">
        <v>28</v>
      </c>
      <c r="H9" s="6" t="s">
        <v>463</v>
      </c>
    </row>
    <row r="10" spans="2:50">
      <c r="B10" s="10" t="s">
        <v>5</v>
      </c>
      <c r="C10" s="11"/>
      <c r="D10" s="46"/>
      <c r="E10" s="47"/>
      <c r="G10" s="60" t="s">
        <v>29</v>
      </c>
      <c r="H10" s="6" t="s">
        <v>464</v>
      </c>
    </row>
    <row r="11" spans="2:50">
      <c r="B11" t="s">
        <v>456</v>
      </c>
      <c r="C11" s="5"/>
      <c r="D11" s="44"/>
      <c r="E11" s="45"/>
      <c r="G11" s="60" t="s">
        <v>30</v>
      </c>
      <c r="H11" s="6" t="s">
        <v>465</v>
      </c>
    </row>
    <row r="12" spans="2:50">
      <c r="B12" s="10" t="s">
        <v>457</v>
      </c>
      <c r="C12" s="11"/>
      <c r="D12" s="46"/>
      <c r="E12" s="47"/>
      <c r="G12" s="60" t="s">
        <v>31</v>
      </c>
      <c r="H12" s="6" t="s">
        <v>468</v>
      </c>
      <c r="AT12" s="2"/>
      <c r="AX12" s="2"/>
    </row>
    <row r="13" spans="2:50">
      <c r="B13" s="8" t="s">
        <v>519</v>
      </c>
      <c r="C13" s="9" t="s">
        <v>0</v>
      </c>
      <c r="D13" s="7"/>
      <c r="E13" s="7"/>
      <c r="F13" s="4"/>
      <c r="G13" s="60" t="s">
        <v>32</v>
      </c>
      <c r="H13" s="6" t="s">
        <v>467</v>
      </c>
      <c r="K13" s="51"/>
      <c r="L13" s="4"/>
      <c r="M13" s="4"/>
      <c r="N13" s="4"/>
      <c r="O13" s="4"/>
      <c r="P13" s="4"/>
      <c r="Q13" s="4"/>
      <c r="R13" s="4"/>
    </row>
    <row r="14" spans="2:50">
      <c r="B14" t="s">
        <v>478</v>
      </c>
      <c r="C14" s="5"/>
      <c r="D14" s="44"/>
      <c r="E14" s="45"/>
      <c r="F14" s="4"/>
      <c r="G14" s="60" t="s">
        <v>33</v>
      </c>
      <c r="H14" s="6" t="s">
        <v>466</v>
      </c>
      <c r="K14" s="51"/>
      <c r="L14" s="4"/>
      <c r="M14" s="4"/>
      <c r="N14" s="4"/>
      <c r="O14" s="4"/>
      <c r="P14" s="4"/>
      <c r="Q14" s="4"/>
      <c r="R14" s="4"/>
    </row>
    <row r="15" spans="2:50">
      <c r="B15" s="10" t="s">
        <v>479</v>
      </c>
      <c r="C15" s="11"/>
      <c r="D15" s="46"/>
      <c r="E15" s="47"/>
      <c r="F15" s="4"/>
      <c r="G15" s="60" t="s">
        <v>747</v>
      </c>
      <c r="H15" s="6" t="s">
        <v>748</v>
      </c>
      <c r="K15" s="51"/>
      <c r="L15" s="4"/>
      <c r="M15" s="4"/>
      <c r="N15" s="4"/>
      <c r="O15" s="4"/>
      <c r="P15" s="4"/>
      <c r="Q15" s="4"/>
      <c r="R15" s="4"/>
    </row>
    <row r="16" spans="2:50">
      <c r="B16" t="s">
        <v>480</v>
      </c>
      <c r="C16" s="5"/>
      <c r="D16" s="44"/>
      <c r="E16" s="45"/>
      <c r="F16" s="4"/>
      <c r="G16" s="60" t="s">
        <v>34</v>
      </c>
      <c r="H16" s="6" t="s">
        <v>470</v>
      </c>
      <c r="K16" s="51"/>
      <c r="L16" s="4"/>
      <c r="M16" s="4"/>
      <c r="N16" s="4"/>
      <c r="O16" s="4"/>
      <c r="P16" s="4"/>
      <c r="Q16" s="4"/>
      <c r="R16" s="4"/>
    </row>
    <row r="17" spans="2:18">
      <c r="B17" s="10" t="s">
        <v>481</v>
      </c>
      <c r="C17" s="11"/>
      <c r="D17" s="46"/>
      <c r="E17" s="47"/>
      <c r="F17" s="4"/>
      <c r="G17" s="60" t="s">
        <v>35</v>
      </c>
      <c r="H17" s="6" t="s">
        <v>694</v>
      </c>
      <c r="K17" s="51"/>
      <c r="L17" s="4"/>
      <c r="M17" s="4"/>
      <c r="N17" s="4"/>
      <c r="O17" s="4"/>
      <c r="P17" s="4"/>
      <c r="Q17" s="4"/>
      <c r="R17" s="4"/>
    </row>
    <row r="18" spans="2:18">
      <c r="B18" t="s">
        <v>482</v>
      </c>
      <c r="C18" s="5"/>
      <c r="D18" s="44"/>
      <c r="E18" s="45"/>
      <c r="F18" s="4"/>
      <c r="G18" s="60" t="s">
        <v>36</v>
      </c>
      <c r="H18" s="6" t="s">
        <v>469</v>
      </c>
      <c r="K18" s="51"/>
      <c r="L18" s="4"/>
      <c r="M18" s="4"/>
      <c r="N18" s="4"/>
      <c r="O18" s="4"/>
      <c r="P18" s="4"/>
      <c r="Q18" s="4"/>
      <c r="R18" s="4"/>
    </row>
    <row r="19" spans="2:18">
      <c r="B19" s="10" t="s">
        <v>483</v>
      </c>
      <c r="C19" s="11"/>
      <c r="D19" s="46"/>
      <c r="E19" s="47"/>
      <c r="F19" s="4"/>
      <c r="G19" s="60" t="s">
        <v>37</v>
      </c>
      <c r="H19" s="6" t="s">
        <v>471</v>
      </c>
      <c r="K19" s="51"/>
      <c r="L19" s="4"/>
      <c r="M19" s="4"/>
      <c r="N19" s="4"/>
      <c r="O19" s="4"/>
      <c r="P19" s="4"/>
      <c r="Q19" s="4"/>
      <c r="R19" s="4"/>
    </row>
    <row r="20" spans="2:18">
      <c r="B20" t="s">
        <v>484</v>
      </c>
      <c r="C20" s="5"/>
      <c r="D20" s="44"/>
      <c r="E20" s="45"/>
      <c r="F20" s="4"/>
      <c r="G20" s="60" t="s">
        <v>38</v>
      </c>
      <c r="H20" s="6" t="s">
        <v>472</v>
      </c>
      <c r="K20" s="51"/>
      <c r="L20" s="4"/>
      <c r="M20" s="4"/>
      <c r="N20" s="4"/>
      <c r="O20" s="4"/>
      <c r="P20" s="4"/>
      <c r="Q20" s="4"/>
      <c r="R20" s="4"/>
    </row>
    <row r="21" spans="2:18">
      <c r="B21" s="10" t="s">
        <v>485</v>
      </c>
      <c r="C21" s="11"/>
      <c r="D21" s="46"/>
      <c r="E21" s="47"/>
      <c r="F21" s="4"/>
      <c r="G21" s="60" t="s">
        <v>39</v>
      </c>
      <c r="H21" s="6" t="s">
        <v>474</v>
      </c>
      <c r="K21" s="51"/>
      <c r="L21" s="4"/>
      <c r="M21" s="4"/>
      <c r="N21" s="4"/>
      <c r="O21" s="4"/>
      <c r="P21" s="4"/>
      <c r="Q21" s="4"/>
      <c r="R21" s="4"/>
    </row>
    <row r="22" spans="2:18">
      <c r="B22" t="s">
        <v>520</v>
      </c>
      <c r="C22" s="5"/>
      <c r="D22" s="44"/>
      <c r="E22" s="45"/>
      <c r="F22" s="4"/>
      <c r="G22" s="60" t="s">
        <v>40</v>
      </c>
      <c r="H22" s="6" t="s">
        <v>473</v>
      </c>
      <c r="K22" s="51"/>
      <c r="L22" s="4"/>
      <c r="M22" s="4"/>
      <c r="N22" s="4"/>
      <c r="O22" s="4"/>
      <c r="P22" s="4"/>
      <c r="Q22" s="4"/>
      <c r="R22" s="4"/>
    </row>
    <row r="23" spans="2:18">
      <c r="B23" s="10" t="s">
        <v>521</v>
      </c>
      <c r="C23" s="11"/>
      <c r="D23" s="46"/>
      <c r="E23" s="47"/>
      <c r="F23" s="4"/>
      <c r="G23" s="60" t="s">
        <v>41</v>
      </c>
      <c r="H23" s="6" t="s">
        <v>475</v>
      </c>
      <c r="K23" s="51"/>
      <c r="L23" s="4"/>
      <c r="M23" s="4"/>
      <c r="N23" s="4"/>
      <c r="O23" s="4"/>
      <c r="P23" s="4"/>
      <c r="Q23" s="4"/>
      <c r="R23" s="4"/>
    </row>
    <row r="24" spans="2:18">
      <c r="E24" s="4"/>
      <c r="F24" s="4"/>
      <c r="G24" s="60" t="s">
        <v>42</v>
      </c>
      <c r="H24" s="6" t="s">
        <v>506</v>
      </c>
      <c r="K24" s="51"/>
      <c r="L24" s="4"/>
      <c r="M24" s="4"/>
      <c r="N24" s="4"/>
      <c r="O24" s="4"/>
      <c r="P24" s="4"/>
      <c r="Q24" s="4"/>
      <c r="R24" s="4"/>
    </row>
    <row r="25" spans="2:18">
      <c r="E25" s="4"/>
      <c r="F25" s="4"/>
      <c r="G25" s="60"/>
      <c r="H25" s="6"/>
      <c r="K25" s="51"/>
      <c r="L25" s="4"/>
      <c r="M25" s="4"/>
      <c r="N25" s="4"/>
      <c r="O25" s="4"/>
      <c r="P25" s="4"/>
      <c r="Q25" s="4"/>
      <c r="R25" s="4"/>
    </row>
    <row r="26" spans="2:18">
      <c r="E26" s="4"/>
      <c r="F26" s="4"/>
      <c r="G26" s="1"/>
      <c r="K26" s="51"/>
      <c r="L26" s="4"/>
      <c r="M26" s="4"/>
      <c r="N26" s="4"/>
      <c r="O26" s="4"/>
      <c r="P26" s="4"/>
      <c r="Q26" s="4"/>
      <c r="R26" s="4"/>
    </row>
    <row r="27" spans="2:18">
      <c r="E27" s="4"/>
      <c r="F27" s="4"/>
      <c r="G27" s="1"/>
      <c r="K27" s="51"/>
      <c r="L27" s="4"/>
      <c r="M27" s="4"/>
      <c r="N27" s="4"/>
      <c r="O27" s="4"/>
      <c r="P27" s="4"/>
      <c r="Q27" s="4"/>
      <c r="R27" s="4"/>
    </row>
    <row r="28" spans="2:18">
      <c r="E28" s="4"/>
      <c r="F28" s="4"/>
      <c r="K28" s="51"/>
      <c r="L28" s="4"/>
      <c r="M28" s="4"/>
      <c r="N28" s="4"/>
      <c r="O28" s="4"/>
      <c r="P28" s="4"/>
      <c r="Q28" s="4"/>
      <c r="R28" s="4"/>
    </row>
    <row r="29" spans="2:18">
      <c r="E29" s="4"/>
      <c r="F29" s="4"/>
      <c r="G29" s="1"/>
      <c r="K29" s="51"/>
      <c r="L29" s="4"/>
      <c r="M29" s="4"/>
      <c r="N29" s="4"/>
      <c r="O29" s="4"/>
      <c r="P29" s="4"/>
      <c r="Q29" s="4"/>
      <c r="R29" s="4"/>
    </row>
    <row r="30" spans="2:18">
      <c r="E30" s="4"/>
      <c r="F30" s="4"/>
      <c r="G30" s="1"/>
      <c r="H30" s="4"/>
      <c r="I30" s="51"/>
      <c r="J30" s="51"/>
      <c r="K30" s="51"/>
      <c r="L30" s="4"/>
      <c r="M30" s="4"/>
      <c r="N30" s="4"/>
      <c r="O30" s="4"/>
      <c r="P30" s="4"/>
      <c r="Q30" s="4"/>
      <c r="R30" s="4"/>
    </row>
    <row r="31" spans="2:18">
      <c r="E31" s="4"/>
      <c r="F31" s="4"/>
      <c r="H31" s="4"/>
      <c r="I31" s="51"/>
      <c r="J31" s="51"/>
      <c r="K31" s="51"/>
      <c r="L31" s="4"/>
      <c r="M31" s="4"/>
      <c r="N31" s="4"/>
      <c r="O31" s="4"/>
      <c r="P31" s="4"/>
      <c r="Q31" s="4"/>
      <c r="R31" s="4"/>
    </row>
    <row r="32" spans="2:18">
      <c r="E32" s="4"/>
      <c r="F32" s="4"/>
      <c r="H32" s="4"/>
      <c r="I32" s="51"/>
      <c r="J32" s="51"/>
      <c r="K32" s="51"/>
      <c r="L32" s="4"/>
      <c r="M32" s="4"/>
      <c r="N32" s="4"/>
      <c r="O32" s="4"/>
      <c r="P32" s="4"/>
      <c r="Q32" s="4"/>
      <c r="R32" s="4"/>
    </row>
    <row r="33" spans="5:18">
      <c r="E33" s="4"/>
      <c r="F33" s="4"/>
      <c r="G33" s="4"/>
      <c r="H33" s="4"/>
      <c r="I33" s="51"/>
      <c r="J33" s="51"/>
      <c r="K33" s="51"/>
      <c r="L33" s="4"/>
      <c r="M33" s="4"/>
      <c r="N33" s="4"/>
      <c r="O33" s="4"/>
      <c r="P33" s="4"/>
      <c r="Q33" s="4"/>
      <c r="R33" s="4"/>
    </row>
    <row r="34" spans="5:18">
      <c r="E34" s="4"/>
      <c r="F34" s="4"/>
      <c r="G34" s="4"/>
      <c r="H34" s="4"/>
      <c r="I34" s="51"/>
      <c r="J34" s="51"/>
      <c r="K34" s="51"/>
      <c r="L34" s="4"/>
      <c r="M34" s="4"/>
      <c r="N34" s="4"/>
      <c r="O34" s="4"/>
      <c r="P34" s="4"/>
      <c r="Q34" s="4"/>
      <c r="R34" s="4"/>
    </row>
    <row r="35" spans="5:18">
      <c r="E35" s="4"/>
      <c r="F35" s="4"/>
      <c r="G35" s="4"/>
      <c r="H35" s="4"/>
      <c r="I35" s="51"/>
      <c r="J35" s="51"/>
      <c r="K35" s="51"/>
      <c r="L35" s="4"/>
      <c r="M35" s="4"/>
      <c r="N35" s="4"/>
      <c r="O35" s="4"/>
      <c r="P35" s="4"/>
      <c r="Q35" s="4"/>
      <c r="R35" s="4"/>
    </row>
    <row r="36" spans="5:18">
      <c r="E36" s="4"/>
      <c r="F36" s="4"/>
      <c r="G36" s="4"/>
      <c r="H36" s="4"/>
      <c r="I36" s="51"/>
      <c r="J36" s="51"/>
      <c r="K36" s="51"/>
      <c r="L36" s="4"/>
      <c r="M36" s="4"/>
      <c r="N36" s="4"/>
      <c r="O36" s="4"/>
      <c r="P36" s="4"/>
      <c r="Q36" s="4"/>
      <c r="R36" s="4"/>
    </row>
    <row r="37" spans="5:18">
      <c r="E37" s="4"/>
      <c r="F37" s="4"/>
      <c r="G37" s="4"/>
      <c r="H37" s="4"/>
      <c r="I37" s="51"/>
      <c r="J37" s="51"/>
      <c r="K37" s="51"/>
      <c r="L37" s="4"/>
      <c r="M37" s="4"/>
      <c r="N37" s="4"/>
      <c r="O37" s="4"/>
      <c r="P37" s="4"/>
      <c r="Q37" s="4"/>
      <c r="R37" s="4"/>
    </row>
    <row r="38" spans="5:18">
      <c r="E38" s="4"/>
      <c r="F38" s="4"/>
      <c r="G38" s="4"/>
      <c r="H38" s="4"/>
      <c r="I38" s="51"/>
      <c r="J38" s="51"/>
      <c r="K38" s="51"/>
      <c r="L38" s="4"/>
      <c r="M38" s="4"/>
      <c r="N38" s="4"/>
      <c r="O38" s="4"/>
      <c r="P38" s="4"/>
      <c r="Q38" s="4"/>
      <c r="R38" s="4"/>
    </row>
    <row r="39" spans="5:18">
      <c r="E39" s="4"/>
      <c r="F39" s="4"/>
      <c r="G39" s="4"/>
      <c r="H39" s="4"/>
      <c r="I39" s="51"/>
      <c r="J39" s="51"/>
      <c r="K39" s="51"/>
      <c r="L39" s="4"/>
      <c r="M39" s="4"/>
      <c r="N39" s="4"/>
      <c r="O39" s="4"/>
      <c r="P39" s="4"/>
      <c r="Q39" s="4"/>
      <c r="R39" s="4"/>
    </row>
    <row r="40" spans="5:18">
      <c r="E40" s="4"/>
      <c r="F40" s="4"/>
      <c r="G40" s="4"/>
      <c r="H40" s="4"/>
      <c r="I40" s="51"/>
      <c r="J40" s="51"/>
      <c r="K40" s="51"/>
      <c r="L40" s="4"/>
      <c r="M40" s="4"/>
      <c r="N40" s="4"/>
      <c r="O40" s="4"/>
      <c r="P40" s="4"/>
      <c r="Q40" s="4"/>
      <c r="R40" s="4"/>
    </row>
    <row r="41" spans="5:18">
      <c r="E41" s="4"/>
      <c r="F41" s="4"/>
      <c r="G41" s="4"/>
      <c r="H41" s="4"/>
      <c r="I41" s="51"/>
      <c r="J41" s="51"/>
      <c r="K41" s="51"/>
      <c r="L41" s="4"/>
      <c r="M41" s="4"/>
      <c r="N41" s="4"/>
      <c r="O41" s="4"/>
      <c r="P41" s="4"/>
      <c r="Q41" s="4"/>
      <c r="R41" s="4"/>
    </row>
    <row r="42" spans="5:18">
      <c r="E42" s="4"/>
      <c r="F42" s="4"/>
      <c r="G42" s="4"/>
      <c r="H42" s="4"/>
      <c r="I42" s="51"/>
      <c r="J42" s="51"/>
      <c r="K42" s="51"/>
      <c r="L42" s="4"/>
      <c r="M42" s="4"/>
      <c r="N42" s="4"/>
      <c r="O42" s="4"/>
      <c r="P42" s="4"/>
      <c r="Q42" s="4"/>
      <c r="R42" s="4"/>
    </row>
    <row r="43" spans="5:18">
      <c r="E43" s="4"/>
      <c r="F43" s="4"/>
      <c r="G43" s="4"/>
      <c r="H43" s="4"/>
      <c r="I43" s="51"/>
      <c r="J43" s="51"/>
      <c r="K43" s="51"/>
      <c r="L43" s="4"/>
      <c r="M43" s="4"/>
      <c r="N43" s="4"/>
      <c r="O43" s="4"/>
      <c r="P43" s="4"/>
      <c r="Q43" s="4"/>
      <c r="R43" s="4"/>
    </row>
    <row r="44" spans="5:18">
      <c r="E44" s="4"/>
      <c r="F44" s="4"/>
      <c r="G44" s="4"/>
      <c r="H44" s="4"/>
      <c r="I44" s="51"/>
      <c r="J44" s="51"/>
      <c r="K44" s="51"/>
      <c r="L44" s="4"/>
      <c r="M44" s="4"/>
      <c r="N44" s="4"/>
      <c r="O44" s="4"/>
      <c r="P44" s="4"/>
      <c r="Q44" s="4"/>
      <c r="R44" s="4"/>
    </row>
    <row r="45" spans="5:18">
      <c r="E45" s="4"/>
      <c r="F45" s="4"/>
      <c r="G45" s="4"/>
      <c r="H45" s="4"/>
      <c r="I45" s="51"/>
      <c r="J45" s="51"/>
      <c r="K45" s="51"/>
      <c r="L45" s="4"/>
      <c r="M45" s="4"/>
      <c r="N45" s="4"/>
      <c r="O45" s="4"/>
      <c r="P45" s="4"/>
      <c r="Q45" s="4"/>
      <c r="R45" s="4"/>
    </row>
    <row r="46" spans="5:18">
      <c r="E46" s="4"/>
      <c r="F46" s="4"/>
      <c r="G46" s="4"/>
      <c r="H46" s="4"/>
      <c r="I46" s="51"/>
      <c r="J46" s="51"/>
      <c r="K46" s="51"/>
      <c r="L46" s="4"/>
      <c r="M46" s="4"/>
      <c r="N46" s="4"/>
      <c r="O46" s="4"/>
      <c r="P46" s="4"/>
      <c r="Q46" s="4"/>
      <c r="R46" s="4"/>
    </row>
    <row r="47" spans="5:18">
      <c r="E47" s="4"/>
      <c r="F47" s="4"/>
      <c r="G47" s="4"/>
      <c r="H47" s="4"/>
      <c r="I47" s="51"/>
      <c r="J47" s="51"/>
      <c r="K47" s="51"/>
      <c r="L47" s="4"/>
      <c r="M47" s="4"/>
      <c r="N47" s="4"/>
      <c r="O47" s="4"/>
      <c r="P47" s="4"/>
      <c r="Q47" s="4"/>
      <c r="R47" s="4"/>
    </row>
    <row r="48" spans="5:18">
      <c r="E48" s="4"/>
      <c r="F48" s="4"/>
      <c r="G48" s="4"/>
      <c r="H48" s="4"/>
      <c r="I48" s="51"/>
      <c r="J48" s="51"/>
      <c r="K48" s="51"/>
      <c r="L48" s="4"/>
      <c r="M48" s="4"/>
      <c r="N48" s="4"/>
      <c r="O48" s="4"/>
      <c r="P48" s="4"/>
      <c r="Q48" s="4"/>
      <c r="R48" s="4"/>
    </row>
    <row r="49" spans="5:18">
      <c r="E49" s="4"/>
      <c r="F49" s="4"/>
      <c r="G49" s="4"/>
      <c r="H49" s="4"/>
      <c r="I49" s="51"/>
      <c r="J49" s="51"/>
      <c r="K49" s="51"/>
      <c r="L49" s="4"/>
      <c r="M49" s="4"/>
      <c r="N49" s="4"/>
      <c r="O49" s="4"/>
      <c r="P49" s="4"/>
      <c r="Q49" s="4"/>
      <c r="R49" s="4"/>
    </row>
    <row r="50" spans="5:18">
      <c r="E50" s="4"/>
      <c r="F50" s="4"/>
      <c r="G50" s="4"/>
      <c r="H50" s="4"/>
      <c r="I50" s="51"/>
      <c r="J50" s="51"/>
      <c r="K50" s="51"/>
      <c r="L50" s="4"/>
      <c r="M50" s="4"/>
      <c r="N50" s="4"/>
      <c r="O50" s="4"/>
      <c r="P50" s="4"/>
      <c r="Q50" s="4"/>
      <c r="R50" s="4"/>
    </row>
    <row r="51" spans="5:18">
      <c r="E51" s="4"/>
      <c r="F51" s="4"/>
      <c r="G51" s="4"/>
      <c r="H51" s="4"/>
      <c r="I51" s="51"/>
      <c r="J51" s="51"/>
      <c r="K51" s="51"/>
      <c r="L51" s="4"/>
      <c r="M51" s="4"/>
      <c r="N51" s="4"/>
      <c r="O51" s="4"/>
      <c r="P51" s="4"/>
      <c r="Q51" s="4"/>
      <c r="R51" s="4"/>
    </row>
    <row r="52" spans="5:18">
      <c r="E52" s="4"/>
      <c r="F52" s="4"/>
      <c r="G52" s="4"/>
      <c r="H52" s="4"/>
      <c r="I52" s="51"/>
      <c r="J52" s="51"/>
      <c r="K52" s="51"/>
      <c r="L52" s="4"/>
      <c r="M52" s="4"/>
      <c r="N52" s="4"/>
      <c r="O52" s="4"/>
      <c r="P52" s="4"/>
      <c r="Q52" s="4"/>
      <c r="R52" s="4"/>
    </row>
    <row r="53" spans="5:18">
      <c r="E53" s="4"/>
      <c r="F53" s="4"/>
      <c r="G53" s="4"/>
      <c r="H53" s="4"/>
      <c r="I53" s="51"/>
      <c r="J53" s="51"/>
      <c r="K53" s="51"/>
      <c r="L53" s="4"/>
      <c r="M53" s="4"/>
      <c r="N53" s="4"/>
      <c r="O53" s="4"/>
      <c r="P53" s="4"/>
      <c r="Q53" s="4"/>
      <c r="R53" s="4"/>
    </row>
    <row r="54" spans="5:18">
      <c r="E54" s="4"/>
      <c r="F54" s="4"/>
      <c r="G54" s="4"/>
      <c r="H54" s="4"/>
      <c r="I54" s="51"/>
      <c r="J54" s="51"/>
      <c r="K54" s="51"/>
      <c r="L54" s="4"/>
      <c r="M54" s="4"/>
      <c r="N54" s="4"/>
      <c r="O54" s="4"/>
      <c r="P54" s="4"/>
      <c r="Q54" s="4"/>
      <c r="R54" s="4"/>
    </row>
    <row r="55" spans="5:18">
      <c r="E55" s="4"/>
      <c r="F55" s="4"/>
      <c r="G55" s="4"/>
      <c r="H55" s="4"/>
      <c r="I55" s="51"/>
      <c r="J55" s="51"/>
      <c r="K55" s="51"/>
      <c r="L55" s="4"/>
      <c r="M55" s="4"/>
      <c r="N55" s="4"/>
      <c r="O55" s="4"/>
      <c r="P55" s="4"/>
      <c r="Q55" s="4"/>
      <c r="R55" s="4"/>
    </row>
    <row r="56" spans="5:18">
      <c r="E56" s="4"/>
      <c r="F56" s="4"/>
      <c r="G56" s="4"/>
      <c r="H56" s="4"/>
      <c r="I56" s="51"/>
      <c r="J56" s="51"/>
      <c r="K56" s="51"/>
      <c r="L56" s="4"/>
      <c r="M56" s="4"/>
      <c r="N56" s="4"/>
      <c r="O56" s="4"/>
      <c r="P56" s="4"/>
      <c r="Q56" s="4"/>
      <c r="R56" s="4"/>
    </row>
    <row r="57" spans="5:18">
      <c r="E57" s="4"/>
      <c r="F57" s="4"/>
      <c r="G57" s="4"/>
      <c r="H57" s="4"/>
      <c r="I57" s="51"/>
      <c r="J57" s="51"/>
      <c r="K57" s="51"/>
      <c r="L57" s="4"/>
      <c r="M57" s="4"/>
      <c r="N57" s="4"/>
      <c r="O57" s="4"/>
      <c r="P57" s="4"/>
      <c r="Q57" s="4"/>
      <c r="R57" s="4"/>
    </row>
    <row r="58" spans="5:18">
      <c r="E58" s="4"/>
      <c r="F58" s="4"/>
      <c r="G58" s="4"/>
      <c r="H58" s="4"/>
      <c r="I58" s="51"/>
      <c r="J58" s="51"/>
      <c r="K58" s="51"/>
      <c r="L58" s="4"/>
      <c r="M58" s="4"/>
      <c r="N58" s="4"/>
      <c r="O58" s="4"/>
      <c r="P58" s="4"/>
      <c r="Q58" s="4"/>
      <c r="R58" s="4"/>
    </row>
    <row r="59" spans="5:18">
      <c r="E59" s="4"/>
      <c r="F59" s="4"/>
      <c r="G59" s="4"/>
      <c r="H59" s="4"/>
      <c r="I59" s="51"/>
      <c r="J59" s="51"/>
      <c r="K59" s="51"/>
      <c r="L59" s="4"/>
      <c r="M59" s="4"/>
      <c r="N59" s="4"/>
      <c r="O59" s="4"/>
      <c r="P59" s="4"/>
      <c r="Q59" s="4"/>
      <c r="R59" s="4"/>
    </row>
    <row r="60" spans="5:18">
      <c r="E60" s="4"/>
      <c r="F60" s="4"/>
      <c r="G60" s="4"/>
      <c r="H60" s="4"/>
      <c r="I60" s="51"/>
      <c r="J60" s="51"/>
      <c r="K60" s="51"/>
      <c r="L60" s="4"/>
      <c r="M60" s="4"/>
      <c r="N60" s="4"/>
      <c r="O60" s="4"/>
      <c r="P60" s="4"/>
      <c r="Q60" s="4"/>
      <c r="R60" s="4"/>
    </row>
    <row r="61" spans="5:18">
      <c r="E61" s="4"/>
      <c r="F61" s="4"/>
      <c r="G61" s="4"/>
      <c r="H61" s="4"/>
      <c r="I61" s="51"/>
      <c r="J61" s="51"/>
      <c r="K61" s="51"/>
      <c r="L61" s="4"/>
      <c r="M61" s="4"/>
      <c r="N61" s="4"/>
      <c r="O61" s="4"/>
      <c r="P61" s="4"/>
      <c r="Q61" s="4"/>
      <c r="R61" s="4"/>
    </row>
    <row r="62" spans="5:18">
      <c r="E62" s="4"/>
      <c r="F62" s="4"/>
      <c r="G62" s="4"/>
      <c r="H62" s="4"/>
      <c r="I62" s="51"/>
      <c r="J62" s="51"/>
      <c r="K62" s="51"/>
      <c r="L62" s="4"/>
      <c r="M62" s="4"/>
      <c r="N62" s="4"/>
      <c r="O62" s="4"/>
      <c r="P62" s="4"/>
      <c r="Q62" s="4"/>
      <c r="R62" s="4"/>
    </row>
    <row r="63" spans="5:18">
      <c r="E63" s="4"/>
      <c r="F63" s="4"/>
      <c r="G63" s="4"/>
      <c r="H63" s="4"/>
      <c r="I63" s="51"/>
      <c r="J63" s="51"/>
      <c r="K63" s="51"/>
      <c r="L63" s="4"/>
      <c r="M63" s="4"/>
      <c r="N63" s="4"/>
      <c r="O63" s="4"/>
      <c r="P63" s="4"/>
      <c r="Q63" s="4"/>
      <c r="R63" s="4"/>
    </row>
    <row r="64" spans="5:18">
      <c r="E64" s="4"/>
      <c r="F64" s="4"/>
      <c r="G64" s="4"/>
      <c r="H64" s="4"/>
      <c r="I64" s="51"/>
      <c r="J64" s="51"/>
      <c r="K64" s="51"/>
      <c r="L64" s="4"/>
      <c r="M64" s="4"/>
      <c r="N64" s="4"/>
      <c r="O64" s="4"/>
      <c r="P64" s="4"/>
      <c r="Q64" s="4"/>
      <c r="R64" s="4"/>
    </row>
    <row r="65" spans="5:18">
      <c r="E65" s="4"/>
      <c r="F65" s="4"/>
      <c r="G65" s="4"/>
      <c r="H65" s="4"/>
      <c r="I65" s="51"/>
      <c r="J65" s="51"/>
      <c r="K65" s="51"/>
      <c r="L65" s="4"/>
      <c r="M65" s="4"/>
      <c r="N65" s="4"/>
      <c r="O65" s="4"/>
      <c r="P65" s="4"/>
      <c r="Q65" s="4"/>
      <c r="R65" s="4"/>
    </row>
    <row r="66" spans="5:18">
      <c r="E66" s="4"/>
      <c r="F66" s="4"/>
      <c r="G66" s="4"/>
      <c r="H66" s="4"/>
      <c r="I66" s="51"/>
      <c r="J66" s="51"/>
      <c r="K66" s="51"/>
      <c r="L66" s="4"/>
      <c r="M66" s="4"/>
      <c r="N66" s="4"/>
      <c r="O66" s="4"/>
      <c r="P66" s="4"/>
      <c r="Q66" s="4"/>
      <c r="R66" s="4"/>
    </row>
    <row r="67" spans="5:18">
      <c r="E67" s="4"/>
      <c r="F67" s="4"/>
      <c r="G67" s="4"/>
      <c r="H67" s="4"/>
      <c r="I67" s="51"/>
      <c r="J67" s="51"/>
      <c r="K67" s="51"/>
      <c r="L67" s="4"/>
      <c r="M67" s="4"/>
      <c r="N67" s="4"/>
      <c r="O67" s="4"/>
      <c r="P67" s="4"/>
      <c r="Q67" s="4"/>
      <c r="R67" s="4"/>
    </row>
    <row r="68" spans="5:18">
      <c r="E68" s="4"/>
      <c r="F68" s="4"/>
      <c r="G68" s="4"/>
      <c r="H68" s="4"/>
      <c r="I68" s="51"/>
      <c r="J68" s="51"/>
      <c r="K68" s="51"/>
      <c r="L68" s="4"/>
      <c r="M68" s="4"/>
      <c r="N68" s="4"/>
      <c r="O68" s="4"/>
      <c r="P68" s="4"/>
      <c r="Q68" s="4"/>
      <c r="R68" s="4"/>
    </row>
    <row r="69" spans="5:18">
      <c r="E69" s="4"/>
      <c r="F69" s="4"/>
      <c r="G69" s="4"/>
      <c r="H69" s="4"/>
      <c r="I69" s="51"/>
      <c r="J69" s="51"/>
      <c r="K69" s="51"/>
      <c r="L69" s="4"/>
      <c r="M69" s="4"/>
      <c r="N69" s="4"/>
      <c r="O69" s="4"/>
      <c r="P69" s="4"/>
      <c r="Q69" s="4"/>
      <c r="R69" s="4"/>
    </row>
    <row r="70" spans="5:18">
      <c r="E70" s="4"/>
      <c r="F70" s="4"/>
      <c r="G70" s="4"/>
      <c r="H70" s="4"/>
      <c r="I70" s="51"/>
      <c r="J70" s="51"/>
      <c r="K70" s="51"/>
      <c r="L70" s="4"/>
      <c r="M70" s="4"/>
      <c r="N70" s="4"/>
      <c r="O70" s="4"/>
      <c r="P70" s="4"/>
      <c r="Q70" s="4"/>
      <c r="R70" s="4"/>
    </row>
    <row r="71" spans="5:18">
      <c r="E71" s="4"/>
      <c r="F71" s="4"/>
      <c r="G71" s="4"/>
      <c r="H71" s="4"/>
      <c r="I71" s="51"/>
      <c r="J71" s="51"/>
      <c r="K71" s="51"/>
      <c r="L71" s="4"/>
      <c r="M71" s="4"/>
      <c r="N71" s="4"/>
      <c r="O71" s="4"/>
      <c r="P71" s="4"/>
      <c r="Q71" s="4"/>
      <c r="R71" s="4"/>
    </row>
    <row r="72" spans="5:18">
      <c r="E72" s="4"/>
      <c r="F72" s="4"/>
      <c r="G72" s="4"/>
      <c r="H72" s="4"/>
      <c r="I72" s="51"/>
      <c r="J72" s="51"/>
      <c r="K72" s="51"/>
      <c r="L72" s="4"/>
      <c r="M72" s="4"/>
      <c r="N72" s="4"/>
      <c r="O72" s="4"/>
      <c r="P72" s="4"/>
      <c r="Q72" s="4"/>
      <c r="R72" s="4"/>
    </row>
    <row r="73" spans="5:18">
      <c r="E73" s="4"/>
      <c r="F73" s="4"/>
      <c r="G73" s="4"/>
      <c r="H73" s="4"/>
      <c r="I73" s="51"/>
      <c r="J73" s="51"/>
      <c r="K73" s="51"/>
      <c r="L73" s="4"/>
      <c r="M73" s="4"/>
      <c r="N73" s="4"/>
      <c r="O73" s="4"/>
      <c r="P73" s="4"/>
      <c r="Q73" s="4"/>
      <c r="R73" s="4"/>
    </row>
    <row r="74" spans="5:18">
      <c r="E74" s="4"/>
      <c r="F74" s="4"/>
      <c r="G74" s="4"/>
      <c r="H74" s="4"/>
      <c r="I74" s="51"/>
      <c r="J74" s="51"/>
      <c r="K74" s="51"/>
      <c r="L74" s="4"/>
      <c r="M74" s="4"/>
      <c r="N74" s="4"/>
      <c r="O74" s="4"/>
      <c r="P74" s="4"/>
      <c r="Q74" s="4"/>
      <c r="R74" s="4"/>
    </row>
    <row r="75" spans="5:18">
      <c r="E75" s="4"/>
      <c r="F75" s="4"/>
      <c r="G75" s="4"/>
      <c r="H75" s="4"/>
      <c r="I75" s="51"/>
      <c r="J75" s="51"/>
      <c r="K75" s="51"/>
      <c r="L75" s="4"/>
      <c r="M75" s="4"/>
      <c r="N75" s="4"/>
      <c r="O75" s="4"/>
      <c r="P75" s="4"/>
      <c r="Q75" s="4"/>
      <c r="R75" s="4"/>
    </row>
    <row r="76" spans="5:18">
      <c r="E76" s="4"/>
      <c r="F76" s="4"/>
      <c r="G76" s="4"/>
      <c r="H76" s="4"/>
      <c r="I76" s="51"/>
      <c r="J76" s="51"/>
      <c r="K76" s="51"/>
      <c r="L76" s="4"/>
      <c r="M76" s="4"/>
      <c r="N76" s="4"/>
      <c r="O76" s="4"/>
      <c r="P76" s="4"/>
      <c r="Q76" s="4"/>
      <c r="R76" s="4"/>
    </row>
    <row r="77" spans="5:18">
      <c r="E77" s="4"/>
      <c r="F77" s="4"/>
      <c r="G77" s="4"/>
      <c r="H77" s="4"/>
      <c r="I77" s="51"/>
      <c r="J77" s="51"/>
      <c r="K77" s="51"/>
      <c r="L77" s="4"/>
      <c r="M77" s="4"/>
      <c r="N77" s="4"/>
      <c r="O77" s="4"/>
      <c r="P77" s="4"/>
      <c r="Q77" s="4"/>
      <c r="R77" s="4"/>
    </row>
    <row r="78" spans="5:18">
      <c r="E78" s="4"/>
      <c r="F78" s="4"/>
      <c r="G78" s="4"/>
      <c r="H78" s="4"/>
      <c r="I78" s="51"/>
      <c r="J78" s="51"/>
      <c r="K78" s="51"/>
      <c r="L78" s="4"/>
      <c r="M78" s="4"/>
      <c r="N78" s="4"/>
      <c r="O78" s="4"/>
      <c r="P78" s="4"/>
      <c r="Q78" s="4"/>
      <c r="R78" s="4"/>
    </row>
    <row r="79" spans="5:18">
      <c r="E79" s="4"/>
      <c r="F79" s="4"/>
      <c r="G79" s="4"/>
      <c r="H79" s="4"/>
      <c r="I79" s="51"/>
      <c r="J79" s="51"/>
      <c r="K79" s="51"/>
      <c r="L79" s="4"/>
      <c r="M79" s="4"/>
      <c r="N79" s="4"/>
      <c r="O79" s="4"/>
      <c r="P79" s="4"/>
      <c r="Q79" s="4"/>
      <c r="R79" s="4"/>
    </row>
    <row r="80" spans="5:18">
      <c r="E80" s="4"/>
      <c r="F80" s="4"/>
      <c r="G80" s="4"/>
      <c r="H80" s="4"/>
      <c r="I80" s="51"/>
      <c r="J80" s="51"/>
      <c r="K80" s="51"/>
      <c r="L80" s="4"/>
      <c r="M80" s="4"/>
      <c r="N80" s="4"/>
      <c r="O80" s="4"/>
      <c r="P80" s="4"/>
      <c r="Q80" s="4"/>
      <c r="R80" s="4"/>
    </row>
    <row r="81" spans="5:18">
      <c r="E81" s="4"/>
      <c r="F81" s="4"/>
      <c r="G81" s="4"/>
      <c r="H81" s="4"/>
      <c r="I81" s="51"/>
      <c r="J81" s="51"/>
      <c r="K81" s="51"/>
      <c r="L81" s="4"/>
      <c r="M81" s="4"/>
      <c r="N81" s="4"/>
      <c r="O81" s="4"/>
      <c r="P81" s="4"/>
      <c r="Q81" s="4"/>
      <c r="R81" s="4"/>
    </row>
    <row r="82" spans="5:18">
      <c r="E82" s="4"/>
      <c r="F82" s="4"/>
      <c r="G82" s="4"/>
      <c r="H82" s="4"/>
      <c r="I82" s="51"/>
      <c r="J82" s="51"/>
      <c r="K82" s="51"/>
      <c r="L82" s="4"/>
      <c r="M82" s="4"/>
      <c r="N82" s="4"/>
      <c r="O82" s="4"/>
      <c r="P82" s="4"/>
      <c r="Q82" s="4"/>
      <c r="R82" s="4"/>
    </row>
    <row r="83" spans="5:18">
      <c r="E83" s="4"/>
      <c r="F83" s="4"/>
      <c r="G83" s="4"/>
      <c r="H83" s="4"/>
      <c r="I83" s="51"/>
      <c r="J83" s="51"/>
      <c r="K83" s="51"/>
      <c r="L83" s="4"/>
      <c r="M83" s="4"/>
      <c r="N83" s="4"/>
      <c r="O83" s="4"/>
      <c r="P83" s="4"/>
      <c r="Q83" s="4"/>
      <c r="R83" s="4"/>
    </row>
    <row r="84" spans="5:18">
      <c r="E84" s="4"/>
      <c r="F84" s="4"/>
      <c r="G84" s="4"/>
      <c r="H84" s="4"/>
      <c r="I84" s="51"/>
      <c r="J84" s="51"/>
      <c r="K84" s="51"/>
      <c r="L84" s="4"/>
      <c r="M84" s="4"/>
      <c r="N84" s="4"/>
      <c r="O84" s="4"/>
      <c r="P84" s="4"/>
      <c r="Q84" s="4"/>
      <c r="R84" s="4"/>
    </row>
    <row r="85" spans="5:18">
      <c r="E85" s="4"/>
      <c r="F85" s="4"/>
      <c r="G85" s="4"/>
      <c r="H85" s="4"/>
      <c r="I85" s="51"/>
      <c r="J85" s="51"/>
      <c r="K85" s="51"/>
      <c r="L85" s="4"/>
      <c r="M85" s="4"/>
      <c r="N85" s="4"/>
      <c r="O85" s="4"/>
      <c r="P85" s="4"/>
      <c r="Q85" s="4"/>
      <c r="R85" s="4"/>
    </row>
    <row r="86" spans="5:18">
      <c r="E86" s="4"/>
      <c r="F86" s="4"/>
      <c r="G86" s="4"/>
      <c r="H86" s="4"/>
      <c r="I86" s="51"/>
      <c r="J86" s="51"/>
      <c r="K86" s="51"/>
      <c r="L86" s="4"/>
      <c r="M86" s="4"/>
      <c r="N86" s="4"/>
      <c r="O86" s="4"/>
      <c r="P86" s="4"/>
      <c r="Q86" s="4"/>
      <c r="R86" s="4"/>
    </row>
    <row r="87" spans="5:18">
      <c r="E87" s="4"/>
      <c r="F87" s="4"/>
      <c r="G87" s="4"/>
      <c r="H87" s="4"/>
      <c r="I87" s="51"/>
      <c r="J87" s="51"/>
      <c r="K87" s="51"/>
      <c r="L87" s="4"/>
      <c r="M87" s="4"/>
      <c r="N87" s="4"/>
      <c r="O87" s="4"/>
      <c r="P87" s="4"/>
      <c r="Q87" s="4"/>
      <c r="R87" s="4"/>
    </row>
    <row r="88" spans="5:18">
      <c r="E88" s="4"/>
      <c r="F88" s="4"/>
      <c r="G88" s="4"/>
      <c r="H88" s="4"/>
      <c r="I88" s="51"/>
      <c r="J88" s="51"/>
      <c r="K88" s="51"/>
      <c r="L88" s="4"/>
      <c r="M88" s="4"/>
      <c r="N88" s="4"/>
      <c r="O88" s="4"/>
      <c r="P88" s="4"/>
      <c r="Q88" s="4"/>
      <c r="R88" s="4"/>
    </row>
    <row r="89" spans="5:18">
      <c r="E89" s="4"/>
      <c r="F89" s="4"/>
      <c r="G89" s="4"/>
      <c r="H89" s="4"/>
      <c r="I89" s="51"/>
      <c r="J89" s="51"/>
      <c r="K89" s="51"/>
      <c r="L89" s="4"/>
      <c r="M89" s="4"/>
      <c r="N89" s="4"/>
      <c r="O89" s="4"/>
      <c r="P89" s="4"/>
      <c r="Q89" s="4"/>
      <c r="R89" s="4"/>
    </row>
    <row r="90" spans="5:18">
      <c r="E90" s="4"/>
      <c r="F90" s="4"/>
      <c r="G90" s="4"/>
      <c r="H90" s="4"/>
      <c r="I90" s="51"/>
      <c r="J90" s="51"/>
      <c r="K90" s="51"/>
      <c r="L90" s="4"/>
      <c r="M90" s="4"/>
      <c r="N90" s="4"/>
      <c r="O90" s="4"/>
      <c r="P90" s="4"/>
      <c r="Q90" s="4"/>
      <c r="R90" s="4"/>
    </row>
    <row r="91" spans="5:18">
      <c r="E91" s="4"/>
      <c r="F91" s="4"/>
      <c r="G91" s="4"/>
      <c r="H91" s="4"/>
      <c r="I91" s="51"/>
      <c r="J91" s="51"/>
      <c r="K91" s="51"/>
      <c r="L91" s="4"/>
      <c r="M91" s="4"/>
      <c r="N91" s="4"/>
      <c r="O91" s="4"/>
      <c r="P91" s="4"/>
      <c r="Q91" s="4"/>
      <c r="R91" s="4"/>
    </row>
    <row r="92" spans="5:18">
      <c r="E92" s="4"/>
      <c r="F92" s="4"/>
      <c r="G92" s="4"/>
      <c r="H92" s="4"/>
      <c r="I92" s="51"/>
      <c r="J92" s="51"/>
      <c r="K92" s="51"/>
      <c r="L92" s="4"/>
      <c r="M92" s="4"/>
      <c r="N92" s="4"/>
      <c r="O92" s="4"/>
      <c r="P92" s="4"/>
      <c r="Q92" s="4"/>
      <c r="R92" s="4"/>
    </row>
    <row r="93" spans="5:18">
      <c r="E93" s="4"/>
      <c r="F93" s="4"/>
      <c r="G93" s="4"/>
      <c r="H93" s="4"/>
      <c r="I93" s="51"/>
      <c r="J93" s="51"/>
      <c r="K93" s="51"/>
      <c r="L93" s="4"/>
      <c r="M93" s="4"/>
      <c r="N93" s="4"/>
      <c r="O93" s="4"/>
      <c r="P93" s="4"/>
      <c r="Q93" s="4"/>
      <c r="R93" s="4"/>
    </row>
    <row r="94" spans="5:18">
      <c r="E94" s="4"/>
      <c r="F94" s="4"/>
      <c r="G94" s="4"/>
      <c r="H94" s="4"/>
      <c r="I94" s="51"/>
      <c r="J94" s="51"/>
      <c r="K94" s="51"/>
      <c r="L94" s="4"/>
      <c r="M94" s="4"/>
      <c r="N94" s="4"/>
      <c r="O94" s="4"/>
      <c r="P94" s="4"/>
      <c r="Q94" s="4"/>
      <c r="R94" s="4"/>
    </row>
    <row r="95" spans="5:18">
      <c r="E95" s="4"/>
      <c r="F95" s="4"/>
      <c r="G95" s="4"/>
      <c r="H95" s="4"/>
      <c r="I95" s="51"/>
      <c r="J95" s="51"/>
      <c r="K95" s="51"/>
      <c r="L95" s="4"/>
      <c r="M95" s="4"/>
      <c r="N95" s="4"/>
      <c r="O95" s="4"/>
      <c r="P95" s="4"/>
      <c r="Q95" s="4"/>
      <c r="R95" s="4"/>
    </row>
    <row r="96" spans="5:18">
      <c r="E96" s="4"/>
      <c r="F96" s="4"/>
      <c r="G96" s="4"/>
      <c r="H96" s="4"/>
      <c r="I96" s="51"/>
      <c r="J96" s="51"/>
      <c r="K96" s="51"/>
      <c r="L96" s="4"/>
      <c r="M96" s="4"/>
      <c r="N96" s="4"/>
      <c r="O96" s="4"/>
      <c r="P96" s="4"/>
      <c r="Q96" s="4"/>
      <c r="R96" s="4"/>
    </row>
    <row r="97" spans="5:18">
      <c r="E97" s="4"/>
      <c r="F97" s="4"/>
      <c r="G97" s="4"/>
      <c r="H97" s="4"/>
      <c r="I97" s="51"/>
      <c r="J97" s="51"/>
      <c r="K97" s="51"/>
      <c r="L97" s="4"/>
      <c r="M97" s="4"/>
      <c r="N97" s="4"/>
      <c r="O97" s="4"/>
      <c r="P97" s="4"/>
      <c r="Q97" s="4"/>
      <c r="R97" s="4"/>
    </row>
    <row r="98" spans="5:18">
      <c r="E98" s="4"/>
      <c r="F98" s="4"/>
      <c r="G98" s="4"/>
      <c r="H98" s="4"/>
      <c r="I98" s="51"/>
      <c r="J98" s="51"/>
      <c r="K98" s="51"/>
      <c r="L98" s="4"/>
      <c r="M98" s="4"/>
      <c r="N98" s="4"/>
      <c r="O98" s="4"/>
      <c r="P98" s="4"/>
      <c r="Q98" s="4"/>
      <c r="R98" s="4"/>
    </row>
    <row r="99" spans="5:18">
      <c r="E99" s="4"/>
      <c r="F99" s="4"/>
      <c r="G99" s="4"/>
      <c r="H99" s="4"/>
      <c r="I99" s="51"/>
      <c r="J99" s="51"/>
      <c r="K99" s="51"/>
      <c r="L99" s="4"/>
      <c r="M99" s="4"/>
      <c r="N99" s="4"/>
      <c r="O99" s="4"/>
      <c r="P99" s="4"/>
      <c r="Q99" s="4"/>
      <c r="R99" s="4"/>
    </row>
    <row r="100" spans="5:18">
      <c r="E100" s="4"/>
      <c r="F100" s="4"/>
      <c r="G100" s="4"/>
      <c r="H100" s="4"/>
      <c r="I100" s="51"/>
      <c r="J100" s="51"/>
      <c r="K100" s="51"/>
      <c r="L100" s="4"/>
      <c r="M100" s="4"/>
      <c r="N100" s="4"/>
      <c r="O100" s="4"/>
      <c r="P100" s="4"/>
      <c r="Q100" s="4"/>
      <c r="R100" s="4"/>
    </row>
    <row r="101" spans="5:18">
      <c r="E101" s="4"/>
      <c r="F101" s="4"/>
      <c r="G101" s="4"/>
      <c r="H101" s="4"/>
      <c r="I101" s="51"/>
      <c r="J101" s="51"/>
      <c r="K101" s="51"/>
      <c r="L101" s="4"/>
      <c r="M101" s="4"/>
      <c r="N101" s="4"/>
      <c r="O101" s="4"/>
      <c r="P101" s="4"/>
      <c r="Q101" s="4"/>
      <c r="R101" s="4"/>
    </row>
    <row r="102" spans="5:18">
      <c r="E102" s="4"/>
      <c r="F102" s="4"/>
      <c r="G102" s="4"/>
      <c r="H102" s="4"/>
      <c r="I102" s="51"/>
      <c r="J102" s="51"/>
      <c r="K102" s="51"/>
      <c r="L102" s="4"/>
      <c r="M102" s="4"/>
      <c r="N102" s="4"/>
      <c r="O102" s="4"/>
      <c r="P102" s="4"/>
      <c r="Q102" s="4"/>
      <c r="R102" s="4"/>
    </row>
    <row r="103" spans="5:18">
      <c r="E103" s="4"/>
      <c r="F103" s="4"/>
      <c r="G103" s="4"/>
      <c r="H103" s="4"/>
      <c r="I103" s="51"/>
      <c r="J103" s="51"/>
      <c r="K103" s="51"/>
      <c r="L103" s="4"/>
      <c r="M103" s="4"/>
      <c r="N103" s="4"/>
      <c r="O103" s="4"/>
      <c r="P103" s="4"/>
      <c r="Q103" s="4"/>
      <c r="R103" s="4"/>
    </row>
    <row r="104" spans="5:18">
      <c r="E104" s="4"/>
      <c r="F104" s="4"/>
      <c r="G104" s="4"/>
      <c r="H104" s="4"/>
      <c r="I104" s="51"/>
      <c r="J104" s="51"/>
      <c r="K104" s="51"/>
      <c r="L104" s="4"/>
      <c r="M104" s="4"/>
      <c r="N104" s="4"/>
      <c r="O104" s="4"/>
      <c r="P104" s="4"/>
      <c r="Q104" s="4"/>
      <c r="R104" s="4"/>
    </row>
    <row r="105" spans="5:18">
      <c r="E105" s="4"/>
      <c r="F105" s="4"/>
      <c r="G105" s="4"/>
      <c r="H105" s="4"/>
      <c r="I105" s="51"/>
      <c r="J105" s="51"/>
      <c r="K105" s="51"/>
      <c r="L105" s="4"/>
      <c r="M105" s="4"/>
      <c r="N105" s="4"/>
      <c r="O105" s="4"/>
      <c r="P105" s="4"/>
      <c r="Q105" s="4"/>
      <c r="R105" s="4"/>
    </row>
    <row r="106" spans="5:18">
      <c r="E106" s="4"/>
      <c r="F106" s="4"/>
      <c r="G106" s="4"/>
      <c r="H106" s="4"/>
      <c r="I106" s="51"/>
      <c r="J106" s="51"/>
      <c r="K106" s="51"/>
      <c r="L106" s="4"/>
      <c r="M106" s="4"/>
      <c r="N106" s="4"/>
      <c r="O106" s="4"/>
      <c r="P106" s="4"/>
      <c r="Q106" s="4"/>
      <c r="R106" s="4"/>
    </row>
    <row r="107" spans="5:18">
      <c r="E107" s="4"/>
      <c r="F107" s="4"/>
      <c r="G107" s="4"/>
      <c r="H107" s="4"/>
      <c r="I107" s="51"/>
      <c r="J107" s="51"/>
      <c r="K107" s="51"/>
      <c r="L107" s="4"/>
      <c r="M107" s="4"/>
      <c r="N107" s="4"/>
      <c r="O107" s="4"/>
      <c r="P107" s="4"/>
      <c r="Q107" s="4"/>
      <c r="R107" s="4"/>
    </row>
    <row r="108" spans="5:18">
      <c r="E108" s="4"/>
      <c r="F108" s="4"/>
      <c r="G108" s="4"/>
      <c r="H108" s="4"/>
      <c r="I108" s="51"/>
      <c r="J108" s="51"/>
      <c r="K108" s="51"/>
      <c r="L108" s="4"/>
      <c r="M108" s="4"/>
      <c r="N108" s="4"/>
      <c r="O108" s="4"/>
      <c r="P108" s="4"/>
      <c r="Q108" s="4"/>
      <c r="R108" s="4"/>
    </row>
    <row r="109" spans="5:18">
      <c r="E109" s="4"/>
      <c r="F109" s="4"/>
      <c r="G109" s="4"/>
      <c r="H109" s="4"/>
      <c r="I109" s="51"/>
      <c r="J109" s="51"/>
      <c r="K109" s="51"/>
      <c r="L109" s="4"/>
      <c r="M109" s="4"/>
      <c r="N109" s="4"/>
      <c r="O109" s="4"/>
      <c r="P109" s="4"/>
      <c r="Q109" s="4"/>
      <c r="R109" s="4"/>
    </row>
    <row r="110" spans="5:18">
      <c r="E110" s="4"/>
      <c r="F110" s="4"/>
      <c r="G110" s="4"/>
      <c r="H110" s="4"/>
      <c r="I110" s="51"/>
      <c r="J110" s="51"/>
      <c r="K110" s="51"/>
      <c r="L110" s="4"/>
      <c r="M110" s="4"/>
      <c r="N110" s="4"/>
      <c r="O110" s="4"/>
      <c r="P110" s="4"/>
      <c r="Q110" s="4"/>
      <c r="R110" s="4"/>
    </row>
    <row r="111" spans="5:18">
      <c r="E111" s="4"/>
      <c r="F111" s="4"/>
      <c r="G111" s="4"/>
      <c r="H111" s="4"/>
      <c r="I111" s="51"/>
      <c r="J111" s="51"/>
      <c r="K111" s="51"/>
      <c r="L111" s="4"/>
      <c r="M111" s="4"/>
      <c r="N111" s="4"/>
      <c r="O111" s="4"/>
      <c r="P111" s="4"/>
      <c r="Q111" s="4"/>
      <c r="R111" s="4"/>
    </row>
    <row r="112" spans="5:18">
      <c r="E112" s="4"/>
      <c r="F112" s="4"/>
      <c r="G112" s="4"/>
      <c r="H112" s="4"/>
      <c r="I112" s="51"/>
      <c r="J112" s="51"/>
      <c r="K112" s="51"/>
      <c r="L112" s="4"/>
      <c r="M112" s="4"/>
      <c r="N112" s="4"/>
      <c r="O112" s="4"/>
      <c r="P112" s="4"/>
      <c r="Q112" s="4"/>
      <c r="R112" s="4"/>
    </row>
    <row r="113" spans="5:18">
      <c r="E113" s="4"/>
      <c r="F113" s="4"/>
      <c r="G113" s="4"/>
      <c r="H113" s="4"/>
      <c r="I113" s="51"/>
      <c r="J113" s="51"/>
      <c r="K113" s="51"/>
      <c r="L113" s="4"/>
      <c r="M113" s="4"/>
      <c r="N113" s="4"/>
      <c r="O113" s="4"/>
      <c r="P113" s="4"/>
      <c r="Q113" s="4"/>
      <c r="R113" s="4"/>
    </row>
    <row r="114" spans="5:18">
      <c r="E114" s="4"/>
      <c r="F114" s="4"/>
      <c r="G114" s="4"/>
      <c r="H114" s="4"/>
      <c r="I114" s="51"/>
      <c r="J114" s="51"/>
      <c r="K114" s="51"/>
      <c r="L114" s="4"/>
      <c r="M114" s="4"/>
      <c r="N114" s="4"/>
      <c r="O114" s="4"/>
      <c r="P114" s="4"/>
      <c r="Q114" s="4"/>
      <c r="R114" s="4"/>
    </row>
    <row r="115" spans="5:18">
      <c r="E115" s="4"/>
      <c r="F115" s="4"/>
      <c r="G115" s="4"/>
      <c r="H115" s="4"/>
      <c r="I115" s="51"/>
      <c r="J115" s="51"/>
      <c r="K115" s="51"/>
      <c r="L115" s="4"/>
      <c r="M115" s="4"/>
      <c r="N115" s="4"/>
      <c r="O115" s="4"/>
      <c r="P115" s="4"/>
      <c r="Q115" s="4"/>
      <c r="R115" s="4"/>
    </row>
    <row r="116" spans="5:18">
      <c r="E116" s="4"/>
      <c r="F116" s="4"/>
      <c r="G116" s="4"/>
      <c r="H116" s="4"/>
      <c r="I116" s="51"/>
      <c r="J116" s="51"/>
      <c r="K116" s="51"/>
      <c r="L116" s="4"/>
      <c r="M116" s="4"/>
      <c r="N116" s="4"/>
      <c r="O116" s="4"/>
      <c r="P116" s="4"/>
      <c r="Q116" s="4"/>
      <c r="R116" s="4"/>
    </row>
    <row r="117" spans="5:18">
      <c r="E117" s="4"/>
      <c r="F117" s="4"/>
      <c r="G117" s="4"/>
      <c r="H117" s="4"/>
      <c r="I117" s="51"/>
      <c r="J117" s="51"/>
      <c r="K117" s="51"/>
      <c r="L117" s="4"/>
      <c r="M117" s="4"/>
      <c r="N117" s="4"/>
      <c r="O117" s="4"/>
      <c r="P117" s="4"/>
      <c r="Q117" s="4"/>
      <c r="R117" s="4"/>
    </row>
    <row r="118" spans="5:18">
      <c r="E118" s="4"/>
      <c r="F118" s="4"/>
      <c r="G118" s="4"/>
      <c r="H118" s="4"/>
      <c r="I118" s="51"/>
      <c r="J118" s="51"/>
      <c r="K118" s="51"/>
      <c r="L118" s="4"/>
      <c r="M118" s="4"/>
      <c r="N118" s="4"/>
      <c r="O118" s="4"/>
      <c r="P118" s="4"/>
      <c r="Q118" s="4"/>
      <c r="R118" s="4"/>
    </row>
    <row r="119" spans="5:18">
      <c r="E119" s="4"/>
      <c r="F119" s="4"/>
      <c r="G119" s="4"/>
      <c r="H119" s="4"/>
      <c r="I119" s="51"/>
      <c r="J119" s="51"/>
      <c r="K119" s="51"/>
      <c r="L119" s="4"/>
      <c r="M119" s="4"/>
      <c r="N119" s="4"/>
      <c r="O119" s="4"/>
      <c r="P119" s="4"/>
      <c r="Q119" s="4"/>
      <c r="R119" s="4"/>
    </row>
    <row r="120" spans="5:18">
      <c r="E120" s="4"/>
      <c r="F120" s="4"/>
      <c r="G120" s="4"/>
      <c r="H120" s="4"/>
      <c r="I120" s="51"/>
      <c r="J120" s="51"/>
      <c r="K120" s="51"/>
      <c r="L120" s="4"/>
      <c r="M120" s="4"/>
      <c r="N120" s="4"/>
      <c r="O120" s="4"/>
      <c r="P120" s="4"/>
      <c r="Q120" s="4"/>
      <c r="R120" s="4"/>
    </row>
    <row r="121" spans="5:18">
      <c r="E121" s="4"/>
      <c r="F121" s="4"/>
      <c r="G121" s="4"/>
      <c r="H121" s="4"/>
      <c r="I121" s="51"/>
      <c r="J121" s="51"/>
      <c r="K121" s="51"/>
      <c r="L121" s="4"/>
      <c r="M121" s="4"/>
      <c r="N121" s="4"/>
      <c r="O121" s="4"/>
      <c r="P121" s="4"/>
      <c r="Q121" s="4"/>
      <c r="R121" s="4"/>
    </row>
    <row r="122" spans="5:18">
      <c r="E122" s="4"/>
      <c r="F122" s="4"/>
      <c r="G122" s="4"/>
      <c r="H122" s="4"/>
      <c r="I122" s="51"/>
      <c r="J122" s="51"/>
      <c r="K122" s="51"/>
      <c r="L122" s="4"/>
      <c r="M122" s="4"/>
      <c r="N122" s="4"/>
      <c r="O122" s="4"/>
      <c r="P122" s="4"/>
      <c r="Q122" s="4"/>
      <c r="R122" s="4"/>
    </row>
    <row r="123" spans="5:18">
      <c r="E123" s="4"/>
      <c r="F123" s="4"/>
      <c r="G123" s="4"/>
      <c r="H123" s="4"/>
      <c r="I123" s="51"/>
      <c r="J123" s="51"/>
      <c r="K123" s="51"/>
      <c r="L123" s="4"/>
      <c r="M123" s="4"/>
      <c r="N123" s="4"/>
      <c r="O123" s="4"/>
      <c r="P123" s="4"/>
      <c r="Q123" s="4"/>
      <c r="R123" s="4"/>
    </row>
    <row r="124" spans="5:18">
      <c r="E124" s="4"/>
      <c r="F124" s="4"/>
      <c r="G124" s="4"/>
      <c r="H124" s="4"/>
      <c r="I124" s="51"/>
      <c r="J124" s="51"/>
      <c r="K124" s="51"/>
      <c r="L124" s="4"/>
      <c r="M124" s="4"/>
      <c r="N124" s="4"/>
      <c r="O124" s="4"/>
      <c r="P124" s="4"/>
      <c r="Q124" s="4"/>
      <c r="R124" s="4"/>
    </row>
    <row r="125" spans="5:18">
      <c r="E125" s="4"/>
      <c r="F125" s="4"/>
      <c r="G125" s="4"/>
      <c r="H125" s="4"/>
      <c r="I125" s="51"/>
      <c r="J125" s="51"/>
      <c r="K125" s="51"/>
      <c r="L125" s="4"/>
      <c r="M125" s="4"/>
      <c r="N125" s="4"/>
      <c r="O125" s="4"/>
      <c r="P125" s="4"/>
      <c r="Q125" s="4"/>
      <c r="R125" s="4"/>
    </row>
    <row r="126" spans="5:18">
      <c r="E126" s="4"/>
      <c r="F126" s="4"/>
      <c r="G126" s="4"/>
      <c r="H126" s="4"/>
      <c r="I126" s="51"/>
      <c r="J126" s="51"/>
      <c r="K126" s="51"/>
      <c r="L126" s="4"/>
      <c r="M126" s="4"/>
      <c r="N126" s="4"/>
      <c r="O126" s="4"/>
      <c r="P126" s="4"/>
      <c r="Q126" s="4"/>
      <c r="R126" s="4"/>
    </row>
    <row r="127" spans="5:18">
      <c r="E127" s="4"/>
      <c r="F127" s="4"/>
      <c r="G127" s="4"/>
      <c r="H127" s="4"/>
      <c r="I127" s="51"/>
      <c r="J127" s="51"/>
      <c r="K127" s="51"/>
      <c r="L127" s="4"/>
      <c r="M127" s="4"/>
      <c r="N127" s="4"/>
      <c r="O127" s="4"/>
      <c r="P127" s="4"/>
      <c r="Q127" s="4"/>
      <c r="R127" s="4"/>
    </row>
    <row r="128" spans="5:18">
      <c r="E128" s="4"/>
      <c r="F128" s="4"/>
      <c r="G128" s="4"/>
      <c r="H128" s="4"/>
      <c r="I128" s="51"/>
      <c r="J128" s="51"/>
      <c r="K128" s="51"/>
      <c r="L128" s="4"/>
      <c r="M128" s="4"/>
      <c r="N128" s="4"/>
      <c r="O128" s="4"/>
      <c r="P128" s="4"/>
      <c r="Q128" s="4"/>
      <c r="R128" s="4"/>
    </row>
    <row r="129" spans="5:18">
      <c r="E129" s="4"/>
      <c r="F129" s="4"/>
      <c r="G129" s="4"/>
      <c r="H129" s="4"/>
      <c r="I129" s="51"/>
      <c r="J129" s="51"/>
      <c r="K129" s="51"/>
      <c r="L129" s="4"/>
      <c r="M129" s="4"/>
      <c r="N129" s="4"/>
      <c r="O129" s="4"/>
      <c r="P129" s="4"/>
      <c r="Q129" s="4"/>
      <c r="R129" s="4"/>
    </row>
    <row r="130" spans="5:18">
      <c r="E130" s="4"/>
      <c r="F130" s="4"/>
      <c r="G130" s="4"/>
      <c r="H130" s="4"/>
      <c r="I130" s="51"/>
      <c r="J130" s="51"/>
      <c r="K130" s="51"/>
      <c r="L130" s="4"/>
      <c r="M130" s="4"/>
      <c r="N130" s="4"/>
      <c r="O130" s="4"/>
      <c r="P130" s="4"/>
      <c r="Q130" s="4"/>
      <c r="R130" s="4"/>
    </row>
    <row r="131" spans="5:18">
      <c r="E131" s="4"/>
      <c r="F131" s="4"/>
      <c r="G131" s="4"/>
      <c r="H131" s="4"/>
      <c r="I131" s="51"/>
      <c r="J131" s="51"/>
      <c r="K131" s="51"/>
      <c r="L131" s="4"/>
      <c r="M131" s="4"/>
      <c r="N131" s="4"/>
      <c r="O131" s="4"/>
      <c r="P131" s="4"/>
      <c r="Q131" s="4"/>
      <c r="R131" s="4"/>
    </row>
    <row r="132" spans="5:18">
      <c r="E132" s="4"/>
      <c r="F132" s="4"/>
      <c r="G132" s="4"/>
      <c r="H132" s="4"/>
      <c r="I132" s="51"/>
      <c r="J132" s="51"/>
      <c r="K132" s="51"/>
      <c r="L132" s="4"/>
      <c r="M132" s="4"/>
      <c r="N132" s="4"/>
      <c r="O132" s="4"/>
      <c r="P132" s="4"/>
      <c r="Q132" s="4"/>
      <c r="R132" s="4"/>
    </row>
    <row r="133" spans="5:18">
      <c r="E133" s="4"/>
      <c r="F133" s="4"/>
      <c r="G133" s="4"/>
      <c r="H133" s="4"/>
      <c r="I133" s="51"/>
      <c r="J133" s="51"/>
      <c r="K133" s="51"/>
      <c r="L133" s="4"/>
      <c r="M133" s="4"/>
      <c r="N133" s="4"/>
      <c r="O133" s="4"/>
      <c r="P133" s="4"/>
      <c r="Q133" s="4"/>
      <c r="R133" s="4"/>
    </row>
    <row r="134" spans="5:18">
      <c r="E134" s="4"/>
      <c r="F134" s="4"/>
      <c r="G134" s="4"/>
      <c r="H134" s="4"/>
      <c r="I134" s="51"/>
      <c r="J134" s="51"/>
      <c r="K134" s="51"/>
      <c r="L134" s="4"/>
      <c r="M134" s="4"/>
      <c r="N134" s="4"/>
      <c r="O134" s="4"/>
      <c r="P134" s="4"/>
      <c r="Q134" s="4"/>
      <c r="R134" s="4"/>
    </row>
    <row r="135" spans="5:18">
      <c r="E135" s="4"/>
      <c r="F135" s="4"/>
      <c r="G135" s="4"/>
      <c r="H135" s="4"/>
      <c r="I135" s="51"/>
      <c r="J135" s="51"/>
      <c r="K135" s="51"/>
      <c r="L135" s="4"/>
      <c r="M135" s="4"/>
      <c r="N135" s="4"/>
      <c r="O135" s="4"/>
      <c r="P135" s="4"/>
      <c r="Q135" s="4"/>
      <c r="R135" s="4"/>
    </row>
    <row r="136" spans="5:18">
      <c r="E136" s="4"/>
      <c r="F136" s="4"/>
      <c r="G136" s="4"/>
      <c r="H136" s="4"/>
      <c r="I136" s="51"/>
      <c r="J136" s="51"/>
      <c r="K136" s="51"/>
      <c r="L136" s="4"/>
      <c r="M136" s="4"/>
      <c r="N136" s="4"/>
      <c r="O136" s="4"/>
      <c r="P136" s="4"/>
      <c r="Q136" s="4"/>
      <c r="R136" s="4"/>
    </row>
    <row r="137" spans="5:18">
      <c r="E137" s="4"/>
      <c r="F137" s="4"/>
      <c r="G137" s="4"/>
      <c r="H137" s="4"/>
      <c r="I137" s="51"/>
      <c r="J137" s="51"/>
      <c r="K137" s="51"/>
      <c r="L137" s="4"/>
      <c r="M137" s="4"/>
      <c r="N137" s="4"/>
      <c r="O137" s="4"/>
      <c r="P137" s="4"/>
      <c r="Q137" s="4"/>
      <c r="R137" s="4"/>
    </row>
    <row r="138" spans="5:18">
      <c r="E138" s="4"/>
      <c r="F138" s="4"/>
      <c r="G138" s="4"/>
      <c r="H138" s="4"/>
      <c r="I138" s="51"/>
      <c r="J138" s="51"/>
      <c r="K138" s="51"/>
      <c r="L138" s="4"/>
      <c r="M138" s="4"/>
      <c r="N138" s="4"/>
      <c r="O138" s="4"/>
      <c r="P138" s="4"/>
      <c r="Q138" s="4"/>
      <c r="R138" s="4"/>
    </row>
    <row r="139" spans="5:18">
      <c r="E139" s="4"/>
      <c r="F139" s="4"/>
      <c r="G139" s="4"/>
      <c r="H139" s="4"/>
      <c r="I139" s="51"/>
      <c r="J139" s="51"/>
      <c r="K139" s="51"/>
      <c r="L139" s="4"/>
      <c r="M139" s="4"/>
      <c r="N139" s="4"/>
      <c r="O139" s="4"/>
      <c r="P139" s="4"/>
      <c r="Q139" s="4"/>
      <c r="R139" s="4"/>
    </row>
    <row r="140" spans="5:18">
      <c r="E140" s="4"/>
      <c r="F140" s="4"/>
      <c r="G140" s="4"/>
      <c r="H140" s="4"/>
      <c r="I140" s="51"/>
      <c r="J140" s="51"/>
      <c r="K140" s="51"/>
      <c r="L140" s="4"/>
      <c r="M140" s="4"/>
      <c r="N140" s="4"/>
      <c r="O140" s="4"/>
      <c r="P140" s="4"/>
      <c r="Q140" s="4"/>
      <c r="R140" s="4"/>
    </row>
    <row r="141" spans="5:18">
      <c r="E141" s="4"/>
      <c r="F141" s="4"/>
      <c r="G141" s="4"/>
      <c r="H141" s="4"/>
      <c r="I141" s="51"/>
      <c r="J141" s="51"/>
      <c r="K141" s="51"/>
      <c r="L141" s="4"/>
      <c r="M141" s="4"/>
      <c r="N141" s="4"/>
      <c r="O141" s="4"/>
      <c r="P141" s="4"/>
      <c r="Q141" s="4"/>
      <c r="R141" s="4"/>
    </row>
    <row r="142" spans="5:18">
      <c r="E142" s="4"/>
      <c r="F142" s="4"/>
      <c r="G142" s="4"/>
      <c r="H142" s="4"/>
      <c r="I142" s="51"/>
      <c r="J142" s="51"/>
      <c r="K142" s="51"/>
      <c r="L142" s="4"/>
      <c r="M142" s="4"/>
      <c r="N142" s="4"/>
      <c r="O142" s="4"/>
      <c r="P142" s="4"/>
      <c r="Q142" s="4"/>
      <c r="R142" s="4"/>
    </row>
    <row r="143" spans="5:18">
      <c r="E143" s="4"/>
      <c r="F143" s="4"/>
      <c r="G143" s="4"/>
      <c r="H143" s="4"/>
      <c r="I143" s="51"/>
      <c r="J143" s="51"/>
      <c r="K143" s="51"/>
      <c r="L143" s="4"/>
      <c r="M143" s="4"/>
      <c r="N143" s="4"/>
      <c r="O143" s="4"/>
      <c r="P143" s="4"/>
      <c r="Q143" s="4"/>
      <c r="R143" s="4"/>
    </row>
    <row r="144" spans="5:18">
      <c r="E144" s="4"/>
      <c r="F144" s="4"/>
      <c r="G144" s="4"/>
      <c r="H144" s="4"/>
      <c r="I144" s="51"/>
      <c r="J144" s="51"/>
      <c r="K144" s="51"/>
      <c r="L144" s="4"/>
      <c r="M144" s="4"/>
      <c r="N144" s="4"/>
      <c r="O144" s="4"/>
      <c r="P144" s="4"/>
      <c r="Q144" s="4"/>
      <c r="R144" s="4"/>
    </row>
    <row r="145" spans="5:18">
      <c r="E145" s="4"/>
      <c r="F145" s="4"/>
      <c r="G145" s="4"/>
      <c r="H145" s="4"/>
      <c r="I145" s="51"/>
      <c r="J145" s="51"/>
      <c r="K145" s="51"/>
      <c r="L145" s="4"/>
      <c r="M145" s="4"/>
      <c r="N145" s="4"/>
      <c r="O145" s="4"/>
      <c r="P145" s="4"/>
      <c r="Q145" s="4"/>
      <c r="R145" s="4"/>
    </row>
    <row r="146" spans="5:18">
      <c r="E146" s="4"/>
      <c r="F146" s="4"/>
      <c r="G146" s="4"/>
      <c r="H146" s="4"/>
      <c r="I146" s="51"/>
      <c r="J146" s="51"/>
      <c r="K146" s="51"/>
      <c r="L146" s="4"/>
      <c r="M146" s="4"/>
      <c r="N146" s="4"/>
      <c r="O146" s="4"/>
      <c r="P146" s="4"/>
      <c r="Q146" s="4"/>
      <c r="R146" s="4"/>
    </row>
    <row r="147" spans="5:18">
      <c r="E147" s="4"/>
      <c r="F147" s="4"/>
      <c r="G147" s="4"/>
      <c r="H147" s="4"/>
      <c r="I147" s="51"/>
      <c r="J147" s="51"/>
      <c r="K147" s="51"/>
      <c r="L147" s="4"/>
      <c r="M147" s="4"/>
      <c r="N147" s="4"/>
      <c r="O147" s="4"/>
      <c r="P147" s="4"/>
      <c r="Q147" s="4"/>
      <c r="R147" s="4"/>
    </row>
    <row r="148" spans="5:18">
      <c r="E148" s="4"/>
      <c r="F148" s="4"/>
      <c r="G148" s="4"/>
      <c r="H148" s="4"/>
      <c r="I148" s="51"/>
      <c r="J148" s="51"/>
      <c r="K148" s="51"/>
      <c r="L148" s="4"/>
      <c r="M148" s="4"/>
      <c r="N148" s="4"/>
      <c r="O148" s="4"/>
      <c r="P148" s="4"/>
      <c r="Q148" s="4"/>
      <c r="R148" s="4"/>
    </row>
    <row r="149" spans="5:18">
      <c r="E149" s="4"/>
      <c r="F149" s="4"/>
      <c r="G149" s="4"/>
      <c r="H149" s="4"/>
      <c r="I149" s="51"/>
      <c r="J149" s="51"/>
      <c r="K149" s="51"/>
      <c r="L149" s="4"/>
      <c r="M149" s="4"/>
      <c r="N149" s="4"/>
      <c r="O149" s="4"/>
      <c r="P149" s="4"/>
      <c r="Q149" s="4"/>
      <c r="R149" s="4"/>
    </row>
    <row r="150" spans="5:18">
      <c r="E150" s="4"/>
      <c r="F150" s="4"/>
      <c r="G150" s="4"/>
      <c r="H150" s="4"/>
      <c r="I150" s="51"/>
      <c r="J150" s="51"/>
      <c r="K150" s="51"/>
      <c r="L150" s="4"/>
      <c r="M150" s="4"/>
      <c r="N150" s="4"/>
      <c r="O150" s="4"/>
      <c r="P150" s="4"/>
      <c r="Q150" s="4"/>
      <c r="R150" s="4"/>
    </row>
    <row r="151" spans="5:18">
      <c r="E151" s="4"/>
      <c r="F151" s="4"/>
      <c r="G151" s="4"/>
      <c r="H151" s="4"/>
      <c r="I151" s="51"/>
      <c r="J151" s="51"/>
      <c r="K151" s="51"/>
      <c r="L151" s="4"/>
      <c r="M151" s="4"/>
      <c r="N151" s="4"/>
      <c r="O151" s="4"/>
      <c r="P151" s="4"/>
      <c r="Q151" s="4"/>
      <c r="R151" s="4"/>
    </row>
    <row r="152" spans="5:18">
      <c r="E152" s="4"/>
      <c r="F152" s="4"/>
      <c r="G152" s="4"/>
      <c r="H152" s="4"/>
      <c r="I152" s="51"/>
      <c r="J152" s="51"/>
      <c r="K152" s="51"/>
      <c r="L152" s="4"/>
      <c r="M152" s="4"/>
      <c r="N152" s="4"/>
      <c r="O152" s="4"/>
      <c r="P152" s="4"/>
      <c r="Q152" s="4"/>
      <c r="R152" s="4"/>
    </row>
    <row r="153" spans="5:18">
      <c r="E153" s="4"/>
      <c r="F153" s="4"/>
      <c r="G153" s="4"/>
      <c r="H153" s="4"/>
      <c r="I153" s="51"/>
      <c r="J153" s="51"/>
      <c r="K153" s="51"/>
      <c r="L153" s="4"/>
      <c r="M153" s="4"/>
      <c r="N153" s="4"/>
      <c r="O153" s="4"/>
      <c r="P153" s="4"/>
      <c r="Q153" s="4"/>
      <c r="R153" s="4"/>
    </row>
    <row r="154" spans="5:18">
      <c r="E154" s="4"/>
      <c r="F154" s="4"/>
      <c r="G154" s="4"/>
      <c r="H154" s="4"/>
      <c r="I154" s="51"/>
      <c r="J154" s="51"/>
      <c r="K154" s="51"/>
      <c r="L154" s="4"/>
      <c r="M154" s="4"/>
      <c r="N154" s="4"/>
      <c r="O154" s="4"/>
      <c r="P154" s="4"/>
      <c r="Q154" s="4"/>
      <c r="R154" s="4"/>
    </row>
    <row r="155" spans="5:18">
      <c r="E155" s="4"/>
      <c r="F155" s="4"/>
      <c r="G155" s="4"/>
      <c r="H155" s="4"/>
      <c r="I155" s="51"/>
      <c r="J155" s="51"/>
      <c r="K155" s="51"/>
      <c r="L155" s="4"/>
      <c r="M155" s="4"/>
      <c r="N155" s="4"/>
      <c r="O155" s="4"/>
      <c r="P155" s="4"/>
      <c r="Q155" s="4"/>
      <c r="R155" s="4"/>
    </row>
    <row r="156" spans="5:18">
      <c r="E156" s="4"/>
      <c r="F156" s="4"/>
      <c r="G156" s="4"/>
      <c r="H156" s="4"/>
      <c r="I156" s="51"/>
      <c r="J156" s="51"/>
      <c r="K156" s="51"/>
      <c r="L156" s="4"/>
      <c r="M156" s="4"/>
      <c r="N156" s="4"/>
      <c r="O156" s="4"/>
      <c r="P156" s="4"/>
      <c r="Q156" s="4"/>
      <c r="R156" s="4"/>
    </row>
    <row r="157" spans="5:18">
      <c r="E157" s="4"/>
      <c r="F157" s="4"/>
      <c r="G157" s="4"/>
      <c r="H157" s="4"/>
      <c r="I157" s="51"/>
      <c r="J157" s="51"/>
      <c r="K157" s="51"/>
      <c r="L157" s="4"/>
      <c r="M157" s="4"/>
      <c r="N157" s="4"/>
      <c r="O157" s="4"/>
      <c r="P157" s="4"/>
      <c r="Q157" s="4"/>
      <c r="R157" s="4"/>
    </row>
    <row r="158" spans="5:18">
      <c r="E158" s="4"/>
      <c r="F158" s="4"/>
      <c r="G158" s="4"/>
      <c r="H158" s="4"/>
      <c r="I158" s="51"/>
      <c r="J158" s="51"/>
      <c r="K158" s="51"/>
      <c r="L158" s="4"/>
      <c r="M158" s="4"/>
      <c r="N158" s="4"/>
      <c r="O158" s="4"/>
      <c r="P158" s="4"/>
      <c r="Q158" s="4"/>
      <c r="R158" s="4"/>
    </row>
    <row r="159" spans="5:18">
      <c r="E159" s="4"/>
      <c r="F159" s="4"/>
      <c r="G159" s="4"/>
      <c r="H159" s="4"/>
      <c r="I159" s="51"/>
      <c r="J159" s="51"/>
      <c r="K159" s="51"/>
      <c r="L159" s="4"/>
      <c r="M159" s="4"/>
      <c r="N159" s="4"/>
      <c r="O159" s="4"/>
      <c r="P159" s="4"/>
      <c r="Q159" s="4"/>
      <c r="R159" s="4"/>
    </row>
    <row r="160" spans="5:18">
      <c r="E160" s="4"/>
      <c r="F160" s="4"/>
      <c r="G160" s="4"/>
      <c r="H160" s="4"/>
      <c r="I160" s="51"/>
      <c r="J160" s="51"/>
      <c r="K160" s="51"/>
      <c r="L160" s="4"/>
      <c r="M160" s="4"/>
      <c r="N160" s="4"/>
      <c r="O160" s="4"/>
      <c r="P160" s="4"/>
      <c r="Q160" s="4"/>
      <c r="R160" s="4"/>
    </row>
    <row r="161" spans="5:18">
      <c r="E161" s="4"/>
      <c r="F161" s="4"/>
      <c r="G161" s="4"/>
      <c r="H161" s="4"/>
      <c r="I161" s="51"/>
      <c r="J161" s="51"/>
      <c r="K161" s="51"/>
      <c r="L161" s="4"/>
      <c r="M161" s="4"/>
      <c r="N161" s="4"/>
      <c r="O161" s="4"/>
      <c r="P161" s="4"/>
      <c r="Q161" s="4"/>
      <c r="R161" s="4"/>
    </row>
    <row r="162" spans="5:18">
      <c r="E162" s="4"/>
      <c r="F162" s="4"/>
      <c r="G162" s="4"/>
      <c r="H162" s="4"/>
      <c r="I162" s="51"/>
      <c r="J162" s="51"/>
      <c r="K162" s="51"/>
      <c r="L162" s="4"/>
      <c r="M162" s="4"/>
      <c r="N162" s="4"/>
      <c r="O162" s="4"/>
      <c r="P162" s="4"/>
      <c r="Q162" s="4"/>
      <c r="R162" s="4"/>
    </row>
    <row r="163" spans="5:18">
      <c r="E163" s="4"/>
      <c r="F163" s="4"/>
      <c r="G163" s="4"/>
      <c r="H163" s="4"/>
      <c r="I163" s="51"/>
      <c r="J163" s="51"/>
      <c r="K163" s="51"/>
      <c r="L163" s="4"/>
      <c r="M163" s="4"/>
      <c r="N163" s="4"/>
      <c r="O163" s="4"/>
      <c r="P163" s="4"/>
      <c r="Q163" s="4"/>
      <c r="R163" s="4"/>
    </row>
    <row r="164" spans="5:18">
      <c r="E164" s="4"/>
      <c r="F164" s="4"/>
      <c r="G164" s="4"/>
      <c r="H164" s="4"/>
      <c r="I164" s="51"/>
      <c r="J164" s="51"/>
      <c r="K164" s="51"/>
      <c r="L164" s="4"/>
      <c r="M164" s="4"/>
      <c r="N164" s="4"/>
      <c r="O164" s="4"/>
      <c r="P164" s="4"/>
      <c r="Q164" s="4"/>
      <c r="R164" s="4"/>
    </row>
    <row r="165" spans="5:18">
      <c r="E165" s="4"/>
      <c r="F165" s="4"/>
      <c r="G165" s="4"/>
      <c r="H165" s="4"/>
      <c r="I165" s="51"/>
      <c r="J165" s="51"/>
      <c r="K165" s="51"/>
      <c r="L165" s="4"/>
      <c r="M165" s="4"/>
      <c r="N165" s="4"/>
      <c r="O165" s="4"/>
      <c r="P165" s="4"/>
      <c r="Q165" s="4"/>
      <c r="R165" s="4"/>
    </row>
    <row r="166" spans="5:18">
      <c r="E166" s="4"/>
      <c r="F166" s="4"/>
      <c r="G166" s="4"/>
      <c r="H166" s="4"/>
      <c r="I166" s="51"/>
      <c r="J166" s="51"/>
      <c r="K166" s="51"/>
      <c r="L166" s="4"/>
      <c r="M166" s="4"/>
      <c r="N166" s="4"/>
      <c r="O166" s="4"/>
      <c r="P166" s="4"/>
      <c r="Q166" s="4"/>
      <c r="R166" s="4"/>
    </row>
    <row r="167" spans="5:18">
      <c r="E167" s="4"/>
      <c r="F167" s="4"/>
      <c r="G167" s="4"/>
      <c r="H167" s="4"/>
      <c r="I167" s="51"/>
      <c r="J167" s="51"/>
      <c r="K167" s="51"/>
      <c r="L167" s="4"/>
      <c r="M167" s="4"/>
      <c r="N167" s="4"/>
      <c r="O167" s="4"/>
      <c r="P167" s="4"/>
      <c r="Q167" s="4"/>
      <c r="R167" s="4"/>
    </row>
    <row r="168" spans="5:18">
      <c r="E168" s="4"/>
      <c r="F168" s="4"/>
      <c r="G168" s="4"/>
      <c r="H168" s="4"/>
      <c r="I168" s="51"/>
      <c r="J168" s="51"/>
      <c r="K168" s="51"/>
      <c r="L168" s="4"/>
      <c r="M168" s="4"/>
      <c r="N168" s="4"/>
      <c r="O168" s="4"/>
      <c r="P168" s="4"/>
      <c r="Q168" s="4"/>
      <c r="R168" s="4"/>
    </row>
    <row r="169" spans="5:18">
      <c r="E169" s="4"/>
      <c r="F169" s="4"/>
      <c r="G169" s="4"/>
      <c r="H169" s="4"/>
      <c r="I169" s="51"/>
      <c r="J169" s="51"/>
      <c r="K169" s="51"/>
      <c r="L169" s="4"/>
      <c r="M169" s="4"/>
      <c r="N169" s="4"/>
      <c r="O169" s="4"/>
      <c r="P169" s="4"/>
      <c r="Q169" s="4"/>
      <c r="R169" s="4"/>
    </row>
    <row r="170" spans="5:18">
      <c r="E170" s="4"/>
      <c r="F170" s="4"/>
      <c r="G170" s="4"/>
      <c r="H170" s="4"/>
      <c r="I170" s="51"/>
      <c r="J170" s="51"/>
      <c r="K170" s="51"/>
      <c r="L170" s="4"/>
      <c r="M170" s="4"/>
      <c r="N170" s="4"/>
      <c r="O170" s="4"/>
      <c r="P170" s="4"/>
      <c r="Q170" s="4"/>
      <c r="R170" s="4"/>
    </row>
    <row r="171" spans="5:18">
      <c r="E171" s="4"/>
      <c r="F171" s="4"/>
      <c r="G171" s="4"/>
      <c r="H171" s="4"/>
      <c r="I171" s="51"/>
      <c r="J171" s="51"/>
      <c r="K171" s="51"/>
      <c r="L171" s="4"/>
      <c r="M171" s="4"/>
      <c r="N171" s="4"/>
      <c r="O171" s="4"/>
      <c r="P171" s="4"/>
      <c r="Q171" s="4"/>
      <c r="R171" s="4"/>
    </row>
    <row r="172" spans="5:18">
      <c r="E172" s="4"/>
      <c r="F172" s="4"/>
      <c r="G172" s="4"/>
      <c r="H172" s="4"/>
      <c r="I172" s="51"/>
      <c r="J172" s="51"/>
      <c r="K172" s="51"/>
      <c r="L172" s="4"/>
      <c r="M172" s="4"/>
      <c r="N172" s="4"/>
      <c r="O172" s="4"/>
      <c r="P172" s="4"/>
      <c r="Q172" s="4"/>
      <c r="R172" s="4"/>
    </row>
    <row r="173" spans="5:18">
      <c r="E173" s="4"/>
      <c r="F173" s="4"/>
      <c r="G173" s="4"/>
      <c r="H173" s="4"/>
      <c r="I173" s="51"/>
      <c r="J173" s="51"/>
      <c r="K173" s="51"/>
      <c r="L173" s="4"/>
      <c r="M173" s="4"/>
      <c r="N173" s="4"/>
      <c r="O173" s="4"/>
      <c r="P173" s="4"/>
      <c r="Q173" s="4"/>
      <c r="R173" s="4"/>
    </row>
    <row r="174" spans="5:18">
      <c r="E174" s="4"/>
      <c r="F174" s="4"/>
      <c r="G174" s="4"/>
      <c r="H174" s="4"/>
      <c r="I174" s="51"/>
      <c r="J174" s="51"/>
      <c r="K174" s="51"/>
      <c r="L174" s="4"/>
      <c r="M174" s="4"/>
      <c r="N174" s="4"/>
      <c r="O174" s="4"/>
      <c r="P174" s="4"/>
      <c r="Q174" s="4"/>
      <c r="R174" s="4"/>
    </row>
    <row r="175" spans="5:18">
      <c r="E175" s="4"/>
      <c r="F175" s="4"/>
      <c r="G175" s="4"/>
      <c r="H175" s="4"/>
      <c r="I175" s="51"/>
      <c r="J175" s="51"/>
      <c r="K175" s="51"/>
      <c r="L175" s="4"/>
      <c r="M175" s="4"/>
      <c r="N175" s="4"/>
      <c r="O175" s="4"/>
      <c r="P175" s="4"/>
      <c r="Q175" s="4"/>
      <c r="R175" s="4"/>
    </row>
    <row r="176" spans="5:18">
      <c r="E176" s="4"/>
      <c r="F176" s="4"/>
      <c r="G176" s="4"/>
      <c r="H176" s="4"/>
      <c r="I176" s="51"/>
      <c r="J176" s="51"/>
      <c r="K176" s="51"/>
      <c r="L176" s="4"/>
      <c r="M176" s="4"/>
      <c r="N176" s="4"/>
      <c r="O176" s="4"/>
      <c r="P176" s="4"/>
      <c r="Q176" s="4"/>
      <c r="R176" s="4"/>
    </row>
    <row r="177" spans="5:18">
      <c r="E177" s="4"/>
      <c r="F177" s="4"/>
      <c r="G177" s="4"/>
      <c r="H177" s="4"/>
      <c r="I177" s="51"/>
      <c r="J177" s="51"/>
      <c r="K177" s="51"/>
      <c r="L177" s="4"/>
      <c r="M177" s="4"/>
      <c r="N177" s="4"/>
      <c r="O177" s="4"/>
      <c r="P177" s="4"/>
      <c r="Q177" s="4"/>
      <c r="R177" s="4"/>
    </row>
    <row r="178" spans="5:18">
      <c r="E178" s="4"/>
      <c r="F178" s="4"/>
      <c r="G178" s="4"/>
      <c r="H178" s="4"/>
      <c r="I178" s="51"/>
      <c r="J178" s="51"/>
      <c r="K178" s="51"/>
      <c r="L178" s="4"/>
      <c r="M178" s="4"/>
      <c r="N178" s="4"/>
      <c r="O178" s="4"/>
      <c r="P178" s="4"/>
      <c r="Q178" s="4"/>
      <c r="R178" s="4"/>
    </row>
    <row r="179" spans="5:18">
      <c r="E179" s="4"/>
      <c r="F179" s="4"/>
      <c r="G179" s="4"/>
      <c r="H179" s="4"/>
      <c r="I179" s="51"/>
      <c r="J179" s="51"/>
      <c r="K179" s="51"/>
      <c r="L179" s="4"/>
      <c r="M179" s="4"/>
      <c r="N179" s="4"/>
      <c r="O179" s="4"/>
      <c r="P179" s="4"/>
      <c r="Q179" s="4"/>
      <c r="R179" s="4"/>
    </row>
    <row r="180" spans="5:18">
      <c r="E180" s="4"/>
      <c r="F180" s="4"/>
      <c r="G180" s="4"/>
      <c r="H180" s="4"/>
      <c r="I180" s="51"/>
      <c r="J180" s="51"/>
      <c r="K180" s="51"/>
      <c r="L180" s="4"/>
      <c r="M180" s="4"/>
      <c r="N180" s="4"/>
      <c r="O180" s="4"/>
      <c r="P180" s="4"/>
      <c r="Q180" s="4"/>
      <c r="R180" s="4"/>
    </row>
    <row r="181" spans="5:18">
      <c r="E181" s="4"/>
      <c r="F181" s="4"/>
      <c r="G181" s="4"/>
      <c r="H181" s="4"/>
      <c r="I181" s="51"/>
      <c r="J181" s="51"/>
      <c r="K181" s="51"/>
      <c r="L181" s="4"/>
      <c r="M181" s="4"/>
      <c r="N181" s="4"/>
      <c r="O181" s="4"/>
      <c r="P181" s="4"/>
      <c r="Q181" s="4"/>
      <c r="R181" s="4"/>
    </row>
    <row r="182" spans="5:18">
      <c r="E182" s="4"/>
      <c r="F182" s="4"/>
      <c r="G182" s="4"/>
      <c r="H182" s="4"/>
      <c r="I182" s="51"/>
      <c r="J182" s="51"/>
      <c r="K182" s="51"/>
      <c r="L182" s="4"/>
      <c r="M182" s="4"/>
      <c r="N182" s="4"/>
      <c r="O182" s="4"/>
      <c r="P182" s="4"/>
      <c r="Q182" s="4"/>
      <c r="R182" s="4"/>
    </row>
    <row r="183" spans="5:18">
      <c r="E183" s="4"/>
      <c r="F183" s="4"/>
      <c r="G183" s="4"/>
      <c r="H183" s="4"/>
      <c r="I183" s="51"/>
      <c r="J183" s="51"/>
      <c r="K183" s="51"/>
      <c r="L183" s="4"/>
      <c r="M183" s="4"/>
      <c r="N183" s="4"/>
      <c r="O183" s="4"/>
      <c r="P183" s="4"/>
      <c r="Q183" s="4"/>
      <c r="R183" s="4"/>
    </row>
    <row r="184" spans="5:18">
      <c r="E184" s="4"/>
      <c r="F184" s="4"/>
      <c r="G184" s="4"/>
      <c r="H184" s="4"/>
      <c r="I184" s="51"/>
      <c r="J184" s="51"/>
      <c r="K184" s="51"/>
      <c r="L184" s="4"/>
      <c r="M184" s="4"/>
      <c r="N184" s="4"/>
      <c r="O184" s="4"/>
      <c r="P184" s="4"/>
      <c r="Q184" s="4"/>
      <c r="R184" s="4"/>
    </row>
    <row r="185" spans="5:18">
      <c r="E185" s="4"/>
      <c r="F185" s="4"/>
      <c r="G185" s="4"/>
      <c r="H185" s="4"/>
      <c r="I185" s="51"/>
      <c r="J185" s="51"/>
      <c r="K185" s="51"/>
      <c r="L185" s="4"/>
      <c r="M185" s="4"/>
      <c r="N185" s="4"/>
      <c r="O185" s="4"/>
      <c r="P185" s="4"/>
      <c r="Q185" s="4"/>
      <c r="R185" s="4"/>
    </row>
    <row r="186" spans="5:18">
      <c r="E186" s="4"/>
      <c r="F186" s="4"/>
      <c r="G186" s="4"/>
      <c r="H186" s="4"/>
      <c r="I186" s="51"/>
      <c r="J186" s="51"/>
      <c r="K186" s="51"/>
      <c r="L186" s="4"/>
      <c r="M186" s="4"/>
      <c r="N186" s="4"/>
      <c r="O186" s="4"/>
      <c r="P186" s="4"/>
      <c r="Q186" s="4"/>
      <c r="R186" s="4"/>
    </row>
    <row r="187" spans="5:18">
      <c r="E187" s="4"/>
      <c r="F187" s="4"/>
      <c r="G187" s="4"/>
      <c r="H187" s="4"/>
      <c r="I187" s="51"/>
      <c r="J187" s="51"/>
      <c r="K187" s="51"/>
      <c r="L187" s="4"/>
      <c r="M187" s="4"/>
      <c r="N187" s="4"/>
      <c r="O187" s="4"/>
      <c r="P187" s="4"/>
      <c r="Q187" s="4"/>
      <c r="R187" s="4"/>
    </row>
    <row r="188" spans="5:18">
      <c r="E188" s="4"/>
      <c r="F188" s="4"/>
      <c r="G188" s="4"/>
      <c r="H188" s="4"/>
      <c r="I188" s="51"/>
      <c r="J188" s="51"/>
      <c r="K188" s="51"/>
      <c r="L188" s="4"/>
      <c r="M188" s="4"/>
      <c r="N188" s="4"/>
      <c r="O188" s="4"/>
      <c r="P188" s="4"/>
      <c r="Q188" s="4"/>
      <c r="R188" s="4"/>
    </row>
    <row r="189" spans="5:18">
      <c r="E189" s="4"/>
      <c r="F189" s="4"/>
      <c r="G189" s="4"/>
      <c r="H189" s="4"/>
      <c r="I189" s="51"/>
      <c r="J189" s="51"/>
      <c r="K189" s="51"/>
      <c r="L189" s="4"/>
      <c r="M189" s="4"/>
      <c r="N189" s="4"/>
      <c r="O189" s="4"/>
      <c r="P189" s="4"/>
      <c r="Q189" s="4"/>
      <c r="R189" s="4"/>
    </row>
    <row r="190" spans="5:18">
      <c r="E190" s="4"/>
      <c r="F190" s="4"/>
      <c r="G190" s="4"/>
      <c r="H190" s="4"/>
      <c r="I190" s="51"/>
      <c r="J190" s="51"/>
      <c r="K190" s="51"/>
      <c r="L190" s="4"/>
      <c r="M190" s="4"/>
      <c r="N190" s="4"/>
      <c r="O190" s="4"/>
      <c r="P190" s="4"/>
      <c r="Q190" s="4"/>
      <c r="R190" s="4"/>
    </row>
    <row r="191" spans="5:18">
      <c r="E191" s="4"/>
      <c r="F191" s="4"/>
      <c r="G191" s="4"/>
      <c r="H191" s="4"/>
      <c r="I191" s="51"/>
      <c r="J191" s="51"/>
      <c r="K191" s="51"/>
      <c r="L191" s="4"/>
      <c r="M191" s="4"/>
      <c r="N191" s="4"/>
      <c r="O191" s="4"/>
      <c r="P191" s="4"/>
      <c r="Q191" s="4"/>
      <c r="R191" s="4"/>
    </row>
    <row r="192" spans="5:18">
      <c r="E192" s="4"/>
      <c r="F192" s="4"/>
      <c r="G192" s="4"/>
      <c r="H192" s="4"/>
      <c r="I192" s="51"/>
      <c r="J192" s="51"/>
      <c r="K192" s="51"/>
      <c r="L192" s="4"/>
      <c r="M192" s="4"/>
      <c r="N192" s="4"/>
      <c r="O192" s="4"/>
      <c r="P192" s="4"/>
      <c r="Q192" s="4"/>
      <c r="R192" s="4"/>
    </row>
    <row r="193" spans="5:18">
      <c r="E193" s="4"/>
      <c r="F193" s="4"/>
      <c r="G193" s="4"/>
      <c r="H193" s="4"/>
      <c r="I193" s="51"/>
      <c r="J193" s="51"/>
      <c r="K193" s="51"/>
      <c r="L193" s="4"/>
      <c r="M193" s="4"/>
      <c r="N193" s="4"/>
      <c r="O193" s="4"/>
      <c r="P193" s="4"/>
      <c r="Q193" s="4"/>
      <c r="R193" s="4"/>
    </row>
    <row r="194" spans="5:18">
      <c r="E194" s="4"/>
      <c r="F194" s="4"/>
      <c r="G194" s="4"/>
      <c r="H194" s="4"/>
      <c r="I194" s="51"/>
      <c r="J194" s="51"/>
      <c r="K194" s="51"/>
      <c r="L194" s="4"/>
      <c r="M194" s="4"/>
      <c r="N194" s="4"/>
      <c r="O194" s="4"/>
      <c r="P194" s="4"/>
      <c r="Q194" s="4"/>
      <c r="R194" s="4"/>
    </row>
    <row r="195" spans="5:18">
      <c r="E195" s="4"/>
      <c r="F195" s="4"/>
      <c r="G195" s="4"/>
      <c r="H195" s="4"/>
      <c r="I195" s="51"/>
      <c r="J195" s="51"/>
      <c r="K195" s="51"/>
      <c r="L195" s="4"/>
      <c r="M195" s="4"/>
      <c r="N195" s="4"/>
      <c r="O195" s="4"/>
      <c r="P195" s="4"/>
      <c r="Q195" s="4"/>
      <c r="R195" s="4"/>
    </row>
    <row r="196" spans="5:18">
      <c r="E196" s="4"/>
      <c r="F196" s="4"/>
      <c r="G196" s="4"/>
      <c r="H196" s="4"/>
      <c r="I196" s="51"/>
      <c r="J196" s="51"/>
      <c r="K196" s="51"/>
      <c r="L196" s="4"/>
      <c r="M196" s="4"/>
      <c r="N196" s="4"/>
      <c r="O196" s="4"/>
      <c r="P196" s="4"/>
      <c r="Q196" s="4"/>
      <c r="R196" s="4"/>
    </row>
    <row r="197" spans="5:18">
      <c r="E197" s="4"/>
      <c r="F197" s="4"/>
      <c r="G197" s="4"/>
      <c r="H197" s="4"/>
      <c r="I197" s="51"/>
      <c r="J197" s="51"/>
      <c r="K197" s="51"/>
      <c r="L197" s="4"/>
      <c r="M197" s="4"/>
      <c r="N197" s="4"/>
      <c r="O197" s="4"/>
      <c r="P197" s="4"/>
      <c r="Q197" s="4"/>
      <c r="R197" s="4"/>
    </row>
    <row r="198" spans="5:18">
      <c r="E198" s="4"/>
      <c r="F198" s="4"/>
      <c r="G198" s="4"/>
      <c r="H198" s="4"/>
      <c r="I198" s="51"/>
      <c r="J198" s="51"/>
      <c r="K198" s="51"/>
      <c r="L198" s="4"/>
      <c r="M198" s="4"/>
      <c r="N198" s="4"/>
      <c r="O198" s="4"/>
      <c r="P198" s="4"/>
      <c r="Q198" s="4"/>
      <c r="R198" s="4"/>
    </row>
    <row r="199" spans="5:18">
      <c r="E199" s="4"/>
      <c r="F199" s="4"/>
      <c r="G199" s="4"/>
      <c r="H199" s="4"/>
      <c r="I199" s="51"/>
      <c r="J199" s="51"/>
      <c r="K199" s="51"/>
      <c r="L199" s="4"/>
      <c r="M199" s="4"/>
      <c r="N199" s="4"/>
      <c r="O199" s="4"/>
      <c r="P199" s="4"/>
      <c r="Q199" s="4"/>
      <c r="R199" s="4"/>
    </row>
    <row r="200" spans="5:18">
      <c r="E200" s="4"/>
      <c r="F200" s="4"/>
      <c r="G200" s="4"/>
      <c r="H200" s="4"/>
      <c r="I200" s="51"/>
      <c r="J200" s="51"/>
      <c r="K200" s="51"/>
      <c r="L200" s="4"/>
      <c r="M200" s="4"/>
      <c r="N200" s="4"/>
      <c r="O200" s="4"/>
      <c r="P200" s="4"/>
      <c r="Q200" s="4"/>
      <c r="R200" s="4"/>
    </row>
    <row r="201" spans="5:18">
      <c r="E201" s="4"/>
      <c r="F201" s="4"/>
      <c r="G201" s="4"/>
      <c r="H201" s="4"/>
      <c r="I201" s="51"/>
      <c r="J201" s="51"/>
      <c r="K201" s="51"/>
      <c r="L201" s="4"/>
      <c r="M201" s="4"/>
      <c r="N201" s="4"/>
      <c r="O201" s="4"/>
      <c r="P201" s="4"/>
      <c r="Q201" s="4"/>
      <c r="R201" s="4"/>
    </row>
    <row r="202" spans="5:18">
      <c r="E202" s="4"/>
      <c r="F202" s="4"/>
      <c r="G202" s="4"/>
      <c r="H202" s="4"/>
      <c r="I202" s="51"/>
      <c r="J202" s="51"/>
      <c r="K202" s="51"/>
      <c r="L202" s="4"/>
      <c r="M202" s="4"/>
      <c r="N202" s="4"/>
      <c r="O202" s="4"/>
      <c r="P202" s="4"/>
      <c r="Q202" s="4"/>
      <c r="R202" s="4"/>
    </row>
    <row r="203" spans="5:18">
      <c r="E203" s="4"/>
      <c r="F203" s="4"/>
      <c r="G203" s="4"/>
      <c r="H203" s="4"/>
      <c r="I203" s="51"/>
      <c r="J203" s="51"/>
      <c r="K203" s="51"/>
      <c r="L203" s="4"/>
      <c r="M203" s="4"/>
      <c r="N203" s="4"/>
      <c r="O203" s="4"/>
      <c r="P203" s="4"/>
      <c r="Q203" s="4"/>
      <c r="R203" s="4"/>
    </row>
    <row r="204" spans="5:18">
      <c r="E204" s="4"/>
      <c r="F204" s="4"/>
      <c r="G204" s="4"/>
      <c r="H204" s="4"/>
      <c r="I204" s="51"/>
      <c r="J204" s="51"/>
      <c r="K204" s="51"/>
      <c r="L204" s="4"/>
      <c r="M204" s="4"/>
      <c r="N204" s="4"/>
      <c r="O204" s="4"/>
      <c r="P204" s="4"/>
      <c r="Q204" s="4"/>
      <c r="R204" s="4"/>
    </row>
    <row r="205" spans="5:18">
      <c r="E205" s="4"/>
      <c r="F205" s="4"/>
      <c r="G205" s="4"/>
      <c r="H205" s="4"/>
      <c r="I205" s="51"/>
      <c r="J205" s="51"/>
      <c r="K205" s="51"/>
      <c r="L205" s="4"/>
      <c r="M205" s="4"/>
      <c r="N205" s="4"/>
      <c r="O205" s="4"/>
      <c r="P205" s="4"/>
      <c r="Q205" s="4"/>
      <c r="R205" s="4"/>
    </row>
    <row r="206" spans="5:18">
      <c r="E206" s="4"/>
      <c r="F206" s="4"/>
      <c r="G206" s="4"/>
      <c r="H206" s="4"/>
      <c r="I206" s="51"/>
      <c r="J206" s="51"/>
      <c r="K206" s="51"/>
      <c r="L206" s="4"/>
      <c r="M206" s="4"/>
      <c r="N206" s="4"/>
      <c r="O206" s="4"/>
      <c r="P206" s="4"/>
      <c r="Q206" s="4"/>
      <c r="R206" s="4"/>
    </row>
    <row r="207" spans="5:18">
      <c r="E207" s="4"/>
      <c r="F207" s="4"/>
      <c r="G207" s="4"/>
      <c r="H207" s="4"/>
      <c r="I207" s="51"/>
      <c r="J207" s="51"/>
      <c r="K207" s="51"/>
      <c r="L207" s="4"/>
      <c r="M207" s="4"/>
      <c r="N207" s="4"/>
      <c r="O207" s="4"/>
      <c r="P207" s="4"/>
      <c r="Q207" s="4"/>
      <c r="R207" s="4"/>
    </row>
    <row r="208" spans="5:18">
      <c r="E208" s="4"/>
      <c r="F208" s="4"/>
      <c r="G208" s="4"/>
      <c r="H208" s="4"/>
      <c r="I208" s="51"/>
      <c r="J208" s="51"/>
      <c r="K208" s="51"/>
      <c r="L208" s="4"/>
      <c r="M208" s="4"/>
      <c r="N208" s="4"/>
      <c r="O208" s="4"/>
      <c r="P208" s="4"/>
      <c r="Q208" s="4"/>
      <c r="R208" s="4"/>
    </row>
    <row r="209" spans="5:18">
      <c r="E209" s="4"/>
      <c r="F209" s="4"/>
      <c r="G209" s="4"/>
      <c r="H209" s="4"/>
      <c r="I209" s="51"/>
      <c r="J209" s="51"/>
      <c r="K209" s="51"/>
      <c r="L209" s="4"/>
      <c r="M209" s="4"/>
      <c r="N209" s="4"/>
      <c r="O209" s="4"/>
      <c r="P209" s="4"/>
      <c r="Q209" s="4"/>
      <c r="R209" s="4"/>
    </row>
    <row r="210" spans="5:18">
      <c r="E210" s="4"/>
      <c r="F210" s="4"/>
      <c r="G210" s="4"/>
      <c r="H210" s="4"/>
      <c r="I210" s="51"/>
      <c r="J210" s="51"/>
      <c r="K210" s="51"/>
      <c r="L210" s="4"/>
      <c r="M210" s="4"/>
      <c r="N210" s="4"/>
      <c r="O210" s="4"/>
      <c r="P210" s="4"/>
      <c r="Q210" s="4"/>
      <c r="R210" s="4"/>
    </row>
    <row r="211" spans="5:18">
      <c r="E211" s="4"/>
      <c r="F211" s="4"/>
      <c r="G211" s="4"/>
      <c r="H211" s="4"/>
      <c r="I211" s="51"/>
      <c r="J211" s="51"/>
      <c r="K211" s="51"/>
      <c r="L211" s="4"/>
      <c r="M211" s="4"/>
      <c r="N211" s="4"/>
      <c r="O211" s="4"/>
      <c r="P211" s="4"/>
      <c r="Q211" s="4"/>
      <c r="R211" s="4"/>
    </row>
    <row r="212" spans="5:18">
      <c r="E212" s="4"/>
      <c r="F212" s="4"/>
      <c r="G212" s="4"/>
      <c r="H212" s="4"/>
      <c r="I212" s="51"/>
      <c r="J212" s="51"/>
      <c r="K212" s="51"/>
      <c r="L212" s="4"/>
      <c r="M212" s="4"/>
      <c r="N212" s="4"/>
      <c r="O212" s="4"/>
      <c r="P212" s="4"/>
      <c r="Q212" s="4"/>
      <c r="R212" s="4"/>
    </row>
    <row r="213" spans="5:18">
      <c r="E213" s="4"/>
      <c r="F213" s="4"/>
      <c r="G213" s="4"/>
      <c r="H213" s="4"/>
      <c r="I213" s="51"/>
      <c r="J213" s="51"/>
      <c r="K213" s="51"/>
      <c r="L213" s="4"/>
      <c r="M213" s="4"/>
      <c r="N213" s="4"/>
      <c r="O213" s="4"/>
      <c r="P213" s="4"/>
      <c r="Q213" s="4"/>
      <c r="R213" s="4"/>
    </row>
    <row r="214" spans="5:18">
      <c r="E214" s="4"/>
      <c r="F214" s="4"/>
      <c r="G214" s="4"/>
      <c r="H214" s="4"/>
      <c r="I214" s="51"/>
      <c r="J214" s="51"/>
      <c r="K214" s="51"/>
      <c r="L214" s="4"/>
      <c r="M214" s="4"/>
      <c r="N214" s="4"/>
      <c r="O214" s="4"/>
      <c r="P214" s="4"/>
      <c r="Q214" s="4"/>
      <c r="R214" s="4"/>
    </row>
    <row r="215" spans="5:18">
      <c r="E215" s="4"/>
      <c r="F215" s="4"/>
      <c r="G215" s="4"/>
      <c r="H215" s="4"/>
      <c r="I215" s="51"/>
      <c r="J215" s="51"/>
      <c r="K215" s="51"/>
      <c r="L215" s="4"/>
      <c r="M215" s="4"/>
      <c r="N215" s="4"/>
      <c r="O215" s="4"/>
      <c r="P215" s="4"/>
      <c r="Q215" s="4"/>
      <c r="R215" s="4"/>
    </row>
    <row r="216" spans="5:18">
      <c r="E216" s="4"/>
      <c r="F216" s="4"/>
      <c r="G216" s="4"/>
      <c r="H216" s="4"/>
      <c r="I216" s="51"/>
      <c r="J216" s="51"/>
      <c r="K216" s="51"/>
      <c r="L216" s="4"/>
      <c r="M216" s="4"/>
      <c r="N216" s="4"/>
      <c r="O216" s="4"/>
      <c r="P216" s="4"/>
      <c r="Q216" s="4"/>
      <c r="R216" s="4"/>
    </row>
    <row r="217" spans="5:18">
      <c r="E217" s="4"/>
      <c r="F217" s="4"/>
      <c r="G217" s="4"/>
      <c r="H217" s="4"/>
      <c r="I217" s="51"/>
      <c r="J217" s="51"/>
      <c r="K217" s="51"/>
      <c r="L217" s="4"/>
      <c r="M217" s="4"/>
      <c r="N217" s="4"/>
      <c r="O217" s="4"/>
      <c r="P217" s="4"/>
      <c r="Q217" s="4"/>
      <c r="R217" s="4"/>
    </row>
    <row r="218" spans="5:18">
      <c r="E218" s="4"/>
      <c r="F218" s="4"/>
      <c r="G218" s="4"/>
      <c r="H218" s="4"/>
      <c r="I218" s="51"/>
      <c r="J218" s="51"/>
      <c r="K218" s="51"/>
      <c r="L218" s="4"/>
      <c r="M218" s="4"/>
      <c r="N218" s="4"/>
      <c r="O218" s="4"/>
      <c r="P218" s="4"/>
      <c r="Q218" s="4"/>
      <c r="R218" s="4"/>
    </row>
    <row r="219" spans="5:18">
      <c r="E219" s="4"/>
      <c r="F219" s="4"/>
      <c r="G219" s="4"/>
      <c r="H219" s="4"/>
      <c r="I219" s="51"/>
      <c r="J219" s="51"/>
      <c r="K219" s="51"/>
      <c r="L219" s="4"/>
      <c r="M219" s="4"/>
      <c r="N219" s="4"/>
      <c r="O219" s="4"/>
      <c r="P219" s="4"/>
      <c r="Q219" s="4"/>
      <c r="R219" s="4"/>
    </row>
    <row r="220" spans="5:18">
      <c r="E220" s="4"/>
      <c r="F220" s="4"/>
      <c r="G220" s="4"/>
      <c r="H220" s="4"/>
      <c r="I220" s="51"/>
      <c r="J220" s="51"/>
      <c r="K220" s="51"/>
      <c r="L220" s="4"/>
      <c r="M220" s="4"/>
      <c r="N220" s="4"/>
      <c r="O220" s="4"/>
      <c r="P220" s="4"/>
      <c r="Q220" s="4"/>
      <c r="R220" s="4"/>
    </row>
    <row r="221" spans="5:18">
      <c r="E221" s="4"/>
      <c r="F221" s="4"/>
      <c r="G221" s="4"/>
      <c r="H221" s="4"/>
      <c r="I221" s="51"/>
      <c r="J221" s="51"/>
      <c r="K221" s="51"/>
      <c r="L221" s="4"/>
      <c r="M221" s="4"/>
      <c r="N221" s="4"/>
      <c r="O221" s="4"/>
      <c r="P221" s="4"/>
      <c r="Q221" s="4"/>
      <c r="R221" s="4"/>
    </row>
    <row r="222" spans="5:18">
      <c r="E222" s="4"/>
      <c r="F222" s="4"/>
      <c r="G222" s="4"/>
      <c r="H222" s="4"/>
      <c r="I222" s="51"/>
      <c r="J222" s="51"/>
      <c r="K222" s="51"/>
      <c r="L222" s="4"/>
      <c r="M222" s="4"/>
      <c r="N222" s="4"/>
      <c r="O222" s="4"/>
      <c r="P222" s="4"/>
      <c r="Q222" s="4"/>
      <c r="R222" s="4"/>
    </row>
    <row r="223" spans="5:18">
      <c r="E223" s="4"/>
      <c r="F223" s="4"/>
      <c r="G223" s="4"/>
      <c r="H223" s="4"/>
      <c r="I223" s="51"/>
      <c r="J223" s="51"/>
      <c r="K223" s="51"/>
      <c r="L223" s="4"/>
      <c r="M223" s="4"/>
      <c r="N223" s="4"/>
      <c r="O223" s="4"/>
      <c r="P223" s="4"/>
      <c r="Q223" s="4"/>
      <c r="R223" s="4"/>
    </row>
    <row r="224" spans="5:18">
      <c r="E224" s="4"/>
      <c r="F224" s="4"/>
      <c r="G224" s="4"/>
      <c r="H224" s="4"/>
      <c r="I224" s="51"/>
      <c r="J224" s="51"/>
      <c r="K224" s="51"/>
      <c r="L224" s="4"/>
      <c r="M224" s="4"/>
      <c r="N224" s="4"/>
      <c r="O224" s="4"/>
      <c r="P224" s="4"/>
      <c r="Q224" s="4"/>
      <c r="R224" s="4"/>
    </row>
    <row r="225" spans="5:18">
      <c r="E225" s="4"/>
      <c r="F225" s="4"/>
      <c r="G225" s="4"/>
      <c r="H225" s="4"/>
      <c r="I225" s="51"/>
      <c r="J225" s="51"/>
      <c r="K225" s="51"/>
      <c r="L225" s="4"/>
      <c r="M225" s="4"/>
      <c r="N225" s="4"/>
      <c r="O225" s="4"/>
      <c r="P225" s="4"/>
      <c r="Q225" s="4"/>
      <c r="R225" s="4"/>
    </row>
    <row r="226" spans="5:18">
      <c r="E226" s="4"/>
      <c r="F226" s="4"/>
      <c r="G226" s="4"/>
      <c r="H226" s="4"/>
      <c r="I226" s="51"/>
      <c r="J226" s="51"/>
      <c r="K226" s="51"/>
      <c r="L226" s="4"/>
      <c r="M226" s="4"/>
      <c r="N226" s="4"/>
      <c r="O226" s="4"/>
      <c r="P226" s="4"/>
      <c r="Q226" s="4"/>
      <c r="R226" s="4"/>
    </row>
    <row r="227" spans="5:18">
      <c r="E227" s="4"/>
      <c r="F227" s="4"/>
      <c r="G227" s="4"/>
      <c r="H227" s="4"/>
      <c r="I227" s="51"/>
      <c r="J227" s="51"/>
      <c r="K227" s="51"/>
      <c r="L227" s="4"/>
      <c r="M227" s="4"/>
      <c r="N227" s="4"/>
      <c r="O227" s="4"/>
      <c r="P227" s="4"/>
      <c r="Q227" s="4"/>
      <c r="R227" s="4"/>
    </row>
    <row r="228" spans="5:18">
      <c r="E228" s="4"/>
      <c r="F228" s="4"/>
      <c r="G228" s="4"/>
      <c r="H228" s="4"/>
      <c r="I228" s="51"/>
      <c r="J228" s="51"/>
      <c r="K228" s="51"/>
      <c r="L228" s="4"/>
      <c r="M228" s="4"/>
      <c r="N228" s="4"/>
      <c r="O228" s="4"/>
      <c r="P228" s="4"/>
      <c r="Q228" s="4"/>
      <c r="R228" s="4"/>
    </row>
    <row r="229" spans="5:18">
      <c r="E229" s="4"/>
      <c r="F229" s="4"/>
      <c r="G229" s="4"/>
      <c r="H229" s="4"/>
      <c r="I229" s="51"/>
      <c r="J229" s="51"/>
      <c r="K229" s="51"/>
      <c r="L229" s="4"/>
      <c r="M229" s="4"/>
      <c r="N229" s="4"/>
      <c r="O229" s="4"/>
      <c r="P229" s="4"/>
      <c r="Q229" s="4"/>
      <c r="R229" s="4"/>
    </row>
    <row r="230" spans="5:18">
      <c r="E230" s="4"/>
      <c r="F230" s="4"/>
      <c r="G230" s="4"/>
      <c r="H230" s="4"/>
      <c r="I230" s="51"/>
      <c r="J230" s="51"/>
      <c r="K230" s="51"/>
      <c r="L230" s="4"/>
      <c r="M230" s="4"/>
      <c r="N230" s="4"/>
      <c r="O230" s="4"/>
      <c r="P230" s="4"/>
      <c r="Q230" s="4"/>
      <c r="R230" s="4"/>
    </row>
    <row r="231" spans="5:18">
      <c r="E231" s="4"/>
      <c r="F231" s="4"/>
      <c r="G231" s="4"/>
      <c r="H231" s="4"/>
      <c r="I231" s="51"/>
      <c r="J231" s="51"/>
      <c r="K231" s="51"/>
      <c r="L231" s="4"/>
      <c r="M231" s="4"/>
      <c r="N231" s="4"/>
      <c r="O231" s="4"/>
      <c r="P231" s="4"/>
      <c r="Q231" s="4"/>
      <c r="R231" s="4"/>
    </row>
    <row r="232" spans="5:18">
      <c r="E232" s="4"/>
      <c r="F232" s="4"/>
      <c r="G232" s="4"/>
      <c r="H232" s="4"/>
      <c r="I232" s="51"/>
      <c r="J232" s="51"/>
      <c r="K232" s="51"/>
      <c r="L232" s="4"/>
      <c r="M232" s="4"/>
      <c r="N232" s="4"/>
      <c r="O232" s="4"/>
      <c r="P232" s="4"/>
      <c r="Q232" s="4"/>
      <c r="R232" s="4"/>
    </row>
    <row r="233" spans="5:18">
      <c r="E233" s="4"/>
      <c r="F233" s="4"/>
      <c r="G233" s="4"/>
      <c r="H233" s="4"/>
      <c r="I233" s="51"/>
      <c r="J233" s="51"/>
      <c r="K233" s="51"/>
      <c r="L233" s="4"/>
      <c r="M233" s="4"/>
      <c r="N233" s="4"/>
      <c r="O233" s="4"/>
      <c r="P233" s="4"/>
      <c r="Q233" s="4"/>
      <c r="R233" s="4"/>
    </row>
    <row r="234" spans="5:18">
      <c r="E234" s="4"/>
      <c r="F234" s="4"/>
      <c r="G234" s="4"/>
      <c r="H234" s="4"/>
      <c r="I234" s="51"/>
      <c r="J234" s="51"/>
      <c r="K234" s="51"/>
      <c r="L234" s="4"/>
      <c r="M234" s="4"/>
      <c r="N234" s="4"/>
      <c r="O234" s="4"/>
      <c r="P234" s="4"/>
      <c r="Q234" s="4"/>
      <c r="R234" s="4"/>
    </row>
    <row r="235" spans="5:18">
      <c r="E235" s="4"/>
      <c r="F235" s="4"/>
      <c r="G235" s="4"/>
      <c r="H235" s="4"/>
      <c r="I235" s="51"/>
      <c r="J235" s="51"/>
      <c r="K235" s="51"/>
      <c r="L235" s="4"/>
      <c r="M235" s="4"/>
      <c r="N235" s="4"/>
      <c r="O235" s="4"/>
      <c r="P235" s="4"/>
      <c r="Q235" s="4"/>
      <c r="R235" s="4"/>
    </row>
    <row r="236" spans="5:18">
      <c r="E236" s="4"/>
      <c r="F236" s="4"/>
      <c r="G236" s="4"/>
      <c r="H236" s="4"/>
      <c r="I236" s="51"/>
      <c r="J236" s="51"/>
      <c r="K236" s="51"/>
      <c r="L236" s="4"/>
      <c r="M236" s="4"/>
      <c r="N236" s="4"/>
      <c r="O236" s="4"/>
      <c r="P236" s="4"/>
      <c r="Q236" s="4"/>
      <c r="R236" s="4"/>
    </row>
    <row r="237" spans="5:18">
      <c r="E237" s="4"/>
      <c r="F237" s="4"/>
      <c r="G237" s="4"/>
      <c r="H237" s="4"/>
      <c r="I237" s="51"/>
      <c r="J237" s="51"/>
      <c r="K237" s="51"/>
      <c r="L237" s="4"/>
      <c r="M237" s="4"/>
      <c r="N237" s="4"/>
      <c r="O237" s="4"/>
      <c r="P237" s="4"/>
      <c r="Q237" s="4"/>
      <c r="R237" s="4"/>
    </row>
    <row r="238" spans="5:18">
      <c r="E238" s="4"/>
      <c r="F238" s="4"/>
      <c r="G238" s="4"/>
      <c r="H238" s="4"/>
      <c r="I238" s="51"/>
      <c r="J238" s="51"/>
      <c r="K238" s="51"/>
      <c r="L238" s="4"/>
      <c r="M238" s="4"/>
      <c r="N238" s="4"/>
      <c r="O238" s="4"/>
      <c r="P238" s="4"/>
      <c r="Q238" s="4"/>
      <c r="R238" s="4"/>
    </row>
    <row r="239" spans="5:18">
      <c r="E239" s="4"/>
      <c r="F239" s="4"/>
      <c r="G239" s="4"/>
      <c r="H239" s="4"/>
      <c r="I239" s="51"/>
      <c r="J239" s="51"/>
      <c r="K239" s="51"/>
      <c r="L239" s="4"/>
      <c r="M239" s="4"/>
      <c r="N239" s="4"/>
      <c r="O239" s="4"/>
      <c r="P239" s="4"/>
      <c r="Q239" s="4"/>
      <c r="R239" s="4"/>
    </row>
    <row r="240" spans="5:18">
      <c r="E240" s="4"/>
      <c r="F240" s="4"/>
      <c r="G240" s="4"/>
      <c r="H240" s="4"/>
      <c r="I240" s="51"/>
      <c r="J240" s="51"/>
      <c r="K240" s="51"/>
      <c r="L240" s="4"/>
      <c r="M240" s="4"/>
      <c r="N240" s="4"/>
      <c r="O240" s="4"/>
      <c r="P240" s="4"/>
      <c r="Q240" s="4"/>
      <c r="R240" s="4"/>
    </row>
    <row r="241" spans="5:18">
      <c r="E241" s="4"/>
      <c r="F241" s="4"/>
      <c r="G241" s="4"/>
      <c r="H241" s="4"/>
      <c r="I241" s="51"/>
      <c r="J241" s="51"/>
      <c r="K241" s="51"/>
      <c r="L241" s="4"/>
      <c r="M241" s="4"/>
      <c r="N241" s="4"/>
      <c r="O241" s="4"/>
      <c r="P241" s="4"/>
      <c r="Q241" s="4"/>
      <c r="R241" s="4"/>
    </row>
    <row r="242" spans="5:18">
      <c r="E242" s="4"/>
      <c r="F242" s="4"/>
      <c r="G242" s="4"/>
      <c r="H242" s="4"/>
      <c r="I242" s="51"/>
      <c r="J242" s="51"/>
      <c r="K242" s="51"/>
      <c r="L242" s="4"/>
      <c r="M242" s="4"/>
      <c r="N242" s="4"/>
      <c r="O242" s="4"/>
      <c r="P242" s="4"/>
      <c r="Q242" s="4"/>
      <c r="R242" s="4"/>
    </row>
    <row r="243" spans="5:18">
      <c r="E243" s="4"/>
      <c r="F243" s="4"/>
      <c r="G243" s="4"/>
      <c r="H243" s="4"/>
      <c r="I243" s="51"/>
      <c r="J243" s="51"/>
      <c r="K243" s="51"/>
      <c r="L243" s="4"/>
      <c r="M243" s="4"/>
      <c r="N243" s="4"/>
      <c r="O243" s="4"/>
      <c r="P243" s="4"/>
      <c r="Q243" s="4"/>
      <c r="R243" s="4"/>
    </row>
    <row r="244" spans="5:18">
      <c r="E244" s="4"/>
      <c r="F244" s="4"/>
      <c r="G244" s="4"/>
      <c r="H244" s="4"/>
      <c r="I244" s="51"/>
      <c r="J244" s="51"/>
      <c r="K244" s="51"/>
      <c r="L244" s="4"/>
      <c r="M244" s="4"/>
      <c r="N244" s="4"/>
      <c r="O244" s="4"/>
      <c r="P244" s="4"/>
      <c r="Q244" s="4"/>
      <c r="R244" s="4"/>
    </row>
    <row r="245" spans="5:18">
      <c r="E245" s="4"/>
      <c r="F245" s="4"/>
      <c r="G245" s="4"/>
      <c r="H245" s="4"/>
      <c r="I245" s="51"/>
      <c r="J245" s="51"/>
      <c r="K245" s="51"/>
      <c r="L245" s="4"/>
      <c r="M245" s="4"/>
      <c r="N245" s="4"/>
      <c r="O245" s="4"/>
      <c r="P245" s="4"/>
      <c r="Q245" s="4"/>
      <c r="R245" s="4"/>
    </row>
    <row r="246" spans="5:18">
      <c r="E246" s="4"/>
      <c r="F246" s="4"/>
      <c r="G246" s="4"/>
      <c r="H246" s="4"/>
      <c r="I246" s="51"/>
      <c r="J246" s="51"/>
      <c r="K246" s="51"/>
      <c r="L246" s="4"/>
      <c r="M246" s="4"/>
      <c r="N246" s="4"/>
      <c r="O246" s="4"/>
      <c r="P246" s="4"/>
      <c r="Q246" s="4"/>
      <c r="R246" s="4"/>
    </row>
    <row r="247" spans="5:18">
      <c r="E247" s="4"/>
      <c r="F247" s="4"/>
      <c r="G247" s="4"/>
      <c r="H247" s="4"/>
      <c r="I247" s="51"/>
      <c r="J247" s="51"/>
      <c r="K247" s="51"/>
      <c r="L247" s="4"/>
      <c r="M247" s="4"/>
      <c r="N247" s="4"/>
      <c r="O247" s="4"/>
      <c r="P247" s="4"/>
      <c r="Q247" s="4"/>
      <c r="R247" s="4"/>
    </row>
    <row r="248" spans="5:18">
      <c r="E248" s="4"/>
      <c r="F248" s="4"/>
      <c r="G248" s="4"/>
      <c r="H248" s="4"/>
      <c r="I248" s="51"/>
      <c r="J248" s="51"/>
      <c r="K248" s="51"/>
      <c r="L248" s="4"/>
      <c r="M248" s="4"/>
      <c r="N248" s="4"/>
      <c r="O248" s="4"/>
      <c r="P248" s="4"/>
      <c r="Q248" s="4"/>
      <c r="R248" s="4"/>
    </row>
    <row r="249" spans="5:18">
      <c r="E249" s="4"/>
      <c r="F249" s="4"/>
      <c r="G249" s="4"/>
      <c r="H249" s="4"/>
      <c r="I249" s="51"/>
      <c r="J249" s="51"/>
      <c r="K249" s="51"/>
      <c r="L249" s="4"/>
      <c r="M249" s="4"/>
      <c r="N249" s="4"/>
      <c r="O249" s="4"/>
      <c r="P249" s="4"/>
      <c r="Q249" s="4"/>
      <c r="R249" s="4"/>
    </row>
    <row r="250" spans="5:18">
      <c r="E250" s="4"/>
      <c r="F250" s="4"/>
      <c r="G250" s="4"/>
      <c r="H250" s="4"/>
      <c r="I250" s="51"/>
      <c r="J250" s="51"/>
      <c r="K250" s="51"/>
      <c r="L250" s="4"/>
      <c r="M250" s="4"/>
      <c r="N250" s="4"/>
      <c r="O250" s="4"/>
      <c r="P250" s="4"/>
      <c r="Q250" s="4"/>
      <c r="R250" s="4"/>
    </row>
    <row r="251" spans="5:18">
      <c r="E251" s="4"/>
      <c r="F251" s="4"/>
      <c r="G251" s="4"/>
      <c r="H251" s="4"/>
      <c r="I251" s="51"/>
      <c r="J251" s="51"/>
      <c r="K251" s="51"/>
      <c r="L251" s="4"/>
      <c r="M251" s="4"/>
      <c r="N251" s="4"/>
      <c r="O251" s="4"/>
      <c r="P251" s="4"/>
      <c r="Q251" s="4"/>
      <c r="R251" s="4"/>
    </row>
    <row r="252" spans="5:18">
      <c r="E252" s="4"/>
      <c r="F252" s="4"/>
      <c r="G252" s="4"/>
      <c r="H252" s="4"/>
      <c r="I252" s="51"/>
      <c r="J252" s="51"/>
      <c r="K252" s="51"/>
      <c r="L252" s="4"/>
      <c r="M252" s="4"/>
      <c r="N252" s="4"/>
      <c r="O252" s="4"/>
      <c r="P252" s="4"/>
      <c r="Q252" s="4"/>
      <c r="R252" s="4"/>
    </row>
    <row r="253" spans="5:18">
      <c r="E253" s="4"/>
      <c r="F253" s="4"/>
      <c r="G253" s="4"/>
      <c r="H253" s="4"/>
      <c r="I253" s="51"/>
      <c r="J253" s="51"/>
      <c r="K253" s="51"/>
      <c r="L253" s="4"/>
      <c r="M253" s="4"/>
      <c r="N253" s="4"/>
      <c r="O253" s="4"/>
      <c r="P253" s="4"/>
      <c r="Q253" s="4"/>
      <c r="R253" s="4"/>
    </row>
    <row r="254" spans="5:18">
      <c r="E254" s="4"/>
      <c r="F254" s="4"/>
      <c r="G254" s="4"/>
      <c r="H254" s="4"/>
      <c r="I254" s="51"/>
      <c r="J254" s="51"/>
      <c r="K254" s="51"/>
      <c r="L254" s="4"/>
      <c r="M254" s="4"/>
      <c r="N254" s="4"/>
      <c r="O254" s="4"/>
      <c r="P254" s="4"/>
      <c r="Q254" s="4"/>
      <c r="R254" s="4"/>
    </row>
    <row r="255" spans="5:18">
      <c r="E255" s="4"/>
      <c r="F255" s="4"/>
      <c r="G255" s="4"/>
      <c r="H255" s="4"/>
      <c r="I255" s="51"/>
      <c r="J255" s="51"/>
      <c r="K255" s="51"/>
      <c r="L255" s="4"/>
      <c r="M255" s="4"/>
      <c r="N255" s="4"/>
      <c r="O255" s="4"/>
      <c r="P255" s="4"/>
      <c r="Q255" s="4"/>
      <c r="R255" s="4"/>
    </row>
    <row r="256" spans="5:18">
      <c r="E256" s="4"/>
      <c r="F256" s="4"/>
      <c r="G256" s="4"/>
      <c r="H256" s="4"/>
      <c r="I256" s="51"/>
      <c r="J256" s="51"/>
      <c r="K256" s="51"/>
      <c r="L256" s="4"/>
      <c r="M256" s="4"/>
      <c r="N256" s="4"/>
      <c r="O256" s="4"/>
      <c r="P256" s="4"/>
      <c r="Q256" s="4"/>
      <c r="R256" s="4"/>
    </row>
    <row r="257" spans="5:18">
      <c r="E257" s="4"/>
      <c r="F257" s="4"/>
      <c r="G257" s="4"/>
      <c r="H257" s="4"/>
      <c r="I257" s="51"/>
      <c r="J257" s="51"/>
      <c r="K257" s="51"/>
      <c r="L257" s="4"/>
      <c r="M257" s="4"/>
      <c r="N257" s="4"/>
      <c r="O257" s="4"/>
      <c r="P257" s="4"/>
      <c r="Q257" s="4"/>
      <c r="R257" s="4"/>
    </row>
    <row r="258" spans="5:18">
      <c r="E258" s="4"/>
      <c r="F258" s="4"/>
      <c r="G258" s="4"/>
      <c r="H258" s="4"/>
      <c r="I258" s="51"/>
      <c r="J258" s="51"/>
      <c r="K258" s="51"/>
      <c r="L258" s="4"/>
      <c r="M258" s="4"/>
      <c r="N258" s="4"/>
      <c r="O258" s="4"/>
      <c r="P258" s="4"/>
      <c r="Q258" s="4"/>
      <c r="R258" s="4"/>
    </row>
    <row r="259" spans="5:18">
      <c r="E259" s="4"/>
      <c r="F259" s="4"/>
      <c r="G259" s="4"/>
      <c r="H259" s="4"/>
      <c r="I259" s="51"/>
      <c r="J259" s="51"/>
      <c r="K259" s="51"/>
      <c r="L259" s="4"/>
      <c r="M259" s="4"/>
      <c r="N259" s="4"/>
      <c r="O259" s="4"/>
      <c r="P259" s="4"/>
      <c r="Q259" s="4"/>
      <c r="R259" s="4"/>
    </row>
    <row r="260" spans="5:18">
      <c r="E260" s="4"/>
      <c r="F260" s="4"/>
      <c r="G260" s="4"/>
      <c r="H260" s="4"/>
      <c r="I260" s="51"/>
      <c r="J260" s="51"/>
      <c r="K260" s="51"/>
      <c r="L260" s="4"/>
      <c r="M260" s="4"/>
      <c r="N260" s="4"/>
      <c r="O260" s="4"/>
      <c r="P260" s="4"/>
      <c r="Q260" s="4"/>
      <c r="R260" s="4"/>
    </row>
    <row r="261" spans="5:18">
      <c r="E261" s="4"/>
      <c r="F261" s="4"/>
      <c r="G261" s="4"/>
      <c r="H261" s="4"/>
      <c r="I261" s="51"/>
      <c r="J261" s="51"/>
      <c r="K261" s="51"/>
      <c r="L261" s="4"/>
      <c r="M261" s="4"/>
      <c r="N261" s="4"/>
      <c r="O261" s="4"/>
      <c r="P261" s="4"/>
      <c r="Q261" s="4"/>
      <c r="R261" s="4"/>
    </row>
    <row r="262" spans="5:18">
      <c r="E262" s="4"/>
      <c r="F262" s="4"/>
      <c r="G262" s="4"/>
      <c r="H262" s="4"/>
      <c r="I262" s="51"/>
      <c r="J262" s="51"/>
      <c r="K262" s="51"/>
      <c r="L262" s="4"/>
      <c r="M262" s="4"/>
      <c r="N262" s="4"/>
      <c r="O262" s="4"/>
      <c r="P262" s="4"/>
      <c r="Q262" s="4"/>
      <c r="R262" s="4"/>
    </row>
    <row r="263" spans="5:18">
      <c r="E263" s="4"/>
      <c r="F263" s="4"/>
      <c r="G263" s="4"/>
      <c r="H263" s="4"/>
      <c r="I263" s="51"/>
      <c r="J263" s="51"/>
      <c r="K263" s="51"/>
      <c r="L263" s="4"/>
      <c r="M263" s="4"/>
      <c r="N263" s="4"/>
      <c r="O263" s="4"/>
      <c r="P263" s="4"/>
      <c r="Q263" s="4"/>
      <c r="R263" s="4"/>
    </row>
    <row r="264" spans="5:18">
      <c r="E264" s="4"/>
      <c r="F264" s="4"/>
      <c r="G264" s="4"/>
      <c r="H264" s="4"/>
      <c r="I264" s="51"/>
      <c r="J264" s="51"/>
      <c r="K264" s="51"/>
      <c r="L264" s="4"/>
      <c r="M264" s="4"/>
      <c r="N264" s="4"/>
      <c r="O264" s="4"/>
      <c r="P264" s="4"/>
      <c r="Q264" s="4"/>
      <c r="R264" s="4"/>
    </row>
    <row r="265" spans="5:18">
      <c r="E265" s="4"/>
      <c r="F265" s="4"/>
      <c r="G265" s="4"/>
      <c r="H265" s="4"/>
      <c r="I265" s="51"/>
      <c r="J265" s="51"/>
      <c r="K265" s="51"/>
      <c r="L265" s="4"/>
      <c r="M265" s="4"/>
      <c r="N265" s="4"/>
      <c r="O265" s="4"/>
      <c r="P265" s="4"/>
      <c r="Q265" s="4"/>
      <c r="R265" s="4"/>
    </row>
    <row r="266" spans="5:18">
      <c r="E266" s="4"/>
      <c r="F266" s="4"/>
      <c r="G266" s="4"/>
      <c r="H266" s="4"/>
      <c r="I266" s="51"/>
      <c r="J266" s="51"/>
      <c r="K266" s="51"/>
      <c r="L266" s="4"/>
      <c r="M266" s="4"/>
      <c r="N266" s="4"/>
      <c r="O266" s="4"/>
      <c r="P266" s="4"/>
      <c r="Q266" s="4"/>
      <c r="R266" s="4"/>
    </row>
    <row r="267" spans="5:18">
      <c r="E267" s="4"/>
      <c r="F267" s="4"/>
      <c r="G267" s="4"/>
      <c r="H267" s="4"/>
      <c r="I267" s="51"/>
      <c r="J267" s="51"/>
      <c r="K267" s="51"/>
      <c r="L267" s="4"/>
      <c r="M267" s="4"/>
      <c r="N267" s="4"/>
      <c r="O267" s="4"/>
      <c r="P267" s="4"/>
      <c r="Q267" s="4"/>
      <c r="R267" s="4"/>
    </row>
    <row r="268" spans="5:18">
      <c r="E268" s="4"/>
      <c r="F268" s="4"/>
      <c r="G268" s="4"/>
      <c r="H268" s="4"/>
      <c r="I268" s="51"/>
      <c r="J268" s="51"/>
      <c r="K268" s="51"/>
      <c r="L268" s="4"/>
      <c r="M268" s="4"/>
      <c r="N268" s="4"/>
      <c r="O268" s="4"/>
      <c r="P268" s="4"/>
      <c r="Q268" s="4"/>
      <c r="R268" s="4"/>
    </row>
    <row r="269" spans="5:18">
      <c r="E269" s="4"/>
      <c r="F269" s="4"/>
      <c r="G269" s="4"/>
      <c r="H269" s="4"/>
      <c r="I269" s="51"/>
      <c r="J269" s="51"/>
      <c r="K269" s="51"/>
      <c r="L269" s="4"/>
      <c r="M269" s="4"/>
      <c r="N269" s="4"/>
      <c r="O269" s="4"/>
      <c r="P269" s="4"/>
      <c r="Q269" s="4"/>
      <c r="R269" s="4"/>
    </row>
    <row r="270" spans="5:18">
      <c r="E270" s="4"/>
      <c r="F270" s="4"/>
      <c r="G270" s="4"/>
      <c r="H270" s="4"/>
      <c r="I270" s="51"/>
      <c r="J270" s="51"/>
      <c r="K270" s="51"/>
      <c r="L270" s="4"/>
      <c r="M270" s="4"/>
      <c r="N270" s="4"/>
      <c r="O270" s="4"/>
      <c r="P270" s="4"/>
      <c r="Q270" s="4"/>
      <c r="R270" s="4"/>
    </row>
    <row r="271" spans="5:18">
      <c r="E271" s="4"/>
      <c r="F271" s="4"/>
      <c r="G271" s="4"/>
      <c r="H271" s="4"/>
      <c r="I271" s="51"/>
      <c r="J271" s="51"/>
      <c r="K271" s="51"/>
      <c r="L271" s="4"/>
      <c r="M271" s="4"/>
      <c r="N271" s="4"/>
      <c r="O271" s="4"/>
      <c r="P271" s="4"/>
      <c r="Q271" s="4"/>
      <c r="R271" s="4"/>
    </row>
    <row r="272" spans="5:18">
      <c r="E272" s="4"/>
      <c r="F272" s="4"/>
      <c r="G272" s="4"/>
      <c r="H272" s="4"/>
      <c r="I272" s="51"/>
      <c r="J272" s="51"/>
      <c r="K272" s="51"/>
      <c r="L272" s="4"/>
      <c r="M272" s="4"/>
      <c r="N272" s="4"/>
      <c r="O272" s="4"/>
      <c r="P272" s="4"/>
      <c r="Q272" s="4"/>
      <c r="R272" s="4"/>
    </row>
    <row r="273" spans="5:18">
      <c r="E273" s="4"/>
      <c r="F273" s="4"/>
      <c r="G273" s="4"/>
      <c r="H273" s="4"/>
      <c r="I273" s="51"/>
      <c r="J273" s="51"/>
      <c r="K273" s="51"/>
      <c r="L273" s="4"/>
      <c r="M273" s="4"/>
      <c r="N273" s="4"/>
      <c r="O273" s="4"/>
      <c r="P273" s="4"/>
      <c r="Q273" s="4"/>
      <c r="R273" s="4"/>
    </row>
    <row r="274" spans="5:18">
      <c r="E274" s="4"/>
      <c r="F274" s="4"/>
      <c r="G274" s="4"/>
      <c r="H274" s="4"/>
      <c r="I274" s="51"/>
      <c r="J274" s="51"/>
      <c r="K274" s="51"/>
      <c r="L274" s="4"/>
      <c r="M274" s="4"/>
      <c r="N274" s="4"/>
      <c r="O274" s="4"/>
      <c r="P274" s="4"/>
      <c r="Q274" s="4"/>
      <c r="R274" s="4"/>
    </row>
    <row r="275" spans="5:18">
      <c r="E275" s="4"/>
      <c r="F275" s="4"/>
      <c r="G275" s="4"/>
      <c r="H275" s="4"/>
      <c r="I275" s="51"/>
      <c r="J275" s="51"/>
      <c r="K275" s="51"/>
      <c r="L275" s="4"/>
      <c r="M275" s="4"/>
      <c r="N275" s="4"/>
      <c r="O275" s="4"/>
      <c r="P275" s="4"/>
      <c r="Q275" s="4"/>
      <c r="R275" s="4"/>
    </row>
    <row r="276" spans="5:18">
      <c r="E276" s="4"/>
      <c r="F276" s="4"/>
      <c r="G276" s="4"/>
      <c r="H276" s="4"/>
      <c r="I276" s="51"/>
      <c r="J276" s="51"/>
      <c r="K276" s="51"/>
      <c r="L276" s="4"/>
      <c r="M276" s="4"/>
      <c r="N276" s="4"/>
      <c r="O276" s="4"/>
      <c r="P276" s="4"/>
      <c r="Q276" s="4"/>
      <c r="R276" s="4"/>
    </row>
    <row r="277" spans="5:18">
      <c r="E277" s="4"/>
      <c r="F277" s="4"/>
      <c r="G277" s="4"/>
      <c r="H277" s="4"/>
      <c r="I277" s="51"/>
      <c r="J277" s="51"/>
      <c r="K277" s="51"/>
      <c r="L277" s="4"/>
      <c r="M277" s="4"/>
      <c r="N277" s="4"/>
      <c r="O277" s="4"/>
      <c r="P277" s="4"/>
      <c r="Q277" s="4"/>
      <c r="R277" s="4"/>
    </row>
    <row r="278" spans="5:18">
      <c r="E278" s="4"/>
      <c r="F278" s="4"/>
      <c r="G278" s="4"/>
      <c r="H278" s="4"/>
      <c r="I278" s="51"/>
      <c r="J278" s="51"/>
      <c r="K278" s="51"/>
      <c r="L278" s="4"/>
      <c r="M278" s="4"/>
      <c r="N278" s="4"/>
      <c r="O278" s="4"/>
      <c r="P278" s="4"/>
      <c r="Q278" s="4"/>
      <c r="R278" s="4"/>
    </row>
    <row r="279" spans="5:18">
      <c r="E279" s="4"/>
      <c r="F279" s="4"/>
      <c r="G279" s="4"/>
      <c r="H279" s="4"/>
      <c r="I279" s="51"/>
      <c r="J279" s="51"/>
      <c r="K279" s="51"/>
      <c r="L279" s="4"/>
      <c r="M279" s="4"/>
      <c r="N279" s="4"/>
      <c r="O279" s="4"/>
      <c r="P279" s="4"/>
      <c r="Q279" s="4"/>
      <c r="R279" s="4"/>
    </row>
    <row r="280" spans="5:18">
      <c r="E280" s="4"/>
      <c r="F280" s="4"/>
      <c r="G280" s="4"/>
      <c r="H280" s="4"/>
      <c r="I280" s="51"/>
      <c r="J280" s="51"/>
      <c r="K280" s="51"/>
      <c r="L280" s="4"/>
      <c r="M280" s="4"/>
      <c r="N280" s="4"/>
      <c r="O280" s="4"/>
      <c r="P280" s="4"/>
      <c r="Q280" s="4"/>
      <c r="R280" s="4"/>
    </row>
    <row r="281" spans="5:18">
      <c r="E281" s="4"/>
      <c r="F281" s="4"/>
      <c r="G281" s="4"/>
      <c r="H281" s="4"/>
      <c r="I281" s="51"/>
      <c r="J281" s="51"/>
      <c r="K281" s="51"/>
      <c r="L281" s="4"/>
      <c r="M281" s="4"/>
      <c r="N281" s="4"/>
      <c r="O281" s="4"/>
      <c r="P281" s="4"/>
      <c r="Q281" s="4"/>
      <c r="R281" s="4"/>
    </row>
    <row r="282" spans="5:18">
      <c r="E282" s="4"/>
      <c r="F282" s="4"/>
      <c r="G282" s="4"/>
      <c r="H282" s="4"/>
      <c r="I282" s="51"/>
      <c r="J282" s="51"/>
      <c r="K282" s="51"/>
      <c r="L282" s="4"/>
      <c r="M282" s="4"/>
      <c r="N282" s="4"/>
      <c r="O282" s="4"/>
      <c r="P282" s="4"/>
      <c r="Q282" s="4"/>
      <c r="R282" s="4"/>
    </row>
    <row r="283" spans="5:18">
      <c r="E283" s="4"/>
      <c r="F283" s="4"/>
      <c r="G283" s="4"/>
      <c r="H283" s="4"/>
      <c r="I283" s="51"/>
      <c r="J283" s="51"/>
      <c r="K283" s="51"/>
      <c r="L283" s="4"/>
      <c r="M283" s="4"/>
      <c r="N283" s="4"/>
      <c r="O283" s="4"/>
      <c r="P283" s="4"/>
      <c r="Q283" s="4"/>
      <c r="R283" s="4"/>
    </row>
    <row r="284" spans="5:18">
      <c r="E284" s="4"/>
      <c r="F284" s="4"/>
      <c r="G284" s="4"/>
      <c r="H284" s="4"/>
      <c r="I284" s="51"/>
      <c r="J284" s="51"/>
      <c r="K284" s="51"/>
      <c r="L284" s="4"/>
      <c r="M284" s="4"/>
      <c r="N284" s="4"/>
      <c r="O284" s="4"/>
      <c r="P284" s="4"/>
      <c r="Q284" s="4"/>
      <c r="R284" s="4"/>
    </row>
    <row r="285" spans="5:18">
      <c r="E285" s="4"/>
      <c r="F285" s="4"/>
      <c r="G285" s="4"/>
      <c r="H285" s="4"/>
      <c r="I285" s="51"/>
      <c r="J285" s="51"/>
      <c r="K285" s="51"/>
      <c r="L285" s="4"/>
      <c r="M285" s="4"/>
      <c r="N285" s="4"/>
      <c r="O285" s="4"/>
      <c r="P285" s="4"/>
      <c r="Q285" s="4"/>
      <c r="R285" s="4"/>
    </row>
    <row r="286" spans="5:18">
      <c r="E286" s="4"/>
      <c r="F286" s="4"/>
      <c r="G286" s="4"/>
      <c r="H286" s="4"/>
      <c r="I286" s="51"/>
      <c r="J286" s="51"/>
      <c r="K286" s="51"/>
      <c r="L286" s="4"/>
      <c r="M286" s="4"/>
      <c r="N286" s="4"/>
      <c r="O286" s="4"/>
      <c r="P286" s="4"/>
      <c r="Q286" s="4"/>
      <c r="R286" s="4"/>
    </row>
    <row r="287" spans="5:18">
      <c r="E287" s="4"/>
      <c r="F287" s="4"/>
      <c r="G287" s="4"/>
      <c r="H287" s="4"/>
      <c r="I287" s="51"/>
      <c r="J287" s="51"/>
      <c r="K287" s="51"/>
      <c r="L287" s="4"/>
      <c r="M287" s="4"/>
      <c r="N287" s="4"/>
      <c r="O287" s="4"/>
      <c r="P287" s="4"/>
      <c r="Q287" s="4"/>
      <c r="R287" s="4"/>
    </row>
    <row r="288" spans="5:18">
      <c r="E288" s="4"/>
      <c r="F288" s="4"/>
      <c r="G288" s="4"/>
      <c r="H288" s="4"/>
      <c r="I288" s="51"/>
      <c r="J288" s="51"/>
      <c r="K288" s="51"/>
      <c r="L288" s="4"/>
      <c r="M288" s="4"/>
      <c r="N288" s="4"/>
      <c r="O288" s="4"/>
      <c r="P288" s="4"/>
      <c r="Q288" s="4"/>
      <c r="R288" s="4"/>
    </row>
    <row r="289" spans="5:18">
      <c r="E289" s="4"/>
      <c r="F289" s="4"/>
      <c r="G289" s="4"/>
      <c r="H289" s="4"/>
      <c r="I289" s="51"/>
      <c r="J289" s="51"/>
      <c r="K289" s="51"/>
      <c r="L289" s="4"/>
      <c r="M289" s="4"/>
      <c r="N289" s="4"/>
      <c r="O289" s="4"/>
      <c r="P289" s="4"/>
      <c r="Q289" s="4"/>
      <c r="R289" s="4"/>
    </row>
    <row r="290" spans="5:18">
      <c r="E290" s="4"/>
      <c r="F290" s="4"/>
      <c r="G290" s="4"/>
      <c r="H290" s="4"/>
      <c r="I290" s="51"/>
      <c r="J290" s="51"/>
      <c r="K290" s="51"/>
      <c r="L290" s="4"/>
      <c r="M290" s="4"/>
      <c r="N290" s="4"/>
      <c r="O290" s="4"/>
      <c r="P290" s="4"/>
      <c r="Q290" s="4"/>
      <c r="R290" s="4"/>
    </row>
    <row r="291" spans="5:18">
      <c r="E291" s="4"/>
      <c r="F291" s="4"/>
      <c r="G291" s="4"/>
      <c r="H291" s="4"/>
      <c r="I291" s="51"/>
      <c r="J291" s="51"/>
      <c r="K291" s="51"/>
      <c r="L291" s="4"/>
      <c r="M291" s="4"/>
      <c r="N291" s="4"/>
      <c r="O291" s="4"/>
      <c r="P291" s="4"/>
      <c r="Q291" s="4"/>
      <c r="R291" s="4"/>
    </row>
    <row r="292" spans="5:18">
      <c r="E292" s="4"/>
      <c r="F292" s="4"/>
      <c r="G292" s="4"/>
      <c r="H292" s="4"/>
      <c r="I292" s="51"/>
      <c r="J292" s="51"/>
      <c r="K292" s="51"/>
      <c r="L292" s="4"/>
      <c r="M292" s="4"/>
      <c r="N292" s="4"/>
      <c r="O292" s="4"/>
      <c r="P292" s="4"/>
      <c r="Q292" s="4"/>
      <c r="R292" s="4"/>
    </row>
    <row r="293" spans="5:18">
      <c r="E293" s="4"/>
      <c r="F293" s="4"/>
      <c r="G293" s="4"/>
      <c r="H293" s="4"/>
      <c r="I293" s="51"/>
      <c r="J293" s="51"/>
      <c r="K293" s="51"/>
      <c r="L293" s="4"/>
      <c r="M293" s="4"/>
      <c r="N293" s="4"/>
      <c r="O293" s="4"/>
      <c r="P293" s="4"/>
      <c r="Q293" s="4"/>
      <c r="R293" s="4"/>
    </row>
    <row r="294" spans="5:18">
      <c r="E294" s="4"/>
      <c r="F294" s="4"/>
      <c r="G294" s="4"/>
      <c r="H294" s="4"/>
      <c r="I294" s="51"/>
      <c r="J294" s="51"/>
      <c r="K294" s="51"/>
      <c r="L294" s="4"/>
      <c r="M294" s="4"/>
      <c r="N294" s="4"/>
      <c r="O294" s="4"/>
      <c r="P294" s="4"/>
      <c r="Q294" s="4"/>
      <c r="R294" s="4"/>
    </row>
    <row r="295" spans="5:18">
      <c r="E295" s="4"/>
      <c r="F295" s="4"/>
      <c r="G295" s="4"/>
      <c r="H295" s="4"/>
      <c r="I295" s="51"/>
      <c r="J295" s="51"/>
      <c r="K295" s="51"/>
      <c r="L295" s="4"/>
      <c r="M295" s="4"/>
      <c r="N295" s="4"/>
      <c r="O295" s="4"/>
      <c r="P295" s="4"/>
      <c r="Q295" s="4"/>
      <c r="R295" s="4"/>
    </row>
    <row r="296" spans="5:18">
      <c r="E296" s="4"/>
      <c r="F296" s="4"/>
      <c r="G296" s="4"/>
      <c r="H296" s="4"/>
      <c r="I296" s="51"/>
      <c r="J296" s="51"/>
      <c r="K296" s="51"/>
      <c r="L296" s="4"/>
      <c r="M296" s="4"/>
      <c r="N296" s="4"/>
      <c r="O296" s="4"/>
      <c r="P296" s="4"/>
      <c r="Q296" s="4"/>
      <c r="R296" s="4"/>
    </row>
    <row r="297" spans="5:18">
      <c r="E297" s="4"/>
      <c r="F297" s="4"/>
      <c r="G297" s="4"/>
      <c r="H297" s="4"/>
      <c r="I297" s="51"/>
      <c r="J297" s="51"/>
      <c r="K297" s="51"/>
      <c r="L297" s="4"/>
      <c r="M297" s="4"/>
      <c r="N297" s="4"/>
      <c r="O297" s="4"/>
      <c r="P297" s="4"/>
      <c r="Q297" s="4"/>
      <c r="R297" s="4"/>
    </row>
    <row r="298" spans="5:18">
      <c r="E298" s="4"/>
      <c r="F298" s="4"/>
      <c r="G298" s="4"/>
      <c r="H298" s="4"/>
      <c r="I298" s="51"/>
      <c r="J298" s="51"/>
      <c r="K298" s="51"/>
      <c r="L298" s="4"/>
      <c r="M298" s="4"/>
      <c r="N298" s="4"/>
      <c r="O298" s="4"/>
      <c r="P298" s="4"/>
      <c r="Q298" s="4"/>
      <c r="R298" s="4"/>
    </row>
    <row r="299" spans="5:18">
      <c r="E299" s="4"/>
      <c r="F299" s="4"/>
      <c r="G299" s="4"/>
      <c r="H299" s="4"/>
      <c r="I299" s="51"/>
      <c r="J299" s="51"/>
      <c r="K299" s="51"/>
      <c r="L299" s="4"/>
      <c r="M299" s="4"/>
      <c r="N299" s="4"/>
      <c r="O299" s="4"/>
      <c r="P299" s="4"/>
      <c r="Q299" s="4"/>
      <c r="R299" s="4"/>
    </row>
    <row r="300" spans="5:18">
      <c r="E300" s="4"/>
      <c r="F300" s="4"/>
      <c r="G300" s="4"/>
      <c r="H300" s="4"/>
      <c r="I300" s="51"/>
      <c r="J300" s="51"/>
      <c r="K300" s="51"/>
      <c r="L300" s="4"/>
      <c r="M300" s="4"/>
      <c r="N300" s="4"/>
      <c r="O300" s="4"/>
      <c r="P300" s="4"/>
      <c r="Q300" s="4"/>
      <c r="R300" s="4"/>
    </row>
    <row r="301" spans="5:18">
      <c r="E301" s="4"/>
      <c r="F301" s="4"/>
      <c r="G301" s="4"/>
      <c r="H301" s="4"/>
      <c r="I301" s="51"/>
      <c r="J301" s="51"/>
      <c r="K301" s="51"/>
      <c r="L301" s="4"/>
      <c r="M301" s="4"/>
      <c r="N301" s="4"/>
      <c r="O301" s="4"/>
      <c r="P301" s="4"/>
      <c r="Q301" s="4"/>
      <c r="R301" s="4"/>
    </row>
    <row r="302" spans="5:18">
      <c r="E302" s="4"/>
      <c r="F302" s="4"/>
      <c r="G302" s="4"/>
      <c r="H302" s="4"/>
      <c r="I302" s="51"/>
      <c r="J302" s="51"/>
      <c r="K302" s="51"/>
      <c r="L302" s="4"/>
      <c r="M302" s="4"/>
      <c r="N302" s="4"/>
      <c r="O302" s="4"/>
      <c r="P302" s="4"/>
      <c r="Q302" s="4"/>
      <c r="R302" s="4"/>
    </row>
    <row r="303" spans="5:18">
      <c r="E303" s="4"/>
      <c r="F303" s="4"/>
      <c r="G303" s="4"/>
      <c r="H303" s="4"/>
      <c r="I303" s="51"/>
      <c r="J303" s="51"/>
      <c r="K303" s="51"/>
      <c r="L303" s="4"/>
      <c r="M303" s="4"/>
      <c r="N303" s="4"/>
      <c r="O303" s="4"/>
      <c r="P303" s="4"/>
      <c r="Q303" s="4"/>
      <c r="R303" s="4"/>
    </row>
    <row r="304" spans="5:18">
      <c r="E304" s="4"/>
      <c r="F304" s="4"/>
      <c r="G304" s="4"/>
      <c r="H304" s="4"/>
      <c r="I304" s="51"/>
      <c r="J304" s="51"/>
      <c r="K304" s="51"/>
      <c r="L304" s="4"/>
      <c r="M304" s="4"/>
      <c r="N304" s="4"/>
      <c r="O304" s="4"/>
      <c r="P304" s="4"/>
      <c r="Q304" s="4"/>
      <c r="R304" s="4"/>
    </row>
    <row r="305" spans="5:18">
      <c r="E305" s="4"/>
      <c r="F305" s="4"/>
      <c r="G305" s="4"/>
      <c r="H305" s="4"/>
      <c r="I305" s="51"/>
      <c r="J305" s="51"/>
      <c r="K305" s="51"/>
      <c r="L305" s="4"/>
      <c r="M305" s="4"/>
      <c r="N305" s="4"/>
      <c r="O305" s="4"/>
      <c r="P305" s="4"/>
      <c r="Q305" s="4"/>
      <c r="R305" s="4"/>
    </row>
    <row r="306" spans="5:18">
      <c r="E306" s="4"/>
      <c r="F306" s="4"/>
      <c r="G306" s="4"/>
      <c r="H306" s="4"/>
      <c r="I306" s="51"/>
      <c r="J306" s="51"/>
      <c r="K306" s="51"/>
      <c r="L306" s="4"/>
      <c r="M306" s="4"/>
      <c r="N306" s="4"/>
      <c r="O306" s="4"/>
      <c r="P306" s="4"/>
      <c r="Q306" s="4"/>
      <c r="R306" s="4"/>
    </row>
    <row r="307" spans="5:18">
      <c r="E307" s="4"/>
      <c r="F307" s="4"/>
      <c r="G307" s="4"/>
      <c r="H307" s="4"/>
      <c r="I307" s="51"/>
      <c r="J307" s="51"/>
      <c r="K307" s="51"/>
      <c r="L307" s="4"/>
      <c r="M307" s="4"/>
      <c r="N307" s="4"/>
      <c r="O307" s="4"/>
      <c r="P307" s="4"/>
      <c r="Q307" s="4"/>
      <c r="R307" s="4"/>
    </row>
    <row r="308" spans="5:18">
      <c r="E308" s="4"/>
      <c r="F308" s="4"/>
      <c r="G308" s="4"/>
      <c r="H308" s="4"/>
      <c r="I308" s="51"/>
      <c r="J308" s="51"/>
      <c r="K308" s="51"/>
      <c r="L308" s="4"/>
      <c r="M308" s="4"/>
      <c r="N308" s="4"/>
      <c r="O308" s="4"/>
      <c r="P308" s="4"/>
      <c r="Q308" s="4"/>
      <c r="R308" s="4"/>
    </row>
    <row r="309" spans="5:18">
      <c r="E309" s="4"/>
      <c r="F309" s="4"/>
      <c r="G309" s="4"/>
      <c r="H309" s="4"/>
      <c r="I309" s="51"/>
      <c r="J309" s="51"/>
      <c r="K309" s="51"/>
      <c r="L309" s="4"/>
      <c r="M309" s="4"/>
      <c r="N309" s="4"/>
      <c r="O309" s="4"/>
      <c r="P309" s="4"/>
      <c r="Q309" s="4"/>
      <c r="R309" s="4"/>
    </row>
    <row r="310" spans="5:18">
      <c r="E310" s="4"/>
      <c r="F310" s="4"/>
      <c r="G310" s="4"/>
      <c r="H310" s="4"/>
      <c r="I310" s="51"/>
      <c r="J310" s="51"/>
      <c r="K310" s="51"/>
      <c r="L310" s="4"/>
      <c r="M310" s="4"/>
      <c r="N310" s="4"/>
      <c r="O310" s="4"/>
      <c r="P310" s="4"/>
      <c r="Q310" s="4"/>
      <c r="R310" s="4"/>
    </row>
    <row r="311" spans="5:18">
      <c r="E311" s="4"/>
      <c r="F311" s="4"/>
      <c r="G311" s="4"/>
      <c r="H311" s="4"/>
      <c r="I311" s="51"/>
      <c r="J311" s="51"/>
      <c r="K311" s="51"/>
      <c r="L311" s="4"/>
      <c r="M311" s="4"/>
      <c r="N311" s="4"/>
      <c r="O311" s="4"/>
      <c r="P311" s="4"/>
      <c r="Q311" s="4"/>
      <c r="R311" s="4"/>
    </row>
    <row r="312" spans="5:18">
      <c r="E312" s="4"/>
      <c r="F312" s="4"/>
      <c r="G312" s="4"/>
      <c r="H312" s="4"/>
      <c r="I312" s="51"/>
      <c r="J312" s="51"/>
      <c r="K312" s="51"/>
      <c r="L312" s="4"/>
      <c r="M312" s="4"/>
      <c r="N312" s="4"/>
      <c r="O312" s="4"/>
      <c r="P312" s="4"/>
      <c r="Q312" s="4"/>
      <c r="R312" s="4"/>
    </row>
    <row r="313" spans="5:18">
      <c r="E313" s="4"/>
      <c r="F313" s="4"/>
      <c r="G313" s="4"/>
      <c r="H313" s="4"/>
      <c r="I313" s="51"/>
      <c r="J313" s="51"/>
      <c r="K313" s="51"/>
      <c r="L313" s="4"/>
      <c r="M313" s="4"/>
      <c r="N313" s="4"/>
      <c r="O313" s="4"/>
      <c r="P313" s="4"/>
      <c r="Q313" s="4"/>
      <c r="R313" s="4"/>
    </row>
    <row r="314" spans="5:18">
      <c r="E314" s="4"/>
      <c r="F314" s="4"/>
      <c r="G314" s="4"/>
      <c r="H314" s="4"/>
      <c r="I314" s="51"/>
      <c r="J314" s="51"/>
      <c r="K314" s="51"/>
      <c r="L314" s="4"/>
      <c r="M314" s="4"/>
      <c r="N314" s="4"/>
      <c r="O314" s="4"/>
      <c r="P314" s="4"/>
      <c r="Q314" s="4"/>
      <c r="R314" s="4"/>
    </row>
    <row r="315" spans="5:18">
      <c r="E315" s="4"/>
      <c r="F315" s="4"/>
      <c r="G315" s="4"/>
      <c r="H315" s="4"/>
      <c r="I315" s="51"/>
      <c r="J315" s="51"/>
      <c r="K315" s="51"/>
      <c r="L315" s="4"/>
      <c r="M315" s="4"/>
      <c r="N315" s="4"/>
      <c r="O315" s="4"/>
      <c r="P315" s="4"/>
      <c r="Q315" s="4"/>
      <c r="R315" s="4"/>
    </row>
    <row r="316" spans="5:18">
      <c r="E316" s="4"/>
      <c r="F316" s="4"/>
      <c r="G316" s="4"/>
      <c r="H316" s="4"/>
      <c r="I316" s="51"/>
      <c r="J316" s="51"/>
      <c r="K316" s="51"/>
      <c r="L316" s="4"/>
      <c r="M316" s="4"/>
      <c r="N316" s="4"/>
      <c r="O316" s="4"/>
      <c r="P316" s="4"/>
      <c r="Q316" s="4"/>
      <c r="R316" s="4"/>
    </row>
    <row r="317" spans="5:18">
      <c r="E317" s="4"/>
      <c r="F317" s="4"/>
      <c r="G317" s="4"/>
      <c r="H317" s="4"/>
      <c r="I317" s="51"/>
      <c r="J317" s="51"/>
      <c r="K317" s="51"/>
      <c r="L317" s="4"/>
      <c r="M317" s="4"/>
      <c r="N317" s="4"/>
      <c r="O317" s="4"/>
      <c r="P317" s="4"/>
      <c r="Q317" s="4"/>
      <c r="R317" s="4"/>
    </row>
    <row r="318" spans="5:18">
      <c r="E318" s="4"/>
      <c r="F318" s="4"/>
      <c r="G318" s="4"/>
      <c r="H318" s="4"/>
      <c r="I318" s="51"/>
      <c r="J318" s="51"/>
      <c r="K318" s="51"/>
      <c r="L318" s="4"/>
      <c r="M318" s="4"/>
      <c r="N318" s="4"/>
      <c r="O318" s="4"/>
      <c r="P318" s="4"/>
      <c r="Q318" s="4"/>
      <c r="R318" s="4"/>
    </row>
    <row r="319" spans="5:18">
      <c r="E319" s="4"/>
      <c r="F319" s="4"/>
      <c r="G319" s="4"/>
      <c r="H319" s="4"/>
      <c r="I319" s="51"/>
      <c r="J319" s="51"/>
      <c r="K319" s="51"/>
      <c r="L319" s="4"/>
      <c r="M319" s="4"/>
      <c r="N319" s="4"/>
      <c r="O319" s="4"/>
      <c r="P319" s="4"/>
      <c r="Q319" s="4"/>
      <c r="R319" s="4"/>
    </row>
    <row r="320" spans="5:18">
      <c r="E320" s="4"/>
      <c r="F320" s="4"/>
      <c r="G320" s="4"/>
      <c r="H320" s="4"/>
      <c r="I320" s="51"/>
      <c r="J320" s="51"/>
      <c r="K320" s="51"/>
      <c r="L320" s="4"/>
      <c r="M320" s="4"/>
      <c r="N320" s="4"/>
      <c r="O320" s="4"/>
      <c r="P320" s="4"/>
      <c r="Q320" s="4"/>
      <c r="R320" s="4"/>
    </row>
    <row r="321" spans="5:18">
      <c r="E321" s="4"/>
      <c r="F321" s="4"/>
      <c r="G321" s="4"/>
      <c r="H321" s="4"/>
      <c r="I321" s="51"/>
      <c r="J321" s="51"/>
      <c r="K321" s="51"/>
      <c r="L321" s="4"/>
      <c r="M321" s="4"/>
      <c r="N321" s="4"/>
      <c r="O321" s="4"/>
      <c r="P321" s="4"/>
      <c r="Q321" s="4"/>
      <c r="R321" s="4"/>
    </row>
    <row r="322" spans="5:18">
      <c r="E322" s="4"/>
      <c r="F322" s="4"/>
      <c r="G322" s="4"/>
      <c r="H322" s="4"/>
      <c r="I322" s="51"/>
      <c r="J322" s="51"/>
      <c r="K322" s="51"/>
      <c r="L322" s="4"/>
      <c r="M322" s="4"/>
      <c r="N322" s="4"/>
      <c r="O322" s="4"/>
      <c r="P322" s="4"/>
      <c r="Q322" s="4"/>
      <c r="R322" s="4"/>
    </row>
    <row r="323" spans="5:18">
      <c r="E323" s="4"/>
      <c r="F323" s="4"/>
      <c r="G323" s="4"/>
      <c r="H323" s="4"/>
      <c r="I323" s="51"/>
      <c r="J323" s="51"/>
      <c r="K323" s="51"/>
      <c r="L323" s="4"/>
      <c r="M323" s="4"/>
      <c r="N323" s="4"/>
      <c r="O323" s="4"/>
      <c r="P323" s="4"/>
      <c r="Q323" s="4"/>
      <c r="R323" s="4"/>
    </row>
    <row r="324" spans="5:18">
      <c r="E324" s="4"/>
      <c r="F324" s="4"/>
      <c r="G324" s="4"/>
      <c r="H324" s="4"/>
      <c r="I324" s="51"/>
      <c r="J324" s="51"/>
      <c r="K324" s="51"/>
      <c r="L324" s="4"/>
      <c r="M324" s="4"/>
      <c r="N324" s="4"/>
      <c r="O324" s="4"/>
      <c r="P324" s="4"/>
      <c r="Q324" s="4"/>
      <c r="R324" s="4"/>
    </row>
    <row r="325" spans="5:18">
      <c r="E325" s="4"/>
      <c r="F325" s="4"/>
      <c r="G325" s="4"/>
      <c r="H325" s="4"/>
      <c r="I325" s="51"/>
      <c r="J325" s="51"/>
      <c r="K325" s="51"/>
      <c r="L325" s="4"/>
      <c r="M325" s="4"/>
      <c r="N325" s="4"/>
      <c r="O325" s="4"/>
      <c r="P325" s="4"/>
      <c r="Q325" s="4"/>
      <c r="R325" s="4"/>
    </row>
    <row r="326" spans="5:18">
      <c r="E326" s="4"/>
      <c r="F326" s="4"/>
      <c r="G326" s="4"/>
      <c r="H326" s="4"/>
      <c r="I326" s="51"/>
      <c r="J326" s="51"/>
      <c r="K326" s="51"/>
      <c r="L326" s="4"/>
      <c r="M326" s="4"/>
      <c r="N326" s="4"/>
      <c r="O326" s="4"/>
      <c r="P326" s="4"/>
      <c r="Q326" s="4"/>
      <c r="R326" s="4"/>
    </row>
    <row r="327" spans="5:18">
      <c r="E327" s="4"/>
      <c r="F327" s="4"/>
      <c r="G327" s="4"/>
      <c r="H327" s="4"/>
      <c r="I327" s="51"/>
      <c r="J327" s="51"/>
      <c r="K327" s="51"/>
      <c r="L327" s="4"/>
      <c r="M327" s="4"/>
      <c r="N327" s="4"/>
      <c r="O327" s="4"/>
      <c r="P327" s="4"/>
      <c r="Q327" s="4"/>
      <c r="R327" s="4"/>
    </row>
    <row r="328" spans="5:18">
      <c r="E328" s="4"/>
      <c r="F328" s="4"/>
      <c r="G328" s="4"/>
      <c r="H328" s="4"/>
      <c r="I328" s="51"/>
      <c r="J328" s="51"/>
      <c r="K328" s="51"/>
      <c r="L328" s="4"/>
      <c r="M328" s="4"/>
      <c r="N328" s="4"/>
      <c r="O328" s="4"/>
      <c r="P328" s="4"/>
      <c r="Q328" s="4"/>
      <c r="R328" s="4"/>
    </row>
    <row r="329" spans="5:18">
      <c r="E329" s="4"/>
      <c r="F329" s="4"/>
      <c r="G329" s="4"/>
      <c r="H329" s="4"/>
      <c r="I329" s="51"/>
      <c r="J329" s="51"/>
      <c r="K329" s="51"/>
      <c r="L329" s="4"/>
      <c r="M329" s="4"/>
      <c r="N329" s="4"/>
      <c r="O329" s="4"/>
      <c r="P329" s="4"/>
      <c r="Q329" s="4"/>
      <c r="R329" s="4"/>
    </row>
    <row r="330" spans="5:18">
      <c r="E330" s="4"/>
      <c r="F330" s="4"/>
      <c r="G330" s="4"/>
      <c r="H330" s="4"/>
      <c r="I330" s="51"/>
      <c r="J330" s="51"/>
      <c r="K330" s="51"/>
      <c r="L330" s="4"/>
      <c r="M330" s="4"/>
      <c r="N330" s="4"/>
      <c r="O330" s="4"/>
      <c r="P330" s="4"/>
      <c r="Q330" s="4"/>
      <c r="R330" s="4"/>
    </row>
    <row r="331" spans="5:18">
      <c r="E331" s="4"/>
      <c r="F331" s="4"/>
      <c r="G331" s="4"/>
      <c r="H331" s="4"/>
      <c r="I331" s="51"/>
      <c r="J331" s="51"/>
      <c r="K331" s="51"/>
      <c r="L331" s="4"/>
      <c r="M331" s="4"/>
      <c r="N331" s="4"/>
      <c r="O331" s="4"/>
      <c r="P331" s="4"/>
      <c r="Q331" s="4"/>
      <c r="R331" s="4"/>
    </row>
    <row r="332" spans="5:18">
      <c r="E332" s="4"/>
      <c r="F332" s="4"/>
      <c r="G332" s="4"/>
      <c r="H332" s="4"/>
      <c r="I332" s="51"/>
      <c r="J332" s="51"/>
      <c r="K332" s="51"/>
      <c r="L332" s="4"/>
      <c r="M332" s="4"/>
      <c r="N332" s="4"/>
      <c r="O332" s="4"/>
      <c r="P332" s="4"/>
      <c r="Q332" s="4"/>
      <c r="R332" s="4"/>
    </row>
    <row r="333" spans="5:18">
      <c r="E333" s="4"/>
      <c r="F333" s="4"/>
      <c r="G333" s="4"/>
      <c r="H333" s="4"/>
      <c r="I333" s="51"/>
      <c r="J333" s="51"/>
      <c r="K333" s="51"/>
      <c r="L333" s="4"/>
      <c r="M333" s="4"/>
      <c r="N333" s="4"/>
      <c r="O333" s="4"/>
      <c r="P333" s="4"/>
      <c r="Q333" s="4"/>
      <c r="R333" s="4"/>
    </row>
    <row r="334" spans="5:18">
      <c r="E334" s="4"/>
      <c r="F334" s="4"/>
      <c r="G334" s="4"/>
      <c r="H334" s="4"/>
      <c r="I334" s="51"/>
      <c r="J334" s="51"/>
      <c r="K334" s="51"/>
      <c r="L334" s="4"/>
      <c r="M334" s="4"/>
      <c r="N334" s="4"/>
      <c r="O334" s="4"/>
      <c r="P334" s="4"/>
      <c r="Q334" s="4"/>
      <c r="R334" s="4"/>
    </row>
    <row r="335" spans="5:18">
      <c r="E335" s="4"/>
      <c r="F335" s="4"/>
      <c r="G335" s="4"/>
      <c r="H335" s="4"/>
      <c r="I335" s="51"/>
      <c r="J335" s="51"/>
      <c r="K335" s="51"/>
      <c r="L335" s="4"/>
      <c r="M335" s="4"/>
      <c r="N335" s="4"/>
      <c r="O335" s="4"/>
      <c r="P335" s="4"/>
      <c r="Q335" s="4"/>
      <c r="R335" s="4"/>
    </row>
    <row r="336" spans="5:18">
      <c r="E336" s="4"/>
      <c r="F336" s="4"/>
      <c r="G336" s="4"/>
      <c r="H336" s="4"/>
      <c r="I336" s="51"/>
      <c r="J336" s="51"/>
      <c r="K336" s="51"/>
      <c r="L336" s="4"/>
      <c r="M336" s="4"/>
      <c r="N336" s="4"/>
      <c r="O336" s="4"/>
      <c r="P336" s="4"/>
      <c r="Q336" s="4"/>
      <c r="R336" s="4"/>
    </row>
    <row r="337" spans="5:18">
      <c r="E337" s="4"/>
      <c r="F337" s="4"/>
      <c r="G337" s="4"/>
      <c r="H337" s="4"/>
      <c r="I337" s="51"/>
      <c r="J337" s="51"/>
      <c r="K337" s="51"/>
      <c r="L337" s="4"/>
      <c r="M337" s="4"/>
      <c r="N337" s="4"/>
      <c r="O337" s="4"/>
      <c r="P337" s="4"/>
      <c r="Q337" s="4"/>
      <c r="R337" s="4"/>
    </row>
    <row r="338" spans="5:18">
      <c r="E338" s="4"/>
      <c r="F338" s="4"/>
      <c r="G338" s="4"/>
      <c r="H338" s="4"/>
      <c r="I338" s="51"/>
      <c r="J338" s="51"/>
      <c r="K338" s="51"/>
      <c r="L338" s="4"/>
      <c r="M338" s="4"/>
      <c r="N338" s="4"/>
      <c r="O338" s="4"/>
      <c r="P338" s="4"/>
      <c r="Q338" s="4"/>
      <c r="R338" s="4"/>
    </row>
    <row r="339" spans="5:18">
      <c r="E339" s="4"/>
      <c r="F339" s="4"/>
      <c r="G339" s="4"/>
      <c r="H339" s="4"/>
      <c r="I339" s="51"/>
      <c r="J339" s="51"/>
      <c r="K339" s="51"/>
      <c r="L339" s="4"/>
      <c r="M339" s="4"/>
      <c r="N339" s="4"/>
      <c r="O339" s="4"/>
      <c r="P339" s="4"/>
      <c r="Q339" s="4"/>
      <c r="R339" s="4"/>
    </row>
    <row r="340" spans="5:18">
      <c r="E340" s="4"/>
      <c r="F340" s="4"/>
      <c r="G340" s="4"/>
      <c r="H340" s="4"/>
      <c r="I340" s="51"/>
      <c r="J340" s="51"/>
      <c r="K340" s="51"/>
      <c r="L340" s="4"/>
      <c r="M340" s="4"/>
      <c r="N340" s="4"/>
      <c r="O340" s="4"/>
      <c r="P340" s="4"/>
      <c r="Q340" s="4"/>
      <c r="R340" s="4"/>
    </row>
    <row r="341" spans="5:18">
      <c r="E341" s="4"/>
      <c r="F341" s="4"/>
      <c r="G341" s="4"/>
      <c r="H341" s="4"/>
      <c r="I341" s="51"/>
      <c r="J341" s="51"/>
      <c r="K341" s="51"/>
      <c r="L341" s="4"/>
      <c r="M341" s="4"/>
      <c r="N341" s="4"/>
      <c r="O341" s="4"/>
      <c r="P341" s="4"/>
      <c r="Q341" s="4"/>
      <c r="R341" s="4"/>
    </row>
    <row r="342" spans="5:18">
      <c r="E342" s="4"/>
      <c r="F342" s="4"/>
      <c r="G342" s="4"/>
      <c r="H342" s="4"/>
      <c r="I342" s="51"/>
      <c r="J342" s="51"/>
      <c r="K342" s="51"/>
      <c r="L342" s="4"/>
      <c r="M342" s="4"/>
      <c r="N342" s="4"/>
      <c r="O342" s="4"/>
      <c r="P342" s="4"/>
      <c r="Q342" s="4"/>
      <c r="R342" s="4"/>
    </row>
    <row r="343" spans="5:18">
      <c r="E343" s="4"/>
      <c r="F343" s="4"/>
      <c r="G343" s="4"/>
      <c r="H343" s="4"/>
      <c r="I343" s="51"/>
      <c r="J343" s="51"/>
      <c r="K343" s="51"/>
      <c r="L343" s="4"/>
      <c r="M343" s="4"/>
      <c r="N343" s="4"/>
      <c r="O343" s="4"/>
      <c r="P343" s="4"/>
      <c r="Q343" s="4"/>
      <c r="R343" s="4"/>
    </row>
    <row r="344" spans="5:18">
      <c r="E344" s="4"/>
      <c r="F344" s="4"/>
      <c r="G344" s="4"/>
      <c r="H344" s="4"/>
      <c r="I344" s="51"/>
      <c r="J344" s="51"/>
      <c r="K344" s="51"/>
      <c r="L344" s="4"/>
      <c r="M344" s="4"/>
      <c r="N344" s="4"/>
      <c r="O344" s="4"/>
      <c r="P344" s="4"/>
      <c r="Q344" s="4"/>
      <c r="R344" s="4"/>
    </row>
    <row r="345" spans="5:18">
      <c r="E345" s="4"/>
      <c r="F345" s="4"/>
      <c r="G345" s="4"/>
      <c r="H345" s="4"/>
      <c r="I345" s="51"/>
      <c r="J345" s="51"/>
      <c r="K345" s="51"/>
      <c r="L345" s="4"/>
      <c r="M345" s="4"/>
      <c r="N345" s="4"/>
      <c r="O345" s="4"/>
      <c r="P345" s="4"/>
      <c r="Q345" s="4"/>
      <c r="R345" s="4"/>
    </row>
    <row r="346" spans="5:18">
      <c r="E346" s="4"/>
      <c r="F346" s="4"/>
      <c r="G346" s="4"/>
      <c r="H346" s="4"/>
      <c r="I346" s="51"/>
      <c r="J346" s="51"/>
      <c r="K346" s="51"/>
      <c r="L346" s="4"/>
      <c r="M346" s="4"/>
      <c r="N346" s="4"/>
      <c r="O346" s="4"/>
      <c r="P346" s="4"/>
      <c r="Q346" s="4"/>
      <c r="R346" s="4"/>
    </row>
    <row r="347" spans="5:18">
      <c r="E347" s="4"/>
      <c r="F347" s="4"/>
      <c r="G347" s="4"/>
      <c r="H347" s="4"/>
      <c r="I347" s="51"/>
      <c r="J347" s="51"/>
      <c r="K347" s="51"/>
      <c r="L347" s="4"/>
      <c r="M347" s="4"/>
      <c r="N347" s="4"/>
      <c r="O347" s="4"/>
      <c r="P347" s="4"/>
      <c r="Q347" s="4"/>
      <c r="R347" s="4"/>
    </row>
    <row r="348" spans="5:18">
      <c r="E348" s="4"/>
      <c r="F348" s="4"/>
      <c r="G348" s="4"/>
      <c r="H348" s="4"/>
      <c r="I348" s="51"/>
      <c r="J348" s="51"/>
      <c r="K348" s="51"/>
      <c r="L348" s="4"/>
      <c r="M348" s="4"/>
      <c r="N348" s="4"/>
      <c r="O348" s="4"/>
      <c r="P348" s="4"/>
      <c r="Q348" s="4"/>
      <c r="R348" s="4"/>
    </row>
    <row r="349" spans="5:18">
      <c r="E349" s="4"/>
      <c r="F349" s="4"/>
      <c r="G349" s="4"/>
      <c r="H349" s="4"/>
      <c r="I349" s="51"/>
      <c r="J349" s="51"/>
      <c r="K349" s="51"/>
      <c r="L349" s="4"/>
      <c r="M349" s="4"/>
      <c r="N349" s="4"/>
      <c r="O349" s="4"/>
      <c r="P349" s="4"/>
      <c r="Q349" s="4"/>
      <c r="R349" s="4"/>
    </row>
    <row r="350" spans="5:18">
      <c r="E350" s="4"/>
      <c r="F350" s="4"/>
      <c r="G350" s="4"/>
      <c r="H350" s="4"/>
      <c r="I350" s="51"/>
      <c r="J350" s="51"/>
      <c r="K350" s="51"/>
      <c r="L350" s="4"/>
      <c r="M350" s="4"/>
      <c r="N350" s="4"/>
      <c r="O350" s="4"/>
      <c r="P350" s="4"/>
      <c r="Q350" s="4"/>
      <c r="R350" s="4"/>
    </row>
    <row r="351" spans="5:18">
      <c r="E351" s="4"/>
      <c r="F351" s="4"/>
      <c r="G351" s="4"/>
      <c r="H351" s="4"/>
      <c r="I351" s="51"/>
      <c r="J351" s="51"/>
      <c r="K351" s="51"/>
      <c r="L351" s="4"/>
      <c r="M351" s="4"/>
      <c r="N351" s="4"/>
      <c r="O351" s="4"/>
      <c r="P351" s="4"/>
      <c r="Q351" s="4"/>
      <c r="R351" s="4"/>
    </row>
    <row r="352" spans="5:18">
      <c r="E352" s="4"/>
      <c r="F352" s="4"/>
      <c r="G352" s="4"/>
      <c r="H352" s="4"/>
      <c r="I352" s="51"/>
      <c r="J352" s="51"/>
      <c r="K352" s="51"/>
      <c r="L352" s="4"/>
      <c r="M352" s="4"/>
      <c r="N352" s="4"/>
      <c r="O352" s="4"/>
      <c r="P352" s="4"/>
      <c r="Q352" s="4"/>
      <c r="R352" s="4"/>
    </row>
    <row r="353" spans="5:18">
      <c r="E353" s="4"/>
      <c r="F353" s="4"/>
      <c r="G353" s="4"/>
      <c r="H353" s="4"/>
      <c r="I353" s="51"/>
      <c r="J353" s="51"/>
      <c r="K353" s="51"/>
      <c r="L353" s="4"/>
      <c r="M353" s="4"/>
      <c r="N353" s="4"/>
      <c r="O353" s="4"/>
      <c r="P353" s="4"/>
      <c r="Q353" s="4"/>
      <c r="R353" s="4"/>
    </row>
    <row r="354" spans="5:18">
      <c r="E354" s="4"/>
      <c r="F354" s="4"/>
      <c r="G354" s="4"/>
      <c r="H354" s="4"/>
      <c r="I354" s="51"/>
      <c r="J354" s="51"/>
      <c r="K354" s="51"/>
      <c r="L354" s="4"/>
      <c r="M354" s="4"/>
      <c r="N354" s="4"/>
      <c r="O354" s="4"/>
      <c r="P354" s="4"/>
      <c r="Q354" s="4"/>
      <c r="R354" s="4"/>
    </row>
    <row r="355" spans="5:18">
      <c r="E355" s="4"/>
      <c r="F355" s="4"/>
      <c r="G355" s="4"/>
      <c r="H355" s="4"/>
      <c r="I355" s="51"/>
      <c r="J355" s="51"/>
      <c r="K355" s="51"/>
      <c r="L355" s="4"/>
      <c r="M355" s="4"/>
      <c r="N355" s="4"/>
      <c r="O355" s="4"/>
      <c r="P355" s="4"/>
      <c r="Q355" s="4"/>
      <c r="R355" s="4"/>
    </row>
    <row r="356" spans="5:18">
      <c r="E356" s="4"/>
      <c r="F356" s="4"/>
      <c r="G356" s="4"/>
      <c r="H356" s="4"/>
      <c r="I356" s="51"/>
      <c r="J356" s="51"/>
      <c r="K356" s="51"/>
      <c r="L356" s="4"/>
      <c r="M356" s="4"/>
      <c r="N356" s="4"/>
      <c r="O356" s="4"/>
      <c r="P356" s="4"/>
      <c r="Q356" s="4"/>
      <c r="R356" s="4"/>
    </row>
    <row r="357" spans="5:18">
      <c r="E357" s="4"/>
      <c r="F357" s="4"/>
      <c r="G357" s="4"/>
      <c r="H357" s="4"/>
      <c r="I357" s="51"/>
      <c r="J357" s="51"/>
      <c r="K357" s="51"/>
      <c r="L357" s="4"/>
      <c r="M357" s="4"/>
      <c r="N357" s="4"/>
      <c r="O357" s="4"/>
      <c r="P357" s="4"/>
      <c r="Q357" s="4"/>
      <c r="R357" s="4"/>
    </row>
    <row r="358" spans="5:18">
      <c r="E358" s="4"/>
      <c r="F358" s="4"/>
      <c r="G358" s="4"/>
      <c r="H358" s="4"/>
      <c r="I358" s="51"/>
      <c r="J358" s="51"/>
      <c r="K358" s="51"/>
      <c r="L358" s="4"/>
      <c r="M358" s="4"/>
      <c r="N358" s="4"/>
      <c r="O358" s="4"/>
      <c r="P358" s="4"/>
      <c r="Q358" s="4"/>
      <c r="R358" s="4"/>
    </row>
    <row r="359" spans="5:18">
      <c r="E359" s="4"/>
      <c r="F359" s="4"/>
      <c r="G359" s="4"/>
      <c r="H359" s="4"/>
      <c r="I359" s="51"/>
      <c r="J359" s="51"/>
      <c r="K359" s="51"/>
      <c r="L359" s="4"/>
      <c r="M359" s="4"/>
      <c r="N359" s="4"/>
      <c r="O359" s="4"/>
      <c r="P359" s="4"/>
      <c r="Q359" s="4"/>
      <c r="R359" s="4"/>
    </row>
    <row r="360" spans="5:18">
      <c r="E360" s="4"/>
      <c r="F360" s="4"/>
      <c r="G360" s="4"/>
      <c r="H360" s="4"/>
      <c r="I360" s="51"/>
      <c r="J360" s="51"/>
      <c r="K360" s="51"/>
      <c r="L360" s="4"/>
      <c r="M360" s="4"/>
      <c r="N360" s="4"/>
      <c r="O360" s="4"/>
      <c r="P360" s="4"/>
      <c r="Q360" s="4"/>
      <c r="R360" s="4"/>
    </row>
    <row r="361" spans="5:18">
      <c r="E361" s="4"/>
      <c r="F361" s="4"/>
      <c r="G361" s="4"/>
      <c r="H361" s="4"/>
      <c r="I361" s="51"/>
      <c r="J361" s="51"/>
      <c r="K361" s="51"/>
      <c r="L361" s="4"/>
      <c r="M361" s="4"/>
      <c r="N361" s="4"/>
      <c r="O361" s="4"/>
      <c r="P361" s="4"/>
      <c r="Q361" s="4"/>
      <c r="R361" s="4"/>
    </row>
    <row r="362" spans="5:18">
      <c r="E362" s="4"/>
      <c r="F362" s="4"/>
      <c r="G362" s="4"/>
      <c r="H362" s="4"/>
      <c r="I362" s="51"/>
      <c r="J362" s="51"/>
      <c r="K362" s="51"/>
      <c r="L362" s="4"/>
      <c r="M362" s="4"/>
      <c r="N362" s="4"/>
      <c r="O362" s="4"/>
      <c r="P362" s="4"/>
      <c r="Q362" s="4"/>
      <c r="R362" s="4"/>
    </row>
    <row r="363" spans="5:18">
      <c r="E363" s="4"/>
      <c r="F363" s="4"/>
      <c r="G363" s="4"/>
      <c r="H363" s="4"/>
      <c r="I363" s="51"/>
      <c r="J363" s="51"/>
      <c r="K363" s="51"/>
      <c r="L363" s="4"/>
      <c r="M363" s="4"/>
      <c r="N363" s="4"/>
      <c r="O363" s="4"/>
      <c r="P363" s="4"/>
      <c r="Q363" s="4"/>
      <c r="R363" s="4"/>
    </row>
    <row r="364" spans="5:18">
      <c r="E364" s="4"/>
      <c r="F364" s="4"/>
      <c r="G364" s="4"/>
      <c r="H364" s="4"/>
      <c r="I364" s="51"/>
      <c r="J364" s="51"/>
      <c r="K364" s="51"/>
      <c r="L364" s="4"/>
      <c r="M364" s="4"/>
      <c r="N364" s="4"/>
      <c r="O364" s="4"/>
      <c r="P364" s="4"/>
      <c r="Q364" s="4"/>
      <c r="R364" s="4"/>
    </row>
    <row r="365" spans="5:18">
      <c r="E365" s="4"/>
      <c r="F365" s="4"/>
      <c r="G365" s="4"/>
      <c r="H365" s="4"/>
      <c r="I365" s="51"/>
      <c r="J365" s="51"/>
      <c r="K365" s="51"/>
      <c r="L365" s="4"/>
      <c r="M365" s="4"/>
      <c r="N365" s="4"/>
      <c r="O365" s="4"/>
      <c r="P365" s="4"/>
      <c r="Q365" s="4"/>
      <c r="R365" s="4"/>
    </row>
    <row r="366" spans="5:18">
      <c r="E366" s="4"/>
      <c r="F366" s="4"/>
      <c r="G366" s="4"/>
      <c r="H366" s="4"/>
      <c r="I366" s="51"/>
      <c r="J366" s="51"/>
      <c r="K366" s="51"/>
      <c r="L366" s="4"/>
      <c r="M366" s="4"/>
      <c r="N366" s="4"/>
      <c r="O366" s="4"/>
      <c r="P366" s="4"/>
      <c r="Q366" s="4"/>
      <c r="R366" s="4"/>
    </row>
    <row r="367" spans="5:18">
      <c r="E367" s="4"/>
      <c r="F367" s="4"/>
      <c r="G367" s="4"/>
      <c r="H367" s="4"/>
      <c r="I367" s="51"/>
      <c r="J367" s="51"/>
      <c r="K367" s="51"/>
      <c r="L367" s="4"/>
      <c r="M367" s="4"/>
      <c r="N367" s="4"/>
      <c r="O367" s="4"/>
      <c r="P367" s="4"/>
      <c r="Q367" s="4"/>
      <c r="R367" s="4"/>
    </row>
    <row r="368" spans="5:18">
      <c r="E368" s="4"/>
      <c r="F368" s="4"/>
      <c r="G368" s="4"/>
      <c r="H368" s="4"/>
      <c r="I368" s="51"/>
      <c r="J368" s="51"/>
      <c r="K368" s="51"/>
      <c r="L368" s="4"/>
      <c r="M368" s="4"/>
      <c r="N368" s="4"/>
      <c r="O368" s="4"/>
      <c r="P368" s="4"/>
      <c r="Q368" s="4"/>
      <c r="R368" s="4"/>
    </row>
    <row r="369" spans="5:18">
      <c r="E369" s="4"/>
      <c r="F369" s="4"/>
      <c r="G369" s="4"/>
      <c r="H369" s="4"/>
      <c r="I369" s="51"/>
      <c r="J369" s="51"/>
      <c r="K369" s="51"/>
      <c r="L369" s="4"/>
      <c r="M369" s="4"/>
      <c r="N369" s="4"/>
      <c r="O369" s="4"/>
      <c r="P369" s="4"/>
      <c r="Q369" s="4"/>
      <c r="R369" s="4"/>
    </row>
    <row r="370" spans="5:18">
      <c r="E370" s="4"/>
      <c r="F370" s="4"/>
      <c r="G370" s="4"/>
      <c r="H370" s="4"/>
      <c r="I370" s="51"/>
      <c r="J370" s="51"/>
      <c r="K370" s="51"/>
      <c r="L370" s="4"/>
      <c r="M370" s="4"/>
      <c r="N370" s="4"/>
      <c r="O370" s="4"/>
      <c r="P370" s="4"/>
      <c r="Q370" s="4"/>
      <c r="R370" s="4"/>
    </row>
    <row r="371" spans="5:18">
      <c r="E371" s="4"/>
      <c r="F371" s="4"/>
      <c r="G371" s="4"/>
      <c r="H371" s="4"/>
      <c r="I371" s="51"/>
      <c r="J371" s="51"/>
      <c r="K371" s="51"/>
      <c r="L371" s="4"/>
      <c r="M371" s="4"/>
      <c r="N371" s="4"/>
      <c r="O371" s="4"/>
      <c r="P371" s="4"/>
      <c r="Q371" s="4"/>
      <c r="R371" s="4"/>
    </row>
    <row r="372" spans="5:18">
      <c r="E372" s="4"/>
      <c r="F372" s="4"/>
      <c r="G372" s="4"/>
      <c r="H372" s="4"/>
      <c r="I372" s="51"/>
      <c r="J372" s="51"/>
      <c r="K372" s="51"/>
      <c r="L372" s="4"/>
      <c r="M372" s="4"/>
      <c r="N372" s="4"/>
      <c r="O372" s="4"/>
      <c r="P372" s="4"/>
      <c r="Q372" s="4"/>
      <c r="R372" s="4"/>
    </row>
    <row r="373" spans="5:18">
      <c r="E373" s="4"/>
      <c r="F373" s="4"/>
      <c r="G373" s="4"/>
      <c r="H373" s="4"/>
      <c r="I373" s="51"/>
      <c r="J373" s="51"/>
      <c r="K373" s="51"/>
      <c r="L373" s="4"/>
      <c r="M373" s="4"/>
      <c r="N373" s="4"/>
      <c r="O373" s="4"/>
      <c r="P373" s="4"/>
      <c r="Q373" s="4"/>
      <c r="R373" s="4"/>
    </row>
    <row r="374" spans="5:18">
      <c r="E374" s="4"/>
      <c r="F374" s="4"/>
      <c r="G374" s="4"/>
      <c r="H374" s="4"/>
      <c r="I374" s="51"/>
      <c r="J374" s="51"/>
      <c r="K374" s="51"/>
      <c r="L374" s="4"/>
      <c r="M374" s="4"/>
      <c r="N374" s="4"/>
      <c r="O374" s="4"/>
      <c r="P374" s="4"/>
      <c r="Q374" s="4"/>
      <c r="R374" s="4"/>
    </row>
    <row r="375" spans="5:18">
      <c r="E375" s="4"/>
      <c r="F375" s="4"/>
      <c r="G375" s="4"/>
      <c r="H375" s="4"/>
      <c r="I375" s="51"/>
      <c r="J375" s="51"/>
      <c r="K375" s="51"/>
      <c r="L375" s="4"/>
      <c r="M375" s="4"/>
      <c r="N375" s="4"/>
      <c r="O375" s="4"/>
      <c r="P375" s="4"/>
      <c r="Q375" s="4"/>
      <c r="R375" s="4"/>
    </row>
    <row r="376" spans="5:18">
      <c r="E376" s="4"/>
      <c r="F376" s="4"/>
      <c r="G376" s="4"/>
      <c r="H376" s="4"/>
      <c r="I376" s="51"/>
      <c r="J376" s="51"/>
      <c r="K376" s="51"/>
      <c r="L376" s="4"/>
      <c r="M376" s="4"/>
      <c r="N376" s="4"/>
      <c r="O376" s="4"/>
      <c r="P376" s="4"/>
      <c r="Q376" s="4"/>
      <c r="R376" s="4"/>
    </row>
    <row r="377" spans="5:18">
      <c r="E377" s="4"/>
      <c r="F377" s="4"/>
      <c r="G377" s="4"/>
      <c r="H377" s="4"/>
      <c r="I377" s="51"/>
      <c r="J377" s="51"/>
      <c r="K377" s="51"/>
      <c r="L377" s="4"/>
      <c r="M377" s="4"/>
      <c r="N377" s="4"/>
      <c r="O377" s="4"/>
      <c r="P377" s="4"/>
      <c r="Q377" s="4"/>
      <c r="R377" s="4"/>
    </row>
    <row r="378" spans="5:18">
      <c r="E378" s="4"/>
      <c r="F378" s="4"/>
      <c r="G378" s="4"/>
      <c r="H378" s="4"/>
      <c r="I378" s="51"/>
      <c r="J378" s="51"/>
      <c r="K378" s="51"/>
      <c r="L378" s="4"/>
      <c r="M378" s="4"/>
      <c r="N378" s="4"/>
      <c r="O378" s="4"/>
      <c r="P378" s="4"/>
      <c r="Q378" s="4"/>
      <c r="R378" s="4"/>
    </row>
    <row r="379" spans="5:18">
      <c r="E379" s="4"/>
      <c r="F379" s="4"/>
      <c r="G379" s="4"/>
      <c r="H379" s="4"/>
      <c r="I379" s="51"/>
      <c r="J379" s="51"/>
      <c r="K379" s="51"/>
      <c r="L379" s="4"/>
      <c r="M379" s="4"/>
      <c r="N379" s="4"/>
      <c r="O379" s="4"/>
      <c r="P379" s="4"/>
      <c r="Q379" s="4"/>
      <c r="R379" s="4"/>
    </row>
    <row r="380" spans="5:18">
      <c r="E380" s="4"/>
      <c r="F380" s="4"/>
      <c r="G380" s="4"/>
      <c r="H380" s="4"/>
      <c r="I380" s="51"/>
      <c r="J380" s="51"/>
      <c r="K380" s="51"/>
      <c r="L380" s="4"/>
      <c r="M380" s="4"/>
      <c r="N380" s="4"/>
      <c r="O380" s="4"/>
      <c r="P380" s="4"/>
      <c r="Q380" s="4"/>
      <c r="R380" s="4"/>
    </row>
    <row r="381" spans="5:18">
      <c r="E381" s="4"/>
      <c r="F381" s="4"/>
      <c r="G381" s="4"/>
      <c r="H381" s="4"/>
      <c r="I381" s="51"/>
      <c r="J381" s="51"/>
      <c r="K381" s="51"/>
      <c r="L381" s="4"/>
      <c r="M381" s="4"/>
      <c r="N381" s="4"/>
      <c r="O381" s="4"/>
      <c r="P381" s="4"/>
      <c r="Q381" s="4"/>
      <c r="R381" s="4"/>
    </row>
    <row r="382" spans="5:18">
      <c r="E382" s="4"/>
      <c r="F382" s="4"/>
      <c r="G382" s="4"/>
      <c r="H382" s="4"/>
      <c r="I382" s="51"/>
      <c r="J382" s="51"/>
      <c r="K382" s="51"/>
      <c r="L382" s="4"/>
      <c r="M382" s="4"/>
      <c r="N382" s="4"/>
      <c r="O382" s="4"/>
      <c r="P382" s="4"/>
      <c r="Q382" s="4"/>
      <c r="R382" s="4"/>
    </row>
    <row r="383" spans="5:18">
      <c r="E383" s="4"/>
      <c r="F383" s="4"/>
      <c r="G383" s="4"/>
      <c r="H383" s="4"/>
      <c r="I383" s="51"/>
      <c r="J383" s="51"/>
      <c r="K383" s="51"/>
      <c r="L383" s="4"/>
      <c r="M383" s="4"/>
      <c r="N383" s="4"/>
      <c r="O383" s="4"/>
      <c r="P383" s="4"/>
      <c r="Q383" s="4"/>
      <c r="R383" s="4"/>
    </row>
    <row r="384" spans="5:18">
      <c r="E384" s="4"/>
      <c r="F384" s="4"/>
      <c r="G384" s="4"/>
      <c r="H384" s="4"/>
      <c r="I384" s="51"/>
      <c r="J384" s="51"/>
      <c r="K384" s="51"/>
      <c r="L384" s="4"/>
      <c r="M384" s="4"/>
      <c r="N384" s="4"/>
      <c r="O384" s="4"/>
      <c r="P384" s="4"/>
      <c r="Q384" s="4"/>
      <c r="R384" s="4"/>
    </row>
    <row r="385" spans="5:18">
      <c r="E385" s="4"/>
      <c r="F385" s="4"/>
      <c r="G385" s="4"/>
      <c r="H385" s="4"/>
      <c r="I385" s="51"/>
      <c r="J385" s="51"/>
      <c r="K385" s="51"/>
      <c r="L385" s="4"/>
      <c r="M385" s="4"/>
      <c r="N385" s="4"/>
      <c r="O385" s="4"/>
      <c r="P385" s="4"/>
      <c r="Q385" s="4"/>
      <c r="R385" s="4"/>
    </row>
    <row r="386" spans="5:18">
      <c r="E386" s="4"/>
      <c r="F386" s="4"/>
      <c r="G386" s="4"/>
      <c r="H386" s="4"/>
      <c r="I386" s="51"/>
      <c r="J386" s="51"/>
      <c r="K386" s="51"/>
      <c r="L386" s="4"/>
      <c r="M386" s="4"/>
      <c r="N386" s="4"/>
      <c r="O386" s="4"/>
      <c r="P386" s="4"/>
      <c r="Q386" s="4"/>
      <c r="R386" s="4"/>
    </row>
    <row r="387" spans="5:18">
      <c r="E387" s="4"/>
      <c r="F387" s="4"/>
      <c r="G387" s="4"/>
      <c r="H387" s="4"/>
      <c r="I387" s="51"/>
      <c r="J387" s="51"/>
      <c r="K387" s="51"/>
      <c r="L387" s="4"/>
      <c r="M387" s="4"/>
      <c r="N387" s="4"/>
      <c r="O387" s="4"/>
      <c r="P387" s="4"/>
      <c r="Q387" s="4"/>
      <c r="R387" s="4"/>
    </row>
    <row r="388" spans="5:18">
      <c r="E388" s="4"/>
      <c r="F388" s="4"/>
      <c r="G388" s="4"/>
      <c r="H388" s="4"/>
      <c r="I388" s="51"/>
      <c r="J388" s="51"/>
      <c r="K388" s="51"/>
      <c r="L388" s="4"/>
      <c r="M388" s="4"/>
      <c r="N388" s="4"/>
      <c r="O388" s="4"/>
      <c r="P388" s="4"/>
      <c r="Q388" s="4"/>
      <c r="R388" s="4"/>
    </row>
    <row r="389" spans="5:18">
      <c r="E389" s="4"/>
      <c r="F389" s="4"/>
      <c r="G389" s="4"/>
      <c r="H389" s="4"/>
      <c r="I389" s="51"/>
      <c r="J389" s="51"/>
      <c r="K389" s="51"/>
      <c r="L389" s="4"/>
      <c r="M389" s="4"/>
      <c r="N389" s="4"/>
      <c r="O389" s="4"/>
      <c r="P389" s="4"/>
      <c r="Q389" s="4"/>
      <c r="R389" s="4"/>
    </row>
    <row r="390" spans="5:18">
      <c r="E390" s="4"/>
      <c r="F390" s="4"/>
      <c r="G390" s="4"/>
      <c r="H390" s="4"/>
      <c r="I390" s="51"/>
      <c r="J390" s="51"/>
      <c r="K390" s="51"/>
      <c r="L390" s="4"/>
      <c r="M390" s="4"/>
      <c r="N390" s="4"/>
      <c r="O390" s="4"/>
      <c r="P390" s="4"/>
      <c r="Q390" s="4"/>
      <c r="R390" s="4"/>
    </row>
    <row r="391" spans="5:18">
      <c r="E391" s="4"/>
      <c r="F391" s="4"/>
      <c r="G391" s="4"/>
      <c r="H391" s="4"/>
      <c r="I391" s="51"/>
      <c r="J391" s="51"/>
      <c r="K391" s="51"/>
      <c r="L391" s="4"/>
      <c r="M391" s="4"/>
      <c r="N391" s="4"/>
      <c r="O391" s="4"/>
      <c r="P391" s="4"/>
      <c r="Q391" s="4"/>
      <c r="R391" s="4"/>
    </row>
    <row r="392" spans="5:18">
      <c r="E392" s="4"/>
      <c r="F392" s="4"/>
      <c r="G392" s="4"/>
      <c r="H392" s="4"/>
      <c r="I392" s="51"/>
      <c r="J392" s="51"/>
      <c r="K392" s="51"/>
      <c r="L392" s="4"/>
      <c r="M392" s="4"/>
      <c r="N392" s="4"/>
      <c r="O392" s="4"/>
      <c r="P392" s="4"/>
      <c r="Q392" s="4"/>
      <c r="R392" s="4"/>
    </row>
    <row r="393" spans="5:18">
      <c r="E393" s="4"/>
      <c r="F393" s="4"/>
      <c r="G393" s="4"/>
      <c r="H393" s="4"/>
      <c r="I393" s="51"/>
      <c r="J393" s="51"/>
      <c r="K393" s="51"/>
      <c r="L393" s="4"/>
      <c r="M393" s="4"/>
      <c r="N393" s="4"/>
      <c r="O393" s="4"/>
      <c r="P393" s="4"/>
      <c r="Q393" s="4"/>
      <c r="R393" s="4"/>
    </row>
    <row r="394" spans="5:18">
      <c r="E394" s="4"/>
      <c r="F394" s="4"/>
      <c r="G394" s="4"/>
      <c r="H394" s="4"/>
      <c r="I394" s="51"/>
      <c r="J394" s="51"/>
      <c r="K394" s="51"/>
      <c r="L394" s="4"/>
      <c r="M394" s="4"/>
      <c r="N394" s="4"/>
      <c r="O394" s="4"/>
      <c r="P394" s="4"/>
      <c r="Q394" s="4"/>
      <c r="R394" s="4"/>
    </row>
    <row r="395" spans="5:18">
      <c r="E395" s="4"/>
      <c r="F395" s="4"/>
      <c r="G395" s="4"/>
      <c r="H395" s="4"/>
      <c r="I395" s="51"/>
      <c r="J395" s="51"/>
      <c r="K395" s="51"/>
      <c r="L395" s="4"/>
      <c r="M395" s="4"/>
      <c r="N395" s="4"/>
      <c r="O395" s="4"/>
      <c r="P395" s="4"/>
      <c r="Q395" s="4"/>
      <c r="R395" s="4"/>
    </row>
    <row r="396" spans="5:18">
      <c r="E396" s="4"/>
      <c r="F396" s="4"/>
      <c r="G396" s="4"/>
      <c r="H396" s="4"/>
      <c r="I396" s="51"/>
      <c r="J396" s="51"/>
      <c r="K396" s="51"/>
      <c r="L396" s="4"/>
      <c r="M396" s="4"/>
      <c r="N396" s="4"/>
      <c r="O396" s="4"/>
      <c r="P396" s="4"/>
      <c r="Q396" s="4"/>
      <c r="R396" s="4"/>
    </row>
    <row r="397" spans="5:18">
      <c r="E397" s="4"/>
      <c r="F397" s="4"/>
      <c r="G397" s="4"/>
      <c r="H397" s="4"/>
      <c r="I397" s="51"/>
      <c r="J397" s="51"/>
      <c r="K397" s="51"/>
      <c r="L397" s="4"/>
      <c r="M397" s="4"/>
      <c r="N397" s="4"/>
      <c r="O397" s="4"/>
      <c r="P397" s="4"/>
      <c r="Q397" s="4"/>
      <c r="R397" s="4"/>
    </row>
    <row r="398" spans="5:18">
      <c r="E398" s="4"/>
      <c r="F398" s="4"/>
      <c r="G398" s="4"/>
      <c r="H398" s="4"/>
      <c r="I398" s="51"/>
      <c r="J398" s="51"/>
      <c r="K398" s="51"/>
      <c r="L398" s="4"/>
      <c r="M398" s="4"/>
      <c r="N398" s="4"/>
      <c r="O398" s="4"/>
      <c r="P398" s="4"/>
      <c r="Q398" s="4"/>
      <c r="R398" s="4"/>
    </row>
    <row r="399" spans="5:18">
      <c r="E399" s="4"/>
      <c r="F399" s="4"/>
      <c r="G399" s="4"/>
      <c r="H399" s="4"/>
      <c r="I399" s="51"/>
      <c r="J399" s="51"/>
      <c r="K399" s="51"/>
      <c r="L399" s="4"/>
      <c r="M399" s="4"/>
      <c r="N399" s="4"/>
      <c r="O399" s="4"/>
      <c r="P399" s="4"/>
      <c r="Q399" s="4"/>
      <c r="R399" s="4"/>
    </row>
    <row r="400" spans="5:18">
      <c r="E400" s="4"/>
      <c r="F400" s="4"/>
      <c r="G400" s="4"/>
      <c r="H400" s="4"/>
      <c r="I400" s="51"/>
      <c r="J400" s="51"/>
      <c r="K400" s="51"/>
      <c r="L400" s="4"/>
      <c r="M400" s="4"/>
      <c r="N400" s="4"/>
      <c r="O400" s="4"/>
      <c r="P400" s="4"/>
      <c r="Q400" s="4"/>
      <c r="R400" s="4"/>
    </row>
    <row r="401" spans="5:18">
      <c r="E401" s="4"/>
      <c r="F401" s="4"/>
      <c r="G401" s="4"/>
      <c r="H401" s="4"/>
      <c r="I401" s="51"/>
      <c r="J401" s="51"/>
      <c r="K401" s="51"/>
      <c r="L401" s="4"/>
      <c r="M401" s="4"/>
      <c r="N401" s="4"/>
      <c r="O401" s="4"/>
      <c r="P401" s="4"/>
      <c r="Q401" s="4"/>
      <c r="R401" s="4"/>
    </row>
    <row r="402" spans="5:18">
      <c r="E402" s="4"/>
      <c r="F402" s="4"/>
      <c r="G402" s="4"/>
      <c r="H402" s="4"/>
      <c r="I402" s="51"/>
      <c r="J402" s="51"/>
      <c r="K402" s="51"/>
      <c r="L402" s="4"/>
      <c r="M402" s="4"/>
      <c r="N402" s="4"/>
      <c r="O402" s="4"/>
      <c r="P402" s="4"/>
      <c r="Q402" s="4"/>
      <c r="R402" s="4"/>
    </row>
    <row r="403" spans="5:18">
      <c r="E403" s="4"/>
      <c r="F403" s="4"/>
      <c r="G403" s="4"/>
      <c r="H403" s="4"/>
      <c r="I403" s="51"/>
      <c r="J403" s="51"/>
      <c r="K403" s="51"/>
      <c r="L403" s="4"/>
      <c r="M403" s="4"/>
      <c r="N403" s="4"/>
      <c r="O403" s="4"/>
      <c r="P403" s="4"/>
      <c r="Q403" s="4"/>
      <c r="R403" s="4"/>
    </row>
    <row r="404" spans="5:18">
      <c r="E404" s="4"/>
      <c r="F404" s="4"/>
      <c r="G404" s="4"/>
      <c r="H404" s="4"/>
      <c r="I404" s="51"/>
      <c r="J404" s="51"/>
      <c r="K404" s="51"/>
      <c r="L404" s="4"/>
      <c r="M404" s="4"/>
      <c r="N404" s="4"/>
      <c r="O404" s="4"/>
      <c r="P404" s="4"/>
      <c r="Q404" s="4"/>
      <c r="R404" s="4"/>
    </row>
    <row r="405" spans="5:18">
      <c r="E405" s="4"/>
      <c r="F405" s="4"/>
      <c r="G405" s="4"/>
      <c r="H405" s="4"/>
      <c r="I405" s="51"/>
      <c r="J405" s="51"/>
      <c r="K405" s="51"/>
      <c r="L405" s="4"/>
      <c r="M405" s="4"/>
      <c r="N405" s="4"/>
      <c r="O405" s="4"/>
      <c r="P405" s="4"/>
      <c r="Q405" s="4"/>
      <c r="R405" s="4"/>
    </row>
    <row r="406" spans="5:18">
      <c r="E406" s="4"/>
      <c r="F406" s="4"/>
      <c r="G406" s="4"/>
      <c r="H406" s="4"/>
      <c r="I406" s="51"/>
      <c r="J406" s="51"/>
      <c r="K406" s="51"/>
      <c r="L406" s="4"/>
      <c r="M406" s="4"/>
      <c r="N406" s="4"/>
      <c r="O406" s="4"/>
      <c r="P406" s="4"/>
      <c r="Q406" s="4"/>
      <c r="R406" s="4"/>
    </row>
    <row r="407" spans="5:18">
      <c r="E407" s="4"/>
      <c r="F407" s="4"/>
      <c r="G407" s="4"/>
      <c r="H407" s="4"/>
      <c r="I407" s="51"/>
      <c r="J407" s="51"/>
      <c r="K407" s="51"/>
      <c r="L407" s="4"/>
      <c r="M407" s="4"/>
      <c r="N407" s="4"/>
      <c r="O407" s="4"/>
      <c r="P407" s="4"/>
      <c r="Q407" s="4"/>
      <c r="R407" s="4"/>
    </row>
    <row r="408" spans="5:18">
      <c r="E408" s="4"/>
      <c r="F408" s="4"/>
      <c r="G408" s="4"/>
      <c r="H408" s="4"/>
      <c r="I408" s="51"/>
      <c r="J408" s="51"/>
      <c r="K408" s="51"/>
      <c r="L408" s="4"/>
      <c r="M408" s="4"/>
      <c r="N408" s="4"/>
      <c r="O408" s="4"/>
      <c r="P408" s="4"/>
      <c r="Q408" s="4"/>
      <c r="R408" s="4"/>
    </row>
    <row r="409" spans="5:18">
      <c r="E409" s="4"/>
      <c r="F409" s="4"/>
      <c r="G409" s="4"/>
      <c r="H409" s="4"/>
      <c r="I409" s="51"/>
      <c r="J409" s="51"/>
      <c r="K409" s="51"/>
      <c r="L409" s="4"/>
      <c r="M409" s="4"/>
      <c r="N409" s="4"/>
      <c r="O409" s="4"/>
      <c r="P409" s="4"/>
      <c r="Q409" s="4"/>
      <c r="R409" s="4"/>
    </row>
    <row r="410" spans="5:18">
      <c r="E410" s="4"/>
      <c r="F410" s="4"/>
      <c r="G410" s="4"/>
      <c r="H410" s="4"/>
      <c r="I410" s="51"/>
      <c r="J410" s="51"/>
      <c r="K410" s="51"/>
      <c r="L410" s="4"/>
      <c r="M410" s="4"/>
      <c r="N410" s="4"/>
      <c r="O410" s="4"/>
      <c r="P410" s="4"/>
      <c r="Q410" s="4"/>
      <c r="R410" s="4"/>
    </row>
    <row r="411" spans="5:18">
      <c r="E411" s="4"/>
      <c r="F411" s="4"/>
      <c r="G411" s="4"/>
      <c r="H411" s="4"/>
      <c r="I411" s="51"/>
      <c r="J411" s="51"/>
      <c r="K411" s="51"/>
      <c r="L411" s="4"/>
      <c r="M411" s="4"/>
      <c r="N411" s="4"/>
      <c r="O411" s="4"/>
      <c r="P411" s="4"/>
      <c r="Q411" s="4"/>
      <c r="R411" s="4"/>
    </row>
    <row r="412" spans="5:18">
      <c r="E412" s="4"/>
      <c r="F412" s="4"/>
      <c r="G412" s="4"/>
      <c r="H412" s="4"/>
      <c r="I412" s="51"/>
      <c r="J412" s="51"/>
      <c r="K412" s="51"/>
      <c r="L412" s="4"/>
      <c r="M412" s="4"/>
      <c r="N412" s="4"/>
      <c r="O412" s="4"/>
      <c r="P412" s="4"/>
      <c r="Q412" s="4"/>
      <c r="R412" s="4"/>
    </row>
    <row r="413" spans="5:18">
      <c r="E413" s="4"/>
      <c r="F413" s="4"/>
      <c r="G413" s="4"/>
      <c r="H413" s="4"/>
      <c r="I413" s="51"/>
      <c r="J413" s="51"/>
      <c r="K413" s="51"/>
      <c r="L413" s="4"/>
      <c r="M413" s="4"/>
      <c r="N413" s="4"/>
      <c r="O413" s="4"/>
      <c r="P413" s="4"/>
      <c r="Q413" s="4"/>
      <c r="R413" s="4"/>
    </row>
    <row r="414" spans="5:18">
      <c r="E414" s="4"/>
      <c r="F414" s="4"/>
      <c r="G414" s="4"/>
      <c r="H414" s="4"/>
      <c r="I414" s="51"/>
      <c r="J414" s="51"/>
      <c r="K414" s="51"/>
      <c r="L414" s="4"/>
      <c r="M414" s="4"/>
      <c r="N414" s="4"/>
      <c r="O414" s="4"/>
      <c r="P414" s="4"/>
      <c r="Q414" s="4"/>
      <c r="R414" s="4"/>
    </row>
    <row r="415" spans="5:18">
      <c r="E415" s="4"/>
      <c r="F415" s="4"/>
      <c r="G415" s="4"/>
      <c r="H415" s="4"/>
      <c r="I415" s="51"/>
      <c r="J415" s="51"/>
      <c r="K415" s="51"/>
      <c r="L415" s="4"/>
      <c r="M415" s="4"/>
      <c r="N415" s="4"/>
      <c r="O415" s="4"/>
      <c r="P415" s="4"/>
      <c r="Q415" s="4"/>
      <c r="R415" s="4"/>
    </row>
    <row r="416" spans="5:18">
      <c r="E416" s="4"/>
      <c r="F416" s="4"/>
      <c r="G416" s="4"/>
      <c r="H416" s="4"/>
      <c r="I416" s="51"/>
      <c r="J416" s="51"/>
      <c r="K416" s="51"/>
      <c r="L416" s="4"/>
      <c r="M416" s="4"/>
      <c r="N416" s="4"/>
      <c r="O416" s="4"/>
      <c r="P416" s="4"/>
      <c r="Q416" s="4"/>
      <c r="R416" s="4"/>
    </row>
    <row r="417" spans="5:18">
      <c r="E417" s="4"/>
      <c r="F417" s="4"/>
      <c r="G417" s="4"/>
      <c r="H417" s="4"/>
      <c r="I417" s="51"/>
      <c r="J417" s="51"/>
      <c r="K417" s="51"/>
      <c r="L417" s="4"/>
      <c r="M417" s="4"/>
      <c r="N417" s="4"/>
      <c r="O417" s="4"/>
      <c r="P417" s="4"/>
      <c r="Q417" s="4"/>
      <c r="R417" s="4"/>
    </row>
    <row r="418" spans="5:18">
      <c r="E418" s="4"/>
      <c r="F418" s="4"/>
      <c r="G418" s="4"/>
      <c r="H418" s="4"/>
      <c r="I418" s="51"/>
      <c r="J418" s="51"/>
      <c r="K418" s="51"/>
      <c r="L418" s="4"/>
      <c r="M418" s="4"/>
      <c r="N418" s="4"/>
      <c r="O418" s="4"/>
      <c r="P418" s="4"/>
      <c r="Q418" s="4"/>
      <c r="R418" s="4"/>
    </row>
    <row r="419" spans="5:18">
      <c r="E419" s="4"/>
      <c r="F419" s="4"/>
      <c r="G419" s="4"/>
      <c r="H419" s="4"/>
      <c r="I419" s="51"/>
      <c r="J419" s="51"/>
      <c r="K419" s="51"/>
      <c r="L419" s="4"/>
      <c r="M419" s="4"/>
      <c r="N419" s="4"/>
      <c r="O419" s="4"/>
      <c r="P419" s="4"/>
      <c r="Q419" s="4"/>
      <c r="R419" s="4"/>
    </row>
    <row r="420" spans="5:18">
      <c r="E420" s="4"/>
      <c r="F420" s="4"/>
      <c r="G420" s="4"/>
      <c r="H420" s="4"/>
      <c r="I420" s="51"/>
      <c r="J420" s="51"/>
      <c r="K420" s="51"/>
      <c r="L420" s="4"/>
      <c r="M420" s="4"/>
      <c r="N420" s="4"/>
      <c r="O420" s="4"/>
      <c r="P420" s="4"/>
      <c r="Q420" s="4"/>
      <c r="R420" s="4"/>
    </row>
    <row r="421" spans="5:18">
      <c r="E421" s="4"/>
      <c r="F421" s="4"/>
      <c r="G421" s="4"/>
      <c r="H421" s="4"/>
      <c r="I421" s="51"/>
      <c r="J421" s="51"/>
      <c r="K421" s="51"/>
      <c r="L421" s="4"/>
      <c r="M421" s="4"/>
      <c r="N421" s="4"/>
      <c r="O421" s="4"/>
      <c r="P421" s="4"/>
      <c r="Q421" s="4"/>
      <c r="R421" s="4"/>
    </row>
    <row r="422" spans="5:18">
      <c r="E422" s="4"/>
      <c r="F422" s="4"/>
      <c r="G422" s="4"/>
      <c r="H422" s="4"/>
      <c r="I422" s="51"/>
      <c r="J422" s="51"/>
      <c r="K422" s="51"/>
      <c r="L422" s="4"/>
      <c r="M422" s="4"/>
      <c r="N422" s="4"/>
      <c r="O422" s="4"/>
      <c r="P422" s="4"/>
      <c r="Q422" s="4"/>
      <c r="R422" s="4"/>
    </row>
    <row r="423" spans="5:18">
      <c r="E423" s="4"/>
      <c r="F423" s="4"/>
      <c r="G423" s="4"/>
      <c r="H423" s="4"/>
      <c r="I423" s="51"/>
      <c r="J423" s="51"/>
      <c r="K423" s="51"/>
      <c r="L423" s="4"/>
      <c r="M423" s="4"/>
      <c r="N423" s="4"/>
      <c r="O423" s="4"/>
      <c r="P423" s="4"/>
      <c r="Q423" s="4"/>
      <c r="R423" s="4"/>
    </row>
    <row r="424" spans="5:18">
      <c r="E424" s="4"/>
      <c r="F424" s="4"/>
      <c r="G424" s="4"/>
      <c r="H424" s="4"/>
      <c r="I424" s="51"/>
      <c r="J424" s="51"/>
      <c r="K424" s="51"/>
      <c r="L424" s="4"/>
      <c r="M424" s="4"/>
      <c r="N424" s="4"/>
      <c r="O424" s="4"/>
      <c r="P424" s="4"/>
      <c r="Q424" s="4"/>
      <c r="R424" s="4"/>
    </row>
    <row r="425" spans="5:18">
      <c r="E425" s="4"/>
      <c r="F425" s="4"/>
      <c r="G425" s="4"/>
      <c r="H425" s="4"/>
      <c r="I425" s="51"/>
      <c r="J425" s="51"/>
      <c r="K425" s="51"/>
      <c r="L425" s="4"/>
      <c r="M425" s="4"/>
      <c r="N425" s="4"/>
      <c r="O425" s="4"/>
      <c r="P425" s="4"/>
      <c r="Q425" s="4"/>
      <c r="R425" s="4"/>
    </row>
    <row r="426" spans="5:18">
      <c r="E426" s="4"/>
      <c r="F426" s="4"/>
      <c r="G426" s="4"/>
      <c r="H426" s="4"/>
      <c r="I426" s="51"/>
      <c r="J426" s="51"/>
      <c r="K426" s="51"/>
      <c r="L426" s="4"/>
      <c r="M426" s="4"/>
      <c r="N426" s="4"/>
      <c r="O426" s="4"/>
      <c r="P426" s="4"/>
      <c r="Q426" s="4"/>
      <c r="R426" s="4"/>
    </row>
    <row r="427" spans="5:18">
      <c r="E427" s="4"/>
      <c r="F427" s="4"/>
      <c r="G427" s="4"/>
      <c r="H427" s="4"/>
      <c r="I427" s="51"/>
      <c r="J427" s="51"/>
      <c r="K427" s="51"/>
      <c r="L427" s="4"/>
      <c r="M427" s="4"/>
      <c r="N427" s="4"/>
      <c r="O427" s="4"/>
      <c r="P427" s="4"/>
      <c r="Q427" s="4"/>
      <c r="R427" s="4"/>
    </row>
    <row r="428" spans="5:18">
      <c r="E428" s="4"/>
      <c r="F428" s="4"/>
      <c r="G428" s="4"/>
      <c r="H428" s="4"/>
      <c r="I428" s="51"/>
      <c r="J428" s="51"/>
      <c r="K428" s="51"/>
      <c r="L428" s="4"/>
      <c r="M428" s="4"/>
      <c r="N428" s="4"/>
      <c r="O428" s="4"/>
      <c r="P428" s="4"/>
      <c r="Q428" s="4"/>
      <c r="R428" s="4"/>
    </row>
    <row r="429" spans="5:18">
      <c r="E429" s="4"/>
      <c r="F429" s="4"/>
      <c r="G429" s="4"/>
      <c r="H429" s="4"/>
      <c r="I429" s="51"/>
      <c r="J429" s="51"/>
      <c r="K429" s="51"/>
      <c r="L429" s="4"/>
      <c r="M429" s="4"/>
      <c r="N429" s="4"/>
      <c r="O429" s="4"/>
      <c r="P429" s="4"/>
      <c r="Q429" s="4"/>
      <c r="R429" s="4"/>
    </row>
    <row r="430" spans="5:18">
      <c r="E430" s="4"/>
      <c r="F430" s="4"/>
      <c r="G430" s="4"/>
      <c r="H430" s="4"/>
      <c r="I430" s="51"/>
      <c r="J430" s="51"/>
      <c r="K430" s="51"/>
      <c r="L430" s="4"/>
      <c r="M430" s="4"/>
      <c r="N430" s="4"/>
      <c r="O430" s="4"/>
      <c r="P430" s="4"/>
      <c r="Q430" s="4"/>
      <c r="R430" s="4"/>
    </row>
    <row r="431" spans="5:18">
      <c r="E431" s="4"/>
      <c r="F431" s="4"/>
      <c r="G431" s="4"/>
      <c r="H431" s="4"/>
      <c r="I431" s="51"/>
      <c r="J431" s="51"/>
      <c r="K431" s="51"/>
      <c r="L431" s="4"/>
      <c r="M431" s="4"/>
      <c r="N431" s="4"/>
      <c r="O431" s="4"/>
      <c r="P431" s="4"/>
      <c r="Q431" s="4"/>
      <c r="R431" s="4"/>
    </row>
    <row r="432" spans="5:18">
      <c r="E432" s="4"/>
      <c r="F432" s="4"/>
      <c r="G432" s="4"/>
      <c r="H432" s="4"/>
      <c r="I432" s="51"/>
      <c r="J432" s="51"/>
      <c r="K432" s="51"/>
      <c r="L432" s="4"/>
      <c r="M432" s="4"/>
      <c r="N432" s="4"/>
      <c r="O432" s="4"/>
      <c r="P432" s="4"/>
      <c r="Q432" s="4"/>
      <c r="R432" s="4"/>
    </row>
    <row r="433" spans="5:18">
      <c r="E433" s="4"/>
      <c r="F433" s="4"/>
      <c r="G433" s="4"/>
      <c r="H433" s="4"/>
      <c r="I433" s="51"/>
      <c r="J433" s="51"/>
      <c r="K433" s="51"/>
      <c r="L433" s="4"/>
      <c r="M433" s="4"/>
      <c r="N433" s="4"/>
      <c r="O433" s="4"/>
      <c r="P433" s="4"/>
      <c r="Q433" s="4"/>
      <c r="R433" s="4"/>
    </row>
    <row r="434" spans="5:18">
      <c r="E434" s="4"/>
      <c r="F434" s="4"/>
      <c r="G434" s="4"/>
      <c r="H434" s="4"/>
      <c r="I434" s="51"/>
      <c r="J434" s="51"/>
      <c r="K434" s="51"/>
      <c r="L434" s="4"/>
      <c r="M434" s="4"/>
      <c r="N434" s="4"/>
      <c r="O434" s="4"/>
      <c r="P434" s="4"/>
      <c r="Q434" s="4"/>
      <c r="R434" s="4"/>
    </row>
    <row r="435" spans="5:18">
      <c r="E435" s="4"/>
      <c r="F435" s="4"/>
      <c r="G435" s="4"/>
      <c r="H435" s="4"/>
      <c r="I435" s="51"/>
      <c r="J435" s="51"/>
      <c r="K435" s="51"/>
      <c r="L435" s="4"/>
      <c r="M435" s="4"/>
      <c r="N435" s="4"/>
      <c r="O435" s="4"/>
      <c r="P435" s="4"/>
      <c r="Q435" s="4"/>
      <c r="R435" s="4"/>
    </row>
    <row r="436" spans="5:18">
      <c r="E436" s="4"/>
      <c r="F436" s="4"/>
      <c r="G436" s="4"/>
      <c r="H436" s="4"/>
      <c r="I436" s="51"/>
      <c r="J436" s="51"/>
      <c r="K436" s="51"/>
      <c r="L436" s="4"/>
      <c r="M436" s="4"/>
      <c r="N436" s="4"/>
      <c r="O436" s="4"/>
      <c r="P436" s="4"/>
      <c r="Q436" s="4"/>
      <c r="R436" s="4"/>
    </row>
    <row r="437" spans="5:18">
      <c r="E437" s="4"/>
      <c r="F437" s="4"/>
      <c r="G437" s="4"/>
      <c r="H437" s="4"/>
      <c r="I437" s="51"/>
      <c r="J437" s="51"/>
      <c r="K437" s="51"/>
      <c r="L437" s="4"/>
      <c r="M437" s="4"/>
      <c r="N437" s="4"/>
      <c r="O437" s="4"/>
      <c r="P437" s="4"/>
      <c r="Q437" s="4"/>
      <c r="R437" s="4"/>
    </row>
    <row r="438" spans="5:18">
      <c r="E438" s="4"/>
      <c r="F438" s="4"/>
      <c r="G438" s="4"/>
      <c r="H438" s="4"/>
      <c r="I438" s="51"/>
      <c r="J438" s="51"/>
      <c r="K438" s="51"/>
      <c r="L438" s="4"/>
      <c r="M438" s="4"/>
      <c r="N438" s="4"/>
      <c r="O438" s="4"/>
      <c r="P438" s="4"/>
      <c r="Q438" s="4"/>
      <c r="R438" s="4"/>
    </row>
    <row r="439" spans="5:18">
      <c r="E439" s="4"/>
      <c r="F439" s="4"/>
      <c r="G439" s="4"/>
      <c r="H439" s="4"/>
      <c r="I439" s="51"/>
      <c r="J439" s="51"/>
      <c r="K439" s="51"/>
      <c r="L439" s="4"/>
      <c r="M439" s="4"/>
      <c r="N439" s="4"/>
      <c r="O439" s="4"/>
      <c r="P439" s="4"/>
      <c r="Q439" s="4"/>
      <c r="R439" s="4"/>
    </row>
    <row r="440" spans="5:18">
      <c r="E440" s="4"/>
      <c r="F440" s="4"/>
      <c r="G440" s="4"/>
      <c r="H440" s="4"/>
      <c r="I440" s="51"/>
      <c r="J440" s="51"/>
      <c r="K440" s="51"/>
      <c r="L440" s="4"/>
      <c r="M440" s="4"/>
      <c r="N440" s="4"/>
      <c r="O440" s="4"/>
      <c r="P440" s="4"/>
      <c r="Q440" s="4"/>
      <c r="R440" s="4"/>
    </row>
    <row r="441" spans="5:18">
      <c r="E441" s="4"/>
      <c r="F441" s="4"/>
      <c r="G441" s="4"/>
      <c r="H441" s="4"/>
      <c r="I441" s="51"/>
      <c r="J441" s="51"/>
      <c r="K441" s="51"/>
      <c r="L441" s="4"/>
      <c r="M441" s="4"/>
      <c r="N441" s="4"/>
      <c r="O441" s="4"/>
      <c r="P441" s="4"/>
      <c r="Q441" s="4"/>
      <c r="R441" s="4"/>
    </row>
    <row r="442" spans="5:18">
      <c r="E442" s="4"/>
      <c r="F442" s="4"/>
      <c r="G442" s="4"/>
      <c r="H442" s="4"/>
      <c r="I442" s="51"/>
      <c r="J442" s="51"/>
      <c r="K442" s="51"/>
      <c r="L442" s="4"/>
      <c r="M442" s="4"/>
      <c r="N442" s="4"/>
      <c r="O442" s="4"/>
      <c r="P442" s="4"/>
      <c r="Q442" s="4"/>
      <c r="R442" s="4"/>
    </row>
    <row r="443" spans="5:18">
      <c r="E443" s="4"/>
      <c r="F443" s="4"/>
      <c r="G443" s="4"/>
      <c r="H443" s="4"/>
      <c r="I443" s="51"/>
      <c r="J443" s="51"/>
      <c r="K443" s="51"/>
      <c r="L443" s="4"/>
      <c r="M443" s="4"/>
      <c r="N443" s="4"/>
      <c r="O443" s="4"/>
      <c r="P443" s="4"/>
      <c r="Q443" s="4"/>
      <c r="R443" s="4"/>
    </row>
    <row r="444" spans="5:18">
      <c r="E444" s="4"/>
      <c r="F444" s="4"/>
      <c r="G444" s="4"/>
      <c r="H444" s="4"/>
      <c r="I444" s="51"/>
      <c r="J444" s="51"/>
      <c r="K444" s="51"/>
      <c r="L444" s="4"/>
      <c r="M444" s="4"/>
      <c r="N444" s="4"/>
      <c r="O444" s="4"/>
      <c r="P444" s="4"/>
      <c r="Q444" s="4"/>
      <c r="R444" s="4"/>
    </row>
    <row r="445" spans="5:18">
      <c r="E445" s="4"/>
      <c r="F445" s="4"/>
      <c r="G445" s="4"/>
      <c r="H445" s="4"/>
      <c r="I445" s="51"/>
      <c r="J445" s="51"/>
      <c r="K445" s="51"/>
      <c r="L445" s="4"/>
      <c r="M445" s="4"/>
      <c r="N445" s="4"/>
      <c r="O445" s="4"/>
      <c r="P445" s="4"/>
      <c r="Q445" s="4"/>
      <c r="R445" s="4"/>
    </row>
    <row r="446" spans="5:18">
      <c r="E446" s="4"/>
      <c r="F446" s="4"/>
      <c r="G446" s="4"/>
      <c r="H446" s="4"/>
      <c r="I446" s="51"/>
      <c r="J446" s="51"/>
      <c r="K446" s="51"/>
      <c r="L446" s="4"/>
      <c r="M446" s="4"/>
      <c r="N446" s="4"/>
      <c r="O446" s="4"/>
      <c r="P446" s="4"/>
      <c r="Q446" s="4"/>
      <c r="R446" s="4"/>
    </row>
    <row r="447" spans="5:18">
      <c r="E447" s="4"/>
      <c r="F447" s="4"/>
      <c r="G447" s="4"/>
      <c r="H447" s="4"/>
      <c r="I447" s="51"/>
      <c r="J447" s="51"/>
      <c r="K447" s="51"/>
      <c r="L447" s="4"/>
      <c r="M447" s="4"/>
      <c r="N447" s="4"/>
      <c r="O447" s="4"/>
      <c r="P447" s="4"/>
      <c r="Q447" s="4"/>
      <c r="R447" s="4"/>
    </row>
    <row r="448" spans="5:18">
      <c r="E448" s="4"/>
      <c r="F448" s="4"/>
      <c r="G448" s="4"/>
      <c r="H448" s="4"/>
      <c r="I448" s="51"/>
      <c r="J448" s="51"/>
      <c r="K448" s="51"/>
      <c r="L448" s="4"/>
      <c r="M448" s="4"/>
      <c r="N448" s="4"/>
      <c r="O448" s="4"/>
      <c r="P448" s="4"/>
      <c r="Q448" s="4"/>
      <c r="R448" s="4"/>
    </row>
    <row r="449" spans="5:18">
      <c r="E449" s="4"/>
      <c r="F449" s="4"/>
      <c r="G449" s="4"/>
      <c r="H449" s="4"/>
      <c r="I449" s="51"/>
      <c r="J449" s="51"/>
      <c r="K449" s="51"/>
      <c r="L449" s="4"/>
      <c r="M449" s="4"/>
      <c r="N449" s="4"/>
      <c r="O449" s="4"/>
      <c r="P449" s="4"/>
      <c r="Q449" s="4"/>
      <c r="R449" s="4"/>
    </row>
    <row r="450" spans="5:18">
      <c r="E450" s="4"/>
      <c r="F450" s="4"/>
      <c r="G450" s="4"/>
      <c r="H450" s="4"/>
      <c r="I450" s="51"/>
      <c r="J450" s="51"/>
      <c r="K450" s="51"/>
      <c r="L450" s="4"/>
      <c r="M450" s="4"/>
      <c r="N450" s="4"/>
      <c r="O450" s="4"/>
      <c r="P450" s="4"/>
      <c r="Q450" s="4"/>
      <c r="R450" s="4"/>
    </row>
    <row r="451" spans="5:18">
      <c r="E451" s="4"/>
      <c r="F451" s="4"/>
      <c r="G451" s="4"/>
      <c r="H451" s="4"/>
      <c r="I451" s="51"/>
      <c r="J451" s="51"/>
      <c r="K451" s="51"/>
      <c r="L451" s="4"/>
      <c r="M451" s="4"/>
      <c r="N451" s="4"/>
      <c r="O451" s="4"/>
      <c r="P451" s="4"/>
      <c r="Q451" s="4"/>
      <c r="R451" s="4"/>
    </row>
    <row r="452" spans="5:18">
      <c r="E452" s="4"/>
      <c r="F452" s="4"/>
      <c r="G452" s="4"/>
      <c r="H452" s="4"/>
      <c r="I452" s="51"/>
      <c r="J452" s="51"/>
      <c r="K452" s="51"/>
      <c r="L452" s="4"/>
      <c r="M452" s="4"/>
      <c r="N452" s="4"/>
      <c r="O452" s="4"/>
      <c r="P452" s="4"/>
      <c r="Q452" s="4"/>
      <c r="R452" s="4"/>
    </row>
    <row r="453" spans="5:18">
      <c r="E453" s="4"/>
      <c r="F453" s="4"/>
      <c r="G453" s="4"/>
      <c r="H453" s="4"/>
      <c r="I453" s="51"/>
      <c r="J453" s="51"/>
      <c r="K453" s="51"/>
      <c r="L453" s="4"/>
      <c r="M453" s="4"/>
      <c r="N453" s="4"/>
      <c r="O453" s="4"/>
      <c r="P453" s="4"/>
      <c r="Q453" s="4"/>
      <c r="R453" s="4"/>
    </row>
    <row r="454" spans="5:18">
      <c r="E454" s="4"/>
      <c r="F454" s="4"/>
      <c r="G454" s="4"/>
      <c r="H454" s="4"/>
      <c r="I454" s="51"/>
      <c r="J454" s="51"/>
      <c r="K454" s="51"/>
      <c r="L454" s="4"/>
      <c r="M454" s="4"/>
      <c r="N454" s="4"/>
      <c r="O454" s="4"/>
      <c r="P454" s="4"/>
      <c r="Q454" s="4"/>
      <c r="R454" s="4"/>
    </row>
    <row r="455" spans="5:18">
      <c r="E455" s="4"/>
      <c r="F455" s="4"/>
      <c r="G455" s="4"/>
      <c r="H455" s="4"/>
      <c r="I455" s="51"/>
      <c r="J455" s="51"/>
      <c r="K455" s="51"/>
      <c r="L455" s="4"/>
      <c r="M455" s="4"/>
      <c r="N455" s="4"/>
      <c r="O455" s="4"/>
      <c r="P455" s="4"/>
      <c r="Q455" s="4"/>
      <c r="R455" s="4"/>
    </row>
    <row r="456" spans="5:18">
      <c r="E456" s="4"/>
      <c r="F456" s="4"/>
      <c r="G456" s="4"/>
      <c r="H456" s="4"/>
      <c r="I456" s="51"/>
      <c r="J456" s="51"/>
      <c r="K456" s="51"/>
      <c r="L456" s="4"/>
      <c r="M456" s="4"/>
      <c r="N456" s="4"/>
      <c r="O456" s="4"/>
      <c r="P456" s="4"/>
      <c r="Q456" s="4"/>
      <c r="R456" s="4"/>
    </row>
    <row r="457" spans="5:18">
      <c r="E457" s="4"/>
      <c r="F457" s="4"/>
      <c r="G457" s="4"/>
      <c r="H457" s="4"/>
      <c r="I457" s="51"/>
      <c r="J457" s="51"/>
      <c r="K457" s="51"/>
      <c r="L457" s="4"/>
      <c r="M457" s="4"/>
      <c r="N457" s="4"/>
      <c r="O457" s="4"/>
      <c r="P457" s="4"/>
      <c r="Q457" s="4"/>
      <c r="R457" s="4"/>
    </row>
    <row r="458" spans="5:18">
      <c r="E458" s="4"/>
      <c r="F458" s="4"/>
      <c r="G458" s="4"/>
      <c r="H458" s="4"/>
      <c r="I458" s="51"/>
      <c r="J458" s="51"/>
      <c r="K458" s="51"/>
      <c r="L458" s="4"/>
      <c r="M458" s="4"/>
      <c r="N458" s="4"/>
      <c r="O458" s="4"/>
      <c r="P458" s="4"/>
      <c r="Q458" s="4"/>
      <c r="R458" s="4"/>
    </row>
    <row r="459" spans="5:18">
      <c r="E459" s="4"/>
      <c r="F459" s="4"/>
      <c r="G459" s="4"/>
      <c r="H459" s="4"/>
      <c r="I459" s="51"/>
      <c r="J459" s="51"/>
      <c r="K459" s="51"/>
      <c r="L459" s="4"/>
      <c r="M459" s="4"/>
      <c r="N459" s="4"/>
      <c r="O459" s="4"/>
      <c r="P459" s="4"/>
      <c r="Q459" s="4"/>
      <c r="R459" s="4"/>
    </row>
    <row r="460" spans="5:18">
      <c r="E460" s="4"/>
      <c r="F460" s="4"/>
      <c r="G460" s="4"/>
      <c r="H460" s="4"/>
      <c r="I460" s="51"/>
      <c r="J460" s="51"/>
      <c r="K460" s="51"/>
      <c r="L460" s="4"/>
      <c r="M460" s="4"/>
      <c r="N460" s="4"/>
      <c r="O460" s="4"/>
      <c r="P460" s="4"/>
      <c r="Q460" s="4"/>
      <c r="R460" s="4"/>
    </row>
    <row r="461" spans="5:18">
      <c r="E461" s="4"/>
      <c r="F461" s="4"/>
      <c r="G461" s="4"/>
      <c r="H461" s="4"/>
      <c r="I461" s="51"/>
      <c r="J461" s="51"/>
      <c r="K461" s="51"/>
      <c r="L461" s="4"/>
      <c r="M461" s="4"/>
      <c r="N461" s="4"/>
      <c r="O461" s="4"/>
      <c r="P461" s="4"/>
      <c r="Q461" s="4"/>
      <c r="R461" s="4"/>
    </row>
    <row r="462" spans="5:18">
      <c r="E462" s="4"/>
      <c r="F462" s="4"/>
      <c r="G462" s="4"/>
      <c r="H462" s="4"/>
      <c r="I462" s="51"/>
      <c r="J462" s="51"/>
      <c r="K462" s="51"/>
      <c r="L462" s="4"/>
      <c r="M462" s="4"/>
      <c r="N462" s="4"/>
      <c r="O462" s="4"/>
      <c r="P462" s="4"/>
      <c r="Q462" s="4"/>
      <c r="R462" s="4"/>
    </row>
    <row r="463" spans="5:18">
      <c r="E463" s="4"/>
      <c r="F463" s="4"/>
      <c r="G463" s="4"/>
      <c r="H463" s="4"/>
      <c r="I463" s="51"/>
      <c r="J463" s="51"/>
      <c r="K463" s="51"/>
      <c r="L463" s="4"/>
      <c r="M463" s="4"/>
      <c r="N463" s="4"/>
      <c r="O463" s="4"/>
      <c r="P463" s="4"/>
      <c r="Q463" s="4"/>
      <c r="R463" s="4"/>
    </row>
    <row r="464" spans="5:18">
      <c r="E464" s="4"/>
      <c r="F464" s="4"/>
      <c r="G464" s="4"/>
      <c r="H464" s="4"/>
      <c r="I464" s="51"/>
      <c r="J464" s="51"/>
      <c r="K464" s="51"/>
      <c r="L464" s="4"/>
      <c r="M464" s="4"/>
      <c r="N464" s="4"/>
      <c r="O464" s="4"/>
      <c r="P464" s="4"/>
      <c r="Q464" s="4"/>
      <c r="R464" s="4"/>
    </row>
    <row r="465" spans="5:18">
      <c r="E465" s="4"/>
      <c r="F465" s="4"/>
      <c r="G465" s="4"/>
      <c r="H465" s="4"/>
      <c r="I465" s="51"/>
      <c r="J465" s="51"/>
      <c r="K465" s="51"/>
      <c r="L465" s="4"/>
      <c r="M465" s="4"/>
      <c r="N465" s="4"/>
      <c r="O465" s="4"/>
      <c r="P465" s="4"/>
      <c r="Q465" s="4"/>
      <c r="R465" s="4"/>
    </row>
    <row r="466" spans="5:18">
      <c r="E466" s="4"/>
      <c r="F466" s="4"/>
      <c r="G466" s="4"/>
      <c r="H466" s="4"/>
      <c r="I466" s="51"/>
      <c r="J466" s="51"/>
      <c r="K466" s="51"/>
      <c r="L466" s="4"/>
      <c r="M466" s="4"/>
      <c r="N466" s="4"/>
      <c r="O466" s="4"/>
      <c r="P466" s="4"/>
      <c r="Q466" s="4"/>
      <c r="R466" s="4"/>
    </row>
    <row r="467" spans="5:18">
      <c r="E467" s="4"/>
      <c r="F467" s="4"/>
      <c r="G467" s="4"/>
      <c r="H467" s="4"/>
      <c r="I467" s="51"/>
      <c r="J467" s="51"/>
      <c r="K467" s="51"/>
      <c r="L467" s="4"/>
      <c r="M467" s="4"/>
      <c r="N467" s="4"/>
      <c r="O467" s="4"/>
      <c r="P467" s="4"/>
      <c r="Q467" s="4"/>
      <c r="R467" s="4"/>
    </row>
    <row r="468" spans="5:18">
      <c r="E468" s="4"/>
      <c r="F468" s="4"/>
      <c r="G468" s="4"/>
      <c r="H468" s="4"/>
      <c r="I468" s="51"/>
      <c r="J468" s="51"/>
      <c r="K468" s="51"/>
      <c r="L468" s="4"/>
      <c r="M468" s="4"/>
      <c r="N468" s="4"/>
      <c r="O468" s="4"/>
      <c r="P468" s="4"/>
      <c r="Q468" s="4"/>
      <c r="R468" s="4"/>
    </row>
    <row r="469" spans="5:18">
      <c r="E469" s="4"/>
      <c r="F469" s="4"/>
      <c r="G469" s="4"/>
      <c r="H469" s="4"/>
      <c r="I469" s="51"/>
      <c r="J469" s="51"/>
      <c r="K469" s="51"/>
      <c r="L469" s="4"/>
      <c r="M469" s="4"/>
      <c r="N469" s="4"/>
      <c r="O469" s="4"/>
      <c r="P469" s="4"/>
      <c r="Q469" s="4"/>
      <c r="R469" s="4"/>
    </row>
    <row r="470" spans="5:18">
      <c r="E470" s="4"/>
      <c r="F470" s="4"/>
      <c r="G470" s="4"/>
      <c r="H470" s="4"/>
      <c r="I470" s="51"/>
      <c r="J470" s="51"/>
      <c r="K470" s="51"/>
      <c r="L470" s="4"/>
      <c r="M470" s="4"/>
      <c r="N470" s="4"/>
      <c r="O470" s="4"/>
      <c r="P470" s="4"/>
      <c r="Q470" s="4"/>
      <c r="R470" s="4"/>
    </row>
    <row r="471" spans="5:18">
      <c r="E471" s="4"/>
      <c r="F471" s="4"/>
      <c r="G471" s="4"/>
      <c r="H471" s="4"/>
      <c r="I471" s="51"/>
      <c r="J471" s="51"/>
      <c r="K471" s="51"/>
      <c r="L471" s="4"/>
      <c r="M471" s="4"/>
      <c r="N471" s="4"/>
      <c r="O471" s="4"/>
      <c r="P471" s="4"/>
      <c r="Q471" s="4"/>
      <c r="R471" s="4"/>
    </row>
    <row r="472" spans="5:18">
      <c r="E472" s="4"/>
      <c r="F472" s="4"/>
      <c r="G472" s="4"/>
      <c r="H472" s="4"/>
      <c r="I472" s="51"/>
      <c r="J472" s="51"/>
      <c r="K472" s="51"/>
      <c r="L472" s="4"/>
      <c r="M472" s="4"/>
      <c r="N472" s="4"/>
      <c r="O472" s="4"/>
      <c r="P472" s="4"/>
      <c r="Q472" s="4"/>
      <c r="R472" s="4"/>
    </row>
    <row r="473" spans="5:18">
      <c r="E473" s="4"/>
      <c r="F473" s="4"/>
      <c r="G473" s="4"/>
      <c r="H473" s="4"/>
      <c r="I473" s="51"/>
      <c r="J473" s="51"/>
      <c r="K473" s="51"/>
      <c r="L473" s="4"/>
      <c r="M473" s="4"/>
      <c r="N473" s="4"/>
      <c r="O473" s="4"/>
      <c r="P473" s="4"/>
      <c r="Q473" s="4"/>
      <c r="R473" s="4"/>
    </row>
    <row r="474" spans="5:18">
      <c r="E474" s="4"/>
      <c r="F474" s="4"/>
      <c r="G474" s="4"/>
      <c r="H474" s="4"/>
      <c r="I474" s="51"/>
      <c r="J474" s="51"/>
      <c r="K474" s="51"/>
      <c r="L474" s="4"/>
      <c r="M474" s="4"/>
      <c r="N474" s="4"/>
      <c r="O474" s="4"/>
      <c r="P474" s="4"/>
      <c r="Q474" s="4"/>
      <c r="R474" s="4"/>
    </row>
    <row r="475" spans="5:18">
      <c r="E475" s="4"/>
      <c r="F475" s="4"/>
      <c r="G475" s="4"/>
      <c r="H475" s="4"/>
      <c r="I475" s="51"/>
      <c r="J475" s="51"/>
      <c r="K475" s="51"/>
      <c r="L475" s="4"/>
      <c r="M475" s="4"/>
      <c r="N475" s="4"/>
      <c r="O475" s="4"/>
      <c r="P475" s="4"/>
      <c r="Q475" s="4"/>
      <c r="R475" s="4"/>
    </row>
    <row r="476" spans="5:18">
      <c r="E476" s="4"/>
      <c r="F476" s="4"/>
      <c r="G476" s="4"/>
      <c r="H476" s="4"/>
      <c r="I476" s="51"/>
      <c r="J476" s="51"/>
      <c r="K476" s="51"/>
      <c r="L476" s="4"/>
      <c r="M476" s="4"/>
      <c r="N476" s="4"/>
      <c r="O476" s="4"/>
      <c r="P476" s="4"/>
      <c r="Q476" s="4"/>
      <c r="R476" s="4"/>
    </row>
    <row r="477" spans="5:18">
      <c r="E477" s="4"/>
      <c r="F477" s="4"/>
      <c r="G477" s="4"/>
      <c r="H477" s="4"/>
      <c r="I477" s="51"/>
      <c r="J477" s="51"/>
      <c r="K477" s="51"/>
      <c r="L477" s="4"/>
      <c r="M477" s="4"/>
      <c r="N477" s="4"/>
      <c r="O477" s="4"/>
      <c r="P477" s="4"/>
      <c r="Q477" s="4"/>
      <c r="R477" s="4"/>
    </row>
    <row r="478" spans="5:18">
      <c r="E478" s="4"/>
      <c r="F478" s="4"/>
      <c r="G478" s="4"/>
      <c r="H478" s="4"/>
      <c r="I478" s="51"/>
      <c r="J478" s="51"/>
      <c r="K478" s="51"/>
      <c r="L478" s="4"/>
      <c r="M478" s="4"/>
      <c r="N478" s="4"/>
      <c r="O478" s="4"/>
      <c r="P478" s="4"/>
      <c r="Q478" s="4"/>
      <c r="R478" s="4"/>
    </row>
    <row r="479" spans="5:18">
      <c r="E479" s="4"/>
      <c r="F479" s="4"/>
      <c r="G479" s="4"/>
      <c r="H479" s="4"/>
      <c r="I479" s="51"/>
      <c r="J479" s="51"/>
      <c r="K479" s="51"/>
      <c r="L479" s="4"/>
      <c r="M479" s="4"/>
      <c r="N479" s="4"/>
      <c r="O479" s="4"/>
      <c r="P479" s="4"/>
      <c r="Q479" s="4"/>
      <c r="R479" s="4"/>
    </row>
    <row r="480" spans="5:18">
      <c r="E480" s="4"/>
      <c r="F480" s="4"/>
      <c r="G480" s="4"/>
      <c r="H480" s="4"/>
      <c r="I480" s="51"/>
      <c r="J480" s="51"/>
      <c r="K480" s="51"/>
      <c r="L480" s="4"/>
      <c r="M480" s="4"/>
      <c r="N480" s="4"/>
      <c r="O480" s="4"/>
      <c r="P480" s="4"/>
      <c r="Q480" s="4"/>
      <c r="R480" s="4"/>
    </row>
    <row r="481" spans="5:18">
      <c r="E481" s="4"/>
      <c r="F481" s="4"/>
      <c r="G481" s="4"/>
      <c r="H481" s="4"/>
      <c r="I481" s="51"/>
      <c r="J481" s="51"/>
      <c r="K481" s="51"/>
      <c r="L481" s="4"/>
      <c r="M481" s="4"/>
      <c r="N481" s="4"/>
      <c r="O481" s="4"/>
      <c r="P481" s="4"/>
      <c r="Q481" s="4"/>
      <c r="R481" s="4"/>
    </row>
    <row r="482" spans="5:18">
      <c r="E482" s="4"/>
      <c r="F482" s="4"/>
      <c r="G482" s="4"/>
      <c r="H482" s="4"/>
      <c r="I482" s="51"/>
      <c r="J482" s="51"/>
      <c r="K482" s="51"/>
      <c r="L482" s="4"/>
      <c r="M482" s="4"/>
      <c r="N482" s="4"/>
      <c r="O482" s="4"/>
      <c r="P482" s="4"/>
      <c r="Q482" s="4"/>
      <c r="R482" s="4"/>
    </row>
    <row r="483" spans="5:18">
      <c r="E483" s="4"/>
      <c r="F483" s="4"/>
      <c r="G483" s="4"/>
      <c r="H483" s="4"/>
      <c r="I483" s="51"/>
      <c r="J483" s="51"/>
      <c r="K483" s="51"/>
      <c r="L483" s="4"/>
      <c r="M483" s="4"/>
      <c r="N483" s="4"/>
      <c r="O483" s="4"/>
      <c r="P483" s="4"/>
      <c r="Q483" s="4"/>
      <c r="R483" s="4"/>
    </row>
    <row r="484" spans="5:18">
      <c r="E484" s="4"/>
      <c r="F484" s="4"/>
      <c r="G484" s="4"/>
      <c r="H484" s="4"/>
      <c r="I484" s="51"/>
      <c r="J484" s="51"/>
      <c r="K484" s="51"/>
      <c r="L484" s="4"/>
      <c r="M484" s="4"/>
      <c r="N484" s="4"/>
      <c r="O484" s="4"/>
      <c r="P484" s="4"/>
      <c r="Q484" s="4"/>
      <c r="R484" s="4"/>
    </row>
    <row r="485" spans="5:18">
      <c r="E485" s="4"/>
      <c r="F485" s="4"/>
      <c r="G485" s="4"/>
      <c r="H485" s="4"/>
      <c r="I485" s="51"/>
      <c r="J485" s="51"/>
      <c r="K485" s="51"/>
      <c r="L485" s="4"/>
      <c r="M485" s="4"/>
      <c r="N485" s="4"/>
      <c r="O485" s="4"/>
      <c r="P485" s="4"/>
      <c r="Q485" s="4"/>
      <c r="R485" s="4"/>
    </row>
    <row r="486" spans="5:18">
      <c r="E486" s="4"/>
      <c r="F486" s="4"/>
      <c r="G486" s="4"/>
      <c r="H486" s="4"/>
      <c r="I486" s="51"/>
      <c r="J486" s="51"/>
      <c r="K486" s="51"/>
      <c r="L486" s="4"/>
      <c r="M486" s="4"/>
      <c r="N486" s="4"/>
      <c r="O486" s="4"/>
      <c r="P486" s="4"/>
      <c r="Q486" s="4"/>
      <c r="R486" s="4"/>
    </row>
    <row r="487" spans="5:18">
      <c r="E487" s="4"/>
      <c r="F487" s="4"/>
      <c r="G487" s="4"/>
      <c r="H487" s="4"/>
      <c r="I487" s="51"/>
      <c r="J487" s="51"/>
      <c r="K487" s="51"/>
      <c r="L487" s="4"/>
      <c r="M487" s="4"/>
      <c r="N487" s="4"/>
      <c r="O487" s="4"/>
      <c r="P487" s="4"/>
      <c r="Q487" s="4"/>
      <c r="R487" s="4"/>
    </row>
    <row r="488" spans="5:18">
      <c r="E488" s="4"/>
      <c r="F488" s="4"/>
      <c r="G488" s="4"/>
      <c r="H488" s="4"/>
      <c r="I488" s="51"/>
      <c r="J488" s="51"/>
      <c r="K488" s="51"/>
      <c r="L488" s="4"/>
      <c r="M488" s="4"/>
      <c r="N488" s="4"/>
      <c r="O488" s="4"/>
      <c r="P488" s="4"/>
      <c r="Q488" s="4"/>
      <c r="R488" s="4"/>
    </row>
    <row r="489" spans="5:18">
      <c r="E489" s="4"/>
      <c r="F489" s="4"/>
      <c r="G489" s="4"/>
      <c r="H489" s="4"/>
      <c r="I489" s="51"/>
      <c r="J489" s="51"/>
      <c r="K489" s="51"/>
      <c r="L489" s="4"/>
      <c r="M489" s="4"/>
      <c r="N489" s="4"/>
      <c r="O489" s="4"/>
      <c r="P489" s="4"/>
      <c r="Q489" s="4"/>
      <c r="R489" s="4"/>
    </row>
    <row r="490" spans="5:18">
      <c r="E490" s="4"/>
      <c r="F490" s="4"/>
      <c r="G490" s="4"/>
      <c r="H490" s="4"/>
      <c r="I490" s="51"/>
      <c r="J490" s="51"/>
      <c r="K490" s="51"/>
      <c r="L490" s="4"/>
      <c r="M490" s="4"/>
      <c r="N490" s="4"/>
      <c r="O490" s="4"/>
      <c r="P490" s="4"/>
      <c r="Q490" s="4"/>
      <c r="R490" s="4"/>
    </row>
    <row r="491" spans="5:18">
      <c r="E491" s="4"/>
      <c r="F491" s="4"/>
      <c r="G491" s="4"/>
      <c r="H491" s="4"/>
      <c r="I491" s="51"/>
      <c r="J491" s="51"/>
      <c r="K491" s="51"/>
      <c r="L491" s="4"/>
      <c r="M491" s="4"/>
      <c r="N491" s="4"/>
      <c r="O491" s="4"/>
      <c r="P491" s="4"/>
      <c r="Q491" s="4"/>
      <c r="R491" s="4"/>
    </row>
    <row r="492" spans="5:18">
      <c r="E492" s="4"/>
      <c r="F492" s="4"/>
      <c r="G492" s="4"/>
      <c r="H492" s="4"/>
      <c r="I492" s="51"/>
      <c r="J492" s="51"/>
      <c r="K492" s="51"/>
      <c r="L492" s="4"/>
      <c r="M492" s="4"/>
      <c r="N492" s="4"/>
      <c r="O492" s="4"/>
      <c r="P492" s="4"/>
      <c r="Q492" s="4"/>
      <c r="R492" s="4"/>
    </row>
    <row r="493" spans="5:18">
      <c r="E493" s="4"/>
      <c r="F493" s="4"/>
      <c r="G493" s="4"/>
      <c r="H493" s="4"/>
      <c r="I493" s="51"/>
      <c r="J493" s="51"/>
      <c r="K493" s="51"/>
      <c r="L493" s="4"/>
      <c r="M493" s="4"/>
      <c r="N493" s="4"/>
      <c r="O493" s="4"/>
      <c r="P493" s="4"/>
      <c r="Q493" s="4"/>
      <c r="R493" s="4"/>
    </row>
    <row r="494" spans="5:18">
      <c r="E494" s="4"/>
      <c r="F494" s="4"/>
      <c r="G494" s="4"/>
      <c r="H494" s="4"/>
      <c r="I494" s="51"/>
      <c r="J494" s="51"/>
      <c r="K494" s="51"/>
      <c r="L494" s="4"/>
      <c r="M494" s="4"/>
      <c r="N494" s="4"/>
      <c r="O494" s="4"/>
      <c r="P494" s="4"/>
      <c r="Q494" s="4"/>
      <c r="R494" s="4"/>
    </row>
    <row r="495" spans="5:18">
      <c r="E495" s="4"/>
      <c r="F495" s="4"/>
      <c r="G495" s="4"/>
      <c r="H495" s="4"/>
      <c r="I495" s="51"/>
      <c r="J495" s="51"/>
      <c r="K495" s="51"/>
      <c r="L495" s="4"/>
      <c r="M495" s="4"/>
      <c r="N495" s="4"/>
      <c r="O495" s="4"/>
      <c r="P495" s="4"/>
      <c r="Q495" s="4"/>
      <c r="R495" s="4"/>
    </row>
    <row r="496" spans="5:18">
      <c r="E496" s="4"/>
      <c r="F496" s="4"/>
      <c r="G496" s="4"/>
      <c r="H496" s="4"/>
      <c r="I496" s="51"/>
      <c r="J496" s="51"/>
      <c r="K496" s="51"/>
      <c r="L496" s="4"/>
      <c r="M496" s="4"/>
      <c r="N496" s="4"/>
      <c r="O496" s="4"/>
      <c r="P496" s="4"/>
      <c r="Q496" s="4"/>
      <c r="R496" s="4"/>
    </row>
    <row r="497" spans="5:18">
      <c r="E497" s="4"/>
      <c r="F497" s="4"/>
      <c r="G497" s="4"/>
      <c r="H497" s="4"/>
      <c r="I497" s="51"/>
      <c r="J497" s="51"/>
      <c r="K497" s="51"/>
      <c r="L497" s="4"/>
      <c r="M497" s="4"/>
      <c r="N497" s="4"/>
      <c r="O497" s="4"/>
      <c r="P497" s="4"/>
      <c r="Q497" s="4"/>
      <c r="R497" s="4"/>
    </row>
    <row r="498" spans="5:18">
      <c r="E498" s="4"/>
      <c r="F498" s="4"/>
      <c r="G498" s="4"/>
      <c r="H498" s="4"/>
      <c r="I498" s="51"/>
      <c r="J498" s="51"/>
      <c r="K498" s="51"/>
      <c r="L498" s="4"/>
      <c r="M498" s="4"/>
      <c r="N498" s="4"/>
      <c r="O498" s="4"/>
      <c r="P498" s="4"/>
      <c r="Q498" s="4"/>
      <c r="R498" s="4"/>
    </row>
    <row r="499" spans="5:18">
      <c r="E499" s="4"/>
      <c r="F499" s="4"/>
      <c r="G499" s="4"/>
      <c r="H499" s="4"/>
      <c r="I499" s="51"/>
      <c r="J499" s="51"/>
      <c r="K499" s="51"/>
      <c r="L499" s="4"/>
      <c r="M499" s="4"/>
      <c r="N499" s="4"/>
      <c r="O499" s="4"/>
      <c r="P499" s="4"/>
      <c r="Q499" s="4"/>
      <c r="R499" s="4"/>
    </row>
    <row r="500" spans="5:18">
      <c r="E500" s="4"/>
      <c r="F500" s="4"/>
      <c r="G500" s="4"/>
      <c r="H500" s="4"/>
      <c r="I500" s="51"/>
      <c r="J500" s="51"/>
      <c r="K500" s="51"/>
      <c r="L500" s="4"/>
      <c r="M500" s="4"/>
      <c r="N500" s="4"/>
      <c r="O500" s="4"/>
      <c r="P500" s="4"/>
      <c r="Q500" s="4"/>
      <c r="R500" s="4"/>
    </row>
    <row r="501" spans="5:18">
      <c r="E501" s="4"/>
      <c r="F501" s="4"/>
      <c r="G501" s="4"/>
      <c r="H501" s="4"/>
      <c r="I501" s="51"/>
      <c r="J501" s="51"/>
      <c r="K501" s="51"/>
      <c r="L501" s="4"/>
      <c r="M501" s="4"/>
      <c r="N501" s="4"/>
      <c r="O501" s="4"/>
      <c r="P501" s="4"/>
      <c r="Q501" s="4"/>
      <c r="R501" s="4"/>
    </row>
    <row r="502" spans="5:18">
      <c r="E502" s="4"/>
      <c r="F502" s="4"/>
      <c r="G502" s="4"/>
      <c r="H502" s="4"/>
      <c r="I502" s="51"/>
      <c r="J502" s="51"/>
      <c r="K502" s="51"/>
      <c r="L502" s="4"/>
      <c r="M502" s="4"/>
      <c r="N502" s="4"/>
      <c r="O502" s="4"/>
      <c r="P502" s="4"/>
      <c r="Q502" s="4"/>
      <c r="R502" s="4"/>
    </row>
    <row r="503" spans="5:18">
      <c r="E503" s="4"/>
      <c r="F503" s="4"/>
      <c r="G503" s="4"/>
      <c r="H503" s="4"/>
      <c r="I503" s="51"/>
      <c r="J503" s="51"/>
      <c r="K503" s="51"/>
      <c r="L503" s="4"/>
      <c r="M503" s="4"/>
      <c r="N503" s="4"/>
      <c r="O503" s="4"/>
      <c r="P503" s="4"/>
      <c r="Q503" s="4"/>
      <c r="R503" s="4"/>
    </row>
    <row r="504" spans="5:18">
      <c r="E504" s="4"/>
      <c r="F504" s="4"/>
      <c r="G504" s="4"/>
      <c r="H504" s="4"/>
      <c r="I504" s="51"/>
      <c r="J504" s="51"/>
      <c r="K504" s="51"/>
      <c r="L504" s="4"/>
      <c r="M504" s="4"/>
      <c r="N504" s="4"/>
      <c r="O504" s="4"/>
      <c r="P504" s="4"/>
      <c r="Q504" s="4"/>
      <c r="R504" s="4"/>
    </row>
    <row r="505" spans="5:18">
      <c r="E505" s="4"/>
      <c r="F505" s="4"/>
      <c r="G505" s="4"/>
      <c r="H505" s="4"/>
      <c r="I505" s="51"/>
      <c r="J505" s="51"/>
      <c r="K505" s="51"/>
      <c r="L505" s="4"/>
      <c r="M505" s="4"/>
      <c r="N505" s="4"/>
      <c r="O505" s="4"/>
      <c r="P505" s="4"/>
      <c r="Q505" s="4"/>
      <c r="R505" s="4"/>
    </row>
    <row r="506" spans="5:18">
      <c r="E506" s="4"/>
      <c r="F506" s="4"/>
      <c r="G506" s="4"/>
      <c r="H506" s="4"/>
      <c r="I506" s="51"/>
      <c r="J506" s="51"/>
      <c r="K506" s="51"/>
      <c r="L506" s="4"/>
      <c r="M506" s="4"/>
      <c r="N506" s="4"/>
      <c r="O506" s="4"/>
      <c r="P506" s="4"/>
      <c r="Q506" s="4"/>
      <c r="R506" s="4"/>
    </row>
    <row r="507" spans="5:18">
      <c r="E507" s="4"/>
      <c r="F507" s="4"/>
      <c r="G507" s="4"/>
      <c r="H507" s="4"/>
      <c r="I507" s="51"/>
      <c r="J507" s="51"/>
      <c r="K507" s="51"/>
      <c r="L507" s="4"/>
      <c r="M507" s="4"/>
      <c r="N507" s="4"/>
      <c r="O507" s="4"/>
      <c r="P507" s="4"/>
      <c r="Q507" s="4"/>
      <c r="R507" s="4"/>
    </row>
    <row r="508" spans="5:18">
      <c r="E508" s="4"/>
      <c r="F508" s="4"/>
      <c r="G508" s="4"/>
      <c r="H508" s="4"/>
      <c r="I508" s="51"/>
      <c r="J508" s="51"/>
      <c r="K508" s="51"/>
      <c r="L508" s="4"/>
      <c r="M508" s="4"/>
      <c r="N508" s="4"/>
      <c r="O508" s="4"/>
      <c r="P508" s="4"/>
      <c r="Q508" s="4"/>
      <c r="R508" s="4"/>
    </row>
    <row r="509" spans="5:18">
      <c r="E509" s="4"/>
      <c r="F509" s="4"/>
      <c r="G509" s="4"/>
      <c r="H509" s="4"/>
      <c r="I509" s="51"/>
      <c r="J509" s="51"/>
      <c r="K509" s="51"/>
      <c r="L509" s="4"/>
      <c r="M509" s="4"/>
      <c r="N509" s="4"/>
      <c r="O509" s="4"/>
      <c r="P509" s="4"/>
      <c r="Q509" s="4"/>
      <c r="R509" s="4"/>
    </row>
    <row r="510" spans="5:18">
      <c r="E510" s="4"/>
      <c r="F510" s="4"/>
      <c r="G510" s="4"/>
      <c r="H510" s="4"/>
      <c r="I510" s="51"/>
      <c r="J510" s="51"/>
      <c r="K510" s="51"/>
      <c r="L510" s="4"/>
      <c r="M510" s="4"/>
      <c r="N510" s="4"/>
      <c r="O510" s="4"/>
      <c r="P510" s="4"/>
      <c r="Q510" s="4"/>
      <c r="R510" s="4"/>
    </row>
    <row r="511" spans="5:18">
      <c r="E511" s="4"/>
      <c r="F511" s="4"/>
      <c r="G511" s="4"/>
      <c r="H511" s="4"/>
      <c r="I511" s="51"/>
      <c r="J511" s="51"/>
      <c r="K511" s="51"/>
      <c r="L511" s="4"/>
      <c r="M511" s="4"/>
      <c r="N511" s="4"/>
      <c r="O511" s="4"/>
      <c r="P511" s="4"/>
      <c r="Q511" s="4"/>
      <c r="R511" s="4"/>
    </row>
    <row r="512" spans="5:18">
      <c r="E512" s="4"/>
      <c r="F512" s="4"/>
      <c r="G512" s="4"/>
      <c r="H512" s="4"/>
      <c r="I512" s="51"/>
      <c r="J512" s="51"/>
      <c r="K512" s="51"/>
      <c r="L512" s="4"/>
      <c r="M512" s="4"/>
      <c r="N512" s="4"/>
      <c r="O512" s="4"/>
      <c r="P512" s="4"/>
      <c r="Q512" s="4"/>
      <c r="R512" s="4"/>
    </row>
    <row r="513" spans="5:18">
      <c r="E513" s="4"/>
      <c r="F513" s="4"/>
      <c r="G513" s="4"/>
      <c r="H513" s="4"/>
      <c r="I513" s="51"/>
      <c r="J513" s="51"/>
      <c r="K513" s="51"/>
      <c r="L513" s="4"/>
      <c r="M513" s="4"/>
      <c r="N513" s="4"/>
      <c r="O513" s="4"/>
      <c r="P513" s="4"/>
      <c r="Q513" s="4"/>
      <c r="R513" s="4"/>
    </row>
    <row r="514" spans="5:18">
      <c r="E514" s="4"/>
      <c r="F514" s="4"/>
      <c r="G514" s="4"/>
      <c r="H514" s="4"/>
      <c r="I514" s="51"/>
      <c r="J514" s="51"/>
      <c r="K514" s="51"/>
      <c r="L514" s="4"/>
      <c r="M514" s="4"/>
      <c r="N514" s="4"/>
      <c r="O514" s="4"/>
      <c r="P514" s="4"/>
      <c r="Q514" s="4"/>
      <c r="R514" s="4"/>
    </row>
    <row r="515" spans="5:18">
      <c r="E515" s="4"/>
      <c r="F515" s="4"/>
      <c r="G515" s="4"/>
      <c r="H515" s="4"/>
      <c r="I515" s="51"/>
      <c r="J515" s="51"/>
      <c r="K515" s="51"/>
      <c r="L515" s="4"/>
      <c r="M515" s="4"/>
      <c r="N515" s="4"/>
      <c r="O515" s="4"/>
      <c r="P515" s="4"/>
      <c r="Q515" s="4"/>
      <c r="R515" s="4"/>
    </row>
    <row r="516" spans="5:18">
      <c r="E516" s="4"/>
      <c r="F516" s="4"/>
      <c r="G516" s="4"/>
      <c r="H516" s="4"/>
      <c r="I516" s="51"/>
      <c r="J516" s="51"/>
      <c r="K516" s="51"/>
      <c r="L516" s="4"/>
      <c r="M516" s="4"/>
      <c r="N516" s="4"/>
      <c r="O516" s="4"/>
      <c r="P516" s="4"/>
      <c r="Q516" s="4"/>
      <c r="R516" s="4"/>
    </row>
    <row r="517" spans="5:18">
      <c r="E517" s="4"/>
      <c r="F517" s="4"/>
      <c r="G517" s="4"/>
      <c r="H517" s="4"/>
      <c r="I517" s="51"/>
      <c r="J517" s="51"/>
      <c r="K517" s="51"/>
      <c r="L517" s="4"/>
      <c r="M517" s="4"/>
      <c r="N517" s="4"/>
      <c r="O517" s="4"/>
      <c r="P517" s="4"/>
      <c r="Q517" s="4"/>
      <c r="R517" s="4"/>
    </row>
    <row r="518" spans="5:18">
      <c r="E518" s="4"/>
      <c r="F518" s="4"/>
      <c r="G518" s="4"/>
      <c r="H518" s="4"/>
      <c r="I518" s="51"/>
      <c r="J518" s="51"/>
      <c r="K518" s="51"/>
      <c r="L518" s="4"/>
      <c r="M518" s="4"/>
      <c r="N518" s="4"/>
      <c r="O518" s="4"/>
      <c r="P518" s="4"/>
      <c r="Q518" s="4"/>
      <c r="R518" s="4"/>
    </row>
    <row r="519" spans="5:18">
      <c r="E519" s="4"/>
      <c r="F519" s="4"/>
      <c r="G519" s="4"/>
      <c r="H519" s="4"/>
      <c r="I519" s="51"/>
      <c r="J519" s="51"/>
      <c r="K519" s="51"/>
      <c r="L519" s="4"/>
      <c r="M519" s="4"/>
      <c r="N519" s="4"/>
      <c r="O519" s="4"/>
      <c r="P519" s="4"/>
      <c r="Q519" s="4"/>
      <c r="R519" s="4"/>
    </row>
    <row r="520" spans="5:18">
      <c r="E520" s="4"/>
      <c r="F520" s="4"/>
      <c r="G520" s="4"/>
      <c r="H520" s="4"/>
      <c r="I520" s="51"/>
      <c r="J520" s="51"/>
      <c r="K520" s="51"/>
      <c r="L520" s="4"/>
      <c r="M520" s="4"/>
      <c r="N520" s="4"/>
      <c r="O520" s="4"/>
      <c r="P520" s="4"/>
      <c r="Q520" s="4"/>
      <c r="R520" s="4"/>
    </row>
    <row r="521" spans="5:18">
      <c r="E521" s="4"/>
      <c r="F521" s="4"/>
      <c r="G521" s="4"/>
      <c r="H521" s="4"/>
      <c r="I521" s="51"/>
      <c r="J521" s="51"/>
      <c r="K521" s="51"/>
      <c r="L521" s="4"/>
      <c r="M521" s="4"/>
      <c r="N521" s="4"/>
      <c r="O521" s="4"/>
      <c r="P521" s="4"/>
      <c r="Q521" s="4"/>
      <c r="R521" s="4"/>
    </row>
    <row r="522" spans="5:18">
      <c r="E522" s="4"/>
      <c r="F522" s="4"/>
      <c r="G522" s="4"/>
      <c r="H522" s="4"/>
      <c r="I522" s="51"/>
      <c r="J522" s="51"/>
      <c r="K522" s="51"/>
      <c r="L522" s="4"/>
      <c r="M522" s="4"/>
      <c r="N522" s="4"/>
      <c r="O522" s="4"/>
      <c r="P522" s="4"/>
      <c r="Q522" s="4"/>
      <c r="R522" s="4"/>
    </row>
    <row r="523" spans="5:18">
      <c r="E523" s="4"/>
      <c r="F523" s="4"/>
      <c r="G523" s="4"/>
      <c r="H523" s="4"/>
      <c r="I523" s="51"/>
      <c r="J523" s="51"/>
      <c r="K523" s="51"/>
      <c r="L523" s="4"/>
      <c r="M523" s="4"/>
      <c r="N523" s="4"/>
      <c r="O523" s="4"/>
      <c r="P523" s="4"/>
      <c r="Q523" s="4"/>
      <c r="R523" s="4"/>
    </row>
    <row r="524" spans="5:18">
      <c r="E524" s="4"/>
      <c r="F524" s="4"/>
      <c r="G524" s="4"/>
      <c r="H524" s="4"/>
      <c r="I524" s="51"/>
      <c r="J524" s="51"/>
      <c r="K524" s="51"/>
      <c r="L524" s="4"/>
      <c r="M524" s="4"/>
      <c r="N524" s="4"/>
      <c r="O524" s="4"/>
      <c r="P524" s="4"/>
      <c r="Q524" s="4"/>
      <c r="R524" s="4"/>
    </row>
    <row r="525" spans="5:18">
      <c r="E525" s="4"/>
      <c r="F525" s="4"/>
      <c r="G525" s="4"/>
      <c r="H525" s="4"/>
      <c r="I525" s="51"/>
      <c r="J525" s="51"/>
      <c r="K525" s="51"/>
      <c r="L525" s="4"/>
      <c r="M525" s="4"/>
      <c r="N525" s="4"/>
      <c r="O525" s="4"/>
      <c r="P525" s="4"/>
      <c r="Q525" s="4"/>
      <c r="R525" s="4"/>
    </row>
    <row r="526" spans="5:18">
      <c r="E526" s="4"/>
      <c r="F526" s="4"/>
      <c r="G526" s="4"/>
      <c r="H526" s="4"/>
      <c r="I526" s="51"/>
      <c r="J526" s="51"/>
      <c r="K526" s="51"/>
      <c r="L526" s="4"/>
      <c r="M526" s="4"/>
      <c r="N526" s="4"/>
      <c r="O526" s="4"/>
      <c r="P526" s="4"/>
      <c r="Q526" s="4"/>
      <c r="R526" s="4"/>
    </row>
    <row r="527" spans="5:18">
      <c r="E527" s="4"/>
      <c r="F527" s="4"/>
      <c r="G527" s="4"/>
      <c r="H527" s="4"/>
      <c r="I527" s="51"/>
      <c r="J527" s="51"/>
      <c r="K527" s="51"/>
      <c r="L527" s="4"/>
      <c r="M527" s="4"/>
      <c r="N527" s="4"/>
      <c r="O527" s="4"/>
      <c r="P527" s="4"/>
      <c r="Q527" s="4"/>
      <c r="R527" s="4"/>
    </row>
    <row r="528" spans="5:18">
      <c r="E528" s="4"/>
      <c r="F528" s="4"/>
      <c r="G528" s="4"/>
      <c r="H528" s="4"/>
      <c r="I528" s="51"/>
      <c r="J528" s="51"/>
      <c r="K528" s="51"/>
      <c r="L528" s="4"/>
      <c r="M528" s="4"/>
      <c r="N528" s="4"/>
      <c r="O528" s="4"/>
      <c r="P528" s="4"/>
      <c r="Q528" s="4"/>
      <c r="R528" s="4"/>
    </row>
    <row r="529" spans="5:18">
      <c r="E529" s="4"/>
      <c r="F529" s="4"/>
      <c r="G529" s="4"/>
      <c r="H529" s="4"/>
      <c r="I529" s="51"/>
      <c r="J529" s="51"/>
      <c r="K529" s="51"/>
      <c r="L529" s="4"/>
      <c r="M529" s="4"/>
      <c r="N529" s="4"/>
      <c r="O529" s="4"/>
      <c r="P529" s="4"/>
      <c r="Q529" s="4"/>
      <c r="R529" s="4"/>
    </row>
    <row r="530" spans="5:18">
      <c r="E530" s="4"/>
      <c r="F530" s="4"/>
      <c r="G530" s="4"/>
      <c r="H530" s="4"/>
      <c r="I530" s="51"/>
      <c r="J530" s="51"/>
      <c r="K530" s="51"/>
      <c r="L530" s="4"/>
      <c r="M530" s="4"/>
      <c r="N530" s="4"/>
      <c r="O530" s="4"/>
      <c r="P530" s="4"/>
      <c r="Q530" s="4"/>
      <c r="R530" s="4"/>
    </row>
    <row r="531" spans="5:18">
      <c r="E531" s="4"/>
      <c r="F531" s="4"/>
      <c r="G531" s="4"/>
      <c r="H531" s="4"/>
      <c r="I531" s="51"/>
      <c r="J531" s="51"/>
      <c r="K531" s="51"/>
      <c r="L531" s="4"/>
      <c r="M531" s="4"/>
      <c r="N531" s="4"/>
      <c r="O531" s="4"/>
      <c r="P531" s="4"/>
      <c r="Q531" s="4"/>
      <c r="R531" s="4"/>
    </row>
    <row r="532" spans="5:18">
      <c r="E532" s="4"/>
      <c r="F532" s="4"/>
      <c r="G532" s="4"/>
      <c r="H532" s="4"/>
      <c r="I532" s="51"/>
      <c r="J532" s="51"/>
      <c r="K532" s="51"/>
      <c r="L532" s="4"/>
      <c r="M532" s="4"/>
      <c r="N532" s="4"/>
      <c r="O532" s="4"/>
      <c r="P532" s="4"/>
      <c r="Q532" s="4"/>
      <c r="R532" s="4"/>
    </row>
    <row r="533" spans="5:18">
      <c r="E533" s="4"/>
      <c r="F533" s="4"/>
      <c r="G533" s="4"/>
      <c r="H533" s="4"/>
      <c r="I533" s="51"/>
      <c r="J533" s="51"/>
      <c r="K533" s="51"/>
      <c r="L533" s="4"/>
      <c r="M533" s="4"/>
      <c r="N533" s="4"/>
      <c r="O533" s="4"/>
      <c r="P533" s="4"/>
      <c r="Q533" s="4"/>
      <c r="R533" s="4"/>
    </row>
    <row r="534" spans="5:18">
      <c r="E534" s="4"/>
      <c r="F534" s="4"/>
      <c r="G534" s="4"/>
      <c r="H534" s="4"/>
      <c r="I534" s="51"/>
      <c r="J534" s="51"/>
      <c r="K534" s="51"/>
      <c r="L534" s="4"/>
      <c r="M534" s="4"/>
      <c r="N534" s="4"/>
      <c r="O534" s="4"/>
      <c r="P534" s="4"/>
      <c r="Q534" s="4"/>
      <c r="R534" s="4"/>
    </row>
    <row r="535" spans="5:18">
      <c r="E535" s="4"/>
      <c r="F535" s="4"/>
      <c r="G535" s="4"/>
      <c r="H535" s="4"/>
      <c r="I535" s="51"/>
      <c r="J535" s="51"/>
      <c r="K535" s="51"/>
      <c r="L535" s="4"/>
      <c r="M535" s="4"/>
      <c r="N535" s="4"/>
      <c r="O535" s="4"/>
      <c r="P535" s="4"/>
      <c r="Q535" s="4"/>
      <c r="R535" s="4"/>
    </row>
    <row r="536" spans="5:18">
      <c r="E536" s="4"/>
      <c r="F536" s="4"/>
      <c r="G536" s="4"/>
      <c r="H536" s="4"/>
      <c r="I536" s="51"/>
      <c r="J536" s="51"/>
      <c r="K536" s="51"/>
      <c r="L536" s="4"/>
      <c r="M536" s="4"/>
      <c r="N536" s="4"/>
      <c r="O536" s="4"/>
      <c r="P536" s="4"/>
      <c r="Q536" s="4"/>
      <c r="R536" s="4"/>
    </row>
    <row r="537" spans="5:18">
      <c r="E537" s="4"/>
      <c r="F537" s="4"/>
      <c r="G537" s="4"/>
      <c r="H537" s="4"/>
      <c r="I537" s="51"/>
      <c r="J537" s="51"/>
      <c r="K537" s="51"/>
      <c r="L537" s="4"/>
      <c r="M537" s="4"/>
      <c r="N537" s="4"/>
      <c r="O537" s="4"/>
      <c r="P537" s="4"/>
      <c r="Q537" s="4"/>
      <c r="R537" s="4"/>
    </row>
    <row r="538" spans="5:18">
      <c r="E538" s="4"/>
      <c r="F538" s="4"/>
      <c r="G538" s="4"/>
      <c r="H538" s="4"/>
      <c r="I538" s="51"/>
      <c r="J538" s="51"/>
      <c r="K538" s="51"/>
      <c r="L538" s="4"/>
      <c r="M538" s="4"/>
      <c r="N538" s="4"/>
      <c r="O538" s="4"/>
      <c r="P538" s="4"/>
      <c r="Q538" s="4"/>
      <c r="R538" s="4"/>
    </row>
    <row r="539" spans="5:18">
      <c r="E539" s="4"/>
      <c r="F539" s="4"/>
      <c r="G539" s="4"/>
      <c r="H539" s="4"/>
      <c r="I539" s="51"/>
      <c r="J539" s="51"/>
      <c r="K539" s="51"/>
      <c r="L539" s="4"/>
      <c r="M539" s="4"/>
      <c r="N539" s="4"/>
      <c r="O539" s="4"/>
      <c r="P539" s="4"/>
      <c r="Q539" s="4"/>
      <c r="R539" s="4"/>
    </row>
    <row r="540" spans="5:18">
      <c r="E540" s="4"/>
      <c r="F540" s="4"/>
      <c r="G540" s="4"/>
      <c r="H540" s="4"/>
      <c r="I540" s="51"/>
      <c r="J540" s="51"/>
      <c r="K540" s="51"/>
      <c r="L540" s="4"/>
      <c r="M540" s="4"/>
      <c r="N540" s="4"/>
      <c r="O540" s="4"/>
      <c r="P540" s="4"/>
      <c r="Q540" s="4"/>
      <c r="R540" s="4"/>
    </row>
    <row r="541" spans="5:18">
      <c r="E541" s="4"/>
      <c r="F541" s="4"/>
      <c r="G541" s="4"/>
      <c r="H541" s="4"/>
      <c r="I541" s="51"/>
      <c r="J541" s="51"/>
      <c r="K541" s="51"/>
      <c r="L541" s="4"/>
      <c r="M541" s="4"/>
      <c r="N541" s="4"/>
      <c r="O541" s="4"/>
      <c r="P541" s="4"/>
      <c r="Q541" s="4"/>
      <c r="R541" s="4"/>
    </row>
    <row r="542" spans="5:18">
      <c r="E542" s="4"/>
      <c r="F542" s="4"/>
      <c r="G542" s="4"/>
      <c r="H542" s="4"/>
      <c r="I542" s="51"/>
      <c r="J542" s="51"/>
      <c r="K542" s="51"/>
      <c r="L542" s="4"/>
      <c r="M542" s="4"/>
      <c r="N542" s="4"/>
      <c r="O542" s="4"/>
      <c r="P542" s="4"/>
      <c r="Q542" s="4"/>
      <c r="R542" s="4"/>
    </row>
    <row r="543" spans="5:18">
      <c r="E543" s="4"/>
      <c r="F543" s="4"/>
      <c r="G543" s="4"/>
      <c r="H543" s="4"/>
      <c r="I543" s="51"/>
      <c r="J543" s="51"/>
      <c r="K543" s="51"/>
      <c r="L543" s="4"/>
      <c r="M543" s="4"/>
      <c r="N543" s="4"/>
      <c r="O543" s="4"/>
      <c r="P543" s="4"/>
      <c r="Q543" s="4"/>
      <c r="R543" s="4"/>
    </row>
    <row r="544" spans="5:18">
      <c r="E544" s="4"/>
      <c r="F544" s="4"/>
      <c r="G544" s="4"/>
      <c r="H544" s="4"/>
      <c r="I544" s="51"/>
      <c r="J544" s="51"/>
      <c r="K544" s="51"/>
      <c r="L544" s="4"/>
      <c r="M544" s="4"/>
      <c r="N544" s="4"/>
      <c r="O544" s="4"/>
      <c r="P544" s="4"/>
      <c r="Q544" s="4"/>
      <c r="R544" s="4"/>
    </row>
    <row r="545" spans="5:18">
      <c r="E545" s="4"/>
      <c r="F545" s="4"/>
      <c r="G545" s="4"/>
      <c r="H545" s="4"/>
      <c r="I545" s="51"/>
      <c r="J545" s="51"/>
      <c r="K545" s="51"/>
      <c r="L545" s="4"/>
      <c r="M545" s="4"/>
      <c r="N545" s="4"/>
      <c r="O545" s="4"/>
      <c r="P545" s="4"/>
      <c r="Q545" s="4"/>
      <c r="R545" s="4"/>
    </row>
    <row r="546" spans="5:18">
      <c r="E546" s="4"/>
      <c r="F546" s="4"/>
      <c r="G546" s="4"/>
      <c r="H546" s="4"/>
      <c r="I546" s="51"/>
      <c r="J546" s="51"/>
      <c r="K546" s="51"/>
      <c r="L546" s="4"/>
      <c r="M546" s="4"/>
      <c r="N546" s="4"/>
      <c r="O546" s="4"/>
      <c r="P546" s="4"/>
      <c r="Q546" s="4"/>
      <c r="R546" s="4"/>
    </row>
    <row r="547" spans="5:18">
      <c r="E547" s="4"/>
      <c r="F547" s="4"/>
      <c r="G547" s="4"/>
      <c r="H547" s="4"/>
      <c r="I547" s="51"/>
      <c r="J547" s="51"/>
      <c r="K547" s="51"/>
      <c r="L547" s="4"/>
      <c r="M547" s="4"/>
      <c r="N547" s="4"/>
      <c r="O547" s="4"/>
      <c r="P547" s="4"/>
      <c r="Q547" s="4"/>
      <c r="R547" s="4"/>
    </row>
    <row r="548" spans="5:18">
      <c r="E548" s="4"/>
      <c r="F548" s="4"/>
      <c r="G548" s="4"/>
      <c r="H548" s="4"/>
      <c r="I548" s="51"/>
      <c r="J548" s="51"/>
      <c r="K548" s="51"/>
      <c r="L548" s="4"/>
      <c r="M548" s="4"/>
      <c r="N548" s="4"/>
      <c r="O548" s="4"/>
      <c r="P548" s="4"/>
      <c r="Q548" s="4"/>
      <c r="R548" s="4"/>
    </row>
    <row r="549" spans="5:18">
      <c r="E549" s="4"/>
      <c r="F549" s="4"/>
      <c r="G549" s="4"/>
      <c r="H549" s="4"/>
      <c r="I549" s="51"/>
      <c r="J549" s="51"/>
      <c r="K549" s="51"/>
      <c r="L549" s="4"/>
      <c r="M549" s="4"/>
      <c r="N549" s="4"/>
      <c r="O549" s="4"/>
      <c r="P549" s="4"/>
      <c r="Q549" s="4"/>
      <c r="R549" s="4"/>
    </row>
    <row r="550" spans="5:18">
      <c r="E550" s="4"/>
      <c r="F550" s="4"/>
      <c r="G550" s="4"/>
      <c r="H550" s="4"/>
      <c r="I550" s="51"/>
      <c r="J550" s="51"/>
      <c r="K550" s="51"/>
      <c r="L550" s="4"/>
      <c r="M550" s="4"/>
      <c r="N550" s="4"/>
      <c r="O550" s="4"/>
      <c r="P550" s="4"/>
      <c r="Q550" s="4"/>
      <c r="R550" s="4"/>
    </row>
    <row r="551" spans="5:18">
      <c r="E551" s="4"/>
      <c r="F551" s="4"/>
      <c r="G551" s="4"/>
      <c r="H551" s="4"/>
      <c r="I551" s="51"/>
      <c r="J551" s="51"/>
      <c r="K551" s="51"/>
      <c r="L551" s="4"/>
      <c r="M551" s="4"/>
      <c r="N551" s="4"/>
      <c r="O551" s="4"/>
      <c r="P551" s="4"/>
      <c r="Q551" s="4"/>
      <c r="R551" s="4"/>
    </row>
    <row r="552" spans="5:18">
      <c r="E552" s="4"/>
      <c r="F552" s="4"/>
      <c r="G552" s="4"/>
      <c r="H552" s="4"/>
      <c r="I552" s="51"/>
      <c r="J552" s="51"/>
      <c r="K552" s="51"/>
      <c r="L552" s="4"/>
      <c r="M552" s="4"/>
      <c r="N552" s="4"/>
      <c r="O552" s="4"/>
      <c r="P552" s="4"/>
      <c r="Q552" s="4"/>
      <c r="R552" s="4"/>
    </row>
    <row r="553" spans="5:18">
      <c r="E553" s="4"/>
      <c r="F553" s="4"/>
      <c r="G553" s="4"/>
      <c r="H553" s="4"/>
      <c r="I553" s="51"/>
      <c r="J553" s="51"/>
      <c r="K553" s="51"/>
      <c r="L553" s="4"/>
      <c r="M553" s="4"/>
      <c r="N553" s="4"/>
      <c r="O553" s="4"/>
      <c r="P553" s="4"/>
      <c r="Q553" s="4"/>
      <c r="R553" s="4"/>
    </row>
    <row r="554" spans="5:18">
      <c r="E554" s="4"/>
      <c r="F554" s="4"/>
      <c r="G554" s="4"/>
      <c r="H554" s="4"/>
      <c r="I554" s="51"/>
      <c r="J554" s="51"/>
      <c r="K554" s="51"/>
      <c r="L554" s="4"/>
      <c r="M554" s="4"/>
      <c r="N554" s="4"/>
      <c r="O554" s="4"/>
      <c r="P554" s="4"/>
      <c r="Q554" s="4"/>
      <c r="R554" s="4"/>
    </row>
    <row r="555" spans="5:18">
      <c r="E555" s="4"/>
      <c r="F555" s="4"/>
      <c r="G555" s="4"/>
      <c r="H555" s="4"/>
      <c r="I555" s="51"/>
      <c r="J555" s="51"/>
      <c r="K555" s="51"/>
      <c r="L555" s="4"/>
      <c r="M555" s="4"/>
      <c r="N555" s="4"/>
      <c r="O555" s="4"/>
      <c r="P555" s="4"/>
      <c r="Q555" s="4"/>
      <c r="R555" s="4"/>
    </row>
    <row r="556" spans="5:18">
      <c r="E556" s="4"/>
      <c r="F556" s="4"/>
      <c r="G556" s="4"/>
      <c r="H556" s="4"/>
      <c r="I556" s="51"/>
      <c r="J556" s="51"/>
      <c r="K556" s="51"/>
      <c r="L556" s="4"/>
      <c r="M556" s="4"/>
      <c r="N556" s="4"/>
      <c r="O556" s="4"/>
      <c r="P556" s="4"/>
      <c r="Q556" s="4"/>
      <c r="R556" s="4"/>
    </row>
    <row r="557" spans="5:18">
      <c r="E557" s="4"/>
      <c r="F557" s="4"/>
      <c r="G557" s="4"/>
      <c r="H557" s="4"/>
      <c r="I557" s="51"/>
      <c r="J557" s="51"/>
      <c r="K557" s="51"/>
      <c r="L557" s="4"/>
      <c r="M557" s="4"/>
      <c r="N557" s="4"/>
      <c r="O557" s="4"/>
      <c r="P557" s="4"/>
      <c r="Q557" s="4"/>
      <c r="R557" s="4"/>
    </row>
    <row r="558" spans="5:18">
      <c r="E558" s="4"/>
      <c r="F558" s="4"/>
      <c r="G558" s="4"/>
      <c r="H558" s="4"/>
      <c r="I558" s="51"/>
      <c r="J558" s="51"/>
      <c r="K558" s="51"/>
      <c r="L558" s="4"/>
      <c r="M558" s="4"/>
      <c r="N558" s="4"/>
      <c r="O558" s="4"/>
      <c r="P558" s="4"/>
      <c r="Q558" s="4"/>
      <c r="R558" s="4"/>
    </row>
    <row r="559" spans="5:18">
      <c r="E559" s="4"/>
      <c r="F559" s="4"/>
      <c r="G559" s="4"/>
      <c r="H559" s="4"/>
      <c r="I559" s="51"/>
      <c r="J559" s="51"/>
      <c r="K559" s="51"/>
      <c r="L559" s="4"/>
      <c r="M559" s="4"/>
      <c r="N559" s="4"/>
      <c r="O559" s="4"/>
      <c r="P559" s="4"/>
      <c r="Q559" s="4"/>
      <c r="R559" s="4"/>
    </row>
    <row r="560" spans="5:18">
      <c r="E560" s="4"/>
      <c r="F560" s="4"/>
      <c r="G560" s="4"/>
      <c r="H560" s="4"/>
      <c r="I560" s="51"/>
      <c r="J560" s="51"/>
      <c r="K560" s="51"/>
      <c r="L560" s="4"/>
      <c r="M560" s="4"/>
      <c r="N560" s="4"/>
      <c r="O560" s="4"/>
      <c r="P560" s="4"/>
      <c r="Q560" s="4"/>
      <c r="R560" s="4"/>
    </row>
    <row r="561" spans="5:18">
      <c r="E561" s="4"/>
      <c r="F561" s="4"/>
      <c r="G561" s="4"/>
      <c r="H561" s="4"/>
      <c r="I561" s="51"/>
      <c r="J561" s="51"/>
      <c r="K561" s="51"/>
      <c r="L561" s="4"/>
      <c r="M561" s="4"/>
      <c r="N561" s="4"/>
      <c r="O561" s="4"/>
      <c r="P561" s="4"/>
      <c r="Q561" s="4"/>
      <c r="R561" s="4"/>
    </row>
    <row r="562" spans="5:18">
      <c r="E562" s="4"/>
      <c r="F562" s="4"/>
      <c r="G562" s="4"/>
      <c r="H562" s="4"/>
      <c r="I562" s="51"/>
      <c r="J562" s="51"/>
      <c r="K562" s="51"/>
      <c r="L562" s="4"/>
      <c r="M562" s="4"/>
      <c r="N562" s="4"/>
      <c r="O562" s="4"/>
      <c r="P562" s="4"/>
      <c r="Q562" s="4"/>
      <c r="R562" s="4"/>
    </row>
    <row r="563" spans="5:18">
      <c r="E563" s="4"/>
      <c r="F563" s="4"/>
      <c r="G563" s="4"/>
      <c r="H563" s="4"/>
      <c r="I563" s="51"/>
      <c r="J563" s="51"/>
      <c r="K563" s="51"/>
      <c r="L563" s="4"/>
      <c r="M563" s="4"/>
      <c r="N563" s="4"/>
      <c r="O563" s="4"/>
      <c r="P563" s="4"/>
      <c r="Q563" s="4"/>
      <c r="R563" s="4"/>
    </row>
    <row r="564" spans="5:18">
      <c r="E564" s="4"/>
      <c r="F564" s="4"/>
      <c r="G564" s="4"/>
      <c r="H564" s="4"/>
      <c r="I564" s="51"/>
      <c r="J564" s="51"/>
      <c r="K564" s="51"/>
      <c r="L564" s="4"/>
      <c r="M564" s="4"/>
      <c r="N564" s="4"/>
      <c r="O564" s="4"/>
      <c r="P564" s="4"/>
      <c r="Q564" s="4"/>
      <c r="R564" s="4"/>
    </row>
    <row r="565" spans="5:18">
      <c r="E565" s="4"/>
      <c r="F565" s="4"/>
      <c r="G565" s="4"/>
      <c r="H565" s="4"/>
      <c r="I565" s="51"/>
      <c r="J565" s="51"/>
      <c r="K565" s="51"/>
      <c r="L565" s="4"/>
      <c r="M565" s="4"/>
      <c r="N565" s="4"/>
      <c r="O565" s="4"/>
      <c r="P565" s="4"/>
      <c r="Q565" s="4"/>
      <c r="R565" s="4"/>
    </row>
    <row r="566" spans="5:18">
      <c r="E566" s="4"/>
      <c r="F566" s="4"/>
      <c r="G566" s="4"/>
      <c r="H566" s="4"/>
      <c r="I566" s="51"/>
      <c r="J566" s="51"/>
      <c r="K566" s="51"/>
      <c r="L566" s="4"/>
      <c r="M566" s="4"/>
      <c r="N566" s="4"/>
      <c r="O566" s="4"/>
      <c r="P566" s="4"/>
      <c r="Q566" s="4"/>
      <c r="R566" s="4"/>
    </row>
    <row r="567" spans="5:18">
      <c r="E567" s="4"/>
      <c r="F567" s="4"/>
      <c r="G567" s="4"/>
      <c r="H567" s="4"/>
      <c r="I567" s="51"/>
      <c r="J567" s="51"/>
      <c r="K567" s="51"/>
      <c r="L567" s="4"/>
      <c r="M567" s="4"/>
      <c r="N567" s="4"/>
      <c r="O567" s="4"/>
      <c r="P567" s="4"/>
      <c r="Q567" s="4"/>
      <c r="R567" s="4"/>
    </row>
    <row r="568" spans="5:18">
      <c r="E568" s="4"/>
      <c r="F568" s="4"/>
      <c r="G568" s="4"/>
      <c r="H568" s="4"/>
      <c r="I568" s="51"/>
      <c r="J568" s="51"/>
      <c r="K568" s="51"/>
      <c r="L568" s="4"/>
      <c r="M568" s="4"/>
      <c r="N568" s="4"/>
      <c r="O568" s="4"/>
      <c r="P568" s="4"/>
      <c r="Q568" s="4"/>
      <c r="R568" s="4"/>
    </row>
    <row r="569" spans="5:18">
      <c r="E569" s="4"/>
      <c r="F569" s="4"/>
      <c r="G569" s="4"/>
      <c r="H569" s="4"/>
      <c r="I569" s="51"/>
      <c r="J569" s="51"/>
      <c r="K569" s="51"/>
      <c r="L569" s="4"/>
      <c r="M569" s="4"/>
      <c r="N569" s="4"/>
      <c r="O569" s="4"/>
      <c r="P569" s="4"/>
      <c r="Q569" s="4"/>
      <c r="R569" s="4"/>
    </row>
    <row r="570" spans="5:18">
      <c r="E570" s="4"/>
      <c r="F570" s="4"/>
      <c r="G570" s="4"/>
      <c r="H570" s="4"/>
      <c r="I570" s="51"/>
      <c r="J570" s="51"/>
      <c r="K570" s="51"/>
      <c r="L570" s="4"/>
      <c r="M570" s="4"/>
      <c r="N570" s="4"/>
      <c r="O570" s="4"/>
      <c r="P570" s="4"/>
      <c r="Q570" s="4"/>
      <c r="R570" s="4"/>
    </row>
    <row r="571" spans="5:18">
      <c r="E571" s="4"/>
      <c r="F571" s="4"/>
      <c r="G571" s="4"/>
      <c r="H571" s="4"/>
      <c r="I571" s="51"/>
      <c r="J571" s="51"/>
      <c r="K571" s="51"/>
      <c r="L571" s="4"/>
      <c r="M571" s="4"/>
      <c r="N571" s="4"/>
      <c r="O571" s="4"/>
      <c r="P571" s="4"/>
      <c r="Q571" s="4"/>
      <c r="R571" s="4"/>
    </row>
    <row r="572" spans="5:18">
      <c r="E572" s="4"/>
      <c r="F572" s="4"/>
      <c r="G572" s="4"/>
      <c r="H572" s="4"/>
      <c r="I572" s="51"/>
      <c r="J572" s="51"/>
      <c r="K572" s="51"/>
      <c r="L572" s="4"/>
      <c r="M572" s="4"/>
      <c r="N572" s="4"/>
      <c r="O572" s="4"/>
      <c r="P572" s="4"/>
      <c r="Q572" s="4"/>
      <c r="R572" s="4"/>
    </row>
    <row r="573" spans="5:18">
      <c r="E573" s="4"/>
      <c r="F573" s="4"/>
      <c r="G573" s="4"/>
      <c r="H573" s="4"/>
      <c r="I573" s="51"/>
      <c r="J573" s="51"/>
      <c r="K573" s="51"/>
      <c r="L573" s="4"/>
      <c r="M573" s="4"/>
      <c r="N573" s="4"/>
      <c r="O573" s="4"/>
      <c r="P573" s="4"/>
      <c r="Q573" s="4"/>
      <c r="R573" s="4"/>
    </row>
    <row r="574" spans="5:18">
      <c r="E574" s="4"/>
      <c r="F574" s="4"/>
      <c r="G574" s="4"/>
      <c r="H574" s="4"/>
      <c r="I574" s="51"/>
      <c r="J574" s="51"/>
      <c r="K574" s="51"/>
      <c r="L574" s="4"/>
      <c r="M574" s="4"/>
      <c r="N574" s="4"/>
      <c r="O574" s="4"/>
      <c r="P574" s="4"/>
      <c r="Q574" s="4"/>
      <c r="R574" s="4"/>
    </row>
    <row r="575" spans="5:18">
      <c r="E575" s="4"/>
      <c r="F575" s="4"/>
      <c r="G575" s="4"/>
      <c r="H575" s="4"/>
      <c r="I575" s="51"/>
      <c r="J575" s="51"/>
      <c r="K575" s="51"/>
      <c r="L575" s="4"/>
      <c r="M575" s="4"/>
      <c r="N575" s="4"/>
      <c r="O575" s="4"/>
      <c r="P575" s="4"/>
      <c r="Q575" s="4"/>
      <c r="R575" s="4"/>
    </row>
    <row r="576" spans="5:18">
      <c r="E576" s="4"/>
      <c r="F576" s="4"/>
      <c r="G576" s="4"/>
      <c r="H576" s="4"/>
      <c r="I576" s="51"/>
      <c r="J576" s="51"/>
      <c r="K576" s="51"/>
      <c r="L576" s="4"/>
      <c r="M576" s="4"/>
      <c r="N576" s="4"/>
      <c r="O576" s="4"/>
      <c r="P576" s="4"/>
      <c r="Q576" s="4"/>
      <c r="R576" s="4"/>
    </row>
    <row r="577" spans="5:18">
      <c r="E577" s="4"/>
      <c r="F577" s="4"/>
      <c r="G577" s="4"/>
      <c r="H577" s="4"/>
      <c r="I577" s="51"/>
      <c r="J577" s="51"/>
      <c r="K577" s="51"/>
      <c r="L577" s="4"/>
      <c r="M577" s="4"/>
      <c r="N577" s="4"/>
      <c r="O577" s="4"/>
      <c r="P577" s="4"/>
      <c r="Q577" s="4"/>
      <c r="R577" s="4"/>
    </row>
    <row r="578" spans="5:18">
      <c r="E578" s="4"/>
      <c r="F578" s="4"/>
      <c r="G578" s="4"/>
      <c r="H578" s="4"/>
      <c r="I578" s="51"/>
      <c r="J578" s="51"/>
      <c r="K578" s="51"/>
      <c r="L578" s="4"/>
      <c r="M578" s="4"/>
      <c r="N578" s="4"/>
      <c r="O578" s="4"/>
      <c r="P578" s="4"/>
      <c r="Q578" s="4"/>
      <c r="R578" s="4"/>
    </row>
    <row r="579" spans="5:18">
      <c r="E579" s="4"/>
      <c r="F579" s="4"/>
      <c r="G579" s="4"/>
      <c r="H579" s="4"/>
      <c r="I579" s="51"/>
      <c r="J579" s="51"/>
      <c r="K579" s="51"/>
      <c r="L579" s="4"/>
      <c r="M579" s="4"/>
      <c r="N579" s="4"/>
      <c r="O579" s="4"/>
      <c r="P579" s="4"/>
      <c r="Q579" s="4"/>
      <c r="R579" s="4"/>
    </row>
    <row r="580" spans="5:18">
      <c r="E580" s="4"/>
      <c r="F580" s="4"/>
      <c r="G580" s="4"/>
      <c r="H580" s="4"/>
      <c r="I580" s="51"/>
      <c r="J580" s="51"/>
      <c r="K580" s="51"/>
      <c r="L580" s="4"/>
      <c r="M580" s="4"/>
      <c r="N580" s="4"/>
      <c r="O580" s="4"/>
      <c r="P580" s="4"/>
      <c r="Q580" s="4"/>
      <c r="R580" s="4"/>
    </row>
    <row r="581" spans="5:18">
      <c r="E581" s="4"/>
      <c r="F581" s="4"/>
      <c r="G581" s="4"/>
      <c r="H581" s="4"/>
      <c r="I581" s="51"/>
      <c r="J581" s="51"/>
      <c r="K581" s="51"/>
      <c r="L581" s="4"/>
      <c r="M581" s="4"/>
      <c r="N581" s="4"/>
      <c r="O581" s="4"/>
      <c r="P581" s="4"/>
      <c r="Q581" s="4"/>
      <c r="R581" s="4"/>
    </row>
    <row r="582" spans="5:18">
      <c r="E582" s="4"/>
      <c r="F582" s="4"/>
      <c r="G582" s="4"/>
      <c r="H582" s="4"/>
      <c r="I582" s="51"/>
      <c r="J582" s="51"/>
      <c r="K582" s="51"/>
      <c r="L582" s="4"/>
      <c r="M582" s="4"/>
      <c r="N582" s="4"/>
      <c r="O582" s="4"/>
      <c r="P582" s="4"/>
      <c r="Q582" s="4"/>
      <c r="R582" s="4"/>
    </row>
    <row r="583" spans="5:18">
      <c r="E583" s="4"/>
      <c r="F583" s="4"/>
      <c r="G583" s="4"/>
      <c r="H583" s="4"/>
      <c r="I583" s="51"/>
      <c r="J583" s="51"/>
      <c r="K583" s="51"/>
      <c r="L583" s="4"/>
      <c r="M583" s="4"/>
      <c r="N583" s="4"/>
      <c r="O583" s="4"/>
      <c r="P583" s="4"/>
      <c r="Q583" s="4"/>
      <c r="R583" s="4"/>
    </row>
    <row r="584" spans="5:18">
      <c r="E584" s="4"/>
      <c r="F584" s="4"/>
      <c r="G584" s="4"/>
      <c r="H584" s="4"/>
      <c r="I584" s="51"/>
      <c r="J584" s="51"/>
      <c r="K584" s="51"/>
      <c r="L584" s="4"/>
      <c r="M584" s="4"/>
      <c r="N584" s="4"/>
      <c r="O584" s="4"/>
      <c r="P584" s="4"/>
      <c r="Q584" s="4"/>
      <c r="R584" s="4"/>
    </row>
    <row r="585" spans="5:18">
      <c r="E585" s="4"/>
      <c r="F585" s="4"/>
      <c r="G585" s="4"/>
      <c r="H585" s="4"/>
      <c r="I585" s="51"/>
      <c r="J585" s="51"/>
      <c r="K585" s="51"/>
      <c r="L585" s="4"/>
      <c r="M585" s="4"/>
      <c r="N585" s="4"/>
      <c r="O585" s="4"/>
      <c r="P585" s="4"/>
      <c r="Q585" s="4"/>
      <c r="R585" s="4"/>
    </row>
    <row r="586" spans="5:18">
      <c r="E586" s="4"/>
      <c r="F586" s="4"/>
      <c r="G586" s="4"/>
      <c r="H586" s="4"/>
      <c r="I586" s="51"/>
      <c r="J586" s="51"/>
      <c r="K586" s="51"/>
      <c r="L586" s="4"/>
      <c r="M586" s="4"/>
      <c r="N586" s="4"/>
      <c r="O586" s="4"/>
      <c r="P586" s="4"/>
      <c r="Q586" s="4"/>
      <c r="R586" s="4"/>
    </row>
    <row r="587" spans="5:18">
      <c r="E587" s="4"/>
      <c r="F587" s="4"/>
      <c r="G587" s="4"/>
      <c r="H587" s="4"/>
      <c r="I587" s="51"/>
      <c r="J587" s="51"/>
      <c r="K587" s="51"/>
      <c r="L587" s="4"/>
      <c r="M587" s="4"/>
      <c r="N587" s="4"/>
      <c r="O587" s="4"/>
      <c r="P587" s="4"/>
      <c r="Q587" s="4"/>
      <c r="R587" s="4"/>
    </row>
    <row r="588" spans="5:18">
      <c r="E588" s="4"/>
      <c r="F588" s="4"/>
      <c r="G588" s="4"/>
      <c r="H588" s="4"/>
      <c r="I588" s="51"/>
      <c r="J588" s="51"/>
      <c r="K588" s="51"/>
      <c r="L588" s="4"/>
      <c r="M588" s="4"/>
      <c r="N588" s="4"/>
      <c r="O588" s="4"/>
      <c r="P588" s="4"/>
      <c r="Q588" s="4"/>
      <c r="R588" s="4"/>
    </row>
    <row r="589" spans="5:18">
      <c r="E589" s="4"/>
      <c r="F589" s="4"/>
      <c r="G589" s="4"/>
      <c r="H589" s="4"/>
      <c r="I589" s="51"/>
      <c r="J589" s="51"/>
      <c r="K589" s="51"/>
      <c r="L589" s="4"/>
      <c r="M589" s="4"/>
      <c r="N589" s="4"/>
      <c r="O589" s="4"/>
      <c r="P589" s="4"/>
      <c r="Q589" s="4"/>
      <c r="R589" s="4"/>
    </row>
    <row r="590" spans="5:18">
      <c r="E590" s="4"/>
      <c r="F590" s="4"/>
      <c r="G590" s="4"/>
      <c r="H590" s="4"/>
      <c r="I590" s="51"/>
      <c r="J590" s="51"/>
      <c r="K590" s="51"/>
      <c r="L590" s="4"/>
      <c r="M590" s="4"/>
      <c r="N590" s="4"/>
      <c r="O590" s="4"/>
      <c r="P590" s="4"/>
      <c r="Q590" s="4"/>
      <c r="R590" s="4"/>
    </row>
    <row r="591" spans="5:18">
      <c r="E591" s="4"/>
      <c r="F591" s="4"/>
      <c r="G591" s="4"/>
      <c r="H591" s="4"/>
      <c r="I591" s="51"/>
      <c r="J591" s="51"/>
      <c r="K591" s="51"/>
      <c r="L591" s="4"/>
      <c r="M591" s="4"/>
      <c r="N591" s="4"/>
      <c r="O591" s="4"/>
      <c r="P591" s="4"/>
      <c r="Q591" s="4"/>
      <c r="R591" s="4"/>
    </row>
    <row r="592" spans="5:18">
      <c r="E592" s="4"/>
      <c r="F592" s="4"/>
      <c r="G592" s="4"/>
      <c r="H592" s="4"/>
      <c r="I592" s="51"/>
      <c r="J592" s="51"/>
      <c r="K592" s="51"/>
      <c r="L592" s="4"/>
      <c r="M592" s="4"/>
      <c r="N592" s="4"/>
      <c r="O592" s="4"/>
      <c r="P592" s="4"/>
      <c r="Q592" s="4"/>
      <c r="R592" s="4"/>
    </row>
    <row r="593" spans="5:18">
      <c r="E593" s="4"/>
      <c r="F593" s="4"/>
      <c r="G593" s="4"/>
      <c r="H593" s="4"/>
      <c r="I593" s="51"/>
      <c r="J593" s="51"/>
      <c r="K593" s="51"/>
      <c r="L593" s="4"/>
      <c r="M593" s="4"/>
      <c r="N593" s="4"/>
      <c r="O593" s="4"/>
      <c r="P593" s="4"/>
      <c r="Q593" s="4"/>
      <c r="R593" s="4"/>
    </row>
    <row r="594" spans="5:18">
      <c r="E594" s="4"/>
      <c r="F594" s="4"/>
      <c r="G594" s="4"/>
      <c r="H594" s="4"/>
      <c r="I594" s="51"/>
      <c r="J594" s="51"/>
      <c r="K594" s="51"/>
      <c r="L594" s="4"/>
      <c r="M594" s="4"/>
      <c r="N594" s="4"/>
      <c r="O594" s="4"/>
      <c r="P594" s="4"/>
      <c r="Q594" s="4"/>
      <c r="R594" s="4"/>
    </row>
    <row r="595" spans="5:18">
      <c r="E595" s="4"/>
      <c r="F595" s="4"/>
      <c r="G595" s="4"/>
      <c r="H595" s="4"/>
      <c r="I595" s="51"/>
      <c r="J595" s="51"/>
      <c r="K595" s="51"/>
      <c r="L595" s="4"/>
      <c r="M595" s="4"/>
      <c r="N595" s="4"/>
      <c r="O595" s="4"/>
      <c r="P595" s="4"/>
      <c r="Q595" s="4"/>
      <c r="R595" s="4"/>
    </row>
    <row r="596" spans="5:18">
      <c r="E596" s="4"/>
      <c r="F596" s="4"/>
      <c r="G596" s="4"/>
      <c r="H596" s="4"/>
      <c r="I596" s="51"/>
      <c r="J596" s="51"/>
      <c r="K596" s="51"/>
      <c r="L596" s="4"/>
      <c r="M596" s="4"/>
      <c r="N596" s="4"/>
      <c r="O596" s="4"/>
      <c r="P596" s="4"/>
      <c r="Q596" s="4"/>
      <c r="R596" s="4"/>
    </row>
    <row r="597" spans="5:18">
      <c r="E597" s="4"/>
      <c r="F597" s="4"/>
      <c r="G597" s="4"/>
      <c r="H597" s="4"/>
      <c r="I597" s="51"/>
      <c r="J597" s="51"/>
      <c r="K597" s="51"/>
      <c r="L597" s="4"/>
      <c r="M597" s="4"/>
      <c r="N597" s="4"/>
      <c r="O597" s="4"/>
      <c r="P597" s="4"/>
      <c r="Q597" s="4"/>
      <c r="R597" s="4"/>
    </row>
    <row r="598" spans="5:18">
      <c r="E598" s="4"/>
      <c r="F598" s="4"/>
      <c r="G598" s="4"/>
      <c r="H598" s="4"/>
      <c r="I598" s="51"/>
      <c r="J598" s="51"/>
      <c r="K598" s="51"/>
      <c r="L598" s="4"/>
      <c r="M598" s="4"/>
      <c r="N598" s="4"/>
      <c r="O598" s="4"/>
      <c r="P598" s="4"/>
      <c r="Q598" s="4"/>
      <c r="R598" s="4"/>
    </row>
    <row r="599" spans="5:18">
      <c r="E599" s="4"/>
      <c r="F599" s="4"/>
      <c r="G599" s="4"/>
      <c r="H599" s="4"/>
      <c r="I599" s="51"/>
      <c r="J599" s="51"/>
      <c r="K599" s="51"/>
      <c r="L599" s="4"/>
      <c r="M599" s="4"/>
      <c r="N599" s="4"/>
      <c r="O599" s="4"/>
      <c r="P599" s="4"/>
      <c r="Q599" s="4"/>
      <c r="R599" s="4"/>
    </row>
    <row r="600" spans="5:18">
      <c r="E600" s="4"/>
      <c r="F600" s="4"/>
      <c r="G600" s="4"/>
      <c r="H600" s="4"/>
      <c r="I600" s="51"/>
      <c r="J600" s="51"/>
      <c r="K600" s="51"/>
      <c r="L600" s="4"/>
      <c r="M600" s="4"/>
      <c r="N600" s="4"/>
      <c r="O600" s="4"/>
      <c r="P600" s="4"/>
      <c r="Q600" s="4"/>
      <c r="R600" s="4"/>
    </row>
    <row r="601" spans="5:18">
      <c r="E601" s="4"/>
      <c r="F601" s="4"/>
      <c r="G601" s="4"/>
      <c r="H601" s="4"/>
      <c r="I601" s="51"/>
      <c r="J601" s="51"/>
      <c r="K601" s="51"/>
      <c r="L601" s="4"/>
      <c r="M601" s="4"/>
      <c r="N601" s="4"/>
      <c r="O601" s="4"/>
      <c r="P601" s="4"/>
      <c r="Q601" s="4"/>
      <c r="R601" s="4"/>
    </row>
    <row r="602" spans="5:18">
      <c r="E602" s="4"/>
      <c r="F602" s="4"/>
      <c r="G602" s="4"/>
      <c r="H602" s="4"/>
      <c r="I602" s="51"/>
      <c r="J602" s="51"/>
      <c r="K602" s="51"/>
      <c r="L602" s="4"/>
      <c r="M602" s="4"/>
      <c r="N602" s="4"/>
      <c r="O602" s="4"/>
      <c r="P602" s="4"/>
      <c r="Q602" s="4"/>
      <c r="R602" s="4"/>
    </row>
    <row r="603" spans="5:18">
      <c r="E603" s="4"/>
      <c r="F603" s="4"/>
      <c r="G603" s="4"/>
      <c r="H603" s="4"/>
      <c r="I603" s="51"/>
      <c r="J603" s="51"/>
      <c r="K603" s="51"/>
      <c r="L603" s="4"/>
      <c r="M603" s="4"/>
      <c r="N603" s="4"/>
      <c r="O603" s="4"/>
      <c r="P603" s="4"/>
      <c r="Q603" s="4"/>
      <c r="R603" s="4"/>
    </row>
    <row r="604" spans="5:18">
      <c r="E604" s="4"/>
      <c r="F604" s="4"/>
      <c r="G604" s="4"/>
      <c r="H604" s="4"/>
      <c r="I604" s="51"/>
      <c r="J604" s="51"/>
      <c r="K604" s="51"/>
      <c r="L604" s="4"/>
      <c r="M604" s="4"/>
      <c r="N604" s="4"/>
      <c r="O604" s="4"/>
      <c r="P604" s="4"/>
      <c r="Q604" s="4"/>
      <c r="R604" s="4"/>
    </row>
    <row r="605" spans="5:18">
      <c r="E605" s="4"/>
      <c r="F605" s="4"/>
      <c r="G605" s="4"/>
      <c r="H605" s="4"/>
      <c r="I605" s="51"/>
      <c r="J605" s="51"/>
      <c r="K605" s="51"/>
      <c r="L605" s="4"/>
      <c r="M605" s="4"/>
      <c r="N605" s="4"/>
      <c r="O605" s="4"/>
      <c r="P605" s="4"/>
      <c r="Q605" s="4"/>
      <c r="R605" s="4"/>
    </row>
    <row r="606" spans="5:18">
      <c r="E606" s="4"/>
      <c r="F606" s="4"/>
      <c r="G606" s="4"/>
      <c r="H606" s="4"/>
      <c r="I606" s="51"/>
      <c r="J606" s="51"/>
      <c r="K606" s="51"/>
      <c r="L606" s="4"/>
      <c r="M606" s="4"/>
      <c r="N606" s="4"/>
      <c r="O606" s="4"/>
      <c r="P606" s="4"/>
      <c r="Q606" s="4"/>
      <c r="R606" s="4"/>
    </row>
    <row r="607" spans="5:18">
      <c r="E607" s="4"/>
      <c r="F607" s="4"/>
      <c r="G607" s="4"/>
      <c r="H607" s="4"/>
      <c r="I607" s="51"/>
      <c r="J607" s="51"/>
      <c r="K607" s="51"/>
      <c r="L607" s="4"/>
      <c r="M607" s="4"/>
      <c r="N607" s="4"/>
      <c r="O607" s="4"/>
      <c r="P607" s="4"/>
      <c r="Q607" s="4"/>
      <c r="R607" s="4"/>
    </row>
    <row r="608" spans="5:18">
      <c r="E608" s="4"/>
      <c r="F608" s="4"/>
      <c r="G608" s="4"/>
      <c r="H608" s="4"/>
      <c r="I608" s="51"/>
      <c r="J608" s="51"/>
      <c r="K608" s="51"/>
      <c r="L608" s="4"/>
      <c r="M608" s="4"/>
      <c r="N608" s="4"/>
      <c r="O608" s="4"/>
      <c r="P608" s="4"/>
      <c r="Q608" s="4"/>
      <c r="R608" s="4"/>
    </row>
    <row r="609" spans="5:18">
      <c r="E609" s="4"/>
      <c r="F609" s="4"/>
      <c r="G609" s="4"/>
      <c r="H609" s="4"/>
      <c r="I609" s="51"/>
      <c r="J609" s="51"/>
      <c r="K609" s="51"/>
      <c r="L609" s="4"/>
      <c r="M609" s="4"/>
      <c r="N609" s="4"/>
      <c r="O609" s="4"/>
      <c r="P609" s="4"/>
      <c r="Q609" s="4"/>
      <c r="R609" s="4"/>
    </row>
    <row r="610" spans="5:18">
      <c r="E610" s="4"/>
      <c r="F610" s="4"/>
      <c r="G610" s="4"/>
      <c r="H610" s="4"/>
      <c r="I610" s="51"/>
      <c r="J610" s="51"/>
      <c r="K610" s="51"/>
      <c r="L610" s="4"/>
      <c r="M610" s="4"/>
      <c r="N610" s="4"/>
      <c r="O610" s="4"/>
      <c r="P610" s="4"/>
      <c r="Q610" s="4"/>
      <c r="R610" s="4"/>
    </row>
    <row r="611" spans="5:18">
      <c r="E611" s="4"/>
      <c r="F611" s="4"/>
      <c r="G611" s="4"/>
      <c r="H611" s="4"/>
      <c r="I611" s="51"/>
      <c r="J611" s="51"/>
      <c r="K611" s="51"/>
      <c r="L611" s="4"/>
      <c r="M611" s="4"/>
      <c r="N611" s="4"/>
      <c r="O611" s="4"/>
      <c r="P611" s="4"/>
      <c r="Q611" s="4"/>
      <c r="R611" s="4"/>
    </row>
    <row r="612" spans="5:18">
      <c r="E612" s="4"/>
      <c r="F612" s="4"/>
      <c r="G612" s="4"/>
      <c r="H612" s="4"/>
      <c r="I612" s="51"/>
      <c r="J612" s="51"/>
      <c r="K612" s="51"/>
      <c r="L612" s="4"/>
      <c r="M612" s="4"/>
      <c r="N612" s="4"/>
      <c r="O612" s="4"/>
      <c r="P612" s="4"/>
      <c r="Q612" s="4"/>
      <c r="R612" s="4"/>
    </row>
    <row r="613" spans="5:18">
      <c r="E613" s="4"/>
      <c r="F613" s="4"/>
      <c r="G613" s="4"/>
      <c r="H613" s="4"/>
      <c r="I613" s="51"/>
      <c r="J613" s="51"/>
      <c r="K613" s="51"/>
      <c r="L613" s="4"/>
      <c r="M613" s="4"/>
      <c r="N613" s="4"/>
      <c r="O613" s="4"/>
      <c r="P613" s="4"/>
      <c r="Q613" s="4"/>
      <c r="R613" s="4"/>
    </row>
    <row r="614" spans="5:18">
      <c r="E614" s="4"/>
      <c r="F614" s="4"/>
      <c r="G614" s="4"/>
      <c r="H614" s="4"/>
      <c r="I614" s="51"/>
      <c r="J614" s="51"/>
      <c r="K614" s="51"/>
      <c r="L614" s="4"/>
      <c r="M614" s="4"/>
      <c r="N614" s="4"/>
      <c r="O614" s="4"/>
      <c r="P614" s="4"/>
      <c r="Q614" s="4"/>
      <c r="R614" s="4"/>
    </row>
    <row r="615" spans="5:18">
      <c r="E615" s="4"/>
      <c r="F615" s="4"/>
      <c r="G615" s="4"/>
      <c r="H615" s="4"/>
      <c r="I615" s="51"/>
      <c r="J615" s="51"/>
      <c r="K615" s="51"/>
      <c r="L615" s="4"/>
      <c r="M615" s="4"/>
      <c r="N615" s="4"/>
      <c r="O615" s="4"/>
      <c r="P615" s="4"/>
      <c r="Q615" s="4"/>
      <c r="R615" s="4"/>
    </row>
    <row r="616" spans="5:18">
      <c r="E616" s="4"/>
      <c r="F616" s="4"/>
      <c r="G616" s="4"/>
      <c r="H616" s="4"/>
      <c r="I616" s="51"/>
      <c r="J616" s="51"/>
      <c r="K616" s="51"/>
      <c r="L616" s="4"/>
      <c r="M616" s="4"/>
      <c r="N616" s="4"/>
      <c r="O616" s="4"/>
      <c r="P616" s="4"/>
      <c r="Q616" s="4"/>
      <c r="R616" s="4"/>
    </row>
    <row r="617" spans="5:18">
      <c r="E617" s="4"/>
      <c r="F617" s="4"/>
      <c r="G617" s="4"/>
      <c r="H617" s="4"/>
      <c r="I617" s="51"/>
      <c r="J617" s="51"/>
      <c r="K617" s="51"/>
      <c r="L617" s="4"/>
      <c r="M617" s="4"/>
      <c r="N617" s="4"/>
      <c r="O617" s="4"/>
      <c r="P617" s="4"/>
      <c r="Q617" s="4"/>
      <c r="R617" s="4"/>
    </row>
    <row r="618" spans="5:18">
      <c r="E618" s="4"/>
      <c r="F618" s="4"/>
      <c r="G618" s="4"/>
      <c r="H618" s="4"/>
      <c r="I618" s="51"/>
      <c r="J618" s="51"/>
      <c r="K618" s="51"/>
      <c r="L618" s="4"/>
      <c r="M618" s="4"/>
      <c r="N618" s="4"/>
      <c r="O618" s="4"/>
      <c r="P618" s="4"/>
      <c r="Q618" s="4"/>
      <c r="R618" s="4"/>
    </row>
    <row r="619" spans="5:18">
      <c r="E619" s="4"/>
      <c r="F619" s="4"/>
      <c r="G619" s="4"/>
      <c r="H619" s="4"/>
      <c r="I619" s="51"/>
      <c r="J619" s="51"/>
      <c r="K619" s="51"/>
      <c r="L619" s="4"/>
      <c r="M619" s="4"/>
      <c r="N619" s="4"/>
      <c r="O619" s="4"/>
      <c r="P619" s="4"/>
      <c r="Q619" s="4"/>
      <c r="R619" s="4"/>
    </row>
    <row r="620" spans="5:18">
      <c r="E620" s="4"/>
      <c r="F620" s="4"/>
      <c r="G620" s="4"/>
      <c r="H620" s="4"/>
      <c r="I620" s="51"/>
      <c r="J620" s="51"/>
      <c r="K620" s="51"/>
      <c r="L620" s="4"/>
      <c r="M620" s="4"/>
      <c r="N620" s="4"/>
      <c r="O620" s="4"/>
      <c r="P620" s="4"/>
      <c r="Q620" s="4"/>
      <c r="R620" s="4"/>
    </row>
    <row r="621" spans="5:18">
      <c r="E621" s="4"/>
      <c r="F621" s="4"/>
      <c r="G621" s="4"/>
      <c r="H621" s="4"/>
      <c r="I621" s="51"/>
      <c r="J621" s="51"/>
      <c r="K621" s="51"/>
      <c r="L621" s="4"/>
      <c r="M621" s="4"/>
      <c r="N621" s="4"/>
      <c r="O621" s="4"/>
      <c r="P621" s="4"/>
      <c r="Q621" s="4"/>
      <c r="R621" s="4"/>
    </row>
    <row r="622" spans="5:18">
      <c r="E622" s="4"/>
      <c r="F622" s="4"/>
      <c r="G622" s="4"/>
      <c r="H622" s="4"/>
      <c r="I622" s="51"/>
      <c r="J622" s="51"/>
      <c r="K622" s="51"/>
      <c r="L622" s="4"/>
      <c r="M622" s="4"/>
      <c r="N622" s="4"/>
      <c r="O622" s="4"/>
      <c r="P622" s="4"/>
      <c r="Q622" s="4"/>
      <c r="R622" s="4"/>
    </row>
    <row r="623" spans="5:18">
      <c r="E623" s="4"/>
      <c r="F623" s="4"/>
      <c r="G623" s="4"/>
      <c r="H623" s="4"/>
      <c r="I623" s="51"/>
      <c r="J623" s="51"/>
      <c r="K623" s="51"/>
      <c r="L623" s="4"/>
      <c r="M623" s="4"/>
      <c r="N623" s="4"/>
      <c r="O623" s="4"/>
      <c r="P623" s="4"/>
      <c r="Q623" s="4"/>
      <c r="R623" s="4"/>
    </row>
    <row r="624" spans="5:18">
      <c r="E624" s="4"/>
      <c r="F624" s="4"/>
      <c r="G624" s="4"/>
      <c r="H624" s="4"/>
      <c r="I624" s="51"/>
      <c r="J624" s="51"/>
      <c r="K624" s="51"/>
      <c r="L624" s="4"/>
      <c r="M624" s="4"/>
      <c r="N624" s="4"/>
      <c r="O624" s="4"/>
      <c r="P624" s="4"/>
      <c r="Q624" s="4"/>
      <c r="R624" s="4"/>
    </row>
    <row r="625" spans="5:18">
      <c r="E625" s="4"/>
      <c r="F625" s="4"/>
      <c r="G625" s="4"/>
      <c r="H625" s="4"/>
      <c r="I625" s="51"/>
      <c r="J625" s="51"/>
      <c r="K625" s="51"/>
      <c r="L625" s="4"/>
      <c r="M625" s="4"/>
      <c r="N625" s="4"/>
      <c r="O625" s="4"/>
      <c r="P625" s="4"/>
      <c r="Q625" s="4"/>
      <c r="R625" s="4"/>
    </row>
    <row r="626" spans="5:18">
      <c r="E626" s="4"/>
      <c r="F626" s="4"/>
      <c r="G626" s="4"/>
      <c r="H626" s="4"/>
      <c r="I626" s="51"/>
      <c r="J626" s="51"/>
      <c r="K626" s="51"/>
      <c r="L626" s="4"/>
      <c r="M626" s="4"/>
      <c r="N626" s="4"/>
      <c r="O626" s="4"/>
      <c r="P626" s="4"/>
      <c r="Q626" s="4"/>
      <c r="R626" s="4"/>
    </row>
    <row r="627" spans="5:18">
      <c r="E627" s="4"/>
      <c r="F627" s="4"/>
      <c r="G627" s="4"/>
      <c r="H627" s="4"/>
      <c r="I627" s="51"/>
      <c r="J627" s="51"/>
      <c r="K627" s="51"/>
      <c r="L627" s="4"/>
      <c r="M627" s="4"/>
      <c r="N627" s="4"/>
      <c r="O627" s="4"/>
      <c r="P627" s="4"/>
      <c r="Q627" s="4"/>
      <c r="R627" s="4"/>
    </row>
    <row r="628" spans="5:18">
      <c r="E628" s="4"/>
      <c r="F628" s="4"/>
      <c r="G628" s="4"/>
      <c r="H628" s="4"/>
      <c r="I628" s="51"/>
      <c r="J628" s="51"/>
      <c r="K628" s="51"/>
      <c r="L628" s="4"/>
      <c r="M628" s="4"/>
      <c r="N628" s="4"/>
      <c r="O628" s="4"/>
      <c r="P628" s="4"/>
      <c r="Q628" s="4"/>
      <c r="R628" s="4"/>
    </row>
    <row r="629" spans="5:18">
      <c r="E629" s="4"/>
      <c r="F629" s="4"/>
      <c r="G629" s="4"/>
      <c r="H629" s="4"/>
      <c r="I629" s="51"/>
      <c r="J629" s="51"/>
      <c r="K629" s="51"/>
      <c r="L629" s="4"/>
      <c r="M629" s="4"/>
      <c r="N629" s="4"/>
      <c r="O629" s="4"/>
      <c r="P629" s="4"/>
      <c r="Q629" s="4"/>
      <c r="R629" s="4"/>
    </row>
    <row r="630" spans="5:18">
      <c r="E630" s="4"/>
      <c r="F630" s="4"/>
      <c r="G630" s="4"/>
      <c r="H630" s="4"/>
      <c r="I630" s="51"/>
      <c r="J630" s="51"/>
      <c r="K630" s="51"/>
      <c r="L630" s="4"/>
      <c r="M630" s="4"/>
      <c r="N630" s="4"/>
      <c r="O630" s="4"/>
      <c r="P630" s="4"/>
      <c r="Q630" s="4"/>
      <c r="R630" s="4"/>
    </row>
    <row r="631" spans="5:18">
      <c r="E631" s="4"/>
      <c r="F631" s="4"/>
      <c r="G631" s="4"/>
      <c r="H631" s="4"/>
      <c r="I631" s="51"/>
      <c r="J631" s="51"/>
      <c r="K631" s="51"/>
      <c r="L631" s="4"/>
      <c r="M631" s="4"/>
      <c r="N631" s="4"/>
      <c r="O631" s="4"/>
      <c r="P631" s="4"/>
      <c r="Q631" s="4"/>
      <c r="R631" s="4"/>
    </row>
    <row r="632" spans="5:18">
      <c r="E632" s="4"/>
      <c r="F632" s="4"/>
      <c r="G632" s="4"/>
      <c r="H632" s="4"/>
      <c r="I632" s="51"/>
      <c r="J632" s="51"/>
      <c r="K632" s="51"/>
      <c r="L632" s="4"/>
      <c r="M632" s="4"/>
      <c r="N632" s="4"/>
      <c r="O632" s="4"/>
      <c r="P632" s="4"/>
      <c r="Q632" s="4"/>
      <c r="R632" s="4"/>
    </row>
    <row r="633" spans="5:18">
      <c r="E633" s="4"/>
      <c r="F633" s="4"/>
      <c r="G633" s="4"/>
      <c r="H633" s="4"/>
      <c r="I633" s="51"/>
      <c r="J633" s="51"/>
      <c r="K633" s="51"/>
      <c r="L633" s="4"/>
      <c r="M633" s="4"/>
      <c r="N633" s="4"/>
      <c r="O633" s="4"/>
      <c r="P633" s="4"/>
      <c r="Q633" s="4"/>
      <c r="R633" s="4"/>
    </row>
    <row r="634" spans="5:18">
      <c r="E634" s="4"/>
      <c r="F634" s="4"/>
      <c r="G634" s="4"/>
      <c r="H634" s="4"/>
      <c r="I634" s="51"/>
      <c r="J634" s="51"/>
      <c r="K634" s="51"/>
      <c r="L634" s="4"/>
      <c r="M634" s="4"/>
      <c r="N634" s="4"/>
      <c r="O634" s="4"/>
      <c r="P634" s="4"/>
      <c r="Q634" s="4"/>
      <c r="R634" s="4"/>
    </row>
    <row r="635" spans="5:18">
      <c r="E635" s="4"/>
      <c r="F635" s="4"/>
      <c r="G635" s="4"/>
      <c r="H635" s="4"/>
      <c r="I635" s="51"/>
      <c r="J635" s="51"/>
      <c r="K635" s="51"/>
      <c r="L635" s="4"/>
      <c r="M635" s="4"/>
      <c r="N635" s="4"/>
      <c r="O635" s="4"/>
      <c r="P635" s="4"/>
      <c r="Q635" s="4"/>
      <c r="R635" s="4"/>
    </row>
    <row r="636" spans="5:18">
      <c r="E636" s="4"/>
      <c r="F636" s="4"/>
      <c r="G636" s="4"/>
      <c r="H636" s="4"/>
      <c r="I636" s="51"/>
      <c r="J636" s="51"/>
      <c r="K636" s="51"/>
      <c r="L636" s="4"/>
      <c r="M636" s="4"/>
      <c r="N636" s="4"/>
      <c r="O636" s="4"/>
      <c r="P636" s="4"/>
      <c r="Q636" s="4"/>
      <c r="R636" s="4"/>
    </row>
    <row r="637" spans="5:18">
      <c r="E637" s="4"/>
      <c r="F637" s="4"/>
      <c r="G637" s="4"/>
      <c r="H637" s="4"/>
      <c r="I637" s="51"/>
      <c r="J637" s="51"/>
      <c r="K637" s="51"/>
      <c r="L637" s="4"/>
      <c r="M637" s="4"/>
      <c r="N637" s="4"/>
      <c r="O637" s="4"/>
      <c r="P637" s="4"/>
      <c r="Q637" s="4"/>
      <c r="R637" s="4"/>
    </row>
    <row r="638" spans="5:18">
      <c r="E638" s="4"/>
      <c r="F638" s="4"/>
      <c r="G638" s="4"/>
      <c r="H638" s="4"/>
      <c r="I638" s="51"/>
      <c r="J638" s="51"/>
      <c r="K638" s="51"/>
      <c r="L638" s="4"/>
      <c r="M638" s="4"/>
      <c r="N638" s="4"/>
      <c r="O638" s="4"/>
      <c r="P638" s="4"/>
      <c r="Q638" s="4"/>
      <c r="R638" s="4"/>
    </row>
    <row r="639" spans="5:18">
      <c r="E639" s="4"/>
      <c r="F639" s="4"/>
      <c r="G639" s="4"/>
      <c r="H639" s="4"/>
      <c r="I639" s="51"/>
      <c r="J639" s="51"/>
      <c r="K639" s="51"/>
      <c r="L639" s="4"/>
      <c r="M639" s="4"/>
      <c r="N639" s="4"/>
      <c r="O639" s="4"/>
      <c r="P639" s="4"/>
      <c r="Q639" s="4"/>
      <c r="R639" s="4"/>
    </row>
    <row r="640" spans="5:18">
      <c r="E640" s="4"/>
      <c r="F640" s="4"/>
      <c r="G640" s="4"/>
      <c r="H640" s="4"/>
      <c r="I640" s="51"/>
      <c r="J640" s="51"/>
      <c r="K640" s="51"/>
      <c r="L640" s="4"/>
      <c r="M640" s="4"/>
      <c r="N640" s="4"/>
      <c r="O640" s="4"/>
      <c r="P640" s="4"/>
      <c r="Q640" s="4"/>
      <c r="R640" s="4"/>
    </row>
    <row r="641" spans="5:18">
      <c r="E641" s="4"/>
      <c r="F641" s="4"/>
      <c r="G641" s="4"/>
      <c r="H641" s="4"/>
      <c r="I641" s="51"/>
      <c r="J641" s="51"/>
      <c r="K641" s="51"/>
      <c r="L641" s="4"/>
      <c r="M641" s="4"/>
      <c r="N641" s="4"/>
      <c r="O641" s="4"/>
      <c r="P641" s="4"/>
      <c r="Q641" s="4"/>
      <c r="R641" s="4"/>
    </row>
    <row r="642" spans="5:18">
      <c r="E642" s="4"/>
      <c r="F642" s="4"/>
      <c r="G642" s="4"/>
      <c r="H642" s="4"/>
      <c r="I642" s="51"/>
      <c r="J642" s="51"/>
      <c r="K642" s="51"/>
      <c r="L642" s="4"/>
      <c r="M642" s="4"/>
      <c r="N642" s="4"/>
      <c r="O642" s="4"/>
      <c r="P642" s="4"/>
      <c r="Q642" s="4"/>
      <c r="R642" s="4"/>
    </row>
    <row r="643" spans="5:18">
      <c r="E643" s="4"/>
      <c r="F643" s="4"/>
      <c r="G643" s="4"/>
      <c r="H643" s="4"/>
      <c r="I643" s="51"/>
      <c r="J643" s="51"/>
      <c r="K643" s="51"/>
      <c r="L643" s="4"/>
      <c r="M643" s="4"/>
      <c r="N643" s="4"/>
      <c r="O643" s="4"/>
      <c r="P643" s="4"/>
      <c r="Q643" s="4"/>
      <c r="R643" s="4"/>
    </row>
    <row r="644" spans="5:18">
      <c r="E644" s="4"/>
      <c r="F644" s="4"/>
      <c r="G644" s="4"/>
      <c r="H644" s="4"/>
      <c r="I644" s="51"/>
      <c r="J644" s="51"/>
      <c r="K644" s="51"/>
      <c r="L644" s="4"/>
      <c r="M644" s="4"/>
      <c r="N644" s="4"/>
      <c r="O644" s="4"/>
      <c r="P644" s="4"/>
      <c r="Q644" s="4"/>
      <c r="R644" s="4"/>
    </row>
    <row r="645" spans="5:18">
      <c r="E645" s="4"/>
      <c r="F645" s="4"/>
      <c r="G645" s="4"/>
      <c r="H645" s="4"/>
      <c r="I645" s="51"/>
      <c r="J645" s="51"/>
      <c r="K645" s="51"/>
      <c r="L645" s="4"/>
      <c r="M645" s="4"/>
      <c r="N645" s="4"/>
      <c r="O645" s="4"/>
      <c r="P645" s="4"/>
      <c r="Q645" s="4"/>
      <c r="R645" s="4"/>
    </row>
    <row r="646" spans="5:18">
      <c r="E646" s="4"/>
      <c r="F646" s="4"/>
      <c r="G646" s="4"/>
      <c r="H646" s="4"/>
      <c r="I646" s="51"/>
      <c r="J646" s="51"/>
      <c r="K646" s="51"/>
      <c r="L646" s="4"/>
      <c r="M646" s="4"/>
      <c r="N646" s="4"/>
      <c r="O646" s="4"/>
      <c r="P646" s="4"/>
      <c r="Q646" s="4"/>
      <c r="R646" s="4"/>
    </row>
    <row r="647" spans="5:18">
      <c r="E647" s="4"/>
      <c r="F647" s="4"/>
      <c r="G647" s="4"/>
      <c r="H647" s="4"/>
      <c r="I647" s="51"/>
      <c r="J647" s="51"/>
      <c r="K647" s="51"/>
      <c r="L647" s="4"/>
      <c r="M647" s="4"/>
      <c r="N647" s="4"/>
      <c r="O647" s="4"/>
      <c r="P647" s="4"/>
      <c r="Q647" s="4"/>
      <c r="R647" s="4"/>
    </row>
    <row r="648" spans="5:18">
      <c r="E648" s="4"/>
      <c r="F648" s="4"/>
      <c r="G648" s="4"/>
      <c r="H648" s="4"/>
      <c r="I648" s="51"/>
      <c r="J648" s="51"/>
      <c r="K648" s="51"/>
      <c r="L648" s="4"/>
      <c r="M648" s="4"/>
      <c r="N648" s="4"/>
      <c r="O648" s="4"/>
      <c r="P648" s="4"/>
      <c r="Q648" s="4"/>
      <c r="R648" s="4"/>
    </row>
    <row r="649" spans="5:18">
      <c r="E649" s="4"/>
      <c r="F649" s="4"/>
      <c r="G649" s="4"/>
      <c r="H649" s="4"/>
      <c r="I649" s="51"/>
      <c r="J649" s="51"/>
      <c r="K649" s="51"/>
      <c r="L649" s="4"/>
      <c r="M649" s="4"/>
      <c r="N649" s="4"/>
      <c r="O649" s="4"/>
      <c r="P649" s="4"/>
      <c r="Q649" s="4"/>
      <c r="R649" s="4"/>
    </row>
    <row r="650" spans="5:18">
      <c r="E650" s="4"/>
      <c r="F650" s="4"/>
      <c r="G650" s="4"/>
      <c r="H650" s="4"/>
      <c r="I650" s="51"/>
      <c r="J650" s="51"/>
      <c r="K650" s="51"/>
      <c r="L650" s="4"/>
      <c r="M650" s="4"/>
      <c r="N650" s="4"/>
      <c r="O650" s="4"/>
      <c r="P650" s="4"/>
      <c r="Q650" s="4"/>
      <c r="R650" s="4"/>
    </row>
    <row r="651" spans="5:18">
      <c r="E651" s="4"/>
      <c r="F651" s="4"/>
      <c r="G651" s="4"/>
      <c r="H651" s="4"/>
      <c r="I651" s="51"/>
      <c r="J651" s="51"/>
      <c r="K651" s="51"/>
      <c r="L651" s="4"/>
      <c r="M651" s="4"/>
      <c r="N651" s="4"/>
      <c r="O651" s="4"/>
      <c r="P651" s="4"/>
      <c r="Q651" s="4"/>
      <c r="R651" s="4"/>
    </row>
    <row r="652" spans="5:18">
      <c r="E652" s="4"/>
      <c r="F652" s="4"/>
      <c r="G652" s="4"/>
      <c r="H652" s="4"/>
      <c r="I652" s="51"/>
      <c r="J652" s="51"/>
      <c r="K652" s="51"/>
      <c r="L652" s="4"/>
      <c r="M652" s="4"/>
      <c r="N652" s="4"/>
      <c r="O652" s="4"/>
      <c r="P652" s="4"/>
      <c r="Q652" s="4"/>
      <c r="R652" s="4"/>
    </row>
    <row r="653" spans="5:18">
      <c r="E653" s="4"/>
      <c r="F653" s="4"/>
      <c r="G653" s="4"/>
      <c r="H653" s="4"/>
      <c r="I653" s="51"/>
      <c r="J653" s="51"/>
      <c r="K653" s="51"/>
      <c r="L653" s="4"/>
      <c r="M653" s="4"/>
      <c r="N653" s="4"/>
      <c r="O653" s="4"/>
      <c r="P653" s="4"/>
      <c r="Q653" s="4"/>
      <c r="R653" s="4"/>
    </row>
    <row r="654" spans="5:18">
      <c r="E654" s="4"/>
      <c r="F654" s="4"/>
      <c r="G654" s="4"/>
      <c r="H654" s="4"/>
      <c r="I654" s="51"/>
      <c r="J654" s="51"/>
      <c r="K654" s="51"/>
      <c r="L654" s="4"/>
      <c r="M654" s="4"/>
      <c r="N654" s="4"/>
      <c r="O654" s="4"/>
      <c r="P654" s="4"/>
      <c r="Q654" s="4"/>
      <c r="R654" s="4"/>
    </row>
    <row r="655" spans="5:18">
      <c r="E655" s="4"/>
      <c r="F655" s="4"/>
      <c r="G655" s="4"/>
      <c r="H655" s="4"/>
      <c r="I655" s="51"/>
      <c r="J655" s="51"/>
      <c r="K655" s="51"/>
      <c r="L655" s="4"/>
      <c r="M655" s="4"/>
      <c r="N655" s="4"/>
      <c r="O655" s="4"/>
      <c r="P655" s="4"/>
      <c r="Q655" s="4"/>
      <c r="R655" s="4"/>
    </row>
    <row r="656" spans="5:18">
      <c r="E656" s="4"/>
      <c r="F656" s="4"/>
      <c r="G656" s="4"/>
      <c r="H656" s="4"/>
      <c r="I656" s="51"/>
      <c r="J656" s="51"/>
      <c r="K656" s="51"/>
      <c r="L656" s="4"/>
      <c r="M656" s="4"/>
      <c r="N656" s="4"/>
      <c r="O656" s="4"/>
      <c r="P656" s="4"/>
      <c r="Q656" s="4"/>
      <c r="R656" s="4"/>
    </row>
    <row r="657" spans="5:18">
      <c r="E657" s="4"/>
      <c r="F657" s="4"/>
      <c r="G657" s="4"/>
      <c r="H657" s="4"/>
      <c r="I657" s="51"/>
      <c r="J657" s="51"/>
      <c r="K657" s="51"/>
      <c r="L657" s="4"/>
      <c r="M657" s="4"/>
      <c r="N657" s="4"/>
      <c r="O657" s="4"/>
      <c r="P657" s="4"/>
      <c r="Q657" s="4"/>
      <c r="R657" s="4"/>
    </row>
    <row r="658" spans="5:18">
      <c r="E658" s="4"/>
      <c r="F658" s="4"/>
      <c r="G658" s="4"/>
      <c r="H658" s="4"/>
      <c r="I658" s="51"/>
      <c r="J658" s="51"/>
      <c r="K658" s="51"/>
      <c r="L658" s="4"/>
      <c r="M658" s="4"/>
      <c r="N658" s="4"/>
      <c r="O658" s="4"/>
      <c r="P658" s="4"/>
      <c r="Q658" s="4"/>
      <c r="R658" s="4"/>
    </row>
    <row r="659" spans="5:18">
      <c r="E659" s="4"/>
      <c r="F659" s="4"/>
      <c r="G659" s="4"/>
      <c r="H659" s="4"/>
      <c r="I659" s="51"/>
      <c r="J659" s="51"/>
      <c r="K659" s="51"/>
      <c r="L659" s="4"/>
      <c r="M659" s="4"/>
      <c r="N659" s="4"/>
      <c r="O659" s="4"/>
      <c r="P659" s="4"/>
      <c r="Q659" s="4"/>
      <c r="R659" s="4"/>
    </row>
    <row r="660" spans="5:18">
      <c r="E660" s="4"/>
      <c r="F660" s="4"/>
      <c r="G660" s="4"/>
      <c r="H660" s="4"/>
      <c r="I660" s="51"/>
      <c r="J660" s="51"/>
      <c r="K660" s="51"/>
      <c r="L660" s="4"/>
      <c r="M660" s="4"/>
      <c r="N660" s="4"/>
      <c r="O660" s="4"/>
      <c r="P660" s="4"/>
      <c r="Q660" s="4"/>
      <c r="R660" s="4"/>
    </row>
    <row r="661" spans="5:18">
      <c r="E661" s="4"/>
      <c r="F661" s="4"/>
      <c r="G661" s="4"/>
      <c r="H661" s="4"/>
      <c r="I661" s="51"/>
      <c r="J661" s="51"/>
      <c r="K661" s="51"/>
      <c r="L661" s="4"/>
      <c r="M661" s="4"/>
      <c r="N661" s="4"/>
      <c r="O661" s="4"/>
      <c r="P661" s="4"/>
      <c r="Q661" s="4"/>
      <c r="R661" s="4"/>
    </row>
    <row r="662" spans="5:18">
      <c r="E662" s="4"/>
      <c r="F662" s="4"/>
      <c r="G662" s="4"/>
      <c r="H662" s="4"/>
      <c r="I662" s="51"/>
      <c r="J662" s="51"/>
      <c r="K662" s="51"/>
      <c r="L662" s="4"/>
      <c r="M662" s="4"/>
      <c r="N662" s="4"/>
      <c r="O662" s="4"/>
      <c r="P662" s="4"/>
      <c r="Q662" s="4"/>
      <c r="R662" s="4"/>
    </row>
    <row r="663" spans="5:18">
      <c r="E663" s="4"/>
      <c r="F663" s="4"/>
      <c r="G663" s="4"/>
      <c r="H663" s="4"/>
      <c r="I663" s="51"/>
      <c r="J663" s="51"/>
      <c r="K663" s="51"/>
      <c r="L663" s="4"/>
      <c r="M663" s="4"/>
      <c r="N663" s="4"/>
      <c r="O663" s="4"/>
      <c r="P663" s="4"/>
      <c r="Q663" s="4"/>
      <c r="R663" s="4"/>
    </row>
    <row r="664" spans="5:18">
      <c r="E664" s="4"/>
      <c r="F664" s="4"/>
      <c r="G664" s="4"/>
      <c r="H664" s="4"/>
      <c r="I664" s="51"/>
      <c r="J664" s="51"/>
      <c r="K664" s="51"/>
      <c r="L664" s="4"/>
      <c r="M664" s="4"/>
      <c r="N664" s="4"/>
      <c r="O664" s="4"/>
      <c r="P664" s="4"/>
      <c r="Q664" s="4"/>
      <c r="R664" s="4"/>
    </row>
    <row r="665" spans="5:18">
      <c r="E665" s="4"/>
      <c r="F665" s="4"/>
      <c r="G665" s="4"/>
      <c r="H665" s="4"/>
      <c r="I665" s="51"/>
      <c r="J665" s="51"/>
      <c r="K665" s="51"/>
      <c r="L665" s="4"/>
      <c r="M665" s="4"/>
      <c r="N665" s="4"/>
      <c r="O665" s="4"/>
      <c r="P665" s="4"/>
      <c r="Q665" s="4"/>
      <c r="R665" s="4"/>
    </row>
    <row r="666" spans="5:18">
      <c r="E666" s="4"/>
      <c r="F666" s="4"/>
      <c r="G666" s="4"/>
      <c r="H666" s="4"/>
      <c r="I666" s="51"/>
      <c r="J666" s="51"/>
      <c r="K666" s="51"/>
      <c r="L666" s="4"/>
      <c r="M666" s="4"/>
      <c r="N666" s="4"/>
      <c r="O666" s="4"/>
      <c r="P666" s="4"/>
      <c r="Q666" s="4"/>
      <c r="R666" s="4"/>
    </row>
    <row r="667" spans="5:18">
      <c r="E667" s="4"/>
      <c r="F667" s="4"/>
      <c r="G667" s="4"/>
      <c r="H667" s="4"/>
      <c r="I667" s="51"/>
      <c r="J667" s="51"/>
      <c r="K667" s="51"/>
      <c r="L667" s="4"/>
      <c r="M667" s="4"/>
      <c r="N667" s="4"/>
      <c r="O667" s="4"/>
      <c r="P667" s="4"/>
      <c r="Q667" s="4"/>
      <c r="R667" s="4"/>
    </row>
    <row r="668" spans="5:18">
      <c r="E668" s="4"/>
      <c r="F668" s="4"/>
      <c r="G668" s="4"/>
      <c r="H668" s="4"/>
      <c r="I668" s="51"/>
      <c r="J668" s="51"/>
      <c r="K668" s="51"/>
      <c r="L668" s="4"/>
      <c r="M668" s="4"/>
      <c r="N668" s="4"/>
      <c r="O668" s="4"/>
      <c r="P668" s="4"/>
      <c r="Q668" s="4"/>
      <c r="R668" s="4"/>
    </row>
    <row r="669" spans="5:18">
      <c r="E669" s="4"/>
      <c r="F669" s="4"/>
      <c r="G669" s="4"/>
      <c r="H669" s="4"/>
      <c r="I669" s="51"/>
      <c r="J669" s="51"/>
      <c r="K669" s="51"/>
      <c r="L669" s="4"/>
      <c r="M669" s="4"/>
      <c r="N669" s="4"/>
      <c r="O669" s="4"/>
      <c r="P669" s="4"/>
      <c r="Q669" s="4"/>
      <c r="R669" s="4"/>
    </row>
    <row r="670" spans="5:18">
      <c r="E670" s="4"/>
      <c r="F670" s="4"/>
      <c r="G670" s="4"/>
      <c r="H670" s="4"/>
      <c r="I670" s="51"/>
      <c r="J670" s="51"/>
      <c r="K670" s="51"/>
      <c r="L670" s="4"/>
      <c r="M670" s="4"/>
      <c r="N670" s="4"/>
      <c r="O670" s="4"/>
      <c r="P670" s="4"/>
      <c r="Q670" s="4"/>
      <c r="R670" s="4"/>
    </row>
    <row r="671" spans="5:18">
      <c r="E671" s="4"/>
      <c r="F671" s="4"/>
      <c r="G671" s="4"/>
      <c r="H671" s="4"/>
      <c r="I671" s="51"/>
      <c r="J671" s="51"/>
      <c r="K671" s="51"/>
      <c r="L671" s="4"/>
      <c r="M671" s="4"/>
      <c r="N671" s="4"/>
      <c r="O671" s="4"/>
      <c r="P671" s="4"/>
      <c r="Q671" s="4"/>
      <c r="R671" s="4"/>
    </row>
    <row r="672" spans="5:18">
      <c r="E672" s="4"/>
      <c r="F672" s="4"/>
      <c r="G672" s="4"/>
      <c r="H672" s="4"/>
      <c r="I672" s="51"/>
      <c r="J672" s="51"/>
      <c r="K672" s="51"/>
      <c r="L672" s="4"/>
      <c r="M672" s="4"/>
      <c r="N672" s="4"/>
      <c r="O672" s="4"/>
      <c r="P672" s="4"/>
      <c r="Q672" s="4"/>
      <c r="R672" s="4"/>
    </row>
    <row r="673" spans="5:18">
      <c r="E673" s="4"/>
      <c r="F673" s="4"/>
      <c r="G673" s="4"/>
      <c r="H673" s="4"/>
      <c r="I673" s="51"/>
      <c r="J673" s="51"/>
      <c r="K673" s="51"/>
      <c r="L673" s="4"/>
      <c r="M673" s="4"/>
      <c r="N673" s="4"/>
      <c r="O673" s="4"/>
      <c r="P673" s="4"/>
      <c r="Q673" s="4"/>
      <c r="R673" s="4"/>
    </row>
    <row r="674" spans="5:18">
      <c r="E674" s="4"/>
      <c r="F674" s="4"/>
      <c r="G674" s="4"/>
      <c r="H674" s="4"/>
      <c r="I674" s="51"/>
      <c r="J674" s="51"/>
      <c r="K674" s="51"/>
      <c r="L674" s="4"/>
      <c r="M674" s="4"/>
      <c r="N674" s="4"/>
      <c r="O674" s="4"/>
      <c r="P674" s="4"/>
      <c r="Q674" s="4"/>
      <c r="R674" s="4"/>
    </row>
    <row r="675" spans="5:18">
      <c r="E675" s="4"/>
      <c r="F675" s="4"/>
      <c r="G675" s="4"/>
      <c r="H675" s="4"/>
      <c r="I675" s="51"/>
      <c r="J675" s="51"/>
      <c r="K675" s="51"/>
      <c r="L675" s="4"/>
      <c r="M675" s="4"/>
      <c r="N675" s="4"/>
      <c r="O675" s="4"/>
      <c r="P675" s="4"/>
      <c r="Q675" s="4"/>
      <c r="R675" s="4"/>
    </row>
    <row r="676" spans="5:18">
      <c r="E676" s="4"/>
      <c r="F676" s="4"/>
      <c r="G676" s="4"/>
      <c r="H676" s="4"/>
      <c r="I676" s="51"/>
      <c r="J676" s="51"/>
      <c r="K676" s="51"/>
      <c r="L676" s="4"/>
      <c r="M676" s="4"/>
      <c r="N676" s="4"/>
      <c r="O676" s="4"/>
      <c r="P676" s="4"/>
      <c r="Q676" s="4"/>
      <c r="R676" s="4"/>
    </row>
    <row r="677" spans="5:18">
      <c r="E677" s="4"/>
      <c r="F677" s="4"/>
      <c r="G677" s="4"/>
      <c r="H677" s="4"/>
      <c r="I677" s="51"/>
      <c r="J677" s="51"/>
      <c r="K677" s="51"/>
      <c r="L677" s="4"/>
      <c r="M677" s="4"/>
      <c r="N677" s="4"/>
      <c r="O677" s="4"/>
      <c r="P677" s="4"/>
      <c r="Q677" s="4"/>
      <c r="R677" s="4"/>
    </row>
    <row r="678" spans="5:18">
      <c r="E678" s="4"/>
      <c r="F678" s="4"/>
      <c r="G678" s="4"/>
      <c r="H678" s="4"/>
      <c r="I678" s="51"/>
      <c r="J678" s="51"/>
      <c r="K678" s="51"/>
      <c r="L678" s="4"/>
      <c r="M678" s="4"/>
      <c r="N678" s="4"/>
      <c r="O678" s="4"/>
      <c r="P678" s="4"/>
      <c r="Q678" s="4"/>
      <c r="R678" s="4"/>
    </row>
    <row r="679" spans="5:18">
      <c r="E679" s="4"/>
      <c r="F679" s="4"/>
      <c r="G679" s="4"/>
      <c r="H679" s="4"/>
      <c r="I679" s="51"/>
      <c r="J679" s="51"/>
      <c r="K679" s="51"/>
      <c r="L679" s="4"/>
      <c r="M679" s="4"/>
      <c r="N679" s="4"/>
      <c r="O679" s="4"/>
      <c r="P679" s="4"/>
      <c r="Q679" s="4"/>
      <c r="R679" s="4"/>
    </row>
    <row r="680" spans="5:18">
      <c r="E680" s="4"/>
      <c r="F680" s="4"/>
      <c r="G680" s="4"/>
      <c r="H680" s="4"/>
      <c r="I680" s="51"/>
      <c r="J680" s="51"/>
      <c r="K680" s="51"/>
      <c r="L680" s="4"/>
      <c r="M680" s="4"/>
      <c r="N680" s="4"/>
      <c r="O680" s="4"/>
      <c r="P680" s="4"/>
      <c r="Q680" s="4"/>
      <c r="R680" s="4"/>
    </row>
    <row r="681" spans="5:18">
      <c r="E681" s="4"/>
      <c r="F681" s="4"/>
      <c r="G681" s="4"/>
      <c r="H681" s="4"/>
      <c r="I681" s="51"/>
      <c r="J681" s="51"/>
      <c r="K681" s="51"/>
      <c r="L681" s="4"/>
      <c r="M681" s="4"/>
      <c r="N681" s="4"/>
      <c r="O681" s="4"/>
      <c r="P681" s="4"/>
      <c r="Q681" s="4"/>
      <c r="R681" s="4"/>
    </row>
    <row r="682" spans="5:18">
      <c r="E682" s="4"/>
      <c r="F682" s="4"/>
      <c r="G682" s="4"/>
      <c r="H682" s="4"/>
      <c r="I682" s="51"/>
      <c r="J682" s="51"/>
      <c r="K682" s="51"/>
      <c r="L682" s="4"/>
      <c r="M682" s="4"/>
      <c r="N682" s="4"/>
      <c r="O682" s="4"/>
      <c r="P682" s="4"/>
      <c r="Q682" s="4"/>
      <c r="R682" s="4"/>
    </row>
    <row r="683" spans="5:18">
      <c r="E683" s="4"/>
      <c r="F683" s="4"/>
      <c r="G683" s="4"/>
      <c r="H683" s="4"/>
      <c r="I683" s="51"/>
      <c r="J683" s="51"/>
      <c r="K683" s="51"/>
      <c r="L683" s="4"/>
      <c r="M683" s="4"/>
      <c r="N683" s="4"/>
      <c r="O683" s="4"/>
      <c r="P683" s="4"/>
      <c r="Q683" s="4"/>
      <c r="R683" s="4"/>
    </row>
    <row r="684" spans="5:18">
      <c r="E684" s="4"/>
      <c r="F684" s="4"/>
      <c r="G684" s="4"/>
      <c r="H684" s="4"/>
      <c r="I684" s="51"/>
      <c r="J684" s="51"/>
      <c r="K684" s="51"/>
      <c r="L684" s="4"/>
      <c r="M684" s="4"/>
      <c r="N684" s="4"/>
      <c r="O684" s="4"/>
      <c r="P684" s="4"/>
      <c r="Q684" s="4"/>
      <c r="R684" s="4"/>
    </row>
    <row r="685" spans="5:18">
      <c r="E685" s="4"/>
      <c r="F685" s="4"/>
      <c r="G685" s="4"/>
      <c r="H685" s="4"/>
      <c r="I685" s="51"/>
      <c r="J685" s="51"/>
      <c r="K685" s="51"/>
      <c r="L685" s="4"/>
      <c r="M685" s="4"/>
      <c r="N685" s="4"/>
      <c r="O685" s="4"/>
      <c r="P685" s="4"/>
      <c r="Q685" s="4"/>
      <c r="R685" s="4"/>
    </row>
    <row r="686" spans="5:18">
      <c r="E686" s="4"/>
      <c r="F686" s="4"/>
      <c r="G686" s="4"/>
      <c r="H686" s="4"/>
      <c r="I686" s="51"/>
      <c r="J686" s="51"/>
      <c r="K686" s="51"/>
      <c r="L686" s="4"/>
      <c r="M686" s="4"/>
      <c r="N686" s="4"/>
      <c r="O686" s="4"/>
      <c r="P686" s="4"/>
      <c r="Q686" s="4"/>
      <c r="R686" s="4"/>
    </row>
    <row r="687" spans="5:18">
      <c r="E687" s="4"/>
      <c r="F687" s="4"/>
      <c r="G687" s="4"/>
      <c r="H687" s="4"/>
      <c r="I687" s="51"/>
      <c r="J687" s="51"/>
      <c r="K687" s="51"/>
      <c r="L687" s="4"/>
      <c r="M687" s="4"/>
      <c r="N687" s="4"/>
      <c r="O687" s="4"/>
      <c r="P687" s="4"/>
      <c r="Q687" s="4"/>
      <c r="R687" s="4"/>
    </row>
    <row r="688" spans="5:18">
      <c r="E688" s="4"/>
      <c r="F688" s="4"/>
      <c r="G688" s="4"/>
      <c r="H688" s="4"/>
      <c r="I688" s="51"/>
      <c r="J688" s="51"/>
      <c r="K688" s="51"/>
      <c r="L688" s="4"/>
      <c r="M688" s="4"/>
      <c r="N688" s="4"/>
      <c r="O688" s="4"/>
      <c r="P688" s="4"/>
      <c r="Q688" s="4"/>
      <c r="R688" s="4"/>
    </row>
    <row r="689" spans="5:18">
      <c r="E689" s="4"/>
      <c r="F689" s="4"/>
      <c r="G689" s="4"/>
      <c r="H689" s="4"/>
      <c r="I689" s="51"/>
      <c r="J689" s="51"/>
      <c r="K689" s="51"/>
      <c r="L689" s="4"/>
      <c r="M689" s="4"/>
      <c r="N689" s="4"/>
      <c r="O689" s="4"/>
      <c r="P689" s="4"/>
      <c r="Q689" s="4"/>
      <c r="R689" s="4"/>
    </row>
    <row r="690" spans="5:18">
      <c r="E690" s="4"/>
      <c r="F690" s="4"/>
      <c r="G690" s="4"/>
      <c r="H690" s="4"/>
      <c r="I690" s="51"/>
      <c r="J690" s="51"/>
      <c r="K690" s="51"/>
      <c r="L690" s="4"/>
      <c r="M690" s="4"/>
      <c r="N690" s="4"/>
      <c r="O690" s="4"/>
      <c r="P690" s="4"/>
      <c r="Q690" s="4"/>
      <c r="R690" s="4"/>
    </row>
    <row r="691" spans="5:18">
      <c r="E691" s="4"/>
      <c r="F691" s="4"/>
      <c r="G691" s="4"/>
      <c r="H691" s="4"/>
      <c r="I691" s="51"/>
      <c r="J691" s="51"/>
      <c r="K691" s="51"/>
      <c r="L691" s="4"/>
      <c r="M691" s="4"/>
      <c r="N691" s="4"/>
      <c r="O691" s="4"/>
      <c r="P691" s="4"/>
      <c r="Q691" s="4"/>
      <c r="R691" s="4"/>
    </row>
    <row r="692" spans="5:18">
      <c r="E692" s="4"/>
      <c r="F692" s="4"/>
      <c r="G692" s="4"/>
      <c r="H692" s="4"/>
      <c r="I692" s="51"/>
      <c r="J692" s="51"/>
      <c r="K692" s="51"/>
      <c r="L692" s="4"/>
      <c r="M692" s="4"/>
      <c r="N692" s="4"/>
      <c r="O692" s="4"/>
      <c r="P692" s="4"/>
      <c r="Q692" s="4"/>
      <c r="R692" s="4"/>
    </row>
    <row r="693" spans="5:18">
      <c r="E693" s="4"/>
      <c r="F693" s="4"/>
      <c r="G693" s="4"/>
      <c r="H693" s="4"/>
      <c r="I693" s="51"/>
      <c r="J693" s="51"/>
      <c r="K693" s="51"/>
      <c r="L693" s="4"/>
      <c r="M693" s="4"/>
      <c r="N693" s="4"/>
      <c r="O693" s="4"/>
      <c r="P693" s="4"/>
      <c r="Q693" s="4"/>
      <c r="R693" s="4"/>
    </row>
    <row r="694" spans="5:18">
      <c r="E694" s="4"/>
      <c r="F694" s="4"/>
      <c r="G694" s="4"/>
      <c r="H694" s="4"/>
      <c r="I694" s="51"/>
      <c r="J694" s="51"/>
      <c r="K694" s="51"/>
      <c r="L694" s="4"/>
      <c r="M694" s="4"/>
      <c r="N694" s="4"/>
      <c r="O694" s="4"/>
      <c r="P694" s="4"/>
      <c r="Q694" s="4"/>
      <c r="R694" s="4"/>
    </row>
    <row r="695" spans="5:18">
      <c r="E695" s="4"/>
      <c r="F695" s="4"/>
      <c r="G695" s="4"/>
      <c r="H695" s="4"/>
      <c r="I695" s="51"/>
      <c r="J695" s="51"/>
      <c r="K695" s="51"/>
      <c r="L695" s="4"/>
      <c r="M695" s="4"/>
      <c r="N695" s="4"/>
      <c r="O695" s="4"/>
      <c r="P695" s="4"/>
      <c r="Q695" s="4"/>
      <c r="R695" s="4"/>
    </row>
    <row r="696" spans="5:18">
      <c r="E696" s="4"/>
      <c r="F696" s="4"/>
      <c r="G696" s="4"/>
      <c r="H696" s="4"/>
      <c r="I696" s="51"/>
      <c r="J696" s="51"/>
      <c r="K696" s="51"/>
      <c r="L696" s="4"/>
      <c r="M696" s="4"/>
      <c r="N696" s="4"/>
      <c r="O696" s="4"/>
      <c r="P696" s="4"/>
      <c r="Q696" s="4"/>
      <c r="R696" s="4"/>
    </row>
    <row r="697" spans="5:18">
      <c r="E697" s="4"/>
      <c r="F697" s="4"/>
      <c r="G697" s="4"/>
      <c r="H697" s="4"/>
      <c r="I697" s="51"/>
      <c r="J697" s="51"/>
      <c r="K697" s="51"/>
      <c r="L697" s="4"/>
      <c r="M697" s="4"/>
      <c r="N697" s="4"/>
      <c r="O697" s="4"/>
      <c r="P697" s="4"/>
      <c r="Q697" s="4"/>
      <c r="R697" s="4"/>
    </row>
    <row r="698" spans="5:18">
      <c r="E698" s="4"/>
      <c r="F698" s="4"/>
      <c r="G698" s="4"/>
      <c r="H698" s="4"/>
      <c r="I698" s="51"/>
      <c r="J698" s="51"/>
      <c r="K698" s="51"/>
      <c r="L698" s="4"/>
      <c r="M698" s="4"/>
      <c r="N698" s="4"/>
      <c r="O698" s="4"/>
      <c r="P698" s="4"/>
      <c r="Q698" s="4"/>
      <c r="R698" s="4"/>
    </row>
    <row r="699" spans="5:18">
      <c r="E699" s="4"/>
      <c r="F699" s="4"/>
      <c r="G699" s="4"/>
      <c r="H699" s="4"/>
      <c r="I699" s="51"/>
      <c r="J699" s="51"/>
      <c r="K699" s="51"/>
      <c r="L699" s="4"/>
      <c r="M699" s="4"/>
      <c r="N699" s="4"/>
      <c r="O699" s="4"/>
      <c r="P699" s="4"/>
      <c r="Q699" s="4"/>
      <c r="R699" s="4"/>
    </row>
    <row r="700" spans="5:18">
      <c r="E700" s="4"/>
      <c r="F700" s="4"/>
      <c r="G700" s="4"/>
      <c r="H700" s="4"/>
      <c r="I700" s="51"/>
      <c r="J700" s="51"/>
      <c r="K700" s="51"/>
      <c r="L700" s="4"/>
      <c r="M700" s="4"/>
      <c r="N700" s="4"/>
      <c r="O700" s="4"/>
      <c r="P700" s="4"/>
      <c r="Q700" s="4"/>
      <c r="R700" s="4"/>
    </row>
    <row r="701" spans="5:18">
      <c r="E701" s="4"/>
      <c r="F701" s="4"/>
      <c r="G701" s="4"/>
      <c r="H701" s="4"/>
      <c r="I701" s="51"/>
      <c r="J701" s="51"/>
      <c r="K701" s="51"/>
      <c r="L701" s="4"/>
      <c r="M701" s="4"/>
      <c r="N701" s="4"/>
      <c r="O701" s="4"/>
      <c r="P701" s="4"/>
      <c r="Q701" s="4"/>
      <c r="R701" s="4"/>
    </row>
    <row r="702" spans="5:18">
      <c r="E702" s="4"/>
      <c r="F702" s="4"/>
      <c r="G702" s="4"/>
      <c r="H702" s="4"/>
      <c r="I702" s="51"/>
      <c r="J702" s="51"/>
      <c r="K702" s="51"/>
      <c r="L702" s="4"/>
      <c r="M702" s="4"/>
      <c r="N702" s="4"/>
      <c r="O702" s="4"/>
      <c r="P702" s="4"/>
      <c r="Q702" s="4"/>
      <c r="R702" s="4"/>
    </row>
    <row r="703" spans="5:18">
      <c r="E703" s="4"/>
      <c r="F703" s="4"/>
      <c r="G703" s="4"/>
      <c r="H703" s="4"/>
      <c r="I703" s="51"/>
      <c r="J703" s="51"/>
      <c r="K703" s="51"/>
      <c r="L703" s="4"/>
      <c r="M703" s="4"/>
      <c r="N703" s="4"/>
      <c r="O703" s="4"/>
      <c r="P703" s="4"/>
      <c r="Q703" s="4"/>
      <c r="R703" s="4"/>
    </row>
    <row r="704" spans="5:18">
      <c r="E704" s="4"/>
      <c r="F704" s="4"/>
      <c r="G704" s="4"/>
      <c r="H704" s="4"/>
      <c r="I704" s="51"/>
      <c r="J704" s="51"/>
      <c r="K704" s="51"/>
      <c r="L704" s="4"/>
      <c r="M704" s="4"/>
      <c r="N704" s="4"/>
      <c r="O704" s="4"/>
      <c r="P704" s="4"/>
      <c r="Q704" s="4"/>
      <c r="R704" s="4"/>
    </row>
    <row r="705" spans="5:18">
      <c r="E705" s="4"/>
      <c r="F705" s="4"/>
      <c r="G705" s="4"/>
      <c r="H705" s="4"/>
      <c r="I705" s="51"/>
      <c r="J705" s="51"/>
      <c r="K705" s="51"/>
      <c r="L705" s="4"/>
      <c r="M705" s="4"/>
      <c r="N705" s="4"/>
      <c r="O705" s="4"/>
      <c r="P705" s="4"/>
      <c r="Q705" s="4"/>
      <c r="R705" s="4"/>
    </row>
    <row r="706" spans="5:18">
      <c r="E706" s="4"/>
      <c r="F706" s="4"/>
      <c r="G706" s="4"/>
      <c r="H706" s="4"/>
      <c r="I706" s="51"/>
      <c r="J706" s="51"/>
      <c r="K706" s="51"/>
      <c r="L706" s="4"/>
      <c r="M706" s="4"/>
      <c r="N706" s="4"/>
      <c r="O706" s="4"/>
      <c r="P706" s="4"/>
      <c r="Q706" s="4"/>
      <c r="R706" s="4"/>
    </row>
    <row r="707" spans="5:18">
      <c r="E707" s="4"/>
      <c r="F707" s="4"/>
      <c r="G707" s="4"/>
      <c r="H707" s="4"/>
      <c r="I707" s="51"/>
      <c r="J707" s="51"/>
      <c r="K707" s="51"/>
      <c r="L707" s="4"/>
      <c r="M707" s="4"/>
      <c r="N707" s="4"/>
      <c r="O707" s="4"/>
      <c r="P707" s="4"/>
      <c r="Q707" s="4"/>
      <c r="R707" s="4"/>
    </row>
    <row r="708" spans="5:18">
      <c r="E708" s="4"/>
      <c r="F708" s="4"/>
      <c r="G708" s="4"/>
      <c r="H708" s="4"/>
      <c r="I708" s="51"/>
      <c r="J708" s="51"/>
      <c r="K708" s="51"/>
      <c r="L708" s="4"/>
      <c r="M708" s="4"/>
      <c r="N708" s="4"/>
      <c r="O708" s="4"/>
      <c r="P708" s="4"/>
      <c r="Q708" s="4"/>
      <c r="R708" s="4"/>
    </row>
    <row r="709" spans="5:18">
      <c r="E709" s="4"/>
      <c r="F709" s="4"/>
      <c r="G709" s="4"/>
      <c r="H709" s="4"/>
      <c r="I709" s="51"/>
      <c r="J709" s="51"/>
      <c r="K709" s="51"/>
      <c r="L709" s="4"/>
      <c r="M709" s="4"/>
      <c r="N709" s="4"/>
      <c r="O709" s="4"/>
      <c r="P709" s="4"/>
      <c r="Q709" s="4"/>
      <c r="R709" s="4"/>
    </row>
    <row r="710" spans="5:18">
      <c r="E710" s="4"/>
      <c r="F710" s="4"/>
      <c r="G710" s="4"/>
      <c r="H710" s="4"/>
      <c r="I710" s="51"/>
      <c r="J710" s="51"/>
      <c r="K710" s="51"/>
      <c r="L710" s="4"/>
      <c r="M710" s="4"/>
      <c r="N710" s="4"/>
      <c r="O710" s="4"/>
      <c r="P710" s="4"/>
      <c r="Q710" s="4"/>
      <c r="R710" s="4"/>
    </row>
    <row r="711" spans="5:18">
      <c r="E711" s="4"/>
      <c r="F711" s="4"/>
      <c r="G711" s="4"/>
      <c r="H711" s="4"/>
      <c r="I711" s="51"/>
      <c r="J711" s="51"/>
      <c r="K711" s="51"/>
      <c r="L711" s="4"/>
      <c r="M711" s="4"/>
      <c r="N711" s="4"/>
      <c r="O711" s="4"/>
      <c r="P711" s="4"/>
      <c r="Q711" s="4"/>
      <c r="R711" s="4"/>
    </row>
    <row r="712" spans="5:18">
      <c r="E712" s="4"/>
      <c r="F712" s="4"/>
      <c r="G712" s="4"/>
      <c r="H712" s="4"/>
      <c r="I712" s="51"/>
      <c r="J712" s="51"/>
      <c r="K712" s="51"/>
      <c r="L712" s="4"/>
      <c r="M712" s="4"/>
      <c r="N712" s="4"/>
      <c r="O712" s="4"/>
      <c r="P712" s="4"/>
      <c r="Q712" s="4"/>
      <c r="R712" s="4"/>
    </row>
    <row r="713" spans="5:18">
      <c r="E713" s="4"/>
      <c r="F713" s="4"/>
      <c r="G713" s="4"/>
      <c r="H713" s="4"/>
      <c r="I713" s="51"/>
      <c r="J713" s="51"/>
      <c r="K713" s="51"/>
      <c r="L713" s="4"/>
      <c r="M713" s="4"/>
      <c r="N713" s="4"/>
      <c r="O713" s="4"/>
      <c r="P713" s="4"/>
      <c r="Q713" s="4"/>
      <c r="R713" s="4"/>
    </row>
    <row r="714" spans="5:18">
      <c r="E714" s="4"/>
      <c r="F714" s="4"/>
      <c r="G714" s="4"/>
      <c r="H714" s="4"/>
      <c r="I714" s="51"/>
      <c r="J714" s="51"/>
      <c r="K714" s="51"/>
      <c r="L714" s="4"/>
      <c r="M714" s="4"/>
      <c r="N714" s="4"/>
      <c r="O714" s="4"/>
      <c r="P714" s="4"/>
      <c r="Q714" s="4"/>
      <c r="R714" s="4"/>
    </row>
    <row r="715" spans="5:18">
      <c r="E715" s="4"/>
      <c r="F715" s="4"/>
      <c r="G715" s="4"/>
      <c r="H715" s="4"/>
      <c r="I715" s="51"/>
      <c r="J715" s="51"/>
      <c r="K715" s="51"/>
      <c r="L715" s="4"/>
      <c r="M715" s="4"/>
      <c r="N715" s="4"/>
      <c r="O715" s="4"/>
      <c r="P715" s="4"/>
      <c r="Q715" s="4"/>
      <c r="R715" s="4"/>
    </row>
    <row r="716" spans="5:18">
      <c r="E716" s="4"/>
      <c r="F716" s="4"/>
      <c r="G716" s="4"/>
      <c r="H716" s="4"/>
      <c r="I716" s="51"/>
      <c r="J716" s="51"/>
      <c r="K716" s="51"/>
      <c r="L716" s="4"/>
      <c r="M716" s="4"/>
      <c r="N716" s="4"/>
      <c r="O716" s="4"/>
      <c r="P716" s="4"/>
      <c r="Q716" s="4"/>
      <c r="R716" s="4"/>
    </row>
    <row r="717" spans="5:18">
      <c r="E717" s="4"/>
      <c r="F717" s="4"/>
      <c r="G717" s="4"/>
      <c r="H717" s="4"/>
      <c r="I717" s="51"/>
      <c r="J717" s="51"/>
      <c r="K717" s="51"/>
      <c r="L717" s="4"/>
      <c r="M717" s="4"/>
      <c r="N717" s="4"/>
      <c r="O717" s="4"/>
      <c r="P717" s="4"/>
      <c r="Q717" s="4"/>
      <c r="R717" s="4"/>
    </row>
    <row r="718" spans="5:18">
      <c r="E718" s="4"/>
      <c r="F718" s="4"/>
      <c r="G718" s="4"/>
      <c r="H718" s="4"/>
      <c r="I718" s="51"/>
      <c r="J718" s="51"/>
      <c r="K718" s="51"/>
      <c r="L718" s="4"/>
      <c r="M718" s="4"/>
      <c r="N718" s="4"/>
      <c r="O718" s="4"/>
      <c r="P718" s="4"/>
      <c r="Q718" s="4"/>
      <c r="R718" s="4"/>
    </row>
    <row r="719" spans="5:18">
      <c r="E719" s="4"/>
      <c r="F719" s="4"/>
      <c r="G719" s="4"/>
      <c r="H719" s="4"/>
      <c r="I719" s="51"/>
      <c r="J719" s="51"/>
      <c r="K719" s="51"/>
      <c r="L719" s="4"/>
      <c r="M719" s="4"/>
      <c r="N719" s="4"/>
      <c r="O719" s="4"/>
      <c r="P719" s="4"/>
      <c r="Q719" s="4"/>
      <c r="R719" s="4"/>
    </row>
    <row r="720" spans="5:18">
      <c r="E720" s="4"/>
      <c r="F720" s="4"/>
      <c r="G720" s="4"/>
      <c r="H720" s="4"/>
      <c r="I720" s="51"/>
      <c r="J720" s="51"/>
      <c r="K720" s="51"/>
      <c r="L720" s="4"/>
      <c r="M720" s="4"/>
      <c r="N720" s="4"/>
      <c r="O720" s="4"/>
      <c r="P720" s="4"/>
      <c r="Q720" s="4"/>
      <c r="R720" s="4"/>
    </row>
    <row r="721" spans="5:18">
      <c r="E721" s="4"/>
      <c r="F721" s="4"/>
      <c r="G721" s="4"/>
      <c r="H721" s="4"/>
      <c r="I721" s="51"/>
      <c r="J721" s="51"/>
      <c r="K721" s="51"/>
      <c r="L721" s="4"/>
      <c r="M721" s="4"/>
      <c r="N721" s="4"/>
      <c r="O721" s="4"/>
      <c r="P721" s="4"/>
      <c r="Q721" s="4"/>
      <c r="R721" s="4"/>
    </row>
    <row r="722" spans="5:18">
      <c r="E722" s="4"/>
      <c r="F722" s="4"/>
      <c r="G722" s="4"/>
      <c r="H722" s="4"/>
      <c r="I722" s="51"/>
      <c r="J722" s="51"/>
      <c r="K722" s="51"/>
      <c r="L722" s="4"/>
      <c r="M722" s="4"/>
      <c r="N722" s="4"/>
      <c r="O722" s="4"/>
      <c r="P722" s="4"/>
      <c r="Q722" s="4"/>
      <c r="R722" s="4"/>
    </row>
    <row r="723" spans="5:18">
      <c r="E723" s="4"/>
      <c r="F723" s="4"/>
      <c r="G723" s="4"/>
      <c r="H723" s="4"/>
      <c r="I723" s="51"/>
      <c r="J723" s="51"/>
      <c r="K723" s="51"/>
      <c r="L723" s="4"/>
      <c r="M723" s="4"/>
      <c r="N723" s="4"/>
      <c r="O723" s="4"/>
      <c r="P723" s="4"/>
      <c r="Q723" s="4"/>
      <c r="R723" s="4"/>
    </row>
    <row r="724" spans="5:18">
      <c r="E724" s="4"/>
      <c r="F724" s="4"/>
      <c r="G724" s="4"/>
      <c r="H724" s="4"/>
      <c r="I724" s="51"/>
      <c r="J724" s="51"/>
      <c r="K724" s="51"/>
      <c r="L724" s="4"/>
      <c r="M724" s="4"/>
      <c r="N724" s="4"/>
      <c r="O724" s="4"/>
      <c r="P724" s="4"/>
      <c r="Q724" s="4"/>
      <c r="R724" s="4"/>
    </row>
    <row r="725" spans="5:18">
      <c r="E725" s="4"/>
      <c r="F725" s="4"/>
      <c r="G725" s="4"/>
      <c r="H725" s="4"/>
      <c r="I725" s="51"/>
      <c r="J725" s="51"/>
      <c r="K725" s="51"/>
      <c r="L725" s="4"/>
      <c r="M725" s="4"/>
      <c r="N725" s="4"/>
      <c r="O725" s="4"/>
      <c r="P725" s="4"/>
      <c r="Q725" s="4"/>
      <c r="R725" s="4"/>
    </row>
    <row r="726" spans="5:18">
      <c r="E726" s="4"/>
      <c r="F726" s="4"/>
      <c r="G726" s="4"/>
      <c r="H726" s="4"/>
      <c r="I726" s="51"/>
      <c r="J726" s="51"/>
      <c r="K726" s="51"/>
      <c r="L726" s="4"/>
      <c r="M726" s="4"/>
      <c r="N726" s="4"/>
      <c r="O726" s="4"/>
      <c r="P726" s="4"/>
      <c r="Q726" s="4"/>
      <c r="R726" s="4"/>
    </row>
    <row r="727" spans="5:18">
      <c r="E727" s="4"/>
      <c r="F727" s="4"/>
      <c r="G727" s="4"/>
      <c r="H727" s="4"/>
      <c r="I727" s="51"/>
      <c r="J727" s="51"/>
      <c r="K727" s="51"/>
      <c r="L727" s="4"/>
      <c r="M727" s="4"/>
      <c r="N727" s="4"/>
      <c r="O727" s="4"/>
      <c r="P727" s="4"/>
      <c r="Q727" s="4"/>
      <c r="R727" s="4"/>
    </row>
    <row r="728" spans="5:18">
      <c r="E728" s="4"/>
      <c r="F728" s="4"/>
      <c r="G728" s="4"/>
      <c r="H728" s="4"/>
      <c r="I728" s="51"/>
      <c r="J728" s="51"/>
      <c r="K728" s="51"/>
      <c r="L728" s="4"/>
      <c r="M728" s="4"/>
      <c r="N728" s="4"/>
      <c r="O728" s="4"/>
      <c r="P728" s="4"/>
      <c r="Q728" s="4"/>
      <c r="R728" s="4"/>
    </row>
    <row r="729" spans="5:18">
      <c r="E729" s="4"/>
      <c r="F729" s="4"/>
      <c r="G729" s="4"/>
      <c r="H729" s="4"/>
      <c r="I729" s="51"/>
      <c r="J729" s="51"/>
      <c r="K729" s="51"/>
      <c r="L729" s="4"/>
      <c r="M729" s="4"/>
      <c r="N729" s="4"/>
      <c r="O729" s="4"/>
      <c r="P729" s="4"/>
      <c r="Q729" s="4"/>
      <c r="R729" s="4"/>
    </row>
    <row r="730" spans="5:18">
      <c r="E730" s="4"/>
      <c r="F730" s="4"/>
      <c r="G730" s="4"/>
      <c r="H730" s="4"/>
      <c r="I730" s="51"/>
      <c r="J730" s="51"/>
      <c r="K730" s="51"/>
      <c r="L730" s="4"/>
      <c r="M730" s="4"/>
      <c r="N730" s="4"/>
      <c r="O730" s="4"/>
      <c r="P730" s="4"/>
      <c r="Q730" s="4"/>
      <c r="R730" s="4"/>
    </row>
    <row r="731" spans="5:18">
      <c r="E731" s="4"/>
      <c r="F731" s="4"/>
      <c r="G731" s="4"/>
      <c r="H731" s="4"/>
      <c r="I731" s="51"/>
      <c r="J731" s="51"/>
      <c r="K731" s="51"/>
      <c r="L731" s="4"/>
      <c r="M731" s="4"/>
      <c r="N731" s="4"/>
      <c r="O731" s="4"/>
      <c r="P731" s="4"/>
      <c r="Q731" s="4"/>
      <c r="R731" s="4"/>
    </row>
    <row r="732" spans="5:18">
      <c r="E732" s="4"/>
      <c r="F732" s="4"/>
      <c r="G732" s="4"/>
      <c r="H732" s="4"/>
      <c r="I732" s="51"/>
      <c r="J732" s="51"/>
      <c r="K732" s="51"/>
      <c r="L732" s="4"/>
      <c r="M732" s="4"/>
      <c r="N732" s="4"/>
      <c r="O732" s="4"/>
      <c r="P732" s="4"/>
      <c r="Q732" s="4"/>
      <c r="R732" s="4"/>
    </row>
    <row r="733" spans="5:18">
      <c r="E733" s="4"/>
      <c r="F733" s="4"/>
      <c r="G733" s="4"/>
      <c r="H733" s="4"/>
      <c r="I733" s="51"/>
      <c r="J733" s="51"/>
      <c r="K733" s="51"/>
      <c r="L733" s="4"/>
      <c r="M733" s="4"/>
      <c r="N733" s="4"/>
      <c r="O733" s="4"/>
      <c r="P733" s="4"/>
      <c r="Q733" s="4"/>
      <c r="R733" s="4"/>
    </row>
    <row r="734" spans="5:18">
      <c r="E734" s="4"/>
      <c r="F734" s="4"/>
      <c r="G734" s="4"/>
      <c r="H734" s="4"/>
      <c r="I734" s="51"/>
      <c r="J734" s="51"/>
      <c r="K734" s="51"/>
      <c r="L734" s="4"/>
      <c r="M734" s="4"/>
      <c r="N734" s="4"/>
      <c r="O734" s="4"/>
      <c r="P734" s="4"/>
      <c r="Q734" s="4"/>
      <c r="R734" s="4"/>
    </row>
    <row r="735" spans="5:18">
      <c r="E735" s="4"/>
      <c r="F735" s="4"/>
      <c r="G735" s="4"/>
      <c r="H735" s="4"/>
      <c r="I735" s="51"/>
      <c r="J735" s="51"/>
      <c r="K735" s="51"/>
      <c r="L735" s="4"/>
      <c r="M735" s="4"/>
      <c r="N735" s="4"/>
      <c r="O735" s="4"/>
      <c r="P735" s="4"/>
      <c r="Q735" s="4"/>
      <c r="R735" s="4"/>
    </row>
    <row r="736" spans="5:18">
      <c r="E736" s="4"/>
      <c r="F736" s="4"/>
      <c r="G736" s="4"/>
      <c r="H736" s="4"/>
      <c r="I736" s="51"/>
      <c r="J736" s="51"/>
      <c r="K736" s="51"/>
      <c r="L736" s="4"/>
      <c r="M736" s="4"/>
      <c r="N736" s="4"/>
      <c r="O736" s="4"/>
      <c r="P736" s="4"/>
      <c r="Q736" s="4"/>
      <c r="R736" s="4"/>
    </row>
    <row r="737" spans="5:18">
      <c r="E737" s="4"/>
      <c r="F737" s="4"/>
      <c r="G737" s="4"/>
      <c r="H737" s="4"/>
      <c r="I737" s="51"/>
      <c r="J737" s="51"/>
      <c r="K737" s="51"/>
      <c r="L737" s="4"/>
      <c r="M737" s="4"/>
      <c r="N737" s="4"/>
      <c r="O737" s="4"/>
      <c r="P737" s="4"/>
      <c r="Q737" s="4"/>
      <c r="R737" s="4"/>
    </row>
    <row r="738" spans="5:18">
      <c r="E738" s="4"/>
      <c r="F738" s="4"/>
      <c r="G738" s="4"/>
      <c r="H738" s="4"/>
      <c r="I738" s="51"/>
      <c r="J738" s="51"/>
      <c r="K738" s="51"/>
      <c r="L738" s="4"/>
      <c r="M738" s="4"/>
      <c r="N738" s="4"/>
      <c r="O738" s="4"/>
      <c r="P738" s="4"/>
      <c r="Q738" s="4"/>
      <c r="R738" s="4"/>
    </row>
    <row r="739" spans="5:18">
      <c r="E739" s="4"/>
      <c r="F739" s="4"/>
      <c r="G739" s="4"/>
      <c r="H739" s="4"/>
      <c r="I739" s="51"/>
      <c r="J739" s="51"/>
      <c r="K739" s="51"/>
      <c r="L739" s="4"/>
      <c r="M739" s="4"/>
      <c r="N739" s="4"/>
      <c r="O739" s="4"/>
      <c r="P739" s="4"/>
      <c r="Q739" s="4"/>
      <c r="R739" s="4"/>
    </row>
    <row r="740" spans="5:18">
      <c r="E740" s="4"/>
      <c r="F740" s="4"/>
      <c r="G740" s="4"/>
      <c r="H740" s="4"/>
      <c r="I740" s="51"/>
      <c r="J740" s="51"/>
      <c r="K740" s="51"/>
      <c r="L740" s="4"/>
      <c r="M740" s="4"/>
      <c r="N740" s="4"/>
      <c r="O740" s="4"/>
      <c r="P740" s="4"/>
      <c r="Q740" s="4"/>
      <c r="R740" s="4"/>
    </row>
    <row r="741" spans="5:18">
      <c r="E741" s="4"/>
      <c r="F741" s="4"/>
      <c r="G741" s="4"/>
      <c r="H741" s="4"/>
      <c r="I741" s="51"/>
      <c r="J741" s="51"/>
      <c r="K741" s="51"/>
      <c r="L741" s="4"/>
      <c r="M741" s="4"/>
      <c r="N741" s="4"/>
      <c r="O741" s="4"/>
      <c r="P741" s="4"/>
      <c r="Q741" s="4"/>
      <c r="R741" s="4"/>
    </row>
    <row r="742" spans="5:18">
      <c r="E742" s="4"/>
      <c r="F742" s="4"/>
      <c r="G742" s="4"/>
      <c r="H742" s="4"/>
      <c r="I742" s="51"/>
      <c r="J742" s="51"/>
      <c r="K742" s="51"/>
      <c r="L742" s="4"/>
      <c r="M742" s="4"/>
      <c r="N742" s="4"/>
      <c r="O742" s="4"/>
      <c r="P742" s="4"/>
      <c r="Q742" s="4"/>
      <c r="R742" s="4"/>
    </row>
    <row r="743" spans="5:18">
      <c r="E743" s="4"/>
      <c r="F743" s="4"/>
      <c r="G743" s="4"/>
      <c r="H743" s="4"/>
      <c r="I743" s="51"/>
      <c r="J743" s="51"/>
      <c r="K743" s="51"/>
      <c r="L743" s="4"/>
      <c r="M743" s="4"/>
      <c r="N743" s="4"/>
      <c r="O743" s="4"/>
      <c r="P743" s="4"/>
      <c r="Q743" s="4"/>
      <c r="R743" s="4"/>
    </row>
    <row r="744" spans="5:18">
      <c r="E744" s="4"/>
      <c r="F744" s="4"/>
      <c r="G744" s="4"/>
      <c r="H744" s="4"/>
      <c r="I744" s="51"/>
      <c r="J744" s="51"/>
      <c r="K744" s="51"/>
      <c r="L744" s="4"/>
      <c r="M744" s="4"/>
      <c r="N744" s="4"/>
      <c r="O744" s="4"/>
      <c r="P744" s="4"/>
      <c r="Q744" s="4"/>
      <c r="R744" s="4"/>
    </row>
    <row r="745" spans="5:18">
      <c r="E745" s="4"/>
      <c r="F745" s="4"/>
      <c r="G745" s="4"/>
      <c r="H745" s="4"/>
      <c r="I745" s="51"/>
      <c r="J745" s="51"/>
      <c r="K745" s="51"/>
      <c r="L745" s="4"/>
      <c r="M745" s="4"/>
      <c r="N745" s="4"/>
      <c r="O745" s="4"/>
      <c r="P745" s="4"/>
      <c r="Q745" s="4"/>
      <c r="R745" s="4"/>
    </row>
    <row r="746" spans="5:18">
      <c r="E746" s="4"/>
      <c r="F746" s="4"/>
      <c r="G746" s="4"/>
      <c r="H746" s="4"/>
      <c r="I746" s="51"/>
      <c r="J746" s="51"/>
      <c r="K746" s="51"/>
      <c r="L746" s="4"/>
      <c r="M746" s="4"/>
      <c r="N746" s="4"/>
      <c r="O746" s="4"/>
      <c r="P746" s="4"/>
      <c r="Q746" s="4"/>
      <c r="R746" s="4"/>
    </row>
    <row r="747" spans="5:18">
      <c r="E747" s="4"/>
      <c r="F747" s="4"/>
      <c r="G747" s="4"/>
      <c r="H747" s="4"/>
      <c r="I747" s="51"/>
      <c r="J747" s="51"/>
      <c r="K747" s="51"/>
      <c r="L747" s="4"/>
      <c r="M747" s="4"/>
      <c r="N747" s="4"/>
      <c r="O747" s="4"/>
      <c r="P747" s="4"/>
      <c r="Q747" s="4"/>
      <c r="R747" s="4"/>
    </row>
    <row r="748" spans="5:18">
      <c r="E748" s="4"/>
      <c r="F748" s="4"/>
      <c r="G748" s="4"/>
      <c r="H748" s="4"/>
      <c r="I748" s="51"/>
      <c r="J748" s="51"/>
      <c r="K748" s="51"/>
      <c r="L748" s="4"/>
      <c r="M748" s="4"/>
      <c r="N748" s="4"/>
      <c r="O748" s="4"/>
      <c r="P748" s="4"/>
      <c r="Q748" s="4"/>
      <c r="R748" s="4"/>
    </row>
    <row r="749" spans="5:18">
      <c r="E749" s="4"/>
      <c r="F749" s="4"/>
      <c r="G749" s="4"/>
      <c r="H749" s="4"/>
      <c r="I749" s="51"/>
      <c r="J749" s="51"/>
      <c r="K749" s="51"/>
      <c r="L749" s="4"/>
      <c r="M749" s="4"/>
      <c r="N749" s="4"/>
      <c r="O749" s="4"/>
      <c r="P749" s="4"/>
      <c r="Q749" s="4"/>
      <c r="R749" s="4"/>
    </row>
    <row r="750" spans="5:18">
      <c r="E750" s="4"/>
      <c r="F750" s="4"/>
      <c r="G750" s="4"/>
      <c r="H750" s="4"/>
      <c r="I750" s="51"/>
      <c r="J750" s="51"/>
      <c r="K750" s="51"/>
      <c r="L750" s="4"/>
      <c r="M750" s="4"/>
      <c r="N750" s="4"/>
      <c r="O750" s="4"/>
      <c r="P750" s="4"/>
      <c r="Q750" s="4"/>
      <c r="R750" s="4"/>
    </row>
    <row r="751" spans="5:18">
      <c r="E751" s="4"/>
      <c r="F751" s="4"/>
      <c r="G751" s="4"/>
      <c r="H751" s="4"/>
      <c r="I751" s="51"/>
      <c r="J751" s="51"/>
      <c r="K751" s="51"/>
      <c r="L751" s="4"/>
      <c r="M751" s="4"/>
      <c r="N751" s="4"/>
      <c r="O751" s="4"/>
      <c r="P751" s="4"/>
      <c r="Q751" s="4"/>
      <c r="R751" s="4"/>
    </row>
    <row r="752" spans="5:18">
      <c r="E752" s="4"/>
      <c r="F752" s="4"/>
      <c r="G752" s="4"/>
      <c r="H752" s="4"/>
      <c r="I752" s="51"/>
      <c r="J752" s="51"/>
      <c r="K752" s="51"/>
      <c r="L752" s="4"/>
      <c r="M752" s="4"/>
      <c r="N752" s="4"/>
      <c r="O752" s="4"/>
      <c r="P752" s="4"/>
      <c r="Q752" s="4"/>
      <c r="R752" s="4"/>
    </row>
    <row r="753" spans="5:18">
      <c r="E753" s="4"/>
      <c r="F753" s="4"/>
      <c r="G753" s="4"/>
      <c r="H753" s="4"/>
      <c r="I753" s="51"/>
      <c r="J753" s="51"/>
      <c r="K753" s="51"/>
      <c r="L753" s="4"/>
      <c r="M753" s="4"/>
      <c r="N753" s="4"/>
      <c r="O753" s="4"/>
      <c r="P753" s="4"/>
      <c r="Q753" s="4"/>
      <c r="R753" s="4"/>
    </row>
    <row r="754" spans="5:18">
      <c r="E754" s="4"/>
      <c r="F754" s="4"/>
      <c r="G754" s="4"/>
      <c r="H754" s="4"/>
      <c r="I754" s="51"/>
      <c r="J754" s="51"/>
      <c r="K754" s="51"/>
      <c r="L754" s="4"/>
      <c r="M754" s="4"/>
      <c r="N754" s="4"/>
      <c r="O754" s="4"/>
      <c r="P754" s="4"/>
      <c r="Q754" s="4"/>
      <c r="R754" s="4"/>
    </row>
    <row r="755" spans="5:18">
      <c r="E755" s="4"/>
      <c r="F755" s="4"/>
      <c r="G755" s="4"/>
      <c r="H755" s="4"/>
      <c r="I755" s="51"/>
      <c r="J755" s="51"/>
      <c r="K755" s="51"/>
      <c r="L755" s="4"/>
      <c r="M755" s="4"/>
      <c r="N755" s="4"/>
      <c r="O755" s="4"/>
      <c r="P755" s="4"/>
      <c r="Q755" s="4"/>
      <c r="R755" s="4"/>
    </row>
    <row r="756" spans="5:18">
      <c r="E756" s="4"/>
      <c r="F756" s="4"/>
      <c r="G756" s="4"/>
      <c r="H756" s="4"/>
      <c r="I756" s="51"/>
      <c r="J756" s="51"/>
      <c r="K756" s="51"/>
      <c r="L756" s="4"/>
      <c r="M756" s="4"/>
      <c r="N756" s="4"/>
      <c r="O756" s="4"/>
      <c r="P756" s="4"/>
      <c r="Q756" s="4"/>
      <c r="R756" s="4"/>
    </row>
    <row r="757" spans="5:18">
      <c r="E757" s="4"/>
      <c r="F757" s="4"/>
      <c r="G757" s="4"/>
      <c r="H757" s="4"/>
      <c r="I757" s="51"/>
      <c r="J757" s="51"/>
      <c r="K757" s="51"/>
      <c r="L757" s="4"/>
      <c r="M757" s="4"/>
      <c r="N757" s="4"/>
      <c r="O757" s="4"/>
      <c r="P757" s="4"/>
      <c r="Q757" s="4"/>
      <c r="R757" s="4"/>
    </row>
    <row r="758" spans="5:18">
      <c r="E758" s="4"/>
      <c r="F758" s="4"/>
      <c r="G758" s="4"/>
      <c r="H758" s="4"/>
      <c r="I758" s="51"/>
      <c r="J758" s="51"/>
      <c r="K758" s="51"/>
      <c r="L758" s="4"/>
      <c r="M758" s="4"/>
      <c r="N758" s="4"/>
      <c r="O758" s="4"/>
      <c r="P758" s="4"/>
      <c r="Q758" s="4"/>
      <c r="R758" s="4"/>
    </row>
    <row r="759" spans="5:18">
      <c r="E759" s="4"/>
      <c r="F759" s="4"/>
      <c r="G759" s="4"/>
      <c r="H759" s="4"/>
      <c r="I759" s="51"/>
      <c r="J759" s="51"/>
      <c r="K759" s="51"/>
      <c r="L759" s="4"/>
      <c r="M759" s="4"/>
      <c r="N759" s="4"/>
      <c r="O759" s="4"/>
      <c r="P759" s="4"/>
      <c r="Q759" s="4"/>
      <c r="R759" s="4"/>
    </row>
    <row r="760" spans="5:18">
      <c r="E760" s="4"/>
      <c r="F760" s="4"/>
      <c r="G760" s="4"/>
      <c r="H760" s="4"/>
      <c r="I760" s="51"/>
      <c r="J760" s="51"/>
      <c r="K760" s="51"/>
      <c r="L760" s="4"/>
      <c r="M760" s="4"/>
      <c r="N760" s="4"/>
      <c r="O760" s="4"/>
      <c r="P760" s="4"/>
      <c r="Q760" s="4"/>
      <c r="R760" s="4"/>
    </row>
    <row r="761" spans="5:18">
      <c r="E761" s="4"/>
      <c r="F761" s="4"/>
      <c r="G761" s="4"/>
      <c r="H761" s="4"/>
      <c r="I761" s="51"/>
      <c r="J761" s="51"/>
      <c r="K761" s="51"/>
      <c r="L761" s="4"/>
      <c r="M761" s="4"/>
      <c r="N761" s="4"/>
      <c r="O761" s="4"/>
      <c r="P761" s="4"/>
      <c r="Q761" s="4"/>
      <c r="R761" s="4"/>
    </row>
    <row r="762" spans="5:18">
      <c r="E762" s="4"/>
      <c r="F762" s="4"/>
      <c r="G762" s="4"/>
      <c r="H762" s="4"/>
      <c r="I762" s="51"/>
      <c r="J762" s="51"/>
      <c r="K762" s="51"/>
      <c r="L762" s="4"/>
      <c r="M762" s="4"/>
      <c r="N762" s="4"/>
      <c r="O762" s="4"/>
      <c r="P762" s="4"/>
      <c r="Q762" s="4"/>
      <c r="R762" s="4"/>
    </row>
    <row r="763" spans="5:18">
      <c r="E763" s="4"/>
      <c r="F763" s="4"/>
      <c r="G763" s="4"/>
      <c r="H763" s="4"/>
      <c r="I763" s="51"/>
      <c r="J763" s="51"/>
      <c r="K763" s="51"/>
      <c r="L763" s="4"/>
      <c r="M763" s="4"/>
      <c r="N763" s="4"/>
      <c r="O763" s="4"/>
      <c r="P763" s="4"/>
      <c r="Q763" s="4"/>
      <c r="R763" s="4"/>
    </row>
    <row r="764" spans="5:18">
      <c r="E764" s="4"/>
      <c r="F764" s="4"/>
      <c r="G764" s="4"/>
      <c r="H764" s="4"/>
      <c r="I764" s="51"/>
      <c r="J764" s="51"/>
      <c r="K764" s="51"/>
      <c r="L764" s="4"/>
      <c r="M764" s="4"/>
      <c r="N764" s="4"/>
      <c r="O764" s="4"/>
      <c r="P764" s="4"/>
      <c r="Q764" s="4"/>
      <c r="R764" s="4"/>
    </row>
    <row r="765" spans="5:18">
      <c r="E765" s="4"/>
      <c r="F765" s="4"/>
      <c r="G765" s="4"/>
      <c r="H765" s="4"/>
      <c r="I765" s="51"/>
      <c r="J765" s="51"/>
      <c r="K765" s="51"/>
      <c r="L765" s="4"/>
      <c r="M765" s="4"/>
      <c r="N765" s="4"/>
      <c r="O765" s="4"/>
      <c r="P765" s="4"/>
      <c r="Q765" s="4"/>
      <c r="R765" s="4"/>
    </row>
    <row r="766" spans="5:18">
      <c r="E766" s="4"/>
      <c r="F766" s="4"/>
      <c r="G766" s="4"/>
      <c r="H766" s="4"/>
      <c r="I766" s="51"/>
      <c r="J766" s="51"/>
      <c r="K766" s="51"/>
      <c r="L766" s="4"/>
      <c r="M766" s="4"/>
      <c r="N766" s="4"/>
      <c r="O766" s="4"/>
      <c r="P766" s="4"/>
      <c r="Q766" s="4"/>
      <c r="R766" s="4"/>
    </row>
    <row r="767" spans="5:18">
      <c r="E767" s="4"/>
      <c r="F767" s="4"/>
      <c r="G767" s="4"/>
      <c r="H767" s="4"/>
      <c r="I767" s="51"/>
      <c r="J767" s="51"/>
      <c r="K767" s="51"/>
      <c r="L767" s="4"/>
      <c r="M767" s="4"/>
      <c r="N767" s="4"/>
      <c r="O767" s="4"/>
      <c r="P767" s="4"/>
      <c r="Q767" s="4"/>
      <c r="R767" s="4"/>
    </row>
    <row r="768" spans="5:18">
      <c r="E768" s="4"/>
      <c r="F768" s="4"/>
      <c r="G768" s="4"/>
      <c r="H768" s="4"/>
      <c r="I768" s="51"/>
      <c r="J768" s="51"/>
      <c r="K768" s="51"/>
      <c r="L768" s="4"/>
      <c r="M768" s="4"/>
      <c r="N768" s="4"/>
      <c r="O768" s="4"/>
      <c r="P768" s="4"/>
      <c r="Q768" s="4"/>
      <c r="R768" s="4"/>
    </row>
    <row r="769" spans="5:18">
      <c r="E769" s="4"/>
      <c r="F769" s="4"/>
      <c r="G769" s="4"/>
      <c r="H769" s="4"/>
      <c r="I769" s="51"/>
      <c r="J769" s="51"/>
      <c r="K769" s="51"/>
      <c r="L769" s="4"/>
      <c r="M769" s="4"/>
      <c r="N769" s="4"/>
      <c r="O769" s="4"/>
      <c r="P769" s="4"/>
      <c r="Q769" s="4"/>
      <c r="R769" s="4"/>
    </row>
    <row r="770" spans="5:18">
      <c r="E770" s="4"/>
      <c r="F770" s="4"/>
      <c r="G770" s="4"/>
      <c r="H770" s="4"/>
      <c r="I770" s="51"/>
      <c r="J770" s="51"/>
      <c r="K770" s="51"/>
      <c r="L770" s="4"/>
      <c r="M770" s="4"/>
      <c r="N770" s="4"/>
      <c r="O770" s="4"/>
      <c r="P770" s="4"/>
      <c r="Q770" s="4"/>
      <c r="R770" s="4"/>
    </row>
    <row r="771" spans="5:18">
      <c r="E771" s="4"/>
      <c r="F771" s="4"/>
      <c r="G771" s="4"/>
      <c r="H771" s="4"/>
      <c r="I771" s="51"/>
      <c r="J771" s="51"/>
      <c r="K771" s="51"/>
      <c r="L771" s="4"/>
      <c r="M771" s="4"/>
      <c r="N771" s="4"/>
      <c r="O771" s="4"/>
      <c r="P771" s="4"/>
      <c r="Q771" s="4"/>
      <c r="R771" s="4"/>
    </row>
    <row r="772" spans="5:18">
      <c r="E772" s="4"/>
      <c r="F772" s="4"/>
      <c r="G772" s="4"/>
      <c r="H772" s="4"/>
      <c r="I772" s="51"/>
      <c r="J772" s="51"/>
      <c r="K772" s="51"/>
      <c r="L772" s="4"/>
      <c r="M772" s="4"/>
      <c r="N772" s="4"/>
      <c r="O772" s="4"/>
      <c r="P772" s="4"/>
      <c r="Q772" s="4"/>
      <c r="R772" s="4"/>
    </row>
    <row r="773" spans="5:18">
      <c r="E773" s="4"/>
      <c r="F773" s="4"/>
      <c r="G773" s="4"/>
      <c r="H773" s="4"/>
      <c r="I773" s="51"/>
      <c r="J773" s="51"/>
      <c r="K773" s="51"/>
      <c r="L773" s="4"/>
      <c r="M773" s="4"/>
      <c r="N773" s="4"/>
      <c r="O773" s="4"/>
      <c r="P773" s="4"/>
      <c r="Q773" s="4"/>
      <c r="R773" s="4"/>
    </row>
    <row r="774" spans="5:18">
      <c r="E774" s="4"/>
      <c r="F774" s="4"/>
      <c r="G774" s="4"/>
      <c r="H774" s="4"/>
      <c r="I774" s="51"/>
      <c r="J774" s="51"/>
      <c r="K774" s="51"/>
      <c r="L774" s="4"/>
      <c r="M774" s="4"/>
      <c r="N774" s="4"/>
      <c r="O774" s="4"/>
      <c r="P774" s="4"/>
      <c r="Q774" s="4"/>
      <c r="R774" s="4"/>
    </row>
    <row r="775" spans="5:18">
      <c r="E775" s="4"/>
      <c r="F775" s="4"/>
      <c r="G775" s="4"/>
      <c r="H775" s="4"/>
      <c r="I775" s="51"/>
      <c r="J775" s="51"/>
      <c r="K775" s="51"/>
      <c r="L775" s="4"/>
      <c r="M775" s="4"/>
      <c r="N775" s="4"/>
      <c r="O775" s="4"/>
      <c r="P775" s="4"/>
      <c r="Q775" s="4"/>
      <c r="R775" s="4"/>
    </row>
    <row r="776" spans="5:18">
      <c r="E776" s="4"/>
      <c r="F776" s="4"/>
      <c r="G776" s="4"/>
      <c r="H776" s="4"/>
      <c r="I776" s="51"/>
      <c r="J776" s="51"/>
      <c r="K776" s="51"/>
      <c r="L776" s="4"/>
      <c r="M776" s="4"/>
      <c r="N776" s="4"/>
      <c r="O776" s="4"/>
      <c r="P776" s="4"/>
      <c r="Q776" s="4"/>
      <c r="R776" s="4"/>
    </row>
    <row r="777" spans="5:18">
      <c r="E777" s="4"/>
      <c r="F777" s="4"/>
      <c r="G777" s="4"/>
      <c r="H777" s="4"/>
      <c r="I777" s="51"/>
      <c r="J777" s="51"/>
      <c r="K777" s="51"/>
      <c r="L777" s="4"/>
      <c r="M777" s="4"/>
      <c r="N777" s="4"/>
      <c r="O777" s="4"/>
      <c r="P777" s="4"/>
      <c r="Q777" s="4"/>
      <c r="R777" s="4"/>
    </row>
    <row r="778" spans="5:18">
      <c r="E778" s="4"/>
      <c r="F778" s="4"/>
      <c r="G778" s="4"/>
      <c r="H778" s="4"/>
      <c r="I778" s="51"/>
      <c r="J778" s="51"/>
      <c r="K778" s="51"/>
      <c r="L778" s="4"/>
      <c r="M778" s="4"/>
      <c r="N778" s="4"/>
      <c r="O778" s="4"/>
      <c r="P778" s="4"/>
      <c r="Q778" s="4"/>
      <c r="R778" s="4"/>
    </row>
    <row r="779" spans="5:18">
      <c r="E779" s="4"/>
      <c r="F779" s="4"/>
      <c r="G779" s="4"/>
      <c r="H779" s="4"/>
      <c r="I779" s="51"/>
      <c r="J779" s="51"/>
      <c r="K779" s="51"/>
      <c r="L779" s="4"/>
      <c r="M779" s="4"/>
      <c r="N779" s="4"/>
      <c r="O779" s="4"/>
      <c r="P779" s="4"/>
      <c r="Q779" s="4"/>
      <c r="R779" s="4"/>
    </row>
    <row r="780" spans="5:18">
      <c r="E780" s="4"/>
      <c r="F780" s="4"/>
      <c r="G780" s="4"/>
      <c r="H780" s="4"/>
      <c r="I780" s="51"/>
      <c r="J780" s="51"/>
      <c r="K780" s="51"/>
      <c r="L780" s="4"/>
      <c r="M780" s="4"/>
      <c r="N780" s="4"/>
      <c r="O780" s="4"/>
      <c r="P780" s="4"/>
      <c r="Q780" s="4"/>
      <c r="R780" s="4"/>
    </row>
    <row r="781" spans="5:18">
      <c r="E781" s="4"/>
      <c r="F781" s="4"/>
      <c r="G781" s="4"/>
      <c r="H781" s="4"/>
      <c r="I781" s="51"/>
      <c r="J781" s="51"/>
      <c r="K781" s="51"/>
      <c r="L781" s="4"/>
      <c r="M781" s="4"/>
      <c r="N781" s="4"/>
      <c r="O781" s="4"/>
      <c r="P781" s="4"/>
      <c r="Q781" s="4"/>
      <c r="R781" s="4"/>
    </row>
    <row r="782" spans="5:18">
      <c r="E782" s="4"/>
      <c r="F782" s="4"/>
      <c r="G782" s="4"/>
      <c r="H782" s="4"/>
      <c r="I782" s="51"/>
      <c r="J782" s="51"/>
      <c r="K782" s="51"/>
      <c r="L782" s="4"/>
      <c r="M782" s="4"/>
      <c r="N782" s="4"/>
      <c r="O782" s="4"/>
      <c r="P782" s="4"/>
      <c r="Q782" s="4"/>
      <c r="R782" s="4"/>
    </row>
    <row r="783" spans="5:18">
      <c r="E783" s="4"/>
      <c r="F783" s="4"/>
      <c r="G783" s="4"/>
      <c r="H783" s="4"/>
      <c r="I783" s="51"/>
      <c r="J783" s="51"/>
      <c r="K783" s="51"/>
      <c r="L783" s="4"/>
      <c r="M783" s="4"/>
      <c r="N783" s="4"/>
      <c r="O783" s="4"/>
      <c r="P783" s="4"/>
      <c r="Q783" s="4"/>
      <c r="R783" s="4"/>
    </row>
    <row r="784" spans="5:18">
      <c r="E784" s="4"/>
      <c r="F784" s="4"/>
      <c r="G784" s="4"/>
      <c r="H784" s="4"/>
      <c r="I784" s="51"/>
      <c r="J784" s="51"/>
      <c r="K784" s="51"/>
      <c r="L784" s="4"/>
      <c r="M784" s="4"/>
      <c r="N784" s="4"/>
      <c r="O784" s="4"/>
      <c r="P784" s="4"/>
      <c r="Q784" s="4"/>
      <c r="R784" s="4"/>
    </row>
    <row r="785" spans="5:18">
      <c r="E785" s="4"/>
      <c r="F785" s="4"/>
      <c r="G785" s="4"/>
      <c r="H785" s="4"/>
      <c r="I785" s="51"/>
      <c r="J785" s="51"/>
      <c r="K785" s="51"/>
      <c r="L785" s="4"/>
      <c r="M785" s="4"/>
      <c r="N785" s="4"/>
      <c r="O785" s="4"/>
      <c r="P785" s="4"/>
      <c r="Q785" s="4"/>
      <c r="R785" s="4"/>
    </row>
    <row r="786" spans="5:18">
      <c r="E786" s="4"/>
      <c r="F786" s="4"/>
      <c r="G786" s="4"/>
      <c r="H786" s="4"/>
      <c r="I786" s="51"/>
      <c r="J786" s="51"/>
      <c r="K786" s="51"/>
      <c r="L786" s="4"/>
      <c r="M786" s="4"/>
      <c r="N786" s="4"/>
      <c r="O786" s="4"/>
      <c r="P786" s="4"/>
      <c r="Q786" s="4"/>
      <c r="R786" s="4"/>
    </row>
    <row r="787" spans="5:18">
      <c r="E787" s="4"/>
      <c r="F787" s="4"/>
      <c r="G787" s="4"/>
      <c r="H787" s="4"/>
      <c r="I787" s="51"/>
      <c r="J787" s="51"/>
      <c r="K787" s="51"/>
      <c r="L787" s="4"/>
      <c r="M787" s="4"/>
      <c r="N787" s="4"/>
      <c r="O787" s="4"/>
      <c r="P787" s="4"/>
      <c r="Q787" s="4"/>
      <c r="R787" s="4"/>
    </row>
    <row r="788" spans="5:18">
      <c r="E788" s="4"/>
      <c r="F788" s="4"/>
      <c r="G788" s="4"/>
      <c r="H788" s="4"/>
      <c r="I788" s="51"/>
      <c r="J788" s="51"/>
      <c r="K788" s="51"/>
      <c r="L788" s="4"/>
      <c r="M788" s="4"/>
      <c r="N788" s="4"/>
      <c r="O788" s="4"/>
      <c r="P788" s="4"/>
      <c r="Q788" s="4"/>
      <c r="R788" s="4"/>
    </row>
    <row r="789" spans="5:18">
      <c r="E789" s="4"/>
      <c r="F789" s="4"/>
      <c r="G789" s="4"/>
      <c r="H789" s="4"/>
      <c r="I789" s="51"/>
      <c r="J789" s="51"/>
      <c r="K789" s="51"/>
      <c r="L789" s="4"/>
      <c r="M789" s="4"/>
      <c r="N789" s="4"/>
      <c r="O789" s="4"/>
      <c r="P789" s="4"/>
      <c r="Q789" s="4"/>
      <c r="R789" s="4"/>
    </row>
    <row r="790" spans="5:18">
      <c r="E790" s="4"/>
      <c r="F790" s="4"/>
      <c r="G790" s="4"/>
      <c r="H790" s="4"/>
      <c r="I790" s="51"/>
      <c r="J790" s="51"/>
      <c r="K790" s="51"/>
      <c r="L790" s="4"/>
      <c r="M790" s="4"/>
      <c r="N790" s="4"/>
      <c r="O790" s="4"/>
      <c r="P790" s="4"/>
      <c r="Q790" s="4"/>
      <c r="R790" s="4"/>
    </row>
    <row r="791" spans="5:18">
      <c r="E791" s="4"/>
      <c r="F791" s="4"/>
      <c r="G791" s="4"/>
      <c r="H791" s="4"/>
      <c r="I791" s="51"/>
      <c r="J791" s="51"/>
      <c r="K791" s="51"/>
      <c r="L791" s="4"/>
      <c r="M791" s="4"/>
      <c r="N791" s="4"/>
      <c r="O791" s="4"/>
      <c r="P791" s="4"/>
      <c r="Q791" s="4"/>
      <c r="R791" s="4"/>
    </row>
    <row r="792" spans="5:18">
      <c r="E792" s="4"/>
      <c r="F792" s="4"/>
      <c r="G792" s="4"/>
      <c r="H792" s="4"/>
      <c r="I792" s="51"/>
      <c r="J792" s="51"/>
      <c r="K792" s="51"/>
      <c r="L792" s="4"/>
      <c r="M792" s="4"/>
      <c r="N792" s="4"/>
      <c r="O792" s="4"/>
      <c r="P792" s="4"/>
      <c r="Q792" s="4"/>
      <c r="R792" s="4"/>
    </row>
    <row r="793" spans="5:18">
      <c r="E793" s="4"/>
      <c r="F793" s="4"/>
      <c r="G793" s="4"/>
      <c r="H793" s="4"/>
      <c r="I793" s="51"/>
      <c r="J793" s="51"/>
      <c r="K793" s="51"/>
      <c r="L793" s="4"/>
      <c r="M793" s="4"/>
      <c r="N793" s="4"/>
      <c r="O793" s="4"/>
      <c r="P793" s="4"/>
      <c r="Q793" s="4"/>
      <c r="R793" s="4"/>
    </row>
    <row r="794" spans="5:18">
      <c r="E794" s="4"/>
      <c r="F794" s="4"/>
      <c r="G794" s="4"/>
      <c r="H794" s="4"/>
      <c r="I794" s="51"/>
      <c r="J794" s="51"/>
      <c r="K794" s="51"/>
      <c r="L794" s="4"/>
      <c r="M794" s="4"/>
      <c r="N794" s="4"/>
      <c r="O794" s="4"/>
      <c r="P794" s="4"/>
      <c r="Q794" s="4"/>
      <c r="R794" s="4"/>
    </row>
    <row r="795" spans="5:18">
      <c r="E795" s="4"/>
      <c r="F795" s="4"/>
      <c r="G795" s="4"/>
      <c r="H795" s="4"/>
      <c r="I795" s="51"/>
      <c r="J795" s="51"/>
      <c r="K795" s="51"/>
      <c r="L795" s="4"/>
      <c r="M795" s="4"/>
      <c r="N795" s="4"/>
      <c r="O795" s="4"/>
      <c r="P795" s="4"/>
      <c r="Q795" s="4"/>
      <c r="R795" s="4"/>
    </row>
    <row r="796" spans="5:18">
      <c r="E796" s="4"/>
      <c r="F796" s="4"/>
      <c r="G796" s="4"/>
      <c r="H796" s="4"/>
      <c r="I796" s="51"/>
      <c r="J796" s="51"/>
      <c r="K796" s="51"/>
      <c r="L796" s="4"/>
      <c r="M796" s="4"/>
      <c r="N796" s="4"/>
      <c r="O796" s="4"/>
      <c r="P796" s="4"/>
      <c r="Q796" s="4"/>
      <c r="R796" s="4"/>
    </row>
    <row r="797" spans="5:18">
      <c r="E797" s="4"/>
      <c r="F797" s="4"/>
      <c r="G797" s="4"/>
      <c r="H797" s="4"/>
      <c r="I797" s="51"/>
      <c r="J797" s="51"/>
      <c r="K797" s="51"/>
      <c r="L797" s="4"/>
      <c r="M797" s="4"/>
      <c r="N797" s="4"/>
      <c r="O797" s="4"/>
      <c r="P797" s="4"/>
      <c r="Q797" s="4"/>
      <c r="R797" s="4"/>
    </row>
    <row r="798" spans="5:18">
      <c r="E798" s="4"/>
      <c r="F798" s="4"/>
      <c r="G798" s="4"/>
      <c r="H798" s="4"/>
      <c r="I798" s="51"/>
      <c r="J798" s="51"/>
      <c r="K798" s="51"/>
      <c r="L798" s="4"/>
      <c r="M798" s="4"/>
      <c r="N798" s="4"/>
      <c r="O798" s="4"/>
      <c r="P798" s="4"/>
      <c r="Q798" s="4"/>
      <c r="R798" s="4"/>
    </row>
    <row r="799" spans="5:18">
      <c r="E799" s="4"/>
      <c r="F799" s="4"/>
      <c r="G799" s="4"/>
      <c r="H799" s="4"/>
      <c r="I799" s="51"/>
      <c r="J799" s="51"/>
      <c r="K799" s="51"/>
      <c r="L799" s="4"/>
      <c r="M799" s="4"/>
      <c r="N799" s="4"/>
      <c r="O799" s="4"/>
      <c r="P799" s="4"/>
      <c r="Q799" s="4"/>
      <c r="R799" s="4"/>
    </row>
    <row r="800" spans="5:18">
      <c r="E800" s="4"/>
      <c r="F800" s="4"/>
      <c r="G800" s="4"/>
      <c r="H800" s="4"/>
      <c r="I800" s="51"/>
      <c r="J800" s="51"/>
      <c r="K800" s="51"/>
      <c r="L800" s="4"/>
      <c r="M800" s="4"/>
      <c r="N800" s="4"/>
      <c r="O800" s="4"/>
      <c r="P800" s="4"/>
      <c r="Q800" s="4"/>
      <c r="R800" s="4"/>
    </row>
    <row r="801" spans="5:18">
      <c r="E801" s="4"/>
      <c r="F801" s="4"/>
      <c r="G801" s="4"/>
      <c r="H801" s="4"/>
      <c r="I801" s="51"/>
      <c r="J801" s="51"/>
      <c r="K801" s="51"/>
      <c r="L801" s="4"/>
      <c r="M801" s="4"/>
      <c r="N801" s="4"/>
      <c r="O801" s="4"/>
      <c r="P801" s="4"/>
      <c r="Q801" s="4"/>
      <c r="R801" s="4"/>
    </row>
    <row r="802" spans="5:18">
      <c r="E802" s="4"/>
      <c r="F802" s="4"/>
      <c r="G802" s="4"/>
      <c r="H802" s="4"/>
      <c r="I802" s="51"/>
      <c r="J802" s="51"/>
      <c r="K802" s="51"/>
      <c r="L802" s="4"/>
      <c r="M802" s="4"/>
      <c r="N802" s="4"/>
      <c r="O802" s="4"/>
      <c r="P802" s="4"/>
      <c r="Q802" s="4"/>
      <c r="R802" s="4"/>
    </row>
    <row r="803" spans="5:18">
      <c r="E803" s="4"/>
      <c r="F803" s="4"/>
      <c r="G803" s="4"/>
      <c r="H803" s="4"/>
      <c r="I803" s="51"/>
      <c r="J803" s="51"/>
      <c r="K803" s="51"/>
      <c r="L803" s="4"/>
      <c r="M803" s="4"/>
      <c r="N803" s="4"/>
      <c r="O803" s="4"/>
      <c r="P803" s="4"/>
      <c r="Q803" s="4"/>
      <c r="R803" s="4"/>
    </row>
    <row r="804" spans="5:18">
      <c r="E804" s="4"/>
      <c r="F804" s="4"/>
      <c r="G804" s="4"/>
      <c r="H804" s="4"/>
      <c r="I804" s="51"/>
      <c r="J804" s="51"/>
      <c r="K804" s="51"/>
      <c r="L804" s="4"/>
      <c r="M804" s="4"/>
      <c r="N804" s="4"/>
      <c r="O804" s="4"/>
      <c r="P804" s="4"/>
      <c r="Q804" s="4"/>
      <c r="R804" s="4"/>
    </row>
    <row r="805" spans="5:18">
      <c r="E805" s="4"/>
      <c r="F805" s="4"/>
      <c r="G805" s="4"/>
      <c r="H805" s="4"/>
      <c r="I805" s="51"/>
      <c r="J805" s="51"/>
      <c r="K805" s="51"/>
      <c r="L805" s="4"/>
      <c r="M805" s="4"/>
      <c r="N805" s="4"/>
      <c r="O805" s="4"/>
      <c r="P805" s="4"/>
      <c r="Q805" s="4"/>
      <c r="R805" s="4"/>
    </row>
    <row r="806" spans="5:18">
      <c r="E806" s="4"/>
      <c r="F806" s="4"/>
      <c r="G806" s="4"/>
      <c r="H806" s="4"/>
      <c r="I806" s="51"/>
      <c r="J806" s="51"/>
      <c r="K806" s="51"/>
      <c r="L806" s="4"/>
      <c r="M806" s="4"/>
      <c r="N806" s="4"/>
      <c r="O806" s="4"/>
      <c r="P806" s="4"/>
      <c r="Q806" s="4"/>
      <c r="R806" s="4"/>
    </row>
    <row r="807" spans="5:18">
      <c r="E807" s="4"/>
      <c r="F807" s="4"/>
      <c r="G807" s="4"/>
      <c r="H807" s="4"/>
      <c r="I807" s="51"/>
      <c r="J807" s="51"/>
      <c r="K807" s="51"/>
      <c r="L807" s="4"/>
      <c r="M807" s="4"/>
      <c r="N807" s="4"/>
      <c r="O807" s="4"/>
      <c r="P807" s="4"/>
      <c r="Q807" s="4"/>
      <c r="R807" s="4"/>
    </row>
    <row r="808" spans="5:18">
      <c r="E808" s="4"/>
      <c r="F808" s="4"/>
      <c r="G808" s="4"/>
      <c r="H808" s="4"/>
      <c r="I808" s="51"/>
      <c r="J808" s="51"/>
      <c r="K808" s="51"/>
      <c r="L808" s="4"/>
      <c r="M808" s="4"/>
      <c r="N808" s="4"/>
      <c r="O808" s="4"/>
      <c r="P808" s="4"/>
      <c r="Q808" s="4"/>
      <c r="R808" s="4"/>
    </row>
    <row r="809" spans="5:18">
      <c r="E809" s="4"/>
      <c r="F809" s="4"/>
      <c r="G809" s="4"/>
      <c r="H809" s="4"/>
      <c r="I809" s="51"/>
      <c r="J809" s="51"/>
      <c r="K809" s="51"/>
      <c r="L809" s="4"/>
      <c r="M809" s="4"/>
      <c r="N809" s="4"/>
      <c r="O809" s="4"/>
      <c r="P809" s="4"/>
      <c r="Q809" s="4"/>
      <c r="R809" s="4"/>
    </row>
    <row r="810" spans="5:18">
      <c r="E810" s="4"/>
      <c r="F810" s="4"/>
      <c r="G810" s="4"/>
      <c r="H810" s="4"/>
      <c r="I810" s="51"/>
      <c r="J810" s="51"/>
      <c r="K810" s="51"/>
      <c r="L810" s="4"/>
      <c r="M810" s="4"/>
      <c r="N810" s="4"/>
      <c r="O810" s="4"/>
      <c r="P810" s="4"/>
      <c r="Q810" s="4"/>
      <c r="R810" s="4"/>
    </row>
    <row r="811" spans="5:18">
      <c r="E811" s="4"/>
      <c r="F811" s="4"/>
      <c r="G811" s="4"/>
      <c r="H811" s="4"/>
      <c r="I811" s="51"/>
      <c r="J811" s="51"/>
      <c r="K811" s="51"/>
      <c r="L811" s="4"/>
      <c r="M811" s="4"/>
      <c r="N811" s="4"/>
      <c r="O811" s="4"/>
      <c r="P811" s="4"/>
      <c r="Q811" s="4"/>
      <c r="R811" s="4"/>
    </row>
    <row r="812" spans="5:18">
      <c r="E812" s="4"/>
      <c r="F812" s="4"/>
      <c r="G812" s="4"/>
      <c r="H812" s="4"/>
      <c r="I812" s="51"/>
      <c r="J812" s="51"/>
      <c r="K812" s="51"/>
      <c r="L812" s="4"/>
      <c r="M812" s="4"/>
      <c r="N812" s="4"/>
      <c r="O812" s="4"/>
      <c r="P812" s="4"/>
      <c r="Q812" s="4"/>
      <c r="R812" s="4"/>
    </row>
    <row r="813" spans="5:18">
      <c r="E813" s="4"/>
      <c r="F813" s="4"/>
      <c r="G813" s="4"/>
      <c r="H813" s="4"/>
      <c r="I813" s="51"/>
      <c r="J813" s="51"/>
      <c r="K813" s="51"/>
      <c r="L813" s="4"/>
      <c r="M813" s="4"/>
      <c r="N813" s="4"/>
      <c r="O813" s="4"/>
      <c r="P813" s="4"/>
      <c r="Q813" s="4"/>
      <c r="R813" s="4"/>
    </row>
    <row r="814" spans="5:18">
      <c r="E814" s="4"/>
      <c r="F814" s="4"/>
      <c r="G814" s="4"/>
      <c r="H814" s="4"/>
      <c r="I814" s="51"/>
      <c r="J814" s="51"/>
      <c r="K814" s="51"/>
      <c r="L814" s="4"/>
      <c r="M814" s="4"/>
      <c r="N814" s="4"/>
      <c r="O814" s="4"/>
      <c r="P814" s="4"/>
      <c r="Q814" s="4"/>
      <c r="R814" s="4"/>
    </row>
    <row r="815" spans="5:18">
      <c r="E815" s="4"/>
      <c r="F815" s="4"/>
      <c r="G815" s="4"/>
      <c r="H815" s="4"/>
      <c r="I815" s="51"/>
      <c r="J815" s="51"/>
      <c r="K815" s="51"/>
      <c r="L815" s="4"/>
      <c r="M815" s="4"/>
      <c r="N815" s="4"/>
      <c r="O815" s="4"/>
      <c r="P815" s="4"/>
      <c r="Q815" s="4"/>
      <c r="R815" s="4"/>
    </row>
    <row r="816" spans="5:18">
      <c r="E816" s="4"/>
      <c r="F816" s="4"/>
      <c r="G816" s="4"/>
      <c r="H816" s="4"/>
      <c r="I816" s="51"/>
      <c r="J816" s="51"/>
      <c r="K816" s="51"/>
      <c r="L816" s="4"/>
      <c r="M816" s="4"/>
      <c r="N816" s="4"/>
      <c r="O816" s="4"/>
      <c r="P816" s="4"/>
      <c r="Q816" s="4"/>
      <c r="R816" s="4"/>
    </row>
    <row r="817" spans="5:18">
      <c r="E817" s="4"/>
      <c r="F817" s="4"/>
      <c r="G817" s="4"/>
      <c r="H817" s="4"/>
      <c r="I817" s="51"/>
      <c r="J817" s="51"/>
      <c r="K817" s="51"/>
      <c r="L817" s="4"/>
      <c r="M817" s="4"/>
      <c r="N817" s="4"/>
      <c r="O817" s="4"/>
      <c r="P817" s="4"/>
      <c r="Q817" s="4"/>
      <c r="R817" s="4"/>
    </row>
    <row r="818" spans="5:18">
      <c r="E818" s="4"/>
      <c r="F818" s="4"/>
      <c r="G818" s="4"/>
      <c r="H818" s="4"/>
      <c r="I818" s="51"/>
      <c r="J818" s="51"/>
      <c r="K818" s="51"/>
      <c r="L818" s="4"/>
      <c r="M818" s="4"/>
      <c r="N818" s="4"/>
      <c r="O818" s="4"/>
      <c r="P818" s="4"/>
      <c r="Q818" s="4"/>
      <c r="R818" s="4"/>
    </row>
    <row r="819" spans="5:18">
      <c r="E819" s="4"/>
      <c r="F819" s="4"/>
      <c r="G819" s="4"/>
      <c r="H819" s="4"/>
      <c r="I819" s="51"/>
      <c r="J819" s="51"/>
      <c r="K819" s="51"/>
      <c r="L819" s="4"/>
      <c r="M819" s="4"/>
      <c r="N819" s="4"/>
      <c r="O819" s="4"/>
      <c r="P819" s="4"/>
      <c r="Q819" s="4"/>
      <c r="R819" s="4"/>
    </row>
    <row r="820" spans="5:18">
      <c r="E820" s="4"/>
      <c r="F820" s="4"/>
      <c r="G820" s="4"/>
      <c r="H820" s="4"/>
      <c r="I820" s="51"/>
      <c r="J820" s="51"/>
      <c r="K820" s="51"/>
      <c r="L820" s="4"/>
      <c r="M820" s="4"/>
      <c r="N820" s="4"/>
      <c r="O820" s="4"/>
      <c r="P820" s="4"/>
      <c r="Q820" s="4"/>
      <c r="R820" s="4"/>
    </row>
    <row r="821" spans="5:18">
      <c r="E821" s="4"/>
      <c r="F821" s="4"/>
      <c r="G821" s="4"/>
      <c r="H821" s="4"/>
      <c r="I821" s="51"/>
      <c r="J821" s="51"/>
      <c r="K821" s="51"/>
      <c r="L821" s="4"/>
      <c r="M821" s="4"/>
      <c r="N821" s="4"/>
      <c r="O821" s="4"/>
      <c r="P821" s="4"/>
      <c r="Q821" s="4"/>
      <c r="R821" s="4"/>
    </row>
    <row r="822" spans="5:18">
      <c r="E822" s="4"/>
      <c r="F822" s="4"/>
      <c r="G822" s="4"/>
      <c r="H822" s="4"/>
      <c r="I822" s="51"/>
      <c r="J822" s="51"/>
      <c r="K822" s="51"/>
      <c r="L822" s="4"/>
      <c r="M822" s="4"/>
      <c r="N822" s="4"/>
      <c r="O822" s="4"/>
      <c r="P822" s="4"/>
      <c r="Q822" s="4"/>
      <c r="R822" s="4"/>
    </row>
    <row r="823" spans="5:18">
      <c r="E823" s="4"/>
      <c r="F823" s="4"/>
      <c r="G823" s="4"/>
      <c r="H823" s="4"/>
      <c r="I823" s="51"/>
      <c r="J823" s="51"/>
      <c r="K823" s="51"/>
      <c r="L823" s="4"/>
      <c r="M823" s="4"/>
      <c r="N823" s="4"/>
      <c r="O823" s="4"/>
      <c r="P823" s="4"/>
      <c r="Q823" s="4"/>
      <c r="R823" s="4"/>
    </row>
    <row r="824" spans="5:18">
      <c r="E824" s="4"/>
      <c r="F824" s="4"/>
      <c r="G824" s="4"/>
      <c r="H824" s="4"/>
      <c r="I824" s="51"/>
      <c r="J824" s="51"/>
      <c r="K824" s="51"/>
      <c r="L824" s="4"/>
      <c r="M824" s="4"/>
      <c r="N824" s="4"/>
      <c r="O824" s="4"/>
      <c r="P824" s="4"/>
      <c r="Q824" s="4"/>
      <c r="R824" s="4"/>
    </row>
    <row r="825" spans="5:18">
      <c r="E825" s="4"/>
      <c r="F825" s="4"/>
      <c r="G825" s="4"/>
      <c r="H825" s="4"/>
      <c r="I825" s="51"/>
      <c r="J825" s="51"/>
      <c r="K825" s="51"/>
      <c r="L825" s="4"/>
      <c r="M825" s="4"/>
      <c r="N825" s="4"/>
      <c r="O825" s="4"/>
      <c r="P825" s="4"/>
      <c r="Q825" s="4"/>
      <c r="R825" s="4"/>
    </row>
    <row r="826" spans="5:18">
      <c r="E826" s="4"/>
      <c r="F826" s="4"/>
      <c r="G826" s="4"/>
      <c r="H826" s="4"/>
      <c r="I826" s="51"/>
      <c r="J826" s="51"/>
      <c r="K826" s="51"/>
      <c r="L826" s="4"/>
      <c r="M826" s="4"/>
      <c r="N826" s="4"/>
      <c r="O826" s="4"/>
      <c r="P826" s="4"/>
      <c r="Q826" s="4"/>
      <c r="R826" s="4"/>
    </row>
    <row r="827" spans="5:18">
      <c r="E827" s="4"/>
      <c r="F827" s="4"/>
      <c r="G827" s="4"/>
      <c r="H827" s="4"/>
      <c r="I827" s="51"/>
      <c r="J827" s="51"/>
      <c r="K827" s="51"/>
      <c r="L827" s="4"/>
      <c r="M827" s="4"/>
      <c r="N827" s="4"/>
      <c r="O827" s="4"/>
      <c r="P827" s="4"/>
      <c r="Q827" s="4"/>
      <c r="R827" s="4"/>
    </row>
    <row r="828" spans="5:18">
      <c r="E828" s="4"/>
      <c r="F828" s="4"/>
      <c r="G828" s="4"/>
      <c r="H828" s="4"/>
      <c r="I828" s="51"/>
      <c r="J828" s="51"/>
      <c r="K828" s="51"/>
      <c r="L828" s="4"/>
      <c r="M828" s="4"/>
      <c r="N828" s="4"/>
      <c r="O828" s="4"/>
      <c r="P828" s="4"/>
      <c r="Q828" s="4"/>
      <c r="R828" s="4"/>
    </row>
    <row r="829" spans="5:18">
      <c r="E829" s="4"/>
      <c r="F829" s="4"/>
      <c r="G829" s="4"/>
      <c r="H829" s="4"/>
      <c r="I829" s="51"/>
      <c r="J829" s="51"/>
      <c r="K829" s="51"/>
      <c r="L829" s="4"/>
      <c r="M829" s="4"/>
      <c r="N829" s="4"/>
      <c r="O829" s="4"/>
      <c r="P829" s="4"/>
      <c r="Q829" s="4"/>
      <c r="R829" s="4"/>
    </row>
    <row r="830" spans="5:18">
      <c r="E830" s="4"/>
      <c r="F830" s="4"/>
      <c r="G830" s="4"/>
      <c r="H830" s="4"/>
      <c r="I830" s="51"/>
      <c r="J830" s="51"/>
      <c r="K830" s="51"/>
      <c r="L830" s="4"/>
      <c r="M830" s="4"/>
      <c r="N830" s="4"/>
      <c r="O830" s="4"/>
      <c r="P830" s="4"/>
      <c r="Q830" s="4"/>
      <c r="R830" s="4"/>
    </row>
    <row r="831" spans="5:18">
      <c r="E831" s="4"/>
      <c r="F831" s="4"/>
      <c r="G831" s="4"/>
      <c r="H831" s="4"/>
      <c r="I831" s="51"/>
      <c r="J831" s="51"/>
      <c r="K831" s="51"/>
      <c r="L831" s="4"/>
      <c r="M831" s="4"/>
      <c r="N831" s="4"/>
      <c r="O831" s="4"/>
      <c r="P831" s="4"/>
      <c r="Q831" s="4"/>
      <c r="R831" s="4"/>
    </row>
    <row r="832" spans="5:18">
      <c r="E832" s="4"/>
      <c r="F832" s="4"/>
      <c r="G832" s="4"/>
      <c r="H832" s="4"/>
      <c r="I832" s="51"/>
      <c r="J832" s="51"/>
      <c r="K832" s="51"/>
      <c r="L832" s="4"/>
      <c r="M832" s="4"/>
      <c r="N832" s="4"/>
      <c r="O832" s="4"/>
      <c r="P832" s="4"/>
      <c r="Q832" s="4"/>
      <c r="R832" s="4"/>
    </row>
    <row r="833" spans="5:18">
      <c r="E833" s="4"/>
      <c r="F833" s="4"/>
      <c r="G833" s="4"/>
      <c r="H833" s="4"/>
      <c r="I833" s="51"/>
      <c r="J833" s="51"/>
      <c r="K833" s="51"/>
      <c r="L833" s="4"/>
      <c r="M833" s="4"/>
      <c r="N833" s="4"/>
      <c r="O833" s="4"/>
      <c r="P833" s="4"/>
      <c r="Q833" s="4"/>
      <c r="R833" s="4"/>
    </row>
    <row r="834" spans="5:18">
      <c r="E834" s="4"/>
      <c r="F834" s="4"/>
      <c r="G834" s="4"/>
      <c r="H834" s="4"/>
      <c r="I834" s="51"/>
      <c r="J834" s="51"/>
      <c r="K834" s="51"/>
      <c r="L834" s="4"/>
      <c r="M834" s="4"/>
      <c r="N834" s="4"/>
      <c r="O834" s="4"/>
      <c r="P834" s="4"/>
      <c r="Q834" s="4"/>
      <c r="R834" s="4"/>
    </row>
    <row r="835" spans="5:18">
      <c r="E835" s="4"/>
      <c r="F835" s="4"/>
      <c r="G835" s="4"/>
      <c r="H835" s="4"/>
      <c r="I835" s="51"/>
      <c r="J835" s="51"/>
      <c r="K835" s="51"/>
      <c r="L835" s="4"/>
      <c r="M835" s="4"/>
      <c r="N835" s="4"/>
      <c r="O835" s="4"/>
      <c r="P835" s="4"/>
      <c r="Q835" s="4"/>
      <c r="R835" s="4"/>
    </row>
    <row r="836" spans="5:18">
      <c r="E836" s="4"/>
      <c r="F836" s="4"/>
      <c r="G836" s="4"/>
      <c r="H836" s="4"/>
      <c r="I836" s="51"/>
      <c r="J836" s="51"/>
      <c r="K836" s="51"/>
      <c r="L836" s="4"/>
      <c r="M836" s="4"/>
      <c r="N836" s="4"/>
      <c r="O836" s="4"/>
      <c r="P836" s="4"/>
      <c r="Q836" s="4"/>
      <c r="R836" s="4"/>
    </row>
    <row r="837" spans="5:18">
      <c r="E837" s="4"/>
      <c r="F837" s="4"/>
      <c r="G837" s="4"/>
      <c r="H837" s="4"/>
      <c r="I837" s="51"/>
      <c r="J837" s="51"/>
      <c r="K837" s="51"/>
      <c r="L837" s="4"/>
      <c r="M837" s="4"/>
      <c r="N837" s="4"/>
      <c r="O837" s="4"/>
      <c r="P837" s="4"/>
      <c r="Q837" s="4"/>
      <c r="R837" s="4"/>
    </row>
    <row r="838" spans="5:18">
      <c r="E838" s="4"/>
      <c r="F838" s="4"/>
      <c r="G838" s="4"/>
      <c r="H838" s="4"/>
      <c r="I838" s="51"/>
      <c r="J838" s="51"/>
      <c r="K838" s="51"/>
      <c r="L838" s="4"/>
      <c r="M838" s="4"/>
      <c r="N838" s="4"/>
      <c r="O838" s="4"/>
      <c r="P838" s="4"/>
      <c r="Q838" s="4"/>
      <c r="R838" s="4"/>
    </row>
    <row r="839" spans="5:18">
      <c r="E839" s="4"/>
      <c r="F839" s="4"/>
      <c r="G839" s="4"/>
      <c r="H839" s="4"/>
      <c r="I839" s="51"/>
      <c r="J839" s="51"/>
      <c r="K839" s="51"/>
      <c r="L839" s="4"/>
      <c r="M839" s="4"/>
      <c r="N839" s="4"/>
      <c r="O839" s="4"/>
      <c r="P839" s="4"/>
      <c r="Q839" s="4"/>
      <c r="R839" s="4"/>
    </row>
    <row r="840" spans="5:18">
      <c r="E840" s="4"/>
      <c r="F840" s="4"/>
      <c r="G840" s="4"/>
      <c r="H840" s="4"/>
      <c r="I840" s="51"/>
      <c r="J840" s="51"/>
      <c r="K840" s="51"/>
      <c r="L840" s="4"/>
      <c r="M840" s="4"/>
      <c r="N840" s="4"/>
      <c r="O840" s="4"/>
      <c r="P840" s="4"/>
      <c r="Q840" s="4"/>
      <c r="R840" s="4"/>
    </row>
    <row r="841" spans="5:18">
      <c r="E841" s="4"/>
      <c r="F841" s="4"/>
      <c r="G841" s="4"/>
      <c r="H841" s="4"/>
      <c r="I841" s="51"/>
      <c r="J841" s="51"/>
      <c r="K841" s="51"/>
      <c r="L841" s="4"/>
      <c r="M841" s="4"/>
      <c r="N841" s="4"/>
      <c r="O841" s="4"/>
      <c r="P841" s="4"/>
      <c r="Q841" s="4"/>
      <c r="R841" s="4"/>
    </row>
    <row r="842" spans="5:18">
      <c r="E842" s="4"/>
      <c r="F842" s="4"/>
      <c r="G842" s="4"/>
      <c r="H842" s="4"/>
      <c r="I842" s="51"/>
      <c r="J842" s="51"/>
      <c r="K842" s="51"/>
      <c r="L842" s="4"/>
      <c r="M842" s="4"/>
      <c r="N842" s="4"/>
      <c r="O842" s="4"/>
      <c r="P842" s="4"/>
      <c r="Q842" s="4"/>
      <c r="R842" s="4"/>
    </row>
    <row r="843" spans="5:18">
      <c r="E843" s="4"/>
      <c r="F843" s="4"/>
      <c r="G843" s="4"/>
      <c r="H843" s="4"/>
      <c r="I843" s="51"/>
      <c r="J843" s="51"/>
      <c r="K843" s="51"/>
      <c r="L843" s="4"/>
      <c r="M843" s="4"/>
      <c r="N843" s="4"/>
      <c r="O843" s="4"/>
      <c r="P843" s="4"/>
      <c r="Q843" s="4"/>
      <c r="R843" s="4"/>
    </row>
    <row r="844" spans="5:18">
      <c r="E844" s="4"/>
      <c r="F844" s="4"/>
      <c r="G844" s="4"/>
      <c r="H844" s="4"/>
      <c r="I844" s="51"/>
      <c r="J844" s="51"/>
      <c r="K844" s="51"/>
      <c r="L844" s="4"/>
      <c r="M844" s="4"/>
      <c r="N844" s="4"/>
      <c r="O844" s="4"/>
      <c r="P844" s="4"/>
      <c r="Q844" s="4"/>
      <c r="R844" s="4"/>
    </row>
    <row r="845" spans="5:18">
      <c r="E845" s="4"/>
      <c r="F845" s="4"/>
      <c r="G845" s="4"/>
      <c r="H845" s="4"/>
      <c r="I845" s="51"/>
      <c r="J845" s="51"/>
      <c r="K845" s="51"/>
      <c r="L845" s="4"/>
      <c r="M845" s="4"/>
      <c r="N845" s="4"/>
      <c r="O845" s="4"/>
      <c r="P845" s="4"/>
      <c r="Q845" s="4"/>
      <c r="R845" s="4"/>
    </row>
    <row r="846" spans="5:18">
      <c r="E846" s="4"/>
      <c r="F846" s="4"/>
      <c r="G846" s="4"/>
      <c r="H846" s="4"/>
      <c r="I846" s="51"/>
      <c r="J846" s="51"/>
      <c r="K846" s="51"/>
      <c r="L846" s="4"/>
      <c r="M846" s="4"/>
      <c r="N846" s="4"/>
      <c r="O846" s="4"/>
      <c r="P846" s="4"/>
      <c r="Q846" s="4"/>
      <c r="R846" s="4"/>
    </row>
    <row r="847" spans="5:18">
      <c r="E847" s="4"/>
      <c r="F847" s="4"/>
      <c r="G847" s="4"/>
      <c r="H847" s="4"/>
      <c r="I847" s="51"/>
      <c r="J847" s="51"/>
      <c r="K847" s="51"/>
      <c r="L847" s="4"/>
      <c r="M847" s="4"/>
      <c r="N847" s="4"/>
      <c r="O847" s="4"/>
      <c r="P847" s="4"/>
      <c r="Q847" s="4"/>
      <c r="R847" s="4"/>
    </row>
    <row r="848" spans="5:18">
      <c r="E848" s="4"/>
      <c r="F848" s="4"/>
      <c r="G848" s="4"/>
      <c r="H848" s="4"/>
      <c r="I848" s="51"/>
      <c r="J848" s="51"/>
      <c r="K848" s="51"/>
      <c r="L848" s="4"/>
      <c r="M848" s="4"/>
      <c r="N848" s="4"/>
      <c r="O848" s="4"/>
      <c r="P848" s="4"/>
      <c r="Q848" s="4"/>
      <c r="R848" s="4"/>
    </row>
    <row r="849" spans="5:18">
      <c r="E849" s="4"/>
      <c r="F849" s="4"/>
      <c r="G849" s="4"/>
      <c r="H849" s="4"/>
      <c r="I849" s="51"/>
      <c r="J849" s="51"/>
      <c r="K849" s="51"/>
      <c r="L849" s="4"/>
      <c r="M849" s="4"/>
      <c r="N849" s="4"/>
      <c r="O849" s="4"/>
      <c r="P849" s="4"/>
      <c r="Q849" s="4"/>
      <c r="R849" s="4"/>
    </row>
    <row r="850" spans="5:18">
      <c r="E850" s="4"/>
      <c r="F850" s="4"/>
      <c r="G850" s="4"/>
      <c r="H850" s="4"/>
      <c r="I850" s="51"/>
      <c r="J850" s="51"/>
      <c r="K850" s="51"/>
      <c r="L850" s="4"/>
      <c r="M850" s="4"/>
      <c r="N850" s="4"/>
      <c r="O850" s="4"/>
      <c r="P850" s="4"/>
      <c r="Q850" s="4"/>
      <c r="R850" s="4"/>
    </row>
    <row r="851" spans="5:18">
      <c r="E851" s="4"/>
      <c r="F851" s="4"/>
      <c r="G851" s="4"/>
      <c r="H851" s="4"/>
      <c r="I851" s="51"/>
      <c r="J851" s="51"/>
      <c r="K851" s="51"/>
      <c r="L851" s="4"/>
      <c r="M851" s="4"/>
      <c r="N851" s="4"/>
      <c r="O851" s="4"/>
      <c r="P851" s="4"/>
      <c r="Q851" s="4"/>
      <c r="R851" s="4"/>
    </row>
    <row r="852" spans="5:18">
      <c r="E852" s="4"/>
      <c r="F852" s="4"/>
      <c r="G852" s="4"/>
      <c r="H852" s="4"/>
      <c r="I852" s="51"/>
      <c r="J852" s="51"/>
      <c r="K852" s="51"/>
      <c r="L852" s="4"/>
      <c r="M852" s="4"/>
      <c r="N852" s="4"/>
      <c r="O852" s="4"/>
      <c r="P852" s="4"/>
      <c r="Q852" s="4"/>
      <c r="R852" s="4"/>
    </row>
    <row r="853" spans="5:18">
      <c r="E853" s="4"/>
      <c r="F853" s="4"/>
      <c r="G853" s="4"/>
      <c r="H853" s="4"/>
      <c r="I853" s="51"/>
      <c r="J853" s="51"/>
      <c r="K853" s="51"/>
      <c r="L853" s="4"/>
      <c r="M853" s="4"/>
      <c r="N853" s="4"/>
      <c r="O853" s="4"/>
      <c r="P853" s="4"/>
      <c r="Q853" s="4"/>
      <c r="R853" s="4"/>
    </row>
    <row r="854" spans="5:18">
      <c r="E854" s="4"/>
      <c r="F854" s="4"/>
      <c r="G854" s="4"/>
      <c r="H854" s="4"/>
      <c r="I854" s="51"/>
      <c r="J854" s="51"/>
      <c r="K854" s="51"/>
      <c r="L854" s="4"/>
      <c r="M854" s="4"/>
      <c r="N854" s="4"/>
      <c r="O854" s="4"/>
      <c r="P854" s="4"/>
      <c r="Q854" s="4"/>
      <c r="R854" s="4"/>
    </row>
    <row r="855" spans="5:18">
      <c r="E855" s="4"/>
      <c r="F855" s="4"/>
      <c r="G855" s="4"/>
      <c r="H855" s="4"/>
      <c r="I855" s="51"/>
      <c r="J855" s="51"/>
      <c r="K855" s="51"/>
      <c r="L855" s="4"/>
      <c r="M855" s="4"/>
      <c r="N855" s="4"/>
      <c r="O855" s="4"/>
      <c r="P855" s="4"/>
      <c r="Q855" s="4"/>
      <c r="R855" s="4"/>
    </row>
    <row r="856" spans="5:18">
      <c r="E856" s="4"/>
      <c r="F856" s="4"/>
      <c r="G856" s="4"/>
      <c r="H856" s="4"/>
      <c r="I856" s="51"/>
      <c r="J856" s="51"/>
      <c r="K856" s="51"/>
      <c r="L856" s="4"/>
      <c r="M856" s="4"/>
      <c r="N856" s="4"/>
      <c r="O856" s="4"/>
      <c r="P856" s="4"/>
      <c r="Q856" s="4"/>
      <c r="R856" s="4"/>
    </row>
    <row r="857" spans="5:18">
      <c r="E857" s="4"/>
      <c r="F857" s="4"/>
      <c r="G857" s="4"/>
      <c r="H857" s="4"/>
      <c r="I857" s="51"/>
      <c r="J857" s="51"/>
      <c r="K857" s="51"/>
      <c r="L857" s="4"/>
      <c r="M857" s="4"/>
      <c r="N857" s="4"/>
      <c r="O857" s="4"/>
      <c r="P857" s="4"/>
      <c r="Q857" s="4"/>
      <c r="R857" s="4"/>
    </row>
    <row r="858" spans="5:18">
      <c r="E858" s="4"/>
      <c r="F858" s="4"/>
      <c r="G858" s="4"/>
      <c r="H858" s="4"/>
      <c r="I858" s="51"/>
      <c r="J858" s="51"/>
      <c r="K858" s="51"/>
      <c r="L858" s="4"/>
      <c r="M858" s="4"/>
      <c r="N858" s="4"/>
      <c r="O858" s="4"/>
      <c r="P858" s="4"/>
      <c r="Q858" s="4"/>
      <c r="R858" s="4"/>
    </row>
    <row r="859" spans="5:18">
      <c r="E859" s="4"/>
      <c r="F859" s="4"/>
      <c r="G859" s="4"/>
      <c r="H859" s="4"/>
      <c r="I859" s="51"/>
      <c r="J859" s="51"/>
      <c r="K859" s="51"/>
      <c r="L859" s="4"/>
      <c r="M859" s="4"/>
      <c r="N859" s="4"/>
      <c r="O859" s="4"/>
      <c r="P859" s="4"/>
      <c r="Q859" s="4"/>
      <c r="R859" s="4"/>
    </row>
    <row r="860" spans="5:18">
      <c r="E860" s="4"/>
      <c r="F860" s="4"/>
      <c r="G860" s="4"/>
      <c r="H860" s="4"/>
      <c r="I860" s="51"/>
      <c r="J860" s="51"/>
      <c r="K860" s="51"/>
      <c r="L860" s="4"/>
      <c r="M860" s="4"/>
      <c r="N860" s="4"/>
      <c r="O860" s="4"/>
      <c r="P860" s="4"/>
      <c r="Q860" s="4"/>
      <c r="R860" s="4"/>
    </row>
    <row r="861" spans="5:18">
      <c r="E861" s="4"/>
      <c r="F861" s="4"/>
      <c r="G861" s="4"/>
      <c r="H861" s="4"/>
      <c r="I861" s="51"/>
      <c r="J861" s="51"/>
      <c r="K861" s="51"/>
      <c r="L861" s="4"/>
      <c r="M861" s="4"/>
      <c r="N861" s="4"/>
      <c r="O861" s="4"/>
      <c r="P861" s="4"/>
      <c r="Q861" s="4"/>
      <c r="R861" s="4"/>
    </row>
    <row r="862" spans="5:18">
      <c r="E862" s="4"/>
      <c r="F862" s="4"/>
      <c r="G862" s="4"/>
      <c r="H862" s="4"/>
      <c r="I862" s="51"/>
      <c r="J862" s="51"/>
      <c r="K862" s="51"/>
      <c r="L862" s="4"/>
      <c r="M862" s="4"/>
      <c r="N862" s="4"/>
      <c r="O862" s="4"/>
      <c r="P862" s="4"/>
      <c r="Q862" s="4"/>
      <c r="R862" s="4"/>
    </row>
    <row r="863" spans="5:18">
      <c r="E863" s="4"/>
      <c r="F863" s="4"/>
      <c r="G863" s="4"/>
      <c r="H863" s="4"/>
      <c r="I863" s="51"/>
      <c r="J863" s="51"/>
      <c r="K863" s="51"/>
      <c r="L863" s="4"/>
      <c r="M863" s="4"/>
      <c r="N863" s="4"/>
      <c r="O863" s="4"/>
      <c r="P863" s="4"/>
      <c r="Q863" s="4"/>
      <c r="R863" s="4"/>
    </row>
    <row r="864" spans="5:18">
      <c r="E864" s="4"/>
      <c r="F864" s="4"/>
      <c r="G864" s="4"/>
      <c r="H864" s="4"/>
      <c r="I864" s="51"/>
      <c r="J864" s="51"/>
      <c r="K864" s="51"/>
      <c r="L864" s="4"/>
      <c r="M864" s="4"/>
      <c r="N864" s="4"/>
      <c r="O864" s="4"/>
      <c r="P864" s="4"/>
      <c r="Q864" s="4"/>
      <c r="R864" s="4"/>
    </row>
    <row r="865" spans="5:18">
      <c r="E865" s="4"/>
      <c r="F865" s="4"/>
      <c r="G865" s="4"/>
      <c r="H865" s="4"/>
      <c r="I865" s="51"/>
      <c r="J865" s="51"/>
      <c r="K865" s="51"/>
      <c r="L865" s="4"/>
      <c r="M865" s="4"/>
      <c r="N865" s="4"/>
      <c r="O865" s="4"/>
      <c r="P865" s="4"/>
      <c r="Q865" s="4"/>
      <c r="R865" s="4"/>
    </row>
    <row r="866" spans="5:18">
      <c r="E866" s="4"/>
      <c r="F866" s="4"/>
      <c r="G866" s="4"/>
      <c r="H866" s="4"/>
      <c r="I866" s="51"/>
      <c r="J866" s="51"/>
      <c r="K866" s="51"/>
      <c r="L866" s="4"/>
      <c r="M866" s="4"/>
      <c r="N866" s="4"/>
      <c r="O866" s="4"/>
      <c r="P866" s="4"/>
      <c r="Q866" s="4"/>
      <c r="R866" s="4"/>
    </row>
    <row r="867" spans="5:18">
      <c r="E867" s="4"/>
      <c r="F867" s="4"/>
      <c r="G867" s="4"/>
      <c r="H867" s="4"/>
      <c r="I867" s="51"/>
      <c r="J867" s="51"/>
      <c r="K867" s="51"/>
      <c r="L867" s="4"/>
      <c r="M867" s="4"/>
      <c r="N867" s="4"/>
      <c r="O867" s="4"/>
      <c r="P867" s="4"/>
      <c r="Q867" s="4"/>
      <c r="R867" s="4"/>
    </row>
    <row r="868" spans="5:18">
      <c r="E868" s="4"/>
      <c r="F868" s="4"/>
      <c r="G868" s="4"/>
      <c r="H868" s="4"/>
      <c r="I868" s="51"/>
      <c r="J868" s="51"/>
      <c r="K868" s="51"/>
      <c r="L868" s="4"/>
      <c r="M868" s="4"/>
      <c r="N868" s="4"/>
      <c r="O868" s="4"/>
      <c r="P868" s="4"/>
      <c r="Q868" s="4"/>
      <c r="R868" s="4"/>
    </row>
    <row r="869" spans="5:18">
      <c r="E869" s="4"/>
      <c r="F869" s="4"/>
      <c r="G869" s="4"/>
      <c r="H869" s="4"/>
      <c r="I869" s="51"/>
      <c r="J869" s="51"/>
      <c r="K869" s="51"/>
      <c r="L869" s="4"/>
      <c r="M869" s="4"/>
      <c r="N869" s="4"/>
      <c r="O869" s="4"/>
      <c r="P869" s="4"/>
      <c r="Q869" s="4"/>
      <c r="R869" s="4"/>
    </row>
    <row r="870" spans="5:18">
      <c r="E870" s="4"/>
      <c r="F870" s="4"/>
      <c r="G870" s="4"/>
      <c r="H870" s="4"/>
      <c r="I870" s="51"/>
      <c r="J870" s="51"/>
      <c r="K870" s="51"/>
      <c r="L870" s="4"/>
      <c r="M870" s="4"/>
      <c r="N870" s="4"/>
      <c r="O870" s="4"/>
      <c r="P870" s="4"/>
      <c r="Q870" s="4"/>
      <c r="R870" s="4"/>
    </row>
    <row r="871" spans="5:18">
      <c r="E871" s="4"/>
      <c r="F871" s="4"/>
      <c r="G871" s="4"/>
      <c r="H871" s="4"/>
      <c r="I871" s="51"/>
      <c r="J871" s="51"/>
      <c r="K871" s="51"/>
      <c r="L871" s="4"/>
      <c r="M871" s="4"/>
      <c r="N871" s="4"/>
      <c r="O871" s="4"/>
      <c r="P871" s="4"/>
      <c r="Q871" s="4"/>
      <c r="R871" s="4"/>
    </row>
    <row r="872" spans="5:18">
      <c r="E872" s="4"/>
      <c r="F872" s="4"/>
      <c r="G872" s="4"/>
      <c r="H872" s="4"/>
      <c r="I872" s="51"/>
      <c r="J872" s="51"/>
      <c r="K872" s="51"/>
      <c r="L872" s="4"/>
      <c r="M872" s="4"/>
      <c r="N872" s="4"/>
      <c r="O872" s="4"/>
      <c r="P872" s="4"/>
      <c r="Q872" s="4"/>
      <c r="R872" s="4"/>
    </row>
    <row r="873" spans="5:18">
      <c r="E873" s="4"/>
      <c r="F873" s="4"/>
      <c r="G873" s="4"/>
      <c r="H873" s="4"/>
      <c r="I873" s="51"/>
      <c r="J873" s="51"/>
      <c r="K873" s="51"/>
      <c r="L873" s="4"/>
      <c r="M873" s="4"/>
      <c r="N873" s="4"/>
      <c r="O873" s="4"/>
      <c r="P873" s="4"/>
      <c r="Q873" s="4"/>
      <c r="R873" s="4"/>
    </row>
    <row r="874" spans="5:18">
      <c r="E874" s="4"/>
      <c r="F874" s="4"/>
      <c r="G874" s="4"/>
      <c r="H874" s="4"/>
      <c r="I874" s="51"/>
      <c r="J874" s="51"/>
      <c r="K874" s="51"/>
      <c r="L874" s="4"/>
      <c r="M874" s="4"/>
      <c r="N874" s="4"/>
      <c r="O874" s="4"/>
      <c r="P874" s="4"/>
      <c r="Q874" s="4"/>
      <c r="R874" s="4"/>
    </row>
    <row r="875" spans="5:18">
      <c r="E875" s="4"/>
      <c r="F875" s="4"/>
      <c r="G875" s="4"/>
      <c r="H875" s="4"/>
      <c r="I875" s="51"/>
      <c r="J875" s="51"/>
      <c r="K875" s="51"/>
      <c r="L875" s="4"/>
      <c r="M875" s="4"/>
      <c r="N875" s="4"/>
      <c r="O875" s="4"/>
      <c r="P875" s="4"/>
      <c r="Q875" s="4"/>
      <c r="R875" s="4"/>
    </row>
    <row r="876" spans="5:18">
      <c r="E876" s="4"/>
      <c r="F876" s="4"/>
      <c r="G876" s="4"/>
      <c r="H876" s="4"/>
      <c r="I876" s="51"/>
      <c r="J876" s="51"/>
      <c r="K876" s="51"/>
      <c r="L876" s="4"/>
      <c r="M876" s="4"/>
      <c r="N876" s="4"/>
      <c r="O876" s="4"/>
      <c r="P876" s="4"/>
      <c r="Q876" s="4"/>
      <c r="R876" s="4"/>
    </row>
    <row r="877" spans="5:18">
      <c r="E877" s="4"/>
      <c r="F877" s="4"/>
      <c r="G877" s="4"/>
      <c r="H877" s="4"/>
      <c r="I877" s="51"/>
      <c r="J877" s="51"/>
      <c r="K877" s="51"/>
      <c r="L877" s="4"/>
      <c r="M877" s="4"/>
      <c r="N877" s="4"/>
      <c r="O877" s="4"/>
      <c r="P877" s="4"/>
      <c r="Q877" s="4"/>
      <c r="R877" s="4"/>
    </row>
    <row r="878" spans="5:18">
      <c r="E878" s="4"/>
      <c r="F878" s="4"/>
      <c r="G878" s="4"/>
      <c r="H878" s="4"/>
      <c r="I878" s="51"/>
      <c r="J878" s="51"/>
      <c r="K878" s="51"/>
      <c r="L878" s="4"/>
      <c r="M878" s="4"/>
      <c r="N878" s="4"/>
      <c r="O878" s="4"/>
      <c r="P878" s="4"/>
      <c r="Q878" s="4"/>
      <c r="R878" s="4"/>
    </row>
    <row r="879" spans="5:18">
      <c r="E879" s="4"/>
      <c r="F879" s="4"/>
      <c r="G879" s="4"/>
      <c r="H879" s="4"/>
      <c r="I879" s="51"/>
      <c r="J879" s="51"/>
      <c r="K879" s="51"/>
      <c r="L879" s="4"/>
      <c r="M879" s="4"/>
      <c r="N879" s="4"/>
      <c r="O879" s="4"/>
      <c r="P879" s="4"/>
      <c r="Q879" s="4"/>
      <c r="R879" s="4"/>
    </row>
    <row r="880" spans="5:18">
      <c r="E880" s="4"/>
      <c r="F880" s="4"/>
      <c r="G880" s="4"/>
      <c r="H880" s="4"/>
      <c r="I880" s="51"/>
      <c r="J880" s="51"/>
      <c r="K880" s="51"/>
      <c r="L880" s="4"/>
      <c r="M880" s="4"/>
      <c r="N880" s="4"/>
      <c r="O880" s="4"/>
      <c r="P880" s="4"/>
      <c r="Q880" s="4"/>
      <c r="R880" s="4"/>
    </row>
    <row r="881" spans="5:18">
      <c r="E881" s="4"/>
      <c r="F881" s="4"/>
      <c r="G881" s="4"/>
      <c r="H881" s="4"/>
      <c r="I881" s="51"/>
      <c r="J881" s="51"/>
      <c r="K881" s="51"/>
      <c r="L881" s="4"/>
      <c r="M881" s="4"/>
      <c r="N881" s="4"/>
      <c r="O881" s="4"/>
      <c r="P881" s="4"/>
      <c r="Q881" s="4"/>
      <c r="R881" s="4"/>
    </row>
    <row r="882" spans="5:18">
      <c r="E882" s="4"/>
      <c r="F882" s="4"/>
      <c r="G882" s="4"/>
      <c r="H882" s="4"/>
      <c r="I882" s="51"/>
      <c r="J882" s="51"/>
      <c r="K882" s="51"/>
      <c r="L882" s="4"/>
      <c r="M882" s="4"/>
      <c r="N882" s="4"/>
      <c r="O882" s="4"/>
      <c r="P882" s="4"/>
      <c r="Q882" s="4"/>
      <c r="R882" s="4"/>
    </row>
    <row r="883" spans="5:18">
      <c r="E883" s="4"/>
      <c r="F883" s="4"/>
      <c r="G883" s="4"/>
      <c r="H883" s="4"/>
      <c r="I883" s="51"/>
      <c r="J883" s="51"/>
      <c r="K883" s="51"/>
      <c r="L883" s="4"/>
      <c r="M883" s="4"/>
      <c r="N883" s="4"/>
      <c r="O883" s="4"/>
      <c r="P883" s="4"/>
      <c r="Q883" s="4"/>
      <c r="R883" s="4"/>
    </row>
    <row r="884" spans="5:18">
      <c r="E884" s="4"/>
      <c r="F884" s="4"/>
      <c r="G884" s="4"/>
      <c r="H884" s="4"/>
      <c r="I884" s="51"/>
      <c r="J884" s="51"/>
      <c r="K884" s="51"/>
      <c r="L884" s="4"/>
      <c r="M884" s="4"/>
      <c r="N884" s="4"/>
      <c r="O884" s="4"/>
      <c r="P884" s="4"/>
      <c r="Q884" s="4"/>
      <c r="R884" s="4"/>
    </row>
    <row r="885" spans="5:18">
      <c r="E885" s="4"/>
      <c r="F885" s="4"/>
      <c r="G885" s="4"/>
      <c r="H885" s="4"/>
      <c r="I885" s="51"/>
      <c r="J885" s="51"/>
      <c r="K885" s="51"/>
      <c r="L885" s="4"/>
      <c r="M885" s="4"/>
      <c r="N885" s="4"/>
      <c r="O885" s="4"/>
      <c r="P885" s="4"/>
      <c r="Q885" s="4"/>
      <c r="R885" s="4"/>
    </row>
    <row r="886" spans="5:18">
      <c r="E886" s="4"/>
      <c r="F886" s="4"/>
      <c r="G886" s="4"/>
      <c r="H886" s="4"/>
      <c r="I886" s="51"/>
      <c r="J886" s="51"/>
      <c r="K886" s="51"/>
      <c r="L886" s="4"/>
      <c r="M886" s="4"/>
      <c r="N886" s="4"/>
      <c r="O886" s="4"/>
      <c r="P886" s="4"/>
      <c r="Q886" s="4"/>
      <c r="R886" s="4"/>
    </row>
    <row r="887" spans="5:18">
      <c r="E887" s="4"/>
      <c r="F887" s="4"/>
      <c r="G887" s="4"/>
      <c r="H887" s="4"/>
      <c r="I887" s="51"/>
      <c r="J887" s="51"/>
      <c r="K887" s="51"/>
      <c r="L887" s="4"/>
      <c r="M887" s="4"/>
      <c r="N887" s="4"/>
      <c r="O887" s="4"/>
      <c r="P887" s="4"/>
      <c r="Q887" s="4"/>
      <c r="R887" s="4"/>
    </row>
    <row r="888" spans="5:18">
      <c r="E888" s="4"/>
      <c r="F888" s="4"/>
      <c r="G888" s="4"/>
      <c r="H888" s="4"/>
      <c r="I888" s="51"/>
      <c r="J888" s="51"/>
      <c r="K888" s="51"/>
      <c r="L888" s="4"/>
      <c r="M888" s="4"/>
      <c r="N888" s="4"/>
      <c r="O888" s="4"/>
      <c r="P888" s="4"/>
      <c r="Q888" s="4"/>
      <c r="R888" s="4"/>
    </row>
    <row r="889" spans="5:18">
      <c r="E889" s="4"/>
      <c r="F889" s="4"/>
      <c r="G889" s="4"/>
      <c r="H889" s="4"/>
      <c r="I889" s="51"/>
      <c r="J889" s="51"/>
      <c r="K889" s="51"/>
      <c r="L889" s="4"/>
      <c r="M889" s="4"/>
      <c r="N889" s="4"/>
      <c r="O889" s="4"/>
      <c r="P889" s="4"/>
      <c r="Q889" s="4"/>
      <c r="R889" s="4"/>
    </row>
    <row r="890" spans="5:18">
      <c r="E890" s="4"/>
      <c r="F890" s="4"/>
      <c r="G890" s="4"/>
      <c r="H890" s="4"/>
      <c r="I890" s="51"/>
      <c r="J890" s="51"/>
      <c r="K890" s="51"/>
      <c r="L890" s="4"/>
      <c r="M890" s="4"/>
      <c r="N890" s="4"/>
      <c r="O890" s="4"/>
      <c r="P890" s="4"/>
      <c r="Q890" s="4"/>
      <c r="R890" s="4"/>
    </row>
    <row r="891" spans="5:18">
      <c r="E891" s="4"/>
      <c r="F891" s="4"/>
      <c r="G891" s="4"/>
      <c r="H891" s="4"/>
      <c r="I891" s="51"/>
      <c r="J891" s="51"/>
      <c r="K891" s="51"/>
      <c r="L891" s="4"/>
      <c r="M891" s="4"/>
      <c r="N891" s="4"/>
      <c r="O891" s="4"/>
      <c r="P891" s="4"/>
      <c r="Q891" s="4"/>
      <c r="R891" s="4"/>
    </row>
    <row r="892" spans="5:18">
      <c r="E892" s="4"/>
      <c r="F892" s="4"/>
      <c r="G892" s="4"/>
      <c r="H892" s="4"/>
      <c r="I892" s="51"/>
      <c r="J892" s="51"/>
      <c r="K892" s="51"/>
      <c r="L892" s="4"/>
      <c r="M892" s="4"/>
      <c r="N892" s="4"/>
      <c r="O892" s="4"/>
      <c r="P892" s="4"/>
      <c r="Q892" s="4"/>
      <c r="R892" s="4"/>
    </row>
    <row r="893" spans="5:18">
      <c r="E893" s="4"/>
      <c r="F893" s="4"/>
      <c r="G893" s="4"/>
      <c r="H893" s="4"/>
      <c r="I893" s="51"/>
      <c r="J893" s="51"/>
      <c r="K893" s="51"/>
      <c r="L893" s="4"/>
      <c r="M893" s="4"/>
      <c r="N893" s="4"/>
      <c r="O893" s="4"/>
      <c r="P893" s="4"/>
      <c r="Q893" s="4"/>
      <c r="R893" s="4"/>
    </row>
    <row r="894" spans="5:18">
      <c r="E894" s="4"/>
      <c r="F894" s="4"/>
      <c r="G894" s="4"/>
      <c r="H894" s="4"/>
      <c r="I894" s="51"/>
      <c r="J894" s="51"/>
      <c r="K894" s="51"/>
      <c r="L894" s="4"/>
      <c r="M894" s="4"/>
      <c r="N894" s="4"/>
      <c r="O894" s="4"/>
      <c r="P894" s="4"/>
      <c r="Q894" s="4"/>
      <c r="R894" s="4"/>
    </row>
    <row r="895" spans="5:18">
      <c r="E895" s="4"/>
      <c r="F895" s="4"/>
      <c r="G895" s="4"/>
      <c r="H895" s="4"/>
      <c r="I895" s="51"/>
      <c r="J895" s="51"/>
      <c r="K895" s="51"/>
      <c r="L895" s="4"/>
      <c r="M895" s="4"/>
      <c r="N895" s="4"/>
      <c r="O895" s="4"/>
      <c r="P895" s="4"/>
      <c r="Q895" s="4"/>
      <c r="R895" s="4"/>
    </row>
    <row r="896" spans="5:18">
      <c r="E896" s="4"/>
      <c r="F896" s="4"/>
      <c r="G896" s="4"/>
      <c r="H896" s="4"/>
      <c r="I896" s="51"/>
      <c r="J896" s="51"/>
      <c r="K896" s="51"/>
      <c r="L896" s="4"/>
      <c r="M896" s="4"/>
      <c r="N896" s="4"/>
      <c r="O896" s="4"/>
      <c r="P896" s="4"/>
      <c r="Q896" s="4"/>
      <c r="R896" s="4"/>
    </row>
    <row r="897" spans="5:18">
      <c r="E897" s="4"/>
      <c r="F897" s="4"/>
      <c r="G897" s="4"/>
      <c r="H897" s="4"/>
      <c r="I897" s="51"/>
      <c r="J897" s="51"/>
      <c r="K897" s="51"/>
      <c r="L897" s="4"/>
      <c r="M897" s="4"/>
      <c r="N897" s="4"/>
      <c r="O897" s="4"/>
      <c r="P897" s="4"/>
      <c r="Q897" s="4"/>
      <c r="R897" s="4"/>
    </row>
    <row r="898" spans="5:18">
      <c r="E898" s="4"/>
      <c r="F898" s="4"/>
      <c r="G898" s="4"/>
      <c r="H898" s="4"/>
      <c r="I898" s="51"/>
      <c r="J898" s="51"/>
      <c r="K898" s="51"/>
      <c r="L898" s="4"/>
      <c r="M898" s="4"/>
      <c r="N898" s="4"/>
      <c r="O898" s="4"/>
      <c r="P898" s="4"/>
      <c r="Q898" s="4"/>
      <c r="R898" s="4"/>
    </row>
    <row r="899" spans="5:18">
      <c r="E899" s="4"/>
      <c r="F899" s="4"/>
      <c r="G899" s="4"/>
      <c r="H899" s="4"/>
      <c r="I899" s="51"/>
      <c r="J899" s="51"/>
      <c r="K899" s="51"/>
      <c r="L899" s="4"/>
      <c r="M899" s="4"/>
      <c r="N899" s="4"/>
      <c r="O899" s="4"/>
      <c r="P899" s="4"/>
      <c r="Q899" s="4"/>
      <c r="R899" s="4"/>
    </row>
    <row r="900" spans="5:18">
      <c r="E900" s="4"/>
      <c r="F900" s="4"/>
      <c r="G900" s="4"/>
      <c r="H900" s="4"/>
      <c r="I900" s="51"/>
      <c r="J900" s="51"/>
      <c r="K900" s="51"/>
      <c r="L900" s="4"/>
      <c r="M900" s="4"/>
      <c r="N900" s="4"/>
      <c r="O900" s="4"/>
      <c r="P900" s="4"/>
      <c r="Q900" s="4"/>
      <c r="R900" s="4"/>
    </row>
    <row r="901" spans="5:18">
      <c r="E901" s="4"/>
      <c r="F901" s="4"/>
      <c r="G901" s="4"/>
      <c r="H901" s="4"/>
      <c r="I901" s="51"/>
      <c r="J901" s="51"/>
      <c r="K901" s="51"/>
      <c r="L901" s="4"/>
      <c r="M901" s="4"/>
      <c r="N901" s="4"/>
      <c r="O901" s="4"/>
      <c r="P901" s="4"/>
      <c r="Q901" s="4"/>
      <c r="R901" s="4"/>
    </row>
    <row r="902" spans="5:18">
      <c r="E902" s="4"/>
      <c r="F902" s="4"/>
      <c r="G902" s="4"/>
      <c r="H902" s="4"/>
      <c r="I902" s="51"/>
      <c r="J902" s="51"/>
      <c r="K902" s="51"/>
      <c r="L902" s="4"/>
      <c r="M902" s="4"/>
      <c r="N902" s="4"/>
      <c r="O902" s="4"/>
      <c r="P902" s="4"/>
      <c r="Q902" s="4"/>
      <c r="R902" s="4"/>
    </row>
    <row r="903" spans="5:18">
      <c r="E903" s="4"/>
      <c r="F903" s="4"/>
      <c r="G903" s="4"/>
      <c r="H903" s="4"/>
      <c r="I903" s="51"/>
      <c r="J903" s="51"/>
      <c r="K903" s="51"/>
      <c r="L903" s="4"/>
      <c r="M903" s="4"/>
      <c r="N903" s="4"/>
      <c r="O903" s="4"/>
      <c r="P903" s="4"/>
      <c r="Q903" s="4"/>
      <c r="R903" s="4"/>
    </row>
    <row r="904" spans="5:18">
      <c r="E904" s="4"/>
      <c r="F904" s="4"/>
      <c r="G904" s="4"/>
      <c r="H904" s="4"/>
      <c r="I904" s="51"/>
      <c r="J904" s="51"/>
      <c r="K904" s="51"/>
      <c r="L904" s="4"/>
      <c r="M904" s="4"/>
      <c r="N904" s="4"/>
      <c r="O904" s="4"/>
      <c r="P904" s="4"/>
      <c r="Q904" s="4"/>
      <c r="R904" s="4"/>
    </row>
    <row r="905" spans="5:18">
      <c r="E905" s="4"/>
      <c r="F905" s="4"/>
      <c r="G905" s="4"/>
      <c r="H905" s="4"/>
      <c r="I905" s="51"/>
      <c r="J905" s="51"/>
      <c r="K905" s="51"/>
      <c r="L905" s="4"/>
      <c r="M905" s="4"/>
      <c r="N905" s="4"/>
      <c r="O905" s="4"/>
      <c r="P905" s="4"/>
      <c r="Q905" s="4"/>
      <c r="R905" s="4"/>
    </row>
    <row r="906" spans="5:18">
      <c r="E906" s="4"/>
      <c r="F906" s="4"/>
      <c r="G906" s="4"/>
      <c r="H906" s="4"/>
      <c r="I906" s="51"/>
      <c r="J906" s="51"/>
      <c r="K906" s="51"/>
      <c r="L906" s="4"/>
      <c r="M906" s="4"/>
      <c r="N906" s="4"/>
      <c r="O906" s="4"/>
      <c r="P906" s="4"/>
      <c r="Q906" s="4"/>
      <c r="R906" s="4"/>
    </row>
    <row r="907" spans="5:18">
      <c r="E907" s="4"/>
      <c r="F907" s="4"/>
      <c r="G907" s="4"/>
      <c r="H907" s="4"/>
      <c r="I907" s="51"/>
      <c r="J907" s="51"/>
      <c r="K907" s="51"/>
      <c r="L907" s="4"/>
      <c r="M907" s="4"/>
      <c r="N907" s="4"/>
      <c r="O907" s="4"/>
      <c r="P907" s="4"/>
      <c r="Q907" s="4"/>
      <c r="R907" s="4"/>
    </row>
    <row r="908" spans="5:18">
      <c r="E908" s="4"/>
      <c r="F908" s="4"/>
      <c r="G908" s="4"/>
      <c r="H908" s="4"/>
      <c r="I908" s="51"/>
      <c r="J908" s="51"/>
      <c r="K908" s="51"/>
      <c r="L908" s="4"/>
      <c r="M908" s="4"/>
      <c r="N908" s="4"/>
      <c r="O908" s="4"/>
      <c r="P908" s="4"/>
      <c r="Q908" s="4"/>
      <c r="R908" s="4"/>
    </row>
    <row r="909" spans="5:18">
      <c r="E909" s="4"/>
      <c r="F909" s="4"/>
      <c r="G909" s="4"/>
      <c r="H909" s="4"/>
      <c r="I909" s="51"/>
      <c r="J909" s="51"/>
      <c r="K909" s="51"/>
      <c r="L909" s="4"/>
      <c r="M909" s="4"/>
      <c r="N909" s="4"/>
      <c r="O909" s="4"/>
      <c r="P909" s="4"/>
      <c r="Q909" s="4"/>
      <c r="R909" s="4"/>
    </row>
    <row r="910" spans="5:18">
      <c r="E910" s="4"/>
      <c r="F910" s="4"/>
      <c r="G910" s="4"/>
      <c r="H910" s="4"/>
      <c r="I910" s="51"/>
      <c r="J910" s="51"/>
      <c r="K910" s="51"/>
      <c r="L910" s="4"/>
      <c r="M910" s="4"/>
      <c r="N910" s="4"/>
      <c r="O910" s="4"/>
      <c r="P910" s="4"/>
      <c r="Q910" s="4"/>
      <c r="R910" s="4"/>
    </row>
    <row r="911" spans="5:18">
      <c r="E911" s="4"/>
      <c r="F911" s="4"/>
      <c r="G911" s="4"/>
      <c r="H911" s="4"/>
      <c r="I911" s="51"/>
      <c r="J911" s="51"/>
      <c r="K911" s="51"/>
      <c r="L911" s="4"/>
      <c r="M911" s="4"/>
      <c r="N911" s="4"/>
      <c r="O911" s="4"/>
      <c r="P911" s="4"/>
      <c r="Q911" s="4"/>
      <c r="R911" s="4"/>
    </row>
    <row r="912" spans="5:18">
      <c r="E912" s="4"/>
      <c r="F912" s="4"/>
      <c r="G912" s="4"/>
      <c r="H912" s="4"/>
      <c r="I912" s="51"/>
      <c r="J912" s="51"/>
      <c r="K912" s="51"/>
      <c r="L912" s="4"/>
      <c r="M912" s="4"/>
      <c r="N912" s="4"/>
      <c r="O912" s="4"/>
      <c r="P912" s="4"/>
      <c r="Q912" s="4"/>
      <c r="R912" s="4"/>
    </row>
    <row r="913" spans="5:18">
      <c r="E913" s="4"/>
      <c r="F913" s="4"/>
      <c r="G913" s="4"/>
      <c r="H913" s="4"/>
      <c r="I913" s="51"/>
      <c r="J913" s="51"/>
      <c r="K913" s="51"/>
      <c r="L913" s="4"/>
      <c r="M913" s="4"/>
      <c r="N913" s="4"/>
      <c r="O913" s="4"/>
      <c r="P913" s="4"/>
      <c r="Q913" s="4"/>
      <c r="R913" s="4"/>
    </row>
    <row r="914" spans="5:18">
      <c r="E914" s="4"/>
      <c r="F914" s="4"/>
      <c r="G914" s="4"/>
      <c r="H914" s="4"/>
      <c r="I914" s="51"/>
      <c r="J914" s="51"/>
      <c r="K914" s="51"/>
      <c r="L914" s="4"/>
      <c r="M914" s="4"/>
      <c r="N914" s="4"/>
      <c r="O914" s="4"/>
      <c r="P914" s="4"/>
      <c r="Q914" s="4"/>
      <c r="R914" s="4"/>
    </row>
    <row r="915" spans="5:18">
      <c r="E915" s="4"/>
      <c r="F915" s="4"/>
      <c r="G915" s="4"/>
      <c r="H915" s="4"/>
      <c r="I915" s="51"/>
      <c r="J915" s="51"/>
      <c r="K915" s="51"/>
      <c r="L915" s="4"/>
      <c r="M915" s="4"/>
      <c r="N915" s="4"/>
      <c r="O915" s="4"/>
      <c r="P915" s="4"/>
      <c r="Q915" s="4"/>
      <c r="R915" s="4"/>
    </row>
    <row r="916" spans="5:18">
      <c r="E916" s="4"/>
      <c r="F916" s="4"/>
      <c r="G916" s="4"/>
      <c r="H916" s="4"/>
      <c r="I916" s="51"/>
      <c r="J916" s="51"/>
      <c r="K916" s="51"/>
      <c r="L916" s="4"/>
      <c r="M916" s="4"/>
      <c r="N916" s="4"/>
      <c r="O916" s="4"/>
      <c r="P916" s="4"/>
      <c r="Q916" s="4"/>
      <c r="R916" s="4"/>
    </row>
    <row r="917" spans="5:18">
      <c r="E917" s="4"/>
      <c r="F917" s="4"/>
      <c r="G917" s="4"/>
      <c r="H917" s="4"/>
      <c r="I917" s="51"/>
      <c r="J917" s="51"/>
      <c r="K917" s="51"/>
      <c r="L917" s="4"/>
      <c r="M917" s="4"/>
      <c r="N917" s="4"/>
      <c r="O917" s="4"/>
      <c r="P917" s="4"/>
      <c r="Q917" s="4"/>
      <c r="R917" s="4"/>
    </row>
    <row r="918" spans="5:18">
      <c r="E918" s="4"/>
      <c r="F918" s="4"/>
      <c r="G918" s="4"/>
      <c r="H918" s="4"/>
      <c r="I918" s="51"/>
      <c r="J918" s="51"/>
      <c r="K918" s="51"/>
      <c r="L918" s="4"/>
      <c r="M918" s="4"/>
      <c r="N918" s="4"/>
      <c r="O918" s="4"/>
      <c r="P918" s="4"/>
      <c r="Q918" s="4"/>
      <c r="R918" s="4"/>
    </row>
    <row r="919" spans="5:18">
      <c r="E919" s="4"/>
      <c r="F919" s="4"/>
      <c r="G919" s="4"/>
      <c r="H919" s="4"/>
      <c r="I919" s="51"/>
      <c r="J919" s="51"/>
      <c r="K919" s="51"/>
      <c r="L919" s="4"/>
      <c r="M919" s="4"/>
      <c r="N919" s="4"/>
      <c r="O919" s="4"/>
      <c r="P919" s="4"/>
      <c r="Q919" s="4"/>
      <c r="R919" s="4"/>
    </row>
    <row r="920" spans="5:18">
      <c r="E920" s="4"/>
      <c r="F920" s="4"/>
      <c r="G920" s="4"/>
      <c r="H920" s="4"/>
      <c r="I920" s="51"/>
      <c r="J920" s="51"/>
      <c r="K920" s="51"/>
      <c r="L920" s="4"/>
      <c r="M920" s="4"/>
      <c r="N920" s="4"/>
      <c r="O920" s="4"/>
      <c r="P920" s="4"/>
      <c r="Q920" s="4"/>
      <c r="R920" s="4"/>
    </row>
    <row r="921" spans="5:18">
      <c r="E921" s="4"/>
      <c r="F921" s="4"/>
      <c r="G921" s="4"/>
      <c r="H921" s="4"/>
      <c r="I921" s="51"/>
      <c r="J921" s="51"/>
      <c r="K921" s="51"/>
      <c r="L921" s="4"/>
      <c r="M921" s="4"/>
      <c r="N921" s="4"/>
      <c r="O921" s="4"/>
      <c r="P921" s="4"/>
      <c r="Q921" s="4"/>
      <c r="R921" s="4"/>
    </row>
    <row r="922" spans="5:18">
      <c r="E922" s="4"/>
      <c r="F922" s="4"/>
      <c r="G922" s="4"/>
      <c r="H922" s="4"/>
      <c r="I922" s="51"/>
      <c r="J922" s="51"/>
      <c r="K922" s="51"/>
      <c r="L922" s="4"/>
      <c r="M922" s="4"/>
      <c r="N922" s="4"/>
      <c r="O922" s="4"/>
      <c r="P922" s="4"/>
      <c r="Q922" s="4"/>
      <c r="R922" s="4"/>
    </row>
    <row r="923" spans="5:18">
      <c r="E923" s="4"/>
      <c r="F923" s="4"/>
      <c r="G923" s="4"/>
      <c r="H923" s="4"/>
      <c r="I923" s="51"/>
      <c r="J923" s="51"/>
      <c r="K923" s="51"/>
      <c r="L923" s="4"/>
      <c r="M923" s="4"/>
      <c r="N923" s="4"/>
      <c r="O923" s="4"/>
      <c r="P923" s="4"/>
      <c r="Q923" s="4"/>
      <c r="R923" s="4"/>
    </row>
    <row r="924" spans="5:18">
      <c r="E924" s="4"/>
      <c r="F924" s="4"/>
      <c r="G924" s="4"/>
      <c r="H924" s="4"/>
      <c r="I924" s="51"/>
      <c r="J924" s="51"/>
      <c r="K924" s="51"/>
      <c r="L924" s="4"/>
      <c r="M924" s="4"/>
      <c r="N924" s="4"/>
      <c r="O924" s="4"/>
      <c r="P924" s="4"/>
      <c r="Q924" s="4"/>
      <c r="R924" s="4"/>
    </row>
    <row r="925" spans="5:18">
      <c r="E925" s="4"/>
      <c r="F925" s="4"/>
      <c r="G925" s="4"/>
      <c r="H925" s="4"/>
      <c r="I925" s="51"/>
      <c r="J925" s="51"/>
      <c r="K925" s="51"/>
      <c r="L925" s="4"/>
      <c r="M925" s="4"/>
      <c r="N925" s="4"/>
      <c r="O925" s="4"/>
      <c r="P925" s="4"/>
      <c r="Q925" s="4"/>
      <c r="R925" s="4"/>
    </row>
    <row r="926" spans="5:18">
      <c r="E926" s="4"/>
      <c r="F926" s="4"/>
      <c r="G926" s="4"/>
      <c r="H926" s="4"/>
      <c r="I926" s="51"/>
      <c r="J926" s="51"/>
      <c r="K926" s="51"/>
      <c r="L926" s="4"/>
      <c r="M926" s="4"/>
      <c r="N926" s="4"/>
      <c r="O926" s="4"/>
      <c r="P926" s="4"/>
      <c r="Q926" s="4"/>
      <c r="R926" s="4"/>
    </row>
    <row r="927" spans="5:18">
      <c r="E927" s="4"/>
      <c r="F927" s="4"/>
      <c r="G927" s="4"/>
      <c r="H927" s="4"/>
      <c r="I927" s="51"/>
      <c r="J927" s="51"/>
      <c r="K927" s="51"/>
      <c r="L927" s="4"/>
      <c r="M927" s="4"/>
      <c r="N927" s="4"/>
      <c r="O927" s="4"/>
      <c r="P927" s="4"/>
      <c r="Q927" s="4"/>
      <c r="R927" s="4"/>
    </row>
    <row r="928" spans="5:18">
      <c r="E928" s="4"/>
      <c r="F928" s="4"/>
      <c r="G928" s="4"/>
      <c r="H928" s="4"/>
      <c r="I928" s="51"/>
      <c r="J928" s="51"/>
      <c r="K928" s="51"/>
      <c r="L928" s="4"/>
      <c r="M928" s="4"/>
      <c r="N928" s="4"/>
      <c r="O928" s="4"/>
      <c r="P928" s="4"/>
      <c r="Q928" s="4"/>
      <c r="R928" s="4"/>
    </row>
    <row r="929" spans="5:18">
      <c r="E929" s="4"/>
      <c r="F929" s="4"/>
      <c r="G929" s="4"/>
      <c r="H929" s="4"/>
      <c r="I929" s="51"/>
      <c r="J929" s="51"/>
      <c r="K929" s="51"/>
      <c r="L929" s="4"/>
      <c r="M929" s="4"/>
      <c r="N929" s="4"/>
      <c r="O929" s="4"/>
      <c r="P929" s="4"/>
      <c r="Q929" s="4"/>
      <c r="R929" s="4"/>
    </row>
    <row r="930" spans="5:18">
      <c r="E930" s="4"/>
      <c r="F930" s="4"/>
      <c r="G930" s="4"/>
      <c r="H930" s="4"/>
      <c r="I930" s="51"/>
      <c r="J930" s="51"/>
      <c r="K930" s="51"/>
      <c r="L930" s="4"/>
      <c r="M930" s="4"/>
      <c r="N930" s="4"/>
      <c r="O930" s="4"/>
      <c r="P930" s="4"/>
      <c r="Q930" s="4"/>
      <c r="R930" s="4"/>
    </row>
    <row r="931" spans="5:18">
      <c r="E931" s="4"/>
      <c r="F931" s="4"/>
      <c r="G931" s="4"/>
      <c r="H931" s="4"/>
      <c r="I931" s="51"/>
      <c r="J931" s="51"/>
      <c r="K931" s="51"/>
      <c r="L931" s="4"/>
      <c r="M931" s="4"/>
      <c r="N931" s="4"/>
      <c r="O931" s="4"/>
      <c r="P931" s="4"/>
      <c r="Q931" s="4"/>
      <c r="R931" s="4"/>
    </row>
    <row r="932" spans="5:18">
      <c r="E932" s="4"/>
      <c r="F932" s="4"/>
      <c r="G932" s="4"/>
      <c r="H932" s="4"/>
      <c r="I932" s="51"/>
      <c r="J932" s="51"/>
      <c r="K932" s="51"/>
      <c r="L932" s="4"/>
      <c r="M932" s="4"/>
      <c r="N932" s="4"/>
      <c r="O932" s="4"/>
      <c r="P932" s="4"/>
      <c r="Q932" s="4"/>
      <c r="R932" s="4"/>
    </row>
    <row r="933" spans="5:18">
      <c r="E933" s="4"/>
      <c r="F933" s="4"/>
      <c r="G933" s="4"/>
      <c r="H933" s="4"/>
      <c r="I933" s="51"/>
      <c r="J933" s="51"/>
      <c r="K933" s="51"/>
      <c r="L933" s="4"/>
      <c r="M933" s="4"/>
      <c r="N933" s="4"/>
      <c r="O933" s="4"/>
      <c r="P933" s="4"/>
      <c r="Q933" s="4"/>
      <c r="R933" s="4"/>
    </row>
    <row r="934" spans="5:18">
      <c r="E934" s="4"/>
      <c r="F934" s="4"/>
      <c r="G934" s="4"/>
      <c r="H934" s="4"/>
      <c r="I934" s="51"/>
      <c r="J934" s="51"/>
      <c r="K934" s="51"/>
      <c r="L934" s="4"/>
      <c r="M934" s="4"/>
      <c r="N934" s="4"/>
      <c r="O934" s="4"/>
      <c r="P934" s="4"/>
      <c r="Q934" s="4"/>
      <c r="R934" s="4"/>
    </row>
    <row r="935" spans="5:18">
      <c r="E935" s="4"/>
      <c r="F935" s="4"/>
      <c r="G935" s="4"/>
      <c r="H935" s="4"/>
      <c r="I935" s="51"/>
      <c r="J935" s="51"/>
      <c r="K935" s="51"/>
      <c r="L935" s="4"/>
      <c r="M935" s="4"/>
      <c r="N935" s="4"/>
      <c r="O935" s="4"/>
      <c r="P935" s="4"/>
      <c r="Q935" s="4"/>
      <c r="R935" s="4"/>
    </row>
    <row r="936" spans="5:18">
      <c r="E936" s="4"/>
      <c r="F936" s="4"/>
      <c r="G936" s="4"/>
      <c r="H936" s="4"/>
      <c r="I936" s="51"/>
      <c r="J936" s="51"/>
      <c r="K936" s="51"/>
      <c r="L936" s="4"/>
      <c r="M936" s="4"/>
      <c r="N936" s="4"/>
      <c r="O936" s="4"/>
      <c r="P936" s="4"/>
      <c r="Q936" s="4"/>
      <c r="R936" s="4"/>
    </row>
    <row r="937" spans="5:18">
      <c r="E937" s="4"/>
      <c r="F937" s="4"/>
      <c r="G937" s="4"/>
      <c r="H937" s="4"/>
      <c r="I937" s="51"/>
      <c r="J937" s="51"/>
      <c r="K937" s="51"/>
      <c r="L937" s="4"/>
      <c r="M937" s="4"/>
      <c r="N937" s="4"/>
      <c r="O937" s="4"/>
      <c r="P937" s="4"/>
      <c r="Q937" s="4"/>
      <c r="R937" s="4"/>
    </row>
    <row r="938" spans="5:18">
      <c r="E938" s="4"/>
      <c r="F938" s="4"/>
      <c r="G938" s="4"/>
      <c r="H938" s="4"/>
      <c r="I938" s="51"/>
      <c r="J938" s="51"/>
      <c r="K938" s="51"/>
      <c r="L938" s="4"/>
      <c r="M938" s="4"/>
      <c r="N938" s="4"/>
      <c r="O938" s="4"/>
      <c r="P938" s="4"/>
      <c r="Q938" s="4"/>
      <c r="R938" s="4"/>
    </row>
    <row r="939" spans="5:18">
      <c r="E939" s="4"/>
      <c r="F939" s="4"/>
      <c r="G939" s="4"/>
      <c r="H939" s="4"/>
      <c r="I939" s="51"/>
      <c r="J939" s="51"/>
      <c r="K939" s="51"/>
      <c r="L939" s="4"/>
      <c r="M939" s="4"/>
      <c r="N939" s="4"/>
      <c r="O939" s="4"/>
      <c r="P939" s="4"/>
      <c r="Q939" s="4"/>
      <c r="R939" s="4"/>
    </row>
    <row r="940" spans="5:18">
      <c r="E940" s="4"/>
      <c r="F940" s="4"/>
      <c r="G940" s="4"/>
      <c r="H940" s="4"/>
      <c r="I940" s="51"/>
      <c r="J940" s="51"/>
      <c r="K940" s="51"/>
      <c r="L940" s="4"/>
      <c r="M940" s="4"/>
      <c r="N940" s="4"/>
      <c r="O940" s="4"/>
      <c r="P940" s="4"/>
      <c r="Q940" s="4"/>
      <c r="R940" s="4"/>
    </row>
    <row r="941" spans="5:18">
      <c r="E941" s="4"/>
      <c r="F941" s="4"/>
      <c r="G941" s="4"/>
      <c r="H941" s="4"/>
      <c r="I941" s="51"/>
      <c r="J941" s="51"/>
      <c r="K941" s="51"/>
      <c r="L941" s="4"/>
      <c r="M941" s="4"/>
      <c r="N941" s="4"/>
      <c r="O941" s="4"/>
      <c r="P941" s="4"/>
      <c r="Q941" s="4"/>
      <c r="R941" s="4"/>
    </row>
    <row r="942" spans="5:18">
      <c r="E942" s="4"/>
      <c r="F942" s="4"/>
      <c r="G942" s="4"/>
      <c r="H942" s="4"/>
      <c r="I942" s="51"/>
      <c r="J942" s="51"/>
      <c r="K942" s="51"/>
      <c r="L942" s="4"/>
      <c r="M942" s="4"/>
      <c r="N942" s="4"/>
      <c r="O942" s="4"/>
      <c r="P942" s="4"/>
      <c r="Q942" s="4"/>
      <c r="R942" s="4"/>
    </row>
    <row r="943" spans="5:18">
      <c r="E943" s="4"/>
      <c r="F943" s="4"/>
      <c r="G943" s="4"/>
      <c r="H943" s="4"/>
      <c r="I943" s="51"/>
      <c r="J943" s="51"/>
      <c r="K943" s="51"/>
      <c r="L943" s="4"/>
      <c r="M943" s="4"/>
      <c r="N943" s="4"/>
      <c r="O943" s="4"/>
      <c r="P943" s="4"/>
      <c r="Q943" s="4"/>
      <c r="R943" s="4"/>
    </row>
    <row r="944" spans="5:18">
      <c r="E944" s="4"/>
      <c r="F944" s="4"/>
      <c r="G944" s="4"/>
      <c r="H944" s="4"/>
      <c r="I944" s="51"/>
      <c r="J944" s="51"/>
      <c r="K944" s="51"/>
      <c r="L944" s="4"/>
      <c r="M944" s="4"/>
      <c r="N944" s="4"/>
      <c r="O944" s="4"/>
      <c r="P944" s="4"/>
      <c r="Q944" s="4"/>
      <c r="R944" s="4"/>
    </row>
    <row r="945" spans="5:18">
      <c r="E945" s="4"/>
      <c r="F945" s="4"/>
      <c r="G945" s="4"/>
      <c r="H945" s="4"/>
      <c r="I945" s="51"/>
      <c r="J945" s="51"/>
      <c r="K945" s="51"/>
      <c r="L945" s="4"/>
      <c r="M945" s="4"/>
      <c r="N945" s="4"/>
      <c r="O945" s="4"/>
      <c r="P945" s="4"/>
      <c r="Q945" s="4"/>
      <c r="R945" s="4"/>
    </row>
    <row r="946" spans="5:18">
      <c r="E946" s="4"/>
      <c r="F946" s="4"/>
      <c r="G946" s="4"/>
      <c r="H946" s="4"/>
      <c r="I946" s="51"/>
      <c r="J946" s="51"/>
      <c r="K946" s="51"/>
      <c r="L946" s="4"/>
      <c r="M946" s="4"/>
      <c r="N946" s="4"/>
      <c r="O946" s="4"/>
      <c r="P946" s="4"/>
      <c r="Q946" s="4"/>
      <c r="R946" s="4"/>
    </row>
    <row r="947" spans="5:18">
      <c r="E947" s="4"/>
      <c r="F947" s="4"/>
      <c r="G947" s="4"/>
      <c r="H947" s="4"/>
      <c r="I947" s="51"/>
      <c r="J947" s="51"/>
      <c r="K947" s="51"/>
      <c r="L947" s="4"/>
      <c r="M947" s="4"/>
      <c r="N947" s="4"/>
      <c r="O947" s="4"/>
      <c r="P947" s="4"/>
      <c r="Q947" s="4"/>
      <c r="R947" s="4"/>
    </row>
    <row r="948" spans="5:18">
      <c r="E948" s="4"/>
      <c r="F948" s="4"/>
      <c r="G948" s="4"/>
      <c r="H948" s="4"/>
      <c r="I948" s="51"/>
      <c r="J948" s="51"/>
      <c r="K948" s="51"/>
      <c r="L948" s="4"/>
      <c r="M948" s="4"/>
      <c r="N948" s="4"/>
      <c r="O948" s="4"/>
      <c r="P948" s="4"/>
      <c r="Q948" s="4"/>
      <c r="R948" s="4"/>
    </row>
    <row r="949" spans="5:18">
      <c r="E949" s="4"/>
      <c r="F949" s="4"/>
      <c r="G949" s="4"/>
      <c r="H949" s="4"/>
      <c r="I949" s="51"/>
      <c r="J949" s="51"/>
      <c r="K949" s="51"/>
      <c r="L949" s="4"/>
      <c r="M949" s="4"/>
      <c r="N949" s="4"/>
      <c r="O949" s="4"/>
      <c r="P949" s="4"/>
      <c r="Q949" s="4"/>
      <c r="R949" s="4"/>
    </row>
    <row r="950" spans="5:18">
      <c r="E950" s="4"/>
      <c r="F950" s="4"/>
      <c r="G950" s="4"/>
      <c r="H950" s="4"/>
      <c r="I950" s="51"/>
      <c r="J950" s="51"/>
      <c r="K950" s="51"/>
      <c r="L950" s="4"/>
      <c r="M950" s="4"/>
      <c r="N950" s="4"/>
      <c r="O950" s="4"/>
      <c r="P950" s="4"/>
      <c r="Q950" s="4"/>
      <c r="R950" s="4"/>
    </row>
    <row r="951" spans="5:18">
      <c r="E951" s="4"/>
      <c r="F951" s="4"/>
      <c r="G951" s="4"/>
      <c r="H951" s="4"/>
      <c r="I951" s="51"/>
      <c r="J951" s="51"/>
      <c r="K951" s="51"/>
      <c r="L951" s="4"/>
      <c r="M951" s="4"/>
      <c r="N951" s="4"/>
      <c r="O951" s="4"/>
      <c r="P951" s="4"/>
      <c r="Q951" s="4"/>
      <c r="R951" s="4"/>
    </row>
    <row r="952" spans="5:18">
      <c r="E952" s="4"/>
      <c r="F952" s="4"/>
      <c r="G952" s="4"/>
      <c r="H952" s="4"/>
      <c r="I952" s="51"/>
      <c r="J952" s="51"/>
      <c r="K952" s="51"/>
      <c r="L952" s="4"/>
      <c r="M952" s="4"/>
      <c r="N952" s="4"/>
      <c r="O952" s="4"/>
      <c r="P952" s="4"/>
      <c r="Q952" s="4"/>
      <c r="R952" s="4"/>
    </row>
    <row r="953" spans="5:18">
      <c r="E953" s="4"/>
      <c r="F953" s="4"/>
      <c r="G953" s="4"/>
      <c r="H953" s="4"/>
      <c r="I953" s="51"/>
      <c r="J953" s="51"/>
      <c r="K953" s="51"/>
      <c r="L953" s="4"/>
      <c r="M953" s="4"/>
      <c r="N953" s="4"/>
      <c r="O953" s="4"/>
      <c r="P953" s="4"/>
      <c r="Q953" s="4"/>
      <c r="R953" s="4"/>
    </row>
    <row r="954" spans="5:18">
      <c r="E954" s="4"/>
      <c r="F954" s="4"/>
      <c r="G954" s="4"/>
      <c r="H954" s="4"/>
      <c r="I954" s="51"/>
      <c r="J954" s="51"/>
      <c r="K954" s="51"/>
      <c r="L954" s="4"/>
      <c r="M954" s="4"/>
      <c r="N954" s="4"/>
      <c r="O954" s="4"/>
      <c r="P954" s="4"/>
      <c r="Q954" s="4"/>
      <c r="R954" s="4"/>
    </row>
    <row r="955" spans="5:18">
      <c r="E955" s="4"/>
      <c r="F955" s="4"/>
      <c r="G955" s="4"/>
      <c r="H955" s="4"/>
      <c r="I955" s="51"/>
      <c r="J955" s="51"/>
      <c r="K955" s="51"/>
      <c r="L955" s="4"/>
      <c r="M955" s="4"/>
      <c r="N955" s="4"/>
      <c r="O955" s="4"/>
      <c r="P955" s="4"/>
      <c r="Q955" s="4"/>
      <c r="R955" s="4"/>
    </row>
    <row r="956" spans="5:18">
      <c r="E956" s="4"/>
      <c r="F956" s="4"/>
      <c r="G956" s="4"/>
      <c r="H956" s="4"/>
      <c r="I956" s="51"/>
      <c r="J956" s="51"/>
      <c r="K956" s="51"/>
      <c r="L956" s="4"/>
      <c r="M956" s="4"/>
      <c r="N956" s="4"/>
      <c r="O956" s="4"/>
      <c r="P956" s="4"/>
      <c r="Q956" s="4"/>
      <c r="R956" s="4"/>
    </row>
    <row r="957" spans="5:18">
      <c r="E957" s="4"/>
      <c r="F957" s="4"/>
      <c r="G957" s="4"/>
      <c r="H957" s="4"/>
      <c r="I957" s="51"/>
      <c r="J957" s="51"/>
      <c r="K957" s="51"/>
      <c r="L957" s="4"/>
      <c r="M957" s="4"/>
      <c r="N957" s="4"/>
      <c r="O957" s="4"/>
      <c r="P957" s="4"/>
      <c r="Q957" s="4"/>
      <c r="R957" s="4"/>
    </row>
    <row r="958" spans="5:18">
      <c r="E958" s="4"/>
      <c r="F958" s="4"/>
      <c r="G958" s="4"/>
      <c r="H958" s="4"/>
      <c r="I958" s="51"/>
      <c r="J958" s="51"/>
      <c r="K958" s="51"/>
      <c r="L958" s="4"/>
      <c r="M958" s="4"/>
      <c r="N958" s="4"/>
      <c r="O958" s="4"/>
      <c r="P958" s="4"/>
      <c r="Q958" s="4"/>
      <c r="R958" s="4"/>
    </row>
    <row r="959" spans="5:18">
      <c r="E959" s="4"/>
      <c r="F959" s="4"/>
      <c r="G959" s="4"/>
      <c r="H959" s="4"/>
      <c r="I959" s="51"/>
      <c r="J959" s="51"/>
      <c r="K959" s="51"/>
      <c r="L959" s="4"/>
      <c r="M959" s="4"/>
      <c r="N959" s="4"/>
      <c r="O959" s="4"/>
      <c r="P959" s="4"/>
      <c r="Q959" s="4"/>
      <c r="R959" s="4"/>
    </row>
    <row r="960" spans="5:18">
      <c r="E960" s="4"/>
      <c r="F960" s="4"/>
      <c r="G960" s="4"/>
      <c r="H960" s="4"/>
      <c r="I960" s="51"/>
      <c r="J960" s="51"/>
      <c r="K960" s="51"/>
      <c r="L960" s="4"/>
      <c r="M960" s="4"/>
      <c r="N960" s="4"/>
      <c r="O960" s="4"/>
      <c r="P960" s="4"/>
      <c r="Q960" s="4"/>
      <c r="R960" s="4"/>
    </row>
    <row r="961" spans="5:18">
      <c r="E961" s="4"/>
      <c r="F961" s="4"/>
      <c r="G961" s="4"/>
      <c r="H961" s="4"/>
      <c r="I961" s="51"/>
      <c r="J961" s="51"/>
      <c r="K961" s="51"/>
      <c r="L961" s="4"/>
      <c r="M961" s="4"/>
      <c r="N961" s="4"/>
      <c r="O961" s="4"/>
      <c r="P961" s="4"/>
      <c r="Q961" s="4"/>
      <c r="R961" s="4"/>
    </row>
    <row r="962" spans="5:18">
      <c r="E962" s="4"/>
      <c r="F962" s="4"/>
      <c r="G962" s="4"/>
      <c r="H962" s="4"/>
      <c r="I962" s="51"/>
      <c r="J962" s="51"/>
      <c r="K962" s="51"/>
      <c r="L962" s="4"/>
      <c r="M962" s="4"/>
      <c r="N962" s="4"/>
      <c r="O962" s="4"/>
      <c r="P962" s="4"/>
      <c r="Q962" s="4"/>
      <c r="R962" s="4"/>
    </row>
    <row r="963" spans="5:18">
      <c r="E963" s="4"/>
      <c r="F963" s="4"/>
      <c r="G963" s="4"/>
      <c r="H963" s="4"/>
      <c r="I963" s="51"/>
      <c r="J963" s="51"/>
      <c r="K963" s="51"/>
      <c r="L963" s="4"/>
      <c r="M963" s="4"/>
      <c r="N963" s="4"/>
      <c r="O963" s="4"/>
      <c r="P963" s="4"/>
      <c r="Q963" s="4"/>
      <c r="R963" s="4"/>
    </row>
  </sheetData>
  <mergeCells count="4">
    <mergeCell ref="B3:B5"/>
    <mergeCell ref="C2:D2"/>
    <mergeCell ref="C3:D5"/>
    <mergeCell ref="E3:E5"/>
  </mergeCells>
  <dataValidations count="1">
    <dataValidation type="list" allowBlank="1" showInputMessage="1" showErrorMessage="1" sqref="B3:B5" xr:uid="{0006554E-FE3D-AC47-97F9-44DAE9316A59}">
      <formula1>UF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111</vt:i4>
      </vt:variant>
    </vt:vector>
  </HeadingPairs>
  <TitlesOfParts>
    <vt:vector size="114" baseType="lpstr">
      <vt:lpstr>Atletas</vt:lpstr>
      <vt:lpstr>Conferência</vt:lpstr>
      <vt:lpstr>Federação</vt:lpstr>
      <vt:lpstr>ADAPTADO</vt:lpstr>
      <vt:lpstr>QSA</vt:lpstr>
      <vt:lpstr>QSB</vt:lpstr>
      <vt:lpstr>Atletas!SDAF</vt:lpstr>
      <vt:lpstr>Atletas!SDAM</vt:lpstr>
      <vt:lpstr>Atletas!SDIF</vt:lpstr>
      <vt:lpstr>Atletas!SDIM</vt:lpstr>
      <vt:lpstr>Atletas!SDJF</vt:lpstr>
      <vt:lpstr>Atletas!SDJM</vt:lpstr>
      <vt:lpstr>SDKF</vt:lpstr>
      <vt:lpstr>SDKM</vt:lpstr>
      <vt:lpstr>Atletas!SJAF</vt:lpstr>
      <vt:lpstr>Atletas!SJAM</vt:lpstr>
      <vt:lpstr>Atletas!SJJF</vt:lpstr>
      <vt:lpstr>Atletas!SJJM</vt:lpstr>
      <vt:lpstr>Atletas!TEACA</vt:lpstr>
      <vt:lpstr>Atletas!TEACB</vt:lpstr>
      <vt:lpstr>Atletas!TEACC</vt:lpstr>
      <vt:lpstr>Atletas!TEACM</vt:lpstr>
      <vt:lpstr>Atletas!TEACMC</vt:lpstr>
      <vt:lpstr>Atletas!TEACOA</vt:lpstr>
      <vt:lpstr>TEALA</vt:lpstr>
      <vt:lpstr>TEALB</vt:lpstr>
      <vt:lpstr>Atletas!TEALC</vt:lpstr>
      <vt:lpstr>Atletas!TEALM</vt:lpstr>
      <vt:lpstr>Atletas!TEALMC</vt:lpstr>
      <vt:lpstr>Atletas!TEALOA</vt:lpstr>
      <vt:lpstr>Atletas!TEDLA</vt:lpstr>
      <vt:lpstr>Atletas!TEDLB</vt:lpstr>
      <vt:lpstr>Atletas!TEDLOA</vt:lpstr>
      <vt:lpstr>Atletas!TEMA</vt:lpstr>
      <vt:lpstr>Atletas!TEMB</vt:lpstr>
      <vt:lpstr>Atletas!TEMC</vt:lpstr>
      <vt:lpstr>Atletas!TEMM</vt:lpstr>
      <vt:lpstr>Atletas!TEMMC</vt:lpstr>
      <vt:lpstr>Atletas!TEMOA</vt:lpstr>
      <vt:lpstr>TSAF</vt:lpstr>
      <vt:lpstr>TSAM</vt:lpstr>
      <vt:lpstr>TTACA</vt:lpstr>
      <vt:lpstr>TTACB</vt:lpstr>
      <vt:lpstr>TTACC</vt:lpstr>
      <vt:lpstr>TTACD</vt:lpstr>
      <vt:lpstr>TTACE</vt:lpstr>
      <vt:lpstr>TTACF</vt:lpstr>
      <vt:lpstr>Atletas!TTADMA</vt:lpstr>
      <vt:lpstr>Atletas!TTADMB</vt:lpstr>
      <vt:lpstr>Atletas!TTADMC</vt:lpstr>
      <vt:lpstr>Atletas!TTADMD</vt:lpstr>
      <vt:lpstr>Atletas!TTADME</vt:lpstr>
      <vt:lpstr>Atletas!TTADMF</vt:lpstr>
      <vt:lpstr>TTALA</vt:lpstr>
      <vt:lpstr>TTALB</vt:lpstr>
      <vt:lpstr>TTALC</vt:lpstr>
      <vt:lpstr>TTALD</vt:lpstr>
      <vt:lpstr>TTALE</vt:lpstr>
      <vt:lpstr>TTALF</vt:lpstr>
      <vt:lpstr>TTDGA</vt:lpstr>
      <vt:lpstr>TTDGB</vt:lpstr>
      <vt:lpstr>TTDGC</vt:lpstr>
      <vt:lpstr>TTDGD</vt:lpstr>
      <vt:lpstr>TTDGE</vt:lpstr>
      <vt:lpstr>TTDGF</vt:lpstr>
      <vt:lpstr>Atletas!TTEEA</vt:lpstr>
      <vt:lpstr>Atletas!TTEEB</vt:lpstr>
      <vt:lpstr>Atletas!TTEEC</vt:lpstr>
      <vt:lpstr>Atletas!TTEED</vt:lpstr>
      <vt:lpstr>Atletas!TTEEE</vt:lpstr>
      <vt:lpstr>Atletas!TTEEF</vt:lpstr>
      <vt:lpstr>Atletas!TTMSA</vt:lpstr>
      <vt:lpstr>Atletas!TTMSB</vt:lpstr>
      <vt:lpstr>Atletas!TTMSC</vt:lpstr>
      <vt:lpstr>Atletas!TTMSD</vt:lpstr>
      <vt:lpstr>Atletas!TTMSE</vt:lpstr>
      <vt:lpstr>Atletas!TTMSF</vt:lpstr>
      <vt:lpstr>Atletas!TTOMA</vt:lpstr>
      <vt:lpstr>Atletas!TTOMB</vt:lpstr>
      <vt:lpstr>Atletas!TTOMC</vt:lpstr>
      <vt:lpstr>Atletas!TTOMD</vt:lpstr>
      <vt:lpstr>Atletas!TTOME</vt:lpstr>
      <vt:lpstr>Atletas!TTOMF</vt:lpstr>
      <vt:lpstr>Atletas!TTOMIA</vt:lpstr>
      <vt:lpstr>Atletas!TTOMIB</vt:lpstr>
      <vt:lpstr>Atletas!TTOMIC</vt:lpstr>
      <vt:lpstr>Atletas!TTOMID</vt:lpstr>
      <vt:lpstr>Atletas!TTOMIE</vt:lpstr>
      <vt:lpstr>Atletas!TTOMIF</vt:lpstr>
      <vt:lpstr>TTTA</vt:lpstr>
      <vt:lpstr>TTTB</vt:lpstr>
      <vt:lpstr>TTTC</vt:lpstr>
      <vt:lpstr>TTTD</vt:lpstr>
      <vt:lpstr>TTTE</vt:lpstr>
      <vt:lpstr>TTTF</vt:lpstr>
      <vt:lpstr>TTTOAA</vt:lpstr>
      <vt:lpstr>TTTOAB</vt:lpstr>
      <vt:lpstr>TTTOAC</vt:lpstr>
      <vt:lpstr>TTTOAD</vt:lpstr>
      <vt:lpstr>TTTOAE</vt:lpstr>
      <vt:lpstr>TTTOAF</vt:lpstr>
      <vt:lpstr>TTTPA</vt:lpstr>
      <vt:lpstr>TTTPB</vt:lpstr>
      <vt:lpstr>TTTPC</vt:lpstr>
      <vt:lpstr>TTTPD</vt:lpstr>
      <vt:lpstr>TTTPE</vt:lpstr>
      <vt:lpstr>TTTPF</vt:lpstr>
      <vt:lpstr>Atletas!TTTTA</vt:lpstr>
      <vt:lpstr>Atletas!TTTTB</vt:lpstr>
      <vt:lpstr>Atletas!TTTTC</vt:lpstr>
      <vt:lpstr>Atletas!TTTTD</vt:lpstr>
      <vt:lpstr>Atletas!TTTTE</vt:lpstr>
      <vt:lpstr>Atletas!TTTTF</vt:lpstr>
      <vt:lpstr>UF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Hung Sing Parque Prado</cp:lastModifiedBy>
  <dcterms:created xsi:type="dcterms:W3CDTF">2020-12-14T17:22:00Z</dcterms:created>
  <dcterms:modified xsi:type="dcterms:W3CDTF">2025-10-15T03:41:26Z</dcterms:modified>
</cp:coreProperties>
</file>